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\Desktop\"/>
    </mc:Choice>
  </mc:AlternateContent>
  <xr:revisionPtr revIDLastSave="0" documentId="13_ncr:1_{A4279EA7-126F-4F4E-BBA4-17F6D679F08F}" xr6:coauthVersionLast="47" xr6:coauthVersionMax="47" xr10:uidLastSave="{00000000-0000-0000-0000-000000000000}"/>
  <bookViews>
    <workbookView xWindow="-108" yWindow="-108" windowWidth="30936" windowHeight="16896" tabRatio="739" xr2:uid="{00000000-000D-0000-FFFF-FFFF00000000}"/>
  </bookViews>
  <sheets>
    <sheet name="當沖3元跌幅15%" sheetId="114" r:id="rId1"/>
    <sheet name="加碼排名前1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今日總結" sheetId="122" r:id="rId9"/>
    <sheet name="基本資料" sheetId="123" r:id="rId10"/>
    <sheet name="MEMO" sheetId="21" r:id="rId11"/>
    <sheet name="分類" sheetId="85" r:id="rId12"/>
    <sheet name="整理導入表" sheetId="117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114" l="1"/>
  <c r="O40" i="118"/>
  <c r="J69" i="28"/>
  <c r="K69" i="28"/>
  <c r="L69" i="28"/>
  <c r="N69" i="28" s="1"/>
  <c r="M69" i="28"/>
  <c r="J70" i="28"/>
  <c r="K70" i="28"/>
  <c r="L70" i="28"/>
  <c r="N70" i="28" s="1"/>
  <c r="M70" i="28"/>
  <c r="J71" i="28"/>
  <c r="K71" i="28"/>
  <c r="L71" i="28"/>
  <c r="N71" i="28" s="1"/>
  <c r="M71" i="28"/>
  <c r="J72" i="28"/>
  <c r="K72" i="28"/>
  <c r="L72" i="28"/>
  <c r="N72" i="28" s="1"/>
  <c r="M72" i="28"/>
  <c r="J73" i="28"/>
  <c r="K73" i="28"/>
  <c r="L73" i="28"/>
  <c r="N73" i="28" s="1"/>
  <c r="M73" i="28"/>
  <c r="J74" i="28"/>
  <c r="K74" i="28"/>
  <c r="L74" i="28"/>
  <c r="N74" i="28" s="1"/>
  <c r="M74" i="28"/>
  <c r="J75" i="28"/>
  <c r="K75" i="28"/>
  <c r="L75" i="28"/>
  <c r="N75" i="28" s="1"/>
  <c r="M75" i="28"/>
  <c r="J76" i="28"/>
  <c r="K76" i="28"/>
  <c r="L76" i="28"/>
  <c r="N76" i="28" s="1"/>
  <c r="M76" i="28"/>
  <c r="J77" i="28"/>
  <c r="K77" i="28"/>
  <c r="L77" i="28"/>
  <c r="N77" i="28" s="1"/>
  <c r="M77" i="28"/>
  <c r="J78" i="28"/>
  <c r="K78" i="28"/>
  <c r="L78" i="28"/>
  <c r="N78" i="28" s="1"/>
  <c r="M78" i="28"/>
  <c r="J79" i="28"/>
  <c r="K79" i="28"/>
  <c r="L79" i="28"/>
  <c r="M79" i="28"/>
  <c r="N79" i="28"/>
  <c r="J80" i="28"/>
  <c r="K80" i="28"/>
  <c r="L80" i="28"/>
  <c r="M80" i="28"/>
  <c r="N80" i="28"/>
  <c r="J81" i="28"/>
  <c r="K81" i="28"/>
  <c r="L81" i="28"/>
  <c r="N81" i="28" s="1"/>
  <c r="M81" i="28"/>
  <c r="J82" i="28"/>
  <c r="K82" i="28"/>
  <c r="L82" i="28"/>
  <c r="M82" i="28"/>
  <c r="N82" i="28"/>
  <c r="J83" i="28"/>
  <c r="K83" i="28"/>
  <c r="L83" i="28"/>
  <c r="M83" i="28"/>
  <c r="N83" i="28"/>
  <c r="J84" i="28"/>
  <c r="K84" i="28"/>
  <c r="L84" i="28"/>
  <c r="N84" i="28" s="1"/>
  <c r="M84" i="28"/>
  <c r="J85" i="28"/>
  <c r="K85" i="28"/>
  <c r="L85" i="28"/>
  <c r="N85" i="28" s="1"/>
  <c r="M85" i="28"/>
  <c r="J86" i="28"/>
  <c r="K86" i="28"/>
  <c r="L86" i="28"/>
  <c r="N86" i="28" s="1"/>
  <c r="M86" i="28"/>
  <c r="J87" i="28"/>
  <c r="K87" i="28"/>
  <c r="L87" i="28"/>
  <c r="M87" i="28"/>
  <c r="N87" i="28" s="1"/>
  <c r="J88" i="28"/>
  <c r="K88" i="28"/>
  <c r="L88" i="28"/>
  <c r="N88" i="28" s="1"/>
  <c r="M88" i="28"/>
  <c r="J89" i="28"/>
  <c r="K89" i="28"/>
  <c r="L89" i="28"/>
  <c r="M89" i="28"/>
  <c r="N89" i="28"/>
  <c r="J90" i="28"/>
  <c r="K90" i="28"/>
  <c r="L90" i="28"/>
  <c r="N90" i="28" s="1"/>
  <c r="M90" i="28"/>
  <c r="J91" i="28"/>
  <c r="K91" i="28"/>
  <c r="L91" i="28"/>
  <c r="M91" i="28"/>
  <c r="N91" i="28"/>
  <c r="J92" i="28"/>
  <c r="K92" i="28"/>
  <c r="L92" i="28"/>
  <c r="N92" i="28" s="1"/>
  <c r="M92" i="28"/>
  <c r="J93" i="28"/>
  <c r="K93" i="28"/>
  <c r="L93" i="28"/>
  <c r="N93" i="28" s="1"/>
  <c r="M93" i="28"/>
  <c r="J94" i="28"/>
  <c r="K94" i="28"/>
  <c r="L94" i="28"/>
  <c r="N94" i="28" s="1"/>
  <c r="M94" i="28"/>
  <c r="J95" i="28"/>
  <c r="K95" i="28"/>
  <c r="L95" i="28"/>
  <c r="N95" i="28" s="1"/>
  <c r="M95" i="28"/>
  <c r="J96" i="28"/>
  <c r="K96" i="28"/>
  <c r="L96" i="28"/>
  <c r="M96" i="28"/>
  <c r="N96" i="28" s="1"/>
  <c r="J97" i="28"/>
  <c r="K97" i="28"/>
  <c r="L97" i="28"/>
  <c r="N97" i="28" s="1"/>
  <c r="M97" i="28"/>
  <c r="J98" i="28"/>
  <c r="K98" i="28"/>
  <c r="L98" i="28"/>
  <c r="N98" i="28" s="1"/>
  <c r="M98" i="28"/>
  <c r="J99" i="28"/>
  <c r="K99" i="28"/>
  <c r="L99" i="28"/>
  <c r="N99" i="28" s="1"/>
  <c r="M99" i="28"/>
  <c r="J100" i="28"/>
  <c r="K100" i="28"/>
  <c r="L100" i="28"/>
  <c r="N100" i="28" s="1"/>
  <c r="M100" i="28"/>
  <c r="J101" i="28"/>
  <c r="K101" i="28"/>
  <c r="L101" i="28"/>
  <c r="N101" i="28" s="1"/>
  <c r="M101" i="28"/>
  <c r="J102" i="28"/>
  <c r="K102" i="28"/>
  <c r="L102" i="28"/>
  <c r="N102" i="28" s="1"/>
  <c r="M102" i="28"/>
  <c r="J103" i="28"/>
  <c r="K103" i="28"/>
  <c r="L103" i="28"/>
  <c r="N103" i="28" s="1"/>
  <c r="M103" i="28"/>
  <c r="J104" i="28"/>
  <c r="K104" i="28"/>
  <c r="L104" i="28"/>
  <c r="M104" i="28"/>
  <c r="N104" i="28"/>
  <c r="J105" i="28"/>
  <c r="K105" i="28"/>
  <c r="L105" i="28"/>
  <c r="N105" i="28" s="1"/>
  <c r="M105" i="28"/>
  <c r="J106" i="28"/>
  <c r="K106" i="28"/>
  <c r="L106" i="28"/>
  <c r="M106" i="28"/>
  <c r="N106" i="28"/>
  <c r="J107" i="28"/>
  <c r="K107" i="28"/>
  <c r="L107" i="28"/>
  <c r="M107" i="28"/>
  <c r="N107" i="28"/>
  <c r="J108" i="28"/>
  <c r="K108" i="28"/>
  <c r="L108" i="28"/>
  <c r="N108" i="28" s="1"/>
  <c r="M108" i="28"/>
  <c r="J109" i="28"/>
  <c r="K109" i="28"/>
  <c r="L109" i="28"/>
  <c r="N109" i="28" s="1"/>
  <c r="M109" i="28"/>
  <c r="J110" i="28"/>
  <c r="K110" i="28"/>
  <c r="L110" i="28"/>
  <c r="N110" i="28" s="1"/>
  <c r="M110" i="28"/>
  <c r="J111" i="28"/>
  <c r="K111" i="28"/>
  <c r="L111" i="28"/>
  <c r="M111" i="28"/>
  <c r="N111" i="28" s="1"/>
  <c r="J112" i="28"/>
  <c r="K112" i="28"/>
  <c r="L112" i="28"/>
  <c r="N112" i="28" s="1"/>
  <c r="M112" i="28"/>
  <c r="J113" i="28"/>
  <c r="K113" i="28"/>
  <c r="L113" i="28"/>
  <c r="M113" i="28"/>
  <c r="N113" i="28"/>
  <c r="J114" i="28"/>
  <c r="K114" i="28"/>
  <c r="L114" i="28"/>
  <c r="N114" i="28" s="1"/>
  <c r="M114" i="28"/>
  <c r="J115" i="28"/>
  <c r="K115" i="28"/>
  <c r="L115" i="28"/>
  <c r="M115" i="28"/>
  <c r="N115" i="28"/>
  <c r="J116" i="28"/>
  <c r="K116" i="28"/>
  <c r="L116" i="28"/>
  <c r="N116" i="28" s="1"/>
  <c r="M116" i="28"/>
  <c r="J117" i="28"/>
  <c r="K117" i="28"/>
  <c r="L117" i="28"/>
  <c r="N117" i="28" s="1"/>
  <c r="M117" i="28"/>
  <c r="J118" i="28"/>
  <c r="K118" i="28"/>
  <c r="L118" i="28"/>
  <c r="N118" i="28" s="1"/>
  <c r="M118" i="28"/>
  <c r="J119" i="28"/>
  <c r="K119" i="28"/>
  <c r="L119" i="28"/>
  <c r="M119" i="28"/>
  <c r="N119" i="28" s="1"/>
  <c r="J120" i="28"/>
  <c r="K120" i="28"/>
  <c r="L120" i="28"/>
  <c r="M120" i="28"/>
  <c r="N120" i="28" s="1"/>
  <c r="J121" i="28"/>
  <c r="K121" i="28"/>
  <c r="L121" i="28"/>
  <c r="N121" i="28" s="1"/>
  <c r="M121" i="28"/>
  <c r="J122" i="28"/>
  <c r="K122" i="28"/>
  <c r="L122" i="28"/>
  <c r="N122" i="28" s="1"/>
  <c r="M122" i="28"/>
  <c r="J123" i="28"/>
  <c r="K123" i="28"/>
  <c r="L123" i="28"/>
  <c r="N123" i="28" s="1"/>
  <c r="M123" i="28"/>
  <c r="J124" i="28"/>
  <c r="K124" i="28"/>
  <c r="L124" i="28"/>
  <c r="N124" i="28" s="1"/>
  <c r="M124" i="28"/>
  <c r="J125" i="28"/>
  <c r="K125" i="28"/>
  <c r="L125" i="28"/>
  <c r="N125" i="28" s="1"/>
  <c r="M125" i="28"/>
  <c r="J126" i="28"/>
  <c r="K126" i="28"/>
  <c r="L126" i="28"/>
  <c r="N126" i="28" s="1"/>
  <c r="M126" i="28"/>
  <c r="J127" i="28"/>
  <c r="K127" i="28"/>
  <c r="L127" i="28"/>
  <c r="N127" i="28" s="1"/>
  <c r="M127" i="28"/>
  <c r="J128" i="28"/>
  <c r="K128" i="28"/>
  <c r="L128" i="28"/>
  <c r="M128" i="28"/>
  <c r="N128" i="28"/>
  <c r="J129" i="28"/>
  <c r="K129" i="28"/>
  <c r="L129" i="28"/>
  <c r="N129" i="28" s="1"/>
  <c r="M129" i="28"/>
  <c r="J130" i="28"/>
  <c r="K130" i="28"/>
  <c r="L130" i="28"/>
  <c r="M130" i="28"/>
  <c r="N130" i="28"/>
  <c r="J131" i="28"/>
  <c r="K131" i="28"/>
  <c r="L131" i="28"/>
  <c r="M131" i="28"/>
  <c r="N131" i="28"/>
  <c r="J132" i="28"/>
  <c r="K132" i="28"/>
  <c r="L132" i="28"/>
  <c r="N132" i="28" s="1"/>
  <c r="M132" i="28"/>
  <c r="J133" i="28"/>
  <c r="K133" i="28"/>
  <c r="L133" i="28"/>
  <c r="M133" i="28"/>
  <c r="N133" i="28" s="1"/>
  <c r="J134" i="28"/>
  <c r="K134" i="28"/>
  <c r="L134" i="28"/>
  <c r="N134" i="28" s="1"/>
  <c r="M134" i="28"/>
  <c r="J135" i="28"/>
  <c r="K135" i="28"/>
  <c r="L135" i="28"/>
  <c r="M135" i="28"/>
  <c r="N135" i="28" s="1"/>
  <c r="J136" i="28"/>
  <c r="K136" i="28"/>
  <c r="L136" i="28"/>
  <c r="N136" i="28" s="1"/>
  <c r="M136" i="28"/>
  <c r="J137" i="28"/>
  <c r="K137" i="28"/>
  <c r="L137" i="28"/>
  <c r="M137" i="28"/>
  <c r="N137" i="28"/>
  <c r="J138" i="28"/>
  <c r="K138" i="28"/>
  <c r="L138" i="28"/>
  <c r="N138" i="28" s="1"/>
  <c r="M138" i="28"/>
  <c r="J139" i="28"/>
  <c r="K139" i="28"/>
  <c r="L139" i="28"/>
  <c r="M139" i="28"/>
  <c r="N139" i="28"/>
  <c r="J140" i="28"/>
  <c r="K140" i="28"/>
  <c r="L140" i="28"/>
  <c r="N140" i="28" s="1"/>
  <c r="M140" i="28"/>
  <c r="J141" i="28"/>
  <c r="K141" i="28"/>
  <c r="L141" i="28"/>
  <c r="N141" i="28" s="1"/>
  <c r="M141" i="28"/>
  <c r="J142" i="28"/>
  <c r="K142" i="28"/>
  <c r="L142" i="28"/>
  <c r="N142" i="28" s="1"/>
  <c r="M142" i="28"/>
  <c r="J143" i="28"/>
  <c r="K143" i="28"/>
  <c r="L143" i="28"/>
  <c r="N143" i="28" s="1"/>
  <c r="M143" i="28"/>
  <c r="J144" i="28"/>
  <c r="K144" i="28"/>
  <c r="L144" i="28"/>
  <c r="M144" i="28"/>
  <c r="N144" i="28" s="1"/>
  <c r="J145" i="28"/>
  <c r="K145" i="28"/>
  <c r="L145" i="28"/>
  <c r="N145" i="28" s="1"/>
  <c r="M145" i="28"/>
  <c r="J146" i="28"/>
  <c r="K146" i="28"/>
  <c r="L146" i="28"/>
  <c r="N146" i="28" s="1"/>
  <c r="M146" i="28"/>
  <c r="J147" i="28"/>
  <c r="K147" i="28"/>
  <c r="L147" i="28"/>
  <c r="N147" i="28" s="1"/>
  <c r="M147" i="28"/>
  <c r="J148" i="28"/>
  <c r="K148" i="28"/>
  <c r="L148" i="28"/>
  <c r="N148" i="28" s="1"/>
  <c r="M148" i="28"/>
  <c r="J149" i="28"/>
  <c r="K149" i="28"/>
  <c r="L149" i="28"/>
  <c r="N149" i="28" s="1"/>
  <c r="M149" i="28"/>
  <c r="J150" i="28"/>
  <c r="K150" i="28"/>
  <c r="L150" i="28"/>
  <c r="N150" i="28" s="1"/>
  <c r="M150" i="28"/>
  <c r="J151" i="28"/>
  <c r="K151" i="28"/>
  <c r="L151" i="28"/>
  <c r="N151" i="28" s="1"/>
  <c r="M151" i="28"/>
  <c r="J152" i="28"/>
  <c r="K152" i="28"/>
  <c r="L152" i="28"/>
  <c r="M152" i="28"/>
  <c r="N152" i="28"/>
  <c r="J153" i="28"/>
  <c r="K153" i="28"/>
  <c r="L153" i="28"/>
  <c r="N153" i="28" s="1"/>
  <c r="M153" i="28"/>
  <c r="J154" i="28"/>
  <c r="K154" i="28"/>
  <c r="L154" i="28"/>
  <c r="M154" i="28"/>
  <c r="N154" i="28"/>
  <c r="J155" i="28"/>
  <c r="K155" i="28"/>
  <c r="L155" i="28"/>
  <c r="M155" i="28"/>
  <c r="N155" i="28"/>
  <c r="J156" i="28"/>
  <c r="K156" i="28"/>
  <c r="L156" i="28"/>
  <c r="N156" i="28" s="1"/>
  <c r="M156" i="28"/>
  <c r="J157" i="28"/>
  <c r="K157" i="28"/>
  <c r="L157" i="28"/>
  <c r="M157" i="28"/>
  <c r="N157" i="28" s="1"/>
  <c r="J158" i="28"/>
  <c r="K158" i="28"/>
  <c r="L158" i="28"/>
  <c r="N158" i="28" s="1"/>
  <c r="M158" i="28"/>
  <c r="J159" i="28"/>
  <c r="K159" i="28"/>
  <c r="L159" i="28"/>
  <c r="M159" i="28"/>
  <c r="N159" i="28" s="1"/>
  <c r="J160" i="28"/>
  <c r="K160" i="28"/>
  <c r="L160" i="28"/>
  <c r="N160" i="28" s="1"/>
  <c r="M160" i="28"/>
  <c r="J161" i="28"/>
  <c r="K161" i="28"/>
  <c r="L161" i="28"/>
  <c r="N161" i="28" s="1"/>
  <c r="M161" i="28"/>
  <c r="J162" i="28"/>
  <c r="K162" i="28"/>
  <c r="L162" i="28"/>
  <c r="N162" i="28" s="1"/>
  <c r="M162" i="28"/>
  <c r="J163" i="28"/>
  <c r="K163" i="28"/>
  <c r="L163" i="28"/>
  <c r="N163" i="28" s="1"/>
  <c r="M163" i="28"/>
  <c r="J164" i="28"/>
  <c r="K164" i="28"/>
  <c r="L164" i="28"/>
  <c r="N164" i="28" s="1"/>
  <c r="M164" i="28"/>
  <c r="J165" i="28"/>
  <c r="K165" i="28"/>
  <c r="L165" i="28"/>
  <c r="N165" i="28" s="1"/>
  <c r="M165" i="28"/>
  <c r="J166" i="28"/>
  <c r="K166" i="28"/>
  <c r="L166" i="28"/>
  <c r="M166" i="28"/>
  <c r="N166" i="28"/>
  <c r="J167" i="28"/>
  <c r="K167" i="28"/>
  <c r="L167" i="28"/>
  <c r="M167" i="28"/>
  <c r="N167" i="28"/>
  <c r="J168" i="28"/>
  <c r="K168" i="28"/>
  <c r="L168" i="28"/>
  <c r="M168" i="28"/>
  <c r="N168" i="28" s="1"/>
  <c r="J169" i="28"/>
  <c r="K169" i="28"/>
  <c r="L169" i="28"/>
  <c r="M169" i="28"/>
  <c r="N169" i="28"/>
  <c r="J170" i="28"/>
  <c r="K170" i="28"/>
  <c r="L170" i="28"/>
  <c r="N170" i="28" s="1"/>
  <c r="M170" i="28"/>
  <c r="J171" i="28"/>
  <c r="K171" i="28"/>
  <c r="L171" i="28"/>
  <c r="M171" i="28"/>
  <c r="N171" i="28" s="1"/>
  <c r="J172" i="28"/>
  <c r="K172" i="28"/>
  <c r="L172" i="28"/>
  <c r="M172" i="28"/>
  <c r="N172" i="28"/>
  <c r="J173" i="28"/>
  <c r="K173" i="28"/>
  <c r="L173" i="28"/>
  <c r="M173" i="28"/>
  <c r="N173" i="28"/>
  <c r="J174" i="28"/>
  <c r="K174" i="28"/>
  <c r="L174" i="28"/>
  <c r="M174" i="28"/>
  <c r="N174" i="28"/>
  <c r="J175" i="28"/>
  <c r="K175" i="28"/>
  <c r="L175" i="28"/>
  <c r="N175" i="28" s="1"/>
  <c r="M175" i="28"/>
  <c r="J176" i="28"/>
  <c r="K176" i="28"/>
  <c r="L176" i="28"/>
  <c r="M176" i="28"/>
  <c r="N176" i="28"/>
  <c r="J177" i="28"/>
  <c r="K177" i="28"/>
  <c r="L177" i="28"/>
  <c r="M177" i="28"/>
  <c r="N177" i="28"/>
  <c r="J178" i="28"/>
  <c r="K178" i="28"/>
  <c r="L178" i="28"/>
  <c r="M178" i="28"/>
  <c r="N178" i="28"/>
  <c r="J179" i="28"/>
  <c r="K179" i="28"/>
  <c r="L179" i="28"/>
  <c r="M179" i="28"/>
  <c r="N179" i="28"/>
  <c r="J180" i="28"/>
  <c r="K180" i="28"/>
  <c r="L180" i="28"/>
  <c r="N180" i="28" s="1"/>
  <c r="M180" i="28"/>
  <c r="J181" i="28"/>
  <c r="K181" i="28"/>
  <c r="L181" i="28"/>
  <c r="N181" i="28" s="1"/>
  <c r="M181" i="28"/>
  <c r="J182" i="28"/>
  <c r="K182" i="28"/>
  <c r="L182" i="28"/>
  <c r="M182" i="28"/>
  <c r="N182" i="28"/>
  <c r="J183" i="28"/>
  <c r="K183" i="28"/>
  <c r="L183" i="28"/>
  <c r="N183" i="28" s="1"/>
  <c r="M183" i="28"/>
  <c r="J184" i="28"/>
  <c r="K184" i="28"/>
  <c r="L184" i="28"/>
  <c r="N184" i="28" s="1"/>
  <c r="M184" i="28"/>
  <c r="J185" i="28"/>
  <c r="K185" i="28"/>
  <c r="L185" i="28"/>
  <c r="N185" i="28" s="1"/>
  <c r="M185" i="28"/>
  <c r="J186" i="28"/>
  <c r="K186" i="28"/>
  <c r="L186" i="28"/>
  <c r="N186" i="28" s="1"/>
  <c r="M186" i="28"/>
  <c r="J187" i="28"/>
  <c r="K187" i="28"/>
  <c r="L187" i="28"/>
  <c r="M187" i="28"/>
  <c r="N187" i="28"/>
  <c r="J188" i="28"/>
  <c r="K188" i="28"/>
  <c r="L188" i="28"/>
  <c r="N188" i="28" s="1"/>
  <c r="M188" i="28"/>
  <c r="J189" i="28"/>
  <c r="K189" i="28"/>
  <c r="L189" i="28"/>
  <c r="N189" i="28" s="1"/>
  <c r="M189" i="28"/>
  <c r="J190" i="28"/>
  <c r="K190" i="28"/>
  <c r="L190" i="28"/>
  <c r="M190" i="28"/>
  <c r="N190" i="28"/>
  <c r="J191" i="28"/>
  <c r="K191" i="28"/>
  <c r="L191" i="28"/>
  <c r="M191" i="28"/>
  <c r="N191" i="28"/>
  <c r="J192" i="28"/>
  <c r="K192" i="28"/>
  <c r="L192" i="28"/>
  <c r="M192" i="28"/>
  <c r="N192" i="28" s="1"/>
  <c r="J193" i="28"/>
  <c r="K193" i="28"/>
  <c r="L193" i="28"/>
  <c r="M193" i="28"/>
  <c r="N193" i="28"/>
  <c r="J194" i="28"/>
  <c r="K194" i="28"/>
  <c r="L194" i="28"/>
  <c r="N194" i="28" s="1"/>
  <c r="M194" i="28"/>
  <c r="J195" i="28"/>
  <c r="K195" i="28"/>
  <c r="L195" i="28"/>
  <c r="M195" i="28"/>
  <c r="N195" i="28" s="1"/>
  <c r="J196" i="28"/>
  <c r="K196" i="28"/>
  <c r="L196" i="28"/>
  <c r="M196" i="28"/>
  <c r="N196" i="28"/>
  <c r="J197" i="28"/>
  <c r="K197" i="28"/>
  <c r="L197" i="28"/>
  <c r="M197" i="28"/>
  <c r="N197" i="28"/>
  <c r="J198" i="28"/>
  <c r="K198" i="28"/>
  <c r="L198" i="28"/>
  <c r="M198" i="28"/>
  <c r="N198" i="28"/>
  <c r="J199" i="28"/>
  <c r="K199" i="28"/>
  <c r="L199" i="28"/>
  <c r="N199" i="28" s="1"/>
  <c r="M199" i="28"/>
  <c r="J200" i="28"/>
  <c r="K200" i="28"/>
  <c r="L200" i="28"/>
  <c r="M200" i="28"/>
  <c r="N200" i="28"/>
  <c r="J201" i="28"/>
  <c r="K201" i="28"/>
  <c r="L201" i="28"/>
  <c r="M201" i="28"/>
  <c r="N201" i="28"/>
  <c r="J202" i="28"/>
  <c r="K202" i="28"/>
  <c r="L202" i="28"/>
  <c r="M202" i="28"/>
  <c r="N202" i="28"/>
  <c r="J203" i="28"/>
  <c r="K203" i="28"/>
  <c r="L203" i="28"/>
  <c r="M203" i="28"/>
  <c r="N203" i="28"/>
  <c r="J204" i="28"/>
  <c r="K204" i="28"/>
  <c r="L204" i="28"/>
  <c r="N204" i="28" s="1"/>
  <c r="M204" i="28"/>
  <c r="J205" i="28"/>
  <c r="K205" i="28"/>
  <c r="L205" i="28"/>
  <c r="N205" i="28" s="1"/>
  <c r="M205" i="28"/>
  <c r="J206" i="28"/>
  <c r="K206" i="28"/>
  <c r="L206" i="28"/>
  <c r="M206" i="28"/>
  <c r="N206" i="28"/>
  <c r="J207" i="28"/>
  <c r="K207" i="28"/>
  <c r="L207" i="28"/>
  <c r="N207" i="28" s="1"/>
  <c r="M207" i="28"/>
  <c r="J208" i="28"/>
  <c r="K208" i="28"/>
  <c r="L208" i="28"/>
  <c r="N208" i="28" s="1"/>
  <c r="M208" i="28"/>
  <c r="J209" i="28"/>
  <c r="K209" i="28"/>
  <c r="L209" i="28"/>
  <c r="N209" i="28" s="1"/>
  <c r="M209" i="28"/>
  <c r="J210" i="28"/>
  <c r="K210" i="28"/>
  <c r="L210" i="28"/>
  <c r="N210" i="28" s="1"/>
  <c r="M210" i="28"/>
  <c r="J211" i="28"/>
  <c r="K211" i="28"/>
  <c r="L211" i="28"/>
  <c r="M211" i="28"/>
  <c r="N211" i="28"/>
  <c r="J212" i="28"/>
  <c r="K212" i="28"/>
  <c r="L212" i="28"/>
  <c r="N212" i="28" s="1"/>
  <c r="M212" i="28"/>
  <c r="J213" i="28"/>
  <c r="K213" i="28"/>
  <c r="L213" i="28"/>
  <c r="N213" i="28" s="1"/>
  <c r="M213" i="28"/>
  <c r="J214" i="28"/>
  <c r="K214" i="28"/>
  <c r="L214" i="28"/>
  <c r="M214" i="28"/>
  <c r="N214" i="28"/>
  <c r="J215" i="28"/>
  <c r="K215" i="28"/>
  <c r="L215" i="28"/>
  <c r="M215" i="28"/>
  <c r="N215" i="28"/>
  <c r="J216" i="28"/>
  <c r="K216" i="28"/>
  <c r="L216" i="28"/>
  <c r="M216" i="28"/>
  <c r="N216" i="28" s="1"/>
  <c r="J217" i="28"/>
  <c r="K217" i="28"/>
  <c r="L217" i="28"/>
  <c r="M217" i="28"/>
  <c r="N217" i="28"/>
  <c r="J218" i="28"/>
  <c r="K218" i="28"/>
  <c r="L218" i="28"/>
  <c r="N218" i="28" s="1"/>
  <c r="M218" i="28"/>
  <c r="J219" i="28"/>
  <c r="K219" i="28"/>
  <c r="L219" i="28"/>
  <c r="M219" i="28"/>
  <c r="N219" i="28" s="1"/>
  <c r="J220" i="28"/>
  <c r="K220" i="28"/>
  <c r="L220" i="28"/>
  <c r="M220" i="28"/>
  <c r="N220" i="28"/>
  <c r="J221" i="28"/>
  <c r="K221" i="28"/>
  <c r="L221" i="28"/>
  <c r="M221" i="28"/>
  <c r="N221" i="28"/>
  <c r="J222" i="28"/>
  <c r="K222" i="28"/>
  <c r="L222" i="28"/>
  <c r="M222" i="28"/>
  <c r="N222" i="28"/>
  <c r="J223" i="28"/>
  <c r="K223" i="28"/>
  <c r="L223" i="28"/>
  <c r="N223" i="28" s="1"/>
  <c r="M223" i="28"/>
  <c r="J224" i="28"/>
  <c r="K224" i="28"/>
  <c r="L224" i="28"/>
  <c r="M224" i="28"/>
  <c r="N224" i="28"/>
  <c r="J225" i="28"/>
  <c r="K225" i="28"/>
  <c r="L225" i="28"/>
  <c r="M225" i="28"/>
  <c r="N225" i="28"/>
  <c r="J226" i="28"/>
  <c r="K226" i="28"/>
  <c r="L226" i="28"/>
  <c r="M226" i="28"/>
  <c r="N226" i="28"/>
  <c r="J227" i="28"/>
  <c r="K227" i="28"/>
  <c r="L227" i="28"/>
  <c r="M227" i="28"/>
  <c r="N227" i="28"/>
  <c r="J228" i="28"/>
  <c r="K228" i="28"/>
  <c r="L228" i="28"/>
  <c r="N228" i="28" s="1"/>
  <c r="M228" i="28"/>
  <c r="J229" i="28"/>
  <c r="K229" i="28"/>
  <c r="L229" i="28"/>
  <c r="N229" i="28" s="1"/>
  <c r="M229" i="28"/>
  <c r="J230" i="28"/>
  <c r="K230" i="28"/>
  <c r="L230" i="28"/>
  <c r="M230" i="28"/>
  <c r="N230" i="28"/>
  <c r="J231" i="28"/>
  <c r="K231" i="28"/>
  <c r="L231" i="28"/>
  <c r="N231" i="28" s="1"/>
  <c r="M231" i="28"/>
  <c r="J232" i="28"/>
  <c r="K232" i="28"/>
  <c r="L232" i="28"/>
  <c r="N232" i="28" s="1"/>
  <c r="M232" i="28"/>
  <c r="J233" i="28"/>
  <c r="K233" i="28"/>
  <c r="L233" i="28"/>
  <c r="N233" i="28" s="1"/>
  <c r="M233" i="28"/>
  <c r="J234" i="28"/>
  <c r="K234" i="28"/>
  <c r="L234" i="28"/>
  <c r="N234" i="28" s="1"/>
  <c r="M234" i="28"/>
  <c r="J235" i="28"/>
  <c r="K235" i="28"/>
  <c r="L235" i="28"/>
  <c r="M235" i="28"/>
  <c r="N235" i="28"/>
  <c r="J236" i="28"/>
  <c r="K236" i="28"/>
  <c r="L236" i="28"/>
  <c r="N236" i="28" s="1"/>
  <c r="M236" i="28"/>
  <c r="J237" i="28"/>
  <c r="K237" i="28"/>
  <c r="L237" i="28"/>
  <c r="N237" i="28" s="1"/>
  <c r="M237" i="28"/>
  <c r="J238" i="28"/>
  <c r="K238" i="28"/>
  <c r="L238" i="28"/>
  <c r="M238" i="28"/>
  <c r="N238" i="28"/>
  <c r="J239" i="28"/>
  <c r="K239" i="28"/>
  <c r="L239" i="28"/>
  <c r="M239" i="28"/>
  <c r="N239" i="28"/>
  <c r="J240" i="28"/>
  <c r="K240" i="28"/>
  <c r="L240" i="28"/>
  <c r="M240" i="28"/>
  <c r="N240" i="28" s="1"/>
  <c r="J241" i="28"/>
  <c r="K241" i="28"/>
  <c r="L241" i="28"/>
  <c r="M241" i="28"/>
  <c r="N241" i="28"/>
  <c r="J242" i="28"/>
  <c r="K242" i="28"/>
  <c r="L242" i="28"/>
  <c r="N242" i="28" s="1"/>
  <c r="M242" i="28"/>
  <c r="J243" i="28"/>
  <c r="K243" i="28"/>
  <c r="L243" i="28"/>
  <c r="M243" i="28"/>
  <c r="N243" i="28" s="1"/>
  <c r="J244" i="28"/>
  <c r="K244" i="28"/>
  <c r="L244" i="28"/>
  <c r="M244" i="28"/>
  <c r="N244" i="28"/>
  <c r="J245" i="28"/>
  <c r="K245" i="28"/>
  <c r="L245" i="28"/>
  <c r="M245" i="28"/>
  <c r="N245" i="28"/>
  <c r="J246" i="28"/>
  <c r="K246" i="28"/>
  <c r="L246" i="28"/>
  <c r="M246" i="28"/>
  <c r="N246" i="28"/>
  <c r="J247" i="28"/>
  <c r="K247" i="28"/>
  <c r="L247" i="28"/>
  <c r="N247" i="28" s="1"/>
  <c r="M247" i="28"/>
  <c r="J248" i="28"/>
  <c r="K248" i="28"/>
  <c r="L248" i="28"/>
  <c r="M248" i="28"/>
  <c r="N248" i="28"/>
  <c r="J249" i="28"/>
  <c r="K249" i="28"/>
  <c r="L249" i="28"/>
  <c r="M249" i="28"/>
  <c r="N249" i="28"/>
  <c r="J250" i="28"/>
  <c r="K250" i="28"/>
  <c r="L250" i="28"/>
  <c r="M250" i="28"/>
  <c r="N250" i="28"/>
  <c r="J251" i="28"/>
  <c r="K251" i="28"/>
  <c r="L251" i="28"/>
  <c r="M251" i="28"/>
  <c r="N251" i="28"/>
  <c r="J252" i="28"/>
  <c r="K252" i="28"/>
  <c r="L252" i="28"/>
  <c r="N252" i="28" s="1"/>
  <c r="M252" i="28"/>
  <c r="J253" i="28"/>
  <c r="K253" i="28"/>
  <c r="L253" i="28"/>
  <c r="N253" i="28" s="1"/>
  <c r="M253" i="28"/>
  <c r="J254" i="28"/>
  <c r="K254" i="28"/>
  <c r="L254" i="28"/>
  <c r="M254" i="28"/>
  <c r="N254" i="28"/>
  <c r="J255" i="28"/>
  <c r="K255" i="28"/>
  <c r="L255" i="28"/>
  <c r="N255" i="28" s="1"/>
  <c r="M255" i="28"/>
  <c r="J256" i="28"/>
  <c r="K256" i="28"/>
  <c r="L256" i="28"/>
  <c r="N256" i="28" s="1"/>
  <c r="M256" i="28"/>
  <c r="J257" i="28"/>
  <c r="K257" i="28"/>
  <c r="L257" i="28"/>
  <c r="N257" i="28" s="1"/>
  <c r="M257" i="28"/>
  <c r="J258" i="28"/>
  <c r="K258" i="28"/>
  <c r="L258" i="28"/>
  <c r="N258" i="28" s="1"/>
  <c r="M258" i="28"/>
  <c r="J259" i="28"/>
  <c r="K259" i="28"/>
  <c r="L259" i="28"/>
  <c r="M259" i="28"/>
  <c r="N259" i="28"/>
  <c r="J260" i="28"/>
  <c r="K260" i="28"/>
  <c r="L260" i="28"/>
  <c r="N260" i="28" s="1"/>
  <c r="M260" i="28"/>
  <c r="J261" i="28"/>
  <c r="K261" i="28"/>
  <c r="L261" i="28"/>
  <c r="N261" i="28" s="1"/>
  <c r="M261" i="28"/>
  <c r="J262" i="28"/>
  <c r="K262" i="28"/>
  <c r="L262" i="28"/>
  <c r="M262" i="28"/>
  <c r="N262" i="28"/>
  <c r="J263" i="28"/>
  <c r="K263" i="28"/>
  <c r="L263" i="28"/>
  <c r="M263" i="28"/>
  <c r="N263" i="28"/>
  <c r="J264" i="28"/>
  <c r="K264" i="28"/>
  <c r="L264" i="28"/>
  <c r="M264" i="28"/>
  <c r="N264" i="28" s="1"/>
  <c r="J265" i="28"/>
  <c r="K265" i="28"/>
  <c r="L265" i="28"/>
  <c r="M265" i="28"/>
  <c r="N265" i="28"/>
  <c r="J266" i="28"/>
  <c r="K266" i="28"/>
  <c r="L266" i="28"/>
  <c r="N266" i="28" s="1"/>
  <c r="M266" i="28"/>
  <c r="J267" i="28"/>
  <c r="K267" i="28"/>
  <c r="L267" i="28"/>
  <c r="M267" i="28"/>
  <c r="N267" i="28" s="1"/>
  <c r="J268" i="28"/>
  <c r="K268" i="28"/>
  <c r="L268" i="28"/>
  <c r="M268" i="28"/>
  <c r="N268" i="28"/>
  <c r="J269" i="28"/>
  <c r="K269" i="28"/>
  <c r="L269" i="28"/>
  <c r="M269" i="28"/>
  <c r="N269" i="28"/>
  <c r="J270" i="28"/>
  <c r="K270" i="28"/>
  <c r="L270" i="28"/>
  <c r="M270" i="28"/>
  <c r="N270" i="28"/>
  <c r="J271" i="28"/>
  <c r="K271" i="28"/>
  <c r="L271" i="28"/>
  <c r="N271" i="28" s="1"/>
  <c r="M271" i="28"/>
  <c r="J272" i="28"/>
  <c r="K272" i="28"/>
  <c r="L272" i="28"/>
  <c r="M272" i="28"/>
  <c r="N272" i="28"/>
  <c r="J273" i="28"/>
  <c r="K273" i="28"/>
  <c r="L273" i="28"/>
  <c r="M273" i="28"/>
  <c r="N273" i="28"/>
  <c r="J274" i="28"/>
  <c r="K274" i="28"/>
  <c r="L274" i="28"/>
  <c r="M274" i="28"/>
  <c r="N274" i="28"/>
  <c r="J275" i="28"/>
  <c r="K275" i="28"/>
  <c r="L275" i="28"/>
  <c r="M275" i="28"/>
  <c r="N275" i="28"/>
  <c r="J276" i="28"/>
  <c r="K276" i="28"/>
  <c r="L276" i="28"/>
  <c r="N276" i="28" s="1"/>
  <c r="M276" i="28"/>
  <c r="J277" i="28"/>
  <c r="K277" i="28"/>
  <c r="L277" i="28"/>
  <c r="N277" i="28" s="1"/>
  <c r="M277" i="28"/>
  <c r="J278" i="28"/>
  <c r="K278" i="28"/>
  <c r="L278" i="28"/>
  <c r="M278" i="28"/>
  <c r="N278" i="28"/>
  <c r="J279" i="28"/>
  <c r="K279" i="28"/>
  <c r="L279" i="28"/>
  <c r="N279" i="28" s="1"/>
  <c r="M279" i="28"/>
  <c r="J280" i="28"/>
  <c r="K280" i="28"/>
  <c r="L280" i="28"/>
  <c r="N280" i="28" s="1"/>
  <c r="M280" i="28"/>
  <c r="J281" i="28"/>
  <c r="K281" i="28"/>
  <c r="L281" i="28"/>
  <c r="N281" i="28" s="1"/>
  <c r="M281" i="28"/>
  <c r="J282" i="28"/>
  <c r="K282" i="28"/>
  <c r="L282" i="28"/>
  <c r="N282" i="28" s="1"/>
  <c r="M282" i="28"/>
  <c r="J283" i="28"/>
  <c r="K283" i="28"/>
  <c r="L283" i="28"/>
  <c r="M283" i="28"/>
  <c r="N283" i="28"/>
  <c r="J284" i="28"/>
  <c r="K284" i="28"/>
  <c r="L284" i="28"/>
  <c r="N284" i="28" s="1"/>
  <c r="M284" i="28"/>
  <c r="J285" i="28"/>
  <c r="K285" i="28"/>
  <c r="L285" i="28"/>
  <c r="N285" i="28" s="1"/>
  <c r="M285" i="28"/>
  <c r="J286" i="28"/>
  <c r="K286" i="28"/>
  <c r="L286" i="28"/>
  <c r="M286" i="28"/>
  <c r="N286" i="28"/>
  <c r="J287" i="28"/>
  <c r="K287" i="28"/>
  <c r="L287" i="28"/>
  <c r="M287" i="28"/>
  <c r="N287" i="28"/>
  <c r="J288" i="28"/>
  <c r="K288" i="28"/>
  <c r="L288" i="28"/>
  <c r="M288" i="28"/>
  <c r="N288" i="28" s="1"/>
  <c r="J289" i="28"/>
  <c r="K289" i="28"/>
  <c r="L289" i="28"/>
  <c r="M289" i="28"/>
  <c r="N289" i="28"/>
  <c r="J290" i="28"/>
  <c r="K290" i="28"/>
  <c r="L290" i="28"/>
  <c r="N290" i="28" s="1"/>
  <c r="M290" i="28"/>
  <c r="J291" i="28"/>
  <c r="K291" i="28"/>
  <c r="L291" i="28"/>
  <c r="M291" i="28"/>
  <c r="N291" i="28" s="1"/>
  <c r="J292" i="28"/>
  <c r="K292" i="28"/>
  <c r="L292" i="28"/>
  <c r="M292" i="28"/>
  <c r="N292" i="28"/>
  <c r="J293" i="28"/>
  <c r="K293" i="28"/>
  <c r="L293" i="28"/>
  <c r="M293" i="28"/>
  <c r="N293" i="28"/>
  <c r="J294" i="28"/>
  <c r="K294" i="28"/>
  <c r="L294" i="28"/>
  <c r="M294" i="28"/>
  <c r="N294" i="28"/>
  <c r="J295" i="28"/>
  <c r="K295" i="28"/>
  <c r="L295" i="28"/>
  <c r="N295" i="28" s="1"/>
  <c r="M295" i="28"/>
  <c r="J296" i="28"/>
  <c r="K296" i="28"/>
  <c r="L296" i="28"/>
  <c r="M296" i="28"/>
  <c r="N296" i="28"/>
  <c r="J297" i="28"/>
  <c r="K297" i="28"/>
  <c r="L297" i="28"/>
  <c r="M297" i="28"/>
  <c r="N297" i="28"/>
  <c r="J298" i="28"/>
  <c r="K298" i="28"/>
  <c r="L298" i="28"/>
  <c r="M298" i="28"/>
  <c r="N298" i="28"/>
  <c r="J299" i="28"/>
  <c r="K299" i="28"/>
  <c r="L299" i="28"/>
  <c r="M299" i="28"/>
  <c r="N299" i="28"/>
  <c r="J300" i="28"/>
  <c r="K300" i="28"/>
  <c r="L300" i="28"/>
  <c r="N300" i="28" s="1"/>
  <c r="M300" i="28"/>
  <c r="J301" i="28"/>
  <c r="K301" i="28"/>
  <c r="L301" i="28"/>
  <c r="N301" i="28" s="1"/>
  <c r="M301" i="28"/>
  <c r="J302" i="28"/>
  <c r="K302" i="28"/>
  <c r="L302" i="28"/>
  <c r="M302" i="28"/>
  <c r="N302" i="28"/>
  <c r="J303" i="28"/>
  <c r="K303" i="28"/>
  <c r="L303" i="28"/>
  <c r="N303" i="28" s="1"/>
  <c r="M303" i="28"/>
  <c r="J304" i="28"/>
  <c r="K304" i="28"/>
  <c r="L304" i="28"/>
  <c r="N304" i="28" s="1"/>
  <c r="M304" i="28"/>
  <c r="J305" i="28"/>
  <c r="K305" i="28"/>
  <c r="L305" i="28"/>
  <c r="N305" i="28" s="1"/>
  <c r="M305" i="28"/>
  <c r="J306" i="28"/>
  <c r="K306" i="28"/>
  <c r="L306" i="28"/>
  <c r="N306" i="28" s="1"/>
  <c r="M306" i="28"/>
  <c r="J307" i="28"/>
  <c r="K307" i="28"/>
  <c r="L307" i="28"/>
  <c r="M307" i="28"/>
  <c r="N307" i="28"/>
  <c r="J308" i="28"/>
  <c r="K308" i="28"/>
  <c r="L308" i="28"/>
  <c r="N308" i="28" s="1"/>
  <c r="M308" i="28"/>
  <c r="J309" i="28"/>
  <c r="K309" i="28"/>
  <c r="L309" i="28"/>
  <c r="N309" i="28" s="1"/>
  <c r="M309" i="28"/>
  <c r="J310" i="28"/>
  <c r="K310" i="28"/>
  <c r="L310" i="28"/>
  <c r="M310" i="28"/>
  <c r="N310" i="28"/>
  <c r="J311" i="28"/>
  <c r="K311" i="28"/>
  <c r="L311" i="28"/>
  <c r="M311" i="28"/>
  <c r="N311" i="28"/>
  <c r="J312" i="28"/>
  <c r="K312" i="28"/>
  <c r="L312" i="28"/>
  <c r="M312" i="28"/>
  <c r="N312" i="28" s="1"/>
  <c r="J313" i="28"/>
  <c r="K313" i="28"/>
  <c r="L313" i="28"/>
  <c r="M313" i="28"/>
  <c r="N313" i="28"/>
  <c r="J314" i="28"/>
  <c r="K314" i="28"/>
  <c r="L314" i="28"/>
  <c r="N314" i="28" s="1"/>
  <c r="M314" i="28"/>
  <c r="J315" i="28"/>
  <c r="K315" i="28"/>
  <c r="L315" i="28"/>
  <c r="M315" i="28"/>
  <c r="N315" i="28" s="1"/>
  <c r="J316" i="28"/>
  <c r="K316" i="28"/>
  <c r="L316" i="28"/>
  <c r="M316" i="28"/>
  <c r="N316" i="28"/>
  <c r="J317" i="28"/>
  <c r="K317" i="28"/>
  <c r="L317" i="28"/>
  <c r="M317" i="28"/>
  <c r="N317" i="28"/>
  <c r="J318" i="28"/>
  <c r="K318" i="28"/>
  <c r="L318" i="28"/>
  <c r="M318" i="28"/>
  <c r="N318" i="28"/>
  <c r="J319" i="28"/>
  <c r="K319" i="28"/>
  <c r="L319" i="28"/>
  <c r="N319" i="28" s="1"/>
  <c r="M319" i="28"/>
  <c r="J320" i="28"/>
  <c r="K320" i="28"/>
  <c r="L320" i="28"/>
  <c r="M320" i="28"/>
  <c r="N320" i="28"/>
  <c r="J321" i="28"/>
  <c r="K321" i="28"/>
  <c r="L321" i="28"/>
  <c r="M321" i="28"/>
  <c r="N321" i="28"/>
  <c r="J322" i="28"/>
  <c r="K322" i="28"/>
  <c r="L322" i="28"/>
  <c r="M322" i="28"/>
  <c r="N322" i="28"/>
  <c r="J323" i="28"/>
  <c r="K323" i="28"/>
  <c r="L323" i="28"/>
  <c r="M323" i="28"/>
  <c r="N323" i="28"/>
  <c r="J324" i="28"/>
  <c r="K324" i="28"/>
  <c r="L324" i="28"/>
  <c r="N324" i="28" s="1"/>
  <c r="M324" i="28"/>
  <c r="J325" i="28"/>
  <c r="K325" i="28"/>
  <c r="L325" i="28"/>
  <c r="N325" i="28" s="1"/>
  <c r="M325" i="28"/>
  <c r="J326" i="28"/>
  <c r="K326" i="28"/>
  <c r="L326" i="28"/>
  <c r="M326" i="28"/>
  <c r="N326" i="28"/>
  <c r="J327" i="28"/>
  <c r="K327" i="28"/>
  <c r="L327" i="28"/>
  <c r="N327" i="28" s="1"/>
  <c r="M327" i="28"/>
  <c r="J328" i="28"/>
  <c r="K328" i="28"/>
  <c r="L328" i="28"/>
  <c r="N328" i="28" s="1"/>
  <c r="M328" i="28"/>
  <c r="J329" i="28"/>
  <c r="K329" i="28"/>
  <c r="L329" i="28"/>
  <c r="N329" i="28" s="1"/>
  <c r="M329" i="28"/>
  <c r="J330" i="28"/>
  <c r="K330" i="28"/>
  <c r="L330" i="28"/>
  <c r="N330" i="28" s="1"/>
  <c r="M330" i="28"/>
  <c r="J331" i="28"/>
  <c r="K331" i="28"/>
  <c r="L331" i="28"/>
  <c r="M331" i="28"/>
  <c r="N331" i="28"/>
  <c r="J332" i="28"/>
  <c r="K332" i="28"/>
  <c r="L332" i="28"/>
  <c r="N332" i="28" s="1"/>
  <c r="M332" i="28"/>
  <c r="J333" i="28"/>
  <c r="K333" i="28"/>
  <c r="L333" i="28"/>
  <c r="N333" i="28" s="1"/>
  <c r="M333" i="28"/>
  <c r="J334" i="28"/>
  <c r="K334" i="28"/>
  <c r="L334" i="28"/>
  <c r="M334" i="28"/>
  <c r="N334" i="28"/>
  <c r="J335" i="28"/>
  <c r="K335" i="28"/>
  <c r="L335" i="28"/>
  <c r="M335" i="28"/>
  <c r="N335" i="28"/>
  <c r="J336" i="28"/>
  <c r="K336" i="28"/>
  <c r="L336" i="28"/>
  <c r="M336" i="28"/>
  <c r="N336" i="28" s="1"/>
  <c r="J337" i="28"/>
  <c r="K337" i="28"/>
  <c r="L337" i="28"/>
  <c r="M337" i="28"/>
  <c r="N337" i="28"/>
  <c r="J338" i="28"/>
  <c r="K338" i="28"/>
  <c r="L338" i="28"/>
  <c r="N338" i="28" s="1"/>
  <c r="M338" i="28"/>
  <c r="J339" i="28"/>
  <c r="K339" i="28"/>
  <c r="L339" i="28"/>
  <c r="M339" i="28"/>
  <c r="N339" i="28" s="1"/>
  <c r="J340" i="28"/>
  <c r="K340" i="28"/>
  <c r="L340" i="28"/>
  <c r="M340" i="28"/>
  <c r="N340" i="28"/>
  <c r="J341" i="28"/>
  <c r="K341" i="28"/>
  <c r="L341" i="28"/>
  <c r="M341" i="28"/>
  <c r="N341" i="28"/>
  <c r="J342" i="28"/>
  <c r="K342" i="28"/>
  <c r="L342" i="28"/>
  <c r="M342" i="28"/>
  <c r="N342" i="28"/>
  <c r="J1692" i="57"/>
  <c r="K1692" i="57"/>
  <c r="L1692" i="57"/>
  <c r="N1692" i="57" s="1"/>
  <c r="M1692" i="57"/>
  <c r="J1693" i="57"/>
  <c r="K1693" i="57"/>
  <c r="L1693" i="57"/>
  <c r="N1693" i="57" s="1"/>
  <c r="M1693" i="57"/>
  <c r="J1694" i="57"/>
  <c r="K1694" i="57"/>
  <c r="L1694" i="57"/>
  <c r="N1694" i="57" s="1"/>
  <c r="M1694" i="57"/>
  <c r="J1695" i="57"/>
  <c r="K1695" i="57"/>
  <c r="L1695" i="57"/>
  <c r="M1695" i="57"/>
  <c r="N1695" i="57" s="1"/>
  <c r="J1696" i="57"/>
  <c r="K1696" i="57"/>
  <c r="L1696" i="57"/>
  <c r="N1696" i="57" s="1"/>
  <c r="M1696" i="57"/>
  <c r="J1697" i="57"/>
  <c r="K1697" i="57"/>
  <c r="L1697" i="57"/>
  <c r="N1697" i="57" s="1"/>
  <c r="M1697" i="57"/>
  <c r="J1698" i="57"/>
  <c r="K1698" i="57"/>
  <c r="L1698" i="57"/>
  <c r="N1698" i="57" s="1"/>
  <c r="M1698" i="57"/>
  <c r="J1699" i="57"/>
  <c r="K1699" i="57"/>
  <c r="L1699" i="57"/>
  <c r="N1699" i="57" s="1"/>
  <c r="M1699" i="57"/>
  <c r="J1700" i="57"/>
  <c r="K1700" i="57"/>
  <c r="L1700" i="57"/>
  <c r="N1700" i="57" s="1"/>
  <c r="M1700" i="57"/>
  <c r="J1701" i="57"/>
  <c r="K1701" i="57"/>
  <c r="L1701" i="57"/>
  <c r="N1701" i="57" s="1"/>
  <c r="M1701" i="57"/>
  <c r="J1702" i="57"/>
  <c r="K1702" i="57"/>
  <c r="L1702" i="57"/>
  <c r="N1702" i="57" s="1"/>
  <c r="M1702" i="57"/>
  <c r="J1703" i="57"/>
  <c r="K1703" i="57"/>
  <c r="L1703" i="57"/>
  <c r="M1703" i="57"/>
  <c r="N1703" i="57"/>
  <c r="J1704" i="57"/>
  <c r="K1704" i="57"/>
  <c r="L1704" i="57"/>
  <c r="N1704" i="57" s="1"/>
  <c r="M1704" i="57"/>
  <c r="J1705" i="57"/>
  <c r="K1705" i="57"/>
  <c r="L1705" i="57"/>
  <c r="N1705" i="57" s="1"/>
  <c r="M1705" i="57"/>
  <c r="J1706" i="57"/>
  <c r="K1706" i="57"/>
  <c r="L1706" i="57"/>
  <c r="M1706" i="57"/>
  <c r="N1706" i="57"/>
  <c r="J1707" i="57"/>
  <c r="K1707" i="57"/>
  <c r="L1707" i="57"/>
  <c r="N1707" i="57" s="1"/>
  <c r="M1707" i="57"/>
  <c r="J1708" i="57"/>
  <c r="K1708" i="57"/>
  <c r="L1708" i="57"/>
  <c r="M1708" i="57"/>
  <c r="N1708" i="57" s="1"/>
  <c r="J1709" i="57"/>
  <c r="K1709" i="57"/>
  <c r="L1709" i="57"/>
  <c r="M1709" i="57"/>
  <c r="N1709" i="57" s="1"/>
  <c r="J1710" i="57"/>
  <c r="K1710" i="57"/>
  <c r="L1710" i="57"/>
  <c r="M1710" i="57"/>
  <c r="N1710" i="57" s="1"/>
  <c r="J1711" i="57"/>
  <c r="K1711" i="57"/>
  <c r="L1711" i="57"/>
  <c r="M1711" i="57"/>
  <c r="N1711" i="57" s="1"/>
  <c r="J1712" i="57"/>
  <c r="K1712" i="57"/>
  <c r="L1712" i="57"/>
  <c r="N1712" i="57" s="1"/>
  <c r="M1712" i="57"/>
  <c r="J1713" i="57"/>
  <c r="K1713" i="57"/>
  <c r="L1713" i="57"/>
  <c r="N1713" i="57" s="1"/>
  <c r="M1713" i="57"/>
  <c r="J1714" i="57"/>
  <c r="K1714" i="57"/>
  <c r="L1714" i="57"/>
  <c r="M1714" i="57"/>
  <c r="N1714" i="57"/>
  <c r="J1715" i="57"/>
  <c r="K1715" i="57"/>
  <c r="L1715" i="57"/>
  <c r="N1715" i="57" s="1"/>
  <c r="M1715" i="57"/>
  <c r="J1716" i="57"/>
  <c r="K1716" i="57"/>
  <c r="L1716" i="57"/>
  <c r="N1716" i="57" s="1"/>
  <c r="M1716" i="57"/>
  <c r="J1717" i="57"/>
  <c r="K1717" i="57"/>
  <c r="L1717" i="57"/>
  <c r="N1717" i="57" s="1"/>
  <c r="M1717" i="57"/>
  <c r="J1718" i="57"/>
  <c r="K1718" i="57"/>
  <c r="L1718" i="57"/>
  <c r="M1718" i="57"/>
  <c r="N1718" i="57"/>
  <c r="J1719" i="57"/>
  <c r="K1719" i="57"/>
  <c r="L1719" i="57"/>
  <c r="M1719" i="57"/>
  <c r="N1719" i="57" s="1"/>
  <c r="J1720" i="57"/>
  <c r="K1720" i="57"/>
  <c r="L1720" i="57"/>
  <c r="N1720" i="57" s="1"/>
  <c r="M1720" i="57"/>
  <c r="J1721" i="57"/>
  <c r="K1721" i="57"/>
  <c r="L1721" i="57"/>
  <c r="N1721" i="57" s="1"/>
  <c r="M1721" i="57"/>
  <c r="J1722" i="57"/>
  <c r="K1722" i="57"/>
  <c r="L1722" i="57"/>
  <c r="N1722" i="57" s="1"/>
  <c r="M1722" i="57"/>
  <c r="J1723" i="57"/>
  <c r="K1723" i="57"/>
  <c r="L1723" i="57"/>
  <c r="N1723" i="57" s="1"/>
  <c r="M1723" i="57"/>
  <c r="J1724" i="57"/>
  <c r="K1724" i="57"/>
  <c r="L1724" i="57"/>
  <c r="N1724" i="57" s="1"/>
  <c r="M1724" i="57"/>
  <c r="J1725" i="57"/>
  <c r="K1725" i="57"/>
  <c r="L1725" i="57"/>
  <c r="N1725" i="57" s="1"/>
  <c r="M1725" i="57"/>
  <c r="J1726" i="57"/>
  <c r="K1726" i="57"/>
  <c r="L1726" i="57"/>
  <c r="N1726" i="57" s="1"/>
  <c r="M1726" i="57"/>
  <c r="J1727" i="57"/>
  <c r="K1727" i="57"/>
  <c r="L1727" i="57"/>
  <c r="M1727" i="57"/>
  <c r="N1727" i="57"/>
  <c r="J1728" i="57"/>
  <c r="K1728" i="57"/>
  <c r="L1728" i="57"/>
  <c r="N1728" i="57" s="1"/>
  <c r="M1728" i="57"/>
  <c r="J1729" i="57"/>
  <c r="K1729" i="57"/>
  <c r="L1729" i="57"/>
  <c r="N1729" i="57" s="1"/>
  <c r="M1729" i="57"/>
  <c r="J1730" i="57"/>
  <c r="K1730" i="57"/>
  <c r="L1730" i="57"/>
  <c r="M1730" i="57"/>
  <c r="N1730" i="57"/>
  <c r="J1731" i="57"/>
  <c r="K1731" i="57"/>
  <c r="L1731" i="57"/>
  <c r="N1731" i="57" s="1"/>
  <c r="M1731" i="57"/>
  <c r="J1732" i="57"/>
  <c r="K1732" i="57"/>
  <c r="L1732" i="57"/>
  <c r="N1732" i="57" s="1"/>
  <c r="M1732" i="57"/>
  <c r="J1733" i="57"/>
  <c r="K1733" i="57"/>
  <c r="L1733" i="57"/>
  <c r="M1733" i="57"/>
  <c r="N1733" i="57" s="1"/>
  <c r="J1734" i="57"/>
  <c r="K1734" i="57"/>
  <c r="L1734" i="57"/>
  <c r="M1734" i="57"/>
  <c r="N1734" i="57" s="1"/>
  <c r="J1735" i="57"/>
  <c r="K1735" i="57"/>
  <c r="L1735" i="57"/>
  <c r="N1735" i="57" s="1"/>
  <c r="M1735" i="57"/>
  <c r="J1736" i="57"/>
  <c r="K1736" i="57"/>
  <c r="L1736" i="57"/>
  <c r="N1736" i="57" s="1"/>
  <c r="M1736" i="57"/>
  <c r="J1737" i="57"/>
  <c r="K1737" i="57"/>
  <c r="L1737" i="57"/>
  <c r="N1737" i="57" s="1"/>
  <c r="M1737" i="57"/>
  <c r="J1738" i="57"/>
  <c r="K1738" i="57"/>
  <c r="L1738" i="57"/>
  <c r="M1738" i="57"/>
  <c r="N1738" i="57"/>
  <c r="J1739" i="57"/>
  <c r="K1739" i="57"/>
  <c r="L1739" i="57"/>
  <c r="N1739" i="57" s="1"/>
  <c r="M1739" i="57"/>
  <c r="J1740" i="57"/>
  <c r="K1740" i="57"/>
  <c r="L1740" i="57"/>
  <c r="N1740" i="57" s="1"/>
  <c r="M1740" i="57"/>
  <c r="J1741" i="57"/>
  <c r="K1741" i="57"/>
  <c r="L1741" i="57"/>
  <c r="N1741" i="57" s="1"/>
  <c r="M1741" i="57"/>
  <c r="J1742" i="57"/>
  <c r="K1742" i="57"/>
  <c r="L1742" i="57"/>
  <c r="M1742" i="57"/>
  <c r="N1742" i="57"/>
  <c r="J1743" i="57"/>
  <c r="K1743" i="57"/>
  <c r="L1743" i="57"/>
  <c r="M1743" i="57"/>
  <c r="N1743" i="57" s="1"/>
  <c r="J1744" i="57"/>
  <c r="K1744" i="57"/>
  <c r="L1744" i="57"/>
  <c r="N1744" i="57" s="1"/>
  <c r="M1744" i="57"/>
  <c r="J1745" i="57"/>
  <c r="K1745" i="57"/>
  <c r="L1745" i="57"/>
  <c r="N1745" i="57" s="1"/>
  <c r="M1745" i="57"/>
  <c r="J1746" i="57"/>
  <c r="K1746" i="57"/>
  <c r="L1746" i="57"/>
  <c r="N1746" i="57" s="1"/>
  <c r="M1746" i="57"/>
  <c r="J1747" i="57"/>
  <c r="K1747" i="57"/>
  <c r="L1747" i="57"/>
  <c r="N1747" i="57" s="1"/>
  <c r="M1747" i="57"/>
  <c r="J1748" i="57"/>
  <c r="K1748" i="57"/>
  <c r="L1748" i="57"/>
  <c r="N1748" i="57" s="1"/>
  <c r="M1748" i="57"/>
  <c r="J1749" i="57"/>
  <c r="K1749" i="57"/>
  <c r="L1749" i="57"/>
  <c r="N1749" i="57" s="1"/>
  <c r="M1749" i="57"/>
  <c r="J1750" i="57"/>
  <c r="K1750" i="57"/>
  <c r="L1750" i="57"/>
  <c r="N1750" i="57" s="1"/>
  <c r="M1750" i="57"/>
  <c r="J1751" i="57"/>
  <c r="K1751" i="57"/>
  <c r="L1751" i="57"/>
  <c r="M1751" i="57"/>
  <c r="N1751" i="57" s="1"/>
  <c r="J1752" i="57"/>
  <c r="K1752" i="57"/>
  <c r="L1752" i="57"/>
  <c r="N1752" i="57" s="1"/>
  <c r="M1752" i="57"/>
  <c r="J1753" i="57"/>
  <c r="K1753" i="57"/>
  <c r="L1753" i="57"/>
  <c r="N1753" i="57" s="1"/>
  <c r="M1753" i="57"/>
  <c r="J1754" i="57"/>
  <c r="K1754" i="57"/>
  <c r="L1754" i="57"/>
  <c r="M1754" i="57"/>
  <c r="N1754" i="57"/>
  <c r="J1755" i="57"/>
  <c r="K1755" i="57"/>
  <c r="L1755" i="57"/>
  <c r="N1755" i="57" s="1"/>
  <c r="M1755" i="57"/>
  <c r="J1756" i="57"/>
  <c r="K1756" i="57"/>
  <c r="L1756" i="57"/>
  <c r="N1756" i="57" s="1"/>
  <c r="M1756" i="57"/>
  <c r="J1757" i="57"/>
  <c r="K1757" i="57"/>
  <c r="L1757" i="57"/>
  <c r="N1757" i="57" s="1"/>
  <c r="M1757" i="57"/>
  <c r="J1758" i="57"/>
  <c r="K1758" i="57"/>
  <c r="L1758" i="57"/>
  <c r="M1758" i="57"/>
  <c r="N1758" i="57" s="1"/>
  <c r="J1759" i="57"/>
  <c r="K1759" i="57"/>
  <c r="L1759" i="57"/>
  <c r="N1759" i="57" s="1"/>
  <c r="M1759" i="57"/>
  <c r="J1760" i="57"/>
  <c r="K1760" i="57"/>
  <c r="L1760" i="57"/>
  <c r="M1760" i="57"/>
  <c r="N1760" i="57" s="1"/>
  <c r="J1761" i="57"/>
  <c r="K1761" i="57"/>
  <c r="L1761" i="57"/>
  <c r="N1761" i="57" s="1"/>
  <c r="M1761" i="57"/>
  <c r="J1762" i="57"/>
  <c r="K1762" i="57"/>
  <c r="L1762" i="57"/>
  <c r="M1762" i="57"/>
  <c r="N1762" i="57"/>
  <c r="J1763" i="57"/>
  <c r="K1763" i="57"/>
  <c r="L1763" i="57"/>
  <c r="N1763" i="57" s="1"/>
  <c r="M1763" i="57"/>
  <c r="J1764" i="57"/>
  <c r="K1764" i="57"/>
  <c r="L1764" i="57"/>
  <c r="N1764" i="57" s="1"/>
  <c r="M1764" i="57"/>
  <c r="J1765" i="57"/>
  <c r="K1765" i="57"/>
  <c r="L1765" i="57"/>
  <c r="N1765" i="57" s="1"/>
  <c r="M1765" i="57"/>
  <c r="J1766" i="57"/>
  <c r="K1766" i="57"/>
  <c r="L1766" i="57"/>
  <c r="M1766" i="57"/>
  <c r="N1766" i="57"/>
  <c r="J1767" i="57"/>
  <c r="K1767" i="57"/>
  <c r="L1767" i="57"/>
  <c r="M1767" i="57"/>
  <c r="N1767" i="57"/>
  <c r="J1768" i="57"/>
  <c r="K1768" i="57"/>
  <c r="L1768" i="57"/>
  <c r="N1768" i="57" s="1"/>
  <c r="M1768" i="57"/>
  <c r="J1769" i="57"/>
  <c r="K1769" i="57"/>
  <c r="L1769" i="57"/>
  <c r="N1769" i="57" s="1"/>
  <c r="M1769" i="57"/>
  <c r="J1770" i="57"/>
  <c r="K1770" i="57"/>
  <c r="L1770" i="57"/>
  <c r="M1770" i="57"/>
  <c r="N1770" i="57"/>
  <c r="J1771" i="57"/>
  <c r="K1771" i="57"/>
  <c r="L1771" i="57"/>
  <c r="N1771" i="57" s="1"/>
  <c r="M1771" i="57"/>
  <c r="J1772" i="57"/>
  <c r="K1772" i="57"/>
  <c r="L1772" i="57"/>
  <c r="N1772" i="57" s="1"/>
  <c r="M1772" i="57"/>
  <c r="J1773" i="57"/>
  <c r="K1773" i="57"/>
  <c r="L1773" i="57"/>
  <c r="M1773" i="57"/>
  <c r="N1773" i="57"/>
  <c r="J1774" i="57"/>
  <c r="K1774" i="57"/>
  <c r="L1774" i="57"/>
  <c r="N1774" i="57" s="1"/>
  <c r="M1774" i="57"/>
  <c r="J1775" i="57"/>
  <c r="K1775" i="57"/>
  <c r="L1775" i="57"/>
  <c r="M1775" i="57"/>
  <c r="N1775" i="57" s="1"/>
  <c r="J1776" i="57"/>
  <c r="K1776" i="57"/>
  <c r="L1776" i="57"/>
  <c r="N1776" i="57" s="1"/>
  <c r="M1776" i="57"/>
  <c r="J1594" i="57"/>
  <c r="K1594" i="57"/>
  <c r="L1594" i="57"/>
  <c r="N1594" i="57" s="1"/>
  <c r="M1594" i="57"/>
  <c r="J1595" i="57"/>
  <c r="K1595" i="57"/>
  <c r="L1595" i="57"/>
  <c r="N1595" i="57" s="1"/>
  <c r="M1595" i="57"/>
  <c r="J1596" i="57"/>
  <c r="K1596" i="57"/>
  <c r="L1596" i="57"/>
  <c r="N1596" i="57" s="1"/>
  <c r="M1596" i="57"/>
  <c r="J1597" i="57"/>
  <c r="K1597" i="57"/>
  <c r="L1597" i="57"/>
  <c r="N1597" i="57" s="1"/>
  <c r="M1597" i="57"/>
  <c r="J1598" i="57"/>
  <c r="K1598" i="57"/>
  <c r="L1598" i="57"/>
  <c r="M1598" i="57"/>
  <c r="N1598" i="57" s="1"/>
  <c r="J1599" i="57"/>
  <c r="K1599" i="57"/>
  <c r="L1599" i="57"/>
  <c r="N1599" i="57" s="1"/>
  <c r="M1599" i="57"/>
  <c r="J1600" i="57"/>
  <c r="K1600" i="57"/>
  <c r="L1600" i="57"/>
  <c r="M1600" i="57"/>
  <c r="N1600" i="57"/>
  <c r="J1601" i="57"/>
  <c r="K1601" i="57"/>
  <c r="L1601" i="57"/>
  <c r="N1601" i="57" s="1"/>
  <c r="M1601" i="57"/>
  <c r="J1602" i="57"/>
  <c r="K1602" i="57"/>
  <c r="L1602" i="57"/>
  <c r="N1602" i="57" s="1"/>
  <c r="M1602" i="57"/>
  <c r="J1603" i="57"/>
  <c r="K1603" i="57"/>
  <c r="L1603" i="57"/>
  <c r="N1603" i="57" s="1"/>
  <c r="M1603" i="57"/>
  <c r="J1604" i="57"/>
  <c r="K1604" i="57"/>
  <c r="L1604" i="57"/>
  <c r="N1604" i="57" s="1"/>
  <c r="M1604" i="57"/>
  <c r="J1605" i="57"/>
  <c r="K1605" i="57"/>
  <c r="L1605" i="57"/>
  <c r="M1605" i="57"/>
  <c r="N1605" i="57" s="1"/>
  <c r="J1606" i="57"/>
  <c r="K1606" i="57"/>
  <c r="L1606" i="57"/>
  <c r="M1606" i="57"/>
  <c r="N1606" i="57"/>
  <c r="J1607" i="57"/>
  <c r="K1607" i="57"/>
  <c r="L1607" i="57"/>
  <c r="M1607" i="57"/>
  <c r="N1607" i="57"/>
  <c r="J1608" i="57"/>
  <c r="K1608" i="57"/>
  <c r="L1608" i="57"/>
  <c r="M1608" i="57"/>
  <c r="N1608" i="57"/>
  <c r="J1609" i="57"/>
  <c r="K1609" i="57"/>
  <c r="L1609" i="57"/>
  <c r="N1609" i="57" s="1"/>
  <c r="M1609" i="57"/>
  <c r="J1610" i="57"/>
  <c r="K1610" i="57"/>
  <c r="L1610" i="57"/>
  <c r="M1610" i="57"/>
  <c r="N1610" i="57"/>
  <c r="J1611" i="57"/>
  <c r="K1611" i="57"/>
  <c r="L1611" i="57"/>
  <c r="M1611" i="57"/>
  <c r="N1611" i="57" s="1"/>
  <c r="J1612" i="57"/>
  <c r="K1612" i="57"/>
  <c r="L1612" i="57"/>
  <c r="N1612" i="57" s="1"/>
  <c r="M1612" i="57"/>
  <c r="J1613" i="57"/>
  <c r="K1613" i="57"/>
  <c r="L1613" i="57"/>
  <c r="N1613" i="57" s="1"/>
  <c r="M1613" i="57"/>
  <c r="J1614" i="57"/>
  <c r="K1614" i="57"/>
  <c r="L1614" i="57"/>
  <c r="N1614" i="57" s="1"/>
  <c r="M1614" i="57"/>
  <c r="J1615" i="57"/>
  <c r="K1615" i="57"/>
  <c r="L1615" i="57"/>
  <c r="M1615" i="57"/>
  <c r="N1615" i="57" s="1"/>
  <c r="J1616" i="57"/>
  <c r="K1616" i="57"/>
  <c r="L1616" i="57"/>
  <c r="M1616" i="57"/>
  <c r="N1616" i="57"/>
  <c r="J1617" i="57"/>
  <c r="K1617" i="57"/>
  <c r="L1617" i="57"/>
  <c r="M1617" i="57"/>
  <c r="N1617" i="57"/>
  <c r="J1618" i="57"/>
  <c r="K1618" i="57"/>
  <c r="L1618" i="57"/>
  <c r="N1618" i="57" s="1"/>
  <c r="M1618" i="57"/>
  <c r="J1619" i="57"/>
  <c r="K1619" i="57"/>
  <c r="L1619" i="57"/>
  <c r="N1619" i="57" s="1"/>
  <c r="M1619" i="57"/>
  <c r="J1620" i="57"/>
  <c r="K1620" i="57"/>
  <c r="L1620" i="57"/>
  <c r="N1620" i="57" s="1"/>
  <c r="M1620" i="57"/>
  <c r="J1621" i="57"/>
  <c r="K1621" i="57"/>
  <c r="L1621" i="57"/>
  <c r="N1621" i="57" s="1"/>
  <c r="M1621" i="57"/>
  <c r="J1622" i="57"/>
  <c r="K1622" i="57"/>
  <c r="L1622" i="57"/>
  <c r="M1622" i="57"/>
  <c r="N1622" i="57" s="1"/>
  <c r="J1623" i="57"/>
  <c r="K1623" i="57"/>
  <c r="L1623" i="57"/>
  <c r="N1623" i="57" s="1"/>
  <c r="M1623" i="57"/>
  <c r="J1624" i="57"/>
  <c r="K1624" i="57"/>
  <c r="L1624" i="57"/>
  <c r="M1624" i="57"/>
  <c r="N1624" i="57"/>
  <c r="J1625" i="57"/>
  <c r="K1625" i="57"/>
  <c r="L1625" i="57"/>
  <c r="N1625" i="57" s="1"/>
  <c r="M1625" i="57"/>
  <c r="J1626" i="57"/>
  <c r="K1626" i="57"/>
  <c r="L1626" i="57"/>
  <c r="N1626" i="57" s="1"/>
  <c r="M1626" i="57"/>
  <c r="J1627" i="57"/>
  <c r="K1627" i="57"/>
  <c r="L1627" i="57"/>
  <c r="N1627" i="57" s="1"/>
  <c r="M1627" i="57"/>
  <c r="J1628" i="57"/>
  <c r="K1628" i="57"/>
  <c r="L1628" i="57"/>
  <c r="N1628" i="57" s="1"/>
  <c r="M1628" i="57"/>
  <c r="J1629" i="57"/>
  <c r="K1629" i="57"/>
  <c r="L1629" i="57"/>
  <c r="M1629" i="57"/>
  <c r="N1629" i="57" s="1"/>
  <c r="J1630" i="57"/>
  <c r="K1630" i="57"/>
  <c r="L1630" i="57"/>
  <c r="N1630" i="57" s="1"/>
  <c r="M1630" i="57"/>
  <c r="J1631" i="57"/>
  <c r="K1631" i="57"/>
  <c r="L1631" i="57"/>
  <c r="M1631" i="57"/>
  <c r="N1631" i="57"/>
  <c r="J1632" i="57"/>
  <c r="K1632" i="57"/>
  <c r="L1632" i="57"/>
  <c r="M1632" i="57"/>
  <c r="N1632" i="57"/>
  <c r="J1633" i="57"/>
  <c r="K1633" i="57"/>
  <c r="L1633" i="57"/>
  <c r="N1633" i="57" s="1"/>
  <c r="M1633" i="57"/>
  <c r="J1634" i="57"/>
  <c r="K1634" i="57"/>
  <c r="L1634" i="57"/>
  <c r="N1634" i="57" s="1"/>
  <c r="M1634" i="57"/>
  <c r="J1635" i="57"/>
  <c r="K1635" i="57"/>
  <c r="L1635" i="57"/>
  <c r="M1635" i="57"/>
  <c r="N1635" i="57" s="1"/>
  <c r="J1517" i="57"/>
  <c r="K1517" i="57"/>
  <c r="L1517" i="57"/>
  <c r="N1517" i="57" s="1"/>
  <c r="M1517" i="57"/>
  <c r="J1518" i="57"/>
  <c r="K1518" i="57"/>
  <c r="L1518" i="57"/>
  <c r="N1518" i="57" s="1"/>
  <c r="M1518" i="57"/>
  <c r="J1519" i="57"/>
  <c r="K1519" i="57"/>
  <c r="L1519" i="57"/>
  <c r="N1519" i="57" s="1"/>
  <c r="M1519" i="57"/>
  <c r="J1520" i="57"/>
  <c r="K1520" i="57"/>
  <c r="L1520" i="57"/>
  <c r="N1520" i="57" s="1"/>
  <c r="M1520" i="57"/>
  <c r="J1521" i="57"/>
  <c r="K1521" i="57"/>
  <c r="L1521" i="57"/>
  <c r="N1521" i="57" s="1"/>
  <c r="M1521" i="57"/>
  <c r="J1522" i="57"/>
  <c r="K1522" i="57"/>
  <c r="L1522" i="57"/>
  <c r="M1522" i="57"/>
  <c r="N1522" i="57"/>
  <c r="J1523" i="57"/>
  <c r="K1523" i="57"/>
  <c r="L1523" i="57"/>
  <c r="N1523" i="57" s="1"/>
  <c r="M1523" i="57"/>
  <c r="J1524" i="57"/>
  <c r="K1524" i="57"/>
  <c r="L1524" i="57"/>
  <c r="N1524" i="57" s="1"/>
  <c r="M1524" i="57"/>
  <c r="J1525" i="57"/>
  <c r="K1525" i="57"/>
  <c r="L1525" i="57"/>
  <c r="N1525" i="57" s="1"/>
  <c r="M1525" i="57"/>
  <c r="J1526" i="57"/>
  <c r="K1526" i="57"/>
  <c r="L1526" i="57"/>
  <c r="N1526" i="57" s="1"/>
  <c r="M1526" i="57"/>
  <c r="J1527" i="57"/>
  <c r="K1527" i="57"/>
  <c r="L1527" i="57"/>
  <c r="M1527" i="57"/>
  <c r="N1527" i="57" s="1"/>
  <c r="J1528" i="57"/>
  <c r="K1528" i="57"/>
  <c r="L1528" i="57"/>
  <c r="M1528" i="57"/>
  <c r="N1528" i="57"/>
  <c r="J1529" i="57"/>
  <c r="K1529" i="57"/>
  <c r="L1529" i="57"/>
  <c r="M1529" i="57"/>
  <c r="N1529" i="57"/>
  <c r="J1530" i="57"/>
  <c r="K1530" i="57"/>
  <c r="L1530" i="57"/>
  <c r="M1530" i="57"/>
  <c r="N1530" i="57" s="1"/>
  <c r="J1531" i="57"/>
  <c r="K1531" i="57"/>
  <c r="L1531" i="57"/>
  <c r="M1531" i="57"/>
  <c r="N1531" i="57"/>
  <c r="J1532" i="57"/>
  <c r="K1532" i="57"/>
  <c r="L1532" i="57"/>
  <c r="N1532" i="57" s="1"/>
  <c r="M1532" i="57"/>
  <c r="J1533" i="57"/>
  <c r="K1533" i="57"/>
  <c r="L1533" i="57"/>
  <c r="N1533" i="57" s="1"/>
  <c r="M1533" i="57"/>
  <c r="J1534" i="57"/>
  <c r="K1534" i="57"/>
  <c r="L1534" i="57"/>
  <c r="M1534" i="57"/>
  <c r="N1534" i="57"/>
  <c r="J1535" i="57"/>
  <c r="K1535" i="57"/>
  <c r="L1535" i="57"/>
  <c r="N1535" i="57" s="1"/>
  <c r="M1535" i="57"/>
  <c r="J1536" i="57"/>
  <c r="K1536" i="57"/>
  <c r="L1536" i="57"/>
  <c r="N1536" i="57" s="1"/>
  <c r="M1536" i="57"/>
  <c r="J1537" i="57"/>
  <c r="K1537" i="57"/>
  <c r="L1537" i="57"/>
  <c r="M1537" i="57"/>
  <c r="N1537" i="57" s="1"/>
  <c r="J1538" i="57"/>
  <c r="K1538" i="57"/>
  <c r="L1538" i="57"/>
  <c r="N1538" i="57" s="1"/>
  <c r="M1538" i="57"/>
  <c r="J1539" i="57"/>
  <c r="K1539" i="57"/>
  <c r="L1539" i="57"/>
  <c r="M1539" i="57"/>
  <c r="N1539" i="57" s="1"/>
  <c r="J1540" i="57"/>
  <c r="K1540" i="57"/>
  <c r="L1540" i="57"/>
  <c r="M1540" i="57"/>
  <c r="N1540" i="57"/>
  <c r="J1541" i="57"/>
  <c r="K1541" i="57"/>
  <c r="L1541" i="57"/>
  <c r="N1541" i="57" s="1"/>
  <c r="M1541" i="57"/>
  <c r="J1542" i="57"/>
  <c r="K1542" i="57"/>
  <c r="L1542" i="57"/>
  <c r="N1542" i="57" s="1"/>
  <c r="M1542" i="57"/>
  <c r="J1543" i="57"/>
  <c r="K1543" i="57"/>
  <c r="L1543" i="57"/>
  <c r="N1543" i="57" s="1"/>
  <c r="M1543" i="57"/>
  <c r="J1544" i="57"/>
  <c r="K1544" i="57"/>
  <c r="L1544" i="57"/>
  <c r="N1544" i="57" s="1"/>
  <c r="M1544" i="57"/>
  <c r="J1309" i="57"/>
  <c r="K1309" i="57"/>
  <c r="L1309" i="57"/>
  <c r="N1309" i="57" s="1"/>
  <c r="M1309" i="57"/>
  <c r="J1310" i="57"/>
  <c r="K1310" i="57"/>
  <c r="L1310" i="57"/>
  <c r="N1310" i="57" s="1"/>
  <c r="M1310" i="57"/>
  <c r="J1311" i="57"/>
  <c r="K1311" i="57"/>
  <c r="L1311" i="57"/>
  <c r="N1311" i="57" s="1"/>
  <c r="M1311" i="57"/>
  <c r="J1312" i="57"/>
  <c r="K1312" i="57"/>
  <c r="L1312" i="57"/>
  <c r="N1312" i="57" s="1"/>
  <c r="M1312" i="57"/>
  <c r="J1313" i="57"/>
  <c r="K1313" i="57"/>
  <c r="L1313" i="57"/>
  <c r="M1313" i="57"/>
  <c r="N1313" i="57"/>
  <c r="J1314" i="57"/>
  <c r="K1314" i="57"/>
  <c r="L1314" i="57"/>
  <c r="N1314" i="57" s="1"/>
  <c r="M1314" i="57"/>
  <c r="J1315" i="57"/>
  <c r="K1315" i="57"/>
  <c r="L1315" i="57"/>
  <c r="N1315" i="57" s="1"/>
  <c r="M1315" i="57"/>
  <c r="J1316" i="57"/>
  <c r="K1316" i="57"/>
  <c r="L1316" i="57"/>
  <c r="N1316" i="57" s="1"/>
  <c r="M1316" i="57"/>
  <c r="J1317" i="57"/>
  <c r="K1317" i="57"/>
  <c r="L1317" i="57"/>
  <c r="N1317" i="57" s="1"/>
  <c r="M1317" i="57"/>
  <c r="J1318" i="57"/>
  <c r="K1318" i="57"/>
  <c r="L1318" i="57"/>
  <c r="M1318" i="57"/>
  <c r="N1318" i="57" s="1"/>
  <c r="J1319" i="57"/>
  <c r="K1319" i="57"/>
  <c r="L1319" i="57"/>
  <c r="N1319" i="57" s="1"/>
  <c r="M1319" i="57"/>
  <c r="J1320" i="57"/>
  <c r="K1320" i="57"/>
  <c r="L1320" i="57"/>
  <c r="M1320" i="57"/>
  <c r="N1320" i="57" s="1"/>
  <c r="J1321" i="57"/>
  <c r="K1321" i="57"/>
  <c r="L1321" i="57"/>
  <c r="N1321" i="57" s="1"/>
  <c r="M1321" i="57"/>
  <c r="J1322" i="57"/>
  <c r="K1322" i="57"/>
  <c r="L1322" i="57"/>
  <c r="M1322" i="57"/>
  <c r="N1322" i="57"/>
  <c r="J1323" i="57"/>
  <c r="K1323" i="57"/>
  <c r="L1323" i="57"/>
  <c r="N1323" i="57" s="1"/>
  <c r="M1323" i="57"/>
  <c r="J1324" i="57"/>
  <c r="K1324" i="57"/>
  <c r="L1324" i="57"/>
  <c r="N1324" i="57" s="1"/>
  <c r="M1324" i="57"/>
  <c r="J1325" i="57"/>
  <c r="K1325" i="57"/>
  <c r="L1325" i="57"/>
  <c r="M1325" i="57"/>
  <c r="N1325" i="57"/>
  <c r="J1326" i="57"/>
  <c r="K1326" i="57"/>
  <c r="L1326" i="57"/>
  <c r="N1326" i="57" s="1"/>
  <c r="M1326" i="57"/>
  <c r="J1327" i="57"/>
  <c r="K1327" i="57"/>
  <c r="L1327" i="57"/>
  <c r="N1327" i="57" s="1"/>
  <c r="M1327" i="57"/>
  <c r="J1328" i="57"/>
  <c r="K1328" i="57"/>
  <c r="L1328" i="57"/>
  <c r="M1328" i="57"/>
  <c r="N1328" i="57"/>
  <c r="J1329" i="57"/>
  <c r="K1329" i="57"/>
  <c r="L1329" i="57"/>
  <c r="N1329" i="57" s="1"/>
  <c r="M1329" i="57"/>
  <c r="J1330" i="57"/>
  <c r="K1330" i="57"/>
  <c r="L1330" i="57"/>
  <c r="M1330" i="57"/>
  <c r="N1330" i="57" s="1"/>
  <c r="J1331" i="57"/>
  <c r="K1331" i="57"/>
  <c r="L1331" i="57"/>
  <c r="N1331" i="57" s="1"/>
  <c r="M1331" i="57"/>
  <c r="J1332" i="57"/>
  <c r="K1332" i="57"/>
  <c r="L1332" i="57"/>
  <c r="N1332" i="57" s="1"/>
  <c r="M1332" i="57"/>
  <c r="J1333" i="57"/>
  <c r="K1333" i="57"/>
  <c r="L1333" i="57"/>
  <c r="M1333" i="57"/>
  <c r="N1333" i="57"/>
  <c r="J1334" i="57"/>
  <c r="K1334" i="57"/>
  <c r="L1334" i="57"/>
  <c r="N1334" i="57" s="1"/>
  <c r="M1334" i="57"/>
  <c r="J1335" i="57"/>
  <c r="K1335" i="57"/>
  <c r="L1335" i="57"/>
  <c r="N1335" i="57" s="1"/>
  <c r="M1335" i="57"/>
  <c r="J1336" i="57"/>
  <c r="K1336" i="57"/>
  <c r="L1336" i="57"/>
  <c r="N1336" i="57" s="1"/>
  <c r="M1336" i="57"/>
  <c r="J1337" i="57"/>
  <c r="K1337" i="57"/>
  <c r="L1337" i="57"/>
  <c r="N1337" i="57" s="1"/>
  <c r="M1337" i="57"/>
  <c r="J1338" i="57"/>
  <c r="K1338" i="57"/>
  <c r="L1338" i="57"/>
  <c r="M1338" i="57"/>
  <c r="N1338" i="57"/>
  <c r="J1339" i="57"/>
  <c r="K1339" i="57"/>
  <c r="L1339" i="57"/>
  <c r="N1339" i="57" s="1"/>
  <c r="M1339" i="57"/>
  <c r="J1340" i="57"/>
  <c r="K1340" i="57"/>
  <c r="L1340" i="57"/>
  <c r="N1340" i="57" s="1"/>
  <c r="M1340" i="57"/>
  <c r="J1341" i="57"/>
  <c r="K1341" i="57"/>
  <c r="L1341" i="57"/>
  <c r="N1341" i="57" s="1"/>
  <c r="M1341" i="57"/>
  <c r="J1342" i="57"/>
  <c r="K1342" i="57"/>
  <c r="L1342" i="57"/>
  <c r="N1342" i="57" s="1"/>
  <c r="M1342" i="57"/>
  <c r="J1343" i="57"/>
  <c r="K1343" i="57"/>
  <c r="L1343" i="57"/>
  <c r="N1343" i="57" s="1"/>
  <c r="M1343" i="57"/>
  <c r="J1344" i="57"/>
  <c r="K1344" i="57"/>
  <c r="L1344" i="57"/>
  <c r="M1344" i="57"/>
  <c r="N1344" i="57"/>
  <c r="J1345" i="57"/>
  <c r="K1345" i="57"/>
  <c r="L1345" i="57"/>
  <c r="N1345" i="57" s="1"/>
  <c r="M1345" i="57"/>
  <c r="J1346" i="57"/>
  <c r="K1346" i="57"/>
  <c r="L1346" i="57"/>
  <c r="M1346" i="57"/>
  <c r="N1346" i="57"/>
  <c r="J1347" i="57"/>
  <c r="K1347" i="57"/>
  <c r="L1347" i="57"/>
  <c r="N1347" i="57" s="1"/>
  <c r="M1347" i="57"/>
  <c r="J1348" i="57"/>
  <c r="K1348" i="57"/>
  <c r="L1348" i="57"/>
  <c r="N1348" i="57" s="1"/>
  <c r="M1348" i="57"/>
  <c r="J1349" i="57"/>
  <c r="K1349" i="57"/>
  <c r="L1349" i="57"/>
  <c r="M1349" i="57"/>
  <c r="N1349" i="57"/>
  <c r="J1350" i="57"/>
  <c r="K1350" i="57"/>
  <c r="L1350" i="57"/>
  <c r="N1350" i="57" s="1"/>
  <c r="M1350" i="57"/>
  <c r="J1351" i="57"/>
  <c r="K1351" i="57"/>
  <c r="L1351" i="57"/>
  <c r="M1351" i="57"/>
  <c r="N1351" i="57" s="1"/>
  <c r="J1352" i="57"/>
  <c r="K1352" i="57"/>
  <c r="L1352" i="57"/>
  <c r="M1352" i="57"/>
  <c r="N1352" i="57"/>
  <c r="J1353" i="57"/>
  <c r="K1353" i="57"/>
  <c r="L1353" i="57"/>
  <c r="N1353" i="57" s="1"/>
  <c r="M1353" i="57"/>
  <c r="J1354" i="57"/>
  <c r="K1354" i="57"/>
  <c r="L1354" i="57"/>
  <c r="M1354" i="57"/>
  <c r="N1354" i="57" s="1"/>
  <c r="J1355" i="57"/>
  <c r="K1355" i="57"/>
  <c r="L1355" i="57"/>
  <c r="N1355" i="57" s="1"/>
  <c r="M1355" i="57"/>
  <c r="J1356" i="57"/>
  <c r="K1356" i="57"/>
  <c r="L1356" i="57"/>
  <c r="N1356" i="57" s="1"/>
  <c r="M1356" i="57"/>
  <c r="J1357" i="57"/>
  <c r="K1357" i="57"/>
  <c r="L1357" i="57"/>
  <c r="M1357" i="57"/>
  <c r="N1357" i="57"/>
  <c r="J1358" i="57"/>
  <c r="K1358" i="57"/>
  <c r="L1358" i="57"/>
  <c r="N1358" i="57" s="1"/>
  <c r="M1358" i="57"/>
  <c r="J1359" i="57"/>
  <c r="K1359" i="57"/>
  <c r="L1359" i="57"/>
  <c r="N1359" i="57" s="1"/>
  <c r="M1359" i="57"/>
  <c r="J1360" i="57"/>
  <c r="K1360" i="57"/>
  <c r="L1360" i="57"/>
  <c r="M1360" i="57"/>
  <c r="N1360" i="57"/>
  <c r="J1361" i="57"/>
  <c r="K1361" i="57"/>
  <c r="L1361" i="57"/>
  <c r="M1361" i="57"/>
  <c r="N1361" i="57"/>
  <c r="J1362" i="57"/>
  <c r="K1362" i="57"/>
  <c r="L1362" i="57"/>
  <c r="M1362" i="57"/>
  <c r="N1362" i="57"/>
  <c r="J1363" i="57"/>
  <c r="K1363" i="57"/>
  <c r="L1363" i="57"/>
  <c r="N1363" i="57" s="1"/>
  <c r="M1363" i="57"/>
  <c r="J1364" i="57"/>
  <c r="K1364" i="57"/>
  <c r="L1364" i="57"/>
  <c r="N1364" i="57" s="1"/>
  <c r="M1364" i="57"/>
  <c r="J1365" i="57"/>
  <c r="K1365" i="57"/>
  <c r="L1365" i="57"/>
  <c r="N1365" i="57" s="1"/>
  <c r="M1365" i="57"/>
  <c r="J1366" i="57"/>
  <c r="K1366" i="57"/>
  <c r="L1366" i="57"/>
  <c r="N1366" i="57" s="1"/>
  <c r="M1366" i="57"/>
  <c r="J1367" i="57"/>
  <c r="K1367" i="57"/>
  <c r="L1367" i="57"/>
  <c r="N1367" i="57" s="1"/>
  <c r="M1367" i="57"/>
  <c r="J1368" i="57"/>
  <c r="K1368" i="57"/>
  <c r="L1368" i="57"/>
  <c r="M1368" i="57"/>
  <c r="N1368" i="57"/>
  <c r="J1369" i="57"/>
  <c r="K1369" i="57"/>
  <c r="L1369" i="57"/>
  <c r="N1369" i="57" s="1"/>
  <c r="M1369" i="57"/>
  <c r="J1370" i="57"/>
  <c r="K1370" i="57"/>
  <c r="L1370" i="57"/>
  <c r="N1370" i="57" s="1"/>
  <c r="M1370" i="57"/>
  <c r="J1371" i="57"/>
  <c r="K1371" i="57"/>
  <c r="L1371" i="57"/>
  <c r="N1371" i="57" s="1"/>
  <c r="M1371" i="57"/>
  <c r="J1372" i="57"/>
  <c r="K1372" i="57"/>
  <c r="L1372" i="57"/>
  <c r="N1372" i="57" s="1"/>
  <c r="M1372" i="57"/>
  <c r="J1373" i="57"/>
  <c r="K1373" i="57"/>
  <c r="L1373" i="57"/>
  <c r="M1373" i="57"/>
  <c r="N1373" i="57"/>
  <c r="J1374" i="57"/>
  <c r="K1374" i="57"/>
  <c r="L1374" i="57"/>
  <c r="N1374" i="57" s="1"/>
  <c r="M1374" i="57"/>
  <c r="J1375" i="57"/>
  <c r="K1375" i="57"/>
  <c r="L1375" i="57"/>
  <c r="M1375" i="57"/>
  <c r="N1375" i="57"/>
  <c r="J1376" i="57"/>
  <c r="K1376" i="57"/>
  <c r="L1376" i="57"/>
  <c r="M1376" i="57"/>
  <c r="N1376" i="57"/>
  <c r="J1377" i="57"/>
  <c r="K1377" i="57"/>
  <c r="L1377" i="57"/>
  <c r="N1377" i="57" s="1"/>
  <c r="M1377" i="57"/>
  <c r="J1378" i="57"/>
  <c r="K1378" i="57"/>
  <c r="L1378" i="57"/>
  <c r="M1378" i="57"/>
  <c r="N1378" i="57" s="1"/>
  <c r="J1379" i="57"/>
  <c r="K1379" i="57"/>
  <c r="L1379" i="57"/>
  <c r="N1379" i="57" s="1"/>
  <c r="M1379" i="57"/>
  <c r="J1380" i="57"/>
  <c r="K1380" i="57"/>
  <c r="L1380" i="57"/>
  <c r="M1380" i="57"/>
  <c r="N1380" i="57" s="1"/>
  <c r="J1381" i="57"/>
  <c r="K1381" i="57"/>
  <c r="L1381" i="57"/>
  <c r="M1381" i="57"/>
  <c r="N1381" i="57"/>
  <c r="J1382" i="57"/>
  <c r="K1382" i="57"/>
  <c r="L1382" i="57"/>
  <c r="N1382" i="57" s="1"/>
  <c r="M1382" i="57"/>
  <c r="J1383" i="57"/>
  <c r="K1383" i="57"/>
  <c r="L1383" i="57"/>
  <c r="N1383" i="57" s="1"/>
  <c r="M1383" i="57"/>
  <c r="J1384" i="57"/>
  <c r="K1384" i="57"/>
  <c r="L1384" i="57"/>
  <c r="M1384" i="57"/>
  <c r="N1384" i="57"/>
  <c r="J1385" i="57"/>
  <c r="K1385" i="57"/>
  <c r="L1385" i="57"/>
  <c r="N1385" i="57" s="1"/>
  <c r="M1385" i="57"/>
  <c r="J1386" i="57"/>
  <c r="K1386" i="57"/>
  <c r="L1386" i="57"/>
  <c r="M1386" i="57"/>
  <c r="N1386" i="57"/>
  <c r="J1387" i="57"/>
  <c r="K1387" i="57"/>
  <c r="L1387" i="57"/>
  <c r="N1387" i="57" s="1"/>
  <c r="M1387" i="57"/>
  <c r="J1388" i="57"/>
  <c r="K1388" i="57"/>
  <c r="L1388" i="57"/>
  <c r="N1388" i="57" s="1"/>
  <c r="M1388" i="57"/>
  <c r="J1389" i="57"/>
  <c r="K1389" i="57"/>
  <c r="L1389" i="57"/>
  <c r="M1389" i="57"/>
  <c r="N1389" i="57" s="1"/>
  <c r="J1390" i="57"/>
  <c r="K1390" i="57"/>
  <c r="L1390" i="57"/>
  <c r="N1390" i="57" s="1"/>
  <c r="M1390" i="57"/>
  <c r="J1391" i="57"/>
  <c r="K1391" i="57"/>
  <c r="L1391" i="57"/>
  <c r="N1391" i="57" s="1"/>
  <c r="M1391" i="57"/>
  <c r="J1392" i="57"/>
  <c r="K1392" i="57"/>
  <c r="L1392" i="57"/>
  <c r="M1392" i="57"/>
  <c r="N1392" i="57"/>
  <c r="J1393" i="57"/>
  <c r="K1393" i="57"/>
  <c r="L1393" i="57"/>
  <c r="N1393" i="57" s="1"/>
  <c r="M1393" i="57"/>
  <c r="J1394" i="57"/>
  <c r="K1394" i="57"/>
  <c r="L1394" i="57"/>
  <c r="N1394" i="57" s="1"/>
  <c r="M1394" i="57"/>
  <c r="J1395" i="57"/>
  <c r="K1395" i="57"/>
  <c r="L1395" i="57"/>
  <c r="N1395" i="57" s="1"/>
  <c r="M1395" i="57"/>
  <c r="J1396" i="57"/>
  <c r="K1396" i="57"/>
  <c r="L1396" i="57"/>
  <c r="N1396" i="57" s="1"/>
  <c r="M1396" i="57"/>
  <c r="J1397" i="57"/>
  <c r="K1397" i="57"/>
  <c r="L1397" i="57"/>
  <c r="M1397" i="57"/>
  <c r="N1397" i="57"/>
  <c r="J1398" i="57"/>
  <c r="K1398" i="57"/>
  <c r="L1398" i="57"/>
  <c r="N1398" i="57" s="1"/>
  <c r="M1398" i="57"/>
  <c r="J1399" i="57"/>
  <c r="K1399" i="57"/>
  <c r="L1399" i="57"/>
  <c r="N1399" i="57" s="1"/>
  <c r="M1399" i="57"/>
  <c r="J1400" i="57"/>
  <c r="K1400" i="57"/>
  <c r="L1400" i="57"/>
  <c r="N1400" i="57" s="1"/>
  <c r="M1400" i="57"/>
  <c r="J1401" i="57"/>
  <c r="K1401" i="57"/>
  <c r="L1401" i="57"/>
  <c r="N1401" i="57" s="1"/>
  <c r="M1401" i="57"/>
  <c r="J1402" i="57"/>
  <c r="K1402" i="57"/>
  <c r="L1402" i="57"/>
  <c r="N1402" i="57" s="1"/>
  <c r="M1402" i="57"/>
  <c r="J1403" i="57"/>
  <c r="K1403" i="57"/>
  <c r="L1403" i="57"/>
  <c r="N1403" i="57" s="1"/>
  <c r="M1403" i="57"/>
  <c r="J1404" i="57"/>
  <c r="K1404" i="57"/>
  <c r="L1404" i="57"/>
  <c r="N1404" i="57" s="1"/>
  <c r="M1404" i="57"/>
  <c r="J1405" i="57"/>
  <c r="K1405" i="57"/>
  <c r="L1405" i="57"/>
  <c r="M1405" i="57"/>
  <c r="N1405" i="57"/>
  <c r="J1406" i="57"/>
  <c r="K1406" i="57"/>
  <c r="L1406" i="57"/>
  <c r="N1406" i="57" s="1"/>
  <c r="M1406" i="57"/>
  <c r="J1407" i="57"/>
  <c r="K1407" i="57"/>
  <c r="L1407" i="57"/>
  <c r="N1407" i="57" s="1"/>
  <c r="M1407" i="57"/>
  <c r="J1408" i="57"/>
  <c r="K1408" i="57"/>
  <c r="L1408" i="57"/>
  <c r="M1408" i="57"/>
  <c r="N1408" i="57"/>
  <c r="J1409" i="57"/>
  <c r="K1409" i="57"/>
  <c r="L1409" i="57"/>
  <c r="N1409" i="57" s="1"/>
  <c r="M1409" i="57"/>
  <c r="J1410" i="57"/>
  <c r="K1410" i="57"/>
  <c r="L1410" i="57"/>
  <c r="M1410" i="57"/>
  <c r="N1410" i="57" s="1"/>
  <c r="J1411" i="57"/>
  <c r="K1411" i="57"/>
  <c r="L1411" i="57"/>
  <c r="M1411" i="57"/>
  <c r="N1411" i="57"/>
  <c r="J1412" i="57"/>
  <c r="K1412" i="57"/>
  <c r="L1412" i="57"/>
  <c r="M1412" i="57"/>
  <c r="N1412" i="57"/>
  <c r="J1413" i="57"/>
  <c r="K1413" i="57"/>
  <c r="L1413" i="57"/>
  <c r="M1413" i="57"/>
  <c r="N1413" i="57"/>
  <c r="J1414" i="57"/>
  <c r="K1414" i="57"/>
  <c r="L1414" i="57"/>
  <c r="M1414" i="57"/>
  <c r="N1414" i="57"/>
  <c r="J1415" i="57"/>
  <c r="K1415" i="57"/>
  <c r="L1415" i="57"/>
  <c r="N1415" i="57" s="1"/>
  <c r="M1415" i="57"/>
  <c r="J1416" i="57"/>
  <c r="K1416" i="57"/>
  <c r="L1416" i="57"/>
  <c r="M1416" i="57"/>
  <c r="N1416" i="57"/>
  <c r="J1417" i="57"/>
  <c r="K1417" i="57"/>
  <c r="L1417" i="57"/>
  <c r="M1417" i="57"/>
  <c r="N1417" i="57"/>
  <c r="J1418" i="57"/>
  <c r="K1418" i="57"/>
  <c r="L1418" i="57"/>
  <c r="M1418" i="57"/>
  <c r="N1418" i="57" s="1"/>
  <c r="J1419" i="57"/>
  <c r="K1419" i="57"/>
  <c r="L1419" i="57"/>
  <c r="M1419" i="57"/>
  <c r="N1419" i="57" s="1"/>
  <c r="J1420" i="57"/>
  <c r="K1420" i="57"/>
  <c r="L1420" i="57"/>
  <c r="N1420" i="57" s="1"/>
  <c r="M1420" i="57"/>
  <c r="J1421" i="57"/>
  <c r="K1421" i="57"/>
  <c r="L1421" i="57"/>
  <c r="N1421" i="57" s="1"/>
  <c r="M1421" i="57"/>
  <c r="J1422" i="57"/>
  <c r="K1422" i="57"/>
  <c r="L1422" i="57"/>
  <c r="M1422" i="57"/>
  <c r="N1422" i="57"/>
  <c r="J1423" i="57"/>
  <c r="K1423" i="57"/>
  <c r="L1423" i="57"/>
  <c r="M1423" i="57"/>
  <c r="N1423" i="57"/>
  <c r="J1424" i="57"/>
  <c r="K1424" i="57"/>
  <c r="L1424" i="57"/>
  <c r="M1424" i="57"/>
  <c r="N1424" i="57"/>
  <c r="J1425" i="57"/>
  <c r="K1425" i="57"/>
  <c r="L1425" i="57"/>
  <c r="N1425" i="57" s="1"/>
  <c r="M1425" i="57"/>
  <c r="J1426" i="57"/>
  <c r="K1426" i="57"/>
  <c r="L1426" i="57"/>
  <c r="N1426" i="57" s="1"/>
  <c r="M1426" i="57"/>
  <c r="J1427" i="57"/>
  <c r="K1427" i="57"/>
  <c r="L1427" i="57"/>
  <c r="M1427" i="57"/>
  <c r="N1427" i="57" s="1"/>
  <c r="J1428" i="57"/>
  <c r="K1428" i="57"/>
  <c r="L1428" i="57"/>
  <c r="N1428" i="57" s="1"/>
  <c r="M1428" i="57"/>
  <c r="J1429" i="57"/>
  <c r="K1429" i="57"/>
  <c r="L1429" i="57"/>
  <c r="M1429" i="57"/>
  <c r="N1429" i="57"/>
  <c r="J1430" i="57"/>
  <c r="K1430" i="57"/>
  <c r="L1430" i="57"/>
  <c r="N1430" i="57" s="1"/>
  <c r="M1430" i="57"/>
  <c r="J1431" i="57"/>
  <c r="K1431" i="57"/>
  <c r="L1431" i="57"/>
  <c r="N1431" i="57" s="1"/>
  <c r="M1431" i="57"/>
  <c r="J1432" i="57"/>
  <c r="K1432" i="57"/>
  <c r="L1432" i="57"/>
  <c r="M1432" i="57"/>
  <c r="N1432" i="57"/>
  <c r="J1433" i="57"/>
  <c r="K1433" i="57"/>
  <c r="L1433" i="57"/>
  <c r="N1433" i="57" s="1"/>
  <c r="M1433" i="57"/>
  <c r="J1434" i="57"/>
  <c r="K1434" i="57"/>
  <c r="L1434" i="57"/>
  <c r="M1434" i="57"/>
  <c r="N1434" i="57"/>
  <c r="J1435" i="57"/>
  <c r="K1435" i="57"/>
  <c r="L1435" i="57"/>
  <c r="M1435" i="57"/>
  <c r="N1435" i="57"/>
  <c r="J1436" i="57"/>
  <c r="K1436" i="57"/>
  <c r="L1436" i="57"/>
  <c r="M1436" i="57"/>
  <c r="N1436" i="57"/>
  <c r="J1437" i="57"/>
  <c r="K1437" i="57"/>
  <c r="L1437" i="57"/>
  <c r="M1437" i="57"/>
  <c r="N1437" i="57"/>
  <c r="J1229" i="57"/>
  <c r="K1229" i="57"/>
  <c r="L1229" i="57"/>
  <c r="N1229" i="57" s="1"/>
  <c r="M1229" i="57"/>
  <c r="J1230" i="57"/>
  <c r="K1230" i="57"/>
  <c r="L1230" i="57"/>
  <c r="N1230" i="57" s="1"/>
  <c r="M1230" i="57"/>
  <c r="J1231" i="57"/>
  <c r="K1231" i="57"/>
  <c r="L1231" i="57"/>
  <c r="N1231" i="57" s="1"/>
  <c r="M1231" i="57"/>
  <c r="J1232" i="57"/>
  <c r="K1232" i="57"/>
  <c r="L1232" i="57"/>
  <c r="M1232" i="57"/>
  <c r="N1232" i="57"/>
  <c r="J1233" i="57"/>
  <c r="K1233" i="57"/>
  <c r="L1233" i="57"/>
  <c r="N1233" i="57" s="1"/>
  <c r="M1233" i="57"/>
  <c r="J1234" i="57"/>
  <c r="K1234" i="57"/>
  <c r="L1234" i="57"/>
  <c r="M1234" i="57"/>
  <c r="N1234" i="57"/>
  <c r="J1235" i="57"/>
  <c r="K1235" i="57"/>
  <c r="L1235" i="57"/>
  <c r="N1235" i="57" s="1"/>
  <c r="M1235" i="57"/>
  <c r="J1236" i="57"/>
  <c r="K1236" i="57"/>
  <c r="L1236" i="57"/>
  <c r="M1236" i="57"/>
  <c r="N1236" i="57"/>
  <c r="J1237" i="57"/>
  <c r="K1237" i="57"/>
  <c r="L1237" i="57"/>
  <c r="N1237" i="57" s="1"/>
  <c r="M1237" i="57"/>
  <c r="J1238" i="57"/>
  <c r="K1238" i="57"/>
  <c r="L1238" i="57"/>
  <c r="M1238" i="57"/>
  <c r="N1238" i="57"/>
  <c r="J1239" i="57"/>
  <c r="K1239" i="57"/>
  <c r="L1239" i="57"/>
  <c r="M1239" i="57"/>
  <c r="N1239" i="57" s="1"/>
  <c r="J1240" i="57"/>
  <c r="K1240" i="57"/>
  <c r="L1240" i="57"/>
  <c r="M1240" i="57"/>
  <c r="N1240" i="57"/>
  <c r="J1241" i="57"/>
  <c r="K1241" i="57"/>
  <c r="L1241" i="57"/>
  <c r="M1241" i="57"/>
  <c r="N1241" i="57"/>
  <c r="J1242" i="57"/>
  <c r="K1242" i="57"/>
  <c r="L1242" i="57"/>
  <c r="N1242" i="57" s="1"/>
  <c r="M1242" i="57"/>
  <c r="J1243" i="57"/>
  <c r="K1243" i="57"/>
  <c r="L1243" i="57"/>
  <c r="M1243" i="57"/>
  <c r="N1243" i="57"/>
  <c r="J1244" i="57"/>
  <c r="K1244" i="57"/>
  <c r="L1244" i="57"/>
  <c r="N1244" i="57" s="1"/>
  <c r="M1244" i="57"/>
  <c r="J1245" i="57"/>
  <c r="K1245" i="57"/>
  <c r="L1245" i="57"/>
  <c r="M1245" i="57"/>
  <c r="N1245" i="57"/>
  <c r="J1246" i="57"/>
  <c r="K1246" i="57"/>
  <c r="L1246" i="57"/>
  <c r="M1246" i="57"/>
  <c r="N1246" i="57"/>
  <c r="J1247" i="57"/>
  <c r="K1247" i="57"/>
  <c r="L1247" i="57"/>
  <c r="N1247" i="57" s="1"/>
  <c r="M1247" i="57"/>
  <c r="J1248" i="57"/>
  <c r="K1248" i="57"/>
  <c r="L1248" i="57"/>
  <c r="N1248" i="57" s="1"/>
  <c r="M1248" i="57"/>
  <c r="J1249" i="57"/>
  <c r="K1249" i="57"/>
  <c r="L1249" i="57"/>
  <c r="N1249" i="57" s="1"/>
  <c r="M1249" i="57"/>
  <c r="J1250" i="57"/>
  <c r="K1250" i="57"/>
  <c r="L1250" i="57"/>
  <c r="N1250" i="57" s="1"/>
  <c r="M1250" i="57"/>
  <c r="J1251" i="57"/>
  <c r="K1251" i="57"/>
  <c r="L1251" i="57"/>
  <c r="M1251" i="57"/>
  <c r="N1251" i="57"/>
  <c r="J1252" i="57"/>
  <c r="K1252" i="57"/>
  <c r="L1252" i="57"/>
  <c r="N1252" i="57" s="1"/>
  <c r="M1252" i="57"/>
  <c r="J1253" i="57"/>
  <c r="K1253" i="57"/>
  <c r="L1253" i="57"/>
  <c r="M1253" i="57"/>
  <c r="N1253" i="57" s="1"/>
  <c r="J1254" i="57"/>
  <c r="K1254" i="57"/>
  <c r="L1254" i="57"/>
  <c r="N1254" i="57" s="1"/>
  <c r="M1254" i="57"/>
  <c r="J1255" i="57"/>
  <c r="K1255" i="57"/>
  <c r="L1255" i="57"/>
  <c r="N1255" i="57" s="1"/>
  <c r="M1255" i="57"/>
  <c r="J1256" i="57"/>
  <c r="K1256" i="57"/>
  <c r="L1256" i="57"/>
  <c r="N1256" i="57" s="1"/>
  <c r="M1256" i="57"/>
  <c r="J1257" i="57"/>
  <c r="K1257" i="57"/>
  <c r="L1257" i="57"/>
  <c r="N1257" i="57" s="1"/>
  <c r="M1257" i="57"/>
  <c r="J1258" i="57"/>
  <c r="K1258" i="57"/>
  <c r="L1258" i="57"/>
  <c r="N1258" i="57" s="1"/>
  <c r="M1258" i="57"/>
  <c r="J1259" i="57"/>
  <c r="K1259" i="57"/>
  <c r="L1259" i="57"/>
  <c r="N1259" i="57" s="1"/>
  <c r="M1259" i="57"/>
  <c r="J1260" i="57"/>
  <c r="K1260" i="57"/>
  <c r="L1260" i="57"/>
  <c r="N1260" i="57" s="1"/>
  <c r="M1260" i="57"/>
  <c r="J1261" i="57"/>
  <c r="K1261" i="57"/>
  <c r="L1261" i="57"/>
  <c r="N1261" i="57" s="1"/>
  <c r="M1261" i="57"/>
  <c r="J1262" i="57"/>
  <c r="K1262" i="57"/>
  <c r="L1262" i="57"/>
  <c r="N1262" i="57" s="1"/>
  <c r="M1262" i="57"/>
  <c r="J1263" i="57"/>
  <c r="K1263" i="57"/>
  <c r="L1263" i="57"/>
  <c r="N1263" i="57" s="1"/>
  <c r="M1263" i="57"/>
  <c r="J1020" i="57"/>
  <c r="K1020" i="57"/>
  <c r="L1020" i="57"/>
  <c r="N1020" i="57" s="1"/>
  <c r="M1020" i="57"/>
  <c r="J1021" i="57"/>
  <c r="K1021" i="57"/>
  <c r="L1021" i="57"/>
  <c r="N1021" i="57" s="1"/>
  <c r="M1021" i="57"/>
  <c r="J1022" i="57"/>
  <c r="K1022" i="57"/>
  <c r="L1022" i="57"/>
  <c r="N1022" i="57" s="1"/>
  <c r="M1022" i="57"/>
  <c r="J1023" i="57"/>
  <c r="K1023" i="57"/>
  <c r="L1023" i="57"/>
  <c r="N1023" i="57" s="1"/>
  <c r="M1023" i="57"/>
  <c r="J1024" i="57"/>
  <c r="K1024" i="57"/>
  <c r="L1024" i="57"/>
  <c r="M1024" i="57"/>
  <c r="N1024" i="57"/>
  <c r="J1025" i="57"/>
  <c r="K1025" i="57"/>
  <c r="L1025" i="57"/>
  <c r="N1025" i="57" s="1"/>
  <c r="M1025" i="57"/>
  <c r="J1026" i="57"/>
  <c r="K1026" i="57"/>
  <c r="L1026" i="57"/>
  <c r="N1026" i="57" s="1"/>
  <c r="M1026" i="57"/>
  <c r="J1027" i="57"/>
  <c r="K1027" i="57"/>
  <c r="L1027" i="57"/>
  <c r="M1027" i="57"/>
  <c r="N1027" i="57" s="1"/>
  <c r="J1028" i="57"/>
  <c r="K1028" i="57"/>
  <c r="L1028" i="57"/>
  <c r="N1028" i="57" s="1"/>
  <c r="M1028" i="57"/>
  <c r="J1029" i="57"/>
  <c r="K1029" i="57"/>
  <c r="L1029" i="57"/>
  <c r="N1029" i="57" s="1"/>
  <c r="M1029" i="57"/>
  <c r="J1030" i="57"/>
  <c r="K1030" i="57"/>
  <c r="L1030" i="57"/>
  <c r="M1030" i="57"/>
  <c r="N1030" i="57"/>
  <c r="J1031" i="57"/>
  <c r="K1031" i="57"/>
  <c r="L1031" i="57"/>
  <c r="N1031" i="57" s="1"/>
  <c r="M1031" i="57"/>
  <c r="J1032" i="57"/>
  <c r="K1032" i="57"/>
  <c r="L1032" i="57"/>
  <c r="M1032" i="57"/>
  <c r="N1032" i="57"/>
  <c r="J1033" i="57"/>
  <c r="K1033" i="57"/>
  <c r="L1033" i="57"/>
  <c r="M1033" i="57"/>
  <c r="N1033" i="57" s="1"/>
  <c r="J1034" i="57"/>
  <c r="K1034" i="57"/>
  <c r="L1034" i="57"/>
  <c r="N1034" i="57" s="1"/>
  <c r="M1034" i="57"/>
  <c r="J1035" i="57"/>
  <c r="K1035" i="57"/>
  <c r="L1035" i="57"/>
  <c r="M1035" i="57"/>
  <c r="N1035" i="57"/>
  <c r="J1036" i="57"/>
  <c r="K1036" i="57"/>
  <c r="L1036" i="57"/>
  <c r="N1036" i="57" s="1"/>
  <c r="M1036" i="57"/>
  <c r="J1037" i="57"/>
  <c r="K1037" i="57"/>
  <c r="L1037" i="57"/>
  <c r="M1037" i="57"/>
  <c r="N1037" i="57"/>
  <c r="J1038" i="57"/>
  <c r="K1038" i="57"/>
  <c r="L1038" i="57"/>
  <c r="N1038" i="57" s="1"/>
  <c r="M1038" i="57"/>
  <c r="J1039" i="57"/>
  <c r="K1039" i="57"/>
  <c r="L1039" i="57"/>
  <c r="N1039" i="57" s="1"/>
  <c r="M1039" i="57"/>
  <c r="J1040" i="57"/>
  <c r="K1040" i="57"/>
  <c r="L1040" i="57"/>
  <c r="M1040" i="57"/>
  <c r="N1040" i="57" s="1"/>
  <c r="J1041" i="57"/>
  <c r="K1041" i="57"/>
  <c r="L1041" i="57"/>
  <c r="N1041" i="57" s="1"/>
  <c r="M1041" i="57"/>
  <c r="J1042" i="57"/>
  <c r="K1042" i="57"/>
  <c r="L1042" i="57"/>
  <c r="M1042" i="57"/>
  <c r="N1042" i="57" s="1"/>
  <c r="J1043" i="57"/>
  <c r="K1043" i="57"/>
  <c r="L1043" i="57"/>
  <c r="N1043" i="57" s="1"/>
  <c r="M1043" i="57"/>
  <c r="J1044" i="57"/>
  <c r="K1044" i="57"/>
  <c r="L1044" i="57"/>
  <c r="N1044" i="57" s="1"/>
  <c r="M1044" i="57"/>
  <c r="J1045" i="57"/>
  <c r="K1045" i="57"/>
  <c r="L1045" i="57"/>
  <c r="N1045" i="57" s="1"/>
  <c r="M1045" i="57"/>
  <c r="J1046" i="57"/>
  <c r="K1046" i="57"/>
  <c r="L1046" i="57"/>
  <c r="N1046" i="57" s="1"/>
  <c r="M1046" i="57"/>
  <c r="J1047" i="57"/>
  <c r="K1047" i="57"/>
  <c r="L1047" i="57"/>
  <c r="N1047" i="57" s="1"/>
  <c r="M1047" i="57"/>
  <c r="J1048" i="57"/>
  <c r="K1048" i="57"/>
  <c r="L1048" i="57"/>
  <c r="N1048" i="57" s="1"/>
  <c r="M1048" i="57"/>
  <c r="J1049" i="57"/>
  <c r="K1049" i="57"/>
  <c r="L1049" i="57"/>
  <c r="N1049" i="57" s="1"/>
  <c r="M1049" i="57"/>
  <c r="J1050" i="57"/>
  <c r="K1050" i="57"/>
  <c r="L1050" i="57"/>
  <c r="N1050" i="57" s="1"/>
  <c r="M1050" i="57"/>
  <c r="J1051" i="57"/>
  <c r="K1051" i="57"/>
  <c r="L1051" i="57"/>
  <c r="N1051" i="57" s="1"/>
  <c r="M1051" i="57"/>
  <c r="J1052" i="57"/>
  <c r="K1052" i="57"/>
  <c r="L1052" i="57"/>
  <c r="M1052" i="57"/>
  <c r="N1052" i="57"/>
  <c r="J1053" i="57"/>
  <c r="K1053" i="57"/>
  <c r="L1053" i="57"/>
  <c r="N1053" i="57" s="1"/>
  <c r="M1053" i="57"/>
  <c r="J1054" i="57"/>
  <c r="K1054" i="57"/>
  <c r="L1054" i="57"/>
  <c r="M1054" i="57"/>
  <c r="N1054" i="57"/>
  <c r="J1055" i="57"/>
  <c r="K1055" i="57"/>
  <c r="L1055" i="57"/>
  <c r="N1055" i="57" s="1"/>
  <c r="M1055" i="57"/>
  <c r="J1056" i="57"/>
  <c r="K1056" i="57"/>
  <c r="L1056" i="57"/>
  <c r="M1056" i="57"/>
  <c r="N1056" i="57"/>
  <c r="J1057" i="57"/>
  <c r="K1057" i="57"/>
  <c r="L1057" i="57"/>
  <c r="M1057" i="57"/>
  <c r="N1057" i="57"/>
  <c r="J1058" i="57"/>
  <c r="K1058" i="57"/>
  <c r="L1058" i="57"/>
  <c r="M1058" i="57"/>
  <c r="N1058" i="57"/>
  <c r="J1059" i="57"/>
  <c r="K1059" i="57"/>
  <c r="L1059" i="57"/>
  <c r="M1059" i="57"/>
  <c r="N1059" i="57"/>
  <c r="J1060" i="57"/>
  <c r="K1060" i="57"/>
  <c r="L1060" i="57"/>
  <c r="N1060" i="57" s="1"/>
  <c r="M1060" i="57"/>
  <c r="J1061" i="57"/>
  <c r="K1061" i="57"/>
  <c r="L1061" i="57"/>
  <c r="M1061" i="57"/>
  <c r="N1061" i="57"/>
  <c r="J1062" i="57"/>
  <c r="K1062" i="57"/>
  <c r="L1062" i="57"/>
  <c r="M1062" i="57"/>
  <c r="N1062" i="57" s="1"/>
  <c r="J1063" i="57"/>
  <c r="K1063" i="57"/>
  <c r="L1063" i="57"/>
  <c r="N1063" i="57" s="1"/>
  <c r="M1063" i="57"/>
  <c r="J1064" i="57"/>
  <c r="K1064" i="57"/>
  <c r="L1064" i="57"/>
  <c r="N1064" i="57" s="1"/>
  <c r="M1064" i="57"/>
  <c r="J1065" i="57"/>
  <c r="K1065" i="57"/>
  <c r="L1065" i="57"/>
  <c r="N1065" i="57" s="1"/>
  <c r="M1065" i="57"/>
  <c r="J1066" i="57"/>
  <c r="K1066" i="57"/>
  <c r="L1066" i="57"/>
  <c r="M1066" i="57"/>
  <c r="N1066" i="57" s="1"/>
  <c r="J1067" i="57"/>
  <c r="K1067" i="57"/>
  <c r="L1067" i="57"/>
  <c r="N1067" i="57" s="1"/>
  <c r="M1067" i="57"/>
  <c r="J1068" i="57"/>
  <c r="K1068" i="57"/>
  <c r="L1068" i="57"/>
  <c r="N1068" i="57" s="1"/>
  <c r="M1068" i="57"/>
  <c r="J1069" i="57"/>
  <c r="K1069" i="57"/>
  <c r="L1069" i="57"/>
  <c r="N1069" i="57" s="1"/>
  <c r="M1069" i="57"/>
  <c r="J1070" i="57"/>
  <c r="K1070" i="57"/>
  <c r="L1070" i="57"/>
  <c r="N1070" i="57" s="1"/>
  <c r="M1070" i="57"/>
  <c r="J1071" i="57"/>
  <c r="K1071" i="57"/>
  <c r="L1071" i="57"/>
  <c r="N1071" i="57" s="1"/>
  <c r="M1071" i="57"/>
  <c r="J1072" i="57"/>
  <c r="K1072" i="57"/>
  <c r="L1072" i="57"/>
  <c r="N1072" i="57" s="1"/>
  <c r="M1072" i="57"/>
  <c r="J1073" i="57"/>
  <c r="K1073" i="57"/>
  <c r="L1073" i="57"/>
  <c r="N1073" i="57" s="1"/>
  <c r="M1073" i="57"/>
  <c r="J1074" i="57"/>
  <c r="K1074" i="57"/>
  <c r="L1074" i="57"/>
  <c r="N1074" i="57" s="1"/>
  <c r="M1074" i="57"/>
  <c r="J1075" i="57"/>
  <c r="K1075" i="57"/>
  <c r="L1075" i="57"/>
  <c r="N1075" i="57" s="1"/>
  <c r="M1075" i="57"/>
  <c r="J1076" i="57"/>
  <c r="K1076" i="57"/>
  <c r="L1076" i="57"/>
  <c r="M1076" i="57"/>
  <c r="N1076" i="57"/>
  <c r="J1077" i="57"/>
  <c r="K1077" i="57"/>
  <c r="L1077" i="57"/>
  <c r="N1077" i="57" s="1"/>
  <c r="M1077" i="57"/>
  <c r="J1078" i="57"/>
  <c r="K1078" i="57"/>
  <c r="L1078" i="57"/>
  <c r="N1078" i="57" s="1"/>
  <c r="M1078" i="57"/>
  <c r="J1079" i="57"/>
  <c r="K1079" i="57"/>
  <c r="L1079" i="57"/>
  <c r="N1079" i="57" s="1"/>
  <c r="M1079" i="57"/>
  <c r="J1080" i="57"/>
  <c r="K1080" i="57"/>
  <c r="L1080" i="57"/>
  <c r="M1080" i="57"/>
  <c r="N1080" i="57" s="1"/>
  <c r="J1081" i="57"/>
  <c r="K1081" i="57"/>
  <c r="L1081" i="57"/>
  <c r="M1081" i="57"/>
  <c r="N1081" i="57"/>
  <c r="J1082" i="57"/>
  <c r="K1082" i="57"/>
  <c r="L1082" i="57"/>
  <c r="M1082" i="57"/>
  <c r="N1082" i="57"/>
  <c r="J1083" i="57"/>
  <c r="K1083" i="57"/>
  <c r="L1083" i="57"/>
  <c r="M1083" i="57"/>
  <c r="N1083" i="57"/>
  <c r="J1084" i="57"/>
  <c r="K1084" i="57"/>
  <c r="L1084" i="57"/>
  <c r="M1084" i="57"/>
  <c r="N1084" i="57"/>
  <c r="J1085" i="57"/>
  <c r="K1085" i="57"/>
  <c r="L1085" i="57"/>
  <c r="M1085" i="57"/>
  <c r="N1085" i="57"/>
  <c r="J1086" i="57"/>
  <c r="K1086" i="57"/>
  <c r="L1086" i="57"/>
  <c r="M1086" i="57"/>
  <c r="N1086" i="57" s="1"/>
  <c r="J1087" i="57"/>
  <c r="K1087" i="57"/>
  <c r="L1087" i="57"/>
  <c r="N1087" i="57" s="1"/>
  <c r="M1087" i="57"/>
  <c r="J1088" i="57"/>
  <c r="K1088" i="57"/>
  <c r="L1088" i="57"/>
  <c r="N1088" i="57" s="1"/>
  <c r="M1088" i="57"/>
  <c r="J1089" i="57"/>
  <c r="K1089" i="57"/>
  <c r="L1089" i="57"/>
  <c r="N1089" i="57" s="1"/>
  <c r="M1089" i="57"/>
  <c r="J1090" i="57"/>
  <c r="K1090" i="57"/>
  <c r="L1090" i="57"/>
  <c r="M1090" i="57"/>
  <c r="N1090" i="57" s="1"/>
  <c r="J1091" i="57"/>
  <c r="K1091" i="57"/>
  <c r="L1091" i="57"/>
  <c r="N1091" i="57" s="1"/>
  <c r="M1091" i="57"/>
  <c r="J1092" i="57"/>
  <c r="K1092" i="57"/>
  <c r="L1092" i="57"/>
  <c r="N1092" i="57" s="1"/>
  <c r="M1092" i="57"/>
  <c r="J1093" i="57"/>
  <c r="K1093" i="57"/>
  <c r="L1093" i="57"/>
  <c r="N1093" i="57" s="1"/>
  <c r="M1093" i="57"/>
  <c r="J1094" i="57"/>
  <c r="K1094" i="57"/>
  <c r="L1094" i="57"/>
  <c r="N1094" i="57" s="1"/>
  <c r="M1094" i="57"/>
  <c r="J1095" i="57"/>
  <c r="K1095" i="57"/>
  <c r="L1095" i="57"/>
  <c r="N1095" i="57" s="1"/>
  <c r="M1095" i="57"/>
  <c r="J1096" i="57"/>
  <c r="K1096" i="57"/>
  <c r="L1096" i="57"/>
  <c r="N1096" i="57" s="1"/>
  <c r="M1096" i="57"/>
  <c r="J1097" i="57"/>
  <c r="K1097" i="57"/>
  <c r="L1097" i="57"/>
  <c r="N1097" i="57" s="1"/>
  <c r="M1097" i="57"/>
  <c r="J1098" i="57"/>
  <c r="K1098" i="57"/>
  <c r="L1098" i="57"/>
  <c r="M1098" i="57"/>
  <c r="N1098" i="57"/>
  <c r="J1099" i="57"/>
  <c r="K1099" i="57"/>
  <c r="L1099" i="57"/>
  <c r="N1099" i="57" s="1"/>
  <c r="M1099" i="57"/>
  <c r="J1100" i="57"/>
  <c r="K1100" i="57"/>
  <c r="L1100" i="57"/>
  <c r="M1100" i="57"/>
  <c r="N1100" i="57"/>
  <c r="J1101" i="57"/>
  <c r="K1101" i="57"/>
  <c r="L1101" i="57"/>
  <c r="M1101" i="57"/>
  <c r="N1101" i="57"/>
  <c r="J1102" i="57"/>
  <c r="K1102" i="57"/>
  <c r="L1102" i="57"/>
  <c r="N1102" i="57" s="1"/>
  <c r="M1102" i="57"/>
  <c r="J1103" i="57"/>
  <c r="K1103" i="57"/>
  <c r="L1103" i="57"/>
  <c r="N1103" i="57" s="1"/>
  <c r="M1103" i="57"/>
  <c r="J1104" i="57"/>
  <c r="K1104" i="57"/>
  <c r="L1104" i="57"/>
  <c r="M1104" i="57"/>
  <c r="N1104" i="57" s="1"/>
  <c r="J1105" i="57"/>
  <c r="K1105" i="57"/>
  <c r="L1105" i="57"/>
  <c r="M1105" i="57"/>
  <c r="N1105" i="57"/>
  <c r="J1106" i="57"/>
  <c r="K1106" i="57"/>
  <c r="L1106" i="57"/>
  <c r="M1106" i="57"/>
  <c r="N1106" i="57"/>
  <c r="J1107" i="57"/>
  <c r="K1107" i="57"/>
  <c r="L1107" i="57"/>
  <c r="M1107" i="57"/>
  <c r="N1107" i="57"/>
  <c r="J1108" i="57"/>
  <c r="K1108" i="57"/>
  <c r="L1108" i="57"/>
  <c r="M1108" i="57"/>
  <c r="N1108" i="57"/>
  <c r="J1109" i="57"/>
  <c r="K1109" i="57"/>
  <c r="L1109" i="57"/>
  <c r="M1109" i="57"/>
  <c r="N1109" i="57"/>
  <c r="J1110" i="57"/>
  <c r="K1110" i="57"/>
  <c r="L1110" i="57"/>
  <c r="M1110" i="57"/>
  <c r="N1110" i="57"/>
  <c r="J1111" i="57"/>
  <c r="K1111" i="57"/>
  <c r="L1111" i="57"/>
  <c r="M1111" i="57"/>
  <c r="N1111" i="57" s="1"/>
  <c r="J1112" i="57"/>
  <c r="K1112" i="57"/>
  <c r="L1112" i="57"/>
  <c r="N1112" i="57" s="1"/>
  <c r="M1112" i="57"/>
  <c r="J1113" i="57"/>
  <c r="K1113" i="57"/>
  <c r="L1113" i="57"/>
  <c r="N1113" i="57" s="1"/>
  <c r="M1113" i="57"/>
  <c r="J1114" i="57"/>
  <c r="K1114" i="57"/>
  <c r="L1114" i="57"/>
  <c r="N1114" i="57" s="1"/>
  <c r="M1114" i="57"/>
  <c r="J1115" i="57"/>
  <c r="K1115" i="57"/>
  <c r="L1115" i="57"/>
  <c r="M1115" i="57"/>
  <c r="N1115" i="57" s="1"/>
  <c r="J1116" i="57"/>
  <c r="K1116" i="57"/>
  <c r="L1116" i="57"/>
  <c r="M1116" i="57"/>
  <c r="N1116" i="57"/>
  <c r="J1117" i="57"/>
  <c r="K1117" i="57"/>
  <c r="L1117" i="57"/>
  <c r="M1117" i="57"/>
  <c r="N1117" i="57"/>
  <c r="J1118" i="57"/>
  <c r="K1118" i="57"/>
  <c r="L1118" i="57"/>
  <c r="M1118" i="57"/>
  <c r="N1118" i="57"/>
  <c r="J1119" i="57"/>
  <c r="K1119" i="57"/>
  <c r="L1119" i="57"/>
  <c r="M1119" i="57"/>
  <c r="N1119" i="57"/>
  <c r="J1120" i="57"/>
  <c r="K1120" i="57"/>
  <c r="L1120" i="57"/>
  <c r="N1120" i="57" s="1"/>
  <c r="M1120" i="57"/>
  <c r="J1121" i="57"/>
  <c r="K1121" i="57"/>
  <c r="L1121" i="57"/>
  <c r="N1121" i="57" s="1"/>
  <c r="M1121" i="57"/>
  <c r="J1122" i="57"/>
  <c r="K1122" i="57"/>
  <c r="L1122" i="57"/>
  <c r="M1122" i="57"/>
  <c r="N1122" i="57" s="1"/>
  <c r="J1123" i="57"/>
  <c r="K1123" i="57"/>
  <c r="L1123" i="57"/>
  <c r="M1123" i="57"/>
  <c r="N1123" i="57" s="1"/>
  <c r="J1124" i="57"/>
  <c r="K1124" i="57"/>
  <c r="L1124" i="57"/>
  <c r="M1124" i="57"/>
  <c r="N1124" i="57"/>
  <c r="J1125" i="57"/>
  <c r="K1125" i="57"/>
  <c r="L1125" i="57"/>
  <c r="N1125" i="57" s="1"/>
  <c r="M1125" i="57"/>
  <c r="J1126" i="57"/>
  <c r="K1126" i="57"/>
  <c r="L1126" i="57"/>
  <c r="N1126" i="57" s="1"/>
  <c r="M1126" i="57"/>
  <c r="J1127" i="57"/>
  <c r="K1127" i="57"/>
  <c r="L1127" i="57"/>
  <c r="M1127" i="57"/>
  <c r="N1127" i="57"/>
  <c r="J1128" i="57"/>
  <c r="K1128" i="57"/>
  <c r="L1128" i="57"/>
  <c r="M1128" i="57"/>
  <c r="N1128" i="57"/>
  <c r="J1129" i="57"/>
  <c r="K1129" i="57"/>
  <c r="L1129" i="57"/>
  <c r="N1129" i="57" s="1"/>
  <c r="M1129" i="57"/>
  <c r="J1130" i="57"/>
  <c r="K1130" i="57"/>
  <c r="L1130" i="57"/>
  <c r="N1130" i="57" s="1"/>
  <c r="M1130" i="57"/>
  <c r="J1131" i="57"/>
  <c r="K1131" i="57"/>
  <c r="L1131" i="57"/>
  <c r="M1131" i="57"/>
  <c r="N1131" i="57"/>
  <c r="J1132" i="57"/>
  <c r="K1132" i="57"/>
  <c r="L1132" i="57"/>
  <c r="M1132" i="57"/>
  <c r="N1132" i="57" s="1"/>
  <c r="J1133" i="57"/>
  <c r="K1133" i="57"/>
  <c r="L1133" i="57"/>
  <c r="N1133" i="57" s="1"/>
  <c r="M1133" i="57"/>
  <c r="J1134" i="57"/>
  <c r="K1134" i="57"/>
  <c r="L1134" i="57"/>
  <c r="N1134" i="57" s="1"/>
  <c r="M1134" i="57"/>
  <c r="J1135" i="57"/>
  <c r="K1135" i="57"/>
  <c r="L1135" i="57"/>
  <c r="M1135" i="57"/>
  <c r="N1135" i="57" s="1"/>
  <c r="J1136" i="57"/>
  <c r="K1136" i="57"/>
  <c r="L1136" i="57"/>
  <c r="N1136" i="57" s="1"/>
  <c r="M1136" i="57"/>
  <c r="J1137" i="57"/>
  <c r="K1137" i="57"/>
  <c r="L1137" i="57"/>
  <c r="M1137" i="57"/>
  <c r="N1137" i="57"/>
  <c r="J1138" i="57"/>
  <c r="K1138" i="57"/>
  <c r="L1138" i="57"/>
  <c r="N1138" i="57" s="1"/>
  <c r="M1138" i="57"/>
  <c r="J1139" i="57"/>
  <c r="K1139" i="57"/>
  <c r="L1139" i="57"/>
  <c r="M1139" i="57"/>
  <c r="N1139" i="57"/>
  <c r="J1140" i="57"/>
  <c r="K1140" i="57"/>
  <c r="L1140" i="57"/>
  <c r="M1140" i="57"/>
  <c r="N1140" i="57"/>
  <c r="J1141" i="57"/>
  <c r="K1141" i="57"/>
  <c r="L1141" i="57"/>
  <c r="M1141" i="57"/>
  <c r="N1141" i="57"/>
  <c r="J1142" i="57"/>
  <c r="K1142" i="57"/>
  <c r="L1142" i="57"/>
  <c r="M1142" i="57"/>
  <c r="N1142" i="57"/>
  <c r="J1143" i="57"/>
  <c r="K1143" i="57"/>
  <c r="L1143" i="57"/>
  <c r="M1143" i="57"/>
  <c r="N1143" i="57"/>
  <c r="J1144" i="57"/>
  <c r="K1144" i="57"/>
  <c r="L1144" i="57"/>
  <c r="N1144" i="57" s="1"/>
  <c r="M1144" i="57"/>
  <c r="J1145" i="57"/>
  <c r="K1145" i="57"/>
  <c r="L1145" i="57"/>
  <c r="N1145" i="57" s="1"/>
  <c r="M1145" i="57"/>
  <c r="J1146" i="57"/>
  <c r="K1146" i="57"/>
  <c r="L1146" i="57"/>
  <c r="M1146" i="57"/>
  <c r="N1146" i="57" s="1"/>
  <c r="J1147" i="57"/>
  <c r="K1147" i="57"/>
  <c r="L1147" i="57"/>
  <c r="M1147" i="57"/>
  <c r="N1147" i="57"/>
  <c r="J1148" i="57"/>
  <c r="K1148" i="57"/>
  <c r="L1148" i="57"/>
  <c r="M1148" i="57"/>
  <c r="N1148" i="57"/>
  <c r="J1149" i="57"/>
  <c r="K1149" i="57"/>
  <c r="L1149" i="57"/>
  <c r="N1149" i="57" s="1"/>
  <c r="M1149" i="57"/>
  <c r="J1150" i="57"/>
  <c r="K1150" i="57"/>
  <c r="L1150" i="57"/>
  <c r="N1150" i="57" s="1"/>
  <c r="M1150" i="57"/>
  <c r="J1151" i="57"/>
  <c r="K1151" i="57"/>
  <c r="L1151" i="57"/>
  <c r="M1151" i="57"/>
  <c r="N1151" i="57"/>
  <c r="J1152" i="57"/>
  <c r="K1152" i="57"/>
  <c r="L1152" i="57"/>
  <c r="M1152" i="57"/>
  <c r="N1152" i="57"/>
  <c r="J1153" i="57"/>
  <c r="K1153" i="57"/>
  <c r="L1153" i="57"/>
  <c r="N1153" i="57" s="1"/>
  <c r="M1153" i="57"/>
  <c r="J1154" i="57"/>
  <c r="K1154" i="57"/>
  <c r="L1154" i="57"/>
  <c r="N1154" i="57" s="1"/>
  <c r="M1154" i="57"/>
  <c r="J1155" i="57"/>
  <c r="K1155" i="57"/>
  <c r="L1155" i="57"/>
  <c r="M1155" i="57"/>
  <c r="N1155" i="57"/>
  <c r="J1156" i="57"/>
  <c r="K1156" i="57"/>
  <c r="L1156" i="57"/>
  <c r="M1156" i="57"/>
  <c r="N1156" i="57" s="1"/>
  <c r="J1157" i="57"/>
  <c r="K1157" i="57"/>
  <c r="L1157" i="57"/>
  <c r="N1157" i="57" s="1"/>
  <c r="M1157" i="57"/>
  <c r="J1158" i="57"/>
  <c r="K1158" i="57"/>
  <c r="L1158" i="57"/>
  <c r="N1158" i="57" s="1"/>
  <c r="M1158" i="57"/>
  <c r="J1159" i="57"/>
  <c r="K1159" i="57"/>
  <c r="L1159" i="57"/>
  <c r="M1159" i="57"/>
  <c r="N1159" i="57" s="1"/>
  <c r="J1160" i="57"/>
  <c r="K1160" i="57"/>
  <c r="L1160" i="57"/>
  <c r="N1160" i="57" s="1"/>
  <c r="M1160" i="57"/>
  <c r="J1161" i="57"/>
  <c r="K1161" i="57"/>
  <c r="L1161" i="57"/>
  <c r="M1161" i="57"/>
  <c r="N1161" i="57"/>
  <c r="J1162" i="57"/>
  <c r="K1162" i="57"/>
  <c r="L1162" i="57"/>
  <c r="N1162" i="57" s="1"/>
  <c r="M1162" i="57"/>
  <c r="J1163" i="57"/>
  <c r="K1163" i="57"/>
  <c r="L1163" i="57"/>
  <c r="M1163" i="57"/>
  <c r="N1163" i="57"/>
  <c r="J1164" i="57"/>
  <c r="K1164" i="57"/>
  <c r="L1164" i="57"/>
  <c r="M1164" i="57"/>
  <c r="N1164" i="57"/>
  <c r="J1165" i="57"/>
  <c r="K1165" i="57"/>
  <c r="L1165" i="57"/>
  <c r="M1165" i="57"/>
  <c r="N1165" i="57"/>
  <c r="J1166" i="57"/>
  <c r="K1166" i="57"/>
  <c r="L1166" i="57"/>
  <c r="M1166" i="57"/>
  <c r="N1166" i="57"/>
  <c r="J1167" i="57"/>
  <c r="K1167" i="57"/>
  <c r="L1167" i="57"/>
  <c r="M1167" i="57"/>
  <c r="N1167" i="57"/>
  <c r="J1168" i="57"/>
  <c r="K1168" i="57"/>
  <c r="L1168" i="57"/>
  <c r="N1168" i="57" s="1"/>
  <c r="M1168" i="57"/>
  <c r="J1169" i="57"/>
  <c r="K1169" i="57"/>
  <c r="L1169" i="57"/>
  <c r="N1169" i="57" s="1"/>
  <c r="M1169" i="57"/>
  <c r="J1170" i="57"/>
  <c r="K1170" i="57"/>
  <c r="L1170" i="57"/>
  <c r="M1170" i="57"/>
  <c r="N1170" i="57" s="1"/>
  <c r="J1171" i="57"/>
  <c r="K1171" i="57"/>
  <c r="L1171" i="57"/>
  <c r="M1171" i="57"/>
  <c r="N1171" i="57"/>
  <c r="J1172" i="57"/>
  <c r="K1172" i="57"/>
  <c r="L1172" i="57"/>
  <c r="M1172" i="57"/>
  <c r="N1172" i="57"/>
  <c r="J1173" i="57"/>
  <c r="K1173" i="57"/>
  <c r="L1173" i="57"/>
  <c r="N1173" i="57" s="1"/>
  <c r="M1173" i="57"/>
  <c r="J1174" i="57"/>
  <c r="K1174" i="57"/>
  <c r="L1174" i="57"/>
  <c r="N1174" i="57" s="1"/>
  <c r="M1174" i="57"/>
  <c r="J1175" i="57"/>
  <c r="K1175" i="57"/>
  <c r="L1175" i="57"/>
  <c r="M1175" i="57"/>
  <c r="N1175" i="57"/>
  <c r="J1176" i="57"/>
  <c r="K1176" i="57"/>
  <c r="L1176" i="57"/>
  <c r="M1176" i="57"/>
  <c r="N1176" i="57"/>
  <c r="J1177" i="57"/>
  <c r="K1177" i="57"/>
  <c r="L1177" i="57"/>
  <c r="N1177" i="57" s="1"/>
  <c r="M1177" i="57"/>
  <c r="J1178" i="57"/>
  <c r="K1178" i="57"/>
  <c r="L1178" i="57"/>
  <c r="N1178" i="57" s="1"/>
  <c r="M1178" i="57"/>
  <c r="J1179" i="57"/>
  <c r="K1179" i="57"/>
  <c r="L1179" i="57"/>
  <c r="M1179" i="57"/>
  <c r="N1179" i="57"/>
  <c r="J1180" i="57"/>
  <c r="K1180" i="57"/>
  <c r="L1180" i="57"/>
  <c r="M1180" i="57"/>
  <c r="N1180" i="57" s="1"/>
  <c r="J1181" i="57"/>
  <c r="K1181" i="57"/>
  <c r="L1181" i="57"/>
  <c r="N1181" i="57" s="1"/>
  <c r="M1181" i="57"/>
  <c r="J1182" i="57"/>
  <c r="K1182" i="57"/>
  <c r="L1182" i="57"/>
  <c r="N1182" i="57" s="1"/>
  <c r="M1182" i="57"/>
  <c r="J1183" i="57"/>
  <c r="K1183" i="57"/>
  <c r="L1183" i="57"/>
  <c r="M1183" i="57"/>
  <c r="N1183" i="57" s="1"/>
  <c r="J1184" i="57"/>
  <c r="K1184" i="57"/>
  <c r="L1184" i="57"/>
  <c r="N1184" i="57" s="1"/>
  <c r="M1184" i="57"/>
  <c r="J1185" i="57"/>
  <c r="K1185" i="57"/>
  <c r="L1185" i="57"/>
  <c r="M1185" i="57"/>
  <c r="N1185" i="57"/>
  <c r="J1186" i="57"/>
  <c r="K1186" i="57"/>
  <c r="L1186" i="57"/>
  <c r="N1186" i="57" s="1"/>
  <c r="M1186" i="57"/>
  <c r="J1187" i="57"/>
  <c r="K1187" i="57"/>
  <c r="L1187" i="57"/>
  <c r="M1187" i="57"/>
  <c r="N1187" i="57"/>
  <c r="J1188" i="57"/>
  <c r="K1188" i="57"/>
  <c r="L1188" i="57"/>
  <c r="M1188" i="57"/>
  <c r="N1188" i="57"/>
  <c r="J1189" i="57"/>
  <c r="K1189" i="57"/>
  <c r="L1189" i="57"/>
  <c r="M1189" i="57"/>
  <c r="N1189" i="57"/>
  <c r="J1190" i="57"/>
  <c r="K1190" i="57"/>
  <c r="L1190" i="57"/>
  <c r="M1190" i="57"/>
  <c r="N1190" i="57"/>
  <c r="J1191" i="57"/>
  <c r="K1191" i="57"/>
  <c r="L1191" i="57"/>
  <c r="M1191" i="57"/>
  <c r="N1191" i="57"/>
  <c r="J1192" i="57"/>
  <c r="K1192" i="57"/>
  <c r="L1192" i="57"/>
  <c r="N1192" i="57" s="1"/>
  <c r="M1192" i="57"/>
  <c r="J1193" i="57"/>
  <c r="K1193" i="57"/>
  <c r="L1193" i="57"/>
  <c r="N1193" i="57" s="1"/>
  <c r="M1193" i="57"/>
  <c r="J1194" i="57"/>
  <c r="K1194" i="57"/>
  <c r="L1194" i="57"/>
  <c r="M1194" i="57"/>
  <c r="N1194" i="57" s="1"/>
  <c r="J1195" i="57"/>
  <c r="K1195" i="57"/>
  <c r="L1195" i="57"/>
  <c r="M1195" i="57"/>
  <c r="N1195" i="57"/>
  <c r="J1196" i="57"/>
  <c r="K1196" i="57"/>
  <c r="L1196" i="57"/>
  <c r="M1196" i="57"/>
  <c r="N1196" i="57" s="1"/>
  <c r="J1197" i="57"/>
  <c r="K1197" i="57"/>
  <c r="L1197" i="57"/>
  <c r="N1197" i="57" s="1"/>
  <c r="M1197" i="57"/>
  <c r="J1198" i="57"/>
  <c r="K1198" i="57"/>
  <c r="L1198" i="57"/>
  <c r="N1198" i="57" s="1"/>
  <c r="M1198" i="57"/>
  <c r="J1199" i="57"/>
  <c r="K1199" i="57"/>
  <c r="L1199" i="57"/>
  <c r="M1199" i="57"/>
  <c r="N1199" i="57"/>
  <c r="J1200" i="57"/>
  <c r="K1200" i="57"/>
  <c r="L1200" i="57"/>
  <c r="M1200" i="57"/>
  <c r="N1200" i="57"/>
  <c r="J1201" i="57"/>
  <c r="K1201" i="57"/>
  <c r="L1201" i="57"/>
  <c r="N1201" i="57" s="1"/>
  <c r="M1201" i="57"/>
  <c r="J1202" i="57"/>
  <c r="K1202" i="57"/>
  <c r="L1202" i="57"/>
  <c r="N1202" i="57" s="1"/>
  <c r="M1202" i="57"/>
  <c r="J1203" i="57"/>
  <c r="K1203" i="57"/>
  <c r="L1203" i="57"/>
  <c r="M1203" i="57"/>
  <c r="N1203" i="57"/>
  <c r="J1204" i="57"/>
  <c r="K1204" i="57"/>
  <c r="L1204" i="57"/>
  <c r="M1204" i="57"/>
  <c r="N1204" i="57" s="1"/>
  <c r="J1205" i="57"/>
  <c r="K1205" i="57"/>
  <c r="L1205" i="57"/>
  <c r="N1205" i="57" s="1"/>
  <c r="M1205" i="57"/>
  <c r="J1206" i="57"/>
  <c r="K1206" i="57"/>
  <c r="L1206" i="57"/>
  <c r="N1206" i="57" s="1"/>
  <c r="M1206" i="57"/>
  <c r="J1207" i="57"/>
  <c r="K1207" i="57"/>
  <c r="L1207" i="57"/>
  <c r="M1207" i="57"/>
  <c r="N1207" i="57" s="1"/>
  <c r="J1208" i="57"/>
  <c r="K1208" i="57"/>
  <c r="L1208" i="57"/>
  <c r="N1208" i="57" s="1"/>
  <c r="M1208" i="57"/>
  <c r="J1209" i="57"/>
  <c r="K1209" i="57"/>
  <c r="L1209" i="57"/>
  <c r="M1209" i="57"/>
  <c r="N1209" i="57"/>
  <c r="J1210" i="57"/>
  <c r="K1210" i="57"/>
  <c r="L1210" i="57"/>
  <c r="N1210" i="57" s="1"/>
  <c r="M1210" i="57"/>
  <c r="J1211" i="57"/>
  <c r="K1211" i="57"/>
  <c r="L1211" i="57"/>
  <c r="M1211" i="57"/>
  <c r="N1211" i="57"/>
  <c r="J1212" i="57"/>
  <c r="K1212" i="57"/>
  <c r="L1212" i="57"/>
  <c r="M1212" i="57"/>
  <c r="N1212" i="57"/>
  <c r="J1213" i="57"/>
  <c r="K1213" i="57"/>
  <c r="L1213" i="57"/>
  <c r="M1213" i="57"/>
  <c r="N1213" i="57"/>
  <c r="J1214" i="57"/>
  <c r="K1214" i="57"/>
  <c r="L1214" i="57"/>
  <c r="M1214" i="57"/>
  <c r="N1214" i="57"/>
  <c r="J1215" i="57"/>
  <c r="K1215" i="57"/>
  <c r="L1215" i="57"/>
  <c r="M1215" i="57"/>
  <c r="N1215" i="57"/>
  <c r="J1216" i="57"/>
  <c r="K1216" i="57"/>
  <c r="L1216" i="57"/>
  <c r="N1216" i="57" s="1"/>
  <c r="M1216" i="57"/>
  <c r="J1217" i="57"/>
  <c r="K1217" i="57"/>
  <c r="L1217" i="57"/>
  <c r="N1217" i="57" s="1"/>
  <c r="M1217" i="57"/>
  <c r="J1218" i="57"/>
  <c r="K1218" i="57"/>
  <c r="L1218" i="57"/>
  <c r="M1218" i="57"/>
  <c r="N1218" i="57" s="1"/>
  <c r="J1219" i="57"/>
  <c r="K1219" i="57"/>
  <c r="L1219" i="57"/>
  <c r="M1219" i="57"/>
  <c r="N1219" i="57"/>
  <c r="J1220" i="57"/>
  <c r="K1220" i="57"/>
  <c r="L1220" i="57"/>
  <c r="M1220" i="57"/>
  <c r="N1220" i="57"/>
  <c r="J1221" i="57"/>
  <c r="K1221" i="57"/>
  <c r="L1221" i="57"/>
  <c r="N1221" i="57" s="1"/>
  <c r="M1221" i="57"/>
  <c r="J1222" i="57"/>
  <c r="K1222" i="57"/>
  <c r="L1222" i="57"/>
  <c r="N1222" i="57" s="1"/>
  <c r="M1222" i="57"/>
  <c r="J1223" i="57"/>
  <c r="K1223" i="57"/>
  <c r="L1223" i="57"/>
  <c r="M1223" i="57"/>
  <c r="N1223" i="57"/>
  <c r="J1224" i="57"/>
  <c r="K1224" i="57"/>
  <c r="L1224" i="57"/>
  <c r="M1224" i="57"/>
  <c r="N1224" i="57"/>
  <c r="J1225" i="57"/>
  <c r="K1225" i="57"/>
  <c r="L1225" i="57"/>
  <c r="N1225" i="57" s="1"/>
  <c r="M1225" i="57"/>
  <c r="J931" i="57"/>
  <c r="K931" i="57"/>
  <c r="L931" i="57"/>
  <c r="N931" i="57" s="1"/>
  <c r="M931" i="57"/>
  <c r="J932" i="57"/>
  <c r="K932" i="57"/>
  <c r="L932" i="57"/>
  <c r="N932" i="57" s="1"/>
  <c r="M932" i="57"/>
  <c r="J933" i="57"/>
  <c r="K933" i="57"/>
  <c r="L933" i="57"/>
  <c r="N933" i="57" s="1"/>
  <c r="M933" i="57"/>
  <c r="J934" i="57"/>
  <c r="K934" i="57"/>
  <c r="L934" i="57"/>
  <c r="N934" i="57" s="1"/>
  <c r="M934" i="57"/>
  <c r="J935" i="57"/>
  <c r="K935" i="57"/>
  <c r="L935" i="57"/>
  <c r="M935" i="57"/>
  <c r="N935" i="57"/>
  <c r="J936" i="57"/>
  <c r="K936" i="57"/>
  <c r="L936" i="57"/>
  <c r="N936" i="57" s="1"/>
  <c r="M936" i="57"/>
  <c r="J937" i="57"/>
  <c r="K937" i="57"/>
  <c r="L937" i="57"/>
  <c r="N937" i="57" s="1"/>
  <c r="M937" i="57"/>
  <c r="J938" i="57"/>
  <c r="K938" i="57"/>
  <c r="L938" i="57"/>
  <c r="M938" i="57"/>
  <c r="N938" i="57"/>
  <c r="J939" i="57"/>
  <c r="K939" i="57"/>
  <c r="L939" i="57"/>
  <c r="N939" i="57" s="1"/>
  <c r="M939" i="57"/>
  <c r="J940" i="57"/>
  <c r="K940" i="57"/>
  <c r="L940" i="57"/>
  <c r="M940" i="57"/>
  <c r="N940" i="57"/>
  <c r="J941" i="57"/>
  <c r="K941" i="57"/>
  <c r="L941" i="57"/>
  <c r="N941" i="57" s="1"/>
  <c r="M941" i="57"/>
  <c r="J942" i="57"/>
  <c r="K942" i="57"/>
  <c r="L942" i="57"/>
  <c r="N942" i="57" s="1"/>
  <c r="M942" i="57"/>
  <c r="J943" i="57"/>
  <c r="K943" i="57"/>
  <c r="L943" i="57"/>
  <c r="M943" i="57"/>
  <c r="N943" i="57"/>
  <c r="J944" i="57"/>
  <c r="K944" i="57"/>
  <c r="L944" i="57"/>
  <c r="N944" i="57" s="1"/>
  <c r="M944" i="57"/>
  <c r="J945" i="57"/>
  <c r="K945" i="57"/>
  <c r="L945" i="57"/>
  <c r="M945" i="57"/>
  <c r="N945" i="57"/>
  <c r="J946" i="57"/>
  <c r="K946" i="57"/>
  <c r="L946" i="57"/>
  <c r="N946" i="57" s="1"/>
  <c r="M946" i="57"/>
  <c r="J947" i="57"/>
  <c r="K947" i="57"/>
  <c r="L947" i="57"/>
  <c r="N947" i="57" s="1"/>
  <c r="M947" i="57"/>
  <c r="J948" i="57"/>
  <c r="K948" i="57"/>
  <c r="L948" i="57"/>
  <c r="M948" i="57"/>
  <c r="N948" i="57" s="1"/>
  <c r="J949" i="57"/>
  <c r="K949" i="57"/>
  <c r="L949" i="57"/>
  <c r="M949" i="57"/>
  <c r="N949" i="57"/>
  <c r="J950" i="57"/>
  <c r="K950" i="57"/>
  <c r="L950" i="57"/>
  <c r="N950" i="57" s="1"/>
  <c r="M950" i="57"/>
  <c r="J951" i="57"/>
  <c r="K951" i="57"/>
  <c r="L951" i="57"/>
  <c r="M951" i="57"/>
  <c r="N951" i="57"/>
  <c r="J952" i="57"/>
  <c r="K952" i="57"/>
  <c r="L952" i="57"/>
  <c r="N952" i="57" s="1"/>
  <c r="M952" i="57"/>
  <c r="J953" i="57"/>
  <c r="K953" i="57"/>
  <c r="L953" i="57"/>
  <c r="N953" i="57" s="1"/>
  <c r="M953" i="57"/>
  <c r="J954" i="57"/>
  <c r="K954" i="57"/>
  <c r="L954" i="57"/>
  <c r="M954" i="57"/>
  <c r="N954" i="57"/>
  <c r="J955" i="57"/>
  <c r="K955" i="57"/>
  <c r="L955" i="57"/>
  <c r="N955" i="57" s="1"/>
  <c r="M955" i="57"/>
  <c r="J956" i="57"/>
  <c r="K956" i="57"/>
  <c r="L956" i="57"/>
  <c r="N956" i="57" s="1"/>
  <c r="M956" i="57"/>
  <c r="J957" i="57"/>
  <c r="K957" i="57"/>
  <c r="L957" i="57"/>
  <c r="M957" i="57"/>
  <c r="N957" i="57"/>
  <c r="J958" i="57"/>
  <c r="K958" i="57"/>
  <c r="L958" i="57"/>
  <c r="N958" i="57" s="1"/>
  <c r="M958" i="57"/>
  <c r="J959" i="57"/>
  <c r="K959" i="57"/>
  <c r="L959" i="57"/>
  <c r="M959" i="57"/>
  <c r="N959" i="57"/>
  <c r="J960" i="57"/>
  <c r="K960" i="57"/>
  <c r="L960" i="57"/>
  <c r="N960" i="57" s="1"/>
  <c r="M960" i="57"/>
  <c r="J961" i="57"/>
  <c r="K961" i="57"/>
  <c r="L961" i="57"/>
  <c r="N961" i="57" s="1"/>
  <c r="M961" i="57"/>
  <c r="J962" i="57"/>
  <c r="K962" i="57"/>
  <c r="L962" i="57"/>
  <c r="M962" i="57"/>
  <c r="N962" i="57"/>
  <c r="J963" i="57"/>
  <c r="K963" i="57"/>
  <c r="L963" i="57"/>
  <c r="N963" i="57" s="1"/>
  <c r="M963" i="57"/>
  <c r="J964" i="57"/>
  <c r="K964" i="57"/>
  <c r="L964" i="57"/>
  <c r="M964" i="57"/>
  <c r="N964" i="57"/>
  <c r="J965" i="57"/>
  <c r="K965" i="57"/>
  <c r="L965" i="57"/>
  <c r="M965" i="57"/>
  <c r="N965" i="57" s="1"/>
  <c r="J966" i="57"/>
  <c r="K966" i="57"/>
  <c r="L966" i="57"/>
  <c r="N966" i="57" s="1"/>
  <c r="M966" i="57"/>
  <c r="J967" i="57"/>
  <c r="K967" i="57"/>
  <c r="L967" i="57"/>
  <c r="M967" i="57"/>
  <c r="N967" i="57"/>
  <c r="J968" i="57"/>
  <c r="K968" i="57"/>
  <c r="L968" i="57"/>
  <c r="N968" i="57" s="1"/>
  <c r="M968" i="57"/>
  <c r="J969" i="57"/>
  <c r="K969" i="57"/>
  <c r="L969" i="57"/>
  <c r="M969" i="57"/>
  <c r="N969" i="57"/>
  <c r="J970" i="57"/>
  <c r="K970" i="57"/>
  <c r="L970" i="57"/>
  <c r="N970" i="57" s="1"/>
  <c r="M970" i="57"/>
  <c r="J971" i="57"/>
  <c r="K971" i="57"/>
  <c r="L971" i="57"/>
  <c r="N971" i="57" s="1"/>
  <c r="M971" i="57"/>
  <c r="J972" i="57"/>
  <c r="K972" i="57"/>
  <c r="L972" i="57"/>
  <c r="M972" i="57"/>
  <c r="N972" i="57" s="1"/>
  <c r="J973" i="57"/>
  <c r="K973" i="57"/>
  <c r="L973" i="57"/>
  <c r="N973" i="57" s="1"/>
  <c r="M973" i="57"/>
  <c r="J974" i="57"/>
  <c r="K974" i="57"/>
  <c r="L974" i="57"/>
  <c r="N974" i="57" s="1"/>
  <c r="M974" i="57"/>
  <c r="J975" i="57"/>
  <c r="K975" i="57"/>
  <c r="L975" i="57"/>
  <c r="M975" i="57"/>
  <c r="N975" i="57"/>
  <c r="J976" i="57"/>
  <c r="K976" i="57"/>
  <c r="L976" i="57"/>
  <c r="N976" i="57" s="1"/>
  <c r="M976" i="57"/>
  <c r="J977" i="57"/>
  <c r="K977" i="57"/>
  <c r="L977" i="57"/>
  <c r="N977" i="57" s="1"/>
  <c r="M977" i="57"/>
  <c r="J978" i="57"/>
  <c r="K978" i="57"/>
  <c r="L978" i="57"/>
  <c r="M978" i="57"/>
  <c r="N978" i="57"/>
  <c r="J979" i="57"/>
  <c r="K979" i="57"/>
  <c r="L979" i="57"/>
  <c r="N979" i="57" s="1"/>
  <c r="M979" i="57"/>
  <c r="J980" i="57"/>
  <c r="K980" i="57"/>
  <c r="L980" i="57"/>
  <c r="N980" i="57" s="1"/>
  <c r="M980" i="57"/>
  <c r="J981" i="57"/>
  <c r="K981" i="57"/>
  <c r="L981" i="57"/>
  <c r="M981" i="57"/>
  <c r="N981" i="57"/>
  <c r="J982" i="57"/>
  <c r="K982" i="57"/>
  <c r="L982" i="57"/>
  <c r="N982" i="57" s="1"/>
  <c r="M982" i="57"/>
  <c r="J983" i="57"/>
  <c r="K983" i="57"/>
  <c r="L983" i="57"/>
  <c r="M983" i="57"/>
  <c r="N983" i="57"/>
  <c r="J984" i="57"/>
  <c r="K984" i="57"/>
  <c r="L984" i="57"/>
  <c r="N984" i="57" s="1"/>
  <c r="M984" i="57"/>
  <c r="J985" i="57"/>
  <c r="K985" i="57"/>
  <c r="L985" i="57"/>
  <c r="N985" i="57" s="1"/>
  <c r="M985" i="57"/>
  <c r="J986" i="57"/>
  <c r="K986" i="57"/>
  <c r="L986" i="57"/>
  <c r="M986" i="57"/>
  <c r="N986" i="57"/>
  <c r="J987" i="57"/>
  <c r="K987" i="57"/>
  <c r="L987" i="57"/>
  <c r="N987" i="57" s="1"/>
  <c r="M987" i="57"/>
  <c r="J988" i="57"/>
  <c r="K988" i="57"/>
  <c r="L988" i="57"/>
  <c r="M988" i="57"/>
  <c r="N988" i="57"/>
  <c r="J989" i="57"/>
  <c r="K989" i="57"/>
  <c r="L989" i="57"/>
  <c r="N989" i="57" s="1"/>
  <c r="M989" i="57"/>
  <c r="J990" i="57"/>
  <c r="K990" i="57"/>
  <c r="L990" i="57"/>
  <c r="N990" i="57" s="1"/>
  <c r="M990" i="57"/>
  <c r="J991" i="57"/>
  <c r="K991" i="57"/>
  <c r="L991" i="57"/>
  <c r="M991" i="57"/>
  <c r="N991" i="57"/>
  <c r="J992" i="57"/>
  <c r="K992" i="57"/>
  <c r="L992" i="57"/>
  <c r="N992" i="57" s="1"/>
  <c r="M992" i="57"/>
  <c r="J993" i="57"/>
  <c r="K993" i="57"/>
  <c r="L993" i="57"/>
  <c r="M993" i="57"/>
  <c r="N993" i="57"/>
  <c r="J994" i="57"/>
  <c r="K994" i="57"/>
  <c r="L994" i="57"/>
  <c r="N994" i="57" s="1"/>
  <c r="M994" i="57"/>
  <c r="J995" i="57"/>
  <c r="K995" i="57"/>
  <c r="L995" i="57"/>
  <c r="N995" i="57" s="1"/>
  <c r="M995" i="57"/>
  <c r="J996" i="57"/>
  <c r="K996" i="57"/>
  <c r="L996" i="57"/>
  <c r="N996" i="57" s="1"/>
  <c r="M996" i="57"/>
  <c r="J997" i="57"/>
  <c r="K997" i="57"/>
  <c r="L997" i="57"/>
  <c r="N997" i="57" s="1"/>
  <c r="M997" i="57"/>
  <c r="J998" i="57"/>
  <c r="K998" i="57"/>
  <c r="L998" i="57"/>
  <c r="M998" i="57"/>
  <c r="N998" i="57" s="1"/>
  <c r="J999" i="57"/>
  <c r="K999" i="57"/>
  <c r="L999" i="57"/>
  <c r="M999" i="57"/>
  <c r="N999" i="57"/>
  <c r="J1000" i="57"/>
  <c r="K1000" i="57"/>
  <c r="L1000" i="57"/>
  <c r="N1000" i="57" s="1"/>
  <c r="M1000" i="57"/>
  <c r="J1001" i="57"/>
  <c r="K1001" i="57"/>
  <c r="L1001" i="57"/>
  <c r="M1001" i="57"/>
  <c r="N1001" i="57" s="1"/>
  <c r="J1002" i="57"/>
  <c r="K1002" i="57"/>
  <c r="L1002" i="57"/>
  <c r="M1002" i="57"/>
  <c r="N1002" i="57"/>
  <c r="J1003" i="57"/>
  <c r="K1003" i="57"/>
  <c r="L1003" i="57"/>
  <c r="N1003" i="57" s="1"/>
  <c r="M1003" i="57"/>
  <c r="J1004" i="57"/>
  <c r="K1004" i="57"/>
  <c r="L1004" i="57"/>
  <c r="N1004" i="57" s="1"/>
  <c r="M1004" i="57"/>
  <c r="J1005" i="57"/>
  <c r="K1005" i="57"/>
  <c r="L1005" i="57"/>
  <c r="M1005" i="57"/>
  <c r="N1005" i="57"/>
  <c r="J1006" i="57"/>
  <c r="K1006" i="57"/>
  <c r="L1006" i="57"/>
  <c r="M1006" i="57"/>
  <c r="N1006" i="57" s="1"/>
  <c r="J1007" i="57"/>
  <c r="K1007" i="57"/>
  <c r="L1007" i="57"/>
  <c r="M1007" i="57"/>
  <c r="N1007" i="57" s="1"/>
  <c r="J1008" i="57"/>
  <c r="K1008" i="57"/>
  <c r="L1008" i="57"/>
  <c r="N1008" i="57" s="1"/>
  <c r="M1008" i="57"/>
  <c r="J1009" i="57"/>
  <c r="K1009" i="57"/>
  <c r="L1009" i="57"/>
  <c r="N1009" i="57" s="1"/>
  <c r="M1009" i="57"/>
  <c r="J1010" i="57"/>
  <c r="K1010" i="57"/>
  <c r="L1010" i="57"/>
  <c r="M1010" i="57"/>
  <c r="N1010" i="57" s="1"/>
  <c r="J1011" i="57"/>
  <c r="K1011" i="57"/>
  <c r="L1011" i="57"/>
  <c r="N1011" i="57" s="1"/>
  <c r="M1011" i="57"/>
  <c r="J1012" i="57"/>
  <c r="K1012" i="57"/>
  <c r="L1012" i="57"/>
  <c r="N1012" i="57" s="1"/>
  <c r="M1012" i="57"/>
  <c r="J1013" i="57"/>
  <c r="K1013" i="57"/>
  <c r="L1013" i="57"/>
  <c r="M1013" i="57"/>
  <c r="N1013" i="57"/>
  <c r="J1014" i="57"/>
  <c r="K1014" i="57"/>
  <c r="L1014" i="57"/>
  <c r="N1014" i="57" s="1"/>
  <c r="M1014" i="57"/>
  <c r="J1015" i="57"/>
  <c r="K1015" i="57"/>
  <c r="L1015" i="57"/>
  <c r="M1015" i="57"/>
  <c r="N1015" i="57" s="1"/>
  <c r="J1016" i="57"/>
  <c r="K1016" i="57"/>
  <c r="L1016" i="57"/>
  <c r="N1016" i="57" s="1"/>
  <c r="M1016" i="57"/>
  <c r="J810" i="57"/>
  <c r="K810" i="57"/>
  <c r="L810" i="57"/>
  <c r="N810" i="57" s="1"/>
  <c r="M810" i="57"/>
  <c r="J811" i="57"/>
  <c r="K811" i="57"/>
  <c r="L811" i="57"/>
  <c r="N811" i="57" s="1"/>
  <c r="M811" i="57"/>
  <c r="J812" i="57"/>
  <c r="K812" i="57"/>
  <c r="L812" i="57"/>
  <c r="N812" i="57" s="1"/>
  <c r="M812" i="57"/>
  <c r="J813" i="57"/>
  <c r="K813" i="57"/>
  <c r="L813" i="57"/>
  <c r="N813" i="57" s="1"/>
  <c r="M813" i="57"/>
  <c r="J814" i="57"/>
  <c r="K814" i="57"/>
  <c r="L814" i="57"/>
  <c r="M814" i="57"/>
  <c r="N814" i="57" s="1"/>
  <c r="J815" i="57"/>
  <c r="K815" i="57"/>
  <c r="L815" i="57"/>
  <c r="N815" i="57" s="1"/>
  <c r="M815" i="57"/>
  <c r="J816" i="57"/>
  <c r="K816" i="57"/>
  <c r="L816" i="57"/>
  <c r="N816" i="57" s="1"/>
  <c r="M816" i="57"/>
  <c r="J817" i="57"/>
  <c r="K817" i="57"/>
  <c r="L817" i="57"/>
  <c r="N817" i="57" s="1"/>
  <c r="M817" i="57"/>
  <c r="J818" i="57"/>
  <c r="K818" i="57"/>
  <c r="L818" i="57"/>
  <c r="N818" i="57" s="1"/>
  <c r="M818" i="57"/>
  <c r="J819" i="57"/>
  <c r="K819" i="57"/>
  <c r="L819" i="57"/>
  <c r="N819" i="57" s="1"/>
  <c r="M819" i="57"/>
  <c r="J820" i="57"/>
  <c r="K820" i="57"/>
  <c r="L820" i="57"/>
  <c r="M820" i="57"/>
  <c r="N820" i="57" s="1"/>
  <c r="J821" i="57"/>
  <c r="K821" i="57"/>
  <c r="L821" i="57"/>
  <c r="M821" i="57"/>
  <c r="N821" i="57"/>
  <c r="J822" i="57"/>
  <c r="K822" i="57"/>
  <c r="L822" i="57"/>
  <c r="M822" i="57"/>
  <c r="N822" i="57"/>
  <c r="J823" i="57"/>
  <c r="K823" i="57"/>
  <c r="L823" i="57"/>
  <c r="M823" i="57"/>
  <c r="N823" i="57"/>
  <c r="J824" i="57"/>
  <c r="K824" i="57"/>
  <c r="L824" i="57"/>
  <c r="N824" i="57" s="1"/>
  <c r="M824" i="57"/>
  <c r="J825" i="57"/>
  <c r="K825" i="57"/>
  <c r="L825" i="57"/>
  <c r="N825" i="57" s="1"/>
  <c r="M825" i="57"/>
  <c r="J826" i="57"/>
  <c r="K826" i="57"/>
  <c r="L826" i="57"/>
  <c r="M826" i="57"/>
  <c r="N826" i="57"/>
  <c r="J827" i="57"/>
  <c r="K827" i="57"/>
  <c r="L827" i="57"/>
  <c r="N827" i="57" s="1"/>
  <c r="M827" i="57"/>
  <c r="J828" i="57"/>
  <c r="K828" i="57"/>
  <c r="L828" i="57"/>
  <c r="M828" i="57"/>
  <c r="N828" i="57" s="1"/>
  <c r="J829" i="57"/>
  <c r="K829" i="57"/>
  <c r="L829" i="57"/>
  <c r="M829" i="57"/>
  <c r="N829" i="57"/>
  <c r="J830" i="57"/>
  <c r="K830" i="57"/>
  <c r="L830" i="57"/>
  <c r="N830" i="57" s="1"/>
  <c r="M830" i="57"/>
  <c r="J831" i="57"/>
  <c r="K831" i="57"/>
  <c r="L831" i="57"/>
  <c r="M831" i="57"/>
  <c r="N831" i="57" s="1"/>
  <c r="J832" i="57"/>
  <c r="K832" i="57"/>
  <c r="L832" i="57"/>
  <c r="N832" i="57" s="1"/>
  <c r="M832" i="57"/>
  <c r="J833" i="57"/>
  <c r="K833" i="57"/>
  <c r="L833" i="57"/>
  <c r="M833" i="57"/>
  <c r="N833" i="57"/>
  <c r="J834" i="57"/>
  <c r="K834" i="57"/>
  <c r="L834" i="57"/>
  <c r="N834" i="57" s="1"/>
  <c r="M834" i="57"/>
  <c r="J835" i="57"/>
  <c r="K835" i="57"/>
  <c r="L835" i="57"/>
  <c r="N835" i="57" s="1"/>
  <c r="M835" i="57"/>
  <c r="J836" i="57"/>
  <c r="K836" i="57"/>
  <c r="L836" i="57"/>
  <c r="N836" i="57" s="1"/>
  <c r="M836" i="57"/>
  <c r="J837" i="57"/>
  <c r="K837" i="57"/>
  <c r="L837" i="57"/>
  <c r="M837" i="57"/>
  <c r="N837" i="57" s="1"/>
  <c r="J838" i="57"/>
  <c r="K838" i="57"/>
  <c r="L838" i="57"/>
  <c r="N838" i="57" s="1"/>
  <c r="M838" i="57"/>
  <c r="J839" i="57"/>
  <c r="K839" i="57"/>
  <c r="L839" i="57"/>
  <c r="N839" i="57" s="1"/>
  <c r="M839" i="57"/>
  <c r="J840" i="57"/>
  <c r="K840" i="57"/>
  <c r="L840" i="57"/>
  <c r="M840" i="57"/>
  <c r="N840" i="57"/>
  <c r="J841" i="57"/>
  <c r="K841" i="57"/>
  <c r="L841" i="57"/>
  <c r="N841" i="57" s="1"/>
  <c r="M841" i="57"/>
  <c r="J842" i="57"/>
  <c r="K842" i="57"/>
  <c r="L842" i="57"/>
  <c r="N842" i="57" s="1"/>
  <c r="M842" i="57"/>
  <c r="J843" i="57"/>
  <c r="K843" i="57"/>
  <c r="L843" i="57"/>
  <c r="N843" i="57" s="1"/>
  <c r="M843" i="57"/>
  <c r="J844" i="57"/>
  <c r="K844" i="57"/>
  <c r="L844" i="57"/>
  <c r="N844" i="57" s="1"/>
  <c r="M844" i="57"/>
  <c r="J845" i="57"/>
  <c r="K845" i="57"/>
  <c r="L845" i="57"/>
  <c r="M845" i="57"/>
  <c r="N845" i="57" s="1"/>
  <c r="J846" i="57"/>
  <c r="K846" i="57"/>
  <c r="L846" i="57"/>
  <c r="M846" i="57"/>
  <c r="N846" i="57"/>
  <c r="J847" i="57"/>
  <c r="K847" i="57"/>
  <c r="L847" i="57"/>
  <c r="N847" i="57" s="1"/>
  <c r="M847" i="57"/>
  <c r="J848" i="57"/>
  <c r="K848" i="57"/>
  <c r="L848" i="57"/>
  <c r="N848" i="57" s="1"/>
  <c r="M848" i="57"/>
  <c r="J849" i="57"/>
  <c r="K849" i="57"/>
  <c r="L849" i="57"/>
  <c r="N849" i="57" s="1"/>
  <c r="M849" i="57"/>
  <c r="J850" i="57"/>
  <c r="K850" i="57"/>
  <c r="L850" i="57"/>
  <c r="N850" i="57" s="1"/>
  <c r="M850" i="57"/>
  <c r="J851" i="57"/>
  <c r="K851" i="57"/>
  <c r="L851" i="57"/>
  <c r="M851" i="57"/>
  <c r="N851" i="57" s="1"/>
  <c r="J852" i="57"/>
  <c r="K852" i="57"/>
  <c r="L852" i="57"/>
  <c r="M852" i="57"/>
  <c r="N852" i="57" s="1"/>
  <c r="J853" i="57"/>
  <c r="K853" i="57"/>
  <c r="L853" i="57"/>
  <c r="M853" i="57"/>
  <c r="N853" i="57"/>
  <c r="J854" i="57"/>
  <c r="K854" i="57"/>
  <c r="L854" i="57"/>
  <c r="N854" i="57" s="1"/>
  <c r="M854" i="57"/>
  <c r="J855" i="57"/>
  <c r="K855" i="57"/>
  <c r="L855" i="57"/>
  <c r="N855" i="57" s="1"/>
  <c r="M855" i="57"/>
  <c r="J856" i="57"/>
  <c r="K856" i="57"/>
  <c r="L856" i="57"/>
  <c r="N856" i="57" s="1"/>
  <c r="M856" i="57"/>
  <c r="J857" i="57"/>
  <c r="K857" i="57"/>
  <c r="L857" i="57"/>
  <c r="M857" i="57"/>
  <c r="N857" i="57"/>
  <c r="J858" i="57"/>
  <c r="K858" i="57"/>
  <c r="L858" i="57"/>
  <c r="M858" i="57"/>
  <c r="N858" i="57" s="1"/>
  <c r="J859" i="57"/>
  <c r="K859" i="57"/>
  <c r="L859" i="57"/>
  <c r="N859" i="57" s="1"/>
  <c r="M859" i="57"/>
  <c r="J860" i="57"/>
  <c r="K860" i="57"/>
  <c r="L860" i="57"/>
  <c r="N860" i="57" s="1"/>
  <c r="M860" i="57"/>
  <c r="J861" i="57"/>
  <c r="K861" i="57"/>
  <c r="L861" i="57"/>
  <c r="M861" i="57"/>
  <c r="N861" i="57"/>
  <c r="J862" i="57"/>
  <c r="K862" i="57"/>
  <c r="L862" i="57"/>
  <c r="N862" i="57" s="1"/>
  <c r="M862" i="57"/>
  <c r="J863" i="57"/>
  <c r="K863" i="57"/>
  <c r="L863" i="57"/>
  <c r="N863" i="57" s="1"/>
  <c r="M863" i="57"/>
  <c r="J864" i="57"/>
  <c r="K864" i="57"/>
  <c r="L864" i="57"/>
  <c r="M864" i="57"/>
  <c r="N864" i="57"/>
  <c r="J865" i="57"/>
  <c r="K865" i="57"/>
  <c r="L865" i="57"/>
  <c r="N865" i="57" s="1"/>
  <c r="M865" i="57"/>
  <c r="J866" i="57"/>
  <c r="K866" i="57"/>
  <c r="L866" i="57"/>
  <c r="N866" i="57" s="1"/>
  <c r="M866" i="57"/>
  <c r="J867" i="57"/>
  <c r="K867" i="57"/>
  <c r="L867" i="57"/>
  <c r="N867" i="57" s="1"/>
  <c r="M867" i="57"/>
  <c r="J868" i="57"/>
  <c r="K868" i="57"/>
  <c r="L868" i="57"/>
  <c r="N868" i="57" s="1"/>
  <c r="M868" i="57"/>
  <c r="J869" i="57"/>
  <c r="K869" i="57"/>
  <c r="L869" i="57"/>
  <c r="M869" i="57"/>
  <c r="N869" i="57" s="1"/>
  <c r="J870" i="57"/>
  <c r="K870" i="57"/>
  <c r="L870" i="57"/>
  <c r="M870" i="57"/>
  <c r="N870" i="57"/>
  <c r="J871" i="57"/>
  <c r="K871" i="57"/>
  <c r="L871" i="57"/>
  <c r="N871" i="57" s="1"/>
  <c r="M871" i="57"/>
  <c r="J872" i="57"/>
  <c r="K872" i="57"/>
  <c r="L872" i="57"/>
  <c r="M872" i="57"/>
  <c r="N872" i="57"/>
  <c r="J873" i="57"/>
  <c r="K873" i="57"/>
  <c r="L873" i="57"/>
  <c r="N873" i="57" s="1"/>
  <c r="M873" i="57"/>
  <c r="J874" i="57"/>
  <c r="K874" i="57"/>
  <c r="L874" i="57"/>
  <c r="N874" i="57" s="1"/>
  <c r="M874" i="57"/>
  <c r="J875" i="57"/>
  <c r="K875" i="57"/>
  <c r="L875" i="57"/>
  <c r="M875" i="57"/>
  <c r="N875" i="57" s="1"/>
  <c r="J876" i="57"/>
  <c r="K876" i="57"/>
  <c r="L876" i="57"/>
  <c r="M876" i="57"/>
  <c r="N876" i="57" s="1"/>
  <c r="J877" i="57"/>
  <c r="K877" i="57"/>
  <c r="L877" i="57"/>
  <c r="M877" i="57"/>
  <c r="N877" i="57"/>
  <c r="J878" i="57"/>
  <c r="K878" i="57"/>
  <c r="L878" i="57"/>
  <c r="N878" i="57" s="1"/>
  <c r="M878" i="57"/>
  <c r="J879" i="57"/>
  <c r="K879" i="57"/>
  <c r="L879" i="57"/>
  <c r="N879" i="57" s="1"/>
  <c r="M879" i="57"/>
  <c r="J880" i="57"/>
  <c r="K880" i="57"/>
  <c r="L880" i="57"/>
  <c r="N880" i="57" s="1"/>
  <c r="M880" i="57"/>
  <c r="J881" i="57"/>
  <c r="K881" i="57"/>
  <c r="L881" i="57"/>
  <c r="M881" i="57"/>
  <c r="N881" i="57"/>
  <c r="J882" i="57"/>
  <c r="K882" i="57"/>
  <c r="L882" i="57"/>
  <c r="M882" i="57"/>
  <c r="N882" i="57" s="1"/>
  <c r="J883" i="57"/>
  <c r="K883" i="57"/>
  <c r="L883" i="57"/>
  <c r="N883" i="57" s="1"/>
  <c r="M883" i="57"/>
  <c r="J884" i="57"/>
  <c r="K884" i="57"/>
  <c r="L884" i="57"/>
  <c r="N884" i="57" s="1"/>
  <c r="M884" i="57"/>
  <c r="J885" i="57"/>
  <c r="K885" i="57"/>
  <c r="L885" i="57"/>
  <c r="M885" i="57"/>
  <c r="N885" i="57"/>
  <c r="J886" i="57"/>
  <c r="K886" i="57"/>
  <c r="L886" i="57"/>
  <c r="N886" i="57" s="1"/>
  <c r="M886" i="57"/>
  <c r="J887" i="57"/>
  <c r="K887" i="57"/>
  <c r="L887" i="57"/>
  <c r="M887" i="57"/>
  <c r="N887" i="57"/>
  <c r="J888" i="57"/>
  <c r="K888" i="57"/>
  <c r="L888" i="57"/>
  <c r="M888" i="57"/>
  <c r="N888" i="57"/>
  <c r="J889" i="57"/>
  <c r="K889" i="57"/>
  <c r="L889" i="57"/>
  <c r="N889" i="57" s="1"/>
  <c r="M889" i="57"/>
  <c r="J890" i="57"/>
  <c r="K890" i="57"/>
  <c r="L890" i="57"/>
  <c r="N890" i="57" s="1"/>
  <c r="M890" i="57"/>
  <c r="J891" i="57"/>
  <c r="K891" i="57"/>
  <c r="L891" i="57"/>
  <c r="N891" i="57" s="1"/>
  <c r="M891" i="57"/>
  <c r="J892" i="57"/>
  <c r="K892" i="57"/>
  <c r="L892" i="57"/>
  <c r="N892" i="57" s="1"/>
  <c r="M892" i="57"/>
  <c r="J893" i="57"/>
  <c r="K893" i="57"/>
  <c r="L893" i="57"/>
  <c r="M893" i="57"/>
  <c r="N893" i="57" s="1"/>
  <c r="J894" i="57"/>
  <c r="K894" i="57"/>
  <c r="L894" i="57"/>
  <c r="M894" i="57"/>
  <c r="N894" i="57"/>
  <c r="J895" i="57"/>
  <c r="K895" i="57"/>
  <c r="L895" i="57"/>
  <c r="N895" i="57" s="1"/>
  <c r="M895" i="57"/>
  <c r="J896" i="57"/>
  <c r="K896" i="57"/>
  <c r="L896" i="57"/>
  <c r="N896" i="57" s="1"/>
  <c r="M896" i="57"/>
  <c r="J897" i="57"/>
  <c r="K897" i="57"/>
  <c r="L897" i="57"/>
  <c r="N897" i="57" s="1"/>
  <c r="M897" i="57"/>
  <c r="J898" i="57"/>
  <c r="K898" i="57"/>
  <c r="L898" i="57"/>
  <c r="N898" i="57" s="1"/>
  <c r="M898" i="57"/>
  <c r="J899" i="57"/>
  <c r="K899" i="57"/>
  <c r="L899" i="57"/>
  <c r="M899" i="57"/>
  <c r="N899" i="57" s="1"/>
  <c r="J900" i="57"/>
  <c r="K900" i="57"/>
  <c r="L900" i="57"/>
  <c r="M900" i="57"/>
  <c r="N900" i="57" s="1"/>
  <c r="J901" i="57"/>
  <c r="K901" i="57"/>
  <c r="L901" i="57"/>
  <c r="M901" i="57"/>
  <c r="N901" i="57" s="1"/>
  <c r="J902" i="57"/>
  <c r="K902" i="57"/>
  <c r="L902" i="57"/>
  <c r="N902" i="57" s="1"/>
  <c r="M902" i="57"/>
  <c r="J903" i="57"/>
  <c r="K903" i="57"/>
  <c r="L903" i="57"/>
  <c r="M903" i="57"/>
  <c r="N903" i="57"/>
  <c r="J904" i="57"/>
  <c r="K904" i="57"/>
  <c r="L904" i="57"/>
  <c r="N904" i="57" s="1"/>
  <c r="M904" i="57"/>
  <c r="J905" i="57"/>
  <c r="K905" i="57"/>
  <c r="L905" i="57"/>
  <c r="M905" i="57"/>
  <c r="N905" i="57"/>
  <c r="J906" i="57"/>
  <c r="K906" i="57"/>
  <c r="L906" i="57"/>
  <c r="M906" i="57"/>
  <c r="N906" i="57"/>
  <c r="J907" i="57"/>
  <c r="K907" i="57"/>
  <c r="L907" i="57"/>
  <c r="N907" i="57" s="1"/>
  <c r="M907" i="57"/>
  <c r="J908" i="57"/>
  <c r="K908" i="57"/>
  <c r="L908" i="57"/>
  <c r="M908" i="57"/>
  <c r="N908" i="57"/>
  <c r="J909" i="57"/>
  <c r="K909" i="57"/>
  <c r="L909" i="57"/>
  <c r="N909" i="57" s="1"/>
  <c r="M909" i="57"/>
  <c r="J910" i="57"/>
  <c r="K910" i="57"/>
  <c r="L910" i="57"/>
  <c r="N910" i="57" s="1"/>
  <c r="M910" i="57"/>
  <c r="J911" i="57"/>
  <c r="K911" i="57"/>
  <c r="L911" i="57"/>
  <c r="N911" i="57" s="1"/>
  <c r="M911" i="57"/>
  <c r="J912" i="57"/>
  <c r="K912" i="57"/>
  <c r="L912" i="57"/>
  <c r="M912" i="57"/>
  <c r="N912" i="57"/>
  <c r="J913" i="57"/>
  <c r="K913" i="57"/>
  <c r="L913" i="57"/>
  <c r="N913" i="57" s="1"/>
  <c r="M913" i="57"/>
  <c r="J914" i="57"/>
  <c r="K914" i="57"/>
  <c r="L914" i="57"/>
  <c r="M914" i="57"/>
  <c r="N914" i="57"/>
  <c r="J915" i="57"/>
  <c r="K915" i="57"/>
  <c r="L915" i="57"/>
  <c r="N915" i="57" s="1"/>
  <c r="M915" i="57"/>
  <c r="J916" i="57"/>
  <c r="K916" i="57"/>
  <c r="L916" i="57"/>
  <c r="M916" i="57"/>
  <c r="N916" i="57"/>
  <c r="J917" i="57"/>
  <c r="K917" i="57"/>
  <c r="L917" i="57"/>
  <c r="N917" i="57" s="1"/>
  <c r="M917" i="57"/>
  <c r="J918" i="57"/>
  <c r="K918" i="57"/>
  <c r="L918" i="57"/>
  <c r="N918" i="57" s="1"/>
  <c r="M918" i="57"/>
  <c r="J919" i="57"/>
  <c r="K919" i="57"/>
  <c r="L919" i="57"/>
  <c r="N919" i="57" s="1"/>
  <c r="M919" i="57"/>
  <c r="J920" i="57"/>
  <c r="K920" i="57"/>
  <c r="L920" i="57"/>
  <c r="M920" i="57"/>
  <c r="N920" i="57"/>
  <c r="J921" i="57"/>
  <c r="K921" i="57"/>
  <c r="L921" i="57"/>
  <c r="M921" i="57"/>
  <c r="N921" i="57"/>
  <c r="J922" i="57"/>
  <c r="K922" i="57"/>
  <c r="L922" i="57"/>
  <c r="N922" i="57" s="1"/>
  <c r="M922" i="57"/>
  <c r="J923" i="57"/>
  <c r="K923" i="57"/>
  <c r="L923" i="57"/>
  <c r="M923" i="57"/>
  <c r="N923" i="57"/>
  <c r="J924" i="57"/>
  <c r="K924" i="57"/>
  <c r="L924" i="57"/>
  <c r="N924" i="57" s="1"/>
  <c r="M924" i="57"/>
  <c r="J925" i="57"/>
  <c r="K925" i="57"/>
  <c r="L925" i="57"/>
  <c r="M925" i="57"/>
  <c r="N925" i="57"/>
  <c r="J926" i="57"/>
  <c r="K926" i="57"/>
  <c r="L926" i="57"/>
  <c r="N926" i="57" s="1"/>
  <c r="M926" i="57"/>
  <c r="J927" i="57"/>
  <c r="K927" i="57"/>
  <c r="L927" i="57"/>
  <c r="M927" i="57"/>
  <c r="N927" i="57"/>
  <c r="J700" i="57"/>
  <c r="K700" i="57"/>
  <c r="L700" i="57"/>
  <c r="N700" i="57" s="1"/>
  <c r="M700" i="57"/>
  <c r="J701" i="57"/>
  <c r="K701" i="57"/>
  <c r="L701" i="57"/>
  <c r="N701" i="57" s="1"/>
  <c r="M701" i="57"/>
  <c r="J702" i="57"/>
  <c r="K702" i="57"/>
  <c r="L702" i="57"/>
  <c r="N702" i="57" s="1"/>
  <c r="M702" i="57"/>
  <c r="J703" i="57"/>
  <c r="K703" i="57"/>
  <c r="L703" i="57"/>
  <c r="N703" i="57" s="1"/>
  <c r="M703" i="57"/>
  <c r="J704" i="57"/>
  <c r="K704" i="57"/>
  <c r="L704" i="57"/>
  <c r="N704" i="57" s="1"/>
  <c r="M704" i="57"/>
  <c r="J705" i="57"/>
  <c r="K705" i="57"/>
  <c r="L705" i="57"/>
  <c r="N705" i="57" s="1"/>
  <c r="M705" i="57"/>
  <c r="J706" i="57"/>
  <c r="K706" i="57"/>
  <c r="L706" i="57"/>
  <c r="N706" i="57" s="1"/>
  <c r="M706" i="57"/>
  <c r="J707" i="57"/>
  <c r="K707" i="57"/>
  <c r="L707" i="57"/>
  <c r="M707" i="57"/>
  <c r="N707" i="57"/>
  <c r="J708" i="57"/>
  <c r="K708" i="57"/>
  <c r="L708" i="57"/>
  <c r="N708" i="57" s="1"/>
  <c r="M708" i="57"/>
  <c r="J709" i="57"/>
  <c r="K709" i="57"/>
  <c r="L709" i="57"/>
  <c r="N709" i="57" s="1"/>
  <c r="M709" i="57"/>
  <c r="J710" i="57"/>
  <c r="K710" i="57"/>
  <c r="L710" i="57"/>
  <c r="N710" i="57" s="1"/>
  <c r="M710" i="57"/>
  <c r="J711" i="57"/>
  <c r="K711" i="57"/>
  <c r="L711" i="57"/>
  <c r="N711" i="57" s="1"/>
  <c r="M711" i="57"/>
  <c r="J712" i="57"/>
  <c r="K712" i="57"/>
  <c r="L712" i="57"/>
  <c r="M712" i="57"/>
  <c r="N712" i="57"/>
  <c r="J713" i="57"/>
  <c r="K713" i="57"/>
  <c r="L713" i="57"/>
  <c r="M713" i="57"/>
  <c r="N713" i="57"/>
  <c r="J714" i="57"/>
  <c r="K714" i="57"/>
  <c r="L714" i="57"/>
  <c r="N714" i="57" s="1"/>
  <c r="M714" i="57"/>
  <c r="J715" i="57"/>
  <c r="K715" i="57"/>
  <c r="L715" i="57"/>
  <c r="N715" i="57" s="1"/>
  <c r="M715" i="57"/>
  <c r="J716" i="57"/>
  <c r="K716" i="57"/>
  <c r="L716" i="57"/>
  <c r="N716" i="57" s="1"/>
  <c r="M716" i="57"/>
  <c r="J717" i="57"/>
  <c r="K717" i="57"/>
  <c r="L717" i="57"/>
  <c r="M717" i="57"/>
  <c r="N717" i="57"/>
  <c r="J718" i="57"/>
  <c r="K718" i="57"/>
  <c r="L718" i="57"/>
  <c r="N718" i="57" s="1"/>
  <c r="M718" i="57"/>
  <c r="J719" i="57"/>
  <c r="K719" i="57"/>
  <c r="L719" i="57"/>
  <c r="M719" i="57"/>
  <c r="N719" i="57"/>
  <c r="J720" i="57"/>
  <c r="K720" i="57"/>
  <c r="L720" i="57"/>
  <c r="M720" i="57"/>
  <c r="N720" i="57"/>
  <c r="J721" i="57"/>
  <c r="K721" i="57"/>
  <c r="L721" i="57"/>
  <c r="M721" i="57"/>
  <c r="N721" i="57"/>
  <c r="J722" i="57"/>
  <c r="K722" i="57"/>
  <c r="L722" i="57"/>
  <c r="M722" i="57"/>
  <c r="N722" i="57"/>
  <c r="J723" i="57"/>
  <c r="K723" i="57"/>
  <c r="L723" i="57"/>
  <c r="N723" i="57" s="1"/>
  <c r="M723" i="57"/>
  <c r="J724" i="57"/>
  <c r="K724" i="57"/>
  <c r="L724" i="57"/>
  <c r="N724" i="57" s="1"/>
  <c r="M724" i="57"/>
  <c r="J725" i="57"/>
  <c r="K725" i="57"/>
  <c r="L725" i="57"/>
  <c r="M725" i="57"/>
  <c r="N725" i="57" s="1"/>
  <c r="J726" i="57"/>
  <c r="K726" i="57"/>
  <c r="L726" i="57"/>
  <c r="N726" i="57" s="1"/>
  <c r="M726" i="57"/>
  <c r="J727" i="57"/>
  <c r="K727" i="57"/>
  <c r="L727" i="57"/>
  <c r="N727" i="57" s="1"/>
  <c r="M727" i="57"/>
  <c r="J728" i="57"/>
  <c r="K728" i="57"/>
  <c r="L728" i="57"/>
  <c r="M728" i="57"/>
  <c r="N728" i="57" s="1"/>
  <c r="J729" i="57"/>
  <c r="K729" i="57"/>
  <c r="L729" i="57"/>
  <c r="N729" i="57" s="1"/>
  <c r="M729" i="57"/>
  <c r="J730" i="57"/>
  <c r="K730" i="57"/>
  <c r="L730" i="57"/>
  <c r="N730" i="57" s="1"/>
  <c r="M730" i="57"/>
  <c r="J731" i="57"/>
  <c r="K731" i="57"/>
  <c r="L731" i="57"/>
  <c r="M731" i="57"/>
  <c r="N731" i="57"/>
  <c r="J732" i="57"/>
  <c r="K732" i="57"/>
  <c r="L732" i="57"/>
  <c r="N732" i="57" s="1"/>
  <c r="M732" i="57"/>
  <c r="J733" i="57"/>
  <c r="K733" i="57"/>
  <c r="L733" i="57"/>
  <c r="N733" i="57" s="1"/>
  <c r="M733" i="57"/>
  <c r="J734" i="57"/>
  <c r="K734" i="57"/>
  <c r="L734" i="57"/>
  <c r="N734" i="57" s="1"/>
  <c r="M734" i="57"/>
  <c r="J735" i="57"/>
  <c r="K735" i="57"/>
  <c r="L735" i="57"/>
  <c r="N735" i="57" s="1"/>
  <c r="M735" i="57"/>
  <c r="J736" i="57"/>
  <c r="K736" i="57"/>
  <c r="L736" i="57"/>
  <c r="M736" i="57"/>
  <c r="N736" i="57"/>
  <c r="J737" i="57"/>
  <c r="K737" i="57"/>
  <c r="L737" i="57"/>
  <c r="M737" i="57"/>
  <c r="N737" i="57" s="1"/>
  <c r="J738" i="57"/>
  <c r="K738" i="57"/>
  <c r="L738" i="57"/>
  <c r="N738" i="57" s="1"/>
  <c r="M738" i="57"/>
  <c r="J739" i="57"/>
  <c r="K739" i="57"/>
  <c r="L739" i="57"/>
  <c r="N739" i="57" s="1"/>
  <c r="M739" i="57"/>
  <c r="J740" i="57"/>
  <c r="K740" i="57"/>
  <c r="L740" i="57"/>
  <c r="N740" i="57" s="1"/>
  <c r="M740" i="57"/>
  <c r="J741" i="57"/>
  <c r="K741" i="57"/>
  <c r="L741" i="57"/>
  <c r="M741" i="57"/>
  <c r="N741" i="57" s="1"/>
  <c r="J742" i="57"/>
  <c r="K742" i="57"/>
  <c r="L742" i="57"/>
  <c r="N742" i="57" s="1"/>
  <c r="M742" i="57"/>
  <c r="J743" i="57"/>
  <c r="K743" i="57"/>
  <c r="L743" i="57"/>
  <c r="N743" i="57" s="1"/>
  <c r="M743" i="57"/>
  <c r="J744" i="57"/>
  <c r="K744" i="57"/>
  <c r="L744" i="57"/>
  <c r="M744" i="57"/>
  <c r="N744" i="57"/>
  <c r="J745" i="57"/>
  <c r="K745" i="57"/>
  <c r="L745" i="57"/>
  <c r="N745" i="57" s="1"/>
  <c r="M745" i="57"/>
  <c r="J746" i="57"/>
  <c r="K746" i="57"/>
  <c r="L746" i="57"/>
  <c r="N746" i="57" s="1"/>
  <c r="M746" i="57"/>
  <c r="J747" i="57"/>
  <c r="K747" i="57"/>
  <c r="L747" i="57"/>
  <c r="N747" i="57" s="1"/>
  <c r="M747" i="57"/>
  <c r="J748" i="57"/>
  <c r="K748" i="57"/>
  <c r="L748" i="57"/>
  <c r="N748" i="57" s="1"/>
  <c r="M748" i="57"/>
  <c r="J749" i="57"/>
  <c r="K749" i="57"/>
  <c r="L749" i="57"/>
  <c r="M749" i="57"/>
  <c r="N749" i="57"/>
  <c r="J750" i="57"/>
  <c r="K750" i="57"/>
  <c r="L750" i="57"/>
  <c r="N750" i="57" s="1"/>
  <c r="M750" i="57"/>
  <c r="J751" i="57"/>
  <c r="K751" i="57"/>
  <c r="L751" i="57"/>
  <c r="M751" i="57"/>
  <c r="N751" i="57" s="1"/>
  <c r="J752" i="57"/>
  <c r="K752" i="57"/>
  <c r="L752" i="57"/>
  <c r="N752" i="57" s="1"/>
  <c r="M752" i="57"/>
  <c r="J753" i="57"/>
  <c r="K753" i="57"/>
  <c r="L753" i="57"/>
  <c r="N753" i="57" s="1"/>
  <c r="M753" i="57"/>
  <c r="J754" i="57"/>
  <c r="K754" i="57"/>
  <c r="L754" i="57"/>
  <c r="M754" i="57"/>
  <c r="N754" i="57" s="1"/>
  <c r="J755" i="57"/>
  <c r="K755" i="57"/>
  <c r="L755" i="57"/>
  <c r="M755" i="57"/>
  <c r="N755" i="57"/>
  <c r="J756" i="57"/>
  <c r="K756" i="57"/>
  <c r="L756" i="57"/>
  <c r="M756" i="57"/>
  <c r="N756" i="57"/>
  <c r="J757" i="57"/>
  <c r="K757" i="57"/>
  <c r="L757" i="57"/>
  <c r="N757" i="57" s="1"/>
  <c r="M757" i="57"/>
  <c r="J758" i="57"/>
  <c r="K758" i="57"/>
  <c r="L758" i="57"/>
  <c r="N758" i="57" s="1"/>
  <c r="M758" i="57"/>
  <c r="J759" i="57"/>
  <c r="K759" i="57"/>
  <c r="L759" i="57"/>
  <c r="N759" i="57" s="1"/>
  <c r="M759" i="57"/>
  <c r="J760" i="57"/>
  <c r="K760" i="57"/>
  <c r="L760" i="57"/>
  <c r="M760" i="57"/>
  <c r="N760" i="57"/>
  <c r="J761" i="57"/>
  <c r="K761" i="57"/>
  <c r="L761" i="57"/>
  <c r="M761" i="57"/>
  <c r="N761" i="57" s="1"/>
  <c r="J762" i="57"/>
  <c r="K762" i="57"/>
  <c r="L762" i="57"/>
  <c r="N762" i="57" s="1"/>
  <c r="M762" i="57"/>
  <c r="J763" i="57"/>
  <c r="K763" i="57"/>
  <c r="L763" i="57"/>
  <c r="M763" i="57"/>
  <c r="N763" i="57"/>
  <c r="J764" i="57"/>
  <c r="K764" i="57"/>
  <c r="L764" i="57"/>
  <c r="N764" i="57" s="1"/>
  <c r="M764" i="57"/>
  <c r="J765" i="57"/>
  <c r="K765" i="57"/>
  <c r="L765" i="57"/>
  <c r="N765" i="57" s="1"/>
  <c r="M765" i="57"/>
  <c r="J766" i="57"/>
  <c r="K766" i="57"/>
  <c r="L766" i="57"/>
  <c r="N766" i="57" s="1"/>
  <c r="M766" i="57"/>
  <c r="J767" i="57"/>
  <c r="K767" i="57"/>
  <c r="L767" i="57"/>
  <c r="N767" i="57" s="1"/>
  <c r="M767" i="57"/>
  <c r="J768" i="57"/>
  <c r="K768" i="57"/>
  <c r="L768" i="57"/>
  <c r="M768" i="57"/>
  <c r="N768" i="57"/>
  <c r="J769" i="57"/>
  <c r="K769" i="57"/>
  <c r="L769" i="57"/>
  <c r="N769" i="57" s="1"/>
  <c r="M769" i="57"/>
  <c r="J770" i="57"/>
  <c r="K770" i="57"/>
  <c r="L770" i="57"/>
  <c r="N770" i="57" s="1"/>
  <c r="M770" i="57"/>
  <c r="J771" i="57"/>
  <c r="K771" i="57"/>
  <c r="L771" i="57"/>
  <c r="N771" i="57" s="1"/>
  <c r="M771" i="57"/>
  <c r="J772" i="57"/>
  <c r="K772" i="57"/>
  <c r="L772" i="57"/>
  <c r="N772" i="57" s="1"/>
  <c r="M772" i="57"/>
  <c r="J773" i="57"/>
  <c r="K773" i="57"/>
  <c r="L773" i="57"/>
  <c r="M773" i="57"/>
  <c r="N773" i="57"/>
  <c r="J774" i="57"/>
  <c r="K774" i="57"/>
  <c r="L774" i="57"/>
  <c r="M774" i="57"/>
  <c r="N774" i="57"/>
  <c r="J775" i="57"/>
  <c r="K775" i="57"/>
  <c r="L775" i="57"/>
  <c r="N775" i="57" s="1"/>
  <c r="M775" i="57"/>
  <c r="J776" i="57"/>
  <c r="K776" i="57"/>
  <c r="L776" i="57"/>
  <c r="N776" i="57" s="1"/>
  <c r="M776" i="57"/>
  <c r="J777" i="57"/>
  <c r="K777" i="57"/>
  <c r="L777" i="57"/>
  <c r="N777" i="57" s="1"/>
  <c r="M777" i="57"/>
  <c r="J778" i="57"/>
  <c r="K778" i="57"/>
  <c r="L778" i="57"/>
  <c r="N778" i="57" s="1"/>
  <c r="M778" i="57"/>
  <c r="J779" i="57"/>
  <c r="K779" i="57"/>
  <c r="L779" i="57"/>
  <c r="M779" i="57"/>
  <c r="N779" i="57"/>
  <c r="J780" i="57"/>
  <c r="K780" i="57"/>
  <c r="L780" i="57"/>
  <c r="M780" i="57"/>
  <c r="N780" i="57"/>
  <c r="J781" i="57"/>
  <c r="K781" i="57"/>
  <c r="L781" i="57"/>
  <c r="N781" i="57" s="1"/>
  <c r="M781" i="57"/>
  <c r="J782" i="57"/>
  <c r="K782" i="57"/>
  <c r="L782" i="57"/>
  <c r="M782" i="57"/>
  <c r="N782" i="57"/>
  <c r="J783" i="57"/>
  <c r="K783" i="57"/>
  <c r="L783" i="57"/>
  <c r="N783" i="57" s="1"/>
  <c r="M783" i="57"/>
  <c r="J784" i="57"/>
  <c r="K784" i="57"/>
  <c r="L784" i="57"/>
  <c r="M784" i="57"/>
  <c r="N784" i="57"/>
  <c r="J785" i="57"/>
  <c r="K785" i="57"/>
  <c r="L785" i="57"/>
  <c r="M785" i="57"/>
  <c r="N785" i="57" s="1"/>
  <c r="J786" i="57"/>
  <c r="K786" i="57"/>
  <c r="L786" i="57"/>
  <c r="N786" i="57" s="1"/>
  <c r="M786" i="57"/>
  <c r="J787" i="57"/>
  <c r="K787" i="57"/>
  <c r="L787" i="57"/>
  <c r="M787" i="57"/>
  <c r="N787" i="57"/>
  <c r="J788" i="57"/>
  <c r="K788" i="57"/>
  <c r="L788" i="57"/>
  <c r="N788" i="57" s="1"/>
  <c r="M788" i="57"/>
  <c r="J789" i="57"/>
  <c r="K789" i="57"/>
  <c r="L789" i="57"/>
  <c r="N789" i="57" s="1"/>
  <c r="M789" i="57"/>
  <c r="J790" i="57"/>
  <c r="K790" i="57"/>
  <c r="L790" i="57"/>
  <c r="N790" i="57" s="1"/>
  <c r="M790" i="57"/>
  <c r="J791" i="57"/>
  <c r="K791" i="57"/>
  <c r="L791" i="57"/>
  <c r="M791" i="57"/>
  <c r="N791" i="57" s="1"/>
  <c r="J792" i="57"/>
  <c r="K792" i="57"/>
  <c r="L792" i="57"/>
  <c r="N792" i="57" s="1"/>
  <c r="M792" i="57"/>
  <c r="J793" i="57"/>
  <c r="K793" i="57"/>
  <c r="L793" i="57"/>
  <c r="N793" i="57" s="1"/>
  <c r="M793" i="57"/>
  <c r="J794" i="57"/>
  <c r="K794" i="57"/>
  <c r="L794" i="57"/>
  <c r="N794" i="57" s="1"/>
  <c r="M794" i="57"/>
  <c r="J795" i="57"/>
  <c r="K795" i="57"/>
  <c r="L795" i="57"/>
  <c r="N795" i="57" s="1"/>
  <c r="M795" i="57"/>
  <c r="J796" i="57"/>
  <c r="K796" i="57"/>
  <c r="L796" i="57"/>
  <c r="N796" i="57" s="1"/>
  <c r="M796" i="57"/>
  <c r="J797" i="57"/>
  <c r="K797" i="57"/>
  <c r="L797" i="57"/>
  <c r="M797" i="57"/>
  <c r="N797" i="57"/>
  <c r="J798" i="57"/>
  <c r="K798" i="57"/>
  <c r="L798" i="57"/>
  <c r="N798" i="57" s="1"/>
  <c r="M798" i="57"/>
  <c r="J799" i="57"/>
  <c r="K799" i="57"/>
  <c r="L799" i="57"/>
  <c r="M799" i="57"/>
  <c r="N799" i="57"/>
  <c r="J800" i="57"/>
  <c r="K800" i="57"/>
  <c r="L800" i="57"/>
  <c r="N800" i="57" s="1"/>
  <c r="M800" i="57"/>
  <c r="J801" i="57"/>
  <c r="K801" i="57"/>
  <c r="L801" i="57"/>
  <c r="N801" i="57" s="1"/>
  <c r="M801" i="57"/>
  <c r="J802" i="57"/>
  <c r="K802" i="57"/>
  <c r="L802" i="57"/>
  <c r="N802" i="57" s="1"/>
  <c r="M802" i="57"/>
  <c r="J803" i="57"/>
  <c r="K803" i="57"/>
  <c r="L803" i="57"/>
  <c r="M803" i="57"/>
  <c r="N803" i="57"/>
  <c r="J804" i="57"/>
  <c r="K804" i="57"/>
  <c r="L804" i="57"/>
  <c r="M804" i="57"/>
  <c r="N804" i="57"/>
  <c r="J805" i="57"/>
  <c r="K805" i="57"/>
  <c r="L805" i="57"/>
  <c r="M805" i="57"/>
  <c r="N805" i="57"/>
  <c r="J806" i="57"/>
  <c r="K806" i="57"/>
  <c r="L806" i="57"/>
  <c r="M806" i="57"/>
  <c r="N806" i="57"/>
  <c r="J530" i="57"/>
  <c r="K530" i="57"/>
  <c r="L530" i="57"/>
  <c r="N530" i="57" s="1"/>
  <c r="M530" i="57"/>
  <c r="J531" i="57"/>
  <c r="K531" i="57"/>
  <c r="L531" i="57"/>
  <c r="N531" i="57" s="1"/>
  <c r="M531" i="57"/>
  <c r="J532" i="57"/>
  <c r="K532" i="57"/>
  <c r="L532" i="57"/>
  <c r="N532" i="57" s="1"/>
  <c r="M532" i="57"/>
  <c r="J533" i="57"/>
  <c r="K533" i="57"/>
  <c r="L533" i="57"/>
  <c r="N533" i="57" s="1"/>
  <c r="M533" i="57"/>
  <c r="J534" i="57"/>
  <c r="K534" i="57"/>
  <c r="L534" i="57"/>
  <c r="N534" i="57" s="1"/>
  <c r="M534" i="57"/>
  <c r="J535" i="57"/>
  <c r="K535" i="57"/>
  <c r="L535" i="57"/>
  <c r="M535" i="57"/>
  <c r="N535" i="57"/>
  <c r="J536" i="57"/>
  <c r="K536" i="57"/>
  <c r="L536" i="57"/>
  <c r="N536" i="57" s="1"/>
  <c r="M536" i="57"/>
  <c r="J537" i="57"/>
  <c r="K537" i="57"/>
  <c r="L537" i="57"/>
  <c r="N537" i="57" s="1"/>
  <c r="M537" i="57"/>
  <c r="J538" i="57"/>
  <c r="K538" i="57"/>
  <c r="L538" i="57"/>
  <c r="N538" i="57" s="1"/>
  <c r="M538" i="57"/>
  <c r="J539" i="57"/>
  <c r="K539" i="57"/>
  <c r="L539" i="57"/>
  <c r="N539" i="57" s="1"/>
  <c r="M539" i="57"/>
  <c r="J540" i="57"/>
  <c r="K540" i="57"/>
  <c r="L540" i="57"/>
  <c r="M540" i="57"/>
  <c r="N540" i="57"/>
  <c r="J541" i="57"/>
  <c r="K541" i="57"/>
  <c r="L541" i="57"/>
  <c r="M541" i="57"/>
  <c r="N541" i="57"/>
  <c r="J542" i="57"/>
  <c r="K542" i="57"/>
  <c r="L542" i="57"/>
  <c r="N542" i="57" s="1"/>
  <c r="M542" i="57"/>
  <c r="J543" i="57"/>
  <c r="K543" i="57"/>
  <c r="L543" i="57"/>
  <c r="N543" i="57" s="1"/>
  <c r="M543" i="57"/>
  <c r="J544" i="57"/>
  <c r="K544" i="57"/>
  <c r="L544" i="57"/>
  <c r="M544" i="57"/>
  <c r="N544" i="57" s="1"/>
  <c r="J545" i="57"/>
  <c r="K545" i="57"/>
  <c r="L545" i="57"/>
  <c r="M545" i="57"/>
  <c r="N545" i="57"/>
  <c r="J546" i="57"/>
  <c r="K546" i="57"/>
  <c r="L546" i="57"/>
  <c r="M546" i="57"/>
  <c r="N546" i="57"/>
  <c r="J547" i="57"/>
  <c r="K547" i="57"/>
  <c r="L547" i="57"/>
  <c r="N547" i="57" s="1"/>
  <c r="M547" i="57"/>
  <c r="J548" i="57"/>
  <c r="K548" i="57"/>
  <c r="L548" i="57"/>
  <c r="M548" i="57"/>
  <c r="N548" i="57"/>
  <c r="J549" i="57"/>
  <c r="K549" i="57"/>
  <c r="L549" i="57"/>
  <c r="N549" i="57" s="1"/>
  <c r="M549" i="57"/>
  <c r="J550" i="57"/>
  <c r="K550" i="57"/>
  <c r="L550" i="57"/>
  <c r="N550" i="57" s="1"/>
  <c r="M550" i="57"/>
  <c r="J551" i="57"/>
  <c r="K551" i="57"/>
  <c r="L551" i="57"/>
  <c r="M551" i="57"/>
  <c r="N551" i="57"/>
  <c r="J552" i="57"/>
  <c r="K552" i="57"/>
  <c r="L552" i="57"/>
  <c r="M552" i="57"/>
  <c r="N552" i="57"/>
  <c r="J553" i="57"/>
  <c r="K553" i="57"/>
  <c r="L553" i="57"/>
  <c r="M553" i="57"/>
  <c r="N553" i="57"/>
  <c r="J554" i="57"/>
  <c r="K554" i="57"/>
  <c r="L554" i="57"/>
  <c r="N554" i="57" s="1"/>
  <c r="M554" i="57"/>
  <c r="J555" i="57"/>
  <c r="K555" i="57"/>
  <c r="L555" i="57"/>
  <c r="N555" i="57" s="1"/>
  <c r="M555" i="57"/>
  <c r="J556" i="57"/>
  <c r="K556" i="57"/>
  <c r="L556" i="57"/>
  <c r="N556" i="57" s="1"/>
  <c r="M556" i="57"/>
  <c r="J557" i="57"/>
  <c r="K557" i="57"/>
  <c r="L557" i="57"/>
  <c r="N557" i="57" s="1"/>
  <c r="M557" i="57"/>
  <c r="J558" i="57"/>
  <c r="K558" i="57"/>
  <c r="L558" i="57"/>
  <c r="M558" i="57"/>
  <c r="N558" i="57" s="1"/>
  <c r="J559" i="57"/>
  <c r="K559" i="57"/>
  <c r="L559" i="57"/>
  <c r="M559" i="57"/>
  <c r="N559" i="57"/>
  <c r="J560" i="57"/>
  <c r="K560" i="57"/>
  <c r="L560" i="57"/>
  <c r="M560" i="57"/>
  <c r="N560" i="57"/>
  <c r="J561" i="57"/>
  <c r="K561" i="57"/>
  <c r="L561" i="57"/>
  <c r="N561" i="57" s="1"/>
  <c r="M561" i="57"/>
  <c r="J562" i="57"/>
  <c r="K562" i="57"/>
  <c r="L562" i="57"/>
  <c r="N562" i="57" s="1"/>
  <c r="M562" i="57"/>
  <c r="J563" i="57"/>
  <c r="K563" i="57"/>
  <c r="L563" i="57"/>
  <c r="N563" i="57" s="1"/>
  <c r="M563" i="57"/>
  <c r="J564" i="57"/>
  <c r="K564" i="57"/>
  <c r="L564" i="57"/>
  <c r="M564" i="57"/>
  <c r="N564" i="57"/>
  <c r="J565" i="57"/>
  <c r="K565" i="57"/>
  <c r="L565" i="57"/>
  <c r="M565" i="57"/>
  <c r="N565" i="57" s="1"/>
  <c r="J566" i="57"/>
  <c r="K566" i="57"/>
  <c r="L566" i="57"/>
  <c r="N566" i="57" s="1"/>
  <c r="M566" i="57"/>
  <c r="J567" i="57"/>
  <c r="K567" i="57"/>
  <c r="L567" i="57"/>
  <c r="N567" i="57" s="1"/>
  <c r="M567" i="57"/>
  <c r="J568" i="57"/>
  <c r="K568" i="57"/>
  <c r="L568" i="57"/>
  <c r="M568" i="57"/>
  <c r="N568" i="57" s="1"/>
  <c r="J569" i="57"/>
  <c r="K569" i="57"/>
  <c r="L569" i="57"/>
  <c r="M569" i="57"/>
  <c r="N569" i="57"/>
  <c r="J570" i="57"/>
  <c r="K570" i="57"/>
  <c r="L570" i="57"/>
  <c r="N570" i="57" s="1"/>
  <c r="M570" i="57"/>
  <c r="J571" i="57"/>
  <c r="K571" i="57"/>
  <c r="L571" i="57"/>
  <c r="N571" i="57" s="1"/>
  <c r="M571" i="57"/>
  <c r="J572" i="57"/>
  <c r="K572" i="57"/>
  <c r="L572" i="57"/>
  <c r="N572" i="57" s="1"/>
  <c r="M572" i="57"/>
  <c r="J573" i="57"/>
  <c r="K573" i="57"/>
  <c r="L573" i="57"/>
  <c r="N573" i="57" s="1"/>
  <c r="M573" i="57"/>
  <c r="J574" i="57"/>
  <c r="K574" i="57"/>
  <c r="L574" i="57"/>
  <c r="M574" i="57"/>
  <c r="N574" i="57" s="1"/>
  <c r="J575" i="57"/>
  <c r="K575" i="57"/>
  <c r="L575" i="57"/>
  <c r="M575" i="57"/>
  <c r="N575" i="57"/>
  <c r="J576" i="57"/>
  <c r="K576" i="57"/>
  <c r="L576" i="57"/>
  <c r="M576" i="57"/>
  <c r="N576" i="57"/>
  <c r="J577" i="57"/>
  <c r="K577" i="57"/>
  <c r="L577" i="57"/>
  <c r="M577" i="57"/>
  <c r="N577" i="57"/>
  <c r="J578" i="57"/>
  <c r="K578" i="57"/>
  <c r="L578" i="57"/>
  <c r="N578" i="57" s="1"/>
  <c r="M578" i="57"/>
  <c r="J579" i="57"/>
  <c r="K579" i="57"/>
  <c r="L579" i="57"/>
  <c r="N579" i="57" s="1"/>
  <c r="M579" i="57"/>
  <c r="J580" i="57"/>
  <c r="K580" i="57"/>
  <c r="L580" i="57"/>
  <c r="N580" i="57" s="1"/>
  <c r="M580" i="57"/>
  <c r="J581" i="57"/>
  <c r="K581" i="57"/>
  <c r="L581" i="57"/>
  <c r="M581" i="57"/>
  <c r="N581" i="57" s="1"/>
  <c r="J582" i="57"/>
  <c r="K582" i="57"/>
  <c r="L582" i="57"/>
  <c r="M582" i="57"/>
  <c r="N582" i="57" s="1"/>
  <c r="J583" i="57"/>
  <c r="K583" i="57"/>
  <c r="L583" i="57"/>
  <c r="M583" i="57"/>
  <c r="N583" i="57"/>
  <c r="J584" i="57"/>
  <c r="K584" i="57"/>
  <c r="L584" i="57"/>
  <c r="M584" i="57"/>
  <c r="N584" i="57"/>
  <c r="J585" i="57"/>
  <c r="K585" i="57"/>
  <c r="L585" i="57"/>
  <c r="N585" i="57" s="1"/>
  <c r="M585" i="57"/>
  <c r="J586" i="57"/>
  <c r="K586" i="57"/>
  <c r="L586" i="57"/>
  <c r="M586" i="57"/>
  <c r="N586" i="57"/>
  <c r="J587" i="57"/>
  <c r="K587" i="57"/>
  <c r="L587" i="57"/>
  <c r="N587" i="57" s="1"/>
  <c r="M587" i="57"/>
  <c r="J588" i="57"/>
  <c r="K588" i="57"/>
  <c r="L588" i="57"/>
  <c r="M588" i="57"/>
  <c r="N588" i="57"/>
  <c r="J589" i="57"/>
  <c r="K589" i="57"/>
  <c r="L589" i="57"/>
  <c r="M589" i="57"/>
  <c r="N589" i="57" s="1"/>
  <c r="J590" i="57"/>
  <c r="K590" i="57"/>
  <c r="L590" i="57"/>
  <c r="N590" i="57" s="1"/>
  <c r="M590" i="57"/>
  <c r="J591" i="57"/>
  <c r="K591" i="57"/>
  <c r="L591" i="57"/>
  <c r="M591" i="57"/>
  <c r="N591" i="57"/>
  <c r="J592" i="57"/>
  <c r="K592" i="57"/>
  <c r="L592" i="57"/>
  <c r="N592" i="57" s="1"/>
  <c r="M592" i="57"/>
  <c r="J593" i="57"/>
  <c r="K593" i="57"/>
  <c r="L593" i="57"/>
  <c r="M593" i="57"/>
  <c r="N593" i="57"/>
  <c r="J594" i="57"/>
  <c r="K594" i="57"/>
  <c r="L594" i="57"/>
  <c r="N594" i="57" s="1"/>
  <c r="M594" i="57"/>
  <c r="J595" i="57"/>
  <c r="K595" i="57"/>
  <c r="L595" i="57"/>
  <c r="N595" i="57" s="1"/>
  <c r="M595" i="57"/>
  <c r="J596" i="57"/>
  <c r="K596" i="57"/>
  <c r="L596" i="57"/>
  <c r="M596" i="57"/>
  <c r="N596" i="57" s="1"/>
  <c r="J597" i="57"/>
  <c r="K597" i="57"/>
  <c r="L597" i="57"/>
  <c r="N597" i="57" s="1"/>
  <c r="M597" i="57"/>
  <c r="J598" i="57"/>
  <c r="K598" i="57"/>
  <c r="L598" i="57"/>
  <c r="N598" i="57" s="1"/>
  <c r="M598" i="57"/>
  <c r="J599" i="57"/>
  <c r="K599" i="57"/>
  <c r="L599" i="57"/>
  <c r="M599" i="57"/>
  <c r="N599" i="57"/>
  <c r="J600" i="57"/>
  <c r="K600" i="57"/>
  <c r="L600" i="57"/>
  <c r="M600" i="57"/>
  <c r="N600" i="57"/>
  <c r="J601" i="57"/>
  <c r="K601" i="57"/>
  <c r="L601" i="57"/>
  <c r="M601" i="57"/>
  <c r="N601" i="57"/>
  <c r="J602" i="57"/>
  <c r="K602" i="57"/>
  <c r="L602" i="57"/>
  <c r="N602" i="57" s="1"/>
  <c r="M602" i="57"/>
  <c r="J603" i="57"/>
  <c r="K603" i="57"/>
  <c r="L603" i="57"/>
  <c r="N603" i="57" s="1"/>
  <c r="M603" i="57"/>
  <c r="J604" i="57"/>
  <c r="K604" i="57"/>
  <c r="L604" i="57"/>
  <c r="N604" i="57" s="1"/>
  <c r="M604" i="57"/>
  <c r="J605" i="57"/>
  <c r="K605" i="57"/>
  <c r="L605" i="57"/>
  <c r="M605" i="57"/>
  <c r="N605" i="57" s="1"/>
  <c r="J606" i="57"/>
  <c r="K606" i="57"/>
  <c r="L606" i="57"/>
  <c r="N606" i="57" s="1"/>
  <c r="M606" i="57"/>
  <c r="J607" i="57"/>
  <c r="K607" i="57"/>
  <c r="L607" i="57"/>
  <c r="M607" i="57"/>
  <c r="N607" i="57"/>
  <c r="J608" i="57"/>
  <c r="K608" i="57"/>
  <c r="L608" i="57"/>
  <c r="M608" i="57"/>
  <c r="N608" i="57"/>
  <c r="J609" i="57"/>
  <c r="K609" i="57"/>
  <c r="L609" i="57"/>
  <c r="N609" i="57" s="1"/>
  <c r="M609" i="57"/>
  <c r="J610" i="57"/>
  <c r="K610" i="57"/>
  <c r="L610" i="57"/>
  <c r="M610" i="57"/>
  <c r="N610" i="57"/>
  <c r="J611" i="57"/>
  <c r="K611" i="57"/>
  <c r="L611" i="57"/>
  <c r="N611" i="57" s="1"/>
  <c r="M611" i="57"/>
  <c r="J612" i="57"/>
  <c r="K612" i="57"/>
  <c r="L612" i="57"/>
  <c r="N612" i="57" s="1"/>
  <c r="M612" i="57"/>
  <c r="J613" i="57"/>
  <c r="K613" i="57"/>
  <c r="L613" i="57"/>
  <c r="M613" i="57"/>
  <c r="N613" i="57" s="1"/>
  <c r="J614" i="57"/>
  <c r="K614" i="57"/>
  <c r="L614" i="57"/>
  <c r="N614" i="57" s="1"/>
  <c r="M614" i="57"/>
  <c r="J615" i="57"/>
  <c r="K615" i="57"/>
  <c r="L615" i="57"/>
  <c r="M615" i="57"/>
  <c r="N615" i="57"/>
  <c r="J616" i="57"/>
  <c r="K616" i="57"/>
  <c r="L616" i="57"/>
  <c r="N616" i="57" s="1"/>
  <c r="M616" i="57"/>
  <c r="J617" i="57"/>
  <c r="K617" i="57"/>
  <c r="L617" i="57"/>
  <c r="N617" i="57" s="1"/>
  <c r="M617" i="57"/>
  <c r="J618" i="57"/>
  <c r="K618" i="57"/>
  <c r="L618" i="57"/>
  <c r="N618" i="57" s="1"/>
  <c r="M618" i="57"/>
  <c r="J619" i="57"/>
  <c r="K619" i="57"/>
  <c r="L619" i="57"/>
  <c r="N619" i="57" s="1"/>
  <c r="M619" i="57"/>
  <c r="J620" i="57"/>
  <c r="K620" i="57"/>
  <c r="L620" i="57"/>
  <c r="M620" i="57"/>
  <c r="N620" i="57"/>
  <c r="J621" i="57"/>
  <c r="K621" i="57"/>
  <c r="L621" i="57"/>
  <c r="M621" i="57"/>
  <c r="N621" i="57" s="1"/>
  <c r="J622" i="57"/>
  <c r="K622" i="57"/>
  <c r="L622" i="57"/>
  <c r="N622" i="57" s="1"/>
  <c r="M622" i="57"/>
  <c r="J623" i="57"/>
  <c r="K623" i="57"/>
  <c r="L623" i="57"/>
  <c r="N623" i="57" s="1"/>
  <c r="M623" i="57"/>
  <c r="J624" i="57"/>
  <c r="K624" i="57"/>
  <c r="L624" i="57"/>
  <c r="N624" i="57" s="1"/>
  <c r="M624" i="57"/>
  <c r="J625" i="57"/>
  <c r="K625" i="57"/>
  <c r="L625" i="57"/>
  <c r="M625" i="57"/>
  <c r="N625" i="57" s="1"/>
  <c r="J626" i="57"/>
  <c r="K626" i="57"/>
  <c r="L626" i="57"/>
  <c r="N626" i="57" s="1"/>
  <c r="M626" i="57"/>
  <c r="J627" i="57"/>
  <c r="K627" i="57"/>
  <c r="L627" i="57"/>
  <c r="M627" i="57"/>
  <c r="N627" i="57" s="1"/>
  <c r="J628" i="57"/>
  <c r="K628" i="57"/>
  <c r="L628" i="57"/>
  <c r="M628" i="57"/>
  <c r="N628" i="57"/>
  <c r="J629" i="57"/>
  <c r="K629" i="57"/>
  <c r="L629" i="57"/>
  <c r="M629" i="57"/>
  <c r="N629" i="57"/>
  <c r="J630" i="57"/>
  <c r="K630" i="57"/>
  <c r="L630" i="57"/>
  <c r="M630" i="57"/>
  <c r="N630" i="57"/>
  <c r="J631" i="57"/>
  <c r="K631" i="57"/>
  <c r="L631" i="57"/>
  <c r="N631" i="57" s="1"/>
  <c r="M631" i="57"/>
  <c r="J632" i="57"/>
  <c r="K632" i="57"/>
  <c r="L632" i="57"/>
  <c r="N632" i="57" s="1"/>
  <c r="M632" i="57"/>
  <c r="J633" i="57"/>
  <c r="K633" i="57"/>
  <c r="L633" i="57"/>
  <c r="M633" i="57"/>
  <c r="N633" i="57"/>
  <c r="J634" i="57"/>
  <c r="K634" i="57"/>
  <c r="L634" i="57"/>
  <c r="M634" i="57"/>
  <c r="N634" i="57"/>
  <c r="J635" i="57"/>
  <c r="K635" i="57"/>
  <c r="L635" i="57"/>
  <c r="M635" i="57"/>
  <c r="N635" i="57"/>
  <c r="J636" i="57"/>
  <c r="K636" i="57"/>
  <c r="L636" i="57"/>
  <c r="M636" i="57"/>
  <c r="N636" i="57"/>
  <c r="J637" i="57"/>
  <c r="K637" i="57"/>
  <c r="L637" i="57"/>
  <c r="M637" i="57"/>
  <c r="N637" i="57"/>
  <c r="J638" i="57"/>
  <c r="K638" i="57"/>
  <c r="L638" i="57"/>
  <c r="M638" i="57"/>
  <c r="N638" i="57"/>
  <c r="J639" i="57"/>
  <c r="K639" i="57"/>
  <c r="L639" i="57"/>
  <c r="N639" i="57" s="1"/>
  <c r="M639" i="57"/>
  <c r="J640" i="57"/>
  <c r="K640" i="57"/>
  <c r="L640" i="57"/>
  <c r="M640" i="57"/>
  <c r="N640" i="57"/>
  <c r="J641" i="57"/>
  <c r="K641" i="57"/>
  <c r="L641" i="57"/>
  <c r="N641" i="57" s="1"/>
  <c r="M641" i="57"/>
  <c r="J642" i="57"/>
  <c r="K642" i="57"/>
  <c r="L642" i="57"/>
  <c r="N642" i="57" s="1"/>
  <c r="M642" i="57"/>
  <c r="J643" i="57"/>
  <c r="K643" i="57"/>
  <c r="L643" i="57"/>
  <c r="N643" i="57" s="1"/>
  <c r="M643" i="57"/>
  <c r="J644" i="57"/>
  <c r="K644" i="57"/>
  <c r="L644" i="57"/>
  <c r="N644" i="57" s="1"/>
  <c r="M644" i="57"/>
  <c r="J645" i="57"/>
  <c r="K645" i="57"/>
  <c r="L645" i="57"/>
  <c r="M645" i="57"/>
  <c r="N645" i="57"/>
  <c r="J646" i="57"/>
  <c r="K646" i="57"/>
  <c r="L646" i="57"/>
  <c r="N646" i="57" s="1"/>
  <c r="M646" i="57"/>
  <c r="J647" i="57"/>
  <c r="K647" i="57"/>
  <c r="L647" i="57"/>
  <c r="N647" i="57" s="1"/>
  <c r="M647" i="57"/>
  <c r="J648" i="57"/>
  <c r="K648" i="57"/>
  <c r="L648" i="57"/>
  <c r="N648" i="57" s="1"/>
  <c r="M648" i="57"/>
  <c r="J649" i="57"/>
  <c r="K649" i="57"/>
  <c r="L649" i="57"/>
  <c r="M649" i="57"/>
  <c r="N649" i="57"/>
  <c r="J650" i="57"/>
  <c r="K650" i="57"/>
  <c r="L650" i="57"/>
  <c r="N650" i="57" s="1"/>
  <c r="M650" i="57"/>
  <c r="J651" i="57"/>
  <c r="K651" i="57"/>
  <c r="L651" i="57"/>
  <c r="M651" i="57"/>
  <c r="N651" i="57" s="1"/>
  <c r="J652" i="57"/>
  <c r="K652" i="57"/>
  <c r="L652" i="57"/>
  <c r="M652" i="57"/>
  <c r="N652" i="57"/>
  <c r="J653" i="57"/>
  <c r="K653" i="57"/>
  <c r="L653" i="57"/>
  <c r="M653" i="57"/>
  <c r="N653" i="57"/>
  <c r="J654" i="57"/>
  <c r="K654" i="57"/>
  <c r="L654" i="57"/>
  <c r="M654" i="57"/>
  <c r="N654" i="57"/>
  <c r="J655" i="57"/>
  <c r="K655" i="57"/>
  <c r="L655" i="57"/>
  <c r="N655" i="57" s="1"/>
  <c r="M655" i="57"/>
  <c r="J656" i="57"/>
  <c r="K656" i="57"/>
  <c r="L656" i="57"/>
  <c r="N656" i="57" s="1"/>
  <c r="M656" i="57"/>
  <c r="J657" i="57"/>
  <c r="K657" i="57"/>
  <c r="L657" i="57"/>
  <c r="M657" i="57"/>
  <c r="N657" i="57"/>
  <c r="J658" i="57"/>
  <c r="K658" i="57"/>
  <c r="L658" i="57"/>
  <c r="M658" i="57"/>
  <c r="N658" i="57"/>
  <c r="J659" i="57"/>
  <c r="K659" i="57"/>
  <c r="L659" i="57"/>
  <c r="M659" i="57"/>
  <c r="N659" i="57"/>
  <c r="J660" i="57"/>
  <c r="K660" i="57"/>
  <c r="L660" i="57"/>
  <c r="M660" i="57"/>
  <c r="N660" i="57"/>
  <c r="J661" i="57"/>
  <c r="K661" i="57"/>
  <c r="L661" i="57"/>
  <c r="M661" i="57"/>
  <c r="N661" i="57"/>
  <c r="J662" i="57"/>
  <c r="K662" i="57"/>
  <c r="L662" i="57"/>
  <c r="M662" i="57"/>
  <c r="N662" i="57"/>
  <c r="J663" i="57"/>
  <c r="K663" i="57"/>
  <c r="L663" i="57"/>
  <c r="N663" i="57" s="1"/>
  <c r="M663" i="57"/>
  <c r="J664" i="57"/>
  <c r="K664" i="57"/>
  <c r="L664" i="57"/>
  <c r="M664" i="57"/>
  <c r="N664" i="57"/>
  <c r="J665" i="57"/>
  <c r="K665" i="57"/>
  <c r="L665" i="57"/>
  <c r="N665" i="57" s="1"/>
  <c r="M665" i="57"/>
  <c r="J666" i="57"/>
  <c r="K666" i="57"/>
  <c r="L666" i="57"/>
  <c r="N666" i="57" s="1"/>
  <c r="M666" i="57"/>
  <c r="J667" i="57"/>
  <c r="K667" i="57"/>
  <c r="L667" i="57"/>
  <c r="N667" i="57" s="1"/>
  <c r="M667" i="57"/>
  <c r="J668" i="57"/>
  <c r="K668" i="57"/>
  <c r="L668" i="57"/>
  <c r="N668" i="57" s="1"/>
  <c r="M668" i="57"/>
  <c r="J669" i="57"/>
  <c r="K669" i="57"/>
  <c r="L669" i="57"/>
  <c r="M669" i="57"/>
  <c r="N669" i="57"/>
  <c r="J670" i="57"/>
  <c r="K670" i="57"/>
  <c r="L670" i="57"/>
  <c r="N670" i="57" s="1"/>
  <c r="M670" i="57"/>
  <c r="J671" i="57"/>
  <c r="K671" i="57"/>
  <c r="L671" i="57"/>
  <c r="N671" i="57" s="1"/>
  <c r="M671" i="57"/>
  <c r="J672" i="57"/>
  <c r="K672" i="57"/>
  <c r="L672" i="57"/>
  <c r="N672" i="57" s="1"/>
  <c r="M672" i="57"/>
  <c r="J673" i="57"/>
  <c r="K673" i="57"/>
  <c r="L673" i="57"/>
  <c r="M673" i="57"/>
  <c r="N673" i="57"/>
  <c r="J674" i="57"/>
  <c r="K674" i="57"/>
  <c r="L674" i="57"/>
  <c r="N674" i="57" s="1"/>
  <c r="M674" i="57"/>
  <c r="J675" i="57"/>
  <c r="K675" i="57"/>
  <c r="L675" i="57"/>
  <c r="M675" i="57"/>
  <c r="N675" i="57" s="1"/>
  <c r="J676" i="57"/>
  <c r="K676" i="57"/>
  <c r="L676" i="57"/>
  <c r="M676" i="57"/>
  <c r="N676" i="57"/>
  <c r="J677" i="57"/>
  <c r="K677" i="57"/>
  <c r="L677" i="57"/>
  <c r="M677" i="57"/>
  <c r="N677" i="57"/>
  <c r="J678" i="57"/>
  <c r="K678" i="57"/>
  <c r="L678" i="57"/>
  <c r="M678" i="57"/>
  <c r="N678" i="57"/>
  <c r="J679" i="57"/>
  <c r="K679" i="57"/>
  <c r="L679" i="57"/>
  <c r="N679" i="57" s="1"/>
  <c r="M679" i="57"/>
  <c r="J680" i="57"/>
  <c r="K680" i="57"/>
  <c r="L680" i="57"/>
  <c r="N680" i="57" s="1"/>
  <c r="M680" i="57"/>
  <c r="J681" i="57"/>
  <c r="K681" i="57"/>
  <c r="L681" i="57"/>
  <c r="M681" i="57"/>
  <c r="N681" i="57"/>
  <c r="J682" i="57"/>
  <c r="K682" i="57"/>
  <c r="L682" i="57"/>
  <c r="M682" i="57"/>
  <c r="N682" i="57"/>
  <c r="J683" i="57"/>
  <c r="K683" i="57"/>
  <c r="L683" i="57"/>
  <c r="M683" i="57"/>
  <c r="N683" i="57"/>
  <c r="J684" i="57"/>
  <c r="K684" i="57"/>
  <c r="L684" i="57"/>
  <c r="M684" i="57"/>
  <c r="N684" i="57"/>
  <c r="J685" i="57"/>
  <c r="K685" i="57"/>
  <c r="L685" i="57"/>
  <c r="M685" i="57"/>
  <c r="N685" i="57"/>
  <c r="J686" i="57"/>
  <c r="K686" i="57"/>
  <c r="L686" i="57"/>
  <c r="M686" i="57"/>
  <c r="N686" i="57"/>
  <c r="J687" i="57"/>
  <c r="K687" i="57"/>
  <c r="L687" i="57"/>
  <c r="N687" i="57" s="1"/>
  <c r="M687" i="57"/>
  <c r="J688" i="57"/>
  <c r="K688" i="57"/>
  <c r="L688" i="57"/>
  <c r="M688" i="57"/>
  <c r="N688" i="57"/>
  <c r="J689" i="57"/>
  <c r="K689" i="57"/>
  <c r="L689" i="57"/>
  <c r="N689" i="57" s="1"/>
  <c r="M689" i="57"/>
  <c r="J690" i="57"/>
  <c r="K690" i="57"/>
  <c r="L690" i="57"/>
  <c r="N690" i="57" s="1"/>
  <c r="M690" i="57"/>
  <c r="J691" i="57"/>
  <c r="K691" i="57"/>
  <c r="L691" i="57"/>
  <c r="N691" i="57" s="1"/>
  <c r="M691" i="57"/>
  <c r="J692" i="57"/>
  <c r="K692" i="57"/>
  <c r="L692" i="57"/>
  <c r="N692" i="57" s="1"/>
  <c r="M692" i="57"/>
  <c r="J693" i="57"/>
  <c r="K693" i="57"/>
  <c r="L693" i="57"/>
  <c r="M693" i="57"/>
  <c r="N693" i="57"/>
  <c r="J694" i="57"/>
  <c r="K694" i="57"/>
  <c r="L694" i="57"/>
  <c r="N694" i="57" s="1"/>
  <c r="M694" i="57"/>
  <c r="J695" i="57"/>
  <c r="K695" i="57"/>
  <c r="L695" i="57"/>
  <c r="N695" i="57" s="1"/>
  <c r="M695" i="57"/>
  <c r="J696" i="57"/>
  <c r="K696" i="57"/>
  <c r="L696" i="57"/>
  <c r="N696" i="57" s="1"/>
  <c r="M696" i="57"/>
  <c r="J418" i="57"/>
  <c r="K418" i="57"/>
  <c r="L418" i="57"/>
  <c r="N418" i="57" s="1"/>
  <c r="M418" i="57"/>
  <c r="J419" i="57"/>
  <c r="K419" i="57"/>
  <c r="L419" i="57"/>
  <c r="N419" i="57" s="1"/>
  <c r="M419" i="57"/>
  <c r="J420" i="57"/>
  <c r="K420" i="57"/>
  <c r="L420" i="57"/>
  <c r="N420" i="57" s="1"/>
  <c r="M420" i="57"/>
  <c r="J421" i="57"/>
  <c r="K421" i="57"/>
  <c r="L421" i="57"/>
  <c r="N421" i="57" s="1"/>
  <c r="M421" i="57"/>
  <c r="J425" i="57"/>
  <c r="K425" i="57"/>
  <c r="L425" i="57"/>
  <c r="N425" i="57" s="1"/>
  <c r="M425" i="57"/>
  <c r="J426" i="57"/>
  <c r="K426" i="57"/>
  <c r="L426" i="57"/>
  <c r="N426" i="57" s="1"/>
  <c r="M426" i="57"/>
  <c r="J427" i="57"/>
  <c r="K427" i="57"/>
  <c r="L427" i="57"/>
  <c r="N427" i="57" s="1"/>
  <c r="M427" i="57"/>
  <c r="J428" i="57"/>
  <c r="K428" i="57"/>
  <c r="L428" i="57"/>
  <c r="N428" i="57" s="1"/>
  <c r="M428" i="57"/>
  <c r="J429" i="57"/>
  <c r="K429" i="57"/>
  <c r="L429" i="57"/>
  <c r="N429" i="57" s="1"/>
  <c r="M429" i="57"/>
  <c r="J433" i="57"/>
  <c r="K433" i="57"/>
  <c r="L433" i="57"/>
  <c r="N433" i="57" s="1"/>
  <c r="M433" i="57"/>
  <c r="J434" i="57"/>
  <c r="K434" i="57"/>
  <c r="L434" i="57"/>
  <c r="N434" i="57" s="1"/>
  <c r="M434" i="57"/>
  <c r="J435" i="57"/>
  <c r="K435" i="57"/>
  <c r="L435" i="57"/>
  <c r="N435" i="57" s="1"/>
  <c r="M435" i="57"/>
  <c r="J436" i="57"/>
  <c r="K436" i="57"/>
  <c r="L436" i="57"/>
  <c r="N436" i="57" s="1"/>
  <c r="M436" i="57"/>
  <c r="J437" i="57"/>
  <c r="K437" i="57"/>
  <c r="L437" i="57"/>
  <c r="M437" i="57"/>
  <c r="N437" i="57" s="1"/>
  <c r="J438" i="57"/>
  <c r="K438" i="57"/>
  <c r="L438" i="57"/>
  <c r="N438" i="57" s="1"/>
  <c r="M438" i="57"/>
  <c r="J439" i="57"/>
  <c r="K439" i="57"/>
  <c r="L439" i="57"/>
  <c r="M439" i="57"/>
  <c r="N439" i="57"/>
  <c r="J440" i="57"/>
  <c r="K440" i="57"/>
  <c r="L440" i="57"/>
  <c r="N440" i="57" s="1"/>
  <c r="M440" i="57"/>
  <c r="J441" i="57"/>
  <c r="K441" i="57"/>
  <c r="L441" i="57"/>
  <c r="N441" i="57" s="1"/>
  <c r="M441" i="57"/>
  <c r="J442" i="57"/>
  <c r="K442" i="57"/>
  <c r="L442" i="57"/>
  <c r="N442" i="57" s="1"/>
  <c r="M442" i="57"/>
  <c r="J443" i="57"/>
  <c r="K443" i="57"/>
  <c r="L443" i="57"/>
  <c r="N443" i="57" s="1"/>
  <c r="M443" i="57"/>
  <c r="J444" i="57"/>
  <c r="K444" i="57"/>
  <c r="L444" i="57"/>
  <c r="M444" i="57"/>
  <c r="N444" i="57"/>
  <c r="J445" i="57"/>
  <c r="K445" i="57"/>
  <c r="L445" i="57"/>
  <c r="M445" i="57"/>
  <c r="N445" i="57"/>
  <c r="J446" i="57"/>
  <c r="K446" i="57"/>
  <c r="L446" i="57"/>
  <c r="N446" i="57" s="1"/>
  <c r="M446" i="57"/>
  <c r="J447" i="57"/>
  <c r="K447" i="57"/>
  <c r="L447" i="57"/>
  <c r="N447" i="57" s="1"/>
  <c r="M447" i="57"/>
  <c r="J448" i="57"/>
  <c r="K448" i="57"/>
  <c r="L448" i="57"/>
  <c r="N448" i="57" s="1"/>
  <c r="M448" i="57"/>
  <c r="J449" i="57"/>
  <c r="K449" i="57"/>
  <c r="L449" i="57"/>
  <c r="M449" i="57"/>
  <c r="N449" i="57" s="1"/>
  <c r="J450" i="57"/>
  <c r="K450" i="57"/>
  <c r="L450" i="57"/>
  <c r="N450" i="57" s="1"/>
  <c r="M450" i="57"/>
  <c r="J451" i="57"/>
  <c r="K451" i="57"/>
  <c r="L451" i="57"/>
  <c r="M451" i="57"/>
  <c r="N451" i="57"/>
  <c r="J452" i="57"/>
  <c r="K452" i="57"/>
  <c r="L452" i="57"/>
  <c r="M452" i="57"/>
  <c r="N452" i="57"/>
  <c r="J453" i="57"/>
  <c r="K453" i="57"/>
  <c r="L453" i="57"/>
  <c r="M453" i="57"/>
  <c r="N453" i="57"/>
  <c r="M432" i="57"/>
  <c r="L432" i="57"/>
  <c r="N432" i="57" s="1"/>
  <c r="K432" i="57"/>
  <c r="J432" i="57"/>
  <c r="J327" i="57"/>
  <c r="K327" i="57"/>
  <c r="L327" i="57"/>
  <c r="N327" i="57" s="1"/>
  <c r="M327" i="57"/>
  <c r="J328" i="57"/>
  <c r="K328" i="57"/>
  <c r="L328" i="57"/>
  <c r="N328" i="57" s="1"/>
  <c r="M328" i="57"/>
  <c r="J329" i="57"/>
  <c r="K329" i="57"/>
  <c r="L329" i="57"/>
  <c r="N329" i="57" s="1"/>
  <c r="M329" i="57"/>
  <c r="J330" i="57"/>
  <c r="K330" i="57"/>
  <c r="L330" i="57"/>
  <c r="N330" i="57" s="1"/>
  <c r="M330" i="57"/>
  <c r="J331" i="57"/>
  <c r="K331" i="57"/>
  <c r="L331" i="57"/>
  <c r="N331" i="57" s="1"/>
  <c r="M331" i="57"/>
  <c r="J332" i="57"/>
  <c r="K332" i="57"/>
  <c r="L332" i="57"/>
  <c r="M332" i="57"/>
  <c r="N332" i="57" s="1"/>
  <c r="J333" i="57"/>
  <c r="K333" i="57"/>
  <c r="L333" i="57"/>
  <c r="N333" i="57" s="1"/>
  <c r="M333" i="57"/>
  <c r="J334" i="57"/>
  <c r="K334" i="57"/>
  <c r="L334" i="57"/>
  <c r="M334" i="57"/>
  <c r="N334" i="57" s="1"/>
  <c r="J231" i="57"/>
  <c r="K231" i="57"/>
  <c r="L231" i="57"/>
  <c r="N231" i="57" s="1"/>
  <c r="M231" i="57"/>
  <c r="J232" i="57"/>
  <c r="K232" i="57"/>
  <c r="L232" i="57"/>
  <c r="N232" i="57" s="1"/>
  <c r="M232" i="57"/>
  <c r="J233" i="57"/>
  <c r="K233" i="57"/>
  <c r="L233" i="57"/>
  <c r="N233" i="57" s="1"/>
  <c r="M233" i="57"/>
  <c r="J234" i="57"/>
  <c r="K234" i="57"/>
  <c r="L234" i="57"/>
  <c r="N234" i="57" s="1"/>
  <c r="M234" i="57"/>
  <c r="J235" i="57"/>
  <c r="K235" i="57"/>
  <c r="L235" i="57"/>
  <c r="N235" i="57" s="1"/>
  <c r="M235" i="57"/>
  <c r="J236" i="57"/>
  <c r="K236" i="57"/>
  <c r="L236" i="57"/>
  <c r="M236" i="57"/>
  <c r="N236" i="57"/>
  <c r="J237" i="57"/>
  <c r="K237" i="57"/>
  <c r="L237" i="57"/>
  <c r="N237" i="57" s="1"/>
  <c r="M237" i="57"/>
  <c r="J130" i="57"/>
  <c r="K130" i="57"/>
  <c r="L130" i="57"/>
  <c r="N130" i="57" s="1"/>
  <c r="M130" i="57"/>
  <c r="J131" i="57"/>
  <c r="K131" i="57"/>
  <c r="L131" i="57"/>
  <c r="N131" i="57" s="1"/>
  <c r="M131" i="57"/>
  <c r="J132" i="57"/>
  <c r="K132" i="57"/>
  <c r="L132" i="57"/>
  <c r="N132" i="57" s="1"/>
  <c r="M132" i="57"/>
  <c r="J133" i="57"/>
  <c r="K133" i="57"/>
  <c r="L133" i="57"/>
  <c r="N133" i="57" s="1"/>
  <c r="M133" i="57"/>
  <c r="J134" i="57"/>
  <c r="K134" i="57"/>
  <c r="L134" i="57"/>
  <c r="N134" i="57" s="1"/>
  <c r="M134" i="57"/>
  <c r="J135" i="57"/>
  <c r="K135" i="57"/>
  <c r="L135" i="57"/>
  <c r="N135" i="57" s="1"/>
  <c r="M135" i="57"/>
  <c r="J136" i="57"/>
  <c r="K136" i="57"/>
  <c r="L136" i="57"/>
  <c r="N136" i="57" s="1"/>
  <c r="M136" i="57"/>
  <c r="J137" i="57"/>
  <c r="K137" i="57"/>
  <c r="L137" i="57"/>
  <c r="M137" i="57"/>
  <c r="N137" i="57"/>
  <c r="J138" i="57"/>
  <c r="K138" i="57"/>
  <c r="L138" i="57"/>
  <c r="N138" i="57" s="1"/>
  <c r="M138" i="57"/>
  <c r="J139" i="57"/>
  <c r="K139" i="57"/>
  <c r="L139" i="57"/>
  <c r="M139" i="57"/>
  <c r="N139" i="57"/>
  <c r="J140" i="57"/>
  <c r="K140" i="57"/>
  <c r="L140" i="57"/>
  <c r="M140" i="57"/>
  <c r="N140" i="57"/>
  <c r="J141" i="57"/>
  <c r="K141" i="57"/>
  <c r="L141" i="57"/>
  <c r="N141" i="57" s="1"/>
  <c r="M141" i="57"/>
  <c r="J28" i="57"/>
  <c r="K28" i="57"/>
  <c r="L28" i="57"/>
  <c r="N28" i="57" s="1"/>
  <c r="M28" i="57"/>
  <c r="J29" i="57"/>
  <c r="K29" i="57"/>
  <c r="L29" i="57"/>
  <c r="N29" i="57" s="1"/>
  <c r="M29" i="57"/>
  <c r="J30" i="57"/>
  <c r="K30" i="57"/>
  <c r="L30" i="57"/>
  <c r="N30" i="57" s="1"/>
  <c r="M30" i="57"/>
  <c r="J31" i="57"/>
  <c r="K31" i="57"/>
  <c r="L31" i="57"/>
  <c r="N31" i="57" s="1"/>
  <c r="M31" i="57"/>
  <c r="J32" i="57"/>
  <c r="K32" i="57"/>
  <c r="L32" i="57"/>
  <c r="M32" i="57"/>
  <c r="N32" i="57"/>
  <c r="J33" i="57"/>
  <c r="K33" i="57"/>
  <c r="L33" i="57"/>
  <c r="N33" i="57" s="1"/>
  <c r="M33" i="57"/>
  <c r="J34" i="57"/>
  <c r="K34" i="57"/>
  <c r="L34" i="57"/>
  <c r="N34" i="57" s="1"/>
  <c r="M34" i="57"/>
  <c r="J35" i="57"/>
  <c r="K35" i="57"/>
  <c r="L35" i="57"/>
  <c r="N35" i="57" s="1"/>
  <c r="M35" i="57"/>
  <c r="J36" i="57"/>
  <c r="K36" i="57"/>
  <c r="L36" i="57"/>
  <c r="N36" i="57" s="1"/>
  <c r="M36" i="57"/>
  <c r="J37" i="57"/>
  <c r="K37" i="57"/>
  <c r="L37" i="57"/>
  <c r="N37" i="57" s="1"/>
  <c r="M37" i="57"/>
  <c r="J38" i="57"/>
  <c r="K38" i="57"/>
  <c r="L38" i="57"/>
  <c r="M38" i="57"/>
  <c r="N38" i="57"/>
  <c r="J39" i="57"/>
  <c r="K39" i="57"/>
  <c r="L39" i="57"/>
  <c r="N39" i="57" s="1"/>
  <c r="M39" i="57"/>
  <c r="J35" i="28"/>
  <c r="K35" i="28"/>
  <c r="L35" i="28"/>
  <c r="N35" i="28" s="1"/>
  <c r="M35" i="28"/>
  <c r="J36" i="28"/>
  <c r="K36" i="28"/>
  <c r="L36" i="28"/>
  <c r="N36" i="28" s="1"/>
  <c r="M36" i="28"/>
  <c r="J37" i="28"/>
  <c r="K37" i="28"/>
  <c r="L37" i="28"/>
  <c r="N37" i="28" s="1"/>
  <c r="M37" i="28"/>
  <c r="J38" i="28"/>
  <c r="K38" i="28"/>
  <c r="L38" i="28"/>
  <c r="N38" i="28" s="1"/>
  <c r="M38" i="28"/>
  <c r="J39" i="28"/>
  <c r="K39" i="28"/>
  <c r="L39" i="28"/>
  <c r="N39" i="28" s="1"/>
  <c r="M39" i="28"/>
  <c r="J31" i="28"/>
  <c r="K31" i="28"/>
  <c r="L31" i="28"/>
  <c r="N31" i="28" s="1"/>
  <c r="M31" i="28"/>
  <c r="J32" i="28"/>
  <c r="K32" i="28"/>
  <c r="L32" i="28"/>
  <c r="N32" i="28" s="1"/>
  <c r="M32" i="28"/>
  <c r="J33" i="28"/>
  <c r="K33" i="28"/>
  <c r="L33" i="28"/>
  <c r="N33" i="28" s="1"/>
  <c r="M33" i="28"/>
  <c r="J34" i="28"/>
  <c r="K34" i="28"/>
  <c r="L34" i="28"/>
  <c r="N34" i="28" s="1"/>
  <c r="M34" i="28"/>
  <c r="M68" i="28"/>
  <c r="M64" i="28"/>
  <c r="M63" i="28"/>
  <c r="M62" i="28"/>
  <c r="M61" i="28"/>
  <c r="M59" i="28"/>
  <c r="M58" i="28"/>
  <c r="M30" i="28"/>
  <c r="M29" i="28"/>
  <c r="M28" i="28"/>
  <c r="M27" i="28"/>
  <c r="M26" i="28"/>
  <c r="M25" i="28"/>
  <c r="M24" i="28"/>
  <c r="M23" i="28"/>
  <c r="M22" i="28"/>
  <c r="M21" i="28"/>
  <c r="M20" i="28"/>
  <c r="M19" i="28"/>
  <c r="M18" i="28"/>
  <c r="M17" i="28"/>
  <c r="M16" i="28"/>
  <c r="M14" i="28"/>
  <c r="M13" i="28"/>
  <c r="M12" i="28"/>
  <c r="L68" i="28"/>
  <c r="L64" i="28"/>
  <c r="L63" i="28"/>
  <c r="L62" i="28"/>
  <c r="L61" i="28"/>
  <c r="L59" i="28"/>
  <c r="L58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4" i="28"/>
  <c r="L13" i="28"/>
  <c r="L12" i="28"/>
  <c r="K68" i="28"/>
  <c r="K64" i="28"/>
  <c r="K63" i="28"/>
  <c r="K62" i="28"/>
  <c r="K61" i="28"/>
  <c r="K59" i="28"/>
  <c r="K58" i="28"/>
  <c r="K30" i="28"/>
  <c r="K29" i="28"/>
  <c r="K28" i="28"/>
  <c r="K27" i="28"/>
  <c r="K26" i="28"/>
  <c r="K25" i="28"/>
  <c r="K24" i="28"/>
  <c r="K23" i="28"/>
  <c r="K22" i="28"/>
  <c r="K21" i="28"/>
  <c r="K20" i="28"/>
  <c r="K19" i="28"/>
  <c r="K18" i="28"/>
  <c r="K17" i="28"/>
  <c r="K16" i="28"/>
  <c r="K14" i="28"/>
  <c r="K13" i="28"/>
  <c r="K12" i="28"/>
  <c r="J68" i="28"/>
  <c r="J64" i="28"/>
  <c r="J63" i="28"/>
  <c r="J62" i="28"/>
  <c r="J61" i="28"/>
  <c r="J59" i="28"/>
  <c r="J58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4" i="28"/>
  <c r="J13" i="28"/>
  <c r="J12" i="28"/>
  <c r="M1824" i="57"/>
  <c r="M1823" i="57"/>
  <c r="M1820" i="57"/>
  <c r="M1819" i="57"/>
  <c r="M1818" i="57"/>
  <c r="M1817" i="57"/>
  <c r="M1814" i="57"/>
  <c r="M1813" i="57"/>
  <c r="M1812" i="57"/>
  <c r="M1811" i="57"/>
  <c r="M1810" i="57"/>
  <c r="M1809" i="57"/>
  <c r="M1808" i="57"/>
  <c r="M1807" i="57"/>
  <c r="M1806" i="57"/>
  <c r="M1803" i="57"/>
  <c r="M1802" i="57"/>
  <c r="M1801" i="57"/>
  <c r="M1800" i="57"/>
  <c r="M1799" i="57"/>
  <c r="M1798" i="57"/>
  <c r="M1797" i="57"/>
  <c r="M1796" i="57"/>
  <c r="M1795" i="57"/>
  <c r="M1794" i="57"/>
  <c r="M1793" i="57"/>
  <c r="M1792" i="57"/>
  <c r="M1791" i="57"/>
  <c r="M1790" i="57"/>
  <c r="M1789" i="57"/>
  <c r="M1788" i="57"/>
  <c r="M1787" i="57"/>
  <c r="M1786" i="57"/>
  <c r="M1785" i="57"/>
  <c r="M1784" i="57"/>
  <c r="M1783" i="57"/>
  <c r="M1782" i="57"/>
  <c r="M1781" i="57"/>
  <c r="M1780" i="57"/>
  <c r="M1779" i="57"/>
  <c r="M1691" i="57"/>
  <c r="M1688" i="57"/>
  <c r="M1687" i="57"/>
  <c r="M1686" i="57"/>
  <c r="M1685" i="57"/>
  <c r="M1684" i="57"/>
  <c r="M1683" i="57"/>
  <c r="M1682" i="57"/>
  <c r="M1681" i="57"/>
  <c r="M1680" i="57"/>
  <c r="M1679" i="57"/>
  <c r="M1678" i="57"/>
  <c r="M1677" i="57"/>
  <c r="M1674" i="57"/>
  <c r="M1673" i="57"/>
  <c r="M1672" i="57"/>
  <c r="M1671" i="57"/>
  <c r="M1670" i="57"/>
  <c r="M1669" i="57"/>
  <c r="M1668" i="57"/>
  <c r="M1667" i="57"/>
  <c r="M1666" i="57"/>
  <c r="M1665" i="57"/>
  <c r="M1664" i="57"/>
  <c r="M1663" i="57"/>
  <c r="M1662" i="57"/>
  <c r="M1661" i="57"/>
  <c r="M1660" i="57"/>
  <c r="M1659" i="57"/>
  <c r="M1658" i="57"/>
  <c r="M1657" i="57"/>
  <c r="M1656" i="57"/>
  <c r="M1655" i="57"/>
  <c r="M1654" i="57"/>
  <c r="M1653" i="57"/>
  <c r="M1652" i="57"/>
  <c r="M1651" i="57"/>
  <c r="M1650" i="57"/>
  <c r="M1649" i="57"/>
  <c r="M1648" i="57"/>
  <c r="M1647" i="57"/>
  <c r="M1646" i="57"/>
  <c r="M1645" i="57"/>
  <c r="M1644" i="57"/>
  <c r="M1643" i="57"/>
  <c r="M1642" i="57"/>
  <c r="M1641" i="57"/>
  <c r="M1640" i="57"/>
  <c r="M1639" i="57"/>
  <c r="M1638" i="57"/>
  <c r="M1593" i="57"/>
  <c r="M1590" i="57"/>
  <c r="M1589" i="57"/>
  <c r="M1588" i="57"/>
  <c r="M1587" i="57"/>
  <c r="M1586" i="57"/>
  <c r="M1585" i="57"/>
  <c r="M1584" i="57"/>
  <c r="M1583" i="57"/>
  <c r="M1582" i="57"/>
  <c r="M1581" i="57"/>
  <c r="M1580" i="57"/>
  <c r="M1579" i="57"/>
  <c r="M1578" i="57"/>
  <c r="M1577" i="57"/>
  <c r="M1576" i="57"/>
  <c r="M1575" i="57"/>
  <c r="M1574" i="57"/>
  <c r="M1573" i="57"/>
  <c r="M1572" i="57"/>
  <c r="M1571" i="57"/>
  <c r="M1570" i="57"/>
  <c r="M1569" i="57"/>
  <c r="M1568" i="57"/>
  <c r="M1567" i="57"/>
  <c r="M1566" i="57"/>
  <c r="M1565" i="57"/>
  <c r="M1564" i="57"/>
  <c r="M1563" i="57"/>
  <c r="M1562" i="57"/>
  <c r="M1561" i="57"/>
  <c r="M1560" i="57"/>
  <c r="M1559" i="57"/>
  <c r="M1558" i="57"/>
  <c r="M1557" i="57"/>
  <c r="M1556" i="57"/>
  <c r="M1555" i="57"/>
  <c r="M1554" i="57"/>
  <c r="M1553" i="57"/>
  <c r="M1552" i="57"/>
  <c r="M1551" i="57"/>
  <c r="M1550" i="57"/>
  <c r="M1549" i="57"/>
  <c r="M1548" i="57"/>
  <c r="M1547" i="57"/>
  <c r="M1516" i="57"/>
  <c r="M1513" i="57"/>
  <c r="M1512" i="57"/>
  <c r="M1511" i="57"/>
  <c r="M1510" i="57"/>
  <c r="M1509" i="57"/>
  <c r="M1508" i="57"/>
  <c r="M1507" i="57"/>
  <c r="M1506" i="57"/>
  <c r="M1505" i="57"/>
  <c r="M1504" i="57"/>
  <c r="M1503" i="57"/>
  <c r="M1502" i="57"/>
  <c r="M1501" i="57"/>
  <c r="M1500" i="57"/>
  <c r="M1499" i="57"/>
  <c r="M1498" i="57"/>
  <c r="M1497" i="57"/>
  <c r="M1496" i="57"/>
  <c r="M1495" i="57"/>
  <c r="M1494" i="57"/>
  <c r="M1493" i="57"/>
  <c r="M1492" i="57"/>
  <c r="M1491" i="57"/>
  <c r="M1490" i="57"/>
  <c r="M1489" i="57"/>
  <c r="M1488" i="57"/>
  <c r="M1487" i="57"/>
  <c r="M1486" i="57"/>
  <c r="M1485" i="57"/>
  <c r="M1484" i="57"/>
  <c r="M1483" i="57"/>
  <c r="M1482" i="57"/>
  <c r="M1481" i="57"/>
  <c r="M1480" i="57"/>
  <c r="M1479" i="57"/>
  <c r="M1478" i="57"/>
  <c r="M1477" i="57"/>
  <c r="M1476" i="57"/>
  <c r="M1475" i="57"/>
  <c r="M1474" i="57"/>
  <c r="M1473" i="57"/>
  <c r="M1472" i="57"/>
  <c r="M1471" i="57"/>
  <c r="M1470" i="57"/>
  <c r="M1469" i="57"/>
  <c r="M1468" i="57"/>
  <c r="M1467" i="57"/>
  <c r="M1466" i="57"/>
  <c r="M1465" i="57"/>
  <c r="M1464" i="57"/>
  <c r="M1463" i="57"/>
  <c r="M1462" i="57"/>
  <c r="M1461" i="57"/>
  <c r="M1460" i="57"/>
  <c r="M1459" i="57"/>
  <c r="M1458" i="57"/>
  <c r="M1457" i="57"/>
  <c r="M1456" i="57"/>
  <c r="M1455" i="57"/>
  <c r="M1454" i="57"/>
  <c r="M1453" i="57"/>
  <c r="M1452" i="57"/>
  <c r="M1451" i="57"/>
  <c r="M1450" i="57"/>
  <c r="M1449" i="57"/>
  <c r="M1448" i="57"/>
  <c r="M1447" i="57"/>
  <c r="M1446" i="57"/>
  <c r="M1445" i="57"/>
  <c r="M1444" i="57"/>
  <c r="M1443" i="57"/>
  <c r="M1442" i="57"/>
  <c r="M1441" i="57"/>
  <c r="M1440" i="57"/>
  <c r="M1308" i="57"/>
  <c r="M1305" i="57"/>
  <c r="M1304" i="57"/>
  <c r="M1303" i="57"/>
  <c r="M1302" i="57"/>
  <c r="M1301" i="57"/>
  <c r="M1300" i="57"/>
  <c r="M1299" i="57"/>
  <c r="M1298" i="57"/>
  <c r="M1297" i="57"/>
  <c r="M1296" i="57"/>
  <c r="M1295" i="57"/>
  <c r="M1294" i="57"/>
  <c r="M1293" i="57"/>
  <c r="M1292" i="57"/>
  <c r="M1291" i="57"/>
  <c r="M1290" i="57"/>
  <c r="M1289" i="57"/>
  <c r="M1288" i="57"/>
  <c r="M1287" i="57"/>
  <c r="M1286" i="57"/>
  <c r="M1285" i="57"/>
  <c r="M1284" i="57"/>
  <c r="M1283" i="57"/>
  <c r="M1282" i="57"/>
  <c r="M1281" i="57"/>
  <c r="M1280" i="57"/>
  <c r="M1279" i="57"/>
  <c r="M1278" i="57"/>
  <c r="M1277" i="57"/>
  <c r="M1276" i="57"/>
  <c r="M1275" i="57"/>
  <c r="M1274" i="57"/>
  <c r="M1273" i="57"/>
  <c r="M1272" i="57"/>
  <c r="M1271" i="57"/>
  <c r="M1270" i="57"/>
  <c r="M1269" i="57"/>
  <c r="M1268" i="57"/>
  <c r="M1267" i="57"/>
  <c r="M1266" i="57"/>
  <c r="M1228" i="57"/>
  <c r="M1019" i="57"/>
  <c r="M930" i="57"/>
  <c r="M809" i="57"/>
  <c r="M699" i="57"/>
  <c r="M529" i="57"/>
  <c r="M526" i="57"/>
  <c r="M525" i="57"/>
  <c r="M524" i="57"/>
  <c r="M523" i="57"/>
  <c r="M522" i="57"/>
  <c r="M521" i="57"/>
  <c r="M520" i="57"/>
  <c r="M519" i="57"/>
  <c r="M518" i="57"/>
  <c r="M517" i="57"/>
  <c r="M516" i="57"/>
  <c r="M515" i="57"/>
  <c r="M514" i="57"/>
  <c r="M513" i="57"/>
  <c r="M512" i="57"/>
  <c r="M511" i="57"/>
  <c r="M510" i="57"/>
  <c r="M509" i="57"/>
  <c r="M508" i="57"/>
  <c r="M507" i="57"/>
  <c r="M506" i="57"/>
  <c r="M505" i="57"/>
  <c r="M504" i="57"/>
  <c r="M503" i="57"/>
  <c r="M502" i="57"/>
  <c r="M501" i="57"/>
  <c r="M500" i="57"/>
  <c r="M499" i="57"/>
  <c r="M498" i="57"/>
  <c r="M497" i="57"/>
  <c r="M496" i="57"/>
  <c r="M495" i="57"/>
  <c r="M494" i="57"/>
  <c r="M491" i="57"/>
  <c r="M490" i="57"/>
  <c r="M489" i="57"/>
  <c r="M488" i="57"/>
  <c r="M487" i="57"/>
  <c r="M486" i="57"/>
  <c r="M485" i="57"/>
  <c r="M484" i="57"/>
  <c r="M483" i="57"/>
  <c r="M482" i="57"/>
  <c r="M481" i="57"/>
  <c r="M480" i="57"/>
  <c r="M477" i="57"/>
  <c r="M476" i="57"/>
  <c r="M475" i="57"/>
  <c r="M474" i="57"/>
  <c r="M473" i="57"/>
  <c r="M472" i="57"/>
  <c r="M471" i="57"/>
  <c r="M470" i="57"/>
  <c r="M469" i="57"/>
  <c r="M468" i="57"/>
  <c r="M467" i="57"/>
  <c r="M466" i="57"/>
  <c r="M465" i="57"/>
  <c r="M464" i="57"/>
  <c r="M463" i="57"/>
  <c r="M462" i="57"/>
  <c r="M461" i="57"/>
  <c r="M460" i="57"/>
  <c r="M459" i="57"/>
  <c r="M458" i="57"/>
  <c r="M457" i="57"/>
  <c r="M456" i="57"/>
  <c r="M455" i="57"/>
  <c r="M454" i="57"/>
  <c r="M424" i="57"/>
  <c r="M417" i="57"/>
  <c r="M414" i="57"/>
  <c r="M413" i="57"/>
  <c r="M412" i="57"/>
  <c r="M411" i="57"/>
  <c r="M410" i="57"/>
  <c r="M409" i="57"/>
  <c r="M408" i="57"/>
  <c r="M407" i="57"/>
  <c r="M406" i="57"/>
  <c r="M405" i="57"/>
  <c r="M404" i="57"/>
  <c r="M403" i="57"/>
  <c r="M402" i="57"/>
  <c r="M401" i="57"/>
  <c r="M400" i="57"/>
  <c r="M399" i="57"/>
  <c r="M398" i="57"/>
  <c r="M397" i="57"/>
  <c r="M396" i="57"/>
  <c r="M395" i="57"/>
  <c r="M394" i="57"/>
  <c r="M393" i="57"/>
  <c r="M392" i="57"/>
  <c r="M391" i="57"/>
  <c r="M390" i="57"/>
  <c r="M389" i="57"/>
  <c r="M388" i="57"/>
  <c r="M387" i="57"/>
  <c r="M386" i="57"/>
  <c r="M385" i="57"/>
  <c r="M384" i="57"/>
  <c r="M383" i="57"/>
  <c r="M382" i="57"/>
  <c r="M381" i="57"/>
  <c r="M380" i="57"/>
  <c r="M379" i="57"/>
  <c r="M378" i="57"/>
  <c r="M377" i="57"/>
  <c r="M376" i="57"/>
  <c r="M375" i="57"/>
  <c r="M374" i="57"/>
  <c r="M373" i="57"/>
  <c r="M372" i="57"/>
  <c r="M371" i="57"/>
  <c r="M370" i="57"/>
  <c r="M369" i="57"/>
  <c r="M368" i="57"/>
  <c r="M367" i="57"/>
  <c r="M366" i="57"/>
  <c r="M365" i="57"/>
  <c r="M364" i="57"/>
  <c r="M363" i="57"/>
  <c r="M362" i="57"/>
  <c r="M361" i="57"/>
  <c r="M360" i="57"/>
  <c r="M359" i="57"/>
  <c r="M358" i="57"/>
  <c r="M357" i="57"/>
  <c r="M356" i="57"/>
  <c r="M355" i="57"/>
  <c r="M354" i="57"/>
  <c r="M353" i="57"/>
  <c r="M352" i="57"/>
  <c r="M351" i="57"/>
  <c r="M350" i="57"/>
  <c r="M349" i="57"/>
  <c r="M348" i="57"/>
  <c r="M347" i="57"/>
  <c r="M346" i="57"/>
  <c r="M345" i="57"/>
  <c r="M344" i="57"/>
  <c r="M343" i="57"/>
  <c r="M342" i="57"/>
  <c r="M341" i="57"/>
  <c r="M340" i="57"/>
  <c r="M339" i="57"/>
  <c r="M338" i="57"/>
  <c r="M337" i="57"/>
  <c r="M336" i="57"/>
  <c r="M335" i="57"/>
  <c r="M326" i="57"/>
  <c r="M325" i="57"/>
  <c r="M324" i="57"/>
  <c r="M323" i="57"/>
  <c r="M322" i="57"/>
  <c r="M321" i="57"/>
  <c r="M320" i="57"/>
  <c r="M319" i="57"/>
  <c r="M318" i="57"/>
  <c r="M317" i="57"/>
  <c r="M316" i="57"/>
  <c r="M315" i="57"/>
  <c r="M314" i="57"/>
  <c r="M313" i="57"/>
  <c r="M312" i="57"/>
  <c r="M311" i="57"/>
  <c r="M310" i="57"/>
  <c r="M309" i="57"/>
  <c r="M308" i="57"/>
  <c r="M307" i="57"/>
  <c r="M306" i="57"/>
  <c r="M305" i="57"/>
  <c r="M304" i="57"/>
  <c r="M303" i="57"/>
  <c r="M302" i="57"/>
  <c r="M301" i="57"/>
  <c r="M300" i="57"/>
  <c r="M299" i="57"/>
  <c r="M298" i="57"/>
  <c r="M297" i="57"/>
  <c r="M296" i="57"/>
  <c r="M295" i="57"/>
  <c r="M294" i="57"/>
  <c r="M293" i="57"/>
  <c r="M292" i="57"/>
  <c r="M291" i="57"/>
  <c r="M290" i="57"/>
  <c r="M289" i="57"/>
  <c r="M286" i="57"/>
  <c r="M285" i="57"/>
  <c r="M284" i="57"/>
  <c r="M283" i="57"/>
  <c r="M282" i="57"/>
  <c r="M281" i="57"/>
  <c r="M280" i="57"/>
  <c r="M279" i="57"/>
  <c r="M278" i="57"/>
  <c r="M277" i="57"/>
  <c r="M276" i="57"/>
  <c r="M275" i="57"/>
  <c r="M274" i="57"/>
  <c r="M273" i="57"/>
  <c r="M272" i="57"/>
  <c r="M271" i="57"/>
  <c r="M270" i="57"/>
  <c r="M269" i="57"/>
  <c r="M268" i="57"/>
  <c r="M267" i="57"/>
  <c r="M266" i="57"/>
  <c r="M265" i="57"/>
  <c r="M264" i="57"/>
  <c r="M263" i="57"/>
  <c r="M262" i="57"/>
  <c r="M261" i="57"/>
  <c r="M260" i="57"/>
  <c r="M259" i="57"/>
  <c r="M258" i="57"/>
  <c r="M257" i="57"/>
  <c r="M256" i="57"/>
  <c r="M255" i="57"/>
  <c r="M254" i="57"/>
  <c r="M253" i="57"/>
  <c r="M252" i="57"/>
  <c r="M251" i="57"/>
  <c r="M250" i="57"/>
  <c r="M249" i="57"/>
  <c r="M248" i="57"/>
  <c r="M247" i="57"/>
  <c r="M246" i="57"/>
  <c r="M245" i="57"/>
  <c r="M244" i="57"/>
  <c r="M241" i="57"/>
  <c r="M240" i="57"/>
  <c r="M239" i="57"/>
  <c r="M238" i="57"/>
  <c r="M230" i="57"/>
  <c r="M229" i="57"/>
  <c r="M228" i="57"/>
  <c r="M227" i="57"/>
  <c r="M226" i="57"/>
  <c r="M225" i="57"/>
  <c r="M222" i="57"/>
  <c r="M221" i="57"/>
  <c r="M220" i="57"/>
  <c r="M219" i="57"/>
  <c r="M218" i="57"/>
  <c r="M217" i="57"/>
  <c r="M216" i="57"/>
  <c r="M215" i="57"/>
  <c r="M214" i="57"/>
  <c r="M213" i="57"/>
  <c r="M212" i="57"/>
  <c r="M211" i="57"/>
  <c r="M210" i="57"/>
  <c r="M209" i="57"/>
  <c r="M207" i="57"/>
  <c r="M206" i="57"/>
  <c r="M205" i="57"/>
  <c r="M204" i="57"/>
  <c r="M203" i="57"/>
  <c r="M202" i="57"/>
  <c r="M201" i="57"/>
  <c r="M200" i="57"/>
  <c r="M199" i="57"/>
  <c r="M198" i="57"/>
  <c r="M197" i="57"/>
  <c r="M196" i="57"/>
  <c r="M195" i="57"/>
  <c r="M194" i="57"/>
  <c r="M193" i="57"/>
  <c r="M192" i="57"/>
  <c r="M191" i="57"/>
  <c r="M190" i="57"/>
  <c r="M189" i="57"/>
  <c r="M188" i="57"/>
  <c r="M187" i="57"/>
  <c r="M186" i="57"/>
  <c r="M185" i="57"/>
  <c r="M184" i="57"/>
  <c r="M183" i="57"/>
  <c r="M182" i="57"/>
  <c r="M181" i="57"/>
  <c r="M180" i="57"/>
  <c r="M179" i="57"/>
  <c r="M178" i="57"/>
  <c r="M177" i="57"/>
  <c r="M176" i="57"/>
  <c r="M175" i="57"/>
  <c r="M174" i="57"/>
  <c r="M173" i="57"/>
  <c r="M172" i="57"/>
  <c r="M171" i="57"/>
  <c r="M170" i="57"/>
  <c r="M169" i="57"/>
  <c r="M168" i="57"/>
  <c r="M167" i="57"/>
  <c r="M166" i="57"/>
  <c r="M165" i="57"/>
  <c r="M164" i="57"/>
  <c r="M163" i="57"/>
  <c r="M162" i="57"/>
  <c r="M161" i="57"/>
  <c r="M160" i="57"/>
  <c r="M159" i="57"/>
  <c r="M158" i="57"/>
  <c r="M157" i="57"/>
  <c r="M156" i="57"/>
  <c r="M155" i="57"/>
  <c r="M154" i="57"/>
  <c r="M153" i="57"/>
  <c r="M152" i="57"/>
  <c r="M151" i="57"/>
  <c r="M150" i="57"/>
  <c r="M149" i="57"/>
  <c r="M148" i="57"/>
  <c r="M147" i="57"/>
  <c r="M146" i="57"/>
  <c r="M145" i="57"/>
  <c r="M144" i="57"/>
  <c r="M143" i="57"/>
  <c r="M142" i="57"/>
  <c r="M129" i="57"/>
  <c r="M128" i="57"/>
  <c r="M125" i="57"/>
  <c r="M124" i="57"/>
  <c r="M123" i="57"/>
  <c r="M122" i="57"/>
  <c r="M121" i="57"/>
  <c r="M120" i="57"/>
  <c r="M119" i="57"/>
  <c r="M118" i="57"/>
  <c r="M117" i="57"/>
  <c r="M116" i="57"/>
  <c r="M115" i="57"/>
  <c r="M114" i="57"/>
  <c r="M113" i="57"/>
  <c r="M112" i="57"/>
  <c r="M111" i="57"/>
  <c r="M110" i="57"/>
  <c r="M109" i="57"/>
  <c r="M108" i="57"/>
  <c r="M107" i="57"/>
  <c r="M106" i="57"/>
  <c r="M105" i="57"/>
  <c r="M104" i="57"/>
  <c r="M103" i="57"/>
  <c r="M102" i="57"/>
  <c r="M101" i="57"/>
  <c r="M100" i="57"/>
  <c r="M99" i="57"/>
  <c r="M98" i="57"/>
  <c r="M97" i="57"/>
  <c r="M96" i="57"/>
  <c r="M95" i="57"/>
  <c r="M94" i="57"/>
  <c r="M93" i="57"/>
  <c r="M92" i="57"/>
  <c r="M91" i="57"/>
  <c r="M90" i="57"/>
  <c r="M89" i="57"/>
  <c r="M88" i="57"/>
  <c r="M87" i="57"/>
  <c r="M86" i="57"/>
  <c r="M85" i="57"/>
  <c r="M84" i="57"/>
  <c r="M83" i="57"/>
  <c r="M82" i="57"/>
  <c r="M81" i="57"/>
  <c r="M80" i="57"/>
  <c r="M79" i="57"/>
  <c r="M78" i="57"/>
  <c r="M77" i="57"/>
  <c r="M76" i="57"/>
  <c r="M75" i="57"/>
  <c r="M74" i="57"/>
  <c r="M73" i="57"/>
  <c r="M72" i="57"/>
  <c r="M71" i="57"/>
  <c r="M70" i="57"/>
  <c r="M67" i="57"/>
  <c r="M66" i="57"/>
  <c r="M65" i="57"/>
  <c r="M64" i="57"/>
  <c r="M63" i="57"/>
  <c r="M62" i="57"/>
  <c r="M61" i="57"/>
  <c r="M60" i="57"/>
  <c r="M59" i="57"/>
  <c r="M58" i="57"/>
  <c r="M57" i="57"/>
  <c r="M56" i="57"/>
  <c r="M55" i="57"/>
  <c r="M54" i="57"/>
  <c r="M53" i="57"/>
  <c r="M52" i="57"/>
  <c r="M51" i="57"/>
  <c r="M50" i="57"/>
  <c r="M49" i="57"/>
  <c r="M48" i="57"/>
  <c r="M47" i="57"/>
  <c r="M46" i="57"/>
  <c r="M45" i="57"/>
  <c r="M44" i="57"/>
  <c r="M43" i="57"/>
  <c r="M42" i="57"/>
  <c r="M27" i="57"/>
  <c r="M26" i="57"/>
  <c r="M25" i="57"/>
  <c r="M24" i="57"/>
  <c r="M23" i="57"/>
  <c r="M22" i="57"/>
  <c r="M21" i="57"/>
  <c r="M20" i="57"/>
  <c r="M19" i="57"/>
  <c r="M18" i="57"/>
  <c r="M17" i="57"/>
  <c r="M16" i="57"/>
  <c r="M15" i="57"/>
  <c r="M14" i="57"/>
  <c r="M13" i="57"/>
  <c r="M10" i="57"/>
  <c r="M9" i="57"/>
  <c r="M8" i="57"/>
  <c r="M7" i="57"/>
  <c r="M6" i="57"/>
  <c r="M5" i="57"/>
  <c r="M4" i="57"/>
  <c r="L1824" i="57"/>
  <c r="L1823" i="57"/>
  <c r="L1820" i="57"/>
  <c r="L1819" i="57"/>
  <c r="L1818" i="57"/>
  <c r="L1817" i="57"/>
  <c r="L1814" i="57"/>
  <c r="L1813" i="57"/>
  <c r="L1812" i="57"/>
  <c r="L1811" i="57"/>
  <c r="L1810" i="57"/>
  <c r="L1809" i="57"/>
  <c r="L1808" i="57"/>
  <c r="L1807" i="57"/>
  <c r="L1806" i="57"/>
  <c r="L1803" i="57"/>
  <c r="L1802" i="57"/>
  <c r="L1801" i="57"/>
  <c r="L1800" i="57"/>
  <c r="L1799" i="57"/>
  <c r="L1798" i="57"/>
  <c r="L1797" i="57"/>
  <c r="L1796" i="57"/>
  <c r="L1795" i="57"/>
  <c r="L1794" i="57"/>
  <c r="L1793" i="57"/>
  <c r="L1792" i="57"/>
  <c r="L1791" i="57"/>
  <c r="L1790" i="57"/>
  <c r="L1789" i="57"/>
  <c r="L1788" i="57"/>
  <c r="L1787" i="57"/>
  <c r="L1786" i="57"/>
  <c r="L1785" i="57"/>
  <c r="L1784" i="57"/>
  <c r="L1783" i="57"/>
  <c r="L1782" i="57"/>
  <c r="L1781" i="57"/>
  <c r="L1780" i="57"/>
  <c r="L1779" i="57"/>
  <c r="L1691" i="57"/>
  <c r="L1688" i="57"/>
  <c r="L1687" i="57"/>
  <c r="L1686" i="57"/>
  <c r="L1685" i="57"/>
  <c r="L1684" i="57"/>
  <c r="L1683" i="57"/>
  <c r="L1682" i="57"/>
  <c r="L1681" i="57"/>
  <c r="L1680" i="57"/>
  <c r="L1679" i="57"/>
  <c r="L1678" i="57"/>
  <c r="L1677" i="57"/>
  <c r="L1674" i="57"/>
  <c r="L1673" i="57"/>
  <c r="L1672" i="57"/>
  <c r="L1671" i="57"/>
  <c r="L1670" i="57"/>
  <c r="L1669" i="57"/>
  <c r="L1668" i="57"/>
  <c r="L1667" i="57"/>
  <c r="L1666" i="57"/>
  <c r="L1665" i="57"/>
  <c r="L1664" i="57"/>
  <c r="L1663" i="57"/>
  <c r="L1662" i="57"/>
  <c r="L1661" i="57"/>
  <c r="L1660" i="57"/>
  <c r="L1659" i="57"/>
  <c r="L1658" i="57"/>
  <c r="L1657" i="57"/>
  <c r="L1656" i="57"/>
  <c r="L1655" i="57"/>
  <c r="L1654" i="57"/>
  <c r="L1653" i="57"/>
  <c r="L1652" i="57"/>
  <c r="L1651" i="57"/>
  <c r="L1650" i="57"/>
  <c r="L1649" i="57"/>
  <c r="L1648" i="57"/>
  <c r="L1647" i="57"/>
  <c r="L1646" i="57"/>
  <c r="L1645" i="57"/>
  <c r="L1644" i="57"/>
  <c r="L1643" i="57"/>
  <c r="L1642" i="57"/>
  <c r="L1641" i="57"/>
  <c r="L1640" i="57"/>
  <c r="L1639" i="57"/>
  <c r="L1638" i="57"/>
  <c r="L1593" i="57"/>
  <c r="L1590" i="57"/>
  <c r="L1589" i="57"/>
  <c r="L1588" i="57"/>
  <c r="L1587" i="57"/>
  <c r="L1586" i="57"/>
  <c r="L1585" i="57"/>
  <c r="L1584" i="57"/>
  <c r="L1583" i="57"/>
  <c r="L1582" i="57"/>
  <c r="L1581" i="57"/>
  <c r="L1580" i="57"/>
  <c r="L1579" i="57"/>
  <c r="L1578" i="57"/>
  <c r="L1577" i="57"/>
  <c r="L1576" i="57"/>
  <c r="L1575" i="57"/>
  <c r="L1574" i="57"/>
  <c r="L1573" i="57"/>
  <c r="L1572" i="57"/>
  <c r="L1571" i="57"/>
  <c r="L1570" i="57"/>
  <c r="L1569" i="57"/>
  <c r="L1568" i="57"/>
  <c r="L1567" i="57"/>
  <c r="L1566" i="57"/>
  <c r="L1565" i="57"/>
  <c r="L1564" i="57"/>
  <c r="L1563" i="57"/>
  <c r="L1562" i="57"/>
  <c r="L1561" i="57"/>
  <c r="L1560" i="57"/>
  <c r="L1559" i="57"/>
  <c r="L1558" i="57"/>
  <c r="L1557" i="57"/>
  <c r="L1556" i="57"/>
  <c r="L1555" i="57"/>
  <c r="L1554" i="57"/>
  <c r="L1553" i="57"/>
  <c r="L1552" i="57"/>
  <c r="L1551" i="57"/>
  <c r="L1550" i="57"/>
  <c r="L1549" i="57"/>
  <c r="L1548" i="57"/>
  <c r="L1547" i="57"/>
  <c r="L1516" i="57"/>
  <c r="L1513" i="57"/>
  <c r="L1512" i="57"/>
  <c r="L1511" i="57"/>
  <c r="L1510" i="57"/>
  <c r="L1509" i="57"/>
  <c r="L1508" i="57"/>
  <c r="L1507" i="57"/>
  <c r="L1506" i="57"/>
  <c r="L1505" i="57"/>
  <c r="L1504" i="57"/>
  <c r="L1503" i="57"/>
  <c r="L1502" i="57"/>
  <c r="L1501" i="57"/>
  <c r="L1500" i="57"/>
  <c r="L1499" i="57"/>
  <c r="L1498" i="57"/>
  <c r="L1497" i="57"/>
  <c r="L1496" i="57"/>
  <c r="L1495" i="57"/>
  <c r="L1494" i="57"/>
  <c r="L1493" i="57"/>
  <c r="L1492" i="57"/>
  <c r="L1491" i="57"/>
  <c r="L1490" i="57"/>
  <c r="L1489" i="57"/>
  <c r="L1488" i="57"/>
  <c r="L1487" i="57"/>
  <c r="L1486" i="57"/>
  <c r="L1485" i="57"/>
  <c r="L1484" i="57"/>
  <c r="L1483" i="57"/>
  <c r="L1482" i="57"/>
  <c r="L1481" i="57"/>
  <c r="L1480" i="57"/>
  <c r="L1479" i="57"/>
  <c r="L1478" i="57"/>
  <c r="L1477" i="57"/>
  <c r="L1476" i="57"/>
  <c r="L1475" i="57"/>
  <c r="L1474" i="57"/>
  <c r="L1473" i="57"/>
  <c r="L1472" i="57"/>
  <c r="L1471" i="57"/>
  <c r="L1470" i="57"/>
  <c r="L1469" i="57"/>
  <c r="L1468" i="57"/>
  <c r="L1467" i="57"/>
  <c r="L1466" i="57"/>
  <c r="L1465" i="57"/>
  <c r="L1464" i="57"/>
  <c r="L1463" i="57"/>
  <c r="L1462" i="57"/>
  <c r="L1461" i="57"/>
  <c r="L1460" i="57"/>
  <c r="L1459" i="57"/>
  <c r="L1458" i="57"/>
  <c r="L1457" i="57"/>
  <c r="L1456" i="57"/>
  <c r="L1455" i="57"/>
  <c r="L1454" i="57"/>
  <c r="L1453" i="57"/>
  <c r="L1452" i="57"/>
  <c r="L1451" i="57"/>
  <c r="L1450" i="57"/>
  <c r="L1449" i="57"/>
  <c r="L1448" i="57"/>
  <c r="L1447" i="57"/>
  <c r="L1446" i="57"/>
  <c r="L1445" i="57"/>
  <c r="L1444" i="57"/>
  <c r="L1443" i="57"/>
  <c r="L1442" i="57"/>
  <c r="L1441" i="57"/>
  <c r="L1440" i="57"/>
  <c r="L1308" i="57"/>
  <c r="L1305" i="57"/>
  <c r="L1304" i="57"/>
  <c r="L1303" i="57"/>
  <c r="L1302" i="57"/>
  <c r="L1301" i="57"/>
  <c r="L1300" i="57"/>
  <c r="L1299" i="57"/>
  <c r="L1298" i="57"/>
  <c r="L1297" i="57"/>
  <c r="L1296" i="57"/>
  <c r="L1295" i="57"/>
  <c r="L1294" i="57"/>
  <c r="L1293" i="57"/>
  <c r="L1292" i="57"/>
  <c r="L1291" i="57"/>
  <c r="L1290" i="57"/>
  <c r="L1289" i="57"/>
  <c r="L1288" i="57"/>
  <c r="L1287" i="57"/>
  <c r="L1286" i="57"/>
  <c r="L1285" i="57"/>
  <c r="L1284" i="57"/>
  <c r="L1283" i="57"/>
  <c r="L1282" i="57"/>
  <c r="L1281" i="57"/>
  <c r="L1280" i="57"/>
  <c r="L1279" i="57"/>
  <c r="L1278" i="57"/>
  <c r="L1277" i="57"/>
  <c r="L1276" i="57"/>
  <c r="L1275" i="57"/>
  <c r="L1274" i="57"/>
  <c r="L1273" i="57"/>
  <c r="L1272" i="57"/>
  <c r="L1271" i="57"/>
  <c r="L1270" i="57"/>
  <c r="L1269" i="57"/>
  <c r="L1268" i="57"/>
  <c r="L1267" i="57"/>
  <c r="L1266" i="57"/>
  <c r="L1228" i="57"/>
  <c r="L1019" i="57"/>
  <c r="L930" i="57"/>
  <c r="L809" i="57"/>
  <c r="L699" i="57"/>
  <c r="L529" i="57"/>
  <c r="L526" i="57"/>
  <c r="L525" i="57"/>
  <c r="L524" i="57"/>
  <c r="L523" i="57"/>
  <c r="L522" i="57"/>
  <c r="L521" i="57"/>
  <c r="L520" i="57"/>
  <c r="L519" i="57"/>
  <c r="L518" i="57"/>
  <c r="L517" i="57"/>
  <c r="L516" i="57"/>
  <c r="L515" i="57"/>
  <c r="L514" i="57"/>
  <c r="L513" i="57"/>
  <c r="L512" i="57"/>
  <c r="L511" i="57"/>
  <c r="L510" i="57"/>
  <c r="L509" i="57"/>
  <c r="L508" i="57"/>
  <c r="L507" i="57"/>
  <c r="L506" i="57"/>
  <c r="L505" i="57"/>
  <c r="L504" i="57"/>
  <c r="L503" i="57"/>
  <c r="L502" i="57"/>
  <c r="L501" i="57"/>
  <c r="L500" i="57"/>
  <c r="L499" i="57"/>
  <c r="L498" i="57"/>
  <c r="L497" i="57"/>
  <c r="L496" i="57"/>
  <c r="L495" i="57"/>
  <c r="L494" i="57"/>
  <c r="L491" i="57"/>
  <c r="L490" i="57"/>
  <c r="L489" i="57"/>
  <c r="L488" i="57"/>
  <c r="L487" i="57"/>
  <c r="L486" i="57"/>
  <c r="L485" i="57"/>
  <c r="L484" i="57"/>
  <c r="L483" i="57"/>
  <c r="L482" i="57"/>
  <c r="L481" i="57"/>
  <c r="L480" i="57"/>
  <c r="L477" i="57"/>
  <c r="L476" i="57"/>
  <c r="L475" i="57"/>
  <c r="L474" i="57"/>
  <c r="L473" i="57"/>
  <c r="L472" i="57"/>
  <c r="L471" i="57"/>
  <c r="L470" i="57"/>
  <c r="L469" i="57"/>
  <c r="L468" i="57"/>
  <c r="L467" i="57"/>
  <c r="L466" i="57"/>
  <c r="L465" i="57"/>
  <c r="L464" i="57"/>
  <c r="L463" i="57"/>
  <c r="L462" i="57"/>
  <c r="L461" i="57"/>
  <c r="L460" i="57"/>
  <c r="L459" i="57"/>
  <c r="L458" i="57"/>
  <c r="L457" i="57"/>
  <c r="L456" i="57"/>
  <c r="L455" i="57"/>
  <c r="L454" i="57"/>
  <c r="L424" i="57"/>
  <c r="L417" i="57"/>
  <c r="L414" i="57"/>
  <c r="L413" i="57"/>
  <c r="L412" i="57"/>
  <c r="L411" i="57"/>
  <c r="L410" i="57"/>
  <c r="L409" i="57"/>
  <c r="L408" i="57"/>
  <c r="L407" i="57"/>
  <c r="L406" i="57"/>
  <c r="L405" i="57"/>
  <c r="L404" i="57"/>
  <c r="L403" i="57"/>
  <c r="L402" i="57"/>
  <c r="L401" i="57"/>
  <c r="L400" i="57"/>
  <c r="L399" i="57"/>
  <c r="L398" i="57"/>
  <c r="L397" i="57"/>
  <c r="L396" i="57"/>
  <c r="L395" i="57"/>
  <c r="L394" i="57"/>
  <c r="L393" i="57"/>
  <c r="L392" i="57"/>
  <c r="L391" i="57"/>
  <c r="L390" i="57"/>
  <c r="L389" i="57"/>
  <c r="L388" i="57"/>
  <c r="L387" i="57"/>
  <c r="L386" i="57"/>
  <c r="L385" i="57"/>
  <c r="L384" i="57"/>
  <c r="L383" i="57"/>
  <c r="L382" i="57"/>
  <c r="L381" i="57"/>
  <c r="L380" i="57"/>
  <c r="L379" i="57"/>
  <c r="L378" i="57"/>
  <c r="L377" i="57"/>
  <c r="L376" i="57"/>
  <c r="L375" i="57"/>
  <c r="L374" i="57"/>
  <c r="L373" i="57"/>
  <c r="L372" i="57"/>
  <c r="L371" i="57"/>
  <c r="L370" i="57"/>
  <c r="L369" i="57"/>
  <c r="L368" i="57"/>
  <c r="L367" i="57"/>
  <c r="L366" i="57"/>
  <c r="L365" i="57"/>
  <c r="L364" i="57"/>
  <c r="L363" i="57"/>
  <c r="L362" i="57"/>
  <c r="L361" i="57"/>
  <c r="L360" i="57"/>
  <c r="L359" i="57"/>
  <c r="L358" i="57"/>
  <c r="L357" i="57"/>
  <c r="L356" i="57"/>
  <c r="L355" i="57"/>
  <c r="L354" i="57"/>
  <c r="L353" i="57"/>
  <c r="L352" i="57"/>
  <c r="L351" i="57"/>
  <c r="L350" i="57"/>
  <c r="L349" i="57"/>
  <c r="L348" i="57"/>
  <c r="L347" i="57"/>
  <c r="L346" i="57"/>
  <c r="L345" i="57"/>
  <c r="L344" i="57"/>
  <c r="L343" i="57"/>
  <c r="L342" i="57"/>
  <c r="L341" i="57"/>
  <c r="L340" i="57"/>
  <c r="L339" i="57"/>
  <c r="L338" i="57"/>
  <c r="L337" i="57"/>
  <c r="L336" i="57"/>
  <c r="L335" i="57"/>
  <c r="L326" i="57"/>
  <c r="L325" i="57"/>
  <c r="L324" i="57"/>
  <c r="L323" i="57"/>
  <c r="L322" i="57"/>
  <c r="L321" i="57"/>
  <c r="L320" i="57"/>
  <c r="L319" i="57"/>
  <c r="L318" i="57"/>
  <c r="L317" i="57"/>
  <c r="L316" i="57"/>
  <c r="L315" i="57"/>
  <c r="L314" i="57"/>
  <c r="L313" i="57"/>
  <c r="L312" i="57"/>
  <c r="L311" i="57"/>
  <c r="L310" i="57"/>
  <c r="L309" i="57"/>
  <c r="L308" i="57"/>
  <c r="L307" i="57"/>
  <c r="L306" i="57"/>
  <c r="L305" i="57"/>
  <c r="L304" i="57"/>
  <c r="L303" i="57"/>
  <c r="L302" i="57"/>
  <c r="L301" i="57"/>
  <c r="L300" i="57"/>
  <c r="L299" i="57"/>
  <c r="L298" i="57"/>
  <c r="L297" i="57"/>
  <c r="L296" i="57"/>
  <c r="L295" i="57"/>
  <c r="L294" i="57"/>
  <c r="L293" i="57"/>
  <c r="L292" i="57"/>
  <c r="L291" i="57"/>
  <c r="L290" i="57"/>
  <c r="L289" i="57"/>
  <c r="L286" i="57"/>
  <c r="L285" i="57"/>
  <c r="L284" i="57"/>
  <c r="L283" i="57"/>
  <c r="L282" i="57"/>
  <c r="L281" i="57"/>
  <c r="L280" i="57"/>
  <c r="L279" i="57"/>
  <c r="L278" i="57"/>
  <c r="L277" i="57"/>
  <c r="L276" i="57"/>
  <c r="L275" i="57"/>
  <c r="L274" i="57"/>
  <c r="L273" i="57"/>
  <c r="L272" i="57"/>
  <c r="L271" i="57"/>
  <c r="L270" i="57"/>
  <c r="L269" i="57"/>
  <c r="L268" i="57"/>
  <c r="L267" i="57"/>
  <c r="L266" i="57"/>
  <c r="L265" i="57"/>
  <c r="L264" i="57"/>
  <c r="L263" i="57"/>
  <c r="L262" i="57"/>
  <c r="L261" i="57"/>
  <c r="L260" i="57"/>
  <c r="L259" i="57"/>
  <c r="L258" i="57"/>
  <c r="L257" i="57"/>
  <c r="L256" i="57"/>
  <c r="L255" i="57"/>
  <c r="L254" i="57"/>
  <c r="L253" i="57"/>
  <c r="L252" i="57"/>
  <c r="L251" i="57"/>
  <c r="L250" i="57"/>
  <c r="L249" i="57"/>
  <c r="L248" i="57"/>
  <c r="L247" i="57"/>
  <c r="L246" i="57"/>
  <c r="L245" i="57"/>
  <c r="L244" i="57"/>
  <c r="L241" i="57"/>
  <c r="L240" i="57"/>
  <c r="L239" i="57"/>
  <c r="L238" i="57"/>
  <c r="L230" i="57"/>
  <c r="L229" i="57"/>
  <c r="L228" i="57"/>
  <c r="L227" i="57"/>
  <c r="L226" i="57"/>
  <c r="L225" i="57"/>
  <c r="L222" i="57"/>
  <c r="L221" i="57"/>
  <c r="L220" i="57"/>
  <c r="L219" i="57"/>
  <c r="L218" i="57"/>
  <c r="L217" i="57"/>
  <c r="L216" i="57"/>
  <c r="L215" i="57"/>
  <c r="L214" i="57"/>
  <c r="L213" i="57"/>
  <c r="L212" i="57"/>
  <c r="L211" i="57"/>
  <c r="L210" i="57"/>
  <c r="L209" i="57"/>
  <c r="L207" i="57"/>
  <c r="L206" i="57"/>
  <c r="L205" i="57"/>
  <c r="L204" i="57"/>
  <c r="L203" i="57"/>
  <c r="L202" i="57"/>
  <c r="L201" i="57"/>
  <c r="L200" i="57"/>
  <c r="L199" i="57"/>
  <c r="L198" i="57"/>
  <c r="L197" i="57"/>
  <c r="L196" i="57"/>
  <c r="L195" i="57"/>
  <c r="L194" i="57"/>
  <c r="L193" i="57"/>
  <c r="L192" i="57"/>
  <c r="L191" i="57"/>
  <c r="L190" i="57"/>
  <c r="L189" i="57"/>
  <c r="L188" i="57"/>
  <c r="L187" i="57"/>
  <c r="L186" i="57"/>
  <c r="L185" i="57"/>
  <c r="L184" i="57"/>
  <c r="L183" i="57"/>
  <c r="L182" i="57"/>
  <c r="L181" i="57"/>
  <c r="L180" i="57"/>
  <c r="L179" i="57"/>
  <c r="L178" i="57"/>
  <c r="L177" i="57"/>
  <c r="L176" i="57"/>
  <c r="L175" i="57"/>
  <c r="L174" i="57"/>
  <c r="L173" i="57"/>
  <c r="L172" i="57"/>
  <c r="L171" i="57"/>
  <c r="L170" i="57"/>
  <c r="L169" i="57"/>
  <c r="L168" i="57"/>
  <c r="L167" i="57"/>
  <c r="L166" i="57"/>
  <c r="L165" i="57"/>
  <c r="L164" i="57"/>
  <c r="L163" i="57"/>
  <c r="L162" i="57"/>
  <c r="L161" i="57"/>
  <c r="L160" i="57"/>
  <c r="L159" i="57"/>
  <c r="L158" i="57"/>
  <c r="L157" i="57"/>
  <c r="L156" i="57"/>
  <c r="L155" i="57"/>
  <c r="L154" i="57"/>
  <c r="L153" i="57"/>
  <c r="L152" i="57"/>
  <c r="L151" i="57"/>
  <c r="L150" i="57"/>
  <c r="L149" i="57"/>
  <c r="L148" i="57"/>
  <c r="L147" i="57"/>
  <c r="L146" i="57"/>
  <c r="L145" i="57"/>
  <c r="L144" i="57"/>
  <c r="L143" i="57"/>
  <c r="L142" i="57"/>
  <c r="L129" i="57"/>
  <c r="L128" i="57"/>
  <c r="L125" i="57"/>
  <c r="L124" i="57"/>
  <c r="L123" i="57"/>
  <c r="L122" i="57"/>
  <c r="L121" i="57"/>
  <c r="L120" i="57"/>
  <c r="L119" i="57"/>
  <c r="L118" i="57"/>
  <c r="L117" i="57"/>
  <c r="L116" i="57"/>
  <c r="L115" i="57"/>
  <c r="L114" i="57"/>
  <c r="L113" i="57"/>
  <c r="L112" i="57"/>
  <c r="L111" i="57"/>
  <c r="L110" i="57"/>
  <c r="L109" i="57"/>
  <c r="L108" i="57"/>
  <c r="L107" i="57"/>
  <c r="L106" i="57"/>
  <c r="L105" i="57"/>
  <c r="L104" i="57"/>
  <c r="L103" i="57"/>
  <c r="L102" i="57"/>
  <c r="L101" i="57"/>
  <c r="L100" i="57"/>
  <c r="L99" i="57"/>
  <c r="L98" i="57"/>
  <c r="L97" i="57"/>
  <c r="L96" i="57"/>
  <c r="L95" i="57"/>
  <c r="L94" i="57"/>
  <c r="L93" i="57"/>
  <c r="L92" i="57"/>
  <c r="L91" i="57"/>
  <c r="L90" i="57"/>
  <c r="L89" i="57"/>
  <c r="L88" i="57"/>
  <c r="L87" i="57"/>
  <c r="L86" i="57"/>
  <c r="L85" i="57"/>
  <c r="L84" i="57"/>
  <c r="L83" i="57"/>
  <c r="L82" i="57"/>
  <c r="L81" i="57"/>
  <c r="L80" i="57"/>
  <c r="L79" i="57"/>
  <c r="L78" i="57"/>
  <c r="L77" i="57"/>
  <c r="L76" i="57"/>
  <c r="L75" i="57"/>
  <c r="L74" i="57"/>
  <c r="L73" i="57"/>
  <c r="L72" i="57"/>
  <c r="L71" i="57"/>
  <c r="L70" i="57"/>
  <c r="L67" i="57"/>
  <c r="L66" i="57"/>
  <c r="L65" i="57"/>
  <c r="L64" i="57"/>
  <c r="L63" i="57"/>
  <c r="L62" i="57"/>
  <c r="L61" i="57"/>
  <c r="L60" i="57"/>
  <c r="L59" i="57"/>
  <c r="L58" i="57"/>
  <c r="L57" i="57"/>
  <c r="L56" i="57"/>
  <c r="L55" i="57"/>
  <c r="L54" i="57"/>
  <c r="L53" i="57"/>
  <c r="L52" i="57"/>
  <c r="L51" i="57"/>
  <c r="L50" i="57"/>
  <c r="L49" i="57"/>
  <c r="L48" i="57"/>
  <c r="L47" i="57"/>
  <c r="L46" i="57"/>
  <c r="L45" i="57"/>
  <c r="L44" i="57"/>
  <c r="L43" i="57"/>
  <c r="L42" i="57"/>
  <c r="L27" i="57"/>
  <c r="L26" i="57"/>
  <c r="L25" i="57"/>
  <c r="L24" i="57"/>
  <c r="L23" i="57"/>
  <c r="L22" i="57"/>
  <c r="L21" i="57"/>
  <c r="L20" i="57"/>
  <c r="L19" i="57"/>
  <c r="L18" i="57"/>
  <c r="L17" i="57"/>
  <c r="L16" i="57"/>
  <c r="L15" i="57"/>
  <c r="L14" i="57"/>
  <c r="L13" i="57"/>
  <c r="L10" i="57"/>
  <c r="L9" i="57"/>
  <c r="L8" i="57"/>
  <c r="L7" i="57"/>
  <c r="L6" i="57"/>
  <c r="L5" i="57"/>
  <c r="L4" i="57"/>
  <c r="K1824" i="57"/>
  <c r="K1823" i="57"/>
  <c r="K1820" i="57"/>
  <c r="K1819" i="57"/>
  <c r="K1818" i="57"/>
  <c r="K1817" i="57"/>
  <c r="K1814" i="57"/>
  <c r="K1813" i="57"/>
  <c r="K1812" i="57"/>
  <c r="K1811" i="57"/>
  <c r="K1810" i="57"/>
  <c r="K1809" i="57"/>
  <c r="K1808" i="57"/>
  <c r="K1807" i="57"/>
  <c r="K1806" i="57"/>
  <c r="K1803" i="57"/>
  <c r="K1802" i="57"/>
  <c r="K1801" i="57"/>
  <c r="K1800" i="57"/>
  <c r="K1799" i="57"/>
  <c r="K1798" i="57"/>
  <c r="K1797" i="57"/>
  <c r="K1796" i="57"/>
  <c r="K1795" i="57"/>
  <c r="K1794" i="57"/>
  <c r="K1793" i="57"/>
  <c r="K1792" i="57"/>
  <c r="K1791" i="57"/>
  <c r="K1790" i="57"/>
  <c r="K1789" i="57"/>
  <c r="K1788" i="57"/>
  <c r="K1787" i="57"/>
  <c r="K1786" i="57"/>
  <c r="K1785" i="57"/>
  <c r="K1784" i="57"/>
  <c r="K1783" i="57"/>
  <c r="K1782" i="57"/>
  <c r="K1781" i="57"/>
  <c r="K1780" i="57"/>
  <c r="K1779" i="57"/>
  <c r="K1691" i="57"/>
  <c r="K1688" i="57"/>
  <c r="K1687" i="57"/>
  <c r="K1686" i="57"/>
  <c r="K1685" i="57"/>
  <c r="K1684" i="57"/>
  <c r="K1683" i="57"/>
  <c r="K1682" i="57"/>
  <c r="K1681" i="57"/>
  <c r="K1680" i="57"/>
  <c r="K1679" i="57"/>
  <c r="K1678" i="57"/>
  <c r="K1677" i="57"/>
  <c r="K1674" i="57"/>
  <c r="K1673" i="57"/>
  <c r="K1672" i="57"/>
  <c r="K1671" i="57"/>
  <c r="K1670" i="57"/>
  <c r="K1669" i="57"/>
  <c r="K1668" i="57"/>
  <c r="K1667" i="57"/>
  <c r="K1666" i="57"/>
  <c r="K1665" i="57"/>
  <c r="K1664" i="57"/>
  <c r="K1663" i="57"/>
  <c r="K1662" i="57"/>
  <c r="K1661" i="57"/>
  <c r="K1660" i="57"/>
  <c r="K1659" i="57"/>
  <c r="K1658" i="57"/>
  <c r="K1657" i="57"/>
  <c r="K1656" i="57"/>
  <c r="K1655" i="57"/>
  <c r="K1654" i="57"/>
  <c r="K1653" i="57"/>
  <c r="K1652" i="57"/>
  <c r="K1651" i="57"/>
  <c r="K1650" i="57"/>
  <c r="K1649" i="57"/>
  <c r="K1648" i="57"/>
  <c r="K1647" i="57"/>
  <c r="K1646" i="57"/>
  <c r="K1645" i="57"/>
  <c r="K1644" i="57"/>
  <c r="K1643" i="57"/>
  <c r="K1642" i="57"/>
  <c r="K1641" i="57"/>
  <c r="K1640" i="57"/>
  <c r="K1639" i="57"/>
  <c r="K1638" i="57"/>
  <c r="K1593" i="57"/>
  <c r="K1590" i="57"/>
  <c r="K1589" i="57"/>
  <c r="K1588" i="57"/>
  <c r="K1587" i="57"/>
  <c r="K1586" i="57"/>
  <c r="K1585" i="57"/>
  <c r="K1584" i="57"/>
  <c r="K1583" i="57"/>
  <c r="K1582" i="57"/>
  <c r="K1581" i="57"/>
  <c r="K1580" i="57"/>
  <c r="K1579" i="57"/>
  <c r="K1578" i="57"/>
  <c r="K1577" i="57"/>
  <c r="K1576" i="57"/>
  <c r="K1575" i="57"/>
  <c r="K1574" i="57"/>
  <c r="K1573" i="57"/>
  <c r="K1572" i="57"/>
  <c r="K1571" i="57"/>
  <c r="K1570" i="57"/>
  <c r="K1569" i="57"/>
  <c r="K1568" i="57"/>
  <c r="K1567" i="57"/>
  <c r="K1566" i="57"/>
  <c r="K1565" i="57"/>
  <c r="K1564" i="57"/>
  <c r="K1563" i="57"/>
  <c r="K1562" i="57"/>
  <c r="K1561" i="57"/>
  <c r="K1560" i="57"/>
  <c r="K1559" i="57"/>
  <c r="K1558" i="57"/>
  <c r="K1557" i="57"/>
  <c r="K1556" i="57"/>
  <c r="K1555" i="57"/>
  <c r="K1554" i="57"/>
  <c r="K1553" i="57"/>
  <c r="K1552" i="57"/>
  <c r="K1551" i="57"/>
  <c r="K1550" i="57"/>
  <c r="K1549" i="57"/>
  <c r="K1548" i="57"/>
  <c r="K1547" i="57"/>
  <c r="K1516" i="57"/>
  <c r="K1513" i="57"/>
  <c r="K1512" i="57"/>
  <c r="K1511" i="57"/>
  <c r="K1510" i="57"/>
  <c r="K1509" i="57"/>
  <c r="K1508" i="57"/>
  <c r="K1507" i="57"/>
  <c r="K1506" i="57"/>
  <c r="K1505" i="57"/>
  <c r="K1504" i="57"/>
  <c r="K1503" i="57"/>
  <c r="K1502" i="57"/>
  <c r="K1501" i="57"/>
  <c r="K1500" i="57"/>
  <c r="K1499" i="57"/>
  <c r="K1498" i="57"/>
  <c r="K1497" i="57"/>
  <c r="K1496" i="57"/>
  <c r="K1495" i="57"/>
  <c r="K1494" i="57"/>
  <c r="K1493" i="57"/>
  <c r="K1492" i="57"/>
  <c r="K1491" i="57"/>
  <c r="K1490" i="57"/>
  <c r="K1489" i="57"/>
  <c r="K1488" i="57"/>
  <c r="K1487" i="57"/>
  <c r="K1486" i="57"/>
  <c r="K1485" i="57"/>
  <c r="K1484" i="57"/>
  <c r="K1483" i="57"/>
  <c r="K1482" i="57"/>
  <c r="K1481" i="57"/>
  <c r="K1480" i="57"/>
  <c r="K1479" i="57"/>
  <c r="K1478" i="57"/>
  <c r="K1477" i="57"/>
  <c r="K1476" i="57"/>
  <c r="K1475" i="57"/>
  <c r="K1474" i="57"/>
  <c r="K1473" i="57"/>
  <c r="K1472" i="57"/>
  <c r="K1471" i="57"/>
  <c r="K1470" i="57"/>
  <c r="K1469" i="57"/>
  <c r="K1468" i="57"/>
  <c r="K1467" i="57"/>
  <c r="K1466" i="57"/>
  <c r="K1465" i="57"/>
  <c r="K1464" i="57"/>
  <c r="K1463" i="57"/>
  <c r="K1462" i="57"/>
  <c r="K1461" i="57"/>
  <c r="K1460" i="57"/>
  <c r="K1459" i="57"/>
  <c r="K1458" i="57"/>
  <c r="K1457" i="57"/>
  <c r="K1456" i="57"/>
  <c r="K1455" i="57"/>
  <c r="K1454" i="57"/>
  <c r="K1453" i="57"/>
  <c r="K1452" i="57"/>
  <c r="K1451" i="57"/>
  <c r="K1450" i="57"/>
  <c r="K1449" i="57"/>
  <c r="K1448" i="57"/>
  <c r="K1447" i="57"/>
  <c r="K1446" i="57"/>
  <c r="K1445" i="57"/>
  <c r="K1444" i="57"/>
  <c r="K1443" i="57"/>
  <c r="K1442" i="57"/>
  <c r="K1441" i="57"/>
  <c r="K1440" i="57"/>
  <c r="K1308" i="57"/>
  <c r="K1305" i="57"/>
  <c r="K1304" i="57"/>
  <c r="K1303" i="57"/>
  <c r="K1302" i="57"/>
  <c r="K1301" i="57"/>
  <c r="K1300" i="57"/>
  <c r="K1299" i="57"/>
  <c r="K1298" i="57"/>
  <c r="K1297" i="57"/>
  <c r="K1296" i="57"/>
  <c r="K1295" i="57"/>
  <c r="K1294" i="57"/>
  <c r="K1293" i="57"/>
  <c r="K1292" i="57"/>
  <c r="K1291" i="57"/>
  <c r="K1290" i="57"/>
  <c r="K1289" i="57"/>
  <c r="K1288" i="57"/>
  <c r="K1287" i="57"/>
  <c r="K1286" i="57"/>
  <c r="K1285" i="57"/>
  <c r="K1284" i="57"/>
  <c r="K1283" i="57"/>
  <c r="K1282" i="57"/>
  <c r="K1281" i="57"/>
  <c r="K1280" i="57"/>
  <c r="K1279" i="57"/>
  <c r="K1278" i="57"/>
  <c r="K1277" i="57"/>
  <c r="K1276" i="57"/>
  <c r="K1275" i="57"/>
  <c r="K1274" i="57"/>
  <c r="K1273" i="57"/>
  <c r="K1272" i="57"/>
  <c r="K1271" i="57"/>
  <c r="K1270" i="57"/>
  <c r="K1269" i="57"/>
  <c r="K1268" i="57"/>
  <c r="K1267" i="57"/>
  <c r="K1266" i="57"/>
  <c r="K1228" i="57"/>
  <c r="K1019" i="57"/>
  <c r="K930" i="57"/>
  <c r="K809" i="57"/>
  <c r="K699" i="57"/>
  <c r="K529" i="57"/>
  <c r="K526" i="57"/>
  <c r="K525" i="57"/>
  <c r="K524" i="57"/>
  <c r="K523" i="57"/>
  <c r="K522" i="57"/>
  <c r="K521" i="57"/>
  <c r="K520" i="57"/>
  <c r="K519" i="57"/>
  <c r="K518" i="57"/>
  <c r="K517" i="57"/>
  <c r="K516" i="57"/>
  <c r="K515" i="57"/>
  <c r="K514" i="57"/>
  <c r="K513" i="57"/>
  <c r="K512" i="57"/>
  <c r="K511" i="57"/>
  <c r="K510" i="57"/>
  <c r="K509" i="57"/>
  <c r="K508" i="57"/>
  <c r="K507" i="57"/>
  <c r="K506" i="57"/>
  <c r="K505" i="57"/>
  <c r="K504" i="57"/>
  <c r="K503" i="57"/>
  <c r="K502" i="57"/>
  <c r="K501" i="57"/>
  <c r="K500" i="57"/>
  <c r="K499" i="57"/>
  <c r="K498" i="57"/>
  <c r="K497" i="57"/>
  <c r="K496" i="57"/>
  <c r="K495" i="57"/>
  <c r="K494" i="57"/>
  <c r="K491" i="57"/>
  <c r="K490" i="57"/>
  <c r="K489" i="57"/>
  <c r="K488" i="57"/>
  <c r="K487" i="57"/>
  <c r="K486" i="57"/>
  <c r="K485" i="57"/>
  <c r="K484" i="57"/>
  <c r="K483" i="57"/>
  <c r="K482" i="57"/>
  <c r="K481" i="57"/>
  <c r="K480" i="57"/>
  <c r="K477" i="57"/>
  <c r="K476" i="57"/>
  <c r="K475" i="57"/>
  <c r="K474" i="57"/>
  <c r="K473" i="57"/>
  <c r="K472" i="57"/>
  <c r="K471" i="57"/>
  <c r="K470" i="57"/>
  <c r="K469" i="57"/>
  <c r="K468" i="57"/>
  <c r="K467" i="57"/>
  <c r="K466" i="57"/>
  <c r="K465" i="57"/>
  <c r="K464" i="57"/>
  <c r="K463" i="57"/>
  <c r="K462" i="57"/>
  <c r="K461" i="57"/>
  <c r="K460" i="57"/>
  <c r="K459" i="57"/>
  <c r="K458" i="57"/>
  <c r="K457" i="57"/>
  <c r="K456" i="57"/>
  <c r="K455" i="57"/>
  <c r="K454" i="57"/>
  <c r="K424" i="57"/>
  <c r="K417" i="57"/>
  <c r="K414" i="57"/>
  <c r="K413" i="57"/>
  <c r="K412" i="57"/>
  <c r="K411" i="57"/>
  <c r="K410" i="57"/>
  <c r="K409" i="57"/>
  <c r="K408" i="57"/>
  <c r="K407" i="57"/>
  <c r="K406" i="57"/>
  <c r="K405" i="57"/>
  <c r="K404" i="57"/>
  <c r="K403" i="57"/>
  <c r="K402" i="57"/>
  <c r="K401" i="57"/>
  <c r="K400" i="57"/>
  <c r="K399" i="57"/>
  <c r="K398" i="57"/>
  <c r="K397" i="57"/>
  <c r="K396" i="57"/>
  <c r="K395" i="57"/>
  <c r="K394" i="57"/>
  <c r="K393" i="57"/>
  <c r="K392" i="57"/>
  <c r="K391" i="57"/>
  <c r="K390" i="57"/>
  <c r="K389" i="57"/>
  <c r="K388" i="57"/>
  <c r="K387" i="57"/>
  <c r="K386" i="57"/>
  <c r="K385" i="57"/>
  <c r="K384" i="57"/>
  <c r="K383" i="57"/>
  <c r="K382" i="57"/>
  <c r="K381" i="57"/>
  <c r="K380" i="57"/>
  <c r="K379" i="57"/>
  <c r="K378" i="57"/>
  <c r="K377" i="57"/>
  <c r="K376" i="57"/>
  <c r="K375" i="57"/>
  <c r="K374" i="57"/>
  <c r="K373" i="57"/>
  <c r="K372" i="57"/>
  <c r="K371" i="57"/>
  <c r="K370" i="57"/>
  <c r="K369" i="57"/>
  <c r="K368" i="57"/>
  <c r="K367" i="57"/>
  <c r="K366" i="57"/>
  <c r="K365" i="57"/>
  <c r="K364" i="57"/>
  <c r="K363" i="57"/>
  <c r="K362" i="57"/>
  <c r="K361" i="57"/>
  <c r="K360" i="57"/>
  <c r="K359" i="57"/>
  <c r="K358" i="57"/>
  <c r="K357" i="57"/>
  <c r="K356" i="57"/>
  <c r="K355" i="57"/>
  <c r="K354" i="57"/>
  <c r="K353" i="57"/>
  <c r="K352" i="57"/>
  <c r="K351" i="57"/>
  <c r="K350" i="57"/>
  <c r="K349" i="57"/>
  <c r="K348" i="57"/>
  <c r="K347" i="57"/>
  <c r="K346" i="57"/>
  <c r="K345" i="57"/>
  <c r="K344" i="57"/>
  <c r="K343" i="57"/>
  <c r="K342" i="57"/>
  <c r="K341" i="57"/>
  <c r="K340" i="57"/>
  <c r="K339" i="57"/>
  <c r="K338" i="57"/>
  <c r="K337" i="57"/>
  <c r="K336" i="57"/>
  <c r="K335" i="57"/>
  <c r="K326" i="57"/>
  <c r="K325" i="57"/>
  <c r="K324" i="57"/>
  <c r="K323" i="57"/>
  <c r="K322" i="57"/>
  <c r="K321" i="57"/>
  <c r="K320" i="57"/>
  <c r="K319" i="57"/>
  <c r="K318" i="57"/>
  <c r="K317" i="57"/>
  <c r="K316" i="57"/>
  <c r="K315" i="57"/>
  <c r="K314" i="57"/>
  <c r="K313" i="57"/>
  <c r="K312" i="57"/>
  <c r="K311" i="57"/>
  <c r="K310" i="57"/>
  <c r="K309" i="57"/>
  <c r="K308" i="57"/>
  <c r="K307" i="57"/>
  <c r="K306" i="57"/>
  <c r="K305" i="57"/>
  <c r="K304" i="57"/>
  <c r="K303" i="57"/>
  <c r="K302" i="57"/>
  <c r="K301" i="57"/>
  <c r="K300" i="57"/>
  <c r="K299" i="57"/>
  <c r="K298" i="57"/>
  <c r="K297" i="57"/>
  <c r="K296" i="57"/>
  <c r="K295" i="57"/>
  <c r="K294" i="57"/>
  <c r="K293" i="57"/>
  <c r="K292" i="57"/>
  <c r="K291" i="57"/>
  <c r="K290" i="57"/>
  <c r="K289" i="57"/>
  <c r="K286" i="57"/>
  <c r="K285" i="57"/>
  <c r="K284" i="57"/>
  <c r="K283" i="57"/>
  <c r="K282" i="57"/>
  <c r="K281" i="57"/>
  <c r="K280" i="57"/>
  <c r="K279" i="57"/>
  <c r="K278" i="57"/>
  <c r="K277" i="57"/>
  <c r="K276" i="57"/>
  <c r="K275" i="57"/>
  <c r="K274" i="57"/>
  <c r="K273" i="57"/>
  <c r="K272" i="57"/>
  <c r="K271" i="57"/>
  <c r="K270" i="57"/>
  <c r="K269" i="57"/>
  <c r="K268" i="57"/>
  <c r="K267" i="57"/>
  <c r="K266" i="57"/>
  <c r="K265" i="57"/>
  <c r="K264" i="57"/>
  <c r="K263" i="57"/>
  <c r="K262" i="57"/>
  <c r="K261" i="57"/>
  <c r="K260" i="57"/>
  <c r="K259" i="57"/>
  <c r="K258" i="57"/>
  <c r="K257" i="57"/>
  <c r="K256" i="57"/>
  <c r="K255" i="57"/>
  <c r="K254" i="57"/>
  <c r="K253" i="57"/>
  <c r="K252" i="57"/>
  <c r="K251" i="57"/>
  <c r="K250" i="57"/>
  <c r="K249" i="57"/>
  <c r="K248" i="57"/>
  <c r="K247" i="57"/>
  <c r="K246" i="57"/>
  <c r="K245" i="57"/>
  <c r="K244" i="57"/>
  <c r="K241" i="57"/>
  <c r="K240" i="57"/>
  <c r="K239" i="57"/>
  <c r="K238" i="57"/>
  <c r="K230" i="57"/>
  <c r="K229" i="57"/>
  <c r="K228" i="57"/>
  <c r="K227" i="57"/>
  <c r="K226" i="57"/>
  <c r="K225" i="57"/>
  <c r="K222" i="57"/>
  <c r="K221" i="57"/>
  <c r="K220" i="57"/>
  <c r="K219" i="57"/>
  <c r="K218" i="57"/>
  <c r="K217" i="57"/>
  <c r="K216" i="57"/>
  <c r="K215" i="57"/>
  <c r="K214" i="57"/>
  <c r="K213" i="57"/>
  <c r="K212" i="57"/>
  <c r="K211" i="57"/>
  <c r="K210" i="57"/>
  <c r="K209" i="57"/>
  <c r="K207" i="57"/>
  <c r="K206" i="57"/>
  <c r="K205" i="57"/>
  <c r="K204" i="57"/>
  <c r="K203" i="57"/>
  <c r="K202" i="57"/>
  <c r="K201" i="57"/>
  <c r="K200" i="57"/>
  <c r="K199" i="57"/>
  <c r="K198" i="57"/>
  <c r="K197" i="57"/>
  <c r="K196" i="57"/>
  <c r="K195" i="57"/>
  <c r="K194" i="57"/>
  <c r="K193" i="57"/>
  <c r="K192" i="57"/>
  <c r="K191" i="57"/>
  <c r="K190" i="57"/>
  <c r="K189" i="57"/>
  <c r="K188" i="57"/>
  <c r="K187" i="57"/>
  <c r="K186" i="57"/>
  <c r="K185" i="57"/>
  <c r="K184" i="57"/>
  <c r="K183" i="57"/>
  <c r="K182" i="57"/>
  <c r="K181" i="57"/>
  <c r="K180" i="57"/>
  <c r="K179" i="57"/>
  <c r="K178" i="57"/>
  <c r="K177" i="57"/>
  <c r="K176" i="57"/>
  <c r="K175" i="57"/>
  <c r="K174" i="57"/>
  <c r="K173" i="57"/>
  <c r="K172" i="57"/>
  <c r="K171" i="57"/>
  <c r="K170" i="57"/>
  <c r="K169" i="57"/>
  <c r="K168" i="57"/>
  <c r="K167" i="57"/>
  <c r="K166" i="57"/>
  <c r="K165" i="57"/>
  <c r="K164" i="57"/>
  <c r="K163" i="57"/>
  <c r="K162" i="57"/>
  <c r="K161" i="57"/>
  <c r="K160" i="57"/>
  <c r="K159" i="57"/>
  <c r="K158" i="57"/>
  <c r="K157" i="57"/>
  <c r="K156" i="57"/>
  <c r="K155" i="57"/>
  <c r="K154" i="57"/>
  <c r="K153" i="57"/>
  <c r="K152" i="57"/>
  <c r="K151" i="57"/>
  <c r="K150" i="57"/>
  <c r="K149" i="57"/>
  <c r="K148" i="57"/>
  <c r="K147" i="57"/>
  <c r="K146" i="57"/>
  <c r="K145" i="57"/>
  <c r="K144" i="57"/>
  <c r="K143" i="57"/>
  <c r="K142" i="57"/>
  <c r="K129" i="57"/>
  <c r="K128" i="57"/>
  <c r="K125" i="57"/>
  <c r="K124" i="57"/>
  <c r="K123" i="57"/>
  <c r="K122" i="57"/>
  <c r="K121" i="57"/>
  <c r="K120" i="57"/>
  <c r="K119" i="57"/>
  <c r="K118" i="57"/>
  <c r="K117" i="57"/>
  <c r="K116" i="57"/>
  <c r="K115" i="57"/>
  <c r="K114" i="57"/>
  <c r="K113" i="57"/>
  <c r="K112" i="57"/>
  <c r="K111" i="57"/>
  <c r="K110" i="57"/>
  <c r="K109" i="57"/>
  <c r="K108" i="57"/>
  <c r="K107" i="57"/>
  <c r="K106" i="57"/>
  <c r="K105" i="57"/>
  <c r="K104" i="57"/>
  <c r="K103" i="57"/>
  <c r="K102" i="57"/>
  <c r="K101" i="57"/>
  <c r="K100" i="57"/>
  <c r="K99" i="57"/>
  <c r="K98" i="57"/>
  <c r="K97" i="57"/>
  <c r="K96" i="57"/>
  <c r="K95" i="57"/>
  <c r="K94" i="57"/>
  <c r="K93" i="57"/>
  <c r="K92" i="57"/>
  <c r="K91" i="57"/>
  <c r="K90" i="57"/>
  <c r="K89" i="57"/>
  <c r="K88" i="57"/>
  <c r="K87" i="57"/>
  <c r="K86" i="57"/>
  <c r="K85" i="57"/>
  <c r="K84" i="57"/>
  <c r="K83" i="57"/>
  <c r="K82" i="57"/>
  <c r="K81" i="57"/>
  <c r="K80" i="57"/>
  <c r="K79" i="57"/>
  <c r="K78" i="57"/>
  <c r="K77" i="57"/>
  <c r="K76" i="57"/>
  <c r="K75" i="57"/>
  <c r="K74" i="57"/>
  <c r="K73" i="57"/>
  <c r="K72" i="57"/>
  <c r="K71" i="57"/>
  <c r="K70" i="57"/>
  <c r="K67" i="57"/>
  <c r="K66" i="57"/>
  <c r="K65" i="57"/>
  <c r="K64" i="57"/>
  <c r="K63" i="57"/>
  <c r="K62" i="57"/>
  <c r="K61" i="57"/>
  <c r="K60" i="57"/>
  <c r="K59" i="57"/>
  <c r="K58" i="57"/>
  <c r="K57" i="57"/>
  <c r="K56" i="57"/>
  <c r="K55" i="57"/>
  <c r="K54" i="57"/>
  <c r="K53" i="57"/>
  <c r="K52" i="57"/>
  <c r="K51" i="57"/>
  <c r="K50" i="57"/>
  <c r="K49" i="57"/>
  <c r="K48" i="57"/>
  <c r="K47" i="57"/>
  <c r="K46" i="57"/>
  <c r="K45" i="57"/>
  <c r="K44" i="57"/>
  <c r="K43" i="57"/>
  <c r="K42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0" i="57"/>
  <c r="K9" i="57"/>
  <c r="K8" i="57"/>
  <c r="K7" i="57"/>
  <c r="K6" i="57"/>
  <c r="K5" i="57"/>
  <c r="K4" i="57"/>
  <c r="J1824" i="57"/>
  <c r="J1823" i="57"/>
  <c r="J1820" i="57"/>
  <c r="J1819" i="57"/>
  <c r="J1818" i="57"/>
  <c r="J1817" i="57"/>
  <c r="J1814" i="57"/>
  <c r="J1813" i="57"/>
  <c r="J1812" i="57"/>
  <c r="J1811" i="57"/>
  <c r="J1810" i="57"/>
  <c r="J1809" i="57"/>
  <c r="J1808" i="57"/>
  <c r="J1807" i="57"/>
  <c r="J1806" i="57"/>
  <c r="J1803" i="57"/>
  <c r="J1802" i="57"/>
  <c r="J1801" i="57"/>
  <c r="J1800" i="57"/>
  <c r="J1799" i="57"/>
  <c r="J1798" i="57"/>
  <c r="J1797" i="57"/>
  <c r="J1796" i="57"/>
  <c r="J1795" i="57"/>
  <c r="J1794" i="57"/>
  <c r="J1793" i="57"/>
  <c r="J1792" i="57"/>
  <c r="J1791" i="57"/>
  <c r="J1790" i="57"/>
  <c r="J1789" i="57"/>
  <c r="J1788" i="57"/>
  <c r="J1787" i="57"/>
  <c r="J1786" i="57"/>
  <c r="J1785" i="57"/>
  <c r="J1784" i="57"/>
  <c r="J1783" i="57"/>
  <c r="J1782" i="57"/>
  <c r="J1781" i="57"/>
  <c r="J1780" i="57"/>
  <c r="J1779" i="57"/>
  <c r="J1691" i="57"/>
  <c r="J1688" i="57"/>
  <c r="J1687" i="57"/>
  <c r="J1686" i="57"/>
  <c r="J1685" i="57"/>
  <c r="J1684" i="57"/>
  <c r="J1683" i="57"/>
  <c r="J1682" i="57"/>
  <c r="J1681" i="57"/>
  <c r="J1680" i="57"/>
  <c r="J1679" i="57"/>
  <c r="J1678" i="57"/>
  <c r="J1677" i="57"/>
  <c r="J1674" i="57"/>
  <c r="J1673" i="57"/>
  <c r="J1672" i="57"/>
  <c r="J1671" i="57"/>
  <c r="J1670" i="57"/>
  <c r="J1669" i="57"/>
  <c r="J1668" i="57"/>
  <c r="J1667" i="57"/>
  <c r="J1666" i="57"/>
  <c r="J1665" i="57"/>
  <c r="J1664" i="57"/>
  <c r="J1663" i="57"/>
  <c r="J1662" i="57"/>
  <c r="J1661" i="57"/>
  <c r="J1660" i="57"/>
  <c r="J1659" i="57"/>
  <c r="J1658" i="57"/>
  <c r="J1657" i="57"/>
  <c r="J1656" i="57"/>
  <c r="J1655" i="57"/>
  <c r="J1654" i="57"/>
  <c r="J1653" i="57"/>
  <c r="J1652" i="57"/>
  <c r="J1651" i="57"/>
  <c r="J1650" i="57"/>
  <c r="J1649" i="57"/>
  <c r="J1648" i="57"/>
  <c r="J1647" i="57"/>
  <c r="J1646" i="57"/>
  <c r="J1645" i="57"/>
  <c r="J1644" i="57"/>
  <c r="J1643" i="57"/>
  <c r="J1642" i="57"/>
  <c r="J1641" i="57"/>
  <c r="J1640" i="57"/>
  <c r="J1639" i="57"/>
  <c r="J1638" i="57"/>
  <c r="J1593" i="57"/>
  <c r="J1590" i="57"/>
  <c r="J1589" i="57"/>
  <c r="J1588" i="57"/>
  <c r="J1587" i="57"/>
  <c r="J1586" i="57"/>
  <c r="J1585" i="57"/>
  <c r="J1584" i="57"/>
  <c r="J1583" i="57"/>
  <c r="J1582" i="57"/>
  <c r="J1581" i="57"/>
  <c r="J1580" i="57"/>
  <c r="J1579" i="57"/>
  <c r="J1578" i="57"/>
  <c r="J1577" i="57"/>
  <c r="J1576" i="57"/>
  <c r="J1575" i="57"/>
  <c r="J1574" i="57"/>
  <c r="J1573" i="57"/>
  <c r="J1572" i="57"/>
  <c r="J1571" i="57"/>
  <c r="J1570" i="57"/>
  <c r="J1569" i="57"/>
  <c r="J1568" i="57"/>
  <c r="J1567" i="57"/>
  <c r="J1566" i="57"/>
  <c r="J1565" i="57"/>
  <c r="J1564" i="57"/>
  <c r="J1563" i="57"/>
  <c r="J1562" i="57"/>
  <c r="J1561" i="57"/>
  <c r="J1560" i="57"/>
  <c r="J1559" i="57"/>
  <c r="J1558" i="57"/>
  <c r="J1557" i="57"/>
  <c r="J1556" i="57"/>
  <c r="J1555" i="57"/>
  <c r="J1554" i="57"/>
  <c r="J1553" i="57"/>
  <c r="J1552" i="57"/>
  <c r="J1551" i="57"/>
  <c r="J1550" i="57"/>
  <c r="J1549" i="57"/>
  <c r="J1548" i="57"/>
  <c r="J1547" i="57"/>
  <c r="J1516" i="57"/>
  <c r="J1513" i="57"/>
  <c r="J1512" i="57"/>
  <c r="J1511" i="57"/>
  <c r="J1510" i="57"/>
  <c r="J1509" i="57"/>
  <c r="J1508" i="57"/>
  <c r="J1507" i="57"/>
  <c r="J1506" i="57"/>
  <c r="J1505" i="57"/>
  <c r="J1504" i="57"/>
  <c r="J1503" i="57"/>
  <c r="J1502" i="57"/>
  <c r="J1501" i="57"/>
  <c r="J1500" i="57"/>
  <c r="J1499" i="57"/>
  <c r="J1498" i="57"/>
  <c r="J1497" i="57"/>
  <c r="J1496" i="57"/>
  <c r="J1495" i="57"/>
  <c r="J1494" i="57"/>
  <c r="J1493" i="57"/>
  <c r="J1492" i="57"/>
  <c r="J1491" i="57"/>
  <c r="J1490" i="57"/>
  <c r="J1489" i="57"/>
  <c r="J1488" i="57"/>
  <c r="J1487" i="57"/>
  <c r="J1486" i="57"/>
  <c r="J1485" i="57"/>
  <c r="J1484" i="57"/>
  <c r="J1483" i="57"/>
  <c r="J1482" i="57"/>
  <c r="J1481" i="57"/>
  <c r="J1480" i="57"/>
  <c r="J1479" i="57"/>
  <c r="J1478" i="57"/>
  <c r="J1477" i="57"/>
  <c r="J1476" i="57"/>
  <c r="J1475" i="57"/>
  <c r="J1474" i="57"/>
  <c r="J1473" i="57"/>
  <c r="J1472" i="57"/>
  <c r="J1471" i="57"/>
  <c r="J1470" i="57"/>
  <c r="J1469" i="57"/>
  <c r="J1468" i="57"/>
  <c r="J1467" i="57"/>
  <c r="J1466" i="57"/>
  <c r="J1465" i="57"/>
  <c r="J1464" i="57"/>
  <c r="J1463" i="57"/>
  <c r="J1462" i="57"/>
  <c r="J1461" i="57"/>
  <c r="J1460" i="57"/>
  <c r="J1459" i="57"/>
  <c r="J1458" i="57"/>
  <c r="J1457" i="57"/>
  <c r="J1456" i="57"/>
  <c r="J1455" i="57"/>
  <c r="J1454" i="57"/>
  <c r="J1453" i="57"/>
  <c r="J1452" i="57"/>
  <c r="J1451" i="57"/>
  <c r="J1450" i="57"/>
  <c r="J1449" i="57"/>
  <c r="J1448" i="57"/>
  <c r="J1447" i="57"/>
  <c r="J1446" i="57"/>
  <c r="J1445" i="57"/>
  <c r="J1444" i="57"/>
  <c r="J1443" i="57"/>
  <c r="J1442" i="57"/>
  <c r="J1441" i="57"/>
  <c r="J1440" i="57"/>
  <c r="J1308" i="57"/>
  <c r="J1305" i="57"/>
  <c r="J1304" i="57"/>
  <c r="J1303" i="57"/>
  <c r="J1302" i="57"/>
  <c r="J1301" i="57"/>
  <c r="J1300" i="57"/>
  <c r="J1299" i="57"/>
  <c r="J1298" i="57"/>
  <c r="J1297" i="57"/>
  <c r="J1296" i="57"/>
  <c r="J1295" i="57"/>
  <c r="J1294" i="57"/>
  <c r="J1293" i="57"/>
  <c r="J1292" i="57"/>
  <c r="J1291" i="57"/>
  <c r="J1290" i="57"/>
  <c r="J1289" i="57"/>
  <c r="J1288" i="57"/>
  <c r="J1287" i="57"/>
  <c r="J1286" i="57"/>
  <c r="J1285" i="57"/>
  <c r="J1284" i="57"/>
  <c r="J1283" i="57"/>
  <c r="J1282" i="57"/>
  <c r="J1281" i="57"/>
  <c r="J1280" i="57"/>
  <c r="J1279" i="57"/>
  <c r="J1278" i="57"/>
  <c r="J1277" i="57"/>
  <c r="J1276" i="57"/>
  <c r="J1275" i="57"/>
  <c r="J1274" i="57"/>
  <c r="J1273" i="57"/>
  <c r="J1272" i="57"/>
  <c r="J1271" i="57"/>
  <c r="J1270" i="57"/>
  <c r="J1269" i="57"/>
  <c r="J1268" i="57"/>
  <c r="J1267" i="57"/>
  <c r="J1266" i="57"/>
  <c r="J1228" i="57"/>
  <c r="J1019" i="57"/>
  <c r="J930" i="57"/>
  <c r="J809" i="57"/>
  <c r="J699" i="57"/>
  <c r="J529" i="57"/>
  <c r="J526" i="57"/>
  <c r="J525" i="57"/>
  <c r="J524" i="57"/>
  <c r="J523" i="57"/>
  <c r="J522" i="57"/>
  <c r="J521" i="57"/>
  <c r="J520" i="57"/>
  <c r="J519" i="57"/>
  <c r="J518" i="57"/>
  <c r="J517" i="57"/>
  <c r="J516" i="57"/>
  <c r="J515" i="57"/>
  <c r="J514" i="57"/>
  <c r="J513" i="57"/>
  <c r="J512" i="57"/>
  <c r="J511" i="57"/>
  <c r="J510" i="57"/>
  <c r="J509" i="57"/>
  <c r="J508" i="57"/>
  <c r="J507" i="57"/>
  <c r="J506" i="57"/>
  <c r="J505" i="57"/>
  <c r="J504" i="57"/>
  <c r="J503" i="57"/>
  <c r="J502" i="57"/>
  <c r="J501" i="57"/>
  <c r="J500" i="57"/>
  <c r="J499" i="57"/>
  <c r="J498" i="57"/>
  <c r="J497" i="57"/>
  <c r="J496" i="57"/>
  <c r="J495" i="57"/>
  <c r="J494" i="57"/>
  <c r="J491" i="57"/>
  <c r="J490" i="57"/>
  <c r="J489" i="57"/>
  <c r="J488" i="57"/>
  <c r="J487" i="57"/>
  <c r="J486" i="57"/>
  <c r="J485" i="57"/>
  <c r="J484" i="57"/>
  <c r="J483" i="57"/>
  <c r="J482" i="57"/>
  <c r="J481" i="57"/>
  <c r="J480" i="57"/>
  <c r="J477" i="57"/>
  <c r="J476" i="57"/>
  <c r="J475" i="57"/>
  <c r="J474" i="57"/>
  <c r="J473" i="57"/>
  <c r="J472" i="57"/>
  <c r="J471" i="57"/>
  <c r="J470" i="57"/>
  <c r="J469" i="57"/>
  <c r="J468" i="57"/>
  <c r="J467" i="57"/>
  <c r="J466" i="57"/>
  <c r="J465" i="57"/>
  <c r="J464" i="57"/>
  <c r="J463" i="57"/>
  <c r="J462" i="57"/>
  <c r="J461" i="57"/>
  <c r="J460" i="57"/>
  <c r="J459" i="57"/>
  <c r="J458" i="57"/>
  <c r="J457" i="57"/>
  <c r="J456" i="57"/>
  <c r="J455" i="57"/>
  <c r="J454" i="57"/>
  <c r="J424" i="57"/>
  <c r="J417" i="57"/>
  <c r="J414" i="57"/>
  <c r="J413" i="57"/>
  <c r="J412" i="57"/>
  <c r="J411" i="57"/>
  <c r="J410" i="57"/>
  <c r="J409" i="57"/>
  <c r="J408" i="57"/>
  <c r="J407" i="57"/>
  <c r="J406" i="57"/>
  <c r="J405" i="57"/>
  <c r="J404" i="57"/>
  <c r="J403" i="57"/>
  <c r="J402" i="57"/>
  <c r="J401" i="57"/>
  <c r="J400" i="57"/>
  <c r="J399" i="57"/>
  <c r="J398" i="57"/>
  <c r="J397" i="57"/>
  <c r="J396" i="57"/>
  <c r="J395" i="57"/>
  <c r="J394" i="57"/>
  <c r="J393" i="57"/>
  <c r="J392" i="57"/>
  <c r="J391" i="57"/>
  <c r="J390" i="57"/>
  <c r="J389" i="57"/>
  <c r="J388" i="57"/>
  <c r="J387" i="57"/>
  <c r="J386" i="57"/>
  <c r="J385" i="57"/>
  <c r="J384" i="57"/>
  <c r="J383" i="57"/>
  <c r="J382" i="57"/>
  <c r="J381" i="57"/>
  <c r="J380" i="57"/>
  <c r="J379" i="57"/>
  <c r="J378" i="57"/>
  <c r="J377" i="57"/>
  <c r="J376" i="57"/>
  <c r="J375" i="57"/>
  <c r="J374" i="57"/>
  <c r="J373" i="57"/>
  <c r="J372" i="57"/>
  <c r="J371" i="57"/>
  <c r="J370" i="57"/>
  <c r="J369" i="57"/>
  <c r="J368" i="57"/>
  <c r="J367" i="57"/>
  <c r="J366" i="57"/>
  <c r="J365" i="57"/>
  <c r="J364" i="57"/>
  <c r="J363" i="57"/>
  <c r="J362" i="57"/>
  <c r="J361" i="57"/>
  <c r="J360" i="57"/>
  <c r="J359" i="57"/>
  <c r="J358" i="57"/>
  <c r="J357" i="57"/>
  <c r="J356" i="57"/>
  <c r="J355" i="57"/>
  <c r="J354" i="57"/>
  <c r="J353" i="57"/>
  <c r="J352" i="57"/>
  <c r="J351" i="57"/>
  <c r="J350" i="57"/>
  <c r="J349" i="57"/>
  <c r="J348" i="57"/>
  <c r="J347" i="57"/>
  <c r="J346" i="57"/>
  <c r="J345" i="57"/>
  <c r="J344" i="57"/>
  <c r="J343" i="57"/>
  <c r="J342" i="57"/>
  <c r="J341" i="57"/>
  <c r="J340" i="57"/>
  <c r="J339" i="57"/>
  <c r="J338" i="57"/>
  <c r="J337" i="57"/>
  <c r="J336" i="57"/>
  <c r="J335" i="57"/>
  <c r="J326" i="57"/>
  <c r="J325" i="57"/>
  <c r="J324" i="57"/>
  <c r="J323" i="57"/>
  <c r="J322" i="57"/>
  <c r="J321" i="57"/>
  <c r="J320" i="57"/>
  <c r="J319" i="57"/>
  <c r="J318" i="57"/>
  <c r="J317" i="57"/>
  <c r="J316" i="57"/>
  <c r="J315" i="57"/>
  <c r="J314" i="57"/>
  <c r="J313" i="57"/>
  <c r="J312" i="57"/>
  <c r="J311" i="57"/>
  <c r="J310" i="57"/>
  <c r="J309" i="57"/>
  <c r="J308" i="57"/>
  <c r="J307" i="57"/>
  <c r="J306" i="57"/>
  <c r="J305" i="57"/>
  <c r="J304" i="57"/>
  <c r="J303" i="57"/>
  <c r="J302" i="57"/>
  <c r="J301" i="57"/>
  <c r="J300" i="57"/>
  <c r="J299" i="57"/>
  <c r="J298" i="57"/>
  <c r="J297" i="57"/>
  <c r="J296" i="57"/>
  <c r="J295" i="57"/>
  <c r="J294" i="57"/>
  <c r="J293" i="57"/>
  <c r="J292" i="57"/>
  <c r="J291" i="57"/>
  <c r="J290" i="57"/>
  <c r="J289" i="57"/>
  <c r="J286" i="57"/>
  <c r="J285" i="57"/>
  <c r="J284" i="57"/>
  <c r="J283" i="57"/>
  <c r="J282" i="57"/>
  <c r="J281" i="57"/>
  <c r="J280" i="57"/>
  <c r="J279" i="57"/>
  <c r="J278" i="57"/>
  <c r="J277" i="57"/>
  <c r="J276" i="57"/>
  <c r="J275" i="57"/>
  <c r="J274" i="57"/>
  <c r="J273" i="57"/>
  <c r="J272" i="57"/>
  <c r="J271" i="57"/>
  <c r="J270" i="57"/>
  <c r="J269" i="57"/>
  <c r="J268" i="57"/>
  <c r="J267" i="57"/>
  <c r="J266" i="57"/>
  <c r="J265" i="57"/>
  <c r="J264" i="57"/>
  <c r="J263" i="57"/>
  <c r="J262" i="57"/>
  <c r="J261" i="57"/>
  <c r="J260" i="57"/>
  <c r="J259" i="57"/>
  <c r="J258" i="57"/>
  <c r="J257" i="57"/>
  <c r="J256" i="57"/>
  <c r="J255" i="57"/>
  <c r="J254" i="57"/>
  <c r="J253" i="57"/>
  <c r="J252" i="57"/>
  <c r="J251" i="57"/>
  <c r="J250" i="57"/>
  <c r="J249" i="57"/>
  <c r="J248" i="57"/>
  <c r="J247" i="57"/>
  <c r="J246" i="57"/>
  <c r="J245" i="57"/>
  <c r="J244" i="57"/>
  <c r="J241" i="57"/>
  <c r="J240" i="57"/>
  <c r="J239" i="57"/>
  <c r="J238" i="57"/>
  <c r="J230" i="57"/>
  <c r="J229" i="57"/>
  <c r="J228" i="57"/>
  <c r="J227" i="57"/>
  <c r="J226" i="57"/>
  <c r="J225" i="57"/>
  <c r="J222" i="57"/>
  <c r="J221" i="57"/>
  <c r="J220" i="57"/>
  <c r="J219" i="57"/>
  <c r="J218" i="57"/>
  <c r="J217" i="57"/>
  <c r="J216" i="57"/>
  <c r="J215" i="57"/>
  <c r="J214" i="57"/>
  <c r="J213" i="57"/>
  <c r="J212" i="57"/>
  <c r="J211" i="57"/>
  <c r="J210" i="57"/>
  <c r="J209" i="57"/>
  <c r="J207" i="57"/>
  <c r="J206" i="57"/>
  <c r="J205" i="57"/>
  <c r="J204" i="57"/>
  <c r="J203" i="57"/>
  <c r="J202" i="57"/>
  <c r="J201" i="57"/>
  <c r="J200" i="57"/>
  <c r="J199" i="57"/>
  <c r="J198" i="57"/>
  <c r="J197" i="57"/>
  <c r="J196" i="57"/>
  <c r="J195" i="57"/>
  <c r="J194" i="57"/>
  <c r="J193" i="57"/>
  <c r="J192" i="57"/>
  <c r="J191" i="57"/>
  <c r="J190" i="57"/>
  <c r="J189" i="57"/>
  <c r="J188" i="57"/>
  <c r="J187" i="57"/>
  <c r="J186" i="57"/>
  <c r="J185" i="57"/>
  <c r="J184" i="57"/>
  <c r="J183" i="57"/>
  <c r="J182" i="57"/>
  <c r="J181" i="57"/>
  <c r="J180" i="57"/>
  <c r="J179" i="57"/>
  <c r="J178" i="57"/>
  <c r="J177" i="57"/>
  <c r="J176" i="57"/>
  <c r="J175" i="57"/>
  <c r="J174" i="57"/>
  <c r="J173" i="57"/>
  <c r="J172" i="57"/>
  <c r="J171" i="57"/>
  <c r="J170" i="57"/>
  <c r="J169" i="57"/>
  <c r="J168" i="57"/>
  <c r="J167" i="57"/>
  <c r="J166" i="57"/>
  <c r="J165" i="57"/>
  <c r="J164" i="57"/>
  <c r="J163" i="57"/>
  <c r="J162" i="57"/>
  <c r="J161" i="57"/>
  <c r="J160" i="57"/>
  <c r="J159" i="57"/>
  <c r="J158" i="57"/>
  <c r="J157" i="57"/>
  <c r="J156" i="57"/>
  <c r="J155" i="57"/>
  <c r="J154" i="57"/>
  <c r="J153" i="57"/>
  <c r="J152" i="57"/>
  <c r="J151" i="57"/>
  <c r="J150" i="57"/>
  <c r="J149" i="57"/>
  <c r="J148" i="57"/>
  <c r="J147" i="57"/>
  <c r="J146" i="57"/>
  <c r="J145" i="57"/>
  <c r="J144" i="57"/>
  <c r="J143" i="57"/>
  <c r="J142" i="57"/>
  <c r="J129" i="57"/>
  <c r="J128" i="57"/>
  <c r="J125" i="57"/>
  <c r="J124" i="57"/>
  <c r="J123" i="57"/>
  <c r="J122" i="57"/>
  <c r="J121" i="57"/>
  <c r="J120" i="57"/>
  <c r="J119" i="57"/>
  <c r="J118" i="57"/>
  <c r="J117" i="57"/>
  <c r="J116" i="57"/>
  <c r="J115" i="57"/>
  <c r="J114" i="57"/>
  <c r="J113" i="57"/>
  <c r="J112" i="57"/>
  <c r="J111" i="57"/>
  <c r="J110" i="57"/>
  <c r="J109" i="57"/>
  <c r="J108" i="57"/>
  <c r="J107" i="57"/>
  <c r="J106" i="57"/>
  <c r="J105" i="57"/>
  <c r="J104" i="57"/>
  <c r="J103" i="57"/>
  <c r="J102" i="57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J52" i="57"/>
  <c r="J51" i="57"/>
  <c r="J50" i="57"/>
  <c r="J49" i="57"/>
  <c r="J48" i="57"/>
  <c r="J47" i="57"/>
  <c r="J46" i="57"/>
  <c r="J45" i="57"/>
  <c r="J44" i="57"/>
  <c r="J43" i="57"/>
  <c r="J42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0" i="57"/>
  <c r="J9" i="57"/>
  <c r="J8" i="57"/>
  <c r="J7" i="57"/>
  <c r="J6" i="57"/>
  <c r="J5" i="57"/>
  <c r="J4" i="57"/>
  <c r="L2" i="118"/>
  <c r="M2" i="118"/>
  <c r="L3" i="118"/>
  <c r="M3" i="118"/>
  <c r="L4" i="118"/>
  <c r="M4" i="118"/>
  <c r="L5" i="118"/>
  <c r="M5" i="118"/>
  <c r="L6" i="118"/>
  <c r="M6" i="118"/>
  <c r="L7" i="118"/>
  <c r="M7" i="118"/>
  <c r="L8" i="118"/>
  <c r="M8" i="118"/>
  <c r="L9" i="118"/>
  <c r="M9" i="118"/>
  <c r="L10" i="118"/>
  <c r="M10" i="118"/>
  <c r="L11" i="118"/>
  <c r="M11" i="118"/>
  <c r="L12" i="118"/>
  <c r="M12" i="118"/>
  <c r="L13" i="118"/>
  <c r="M13" i="118"/>
  <c r="L14" i="118"/>
  <c r="M14" i="118"/>
  <c r="L15" i="118"/>
  <c r="M15" i="118"/>
  <c r="L16" i="118"/>
  <c r="M16" i="118"/>
  <c r="L17" i="118"/>
  <c r="M17" i="118"/>
  <c r="L18" i="118"/>
  <c r="M18" i="118"/>
  <c r="L19" i="118"/>
  <c r="M19" i="118"/>
  <c r="L20" i="118"/>
  <c r="M20" i="118"/>
  <c r="L21" i="118"/>
  <c r="M21" i="118"/>
  <c r="L22" i="118"/>
  <c r="M22" i="118"/>
  <c r="L23" i="118"/>
  <c r="M23" i="118"/>
  <c r="L24" i="118"/>
  <c r="M24" i="118"/>
  <c r="L25" i="118"/>
  <c r="M25" i="118"/>
  <c r="L26" i="118"/>
  <c r="M26" i="118"/>
  <c r="L27" i="118"/>
  <c r="M27" i="118"/>
  <c r="L28" i="118"/>
  <c r="M28" i="118"/>
  <c r="L29" i="118"/>
  <c r="M29" i="118"/>
  <c r="L30" i="118"/>
  <c r="M30" i="118"/>
  <c r="L31" i="118"/>
  <c r="M31" i="118"/>
  <c r="L32" i="118"/>
  <c r="M32" i="118"/>
  <c r="L33" i="118"/>
  <c r="M33" i="118"/>
  <c r="L34" i="118"/>
  <c r="M34" i="118"/>
  <c r="L35" i="118"/>
  <c r="M35" i="118"/>
  <c r="L36" i="118"/>
  <c r="M36" i="118"/>
  <c r="L37" i="118"/>
  <c r="M37" i="118"/>
  <c r="L38" i="118"/>
  <c r="M38" i="118"/>
  <c r="L39" i="118"/>
  <c r="M39" i="118"/>
  <c r="L40" i="118"/>
  <c r="M40" i="118"/>
  <c r="M1" i="118"/>
  <c r="L1" i="118"/>
  <c r="J2" i="118"/>
  <c r="K2" i="118"/>
  <c r="J3" i="118"/>
  <c r="K3" i="118"/>
  <c r="J4" i="118"/>
  <c r="K4" i="118"/>
  <c r="J5" i="118"/>
  <c r="K5" i="118"/>
  <c r="J6" i="118"/>
  <c r="K6" i="118"/>
  <c r="J7" i="118"/>
  <c r="K7" i="118"/>
  <c r="J8" i="118"/>
  <c r="K8" i="118"/>
  <c r="J9" i="118"/>
  <c r="K9" i="118"/>
  <c r="J10" i="118"/>
  <c r="K10" i="118"/>
  <c r="J11" i="118"/>
  <c r="K11" i="118"/>
  <c r="J12" i="118"/>
  <c r="K12" i="118"/>
  <c r="J13" i="118"/>
  <c r="K13" i="118"/>
  <c r="J14" i="118"/>
  <c r="K14" i="118"/>
  <c r="J15" i="118"/>
  <c r="K15" i="118"/>
  <c r="J16" i="118"/>
  <c r="K16" i="118"/>
  <c r="J17" i="118"/>
  <c r="K17" i="118"/>
  <c r="J18" i="118"/>
  <c r="K18" i="118"/>
  <c r="J19" i="118"/>
  <c r="K19" i="118"/>
  <c r="J20" i="118"/>
  <c r="K20" i="118"/>
  <c r="J21" i="118"/>
  <c r="K21" i="118"/>
  <c r="J22" i="118"/>
  <c r="K22" i="118"/>
  <c r="J23" i="118"/>
  <c r="K23" i="118"/>
  <c r="J24" i="118"/>
  <c r="K24" i="118"/>
  <c r="J25" i="118"/>
  <c r="K25" i="118"/>
  <c r="J26" i="118"/>
  <c r="K26" i="118"/>
  <c r="J27" i="118"/>
  <c r="K27" i="118"/>
  <c r="J28" i="118"/>
  <c r="K28" i="118"/>
  <c r="J29" i="118"/>
  <c r="K29" i="118"/>
  <c r="J30" i="118"/>
  <c r="K30" i="118"/>
  <c r="J31" i="118"/>
  <c r="K31" i="118"/>
  <c r="J32" i="118"/>
  <c r="K32" i="118"/>
  <c r="J33" i="118"/>
  <c r="K33" i="118"/>
  <c r="J34" i="118"/>
  <c r="K34" i="118"/>
  <c r="J35" i="118"/>
  <c r="K35" i="118"/>
  <c r="J36" i="118"/>
  <c r="K36" i="118"/>
  <c r="J37" i="118"/>
  <c r="K37" i="118"/>
  <c r="J38" i="118"/>
  <c r="K38" i="118"/>
  <c r="J39" i="118"/>
  <c r="K39" i="118"/>
  <c r="J40" i="118"/>
  <c r="K40" i="118"/>
  <c r="K1" i="118"/>
  <c r="J1" i="118"/>
  <c r="AK58" i="28"/>
  <c r="AG58" i="28"/>
  <c r="AC58" i="28"/>
  <c r="AB58" i="28"/>
  <c r="X58" i="28"/>
  <c r="AJ58" i="28"/>
  <c r="Z58" i="28" l="1"/>
  <c r="AA58" i="28" s="1"/>
  <c r="W58" i="28"/>
  <c r="U58" i="28"/>
  <c r="V58" i="28" s="1"/>
  <c r="T58" i="28"/>
  <c r="S58" i="28"/>
  <c r="R58" i="28"/>
  <c r="Q58" i="28"/>
  <c r="P58" i="28"/>
  <c r="F58" i="28"/>
  <c r="E58" i="28"/>
  <c r="D58" i="28"/>
  <c r="C58" i="28"/>
  <c r="B58" i="28"/>
  <c r="A58" i="28"/>
  <c r="AI58" i="28" s="1"/>
  <c r="AK1347" i="57"/>
  <c r="AG1347" i="57"/>
  <c r="AC1347" i="57"/>
  <c r="AB1347" i="57"/>
  <c r="AJ1347" i="57"/>
  <c r="X1347" i="57"/>
  <c r="N58" i="28" l="1"/>
  <c r="Z1347" i="57"/>
  <c r="AA1347" i="57" s="1"/>
  <c r="W1347" i="57"/>
  <c r="U1347" i="57"/>
  <c r="V1347" i="57" s="1"/>
  <c r="T1347" i="57"/>
  <c r="S1347" i="57"/>
  <c r="R1347" i="57"/>
  <c r="Q1347" i="57"/>
  <c r="P1347" i="57"/>
  <c r="F1347" i="57"/>
  <c r="E1347" i="57"/>
  <c r="D1347" i="57"/>
  <c r="C1347" i="57"/>
  <c r="B1347" i="57"/>
  <c r="A1347" i="57"/>
  <c r="AI1347" i="57" s="1"/>
  <c r="AK59" i="28"/>
  <c r="AG59" i="28"/>
  <c r="AC59" i="28"/>
  <c r="AB59" i="28"/>
  <c r="X59" i="28"/>
  <c r="AJ59" i="28"/>
  <c r="Z59" i="28" l="1"/>
  <c r="AA59" i="28" s="1"/>
  <c r="W59" i="28"/>
  <c r="U59" i="28"/>
  <c r="V59" i="28" s="1"/>
  <c r="T59" i="28"/>
  <c r="S59" i="28"/>
  <c r="R59" i="28"/>
  <c r="Q59" i="28"/>
  <c r="P59" i="28"/>
  <c r="F59" i="28"/>
  <c r="E59" i="28"/>
  <c r="D59" i="28"/>
  <c r="C59" i="28"/>
  <c r="B59" i="28"/>
  <c r="A59" i="28"/>
  <c r="AI59" i="28" s="1"/>
  <c r="AK1135" i="57"/>
  <c r="AJ1135" i="57"/>
  <c r="X1135" i="57"/>
  <c r="N59" i="28" l="1"/>
  <c r="AG1135" i="57"/>
  <c r="AC1135" i="57"/>
  <c r="AB1135" i="57"/>
  <c r="Z1135" i="57" l="1"/>
  <c r="AA1135" i="57" s="1"/>
  <c r="W1135" i="57"/>
  <c r="U1135" i="57"/>
  <c r="V1135" i="57" s="1"/>
  <c r="T1135" i="57"/>
  <c r="S1135" i="57"/>
  <c r="R1135" i="57"/>
  <c r="Q1135" i="57"/>
  <c r="P1135" i="57"/>
  <c r="F1135" i="57"/>
  <c r="E1135" i="57"/>
  <c r="D1135" i="57"/>
  <c r="C1135" i="57"/>
  <c r="B1135" i="57"/>
  <c r="A1135" i="57"/>
  <c r="AI1135" i="57" s="1"/>
  <c r="Y20" i="74"/>
  <c r="Y45" i="74"/>
  <c r="X45" i="74"/>
  <c r="Y103" i="114"/>
  <c r="Y150" i="114"/>
  <c r="X150" i="114"/>
  <c r="AG25" i="74"/>
  <c r="X64" i="28"/>
  <c r="Z25" i="74" l="1"/>
  <c r="AA25" i="74" s="1"/>
  <c r="V25" i="74"/>
  <c r="AG3" i="74"/>
  <c r="AJ3" i="74"/>
  <c r="X3" i="74"/>
  <c r="AI3" i="74" l="1"/>
  <c r="Z3" i="74"/>
  <c r="AA3" i="74" s="1"/>
  <c r="V3" i="74"/>
  <c r="AG24" i="74"/>
  <c r="Z24" i="74" l="1"/>
  <c r="AA24" i="74" s="1"/>
  <c r="V24" i="74"/>
  <c r="AG6" i="114"/>
  <c r="AJ6" i="114"/>
  <c r="X6" i="114"/>
  <c r="Z6" i="114" l="1"/>
  <c r="AA6" i="114" s="1"/>
  <c r="V6" i="114"/>
  <c r="AI6" i="114"/>
  <c r="AG110" i="114"/>
  <c r="Z110" i="114" l="1"/>
  <c r="AA110" i="114" s="1"/>
  <c r="V110" i="114"/>
  <c r="AG111" i="114" l="1"/>
  <c r="Z111" i="114" l="1"/>
  <c r="AA111" i="114" s="1"/>
  <c r="V111" i="114"/>
  <c r="AG108" i="114"/>
  <c r="Z108" i="114" l="1"/>
  <c r="AA108" i="114" s="1"/>
  <c r="V108" i="114"/>
  <c r="AG107" i="114" l="1"/>
  <c r="Z107" i="114" l="1"/>
  <c r="AA107" i="114" s="1"/>
  <c r="V107" i="114"/>
  <c r="AJ4" i="114"/>
  <c r="AG4" i="114" l="1"/>
  <c r="X4" i="114"/>
  <c r="Z4" i="114" l="1"/>
  <c r="AA4" i="114" s="1"/>
  <c r="V4" i="114"/>
  <c r="AI4" i="114"/>
  <c r="AG109" i="114" l="1"/>
  <c r="Z109" i="114" l="1"/>
  <c r="AA109" i="114" s="1"/>
  <c r="V109" i="114"/>
  <c r="AK1064" i="57" l="1"/>
  <c r="AK1780" i="57"/>
  <c r="AK1806" i="57"/>
  <c r="AK949" i="57"/>
  <c r="AK834" i="57"/>
  <c r="AK1716" i="57"/>
  <c r="AK580" i="57"/>
  <c r="AK1104" i="57"/>
  <c r="AK850" i="57"/>
  <c r="AK588" i="57"/>
  <c r="AK1112" i="57"/>
  <c r="AK1732" i="57"/>
  <c r="AK1120" i="57"/>
  <c r="AK1480" i="57"/>
  <c r="AK757" i="57"/>
  <c r="AK866" i="57"/>
  <c r="AK331" i="57"/>
  <c r="AK339" i="57"/>
  <c r="AK363" i="57"/>
  <c r="AK522" i="57"/>
  <c r="AK1128" i="57"/>
  <c r="AK604" i="57"/>
  <c r="AK467" i="57"/>
  <c r="AK765" i="57"/>
  <c r="AK612" i="57"/>
  <c r="AK1137" i="57"/>
  <c r="AK620" i="57"/>
  <c r="AK1740" i="57"/>
  <c r="AK981" i="57"/>
  <c r="AK1284" i="57"/>
  <c r="AK890" i="57"/>
  <c r="AK773" i="57"/>
  <c r="AK1789" i="57"/>
  <c r="AK1488" i="57"/>
  <c r="AK1496" i="57"/>
  <c r="AK1504" i="57"/>
  <c r="AK1583" i="57"/>
  <c r="AK1624" i="57"/>
  <c r="AK1661" i="57"/>
  <c r="AK1628" i="57"/>
  <c r="AK1633" i="57"/>
  <c r="AK628" i="57"/>
  <c r="AK1153" i="57"/>
  <c r="AK1792" i="57"/>
  <c r="AK1161" i="57"/>
  <c r="AK781" i="57"/>
  <c r="AK898" i="57"/>
  <c r="AK1250" i="57"/>
  <c r="AK989" i="57"/>
  <c r="AK1749" i="57"/>
  <c r="AK1666" i="57"/>
  <c r="AK1177" i="57"/>
  <c r="AK636" i="57"/>
  <c r="AK1292" i="57"/>
  <c r="AK644" i="57"/>
  <c r="AK1193" i="57"/>
  <c r="AK379" i="57"/>
  <c r="AK1001" i="57"/>
  <c r="AK660" i="57"/>
  <c r="AK1797" i="57"/>
  <c r="AK1346" i="57"/>
  <c r="AK1005" i="57"/>
  <c r="AK1352" i="57"/>
  <c r="AK668" i="57"/>
  <c r="AK400" i="57"/>
  <c r="AK1355" i="57"/>
  <c r="AK1764" i="57"/>
  <c r="AK1201" i="57"/>
  <c r="AK676" i="57"/>
  <c r="AK1810" i="57"/>
  <c r="AK1300" i="57"/>
  <c r="AK1301" i="57"/>
  <c r="AK1359" i="57"/>
  <c r="AK1363" i="57"/>
  <c r="AK685" i="57"/>
  <c r="AK1209" i="57"/>
  <c r="AK1258" i="57"/>
  <c r="AK1770" i="57"/>
  <c r="AK922" i="57"/>
  <c r="AK1013" i="57"/>
  <c r="AK1216" i="57"/>
  <c r="AK1217" i="57"/>
  <c r="AK926" i="57"/>
  <c r="AK693" i="57"/>
  <c r="AK1225" i="57"/>
  <c r="AK805" i="57"/>
  <c r="AK1371" i="57"/>
  <c r="AK1376" i="57"/>
  <c r="AK1670" i="57"/>
  <c r="AK1379" i="57"/>
  <c r="AK1387" i="57"/>
  <c r="AK1394" i="57"/>
  <c r="AK1801" i="57"/>
  <c r="AK1395" i="57"/>
  <c r="AK475" i="57"/>
  <c r="AK1403" i="57"/>
  <c r="AK1404" i="57"/>
  <c r="AK1589" i="57"/>
  <c r="AK1411" i="57"/>
  <c r="AK1413" i="57"/>
  <c r="AK1512" i="57"/>
  <c r="AK806" i="57"/>
  <c r="AK1419" i="57"/>
  <c r="AK1683" i="57"/>
  <c r="AK1427" i="57"/>
  <c r="AC1657" i="57"/>
  <c r="AC107" i="28"/>
  <c r="AC1806" i="57"/>
  <c r="AC1069" i="57"/>
  <c r="AC1073" i="57"/>
  <c r="AC1077" i="57"/>
  <c r="AC1715" i="57"/>
  <c r="AC1089" i="57"/>
  <c r="AC1093" i="57"/>
  <c r="AC1097" i="57"/>
  <c r="AC1101" i="57"/>
  <c r="AC1105" i="57"/>
  <c r="AC132" i="28"/>
  <c r="AC1732" i="57"/>
  <c r="AC1117" i="57"/>
  <c r="AC239" i="28"/>
  <c r="AC1121" i="57"/>
  <c r="AC33" i="28"/>
  <c r="AC124" i="28"/>
  <c r="AC1125" i="57"/>
  <c r="AC1129" i="57"/>
  <c r="AC1274" i="57"/>
  <c r="AC1133" i="57"/>
  <c r="AC1278" i="57"/>
  <c r="AC214" i="28"/>
  <c r="AC26" i="28"/>
  <c r="AC1332" i="57"/>
  <c r="AC1740" i="57"/>
  <c r="AC1146" i="57"/>
  <c r="AC75" i="28"/>
  <c r="AC1150" i="57"/>
  <c r="AC1744" i="57"/>
  <c r="AC101" i="28"/>
  <c r="AC1583" i="57"/>
  <c r="AC1661" i="57"/>
  <c r="AC1628" i="57"/>
  <c r="AC322" i="28"/>
  <c r="AC1247" i="57"/>
  <c r="AC1154" i="57"/>
  <c r="AC128" i="28"/>
  <c r="AC1158" i="57"/>
  <c r="AC1792" i="57"/>
  <c r="AC1166" i="57"/>
  <c r="AC23" i="28"/>
  <c r="AC146" i="28"/>
  <c r="AC1341" i="57"/>
  <c r="AC1170" i="57"/>
  <c r="AC1174" i="57"/>
  <c r="AC1178" i="57"/>
  <c r="AC1752" i="57"/>
  <c r="AC266" i="28"/>
  <c r="AC297" i="28"/>
  <c r="AC332" i="28"/>
  <c r="AC1295" i="57"/>
  <c r="AC274" i="28"/>
  <c r="AC74" i="28"/>
  <c r="AC305" i="28"/>
  <c r="AC1760" i="57"/>
  <c r="AC1355" i="57"/>
  <c r="AC1764" i="57"/>
  <c r="AC282" i="28"/>
  <c r="AC90" i="28"/>
  <c r="AC308" i="28"/>
  <c r="AC1810" i="57"/>
  <c r="AC1300" i="57"/>
  <c r="AC1359" i="57"/>
  <c r="AC157" i="28"/>
  <c r="AC1363" i="57"/>
  <c r="AC1256" i="57"/>
  <c r="AC197" i="28"/>
  <c r="AC288" i="28"/>
  <c r="AC189" i="28"/>
  <c r="AC1367" i="57"/>
  <c r="AC1371" i="57"/>
  <c r="AC1375" i="57"/>
  <c r="AC1670" i="57"/>
  <c r="AC1379" i="57"/>
  <c r="AC1383" i="57"/>
  <c r="AC1387" i="57"/>
  <c r="AC1391" i="57"/>
  <c r="AC1801" i="57"/>
  <c r="AC1395" i="57"/>
  <c r="AC1399" i="57"/>
  <c r="AC1681" i="57"/>
  <c r="AC1403" i="57"/>
  <c r="AC1407" i="57"/>
  <c r="AC1411" i="57"/>
  <c r="AC1415" i="57"/>
  <c r="AC1419" i="57"/>
  <c r="AC1423" i="57"/>
  <c r="AC1427" i="57"/>
  <c r="AB1574" i="57"/>
  <c r="AB19" i="118"/>
  <c r="AB1656" i="57"/>
  <c r="AB1233" i="57"/>
  <c r="AB30" i="118"/>
  <c r="AB730" i="57"/>
  <c r="AB1237" i="57"/>
  <c r="AB313" i="57"/>
  <c r="AB1324" i="57"/>
  <c r="AB1716" i="57"/>
  <c r="AB1241" i="57"/>
  <c r="AB750" i="57"/>
  <c r="AB754" i="57"/>
  <c r="AB317" i="57"/>
  <c r="AB758" i="57"/>
  <c r="AB325" i="57"/>
  <c r="AB329" i="57"/>
  <c r="AB337" i="57"/>
  <c r="AB349" i="57"/>
  <c r="AB361" i="57"/>
  <c r="AB1328" i="57"/>
  <c r="AB365" i="57"/>
  <c r="AB373" i="57"/>
  <c r="AB466" i="57"/>
  <c r="AB490" i="57"/>
  <c r="AB766" i="57"/>
  <c r="AB1332" i="57"/>
  <c r="AB1582" i="57"/>
  <c r="AB1284" i="57"/>
  <c r="AB1336" i="57"/>
  <c r="AB774" i="57"/>
  <c r="AB1824" i="57"/>
  <c r="AB1586" i="57"/>
  <c r="AB1625" i="57"/>
  <c r="AB1664" i="57"/>
  <c r="AB1629" i="57"/>
  <c r="AB1633" i="57"/>
  <c r="AB1791" i="57"/>
  <c r="AB778" i="57"/>
  <c r="AB377" i="57"/>
  <c r="AB1249" i="57"/>
  <c r="AB782" i="57"/>
  <c r="AB1340" i="57"/>
  <c r="AB1292" i="57"/>
  <c r="AB1253" i="57"/>
  <c r="AB790" i="57"/>
  <c r="AB1795" i="57"/>
  <c r="AB38" i="118"/>
  <c r="AB1344" i="57"/>
  <c r="AB381" i="57"/>
  <c r="AB389" i="57"/>
  <c r="AB794" i="57"/>
  <c r="AB1296" i="57"/>
  <c r="AB397" i="57"/>
  <c r="AB1353" i="57"/>
  <c r="AB401" i="57"/>
  <c r="AB405" i="57"/>
  <c r="AB1300" i="57"/>
  <c r="AB1359" i="57"/>
  <c r="AB682" i="57"/>
  <c r="AB1668" i="57"/>
  <c r="AB1257" i="57"/>
  <c r="AB216" i="57"/>
  <c r="AB802" i="57"/>
  <c r="AB1772" i="57"/>
  <c r="AB409" i="57"/>
  <c r="AB1544" i="57"/>
  <c r="AB220" i="57"/>
  <c r="AB1304" i="57"/>
  <c r="AB413" i="57"/>
  <c r="AB1799" i="57"/>
  <c r="AB1672" i="57"/>
  <c r="AB1776" i="57"/>
  <c r="AB1681" i="57"/>
  <c r="AB1685" i="57"/>
  <c r="AB806" i="57"/>
  <c r="AK135" i="57"/>
  <c r="AK138" i="57"/>
  <c r="AK142" i="57"/>
  <c r="AK143" i="57"/>
  <c r="AK153" i="57"/>
  <c r="AK1021" i="57"/>
  <c r="AK290" i="57"/>
  <c r="AK228" i="57"/>
  <c r="AK232" i="57"/>
  <c r="AK236" i="57"/>
  <c r="AK246" i="57"/>
  <c r="AK247" i="57"/>
  <c r="AK250" i="57"/>
  <c r="AK294" i="57"/>
  <c r="AK254" i="57"/>
  <c r="AK258" i="57"/>
  <c r="AK295" i="57"/>
  <c r="AK296" i="57"/>
  <c r="AK36" i="57"/>
  <c r="AK300" i="57"/>
  <c r="AK305" i="57"/>
  <c r="AK1691" i="57"/>
  <c r="AK306" i="57"/>
  <c r="AK1444" i="57"/>
  <c r="AK418" i="57"/>
  <c r="AK421" i="57"/>
  <c r="AK424" i="57"/>
  <c r="AK425" i="57"/>
  <c r="AK433" i="57"/>
  <c r="AK434" i="57"/>
  <c r="AK435" i="57"/>
  <c r="AK441" i="57"/>
  <c r="AK442" i="57"/>
  <c r="AK443" i="57"/>
  <c r="AK449" i="57"/>
  <c r="AK450" i="57"/>
  <c r="AK451" i="57"/>
  <c r="AK457" i="57"/>
  <c r="AK161" i="57"/>
  <c r="AK1024" i="57"/>
  <c r="AK461" i="57"/>
  <c r="AK485" i="57"/>
  <c r="AK486" i="57"/>
  <c r="AK506" i="57"/>
  <c r="AK508" i="57"/>
  <c r="AK509" i="57"/>
  <c r="AK510" i="57"/>
  <c r="AK165" i="57"/>
  <c r="AK513" i="57"/>
  <c r="AK514" i="57"/>
  <c r="AK529" i="57"/>
  <c r="AK1027" i="57"/>
  <c r="AL1" i="118"/>
  <c r="AK703" i="57"/>
  <c r="AK536" i="57"/>
  <c r="AK933" i="57"/>
  <c r="AK1228" i="57"/>
  <c r="AK1694" i="57"/>
  <c r="AK1030" i="57"/>
  <c r="AK706" i="57"/>
  <c r="AK538" i="57"/>
  <c r="AK710" i="57"/>
  <c r="AK812" i="57"/>
  <c r="AK1033" i="57"/>
  <c r="AK711" i="57"/>
  <c r="AK714" i="57"/>
  <c r="AK715" i="57"/>
  <c r="AK543" i="57"/>
  <c r="AL25" i="118"/>
  <c r="AK1038" i="57"/>
  <c r="AK1040" i="57"/>
  <c r="AK721" i="57"/>
  <c r="AK722" i="57"/>
  <c r="AK1701" i="57"/>
  <c r="AK544" i="57"/>
  <c r="AK936" i="57"/>
  <c r="AK723" i="57"/>
  <c r="AK1318" i="57"/>
  <c r="AK937" i="57"/>
  <c r="AK939" i="57"/>
  <c r="AK1046" i="57"/>
  <c r="AK550" i="57"/>
  <c r="AK1048" i="57"/>
  <c r="AK818" i="57"/>
  <c r="AK1049" i="57"/>
  <c r="AK1270" i="57"/>
  <c r="AK819" i="57"/>
  <c r="AK820" i="57"/>
  <c r="AK1446" i="57"/>
  <c r="AK1823" i="57"/>
  <c r="AK1452" i="57"/>
  <c r="AK1459" i="57"/>
  <c r="AK1460" i="57"/>
  <c r="AC137" i="57"/>
  <c r="AC138" i="57"/>
  <c r="AC139" i="57"/>
  <c r="AC141" i="57"/>
  <c r="AC142" i="57"/>
  <c r="AC143" i="57"/>
  <c r="AC223" i="28"/>
  <c r="AC145" i="57"/>
  <c r="AC148" i="57"/>
  <c r="AC149" i="57"/>
  <c r="AC289" i="57"/>
  <c r="AC504" i="57"/>
  <c r="AC153" i="57"/>
  <c r="AC1021" i="57"/>
  <c r="AC155" i="57"/>
  <c r="AC158" i="57"/>
  <c r="AC250" i="28"/>
  <c r="AC338" i="28"/>
  <c r="AC160" i="57"/>
  <c r="AC231" i="57"/>
  <c r="AC236" i="57"/>
  <c r="AC292" i="57"/>
  <c r="AC35" i="57"/>
  <c r="AC245" i="57"/>
  <c r="AC247" i="57"/>
  <c r="AC251" i="57"/>
  <c r="AC294" i="57"/>
  <c r="AC254" i="57"/>
  <c r="AC258" i="57"/>
  <c r="AC261" i="57"/>
  <c r="AC36" i="57"/>
  <c r="AC301" i="57"/>
  <c r="AC116" i="28"/>
  <c r="AC303" i="57"/>
  <c r="AC306" i="57"/>
  <c r="AC308" i="57"/>
  <c r="AC1444" i="57"/>
  <c r="AC418" i="57"/>
  <c r="AC420" i="57"/>
  <c r="AC311" i="57"/>
  <c r="AC424" i="57"/>
  <c r="AC425" i="57"/>
  <c r="AC427" i="57"/>
  <c r="AC245" i="28"/>
  <c r="AC434" i="57"/>
  <c r="AC439" i="57"/>
  <c r="AC441" i="57"/>
  <c r="AC446" i="57"/>
  <c r="AC450" i="57"/>
  <c r="AC451" i="57"/>
  <c r="AC455" i="57"/>
  <c r="AC457" i="57"/>
  <c r="AC1024" i="57"/>
  <c r="AC1314" i="57"/>
  <c r="AC459" i="57"/>
  <c r="AC163" i="57"/>
  <c r="AC461" i="57"/>
  <c r="AC480" i="57"/>
  <c r="AC482" i="57"/>
  <c r="AC486" i="57"/>
  <c r="AC488" i="57"/>
  <c r="AC506" i="57"/>
  <c r="AC462" i="57"/>
  <c r="AC511" i="57"/>
  <c r="AC165" i="57"/>
  <c r="AC513" i="57"/>
  <c r="AC514" i="57"/>
  <c r="AC516" i="57"/>
  <c r="AC167" i="57"/>
  <c r="AC286" i="28"/>
  <c r="AC700" i="57"/>
  <c r="AC1025" i="57"/>
  <c r="AC1692" i="57"/>
  <c r="AC1027" i="57"/>
  <c r="AC1693" i="57"/>
  <c r="AC702" i="57"/>
  <c r="AC1028" i="57"/>
  <c r="AC532" i="57"/>
  <c r="AC810" i="57"/>
  <c r="AC933" i="57"/>
  <c r="AC704" i="57"/>
  <c r="AC202" i="28"/>
  <c r="AC1695" i="57"/>
  <c r="AC1696" i="57"/>
  <c r="AC538" i="57"/>
  <c r="AC710" i="57"/>
  <c r="AC168" i="57"/>
  <c r="AC711" i="57"/>
  <c r="AC540" i="57"/>
  <c r="AC713" i="57"/>
  <c r="AC7" i="118"/>
  <c r="AC715" i="57"/>
  <c r="AC541" i="57"/>
  <c r="AC716" i="57"/>
  <c r="AC542" i="57"/>
  <c r="AC1037" i="57"/>
  <c r="AC91" i="28"/>
  <c r="AC543" i="57"/>
  <c r="AC934" i="57"/>
  <c r="AC1038" i="57"/>
  <c r="AC1229" i="57"/>
  <c r="AC721" i="57"/>
  <c r="AC722" i="57"/>
  <c r="AC1266" i="57"/>
  <c r="AC1043" i="57"/>
  <c r="AC544" i="57"/>
  <c r="AC1045" i="57"/>
  <c r="AC1318" i="57"/>
  <c r="AC937" i="57"/>
  <c r="AC939" i="57"/>
  <c r="AC550" i="57"/>
  <c r="AC1047" i="57"/>
  <c r="AC1702" i="57"/>
  <c r="AC1048" i="57"/>
  <c r="AC724" i="57"/>
  <c r="AC818" i="57"/>
  <c r="AC1049" i="57"/>
  <c r="AC242" i="28"/>
  <c r="AC1704" i="57"/>
  <c r="AC1705" i="57"/>
  <c r="AC1270" i="57"/>
  <c r="AC1053" i="57"/>
  <c r="AC820" i="57"/>
  <c r="AC1708" i="57"/>
  <c r="AC1449" i="57"/>
  <c r="AC1452" i="57"/>
  <c r="AC1455" i="57"/>
  <c r="AC1456" i="57"/>
  <c r="AC1458" i="57"/>
  <c r="AC1463" i="57"/>
  <c r="AB129" i="57"/>
  <c r="AB500" i="57"/>
  <c r="AB141" i="57"/>
  <c r="AB143" i="57"/>
  <c r="AB145" i="57"/>
  <c r="AB147" i="57"/>
  <c r="AB149" i="57"/>
  <c r="AB504" i="57"/>
  <c r="AB699" i="57"/>
  <c r="AB152" i="57"/>
  <c r="AB153" i="57"/>
  <c r="AB1021" i="57"/>
  <c r="AB157" i="57"/>
  <c r="AB290" i="57"/>
  <c r="AB225" i="57"/>
  <c r="AB226" i="57"/>
  <c r="AB227" i="57"/>
  <c r="AB228" i="57"/>
  <c r="AB234" i="57"/>
  <c r="AB235" i="57"/>
  <c r="AB236" i="57"/>
  <c r="AB244" i="57"/>
  <c r="AB245" i="57"/>
  <c r="AB247" i="57"/>
  <c r="AB252" i="57"/>
  <c r="AB294" i="57"/>
  <c r="AB254" i="57"/>
  <c r="AB259" i="57"/>
  <c r="AB260" i="57"/>
  <c r="AB296" i="57"/>
  <c r="AB301" i="57"/>
  <c r="AB305" i="57"/>
  <c r="AB1691" i="57"/>
  <c r="AB306" i="57"/>
  <c r="AB37" i="57"/>
  <c r="AB310" i="57"/>
  <c r="AB417" i="57"/>
  <c r="AB418" i="57"/>
  <c r="AB421" i="57"/>
  <c r="AB425" i="57"/>
  <c r="AB429" i="57"/>
  <c r="AB432" i="57"/>
  <c r="AB435" i="57"/>
  <c r="AB440" i="57"/>
  <c r="AB443" i="57"/>
  <c r="AB448" i="57"/>
  <c r="AB451" i="57"/>
  <c r="AB456" i="57"/>
  <c r="AB161" i="57"/>
  <c r="AB1024" i="57"/>
  <c r="AB460" i="57"/>
  <c r="AB162" i="57"/>
  <c r="AB461" i="57"/>
  <c r="AB482" i="57"/>
  <c r="AB484" i="57"/>
  <c r="AB486" i="57"/>
  <c r="AB509" i="57"/>
  <c r="AB165" i="57"/>
  <c r="AB513" i="57"/>
  <c r="AB514" i="57"/>
  <c r="AB517" i="57"/>
  <c r="AB518" i="57"/>
  <c r="AB700" i="57"/>
  <c r="AB529" i="57"/>
  <c r="AB1692" i="57"/>
  <c r="AB930" i="57"/>
  <c r="AB2" i="118"/>
  <c r="AB1028" i="57"/>
  <c r="AB703" i="57"/>
  <c r="AB810" i="57"/>
  <c r="AB535" i="57"/>
  <c r="AB536" i="57"/>
  <c r="AB1228" i="57"/>
  <c r="AB704" i="57"/>
  <c r="AB1694" i="57"/>
  <c r="AB706" i="57"/>
  <c r="AB1696" i="57"/>
  <c r="AB708" i="57"/>
  <c r="AB538" i="57"/>
  <c r="AB710" i="57"/>
  <c r="AB812" i="57"/>
  <c r="AB1033" i="57"/>
  <c r="AB711" i="57"/>
  <c r="AB715" i="57"/>
  <c r="AB718" i="57"/>
  <c r="AB1037" i="57"/>
  <c r="AB543" i="57"/>
  <c r="AB934" i="57"/>
  <c r="AB1229" i="57"/>
  <c r="AB1040" i="57"/>
  <c r="AB1700" i="57"/>
  <c r="AB722" i="57"/>
  <c r="AB1044" i="57"/>
  <c r="AB544" i="57"/>
  <c r="AB723" i="57"/>
  <c r="AB937" i="57"/>
  <c r="AB1267" i="57"/>
  <c r="AB3" i="118"/>
  <c r="AB1048" i="57"/>
  <c r="AB724" i="57"/>
  <c r="AB1049" i="57"/>
  <c r="AB1052" i="57"/>
  <c r="AB1270" i="57"/>
  <c r="AB1707" i="57"/>
  <c r="AB820" i="57"/>
  <c r="AB520" i="57"/>
  <c r="AB941" i="57"/>
  <c r="AB1446" i="57"/>
  <c r="AB1320" i="57"/>
  <c r="AB1823" i="57"/>
  <c r="AB1452" i="57"/>
  <c r="AB1457" i="57"/>
  <c r="AB1458" i="57"/>
  <c r="AB1460" i="57"/>
  <c r="AB1465" i="57"/>
  <c r="AK4" i="57"/>
  <c r="AC4" i="57"/>
  <c r="AB4" i="57"/>
  <c r="AC72" i="28"/>
  <c r="AC73" i="28"/>
  <c r="AC76" i="28"/>
  <c r="AC77" i="28"/>
  <c r="AC78" i="28"/>
  <c r="AC79" i="28"/>
  <c r="AC80" i="28"/>
  <c r="AC81" i="28"/>
  <c r="AC82" i="28"/>
  <c r="AC83" i="28"/>
  <c r="AC84" i="28"/>
  <c r="AC85" i="28"/>
  <c r="AC86" i="28"/>
  <c r="AC87" i="28"/>
  <c r="AC88" i="28"/>
  <c r="AC89" i="28"/>
  <c r="AC92" i="28"/>
  <c r="AC93" i="28"/>
  <c r="AC94" i="28"/>
  <c r="AC95" i="28"/>
  <c r="AC96" i="28"/>
  <c r="AC97" i="28"/>
  <c r="AC98" i="28"/>
  <c r="AC99" i="28"/>
  <c r="AC100" i="28"/>
  <c r="AC102" i="28"/>
  <c r="AC103" i="28"/>
  <c r="AC104" i="28"/>
  <c r="AC105" i="28"/>
  <c r="AC106" i="28"/>
  <c r="AC108" i="28"/>
  <c r="AC109" i="28"/>
  <c r="AC110" i="28"/>
  <c r="AC111" i="28"/>
  <c r="AC112" i="28"/>
  <c r="AC113" i="28"/>
  <c r="AC114" i="28"/>
  <c r="AC115" i="28"/>
  <c r="AC117" i="28"/>
  <c r="AC118" i="28"/>
  <c r="AC119" i="28"/>
  <c r="AC120" i="28"/>
  <c r="AC121" i="28"/>
  <c r="AC122" i="28"/>
  <c r="AC123" i="28"/>
  <c r="AC125" i="28"/>
  <c r="AC126" i="28"/>
  <c r="AC127" i="28"/>
  <c r="AC129" i="28"/>
  <c r="AC130" i="28"/>
  <c r="AC131" i="28"/>
  <c r="AC133" i="28"/>
  <c r="AC135" i="28"/>
  <c r="AC136" i="28"/>
  <c r="AC137" i="28"/>
  <c r="AC138" i="28"/>
  <c r="AC139" i="28"/>
  <c r="AC140" i="28"/>
  <c r="AC141" i="28"/>
  <c r="AC142" i="28"/>
  <c r="AC143" i="28"/>
  <c r="AC144" i="28"/>
  <c r="AC145" i="28"/>
  <c r="AC147" i="28"/>
  <c r="AC148" i="28"/>
  <c r="AC149" i="28"/>
  <c r="AC150" i="28"/>
  <c r="AC151" i="28"/>
  <c r="AC152" i="28"/>
  <c r="AC153" i="28"/>
  <c r="AC154" i="28"/>
  <c r="AC155" i="28"/>
  <c r="AC156" i="28"/>
  <c r="AC158" i="28"/>
  <c r="AC159" i="28"/>
  <c r="AC160" i="28"/>
  <c r="AC161" i="28"/>
  <c r="AC162" i="28"/>
  <c r="AC163" i="28"/>
  <c r="AC164" i="28"/>
  <c r="AC165" i="28"/>
  <c r="AC166" i="28"/>
  <c r="AC167" i="28"/>
  <c r="AC168" i="28"/>
  <c r="AC169" i="28"/>
  <c r="AC170" i="28"/>
  <c r="AC171" i="28"/>
  <c r="AC172" i="28"/>
  <c r="AC173" i="28"/>
  <c r="AC174" i="28"/>
  <c r="AC175" i="28"/>
  <c r="AC176" i="28"/>
  <c r="AC177" i="28"/>
  <c r="AC178" i="28"/>
  <c r="AC179" i="28"/>
  <c r="AC180" i="28"/>
  <c r="AC181" i="28"/>
  <c r="AC182" i="28"/>
  <c r="AC183" i="28"/>
  <c r="AC184" i="28"/>
  <c r="AC185" i="28"/>
  <c r="AC186" i="28"/>
  <c r="AC187" i="28"/>
  <c r="AC188" i="28"/>
  <c r="AC190" i="28"/>
  <c r="AC191" i="28"/>
  <c r="AC192" i="28"/>
  <c r="AC193" i="28"/>
  <c r="AC194" i="28"/>
  <c r="AC195" i="28"/>
  <c r="AC196" i="28"/>
  <c r="AC198" i="28"/>
  <c r="AC199" i="28"/>
  <c r="AC200" i="28"/>
  <c r="AC201" i="28"/>
  <c r="AC203" i="28"/>
  <c r="AC204" i="28"/>
  <c r="AC205" i="28"/>
  <c r="AC206" i="28"/>
  <c r="AC207" i="28"/>
  <c r="AC208" i="28"/>
  <c r="AC209" i="28"/>
  <c r="AC210" i="28"/>
  <c r="AC211" i="28"/>
  <c r="AC212" i="28"/>
  <c r="AC213" i="28"/>
  <c r="AC215" i="28"/>
  <c r="AC216" i="28"/>
  <c r="AC217" i="28"/>
  <c r="AC218" i="28"/>
  <c r="AC219" i="28"/>
  <c r="AC220" i="28"/>
  <c r="AC221" i="28"/>
  <c r="AC222" i="28"/>
  <c r="AC224" i="28"/>
  <c r="AC225" i="28"/>
  <c r="AC226" i="28"/>
  <c r="AC227" i="28"/>
  <c r="AC228" i="28"/>
  <c r="AC229" i="28"/>
  <c r="AC230" i="28"/>
  <c r="AC231" i="28"/>
  <c r="AC232" i="28"/>
  <c r="AC233" i="28"/>
  <c r="AC234" i="28"/>
  <c r="AC235" i="28"/>
  <c r="AC236" i="28"/>
  <c r="AC237" i="28"/>
  <c r="AC238" i="28"/>
  <c r="AC240" i="28"/>
  <c r="AC241" i="28"/>
  <c r="AC243" i="28"/>
  <c r="AC244" i="28"/>
  <c r="AC246" i="28"/>
  <c r="AC247" i="28"/>
  <c r="AC248" i="28"/>
  <c r="AC249" i="28"/>
  <c r="AC251" i="28"/>
  <c r="AC252" i="28"/>
  <c r="AC253" i="28"/>
  <c r="AC254" i="28"/>
  <c r="AC255" i="28"/>
  <c r="AC256" i="28"/>
  <c r="AC257" i="28"/>
  <c r="AC258" i="28"/>
  <c r="AC259" i="28"/>
  <c r="AC260" i="28"/>
  <c r="AC261" i="28"/>
  <c r="AC262" i="28"/>
  <c r="AC263" i="28"/>
  <c r="AC264" i="28"/>
  <c r="AC265" i="28"/>
  <c r="AC267" i="28"/>
  <c r="AC268" i="28"/>
  <c r="AC269" i="28"/>
  <c r="AC270" i="28"/>
  <c r="AC271" i="28"/>
  <c r="AC272" i="28"/>
  <c r="AC273" i="28"/>
  <c r="AC275" i="28"/>
  <c r="AC276" i="28"/>
  <c r="AC277" i="28"/>
  <c r="AC278" i="28"/>
  <c r="AC279" i="28"/>
  <c r="AC280" i="28"/>
  <c r="AC281" i="28"/>
  <c r="AC283" i="28"/>
  <c r="AC284" i="28"/>
  <c r="AC285" i="28"/>
  <c r="AC287" i="28"/>
  <c r="AC289" i="28"/>
  <c r="AC290" i="28"/>
  <c r="AC291" i="28"/>
  <c r="AC292" i="28"/>
  <c r="AC293" i="28"/>
  <c r="AC294" i="28"/>
  <c r="AC296" i="28"/>
  <c r="AC298" i="28"/>
  <c r="AC299" i="28"/>
  <c r="AC300" i="28"/>
  <c r="AC301" i="28"/>
  <c r="AC302" i="28"/>
  <c r="AC303" i="28"/>
  <c r="AC304" i="28"/>
  <c r="AC306" i="28"/>
  <c r="AC307" i="28"/>
  <c r="AC309" i="28"/>
  <c r="AC310" i="28"/>
  <c r="AC311" i="28"/>
  <c r="AC312" i="28"/>
  <c r="AC313" i="28"/>
  <c r="AC314" i="28"/>
  <c r="AC315" i="28"/>
  <c r="AC316" i="28"/>
  <c r="AC317" i="28"/>
  <c r="AC318" i="28"/>
  <c r="AC319" i="28"/>
  <c r="AC320" i="28"/>
  <c r="AC321" i="28"/>
  <c r="AC323" i="28"/>
  <c r="AC325" i="28"/>
  <c r="AC326" i="28"/>
  <c r="AC327" i="28"/>
  <c r="AC328" i="28"/>
  <c r="AC329" i="28"/>
  <c r="AC330" i="28"/>
  <c r="AC331" i="28"/>
  <c r="AC333" i="28"/>
  <c r="AC334" i="28"/>
  <c r="AC335" i="28"/>
  <c r="AC336" i="28"/>
  <c r="AC337" i="28"/>
  <c r="AC339" i="28"/>
  <c r="AC340" i="28"/>
  <c r="AC341" i="28"/>
  <c r="AC342" i="28"/>
  <c r="AC71" i="28"/>
  <c r="AC70" i="28"/>
  <c r="AC69" i="28"/>
  <c r="AC68" i="28"/>
  <c r="AC64" i="28"/>
  <c r="AC62" i="28"/>
  <c r="AC63" i="28"/>
  <c r="AC61" i="28"/>
  <c r="AC54" i="28"/>
  <c r="AC53" i="28"/>
  <c r="AC51" i="28"/>
  <c r="AC50" i="28"/>
  <c r="AC24" i="28"/>
  <c r="AC25" i="28"/>
  <c r="AC28" i="28"/>
  <c r="AC34" i="28"/>
  <c r="AC32" i="28"/>
  <c r="AC27" i="28"/>
  <c r="AC31" i="28"/>
  <c r="AC29" i="28"/>
  <c r="AC30" i="28"/>
  <c r="AC35" i="28"/>
  <c r="AC37" i="28"/>
  <c r="AC38" i="28"/>
  <c r="AC22" i="28"/>
  <c r="AC19" i="28"/>
  <c r="AC20" i="28"/>
  <c r="AC21" i="28"/>
  <c r="AC18" i="28"/>
  <c r="AC17" i="28"/>
  <c r="AC16" i="28"/>
  <c r="AC12" i="28"/>
  <c r="AC13" i="28"/>
  <c r="AC14" i="28"/>
  <c r="AK1824" i="57"/>
  <c r="AK1820" i="57"/>
  <c r="AK1819" i="57"/>
  <c r="AK1818" i="57"/>
  <c r="AK1817" i="57"/>
  <c r="AK1811" i="57"/>
  <c r="AK1812" i="57"/>
  <c r="AK1813" i="57"/>
  <c r="AK1814" i="57"/>
  <c r="AK1809" i="57"/>
  <c r="AK1808" i="57"/>
  <c r="AK1807" i="57"/>
  <c r="AK1782" i="57"/>
  <c r="AK1783" i="57"/>
  <c r="AK1784" i="57"/>
  <c r="AK1785" i="57"/>
  <c r="AK1786" i="57"/>
  <c r="AK1787" i="57"/>
  <c r="AK1788" i="57"/>
  <c r="AK1790" i="57"/>
  <c r="AK1791" i="57"/>
  <c r="AK1793" i="57"/>
  <c r="AK1794" i="57"/>
  <c r="AK1795" i="57"/>
  <c r="AK1796" i="57"/>
  <c r="AK1798" i="57"/>
  <c r="AK1799" i="57"/>
  <c r="AK1800" i="57"/>
  <c r="AK1802" i="57"/>
  <c r="AK1803" i="57"/>
  <c r="AK1781" i="57"/>
  <c r="AK1779" i="57"/>
  <c r="AK1771" i="57"/>
  <c r="AK1772" i="57"/>
  <c r="AK1773" i="57"/>
  <c r="AK1774" i="57"/>
  <c r="AK1775" i="57"/>
  <c r="AK1776" i="57"/>
  <c r="AK1769" i="57"/>
  <c r="AK1768" i="57"/>
  <c r="AK1767" i="57"/>
  <c r="AK1695" i="57"/>
  <c r="AK1696" i="57"/>
  <c r="AK1697" i="57"/>
  <c r="AK1698" i="57"/>
  <c r="AK1699" i="57"/>
  <c r="AK1700" i="57"/>
  <c r="AK1702" i="57"/>
  <c r="AK1703" i="57"/>
  <c r="AK1704" i="57"/>
  <c r="AK1705" i="57"/>
  <c r="AK1706" i="57"/>
  <c r="AK1707" i="57"/>
  <c r="AK1708" i="57"/>
  <c r="AK1709" i="57"/>
  <c r="AK1710" i="57"/>
  <c r="AK1711" i="57"/>
  <c r="AK1712" i="57"/>
  <c r="AK1713" i="57"/>
  <c r="AK1714" i="57"/>
  <c r="AK1715" i="57"/>
  <c r="AK1717" i="57"/>
  <c r="AK1718" i="57"/>
  <c r="AK1719" i="57"/>
  <c r="AK1720" i="57"/>
  <c r="AK1721" i="57"/>
  <c r="AK1722" i="57"/>
  <c r="AK1723" i="57"/>
  <c r="AK1724" i="57"/>
  <c r="AK1725" i="57"/>
  <c r="AK1726" i="57"/>
  <c r="AK1727" i="57"/>
  <c r="AK1728" i="57"/>
  <c r="AK1729" i="57"/>
  <c r="AK1730" i="57"/>
  <c r="AK1731" i="57"/>
  <c r="AK1733" i="57"/>
  <c r="AK1734" i="57"/>
  <c r="AK1735" i="57"/>
  <c r="AK1736" i="57"/>
  <c r="AK1737" i="57"/>
  <c r="AK1738" i="57"/>
  <c r="AK1739" i="57"/>
  <c r="AK1741" i="57"/>
  <c r="AK1742" i="57"/>
  <c r="AK1743" i="57"/>
  <c r="AK1744" i="57"/>
  <c r="AK1745" i="57"/>
  <c r="AK1746" i="57"/>
  <c r="AK1747" i="57"/>
  <c r="AK1748" i="57"/>
  <c r="AK1750" i="57"/>
  <c r="AK1751" i="57"/>
  <c r="AK1752" i="57"/>
  <c r="AK1753" i="57"/>
  <c r="AK1754" i="57"/>
  <c r="AK1755" i="57"/>
  <c r="AK1756" i="57"/>
  <c r="AK1757" i="57"/>
  <c r="AK1758" i="57"/>
  <c r="AK1759" i="57"/>
  <c r="AK1760" i="57"/>
  <c r="AK1761" i="57"/>
  <c r="AK1762" i="57"/>
  <c r="AK1763" i="57"/>
  <c r="AK1765" i="57"/>
  <c r="AK1766" i="57"/>
  <c r="AK1692" i="57"/>
  <c r="AK1687" i="57"/>
  <c r="AK1688" i="57"/>
  <c r="AK1681" i="57"/>
  <c r="AK1682" i="57"/>
  <c r="AK1684" i="57"/>
  <c r="AK1685" i="57"/>
  <c r="AK1686" i="57"/>
  <c r="AK1680" i="57"/>
  <c r="AK1679" i="57"/>
  <c r="AK1678" i="57"/>
  <c r="AK1677" i="57"/>
  <c r="AK1642" i="57"/>
  <c r="AK1643" i="57"/>
  <c r="AK1644" i="57"/>
  <c r="AK1645" i="57"/>
  <c r="AK1646" i="57"/>
  <c r="AK1647" i="57"/>
  <c r="AK1648" i="57"/>
  <c r="AK1649" i="57"/>
  <c r="AK1650" i="57"/>
  <c r="AK1651" i="57"/>
  <c r="AK1652" i="57"/>
  <c r="AK1653" i="57"/>
  <c r="AK1654" i="57"/>
  <c r="AK1655" i="57"/>
  <c r="AK1656" i="57"/>
  <c r="AK1657" i="57"/>
  <c r="AK1658" i="57"/>
  <c r="AK1659" i="57"/>
  <c r="AK1660" i="57"/>
  <c r="AK1662" i="57"/>
  <c r="AK1663" i="57"/>
  <c r="AK1664" i="57"/>
  <c r="AK1665" i="57"/>
  <c r="AK1667" i="57"/>
  <c r="AK1668" i="57"/>
  <c r="AK1669" i="57"/>
  <c r="AK1671" i="57"/>
  <c r="AK1672" i="57"/>
  <c r="AK1673" i="57"/>
  <c r="AK1674" i="57"/>
  <c r="AK1641" i="57"/>
  <c r="AK1640" i="57"/>
  <c r="AK1639" i="57"/>
  <c r="AK1638" i="57"/>
  <c r="AK1609" i="57"/>
  <c r="AK1610" i="57"/>
  <c r="AK1611" i="57"/>
  <c r="AK1612" i="57"/>
  <c r="AK1613" i="57"/>
  <c r="AK1614" i="57"/>
  <c r="AK1615" i="57"/>
  <c r="AK1616" i="57"/>
  <c r="AK1617" i="57"/>
  <c r="AK1618" i="57"/>
  <c r="AK1619" i="57"/>
  <c r="AK1620" i="57"/>
  <c r="AK1621" i="57"/>
  <c r="AK1622" i="57"/>
  <c r="AK1623" i="57"/>
  <c r="AK1625" i="57"/>
  <c r="AK1626" i="57"/>
  <c r="AK1627" i="57"/>
  <c r="AK1629" i="57"/>
  <c r="AK1630" i="57"/>
  <c r="AK1631" i="57"/>
  <c r="AK1632" i="57"/>
  <c r="AK1634" i="57"/>
  <c r="AK1635" i="57"/>
  <c r="AK1597" i="57"/>
  <c r="AK1598" i="57"/>
  <c r="AK1599" i="57"/>
  <c r="AK1600" i="57"/>
  <c r="AK1601" i="57"/>
  <c r="AK1602" i="57"/>
  <c r="AK1603" i="57"/>
  <c r="AK1604" i="57"/>
  <c r="AK1605" i="57"/>
  <c r="AK1606" i="57"/>
  <c r="AK1607" i="57"/>
  <c r="AK1608" i="57"/>
  <c r="AK1596" i="57"/>
  <c r="AK1595" i="57"/>
  <c r="AK1594" i="57"/>
  <c r="AK1593" i="57"/>
  <c r="AK1551" i="57"/>
  <c r="AK1552" i="57"/>
  <c r="AK1553" i="57"/>
  <c r="AK1554" i="57"/>
  <c r="AK1555" i="57"/>
  <c r="AK1556" i="57"/>
  <c r="AK1557" i="57"/>
  <c r="AK1558" i="57"/>
  <c r="AK1559" i="57"/>
  <c r="AK1560" i="57"/>
  <c r="AK1561" i="57"/>
  <c r="AK1562" i="57"/>
  <c r="AK1563" i="57"/>
  <c r="AK1564" i="57"/>
  <c r="AK1565" i="57"/>
  <c r="AK1566" i="57"/>
  <c r="AK1567" i="57"/>
  <c r="AK1568" i="57"/>
  <c r="AK1569" i="57"/>
  <c r="AK1570" i="57"/>
  <c r="AK1571" i="57"/>
  <c r="AK1572" i="57"/>
  <c r="AK1573" i="57"/>
  <c r="AK1574" i="57"/>
  <c r="AK1575" i="57"/>
  <c r="AK1576" i="57"/>
  <c r="AK1577" i="57"/>
  <c r="AK1578" i="57"/>
  <c r="AK1579" i="57"/>
  <c r="AK1580" i="57"/>
  <c r="AK1581" i="57"/>
  <c r="AK1582" i="57"/>
  <c r="AK1584" i="57"/>
  <c r="AK1585" i="57"/>
  <c r="AK1586" i="57"/>
  <c r="AK1587" i="57"/>
  <c r="AK1588" i="57"/>
  <c r="AK1590" i="57"/>
  <c r="AK1550" i="57"/>
  <c r="AK1549" i="57"/>
  <c r="AK1548" i="57"/>
  <c r="AK1547" i="57"/>
  <c r="AK1520" i="57"/>
  <c r="AK1521" i="57"/>
  <c r="AK1522" i="57"/>
  <c r="AK1523" i="57"/>
  <c r="AK1524" i="57"/>
  <c r="AK1525" i="57"/>
  <c r="AK1526" i="57"/>
  <c r="AK1527" i="57"/>
  <c r="AK1528" i="57"/>
  <c r="AK1529" i="57"/>
  <c r="AK1530" i="57"/>
  <c r="AK1531" i="57"/>
  <c r="AK1532" i="57"/>
  <c r="AK1533" i="57"/>
  <c r="AK1534" i="57"/>
  <c r="AK1535" i="57"/>
  <c r="AK1536" i="57"/>
  <c r="AK1537" i="57"/>
  <c r="AK1538" i="57"/>
  <c r="AK1539" i="57"/>
  <c r="AK1540" i="57"/>
  <c r="AK1541" i="57"/>
  <c r="AK1542" i="57"/>
  <c r="AK1543" i="57"/>
  <c r="AK1544" i="57"/>
  <c r="AK1519" i="57"/>
  <c r="AK1518" i="57"/>
  <c r="AK1517" i="57"/>
  <c r="AK1516" i="57"/>
  <c r="AK1445" i="57"/>
  <c r="AK1447" i="57"/>
  <c r="AK1448" i="57"/>
  <c r="AK1449" i="57"/>
  <c r="AK1450" i="57"/>
  <c r="AK1451" i="57"/>
  <c r="AK1453" i="57"/>
  <c r="AK1454" i="57"/>
  <c r="AK1455" i="57"/>
  <c r="AK1456" i="57"/>
  <c r="AK1457" i="57"/>
  <c r="AK1458" i="57"/>
  <c r="AK1461" i="57"/>
  <c r="AK1462" i="57"/>
  <c r="AK1463" i="57"/>
  <c r="AK1464" i="57"/>
  <c r="AK1465" i="57"/>
  <c r="AK1466" i="57"/>
  <c r="AK1467" i="57"/>
  <c r="AK1468" i="57"/>
  <c r="AK1469" i="57"/>
  <c r="AK1470" i="57"/>
  <c r="AK1471" i="57"/>
  <c r="AK1472" i="57"/>
  <c r="AK1473" i="57"/>
  <c r="AK1474" i="57"/>
  <c r="AK1475" i="57"/>
  <c r="AK1476" i="57"/>
  <c r="AK1477" i="57"/>
  <c r="AK1478" i="57"/>
  <c r="AK1479" i="57"/>
  <c r="AK1481" i="57"/>
  <c r="AK1482" i="57"/>
  <c r="AK1483" i="57"/>
  <c r="AK1484" i="57"/>
  <c r="AK1485" i="57"/>
  <c r="AK1486" i="57"/>
  <c r="AK1487" i="57"/>
  <c r="AK1489" i="57"/>
  <c r="AK1490" i="57"/>
  <c r="AK1491" i="57"/>
  <c r="AK1492" i="57"/>
  <c r="AK1493" i="57"/>
  <c r="AK1494" i="57"/>
  <c r="AK1495" i="57"/>
  <c r="AK1497" i="57"/>
  <c r="AK1498" i="57"/>
  <c r="AK1499" i="57"/>
  <c r="AK1500" i="57"/>
  <c r="AK1501" i="57"/>
  <c r="AK1502" i="57"/>
  <c r="AK1503" i="57"/>
  <c r="AK1505" i="57"/>
  <c r="AK1506" i="57"/>
  <c r="AK1507" i="57"/>
  <c r="AK1508" i="57"/>
  <c r="AK1509" i="57"/>
  <c r="AK1510" i="57"/>
  <c r="AK1511" i="57"/>
  <c r="AK1513" i="57"/>
  <c r="AK1443" i="57"/>
  <c r="AK1442" i="57"/>
  <c r="AK1441" i="57"/>
  <c r="AK1440" i="57"/>
  <c r="AK1361" i="57"/>
  <c r="AK1362" i="57"/>
  <c r="AK1364" i="57"/>
  <c r="AK1365" i="57"/>
  <c r="AK1366" i="57"/>
  <c r="AK1367" i="57"/>
  <c r="AK1368" i="57"/>
  <c r="AK1369" i="57"/>
  <c r="AK1370" i="57"/>
  <c r="AK1372" i="57"/>
  <c r="AK1373" i="57"/>
  <c r="AK1374" i="57"/>
  <c r="AK1375" i="57"/>
  <c r="AK1377" i="57"/>
  <c r="AK1378" i="57"/>
  <c r="AK1380" i="57"/>
  <c r="AK1381" i="57"/>
  <c r="AK1382" i="57"/>
  <c r="AK1383" i="57"/>
  <c r="AK1384" i="57"/>
  <c r="AK1385" i="57"/>
  <c r="AK1386" i="57"/>
  <c r="AK1388" i="57"/>
  <c r="AK1389" i="57"/>
  <c r="AK1390" i="57"/>
  <c r="AK1391" i="57"/>
  <c r="AK1392" i="57"/>
  <c r="AK1393" i="57"/>
  <c r="AK1396" i="57"/>
  <c r="AK1397" i="57"/>
  <c r="AK1398" i="57"/>
  <c r="AK1399" i="57"/>
  <c r="AK1400" i="57"/>
  <c r="AK1401" i="57"/>
  <c r="AK1402" i="57"/>
  <c r="AK1405" i="57"/>
  <c r="AK1406" i="57"/>
  <c r="AK1407" i="57"/>
  <c r="AK1408" i="57"/>
  <c r="AK1409" i="57"/>
  <c r="AK1410" i="57"/>
  <c r="AK1412" i="57"/>
  <c r="AK1414" i="57"/>
  <c r="AK1415" i="57"/>
  <c r="AK1416" i="57"/>
  <c r="AK1417" i="57"/>
  <c r="AK1418" i="57"/>
  <c r="AK1420" i="57"/>
  <c r="AK1421" i="57"/>
  <c r="AK1422" i="57"/>
  <c r="AK1423" i="57"/>
  <c r="AK1424" i="57"/>
  <c r="AK1425" i="57"/>
  <c r="AK1426" i="57"/>
  <c r="AK1428" i="57"/>
  <c r="AK1429" i="57"/>
  <c r="AK1430" i="57"/>
  <c r="AK1431" i="57"/>
  <c r="AK1432" i="57"/>
  <c r="AK1433" i="57"/>
  <c r="AK1434" i="57"/>
  <c r="AK1435" i="57"/>
  <c r="AK1436" i="57"/>
  <c r="AK1437" i="57"/>
  <c r="AK1360" i="57"/>
  <c r="AK1358" i="57"/>
  <c r="AK1357" i="57"/>
  <c r="AK1312" i="57"/>
  <c r="AK1313" i="57"/>
  <c r="AK1314" i="57"/>
  <c r="AK1315" i="57"/>
  <c r="AK1316" i="57"/>
  <c r="AK1317" i="57"/>
  <c r="AK1319" i="57"/>
  <c r="AK1320" i="57"/>
  <c r="AK1321" i="57"/>
  <c r="AK1322" i="57"/>
  <c r="AK1323" i="57"/>
  <c r="AK1324" i="57"/>
  <c r="AK1325" i="57"/>
  <c r="AK1326" i="57"/>
  <c r="AK1327" i="57"/>
  <c r="AK1328" i="57"/>
  <c r="AK1329" i="57"/>
  <c r="AK1330" i="57"/>
  <c r="AK1331" i="57"/>
  <c r="AK1332" i="57"/>
  <c r="AK1333" i="57"/>
  <c r="AK1334" i="57"/>
  <c r="AK1335" i="57"/>
  <c r="AK1336" i="57"/>
  <c r="AK1337" i="57"/>
  <c r="AK1338" i="57"/>
  <c r="AK1339" i="57"/>
  <c r="AK1340" i="57"/>
  <c r="AK1341" i="57"/>
  <c r="AK1342" i="57"/>
  <c r="AK1343" i="57"/>
  <c r="AK1344" i="57"/>
  <c r="AK1345" i="57"/>
  <c r="AK1348" i="57"/>
  <c r="AK1349" i="57"/>
  <c r="AK1350" i="57"/>
  <c r="AK1351" i="57"/>
  <c r="AK1353" i="57"/>
  <c r="AK1354" i="57"/>
  <c r="AK1356" i="57"/>
  <c r="AK1311" i="57"/>
  <c r="AK1310" i="57"/>
  <c r="AK1309" i="57"/>
  <c r="AK1308" i="57"/>
  <c r="AK1282" i="57"/>
  <c r="AK1283" i="57"/>
  <c r="AK1285" i="57"/>
  <c r="AK1286" i="57"/>
  <c r="AK1287" i="57"/>
  <c r="AK1288" i="57"/>
  <c r="AK1289" i="57"/>
  <c r="AK1290" i="57"/>
  <c r="AK1291" i="57"/>
  <c r="AK1293" i="57"/>
  <c r="AK1294" i="57"/>
  <c r="AK1295" i="57"/>
  <c r="AK1296" i="57"/>
  <c r="AK1297" i="57"/>
  <c r="AK1298" i="57"/>
  <c r="AK1299" i="57"/>
  <c r="AK1302" i="57"/>
  <c r="AK1303" i="57"/>
  <c r="AK1304" i="57"/>
  <c r="AK1305" i="57"/>
  <c r="AK1269" i="57"/>
  <c r="AK1271" i="57"/>
  <c r="AK1272" i="57"/>
  <c r="AK1273" i="57"/>
  <c r="AK1274" i="57"/>
  <c r="AK1275" i="57"/>
  <c r="AK1276" i="57"/>
  <c r="AK1277" i="57"/>
  <c r="AK1278" i="57"/>
  <c r="AK1279" i="57"/>
  <c r="AK1280" i="57"/>
  <c r="AK1281" i="57"/>
  <c r="AK1268" i="57"/>
  <c r="AK1267" i="57"/>
  <c r="AK1266" i="57"/>
  <c r="AK1231" i="57"/>
  <c r="AK1232" i="57"/>
  <c r="AK1233" i="57"/>
  <c r="AK1234" i="57"/>
  <c r="AK1235" i="57"/>
  <c r="AK1236" i="57"/>
  <c r="AK1237" i="57"/>
  <c r="AK1238" i="57"/>
  <c r="AK1239" i="57"/>
  <c r="AK1240" i="57"/>
  <c r="AK1241" i="57"/>
  <c r="AK1242" i="57"/>
  <c r="AK1243" i="57"/>
  <c r="AK1244" i="57"/>
  <c r="AK1245" i="57"/>
  <c r="AK1246" i="57"/>
  <c r="AK1247" i="57"/>
  <c r="AK1248" i="57"/>
  <c r="AK1249" i="57"/>
  <c r="AK1251" i="57"/>
  <c r="AK1252" i="57"/>
  <c r="AK1253" i="57"/>
  <c r="AK1254" i="57"/>
  <c r="AK1255" i="57"/>
  <c r="AK1256" i="57"/>
  <c r="AK1257" i="57"/>
  <c r="AK1259" i="57"/>
  <c r="AK1260" i="57"/>
  <c r="AK1261" i="57"/>
  <c r="AK1262" i="57"/>
  <c r="AK1263" i="57"/>
  <c r="AK1230" i="57"/>
  <c r="AK1229" i="57"/>
  <c r="AK1023" i="57"/>
  <c r="AK1025" i="57"/>
  <c r="AK1026" i="57"/>
  <c r="AK1028" i="57"/>
  <c r="AK1029" i="57"/>
  <c r="AK1031" i="57"/>
  <c r="AK1032" i="57"/>
  <c r="AK1034" i="57"/>
  <c r="AK1035" i="57"/>
  <c r="AK1036" i="57"/>
  <c r="AK1037" i="57"/>
  <c r="AK1039" i="57"/>
  <c r="AK1041" i="57"/>
  <c r="AK1042" i="57"/>
  <c r="AK1043" i="57"/>
  <c r="AK1044" i="57"/>
  <c r="AK1045" i="57"/>
  <c r="AK1047" i="57"/>
  <c r="AK1050" i="57"/>
  <c r="AK1051" i="57"/>
  <c r="AK1052" i="57"/>
  <c r="AK1053" i="57"/>
  <c r="AK1054" i="57"/>
  <c r="AK1055" i="57"/>
  <c r="AK1056" i="57"/>
  <c r="AK1057" i="57"/>
  <c r="AK1058" i="57"/>
  <c r="AK1059" i="57"/>
  <c r="AK1060" i="57"/>
  <c r="AK1061" i="57"/>
  <c r="AK1062" i="57"/>
  <c r="AK1063" i="57"/>
  <c r="AK1065" i="57"/>
  <c r="AK1066" i="57"/>
  <c r="AK1067" i="57"/>
  <c r="AK1068" i="57"/>
  <c r="AK1069" i="57"/>
  <c r="AK1070" i="57"/>
  <c r="AK1071" i="57"/>
  <c r="AK1072" i="57"/>
  <c r="AK1073" i="57"/>
  <c r="AK1074" i="57"/>
  <c r="AK1075" i="57"/>
  <c r="AK1076" i="57"/>
  <c r="AK1077" i="57"/>
  <c r="AK1078" i="57"/>
  <c r="AK1079" i="57"/>
  <c r="AK1080" i="57"/>
  <c r="AK1081" i="57"/>
  <c r="AK1082" i="57"/>
  <c r="AK1083" i="57"/>
  <c r="AK1084" i="57"/>
  <c r="AK1085" i="57"/>
  <c r="AK1086" i="57"/>
  <c r="AK1087" i="57"/>
  <c r="AK1088" i="57"/>
  <c r="AK1089" i="57"/>
  <c r="AK1090" i="57"/>
  <c r="AK1091" i="57"/>
  <c r="AK1092" i="57"/>
  <c r="AK1093" i="57"/>
  <c r="AK1094" i="57"/>
  <c r="AK1095" i="57"/>
  <c r="AK1096" i="57"/>
  <c r="AK1097" i="57"/>
  <c r="AK1098" i="57"/>
  <c r="AK1099" i="57"/>
  <c r="AK1100" i="57"/>
  <c r="AK1101" i="57"/>
  <c r="AK1102" i="57"/>
  <c r="AK1103" i="57"/>
  <c r="AK1105" i="57"/>
  <c r="AK1106" i="57"/>
  <c r="AK1107" i="57"/>
  <c r="AK1108" i="57"/>
  <c r="AK1109" i="57"/>
  <c r="AK1110" i="57"/>
  <c r="AK1111" i="57"/>
  <c r="AK1113" i="57"/>
  <c r="AK1114" i="57"/>
  <c r="AK1115" i="57"/>
  <c r="AK1116" i="57"/>
  <c r="AK1117" i="57"/>
  <c r="AK1118" i="57"/>
  <c r="AK1119" i="57"/>
  <c r="AK1121" i="57"/>
  <c r="AK1122" i="57"/>
  <c r="AK1123" i="57"/>
  <c r="AK1124" i="57"/>
  <c r="AK1125" i="57"/>
  <c r="AK1126" i="57"/>
  <c r="AK1127" i="57"/>
  <c r="AK1129" i="57"/>
  <c r="AK1130" i="57"/>
  <c r="AK1131" i="57"/>
  <c r="AK1132" i="57"/>
  <c r="AK1133" i="57"/>
  <c r="AK1134" i="57"/>
  <c r="AK1136" i="57"/>
  <c r="AK1138" i="57"/>
  <c r="AK1139" i="57"/>
  <c r="AK1140" i="57"/>
  <c r="AK1141" i="57"/>
  <c r="AK1142" i="57"/>
  <c r="AK1143" i="57"/>
  <c r="AK1144" i="57"/>
  <c r="AK1145" i="57"/>
  <c r="AK1146" i="57"/>
  <c r="AK1147" i="57"/>
  <c r="AK1148" i="57"/>
  <c r="AK1149" i="57"/>
  <c r="AK1150" i="57"/>
  <c r="AK1151" i="57"/>
  <c r="AK1152" i="57"/>
  <c r="AK1154" i="57"/>
  <c r="AK1155" i="57"/>
  <c r="AK1156" i="57"/>
  <c r="AK1157" i="57"/>
  <c r="AK1158" i="57"/>
  <c r="AK1159" i="57"/>
  <c r="AK1160" i="57"/>
  <c r="AK1162" i="57"/>
  <c r="AK1163" i="57"/>
  <c r="AK1164" i="57"/>
  <c r="AK1165" i="57"/>
  <c r="AK1166" i="57"/>
  <c r="AK1167" i="57"/>
  <c r="AK1168" i="57"/>
  <c r="AK1169" i="57"/>
  <c r="AK1170" i="57"/>
  <c r="AK1171" i="57"/>
  <c r="AK1172" i="57"/>
  <c r="AK1173" i="57"/>
  <c r="AK1174" i="57"/>
  <c r="AK1175" i="57"/>
  <c r="AK1176" i="57"/>
  <c r="AK1178" i="57"/>
  <c r="AK1179" i="57"/>
  <c r="AK1180" i="57"/>
  <c r="AK1181" i="57"/>
  <c r="AK1182" i="57"/>
  <c r="AK1183" i="57"/>
  <c r="AK1184" i="57"/>
  <c r="AK1185" i="57"/>
  <c r="AK1186" i="57"/>
  <c r="AK1187" i="57"/>
  <c r="AK1188" i="57"/>
  <c r="AK1189" i="57"/>
  <c r="AK1190" i="57"/>
  <c r="AK1191" i="57"/>
  <c r="AK1192" i="57"/>
  <c r="AK1194" i="57"/>
  <c r="AK1195" i="57"/>
  <c r="AK1196" i="57"/>
  <c r="AK1197" i="57"/>
  <c r="AK1198" i="57"/>
  <c r="AK1199" i="57"/>
  <c r="AK1200" i="57"/>
  <c r="AK1202" i="57"/>
  <c r="AK1203" i="57"/>
  <c r="AK1204" i="57"/>
  <c r="AK1205" i="57"/>
  <c r="AK1206" i="57"/>
  <c r="AK1207" i="57"/>
  <c r="AK1208" i="57"/>
  <c r="AK1210" i="57"/>
  <c r="AK1211" i="57"/>
  <c r="AK1212" i="57"/>
  <c r="AK1213" i="57"/>
  <c r="AK1214" i="57"/>
  <c r="AK1215" i="57"/>
  <c r="AK1218" i="57"/>
  <c r="AK1219" i="57"/>
  <c r="AK1220" i="57"/>
  <c r="AK1221" i="57"/>
  <c r="AK1222" i="57"/>
  <c r="AK1223" i="57"/>
  <c r="AK1224" i="57"/>
  <c r="AK1022" i="57"/>
  <c r="AK1020" i="57"/>
  <c r="AK1019" i="57"/>
  <c r="AK934" i="57"/>
  <c r="AK935" i="57"/>
  <c r="AK938" i="57"/>
  <c r="AK940" i="57"/>
  <c r="AK941" i="57"/>
  <c r="AK942" i="57"/>
  <c r="AK943" i="57"/>
  <c r="AK944" i="57"/>
  <c r="AK945" i="57"/>
  <c r="AK946" i="57"/>
  <c r="AK947" i="57"/>
  <c r="AK948" i="57"/>
  <c r="AK950" i="57"/>
  <c r="AK951" i="57"/>
  <c r="AK952" i="57"/>
  <c r="AK953" i="57"/>
  <c r="AK954" i="57"/>
  <c r="AK955" i="57"/>
  <c r="AK956" i="57"/>
  <c r="AK957" i="57"/>
  <c r="AK958" i="57"/>
  <c r="AK959" i="57"/>
  <c r="AK960" i="57"/>
  <c r="AK961" i="57"/>
  <c r="AK962" i="57"/>
  <c r="AK963" i="57"/>
  <c r="AK964" i="57"/>
  <c r="AK965" i="57"/>
  <c r="AK966" i="57"/>
  <c r="AK967" i="57"/>
  <c r="AK968" i="57"/>
  <c r="AK969" i="57"/>
  <c r="AK970" i="57"/>
  <c r="AK971" i="57"/>
  <c r="AK972" i="57"/>
  <c r="AK973" i="57"/>
  <c r="AK974" i="57"/>
  <c r="AK975" i="57"/>
  <c r="AK976" i="57"/>
  <c r="AK977" i="57"/>
  <c r="AK978" i="57"/>
  <c r="AK979" i="57"/>
  <c r="AK980" i="57"/>
  <c r="AK982" i="57"/>
  <c r="AK983" i="57"/>
  <c r="AK984" i="57"/>
  <c r="AK985" i="57"/>
  <c r="AK986" i="57"/>
  <c r="AK987" i="57"/>
  <c r="AK988" i="57"/>
  <c r="AK990" i="57"/>
  <c r="AK991" i="57"/>
  <c r="AK992" i="57"/>
  <c r="AK993" i="57"/>
  <c r="AK994" i="57"/>
  <c r="AK995" i="57"/>
  <c r="AK996" i="57"/>
  <c r="AK997" i="57"/>
  <c r="AK998" i="57"/>
  <c r="AK999" i="57"/>
  <c r="AK1000" i="57"/>
  <c r="AK1002" i="57"/>
  <c r="AK1003" i="57"/>
  <c r="AK1004" i="57"/>
  <c r="AK1006" i="57"/>
  <c r="AK1007" i="57"/>
  <c r="AK1008" i="57"/>
  <c r="AK1009" i="57"/>
  <c r="AK1010" i="57"/>
  <c r="AK1011" i="57"/>
  <c r="AK1012" i="57"/>
  <c r="AK1014" i="57"/>
  <c r="AK1015" i="57"/>
  <c r="AK1016" i="57"/>
  <c r="AK932" i="57"/>
  <c r="AK931" i="57"/>
  <c r="AK930" i="57"/>
  <c r="AK814" i="57"/>
  <c r="AK815" i="57"/>
  <c r="AK816" i="57"/>
  <c r="AK817" i="57"/>
  <c r="AK821" i="57"/>
  <c r="AK822" i="57"/>
  <c r="AK823" i="57"/>
  <c r="AK824" i="57"/>
  <c r="AK825" i="57"/>
  <c r="AK826" i="57"/>
  <c r="AK827" i="57"/>
  <c r="AK828" i="57"/>
  <c r="AK829" i="57"/>
  <c r="AK830" i="57"/>
  <c r="AK831" i="57"/>
  <c r="AK832" i="57"/>
  <c r="AK833" i="57"/>
  <c r="AK835" i="57"/>
  <c r="AK836" i="57"/>
  <c r="AK837" i="57"/>
  <c r="AK838" i="57"/>
  <c r="AK839" i="57"/>
  <c r="AK840" i="57"/>
  <c r="AK841" i="57"/>
  <c r="AK842" i="57"/>
  <c r="AK843" i="57"/>
  <c r="AK844" i="57"/>
  <c r="AK845" i="57"/>
  <c r="AK846" i="57"/>
  <c r="AK847" i="57"/>
  <c r="AK848" i="57"/>
  <c r="AK849" i="57"/>
  <c r="AK851" i="57"/>
  <c r="AK852" i="57"/>
  <c r="AK853" i="57"/>
  <c r="AK854" i="57"/>
  <c r="AK855" i="57"/>
  <c r="AK856" i="57"/>
  <c r="AK857" i="57"/>
  <c r="AK858" i="57"/>
  <c r="AK859" i="57"/>
  <c r="AK860" i="57"/>
  <c r="AK861" i="57"/>
  <c r="AK862" i="57"/>
  <c r="AK863" i="57"/>
  <c r="AK864" i="57"/>
  <c r="AK865" i="57"/>
  <c r="AK867" i="57"/>
  <c r="AK868" i="57"/>
  <c r="AK869" i="57"/>
  <c r="AK870" i="57"/>
  <c r="AK871" i="57"/>
  <c r="AK872" i="57"/>
  <c r="AK873" i="57"/>
  <c r="AK874" i="57"/>
  <c r="AK875" i="57"/>
  <c r="AK876" i="57"/>
  <c r="AK877" i="57"/>
  <c r="AK878" i="57"/>
  <c r="AK879" i="57"/>
  <c r="AK880" i="57"/>
  <c r="AK881" i="57"/>
  <c r="AK882" i="57"/>
  <c r="AK883" i="57"/>
  <c r="AK884" i="57"/>
  <c r="AK885" i="57"/>
  <c r="AK886" i="57"/>
  <c r="AK887" i="57"/>
  <c r="AK888" i="57"/>
  <c r="AK889" i="57"/>
  <c r="AK891" i="57"/>
  <c r="AK892" i="57"/>
  <c r="AK893" i="57"/>
  <c r="AK894" i="57"/>
  <c r="AK895" i="57"/>
  <c r="AK896" i="57"/>
  <c r="AK897" i="57"/>
  <c r="AK899" i="57"/>
  <c r="AK900" i="57"/>
  <c r="AK901" i="57"/>
  <c r="AK902" i="57"/>
  <c r="AK903" i="57"/>
  <c r="AK904" i="57"/>
  <c r="AK905" i="57"/>
  <c r="AK906" i="57"/>
  <c r="AK907" i="57"/>
  <c r="AK908" i="57"/>
  <c r="AK909" i="57"/>
  <c r="AK910" i="57"/>
  <c r="AK911" i="57"/>
  <c r="AK912" i="57"/>
  <c r="AK913" i="57"/>
  <c r="AK914" i="57"/>
  <c r="AK915" i="57"/>
  <c r="AK916" i="57"/>
  <c r="AK917" i="57"/>
  <c r="AK918" i="57"/>
  <c r="AK919" i="57"/>
  <c r="AK920" i="57"/>
  <c r="AK921" i="57"/>
  <c r="AK923" i="57"/>
  <c r="AK924" i="57"/>
  <c r="AK925" i="57"/>
  <c r="AK927" i="57"/>
  <c r="AK813" i="57"/>
  <c r="AK811" i="57"/>
  <c r="AK810" i="57"/>
  <c r="AK809" i="57"/>
  <c r="AK716" i="57"/>
  <c r="AK717" i="57"/>
  <c r="AK718" i="57"/>
  <c r="AK719" i="57"/>
  <c r="AK720" i="57"/>
  <c r="AK724" i="57"/>
  <c r="AK725" i="57"/>
  <c r="AK726" i="57"/>
  <c r="AK727" i="57"/>
  <c r="AK728" i="57"/>
  <c r="AK729" i="57"/>
  <c r="AK730" i="57"/>
  <c r="AK731" i="57"/>
  <c r="AK732" i="57"/>
  <c r="AK733" i="57"/>
  <c r="AK734" i="57"/>
  <c r="AK735" i="57"/>
  <c r="AK736" i="57"/>
  <c r="AK737" i="57"/>
  <c r="AK738" i="57"/>
  <c r="AK739" i="57"/>
  <c r="AK740" i="57"/>
  <c r="AK741" i="57"/>
  <c r="AK742" i="57"/>
  <c r="AK743" i="57"/>
  <c r="AK744" i="57"/>
  <c r="AK745" i="57"/>
  <c r="AK746" i="57"/>
  <c r="AK747" i="57"/>
  <c r="AK748" i="57"/>
  <c r="AK749" i="57"/>
  <c r="AK750" i="57"/>
  <c r="AK751" i="57"/>
  <c r="AK752" i="57"/>
  <c r="AK753" i="57"/>
  <c r="AK754" i="57"/>
  <c r="AK755" i="57"/>
  <c r="AK756" i="57"/>
  <c r="AK758" i="57"/>
  <c r="AK759" i="57"/>
  <c r="AK760" i="57"/>
  <c r="AK761" i="57"/>
  <c r="AK762" i="57"/>
  <c r="AK763" i="57"/>
  <c r="AK764" i="57"/>
  <c r="AK766" i="57"/>
  <c r="AK767" i="57"/>
  <c r="AK768" i="57"/>
  <c r="AK769" i="57"/>
  <c r="AK770" i="57"/>
  <c r="AK771" i="57"/>
  <c r="AK772" i="57"/>
  <c r="AK774" i="57"/>
  <c r="AK775" i="57"/>
  <c r="AK776" i="57"/>
  <c r="AK777" i="57"/>
  <c r="AK778" i="57"/>
  <c r="AK779" i="57"/>
  <c r="AK780" i="57"/>
  <c r="AK782" i="57"/>
  <c r="AK783" i="57"/>
  <c r="AK784" i="57"/>
  <c r="AK785" i="57"/>
  <c r="AK786" i="57"/>
  <c r="AK787" i="57"/>
  <c r="AK788" i="57"/>
  <c r="AK789" i="57"/>
  <c r="AK790" i="57"/>
  <c r="AK791" i="57"/>
  <c r="AK792" i="57"/>
  <c r="AK793" i="57"/>
  <c r="AK794" i="57"/>
  <c r="AK795" i="57"/>
  <c r="AK796" i="57"/>
  <c r="AK797" i="57"/>
  <c r="AK798" i="57"/>
  <c r="AK799" i="57"/>
  <c r="AK800" i="57"/>
  <c r="AK801" i="57"/>
  <c r="AK802" i="57"/>
  <c r="AK803" i="57"/>
  <c r="AK804" i="57"/>
  <c r="AK713" i="57"/>
  <c r="AK712" i="57"/>
  <c r="AK709" i="57"/>
  <c r="AK708" i="57"/>
  <c r="AK707" i="57"/>
  <c r="AK705" i="57"/>
  <c r="AK704" i="57"/>
  <c r="AK702" i="57"/>
  <c r="AK701" i="57"/>
  <c r="AK700" i="57"/>
  <c r="AK699" i="57"/>
  <c r="AK682" i="57"/>
  <c r="AK683" i="57"/>
  <c r="AK684" i="57"/>
  <c r="AK686" i="57"/>
  <c r="AK687" i="57"/>
  <c r="AK688" i="57"/>
  <c r="AK689" i="57"/>
  <c r="AK690" i="57"/>
  <c r="AK691" i="57"/>
  <c r="AK692" i="57"/>
  <c r="AK694" i="57"/>
  <c r="AK695" i="57"/>
  <c r="AK696" i="57"/>
  <c r="AK681" i="57"/>
  <c r="AK680" i="57"/>
  <c r="AK545" i="57"/>
  <c r="AK546" i="57"/>
  <c r="AK547" i="57"/>
  <c r="AK548" i="57"/>
  <c r="AK549" i="57"/>
  <c r="AK551" i="57"/>
  <c r="AK552" i="57"/>
  <c r="AK553" i="57"/>
  <c r="AK554" i="57"/>
  <c r="AK555" i="57"/>
  <c r="AK556" i="57"/>
  <c r="AK557" i="57"/>
  <c r="AK558" i="57"/>
  <c r="AK559" i="57"/>
  <c r="AK560" i="57"/>
  <c r="AK561" i="57"/>
  <c r="AK562" i="57"/>
  <c r="AK563" i="57"/>
  <c r="AK564" i="57"/>
  <c r="AK565" i="57"/>
  <c r="AK566" i="57"/>
  <c r="AK567" i="57"/>
  <c r="AK568" i="57"/>
  <c r="AK569" i="57"/>
  <c r="AK570" i="57"/>
  <c r="AK571" i="57"/>
  <c r="AK572" i="57"/>
  <c r="AK573" i="57"/>
  <c r="AK574" i="57"/>
  <c r="AK575" i="57"/>
  <c r="AK576" i="57"/>
  <c r="AK577" i="57"/>
  <c r="AK578" i="57"/>
  <c r="AK579" i="57"/>
  <c r="AK581" i="57"/>
  <c r="AK582" i="57"/>
  <c r="AK583" i="57"/>
  <c r="AK584" i="57"/>
  <c r="AK585" i="57"/>
  <c r="AK586" i="57"/>
  <c r="AK587" i="57"/>
  <c r="AK589" i="57"/>
  <c r="AK590" i="57"/>
  <c r="AK591" i="57"/>
  <c r="AK592" i="57"/>
  <c r="AK593" i="57"/>
  <c r="AK594" i="57"/>
  <c r="AK595" i="57"/>
  <c r="AK596" i="57"/>
  <c r="AK597" i="57"/>
  <c r="AK598" i="57"/>
  <c r="AK599" i="57"/>
  <c r="AK600" i="57"/>
  <c r="AK601" i="57"/>
  <c r="AK602" i="57"/>
  <c r="AK603" i="57"/>
  <c r="AK605" i="57"/>
  <c r="AK606" i="57"/>
  <c r="AK607" i="57"/>
  <c r="AK608" i="57"/>
  <c r="AK609" i="57"/>
  <c r="AK610" i="57"/>
  <c r="AK611" i="57"/>
  <c r="AK613" i="57"/>
  <c r="AK614" i="57"/>
  <c r="AK615" i="57"/>
  <c r="AK616" i="57"/>
  <c r="AK617" i="57"/>
  <c r="AK618" i="57"/>
  <c r="AK619" i="57"/>
  <c r="AK621" i="57"/>
  <c r="AK622" i="57"/>
  <c r="AK623" i="57"/>
  <c r="AK624" i="57"/>
  <c r="AK625" i="57"/>
  <c r="AK626" i="57"/>
  <c r="AK627" i="57"/>
  <c r="AK629" i="57"/>
  <c r="AK630" i="57"/>
  <c r="AK631" i="57"/>
  <c r="AK632" i="57"/>
  <c r="AK633" i="57"/>
  <c r="AK634" i="57"/>
  <c r="AK635" i="57"/>
  <c r="AK637" i="57"/>
  <c r="AK638" i="57"/>
  <c r="AK639" i="57"/>
  <c r="AK640" i="57"/>
  <c r="AK641" i="57"/>
  <c r="AK642" i="57"/>
  <c r="AK643" i="57"/>
  <c r="AK645" i="57"/>
  <c r="AK646" i="57"/>
  <c r="AK647" i="57"/>
  <c r="AK648" i="57"/>
  <c r="AK649" i="57"/>
  <c r="AK650" i="57"/>
  <c r="AK651" i="57"/>
  <c r="AK652" i="57"/>
  <c r="AK653" i="57"/>
  <c r="AK654" i="57"/>
  <c r="AK655" i="57"/>
  <c r="AK656" i="57"/>
  <c r="AK657" i="57"/>
  <c r="AK658" i="57"/>
  <c r="AK659" i="57"/>
  <c r="AK661" i="57"/>
  <c r="AK662" i="57"/>
  <c r="AK663" i="57"/>
  <c r="AK664" i="57"/>
  <c r="AK665" i="57"/>
  <c r="AK666" i="57"/>
  <c r="AK667" i="57"/>
  <c r="AK669" i="57"/>
  <c r="AK670" i="57"/>
  <c r="AK671" i="57"/>
  <c r="AK672" i="57"/>
  <c r="AK673" i="57"/>
  <c r="AK674" i="57"/>
  <c r="AK675" i="57"/>
  <c r="AK677" i="57"/>
  <c r="AK678" i="57"/>
  <c r="AK679" i="57"/>
  <c r="AK539" i="57"/>
  <c r="AK540" i="57"/>
  <c r="AK541" i="57"/>
  <c r="AK542" i="57"/>
  <c r="AK537" i="57"/>
  <c r="AK533" i="57"/>
  <c r="AK534" i="57"/>
  <c r="AK535" i="57"/>
  <c r="AK531" i="57"/>
  <c r="AK530" i="57"/>
  <c r="AK507" i="57"/>
  <c r="AK511" i="57"/>
  <c r="AK512" i="57"/>
  <c r="AK515" i="57"/>
  <c r="AK516" i="57"/>
  <c r="AK517" i="57"/>
  <c r="AK518" i="57"/>
  <c r="AK519" i="57"/>
  <c r="AK520" i="57"/>
  <c r="AK521" i="57"/>
  <c r="AK523" i="57"/>
  <c r="AK524" i="57"/>
  <c r="AK525" i="57"/>
  <c r="AK526" i="57"/>
  <c r="AK505" i="57"/>
  <c r="AK504" i="57"/>
  <c r="AK503" i="57"/>
  <c r="AK502" i="57"/>
  <c r="AK501" i="57"/>
  <c r="AK500" i="57"/>
  <c r="AK499" i="57"/>
  <c r="AK498" i="57"/>
  <c r="AK497" i="57"/>
  <c r="AK496" i="57"/>
  <c r="AK495" i="57"/>
  <c r="AK494" i="57"/>
  <c r="AK487" i="57"/>
  <c r="AK488" i="57"/>
  <c r="AK489" i="57"/>
  <c r="AK490" i="57"/>
  <c r="AK491" i="57"/>
  <c r="AK483" i="57"/>
  <c r="AK484" i="57"/>
  <c r="AK482" i="57"/>
  <c r="AK481" i="57"/>
  <c r="AK480" i="57"/>
  <c r="AK438" i="57"/>
  <c r="AK439" i="57"/>
  <c r="AK440" i="57"/>
  <c r="AK444" i="57"/>
  <c r="AK445" i="57"/>
  <c r="AK446" i="57"/>
  <c r="AK447" i="57"/>
  <c r="AK448" i="57"/>
  <c r="AK452" i="57"/>
  <c r="AK453" i="57"/>
  <c r="AK454" i="57"/>
  <c r="AK455" i="57"/>
  <c r="AK456" i="57"/>
  <c r="AK458" i="57"/>
  <c r="AK459" i="57"/>
  <c r="AK460" i="57"/>
  <c r="AK462" i="57"/>
  <c r="AK463" i="57"/>
  <c r="AK464" i="57"/>
  <c r="AK465" i="57"/>
  <c r="AK466" i="57"/>
  <c r="AK468" i="57"/>
  <c r="AK469" i="57"/>
  <c r="AK470" i="57"/>
  <c r="AK471" i="57"/>
  <c r="AK472" i="57"/>
  <c r="AK473" i="57"/>
  <c r="AK474" i="57"/>
  <c r="AK476" i="57"/>
  <c r="AK477" i="57"/>
  <c r="AK437" i="57"/>
  <c r="AK436" i="57"/>
  <c r="AK432" i="57"/>
  <c r="AK429" i="57"/>
  <c r="AK428" i="57"/>
  <c r="AK427" i="57"/>
  <c r="AK426" i="57"/>
  <c r="AK420" i="57"/>
  <c r="AK419" i="57"/>
  <c r="AK417" i="57"/>
  <c r="AK320" i="57"/>
  <c r="AK321" i="57"/>
  <c r="AK322" i="57"/>
  <c r="AK323" i="57"/>
  <c r="AK324" i="57"/>
  <c r="AK325" i="57"/>
  <c r="AK326" i="57"/>
  <c r="AK327" i="57"/>
  <c r="AK328" i="57"/>
  <c r="AK329" i="57"/>
  <c r="AK330" i="57"/>
  <c r="AK332" i="57"/>
  <c r="AK333" i="57"/>
  <c r="AK334" i="57"/>
  <c r="AK335" i="57"/>
  <c r="AK336" i="57"/>
  <c r="AK337" i="57"/>
  <c r="AK338" i="57"/>
  <c r="AK340" i="57"/>
  <c r="AK341" i="57"/>
  <c r="AK342" i="57"/>
  <c r="AK343" i="57"/>
  <c r="AK344" i="57"/>
  <c r="AK345" i="57"/>
  <c r="AK346" i="57"/>
  <c r="AK347" i="57"/>
  <c r="AK348" i="57"/>
  <c r="AK349" i="57"/>
  <c r="AK350" i="57"/>
  <c r="AK351" i="57"/>
  <c r="AK352" i="57"/>
  <c r="AK353" i="57"/>
  <c r="AK354" i="57"/>
  <c r="AK355" i="57"/>
  <c r="AK356" i="57"/>
  <c r="AK357" i="57"/>
  <c r="AK358" i="57"/>
  <c r="AK359" i="57"/>
  <c r="AK360" i="57"/>
  <c r="AK361" i="57"/>
  <c r="AK362" i="57"/>
  <c r="AK364" i="57"/>
  <c r="AK365" i="57"/>
  <c r="AK366" i="57"/>
  <c r="AK367" i="57"/>
  <c r="AK368" i="57"/>
  <c r="AK369" i="57"/>
  <c r="AK370" i="57"/>
  <c r="AK371" i="57"/>
  <c r="AK372" i="57"/>
  <c r="AK373" i="57"/>
  <c r="AK374" i="57"/>
  <c r="AK375" i="57"/>
  <c r="AK376" i="57"/>
  <c r="AK377" i="57"/>
  <c r="AK378" i="57"/>
  <c r="AK380" i="57"/>
  <c r="AK381" i="57"/>
  <c r="AK382" i="57"/>
  <c r="AK383" i="57"/>
  <c r="AK384" i="57"/>
  <c r="AK385" i="57"/>
  <c r="AK386" i="57"/>
  <c r="AK387" i="57"/>
  <c r="AK388" i="57"/>
  <c r="AK389" i="57"/>
  <c r="AK390" i="57"/>
  <c r="AK391" i="57"/>
  <c r="AK392" i="57"/>
  <c r="AK393" i="57"/>
  <c r="AK394" i="57"/>
  <c r="AK395" i="57"/>
  <c r="AK396" i="57"/>
  <c r="AK397" i="57"/>
  <c r="AK398" i="57"/>
  <c r="AK399" i="57"/>
  <c r="AK401" i="57"/>
  <c r="AK402" i="57"/>
  <c r="AK403" i="57"/>
  <c r="AK404" i="57"/>
  <c r="AK405" i="57"/>
  <c r="AK406" i="57"/>
  <c r="AK407" i="57"/>
  <c r="AK408" i="57"/>
  <c r="AK409" i="57"/>
  <c r="AK410" i="57"/>
  <c r="AK411" i="57"/>
  <c r="AK412" i="57"/>
  <c r="AK413" i="57"/>
  <c r="AK414" i="57"/>
  <c r="AK301" i="57"/>
  <c r="AK302" i="57"/>
  <c r="AK303" i="57"/>
  <c r="AK304" i="57"/>
  <c r="AK307" i="57"/>
  <c r="AK308" i="57"/>
  <c r="AK309" i="57"/>
  <c r="AK310" i="57"/>
  <c r="AK311" i="57"/>
  <c r="AK312" i="57"/>
  <c r="AK313" i="57"/>
  <c r="AK314" i="57"/>
  <c r="AK315" i="57"/>
  <c r="AK316" i="57"/>
  <c r="AK317" i="57"/>
  <c r="AK318" i="57"/>
  <c r="AK319" i="57"/>
  <c r="AK297" i="57"/>
  <c r="AK298" i="57"/>
  <c r="AK299" i="57"/>
  <c r="AK293" i="57"/>
  <c r="AK292" i="57"/>
  <c r="AK291" i="57"/>
  <c r="AK289" i="57"/>
  <c r="AK265" i="57"/>
  <c r="AK266" i="57"/>
  <c r="AK267" i="57"/>
  <c r="AK268" i="57"/>
  <c r="AK269" i="57"/>
  <c r="AK270" i="57"/>
  <c r="AK271" i="57"/>
  <c r="AK272" i="57"/>
  <c r="AK273" i="57"/>
  <c r="AK274" i="57"/>
  <c r="AK275" i="57"/>
  <c r="AK276" i="57"/>
  <c r="AK277" i="57"/>
  <c r="AK278" i="57"/>
  <c r="AK279" i="57"/>
  <c r="AK280" i="57"/>
  <c r="AK281" i="57"/>
  <c r="AK282" i="57"/>
  <c r="AK283" i="57"/>
  <c r="AK284" i="57"/>
  <c r="AK285" i="57"/>
  <c r="AK286" i="57"/>
  <c r="AK261" i="57"/>
  <c r="AK262" i="57"/>
  <c r="AK263" i="57"/>
  <c r="AK264" i="57"/>
  <c r="AK260" i="57"/>
  <c r="AK259" i="57"/>
  <c r="AK257" i="57"/>
  <c r="AK256" i="57"/>
  <c r="AK255" i="57"/>
  <c r="AK253" i="57"/>
  <c r="AK252" i="57"/>
  <c r="AK251" i="57"/>
  <c r="AK249" i="57"/>
  <c r="AK248" i="57"/>
  <c r="AK245" i="57"/>
  <c r="AK244" i="57"/>
  <c r="AK240" i="57"/>
  <c r="AK241" i="57"/>
  <c r="AK239" i="57"/>
  <c r="AK238" i="57"/>
  <c r="AK237" i="57"/>
  <c r="AK235" i="57"/>
  <c r="AK234" i="57"/>
  <c r="AK233" i="57"/>
  <c r="AK231" i="57"/>
  <c r="AK230" i="57"/>
  <c r="AK229" i="57"/>
  <c r="AK227" i="57"/>
  <c r="AK226" i="57"/>
  <c r="AK225" i="57"/>
  <c r="AK220" i="57"/>
  <c r="AK221" i="57"/>
  <c r="AK222" i="57"/>
  <c r="AK219" i="57"/>
  <c r="AK210" i="57"/>
  <c r="AK211" i="57"/>
  <c r="AK212" i="57"/>
  <c r="AK213" i="57"/>
  <c r="AK214" i="57"/>
  <c r="AK215" i="57"/>
  <c r="AK216" i="57"/>
  <c r="AK217" i="57"/>
  <c r="AK218" i="57"/>
  <c r="AK209" i="57"/>
  <c r="AK208" i="57"/>
  <c r="AK196" i="57"/>
  <c r="AK197" i="57"/>
  <c r="AK198" i="57"/>
  <c r="AK199" i="57"/>
  <c r="AK200" i="57"/>
  <c r="AK201" i="57"/>
  <c r="AK202" i="57"/>
  <c r="AK203" i="57"/>
  <c r="AK204" i="57"/>
  <c r="AK205" i="57"/>
  <c r="AK206" i="57"/>
  <c r="AK207" i="57"/>
  <c r="AK160" i="57"/>
  <c r="AK162" i="57"/>
  <c r="AK163" i="57"/>
  <c r="AK164" i="57"/>
  <c r="AK166" i="57"/>
  <c r="AK167" i="57"/>
  <c r="AK168" i="57"/>
  <c r="AK169" i="57"/>
  <c r="AK170" i="57"/>
  <c r="AK171" i="57"/>
  <c r="AK172" i="57"/>
  <c r="AK173" i="57"/>
  <c r="AK174" i="57"/>
  <c r="AK175" i="57"/>
  <c r="AK176" i="57"/>
  <c r="AK177" i="57"/>
  <c r="AK178" i="57"/>
  <c r="AK179" i="57"/>
  <c r="AK180" i="57"/>
  <c r="AK181" i="57"/>
  <c r="AK182" i="57"/>
  <c r="AK183" i="57"/>
  <c r="AK184" i="57"/>
  <c r="AK185" i="57"/>
  <c r="AK186" i="57"/>
  <c r="AK187" i="57"/>
  <c r="AK188" i="57"/>
  <c r="AK189" i="57"/>
  <c r="AK190" i="57"/>
  <c r="AK191" i="57"/>
  <c r="AK192" i="57"/>
  <c r="AK193" i="57"/>
  <c r="AK194" i="57"/>
  <c r="AK195" i="57"/>
  <c r="AK152" i="57"/>
  <c r="AK154" i="57"/>
  <c r="AK155" i="57"/>
  <c r="AK156" i="57"/>
  <c r="AK157" i="57"/>
  <c r="AK158" i="57"/>
  <c r="AK159" i="57"/>
  <c r="AK151" i="57"/>
  <c r="AK136" i="57"/>
  <c r="AK137" i="57"/>
  <c r="AK139" i="57"/>
  <c r="AK140" i="57"/>
  <c r="AK141" i="57"/>
  <c r="AK144" i="57"/>
  <c r="AK145" i="57"/>
  <c r="AK146" i="57"/>
  <c r="AK147" i="57"/>
  <c r="AK148" i="57"/>
  <c r="AK149" i="57"/>
  <c r="AK150" i="57"/>
  <c r="AK134" i="57"/>
  <c r="AK131" i="57"/>
  <c r="AK132" i="57"/>
  <c r="AK133" i="57"/>
  <c r="AK130" i="57"/>
  <c r="AK129" i="57"/>
  <c r="AK128" i="57"/>
  <c r="AK109" i="57"/>
  <c r="AK110" i="57"/>
  <c r="AK111" i="57"/>
  <c r="AK112" i="57"/>
  <c r="AK113" i="57"/>
  <c r="AK114" i="57"/>
  <c r="AK115" i="57"/>
  <c r="AK116" i="57"/>
  <c r="AK117" i="57"/>
  <c r="AK118" i="57"/>
  <c r="AK119" i="57"/>
  <c r="AK120" i="57"/>
  <c r="AK121" i="57"/>
  <c r="AK122" i="57"/>
  <c r="AK123" i="57"/>
  <c r="AK124" i="57"/>
  <c r="AK125" i="57"/>
  <c r="AK71" i="57"/>
  <c r="AK72" i="57"/>
  <c r="AK73" i="57"/>
  <c r="AK74" i="57"/>
  <c r="AK75" i="57"/>
  <c r="AK76" i="57"/>
  <c r="AK77" i="57"/>
  <c r="AK78" i="57"/>
  <c r="AK79" i="57"/>
  <c r="AK80" i="57"/>
  <c r="AK81" i="57"/>
  <c r="AK82" i="57"/>
  <c r="AK83" i="57"/>
  <c r="AK84" i="57"/>
  <c r="AK85" i="57"/>
  <c r="AK86" i="57"/>
  <c r="AK87" i="57"/>
  <c r="AK88" i="57"/>
  <c r="AK89" i="57"/>
  <c r="AK90" i="57"/>
  <c r="AK91" i="57"/>
  <c r="AK92" i="57"/>
  <c r="AK93" i="57"/>
  <c r="AK94" i="57"/>
  <c r="AK95" i="57"/>
  <c r="AK96" i="57"/>
  <c r="AK97" i="57"/>
  <c r="AK98" i="57"/>
  <c r="AK99" i="57"/>
  <c r="AK100" i="57"/>
  <c r="AK101" i="57"/>
  <c r="AK102" i="57"/>
  <c r="AK103" i="57"/>
  <c r="AK104" i="57"/>
  <c r="AK105" i="57"/>
  <c r="AK106" i="57"/>
  <c r="AK107" i="57"/>
  <c r="AK108" i="57"/>
  <c r="AK70" i="57"/>
  <c r="AK67" i="57"/>
  <c r="AK66" i="57"/>
  <c r="AK65" i="57"/>
  <c r="AK64" i="57"/>
  <c r="AK63" i="57"/>
  <c r="AK62" i="57"/>
  <c r="AK61" i="57"/>
  <c r="AK60" i="57"/>
  <c r="AK59" i="57"/>
  <c r="AK58" i="57"/>
  <c r="AK57" i="57"/>
  <c r="AK56" i="57"/>
  <c r="AK55" i="57"/>
  <c r="AK54" i="57"/>
  <c r="AK53" i="57"/>
  <c r="AK52" i="57"/>
  <c r="AK51" i="57"/>
  <c r="AK50" i="57"/>
  <c r="AK49" i="57"/>
  <c r="AK48" i="57"/>
  <c r="AK47" i="57"/>
  <c r="AK46" i="57"/>
  <c r="AK45" i="57"/>
  <c r="AK44" i="57"/>
  <c r="AK43" i="57"/>
  <c r="AK42" i="57"/>
  <c r="AK37" i="57"/>
  <c r="AK38" i="57"/>
  <c r="AK39" i="57"/>
  <c r="AK35" i="57"/>
  <c r="AK20" i="57"/>
  <c r="AK21" i="57"/>
  <c r="AK22" i="57"/>
  <c r="AK23" i="57"/>
  <c r="AK24" i="57"/>
  <c r="AK25" i="57"/>
  <c r="AK26" i="57"/>
  <c r="AK27" i="57"/>
  <c r="AK28" i="57"/>
  <c r="AK29" i="57"/>
  <c r="AK30" i="57"/>
  <c r="AK31" i="57"/>
  <c r="AK32" i="57"/>
  <c r="AK33" i="57"/>
  <c r="AK34" i="57"/>
  <c r="AK19" i="57"/>
  <c r="AK18" i="57"/>
  <c r="AK17" i="57"/>
  <c r="AK16" i="57"/>
  <c r="AK15" i="57"/>
  <c r="AK14" i="57"/>
  <c r="AK13" i="57"/>
  <c r="AK5" i="57"/>
  <c r="AK6" i="57"/>
  <c r="AK7" i="57"/>
  <c r="AK8" i="57"/>
  <c r="AK9" i="57"/>
  <c r="AK10" i="57"/>
  <c r="AC1824" i="57"/>
  <c r="AC1823" i="57"/>
  <c r="AB1818" i="57"/>
  <c r="AC1818" i="57"/>
  <c r="AB1819" i="57"/>
  <c r="AC1819" i="57"/>
  <c r="AB1820" i="57"/>
  <c r="AC1820" i="57"/>
  <c r="AC1817" i="57"/>
  <c r="AB1817" i="57"/>
  <c r="AB1811" i="57"/>
  <c r="AC1811" i="57"/>
  <c r="AB1812" i="57"/>
  <c r="AC1812" i="57"/>
  <c r="AB1813" i="57"/>
  <c r="AC1813" i="57"/>
  <c r="AB1814" i="57"/>
  <c r="AC1814" i="57"/>
  <c r="AB1810" i="57"/>
  <c r="AC1809" i="57"/>
  <c r="AB1809" i="57"/>
  <c r="AC1808" i="57"/>
  <c r="AB1808" i="57"/>
  <c r="AC1807" i="57"/>
  <c r="AB1807" i="57"/>
  <c r="AB1806" i="57"/>
  <c r="AB1789" i="57"/>
  <c r="AC1789" i="57"/>
  <c r="AB1790" i="57"/>
  <c r="AC1790" i="57"/>
  <c r="AC1791" i="57"/>
  <c r="AB1792" i="57"/>
  <c r="AB1793" i="57"/>
  <c r="AC1793" i="57"/>
  <c r="AB1794" i="57"/>
  <c r="AC1794" i="57"/>
  <c r="AC1795" i="57"/>
  <c r="AB1796" i="57"/>
  <c r="AC1796" i="57"/>
  <c r="AB1797" i="57"/>
  <c r="AC1797" i="57"/>
  <c r="AB1798" i="57"/>
  <c r="AC1798" i="57"/>
  <c r="AC1799" i="57"/>
  <c r="AB1800" i="57"/>
  <c r="AC1800" i="57"/>
  <c r="AB1801" i="57"/>
  <c r="AB1802" i="57"/>
  <c r="AC1802" i="57"/>
  <c r="AB1803" i="57"/>
  <c r="AC1803" i="57"/>
  <c r="AC1788" i="57"/>
  <c r="AB1788" i="57"/>
  <c r="AC1787" i="57"/>
  <c r="AB1787" i="57"/>
  <c r="AC1786" i="57"/>
  <c r="AB1786" i="57"/>
  <c r="AC1785" i="57"/>
  <c r="AB1785" i="57"/>
  <c r="AC1784" i="57"/>
  <c r="AB1784" i="57"/>
  <c r="AC1783" i="57"/>
  <c r="AB1783" i="57"/>
  <c r="AC1782" i="57"/>
  <c r="AB1782" i="57"/>
  <c r="AC1781" i="57"/>
  <c r="AB1781" i="57"/>
  <c r="AC1780" i="57"/>
  <c r="AB1780" i="57"/>
  <c r="AC1779" i="57"/>
  <c r="AB1779" i="57"/>
  <c r="AB1771" i="57"/>
  <c r="AC1771" i="57"/>
  <c r="AC1772" i="57"/>
  <c r="AB1773" i="57"/>
  <c r="AC1773" i="57"/>
  <c r="AB1774" i="57"/>
  <c r="AC1774" i="57"/>
  <c r="AB1775" i="57"/>
  <c r="AC1775" i="57"/>
  <c r="AC1776" i="57"/>
  <c r="AC1770" i="57"/>
  <c r="AB1770" i="57"/>
  <c r="AC1769" i="57"/>
  <c r="AB1769" i="57"/>
  <c r="AC1768" i="57"/>
  <c r="AB1768" i="57"/>
  <c r="AC1767" i="57"/>
  <c r="AB1767" i="57"/>
  <c r="AB1703" i="57"/>
  <c r="AC1703" i="57"/>
  <c r="AB1704" i="57"/>
  <c r="AB1705" i="57"/>
  <c r="AB1706" i="57"/>
  <c r="AC1706" i="57"/>
  <c r="AC1707" i="57"/>
  <c r="AB1708" i="57"/>
  <c r="AB1709" i="57"/>
  <c r="AC1709" i="57"/>
  <c r="AB1710" i="57"/>
  <c r="AC1710" i="57"/>
  <c r="AB1711" i="57"/>
  <c r="AC1711" i="57"/>
  <c r="AB1712" i="57"/>
  <c r="AC1712" i="57"/>
  <c r="AB1713" i="57"/>
  <c r="AC1713" i="57"/>
  <c r="AB1714" i="57"/>
  <c r="AC1714" i="57"/>
  <c r="AB1715" i="57"/>
  <c r="AC1716" i="57"/>
  <c r="AB1717" i="57"/>
  <c r="AC1717" i="57"/>
  <c r="AC1718" i="57"/>
  <c r="AB1719" i="57"/>
  <c r="AC1719" i="57"/>
  <c r="AB1720" i="57"/>
  <c r="AC1720" i="57"/>
  <c r="AB1721" i="57"/>
  <c r="AC1721" i="57"/>
  <c r="AB1722" i="57"/>
  <c r="AC1722" i="57"/>
  <c r="AB1723" i="57"/>
  <c r="AC1723" i="57"/>
  <c r="AB1724" i="57"/>
  <c r="AC1724" i="57"/>
  <c r="AB1725" i="57"/>
  <c r="AC1725" i="57"/>
  <c r="AB1726" i="57"/>
  <c r="AC1726" i="57"/>
  <c r="AB1727" i="57"/>
  <c r="AC1727" i="57"/>
  <c r="AB1728" i="57"/>
  <c r="AC1728" i="57"/>
  <c r="AB1729" i="57"/>
  <c r="AC1729" i="57"/>
  <c r="AB1730" i="57"/>
  <c r="AC1730" i="57"/>
  <c r="AB1731" i="57"/>
  <c r="AC1731" i="57"/>
  <c r="AB1732" i="57"/>
  <c r="AB1733" i="57"/>
  <c r="AC1733" i="57"/>
  <c r="AB1734" i="57"/>
  <c r="AC1734" i="57"/>
  <c r="AB1735" i="57"/>
  <c r="AC1735" i="57"/>
  <c r="AB1736" i="57"/>
  <c r="AC1736" i="57"/>
  <c r="AB1737" i="57"/>
  <c r="AC1737" i="57"/>
  <c r="AB1738" i="57"/>
  <c r="AC1738" i="57"/>
  <c r="AB1739" i="57"/>
  <c r="AC1739" i="57"/>
  <c r="AB1740" i="57"/>
  <c r="AB1741" i="57"/>
  <c r="AC1741" i="57"/>
  <c r="AB1742" i="57"/>
  <c r="AC1742" i="57"/>
  <c r="AB1743" i="57"/>
  <c r="AC1743" i="57"/>
  <c r="AB1744" i="57"/>
  <c r="AB1745" i="57"/>
  <c r="AC1745" i="57"/>
  <c r="AB1746" i="57"/>
  <c r="AC1746" i="57"/>
  <c r="AB1747" i="57"/>
  <c r="AC1747" i="57"/>
  <c r="AB1748" i="57"/>
  <c r="AC1748" i="57"/>
  <c r="AB1749" i="57"/>
  <c r="AC1749" i="57"/>
  <c r="AB1750" i="57"/>
  <c r="AC1750" i="57"/>
  <c r="AB1751" i="57"/>
  <c r="AC1751" i="57"/>
  <c r="AB1752" i="57"/>
  <c r="AB1753" i="57"/>
  <c r="AC1753" i="57"/>
  <c r="AB1754" i="57"/>
  <c r="AC1754" i="57"/>
  <c r="AB1755" i="57"/>
  <c r="AC1755" i="57"/>
  <c r="AB1756" i="57"/>
  <c r="AC1756" i="57"/>
  <c r="AB1757" i="57"/>
  <c r="AC1757" i="57"/>
  <c r="AB1758" i="57"/>
  <c r="AC1758" i="57"/>
  <c r="AB1759" i="57"/>
  <c r="AC1759" i="57"/>
  <c r="AB1760" i="57"/>
  <c r="AB1761" i="57"/>
  <c r="AC1761" i="57"/>
  <c r="AB1762" i="57"/>
  <c r="AC1762" i="57"/>
  <c r="AB1763" i="57"/>
  <c r="AC1763" i="57"/>
  <c r="AB1764" i="57"/>
  <c r="AB1765" i="57"/>
  <c r="AC1765" i="57"/>
  <c r="AB1766" i="57"/>
  <c r="AC1766" i="57"/>
  <c r="AB1702" i="57"/>
  <c r="AC1701" i="57"/>
  <c r="AB1701" i="57"/>
  <c r="AC1700" i="57"/>
  <c r="AC1699" i="57"/>
  <c r="AB1699" i="57"/>
  <c r="AC1698" i="57"/>
  <c r="AB1698" i="57"/>
  <c r="AC1697" i="57"/>
  <c r="AB1697" i="57"/>
  <c r="AB1695" i="57"/>
  <c r="AC1694" i="57"/>
  <c r="AC1691" i="57"/>
  <c r="AB1678" i="57"/>
  <c r="AC1678" i="57"/>
  <c r="AB1679" i="57"/>
  <c r="AC1679" i="57"/>
  <c r="AB1680" i="57"/>
  <c r="AC1680" i="57"/>
  <c r="AB1682" i="57"/>
  <c r="AC1682" i="57"/>
  <c r="AB1683" i="57"/>
  <c r="AC1683" i="57"/>
  <c r="AB1684" i="57"/>
  <c r="AC1684" i="57"/>
  <c r="AC1685" i="57"/>
  <c r="AB1686" i="57"/>
  <c r="AC1686" i="57"/>
  <c r="AB1687" i="57"/>
  <c r="AC1687" i="57"/>
  <c r="AB1688" i="57"/>
  <c r="AC1688" i="57"/>
  <c r="AC1677" i="57"/>
  <c r="AB1677" i="57"/>
  <c r="AB1645" i="57"/>
  <c r="AC1645" i="57"/>
  <c r="AB1646" i="57"/>
  <c r="AC1646" i="57"/>
  <c r="AB1647" i="57"/>
  <c r="AC1647" i="57"/>
  <c r="AB1648" i="57"/>
  <c r="AC1648" i="57"/>
  <c r="AB1649" i="57"/>
  <c r="AC1649" i="57"/>
  <c r="AB1650" i="57"/>
  <c r="AC1650" i="57"/>
  <c r="AB1651" i="57"/>
  <c r="AC1651" i="57"/>
  <c r="AB1652" i="57"/>
  <c r="AC1652" i="57"/>
  <c r="AB1653" i="57"/>
  <c r="AC1653" i="57"/>
  <c r="AB1654" i="57"/>
  <c r="AC1654" i="57"/>
  <c r="AB1655" i="57"/>
  <c r="AC1655" i="57"/>
  <c r="AC1656" i="57"/>
  <c r="AB1657" i="57"/>
  <c r="AB1658" i="57"/>
  <c r="AC1658" i="57"/>
  <c r="AB1659" i="57"/>
  <c r="AC1659" i="57"/>
  <c r="AB1660" i="57"/>
  <c r="AC1660" i="57"/>
  <c r="AB1661" i="57"/>
  <c r="AB1662" i="57"/>
  <c r="AC1662" i="57"/>
  <c r="AB1663" i="57"/>
  <c r="AC1663" i="57"/>
  <c r="AC1664" i="57"/>
  <c r="AB1665" i="57"/>
  <c r="AC1665" i="57"/>
  <c r="AB1666" i="57"/>
  <c r="AC1666" i="57"/>
  <c r="AB1667" i="57"/>
  <c r="AC1667" i="57"/>
  <c r="AC1668" i="57"/>
  <c r="AB1669" i="57"/>
  <c r="AC1669" i="57"/>
  <c r="AB1670" i="57"/>
  <c r="AB1671" i="57"/>
  <c r="AC1671" i="57"/>
  <c r="AC1672" i="57"/>
  <c r="AB1673" i="57"/>
  <c r="AC1673" i="57"/>
  <c r="AB1674" i="57"/>
  <c r="AC1674" i="57"/>
  <c r="AC1644" i="57"/>
  <c r="AB1644" i="57"/>
  <c r="AC1643" i="57"/>
  <c r="AB1643" i="57"/>
  <c r="AC1642" i="57"/>
  <c r="AB1642" i="57"/>
  <c r="AC1641" i="57"/>
  <c r="AB1641" i="57"/>
  <c r="AC1640" i="57"/>
  <c r="AB1640" i="57"/>
  <c r="AC1639" i="57"/>
  <c r="AB1639" i="57"/>
  <c r="AC1638" i="57"/>
  <c r="AB1638" i="57"/>
  <c r="AB1599" i="57"/>
  <c r="AC1599" i="57"/>
  <c r="AB1600" i="57"/>
  <c r="AC1600" i="57"/>
  <c r="AB1601" i="57"/>
  <c r="AC1601" i="57"/>
  <c r="AB1602" i="57"/>
  <c r="AC1602" i="57"/>
  <c r="AB1603" i="57"/>
  <c r="AC1603" i="57"/>
  <c r="AB1604" i="57"/>
  <c r="AC1604" i="57"/>
  <c r="AB1605" i="57"/>
  <c r="AC1605" i="57"/>
  <c r="AB1606" i="57"/>
  <c r="AC1606" i="57"/>
  <c r="AB1607" i="57"/>
  <c r="AC1607" i="57"/>
  <c r="AB1608" i="57"/>
  <c r="AC1608" i="57"/>
  <c r="AB1609" i="57"/>
  <c r="AC1609" i="57"/>
  <c r="AB1610" i="57"/>
  <c r="AC1610" i="57"/>
  <c r="AB1611" i="57"/>
  <c r="AC1611" i="57"/>
  <c r="AB1612" i="57"/>
  <c r="AC1612" i="57"/>
  <c r="AB1613" i="57"/>
  <c r="AC1613" i="57"/>
  <c r="AB1614" i="57"/>
  <c r="AC1614" i="57"/>
  <c r="AB1615" i="57"/>
  <c r="AC1615" i="57"/>
  <c r="AB1616" i="57"/>
  <c r="AC1616" i="57"/>
  <c r="AB1617" i="57"/>
  <c r="AC1617" i="57"/>
  <c r="AB1618" i="57"/>
  <c r="AC1618" i="57"/>
  <c r="AB1619" i="57"/>
  <c r="AC1619" i="57"/>
  <c r="AB1620" i="57"/>
  <c r="AC1620" i="57"/>
  <c r="AB1621" i="57"/>
  <c r="AC1621" i="57"/>
  <c r="AB1622" i="57"/>
  <c r="AC1622" i="57"/>
  <c r="AB1623" i="57"/>
  <c r="AC1623" i="57"/>
  <c r="AB1624" i="57"/>
  <c r="AC1624" i="57"/>
  <c r="AC1625" i="57"/>
  <c r="AB1626" i="57"/>
  <c r="AC1626" i="57"/>
  <c r="AB1627" i="57"/>
  <c r="AC1627" i="57"/>
  <c r="AB1628" i="57"/>
  <c r="AC1629" i="57"/>
  <c r="AB1630" i="57"/>
  <c r="AC1630" i="57"/>
  <c r="AB1631" i="57"/>
  <c r="AC1631" i="57"/>
  <c r="AB1632" i="57"/>
  <c r="AC1632" i="57"/>
  <c r="AB1634" i="57"/>
  <c r="AC1634" i="57"/>
  <c r="AB1635" i="57"/>
  <c r="AC1635" i="57"/>
  <c r="AC1598" i="57"/>
  <c r="AB1598" i="57"/>
  <c r="AC1597" i="57"/>
  <c r="AB1597" i="57"/>
  <c r="AC1596" i="57"/>
  <c r="AB1596" i="57"/>
  <c r="AC1595" i="57"/>
  <c r="AB1595" i="57"/>
  <c r="AC1594" i="57"/>
  <c r="AB1594" i="57"/>
  <c r="AC1593" i="57"/>
  <c r="AB1593" i="57"/>
  <c r="AB1551" i="57"/>
  <c r="AC1551" i="57"/>
  <c r="AB1552" i="57"/>
  <c r="AC1552" i="57"/>
  <c r="AB1553" i="57"/>
  <c r="AC1553" i="57"/>
  <c r="AB1554" i="57"/>
  <c r="AC1554" i="57"/>
  <c r="AB1555" i="57"/>
  <c r="AC1555" i="57"/>
  <c r="AB1556" i="57"/>
  <c r="AC1556" i="57"/>
  <c r="AB1557" i="57"/>
  <c r="AC1557" i="57"/>
  <c r="AB1558" i="57"/>
  <c r="AC1558" i="57"/>
  <c r="AB1559" i="57"/>
  <c r="AC1559" i="57"/>
  <c r="AB1560" i="57"/>
  <c r="AC1560" i="57"/>
  <c r="AB1561" i="57"/>
  <c r="AC1561" i="57"/>
  <c r="AB1562" i="57"/>
  <c r="AC1562" i="57"/>
  <c r="AB1563" i="57"/>
  <c r="AC1563" i="57"/>
  <c r="AB1564" i="57"/>
  <c r="AC1564" i="57"/>
  <c r="AB1565" i="57"/>
  <c r="AC1565" i="57"/>
  <c r="AB1566" i="57"/>
  <c r="AC1566" i="57"/>
  <c r="AB1567" i="57"/>
  <c r="AC1567" i="57"/>
  <c r="AB1568" i="57"/>
  <c r="AC1568" i="57"/>
  <c r="AB1569" i="57"/>
  <c r="AC1569" i="57"/>
  <c r="AB1570" i="57"/>
  <c r="AC1570" i="57"/>
  <c r="AB1571" i="57"/>
  <c r="AC1571" i="57"/>
  <c r="AB1572" i="57"/>
  <c r="AC1572" i="57"/>
  <c r="AB1573" i="57"/>
  <c r="AC1573" i="57"/>
  <c r="AC1574" i="57"/>
  <c r="AB1575" i="57"/>
  <c r="AC1575" i="57"/>
  <c r="AB1576" i="57"/>
  <c r="AC1576" i="57"/>
  <c r="AB1577" i="57"/>
  <c r="AC1577" i="57"/>
  <c r="AB1578" i="57"/>
  <c r="AC1578" i="57"/>
  <c r="AB1579" i="57"/>
  <c r="AC1579" i="57"/>
  <c r="AB1580" i="57"/>
  <c r="AC1580" i="57"/>
  <c r="AB1581" i="57"/>
  <c r="AC1581" i="57"/>
  <c r="AC1582" i="57"/>
  <c r="AB1583" i="57"/>
  <c r="AB1584" i="57"/>
  <c r="AC1584" i="57"/>
  <c r="AB1585" i="57"/>
  <c r="AC1585" i="57"/>
  <c r="AC1586" i="57"/>
  <c r="AB1587" i="57"/>
  <c r="AC1587" i="57"/>
  <c r="AB1588" i="57"/>
  <c r="AC1588" i="57"/>
  <c r="AB1589" i="57"/>
  <c r="AC1589" i="57"/>
  <c r="AB1590" i="57"/>
  <c r="AC1590" i="57"/>
  <c r="AC1550" i="57"/>
  <c r="AB1550" i="57"/>
  <c r="AC1549" i="57"/>
  <c r="AB1549" i="57"/>
  <c r="AC1548" i="57"/>
  <c r="AB1548" i="57"/>
  <c r="AC1547" i="57"/>
  <c r="AB1547" i="57"/>
  <c r="AB1521" i="57"/>
  <c r="AC1521" i="57"/>
  <c r="AB1522" i="57"/>
  <c r="AC1522" i="57"/>
  <c r="AB1523" i="57"/>
  <c r="AC1523" i="57"/>
  <c r="AB1524" i="57"/>
  <c r="AC1524" i="57"/>
  <c r="AB1525" i="57"/>
  <c r="AC1525" i="57"/>
  <c r="AB1526" i="57"/>
  <c r="AC1526" i="57"/>
  <c r="AB1527" i="57"/>
  <c r="AC1527" i="57"/>
  <c r="AB1528" i="57"/>
  <c r="AC1528" i="57"/>
  <c r="AB1529" i="57"/>
  <c r="AC1529" i="57"/>
  <c r="AB1530" i="57"/>
  <c r="AC1530" i="57"/>
  <c r="AB1531" i="57"/>
  <c r="AC1531" i="57"/>
  <c r="AB1532" i="57"/>
  <c r="AC1532" i="57"/>
  <c r="AB1533" i="57"/>
  <c r="AC1533" i="57"/>
  <c r="AB1534" i="57"/>
  <c r="AC1534" i="57"/>
  <c r="AB1535" i="57"/>
  <c r="AC1535" i="57"/>
  <c r="AB1536" i="57"/>
  <c r="AC1536" i="57"/>
  <c r="AB1537" i="57"/>
  <c r="AC1537" i="57"/>
  <c r="AB1538" i="57"/>
  <c r="AC1538" i="57"/>
  <c r="AB1539" i="57"/>
  <c r="AC1539" i="57"/>
  <c r="AB1540" i="57"/>
  <c r="AC1540" i="57"/>
  <c r="AB1541" i="57"/>
  <c r="AC1541" i="57"/>
  <c r="AB1542" i="57"/>
  <c r="AC1542" i="57"/>
  <c r="AB1543" i="57"/>
  <c r="AC1543" i="57"/>
  <c r="AC1544" i="57"/>
  <c r="AC1520" i="57"/>
  <c r="AB1520" i="57"/>
  <c r="AC1519" i="57"/>
  <c r="AB1519" i="57"/>
  <c r="AC1518" i="57"/>
  <c r="AB1518" i="57"/>
  <c r="AC1517" i="57"/>
  <c r="AB1517" i="57"/>
  <c r="AC1516" i="57"/>
  <c r="AB1516" i="57"/>
  <c r="AB1443" i="57"/>
  <c r="AC1443" i="57"/>
  <c r="AB1444" i="57"/>
  <c r="AB1445" i="57"/>
  <c r="AC1445" i="57"/>
  <c r="AC1446" i="57"/>
  <c r="AB1447" i="57"/>
  <c r="AC1447" i="57"/>
  <c r="AB1448" i="57"/>
  <c r="AC1448" i="57"/>
  <c r="AB1449" i="57"/>
  <c r="AB1450" i="57"/>
  <c r="AC1450" i="57"/>
  <c r="AB1451" i="57"/>
  <c r="AC1451" i="57"/>
  <c r="AB1453" i="57"/>
  <c r="AC1453" i="57"/>
  <c r="AB1454" i="57"/>
  <c r="AC1454" i="57"/>
  <c r="AB1455" i="57"/>
  <c r="AB1456" i="57"/>
  <c r="AC1457" i="57"/>
  <c r="AB1459" i="57"/>
  <c r="AC1459" i="57"/>
  <c r="AC1460" i="57"/>
  <c r="AB1461" i="57"/>
  <c r="AC1461" i="57"/>
  <c r="AB1462" i="57"/>
  <c r="AC1462" i="57"/>
  <c r="AB1463" i="57"/>
  <c r="AB1464" i="57"/>
  <c r="AC1464" i="57"/>
  <c r="AC1465" i="57"/>
  <c r="AB1466" i="57"/>
  <c r="AC1466" i="57"/>
  <c r="AB1467" i="57"/>
  <c r="AC1467" i="57"/>
  <c r="AB1468" i="57"/>
  <c r="AC1468" i="57"/>
  <c r="AB1469" i="57"/>
  <c r="AC1469" i="57"/>
  <c r="AB1470" i="57"/>
  <c r="AC1470" i="57"/>
  <c r="AB1471" i="57"/>
  <c r="AC1471" i="57"/>
  <c r="AB1472" i="57"/>
  <c r="AC1472" i="57"/>
  <c r="AB1473" i="57"/>
  <c r="AC1473" i="57"/>
  <c r="AB1474" i="57"/>
  <c r="AC1474" i="57"/>
  <c r="AB1475" i="57"/>
  <c r="AC1475" i="57"/>
  <c r="AB1476" i="57"/>
  <c r="AC1476" i="57"/>
  <c r="AB1477" i="57"/>
  <c r="AC1477" i="57"/>
  <c r="AB1478" i="57"/>
  <c r="AC1478" i="57"/>
  <c r="AB1479" i="57"/>
  <c r="AC1479" i="57"/>
  <c r="AB1480" i="57"/>
  <c r="AC1480" i="57"/>
  <c r="AB1481" i="57"/>
  <c r="AC1481" i="57"/>
  <c r="AB1482" i="57"/>
  <c r="AC1482" i="57"/>
  <c r="AB1483" i="57"/>
  <c r="AC1483" i="57"/>
  <c r="AB1484" i="57"/>
  <c r="AC1484" i="57"/>
  <c r="AB1485" i="57"/>
  <c r="AC1485" i="57"/>
  <c r="AB1486" i="57"/>
  <c r="AC1486" i="57"/>
  <c r="AB1487" i="57"/>
  <c r="AC1487" i="57"/>
  <c r="AB1488" i="57"/>
  <c r="AC1488" i="57"/>
  <c r="AB1489" i="57"/>
  <c r="AC1489" i="57"/>
  <c r="AB1490" i="57"/>
  <c r="AC1490" i="57"/>
  <c r="AB1491" i="57"/>
  <c r="AC1491" i="57"/>
  <c r="AB1492" i="57"/>
  <c r="AC1492" i="57"/>
  <c r="AB1493" i="57"/>
  <c r="AC1493" i="57"/>
  <c r="AB1494" i="57"/>
  <c r="AC1494" i="57"/>
  <c r="AB1495" i="57"/>
  <c r="AC1495" i="57"/>
  <c r="AB1496" i="57"/>
  <c r="AC1496" i="57"/>
  <c r="AB1497" i="57"/>
  <c r="AC1497" i="57"/>
  <c r="AB1498" i="57"/>
  <c r="AC1498" i="57"/>
  <c r="AB1499" i="57"/>
  <c r="AC1499" i="57"/>
  <c r="AB1500" i="57"/>
  <c r="AC1500" i="57"/>
  <c r="AB1501" i="57"/>
  <c r="AC1501" i="57"/>
  <c r="AB1502" i="57"/>
  <c r="AC1502" i="57"/>
  <c r="AB1503" i="57"/>
  <c r="AC1503" i="57"/>
  <c r="AB1504" i="57"/>
  <c r="AC1504" i="57"/>
  <c r="AB1505" i="57"/>
  <c r="AC1505" i="57"/>
  <c r="AB1506" i="57"/>
  <c r="AC1506" i="57"/>
  <c r="AB1507" i="57"/>
  <c r="AC1507" i="57"/>
  <c r="AB1508" i="57"/>
  <c r="AC1508" i="57"/>
  <c r="AB1509" i="57"/>
  <c r="AC1509" i="57"/>
  <c r="AB1510" i="57"/>
  <c r="AC1510" i="57"/>
  <c r="AB1511" i="57"/>
  <c r="AC1511" i="57"/>
  <c r="AB1512" i="57"/>
  <c r="AC1512" i="57"/>
  <c r="AB1513" i="57"/>
  <c r="AC1513" i="57"/>
  <c r="AC1442" i="57"/>
  <c r="AB1442" i="57"/>
  <c r="AC1441" i="57"/>
  <c r="AB1441" i="57"/>
  <c r="AC1440" i="57"/>
  <c r="AB1440" i="57"/>
  <c r="AB1358" i="57"/>
  <c r="AC1358" i="57"/>
  <c r="AB1360" i="57"/>
  <c r="AC1360" i="57"/>
  <c r="AB1361" i="57"/>
  <c r="AC1361" i="57"/>
  <c r="AB1362" i="57"/>
  <c r="AC1362" i="57"/>
  <c r="AB1363" i="57"/>
  <c r="AB1364" i="57"/>
  <c r="AC1364" i="57"/>
  <c r="AB1365" i="57"/>
  <c r="AC1365" i="57"/>
  <c r="AB1366" i="57"/>
  <c r="AC1366" i="57"/>
  <c r="AB1367" i="57"/>
  <c r="AB1368" i="57"/>
  <c r="AC1368" i="57"/>
  <c r="AB1369" i="57"/>
  <c r="AC1369" i="57"/>
  <c r="AB1370" i="57"/>
  <c r="AC1370" i="57"/>
  <c r="AB1371" i="57"/>
  <c r="AB1372" i="57"/>
  <c r="AC1372" i="57"/>
  <c r="AB1373" i="57"/>
  <c r="AC1373" i="57"/>
  <c r="AB1374" i="57"/>
  <c r="AC1374" i="57"/>
  <c r="AB1375" i="57"/>
  <c r="AB1376" i="57"/>
  <c r="AC1376" i="57"/>
  <c r="AB1377" i="57"/>
  <c r="AC1377" i="57"/>
  <c r="AB1378" i="57"/>
  <c r="AC1378" i="57"/>
  <c r="AB1379" i="57"/>
  <c r="AB1380" i="57"/>
  <c r="AC1380" i="57"/>
  <c r="AB1381" i="57"/>
  <c r="AC1381" i="57"/>
  <c r="AB1382" i="57"/>
  <c r="AC1382" i="57"/>
  <c r="AB1383" i="57"/>
  <c r="AB1384" i="57"/>
  <c r="AC1384" i="57"/>
  <c r="AB1385" i="57"/>
  <c r="AC1385" i="57"/>
  <c r="AB1386" i="57"/>
  <c r="AC1386" i="57"/>
  <c r="AB1387" i="57"/>
  <c r="AB1388" i="57"/>
  <c r="AC1388" i="57"/>
  <c r="AB1389" i="57"/>
  <c r="AC1389" i="57"/>
  <c r="AB1390" i="57"/>
  <c r="AC1390" i="57"/>
  <c r="AB1391" i="57"/>
  <c r="AB1392" i="57"/>
  <c r="AC1392" i="57"/>
  <c r="AB1393" i="57"/>
  <c r="AC1393" i="57"/>
  <c r="AB1394" i="57"/>
  <c r="AC1394" i="57"/>
  <c r="AB1395" i="57"/>
  <c r="AB1396" i="57"/>
  <c r="AC1396" i="57"/>
  <c r="AB1397" i="57"/>
  <c r="AC1397" i="57"/>
  <c r="AB1398" i="57"/>
  <c r="AC1398" i="57"/>
  <c r="AB1399" i="57"/>
  <c r="AB1400" i="57"/>
  <c r="AC1400" i="57"/>
  <c r="AB1401" i="57"/>
  <c r="AC1401" i="57"/>
  <c r="AB1402" i="57"/>
  <c r="AC1402" i="57"/>
  <c r="AB1403" i="57"/>
  <c r="AB1404" i="57"/>
  <c r="AC1404" i="57"/>
  <c r="AB1405" i="57"/>
  <c r="AC1405" i="57"/>
  <c r="AB1406" i="57"/>
  <c r="AC1406" i="57"/>
  <c r="AB1407" i="57"/>
  <c r="AB1408" i="57"/>
  <c r="AC1408" i="57"/>
  <c r="AB1409" i="57"/>
  <c r="AC1409" i="57"/>
  <c r="AB1410" i="57"/>
  <c r="AC1410" i="57"/>
  <c r="AB1411" i="57"/>
  <c r="AB1412" i="57"/>
  <c r="AC1412" i="57"/>
  <c r="AB1413" i="57"/>
  <c r="AC1413" i="57"/>
  <c r="AB1414" i="57"/>
  <c r="AC1414" i="57"/>
  <c r="AB1415" i="57"/>
  <c r="AB1416" i="57"/>
  <c r="AC1416" i="57"/>
  <c r="AB1417" i="57"/>
  <c r="AC1417" i="57"/>
  <c r="AB1418" i="57"/>
  <c r="AC1418" i="57"/>
  <c r="AB1419" i="57"/>
  <c r="AB1420" i="57"/>
  <c r="AC1420" i="57"/>
  <c r="AB1421" i="57"/>
  <c r="AC1421" i="57"/>
  <c r="AB1422" i="57"/>
  <c r="AC1422" i="57"/>
  <c r="AB1423" i="57"/>
  <c r="AB1424" i="57"/>
  <c r="AC1424" i="57"/>
  <c r="AB1425" i="57"/>
  <c r="AC1425" i="57"/>
  <c r="AB1426" i="57"/>
  <c r="AC1426" i="57"/>
  <c r="AB1427" i="57"/>
  <c r="AB1428" i="57"/>
  <c r="AC1428" i="57"/>
  <c r="AB1429" i="57"/>
  <c r="AC1429" i="57"/>
  <c r="AB1430" i="57"/>
  <c r="AC1430" i="57"/>
  <c r="AB1431" i="57"/>
  <c r="AC1431" i="57"/>
  <c r="AB1432" i="57"/>
  <c r="AC1432" i="57"/>
  <c r="AB1433" i="57"/>
  <c r="AC1433" i="57"/>
  <c r="AB1434" i="57"/>
  <c r="AC1434" i="57"/>
  <c r="AB1435" i="57"/>
  <c r="AC1435" i="57"/>
  <c r="AB1436" i="57"/>
  <c r="AC1436" i="57"/>
  <c r="AB1437" i="57"/>
  <c r="AC1437" i="57"/>
  <c r="AC1357" i="57"/>
  <c r="AB1357" i="57"/>
  <c r="AB1313" i="57"/>
  <c r="AC1313" i="57"/>
  <c r="AB1314" i="57"/>
  <c r="AB1315" i="57"/>
  <c r="AC1315" i="57"/>
  <c r="AB1316" i="57"/>
  <c r="AC1316" i="57"/>
  <c r="AB1317" i="57"/>
  <c r="AC1317" i="57"/>
  <c r="AB1318" i="57"/>
  <c r="AB1319" i="57"/>
  <c r="AC1319" i="57"/>
  <c r="AC1320" i="57"/>
  <c r="AB1321" i="57"/>
  <c r="AC1321" i="57"/>
  <c r="AB1322" i="57"/>
  <c r="AC1322" i="57"/>
  <c r="AB1323" i="57"/>
  <c r="AC1323" i="57"/>
  <c r="AC1324" i="57"/>
  <c r="AB1325" i="57"/>
  <c r="AC1325" i="57"/>
  <c r="AB1326" i="57"/>
  <c r="AC1326" i="57"/>
  <c r="AB1327" i="57"/>
  <c r="AC1327" i="57"/>
  <c r="AC1328" i="57"/>
  <c r="AB1329" i="57"/>
  <c r="AC1329" i="57"/>
  <c r="AB1330" i="57"/>
  <c r="AC1330" i="57"/>
  <c r="AB1331" i="57"/>
  <c r="AC1331" i="57"/>
  <c r="AB1333" i="57"/>
  <c r="AC1333" i="57"/>
  <c r="AB1334" i="57"/>
  <c r="AC1334" i="57"/>
  <c r="AB1335" i="57"/>
  <c r="AC1335" i="57"/>
  <c r="AC1336" i="57"/>
  <c r="AB1337" i="57"/>
  <c r="AC1337" i="57"/>
  <c r="AB1338" i="57"/>
  <c r="AC1338" i="57"/>
  <c r="AB1339" i="57"/>
  <c r="AC1339" i="57"/>
  <c r="AC1340" i="57"/>
  <c r="AB1341" i="57"/>
  <c r="AB1342" i="57"/>
  <c r="AC1342" i="57"/>
  <c r="AB1343" i="57"/>
  <c r="AC1343" i="57"/>
  <c r="AC1344" i="57"/>
  <c r="AB1345" i="57"/>
  <c r="AC1345" i="57"/>
  <c r="AB1346" i="57"/>
  <c r="AC1346" i="57"/>
  <c r="AB1348" i="57"/>
  <c r="AC1348" i="57"/>
  <c r="AB1349" i="57"/>
  <c r="AC1349" i="57"/>
  <c r="AB1350" i="57"/>
  <c r="AC1350" i="57"/>
  <c r="AB1351" i="57"/>
  <c r="AC1351" i="57"/>
  <c r="AB1352" i="57"/>
  <c r="AC1352" i="57"/>
  <c r="AC1353" i="57"/>
  <c r="AB1354" i="57"/>
  <c r="AC1354" i="57"/>
  <c r="AB1355" i="57"/>
  <c r="AB1356" i="57"/>
  <c r="AC1356" i="57"/>
  <c r="AC1312" i="57"/>
  <c r="AB1312" i="57"/>
  <c r="AC1311" i="57"/>
  <c r="AB1311" i="57"/>
  <c r="AC1310" i="57"/>
  <c r="AB1310" i="57"/>
  <c r="AC1309" i="57"/>
  <c r="AB1309" i="57"/>
  <c r="AC1308" i="57"/>
  <c r="AB1308" i="57"/>
  <c r="AB1268" i="57"/>
  <c r="AC1268" i="57"/>
  <c r="AB1269" i="57"/>
  <c r="AC1269" i="57"/>
  <c r="AB1271" i="57"/>
  <c r="AC1271" i="57"/>
  <c r="AB1272" i="57"/>
  <c r="AC1272" i="57"/>
  <c r="AB1273" i="57"/>
  <c r="AC1273" i="57"/>
  <c r="AB1274" i="57"/>
  <c r="AB1275" i="57"/>
  <c r="AC1275" i="57"/>
  <c r="AB1276" i="57"/>
  <c r="AC1276" i="57"/>
  <c r="AB1277" i="57"/>
  <c r="AC1277" i="57"/>
  <c r="AB1278" i="57"/>
  <c r="AB1279" i="57"/>
  <c r="AC1279" i="57"/>
  <c r="AB1280" i="57"/>
  <c r="AC1280" i="57"/>
  <c r="AB1281" i="57"/>
  <c r="AC1281" i="57"/>
  <c r="AB1282" i="57"/>
  <c r="AC1282" i="57"/>
  <c r="AB1283" i="57"/>
  <c r="AC1283" i="57"/>
  <c r="AC1284" i="57"/>
  <c r="AB1285" i="57"/>
  <c r="AC1285" i="57"/>
  <c r="AB1286" i="57"/>
  <c r="AC1286" i="57"/>
  <c r="AB1287" i="57"/>
  <c r="AC1287" i="57"/>
  <c r="AB1288" i="57"/>
  <c r="AC1288" i="57"/>
  <c r="AB1289" i="57"/>
  <c r="AC1289" i="57"/>
  <c r="AB1290" i="57"/>
  <c r="AC1290" i="57"/>
  <c r="AB1291" i="57"/>
  <c r="AC1291" i="57"/>
  <c r="AC1292" i="57"/>
  <c r="AB1293" i="57"/>
  <c r="AC1293" i="57"/>
  <c r="AB1294" i="57"/>
  <c r="AC1294" i="57"/>
  <c r="AB1295" i="57"/>
  <c r="AC1296" i="57"/>
  <c r="AB1297" i="57"/>
  <c r="AC1297" i="57"/>
  <c r="AB1298" i="57"/>
  <c r="AC1298" i="57"/>
  <c r="AB1299" i="57"/>
  <c r="AC1299" i="57"/>
  <c r="AB1301" i="57"/>
  <c r="AC1301" i="57"/>
  <c r="AB1302" i="57"/>
  <c r="AC1302" i="57"/>
  <c r="AB1303" i="57"/>
  <c r="AC1303" i="57"/>
  <c r="AC1304" i="57"/>
  <c r="AB1305" i="57"/>
  <c r="AC1305" i="57"/>
  <c r="AC1267" i="57"/>
  <c r="AB1266" i="57"/>
  <c r="AB1232" i="57"/>
  <c r="AC1232" i="57"/>
  <c r="AC1233" i="57"/>
  <c r="AB1234" i="57"/>
  <c r="AC1234" i="57"/>
  <c r="AB1235" i="57"/>
  <c r="AC1235" i="57"/>
  <c r="AB1236" i="57"/>
  <c r="AC1236" i="57"/>
  <c r="AC1237" i="57"/>
  <c r="AB1238" i="57"/>
  <c r="AC1238" i="57"/>
  <c r="AB1239" i="57"/>
  <c r="AC1239" i="57"/>
  <c r="AB1240" i="57"/>
  <c r="AC1240" i="57"/>
  <c r="AC1241" i="57"/>
  <c r="AB1242" i="57"/>
  <c r="AC1242" i="57"/>
  <c r="AB1243" i="57"/>
  <c r="AC1243" i="57"/>
  <c r="AB1244" i="57"/>
  <c r="AC1244" i="57"/>
  <c r="AB1245" i="57"/>
  <c r="AC1245" i="57"/>
  <c r="AB1246" i="57"/>
  <c r="AC1246" i="57"/>
  <c r="AB1247" i="57"/>
  <c r="AB1248" i="57"/>
  <c r="AC1248" i="57"/>
  <c r="AC1249" i="57"/>
  <c r="AB1250" i="57"/>
  <c r="AC1250" i="57"/>
  <c r="AB1251" i="57"/>
  <c r="AC1251" i="57"/>
  <c r="AB1252" i="57"/>
  <c r="AC1252" i="57"/>
  <c r="AC1253" i="57"/>
  <c r="AB1254" i="57"/>
  <c r="AC1254" i="57"/>
  <c r="AB1255" i="57"/>
  <c r="AC1255" i="57"/>
  <c r="AB1256" i="57"/>
  <c r="AC1257" i="57"/>
  <c r="AB1258" i="57"/>
  <c r="AC1258" i="57"/>
  <c r="AB1259" i="57"/>
  <c r="AC1259" i="57"/>
  <c r="AB1260" i="57"/>
  <c r="AC1260" i="57"/>
  <c r="AB1261" i="57"/>
  <c r="AC1261" i="57"/>
  <c r="AB1262" i="57"/>
  <c r="AC1262" i="57"/>
  <c r="AB1263" i="57"/>
  <c r="AC1263" i="57"/>
  <c r="AC1231" i="57"/>
  <c r="AB1231" i="57"/>
  <c r="AC1230" i="57"/>
  <c r="AB1230" i="57"/>
  <c r="AC1228" i="57"/>
  <c r="AB1025" i="57"/>
  <c r="AB1026" i="57"/>
  <c r="AC1026" i="57"/>
  <c r="AB1027" i="57"/>
  <c r="AB1029" i="57"/>
  <c r="AC1029" i="57"/>
  <c r="AB1030" i="57"/>
  <c r="AC1030" i="57"/>
  <c r="AB1031" i="57"/>
  <c r="AC1031" i="57"/>
  <c r="AB1032" i="57"/>
  <c r="AC1032" i="57"/>
  <c r="AC1033" i="57"/>
  <c r="AB1034" i="57"/>
  <c r="AC1034" i="57"/>
  <c r="AB1035" i="57"/>
  <c r="AC1035" i="57"/>
  <c r="AB1036" i="57"/>
  <c r="AC1036" i="57"/>
  <c r="AB1038" i="57"/>
  <c r="AB1039" i="57"/>
  <c r="AC1039" i="57"/>
  <c r="AC1040" i="57"/>
  <c r="AB1041" i="57"/>
  <c r="AC1041" i="57"/>
  <c r="AB1042" i="57"/>
  <c r="AC1042" i="57"/>
  <c r="AB1043" i="57"/>
  <c r="AC1044" i="57"/>
  <c r="AB1045" i="57"/>
  <c r="AB1046" i="57"/>
  <c r="AC1046" i="57"/>
  <c r="AB1047" i="57"/>
  <c r="AB1050" i="57"/>
  <c r="AB1051" i="57"/>
  <c r="AC1051" i="57"/>
  <c r="AC1052" i="57"/>
  <c r="AB1053" i="57"/>
  <c r="AB1054" i="57"/>
  <c r="AC1054" i="57"/>
  <c r="AB1055" i="57"/>
  <c r="AC1055" i="57"/>
  <c r="AB1056" i="57"/>
  <c r="AC1056" i="57"/>
  <c r="AB1057" i="57"/>
  <c r="AC1057" i="57"/>
  <c r="AB1058" i="57"/>
  <c r="AC1058" i="57"/>
  <c r="AB1059" i="57"/>
  <c r="AC1059" i="57"/>
  <c r="AB1060" i="57"/>
  <c r="AC1060" i="57"/>
  <c r="AB1061" i="57"/>
  <c r="AC1061" i="57"/>
  <c r="AB1062" i="57"/>
  <c r="AC1062" i="57"/>
  <c r="AB1063" i="57"/>
  <c r="AC1063" i="57"/>
  <c r="AB1064" i="57"/>
  <c r="AC1064" i="57"/>
  <c r="AB1065" i="57"/>
  <c r="AC1065" i="57"/>
  <c r="AB1066" i="57"/>
  <c r="AC1066" i="57"/>
  <c r="AB1067" i="57"/>
  <c r="AC1067" i="57"/>
  <c r="AB1068" i="57"/>
  <c r="AC1068" i="57"/>
  <c r="AB1069" i="57"/>
  <c r="AB1070" i="57"/>
  <c r="AC1070" i="57"/>
  <c r="AB1071" i="57"/>
  <c r="AC1071" i="57"/>
  <c r="AB1072" i="57"/>
  <c r="AC1072" i="57"/>
  <c r="AB1073" i="57"/>
  <c r="AB1074" i="57"/>
  <c r="AC1074" i="57"/>
  <c r="AB1075" i="57"/>
  <c r="AC1075" i="57"/>
  <c r="AB1076" i="57"/>
  <c r="AC1076" i="57"/>
  <c r="AB1077" i="57"/>
  <c r="AB1078" i="57"/>
  <c r="AC1078" i="57"/>
  <c r="AB1079" i="57"/>
  <c r="AC1079" i="57"/>
  <c r="AB1080" i="57"/>
  <c r="AC1080" i="57"/>
  <c r="AB1081" i="57"/>
  <c r="AC1081" i="57"/>
  <c r="AB1082" i="57"/>
  <c r="AC1082" i="57"/>
  <c r="AB1083" i="57"/>
  <c r="AC1083" i="57"/>
  <c r="AB1084" i="57"/>
  <c r="AC1084" i="57"/>
  <c r="AB1085" i="57"/>
  <c r="AC1085" i="57"/>
  <c r="AB1086" i="57"/>
  <c r="AC1086" i="57"/>
  <c r="AB1087" i="57"/>
  <c r="AC1087" i="57"/>
  <c r="AB1088" i="57"/>
  <c r="AC1088" i="57"/>
  <c r="AB1089" i="57"/>
  <c r="AB1090" i="57"/>
  <c r="AC1090" i="57"/>
  <c r="AB1091" i="57"/>
  <c r="AC1091" i="57"/>
  <c r="AB1092" i="57"/>
  <c r="AC1092" i="57"/>
  <c r="AB1093" i="57"/>
  <c r="AB1094" i="57"/>
  <c r="AC1094" i="57"/>
  <c r="AB1095" i="57"/>
  <c r="AC1095" i="57"/>
  <c r="AB1096" i="57"/>
  <c r="AC1096" i="57"/>
  <c r="AB1097" i="57"/>
  <c r="AB1098" i="57"/>
  <c r="AC1098" i="57"/>
  <c r="AB1099" i="57"/>
  <c r="AC1099" i="57"/>
  <c r="AB1100" i="57"/>
  <c r="AC1100" i="57"/>
  <c r="AB1101" i="57"/>
  <c r="AB1102" i="57"/>
  <c r="AC1102" i="57"/>
  <c r="AB1103" i="57"/>
  <c r="AC1103" i="57"/>
  <c r="AB1104" i="57"/>
  <c r="AC1104" i="57"/>
  <c r="AB1105" i="57"/>
  <c r="AB1106" i="57"/>
  <c r="AC1106" i="57"/>
  <c r="AB1107" i="57"/>
  <c r="AC1107" i="57"/>
  <c r="AB1108" i="57"/>
  <c r="AC1108" i="57"/>
  <c r="AB1109" i="57"/>
  <c r="AC1109" i="57"/>
  <c r="AB1110" i="57"/>
  <c r="AC1110" i="57"/>
  <c r="AB1111" i="57"/>
  <c r="AC1111" i="57"/>
  <c r="AB1112" i="57"/>
  <c r="AC1112" i="57"/>
  <c r="AB1113" i="57"/>
  <c r="AC1113" i="57"/>
  <c r="AB1114" i="57"/>
  <c r="AC1114" i="57"/>
  <c r="AB1115" i="57"/>
  <c r="AC1115" i="57"/>
  <c r="AB1116" i="57"/>
  <c r="AC1116" i="57"/>
  <c r="AB1117" i="57"/>
  <c r="AB1118" i="57"/>
  <c r="AC1118" i="57"/>
  <c r="AB1119" i="57"/>
  <c r="AC1119" i="57"/>
  <c r="AB1120" i="57"/>
  <c r="AC1120" i="57"/>
  <c r="AB1121" i="57"/>
  <c r="AB1122" i="57"/>
  <c r="AC1122" i="57"/>
  <c r="AB1123" i="57"/>
  <c r="AC1123" i="57"/>
  <c r="AB1124" i="57"/>
  <c r="AC1124" i="57"/>
  <c r="AB1125" i="57"/>
  <c r="AB1126" i="57"/>
  <c r="AC1126" i="57"/>
  <c r="AB1127" i="57"/>
  <c r="AC1127" i="57"/>
  <c r="AB1128" i="57"/>
  <c r="AC1128" i="57"/>
  <c r="AB1129" i="57"/>
  <c r="AB1130" i="57"/>
  <c r="AC1130" i="57"/>
  <c r="AB1131" i="57"/>
  <c r="AC1131" i="57"/>
  <c r="AB1132" i="57"/>
  <c r="AC1132" i="57"/>
  <c r="AB1133" i="57"/>
  <c r="AB1134" i="57"/>
  <c r="AC1134" i="57"/>
  <c r="AB1136" i="57"/>
  <c r="AC1136" i="57"/>
  <c r="AB1137" i="57"/>
  <c r="AC1137" i="57"/>
  <c r="AB1138" i="57"/>
  <c r="AC1138" i="57"/>
  <c r="AB1139" i="57"/>
  <c r="AC1139" i="57"/>
  <c r="AB1140" i="57"/>
  <c r="AC1140" i="57"/>
  <c r="AB1141" i="57"/>
  <c r="AC1141" i="57"/>
  <c r="AB1142" i="57"/>
  <c r="AC1142" i="57"/>
  <c r="AB1143" i="57"/>
  <c r="AC1143" i="57"/>
  <c r="AB1144" i="57"/>
  <c r="AC1144" i="57"/>
  <c r="AB1145" i="57"/>
  <c r="AC1145" i="57"/>
  <c r="AB1146" i="57"/>
  <c r="AB1147" i="57"/>
  <c r="AC1147" i="57"/>
  <c r="AB1148" i="57"/>
  <c r="AC1148" i="57"/>
  <c r="AB1149" i="57"/>
  <c r="AC1149" i="57"/>
  <c r="AB1150" i="57"/>
  <c r="AB1151" i="57"/>
  <c r="AC1151" i="57"/>
  <c r="AB1152" i="57"/>
  <c r="AC1152" i="57"/>
  <c r="AB1153" i="57"/>
  <c r="AC1153" i="57"/>
  <c r="AB1154" i="57"/>
  <c r="AB1155" i="57"/>
  <c r="AC1155" i="57"/>
  <c r="AB1156" i="57"/>
  <c r="AC1156" i="57"/>
  <c r="AB1157" i="57"/>
  <c r="AC1157" i="57"/>
  <c r="AB1158" i="57"/>
  <c r="AB1159" i="57"/>
  <c r="AC1159" i="57"/>
  <c r="AB1160" i="57"/>
  <c r="AC1160" i="57"/>
  <c r="AB1161" i="57"/>
  <c r="AC1161" i="57"/>
  <c r="AB1162" i="57"/>
  <c r="AC1162" i="57"/>
  <c r="AB1163" i="57"/>
  <c r="AC1163" i="57"/>
  <c r="AB1164" i="57"/>
  <c r="AC1164" i="57"/>
  <c r="AB1165" i="57"/>
  <c r="AC1165" i="57"/>
  <c r="AB1166" i="57"/>
  <c r="AB1167" i="57"/>
  <c r="AC1167" i="57"/>
  <c r="AB1168" i="57"/>
  <c r="AC1168" i="57"/>
  <c r="AB1169" i="57"/>
  <c r="AC1169" i="57"/>
  <c r="AB1170" i="57"/>
  <c r="AB1171" i="57"/>
  <c r="AC1171" i="57"/>
  <c r="AB1172" i="57"/>
  <c r="AC1172" i="57"/>
  <c r="AB1173" i="57"/>
  <c r="AC1173" i="57"/>
  <c r="AB1174" i="57"/>
  <c r="AB1175" i="57"/>
  <c r="AC1175" i="57"/>
  <c r="AB1176" i="57"/>
  <c r="AC1176" i="57"/>
  <c r="AB1177" i="57"/>
  <c r="AC1177" i="57"/>
  <c r="AB1178" i="57"/>
  <c r="AB1179" i="57"/>
  <c r="AC1179" i="57"/>
  <c r="AB1180" i="57"/>
  <c r="AC1180" i="57"/>
  <c r="AB1181" i="57"/>
  <c r="AC1181" i="57"/>
  <c r="AB1182" i="57"/>
  <c r="AC1182" i="57"/>
  <c r="AB1183" i="57"/>
  <c r="AC1183" i="57"/>
  <c r="AB1184" i="57"/>
  <c r="AC1184" i="57"/>
  <c r="AB1185" i="57"/>
  <c r="AC1185" i="57"/>
  <c r="AB1186" i="57"/>
  <c r="AC1186" i="57"/>
  <c r="AB1187" i="57"/>
  <c r="AC1187" i="57"/>
  <c r="AB1188" i="57"/>
  <c r="AC1188" i="57"/>
  <c r="AB1189" i="57"/>
  <c r="AC1189" i="57"/>
  <c r="AB1190" i="57"/>
  <c r="AC1190" i="57"/>
  <c r="AB1191" i="57"/>
  <c r="AC1191" i="57"/>
  <c r="AB1192" i="57"/>
  <c r="AC1192" i="57"/>
  <c r="AB1193" i="57"/>
  <c r="AC1193" i="57"/>
  <c r="AB1194" i="57"/>
  <c r="AC1194" i="57"/>
  <c r="AB1195" i="57"/>
  <c r="AC1195" i="57"/>
  <c r="AB1196" i="57"/>
  <c r="AC1196" i="57"/>
  <c r="AB1197" i="57"/>
  <c r="AC1197" i="57"/>
  <c r="AB1198" i="57"/>
  <c r="AC1198" i="57"/>
  <c r="AB1199" i="57"/>
  <c r="AC1199" i="57"/>
  <c r="AB1200" i="57"/>
  <c r="AC1200" i="57"/>
  <c r="AB1201" i="57"/>
  <c r="AC1201" i="57"/>
  <c r="AB1202" i="57"/>
  <c r="AC1202" i="57"/>
  <c r="AB1203" i="57"/>
  <c r="AC1203" i="57"/>
  <c r="AB1204" i="57"/>
  <c r="AC1204" i="57"/>
  <c r="AB1205" i="57"/>
  <c r="AC1205" i="57"/>
  <c r="AB1206" i="57"/>
  <c r="AC1206" i="57"/>
  <c r="AB1207" i="57"/>
  <c r="AC1207" i="57"/>
  <c r="AB1208" i="57"/>
  <c r="AC1208" i="57"/>
  <c r="AB1209" i="57"/>
  <c r="AC1209" i="57"/>
  <c r="AB1210" i="57"/>
  <c r="AC1210" i="57"/>
  <c r="AB1211" i="57"/>
  <c r="AC1211" i="57"/>
  <c r="AB1212" i="57"/>
  <c r="AC1212" i="57"/>
  <c r="AB1213" i="57"/>
  <c r="AC1213" i="57"/>
  <c r="AB1214" i="57"/>
  <c r="AC1214" i="57"/>
  <c r="AB1215" i="57"/>
  <c r="AC1215" i="57"/>
  <c r="AB1216" i="57"/>
  <c r="AC1216" i="57"/>
  <c r="AB1217" i="57"/>
  <c r="AC1217" i="57"/>
  <c r="AB1218" i="57"/>
  <c r="AC1218" i="57"/>
  <c r="AB1219" i="57"/>
  <c r="AC1219" i="57"/>
  <c r="AB1220" i="57"/>
  <c r="AC1220" i="57"/>
  <c r="AB1221" i="57"/>
  <c r="AC1221" i="57"/>
  <c r="AB1222" i="57"/>
  <c r="AC1222" i="57"/>
  <c r="AB1223" i="57"/>
  <c r="AC1223" i="57"/>
  <c r="AB1224" i="57"/>
  <c r="AC1224" i="57"/>
  <c r="AB1225" i="57"/>
  <c r="AC1225" i="57"/>
  <c r="AC1023" i="57"/>
  <c r="AB1023" i="57"/>
  <c r="AC1022" i="57"/>
  <c r="AB1022" i="57"/>
  <c r="AC1020" i="57"/>
  <c r="AB1020" i="57"/>
  <c r="AC1019" i="57"/>
  <c r="AB1019" i="57"/>
  <c r="AB936" i="57"/>
  <c r="AC936" i="57"/>
  <c r="AB938" i="57"/>
  <c r="AC938" i="57"/>
  <c r="AB939" i="57"/>
  <c r="AB940" i="57"/>
  <c r="AC940" i="57"/>
  <c r="AC941" i="57"/>
  <c r="AB942" i="57"/>
  <c r="AC942" i="57"/>
  <c r="AB943" i="57"/>
  <c r="AC943" i="57"/>
  <c r="AB944" i="57"/>
  <c r="AC944" i="57"/>
  <c r="AB945" i="57"/>
  <c r="AC945" i="57"/>
  <c r="AB946" i="57"/>
  <c r="AC946" i="57"/>
  <c r="AB947" i="57"/>
  <c r="AC947" i="57"/>
  <c r="AB948" i="57"/>
  <c r="AC948" i="57"/>
  <c r="AB949" i="57"/>
  <c r="AC949" i="57"/>
  <c r="AB950" i="57"/>
  <c r="AC950" i="57"/>
  <c r="AB951" i="57"/>
  <c r="AC951" i="57"/>
  <c r="AB952" i="57"/>
  <c r="AC952" i="57"/>
  <c r="AB953" i="57"/>
  <c r="AC953" i="57"/>
  <c r="AB954" i="57"/>
  <c r="AC954" i="57"/>
  <c r="AB955" i="57"/>
  <c r="AC955" i="57"/>
  <c r="AB956" i="57"/>
  <c r="AC956" i="57"/>
  <c r="AB957" i="57"/>
  <c r="AC957" i="57"/>
  <c r="AB958" i="57"/>
  <c r="AC958" i="57"/>
  <c r="AB959" i="57"/>
  <c r="AC959" i="57"/>
  <c r="AB960" i="57"/>
  <c r="AC960" i="57"/>
  <c r="AB961" i="57"/>
  <c r="AC961" i="57"/>
  <c r="AB962" i="57"/>
  <c r="AC962" i="57"/>
  <c r="AB963" i="57"/>
  <c r="AC963" i="57"/>
  <c r="AB964" i="57"/>
  <c r="AC964" i="57"/>
  <c r="AB965" i="57"/>
  <c r="AC965" i="57"/>
  <c r="AB966" i="57"/>
  <c r="AC966" i="57"/>
  <c r="AB967" i="57"/>
  <c r="AC967" i="57"/>
  <c r="AB968" i="57"/>
  <c r="AC968" i="57"/>
  <c r="AB969" i="57"/>
  <c r="AC969" i="57"/>
  <c r="AB970" i="57"/>
  <c r="AC970" i="57"/>
  <c r="AB971" i="57"/>
  <c r="AC971" i="57"/>
  <c r="AB972" i="57"/>
  <c r="AC972" i="57"/>
  <c r="AB973" i="57"/>
  <c r="AC973" i="57"/>
  <c r="AB974" i="57"/>
  <c r="AC974" i="57"/>
  <c r="AB975" i="57"/>
  <c r="AC975" i="57"/>
  <c r="AB976" i="57"/>
  <c r="AC976" i="57"/>
  <c r="AB977" i="57"/>
  <c r="AC977" i="57"/>
  <c r="AB978" i="57"/>
  <c r="AC978" i="57"/>
  <c r="AB979" i="57"/>
  <c r="AC979" i="57"/>
  <c r="AB980" i="57"/>
  <c r="AC980" i="57"/>
  <c r="AB981" i="57"/>
  <c r="AC981" i="57"/>
  <c r="AB982" i="57"/>
  <c r="AC982" i="57"/>
  <c r="AB983" i="57"/>
  <c r="AC983" i="57"/>
  <c r="AB984" i="57"/>
  <c r="AC984" i="57"/>
  <c r="AB985" i="57"/>
  <c r="AC985" i="57"/>
  <c r="AB986" i="57"/>
  <c r="AC986" i="57"/>
  <c r="AB987" i="57"/>
  <c r="AC987" i="57"/>
  <c r="AB988" i="57"/>
  <c r="AC988" i="57"/>
  <c r="AB989" i="57"/>
  <c r="AC989" i="57"/>
  <c r="AB990" i="57"/>
  <c r="AC990" i="57"/>
  <c r="AB991" i="57"/>
  <c r="AC991" i="57"/>
  <c r="AB992" i="57"/>
  <c r="AC992" i="57"/>
  <c r="AB993" i="57"/>
  <c r="AC993" i="57"/>
  <c r="AB994" i="57"/>
  <c r="AC994" i="57"/>
  <c r="AB995" i="57"/>
  <c r="AC995" i="57"/>
  <c r="AB996" i="57"/>
  <c r="AC996" i="57"/>
  <c r="AB997" i="57"/>
  <c r="AC997" i="57"/>
  <c r="AB998" i="57"/>
  <c r="AC998" i="57"/>
  <c r="AB999" i="57"/>
  <c r="AC999" i="57"/>
  <c r="AB1000" i="57"/>
  <c r="AC1000" i="57"/>
  <c r="AB1001" i="57"/>
  <c r="AC1001" i="57"/>
  <c r="AB1002" i="57"/>
  <c r="AC1002" i="57"/>
  <c r="AB1003" i="57"/>
  <c r="AC1003" i="57"/>
  <c r="AB1004" i="57"/>
  <c r="AC1004" i="57"/>
  <c r="AB1005" i="57"/>
  <c r="AC1005" i="57"/>
  <c r="AB1006" i="57"/>
  <c r="AC1006" i="57"/>
  <c r="AB1007" i="57"/>
  <c r="AC1007" i="57"/>
  <c r="AB1008" i="57"/>
  <c r="AC1008" i="57"/>
  <c r="AB1009" i="57"/>
  <c r="AC1009" i="57"/>
  <c r="AB1010" i="57"/>
  <c r="AC1010" i="57"/>
  <c r="AB1011" i="57"/>
  <c r="AC1011" i="57"/>
  <c r="AB1012" i="57"/>
  <c r="AC1012" i="57"/>
  <c r="AB1013" i="57"/>
  <c r="AC1013" i="57"/>
  <c r="AB1014" i="57"/>
  <c r="AC1014" i="57"/>
  <c r="AB1015" i="57"/>
  <c r="AC1015" i="57"/>
  <c r="AB1016" i="57"/>
  <c r="AC1016" i="57"/>
  <c r="AC935" i="57"/>
  <c r="AB935" i="57"/>
  <c r="AB933" i="57"/>
  <c r="AC932" i="57"/>
  <c r="AB932" i="57"/>
  <c r="AC931" i="57"/>
  <c r="AB931" i="57"/>
  <c r="AC930" i="57"/>
  <c r="AB814" i="57"/>
  <c r="AB815" i="57"/>
  <c r="AC815" i="57"/>
  <c r="AB816" i="57"/>
  <c r="AC816" i="57"/>
  <c r="AB817" i="57"/>
  <c r="AC817" i="57"/>
  <c r="AB818" i="57"/>
  <c r="AB819" i="57"/>
  <c r="AC819" i="57"/>
  <c r="AB821" i="57"/>
  <c r="AC821" i="57"/>
  <c r="AB822" i="57"/>
  <c r="AC822" i="57"/>
  <c r="AB823" i="57"/>
  <c r="AC823" i="57"/>
  <c r="AB824" i="57"/>
  <c r="AC824" i="57"/>
  <c r="AB825" i="57"/>
  <c r="AC825" i="57"/>
  <c r="AB826" i="57"/>
  <c r="AC826" i="57"/>
  <c r="AB827" i="57"/>
  <c r="AC827" i="57"/>
  <c r="AB828" i="57"/>
  <c r="AC828" i="57"/>
  <c r="AB829" i="57"/>
  <c r="AC829" i="57"/>
  <c r="AB830" i="57"/>
  <c r="AC830" i="57"/>
  <c r="AB831" i="57"/>
  <c r="AC831" i="57"/>
  <c r="AB832" i="57"/>
  <c r="AC832" i="57"/>
  <c r="AB833" i="57"/>
  <c r="AC833" i="57"/>
  <c r="AB834" i="57"/>
  <c r="AC834" i="57"/>
  <c r="AB835" i="57"/>
  <c r="AC835" i="57"/>
  <c r="AB836" i="57"/>
  <c r="AC836" i="57"/>
  <c r="AB837" i="57"/>
  <c r="AC837" i="57"/>
  <c r="AB838" i="57"/>
  <c r="AC838" i="57"/>
  <c r="AB839" i="57"/>
  <c r="AC839" i="57"/>
  <c r="AB840" i="57"/>
  <c r="AC840" i="57"/>
  <c r="AB841" i="57"/>
  <c r="AC841" i="57"/>
  <c r="AB842" i="57"/>
  <c r="AC842" i="57"/>
  <c r="AB843" i="57"/>
  <c r="AC843" i="57"/>
  <c r="AB844" i="57"/>
  <c r="AC844" i="57"/>
  <c r="AB845" i="57"/>
  <c r="AC845" i="57"/>
  <c r="AB846" i="57"/>
  <c r="AC846" i="57"/>
  <c r="AB847" i="57"/>
  <c r="AC847" i="57"/>
  <c r="AB848" i="57"/>
  <c r="AC848" i="57"/>
  <c r="AB849" i="57"/>
  <c r="AC849" i="57"/>
  <c r="AB850" i="57"/>
  <c r="AC850" i="57"/>
  <c r="AB851" i="57"/>
  <c r="AC851" i="57"/>
  <c r="AB852" i="57"/>
  <c r="AC852" i="57"/>
  <c r="AB853" i="57"/>
  <c r="AC853" i="57"/>
  <c r="AB854" i="57"/>
  <c r="AC854" i="57"/>
  <c r="AB855" i="57"/>
  <c r="AC855" i="57"/>
  <c r="AB856" i="57"/>
  <c r="AC856" i="57"/>
  <c r="AB857" i="57"/>
  <c r="AC857" i="57"/>
  <c r="AB858" i="57"/>
  <c r="AC858" i="57"/>
  <c r="AB859" i="57"/>
  <c r="AC859" i="57"/>
  <c r="AB860" i="57"/>
  <c r="AC860" i="57"/>
  <c r="AB861" i="57"/>
  <c r="AC861" i="57"/>
  <c r="AB862" i="57"/>
  <c r="AC862" i="57"/>
  <c r="AB863" i="57"/>
  <c r="AC863" i="57"/>
  <c r="AB864" i="57"/>
  <c r="AC864" i="57"/>
  <c r="AB865" i="57"/>
  <c r="AC865" i="57"/>
  <c r="AB866" i="57"/>
  <c r="AC866" i="57"/>
  <c r="AB867" i="57"/>
  <c r="AC867" i="57"/>
  <c r="AB868" i="57"/>
  <c r="AC868" i="57"/>
  <c r="AB869" i="57"/>
  <c r="AC869" i="57"/>
  <c r="AB870" i="57"/>
  <c r="AC870" i="57"/>
  <c r="AB871" i="57"/>
  <c r="AC871" i="57"/>
  <c r="AB872" i="57"/>
  <c r="AC872" i="57"/>
  <c r="AB873" i="57"/>
  <c r="AC873" i="57"/>
  <c r="AB874" i="57"/>
  <c r="AC874" i="57"/>
  <c r="AB875" i="57"/>
  <c r="AC875" i="57"/>
  <c r="AB876" i="57"/>
  <c r="AC876" i="57"/>
  <c r="AB877" i="57"/>
  <c r="AC877" i="57"/>
  <c r="AB878" i="57"/>
  <c r="AC878" i="57"/>
  <c r="AB879" i="57"/>
  <c r="AC879" i="57"/>
  <c r="AB880" i="57"/>
  <c r="AC880" i="57"/>
  <c r="AB881" i="57"/>
  <c r="AC881" i="57"/>
  <c r="AB882" i="57"/>
  <c r="AC882" i="57"/>
  <c r="AB883" i="57"/>
  <c r="AC883" i="57"/>
  <c r="AB884" i="57"/>
  <c r="AC884" i="57"/>
  <c r="AB885" i="57"/>
  <c r="AC885" i="57"/>
  <c r="AB886" i="57"/>
  <c r="AC886" i="57"/>
  <c r="AB887" i="57"/>
  <c r="AC887" i="57"/>
  <c r="AB888" i="57"/>
  <c r="AC888" i="57"/>
  <c r="AB889" i="57"/>
  <c r="AC889" i="57"/>
  <c r="AB890" i="57"/>
  <c r="AC890" i="57"/>
  <c r="AB891" i="57"/>
  <c r="AC891" i="57"/>
  <c r="AB892" i="57"/>
  <c r="AC892" i="57"/>
  <c r="AB893" i="57"/>
  <c r="AC893" i="57"/>
  <c r="AB894" i="57"/>
  <c r="AC894" i="57"/>
  <c r="AB895" i="57"/>
  <c r="AC895" i="57"/>
  <c r="AB896" i="57"/>
  <c r="AC896" i="57"/>
  <c r="AB897" i="57"/>
  <c r="AC897" i="57"/>
  <c r="AB898" i="57"/>
  <c r="AC898" i="57"/>
  <c r="AB899" i="57"/>
  <c r="AC899" i="57"/>
  <c r="AB900" i="57"/>
  <c r="AC900" i="57"/>
  <c r="AB901" i="57"/>
  <c r="AC901" i="57"/>
  <c r="AB902" i="57"/>
  <c r="AC902" i="57"/>
  <c r="AB903" i="57"/>
  <c r="AC903" i="57"/>
  <c r="AB904" i="57"/>
  <c r="AC904" i="57"/>
  <c r="AB905" i="57"/>
  <c r="AC905" i="57"/>
  <c r="AB906" i="57"/>
  <c r="AC906" i="57"/>
  <c r="AB907" i="57"/>
  <c r="AC907" i="57"/>
  <c r="AB908" i="57"/>
  <c r="AC908" i="57"/>
  <c r="AB909" i="57"/>
  <c r="AC909" i="57"/>
  <c r="AB910" i="57"/>
  <c r="AC910" i="57"/>
  <c r="AB911" i="57"/>
  <c r="AC911" i="57"/>
  <c r="AB912" i="57"/>
  <c r="AC912" i="57"/>
  <c r="AB913" i="57"/>
  <c r="AC913" i="57"/>
  <c r="AB914" i="57"/>
  <c r="AC914" i="57"/>
  <c r="AB915" i="57"/>
  <c r="AC915" i="57"/>
  <c r="AB916" i="57"/>
  <c r="AC916" i="57"/>
  <c r="AB917" i="57"/>
  <c r="AC917" i="57"/>
  <c r="AB918" i="57"/>
  <c r="AC918" i="57"/>
  <c r="AB919" i="57"/>
  <c r="AC919" i="57"/>
  <c r="AB920" i="57"/>
  <c r="AC920" i="57"/>
  <c r="AB921" i="57"/>
  <c r="AC921" i="57"/>
  <c r="AB922" i="57"/>
  <c r="AC922" i="57"/>
  <c r="AB923" i="57"/>
  <c r="AC923" i="57"/>
  <c r="AB924" i="57"/>
  <c r="AC924" i="57"/>
  <c r="AB925" i="57"/>
  <c r="AC925" i="57"/>
  <c r="AB926" i="57"/>
  <c r="AC926" i="57"/>
  <c r="AB927" i="57"/>
  <c r="AC927" i="57"/>
  <c r="AC813" i="57"/>
  <c r="AB813" i="57"/>
  <c r="AC812" i="57"/>
  <c r="AC811" i="57"/>
  <c r="AB811" i="57"/>
  <c r="AC809" i="57"/>
  <c r="AB809" i="57"/>
  <c r="AB716" i="57"/>
  <c r="AB717" i="57"/>
  <c r="AC717" i="57"/>
  <c r="AC718" i="57"/>
  <c r="AB719" i="57"/>
  <c r="AC719" i="57"/>
  <c r="AB720" i="57"/>
  <c r="AC720" i="57"/>
  <c r="AB721" i="57"/>
  <c r="AC723" i="57"/>
  <c r="AB725" i="57"/>
  <c r="AC725" i="57"/>
  <c r="AB726" i="57"/>
  <c r="AC726" i="57"/>
  <c r="AB727" i="57"/>
  <c r="AC727" i="57"/>
  <c r="AB728" i="57"/>
  <c r="AC728" i="57"/>
  <c r="AB729" i="57"/>
  <c r="AC729" i="57"/>
  <c r="AC730" i="57"/>
  <c r="AB731" i="57"/>
  <c r="AC731" i="57"/>
  <c r="AB732" i="57"/>
  <c r="AC732" i="57"/>
  <c r="AB733" i="57"/>
  <c r="AC733" i="57"/>
  <c r="AB734" i="57"/>
  <c r="AC734" i="57"/>
  <c r="AB735" i="57"/>
  <c r="AC735" i="57"/>
  <c r="AB736" i="57"/>
  <c r="AC736" i="57"/>
  <c r="AB737" i="57"/>
  <c r="AC737" i="57"/>
  <c r="AB738" i="57"/>
  <c r="AC738" i="57"/>
  <c r="AB739" i="57"/>
  <c r="AC739" i="57"/>
  <c r="AB740" i="57"/>
  <c r="AC740" i="57"/>
  <c r="AB741" i="57"/>
  <c r="AC741" i="57"/>
  <c r="AB742" i="57"/>
  <c r="AC742" i="57"/>
  <c r="AB743" i="57"/>
  <c r="AC743" i="57"/>
  <c r="AB744" i="57"/>
  <c r="AC744" i="57"/>
  <c r="AB745" i="57"/>
  <c r="AC745" i="57"/>
  <c r="AB746" i="57"/>
  <c r="AC746" i="57"/>
  <c r="AB747" i="57"/>
  <c r="AC747" i="57"/>
  <c r="AB748" i="57"/>
  <c r="AC748" i="57"/>
  <c r="AB749" i="57"/>
  <c r="AC749" i="57"/>
  <c r="AC750" i="57"/>
  <c r="AB751" i="57"/>
  <c r="AC751" i="57"/>
  <c r="AB752" i="57"/>
  <c r="AC752" i="57"/>
  <c r="AB753" i="57"/>
  <c r="AC753" i="57"/>
  <c r="AC754" i="57"/>
  <c r="AB755" i="57"/>
  <c r="AC755" i="57"/>
  <c r="AB756" i="57"/>
  <c r="AC756" i="57"/>
  <c r="AB757" i="57"/>
  <c r="AC757" i="57"/>
  <c r="AC758" i="57"/>
  <c r="AB759" i="57"/>
  <c r="AC759" i="57"/>
  <c r="AB760" i="57"/>
  <c r="AC760" i="57"/>
  <c r="AB761" i="57"/>
  <c r="AC761" i="57"/>
  <c r="AB762" i="57"/>
  <c r="AC762" i="57"/>
  <c r="AB763" i="57"/>
  <c r="AC763" i="57"/>
  <c r="AB764" i="57"/>
  <c r="AC764" i="57"/>
  <c r="AB765" i="57"/>
  <c r="AC765" i="57"/>
  <c r="AC766" i="57"/>
  <c r="AB767" i="57"/>
  <c r="AC767" i="57"/>
  <c r="AB768" i="57"/>
  <c r="AC768" i="57"/>
  <c r="AB769" i="57"/>
  <c r="AC769" i="57"/>
  <c r="AB770" i="57"/>
  <c r="AC770" i="57"/>
  <c r="AB771" i="57"/>
  <c r="AC771" i="57"/>
  <c r="AB772" i="57"/>
  <c r="AC772" i="57"/>
  <c r="AB773" i="57"/>
  <c r="AC773" i="57"/>
  <c r="AC774" i="57"/>
  <c r="AB775" i="57"/>
  <c r="AC775" i="57"/>
  <c r="AB776" i="57"/>
  <c r="AC776" i="57"/>
  <c r="AB777" i="57"/>
  <c r="AC777" i="57"/>
  <c r="AC778" i="57"/>
  <c r="AB779" i="57"/>
  <c r="AC779" i="57"/>
  <c r="AB780" i="57"/>
  <c r="AC780" i="57"/>
  <c r="AB781" i="57"/>
  <c r="AC781" i="57"/>
  <c r="AC782" i="57"/>
  <c r="AB783" i="57"/>
  <c r="AC783" i="57"/>
  <c r="AB784" i="57"/>
  <c r="AC784" i="57"/>
  <c r="AB785" i="57"/>
  <c r="AC785" i="57"/>
  <c r="AB786" i="57"/>
  <c r="AC786" i="57"/>
  <c r="AB787" i="57"/>
  <c r="AC787" i="57"/>
  <c r="AB788" i="57"/>
  <c r="AC788" i="57"/>
  <c r="AB789" i="57"/>
  <c r="AC789" i="57"/>
  <c r="AC790" i="57"/>
  <c r="AB791" i="57"/>
  <c r="AC791" i="57"/>
  <c r="AB792" i="57"/>
  <c r="AC792" i="57"/>
  <c r="AB793" i="57"/>
  <c r="AC793" i="57"/>
  <c r="AC794" i="57"/>
  <c r="AB795" i="57"/>
  <c r="AC795" i="57"/>
  <c r="AB796" i="57"/>
  <c r="AC796" i="57"/>
  <c r="AB797" i="57"/>
  <c r="AC797" i="57"/>
  <c r="AB798" i="57"/>
  <c r="AC798" i="57"/>
  <c r="AB799" i="57"/>
  <c r="AC799" i="57"/>
  <c r="AB800" i="57"/>
  <c r="AC800" i="57"/>
  <c r="AB801" i="57"/>
  <c r="AC801" i="57"/>
  <c r="AC802" i="57"/>
  <c r="AB803" i="57"/>
  <c r="AC803" i="57"/>
  <c r="AB804" i="57"/>
  <c r="AC804" i="57"/>
  <c r="AB805" i="57"/>
  <c r="AC805" i="57"/>
  <c r="AC806" i="57"/>
  <c r="AB714" i="57"/>
  <c r="AB713" i="57"/>
  <c r="AC712" i="57"/>
  <c r="AB712" i="57"/>
  <c r="AC709" i="57"/>
  <c r="AB709" i="57"/>
  <c r="AC708" i="57"/>
  <c r="AC707" i="57"/>
  <c r="AB707" i="57"/>
  <c r="AC706" i="57"/>
  <c r="AC705" i="57"/>
  <c r="AB705" i="57"/>
  <c r="AC703" i="57"/>
  <c r="AB702" i="57"/>
  <c r="AC701" i="57"/>
  <c r="AB701" i="57"/>
  <c r="AC699" i="57"/>
  <c r="AB684" i="57"/>
  <c r="AC684" i="57"/>
  <c r="AB685" i="57"/>
  <c r="AC685" i="57"/>
  <c r="AB686" i="57"/>
  <c r="AC686" i="57"/>
  <c r="AB687" i="57"/>
  <c r="AC687" i="57"/>
  <c r="AB688" i="57"/>
  <c r="AC688" i="57"/>
  <c r="AB689" i="57"/>
  <c r="AC689" i="57"/>
  <c r="AB690" i="57"/>
  <c r="AC690" i="57"/>
  <c r="AB691" i="57"/>
  <c r="AC691" i="57"/>
  <c r="AB692" i="57"/>
  <c r="AC692" i="57"/>
  <c r="AB693" i="57"/>
  <c r="AC693" i="57"/>
  <c r="AB694" i="57"/>
  <c r="AC694" i="57"/>
  <c r="AB695" i="57"/>
  <c r="AC695" i="57"/>
  <c r="AB696" i="57"/>
  <c r="AC696" i="57"/>
  <c r="AC683" i="57"/>
  <c r="AB683" i="57"/>
  <c r="AC682" i="57"/>
  <c r="AC681" i="57"/>
  <c r="AB681" i="57"/>
  <c r="AC680" i="57"/>
  <c r="AB680" i="57"/>
  <c r="AB533" i="57"/>
  <c r="AC533" i="57"/>
  <c r="AB534" i="57"/>
  <c r="AC534" i="57"/>
  <c r="AC535" i="57"/>
  <c r="AC536" i="57"/>
  <c r="AB537" i="57"/>
  <c r="AC537" i="57"/>
  <c r="AB539" i="57"/>
  <c r="AC539" i="57"/>
  <c r="AB540" i="57"/>
  <c r="AB541" i="57"/>
  <c r="AB542" i="57"/>
  <c r="AB545" i="57"/>
  <c r="AC545" i="57"/>
  <c r="AB546" i="57"/>
  <c r="AC546" i="57"/>
  <c r="AB547" i="57"/>
  <c r="AC547" i="57"/>
  <c r="AB548" i="57"/>
  <c r="AC548" i="57"/>
  <c r="AB549" i="57"/>
  <c r="AC549" i="57"/>
  <c r="AB550" i="57"/>
  <c r="AB551" i="57"/>
  <c r="AC551" i="57"/>
  <c r="AB552" i="57"/>
  <c r="AC552" i="57"/>
  <c r="AB553" i="57"/>
  <c r="AC553" i="57"/>
  <c r="AB554" i="57"/>
  <c r="AC554" i="57"/>
  <c r="AB555" i="57"/>
  <c r="AC555" i="57"/>
  <c r="AB556" i="57"/>
  <c r="AC556" i="57"/>
  <c r="AB557" i="57"/>
  <c r="AC557" i="57"/>
  <c r="AB558" i="57"/>
  <c r="AC558" i="57"/>
  <c r="AB559" i="57"/>
  <c r="AC559" i="57"/>
  <c r="AB560" i="57"/>
  <c r="AC560" i="57"/>
  <c r="AB561" i="57"/>
  <c r="AC561" i="57"/>
  <c r="AB562" i="57"/>
  <c r="AC562" i="57"/>
  <c r="AB563" i="57"/>
  <c r="AC563" i="57"/>
  <c r="AB564" i="57"/>
  <c r="AC564" i="57"/>
  <c r="AB565" i="57"/>
  <c r="AC565" i="57"/>
  <c r="AB566" i="57"/>
  <c r="AC566" i="57"/>
  <c r="AB567" i="57"/>
  <c r="AC567" i="57"/>
  <c r="AB568" i="57"/>
  <c r="AC568" i="57"/>
  <c r="AB569" i="57"/>
  <c r="AC569" i="57"/>
  <c r="AB570" i="57"/>
  <c r="AC570" i="57"/>
  <c r="AB571" i="57"/>
  <c r="AC571" i="57"/>
  <c r="AB572" i="57"/>
  <c r="AC572" i="57"/>
  <c r="AB573" i="57"/>
  <c r="AC573" i="57"/>
  <c r="AB574" i="57"/>
  <c r="AC574" i="57"/>
  <c r="AB575" i="57"/>
  <c r="AC575" i="57"/>
  <c r="AB576" i="57"/>
  <c r="AC576" i="57"/>
  <c r="AB577" i="57"/>
  <c r="AC577" i="57"/>
  <c r="AB578" i="57"/>
  <c r="AC578" i="57"/>
  <c r="AB579" i="57"/>
  <c r="AC579" i="57"/>
  <c r="AB580" i="57"/>
  <c r="AC580" i="57"/>
  <c r="AB581" i="57"/>
  <c r="AC581" i="57"/>
  <c r="AB582" i="57"/>
  <c r="AC582" i="57"/>
  <c r="AB583" i="57"/>
  <c r="AC583" i="57"/>
  <c r="AB584" i="57"/>
  <c r="AC584" i="57"/>
  <c r="AB585" i="57"/>
  <c r="AC585" i="57"/>
  <c r="AB586" i="57"/>
  <c r="AC586" i="57"/>
  <c r="AB587" i="57"/>
  <c r="AC587" i="57"/>
  <c r="AB588" i="57"/>
  <c r="AC588" i="57"/>
  <c r="AB589" i="57"/>
  <c r="AC589" i="57"/>
  <c r="AB590" i="57"/>
  <c r="AC590" i="57"/>
  <c r="AB591" i="57"/>
  <c r="AC591" i="57"/>
  <c r="AB592" i="57"/>
  <c r="AC592" i="57"/>
  <c r="AB593" i="57"/>
  <c r="AC593" i="57"/>
  <c r="AB594" i="57"/>
  <c r="AC594" i="57"/>
  <c r="AB595" i="57"/>
  <c r="AC595" i="57"/>
  <c r="AB596" i="57"/>
  <c r="AC596" i="57"/>
  <c r="AB597" i="57"/>
  <c r="AC597" i="57"/>
  <c r="AB598" i="57"/>
  <c r="AC598" i="57"/>
  <c r="AB599" i="57"/>
  <c r="AC599" i="57"/>
  <c r="AB600" i="57"/>
  <c r="AC600" i="57"/>
  <c r="AB601" i="57"/>
  <c r="AC601" i="57"/>
  <c r="AB602" i="57"/>
  <c r="AC602" i="57"/>
  <c r="AB603" i="57"/>
  <c r="AC603" i="57"/>
  <c r="AB604" i="57"/>
  <c r="AC604" i="57"/>
  <c r="AB605" i="57"/>
  <c r="AC605" i="57"/>
  <c r="AB606" i="57"/>
  <c r="AC606" i="57"/>
  <c r="AB607" i="57"/>
  <c r="AC607" i="57"/>
  <c r="AB608" i="57"/>
  <c r="AC608" i="57"/>
  <c r="AB609" i="57"/>
  <c r="AC609" i="57"/>
  <c r="AB610" i="57"/>
  <c r="AC610" i="57"/>
  <c r="AB611" i="57"/>
  <c r="AC611" i="57"/>
  <c r="AB612" i="57"/>
  <c r="AC612" i="57"/>
  <c r="AB613" i="57"/>
  <c r="AC613" i="57"/>
  <c r="AB614" i="57"/>
  <c r="AC614" i="57"/>
  <c r="AB615" i="57"/>
  <c r="AC615" i="57"/>
  <c r="AB616" i="57"/>
  <c r="AC616" i="57"/>
  <c r="AB617" i="57"/>
  <c r="AC617" i="57"/>
  <c r="AB618" i="57"/>
  <c r="AC618" i="57"/>
  <c r="AB619" i="57"/>
  <c r="AC619" i="57"/>
  <c r="AB620" i="57"/>
  <c r="AC620" i="57"/>
  <c r="AB621" i="57"/>
  <c r="AC621" i="57"/>
  <c r="AB622" i="57"/>
  <c r="AC622" i="57"/>
  <c r="AB623" i="57"/>
  <c r="AC623" i="57"/>
  <c r="AB624" i="57"/>
  <c r="AC624" i="57"/>
  <c r="AB625" i="57"/>
  <c r="AC625" i="57"/>
  <c r="AB626" i="57"/>
  <c r="AC626" i="57"/>
  <c r="AB627" i="57"/>
  <c r="AC627" i="57"/>
  <c r="AB628" i="57"/>
  <c r="AC628" i="57"/>
  <c r="AB629" i="57"/>
  <c r="AC629" i="57"/>
  <c r="AB630" i="57"/>
  <c r="AC630" i="57"/>
  <c r="AB631" i="57"/>
  <c r="AC631" i="57"/>
  <c r="AB632" i="57"/>
  <c r="AC632" i="57"/>
  <c r="AB633" i="57"/>
  <c r="AC633" i="57"/>
  <c r="AB634" i="57"/>
  <c r="AC634" i="57"/>
  <c r="AB635" i="57"/>
  <c r="AC635" i="57"/>
  <c r="AB636" i="57"/>
  <c r="AC636" i="57"/>
  <c r="AB637" i="57"/>
  <c r="AC637" i="57"/>
  <c r="AB638" i="57"/>
  <c r="AC638" i="57"/>
  <c r="AB639" i="57"/>
  <c r="AC639" i="57"/>
  <c r="AB640" i="57"/>
  <c r="AC640" i="57"/>
  <c r="AB641" i="57"/>
  <c r="AC641" i="57"/>
  <c r="AB642" i="57"/>
  <c r="AC642" i="57"/>
  <c r="AB643" i="57"/>
  <c r="AC643" i="57"/>
  <c r="AB644" i="57"/>
  <c r="AC644" i="57"/>
  <c r="AB645" i="57"/>
  <c r="AC645" i="57"/>
  <c r="AB646" i="57"/>
  <c r="AC646" i="57"/>
  <c r="AB647" i="57"/>
  <c r="AC647" i="57"/>
  <c r="AB648" i="57"/>
  <c r="AC648" i="57"/>
  <c r="AB649" i="57"/>
  <c r="AC649" i="57"/>
  <c r="AB650" i="57"/>
  <c r="AC650" i="57"/>
  <c r="AB651" i="57"/>
  <c r="AC651" i="57"/>
  <c r="AB652" i="57"/>
  <c r="AC652" i="57"/>
  <c r="AB653" i="57"/>
  <c r="AC653" i="57"/>
  <c r="AB654" i="57"/>
  <c r="AC654" i="57"/>
  <c r="AB655" i="57"/>
  <c r="AC655" i="57"/>
  <c r="AB656" i="57"/>
  <c r="AC656" i="57"/>
  <c r="AB657" i="57"/>
  <c r="AC657" i="57"/>
  <c r="AB658" i="57"/>
  <c r="AC658" i="57"/>
  <c r="AB659" i="57"/>
  <c r="AC659" i="57"/>
  <c r="AB660" i="57"/>
  <c r="AC660" i="57"/>
  <c r="AB661" i="57"/>
  <c r="AC661" i="57"/>
  <c r="AB662" i="57"/>
  <c r="AC662" i="57"/>
  <c r="AB663" i="57"/>
  <c r="AC663" i="57"/>
  <c r="AB664" i="57"/>
  <c r="AC664" i="57"/>
  <c r="AB665" i="57"/>
  <c r="AC665" i="57"/>
  <c r="AB666" i="57"/>
  <c r="AC666" i="57"/>
  <c r="AB667" i="57"/>
  <c r="AC667" i="57"/>
  <c r="AB668" i="57"/>
  <c r="AC668" i="57"/>
  <c r="AB669" i="57"/>
  <c r="AC669" i="57"/>
  <c r="AB670" i="57"/>
  <c r="AC670" i="57"/>
  <c r="AB671" i="57"/>
  <c r="AC671" i="57"/>
  <c r="AB672" i="57"/>
  <c r="AC672" i="57"/>
  <c r="AB673" i="57"/>
  <c r="AC673" i="57"/>
  <c r="AB674" i="57"/>
  <c r="AC674" i="57"/>
  <c r="AB675" i="57"/>
  <c r="AC675" i="57"/>
  <c r="AB676" i="57"/>
  <c r="AC676" i="57"/>
  <c r="AB677" i="57"/>
  <c r="AC677" i="57"/>
  <c r="AB678" i="57"/>
  <c r="AC678" i="57"/>
  <c r="AB679" i="57"/>
  <c r="AC679" i="57"/>
  <c r="AB532" i="57"/>
  <c r="AC531" i="57"/>
  <c r="AB531" i="57"/>
  <c r="AC530" i="57"/>
  <c r="AB530" i="57"/>
  <c r="AC529" i="57"/>
  <c r="AB506" i="57"/>
  <c r="AB507" i="57"/>
  <c r="AC507" i="57"/>
  <c r="AB508" i="57"/>
  <c r="AC508" i="57"/>
  <c r="AC509" i="57"/>
  <c r="AC510" i="57"/>
  <c r="AB511" i="57"/>
  <c r="AB512" i="57"/>
  <c r="AC512" i="57"/>
  <c r="AB515" i="57"/>
  <c r="AC515" i="57"/>
  <c r="AB516" i="57"/>
  <c r="AC517" i="57"/>
  <c r="AC518" i="57"/>
  <c r="AB519" i="57"/>
  <c r="AC519" i="57"/>
  <c r="AC520" i="57"/>
  <c r="AB521" i="57"/>
  <c r="AC521" i="57"/>
  <c r="AB522" i="57"/>
  <c r="AC522" i="57"/>
  <c r="AB523" i="57"/>
  <c r="AC523" i="57"/>
  <c r="AB524" i="57"/>
  <c r="AC524" i="57"/>
  <c r="AB525" i="57"/>
  <c r="AC525" i="57"/>
  <c r="AB526" i="57"/>
  <c r="AC526" i="57"/>
  <c r="AC505" i="57"/>
  <c r="AB505" i="57"/>
  <c r="AC503" i="57"/>
  <c r="AB503" i="57"/>
  <c r="AC502" i="57"/>
  <c r="AB502" i="57"/>
  <c r="AC501" i="57"/>
  <c r="AB501" i="57"/>
  <c r="AC500" i="57"/>
  <c r="AC499" i="57"/>
  <c r="AB499" i="57"/>
  <c r="AC498" i="57"/>
  <c r="AB498" i="57"/>
  <c r="AC497" i="57"/>
  <c r="AB497" i="57"/>
  <c r="AC496" i="57"/>
  <c r="AB496" i="57"/>
  <c r="AC495" i="57"/>
  <c r="AB495" i="57"/>
  <c r="AC494" i="57"/>
  <c r="AB494" i="57"/>
  <c r="AC484" i="57"/>
  <c r="AB485" i="57"/>
  <c r="AC485" i="57"/>
  <c r="AB487" i="57"/>
  <c r="AC487" i="57"/>
  <c r="AB488" i="57"/>
  <c r="AB489" i="57"/>
  <c r="AC489" i="57"/>
  <c r="AC490" i="57"/>
  <c r="AB491" i="57"/>
  <c r="AC491" i="57"/>
  <c r="AC483" i="57"/>
  <c r="AB483" i="57"/>
  <c r="AC481" i="57"/>
  <c r="AB481" i="57"/>
  <c r="AB480" i="57"/>
  <c r="AB438" i="57"/>
  <c r="AC438" i="57"/>
  <c r="AB439" i="57"/>
  <c r="AC440" i="57"/>
  <c r="AB441" i="57"/>
  <c r="AB442" i="57"/>
  <c r="AC442" i="57"/>
  <c r="AC443" i="57"/>
  <c r="AB444" i="57"/>
  <c r="AC444" i="57"/>
  <c r="AB445" i="57"/>
  <c r="AC445" i="57"/>
  <c r="AB446" i="57"/>
  <c r="AB447" i="57"/>
  <c r="AC447" i="57"/>
  <c r="AC448" i="57"/>
  <c r="AB449" i="57"/>
  <c r="AC449" i="57"/>
  <c r="AB450" i="57"/>
  <c r="AB452" i="57"/>
  <c r="AC452" i="57"/>
  <c r="AB453" i="57"/>
  <c r="AC453" i="57"/>
  <c r="AB454" i="57"/>
  <c r="AC454" i="57"/>
  <c r="AB455" i="57"/>
  <c r="AC456" i="57"/>
  <c r="AB457" i="57"/>
  <c r="AB458" i="57"/>
  <c r="AC458" i="57"/>
  <c r="AB459" i="57"/>
  <c r="AC460" i="57"/>
  <c r="AB462" i="57"/>
  <c r="AB463" i="57"/>
  <c r="AC463" i="57"/>
  <c r="AB464" i="57"/>
  <c r="AC464" i="57"/>
  <c r="AB465" i="57"/>
  <c r="AC465" i="57"/>
  <c r="AC466" i="57"/>
  <c r="AB467" i="57"/>
  <c r="AC467" i="57"/>
  <c r="AB468" i="57"/>
  <c r="AC468" i="57"/>
  <c r="AB469" i="57"/>
  <c r="AC469" i="57"/>
  <c r="AB470" i="57"/>
  <c r="AC470" i="57"/>
  <c r="AB471" i="57"/>
  <c r="AC471" i="57"/>
  <c r="AB472" i="57"/>
  <c r="AC472" i="57"/>
  <c r="AB473" i="57"/>
  <c r="AC473" i="57"/>
  <c r="AB474" i="57"/>
  <c r="AC474" i="57"/>
  <c r="AB475" i="57"/>
  <c r="AC475" i="57"/>
  <c r="AB476" i="57"/>
  <c r="AC476" i="57"/>
  <c r="AB477" i="57"/>
  <c r="AC477" i="57"/>
  <c r="AC437" i="57"/>
  <c r="AB437" i="57"/>
  <c r="AC436" i="57"/>
  <c r="AB436" i="57"/>
  <c r="AC435" i="57"/>
  <c r="AB434" i="57"/>
  <c r="AC433" i="57"/>
  <c r="AB433" i="57"/>
  <c r="AC432" i="57"/>
  <c r="AC428" i="57"/>
  <c r="AB428" i="57"/>
  <c r="AB427" i="57"/>
  <c r="AC426" i="57"/>
  <c r="AB426" i="57"/>
  <c r="AB424" i="57"/>
  <c r="AB420" i="57"/>
  <c r="AC421" i="57"/>
  <c r="AC419" i="57"/>
  <c r="AB419" i="57"/>
  <c r="AC417" i="57"/>
  <c r="AB293" i="57"/>
  <c r="AC293" i="57"/>
  <c r="AB295" i="57"/>
  <c r="AC295" i="57"/>
  <c r="AC296" i="57"/>
  <c r="AB297" i="57"/>
  <c r="AC297" i="57"/>
  <c r="AB298" i="57"/>
  <c r="AC298" i="57"/>
  <c r="AB299" i="57"/>
  <c r="AC299" i="57"/>
  <c r="AB300" i="57"/>
  <c r="AC300" i="57"/>
  <c r="AB302" i="57"/>
  <c r="AC302" i="57"/>
  <c r="AB303" i="57"/>
  <c r="AB304" i="57"/>
  <c r="AC304" i="57"/>
  <c r="AC305" i="57"/>
  <c r="AB307" i="57"/>
  <c r="AC307" i="57"/>
  <c r="AB308" i="57"/>
  <c r="AB309" i="57"/>
  <c r="AC309" i="57"/>
  <c r="AC310" i="57"/>
  <c r="AB311" i="57"/>
  <c r="AB312" i="57"/>
  <c r="AC312" i="57"/>
  <c r="AC313" i="57"/>
  <c r="AB314" i="57"/>
  <c r="AC314" i="57"/>
  <c r="AB315" i="57"/>
  <c r="AC315" i="57"/>
  <c r="AB316" i="57"/>
  <c r="AC316" i="57"/>
  <c r="AC317" i="57"/>
  <c r="AB318" i="57"/>
  <c r="AC318" i="57"/>
  <c r="AB319" i="57"/>
  <c r="AC319" i="57"/>
  <c r="AB320" i="57"/>
  <c r="AC320" i="57"/>
  <c r="AB321" i="57"/>
  <c r="AC321" i="57"/>
  <c r="AB322" i="57"/>
  <c r="AC322" i="57"/>
  <c r="AB323" i="57"/>
  <c r="AC323" i="57"/>
  <c r="AB324" i="57"/>
  <c r="AC324" i="57"/>
  <c r="AC325" i="57"/>
  <c r="AB326" i="57"/>
  <c r="AC326" i="57"/>
  <c r="AB327" i="57"/>
  <c r="AC327" i="57"/>
  <c r="AB328" i="57"/>
  <c r="AC328" i="57"/>
  <c r="AC329" i="57"/>
  <c r="AB330" i="57"/>
  <c r="AC330" i="57"/>
  <c r="AB331" i="57"/>
  <c r="AC331" i="57"/>
  <c r="AB332" i="57"/>
  <c r="AC332" i="57"/>
  <c r="AB333" i="57"/>
  <c r="AC333" i="57"/>
  <c r="AB334" i="57"/>
  <c r="AC334" i="57"/>
  <c r="AB335" i="57"/>
  <c r="AC335" i="57"/>
  <c r="AB336" i="57"/>
  <c r="AC336" i="57"/>
  <c r="AC337" i="57"/>
  <c r="AB338" i="57"/>
  <c r="AC338" i="57"/>
  <c r="AB339" i="57"/>
  <c r="AC339" i="57"/>
  <c r="AB340" i="57"/>
  <c r="AC340" i="57"/>
  <c r="AB341" i="57"/>
  <c r="AC341" i="57"/>
  <c r="AB342" i="57"/>
  <c r="AC342" i="57"/>
  <c r="AB343" i="57"/>
  <c r="AC343" i="57"/>
  <c r="AB344" i="57"/>
  <c r="AC344" i="57"/>
  <c r="AB345" i="57"/>
  <c r="AC345" i="57"/>
  <c r="AB346" i="57"/>
  <c r="AC346" i="57"/>
  <c r="AB347" i="57"/>
  <c r="AC347" i="57"/>
  <c r="AB348" i="57"/>
  <c r="AC348" i="57"/>
  <c r="AC349" i="57"/>
  <c r="AB350" i="57"/>
  <c r="AC350" i="57"/>
  <c r="AB351" i="57"/>
  <c r="AC351" i="57"/>
  <c r="AB352" i="57"/>
  <c r="AC352" i="57"/>
  <c r="AB353" i="57"/>
  <c r="AC353" i="57"/>
  <c r="AB354" i="57"/>
  <c r="AC354" i="57"/>
  <c r="AB355" i="57"/>
  <c r="AC355" i="57"/>
  <c r="AB356" i="57"/>
  <c r="AC356" i="57"/>
  <c r="AB357" i="57"/>
  <c r="AC357" i="57"/>
  <c r="AB358" i="57"/>
  <c r="AC358" i="57"/>
  <c r="AB359" i="57"/>
  <c r="AC359" i="57"/>
  <c r="AB360" i="57"/>
  <c r="AC360" i="57"/>
  <c r="AC361" i="57"/>
  <c r="AB362" i="57"/>
  <c r="AC362" i="57"/>
  <c r="AB363" i="57"/>
  <c r="AC363" i="57"/>
  <c r="AB364" i="57"/>
  <c r="AC364" i="57"/>
  <c r="AC365" i="57"/>
  <c r="AB366" i="57"/>
  <c r="AC366" i="57"/>
  <c r="AB367" i="57"/>
  <c r="AC367" i="57"/>
  <c r="AB368" i="57"/>
  <c r="AC368" i="57"/>
  <c r="AB369" i="57"/>
  <c r="AC369" i="57"/>
  <c r="AB370" i="57"/>
  <c r="AC370" i="57"/>
  <c r="AB371" i="57"/>
  <c r="AC371" i="57"/>
  <c r="AB372" i="57"/>
  <c r="AC372" i="57"/>
  <c r="AC373" i="57"/>
  <c r="AB374" i="57"/>
  <c r="AC374" i="57"/>
  <c r="AB375" i="57"/>
  <c r="AC375" i="57"/>
  <c r="AB376" i="57"/>
  <c r="AC376" i="57"/>
  <c r="AC377" i="57"/>
  <c r="AB378" i="57"/>
  <c r="AC378" i="57"/>
  <c r="AB379" i="57"/>
  <c r="AC379" i="57"/>
  <c r="AB380" i="57"/>
  <c r="AC380" i="57"/>
  <c r="AC381" i="57"/>
  <c r="AB382" i="57"/>
  <c r="AC382" i="57"/>
  <c r="AB383" i="57"/>
  <c r="AC383" i="57"/>
  <c r="AB384" i="57"/>
  <c r="AC384" i="57"/>
  <c r="AB385" i="57"/>
  <c r="AC385" i="57"/>
  <c r="AB386" i="57"/>
  <c r="AC386" i="57"/>
  <c r="AB387" i="57"/>
  <c r="AC387" i="57"/>
  <c r="AB388" i="57"/>
  <c r="AC388" i="57"/>
  <c r="AC389" i="57"/>
  <c r="AB390" i="57"/>
  <c r="AC390" i="57"/>
  <c r="AB391" i="57"/>
  <c r="AC391" i="57"/>
  <c r="AB392" i="57"/>
  <c r="AC392" i="57"/>
  <c r="AB393" i="57"/>
  <c r="AC393" i="57"/>
  <c r="AB394" i="57"/>
  <c r="AC394" i="57"/>
  <c r="AB395" i="57"/>
  <c r="AC395" i="57"/>
  <c r="AB396" i="57"/>
  <c r="AC396" i="57"/>
  <c r="AC397" i="57"/>
  <c r="AB398" i="57"/>
  <c r="AC398" i="57"/>
  <c r="AB399" i="57"/>
  <c r="AC399" i="57"/>
  <c r="AB400" i="57"/>
  <c r="AC400" i="57"/>
  <c r="AC401" i="57"/>
  <c r="AB402" i="57"/>
  <c r="AC402" i="57"/>
  <c r="AB403" i="57"/>
  <c r="AC403" i="57"/>
  <c r="AB404" i="57"/>
  <c r="AC404" i="57"/>
  <c r="AC405" i="57"/>
  <c r="AB406" i="57"/>
  <c r="AC406" i="57"/>
  <c r="AB407" i="57"/>
  <c r="AC407" i="57"/>
  <c r="AB408" i="57"/>
  <c r="AC408" i="57"/>
  <c r="AC409" i="57"/>
  <c r="AB410" i="57"/>
  <c r="AC410" i="57"/>
  <c r="AB411" i="57"/>
  <c r="AC411" i="57"/>
  <c r="AB412" i="57"/>
  <c r="AC412" i="57"/>
  <c r="AC413" i="57"/>
  <c r="AB414" i="57"/>
  <c r="AC414" i="57"/>
  <c r="AB292" i="57"/>
  <c r="AC291" i="57"/>
  <c r="AB291" i="57"/>
  <c r="AB289" i="57"/>
  <c r="AB261" i="57"/>
  <c r="AB262" i="57"/>
  <c r="AC262" i="57"/>
  <c r="AB263" i="57"/>
  <c r="AC263" i="57"/>
  <c r="AB264" i="57"/>
  <c r="AC264" i="57"/>
  <c r="AB265" i="57"/>
  <c r="AC265" i="57"/>
  <c r="AB266" i="57"/>
  <c r="AC266" i="57"/>
  <c r="AB267" i="57"/>
  <c r="AC267" i="57"/>
  <c r="AB268" i="57"/>
  <c r="AC268" i="57"/>
  <c r="AB269" i="57"/>
  <c r="AC269" i="57"/>
  <c r="AB270" i="57"/>
  <c r="AC270" i="57"/>
  <c r="AB271" i="57"/>
  <c r="AC271" i="57"/>
  <c r="AB272" i="57"/>
  <c r="AC272" i="57"/>
  <c r="AB273" i="57"/>
  <c r="AC273" i="57"/>
  <c r="AB274" i="57"/>
  <c r="AC274" i="57"/>
  <c r="AB275" i="57"/>
  <c r="AC275" i="57"/>
  <c r="AB276" i="57"/>
  <c r="AC276" i="57"/>
  <c r="AB277" i="57"/>
  <c r="AC277" i="57"/>
  <c r="AB278" i="57"/>
  <c r="AC278" i="57"/>
  <c r="AB279" i="57"/>
  <c r="AC279" i="57"/>
  <c r="AB280" i="57"/>
  <c r="AC280" i="57"/>
  <c r="AB281" i="57"/>
  <c r="AC281" i="57"/>
  <c r="AB282" i="57"/>
  <c r="AC282" i="57"/>
  <c r="AB283" i="57"/>
  <c r="AC283" i="57"/>
  <c r="AB284" i="57"/>
  <c r="AC284" i="57"/>
  <c r="AB285" i="57"/>
  <c r="AC285" i="57"/>
  <c r="AB286" i="57"/>
  <c r="AC286" i="57"/>
  <c r="AC260" i="57"/>
  <c r="AC259" i="57"/>
  <c r="AB258" i="57"/>
  <c r="AC257" i="57"/>
  <c r="AB257" i="57"/>
  <c r="AC256" i="57"/>
  <c r="AB256" i="57"/>
  <c r="AC255" i="57"/>
  <c r="AB255" i="57"/>
  <c r="AC253" i="57"/>
  <c r="AB253" i="57"/>
  <c r="AC252" i="57"/>
  <c r="AB251" i="57"/>
  <c r="AC250" i="57"/>
  <c r="AB250" i="57"/>
  <c r="AC249" i="57"/>
  <c r="AB249" i="57"/>
  <c r="AC248" i="57"/>
  <c r="AB248" i="57"/>
  <c r="AC246" i="57"/>
  <c r="AB246" i="57"/>
  <c r="AC244" i="57"/>
  <c r="AC227" i="57"/>
  <c r="AC228" i="57"/>
  <c r="AB229" i="57"/>
  <c r="AC229" i="57"/>
  <c r="AB230" i="57"/>
  <c r="AC230" i="57"/>
  <c r="AB231" i="57"/>
  <c r="AB232" i="57"/>
  <c r="AC232" i="57"/>
  <c r="AB233" i="57"/>
  <c r="AC233" i="57"/>
  <c r="AC234" i="57"/>
  <c r="AC235" i="57"/>
  <c r="AB237" i="57"/>
  <c r="AC237" i="57"/>
  <c r="AB238" i="57"/>
  <c r="AC238" i="57"/>
  <c r="AB239" i="57"/>
  <c r="AC239" i="57"/>
  <c r="AB240" i="57"/>
  <c r="AC240" i="57"/>
  <c r="AB241" i="57"/>
  <c r="AC241" i="57"/>
  <c r="AC226" i="57"/>
  <c r="AC225" i="57"/>
  <c r="AB209" i="57"/>
  <c r="AC209" i="57"/>
  <c r="AB210" i="57"/>
  <c r="AC210" i="57"/>
  <c r="AB211" i="57"/>
  <c r="AC211" i="57"/>
  <c r="AB212" i="57"/>
  <c r="AC212" i="57"/>
  <c r="AB213" i="57"/>
  <c r="AC213" i="57"/>
  <c r="AB214" i="57"/>
  <c r="AC214" i="57"/>
  <c r="AB215" i="57"/>
  <c r="AC215" i="57"/>
  <c r="AC216" i="57"/>
  <c r="AB217" i="57"/>
  <c r="AC217" i="57"/>
  <c r="AB218" i="57"/>
  <c r="AC218" i="57"/>
  <c r="AB219" i="57"/>
  <c r="AC219" i="57"/>
  <c r="AC220" i="57"/>
  <c r="AB221" i="57"/>
  <c r="AC221" i="57"/>
  <c r="AB222" i="57"/>
  <c r="AC222" i="57"/>
  <c r="AC208" i="57"/>
  <c r="AB208" i="57"/>
  <c r="AC129" i="57"/>
  <c r="AB130" i="57"/>
  <c r="AC130" i="57"/>
  <c r="AB131" i="57"/>
  <c r="AC131" i="57"/>
  <c r="AB132" i="57"/>
  <c r="AC132" i="57"/>
  <c r="AB133" i="57"/>
  <c r="AC133" i="57"/>
  <c r="AB134" i="57"/>
  <c r="AC134" i="57"/>
  <c r="AB135" i="57"/>
  <c r="AC135" i="57"/>
  <c r="AB136" i="57"/>
  <c r="AC136" i="57"/>
  <c r="AB137" i="57"/>
  <c r="AB138" i="57"/>
  <c r="AB139" i="57"/>
  <c r="AB140" i="57"/>
  <c r="AC140" i="57"/>
  <c r="AB142" i="57"/>
  <c r="AB144" i="57"/>
  <c r="AC144" i="57"/>
  <c r="AB146" i="57"/>
  <c r="AC146" i="57"/>
  <c r="AC147" i="57"/>
  <c r="AB148" i="57"/>
  <c r="AB150" i="57"/>
  <c r="AC150" i="57"/>
  <c r="AB151" i="57"/>
  <c r="AC151" i="57"/>
  <c r="AC152" i="57"/>
  <c r="AB154" i="57"/>
  <c r="AC154" i="57"/>
  <c r="AB155" i="57"/>
  <c r="AB156" i="57"/>
  <c r="AC156" i="57"/>
  <c r="AC157" i="57"/>
  <c r="AB158" i="57"/>
  <c r="AB159" i="57"/>
  <c r="AC159" i="57"/>
  <c r="AB160" i="57"/>
  <c r="AC161" i="57"/>
  <c r="AC162" i="57"/>
  <c r="AB163" i="57"/>
  <c r="AB164" i="57"/>
  <c r="AC164" i="57"/>
  <c r="AB166" i="57"/>
  <c r="AC166" i="57"/>
  <c r="AB167" i="57"/>
  <c r="AB168" i="57"/>
  <c r="AB169" i="57"/>
  <c r="AC169" i="57"/>
  <c r="AB170" i="57"/>
  <c r="AC170" i="57"/>
  <c r="AB171" i="57"/>
  <c r="AC171" i="57"/>
  <c r="AB172" i="57"/>
  <c r="AC172" i="57"/>
  <c r="AB173" i="57"/>
  <c r="AC173" i="57"/>
  <c r="AB174" i="57"/>
  <c r="AC174" i="57"/>
  <c r="AB175" i="57"/>
  <c r="AC175" i="57"/>
  <c r="AB176" i="57"/>
  <c r="AC176" i="57"/>
  <c r="AB177" i="57"/>
  <c r="AC177" i="57"/>
  <c r="AB178" i="57"/>
  <c r="AC178" i="57"/>
  <c r="AB179" i="57"/>
  <c r="AC179" i="57"/>
  <c r="AB180" i="57"/>
  <c r="AC180" i="57"/>
  <c r="AB181" i="57"/>
  <c r="AC181" i="57"/>
  <c r="AB182" i="57"/>
  <c r="AC182" i="57"/>
  <c r="AB183" i="57"/>
  <c r="AC183" i="57"/>
  <c r="AB184" i="57"/>
  <c r="AC184" i="57"/>
  <c r="AB185" i="57"/>
  <c r="AC185" i="57"/>
  <c r="AB186" i="57"/>
  <c r="AC186" i="57"/>
  <c r="AB187" i="57"/>
  <c r="AC187" i="57"/>
  <c r="AB188" i="57"/>
  <c r="AC188" i="57"/>
  <c r="AB189" i="57"/>
  <c r="AC189" i="57"/>
  <c r="AB190" i="57"/>
  <c r="AC190" i="57"/>
  <c r="AB191" i="57"/>
  <c r="AC191" i="57"/>
  <c r="AB192" i="57"/>
  <c r="AC192" i="57"/>
  <c r="AB193" i="57"/>
  <c r="AC193" i="57"/>
  <c r="AB194" i="57"/>
  <c r="AC194" i="57"/>
  <c r="AB195" i="57"/>
  <c r="AC195" i="57"/>
  <c r="AB196" i="57"/>
  <c r="AC196" i="57"/>
  <c r="AB197" i="57"/>
  <c r="AC197" i="57"/>
  <c r="AB198" i="57"/>
  <c r="AC198" i="57"/>
  <c r="AB199" i="57"/>
  <c r="AC199" i="57"/>
  <c r="AB200" i="57"/>
  <c r="AC200" i="57"/>
  <c r="AB201" i="57"/>
  <c r="AC201" i="57"/>
  <c r="AB202" i="57"/>
  <c r="AC202" i="57"/>
  <c r="AB203" i="57"/>
  <c r="AC203" i="57"/>
  <c r="AB204" i="57"/>
  <c r="AC204" i="57"/>
  <c r="AB205" i="57"/>
  <c r="AC205" i="57"/>
  <c r="AB206" i="57"/>
  <c r="AC206" i="57"/>
  <c r="AB207" i="57"/>
  <c r="AC207" i="57"/>
  <c r="AC128" i="57"/>
  <c r="AB128" i="57"/>
  <c r="AB71" i="57"/>
  <c r="AC71" i="57"/>
  <c r="AB72" i="57"/>
  <c r="AC72" i="57"/>
  <c r="AB73" i="57"/>
  <c r="AC73" i="57"/>
  <c r="AB74" i="57"/>
  <c r="AC74" i="57"/>
  <c r="AB75" i="57"/>
  <c r="AC75" i="57"/>
  <c r="AB76" i="57"/>
  <c r="AC76" i="57"/>
  <c r="AB77" i="57"/>
  <c r="AC77" i="57"/>
  <c r="AB78" i="57"/>
  <c r="AC78" i="57"/>
  <c r="AB79" i="57"/>
  <c r="AC79" i="57"/>
  <c r="AB80" i="57"/>
  <c r="AC80" i="57"/>
  <c r="AB81" i="57"/>
  <c r="AC81" i="57"/>
  <c r="AB82" i="57"/>
  <c r="AC82" i="57"/>
  <c r="AB83" i="57"/>
  <c r="AC83" i="57"/>
  <c r="AB84" i="57"/>
  <c r="AC84" i="57"/>
  <c r="AB85" i="57"/>
  <c r="AC85" i="57"/>
  <c r="AB86" i="57"/>
  <c r="AC86" i="57"/>
  <c r="AB87" i="57"/>
  <c r="AC87" i="57"/>
  <c r="AB88" i="57"/>
  <c r="AC88" i="57"/>
  <c r="AB89" i="57"/>
  <c r="AC89" i="57"/>
  <c r="AB90" i="57"/>
  <c r="AC90" i="57"/>
  <c r="AB91" i="57"/>
  <c r="AC91" i="57"/>
  <c r="AB92" i="57"/>
  <c r="AC92" i="57"/>
  <c r="AB93" i="57"/>
  <c r="AC93" i="57"/>
  <c r="AB94" i="57"/>
  <c r="AC94" i="57"/>
  <c r="AB95" i="57"/>
  <c r="AC95" i="57"/>
  <c r="AB96" i="57"/>
  <c r="AC96" i="57"/>
  <c r="AB97" i="57"/>
  <c r="AC97" i="57"/>
  <c r="AB98" i="57"/>
  <c r="AC98" i="57"/>
  <c r="AB99" i="57"/>
  <c r="AC99" i="57"/>
  <c r="AB100" i="57"/>
  <c r="AC100" i="57"/>
  <c r="AB101" i="57"/>
  <c r="AC101" i="57"/>
  <c r="AB102" i="57"/>
  <c r="AC102" i="57"/>
  <c r="AB103" i="57"/>
  <c r="AC103" i="57"/>
  <c r="AB104" i="57"/>
  <c r="AC104" i="57"/>
  <c r="AB105" i="57"/>
  <c r="AC105" i="57"/>
  <c r="AB106" i="57"/>
  <c r="AC106" i="57"/>
  <c r="AB107" i="57"/>
  <c r="AC107" i="57"/>
  <c r="AB108" i="57"/>
  <c r="AC108" i="57"/>
  <c r="AB109" i="57"/>
  <c r="AC109" i="57"/>
  <c r="AB110" i="57"/>
  <c r="AC110" i="57"/>
  <c r="AB111" i="57"/>
  <c r="AC111" i="57"/>
  <c r="AB112" i="57"/>
  <c r="AC112" i="57"/>
  <c r="AB113" i="57"/>
  <c r="AC113" i="57"/>
  <c r="AB114" i="57"/>
  <c r="AC114" i="57"/>
  <c r="AB115" i="57"/>
  <c r="AC115" i="57"/>
  <c r="AB116" i="57"/>
  <c r="AC116" i="57"/>
  <c r="AB117" i="57"/>
  <c r="AC117" i="57"/>
  <c r="AB118" i="57"/>
  <c r="AC118" i="57"/>
  <c r="AB119" i="57"/>
  <c r="AC119" i="57"/>
  <c r="AB120" i="57"/>
  <c r="AC120" i="57"/>
  <c r="AB121" i="57"/>
  <c r="AC121" i="57"/>
  <c r="AB122" i="57"/>
  <c r="AC122" i="57"/>
  <c r="AB123" i="57"/>
  <c r="AC123" i="57"/>
  <c r="AB124" i="57"/>
  <c r="AC124" i="57"/>
  <c r="AB125" i="57"/>
  <c r="AC125" i="57"/>
  <c r="AC70" i="57"/>
  <c r="AB70" i="57"/>
  <c r="AB43" i="57"/>
  <c r="AC43" i="57"/>
  <c r="AB44" i="57"/>
  <c r="AC44" i="57"/>
  <c r="AB45" i="57"/>
  <c r="AC45" i="57"/>
  <c r="AB46" i="57"/>
  <c r="AC46" i="57"/>
  <c r="AB47" i="57"/>
  <c r="AC47" i="57"/>
  <c r="AB48" i="57"/>
  <c r="AC48" i="57"/>
  <c r="AB49" i="57"/>
  <c r="AC49" i="57"/>
  <c r="AB50" i="57"/>
  <c r="AC50" i="57"/>
  <c r="AB51" i="57"/>
  <c r="AC51" i="57"/>
  <c r="AB52" i="57"/>
  <c r="AC52" i="57"/>
  <c r="AB53" i="57"/>
  <c r="AC53" i="57"/>
  <c r="AB54" i="57"/>
  <c r="AC54" i="57"/>
  <c r="AB55" i="57"/>
  <c r="AC55" i="57"/>
  <c r="AB56" i="57"/>
  <c r="AC56" i="57"/>
  <c r="AB57" i="57"/>
  <c r="AC57" i="57"/>
  <c r="AB58" i="57"/>
  <c r="AC58" i="57"/>
  <c r="AB59" i="57"/>
  <c r="AC59" i="57"/>
  <c r="AB60" i="57"/>
  <c r="AC60" i="57"/>
  <c r="AB61" i="57"/>
  <c r="AC61" i="57"/>
  <c r="AB62" i="57"/>
  <c r="AC62" i="57"/>
  <c r="AB63" i="57"/>
  <c r="AC63" i="57"/>
  <c r="AB64" i="57"/>
  <c r="AC64" i="57"/>
  <c r="AB65" i="57"/>
  <c r="AC65" i="57"/>
  <c r="AB66" i="57"/>
  <c r="AC66" i="57"/>
  <c r="AB67" i="57"/>
  <c r="AC67" i="57"/>
  <c r="AC42" i="57"/>
  <c r="AB42" i="57"/>
  <c r="AL3" i="118"/>
  <c r="AL4" i="118"/>
  <c r="AL5" i="118"/>
  <c r="AL6" i="118"/>
  <c r="AL7" i="118"/>
  <c r="AL8" i="118"/>
  <c r="AL9" i="118"/>
  <c r="AL10" i="118"/>
  <c r="AL11" i="118"/>
  <c r="AL12" i="118"/>
  <c r="AL13" i="118"/>
  <c r="AL14" i="118"/>
  <c r="AL15" i="118"/>
  <c r="AL16" i="118"/>
  <c r="AL17" i="118"/>
  <c r="AL18" i="118"/>
  <c r="AL19" i="118"/>
  <c r="AL20" i="118"/>
  <c r="AL21" i="118"/>
  <c r="AL22" i="118"/>
  <c r="AL23" i="118"/>
  <c r="AL24" i="118"/>
  <c r="AL26" i="118"/>
  <c r="AL27" i="118"/>
  <c r="AL28" i="118"/>
  <c r="AL29" i="118"/>
  <c r="AL30" i="118"/>
  <c r="AL31" i="118"/>
  <c r="AL32" i="118"/>
  <c r="AL33" i="118"/>
  <c r="AL34" i="118"/>
  <c r="AL35" i="118"/>
  <c r="AL36" i="118"/>
  <c r="AL37" i="118"/>
  <c r="AL38" i="118"/>
  <c r="AL39" i="118"/>
  <c r="AL40" i="118"/>
  <c r="AB15" i="57"/>
  <c r="AC15" i="57"/>
  <c r="AB16" i="57"/>
  <c r="AC16" i="57"/>
  <c r="AB17" i="57"/>
  <c r="AC17" i="57"/>
  <c r="AB18" i="57"/>
  <c r="AC18" i="57"/>
  <c r="AB19" i="57"/>
  <c r="AC19" i="57"/>
  <c r="AB20" i="57"/>
  <c r="AC20" i="57"/>
  <c r="AB21" i="57"/>
  <c r="AC21" i="57"/>
  <c r="AB22" i="57"/>
  <c r="AC22" i="57"/>
  <c r="AB23" i="57"/>
  <c r="AC23" i="57"/>
  <c r="AB24" i="57"/>
  <c r="AC24" i="57"/>
  <c r="AB25" i="57"/>
  <c r="AC25" i="57"/>
  <c r="AB26" i="57"/>
  <c r="AC26" i="57"/>
  <c r="AB27" i="57"/>
  <c r="AC27" i="57"/>
  <c r="AB28" i="57"/>
  <c r="AC28" i="57"/>
  <c r="AB29" i="57"/>
  <c r="AC29" i="57"/>
  <c r="AB30" i="57"/>
  <c r="AC30" i="57"/>
  <c r="AB31" i="57"/>
  <c r="AC31" i="57"/>
  <c r="AB32" i="57"/>
  <c r="AC32" i="57"/>
  <c r="AB33" i="57"/>
  <c r="AC33" i="57"/>
  <c r="AB34" i="57"/>
  <c r="AC34" i="57"/>
  <c r="AB35" i="57"/>
  <c r="AB36" i="57"/>
  <c r="AC37" i="57"/>
  <c r="AB38" i="57"/>
  <c r="AC38" i="57"/>
  <c r="AB39" i="57"/>
  <c r="AC39" i="57"/>
  <c r="AB14" i="57"/>
  <c r="AC14" i="57"/>
  <c r="AC13" i="57"/>
  <c r="AB13" i="57"/>
  <c r="AB5" i="57"/>
  <c r="AC5" i="57"/>
  <c r="AB6" i="57"/>
  <c r="AC6" i="57"/>
  <c r="AB7" i="57"/>
  <c r="AC7" i="57"/>
  <c r="AB8" i="57"/>
  <c r="AC8" i="57"/>
  <c r="AB9" i="57"/>
  <c r="AC9" i="57"/>
  <c r="AB10" i="57"/>
  <c r="AC10" i="57"/>
  <c r="AC3" i="118"/>
  <c r="AC4" i="118"/>
  <c r="AC5" i="118"/>
  <c r="AC6" i="118"/>
  <c r="AC8" i="118"/>
  <c r="AC9" i="118"/>
  <c r="AC10" i="118"/>
  <c r="AC11" i="118"/>
  <c r="AC12" i="118"/>
  <c r="AC13" i="118"/>
  <c r="AC14" i="118"/>
  <c r="AC15" i="118"/>
  <c r="AC16" i="118"/>
  <c r="AC17" i="118"/>
  <c r="AC18" i="118"/>
  <c r="AC19" i="118"/>
  <c r="AC20" i="118"/>
  <c r="AC21" i="118"/>
  <c r="AC22" i="118"/>
  <c r="AC23" i="118"/>
  <c r="AC24" i="118"/>
  <c r="AC25" i="118"/>
  <c r="AC26" i="118"/>
  <c r="AC27" i="118"/>
  <c r="AC28" i="118"/>
  <c r="AC29" i="118"/>
  <c r="AC30" i="118"/>
  <c r="AC31" i="118"/>
  <c r="AC32" i="118"/>
  <c r="AC33" i="118"/>
  <c r="AC34" i="118"/>
  <c r="AC35" i="118"/>
  <c r="AC36" i="118"/>
  <c r="AC37" i="118"/>
  <c r="AC38" i="118"/>
  <c r="AC39" i="118"/>
  <c r="AC40" i="118"/>
  <c r="AC1" i="118"/>
  <c r="AB4" i="118"/>
  <c r="AB5" i="118"/>
  <c r="AB6" i="118"/>
  <c r="AB7" i="118"/>
  <c r="AB8" i="118"/>
  <c r="AB9" i="118"/>
  <c r="AB10" i="118"/>
  <c r="AB11" i="118"/>
  <c r="AB12" i="118"/>
  <c r="AB13" i="118"/>
  <c r="AB14" i="118"/>
  <c r="AB15" i="118"/>
  <c r="AB16" i="118"/>
  <c r="AB17" i="118"/>
  <c r="AB18" i="118"/>
  <c r="AB20" i="118"/>
  <c r="AB21" i="118"/>
  <c r="AB22" i="118"/>
  <c r="AB23" i="118"/>
  <c r="AB24" i="118"/>
  <c r="AB26" i="118"/>
  <c r="AB28" i="118"/>
  <c r="AB31" i="118"/>
  <c r="AB32" i="118"/>
  <c r="AB33" i="118"/>
  <c r="AB34" i="118"/>
  <c r="AB35" i="118"/>
  <c r="AB36" i="118"/>
  <c r="AB37" i="118"/>
  <c r="AB39" i="118"/>
  <c r="AB40" i="118"/>
  <c r="AB1" i="118"/>
  <c r="AG4" i="74"/>
  <c r="X4" i="74"/>
  <c r="AJ4" i="74"/>
  <c r="AC324" i="28" l="1"/>
  <c r="AC1633" i="57"/>
  <c r="AK1693" i="57"/>
  <c r="AL2" i="118"/>
  <c r="AK532" i="57"/>
  <c r="AC429" i="57"/>
  <c r="AC814" i="57"/>
  <c r="AC36" i="28"/>
  <c r="AC295" i="28"/>
  <c r="AC2" i="118"/>
  <c r="AC1050" i="57"/>
  <c r="AC134" i="28"/>
  <c r="AC714" i="57"/>
  <c r="AC290" i="57"/>
  <c r="AC39" i="28"/>
  <c r="AB29" i="118"/>
  <c r="AB510" i="57"/>
  <c r="AB1693" i="57"/>
  <c r="AB25" i="118"/>
  <c r="AB1718" i="57"/>
  <c r="AB27" i="118"/>
  <c r="AI4" i="74"/>
  <c r="Z4" i="74"/>
  <c r="AA4" i="74" s="1"/>
  <c r="V4" i="74"/>
  <c r="AG16" i="114"/>
  <c r="X16" i="114"/>
  <c r="X14" i="114"/>
  <c r="AJ16" i="114"/>
  <c r="X15" i="114"/>
  <c r="X13" i="114"/>
  <c r="X12" i="114"/>
  <c r="Z15" i="114" l="1"/>
  <c r="AA15" i="114" s="1"/>
  <c r="V15" i="114"/>
  <c r="Z16" i="114"/>
  <c r="AA16" i="114" s="1"/>
  <c r="V16" i="114"/>
  <c r="Z12" i="114"/>
  <c r="AA12" i="114" s="1"/>
  <c r="V12" i="114"/>
  <c r="Z13" i="114"/>
  <c r="AA13" i="114" s="1"/>
  <c r="V13" i="114"/>
  <c r="V14" i="114"/>
  <c r="Z14" i="114"/>
  <c r="AA14" i="114" s="1"/>
  <c r="AI16" i="114"/>
  <c r="AJ11" i="114"/>
  <c r="AG11" i="114" l="1"/>
  <c r="X11" i="114"/>
  <c r="Z11" i="114" l="1"/>
  <c r="AA11" i="114" s="1"/>
  <c r="V11" i="114"/>
  <c r="AI11" i="114"/>
  <c r="AG10" i="114"/>
  <c r="X10" i="114"/>
  <c r="AJ10" i="114"/>
  <c r="Z10" i="114" l="1"/>
  <c r="AA10" i="114" s="1"/>
  <c r="V10" i="114"/>
  <c r="AI10" i="114"/>
  <c r="AJ9" i="114"/>
  <c r="AG9" i="114" l="1"/>
  <c r="X9" i="114"/>
  <c r="Z9" i="114" l="1"/>
  <c r="AA9" i="114" s="1"/>
  <c r="V9" i="114"/>
  <c r="AI9" i="114"/>
  <c r="AJ8" i="114"/>
  <c r="AG8" i="114" l="1"/>
  <c r="X8" i="114"/>
  <c r="Z8" i="114" l="1"/>
  <c r="AA8" i="114" s="1"/>
  <c r="V8" i="114"/>
  <c r="AI8" i="114"/>
  <c r="AJ7" i="114"/>
  <c r="AG7" i="114" l="1"/>
  <c r="X7" i="114"/>
  <c r="Z7" i="114" l="1"/>
  <c r="AA7" i="114" s="1"/>
  <c r="V7" i="114"/>
  <c r="AI7" i="114"/>
  <c r="U105" i="28" l="1"/>
  <c r="V105" i="28" s="1"/>
  <c r="W105" i="28"/>
  <c r="U106" i="28"/>
  <c r="V106" i="28" s="1"/>
  <c r="W106" i="28"/>
  <c r="U107" i="28"/>
  <c r="V107" i="28" s="1"/>
  <c r="W107" i="28"/>
  <c r="U108" i="28"/>
  <c r="V108" i="28" s="1"/>
  <c r="W108" i="28"/>
  <c r="U109" i="28"/>
  <c r="V109" i="28" s="1"/>
  <c r="W109" i="28"/>
  <c r="U110" i="28"/>
  <c r="V110" i="28" s="1"/>
  <c r="W110" i="28"/>
  <c r="U111" i="28"/>
  <c r="V111" i="28" s="1"/>
  <c r="W111" i="28"/>
  <c r="U112" i="28"/>
  <c r="V112" i="28" s="1"/>
  <c r="W112" i="28"/>
  <c r="U113" i="28"/>
  <c r="V113" i="28" s="1"/>
  <c r="W113" i="28"/>
  <c r="U114" i="28"/>
  <c r="V114" i="28" s="1"/>
  <c r="W114" i="28"/>
  <c r="U115" i="28"/>
  <c r="V115" i="28" s="1"/>
  <c r="W115" i="28"/>
  <c r="U116" i="28"/>
  <c r="V116" i="28" s="1"/>
  <c r="W116" i="28"/>
  <c r="U117" i="28"/>
  <c r="V117" i="28" s="1"/>
  <c r="W117" i="28"/>
  <c r="U118" i="28"/>
  <c r="V118" i="28" s="1"/>
  <c r="W118" i="28"/>
  <c r="U119" i="28"/>
  <c r="V119" i="28" s="1"/>
  <c r="W119" i="28"/>
  <c r="U120" i="28"/>
  <c r="V120" i="28" s="1"/>
  <c r="W120" i="28"/>
  <c r="U121" i="28"/>
  <c r="V121" i="28" s="1"/>
  <c r="W121" i="28"/>
  <c r="U122" i="28"/>
  <c r="V122" i="28" s="1"/>
  <c r="W122" i="28"/>
  <c r="U123" i="28"/>
  <c r="V123" i="28" s="1"/>
  <c r="W123" i="28"/>
  <c r="U124" i="28"/>
  <c r="V124" i="28" s="1"/>
  <c r="W124" i="28"/>
  <c r="U125" i="28"/>
  <c r="V125" i="28" s="1"/>
  <c r="W125" i="28"/>
  <c r="U126" i="28"/>
  <c r="V126" i="28" s="1"/>
  <c r="W126" i="28"/>
  <c r="U127" i="28"/>
  <c r="V127" i="28" s="1"/>
  <c r="W127" i="28"/>
  <c r="U128" i="28"/>
  <c r="V128" i="28" s="1"/>
  <c r="W128" i="28"/>
  <c r="U129" i="28"/>
  <c r="V129" i="28" s="1"/>
  <c r="W129" i="28"/>
  <c r="U130" i="28"/>
  <c r="V130" i="28" s="1"/>
  <c r="W130" i="28"/>
  <c r="U131" i="28"/>
  <c r="V131" i="28" s="1"/>
  <c r="W131" i="28"/>
  <c r="U132" i="28"/>
  <c r="V132" i="28" s="1"/>
  <c r="W132" i="28"/>
  <c r="U133" i="28"/>
  <c r="V133" i="28" s="1"/>
  <c r="W133" i="28"/>
  <c r="U134" i="28"/>
  <c r="V134" i="28" s="1"/>
  <c r="W134" i="28"/>
  <c r="U135" i="28"/>
  <c r="V135" i="28" s="1"/>
  <c r="W135" i="28"/>
  <c r="U136" i="28"/>
  <c r="V136" i="28" s="1"/>
  <c r="W136" i="28"/>
  <c r="U137" i="28"/>
  <c r="V137" i="28" s="1"/>
  <c r="W137" i="28"/>
  <c r="U138" i="28"/>
  <c r="V138" i="28" s="1"/>
  <c r="W138" i="28"/>
  <c r="U139" i="28"/>
  <c r="V139" i="28" s="1"/>
  <c r="W139" i="28"/>
  <c r="U140" i="28"/>
  <c r="V140" i="28" s="1"/>
  <c r="W140" i="28"/>
  <c r="U141" i="28"/>
  <c r="V141" i="28" s="1"/>
  <c r="W141" i="28"/>
  <c r="U142" i="28"/>
  <c r="V142" i="28" s="1"/>
  <c r="W142" i="28"/>
  <c r="U143" i="28"/>
  <c r="V143" i="28" s="1"/>
  <c r="W143" i="28"/>
  <c r="U144" i="28"/>
  <c r="V144" i="28" s="1"/>
  <c r="W144" i="28"/>
  <c r="U145" i="28"/>
  <c r="V145" i="28" s="1"/>
  <c r="W145" i="28"/>
  <c r="U146" i="28"/>
  <c r="V146" i="28" s="1"/>
  <c r="W146" i="28"/>
  <c r="U147" i="28"/>
  <c r="V147" i="28" s="1"/>
  <c r="W147" i="28"/>
  <c r="U148" i="28"/>
  <c r="V148" i="28" s="1"/>
  <c r="W148" i="28"/>
  <c r="U149" i="28"/>
  <c r="V149" i="28" s="1"/>
  <c r="W149" i="28"/>
  <c r="U150" i="28"/>
  <c r="V150" i="28" s="1"/>
  <c r="W150" i="28"/>
  <c r="U151" i="28"/>
  <c r="V151" i="28" s="1"/>
  <c r="W151" i="28"/>
  <c r="U152" i="28"/>
  <c r="V152" i="28" s="1"/>
  <c r="W152" i="28"/>
  <c r="U153" i="28"/>
  <c r="V153" i="28" s="1"/>
  <c r="W153" i="28"/>
  <c r="U154" i="28"/>
  <c r="V154" i="28" s="1"/>
  <c r="W154" i="28"/>
  <c r="U155" i="28"/>
  <c r="V155" i="28" s="1"/>
  <c r="W155" i="28"/>
  <c r="U156" i="28"/>
  <c r="V156" i="28" s="1"/>
  <c r="W156" i="28"/>
  <c r="U157" i="28"/>
  <c r="V157" i="28" s="1"/>
  <c r="W157" i="28"/>
  <c r="U158" i="28"/>
  <c r="V158" i="28" s="1"/>
  <c r="W158" i="28"/>
  <c r="U159" i="28"/>
  <c r="V159" i="28" s="1"/>
  <c r="W159" i="28"/>
  <c r="U160" i="28"/>
  <c r="V160" i="28" s="1"/>
  <c r="W160" i="28"/>
  <c r="U161" i="28"/>
  <c r="V161" i="28" s="1"/>
  <c r="W161" i="28"/>
  <c r="U162" i="28"/>
  <c r="V162" i="28" s="1"/>
  <c r="W162" i="28"/>
  <c r="U163" i="28"/>
  <c r="V163" i="28" s="1"/>
  <c r="W163" i="28"/>
  <c r="U164" i="28"/>
  <c r="V164" i="28" s="1"/>
  <c r="W164" i="28"/>
  <c r="U165" i="28"/>
  <c r="V165" i="28" s="1"/>
  <c r="W165" i="28"/>
  <c r="U166" i="28"/>
  <c r="V166" i="28" s="1"/>
  <c r="W166" i="28"/>
  <c r="U167" i="28"/>
  <c r="V167" i="28" s="1"/>
  <c r="W167" i="28"/>
  <c r="U168" i="28"/>
  <c r="V168" i="28" s="1"/>
  <c r="W168" i="28"/>
  <c r="U169" i="28"/>
  <c r="V169" i="28" s="1"/>
  <c r="W169" i="28"/>
  <c r="U170" i="28"/>
  <c r="V170" i="28" s="1"/>
  <c r="W170" i="28"/>
  <c r="U171" i="28"/>
  <c r="V171" i="28" s="1"/>
  <c r="W171" i="28"/>
  <c r="U172" i="28"/>
  <c r="V172" i="28" s="1"/>
  <c r="W172" i="28"/>
  <c r="U173" i="28"/>
  <c r="V173" i="28" s="1"/>
  <c r="W173" i="28"/>
  <c r="U174" i="28"/>
  <c r="V174" i="28" s="1"/>
  <c r="W174" i="28"/>
  <c r="U175" i="28"/>
  <c r="V175" i="28" s="1"/>
  <c r="W175" i="28"/>
  <c r="U176" i="28"/>
  <c r="V176" i="28" s="1"/>
  <c r="W176" i="28"/>
  <c r="U177" i="28"/>
  <c r="V177" i="28" s="1"/>
  <c r="W177" i="28"/>
  <c r="U178" i="28"/>
  <c r="V178" i="28" s="1"/>
  <c r="W178" i="28"/>
  <c r="U179" i="28"/>
  <c r="V179" i="28" s="1"/>
  <c r="W179" i="28"/>
  <c r="U180" i="28"/>
  <c r="V180" i="28" s="1"/>
  <c r="W180" i="28"/>
  <c r="U181" i="28"/>
  <c r="V181" i="28" s="1"/>
  <c r="W181" i="28"/>
  <c r="U182" i="28"/>
  <c r="V182" i="28" s="1"/>
  <c r="W182" i="28"/>
  <c r="U183" i="28"/>
  <c r="V183" i="28" s="1"/>
  <c r="W183" i="28"/>
  <c r="U184" i="28"/>
  <c r="V184" i="28" s="1"/>
  <c r="W184" i="28"/>
  <c r="U185" i="28"/>
  <c r="V185" i="28" s="1"/>
  <c r="W185" i="28"/>
  <c r="U186" i="28"/>
  <c r="V186" i="28" s="1"/>
  <c r="W186" i="28"/>
  <c r="U187" i="28"/>
  <c r="V187" i="28" s="1"/>
  <c r="W187" i="28"/>
  <c r="U188" i="28"/>
  <c r="V188" i="28" s="1"/>
  <c r="W188" i="28"/>
  <c r="U189" i="28"/>
  <c r="V189" i="28" s="1"/>
  <c r="W189" i="28"/>
  <c r="U190" i="28"/>
  <c r="V190" i="28" s="1"/>
  <c r="W190" i="28"/>
  <c r="U191" i="28"/>
  <c r="V191" i="28" s="1"/>
  <c r="W191" i="28"/>
  <c r="U192" i="28"/>
  <c r="V192" i="28" s="1"/>
  <c r="W192" i="28"/>
  <c r="U193" i="28"/>
  <c r="V193" i="28" s="1"/>
  <c r="W193" i="28"/>
  <c r="U194" i="28"/>
  <c r="V194" i="28" s="1"/>
  <c r="W194" i="28"/>
  <c r="U195" i="28"/>
  <c r="V195" i="28" s="1"/>
  <c r="W195" i="28"/>
  <c r="U196" i="28"/>
  <c r="V196" i="28" s="1"/>
  <c r="W196" i="28"/>
  <c r="U197" i="28"/>
  <c r="V197" i="28" s="1"/>
  <c r="W197" i="28"/>
  <c r="U198" i="28"/>
  <c r="V198" i="28" s="1"/>
  <c r="W198" i="28"/>
  <c r="U199" i="28"/>
  <c r="V199" i="28" s="1"/>
  <c r="W199" i="28"/>
  <c r="U200" i="28"/>
  <c r="V200" i="28" s="1"/>
  <c r="W200" i="28"/>
  <c r="U201" i="28"/>
  <c r="V201" i="28" s="1"/>
  <c r="W201" i="28"/>
  <c r="U202" i="28"/>
  <c r="V202" i="28" s="1"/>
  <c r="W202" i="28"/>
  <c r="U203" i="28"/>
  <c r="V203" i="28" s="1"/>
  <c r="W203" i="28"/>
  <c r="U204" i="28"/>
  <c r="V204" i="28" s="1"/>
  <c r="W204" i="28"/>
  <c r="U205" i="28"/>
  <c r="V205" i="28" s="1"/>
  <c r="W205" i="28"/>
  <c r="U206" i="28"/>
  <c r="V206" i="28" s="1"/>
  <c r="W206" i="28"/>
  <c r="U207" i="28"/>
  <c r="V207" i="28" s="1"/>
  <c r="W207" i="28"/>
  <c r="U208" i="28"/>
  <c r="V208" i="28" s="1"/>
  <c r="W208" i="28"/>
  <c r="U209" i="28"/>
  <c r="V209" i="28" s="1"/>
  <c r="W209" i="28"/>
  <c r="U210" i="28"/>
  <c r="V210" i="28" s="1"/>
  <c r="W210" i="28"/>
  <c r="U211" i="28"/>
  <c r="V211" i="28" s="1"/>
  <c r="W211" i="28"/>
  <c r="U212" i="28"/>
  <c r="V212" i="28" s="1"/>
  <c r="W212" i="28"/>
  <c r="U213" i="28"/>
  <c r="V213" i="28" s="1"/>
  <c r="W213" i="28"/>
  <c r="U214" i="28"/>
  <c r="V214" i="28" s="1"/>
  <c r="W214" i="28"/>
  <c r="U215" i="28"/>
  <c r="V215" i="28" s="1"/>
  <c r="W215" i="28"/>
  <c r="U216" i="28"/>
  <c r="V216" i="28" s="1"/>
  <c r="W216" i="28"/>
  <c r="U217" i="28"/>
  <c r="V217" i="28" s="1"/>
  <c r="W217" i="28"/>
  <c r="U218" i="28"/>
  <c r="V218" i="28" s="1"/>
  <c r="W218" i="28"/>
  <c r="U219" i="28"/>
  <c r="V219" i="28" s="1"/>
  <c r="W219" i="28"/>
  <c r="U220" i="28"/>
  <c r="V220" i="28" s="1"/>
  <c r="W220" i="28"/>
  <c r="U221" i="28"/>
  <c r="V221" i="28" s="1"/>
  <c r="W221" i="28"/>
  <c r="U222" i="28"/>
  <c r="V222" i="28" s="1"/>
  <c r="W222" i="28"/>
  <c r="U223" i="28"/>
  <c r="V223" i="28" s="1"/>
  <c r="W223" i="28"/>
  <c r="U224" i="28"/>
  <c r="V224" i="28" s="1"/>
  <c r="W224" i="28"/>
  <c r="U225" i="28"/>
  <c r="V225" i="28" s="1"/>
  <c r="W225" i="28"/>
  <c r="U226" i="28"/>
  <c r="V226" i="28" s="1"/>
  <c r="W226" i="28"/>
  <c r="U227" i="28"/>
  <c r="V227" i="28" s="1"/>
  <c r="W227" i="28"/>
  <c r="U228" i="28"/>
  <c r="V228" i="28" s="1"/>
  <c r="W228" i="28"/>
  <c r="U229" i="28"/>
  <c r="V229" i="28" s="1"/>
  <c r="W229" i="28"/>
  <c r="U230" i="28"/>
  <c r="V230" i="28" s="1"/>
  <c r="W230" i="28"/>
  <c r="U231" i="28"/>
  <c r="V231" i="28" s="1"/>
  <c r="W231" i="28"/>
  <c r="U232" i="28"/>
  <c r="V232" i="28" s="1"/>
  <c r="W232" i="28"/>
  <c r="U233" i="28"/>
  <c r="V233" i="28" s="1"/>
  <c r="W233" i="28"/>
  <c r="U234" i="28"/>
  <c r="V234" i="28" s="1"/>
  <c r="W234" i="28"/>
  <c r="U235" i="28"/>
  <c r="V235" i="28" s="1"/>
  <c r="W235" i="28"/>
  <c r="U236" i="28"/>
  <c r="V236" i="28" s="1"/>
  <c r="W236" i="28"/>
  <c r="U237" i="28"/>
  <c r="V237" i="28" s="1"/>
  <c r="W237" i="28"/>
  <c r="U238" i="28"/>
  <c r="V238" i="28" s="1"/>
  <c r="W238" i="28"/>
  <c r="U239" i="28"/>
  <c r="V239" i="28" s="1"/>
  <c r="W239" i="28"/>
  <c r="U240" i="28"/>
  <c r="V240" i="28" s="1"/>
  <c r="W240" i="28"/>
  <c r="U241" i="28"/>
  <c r="V241" i="28" s="1"/>
  <c r="W241" i="28"/>
  <c r="U242" i="28"/>
  <c r="V242" i="28" s="1"/>
  <c r="W242" i="28"/>
  <c r="U243" i="28"/>
  <c r="V243" i="28" s="1"/>
  <c r="W243" i="28"/>
  <c r="U244" i="28"/>
  <c r="V244" i="28" s="1"/>
  <c r="W244" i="28"/>
  <c r="U245" i="28"/>
  <c r="V245" i="28" s="1"/>
  <c r="W245" i="28"/>
  <c r="U246" i="28"/>
  <c r="V246" i="28" s="1"/>
  <c r="W246" i="28"/>
  <c r="U247" i="28"/>
  <c r="V247" i="28" s="1"/>
  <c r="W247" i="28"/>
  <c r="U248" i="28"/>
  <c r="V248" i="28" s="1"/>
  <c r="W248" i="28"/>
  <c r="U249" i="28"/>
  <c r="V249" i="28" s="1"/>
  <c r="W249" i="28"/>
  <c r="U250" i="28"/>
  <c r="V250" i="28" s="1"/>
  <c r="W250" i="28"/>
  <c r="U251" i="28"/>
  <c r="V251" i="28" s="1"/>
  <c r="W251" i="28"/>
  <c r="U252" i="28"/>
  <c r="V252" i="28" s="1"/>
  <c r="W252" i="28"/>
  <c r="U253" i="28"/>
  <c r="V253" i="28" s="1"/>
  <c r="W253" i="28"/>
  <c r="U254" i="28"/>
  <c r="V254" i="28" s="1"/>
  <c r="W254" i="28"/>
  <c r="U255" i="28"/>
  <c r="V255" i="28" s="1"/>
  <c r="W255" i="28"/>
  <c r="U256" i="28"/>
  <c r="V256" i="28" s="1"/>
  <c r="W256" i="28"/>
  <c r="U257" i="28"/>
  <c r="V257" i="28" s="1"/>
  <c r="W257" i="28"/>
  <c r="U258" i="28"/>
  <c r="V258" i="28" s="1"/>
  <c r="W258" i="28"/>
  <c r="U259" i="28"/>
  <c r="V259" i="28" s="1"/>
  <c r="W259" i="28"/>
  <c r="U260" i="28"/>
  <c r="V260" i="28" s="1"/>
  <c r="W260" i="28"/>
  <c r="U261" i="28"/>
  <c r="V261" i="28" s="1"/>
  <c r="W261" i="28"/>
  <c r="U262" i="28"/>
  <c r="V262" i="28" s="1"/>
  <c r="W262" i="28"/>
  <c r="U263" i="28"/>
  <c r="V263" i="28" s="1"/>
  <c r="W263" i="28"/>
  <c r="U264" i="28"/>
  <c r="V264" i="28" s="1"/>
  <c r="W264" i="28"/>
  <c r="U265" i="28"/>
  <c r="V265" i="28" s="1"/>
  <c r="W265" i="28"/>
  <c r="U266" i="28"/>
  <c r="V266" i="28" s="1"/>
  <c r="W266" i="28"/>
  <c r="U267" i="28"/>
  <c r="V267" i="28" s="1"/>
  <c r="W267" i="28"/>
  <c r="U268" i="28"/>
  <c r="V268" i="28" s="1"/>
  <c r="W268" i="28"/>
  <c r="U269" i="28"/>
  <c r="V269" i="28" s="1"/>
  <c r="W269" i="28"/>
  <c r="U270" i="28"/>
  <c r="V270" i="28" s="1"/>
  <c r="W270" i="28"/>
  <c r="U271" i="28"/>
  <c r="V271" i="28" s="1"/>
  <c r="W271" i="28"/>
  <c r="U272" i="28"/>
  <c r="V272" i="28" s="1"/>
  <c r="W272" i="28"/>
  <c r="U273" i="28"/>
  <c r="V273" i="28" s="1"/>
  <c r="W273" i="28"/>
  <c r="U274" i="28"/>
  <c r="V274" i="28" s="1"/>
  <c r="W274" i="28"/>
  <c r="U275" i="28"/>
  <c r="V275" i="28" s="1"/>
  <c r="W275" i="28"/>
  <c r="U276" i="28"/>
  <c r="V276" i="28" s="1"/>
  <c r="W276" i="28"/>
  <c r="U277" i="28"/>
  <c r="V277" i="28" s="1"/>
  <c r="W277" i="28"/>
  <c r="U278" i="28"/>
  <c r="V278" i="28" s="1"/>
  <c r="W278" i="28"/>
  <c r="U279" i="28"/>
  <c r="V279" i="28" s="1"/>
  <c r="W279" i="28"/>
  <c r="U280" i="28"/>
  <c r="V280" i="28" s="1"/>
  <c r="W280" i="28"/>
  <c r="U281" i="28"/>
  <c r="V281" i="28" s="1"/>
  <c r="W281" i="28"/>
  <c r="U282" i="28"/>
  <c r="V282" i="28" s="1"/>
  <c r="W282" i="28"/>
  <c r="U283" i="28"/>
  <c r="V283" i="28" s="1"/>
  <c r="W283" i="28"/>
  <c r="U284" i="28"/>
  <c r="V284" i="28" s="1"/>
  <c r="W284" i="28"/>
  <c r="U285" i="28"/>
  <c r="V285" i="28" s="1"/>
  <c r="W285" i="28"/>
  <c r="U286" i="28"/>
  <c r="V286" i="28" s="1"/>
  <c r="W286" i="28"/>
  <c r="U287" i="28"/>
  <c r="V287" i="28" s="1"/>
  <c r="W287" i="28"/>
  <c r="U288" i="28"/>
  <c r="V288" i="28" s="1"/>
  <c r="W288" i="28"/>
  <c r="U289" i="28"/>
  <c r="V289" i="28" s="1"/>
  <c r="W289" i="28"/>
  <c r="U290" i="28"/>
  <c r="V290" i="28" s="1"/>
  <c r="W290" i="28"/>
  <c r="U291" i="28"/>
  <c r="V291" i="28" s="1"/>
  <c r="W291" i="28"/>
  <c r="U292" i="28"/>
  <c r="V292" i="28" s="1"/>
  <c r="W292" i="28"/>
  <c r="U293" i="28"/>
  <c r="V293" i="28" s="1"/>
  <c r="W293" i="28"/>
  <c r="U294" i="28"/>
  <c r="V294" i="28" s="1"/>
  <c r="W294" i="28"/>
  <c r="U295" i="28"/>
  <c r="V295" i="28" s="1"/>
  <c r="W295" i="28"/>
  <c r="U296" i="28"/>
  <c r="V296" i="28" s="1"/>
  <c r="W296" i="28"/>
  <c r="U297" i="28"/>
  <c r="V297" i="28" s="1"/>
  <c r="W297" i="28"/>
  <c r="U298" i="28"/>
  <c r="V298" i="28" s="1"/>
  <c r="W298" i="28"/>
  <c r="U299" i="28"/>
  <c r="V299" i="28" s="1"/>
  <c r="W299" i="28"/>
  <c r="U300" i="28"/>
  <c r="V300" i="28" s="1"/>
  <c r="W300" i="28"/>
  <c r="U301" i="28"/>
  <c r="V301" i="28" s="1"/>
  <c r="W301" i="28"/>
  <c r="U302" i="28"/>
  <c r="V302" i="28" s="1"/>
  <c r="W302" i="28"/>
  <c r="U303" i="28"/>
  <c r="V303" i="28" s="1"/>
  <c r="W303" i="28"/>
  <c r="U304" i="28"/>
  <c r="V304" i="28" s="1"/>
  <c r="W304" i="28"/>
  <c r="U305" i="28"/>
  <c r="V305" i="28" s="1"/>
  <c r="W305" i="28"/>
  <c r="U306" i="28"/>
  <c r="V306" i="28" s="1"/>
  <c r="W306" i="28"/>
  <c r="U307" i="28"/>
  <c r="V307" i="28" s="1"/>
  <c r="W307" i="28"/>
  <c r="U308" i="28"/>
  <c r="V308" i="28" s="1"/>
  <c r="W308" i="28"/>
  <c r="U309" i="28"/>
  <c r="V309" i="28" s="1"/>
  <c r="W309" i="28"/>
  <c r="U310" i="28"/>
  <c r="V310" i="28" s="1"/>
  <c r="W310" i="28"/>
  <c r="U311" i="28"/>
  <c r="V311" i="28" s="1"/>
  <c r="W311" i="28"/>
  <c r="U312" i="28"/>
  <c r="V312" i="28" s="1"/>
  <c r="W312" i="28"/>
  <c r="U313" i="28"/>
  <c r="V313" i="28" s="1"/>
  <c r="W313" i="28"/>
  <c r="U314" i="28"/>
  <c r="V314" i="28" s="1"/>
  <c r="W314" i="28"/>
  <c r="U315" i="28"/>
  <c r="V315" i="28" s="1"/>
  <c r="W315" i="28"/>
  <c r="U316" i="28"/>
  <c r="V316" i="28" s="1"/>
  <c r="W316" i="28"/>
  <c r="U317" i="28"/>
  <c r="V317" i="28" s="1"/>
  <c r="W317" i="28"/>
  <c r="U318" i="28"/>
  <c r="V318" i="28" s="1"/>
  <c r="W318" i="28"/>
  <c r="U319" i="28"/>
  <c r="V319" i="28" s="1"/>
  <c r="W319" i="28"/>
  <c r="U320" i="28"/>
  <c r="V320" i="28" s="1"/>
  <c r="W320" i="28"/>
  <c r="U321" i="28"/>
  <c r="V321" i="28" s="1"/>
  <c r="W321" i="28"/>
  <c r="U322" i="28"/>
  <c r="V322" i="28" s="1"/>
  <c r="W322" i="28"/>
  <c r="U323" i="28"/>
  <c r="V323" i="28" s="1"/>
  <c r="W323" i="28"/>
  <c r="U324" i="28"/>
  <c r="V324" i="28" s="1"/>
  <c r="W324" i="28"/>
  <c r="U325" i="28"/>
  <c r="V325" i="28" s="1"/>
  <c r="W325" i="28"/>
  <c r="U326" i="28"/>
  <c r="V326" i="28" s="1"/>
  <c r="W326" i="28"/>
  <c r="U327" i="28"/>
  <c r="V327" i="28" s="1"/>
  <c r="W327" i="28"/>
  <c r="U328" i="28"/>
  <c r="V328" i="28" s="1"/>
  <c r="W328" i="28"/>
  <c r="U329" i="28"/>
  <c r="V329" i="28" s="1"/>
  <c r="W329" i="28"/>
  <c r="U330" i="28"/>
  <c r="V330" i="28" s="1"/>
  <c r="W330" i="28"/>
  <c r="U331" i="28"/>
  <c r="V331" i="28" s="1"/>
  <c r="W331" i="28"/>
  <c r="U332" i="28"/>
  <c r="V332" i="28" s="1"/>
  <c r="W332" i="28"/>
  <c r="U333" i="28"/>
  <c r="V333" i="28" s="1"/>
  <c r="W333" i="28"/>
  <c r="U334" i="28"/>
  <c r="V334" i="28" s="1"/>
  <c r="W334" i="28"/>
  <c r="U335" i="28"/>
  <c r="V335" i="28" s="1"/>
  <c r="W335" i="28"/>
  <c r="U336" i="28"/>
  <c r="V336" i="28" s="1"/>
  <c r="W336" i="28"/>
  <c r="U337" i="28"/>
  <c r="V337" i="28" s="1"/>
  <c r="W337" i="28"/>
  <c r="U338" i="28"/>
  <c r="V338" i="28" s="1"/>
  <c r="W338" i="28"/>
  <c r="U339" i="28"/>
  <c r="V339" i="28" s="1"/>
  <c r="W339" i="28"/>
  <c r="U340" i="28"/>
  <c r="V340" i="28" s="1"/>
  <c r="W340" i="28"/>
  <c r="U341" i="28"/>
  <c r="V341" i="28" s="1"/>
  <c r="W341" i="28"/>
  <c r="U342" i="28"/>
  <c r="V342" i="28" s="1"/>
  <c r="W342" i="28"/>
  <c r="U72" i="28"/>
  <c r="V72" i="28" s="1"/>
  <c r="W72" i="28"/>
  <c r="U73" i="28"/>
  <c r="V73" i="28" s="1"/>
  <c r="W73" i="28"/>
  <c r="U74" i="28"/>
  <c r="V74" i="28" s="1"/>
  <c r="W74" i="28"/>
  <c r="U75" i="28"/>
  <c r="V75" i="28" s="1"/>
  <c r="W75" i="28"/>
  <c r="U76" i="28"/>
  <c r="V76" i="28" s="1"/>
  <c r="W76" i="28"/>
  <c r="U77" i="28"/>
  <c r="V77" i="28" s="1"/>
  <c r="W77" i="28"/>
  <c r="U78" i="28"/>
  <c r="V78" i="28" s="1"/>
  <c r="W78" i="28"/>
  <c r="U79" i="28"/>
  <c r="V79" i="28" s="1"/>
  <c r="W79" i="28"/>
  <c r="U80" i="28"/>
  <c r="V80" i="28" s="1"/>
  <c r="W80" i="28"/>
  <c r="U81" i="28"/>
  <c r="V81" i="28" s="1"/>
  <c r="W81" i="28"/>
  <c r="U82" i="28"/>
  <c r="V82" i="28" s="1"/>
  <c r="W82" i="28"/>
  <c r="U83" i="28"/>
  <c r="V83" i="28" s="1"/>
  <c r="W83" i="28"/>
  <c r="U84" i="28"/>
  <c r="V84" i="28" s="1"/>
  <c r="W84" i="28"/>
  <c r="U85" i="28"/>
  <c r="V85" i="28" s="1"/>
  <c r="W85" i="28"/>
  <c r="U86" i="28"/>
  <c r="V86" i="28" s="1"/>
  <c r="W86" i="28"/>
  <c r="U87" i="28"/>
  <c r="V87" i="28" s="1"/>
  <c r="W87" i="28"/>
  <c r="U88" i="28"/>
  <c r="V88" i="28" s="1"/>
  <c r="W88" i="28"/>
  <c r="U89" i="28"/>
  <c r="V89" i="28" s="1"/>
  <c r="W89" i="28"/>
  <c r="U90" i="28"/>
  <c r="V90" i="28" s="1"/>
  <c r="W90" i="28"/>
  <c r="U91" i="28"/>
  <c r="V91" i="28" s="1"/>
  <c r="W91" i="28"/>
  <c r="U92" i="28"/>
  <c r="V92" i="28" s="1"/>
  <c r="W92" i="28"/>
  <c r="U93" i="28"/>
  <c r="V93" i="28" s="1"/>
  <c r="W93" i="28"/>
  <c r="U94" i="28"/>
  <c r="V94" i="28" s="1"/>
  <c r="W94" i="28"/>
  <c r="U95" i="28"/>
  <c r="V95" i="28" s="1"/>
  <c r="W95" i="28"/>
  <c r="U96" i="28"/>
  <c r="V96" i="28" s="1"/>
  <c r="W96" i="28"/>
  <c r="U97" i="28"/>
  <c r="V97" i="28" s="1"/>
  <c r="W97" i="28"/>
  <c r="U98" i="28"/>
  <c r="V98" i="28" s="1"/>
  <c r="W98" i="28"/>
  <c r="U99" i="28"/>
  <c r="V99" i="28" s="1"/>
  <c r="W99" i="28"/>
  <c r="U100" i="28"/>
  <c r="V100" i="28" s="1"/>
  <c r="W100" i="28"/>
  <c r="U101" i="28"/>
  <c r="V101" i="28" s="1"/>
  <c r="W101" i="28"/>
  <c r="U102" i="28"/>
  <c r="V102" i="28" s="1"/>
  <c r="W102" i="28"/>
  <c r="U103" i="28"/>
  <c r="V103" i="28" s="1"/>
  <c r="W103" i="28"/>
  <c r="U104" i="28"/>
  <c r="V104" i="28" s="1"/>
  <c r="W104" i="28"/>
  <c r="W71" i="28"/>
  <c r="U71" i="28"/>
  <c r="V71" i="28" s="1"/>
  <c r="W70" i="28"/>
  <c r="U70" i="28"/>
  <c r="V70" i="28" s="1"/>
  <c r="W69" i="28"/>
  <c r="U69" i="28"/>
  <c r="W68" i="28"/>
  <c r="U68" i="28"/>
  <c r="W64" i="28"/>
  <c r="U64" i="28"/>
  <c r="W62" i="28"/>
  <c r="U62" i="28"/>
  <c r="W63" i="28"/>
  <c r="U63" i="28"/>
  <c r="W61" i="28"/>
  <c r="U61" i="28"/>
  <c r="W54" i="28"/>
  <c r="U54" i="28"/>
  <c r="W53" i="28"/>
  <c r="U53" i="28"/>
  <c r="W51" i="28"/>
  <c r="U51" i="28"/>
  <c r="W50" i="28"/>
  <c r="U50" i="28"/>
  <c r="U19" i="28"/>
  <c r="W19" i="28"/>
  <c r="U20" i="28"/>
  <c r="W20" i="28"/>
  <c r="U21" i="28"/>
  <c r="W21" i="28"/>
  <c r="U23" i="28"/>
  <c r="W23" i="28"/>
  <c r="U22" i="28"/>
  <c r="W22" i="28"/>
  <c r="U24" i="28"/>
  <c r="W24" i="28"/>
  <c r="U25" i="28"/>
  <c r="W25" i="28"/>
  <c r="U26" i="28"/>
  <c r="W26" i="28"/>
  <c r="U28" i="28"/>
  <c r="W28" i="28"/>
  <c r="U34" i="28"/>
  <c r="W34" i="28"/>
  <c r="U32" i="28"/>
  <c r="W32" i="28"/>
  <c r="U27" i="28"/>
  <c r="W27" i="28"/>
  <c r="U31" i="28"/>
  <c r="W31" i="28"/>
  <c r="U29" i="28"/>
  <c r="W29" i="28"/>
  <c r="U30" i="28"/>
  <c r="W30" i="28"/>
  <c r="U33" i="28"/>
  <c r="W33" i="28"/>
  <c r="U35" i="28"/>
  <c r="W35" i="28"/>
  <c r="U36" i="28"/>
  <c r="W36" i="28"/>
  <c r="U37" i="28"/>
  <c r="W37" i="28"/>
  <c r="U38" i="28"/>
  <c r="W38" i="28"/>
  <c r="U39" i="28"/>
  <c r="W39" i="28"/>
  <c r="W18" i="28"/>
  <c r="U18" i="28"/>
  <c r="W17" i="28"/>
  <c r="U17" i="28"/>
  <c r="W16" i="28"/>
  <c r="U16" i="28"/>
  <c r="U13" i="28"/>
  <c r="W13" i="28"/>
  <c r="U14" i="28"/>
  <c r="W14" i="28"/>
  <c r="W12" i="28"/>
  <c r="U12" i="28"/>
  <c r="A106" i="28"/>
  <c r="B106" i="28"/>
  <c r="C106" i="28"/>
  <c r="D106" i="28"/>
  <c r="E106" i="28"/>
  <c r="F106" i="28"/>
  <c r="A107" i="28"/>
  <c r="B107" i="28"/>
  <c r="C107" i="28"/>
  <c r="D107" i="28"/>
  <c r="E107" i="28"/>
  <c r="F107" i="28"/>
  <c r="A108" i="28"/>
  <c r="B108" i="28"/>
  <c r="C108" i="28"/>
  <c r="D108" i="28"/>
  <c r="E108" i="28"/>
  <c r="F108" i="28"/>
  <c r="A109" i="28"/>
  <c r="B109" i="28"/>
  <c r="C109" i="28"/>
  <c r="D109" i="28"/>
  <c r="E109" i="28"/>
  <c r="F109" i="28"/>
  <c r="A110" i="28"/>
  <c r="B110" i="28"/>
  <c r="C110" i="28"/>
  <c r="D110" i="28"/>
  <c r="E110" i="28"/>
  <c r="F110" i="28"/>
  <c r="A111" i="28"/>
  <c r="B111" i="28"/>
  <c r="C111" i="28"/>
  <c r="D111" i="28"/>
  <c r="E111" i="28"/>
  <c r="F111" i="28"/>
  <c r="A112" i="28"/>
  <c r="B112" i="28"/>
  <c r="C112" i="28"/>
  <c r="D112" i="28"/>
  <c r="E112" i="28"/>
  <c r="F112" i="28"/>
  <c r="A113" i="28"/>
  <c r="B113" i="28"/>
  <c r="C113" i="28"/>
  <c r="D113" i="28"/>
  <c r="E113" i="28"/>
  <c r="F113" i="28"/>
  <c r="A114" i="28"/>
  <c r="B114" i="28"/>
  <c r="C114" i="28"/>
  <c r="D114" i="28"/>
  <c r="E114" i="28"/>
  <c r="F114" i="28"/>
  <c r="A115" i="28"/>
  <c r="B115" i="28"/>
  <c r="C115" i="28"/>
  <c r="D115" i="28"/>
  <c r="E115" i="28"/>
  <c r="F115" i="28"/>
  <c r="A116" i="28"/>
  <c r="B116" i="28"/>
  <c r="C116" i="28"/>
  <c r="D116" i="28"/>
  <c r="E116" i="28"/>
  <c r="F116" i="28"/>
  <c r="A117" i="28"/>
  <c r="B117" i="28"/>
  <c r="C117" i="28"/>
  <c r="D117" i="28"/>
  <c r="E117" i="28"/>
  <c r="F117" i="28"/>
  <c r="A118" i="28"/>
  <c r="B118" i="28"/>
  <c r="C118" i="28"/>
  <c r="D118" i="28"/>
  <c r="E118" i="28"/>
  <c r="F118" i="28"/>
  <c r="A119" i="28"/>
  <c r="B119" i="28"/>
  <c r="C119" i="28"/>
  <c r="D119" i="28"/>
  <c r="E119" i="28"/>
  <c r="F119" i="28"/>
  <c r="A120" i="28"/>
  <c r="B120" i="28"/>
  <c r="C120" i="28"/>
  <c r="D120" i="28"/>
  <c r="E120" i="28"/>
  <c r="F120" i="28"/>
  <c r="A121" i="28"/>
  <c r="B121" i="28"/>
  <c r="C121" i="28"/>
  <c r="D121" i="28"/>
  <c r="E121" i="28"/>
  <c r="F121" i="28"/>
  <c r="A122" i="28"/>
  <c r="B122" i="28"/>
  <c r="C122" i="28"/>
  <c r="D122" i="28"/>
  <c r="E122" i="28"/>
  <c r="F122" i="28"/>
  <c r="A123" i="28"/>
  <c r="B123" i="28"/>
  <c r="C123" i="28"/>
  <c r="D123" i="28"/>
  <c r="E123" i="28"/>
  <c r="F123" i="28"/>
  <c r="A124" i="28"/>
  <c r="B124" i="28"/>
  <c r="C124" i="28"/>
  <c r="D124" i="28"/>
  <c r="E124" i="28"/>
  <c r="F124" i="28"/>
  <c r="A125" i="28"/>
  <c r="B125" i="28"/>
  <c r="C125" i="28"/>
  <c r="D125" i="28"/>
  <c r="E125" i="28"/>
  <c r="F125" i="28"/>
  <c r="A126" i="28"/>
  <c r="B126" i="28"/>
  <c r="C126" i="28"/>
  <c r="D126" i="28"/>
  <c r="E126" i="28"/>
  <c r="F126" i="28"/>
  <c r="A127" i="28"/>
  <c r="B127" i="28"/>
  <c r="C127" i="28"/>
  <c r="D127" i="28"/>
  <c r="E127" i="28"/>
  <c r="F127" i="28"/>
  <c r="A128" i="28"/>
  <c r="B128" i="28"/>
  <c r="C128" i="28"/>
  <c r="D128" i="28"/>
  <c r="E128" i="28"/>
  <c r="F128" i="28"/>
  <c r="A129" i="28"/>
  <c r="B129" i="28"/>
  <c r="C129" i="28"/>
  <c r="D129" i="28"/>
  <c r="E129" i="28"/>
  <c r="F129" i="28"/>
  <c r="A130" i="28"/>
  <c r="B130" i="28"/>
  <c r="C130" i="28"/>
  <c r="D130" i="28"/>
  <c r="E130" i="28"/>
  <c r="F130" i="28"/>
  <c r="A131" i="28"/>
  <c r="B131" i="28"/>
  <c r="C131" i="28"/>
  <c r="D131" i="28"/>
  <c r="E131" i="28"/>
  <c r="F131" i="28"/>
  <c r="A132" i="28"/>
  <c r="B132" i="28"/>
  <c r="C132" i="28"/>
  <c r="D132" i="28"/>
  <c r="E132" i="28"/>
  <c r="F132" i="28"/>
  <c r="A133" i="28"/>
  <c r="B133" i="28"/>
  <c r="C133" i="28"/>
  <c r="D133" i="28"/>
  <c r="E133" i="28"/>
  <c r="F133" i="28"/>
  <c r="A134" i="28"/>
  <c r="B134" i="28"/>
  <c r="C134" i="28"/>
  <c r="D134" i="28"/>
  <c r="E134" i="28"/>
  <c r="F134" i="28"/>
  <c r="A135" i="28"/>
  <c r="B135" i="28"/>
  <c r="C135" i="28"/>
  <c r="D135" i="28"/>
  <c r="E135" i="28"/>
  <c r="F135" i="28"/>
  <c r="A136" i="28"/>
  <c r="B136" i="28"/>
  <c r="C136" i="28"/>
  <c r="D136" i="28"/>
  <c r="E136" i="28"/>
  <c r="F136" i="28"/>
  <c r="A137" i="28"/>
  <c r="B137" i="28"/>
  <c r="C137" i="28"/>
  <c r="D137" i="28"/>
  <c r="E137" i="28"/>
  <c r="F137" i="28"/>
  <c r="A138" i="28"/>
  <c r="B138" i="28"/>
  <c r="C138" i="28"/>
  <c r="D138" i="28"/>
  <c r="E138" i="28"/>
  <c r="F138" i="28"/>
  <c r="A139" i="28"/>
  <c r="B139" i="28"/>
  <c r="C139" i="28"/>
  <c r="D139" i="28"/>
  <c r="E139" i="28"/>
  <c r="F139" i="28"/>
  <c r="A140" i="28"/>
  <c r="B140" i="28"/>
  <c r="C140" i="28"/>
  <c r="D140" i="28"/>
  <c r="E140" i="28"/>
  <c r="F140" i="28"/>
  <c r="A141" i="28"/>
  <c r="B141" i="28"/>
  <c r="C141" i="28"/>
  <c r="D141" i="28"/>
  <c r="E141" i="28"/>
  <c r="F141" i="28"/>
  <c r="A142" i="28"/>
  <c r="B142" i="28"/>
  <c r="C142" i="28"/>
  <c r="D142" i="28"/>
  <c r="E142" i="28"/>
  <c r="F142" i="28"/>
  <c r="A143" i="28"/>
  <c r="B143" i="28"/>
  <c r="C143" i="28"/>
  <c r="D143" i="28"/>
  <c r="E143" i="28"/>
  <c r="F143" i="28"/>
  <c r="A144" i="28"/>
  <c r="B144" i="28"/>
  <c r="C144" i="28"/>
  <c r="D144" i="28"/>
  <c r="E144" i="28"/>
  <c r="F144" i="28"/>
  <c r="A145" i="28"/>
  <c r="B145" i="28"/>
  <c r="C145" i="28"/>
  <c r="D145" i="28"/>
  <c r="E145" i="28"/>
  <c r="F145" i="28"/>
  <c r="A146" i="28"/>
  <c r="B146" i="28"/>
  <c r="C146" i="28"/>
  <c r="D146" i="28"/>
  <c r="E146" i="28"/>
  <c r="F146" i="28"/>
  <c r="A147" i="28"/>
  <c r="B147" i="28"/>
  <c r="C147" i="28"/>
  <c r="D147" i="28"/>
  <c r="E147" i="28"/>
  <c r="F147" i="28"/>
  <c r="A148" i="28"/>
  <c r="B148" i="28"/>
  <c r="C148" i="28"/>
  <c r="D148" i="28"/>
  <c r="E148" i="28"/>
  <c r="F148" i="28"/>
  <c r="A149" i="28"/>
  <c r="B149" i="28"/>
  <c r="C149" i="28"/>
  <c r="D149" i="28"/>
  <c r="E149" i="28"/>
  <c r="F149" i="28"/>
  <c r="A150" i="28"/>
  <c r="B150" i="28"/>
  <c r="C150" i="28"/>
  <c r="D150" i="28"/>
  <c r="E150" i="28"/>
  <c r="F150" i="28"/>
  <c r="A151" i="28"/>
  <c r="B151" i="28"/>
  <c r="C151" i="28"/>
  <c r="D151" i="28"/>
  <c r="E151" i="28"/>
  <c r="F151" i="28"/>
  <c r="A152" i="28"/>
  <c r="B152" i="28"/>
  <c r="C152" i="28"/>
  <c r="D152" i="28"/>
  <c r="E152" i="28"/>
  <c r="F152" i="28"/>
  <c r="A153" i="28"/>
  <c r="B153" i="28"/>
  <c r="C153" i="28"/>
  <c r="D153" i="28"/>
  <c r="E153" i="28"/>
  <c r="F153" i="28"/>
  <c r="A154" i="28"/>
  <c r="B154" i="28"/>
  <c r="C154" i="28"/>
  <c r="D154" i="28"/>
  <c r="E154" i="28"/>
  <c r="F154" i="28"/>
  <c r="A155" i="28"/>
  <c r="B155" i="28"/>
  <c r="C155" i="28"/>
  <c r="D155" i="28"/>
  <c r="E155" i="28"/>
  <c r="F155" i="28"/>
  <c r="A156" i="28"/>
  <c r="B156" i="28"/>
  <c r="C156" i="28"/>
  <c r="D156" i="28"/>
  <c r="E156" i="28"/>
  <c r="F156" i="28"/>
  <c r="A157" i="28"/>
  <c r="B157" i="28"/>
  <c r="C157" i="28"/>
  <c r="D157" i="28"/>
  <c r="E157" i="28"/>
  <c r="F157" i="28"/>
  <c r="A158" i="28"/>
  <c r="B158" i="28"/>
  <c r="C158" i="28"/>
  <c r="D158" i="28"/>
  <c r="E158" i="28"/>
  <c r="F158" i="28"/>
  <c r="A159" i="28"/>
  <c r="B159" i="28"/>
  <c r="C159" i="28"/>
  <c r="D159" i="28"/>
  <c r="E159" i="28"/>
  <c r="F159" i="28"/>
  <c r="A160" i="28"/>
  <c r="B160" i="28"/>
  <c r="C160" i="28"/>
  <c r="D160" i="28"/>
  <c r="E160" i="28"/>
  <c r="F160" i="28"/>
  <c r="A161" i="28"/>
  <c r="B161" i="28"/>
  <c r="C161" i="28"/>
  <c r="D161" i="28"/>
  <c r="E161" i="28"/>
  <c r="F161" i="28"/>
  <c r="A162" i="28"/>
  <c r="B162" i="28"/>
  <c r="C162" i="28"/>
  <c r="D162" i="28"/>
  <c r="E162" i="28"/>
  <c r="F162" i="28"/>
  <c r="A163" i="28"/>
  <c r="B163" i="28"/>
  <c r="C163" i="28"/>
  <c r="D163" i="28"/>
  <c r="E163" i="28"/>
  <c r="F163" i="28"/>
  <c r="A164" i="28"/>
  <c r="B164" i="28"/>
  <c r="C164" i="28"/>
  <c r="D164" i="28"/>
  <c r="E164" i="28"/>
  <c r="F164" i="28"/>
  <c r="A165" i="28"/>
  <c r="B165" i="28"/>
  <c r="C165" i="28"/>
  <c r="D165" i="28"/>
  <c r="E165" i="28"/>
  <c r="F165" i="28"/>
  <c r="A166" i="28"/>
  <c r="B166" i="28"/>
  <c r="C166" i="28"/>
  <c r="D166" i="28"/>
  <c r="E166" i="28"/>
  <c r="F166" i="28"/>
  <c r="A167" i="28"/>
  <c r="B167" i="28"/>
  <c r="C167" i="28"/>
  <c r="D167" i="28"/>
  <c r="E167" i="28"/>
  <c r="F167" i="28"/>
  <c r="A168" i="28"/>
  <c r="B168" i="28"/>
  <c r="C168" i="28"/>
  <c r="D168" i="28"/>
  <c r="E168" i="28"/>
  <c r="F168" i="28"/>
  <c r="A169" i="28"/>
  <c r="B169" i="28"/>
  <c r="C169" i="28"/>
  <c r="D169" i="28"/>
  <c r="E169" i="28"/>
  <c r="F169" i="28"/>
  <c r="A170" i="28"/>
  <c r="B170" i="28"/>
  <c r="C170" i="28"/>
  <c r="D170" i="28"/>
  <c r="E170" i="28"/>
  <c r="F170" i="28"/>
  <c r="A171" i="28"/>
  <c r="B171" i="28"/>
  <c r="C171" i="28"/>
  <c r="D171" i="28"/>
  <c r="E171" i="28"/>
  <c r="F171" i="28"/>
  <c r="A172" i="28"/>
  <c r="B172" i="28"/>
  <c r="C172" i="28"/>
  <c r="D172" i="28"/>
  <c r="E172" i="28"/>
  <c r="F172" i="28"/>
  <c r="A173" i="28"/>
  <c r="B173" i="28"/>
  <c r="C173" i="28"/>
  <c r="D173" i="28"/>
  <c r="E173" i="28"/>
  <c r="F173" i="28"/>
  <c r="A174" i="28"/>
  <c r="B174" i="28"/>
  <c r="C174" i="28"/>
  <c r="D174" i="28"/>
  <c r="E174" i="28"/>
  <c r="F174" i="28"/>
  <c r="A175" i="28"/>
  <c r="B175" i="28"/>
  <c r="C175" i="28"/>
  <c r="D175" i="28"/>
  <c r="E175" i="28"/>
  <c r="F175" i="28"/>
  <c r="A176" i="28"/>
  <c r="B176" i="28"/>
  <c r="C176" i="28"/>
  <c r="D176" i="28"/>
  <c r="E176" i="28"/>
  <c r="F176" i="28"/>
  <c r="A177" i="28"/>
  <c r="B177" i="28"/>
  <c r="C177" i="28"/>
  <c r="D177" i="28"/>
  <c r="E177" i="28"/>
  <c r="F177" i="28"/>
  <c r="A178" i="28"/>
  <c r="B178" i="28"/>
  <c r="C178" i="28"/>
  <c r="D178" i="28"/>
  <c r="E178" i="28"/>
  <c r="F178" i="28"/>
  <c r="A179" i="28"/>
  <c r="B179" i="28"/>
  <c r="C179" i="28"/>
  <c r="D179" i="28"/>
  <c r="E179" i="28"/>
  <c r="F179" i="28"/>
  <c r="A180" i="28"/>
  <c r="B180" i="28"/>
  <c r="C180" i="28"/>
  <c r="D180" i="28"/>
  <c r="E180" i="28"/>
  <c r="F180" i="28"/>
  <c r="A181" i="28"/>
  <c r="B181" i="28"/>
  <c r="C181" i="28"/>
  <c r="D181" i="28"/>
  <c r="E181" i="28"/>
  <c r="F181" i="28"/>
  <c r="A182" i="28"/>
  <c r="B182" i="28"/>
  <c r="C182" i="28"/>
  <c r="D182" i="28"/>
  <c r="E182" i="28"/>
  <c r="F182" i="28"/>
  <c r="A183" i="28"/>
  <c r="B183" i="28"/>
  <c r="C183" i="28"/>
  <c r="D183" i="28"/>
  <c r="E183" i="28"/>
  <c r="F183" i="28"/>
  <c r="A184" i="28"/>
  <c r="B184" i="28"/>
  <c r="C184" i="28"/>
  <c r="D184" i="28"/>
  <c r="E184" i="28"/>
  <c r="F184" i="28"/>
  <c r="A185" i="28"/>
  <c r="B185" i="28"/>
  <c r="C185" i="28"/>
  <c r="D185" i="28"/>
  <c r="E185" i="28"/>
  <c r="F185" i="28"/>
  <c r="A186" i="28"/>
  <c r="B186" i="28"/>
  <c r="C186" i="28"/>
  <c r="D186" i="28"/>
  <c r="E186" i="28"/>
  <c r="F186" i="28"/>
  <c r="A187" i="28"/>
  <c r="B187" i="28"/>
  <c r="C187" i="28"/>
  <c r="D187" i="28"/>
  <c r="E187" i="28"/>
  <c r="F187" i="28"/>
  <c r="A188" i="28"/>
  <c r="B188" i="28"/>
  <c r="C188" i="28"/>
  <c r="D188" i="28"/>
  <c r="E188" i="28"/>
  <c r="F188" i="28"/>
  <c r="A189" i="28"/>
  <c r="B189" i="28"/>
  <c r="C189" i="28"/>
  <c r="D189" i="28"/>
  <c r="E189" i="28"/>
  <c r="F189" i="28"/>
  <c r="A190" i="28"/>
  <c r="B190" i="28"/>
  <c r="C190" i="28"/>
  <c r="D190" i="28"/>
  <c r="E190" i="28"/>
  <c r="F190" i="28"/>
  <c r="A191" i="28"/>
  <c r="B191" i="28"/>
  <c r="C191" i="28"/>
  <c r="D191" i="28"/>
  <c r="E191" i="28"/>
  <c r="F191" i="28"/>
  <c r="A192" i="28"/>
  <c r="B192" i="28"/>
  <c r="C192" i="28"/>
  <c r="D192" i="28"/>
  <c r="E192" i="28"/>
  <c r="F192" i="28"/>
  <c r="A193" i="28"/>
  <c r="B193" i="28"/>
  <c r="C193" i="28"/>
  <c r="D193" i="28"/>
  <c r="E193" i="28"/>
  <c r="F193" i="28"/>
  <c r="A194" i="28"/>
  <c r="B194" i="28"/>
  <c r="C194" i="28"/>
  <c r="D194" i="28"/>
  <c r="E194" i="28"/>
  <c r="F194" i="28"/>
  <c r="A195" i="28"/>
  <c r="B195" i="28"/>
  <c r="C195" i="28"/>
  <c r="D195" i="28"/>
  <c r="E195" i="28"/>
  <c r="F195" i="28"/>
  <c r="A196" i="28"/>
  <c r="B196" i="28"/>
  <c r="C196" i="28"/>
  <c r="D196" i="28"/>
  <c r="E196" i="28"/>
  <c r="F196" i="28"/>
  <c r="A197" i="28"/>
  <c r="B197" i="28"/>
  <c r="C197" i="28"/>
  <c r="D197" i="28"/>
  <c r="E197" i="28"/>
  <c r="F197" i="28"/>
  <c r="A198" i="28"/>
  <c r="B198" i="28"/>
  <c r="C198" i="28"/>
  <c r="D198" i="28"/>
  <c r="E198" i="28"/>
  <c r="F198" i="28"/>
  <c r="A199" i="28"/>
  <c r="B199" i="28"/>
  <c r="C199" i="28"/>
  <c r="D199" i="28"/>
  <c r="E199" i="28"/>
  <c r="F199" i="28"/>
  <c r="A200" i="28"/>
  <c r="B200" i="28"/>
  <c r="C200" i="28"/>
  <c r="D200" i="28"/>
  <c r="E200" i="28"/>
  <c r="F200" i="28"/>
  <c r="A201" i="28"/>
  <c r="B201" i="28"/>
  <c r="C201" i="28"/>
  <c r="D201" i="28"/>
  <c r="E201" i="28"/>
  <c r="F201" i="28"/>
  <c r="A202" i="28"/>
  <c r="B202" i="28"/>
  <c r="C202" i="28"/>
  <c r="D202" i="28"/>
  <c r="E202" i="28"/>
  <c r="F202" i="28"/>
  <c r="A203" i="28"/>
  <c r="B203" i="28"/>
  <c r="C203" i="28"/>
  <c r="D203" i="28"/>
  <c r="E203" i="28"/>
  <c r="F203" i="28"/>
  <c r="A204" i="28"/>
  <c r="B204" i="28"/>
  <c r="C204" i="28"/>
  <c r="D204" i="28"/>
  <c r="E204" i="28"/>
  <c r="F204" i="28"/>
  <c r="A205" i="28"/>
  <c r="B205" i="28"/>
  <c r="C205" i="28"/>
  <c r="D205" i="28"/>
  <c r="E205" i="28"/>
  <c r="F205" i="28"/>
  <c r="A206" i="28"/>
  <c r="B206" i="28"/>
  <c r="C206" i="28"/>
  <c r="D206" i="28"/>
  <c r="E206" i="28"/>
  <c r="F206" i="28"/>
  <c r="A207" i="28"/>
  <c r="B207" i="28"/>
  <c r="C207" i="28"/>
  <c r="D207" i="28"/>
  <c r="E207" i="28"/>
  <c r="F207" i="28"/>
  <c r="A208" i="28"/>
  <c r="B208" i="28"/>
  <c r="C208" i="28"/>
  <c r="D208" i="28"/>
  <c r="E208" i="28"/>
  <c r="F208" i="28"/>
  <c r="A209" i="28"/>
  <c r="B209" i="28"/>
  <c r="C209" i="28"/>
  <c r="D209" i="28"/>
  <c r="E209" i="28"/>
  <c r="F209" i="28"/>
  <c r="A210" i="28"/>
  <c r="B210" i="28"/>
  <c r="C210" i="28"/>
  <c r="D210" i="28"/>
  <c r="E210" i="28"/>
  <c r="F210" i="28"/>
  <c r="A211" i="28"/>
  <c r="B211" i="28"/>
  <c r="C211" i="28"/>
  <c r="D211" i="28"/>
  <c r="E211" i="28"/>
  <c r="F211" i="28"/>
  <c r="A212" i="28"/>
  <c r="B212" i="28"/>
  <c r="C212" i="28"/>
  <c r="D212" i="28"/>
  <c r="E212" i="28"/>
  <c r="F212" i="28"/>
  <c r="A213" i="28"/>
  <c r="B213" i="28"/>
  <c r="C213" i="28"/>
  <c r="D213" i="28"/>
  <c r="E213" i="28"/>
  <c r="F213" i="28"/>
  <c r="A214" i="28"/>
  <c r="B214" i="28"/>
  <c r="C214" i="28"/>
  <c r="D214" i="28"/>
  <c r="E214" i="28"/>
  <c r="F214" i="28"/>
  <c r="A215" i="28"/>
  <c r="B215" i="28"/>
  <c r="C215" i="28"/>
  <c r="D215" i="28"/>
  <c r="E215" i="28"/>
  <c r="F215" i="28"/>
  <c r="A216" i="28"/>
  <c r="B216" i="28"/>
  <c r="C216" i="28"/>
  <c r="D216" i="28"/>
  <c r="E216" i="28"/>
  <c r="F216" i="28"/>
  <c r="A217" i="28"/>
  <c r="B217" i="28"/>
  <c r="C217" i="28"/>
  <c r="D217" i="28"/>
  <c r="E217" i="28"/>
  <c r="F217" i="28"/>
  <c r="A218" i="28"/>
  <c r="B218" i="28"/>
  <c r="C218" i="28"/>
  <c r="D218" i="28"/>
  <c r="E218" i="28"/>
  <c r="F218" i="28"/>
  <c r="A219" i="28"/>
  <c r="B219" i="28"/>
  <c r="C219" i="28"/>
  <c r="D219" i="28"/>
  <c r="E219" i="28"/>
  <c r="F219" i="28"/>
  <c r="A220" i="28"/>
  <c r="B220" i="28"/>
  <c r="C220" i="28"/>
  <c r="D220" i="28"/>
  <c r="E220" i="28"/>
  <c r="F220" i="28"/>
  <c r="A221" i="28"/>
  <c r="B221" i="28"/>
  <c r="C221" i="28"/>
  <c r="D221" i="28"/>
  <c r="E221" i="28"/>
  <c r="F221" i="28"/>
  <c r="A222" i="28"/>
  <c r="B222" i="28"/>
  <c r="C222" i="28"/>
  <c r="D222" i="28"/>
  <c r="E222" i="28"/>
  <c r="F222" i="28"/>
  <c r="A223" i="28"/>
  <c r="B223" i="28"/>
  <c r="C223" i="28"/>
  <c r="D223" i="28"/>
  <c r="E223" i="28"/>
  <c r="F223" i="28"/>
  <c r="A224" i="28"/>
  <c r="B224" i="28"/>
  <c r="C224" i="28"/>
  <c r="D224" i="28"/>
  <c r="E224" i="28"/>
  <c r="F224" i="28"/>
  <c r="A225" i="28"/>
  <c r="B225" i="28"/>
  <c r="C225" i="28"/>
  <c r="D225" i="28"/>
  <c r="E225" i="28"/>
  <c r="F225" i="28"/>
  <c r="A226" i="28"/>
  <c r="B226" i="28"/>
  <c r="C226" i="28"/>
  <c r="D226" i="28"/>
  <c r="E226" i="28"/>
  <c r="F226" i="28"/>
  <c r="A227" i="28"/>
  <c r="B227" i="28"/>
  <c r="C227" i="28"/>
  <c r="D227" i="28"/>
  <c r="E227" i="28"/>
  <c r="F227" i="28"/>
  <c r="A228" i="28"/>
  <c r="B228" i="28"/>
  <c r="C228" i="28"/>
  <c r="D228" i="28"/>
  <c r="E228" i="28"/>
  <c r="F228" i="28"/>
  <c r="A229" i="28"/>
  <c r="B229" i="28"/>
  <c r="C229" i="28"/>
  <c r="D229" i="28"/>
  <c r="E229" i="28"/>
  <c r="F229" i="28"/>
  <c r="A230" i="28"/>
  <c r="B230" i="28"/>
  <c r="C230" i="28"/>
  <c r="D230" i="28"/>
  <c r="E230" i="28"/>
  <c r="F230" i="28"/>
  <c r="A231" i="28"/>
  <c r="B231" i="28"/>
  <c r="C231" i="28"/>
  <c r="D231" i="28"/>
  <c r="E231" i="28"/>
  <c r="F231" i="28"/>
  <c r="A232" i="28"/>
  <c r="B232" i="28"/>
  <c r="C232" i="28"/>
  <c r="D232" i="28"/>
  <c r="E232" i="28"/>
  <c r="F232" i="28"/>
  <c r="A233" i="28"/>
  <c r="B233" i="28"/>
  <c r="C233" i="28"/>
  <c r="D233" i="28"/>
  <c r="E233" i="28"/>
  <c r="F233" i="28"/>
  <c r="A234" i="28"/>
  <c r="B234" i="28"/>
  <c r="C234" i="28"/>
  <c r="D234" i="28"/>
  <c r="E234" i="28"/>
  <c r="F234" i="28"/>
  <c r="A235" i="28"/>
  <c r="B235" i="28"/>
  <c r="C235" i="28"/>
  <c r="D235" i="28"/>
  <c r="E235" i="28"/>
  <c r="F235" i="28"/>
  <c r="A236" i="28"/>
  <c r="B236" i="28"/>
  <c r="C236" i="28"/>
  <c r="D236" i="28"/>
  <c r="E236" i="28"/>
  <c r="F236" i="28"/>
  <c r="A237" i="28"/>
  <c r="B237" i="28"/>
  <c r="C237" i="28"/>
  <c r="D237" i="28"/>
  <c r="E237" i="28"/>
  <c r="F237" i="28"/>
  <c r="A238" i="28"/>
  <c r="B238" i="28"/>
  <c r="C238" i="28"/>
  <c r="D238" i="28"/>
  <c r="E238" i="28"/>
  <c r="F238" i="28"/>
  <c r="A239" i="28"/>
  <c r="B239" i="28"/>
  <c r="C239" i="28"/>
  <c r="D239" i="28"/>
  <c r="E239" i="28"/>
  <c r="F239" i="28"/>
  <c r="A240" i="28"/>
  <c r="B240" i="28"/>
  <c r="C240" i="28"/>
  <c r="D240" i="28"/>
  <c r="E240" i="28"/>
  <c r="F240" i="28"/>
  <c r="A241" i="28"/>
  <c r="B241" i="28"/>
  <c r="C241" i="28"/>
  <c r="D241" i="28"/>
  <c r="E241" i="28"/>
  <c r="F241" i="28"/>
  <c r="A242" i="28"/>
  <c r="B242" i="28"/>
  <c r="C242" i="28"/>
  <c r="D242" i="28"/>
  <c r="E242" i="28"/>
  <c r="F242" i="28"/>
  <c r="A243" i="28"/>
  <c r="B243" i="28"/>
  <c r="C243" i="28"/>
  <c r="D243" i="28"/>
  <c r="E243" i="28"/>
  <c r="F243" i="28"/>
  <c r="A244" i="28"/>
  <c r="B244" i="28"/>
  <c r="C244" i="28"/>
  <c r="D244" i="28"/>
  <c r="E244" i="28"/>
  <c r="F244" i="28"/>
  <c r="A245" i="28"/>
  <c r="B245" i="28"/>
  <c r="C245" i="28"/>
  <c r="D245" i="28"/>
  <c r="E245" i="28"/>
  <c r="F245" i="28"/>
  <c r="A246" i="28"/>
  <c r="B246" i="28"/>
  <c r="C246" i="28"/>
  <c r="D246" i="28"/>
  <c r="E246" i="28"/>
  <c r="F246" i="28"/>
  <c r="A247" i="28"/>
  <c r="B247" i="28"/>
  <c r="C247" i="28"/>
  <c r="D247" i="28"/>
  <c r="E247" i="28"/>
  <c r="F247" i="28"/>
  <c r="A248" i="28"/>
  <c r="B248" i="28"/>
  <c r="C248" i="28"/>
  <c r="D248" i="28"/>
  <c r="E248" i="28"/>
  <c r="F248" i="28"/>
  <c r="A249" i="28"/>
  <c r="B249" i="28"/>
  <c r="C249" i="28"/>
  <c r="D249" i="28"/>
  <c r="E249" i="28"/>
  <c r="F249" i="28"/>
  <c r="A250" i="28"/>
  <c r="B250" i="28"/>
  <c r="C250" i="28"/>
  <c r="D250" i="28"/>
  <c r="E250" i="28"/>
  <c r="F250" i="28"/>
  <c r="A251" i="28"/>
  <c r="B251" i="28"/>
  <c r="C251" i="28"/>
  <c r="D251" i="28"/>
  <c r="E251" i="28"/>
  <c r="F251" i="28"/>
  <c r="A252" i="28"/>
  <c r="B252" i="28"/>
  <c r="C252" i="28"/>
  <c r="D252" i="28"/>
  <c r="E252" i="28"/>
  <c r="F252" i="28"/>
  <c r="A253" i="28"/>
  <c r="B253" i="28"/>
  <c r="C253" i="28"/>
  <c r="D253" i="28"/>
  <c r="E253" i="28"/>
  <c r="F253" i="28"/>
  <c r="A254" i="28"/>
  <c r="B254" i="28"/>
  <c r="C254" i="28"/>
  <c r="D254" i="28"/>
  <c r="E254" i="28"/>
  <c r="F254" i="28"/>
  <c r="A255" i="28"/>
  <c r="B255" i="28"/>
  <c r="C255" i="28"/>
  <c r="D255" i="28"/>
  <c r="E255" i="28"/>
  <c r="F255" i="28"/>
  <c r="A256" i="28"/>
  <c r="B256" i="28"/>
  <c r="C256" i="28"/>
  <c r="D256" i="28"/>
  <c r="E256" i="28"/>
  <c r="F256" i="28"/>
  <c r="A257" i="28"/>
  <c r="B257" i="28"/>
  <c r="C257" i="28"/>
  <c r="D257" i="28"/>
  <c r="E257" i="28"/>
  <c r="F257" i="28"/>
  <c r="A258" i="28"/>
  <c r="B258" i="28"/>
  <c r="C258" i="28"/>
  <c r="D258" i="28"/>
  <c r="E258" i="28"/>
  <c r="F258" i="28"/>
  <c r="A259" i="28"/>
  <c r="B259" i="28"/>
  <c r="C259" i="28"/>
  <c r="D259" i="28"/>
  <c r="E259" i="28"/>
  <c r="F259" i="28"/>
  <c r="A260" i="28"/>
  <c r="B260" i="28"/>
  <c r="C260" i="28"/>
  <c r="D260" i="28"/>
  <c r="E260" i="28"/>
  <c r="F260" i="28"/>
  <c r="A261" i="28"/>
  <c r="B261" i="28"/>
  <c r="C261" i="28"/>
  <c r="D261" i="28"/>
  <c r="E261" i="28"/>
  <c r="F261" i="28"/>
  <c r="A262" i="28"/>
  <c r="B262" i="28"/>
  <c r="C262" i="28"/>
  <c r="D262" i="28"/>
  <c r="E262" i="28"/>
  <c r="F262" i="28"/>
  <c r="A263" i="28"/>
  <c r="B263" i="28"/>
  <c r="C263" i="28"/>
  <c r="D263" i="28"/>
  <c r="E263" i="28"/>
  <c r="F263" i="28"/>
  <c r="A264" i="28"/>
  <c r="B264" i="28"/>
  <c r="C264" i="28"/>
  <c r="D264" i="28"/>
  <c r="E264" i="28"/>
  <c r="F264" i="28"/>
  <c r="A265" i="28"/>
  <c r="B265" i="28"/>
  <c r="C265" i="28"/>
  <c r="D265" i="28"/>
  <c r="E265" i="28"/>
  <c r="F265" i="28"/>
  <c r="A266" i="28"/>
  <c r="B266" i="28"/>
  <c r="C266" i="28"/>
  <c r="D266" i="28"/>
  <c r="E266" i="28"/>
  <c r="F266" i="28"/>
  <c r="A267" i="28"/>
  <c r="B267" i="28"/>
  <c r="C267" i="28"/>
  <c r="D267" i="28"/>
  <c r="E267" i="28"/>
  <c r="F267" i="28"/>
  <c r="A268" i="28"/>
  <c r="B268" i="28"/>
  <c r="C268" i="28"/>
  <c r="D268" i="28"/>
  <c r="E268" i="28"/>
  <c r="F268" i="28"/>
  <c r="A269" i="28"/>
  <c r="B269" i="28"/>
  <c r="C269" i="28"/>
  <c r="D269" i="28"/>
  <c r="E269" i="28"/>
  <c r="F269" i="28"/>
  <c r="A270" i="28"/>
  <c r="B270" i="28"/>
  <c r="C270" i="28"/>
  <c r="D270" i="28"/>
  <c r="E270" i="28"/>
  <c r="F270" i="28"/>
  <c r="A271" i="28"/>
  <c r="B271" i="28"/>
  <c r="C271" i="28"/>
  <c r="D271" i="28"/>
  <c r="E271" i="28"/>
  <c r="F271" i="28"/>
  <c r="A272" i="28"/>
  <c r="B272" i="28"/>
  <c r="C272" i="28"/>
  <c r="D272" i="28"/>
  <c r="E272" i="28"/>
  <c r="F272" i="28"/>
  <c r="A273" i="28"/>
  <c r="B273" i="28"/>
  <c r="C273" i="28"/>
  <c r="D273" i="28"/>
  <c r="E273" i="28"/>
  <c r="F273" i="28"/>
  <c r="A274" i="28"/>
  <c r="B274" i="28"/>
  <c r="C274" i="28"/>
  <c r="D274" i="28"/>
  <c r="E274" i="28"/>
  <c r="F274" i="28"/>
  <c r="A275" i="28"/>
  <c r="B275" i="28"/>
  <c r="C275" i="28"/>
  <c r="D275" i="28"/>
  <c r="E275" i="28"/>
  <c r="F275" i="28"/>
  <c r="A276" i="28"/>
  <c r="B276" i="28"/>
  <c r="C276" i="28"/>
  <c r="D276" i="28"/>
  <c r="E276" i="28"/>
  <c r="F276" i="28"/>
  <c r="A277" i="28"/>
  <c r="B277" i="28"/>
  <c r="C277" i="28"/>
  <c r="D277" i="28"/>
  <c r="E277" i="28"/>
  <c r="F277" i="28"/>
  <c r="A278" i="28"/>
  <c r="B278" i="28"/>
  <c r="C278" i="28"/>
  <c r="D278" i="28"/>
  <c r="E278" i="28"/>
  <c r="F278" i="28"/>
  <c r="A279" i="28"/>
  <c r="B279" i="28"/>
  <c r="C279" i="28"/>
  <c r="D279" i="28"/>
  <c r="E279" i="28"/>
  <c r="F279" i="28"/>
  <c r="A280" i="28"/>
  <c r="B280" i="28"/>
  <c r="C280" i="28"/>
  <c r="D280" i="28"/>
  <c r="E280" i="28"/>
  <c r="F280" i="28"/>
  <c r="A281" i="28"/>
  <c r="B281" i="28"/>
  <c r="C281" i="28"/>
  <c r="D281" i="28"/>
  <c r="E281" i="28"/>
  <c r="F281" i="28"/>
  <c r="A282" i="28"/>
  <c r="B282" i="28"/>
  <c r="C282" i="28"/>
  <c r="D282" i="28"/>
  <c r="E282" i="28"/>
  <c r="F282" i="28"/>
  <c r="A283" i="28"/>
  <c r="B283" i="28"/>
  <c r="C283" i="28"/>
  <c r="D283" i="28"/>
  <c r="E283" i="28"/>
  <c r="F283" i="28"/>
  <c r="A284" i="28"/>
  <c r="B284" i="28"/>
  <c r="C284" i="28"/>
  <c r="D284" i="28"/>
  <c r="E284" i="28"/>
  <c r="F284" i="28"/>
  <c r="A285" i="28"/>
  <c r="B285" i="28"/>
  <c r="C285" i="28"/>
  <c r="D285" i="28"/>
  <c r="E285" i="28"/>
  <c r="F285" i="28"/>
  <c r="A286" i="28"/>
  <c r="B286" i="28"/>
  <c r="C286" i="28"/>
  <c r="D286" i="28"/>
  <c r="E286" i="28"/>
  <c r="F286" i="28"/>
  <c r="A287" i="28"/>
  <c r="B287" i="28"/>
  <c r="C287" i="28"/>
  <c r="D287" i="28"/>
  <c r="E287" i="28"/>
  <c r="F287" i="28"/>
  <c r="A288" i="28"/>
  <c r="B288" i="28"/>
  <c r="C288" i="28"/>
  <c r="D288" i="28"/>
  <c r="E288" i="28"/>
  <c r="F288" i="28"/>
  <c r="A289" i="28"/>
  <c r="B289" i="28"/>
  <c r="C289" i="28"/>
  <c r="D289" i="28"/>
  <c r="E289" i="28"/>
  <c r="F289" i="28"/>
  <c r="A290" i="28"/>
  <c r="B290" i="28"/>
  <c r="C290" i="28"/>
  <c r="D290" i="28"/>
  <c r="E290" i="28"/>
  <c r="F290" i="28"/>
  <c r="A291" i="28"/>
  <c r="B291" i="28"/>
  <c r="C291" i="28"/>
  <c r="D291" i="28"/>
  <c r="E291" i="28"/>
  <c r="F291" i="28"/>
  <c r="A292" i="28"/>
  <c r="B292" i="28"/>
  <c r="C292" i="28"/>
  <c r="D292" i="28"/>
  <c r="E292" i="28"/>
  <c r="F292" i="28"/>
  <c r="A293" i="28"/>
  <c r="B293" i="28"/>
  <c r="C293" i="28"/>
  <c r="D293" i="28"/>
  <c r="E293" i="28"/>
  <c r="F293" i="28"/>
  <c r="A294" i="28"/>
  <c r="B294" i="28"/>
  <c r="C294" i="28"/>
  <c r="D294" i="28"/>
  <c r="E294" i="28"/>
  <c r="F294" i="28"/>
  <c r="A295" i="28"/>
  <c r="B295" i="28"/>
  <c r="C295" i="28"/>
  <c r="D295" i="28"/>
  <c r="E295" i="28"/>
  <c r="F295" i="28"/>
  <c r="A296" i="28"/>
  <c r="B296" i="28"/>
  <c r="C296" i="28"/>
  <c r="D296" i="28"/>
  <c r="E296" i="28"/>
  <c r="F296" i="28"/>
  <c r="A297" i="28"/>
  <c r="B297" i="28"/>
  <c r="C297" i="28"/>
  <c r="D297" i="28"/>
  <c r="E297" i="28"/>
  <c r="F297" i="28"/>
  <c r="A298" i="28"/>
  <c r="B298" i="28"/>
  <c r="C298" i="28"/>
  <c r="D298" i="28"/>
  <c r="E298" i="28"/>
  <c r="F298" i="28"/>
  <c r="A299" i="28"/>
  <c r="B299" i="28"/>
  <c r="C299" i="28"/>
  <c r="D299" i="28"/>
  <c r="E299" i="28"/>
  <c r="F299" i="28"/>
  <c r="A300" i="28"/>
  <c r="B300" i="28"/>
  <c r="C300" i="28"/>
  <c r="D300" i="28"/>
  <c r="E300" i="28"/>
  <c r="F300" i="28"/>
  <c r="A301" i="28"/>
  <c r="B301" i="28"/>
  <c r="C301" i="28"/>
  <c r="D301" i="28"/>
  <c r="E301" i="28"/>
  <c r="F301" i="28"/>
  <c r="A302" i="28"/>
  <c r="B302" i="28"/>
  <c r="C302" i="28"/>
  <c r="D302" i="28"/>
  <c r="E302" i="28"/>
  <c r="F302" i="28"/>
  <c r="A303" i="28"/>
  <c r="B303" i="28"/>
  <c r="C303" i="28"/>
  <c r="D303" i="28"/>
  <c r="E303" i="28"/>
  <c r="F303" i="28"/>
  <c r="A304" i="28"/>
  <c r="B304" i="28"/>
  <c r="C304" i="28"/>
  <c r="D304" i="28"/>
  <c r="E304" i="28"/>
  <c r="F304" i="28"/>
  <c r="A305" i="28"/>
  <c r="B305" i="28"/>
  <c r="C305" i="28"/>
  <c r="D305" i="28"/>
  <c r="E305" i="28"/>
  <c r="F305" i="28"/>
  <c r="A306" i="28"/>
  <c r="B306" i="28"/>
  <c r="C306" i="28"/>
  <c r="D306" i="28"/>
  <c r="E306" i="28"/>
  <c r="F306" i="28"/>
  <c r="A307" i="28"/>
  <c r="B307" i="28"/>
  <c r="C307" i="28"/>
  <c r="D307" i="28"/>
  <c r="E307" i="28"/>
  <c r="F307" i="28"/>
  <c r="A308" i="28"/>
  <c r="B308" i="28"/>
  <c r="C308" i="28"/>
  <c r="D308" i="28"/>
  <c r="E308" i="28"/>
  <c r="F308" i="28"/>
  <c r="A309" i="28"/>
  <c r="B309" i="28"/>
  <c r="C309" i="28"/>
  <c r="D309" i="28"/>
  <c r="E309" i="28"/>
  <c r="F309" i="28"/>
  <c r="A310" i="28"/>
  <c r="B310" i="28"/>
  <c r="C310" i="28"/>
  <c r="D310" i="28"/>
  <c r="E310" i="28"/>
  <c r="F310" i="28"/>
  <c r="A311" i="28"/>
  <c r="B311" i="28"/>
  <c r="C311" i="28"/>
  <c r="D311" i="28"/>
  <c r="E311" i="28"/>
  <c r="F311" i="28"/>
  <c r="A312" i="28"/>
  <c r="B312" i="28"/>
  <c r="C312" i="28"/>
  <c r="D312" i="28"/>
  <c r="E312" i="28"/>
  <c r="F312" i="28"/>
  <c r="A313" i="28"/>
  <c r="B313" i="28"/>
  <c r="C313" i="28"/>
  <c r="D313" i="28"/>
  <c r="E313" i="28"/>
  <c r="F313" i="28"/>
  <c r="A314" i="28"/>
  <c r="B314" i="28"/>
  <c r="C314" i="28"/>
  <c r="D314" i="28"/>
  <c r="E314" i="28"/>
  <c r="F314" i="28"/>
  <c r="A315" i="28"/>
  <c r="B315" i="28"/>
  <c r="C315" i="28"/>
  <c r="D315" i="28"/>
  <c r="E315" i="28"/>
  <c r="F315" i="28"/>
  <c r="A316" i="28"/>
  <c r="B316" i="28"/>
  <c r="C316" i="28"/>
  <c r="D316" i="28"/>
  <c r="E316" i="28"/>
  <c r="F316" i="28"/>
  <c r="A317" i="28"/>
  <c r="B317" i="28"/>
  <c r="C317" i="28"/>
  <c r="D317" i="28"/>
  <c r="E317" i="28"/>
  <c r="F317" i="28"/>
  <c r="A318" i="28"/>
  <c r="B318" i="28"/>
  <c r="C318" i="28"/>
  <c r="D318" i="28"/>
  <c r="E318" i="28"/>
  <c r="F318" i="28"/>
  <c r="A319" i="28"/>
  <c r="B319" i="28"/>
  <c r="C319" i="28"/>
  <c r="D319" i="28"/>
  <c r="E319" i="28"/>
  <c r="F319" i="28"/>
  <c r="A320" i="28"/>
  <c r="B320" i="28"/>
  <c r="C320" i="28"/>
  <c r="D320" i="28"/>
  <c r="E320" i="28"/>
  <c r="F320" i="28"/>
  <c r="A321" i="28"/>
  <c r="B321" i="28"/>
  <c r="C321" i="28"/>
  <c r="D321" i="28"/>
  <c r="E321" i="28"/>
  <c r="F321" i="28"/>
  <c r="A322" i="28"/>
  <c r="B322" i="28"/>
  <c r="C322" i="28"/>
  <c r="D322" i="28"/>
  <c r="E322" i="28"/>
  <c r="F322" i="28"/>
  <c r="A323" i="28"/>
  <c r="B323" i="28"/>
  <c r="C323" i="28"/>
  <c r="D323" i="28"/>
  <c r="E323" i="28"/>
  <c r="F323" i="28"/>
  <c r="A324" i="28"/>
  <c r="B324" i="28"/>
  <c r="C324" i="28"/>
  <c r="D324" i="28"/>
  <c r="E324" i="28"/>
  <c r="F324" i="28"/>
  <c r="A325" i="28"/>
  <c r="B325" i="28"/>
  <c r="C325" i="28"/>
  <c r="D325" i="28"/>
  <c r="E325" i="28"/>
  <c r="F325" i="28"/>
  <c r="A326" i="28"/>
  <c r="B326" i="28"/>
  <c r="C326" i="28"/>
  <c r="D326" i="28"/>
  <c r="E326" i="28"/>
  <c r="F326" i="28"/>
  <c r="A327" i="28"/>
  <c r="B327" i="28"/>
  <c r="C327" i="28"/>
  <c r="D327" i="28"/>
  <c r="E327" i="28"/>
  <c r="F327" i="28"/>
  <c r="A328" i="28"/>
  <c r="B328" i="28"/>
  <c r="C328" i="28"/>
  <c r="D328" i="28"/>
  <c r="E328" i="28"/>
  <c r="F328" i="28"/>
  <c r="A329" i="28"/>
  <c r="B329" i="28"/>
  <c r="C329" i="28"/>
  <c r="D329" i="28"/>
  <c r="E329" i="28"/>
  <c r="F329" i="28"/>
  <c r="A330" i="28"/>
  <c r="B330" i="28"/>
  <c r="C330" i="28"/>
  <c r="D330" i="28"/>
  <c r="E330" i="28"/>
  <c r="F330" i="28"/>
  <c r="A331" i="28"/>
  <c r="B331" i="28"/>
  <c r="C331" i="28"/>
  <c r="D331" i="28"/>
  <c r="E331" i="28"/>
  <c r="F331" i="28"/>
  <c r="A332" i="28"/>
  <c r="B332" i="28"/>
  <c r="C332" i="28"/>
  <c r="D332" i="28"/>
  <c r="E332" i="28"/>
  <c r="F332" i="28"/>
  <c r="A333" i="28"/>
  <c r="B333" i="28"/>
  <c r="C333" i="28"/>
  <c r="D333" i="28"/>
  <c r="E333" i="28"/>
  <c r="F333" i="28"/>
  <c r="A334" i="28"/>
  <c r="B334" i="28"/>
  <c r="C334" i="28"/>
  <c r="D334" i="28"/>
  <c r="E334" i="28"/>
  <c r="F334" i="28"/>
  <c r="A335" i="28"/>
  <c r="B335" i="28"/>
  <c r="C335" i="28"/>
  <c r="D335" i="28"/>
  <c r="E335" i="28"/>
  <c r="F335" i="28"/>
  <c r="A336" i="28"/>
  <c r="B336" i="28"/>
  <c r="C336" i="28"/>
  <c r="D336" i="28"/>
  <c r="E336" i="28"/>
  <c r="F336" i="28"/>
  <c r="A337" i="28"/>
  <c r="B337" i="28"/>
  <c r="C337" i="28"/>
  <c r="D337" i="28"/>
  <c r="E337" i="28"/>
  <c r="F337" i="28"/>
  <c r="A338" i="28"/>
  <c r="B338" i="28"/>
  <c r="C338" i="28"/>
  <c r="D338" i="28"/>
  <c r="E338" i="28"/>
  <c r="F338" i="28"/>
  <c r="A339" i="28"/>
  <c r="B339" i="28"/>
  <c r="C339" i="28"/>
  <c r="D339" i="28"/>
  <c r="E339" i="28"/>
  <c r="F339" i="28"/>
  <c r="A340" i="28"/>
  <c r="B340" i="28"/>
  <c r="C340" i="28"/>
  <c r="D340" i="28"/>
  <c r="E340" i="28"/>
  <c r="F340" i="28"/>
  <c r="A341" i="28"/>
  <c r="B341" i="28"/>
  <c r="C341" i="28"/>
  <c r="D341" i="28"/>
  <c r="E341" i="28"/>
  <c r="F341" i="28"/>
  <c r="A342" i="28"/>
  <c r="B342" i="28"/>
  <c r="C342" i="28"/>
  <c r="D342" i="28"/>
  <c r="E342" i="28"/>
  <c r="F342" i="28"/>
  <c r="A72" i="28"/>
  <c r="B72" i="28"/>
  <c r="C72" i="28"/>
  <c r="D72" i="28"/>
  <c r="E72" i="28"/>
  <c r="F72" i="28"/>
  <c r="A73" i="28"/>
  <c r="B73" i="28"/>
  <c r="C73" i="28"/>
  <c r="D73" i="28"/>
  <c r="E73" i="28"/>
  <c r="F73" i="28"/>
  <c r="A74" i="28"/>
  <c r="B74" i="28"/>
  <c r="C74" i="28"/>
  <c r="D74" i="28"/>
  <c r="E74" i="28"/>
  <c r="F74" i="28"/>
  <c r="A75" i="28"/>
  <c r="B75" i="28"/>
  <c r="C75" i="28"/>
  <c r="D75" i="28"/>
  <c r="E75" i="28"/>
  <c r="F75" i="28"/>
  <c r="A76" i="28"/>
  <c r="B76" i="28"/>
  <c r="C76" i="28"/>
  <c r="D76" i="28"/>
  <c r="E76" i="28"/>
  <c r="F76" i="28"/>
  <c r="A77" i="28"/>
  <c r="B77" i="28"/>
  <c r="C77" i="28"/>
  <c r="D77" i="28"/>
  <c r="E77" i="28"/>
  <c r="F77" i="28"/>
  <c r="A78" i="28"/>
  <c r="B78" i="28"/>
  <c r="C78" i="28"/>
  <c r="D78" i="28"/>
  <c r="E78" i="28"/>
  <c r="F78" i="28"/>
  <c r="A79" i="28"/>
  <c r="B79" i="28"/>
  <c r="C79" i="28"/>
  <c r="D79" i="28"/>
  <c r="E79" i="28"/>
  <c r="F79" i="28"/>
  <c r="A80" i="28"/>
  <c r="B80" i="28"/>
  <c r="C80" i="28"/>
  <c r="D80" i="28"/>
  <c r="E80" i="28"/>
  <c r="F80" i="28"/>
  <c r="A81" i="28"/>
  <c r="B81" i="28"/>
  <c r="C81" i="28"/>
  <c r="D81" i="28"/>
  <c r="E81" i="28"/>
  <c r="F81" i="28"/>
  <c r="A82" i="28"/>
  <c r="B82" i="28"/>
  <c r="C82" i="28"/>
  <c r="D82" i="28"/>
  <c r="E82" i="28"/>
  <c r="F82" i="28"/>
  <c r="A83" i="28"/>
  <c r="B83" i="28"/>
  <c r="C83" i="28"/>
  <c r="D83" i="28"/>
  <c r="E83" i="28"/>
  <c r="F83" i="28"/>
  <c r="A84" i="28"/>
  <c r="B84" i="28"/>
  <c r="C84" i="28"/>
  <c r="D84" i="28"/>
  <c r="E84" i="28"/>
  <c r="F84" i="28"/>
  <c r="A85" i="28"/>
  <c r="B85" i="28"/>
  <c r="C85" i="28"/>
  <c r="D85" i="28"/>
  <c r="E85" i="28"/>
  <c r="F85" i="28"/>
  <c r="A86" i="28"/>
  <c r="B86" i="28"/>
  <c r="C86" i="28"/>
  <c r="D86" i="28"/>
  <c r="E86" i="28"/>
  <c r="F86" i="28"/>
  <c r="A87" i="28"/>
  <c r="B87" i="28"/>
  <c r="C87" i="28"/>
  <c r="D87" i="28"/>
  <c r="E87" i="28"/>
  <c r="F87" i="28"/>
  <c r="A88" i="28"/>
  <c r="B88" i="28"/>
  <c r="C88" i="28"/>
  <c r="D88" i="28"/>
  <c r="E88" i="28"/>
  <c r="F88" i="28"/>
  <c r="A89" i="28"/>
  <c r="B89" i="28"/>
  <c r="C89" i="28"/>
  <c r="D89" i="28"/>
  <c r="E89" i="28"/>
  <c r="F89" i="28"/>
  <c r="A90" i="28"/>
  <c r="B90" i="28"/>
  <c r="C90" i="28"/>
  <c r="D90" i="28"/>
  <c r="E90" i="28"/>
  <c r="F90" i="28"/>
  <c r="A91" i="28"/>
  <c r="B91" i="28"/>
  <c r="C91" i="28"/>
  <c r="D91" i="28"/>
  <c r="E91" i="28"/>
  <c r="F91" i="28"/>
  <c r="A92" i="28"/>
  <c r="B92" i="28"/>
  <c r="C92" i="28"/>
  <c r="D92" i="28"/>
  <c r="E92" i="28"/>
  <c r="F92" i="28"/>
  <c r="A93" i="28"/>
  <c r="B93" i="28"/>
  <c r="C93" i="28"/>
  <c r="D93" i="28"/>
  <c r="E93" i="28"/>
  <c r="F93" i="28"/>
  <c r="A94" i="28"/>
  <c r="B94" i="28"/>
  <c r="C94" i="28"/>
  <c r="D94" i="28"/>
  <c r="E94" i="28"/>
  <c r="F94" i="28"/>
  <c r="A95" i="28"/>
  <c r="B95" i="28"/>
  <c r="C95" i="28"/>
  <c r="D95" i="28"/>
  <c r="E95" i="28"/>
  <c r="F95" i="28"/>
  <c r="A96" i="28"/>
  <c r="B96" i="28"/>
  <c r="C96" i="28"/>
  <c r="D96" i="28"/>
  <c r="E96" i="28"/>
  <c r="F96" i="28"/>
  <c r="A97" i="28"/>
  <c r="B97" i="28"/>
  <c r="C97" i="28"/>
  <c r="D97" i="28"/>
  <c r="E97" i="28"/>
  <c r="F97" i="28"/>
  <c r="A98" i="28"/>
  <c r="B98" i="28"/>
  <c r="C98" i="28"/>
  <c r="D98" i="28"/>
  <c r="E98" i="28"/>
  <c r="F98" i="28"/>
  <c r="A99" i="28"/>
  <c r="B99" i="28"/>
  <c r="C99" i="28"/>
  <c r="D99" i="28"/>
  <c r="E99" i="28"/>
  <c r="F99" i="28"/>
  <c r="A100" i="28"/>
  <c r="B100" i="28"/>
  <c r="C100" i="28"/>
  <c r="D100" i="28"/>
  <c r="E100" i="28"/>
  <c r="F100" i="28"/>
  <c r="A101" i="28"/>
  <c r="B101" i="28"/>
  <c r="C101" i="28"/>
  <c r="D101" i="28"/>
  <c r="E101" i="28"/>
  <c r="F101" i="28"/>
  <c r="A102" i="28"/>
  <c r="B102" i="28"/>
  <c r="C102" i="28"/>
  <c r="D102" i="28"/>
  <c r="E102" i="28"/>
  <c r="F102" i="28"/>
  <c r="A103" i="28"/>
  <c r="B103" i="28"/>
  <c r="C103" i="28"/>
  <c r="D103" i="28"/>
  <c r="E103" i="28"/>
  <c r="F103" i="28"/>
  <c r="A104" i="28"/>
  <c r="B104" i="28"/>
  <c r="C104" i="28"/>
  <c r="D104" i="28"/>
  <c r="E104" i="28"/>
  <c r="F104" i="28"/>
  <c r="A105" i="28"/>
  <c r="B105" i="28"/>
  <c r="C105" i="28"/>
  <c r="D105" i="28"/>
  <c r="E105" i="28"/>
  <c r="F105" i="28"/>
  <c r="F71" i="28"/>
  <c r="E71" i="28"/>
  <c r="D71" i="28"/>
  <c r="C71" i="28"/>
  <c r="B71" i="28"/>
  <c r="A71" i="28"/>
  <c r="F70" i="28"/>
  <c r="E70" i="28"/>
  <c r="D70" i="28"/>
  <c r="C70" i="28"/>
  <c r="B70" i="28"/>
  <c r="A70" i="28"/>
  <c r="F69" i="28"/>
  <c r="E69" i="28"/>
  <c r="D69" i="28"/>
  <c r="C69" i="28"/>
  <c r="B69" i="28"/>
  <c r="A69" i="28"/>
  <c r="F68" i="28"/>
  <c r="E68" i="28"/>
  <c r="D68" i="28"/>
  <c r="C68" i="28"/>
  <c r="B68" i="28"/>
  <c r="A68" i="28"/>
  <c r="F64" i="28"/>
  <c r="E64" i="28"/>
  <c r="D64" i="28"/>
  <c r="C64" i="28"/>
  <c r="B64" i="28"/>
  <c r="A64" i="28"/>
  <c r="F62" i="28"/>
  <c r="E62" i="28"/>
  <c r="D62" i="28"/>
  <c r="C62" i="28"/>
  <c r="B62" i="28"/>
  <c r="A62" i="28"/>
  <c r="F63" i="28"/>
  <c r="E63" i="28"/>
  <c r="D63" i="28"/>
  <c r="C63" i="28"/>
  <c r="B63" i="28"/>
  <c r="A63" i="28"/>
  <c r="F61" i="28"/>
  <c r="E61" i="28"/>
  <c r="D61" i="28"/>
  <c r="C61" i="28"/>
  <c r="B61" i="28"/>
  <c r="A61" i="28"/>
  <c r="F54" i="28"/>
  <c r="E54" i="28"/>
  <c r="D54" i="28"/>
  <c r="C54" i="28"/>
  <c r="B54" i="28"/>
  <c r="A54" i="28"/>
  <c r="F53" i="28"/>
  <c r="E53" i="28"/>
  <c r="D53" i="28"/>
  <c r="C53" i="28"/>
  <c r="B53" i="28"/>
  <c r="A53" i="28"/>
  <c r="A51" i="28"/>
  <c r="B51" i="28"/>
  <c r="C51" i="28"/>
  <c r="D51" i="28"/>
  <c r="E51" i="28"/>
  <c r="F51" i="28"/>
  <c r="F50" i="28"/>
  <c r="E50" i="28"/>
  <c r="D50" i="28"/>
  <c r="C50" i="28"/>
  <c r="B50" i="28"/>
  <c r="A50" i="28"/>
  <c r="A19" i="28"/>
  <c r="B19" i="28"/>
  <c r="C19" i="28"/>
  <c r="D19" i="28"/>
  <c r="E19" i="28"/>
  <c r="F19" i="28"/>
  <c r="A20" i="28"/>
  <c r="B20" i="28"/>
  <c r="C20" i="28"/>
  <c r="D20" i="28"/>
  <c r="E20" i="28"/>
  <c r="F20" i="28"/>
  <c r="A21" i="28"/>
  <c r="B21" i="28"/>
  <c r="C21" i="28"/>
  <c r="D21" i="28"/>
  <c r="E21" i="28"/>
  <c r="F21" i="28"/>
  <c r="A23" i="28"/>
  <c r="B23" i="28"/>
  <c r="C23" i="28"/>
  <c r="D23" i="28"/>
  <c r="E23" i="28"/>
  <c r="F23" i="28"/>
  <c r="A22" i="28"/>
  <c r="B22" i="28"/>
  <c r="C22" i="28"/>
  <c r="D22" i="28"/>
  <c r="E22" i="28"/>
  <c r="F22" i="28"/>
  <c r="A24" i="28"/>
  <c r="B24" i="28"/>
  <c r="C24" i="28"/>
  <c r="D24" i="28"/>
  <c r="E24" i="28"/>
  <c r="F24" i="28"/>
  <c r="A25" i="28"/>
  <c r="B25" i="28"/>
  <c r="C25" i="28"/>
  <c r="D25" i="28"/>
  <c r="E25" i="28"/>
  <c r="F25" i="28"/>
  <c r="A26" i="28"/>
  <c r="B26" i="28"/>
  <c r="C26" i="28"/>
  <c r="D26" i="28"/>
  <c r="E26" i="28"/>
  <c r="F26" i="28"/>
  <c r="A28" i="28"/>
  <c r="B28" i="28"/>
  <c r="C28" i="28"/>
  <c r="D28" i="28"/>
  <c r="E28" i="28"/>
  <c r="F28" i="28"/>
  <c r="A34" i="28"/>
  <c r="B34" i="28"/>
  <c r="C34" i="28"/>
  <c r="D34" i="28"/>
  <c r="E34" i="28"/>
  <c r="F34" i="28"/>
  <c r="A32" i="28"/>
  <c r="B32" i="28"/>
  <c r="C32" i="28"/>
  <c r="D32" i="28"/>
  <c r="E32" i="28"/>
  <c r="F32" i="28"/>
  <c r="A27" i="28"/>
  <c r="B27" i="28"/>
  <c r="C27" i="28"/>
  <c r="D27" i="28"/>
  <c r="E27" i="28"/>
  <c r="F27" i="28"/>
  <c r="A31" i="28"/>
  <c r="B31" i="28"/>
  <c r="C31" i="28"/>
  <c r="D31" i="28"/>
  <c r="E31" i="28"/>
  <c r="F31" i="28"/>
  <c r="A29" i="28"/>
  <c r="B29" i="28"/>
  <c r="C29" i="28"/>
  <c r="D29" i="28"/>
  <c r="E29" i="28"/>
  <c r="F29" i="28"/>
  <c r="A30" i="28"/>
  <c r="B30" i="28"/>
  <c r="C30" i="28"/>
  <c r="D30" i="28"/>
  <c r="E30" i="28"/>
  <c r="F30" i="28"/>
  <c r="A33" i="28"/>
  <c r="B33" i="28"/>
  <c r="C33" i="28"/>
  <c r="D33" i="28"/>
  <c r="E33" i="28"/>
  <c r="F33" i="28"/>
  <c r="A35" i="28"/>
  <c r="B35" i="28"/>
  <c r="C35" i="28"/>
  <c r="D35" i="28"/>
  <c r="E35" i="28"/>
  <c r="F35" i="28"/>
  <c r="A36" i="28"/>
  <c r="B36" i="28"/>
  <c r="C36" i="28"/>
  <c r="D36" i="28"/>
  <c r="E36" i="28"/>
  <c r="F36" i="28"/>
  <c r="A37" i="28"/>
  <c r="B37" i="28"/>
  <c r="C37" i="28"/>
  <c r="D37" i="28"/>
  <c r="E37" i="28"/>
  <c r="F37" i="28"/>
  <c r="A38" i="28"/>
  <c r="B38" i="28"/>
  <c r="C38" i="28"/>
  <c r="D38" i="28"/>
  <c r="E38" i="28"/>
  <c r="F38" i="28"/>
  <c r="A39" i="28"/>
  <c r="B39" i="28"/>
  <c r="C39" i="28"/>
  <c r="D39" i="28"/>
  <c r="E39" i="28"/>
  <c r="F39" i="28"/>
  <c r="F14" i="28"/>
  <c r="E14" i="28"/>
  <c r="D14" i="28"/>
  <c r="C14" i="28"/>
  <c r="B14" i="28"/>
  <c r="A14" i="28"/>
  <c r="F13" i="28"/>
  <c r="E13" i="28"/>
  <c r="D13" i="28"/>
  <c r="C13" i="28"/>
  <c r="B13" i="28"/>
  <c r="A13" i="28"/>
  <c r="F12" i="28"/>
  <c r="E12" i="28"/>
  <c r="D12" i="28"/>
  <c r="C12" i="28"/>
  <c r="B12" i="28"/>
  <c r="A12" i="28"/>
  <c r="F18" i="28"/>
  <c r="E18" i="28"/>
  <c r="D18" i="28"/>
  <c r="C18" i="28"/>
  <c r="B18" i="28"/>
  <c r="A18" i="28"/>
  <c r="F17" i="28"/>
  <c r="E17" i="28"/>
  <c r="D17" i="28"/>
  <c r="C17" i="28"/>
  <c r="B17" i="28"/>
  <c r="A17" i="28"/>
  <c r="F16" i="28"/>
  <c r="E16" i="28"/>
  <c r="D16" i="28"/>
  <c r="C16" i="28"/>
  <c r="B16" i="28"/>
  <c r="A16" i="28"/>
  <c r="W1824" i="57"/>
  <c r="U1824" i="57"/>
  <c r="W1823" i="57"/>
  <c r="U1823" i="57"/>
  <c r="W1820" i="57"/>
  <c r="U1820" i="57"/>
  <c r="W1819" i="57"/>
  <c r="U1819" i="57"/>
  <c r="W1818" i="57"/>
  <c r="U1818" i="57"/>
  <c r="W1817" i="57"/>
  <c r="U1817" i="57"/>
  <c r="U1809" i="57"/>
  <c r="W1809" i="57"/>
  <c r="U1810" i="57"/>
  <c r="W1810" i="57"/>
  <c r="U1811" i="57"/>
  <c r="W1811" i="57"/>
  <c r="U1812" i="57"/>
  <c r="W1812" i="57"/>
  <c r="U1813" i="57"/>
  <c r="W1813" i="57"/>
  <c r="U1814" i="57"/>
  <c r="W1814" i="57"/>
  <c r="W1808" i="57"/>
  <c r="U1808" i="57"/>
  <c r="W1807" i="57"/>
  <c r="U1807" i="57"/>
  <c r="W1806" i="57"/>
  <c r="U1806" i="57"/>
  <c r="U1789" i="57"/>
  <c r="W1789" i="57"/>
  <c r="U1790" i="57"/>
  <c r="W1790" i="57"/>
  <c r="U1791" i="57"/>
  <c r="W1791" i="57"/>
  <c r="U1792" i="57"/>
  <c r="W1792" i="57"/>
  <c r="U1793" i="57"/>
  <c r="W1793" i="57"/>
  <c r="U1794" i="57"/>
  <c r="W1794" i="57"/>
  <c r="U1795" i="57"/>
  <c r="W1795" i="57"/>
  <c r="U1796" i="57"/>
  <c r="W1796" i="57"/>
  <c r="U1797" i="57"/>
  <c r="W1797" i="57"/>
  <c r="U1798" i="57"/>
  <c r="W1798" i="57"/>
  <c r="U1799" i="57"/>
  <c r="W1799" i="57"/>
  <c r="U1800" i="57"/>
  <c r="W1800" i="57"/>
  <c r="U1801" i="57"/>
  <c r="W1801" i="57"/>
  <c r="U1802" i="57"/>
  <c r="W1802" i="57"/>
  <c r="U1803" i="57"/>
  <c r="W1803" i="57"/>
  <c r="W1788" i="57"/>
  <c r="U1788" i="57"/>
  <c r="W1787" i="57"/>
  <c r="U1787" i="57"/>
  <c r="W1786" i="57"/>
  <c r="U1786" i="57"/>
  <c r="W1785" i="57"/>
  <c r="U1785" i="57"/>
  <c r="W1784" i="57"/>
  <c r="U1784" i="57"/>
  <c r="W1783" i="57"/>
  <c r="U1783" i="57"/>
  <c r="W1782" i="57"/>
  <c r="U1782" i="57"/>
  <c r="W1781" i="57"/>
  <c r="U1781" i="57"/>
  <c r="W1780" i="57"/>
  <c r="U1780" i="57"/>
  <c r="W1779" i="57"/>
  <c r="U1779" i="57"/>
  <c r="U1770" i="57"/>
  <c r="W1770" i="57"/>
  <c r="U1771" i="57"/>
  <c r="W1771" i="57"/>
  <c r="U1772" i="57"/>
  <c r="W1772" i="57"/>
  <c r="U1773" i="57"/>
  <c r="W1773" i="57"/>
  <c r="U1774" i="57"/>
  <c r="W1774" i="57"/>
  <c r="U1775" i="57"/>
  <c r="W1775" i="57"/>
  <c r="U1776" i="57"/>
  <c r="W1776" i="57"/>
  <c r="W1769" i="57"/>
  <c r="U1769" i="57"/>
  <c r="W1768" i="57"/>
  <c r="U1768" i="57"/>
  <c r="W1767" i="57"/>
  <c r="U1767" i="57"/>
  <c r="U1765" i="57"/>
  <c r="W1765" i="57"/>
  <c r="U1766" i="57"/>
  <c r="W1766" i="57"/>
  <c r="U1703" i="57"/>
  <c r="W1703" i="57"/>
  <c r="U1704" i="57"/>
  <c r="W1704" i="57"/>
  <c r="U1705" i="57"/>
  <c r="W1705" i="57"/>
  <c r="U1706" i="57"/>
  <c r="W1706" i="57"/>
  <c r="U1707" i="57"/>
  <c r="W1707" i="57"/>
  <c r="U1708" i="57"/>
  <c r="W1708" i="57"/>
  <c r="U1709" i="57"/>
  <c r="W1709" i="57"/>
  <c r="U1710" i="57"/>
  <c r="W1710" i="57"/>
  <c r="U1711" i="57"/>
  <c r="W1711" i="57"/>
  <c r="U1712" i="57"/>
  <c r="W1712" i="57"/>
  <c r="U1713" i="57"/>
  <c r="W1713" i="57"/>
  <c r="U1714" i="57"/>
  <c r="W1714" i="57"/>
  <c r="U1715" i="57"/>
  <c r="W1715" i="57"/>
  <c r="U1716" i="57"/>
  <c r="W1716" i="57"/>
  <c r="U1717" i="57"/>
  <c r="W1717" i="57"/>
  <c r="U1718" i="57"/>
  <c r="W1718" i="57"/>
  <c r="U1719" i="57"/>
  <c r="W1719" i="57"/>
  <c r="U1720" i="57"/>
  <c r="W1720" i="57"/>
  <c r="U1721" i="57"/>
  <c r="W1721" i="57"/>
  <c r="U1722" i="57"/>
  <c r="W1722" i="57"/>
  <c r="U1723" i="57"/>
  <c r="W1723" i="57"/>
  <c r="U1724" i="57"/>
  <c r="W1724" i="57"/>
  <c r="U1725" i="57"/>
  <c r="W1725" i="57"/>
  <c r="U1726" i="57"/>
  <c r="W1726" i="57"/>
  <c r="U1727" i="57"/>
  <c r="W1727" i="57"/>
  <c r="U1728" i="57"/>
  <c r="W1728" i="57"/>
  <c r="U1729" i="57"/>
  <c r="W1729" i="57"/>
  <c r="U1730" i="57"/>
  <c r="W1730" i="57"/>
  <c r="U1731" i="57"/>
  <c r="W1731" i="57"/>
  <c r="U1732" i="57"/>
  <c r="W1732" i="57"/>
  <c r="U1733" i="57"/>
  <c r="W1733" i="57"/>
  <c r="U1734" i="57"/>
  <c r="W1734" i="57"/>
  <c r="U1735" i="57"/>
  <c r="W1735" i="57"/>
  <c r="U1736" i="57"/>
  <c r="W1736" i="57"/>
  <c r="U1737" i="57"/>
  <c r="W1737" i="57"/>
  <c r="U1738" i="57"/>
  <c r="W1738" i="57"/>
  <c r="U1739" i="57"/>
  <c r="W1739" i="57"/>
  <c r="U1740" i="57"/>
  <c r="W1740" i="57"/>
  <c r="U1741" i="57"/>
  <c r="W1741" i="57"/>
  <c r="U1742" i="57"/>
  <c r="W1742" i="57"/>
  <c r="U1743" i="57"/>
  <c r="W1743" i="57"/>
  <c r="U1744" i="57"/>
  <c r="W1744" i="57"/>
  <c r="U1745" i="57"/>
  <c r="W1745" i="57"/>
  <c r="U1746" i="57"/>
  <c r="W1746" i="57"/>
  <c r="U1747" i="57"/>
  <c r="W1747" i="57"/>
  <c r="U1748" i="57"/>
  <c r="W1748" i="57"/>
  <c r="U1749" i="57"/>
  <c r="W1749" i="57"/>
  <c r="U1750" i="57"/>
  <c r="W1750" i="57"/>
  <c r="U1751" i="57"/>
  <c r="W1751" i="57"/>
  <c r="U1752" i="57"/>
  <c r="W1752" i="57"/>
  <c r="U1753" i="57"/>
  <c r="W1753" i="57"/>
  <c r="U1754" i="57"/>
  <c r="W1754" i="57"/>
  <c r="U1755" i="57"/>
  <c r="W1755" i="57"/>
  <c r="U1756" i="57"/>
  <c r="W1756" i="57"/>
  <c r="U1757" i="57"/>
  <c r="W1757" i="57"/>
  <c r="U1758" i="57"/>
  <c r="W1758" i="57"/>
  <c r="U1759" i="57"/>
  <c r="W1759" i="57"/>
  <c r="U1760" i="57"/>
  <c r="W1760" i="57"/>
  <c r="U1761" i="57"/>
  <c r="W1761" i="57"/>
  <c r="U1762" i="57"/>
  <c r="W1762" i="57"/>
  <c r="U1763" i="57"/>
  <c r="W1763" i="57"/>
  <c r="U1764" i="57"/>
  <c r="W1764" i="57"/>
  <c r="W1702" i="57"/>
  <c r="U1702" i="57"/>
  <c r="W1701" i="57"/>
  <c r="U1701" i="57"/>
  <c r="W1700" i="57"/>
  <c r="U1700" i="57"/>
  <c r="W1699" i="57"/>
  <c r="U1699" i="57"/>
  <c r="W1698" i="57"/>
  <c r="U1698" i="57"/>
  <c r="W1697" i="57"/>
  <c r="U1697" i="57"/>
  <c r="W1696" i="57"/>
  <c r="U1696" i="57"/>
  <c r="W1695" i="57"/>
  <c r="U1695" i="57"/>
  <c r="W1694" i="57"/>
  <c r="U1694" i="57"/>
  <c r="W1693" i="57"/>
  <c r="U1693" i="57"/>
  <c r="W1692" i="57"/>
  <c r="U1692" i="57"/>
  <c r="W1691" i="57"/>
  <c r="U1691" i="57"/>
  <c r="U1680" i="57"/>
  <c r="W1680" i="57"/>
  <c r="U1681" i="57"/>
  <c r="W1681" i="57"/>
  <c r="U1682" i="57"/>
  <c r="W1682" i="57"/>
  <c r="U1683" i="57"/>
  <c r="W1683" i="57"/>
  <c r="U1684" i="57"/>
  <c r="W1684" i="57"/>
  <c r="U1685" i="57"/>
  <c r="W1685" i="57"/>
  <c r="U1686" i="57"/>
  <c r="W1686" i="57"/>
  <c r="U1687" i="57"/>
  <c r="W1687" i="57"/>
  <c r="U1688" i="57"/>
  <c r="W1688" i="57"/>
  <c r="W1679" i="57"/>
  <c r="U1679" i="57"/>
  <c r="W1678" i="57"/>
  <c r="U1678" i="57"/>
  <c r="W1677" i="57"/>
  <c r="U1677" i="57"/>
  <c r="U1642" i="57"/>
  <c r="W1642" i="57"/>
  <c r="U1643" i="57"/>
  <c r="W1643" i="57"/>
  <c r="U1644" i="57"/>
  <c r="W1644" i="57"/>
  <c r="U1645" i="57"/>
  <c r="W1645" i="57"/>
  <c r="U1646" i="57"/>
  <c r="W1646" i="57"/>
  <c r="U1647" i="57"/>
  <c r="W1647" i="57"/>
  <c r="U1648" i="57"/>
  <c r="W1648" i="57"/>
  <c r="U1649" i="57"/>
  <c r="W1649" i="57"/>
  <c r="U1650" i="57"/>
  <c r="W1650" i="57"/>
  <c r="U1651" i="57"/>
  <c r="W1651" i="57"/>
  <c r="U1652" i="57"/>
  <c r="W1652" i="57"/>
  <c r="U1653" i="57"/>
  <c r="W1653" i="57"/>
  <c r="U1654" i="57"/>
  <c r="W1654" i="57"/>
  <c r="U1655" i="57"/>
  <c r="W1655" i="57"/>
  <c r="U1656" i="57"/>
  <c r="W1656" i="57"/>
  <c r="U1657" i="57"/>
  <c r="W1657" i="57"/>
  <c r="U1658" i="57"/>
  <c r="W1658" i="57"/>
  <c r="U1659" i="57"/>
  <c r="W1659" i="57"/>
  <c r="U1660" i="57"/>
  <c r="W1660" i="57"/>
  <c r="U1661" i="57"/>
  <c r="W1661" i="57"/>
  <c r="U1662" i="57"/>
  <c r="W1662" i="57"/>
  <c r="U1663" i="57"/>
  <c r="W1663" i="57"/>
  <c r="U1664" i="57"/>
  <c r="W1664" i="57"/>
  <c r="U1665" i="57"/>
  <c r="W1665" i="57"/>
  <c r="U1666" i="57"/>
  <c r="W1666" i="57"/>
  <c r="U1667" i="57"/>
  <c r="W1667" i="57"/>
  <c r="U1668" i="57"/>
  <c r="W1668" i="57"/>
  <c r="U1669" i="57"/>
  <c r="W1669" i="57"/>
  <c r="U1670" i="57"/>
  <c r="W1670" i="57"/>
  <c r="U1671" i="57"/>
  <c r="W1671" i="57"/>
  <c r="U1672" i="57"/>
  <c r="W1672" i="57"/>
  <c r="U1673" i="57"/>
  <c r="W1673" i="57"/>
  <c r="U1674" i="57"/>
  <c r="W1674" i="57"/>
  <c r="W1641" i="57"/>
  <c r="U1641" i="57"/>
  <c r="W1640" i="57"/>
  <c r="U1640" i="57"/>
  <c r="W1639" i="57"/>
  <c r="U1639" i="57"/>
  <c r="W1638" i="57"/>
  <c r="U1638" i="57"/>
  <c r="U1609" i="57"/>
  <c r="W1609" i="57"/>
  <c r="U1610" i="57"/>
  <c r="W1610" i="57"/>
  <c r="U1611" i="57"/>
  <c r="W1611" i="57"/>
  <c r="U1612" i="57"/>
  <c r="W1612" i="57"/>
  <c r="U1613" i="57"/>
  <c r="W1613" i="57"/>
  <c r="U1614" i="57"/>
  <c r="W1614" i="57"/>
  <c r="U1615" i="57"/>
  <c r="W1615" i="57"/>
  <c r="U1616" i="57"/>
  <c r="W1616" i="57"/>
  <c r="U1617" i="57"/>
  <c r="W1617" i="57"/>
  <c r="U1618" i="57"/>
  <c r="W1618" i="57"/>
  <c r="U1619" i="57"/>
  <c r="W1619" i="57"/>
  <c r="U1620" i="57"/>
  <c r="W1620" i="57"/>
  <c r="U1621" i="57"/>
  <c r="W1621" i="57"/>
  <c r="U1622" i="57"/>
  <c r="W1622" i="57"/>
  <c r="U1623" i="57"/>
  <c r="W1623" i="57"/>
  <c r="U1624" i="57"/>
  <c r="W1624" i="57"/>
  <c r="U1625" i="57"/>
  <c r="W1625" i="57"/>
  <c r="U1626" i="57"/>
  <c r="W1626" i="57"/>
  <c r="U1627" i="57"/>
  <c r="W1627" i="57"/>
  <c r="U1628" i="57"/>
  <c r="W1628" i="57"/>
  <c r="U1629" i="57"/>
  <c r="W1629" i="57"/>
  <c r="U1630" i="57"/>
  <c r="W1630" i="57"/>
  <c r="U1631" i="57"/>
  <c r="W1631" i="57"/>
  <c r="U1632" i="57"/>
  <c r="W1632" i="57"/>
  <c r="U1633" i="57"/>
  <c r="W1633" i="57"/>
  <c r="U1634" i="57"/>
  <c r="W1634" i="57"/>
  <c r="U1635" i="57"/>
  <c r="W1635" i="57"/>
  <c r="U1596" i="57"/>
  <c r="W1596" i="57"/>
  <c r="U1597" i="57"/>
  <c r="W1597" i="57"/>
  <c r="U1598" i="57"/>
  <c r="W1598" i="57"/>
  <c r="U1599" i="57"/>
  <c r="W1599" i="57"/>
  <c r="U1600" i="57"/>
  <c r="W1600" i="57"/>
  <c r="U1601" i="57"/>
  <c r="W1601" i="57"/>
  <c r="U1602" i="57"/>
  <c r="W1602" i="57"/>
  <c r="U1603" i="57"/>
  <c r="W1603" i="57"/>
  <c r="U1604" i="57"/>
  <c r="W1604" i="57"/>
  <c r="U1605" i="57"/>
  <c r="W1605" i="57"/>
  <c r="U1606" i="57"/>
  <c r="W1606" i="57"/>
  <c r="U1607" i="57"/>
  <c r="W1607" i="57"/>
  <c r="U1608" i="57"/>
  <c r="W1608" i="57"/>
  <c r="W1595" i="57"/>
  <c r="U1595" i="57"/>
  <c r="W1594" i="57"/>
  <c r="U1594" i="57"/>
  <c r="W1593" i="57"/>
  <c r="U1593" i="57"/>
  <c r="U1576" i="57"/>
  <c r="W1576" i="57"/>
  <c r="U1577" i="57"/>
  <c r="W1577" i="57"/>
  <c r="U1578" i="57"/>
  <c r="W1578" i="57"/>
  <c r="U1579" i="57"/>
  <c r="W1579" i="57"/>
  <c r="U1580" i="57"/>
  <c r="W1580" i="57"/>
  <c r="U1581" i="57"/>
  <c r="W1581" i="57"/>
  <c r="U1582" i="57"/>
  <c r="W1582" i="57"/>
  <c r="U1583" i="57"/>
  <c r="W1583" i="57"/>
  <c r="U1584" i="57"/>
  <c r="W1584" i="57"/>
  <c r="U1585" i="57"/>
  <c r="W1585" i="57"/>
  <c r="U1586" i="57"/>
  <c r="W1586" i="57"/>
  <c r="U1587" i="57"/>
  <c r="W1587" i="57"/>
  <c r="U1588" i="57"/>
  <c r="W1588" i="57"/>
  <c r="U1589" i="57"/>
  <c r="W1589" i="57"/>
  <c r="U1590" i="57"/>
  <c r="W1590" i="57"/>
  <c r="W1575" i="57"/>
  <c r="U1575" i="57"/>
  <c r="W1574" i="57"/>
  <c r="U1574" i="57"/>
  <c r="W1573" i="57"/>
  <c r="U1573" i="57"/>
  <c r="W1572" i="57"/>
  <c r="U1572" i="57"/>
  <c r="W1571" i="57"/>
  <c r="U1571" i="57"/>
  <c r="W1570" i="57"/>
  <c r="U1570" i="57"/>
  <c r="W1569" i="57"/>
  <c r="U1569" i="57"/>
  <c r="W1568" i="57"/>
  <c r="U1568" i="57"/>
  <c r="W1567" i="57"/>
  <c r="U1567" i="57"/>
  <c r="W1566" i="57"/>
  <c r="U1566" i="57"/>
  <c r="W1565" i="57"/>
  <c r="U1565" i="57"/>
  <c r="W1564" i="57"/>
  <c r="U1564" i="57"/>
  <c r="W1563" i="57"/>
  <c r="U1563" i="57"/>
  <c r="W1562" i="57"/>
  <c r="U1562" i="57"/>
  <c r="W1561" i="57"/>
  <c r="U1561" i="57"/>
  <c r="W1560" i="57"/>
  <c r="U1560" i="57"/>
  <c r="W1559" i="57"/>
  <c r="U1559" i="57"/>
  <c r="W1558" i="57"/>
  <c r="U1558" i="57"/>
  <c r="W1557" i="57"/>
  <c r="U1557" i="57"/>
  <c r="W1556" i="57"/>
  <c r="U1556" i="57"/>
  <c r="W1555" i="57"/>
  <c r="U1555" i="57"/>
  <c r="W1554" i="57"/>
  <c r="U1554" i="57"/>
  <c r="W1553" i="57"/>
  <c r="U1553" i="57"/>
  <c r="W1552" i="57"/>
  <c r="U1552" i="57"/>
  <c r="W1551" i="57"/>
  <c r="U1551" i="57"/>
  <c r="W1550" i="57"/>
  <c r="U1550" i="57"/>
  <c r="W1549" i="57"/>
  <c r="U1549" i="57"/>
  <c r="W1548" i="57"/>
  <c r="U1548" i="57"/>
  <c r="W1547" i="57"/>
  <c r="U1547" i="57"/>
  <c r="U1519" i="57"/>
  <c r="W1519" i="57"/>
  <c r="U1520" i="57"/>
  <c r="W1520" i="57"/>
  <c r="U1521" i="57"/>
  <c r="W1521" i="57"/>
  <c r="U1522" i="57"/>
  <c r="W1522" i="57"/>
  <c r="U1523" i="57"/>
  <c r="W1523" i="57"/>
  <c r="U1524" i="57"/>
  <c r="W1524" i="57"/>
  <c r="U1525" i="57"/>
  <c r="W1525" i="57"/>
  <c r="U1526" i="57"/>
  <c r="W1526" i="57"/>
  <c r="U1527" i="57"/>
  <c r="W1527" i="57"/>
  <c r="U1528" i="57"/>
  <c r="W1528" i="57"/>
  <c r="U1529" i="57"/>
  <c r="W1529" i="57"/>
  <c r="U1530" i="57"/>
  <c r="W1530" i="57"/>
  <c r="U1531" i="57"/>
  <c r="W1531" i="57"/>
  <c r="U1532" i="57"/>
  <c r="W1532" i="57"/>
  <c r="U1533" i="57"/>
  <c r="W1533" i="57"/>
  <c r="U1534" i="57"/>
  <c r="W1534" i="57"/>
  <c r="U1535" i="57"/>
  <c r="W1535" i="57"/>
  <c r="U1536" i="57"/>
  <c r="W1536" i="57"/>
  <c r="U1537" i="57"/>
  <c r="W1537" i="57"/>
  <c r="U1538" i="57"/>
  <c r="W1538" i="57"/>
  <c r="U1539" i="57"/>
  <c r="W1539" i="57"/>
  <c r="U1540" i="57"/>
  <c r="W1540" i="57"/>
  <c r="U1541" i="57"/>
  <c r="W1541" i="57"/>
  <c r="U1542" i="57"/>
  <c r="W1542" i="57"/>
  <c r="U1543" i="57"/>
  <c r="W1543" i="57"/>
  <c r="U1544" i="57"/>
  <c r="W1544" i="57"/>
  <c r="W1518" i="57"/>
  <c r="U1518" i="57"/>
  <c r="W1517" i="57"/>
  <c r="U1517" i="57"/>
  <c r="W1516" i="57"/>
  <c r="U1516" i="57"/>
  <c r="U1507" i="57"/>
  <c r="W1507" i="57"/>
  <c r="U1508" i="57"/>
  <c r="W1508" i="57"/>
  <c r="U1509" i="57"/>
  <c r="W1509" i="57"/>
  <c r="U1510" i="57"/>
  <c r="W1510" i="57"/>
  <c r="U1511" i="57"/>
  <c r="V1511" i="57" s="1"/>
  <c r="W1511" i="57"/>
  <c r="U1512" i="57"/>
  <c r="W1512" i="57"/>
  <c r="U1513" i="57"/>
  <c r="W1513" i="57"/>
  <c r="U1443" i="57"/>
  <c r="W1443" i="57"/>
  <c r="U1444" i="57"/>
  <c r="W1444" i="57"/>
  <c r="U1445" i="57"/>
  <c r="W1445" i="57"/>
  <c r="U1446" i="57"/>
  <c r="W1446" i="57"/>
  <c r="U1447" i="57"/>
  <c r="W1447" i="57"/>
  <c r="U1448" i="57"/>
  <c r="W1448" i="57"/>
  <c r="U1449" i="57"/>
  <c r="W1449" i="57"/>
  <c r="U1450" i="57"/>
  <c r="W1450" i="57"/>
  <c r="U1451" i="57"/>
  <c r="W1451" i="57"/>
  <c r="U1452" i="57"/>
  <c r="W1452" i="57"/>
  <c r="U1453" i="57"/>
  <c r="W1453" i="57"/>
  <c r="U1454" i="57"/>
  <c r="W1454" i="57"/>
  <c r="U1455" i="57"/>
  <c r="W1455" i="57"/>
  <c r="U1456" i="57"/>
  <c r="W1456" i="57"/>
  <c r="U1457" i="57"/>
  <c r="W1457" i="57"/>
  <c r="U1458" i="57"/>
  <c r="W1458" i="57"/>
  <c r="U1459" i="57"/>
  <c r="W1459" i="57"/>
  <c r="U1460" i="57"/>
  <c r="W1460" i="57"/>
  <c r="U1461" i="57"/>
  <c r="W1461" i="57"/>
  <c r="U1462" i="57"/>
  <c r="W1462" i="57"/>
  <c r="U1463" i="57"/>
  <c r="W1463" i="57"/>
  <c r="U1464" i="57"/>
  <c r="W1464" i="57"/>
  <c r="U1465" i="57"/>
  <c r="W1465" i="57"/>
  <c r="U1466" i="57"/>
  <c r="W1466" i="57"/>
  <c r="U1467" i="57"/>
  <c r="W1467" i="57"/>
  <c r="U1468" i="57"/>
  <c r="W1468" i="57"/>
  <c r="U1469" i="57"/>
  <c r="W1469" i="57"/>
  <c r="U1470" i="57"/>
  <c r="W1470" i="57"/>
  <c r="U1471" i="57"/>
  <c r="W1471" i="57"/>
  <c r="U1472" i="57"/>
  <c r="W1472" i="57"/>
  <c r="U1473" i="57"/>
  <c r="W1473" i="57"/>
  <c r="U1474" i="57"/>
  <c r="W1474" i="57"/>
  <c r="U1475" i="57"/>
  <c r="W1475" i="57"/>
  <c r="U1476" i="57"/>
  <c r="W1476" i="57"/>
  <c r="U1477" i="57"/>
  <c r="W1477" i="57"/>
  <c r="U1478" i="57"/>
  <c r="W1478" i="57"/>
  <c r="U1479" i="57"/>
  <c r="W1479" i="57"/>
  <c r="U1480" i="57"/>
  <c r="W1480" i="57"/>
  <c r="U1481" i="57"/>
  <c r="W1481" i="57"/>
  <c r="U1482" i="57"/>
  <c r="W1482" i="57"/>
  <c r="U1483" i="57"/>
  <c r="W1483" i="57"/>
  <c r="U1484" i="57"/>
  <c r="W1484" i="57"/>
  <c r="U1485" i="57"/>
  <c r="W1485" i="57"/>
  <c r="U1486" i="57"/>
  <c r="W1486" i="57"/>
  <c r="U1487" i="57"/>
  <c r="W1487" i="57"/>
  <c r="U1488" i="57"/>
  <c r="W1488" i="57"/>
  <c r="U1489" i="57"/>
  <c r="W1489" i="57"/>
  <c r="U1490" i="57"/>
  <c r="W1490" i="57"/>
  <c r="U1491" i="57"/>
  <c r="W1491" i="57"/>
  <c r="U1492" i="57"/>
  <c r="W1492" i="57"/>
  <c r="U1493" i="57"/>
  <c r="W1493" i="57"/>
  <c r="U1494" i="57"/>
  <c r="W1494" i="57"/>
  <c r="U1495" i="57"/>
  <c r="W1495" i="57"/>
  <c r="U1496" i="57"/>
  <c r="W1496" i="57"/>
  <c r="U1497" i="57"/>
  <c r="W1497" i="57"/>
  <c r="U1498" i="57"/>
  <c r="W1498" i="57"/>
  <c r="U1499" i="57"/>
  <c r="W1499" i="57"/>
  <c r="U1500" i="57"/>
  <c r="W1500" i="57"/>
  <c r="U1501" i="57"/>
  <c r="W1501" i="57"/>
  <c r="U1502" i="57"/>
  <c r="W1502" i="57"/>
  <c r="U1503" i="57"/>
  <c r="W1503" i="57"/>
  <c r="U1504" i="57"/>
  <c r="W1504" i="57"/>
  <c r="U1505" i="57"/>
  <c r="W1505" i="57"/>
  <c r="U1506" i="57"/>
  <c r="W1506" i="57"/>
  <c r="W1442" i="57"/>
  <c r="U1442" i="57"/>
  <c r="W1441" i="57"/>
  <c r="U1441" i="57"/>
  <c r="W1440" i="57"/>
  <c r="U1440" i="57"/>
  <c r="U1360" i="57"/>
  <c r="W1360" i="57"/>
  <c r="U1361" i="57"/>
  <c r="W1361" i="57"/>
  <c r="U1362" i="57"/>
  <c r="W1362" i="57"/>
  <c r="U1363" i="57"/>
  <c r="W1363" i="57"/>
  <c r="U1364" i="57"/>
  <c r="W1364" i="57"/>
  <c r="U1365" i="57"/>
  <c r="W1365" i="57"/>
  <c r="U1366" i="57"/>
  <c r="W1366" i="57"/>
  <c r="U1367" i="57"/>
  <c r="W1367" i="57"/>
  <c r="U1368" i="57"/>
  <c r="W1368" i="57"/>
  <c r="U1369" i="57"/>
  <c r="W1369" i="57"/>
  <c r="U1370" i="57"/>
  <c r="W1370" i="57"/>
  <c r="U1371" i="57"/>
  <c r="W1371" i="57"/>
  <c r="U1372" i="57"/>
  <c r="W1372" i="57"/>
  <c r="U1373" i="57"/>
  <c r="W1373" i="57"/>
  <c r="U1374" i="57"/>
  <c r="W1374" i="57"/>
  <c r="U1375" i="57"/>
  <c r="W1375" i="57"/>
  <c r="U1376" i="57"/>
  <c r="W1376" i="57"/>
  <c r="U1377" i="57"/>
  <c r="W1377" i="57"/>
  <c r="U1378" i="57"/>
  <c r="W1378" i="57"/>
  <c r="U1379" i="57"/>
  <c r="W1379" i="57"/>
  <c r="U1380" i="57"/>
  <c r="W1380" i="57"/>
  <c r="U1381" i="57"/>
  <c r="W1381" i="57"/>
  <c r="U1382" i="57"/>
  <c r="W1382" i="57"/>
  <c r="U1383" i="57"/>
  <c r="W1383" i="57"/>
  <c r="U1384" i="57"/>
  <c r="W1384" i="57"/>
  <c r="U1385" i="57"/>
  <c r="W1385" i="57"/>
  <c r="U1386" i="57"/>
  <c r="W1386" i="57"/>
  <c r="U1387" i="57"/>
  <c r="W1387" i="57"/>
  <c r="U1388" i="57"/>
  <c r="W1388" i="57"/>
  <c r="U1389" i="57"/>
  <c r="W1389" i="57"/>
  <c r="U1390" i="57"/>
  <c r="W1390" i="57"/>
  <c r="U1391" i="57"/>
  <c r="W1391" i="57"/>
  <c r="U1392" i="57"/>
  <c r="W1392" i="57"/>
  <c r="U1393" i="57"/>
  <c r="W1393" i="57"/>
  <c r="U1394" i="57"/>
  <c r="W1394" i="57"/>
  <c r="U1395" i="57"/>
  <c r="W1395" i="57"/>
  <c r="U1396" i="57"/>
  <c r="W1396" i="57"/>
  <c r="U1397" i="57"/>
  <c r="W1397" i="57"/>
  <c r="U1398" i="57"/>
  <c r="W1398" i="57"/>
  <c r="U1399" i="57"/>
  <c r="W1399" i="57"/>
  <c r="U1400" i="57"/>
  <c r="W1400" i="57"/>
  <c r="U1401" i="57"/>
  <c r="W1401" i="57"/>
  <c r="U1402" i="57"/>
  <c r="W1402" i="57"/>
  <c r="U1403" i="57"/>
  <c r="W1403" i="57"/>
  <c r="U1404" i="57"/>
  <c r="W1404" i="57"/>
  <c r="U1405" i="57"/>
  <c r="W1405" i="57"/>
  <c r="U1406" i="57"/>
  <c r="W1406" i="57"/>
  <c r="U1407" i="57"/>
  <c r="W1407" i="57"/>
  <c r="U1408" i="57"/>
  <c r="W1408" i="57"/>
  <c r="U1409" i="57"/>
  <c r="W1409" i="57"/>
  <c r="U1410" i="57"/>
  <c r="W1410" i="57"/>
  <c r="U1411" i="57"/>
  <c r="W1411" i="57"/>
  <c r="U1412" i="57"/>
  <c r="W1412" i="57"/>
  <c r="U1413" i="57"/>
  <c r="W1413" i="57"/>
  <c r="U1414" i="57"/>
  <c r="W1414" i="57"/>
  <c r="U1415" i="57"/>
  <c r="W1415" i="57"/>
  <c r="U1416" i="57"/>
  <c r="W1416" i="57"/>
  <c r="U1417" i="57"/>
  <c r="W1417" i="57"/>
  <c r="U1418" i="57"/>
  <c r="W1418" i="57"/>
  <c r="U1419" i="57"/>
  <c r="W1419" i="57"/>
  <c r="U1420" i="57"/>
  <c r="W1420" i="57"/>
  <c r="U1421" i="57"/>
  <c r="W1421" i="57"/>
  <c r="U1422" i="57"/>
  <c r="W1422" i="57"/>
  <c r="U1423" i="57"/>
  <c r="W1423" i="57"/>
  <c r="U1424" i="57"/>
  <c r="W1424" i="57"/>
  <c r="U1425" i="57"/>
  <c r="W1425" i="57"/>
  <c r="U1426" i="57"/>
  <c r="W1426" i="57"/>
  <c r="U1427" i="57"/>
  <c r="W1427" i="57"/>
  <c r="U1428" i="57"/>
  <c r="W1428" i="57"/>
  <c r="U1429" i="57"/>
  <c r="W1429" i="57"/>
  <c r="U1430" i="57"/>
  <c r="W1430" i="57"/>
  <c r="U1431" i="57"/>
  <c r="W1431" i="57"/>
  <c r="U1432" i="57"/>
  <c r="W1432" i="57"/>
  <c r="U1433" i="57"/>
  <c r="W1433" i="57"/>
  <c r="U1434" i="57"/>
  <c r="W1434" i="57"/>
  <c r="U1435" i="57"/>
  <c r="W1435" i="57"/>
  <c r="U1436" i="57"/>
  <c r="W1436" i="57"/>
  <c r="U1437" i="57"/>
  <c r="W1437" i="57"/>
  <c r="W1359" i="57"/>
  <c r="U1359" i="57"/>
  <c r="W1358" i="57"/>
  <c r="U1358" i="57"/>
  <c r="W1357" i="57"/>
  <c r="U1357" i="57"/>
  <c r="U1311" i="57"/>
  <c r="W1311" i="57"/>
  <c r="U1312" i="57"/>
  <c r="W1312" i="57"/>
  <c r="U1313" i="57"/>
  <c r="W1313" i="57"/>
  <c r="U1314" i="57"/>
  <c r="W1314" i="57"/>
  <c r="U1315" i="57"/>
  <c r="W1315" i="57"/>
  <c r="U1316" i="57"/>
  <c r="W1316" i="57"/>
  <c r="U1317" i="57"/>
  <c r="W1317" i="57"/>
  <c r="U1318" i="57"/>
  <c r="W1318" i="57"/>
  <c r="U1319" i="57"/>
  <c r="W1319" i="57"/>
  <c r="U1320" i="57"/>
  <c r="W1320" i="57"/>
  <c r="U1321" i="57"/>
  <c r="W1321" i="57"/>
  <c r="U1322" i="57"/>
  <c r="W1322" i="57"/>
  <c r="U1323" i="57"/>
  <c r="W1323" i="57"/>
  <c r="U1324" i="57"/>
  <c r="W1324" i="57"/>
  <c r="U1325" i="57"/>
  <c r="W1325" i="57"/>
  <c r="U1326" i="57"/>
  <c r="W1326" i="57"/>
  <c r="U1327" i="57"/>
  <c r="W1327" i="57"/>
  <c r="U1328" i="57"/>
  <c r="W1328" i="57"/>
  <c r="U1329" i="57"/>
  <c r="W1329" i="57"/>
  <c r="U1330" i="57"/>
  <c r="W1330" i="57"/>
  <c r="U1331" i="57"/>
  <c r="W1331" i="57"/>
  <c r="U1332" i="57"/>
  <c r="W1332" i="57"/>
  <c r="U1333" i="57"/>
  <c r="W1333" i="57"/>
  <c r="U1334" i="57"/>
  <c r="W1334" i="57"/>
  <c r="U1335" i="57"/>
  <c r="W1335" i="57"/>
  <c r="U1336" i="57"/>
  <c r="W1336" i="57"/>
  <c r="U1337" i="57"/>
  <c r="W1337" i="57"/>
  <c r="U1338" i="57"/>
  <c r="W1338" i="57"/>
  <c r="U1339" i="57"/>
  <c r="W1339" i="57"/>
  <c r="U1340" i="57"/>
  <c r="W1340" i="57"/>
  <c r="U1341" i="57"/>
  <c r="W1341" i="57"/>
  <c r="U1342" i="57"/>
  <c r="W1342" i="57"/>
  <c r="U1343" i="57"/>
  <c r="W1343" i="57"/>
  <c r="U1344" i="57"/>
  <c r="W1344" i="57"/>
  <c r="U1345" i="57"/>
  <c r="W1345" i="57"/>
  <c r="U1346" i="57"/>
  <c r="W1346" i="57"/>
  <c r="U1348" i="57"/>
  <c r="W1348" i="57"/>
  <c r="U1349" i="57"/>
  <c r="W1349" i="57"/>
  <c r="U1350" i="57"/>
  <c r="W1350" i="57"/>
  <c r="U1351" i="57"/>
  <c r="W1351" i="57"/>
  <c r="U1352" i="57"/>
  <c r="W1352" i="57"/>
  <c r="U1353" i="57"/>
  <c r="W1353" i="57"/>
  <c r="U1354" i="57"/>
  <c r="W1354" i="57"/>
  <c r="U1355" i="57"/>
  <c r="W1355" i="57"/>
  <c r="U1356" i="57"/>
  <c r="W1356" i="57"/>
  <c r="W1310" i="57"/>
  <c r="U1310" i="57"/>
  <c r="W1309" i="57"/>
  <c r="U1309" i="57"/>
  <c r="W1308" i="57"/>
  <c r="U1308" i="57"/>
  <c r="U1302" i="57"/>
  <c r="W1302" i="57"/>
  <c r="U1303" i="57"/>
  <c r="W1303" i="57"/>
  <c r="U1304" i="57"/>
  <c r="W1304" i="57"/>
  <c r="U1305" i="57"/>
  <c r="W1305" i="57"/>
  <c r="W1301" i="57"/>
  <c r="U1301" i="57"/>
  <c r="W1300" i="57"/>
  <c r="U1300" i="57"/>
  <c r="W1299" i="57"/>
  <c r="U1299" i="57"/>
  <c r="W1298" i="57"/>
  <c r="U1298" i="57"/>
  <c r="W1297" i="57"/>
  <c r="U1297" i="57"/>
  <c r="W1296" i="57"/>
  <c r="U1296" i="57"/>
  <c r="W1295" i="57"/>
  <c r="U1295" i="57"/>
  <c r="W1294" i="57"/>
  <c r="U1294" i="57"/>
  <c r="W1293" i="57"/>
  <c r="U1293" i="57"/>
  <c r="W1292" i="57"/>
  <c r="U1292" i="57"/>
  <c r="W1291" i="57"/>
  <c r="U1291" i="57"/>
  <c r="W1290" i="57"/>
  <c r="U1290" i="57"/>
  <c r="W1289" i="57"/>
  <c r="U1289" i="57"/>
  <c r="W1288" i="57"/>
  <c r="U1288" i="57"/>
  <c r="W1287" i="57"/>
  <c r="U1287" i="57"/>
  <c r="W1286" i="57"/>
  <c r="U1286" i="57"/>
  <c r="W1285" i="57"/>
  <c r="U1285" i="57"/>
  <c r="W1284" i="57"/>
  <c r="U1284" i="57"/>
  <c r="W1283" i="57"/>
  <c r="U1283" i="57"/>
  <c r="W1282" i="57"/>
  <c r="U1282" i="57"/>
  <c r="W1281" i="57"/>
  <c r="U1281" i="57"/>
  <c r="W1280" i="57"/>
  <c r="U1280" i="57"/>
  <c r="W1279" i="57"/>
  <c r="U1279" i="57"/>
  <c r="W1278" i="57"/>
  <c r="U1278" i="57"/>
  <c r="W1277" i="57"/>
  <c r="U1277" i="57"/>
  <c r="W1276" i="57"/>
  <c r="U1276" i="57"/>
  <c r="W1275" i="57"/>
  <c r="U1275" i="57"/>
  <c r="W1274" i="57"/>
  <c r="U1274" i="57"/>
  <c r="W1273" i="57"/>
  <c r="U1273" i="57"/>
  <c r="W1272" i="57"/>
  <c r="U1272" i="57"/>
  <c r="W1271" i="57"/>
  <c r="U1271" i="57"/>
  <c r="W1270" i="57"/>
  <c r="U1270" i="57"/>
  <c r="W1269" i="57"/>
  <c r="U1269" i="57"/>
  <c r="W1268" i="57"/>
  <c r="U1268" i="57"/>
  <c r="W1267" i="57"/>
  <c r="U1267" i="57"/>
  <c r="W1266" i="57"/>
  <c r="U1266" i="57"/>
  <c r="U1229" i="57"/>
  <c r="W1229" i="57"/>
  <c r="U1230" i="57"/>
  <c r="W1230" i="57"/>
  <c r="U1231" i="57"/>
  <c r="W1231" i="57"/>
  <c r="U1232" i="57"/>
  <c r="W1232" i="57"/>
  <c r="U1233" i="57"/>
  <c r="W1233" i="57"/>
  <c r="U1234" i="57"/>
  <c r="W1234" i="57"/>
  <c r="U1235" i="57"/>
  <c r="W1235" i="57"/>
  <c r="U1236" i="57"/>
  <c r="W1236" i="57"/>
  <c r="U1237" i="57"/>
  <c r="W1237" i="57"/>
  <c r="U1238" i="57"/>
  <c r="W1238" i="57"/>
  <c r="U1239" i="57"/>
  <c r="W1239" i="57"/>
  <c r="U1240" i="57"/>
  <c r="W1240" i="57"/>
  <c r="U1241" i="57"/>
  <c r="W1241" i="57"/>
  <c r="U1242" i="57"/>
  <c r="W1242" i="57"/>
  <c r="U1243" i="57"/>
  <c r="W1243" i="57"/>
  <c r="U1244" i="57"/>
  <c r="W1244" i="57"/>
  <c r="U1245" i="57"/>
  <c r="W1245" i="57"/>
  <c r="U1246" i="57"/>
  <c r="W1246" i="57"/>
  <c r="U1247" i="57"/>
  <c r="W1247" i="57"/>
  <c r="U1248" i="57"/>
  <c r="W1248" i="57"/>
  <c r="U1249" i="57"/>
  <c r="W1249" i="57"/>
  <c r="U1250" i="57"/>
  <c r="W1250" i="57"/>
  <c r="U1251" i="57"/>
  <c r="W1251" i="57"/>
  <c r="U1252" i="57"/>
  <c r="W1252" i="57"/>
  <c r="U1253" i="57"/>
  <c r="W1253" i="57"/>
  <c r="U1254" i="57"/>
  <c r="W1254" i="57"/>
  <c r="U1255" i="57"/>
  <c r="W1255" i="57"/>
  <c r="U1256" i="57"/>
  <c r="W1256" i="57"/>
  <c r="U1257" i="57"/>
  <c r="W1257" i="57"/>
  <c r="U1258" i="57"/>
  <c r="W1258" i="57"/>
  <c r="U1259" i="57"/>
  <c r="W1259" i="57"/>
  <c r="U1260" i="57"/>
  <c r="W1260" i="57"/>
  <c r="U1261" i="57"/>
  <c r="W1261" i="57"/>
  <c r="U1262" i="57"/>
  <c r="W1262" i="57"/>
  <c r="U1263" i="57"/>
  <c r="W1263" i="57"/>
  <c r="W1228" i="57"/>
  <c r="U1228" i="57"/>
  <c r="U1212" i="57"/>
  <c r="W1212" i="57"/>
  <c r="U1213" i="57"/>
  <c r="W1213" i="57"/>
  <c r="U1214" i="57"/>
  <c r="W1214" i="57"/>
  <c r="U1215" i="57"/>
  <c r="W1215" i="57"/>
  <c r="U1216" i="57"/>
  <c r="W1216" i="57"/>
  <c r="U1217" i="57"/>
  <c r="W1217" i="57"/>
  <c r="U1218" i="57"/>
  <c r="W1218" i="57"/>
  <c r="U1219" i="57"/>
  <c r="W1219" i="57"/>
  <c r="U1220" i="57"/>
  <c r="W1220" i="57"/>
  <c r="U1221" i="57"/>
  <c r="W1221" i="57"/>
  <c r="U1222" i="57"/>
  <c r="W1222" i="57"/>
  <c r="U1223" i="57"/>
  <c r="W1223" i="57"/>
  <c r="U1224" i="57"/>
  <c r="W1224" i="57"/>
  <c r="U1225" i="57"/>
  <c r="W1225" i="57"/>
  <c r="U1021" i="57"/>
  <c r="W1021" i="57"/>
  <c r="U1022" i="57"/>
  <c r="W1022" i="57"/>
  <c r="U1023" i="57"/>
  <c r="W1023" i="57"/>
  <c r="U1024" i="57"/>
  <c r="W1024" i="57"/>
  <c r="U1025" i="57"/>
  <c r="W1025" i="57"/>
  <c r="U1026" i="57"/>
  <c r="W1026" i="57"/>
  <c r="U1027" i="57"/>
  <c r="W1027" i="57"/>
  <c r="U1028" i="57"/>
  <c r="W1028" i="57"/>
  <c r="U1029" i="57"/>
  <c r="W1029" i="57"/>
  <c r="U1030" i="57"/>
  <c r="W1030" i="57"/>
  <c r="U1031" i="57"/>
  <c r="W1031" i="57"/>
  <c r="U1032" i="57"/>
  <c r="W1032" i="57"/>
  <c r="U1033" i="57"/>
  <c r="W1033" i="57"/>
  <c r="U1034" i="57"/>
  <c r="W1034" i="57"/>
  <c r="U1035" i="57"/>
  <c r="W1035" i="57"/>
  <c r="U1036" i="57"/>
  <c r="W1036" i="57"/>
  <c r="U1037" i="57"/>
  <c r="W1037" i="57"/>
  <c r="U1038" i="57"/>
  <c r="W1038" i="57"/>
  <c r="U1039" i="57"/>
  <c r="W1039" i="57"/>
  <c r="U1040" i="57"/>
  <c r="W1040" i="57"/>
  <c r="U1041" i="57"/>
  <c r="W1041" i="57"/>
  <c r="U1042" i="57"/>
  <c r="W1042" i="57"/>
  <c r="U1043" i="57"/>
  <c r="W1043" i="57"/>
  <c r="U1044" i="57"/>
  <c r="W1044" i="57"/>
  <c r="U1045" i="57"/>
  <c r="W1045" i="57"/>
  <c r="U1046" i="57"/>
  <c r="W1046" i="57"/>
  <c r="U1047" i="57"/>
  <c r="W1047" i="57"/>
  <c r="U1048" i="57"/>
  <c r="W1048" i="57"/>
  <c r="U1049" i="57"/>
  <c r="W1049" i="57"/>
  <c r="U1050" i="57"/>
  <c r="W1050" i="57"/>
  <c r="U1051" i="57"/>
  <c r="W1051" i="57"/>
  <c r="U1052" i="57"/>
  <c r="W1052" i="57"/>
  <c r="U1053" i="57"/>
  <c r="W1053" i="57"/>
  <c r="U1054" i="57"/>
  <c r="W1054" i="57"/>
  <c r="U1055" i="57"/>
  <c r="W1055" i="57"/>
  <c r="U1056" i="57"/>
  <c r="W1056" i="57"/>
  <c r="U1057" i="57"/>
  <c r="W1057" i="57"/>
  <c r="U1058" i="57"/>
  <c r="W1058" i="57"/>
  <c r="U1059" i="57"/>
  <c r="W1059" i="57"/>
  <c r="U1060" i="57"/>
  <c r="W1060" i="57"/>
  <c r="U1061" i="57"/>
  <c r="W1061" i="57"/>
  <c r="U1062" i="57"/>
  <c r="W1062" i="57"/>
  <c r="U1063" i="57"/>
  <c r="W1063" i="57"/>
  <c r="U1064" i="57"/>
  <c r="W1064" i="57"/>
  <c r="U1065" i="57"/>
  <c r="W1065" i="57"/>
  <c r="U1066" i="57"/>
  <c r="W1066" i="57"/>
  <c r="U1067" i="57"/>
  <c r="W1067" i="57"/>
  <c r="U1068" i="57"/>
  <c r="W1068" i="57"/>
  <c r="U1069" i="57"/>
  <c r="W1069" i="57"/>
  <c r="U1070" i="57"/>
  <c r="W1070" i="57"/>
  <c r="U1071" i="57"/>
  <c r="W1071" i="57"/>
  <c r="U1072" i="57"/>
  <c r="W1072" i="57"/>
  <c r="U1073" i="57"/>
  <c r="W1073" i="57"/>
  <c r="U1074" i="57"/>
  <c r="W1074" i="57"/>
  <c r="U1075" i="57"/>
  <c r="W1075" i="57"/>
  <c r="U1076" i="57"/>
  <c r="W1076" i="57"/>
  <c r="U1077" i="57"/>
  <c r="W1077" i="57"/>
  <c r="U1078" i="57"/>
  <c r="W1078" i="57"/>
  <c r="U1079" i="57"/>
  <c r="W1079" i="57"/>
  <c r="U1080" i="57"/>
  <c r="W1080" i="57"/>
  <c r="U1081" i="57"/>
  <c r="W1081" i="57"/>
  <c r="U1082" i="57"/>
  <c r="W1082" i="57"/>
  <c r="U1083" i="57"/>
  <c r="W1083" i="57"/>
  <c r="U1084" i="57"/>
  <c r="W1084" i="57"/>
  <c r="U1085" i="57"/>
  <c r="W1085" i="57"/>
  <c r="U1086" i="57"/>
  <c r="W1086" i="57"/>
  <c r="U1087" i="57"/>
  <c r="W1087" i="57"/>
  <c r="U1088" i="57"/>
  <c r="W1088" i="57"/>
  <c r="U1089" i="57"/>
  <c r="W1089" i="57"/>
  <c r="U1090" i="57"/>
  <c r="W1090" i="57"/>
  <c r="U1091" i="57"/>
  <c r="W1091" i="57"/>
  <c r="U1092" i="57"/>
  <c r="W1092" i="57"/>
  <c r="U1093" i="57"/>
  <c r="W1093" i="57"/>
  <c r="U1094" i="57"/>
  <c r="W1094" i="57"/>
  <c r="U1095" i="57"/>
  <c r="W1095" i="57"/>
  <c r="U1096" i="57"/>
  <c r="W1096" i="57"/>
  <c r="U1097" i="57"/>
  <c r="W1097" i="57"/>
  <c r="U1098" i="57"/>
  <c r="W1098" i="57"/>
  <c r="U1099" i="57"/>
  <c r="W1099" i="57"/>
  <c r="U1100" i="57"/>
  <c r="W1100" i="57"/>
  <c r="U1101" i="57"/>
  <c r="W1101" i="57"/>
  <c r="U1102" i="57"/>
  <c r="W1102" i="57"/>
  <c r="U1103" i="57"/>
  <c r="W1103" i="57"/>
  <c r="U1104" i="57"/>
  <c r="W1104" i="57"/>
  <c r="U1105" i="57"/>
  <c r="W1105" i="57"/>
  <c r="U1106" i="57"/>
  <c r="W1106" i="57"/>
  <c r="U1107" i="57"/>
  <c r="W1107" i="57"/>
  <c r="U1108" i="57"/>
  <c r="W1108" i="57"/>
  <c r="U1109" i="57"/>
  <c r="W1109" i="57"/>
  <c r="U1110" i="57"/>
  <c r="W1110" i="57"/>
  <c r="U1111" i="57"/>
  <c r="W1111" i="57"/>
  <c r="U1112" i="57"/>
  <c r="W1112" i="57"/>
  <c r="U1113" i="57"/>
  <c r="W1113" i="57"/>
  <c r="U1114" i="57"/>
  <c r="W1114" i="57"/>
  <c r="U1115" i="57"/>
  <c r="W1115" i="57"/>
  <c r="U1116" i="57"/>
  <c r="W1116" i="57"/>
  <c r="U1117" i="57"/>
  <c r="W1117" i="57"/>
  <c r="U1118" i="57"/>
  <c r="W1118" i="57"/>
  <c r="U1119" i="57"/>
  <c r="W1119" i="57"/>
  <c r="U1120" i="57"/>
  <c r="W1120" i="57"/>
  <c r="U1121" i="57"/>
  <c r="W1121" i="57"/>
  <c r="U1122" i="57"/>
  <c r="W1122" i="57"/>
  <c r="U1123" i="57"/>
  <c r="W1123" i="57"/>
  <c r="U1124" i="57"/>
  <c r="W1124" i="57"/>
  <c r="U1125" i="57"/>
  <c r="W1125" i="57"/>
  <c r="U1126" i="57"/>
  <c r="W1126" i="57"/>
  <c r="U1127" i="57"/>
  <c r="W1127" i="57"/>
  <c r="U1128" i="57"/>
  <c r="W1128" i="57"/>
  <c r="U1129" i="57"/>
  <c r="W1129" i="57"/>
  <c r="U1130" i="57"/>
  <c r="W1130" i="57"/>
  <c r="U1131" i="57"/>
  <c r="W1131" i="57"/>
  <c r="U1132" i="57"/>
  <c r="W1132" i="57"/>
  <c r="U1133" i="57"/>
  <c r="W1133" i="57"/>
  <c r="U1134" i="57"/>
  <c r="W1134" i="57"/>
  <c r="U1136" i="57"/>
  <c r="W1136" i="57"/>
  <c r="U1137" i="57"/>
  <c r="W1137" i="57"/>
  <c r="U1138" i="57"/>
  <c r="W1138" i="57"/>
  <c r="U1139" i="57"/>
  <c r="W1139" i="57"/>
  <c r="U1140" i="57"/>
  <c r="W1140" i="57"/>
  <c r="U1141" i="57"/>
  <c r="W1141" i="57"/>
  <c r="U1142" i="57"/>
  <c r="W1142" i="57"/>
  <c r="U1143" i="57"/>
  <c r="W1143" i="57"/>
  <c r="U1144" i="57"/>
  <c r="W1144" i="57"/>
  <c r="U1145" i="57"/>
  <c r="W1145" i="57"/>
  <c r="U1146" i="57"/>
  <c r="W1146" i="57"/>
  <c r="U1147" i="57"/>
  <c r="W1147" i="57"/>
  <c r="U1148" i="57"/>
  <c r="W1148" i="57"/>
  <c r="U1149" i="57"/>
  <c r="W1149" i="57"/>
  <c r="U1150" i="57"/>
  <c r="W1150" i="57"/>
  <c r="U1151" i="57"/>
  <c r="W1151" i="57"/>
  <c r="U1152" i="57"/>
  <c r="W1152" i="57"/>
  <c r="U1153" i="57"/>
  <c r="W1153" i="57"/>
  <c r="U1154" i="57"/>
  <c r="W1154" i="57"/>
  <c r="U1155" i="57"/>
  <c r="W1155" i="57"/>
  <c r="U1156" i="57"/>
  <c r="W1156" i="57"/>
  <c r="U1157" i="57"/>
  <c r="W1157" i="57"/>
  <c r="U1158" i="57"/>
  <c r="W1158" i="57"/>
  <c r="U1159" i="57"/>
  <c r="W1159" i="57"/>
  <c r="U1160" i="57"/>
  <c r="W1160" i="57"/>
  <c r="U1161" i="57"/>
  <c r="W1161" i="57"/>
  <c r="U1162" i="57"/>
  <c r="W1162" i="57"/>
  <c r="U1163" i="57"/>
  <c r="W1163" i="57"/>
  <c r="U1164" i="57"/>
  <c r="W1164" i="57"/>
  <c r="U1165" i="57"/>
  <c r="W1165" i="57"/>
  <c r="U1166" i="57"/>
  <c r="W1166" i="57"/>
  <c r="U1167" i="57"/>
  <c r="W1167" i="57"/>
  <c r="U1168" i="57"/>
  <c r="W1168" i="57"/>
  <c r="U1169" i="57"/>
  <c r="W1169" i="57"/>
  <c r="U1170" i="57"/>
  <c r="W1170" i="57"/>
  <c r="U1171" i="57"/>
  <c r="W1171" i="57"/>
  <c r="U1172" i="57"/>
  <c r="W1172" i="57"/>
  <c r="U1173" i="57"/>
  <c r="W1173" i="57"/>
  <c r="U1174" i="57"/>
  <c r="W1174" i="57"/>
  <c r="U1175" i="57"/>
  <c r="W1175" i="57"/>
  <c r="U1176" i="57"/>
  <c r="W1176" i="57"/>
  <c r="U1177" i="57"/>
  <c r="W1177" i="57"/>
  <c r="U1178" i="57"/>
  <c r="W1178" i="57"/>
  <c r="U1179" i="57"/>
  <c r="W1179" i="57"/>
  <c r="U1180" i="57"/>
  <c r="W1180" i="57"/>
  <c r="U1181" i="57"/>
  <c r="W1181" i="57"/>
  <c r="U1182" i="57"/>
  <c r="W1182" i="57"/>
  <c r="U1183" i="57"/>
  <c r="W1183" i="57"/>
  <c r="U1184" i="57"/>
  <c r="W1184" i="57"/>
  <c r="U1185" i="57"/>
  <c r="W1185" i="57"/>
  <c r="U1186" i="57"/>
  <c r="W1186" i="57"/>
  <c r="U1187" i="57"/>
  <c r="W1187" i="57"/>
  <c r="U1188" i="57"/>
  <c r="W1188" i="57"/>
  <c r="U1189" i="57"/>
  <c r="W1189" i="57"/>
  <c r="U1190" i="57"/>
  <c r="W1190" i="57"/>
  <c r="U1191" i="57"/>
  <c r="W1191" i="57"/>
  <c r="U1192" i="57"/>
  <c r="W1192" i="57"/>
  <c r="U1193" i="57"/>
  <c r="W1193" i="57"/>
  <c r="U1194" i="57"/>
  <c r="W1194" i="57"/>
  <c r="U1195" i="57"/>
  <c r="W1195" i="57"/>
  <c r="U1196" i="57"/>
  <c r="W1196" i="57"/>
  <c r="U1197" i="57"/>
  <c r="W1197" i="57"/>
  <c r="U1198" i="57"/>
  <c r="W1198" i="57"/>
  <c r="U1199" i="57"/>
  <c r="W1199" i="57"/>
  <c r="U1200" i="57"/>
  <c r="W1200" i="57"/>
  <c r="U1201" i="57"/>
  <c r="W1201" i="57"/>
  <c r="U1202" i="57"/>
  <c r="W1202" i="57"/>
  <c r="U1203" i="57"/>
  <c r="W1203" i="57"/>
  <c r="U1204" i="57"/>
  <c r="W1204" i="57"/>
  <c r="U1205" i="57"/>
  <c r="W1205" i="57"/>
  <c r="U1206" i="57"/>
  <c r="W1206" i="57"/>
  <c r="U1207" i="57"/>
  <c r="W1207" i="57"/>
  <c r="U1208" i="57"/>
  <c r="W1208" i="57"/>
  <c r="U1209" i="57"/>
  <c r="W1209" i="57"/>
  <c r="U1210" i="57"/>
  <c r="W1210" i="57"/>
  <c r="U1211" i="57"/>
  <c r="W1211" i="57"/>
  <c r="W1020" i="57"/>
  <c r="U1020" i="57"/>
  <c r="W1019" i="57"/>
  <c r="U1019" i="57"/>
  <c r="U947" i="57"/>
  <c r="W947" i="57"/>
  <c r="U948" i="57"/>
  <c r="W948" i="57"/>
  <c r="U949" i="57"/>
  <c r="W949" i="57"/>
  <c r="U950" i="57"/>
  <c r="W950" i="57"/>
  <c r="U951" i="57"/>
  <c r="W951" i="57"/>
  <c r="U952" i="57"/>
  <c r="W952" i="57"/>
  <c r="U953" i="57"/>
  <c r="W953" i="57"/>
  <c r="U954" i="57"/>
  <c r="W954" i="57"/>
  <c r="U955" i="57"/>
  <c r="W955" i="57"/>
  <c r="U956" i="57"/>
  <c r="W956" i="57"/>
  <c r="U957" i="57"/>
  <c r="W957" i="57"/>
  <c r="U958" i="57"/>
  <c r="W958" i="57"/>
  <c r="U959" i="57"/>
  <c r="W959" i="57"/>
  <c r="U960" i="57"/>
  <c r="W960" i="57"/>
  <c r="U961" i="57"/>
  <c r="W961" i="57"/>
  <c r="U962" i="57"/>
  <c r="W962" i="57"/>
  <c r="U963" i="57"/>
  <c r="W963" i="57"/>
  <c r="U964" i="57"/>
  <c r="W964" i="57"/>
  <c r="U965" i="57"/>
  <c r="W965" i="57"/>
  <c r="U966" i="57"/>
  <c r="W966" i="57"/>
  <c r="U967" i="57"/>
  <c r="W967" i="57"/>
  <c r="U968" i="57"/>
  <c r="W968" i="57"/>
  <c r="U969" i="57"/>
  <c r="W969" i="57"/>
  <c r="U970" i="57"/>
  <c r="W970" i="57"/>
  <c r="U971" i="57"/>
  <c r="W971" i="57"/>
  <c r="U972" i="57"/>
  <c r="W972" i="57"/>
  <c r="U973" i="57"/>
  <c r="W973" i="57"/>
  <c r="U974" i="57"/>
  <c r="W974" i="57"/>
  <c r="U975" i="57"/>
  <c r="W975" i="57"/>
  <c r="U976" i="57"/>
  <c r="W976" i="57"/>
  <c r="U977" i="57"/>
  <c r="W977" i="57"/>
  <c r="U978" i="57"/>
  <c r="W978" i="57"/>
  <c r="U979" i="57"/>
  <c r="W979" i="57"/>
  <c r="U980" i="57"/>
  <c r="W980" i="57"/>
  <c r="U981" i="57"/>
  <c r="W981" i="57"/>
  <c r="U982" i="57"/>
  <c r="W982" i="57"/>
  <c r="U983" i="57"/>
  <c r="W983" i="57"/>
  <c r="U984" i="57"/>
  <c r="W984" i="57"/>
  <c r="U985" i="57"/>
  <c r="W985" i="57"/>
  <c r="U986" i="57"/>
  <c r="W986" i="57"/>
  <c r="U987" i="57"/>
  <c r="W987" i="57"/>
  <c r="U988" i="57"/>
  <c r="W988" i="57"/>
  <c r="U989" i="57"/>
  <c r="W989" i="57"/>
  <c r="U990" i="57"/>
  <c r="W990" i="57"/>
  <c r="U991" i="57"/>
  <c r="W991" i="57"/>
  <c r="U992" i="57"/>
  <c r="W992" i="57"/>
  <c r="U993" i="57"/>
  <c r="W993" i="57"/>
  <c r="U994" i="57"/>
  <c r="W994" i="57"/>
  <c r="U995" i="57"/>
  <c r="W995" i="57"/>
  <c r="U996" i="57"/>
  <c r="W996" i="57"/>
  <c r="U997" i="57"/>
  <c r="W997" i="57"/>
  <c r="U998" i="57"/>
  <c r="W998" i="57"/>
  <c r="U999" i="57"/>
  <c r="W999" i="57"/>
  <c r="U1000" i="57"/>
  <c r="W1000" i="57"/>
  <c r="U1001" i="57"/>
  <c r="W1001" i="57"/>
  <c r="U1002" i="57"/>
  <c r="W1002" i="57"/>
  <c r="U1003" i="57"/>
  <c r="W1003" i="57"/>
  <c r="U1004" i="57"/>
  <c r="W1004" i="57"/>
  <c r="U1005" i="57"/>
  <c r="W1005" i="57"/>
  <c r="U1006" i="57"/>
  <c r="W1006" i="57"/>
  <c r="U1007" i="57"/>
  <c r="W1007" i="57"/>
  <c r="U1008" i="57"/>
  <c r="W1008" i="57"/>
  <c r="U1009" i="57"/>
  <c r="W1009" i="57"/>
  <c r="U1010" i="57"/>
  <c r="W1010" i="57"/>
  <c r="U1011" i="57"/>
  <c r="W1011" i="57"/>
  <c r="U1012" i="57"/>
  <c r="W1012" i="57"/>
  <c r="U1013" i="57"/>
  <c r="W1013" i="57"/>
  <c r="U1014" i="57"/>
  <c r="W1014" i="57"/>
  <c r="U1015" i="57"/>
  <c r="W1015" i="57"/>
  <c r="U1016" i="57"/>
  <c r="W1016" i="57"/>
  <c r="U944" i="57"/>
  <c r="W944" i="57"/>
  <c r="U945" i="57"/>
  <c r="W945" i="57"/>
  <c r="U946" i="57"/>
  <c r="W946" i="57"/>
  <c r="U932" i="57"/>
  <c r="W932" i="57"/>
  <c r="U933" i="57"/>
  <c r="W933" i="57"/>
  <c r="U934" i="57"/>
  <c r="W934" i="57"/>
  <c r="U935" i="57"/>
  <c r="W935" i="57"/>
  <c r="U936" i="57"/>
  <c r="W936" i="57"/>
  <c r="U937" i="57"/>
  <c r="W937" i="57"/>
  <c r="U938" i="57"/>
  <c r="W938" i="57"/>
  <c r="U939" i="57"/>
  <c r="W939" i="57"/>
  <c r="U940" i="57"/>
  <c r="W940" i="57"/>
  <c r="U941" i="57"/>
  <c r="W941" i="57"/>
  <c r="U942" i="57"/>
  <c r="W942" i="57"/>
  <c r="U943" i="57"/>
  <c r="W943" i="57"/>
  <c r="W931" i="57"/>
  <c r="U931" i="57"/>
  <c r="W930" i="57"/>
  <c r="U930" i="57"/>
  <c r="U869" i="57"/>
  <c r="W869" i="57"/>
  <c r="U870" i="57"/>
  <c r="W870" i="57"/>
  <c r="U871" i="57"/>
  <c r="W871" i="57"/>
  <c r="U872" i="57"/>
  <c r="W872" i="57"/>
  <c r="U873" i="57"/>
  <c r="W873" i="57"/>
  <c r="U874" i="57"/>
  <c r="W874" i="57"/>
  <c r="U875" i="57"/>
  <c r="W875" i="57"/>
  <c r="U876" i="57"/>
  <c r="W876" i="57"/>
  <c r="U877" i="57"/>
  <c r="W877" i="57"/>
  <c r="U878" i="57"/>
  <c r="W878" i="57"/>
  <c r="U879" i="57"/>
  <c r="W879" i="57"/>
  <c r="U880" i="57"/>
  <c r="W880" i="57"/>
  <c r="U881" i="57"/>
  <c r="W881" i="57"/>
  <c r="U882" i="57"/>
  <c r="W882" i="57"/>
  <c r="U883" i="57"/>
  <c r="W883" i="57"/>
  <c r="U884" i="57"/>
  <c r="W884" i="57"/>
  <c r="U885" i="57"/>
  <c r="W885" i="57"/>
  <c r="U886" i="57"/>
  <c r="W886" i="57"/>
  <c r="U887" i="57"/>
  <c r="W887" i="57"/>
  <c r="U888" i="57"/>
  <c r="W888" i="57"/>
  <c r="U889" i="57"/>
  <c r="W889" i="57"/>
  <c r="U890" i="57"/>
  <c r="W890" i="57"/>
  <c r="U891" i="57"/>
  <c r="W891" i="57"/>
  <c r="U892" i="57"/>
  <c r="W892" i="57"/>
  <c r="U893" i="57"/>
  <c r="W893" i="57"/>
  <c r="U894" i="57"/>
  <c r="W894" i="57"/>
  <c r="U895" i="57"/>
  <c r="W895" i="57"/>
  <c r="U896" i="57"/>
  <c r="W896" i="57"/>
  <c r="U897" i="57"/>
  <c r="W897" i="57"/>
  <c r="U898" i="57"/>
  <c r="W898" i="57"/>
  <c r="U899" i="57"/>
  <c r="W899" i="57"/>
  <c r="U900" i="57"/>
  <c r="W900" i="57"/>
  <c r="U901" i="57"/>
  <c r="W901" i="57"/>
  <c r="U902" i="57"/>
  <c r="W902" i="57"/>
  <c r="U903" i="57"/>
  <c r="W903" i="57"/>
  <c r="U904" i="57"/>
  <c r="W904" i="57"/>
  <c r="U905" i="57"/>
  <c r="W905" i="57"/>
  <c r="U906" i="57"/>
  <c r="W906" i="57"/>
  <c r="U907" i="57"/>
  <c r="W907" i="57"/>
  <c r="U908" i="57"/>
  <c r="W908" i="57"/>
  <c r="U909" i="57"/>
  <c r="W909" i="57"/>
  <c r="U910" i="57"/>
  <c r="W910" i="57"/>
  <c r="U911" i="57"/>
  <c r="W911" i="57"/>
  <c r="U912" i="57"/>
  <c r="W912" i="57"/>
  <c r="U913" i="57"/>
  <c r="W913" i="57"/>
  <c r="U914" i="57"/>
  <c r="W914" i="57"/>
  <c r="U915" i="57"/>
  <c r="W915" i="57"/>
  <c r="U916" i="57"/>
  <c r="W916" i="57"/>
  <c r="U917" i="57"/>
  <c r="W917" i="57"/>
  <c r="U918" i="57"/>
  <c r="W918" i="57"/>
  <c r="U919" i="57"/>
  <c r="W919" i="57"/>
  <c r="U920" i="57"/>
  <c r="W920" i="57"/>
  <c r="U921" i="57"/>
  <c r="W921" i="57"/>
  <c r="U922" i="57"/>
  <c r="W922" i="57"/>
  <c r="U923" i="57"/>
  <c r="W923" i="57"/>
  <c r="U924" i="57"/>
  <c r="W924" i="57"/>
  <c r="U925" i="57"/>
  <c r="W925" i="57"/>
  <c r="U926" i="57"/>
  <c r="W926" i="57"/>
  <c r="U927" i="57"/>
  <c r="W927" i="57"/>
  <c r="U866" i="57"/>
  <c r="W866" i="57"/>
  <c r="U867" i="57"/>
  <c r="W867" i="57"/>
  <c r="U868" i="57"/>
  <c r="W868" i="57"/>
  <c r="U812" i="57"/>
  <c r="W812" i="57"/>
  <c r="U813" i="57"/>
  <c r="W813" i="57"/>
  <c r="U814" i="57"/>
  <c r="W814" i="57"/>
  <c r="U815" i="57"/>
  <c r="W815" i="57"/>
  <c r="U816" i="57"/>
  <c r="W816" i="57"/>
  <c r="U817" i="57"/>
  <c r="W817" i="57"/>
  <c r="U818" i="57"/>
  <c r="W818" i="57"/>
  <c r="U819" i="57"/>
  <c r="W819" i="57"/>
  <c r="U820" i="57"/>
  <c r="W820" i="57"/>
  <c r="U821" i="57"/>
  <c r="W821" i="57"/>
  <c r="U822" i="57"/>
  <c r="W822" i="57"/>
  <c r="U823" i="57"/>
  <c r="W823" i="57"/>
  <c r="U824" i="57"/>
  <c r="W824" i="57"/>
  <c r="U825" i="57"/>
  <c r="W825" i="57"/>
  <c r="U826" i="57"/>
  <c r="W826" i="57"/>
  <c r="U827" i="57"/>
  <c r="W827" i="57"/>
  <c r="U828" i="57"/>
  <c r="W828" i="57"/>
  <c r="U829" i="57"/>
  <c r="W829" i="57"/>
  <c r="U830" i="57"/>
  <c r="W830" i="57"/>
  <c r="U831" i="57"/>
  <c r="W831" i="57"/>
  <c r="U832" i="57"/>
  <c r="W832" i="57"/>
  <c r="U833" i="57"/>
  <c r="W833" i="57"/>
  <c r="U834" i="57"/>
  <c r="W834" i="57"/>
  <c r="U835" i="57"/>
  <c r="W835" i="57"/>
  <c r="U836" i="57"/>
  <c r="W836" i="57"/>
  <c r="U837" i="57"/>
  <c r="W837" i="57"/>
  <c r="U838" i="57"/>
  <c r="W838" i="57"/>
  <c r="U839" i="57"/>
  <c r="W839" i="57"/>
  <c r="U840" i="57"/>
  <c r="W840" i="57"/>
  <c r="U841" i="57"/>
  <c r="W841" i="57"/>
  <c r="U842" i="57"/>
  <c r="W842" i="57"/>
  <c r="U843" i="57"/>
  <c r="W843" i="57"/>
  <c r="U844" i="57"/>
  <c r="W844" i="57"/>
  <c r="U845" i="57"/>
  <c r="W845" i="57"/>
  <c r="U846" i="57"/>
  <c r="W846" i="57"/>
  <c r="U847" i="57"/>
  <c r="W847" i="57"/>
  <c r="U848" i="57"/>
  <c r="W848" i="57"/>
  <c r="U849" i="57"/>
  <c r="W849" i="57"/>
  <c r="U850" i="57"/>
  <c r="W850" i="57"/>
  <c r="U851" i="57"/>
  <c r="W851" i="57"/>
  <c r="U852" i="57"/>
  <c r="W852" i="57"/>
  <c r="U853" i="57"/>
  <c r="W853" i="57"/>
  <c r="U854" i="57"/>
  <c r="W854" i="57"/>
  <c r="U855" i="57"/>
  <c r="W855" i="57"/>
  <c r="U856" i="57"/>
  <c r="W856" i="57"/>
  <c r="U857" i="57"/>
  <c r="W857" i="57"/>
  <c r="U858" i="57"/>
  <c r="W858" i="57"/>
  <c r="U859" i="57"/>
  <c r="W859" i="57"/>
  <c r="U860" i="57"/>
  <c r="W860" i="57"/>
  <c r="U861" i="57"/>
  <c r="W861" i="57"/>
  <c r="U862" i="57"/>
  <c r="W862" i="57"/>
  <c r="U863" i="57"/>
  <c r="W863" i="57"/>
  <c r="U864" i="57"/>
  <c r="W864" i="57"/>
  <c r="U865" i="57"/>
  <c r="W865" i="57"/>
  <c r="W811" i="57"/>
  <c r="U811" i="57"/>
  <c r="W810" i="57"/>
  <c r="U810" i="57"/>
  <c r="W809" i="57"/>
  <c r="U809" i="57"/>
  <c r="U716" i="57"/>
  <c r="W716" i="57"/>
  <c r="U717" i="57"/>
  <c r="W717" i="57"/>
  <c r="U718" i="57"/>
  <c r="W718" i="57"/>
  <c r="U719" i="57"/>
  <c r="W719" i="57"/>
  <c r="U720" i="57"/>
  <c r="W720" i="57"/>
  <c r="U721" i="57"/>
  <c r="W721" i="57"/>
  <c r="U722" i="57"/>
  <c r="W722" i="57"/>
  <c r="U723" i="57"/>
  <c r="W723" i="57"/>
  <c r="U724" i="57"/>
  <c r="W724" i="57"/>
  <c r="U725" i="57"/>
  <c r="W725" i="57"/>
  <c r="U726" i="57"/>
  <c r="W726" i="57"/>
  <c r="U727" i="57"/>
  <c r="W727" i="57"/>
  <c r="U728" i="57"/>
  <c r="W728" i="57"/>
  <c r="U729" i="57"/>
  <c r="W729" i="57"/>
  <c r="U730" i="57"/>
  <c r="W730" i="57"/>
  <c r="U731" i="57"/>
  <c r="W731" i="57"/>
  <c r="U732" i="57"/>
  <c r="W732" i="57"/>
  <c r="U733" i="57"/>
  <c r="W733" i="57"/>
  <c r="U734" i="57"/>
  <c r="W734" i="57"/>
  <c r="U735" i="57"/>
  <c r="W735" i="57"/>
  <c r="U736" i="57"/>
  <c r="W736" i="57"/>
  <c r="U737" i="57"/>
  <c r="W737" i="57"/>
  <c r="U738" i="57"/>
  <c r="W738" i="57"/>
  <c r="U739" i="57"/>
  <c r="W739" i="57"/>
  <c r="U740" i="57"/>
  <c r="W740" i="57"/>
  <c r="U741" i="57"/>
  <c r="W741" i="57"/>
  <c r="U742" i="57"/>
  <c r="W742" i="57"/>
  <c r="U743" i="57"/>
  <c r="W743" i="57"/>
  <c r="U744" i="57"/>
  <c r="W744" i="57"/>
  <c r="U745" i="57"/>
  <c r="W745" i="57"/>
  <c r="U746" i="57"/>
  <c r="W746" i="57"/>
  <c r="U747" i="57"/>
  <c r="W747" i="57"/>
  <c r="U748" i="57"/>
  <c r="W748" i="57"/>
  <c r="U749" i="57"/>
  <c r="W749" i="57"/>
  <c r="U750" i="57"/>
  <c r="W750" i="57"/>
  <c r="U751" i="57"/>
  <c r="W751" i="57"/>
  <c r="U752" i="57"/>
  <c r="W752" i="57"/>
  <c r="U753" i="57"/>
  <c r="W753" i="57"/>
  <c r="U754" i="57"/>
  <c r="W754" i="57"/>
  <c r="U755" i="57"/>
  <c r="W755" i="57"/>
  <c r="U756" i="57"/>
  <c r="W756" i="57"/>
  <c r="U757" i="57"/>
  <c r="W757" i="57"/>
  <c r="U758" i="57"/>
  <c r="W758" i="57"/>
  <c r="U759" i="57"/>
  <c r="W759" i="57"/>
  <c r="U760" i="57"/>
  <c r="W760" i="57"/>
  <c r="U761" i="57"/>
  <c r="W761" i="57"/>
  <c r="U762" i="57"/>
  <c r="W762" i="57"/>
  <c r="U763" i="57"/>
  <c r="W763" i="57"/>
  <c r="U764" i="57"/>
  <c r="W764" i="57"/>
  <c r="U765" i="57"/>
  <c r="W765" i="57"/>
  <c r="U766" i="57"/>
  <c r="W766" i="57"/>
  <c r="U767" i="57"/>
  <c r="W767" i="57"/>
  <c r="U768" i="57"/>
  <c r="W768" i="57"/>
  <c r="U769" i="57"/>
  <c r="W769" i="57"/>
  <c r="U770" i="57"/>
  <c r="W770" i="57"/>
  <c r="U771" i="57"/>
  <c r="W771" i="57"/>
  <c r="U772" i="57"/>
  <c r="W772" i="57"/>
  <c r="U773" i="57"/>
  <c r="W773" i="57"/>
  <c r="U774" i="57"/>
  <c r="W774" i="57"/>
  <c r="U775" i="57"/>
  <c r="W775" i="57"/>
  <c r="U776" i="57"/>
  <c r="W776" i="57"/>
  <c r="U777" i="57"/>
  <c r="W777" i="57"/>
  <c r="U778" i="57"/>
  <c r="W778" i="57"/>
  <c r="U779" i="57"/>
  <c r="W779" i="57"/>
  <c r="U780" i="57"/>
  <c r="W780" i="57"/>
  <c r="U781" i="57"/>
  <c r="W781" i="57"/>
  <c r="U782" i="57"/>
  <c r="W782" i="57"/>
  <c r="U783" i="57"/>
  <c r="W783" i="57"/>
  <c r="U784" i="57"/>
  <c r="W784" i="57"/>
  <c r="U785" i="57"/>
  <c r="W785" i="57"/>
  <c r="U786" i="57"/>
  <c r="W786" i="57"/>
  <c r="U787" i="57"/>
  <c r="W787" i="57"/>
  <c r="U788" i="57"/>
  <c r="W788" i="57"/>
  <c r="U789" i="57"/>
  <c r="W789" i="57"/>
  <c r="U790" i="57"/>
  <c r="W790" i="57"/>
  <c r="U791" i="57"/>
  <c r="W791" i="57"/>
  <c r="U792" i="57"/>
  <c r="W792" i="57"/>
  <c r="U793" i="57"/>
  <c r="W793" i="57"/>
  <c r="U794" i="57"/>
  <c r="W794" i="57"/>
  <c r="U795" i="57"/>
  <c r="W795" i="57"/>
  <c r="U796" i="57"/>
  <c r="W796" i="57"/>
  <c r="U797" i="57"/>
  <c r="W797" i="57"/>
  <c r="U798" i="57"/>
  <c r="W798" i="57"/>
  <c r="U799" i="57"/>
  <c r="W799" i="57"/>
  <c r="U800" i="57"/>
  <c r="W800" i="57"/>
  <c r="U801" i="57"/>
  <c r="W801" i="57"/>
  <c r="U802" i="57"/>
  <c r="W802" i="57"/>
  <c r="U803" i="57"/>
  <c r="W803" i="57"/>
  <c r="U804" i="57"/>
  <c r="W804" i="57"/>
  <c r="U805" i="57"/>
  <c r="W805" i="57"/>
  <c r="U806" i="57"/>
  <c r="W806" i="57"/>
  <c r="W715" i="57"/>
  <c r="U715" i="57"/>
  <c r="W714" i="57"/>
  <c r="U714" i="57"/>
  <c r="W713" i="57"/>
  <c r="U713" i="57"/>
  <c r="W712" i="57"/>
  <c r="U712" i="57"/>
  <c r="W711" i="57"/>
  <c r="U711" i="57"/>
  <c r="W710" i="57"/>
  <c r="U710" i="57"/>
  <c r="W709" i="57"/>
  <c r="U709" i="57"/>
  <c r="W708" i="57"/>
  <c r="U708" i="57"/>
  <c r="W707" i="57"/>
  <c r="U707" i="57"/>
  <c r="W706" i="57"/>
  <c r="U706" i="57"/>
  <c r="W705" i="57"/>
  <c r="U705" i="57"/>
  <c r="W704" i="57"/>
  <c r="U704" i="57"/>
  <c r="W703" i="57"/>
  <c r="U703" i="57"/>
  <c r="W702" i="57"/>
  <c r="U702" i="57"/>
  <c r="W701" i="57"/>
  <c r="U701" i="57"/>
  <c r="W700" i="57"/>
  <c r="U700" i="57"/>
  <c r="W699" i="57"/>
  <c r="U699" i="57"/>
  <c r="U683" i="57"/>
  <c r="W683" i="57"/>
  <c r="U684" i="57"/>
  <c r="W684" i="57"/>
  <c r="U685" i="57"/>
  <c r="W685" i="57"/>
  <c r="U686" i="57"/>
  <c r="W686" i="57"/>
  <c r="U687" i="57"/>
  <c r="W687" i="57"/>
  <c r="U688" i="57"/>
  <c r="W688" i="57"/>
  <c r="U689" i="57"/>
  <c r="W689" i="57"/>
  <c r="U690" i="57"/>
  <c r="W690" i="57"/>
  <c r="U691" i="57"/>
  <c r="W691" i="57"/>
  <c r="U692" i="57"/>
  <c r="W692" i="57"/>
  <c r="U693" i="57"/>
  <c r="W693" i="57"/>
  <c r="U694" i="57"/>
  <c r="W694" i="57"/>
  <c r="U695" i="57"/>
  <c r="W695" i="57"/>
  <c r="U696" i="57"/>
  <c r="W696" i="57"/>
  <c r="W682" i="57"/>
  <c r="U682" i="57"/>
  <c r="W681" i="57"/>
  <c r="U681" i="57"/>
  <c r="W680" i="57"/>
  <c r="U680" i="57"/>
  <c r="U562" i="57"/>
  <c r="W562" i="57"/>
  <c r="U563" i="57"/>
  <c r="W563" i="57"/>
  <c r="U564" i="57"/>
  <c r="W564" i="57"/>
  <c r="U565" i="57"/>
  <c r="W565" i="57"/>
  <c r="U566" i="57"/>
  <c r="W566" i="57"/>
  <c r="U567" i="57"/>
  <c r="W567" i="57"/>
  <c r="U568" i="57"/>
  <c r="W568" i="57"/>
  <c r="U569" i="57"/>
  <c r="W569" i="57"/>
  <c r="U570" i="57"/>
  <c r="W570" i="57"/>
  <c r="U571" i="57"/>
  <c r="W571" i="57"/>
  <c r="U572" i="57"/>
  <c r="W572" i="57"/>
  <c r="U573" i="57"/>
  <c r="W573" i="57"/>
  <c r="U574" i="57"/>
  <c r="W574" i="57"/>
  <c r="U575" i="57"/>
  <c r="W575" i="57"/>
  <c r="U576" i="57"/>
  <c r="W576" i="57"/>
  <c r="U577" i="57"/>
  <c r="W577" i="57"/>
  <c r="U578" i="57"/>
  <c r="W578" i="57"/>
  <c r="U579" i="57"/>
  <c r="W579" i="57"/>
  <c r="U580" i="57"/>
  <c r="W580" i="57"/>
  <c r="U581" i="57"/>
  <c r="W581" i="57"/>
  <c r="U582" i="57"/>
  <c r="W582" i="57"/>
  <c r="U583" i="57"/>
  <c r="W583" i="57"/>
  <c r="U584" i="57"/>
  <c r="W584" i="57"/>
  <c r="U585" i="57"/>
  <c r="W585" i="57"/>
  <c r="U586" i="57"/>
  <c r="W586" i="57"/>
  <c r="U587" i="57"/>
  <c r="W587" i="57"/>
  <c r="U588" i="57"/>
  <c r="W588" i="57"/>
  <c r="U589" i="57"/>
  <c r="W589" i="57"/>
  <c r="U590" i="57"/>
  <c r="W590" i="57"/>
  <c r="U591" i="57"/>
  <c r="W591" i="57"/>
  <c r="U592" i="57"/>
  <c r="W592" i="57"/>
  <c r="U593" i="57"/>
  <c r="W593" i="57"/>
  <c r="U594" i="57"/>
  <c r="W594" i="57"/>
  <c r="U595" i="57"/>
  <c r="W595" i="57"/>
  <c r="U596" i="57"/>
  <c r="W596" i="57"/>
  <c r="U597" i="57"/>
  <c r="W597" i="57"/>
  <c r="U598" i="57"/>
  <c r="W598" i="57"/>
  <c r="U599" i="57"/>
  <c r="W599" i="57"/>
  <c r="U600" i="57"/>
  <c r="W600" i="57"/>
  <c r="U601" i="57"/>
  <c r="W601" i="57"/>
  <c r="U602" i="57"/>
  <c r="W602" i="57"/>
  <c r="U603" i="57"/>
  <c r="W603" i="57"/>
  <c r="U604" i="57"/>
  <c r="W604" i="57"/>
  <c r="U605" i="57"/>
  <c r="W605" i="57"/>
  <c r="U606" i="57"/>
  <c r="W606" i="57"/>
  <c r="U607" i="57"/>
  <c r="W607" i="57"/>
  <c r="U608" i="57"/>
  <c r="W608" i="57"/>
  <c r="U609" i="57"/>
  <c r="W609" i="57"/>
  <c r="U610" i="57"/>
  <c r="W610" i="57"/>
  <c r="U611" i="57"/>
  <c r="W611" i="57"/>
  <c r="U612" i="57"/>
  <c r="W612" i="57"/>
  <c r="U613" i="57"/>
  <c r="W613" i="57"/>
  <c r="U614" i="57"/>
  <c r="W614" i="57"/>
  <c r="U615" i="57"/>
  <c r="W615" i="57"/>
  <c r="U616" i="57"/>
  <c r="W616" i="57"/>
  <c r="U617" i="57"/>
  <c r="W617" i="57"/>
  <c r="U618" i="57"/>
  <c r="W618" i="57"/>
  <c r="U619" i="57"/>
  <c r="W619" i="57"/>
  <c r="U620" i="57"/>
  <c r="W620" i="57"/>
  <c r="U621" i="57"/>
  <c r="W621" i="57"/>
  <c r="U622" i="57"/>
  <c r="W622" i="57"/>
  <c r="U623" i="57"/>
  <c r="W623" i="57"/>
  <c r="U624" i="57"/>
  <c r="W624" i="57"/>
  <c r="U625" i="57"/>
  <c r="W625" i="57"/>
  <c r="U626" i="57"/>
  <c r="W626" i="57"/>
  <c r="U627" i="57"/>
  <c r="W627" i="57"/>
  <c r="U628" i="57"/>
  <c r="W628" i="57"/>
  <c r="U629" i="57"/>
  <c r="W629" i="57"/>
  <c r="U630" i="57"/>
  <c r="W630" i="57"/>
  <c r="U631" i="57"/>
  <c r="W631" i="57"/>
  <c r="U632" i="57"/>
  <c r="W632" i="57"/>
  <c r="U633" i="57"/>
  <c r="W633" i="57"/>
  <c r="U634" i="57"/>
  <c r="W634" i="57"/>
  <c r="U635" i="57"/>
  <c r="W635" i="57"/>
  <c r="U636" i="57"/>
  <c r="W636" i="57"/>
  <c r="U637" i="57"/>
  <c r="W637" i="57"/>
  <c r="U638" i="57"/>
  <c r="W638" i="57"/>
  <c r="U639" i="57"/>
  <c r="W639" i="57"/>
  <c r="U640" i="57"/>
  <c r="W640" i="57"/>
  <c r="U641" i="57"/>
  <c r="W641" i="57"/>
  <c r="U642" i="57"/>
  <c r="W642" i="57"/>
  <c r="U643" i="57"/>
  <c r="W643" i="57"/>
  <c r="U644" i="57"/>
  <c r="W644" i="57"/>
  <c r="U645" i="57"/>
  <c r="W645" i="57"/>
  <c r="U646" i="57"/>
  <c r="W646" i="57"/>
  <c r="U647" i="57"/>
  <c r="W647" i="57"/>
  <c r="U648" i="57"/>
  <c r="W648" i="57"/>
  <c r="U649" i="57"/>
  <c r="W649" i="57"/>
  <c r="U650" i="57"/>
  <c r="W650" i="57"/>
  <c r="U651" i="57"/>
  <c r="W651" i="57"/>
  <c r="U652" i="57"/>
  <c r="W652" i="57"/>
  <c r="U653" i="57"/>
  <c r="W653" i="57"/>
  <c r="U654" i="57"/>
  <c r="W654" i="57"/>
  <c r="U655" i="57"/>
  <c r="W655" i="57"/>
  <c r="U656" i="57"/>
  <c r="W656" i="57"/>
  <c r="U657" i="57"/>
  <c r="W657" i="57"/>
  <c r="U658" i="57"/>
  <c r="W658" i="57"/>
  <c r="U659" i="57"/>
  <c r="W659" i="57"/>
  <c r="U660" i="57"/>
  <c r="W660" i="57"/>
  <c r="U661" i="57"/>
  <c r="W661" i="57"/>
  <c r="U662" i="57"/>
  <c r="W662" i="57"/>
  <c r="U663" i="57"/>
  <c r="W663" i="57"/>
  <c r="U664" i="57"/>
  <c r="W664" i="57"/>
  <c r="U665" i="57"/>
  <c r="W665" i="57"/>
  <c r="U666" i="57"/>
  <c r="W666" i="57"/>
  <c r="U667" i="57"/>
  <c r="W667" i="57"/>
  <c r="U668" i="57"/>
  <c r="W668" i="57"/>
  <c r="U669" i="57"/>
  <c r="W669" i="57"/>
  <c r="U670" i="57"/>
  <c r="W670" i="57"/>
  <c r="U671" i="57"/>
  <c r="W671" i="57"/>
  <c r="U672" i="57"/>
  <c r="W672" i="57"/>
  <c r="U673" i="57"/>
  <c r="W673" i="57"/>
  <c r="U674" i="57"/>
  <c r="W674" i="57"/>
  <c r="U675" i="57"/>
  <c r="W675" i="57"/>
  <c r="U676" i="57"/>
  <c r="W676" i="57"/>
  <c r="U677" i="57"/>
  <c r="W677" i="57"/>
  <c r="U678" i="57"/>
  <c r="W678" i="57"/>
  <c r="U679" i="57"/>
  <c r="W679" i="57"/>
  <c r="W561" i="57"/>
  <c r="U561" i="57"/>
  <c r="W560" i="57"/>
  <c r="U560" i="57"/>
  <c r="W559" i="57"/>
  <c r="U559" i="57"/>
  <c r="W558" i="57"/>
  <c r="U558" i="57"/>
  <c r="W557" i="57"/>
  <c r="U557" i="57"/>
  <c r="W556" i="57"/>
  <c r="U556" i="57"/>
  <c r="W555" i="57"/>
  <c r="U555" i="57"/>
  <c r="W554" i="57"/>
  <c r="U554" i="57"/>
  <c r="W553" i="57"/>
  <c r="U553" i="57"/>
  <c r="W552" i="57"/>
  <c r="U552" i="57"/>
  <c r="W551" i="57"/>
  <c r="U551" i="57"/>
  <c r="W550" i="57"/>
  <c r="U550" i="57"/>
  <c r="W549" i="57"/>
  <c r="U549" i="57"/>
  <c r="W548" i="57"/>
  <c r="U548" i="57"/>
  <c r="W547" i="57"/>
  <c r="U547" i="57"/>
  <c r="W546" i="57"/>
  <c r="U546" i="57"/>
  <c r="W545" i="57"/>
  <c r="U545" i="57"/>
  <c r="W544" i="57"/>
  <c r="U544" i="57"/>
  <c r="W543" i="57"/>
  <c r="U543" i="57"/>
  <c r="W542" i="57"/>
  <c r="U542" i="57"/>
  <c r="W541" i="57"/>
  <c r="U541" i="57"/>
  <c r="W540" i="57"/>
  <c r="U540" i="57"/>
  <c r="W539" i="57"/>
  <c r="U539" i="57"/>
  <c r="W538" i="57"/>
  <c r="U538" i="57"/>
  <c r="W537" i="57"/>
  <c r="U537" i="57"/>
  <c r="W536" i="57"/>
  <c r="U536" i="57"/>
  <c r="W535" i="57"/>
  <c r="U535" i="57"/>
  <c r="W534" i="57"/>
  <c r="U534" i="57"/>
  <c r="W533" i="57"/>
  <c r="U533" i="57"/>
  <c r="W532" i="57"/>
  <c r="U532" i="57"/>
  <c r="W531" i="57"/>
  <c r="U531" i="57"/>
  <c r="W530" i="57"/>
  <c r="U530" i="57"/>
  <c r="W529" i="57"/>
  <c r="U529" i="57"/>
  <c r="U506" i="57"/>
  <c r="W506" i="57"/>
  <c r="U507" i="57"/>
  <c r="W507" i="57"/>
  <c r="U508" i="57"/>
  <c r="W508" i="57"/>
  <c r="U509" i="57"/>
  <c r="W509" i="57"/>
  <c r="U510" i="57"/>
  <c r="W510" i="57"/>
  <c r="U511" i="57"/>
  <c r="W511" i="57"/>
  <c r="U512" i="57"/>
  <c r="W512" i="57"/>
  <c r="U513" i="57"/>
  <c r="W513" i="57"/>
  <c r="U514" i="57"/>
  <c r="W514" i="57"/>
  <c r="U515" i="57"/>
  <c r="W515" i="57"/>
  <c r="U516" i="57"/>
  <c r="W516" i="57"/>
  <c r="U517" i="57"/>
  <c r="W517" i="57"/>
  <c r="U518" i="57"/>
  <c r="W518" i="57"/>
  <c r="U519" i="57"/>
  <c r="W519" i="57"/>
  <c r="U520" i="57"/>
  <c r="W520" i="57"/>
  <c r="U521" i="57"/>
  <c r="W521" i="57"/>
  <c r="U522" i="57"/>
  <c r="W522" i="57"/>
  <c r="U523" i="57"/>
  <c r="W523" i="57"/>
  <c r="U524" i="57"/>
  <c r="W524" i="57"/>
  <c r="U525" i="57"/>
  <c r="W525" i="57"/>
  <c r="U526" i="57"/>
  <c r="W526" i="57"/>
  <c r="W505" i="57"/>
  <c r="U505" i="57"/>
  <c r="W504" i="57"/>
  <c r="U504" i="57"/>
  <c r="W503" i="57"/>
  <c r="U503" i="57"/>
  <c r="W502" i="57"/>
  <c r="U502" i="57"/>
  <c r="W501" i="57"/>
  <c r="U501" i="57"/>
  <c r="W500" i="57"/>
  <c r="U500" i="57"/>
  <c r="W499" i="57"/>
  <c r="U499" i="57"/>
  <c r="W498" i="57"/>
  <c r="U498" i="57"/>
  <c r="W497" i="57"/>
  <c r="U497" i="57"/>
  <c r="W496" i="57"/>
  <c r="U496" i="57"/>
  <c r="W495" i="57"/>
  <c r="U495" i="57"/>
  <c r="W494" i="57"/>
  <c r="U494" i="57"/>
  <c r="U482" i="57"/>
  <c r="W482" i="57"/>
  <c r="U483" i="57"/>
  <c r="W483" i="57"/>
  <c r="U484" i="57"/>
  <c r="W484" i="57"/>
  <c r="U485" i="57"/>
  <c r="W485" i="57"/>
  <c r="U486" i="57"/>
  <c r="W486" i="57"/>
  <c r="U487" i="57"/>
  <c r="W487" i="57"/>
  <c r="U488" i="57"/>
  <c r="W488" i="57"/>
  <c r="U489" i="57"/>
  <c r="W489" i="57"/>
  <c r="U490" i="57"/>
  <c r="W490" i="57"/>
  <c r="U491" i="57"/>
  <c r="W491" i="57"/>
  <c r="W481" i="57"/>
  <c r="U481" i="57"/>
  <c r="W480" i="57"/>
  <c r="U480" i="57"/>
  <c r="U438" i="57"/>
  <c r="W438" i="57"/>
  <c r="U439" i="57"/>
  <c r="W439" i="57"/>
  <c r="U440" i="57"/>
  <c r="W440" i="57"/>
  <c r="U441" i="57"/>
  <c r="W441" i="57"/>
  <c r="U442" i="57"/>
  <c r="W442" i="57"/>
  <c r="U443" i="57"/>
  <c r="W443" i="57"/>
  <c r="U444" i="57"/>
  <c r="W444" i="57"/>
  <c r="U445" i="57"/>
  <c r="W445" i="57"/>
  <c r="U446" i="57"/>
  <c r="W446" i="57"/>
  <c r="U447" i="57"/>
  <c r="W447" i="57"/>
  <c r="U448" i="57"/>
  <c r="W448" i="57"/>
  <c r="U449" i="57"/>
  <c r="W449" i="57"/>
  <c r="U450" i="57"/>
  <c r="W450" i="57"/>
  <c r="U451" i="57"/>
  <c r="W451" i="57"/>
  <c r="U452" i="57"/>
  <c r="W452" i="57"/>
  <c r="U453" i="57"/>
  <c r="W453" i="57"/>
  <c r="U454" i="57"/>
  <c r="W454" i="57"/>
  <c r="U455" i="57"/>
  <c r="W455" i="57"/>
  <c r="U456" i="57"/>
  <c r="W456" i="57"/>
  <c r="U457" i="57"/>
  <c r="W457" i="57"/>
  <c r="U458" i="57"/>
  <c r="W458" i="57"/>
  <c r="U459" i="57"/>
  <c r="W459" i="57"/>
  <c r="U460" i="57"/>
  <c r="W460" i="57"/>
  <c r="U461" i="57"/>
  <c r="W461" i="57"/>
  <c r="U462" i="57"/>
  <c r="W462" i="57"/>
  <c r="U463" i="57"/>
  <c r="W463" i="57"/>
  <c r="U464" i="57"/>
  <c r="W464" i="57"/>
  <c r="U465" i="57"/>
  <c r="W465" i="57"/>
  <c r="U466" i="57"/>
  <c r="W466" i="57"/>
  <c r="U467" i="57"/>
  <c r="W467" i="57"/>
  <c r="U468" i="57"/>
  <c r="W468" i="57"/>
  <c r="U469" i="57"/>
  <c r="W469" i="57"/>
  <c r="U470" i="57"/>
  <c r="W470" i="57"/>
  <c r="U471" i="57"/>
  <c r="W471" i="57"/>
  <c r="U472" i="57"/>
  <c r="W472" i="57"/>
  <c r="U473" i="57"/>
  <c r="W473" i="57"/>
  <c r="U474" i="57"/>
  <c r="W474" i="57"/>
  <c r="U475" i="57"/>
  <c r="W475" i="57"/>
  <c r="U476" i="57"/>
  <c r="W476" i="57"/>
  <c r="U477" i="57"/>
  <c r="W477" i="57"/>
  <c r="W437" i="57"/>
  <c r="U437" i="57"/>
  <c r="W436" i="57"/>
  <c r="U436" i="57"/>
  <c r="W435" i="57"/>
  <c r="U435" i="57"/>
  <c r="W434" i="57"/>
  <c r="U434" i="57"/>
  <c r="W433" i="57"/>
  <c r="U433" i="57"/>
  <c r="W432" i="57"/>
  <c r="U432" i="57"/>
  <c r="U429" i="57"/>
  <c r="W429" i="57"/>
  <c r="W428" i="57"/>
  <c r="U428" i="57"/>
  <c r="W427" i="57"/>
  <c r="U427" i="57"/>
  <c r="W426" i="57"/>
  <c r="U426" i="57"/>
  <c r="W425" i="57"/>
  <c r="U425" i="57"/>
  <c r="W424" i="57"/>
  <c r="U424" i="57"/>
  <c r="U419" i="57"/>
  <c r="W419" i="57"/>
  <c r="U420" i="57"/>
  <c r="W420" i="57"/>
  <c r="U421" i="57"/>
  <c r="W421" i="57"/>
  <c r="W418" i="57"/>
  <c r="U418" i="57"/>
  <c r="W417" i="57"/>
  <c r="U417" i="57"/>
  <c r="U404" i="57"/>
  <c r="W404" i="57"/>
  <c r="U405" i="57"/>
  <c r="W405" i="57"/>
  <c r="U406" i="57"/>
  <c r="W406" i="57"/>
  <c r="U407" i="57"/>
  <c r="W407" i="57"/>
  <c r="U408" i="57"/>
  <c r="W408" i="57"/>
  <c r="U409" i="57"/>
  <c r="W409" i="57"/>
  <c r="U410" i="57"/>
  <c r="W410" i="57"/>
  <c r="U411" i="57"/>
  <c r="W411" i="57"/>
  <c r="U412" i="57"/>
  <c r="W412" i="57"/>
  <c r="U413" i="57"/>
  <c r="W413" i="57"/>
  <c r="U414" i="57"/>
  <c r="W414" i="57"/>
  <c r="U291" i="57"/>
  <c r="W291" i="57"/>
  <c r="U292" i="57"/>
  <c r="W292" i="57"/>
  <c r="U293" i="57"/>
  <c r="W293" i="57"/>
  <c r="U294" i="57"/>
  <c r="W294" i="57"/>
  <c r="U295" i="57"/>
  <c r="W295" i="57"/>
  <c r="U296" i="57"/>
  <c r="W296" i="57"/>
  <c r="U297" i="57"/>
  <c r="W297" i="57"/>
  <c r="U298" i="57"/>
  <c r="W298" i="57"/>
  <c r="U299" i="57"/>
  <c r="W299" i="57"/>
  <c r="U300" i="57"/>
  <c r="W300" i="57"/>
  <c r="U301" i="57"/>
  <c r="W301" i="57"/>
  <c r="U302" i="57"/>
  <c r="W302" i="57"/>
  <c r="U303" i="57"/>
  <c r="W303" i="57"/>
  <c r="U304" i="57"/>
  <c r="W304" i="57"/>
  <c r="U305" i="57"/>
  <c r="W305" i="57"/>
  <c r="U306" i="57"/>
  <c r="W306" i="57"/>
  <c r="U307" i="57"/>
  <c r="W307" i="57"/>
  <c r="U308" i="57"/>
  <c r="W308" i="57"/>
  <c r="U309" i="57"/>
  <c r="W309" i="57"/>
  <c r="U310" i="57"/>
  <c r="W310" i="57"/>
  <c r="U311" i="57"/>
  <c r="W311" i="57"/>
  <c r="U312" i="57"/>
  <c r="W312" i="57"/>
  <c r="U313" i="57"/>
  <c r="W313" i="57"/>
  <c r="U314" i="57"/>
  <c r="W314" i="57"/>
  <c r="U315" i="57"/>
  <c r="W315" i="57"/>
  <c r="U316" i="57"/>
  <c r="W316" i="57"/>
  <c r="U317" i="57"/>
  <c r="W317" i="57"/>
  <c r="U318" i="57"/>
  <c r="W318" i="57"/>
  <c r="U319" i="57"/>
  <c r="W319" i="57"/>
  <c r="U320" i="57"/>
  <c r="W320" i="57"/>
  <c r="U321" i="57"/>
  <c r="W321" i="57"/>
  <c r="U322" i="57"/>
  <c r="W322" i="57"/>
  <c r="U323" i="57"/>
  <c r="W323" i="57"/>
  <c r="U324" i="57"/>
  <c r="W324" i="57"/>
  <c r="U325" i="57"/>
  <c r="W325" i="57"/>
  <c r="U326" i="57"/>
  <c r="W326" i="57"/>
  <c r="U327" i="57"/>
  <c r="W327" i="57"/>
  <c r="U328" i="57"/>
  <c r="W328" i="57"/>
  <c r="U329" i="57"/>
  <c r="W329" i="57"/>
  <c r="U330" i="57"/>
  <c r="W330" i="57"/>
  <c r="U331" i="57"/>
  <c r="W331" i="57"/>
  <c r="U332" i="57"/>
  <c r="W332" i="57"/>
  <c r="U333" i="57"/>
  <c r="W333" i="57"/>
  <c r="U334" i="57"/>
  <c r="W334" i="57"/>
  <c r="U335" i="57"/>
  <c r="W335" i="57"/>
  <c r="U336" i="57"/>
  <c r="W336" i="57"/>
  <c r="U337" i="57"/>
  <c r="W337" i="57"/>
  <c r="U338" i="57"/>
  <c r="W338" i="57"/>
  <c r="U339" i="57"/>
  <c r="W339" i="57"/>
  <c r="U340" i="57"/>
  <c r="W340" i="57"/>
  <c r="U341" i="57"/>
  <c r="W341" i="57"/>
  <c r="U342" i="57"/>
  <c r="W342" i="57"/>
  <c r="U343" i="57"/>
  <c r="W343" i="57"/>
  <c r="U344" i="57"/>
  <c r="W344" i="57"/>
  <c r="U345" i="57"/>
  <c r="W345" i="57"/>
  <c r="U346" i="57"/>
  <c r="W346" i="57"/>
  <c r="U347" i="57"/>
  <c r="W347" i="57"/>
  <c r="U348" i="57"/>
  <c r="W348" i="57"/>
  <c r="U349" i="57"/>
  <c r="W349" i="57"/>
  <c r="U350" i="57"/>
  <c r="W350" i="57"/>
  <c r="U351" i="57"/>
  <c r="W351" i="57"/>
  <c r="U352" i="57"/>
  <c r="W352" i="57"/>
  <c r="U353" i="57"/>
  <c r="W353" i="57"/>
  <c r="U354" i="57"/>
  <c r="W354" i="57"/>
  <c r="U355" i="57"/>
  <c r="W355" i="57"/>
  <c r="U356" i="57"/>
  <c r="W356" i="57"/>
  <c r="U357" i="57"/>
  <c r="W357" i="57"/>
  <c r="U358" i="57"/>
  <c r="W358" i="57"/>
  <c r="U359" i="57"/>
  <c r="W359" i="57"/>
  <c r="U360" i="57"/>
  <c r="W360" i="57"/>
  <c r="U361" i="57"/>
  <c r="W361" i="57"/>
  <c r="U362" i="57"/>
  <c r="W362" i="57"/>
  <c r="U363" i="57"/>
  <c r="W363" i="57"/>
  <c r="U364" i="57"/>
  <c r="W364" i="57"/>
  <c r="U365" i="57"/>
  <c r="W365" i="57"/>
  <c r="U366" i="57"/>
  <c r="W366" i="57"/>
  <c r="U367" i="57"/>
  <c r="W367" i="57"/>
  <c r="U368" i="57"/>
  <c r="W368" i="57"/>
  <c r="U369" i="57"/>
  <c r="W369" i="57"/>
  <c r="U370" i="57"/>
  <c r="W370" i="57"/>
  <c r="U371" i="57"/>
  <c r="W371" i="57"/>
  <c r="U372" i="57"/>
  <c r="W372" i="57"/>
  <c r="U373" i="57"/>
  <c r="W373" i="57"/>
  <c r="U374" i="57"/>
  <c r="W374" i="57"/>
  <c r="U375" i="57"/>
  <c r="W375" i="57"/>
  <c r="U376" i="57"/>
  <c r="W376" i="57"/>
  <c r="U377" i="57"/>
  <c r="W377" i="57"/>
  <c r="U378" i="57"/>
  <c r="W378" i="57"/>
  <c r="U379" i="57"/>
  <c r="W379" i="57"/>
  <c r="U380" i="57"/>
  <c r="W380" i="57"/>
  <c r="U381" i="57"/>
  <c r="W381" i="57"/>
  <c r="U382" i="57"/>
  <c r="W382" i="57"/>
  <c r="U383" i="57"/>
  <c r="W383" i="57"/>
  <c r="U384" i="57"/>
  <c r="W384" i="57"/>
  <c r="U385" i="57"/>
  <c r="W385" i="57"/>
  <c r="U386" i="57"/>
  <c r="W386" i="57"/>
  <c r="U387" i="57"/>
  <c r="W387" i="57"/>
  <c r="U388" i="57"/>
  <c r="W388" i="57"/>
  <c r="U389" i="57"/>
  <c r="W389" i="57"/>
  <c r="U390" i="57"/>
  <c r="W390" i="57"/>
  <c r="U391" i="57"/>
  <c r="W391" i="57"/>
  <c r="U392" i="57"/>
  <c r="W392" i="57"/>
  <c r="U393" i="57"/>
  <c r="W393" i="57"/>
  <c r="U394" i="57"/>
  <c r="W394" i="57"/>
  <c r="U395" i="57"/>
  <c r="W395" i="57"/>
  <c r="U396" i="57"/>
  <c r="W396" i="57"/>
  <c r="U397" i="57"/>
  <c r="W397" i="57"/>
  <c r="U398" i="57"/>
  <c r="W398" i="57"/>
  <c r="U399" i="57"/>
  <c r="W399" i="57"/>
  <c r="U400" i="57"/>
  <c r="W400" i="57"/>
  <c r="U401" i="57"/>
  <c r="W401" i="57"/>
  <c r="U402" i="57"/>
  <c r="W402" i="57"/>
  <c r="U403" i="57"/>
  <c r="W403" i="57"/>
  <c r="W290" i="57"/>
  <c r="U290" i="57"/>
  <c r="W289" i="57"/>
  <c r="U289" i="57"/>
  <c r="U261" i="57"/>
  <c r="W261" i="57"/>
  <c r="U262" i="57"/>
  <c r="W262" i="57"/>
  <c r="U263" i="57"/>
  <c r="W263" i="57"/>
  <c r="U264" i="57"/>
  <c r="W264" i="57"/>
  <c r="U265" i="57"/>
  <c r="W265" i="57"/>
  <c r="U266" i="57"/>
  <c r="W266" i="57"/>
  <c r="U267" i="57"/>
  <c r="W267" i="57"/>
  <c r="U268" i="57"/>
  <c r="W268" i="57"/>
  <c r="U269" i="57"/>
  <c r="W269" i="57"/>
  <c r="U270" i="57"/>
  <c r="W270" i="57"/>
  <c r="U271" i="57"/>
  <c r="W271" i="57"/>
  <c r="U272" i="57"/>
  <c r="W272" i="57"/>
  <c r="U273" i="57"/>
  <c r="W273" i="57"/>
  <c r="U274" i="57"/>
  <c r="W274" i="57"/>
  <c r="U275" i="57"/>
  <c r="W275" i="57"/>
  <c r="U276" i="57"/>
  <c r="W276" i="57"/>
  <c r="U277" i="57"/>
  <c r="W277" i="57"/>
  <c r="U278" i="57"/>
  <c r="W278" i="57"/>
  <c r="U279" i="57"/>
  <c r="W279" i="57"/>
  <c r="U280" i="57"/>
  <c r="W280" i="57"/>
  <c r="U281" i="57"/>
  <c r="W281" i="57"/>
  <c r="U282" i="57"/>
  <c r="W282" i="57"/>
  <c r="U283" i="57"/>
  <c r="W283" i="57"/>
  <c r="U284" i="57"/>
  <c r="W284" i="57"/>
  <c r="U285" i="57"/>
  <c r="W285" i="57"/>
  <c r="U286" i="57"/>
  <c r="W286" i="57"/>
  <c r="W260" i="57"/>
  <c r="U260" i="57"/>
  <c r="W259" i="57"/>
  <c r="U259" i="57"/>
  <c r="W258" i="57"/>
  <c r="U258" i="57"/>
  <c r="W257" i="57"/>
  <c r="U257" i="57"/>
  <c r="W256" i="57"/>
  <c r="U256" i="57"/>
  <c r="W255" i="57"/>
  <c r="U255" i="57"/>
  <c r="W254" i="57"/>
  <c r="U254" i="57"/>
  <c r="W253" i="57"/>
  <c r="U253" i="57"/>
  <c r="W252" i="57"/>
  <c r="U252" i="57"/>
  <c r="W251" i="57"/>
  <c r="U251" i="57"/>
  <c r="W250" i="57"/>
  <c r="U250" i="57"/>
  <c r="W249" i="57"/>
  <c r="U249" i="57"/>
  <c r="W248" i="57"/>
  <c r="U248" i="57"/>
  <c r="W247" i="57"/>
  <c r="U247" i="57"/>
  <c r="W246" i="57"/>
  <c r="U246" i="57"/>
  <c r="W245" i="57"/>
  <c r="U245" i="57"/>
  <c r="W244" i="57"/>
  <c r="U244" i="57"/>
  <c r="U240" i="57"/>
  <c r="W240" i="57"/>
  <c r="U241" i="57"/>
  <c r="W241" i="57"/>
  <c r="W239" i="57"/>
  <c r="U239" i="57"/>
  <c r="W238" i="57"/>
  <c r="U238" i="57"/>
  <c r="W237" i="57"/>
  <c r="U237" i="57"/>
  <c r="W236" i="57"/>
  <c r="U236" i="57"/>
  <c r="W235" i="57"/>
  <c r="U235" i="57"/>
  <c r="W234" i="57"/>
  <c r="U234" i="57"/>
  <c r="W233" i="57"/>
  <c r="U233" i="57"/>
  <c r="W232" i="57"/>
  <c r="U232" i="57"/>
  <c r="W231" i="57"/>
  <c r="U231" i="57"/>
  <c r="W230" i="57"/>
  <c r="U230" i="57"/>
  <c r="W229" i="57"/>
  <c r="U229" i="57"/>
  <c r="W228" i="57"/>
  <c r="U228" i="57"/>
  <c r="W227" i="57"/>
  <c r="U227" i="57"/>
  <c r="W226" i="57"/>
  <c r="U226" i="57"/>
  <c r="W225" i="57"/>
  <c r="U225" i="57"/>
  <c r="U211" i="57"/>
  <c r="W211" i="57"/>
  <c r="U212" i="57"/>
  <c r="W212" i="57"/>
  <c r="U213" i="57"/>
  <c r="W213" i="57"/>
  <c r="U214" i="57"/>
  <c r="W214" i="57"/>
  <c r="U215" i="57"/>
  <c r="W215" i="57"/>
  <c r="U216" i="57"/>
  <c r="W216" i="57"/>
  <c r="U217" i="57"/>
  <c r="W217" i="57"/>
  <c r="U218" i="57"/>
  <c r="W218" i="57"/>
  <c r="U219" i="57"/>
  <c r="W219" i="57"/>
  <c r="U220" i="57"/>
  <c r="W220" i="57"/>
  <c r="U221" i="57"/>
  <c r="W221" i="57"/>
  <c r="U222" i="57"/>
  <c r="W222" i="57"/>
  <c r="W210" i="57"/>
  <c r="U210" i="57"/>
  <c r="W209" i="57"/>
  <c r="U209" i="57"/>
  <c r="W208" i="57"/>
  <c r="U208" i="57"/>
  <c r="U184" i="57"/>
  <c r="W184" i="57"/>
  <c r="U185" i="57"/>
  <c r="W185" i="57"/>
  <c r="U186" i="57"/>
  <c r="W186" i="57"/>
  <c r="U187" i="57"/>
  <c r="W187" i="57"/>
  <c r="U188" i="57"/>
  <c r="W188" i="57"/>
  <c r="U189" i="57"/>
  <c r="W189" i="57"/>
  <c r="U190" i="57"/>
  <c r="W190" i="57"/>
  <c r="U191" i="57"/>
  <c r="W191" i="57"/>
  <c r="U192" i="57"/>
  <c r="W192" i="57"/>
  <c r="U193" i="57"/>
  <c r="W193" i="57"/>
  <c r="U194" i="57"/>
  <c r="W194" i="57"/>
  <c r="U195" i="57"/>
  <c r="W195" i="57"/>
  <c r="U196" i="57"/>
  <c r="W196" i="57"/>
  <c r="U197" i="57"/>
  <c r="W197" i="57"/>
  <c r="U198" i="57"/>
  <c r="W198" i="57"/>
  <c r="U199" i="57"/>
  <c r="W199" i="57"/>
  <c r="U200" i="57"/>
  <c r="W200" i="57"/>
  <c r="U201" i="57"/>
  <c r="W201" i="57"/>
  <c r="U202" i="57"/>
  <c r="W202" i="57"/>
  <c r="U203" i="57"/>
  <c r="W203" i="57"/>
  <c r="U204" i="57"/>
  <c r="W204" i="57"/>
  <c r="U205" i="57"/>
  <c r="W205" i="57"/>
  <c r="U206" i="57"/>
  <c r="W206" i="57"/>
  <c r="U207" i="57"/>
  <c r="W207" i="57"/>
  <c r="W183" i="57"/>
  <c r="U183" i="57"/>
  <c r="W182" i="57"/>
  <c r="U182" i="57"/>
  <c r="W181" i="57"/>
  <c r="U181" i="57"/>
  <c r="W180" i="57"/>
  <c r="U180" i="57"/>
  <c r="W179" i="57"/>
  <c r="U179" i="57"/>
  <c r="W178" i="57"/>
  <c r="U178" i="57"/>
  <c r="W177" i="57"/>
  <c r="U177" i="57"/>
  <c r="W176" i="57"/>
  <c r="U176" i="57"/>
  <c r="W175" i="57"/>
  <c r="U175" i="57"/>
  <c r="W174" i="57"/>
  <c r="U174" i="57"/>
  <c r="W173" i="57"/>
  <c r="U173" i="57"/>
  <c r="W172" i="57"/>
  <c r="U172" i="57"/>
  <c r="W171" i="57"/>
  <c r="U171" i="57"/>
  <c r="W170" i="57"/>
  <c r="U170" i="57"/>
  <c r="W169" i="57"/>
  <c r="U169" i="57"/>
  <c r="W168" i="57"/>
  <c r="U168" i="57"/>
  <c r="W167" i="57"/>
  <c r="U167" i="57"/>
  <c r="W166" i="57"/>
  <c r="U166" i="57"/>
  <c r="W165" i="57"/>
  <c r="U165" i="57"/>
  <c r="W164" i="57"/>
  <c r="U164" i="57"/>
  <c r="W163" i="57"/>
  <c r="U163" i="57"/>
  <c r="W162" i="57"/>
  <c r="U162" i="57"/>
  <c r="W161" i="57"/>
  <c r="U161" i="57"/>
  <c r="W160" i="57"/>
  <c r="U160" i="57"/>
  <c r="W159" i="57"/>
  <c r="U159" i="57"/>
  <c r="W158" i="57"/>
  <c r="U158" i="57"/>
  <c r="W157" i="57"/>
  <c r="U157" i="57"/>
  <c r="W156" i="57"/>
  <c r="U156" i="57"/>
  <c r="W155" i="57"/>
  <c r="U155" i="57"/>
  <c r="W154" i="57"/>
  <c r="U154" i="57"/>
  <c r="W153" i="57"/>
  <c r="U153" i="57"/>
  <c r="W152" i="57"/>
  <c r="U152" i="57"/>
  <c r="W151" i="57"/>
  <c r="U151" i="57"/>
  <c r="W150" i="57"/>
  <c r="U150" i="57"/>
  <c r="W149" i="57"/>
  <c r="U149" i="57"/>
  <c r="W148" i="57"/>
  <c r="U148" i="57"/>
  <c r="W147" i="57"/>
  <c r="U147" i="57"/>
  <c r="W146" i="57"/>
  <c r="U146" i="57"/>
  <c r="W145" i="57"/>
  <c r="U145" i="57"/>
  <c r="W144" i="57"/>
  <c r="U144" i="57"/>
  <c r="W143" i="57"/>
  <c r="U143" i="57"/>
  <c r="W142" i="57"/>
  <c r="U142" i="57"/>
  <c r="W141" i="57"/>
  <c r="U141" i="57"/>
  <c r="W140" i="57"/>
  <c r="U140" i="57"/>
  <c r="W139" i="57"/>
  <c r="U139" i="57"/>
  <c r="W138" i="57"/>
  <c r="U138" i="57"/>
  <c r="W137" i="57"/>
  <c r="U137" i="57"/>
  <c r="W136" i="57"/>
  <c r="U136" i="57"/>
  <c r="W135" i="57"/>
  <c r="U135" i="57"/>
  <c r="W134" i="57"/>
  <c r="U134" i="57"/>
  <c r="W133" i="57"/>
  <c r="U133" i="57"/>
  <c r="W132" i="57"/>
  <c r="U132" i="57"/>
  <c r="W131" i="57"/>
  <c r="U131" i="57"/>
  <c r="W130" i="57"/>
  <c r="U130" i="57"/>
  <c r="W129" i="57"/>
  <c r="U129" i="57"/>
  <c r="W128" i="57"/>
  <c r="U128" i="57"/>
  <c r="U71" i="57"/>
  <c r="W71" i="57"/>
  <c r="U72" i="57"/>
  <c r="W72" i="57"/>
  <c r="U73" i="57"/>
  <c r="W73" i="57"/>
  <c r="U74" i="57"/>
  <c r="W74" i="57"/>
  <c r="U75" i="57"/>
  <c r="W75" i="57"/>
  <c r="U76" i="57"/>
  <c r="W76" i="57"/>
  <c r="U77" i="57"/>
  <c r="W77" i="57"/>
  <c r="U78" i="57"/>
  <c r="W78" i="57"/>
  <c r="U79" i="57"/>
  <c r="W79" i="57"/>
  <c r="U80" i="57"/>
  <c r="W80" i="57"/>
  <c r="U81" i="57"/>
  <c r="W81" i="57"/>
  <c r="U82" i="57"/>
  <c r="W82" i="57"/>
  <c r="U83" i="57"/>
  <c r="W83" i="57"/>
  <c r="U84" i="57"/>
  <c r="W84" i="57"/>
  <c r="U85" i="57"/>
  <c r="W85" i="57"/>
  <c r="U86" i="57"/>
  <c r="W86" i="57"/>
  <c r="U87" i="57"/>
  <c r="W87" i="57"/>
  <c r="U88" i="57"/>
  <c r="W88" i="57"/>
  <c r="U89" i="57"/>
  <c r="W89" i="57"/>
  <c r="U90" i="57"/>
  <c r="W90" i="57"/>
  <c r="U91" i="57"/>
  <c r="W91" i="57"/>
  <c r="U92" i="57"/>
  <c r="W92" i="57"/>
  <c r="U93" i="57"/>
  <c r="W93" i="57"/>
  <c r="U94" i="57"/>
  <c r="W94" i="57"/>
  <c r="U95" i="57"/>
  <c r="W95" i="57"/>
  <c r="U96" i="57"/>
  <c r="W96" i="57"/>
  <c r="U97" i="57"/>
  <c r="W97" i="57"/>
  <c r="U98" i="57"/>
  <c r="W98" i="57"/>
  <c r="U99" i="57"/>
  <c r="W99" i="57"/>
  <c r="U100" i="57"/>
  <c r="W100" i="57"/>
  <c r="U101" i="57"/>
  <c r="W101" i="57"/>
  <c r="U102" i="57"/>
  <c r="W102" i="57"/>
  <c r="U103" i="57"/>
  <c r="W103" i="57"/>
  <c r="U104" i="57"/>
  <c r="W104" i="57"/>
  <c r="U105" i="57"/>
  <c r="W105" i="57"/>
  <c r="U106" i="57"/>
  <c r="W106" i="57"/>
  <c r="U107" i="57"/>
  <c r="W107" i="57"/>
  <c r="U108" i="57"/>
  <c r="W108" i="57"/>
  <c r="U109" i="57"/>
  <c r="W109" i="57"/>
  <c r="U110" i="57"/>
  <c r="W110" i="57"/>
  <c r="U111" i="57"/>
  <c r="W111" i="57"/>
  <c r="U112" i="57"/>
  <c r="W112" i="57"/>
  <c r="U113" i="57"/>
  <c r="W113" i="57"/>
  <c r="U114" i="57"/>
  <c r="W114" i="57"/>
  <c r="U115" i="57"/>
  <c r="W115" i="57"/>
  <c r="U116" i="57"/>
  <c r="W116" i="57"/>
  <c r="U117" i="57"/>
  <c r="W117" i="57"/>
  <c r="U118" i="57"/>
  <c r="W118" i="57"/>
  <c r="U119" i="57"/>
  <c r="W119" i="57"/>
  <c r="U120" i="57"/>
  <c r="W120" i="57"/>
  <c r="U121" i="57"/>
  <c r="W121" i="57"/>
  <c r="U122" i="57"/>
  <c r="W122" i="57"/>
  <c r="U123" i="57"/>
  <c r="W123" i="57"/>
  <c r="U124" i="57"/>
  <c r="W124" i="57"/>
  <c r="U125" i="57"/>
  <c r="W125" i="57"/>
  <c r="W70" i="57"/>
  <c r="U70" i="57"/>
  <c r="W67" i="57"/>
  <c r="U67" i="57"/>
  <c r="W66" i="57"/>
  <c r="U66" i="57"/>
  <c r="W65" i="57"/>
  <c r="U65" i="57"/>
  <c r="W64" i="57"/>
  <c r="U64" i="57"/>
  <c r="W63" i="57"/>
  <c r="U63" i="57"/>
  <c r="W62" i="57"/>
  <c r="U62" i="57"/>
  <c r="W61" i="57"/>
  <c r="U61" i="57"/>
  <c r="W60" i="57"/>
  <c r="U60" i="57"/>
  <c r="W59" i="57"/>
  <c r="U59" i="57"/>
  <c r="W58" i="57"/>
  <c r="U58" i="57"/>
  <c r="W57" i="57"/>
  <c r="U57" i="57"/>
  <c r="W56" i="57"/>
  <c r="U56" i="57"/>
  <c r="W55" i="57"/>
  <c r="U55" i="57"/>
  <c r="W54" i="57"/>
  <c r="U54" i="57"/>
  <c r="W53" i="57"/>
  <c r="U53" i="57"/>
  <c r="W52" i="57"/>
  <c r="U52" i="57"/>
  <c r="W51" i="57"/>
  <c r="U51" i="57"/>
  <c r="W50" i="57"/>
  <c r="U50" i="57"/>
  <c r="W49" i="57"/>
  <c r="U49" i="57"/>
  <c r="W48" i="57"/>
  <c r="U48" i="57"/>
  <c r="W47" i="57"/>
  <c r="U47" i="57"/>
  <c r="W46" i="57"/>
  <c r="U46" i="57"/>
  <c r="W45" i="57"/>
  <c r="U45" i="57"/>
  <c r="W44" i="57"/>
  <c r="U44" i="57"/>
  <c r="W43" i="57"/>
  <c r="U43" i="57"/>
  <c r="W42" i="57"/>
  <c r="U42" i="57"/>
  <c r="U20" i="57"/>
  <c r="W20" i="57"/>
  <c r="U21" i="57"/>
  <c r="W21" i="57"/>
  <c r="U22" i="57"/>
  <c r="W22" i="57"/>
  <c r="U23" i="57"/>
  <c r="W23" i="57"/>
  <c r="U24" i="57"/>
  <c r="W24" i="57"/>
  <c r="U25" i="57"/>
  <c r="W25" i="57"/>
  <c r="U26" i="57"/>
  <c r="W26" i="57"/>
  <c r="U27" i="57"/>
  <c r="W27" i="57"/>
  <c r="U28" i="57"/>
  <c r="W28" i="57"/>
  <c r="U29" i="57"/>
  <c r="W29" i="57"/>
  <c r="U30" i="57"/>
  <c r="W30" i="57"/>
  <c r="U31" i="57"/>
  <c r="W31" i="57"/>
  <c r="U32" i="57"/>
  <c r="W32" i="57"/>
  <c r="U33" i="57"/>
  <c r="W33" i="57"/>
  <c r="U34" i="57"/>
  <c r="W34" i="57"/>
  <c r="U35" i="57"/>
  <c r="W35" i="57"/>
  <c r="U36" i="57"/>
  <c r="W36" i="57"/>
  <c r="U37" i="57"/>
  <c r="W37" i="57"/>
  <c r="U38" i="57"/>
  <c r="W38" i="57"/>
  <c r="U39" i="57"/>
  <c r="W39" i="57"/>
  <c r="W19" i="57"/>
  <c r="U19" i="57"/>
  <c r="W18" i="57"/>
  <c r="U18" i="57"/>
  <c r="W17" i="57"/>
  <c r="U17" i="57"/>
  <c r="W16" i="57"/>
  <c r="U16" i="57"/>
  <c r="W15" i="57"/>
  <c r="U15" i="57"/>
  <c r="W14" i="57"/>
  <c r="U14" i="57"/>
  <c r="W13" i="57"/>
  <c r="U13" i="57"/>
  <c r="U5" i="57"/>
  <c r="W5" i="57"/>
  <c r="U6" i="57"/>
  <c r="W6" i="57"/>
  <c r="U7" i="57"/>
  <c r="W7" i="57"/>
  <c r="U8" i="57"/>
  <c r="W8" i="57"/>
  <c r="U9" i="57"/>
  <c r="W9" i="57"/>
  <c r="U10" i="57"/>
  <c r="W10" i="57"/>
  <c r="W4" i="57"/>
  <c r="U4" i="57"/>
  <c r="F1824" i="57"/>
  <c r="E1824" i="57"/>
  <c r="D1824" i="57"/>
  <c r="C1824" i="57"/>
  <c r="B1824" i="57"/>
  <c r="A1824" i="57"/>
  <c r="F1823" i="57"/>
  <c r="E1823" i="57"/>
  <c r="D1823" i="57"/>
  <c r="C1823" i="57"/>
  <c r="B1823" i="57"/>
  <c r="A1823" i="57"/>
  <c r="A1820" i="57"/>
  <c r="B1820" i="57"/>
  <c r="C1820" i="57"/>
  <c r="D1820" i="57"/>
  <c r="E1820" i="57"/>
  <c r="F1820" i="57"/>
  <c r="F1819" i="57"/>
  <c r="E1819" i="57"/>
  <c r="D1819" i="57"/>
  <c r="C1819" i="57"/>
  <c r="B1819" i="57"/>
  <c r="A1819" i="57"/>
  <c r="F1818" i="57"/>
  <c r="E1818" i="57"/>
  <c r="D1818" i="57"/>
  <c r="C1818" i="57"/>
  <c r="B1818" i="57"/>
  <c r="A1818" i="57"/>
  <c r="F1817" i="57"/>
  <c r="E1817" i="57"/>
  <c r="D1817" i="57"/>
  <c r="C1817" i="57"/>
  <c r="B1817" i="57"/>
  <c r="A1817" i="57"/>
  <c r="A1811" i="57"/>
  <c r="B1811" i="57"/>
  <c r="C1811" i="57"/>
  <c r="D1811" i="57"/>
  <c r="E1811" i="57"/>
  <c r="F1811" i="57"/>
  <c r="A1812" i="57"/>
  <c r="B1812" i="57"/>
  <c r="C1812" i="57"/>
  <c r="D1812" i="57"/>
  <c r="E1812" i="57"/>
  <c r="F1812" i="57"/>
  <c r="A1813" i="57"/>
  <c r="B1813" i="57"/>
  <c r="C1813" i="57"/>
  <c r="D1813" i="57"/>
  <c r="E1813" i="57"/>
  <c r="F1813" i="57"/>
  <c r="A1814" i="57"/>
  <c r="B1814" i="57"/>
  <c r="C1814" i="57"/>
  <c r="D1814" i="57"/>
  <c r="E1814" i="57"/>
  <c r="F1814" i="57"/>
  <c r="F1810" i="57"/>
  <c r="E1810" i="57"/>
  <c r="D1810" i="57"/>
  <c r="C1810" i="57"/>
  <c r="B1810" i="57"/>
  <c r="A1810" i="57"/>
  <c r="F1809" i="57"/>
  <c r="E1809" i="57"/>
  <c r="D1809" i="57"/>
  <c r="C1809" i="57"/>
  <c r="B1809" i="57"/>
  <c r="A1809" i="57"/>
  <c r="F1808" i="57"/>
  <c r="E1808" i="57"/>
  <c r="D1808" i="57"/>
  <c r="C1808" i="57"/>
  <c r="B1808" i="57"/>
  <c r="A1808" i="57"/>
  <c r="F1807" i="57"/>
  <c r="E1807" i="57"/>
  <c r="D1807" i="57"/>
  <c r="C1807" i="57"/>
  <c r="B1807" i="57"/>
  <c r="A1807" i="57"/>
  <c r="F1806" i="57"/>
  <c r="E1806" i="57"/>
  <c r="D1806" i="57"/>
  <c r="C1806" i="57"/>
  <c r="B1806" i="57"/>
  <c r="A1806" i="57"/>
  <c r="A1789" i="57"/>
  <c r="B1789" i="57"/>
  <c r="C1789" i="57"/>
  <c r="D1789" i="57"/>
  <c r="E1789" i="57"/>
  <c r="F1789" i="57"/>
  <c r="A1790" i="57"/>
  <c r="B1790" i="57"/>
  <c r="C1790" i="57"/>
  <c r="D1790" i="57"/>
  <c r="E1790" i="57"/>
  <c r="F1790" i="57"/>
  <c r="A1791" i="57"/>
  <c r="B1791" i="57"/>
  <c r="C1791" i="57"/>
  <c r="D1791" i="57"/>
  <c r="E1791" i="57"/>
  <c r="F1791" i="57"/>
  <c r="A1792" i="57"/>
  <c r="B1792" i="57"/>
  <c r="C1792" i="57"/>
  <c r="D1792" i="57"/>
  <c r="E1792" i="57"/>
  <c r="F1792" i="57"/>
  <c r="A1793" i="57"/>
  <c r="B1793" i="57"/>
  <c r="C1793" i="57"/>
  <c r="D1793" i="57"/>
  <c r="E1793" i="57"/>
  <c r="F1793" i="57"/>
  <c r="A1794" i="57"/>
  <c r="B1794" i="57"/>
  <c r="C1794" i="57"/>
  <c r="D1794" i="57"/>
  <c r="E1794" i="57"/>
  <c r="F1794" i="57"/>
  <c r="A1795" i="57"/>
  <c r="B1795" i="57"/>
  <c r="C1795" i="57"/>
  <c r="D1795" i="57"/>
  <c r="E1795" i="57"/>
  <c r="F1795" i="57"/>
  <c r="A1796" i="57"/>
  <c r="B1796" i="57"/>
  <c r="C1796" i="57"/>
  <c r="D1796" i="57"/>
  <c r="E1796" i="57"/>
  <c r="F1796" i="57"/>
  <c r="A1797" i="57"/>
  <c r="B1797" i="57"/>
  <c r="C1797" i="57"/>
  <c r="D1797" i="57"/>
  <c r="E1797" i="57"/>
  <c r="F1797" i="57"/>
  <c r="A1798" i="57"/>
  <c r="B1798" i="57"/>
  <c r="C1798" i="57"/>
  <c r="D1798" i="57"/>
  <c r="E1798" i="57"/>
  <c r="F1798" i="57"/>
  <c r="A1799" i="57"/>
  <c r="B1799" i="57"/>
  <c r="C1799" i="57"/>
  <c r="D1799" i="57"/>
  <c r="E1799" i="57"/>
  <c r="F1799" i="57"/>
  <c r="A1800" i="57"/>
  <c r="B1800" i="57"/>
  <c r="C1800" i="57"/>
  <c r="D1800" i="57"/>
  <c r="E1800" i="57"/>
  <c r="F1800" i="57"/>
  <c r="A1801" i="57"/>
  <c r="B1801" i="57"/>
  <c r="C1801" i="57"/>
  <c r="D1801" i="57"/>
  <c r="E1801" i="57"/>
  <c r="F1801" i="57"/>
  <c r="A1802" i="57"/>
  <c r="B1802" i="57"/>
  <c r="C1802" i="57"/>
  <c r="D1802" i="57"/>
  <c r="E1802" i="57"/>
  <c r="F1802" i="57"/>
  <c r="A1803" i="57"/>
  <c r="B1803" i="57"/>
  <c r="C1803" i="57"/>
  <c r="D1803" i="57"/>
  <c r="E1803" i="57"/>
  <c r="F1803" i="57"/>
  <c r="F1788" i="57"/>
  <c r="E1788" i="57"/>
  <c r="D1788" i="57"/>
  <c r="C1788" i="57"/>
  <c r="B1788" i="57"/>
  <c r="A1788" i="57"/>
  <c r="F1787" i="57"/>
  <c r="E1787" i="57"/>
  <c r="D1787" i="57"/>
  <c r="C1787" i="57"/>
  <c r="B1787" i="57"/>
  <c r="A1787" i="57"/>
  <c r="F1786" i="57"/>
  <c r="E1786" i="57"/>
  <c r="D1786" i="57"/>
  <c r="C1786" i="57"/>
  <c r="B1786" i="57"/>
  <c r="A1786" i="57"/>
  <c r="F1785" i="57"/>
  <c r="E1785" i="57"/>
  <c r="D1785" i="57"/>
  <c r="C1785" i="57"/>
  <c r="B1785" i="57"/>
  <c r="A1785" i="57"/>
  <c r="F1784" i="57"/>
  <c r="E1784" i="57"/>
  <c r="D1784" i="57"/>
  <c r="C1784" i="57"/>
  <c r="B1784" i="57"/>
  <c r="A1784" i="57"/>
  <c r="F1783" i="57"/>
  <c r="E1783" i="57"/>
  <c r="D1783" i="57"/>
  <c r="C1783" i="57"/>
  <c r="B1783" i="57"/>
  <c r="A1783" i="57"/>
  <c r="F1782" i="57"/>
  <c r="E1782" i="57"/>
  <c r="D1782" i="57"/>
  <c r="C1782" i="57"/>
  <c r="B1782" i="57"/>
  <c r="A1782" i="57"/>
  <c r="F1781" i="57"/>
  <c r="E1781" i="57"/>
  <c r="D1781" i="57"/>
  <c r="C1781" i="57"/>
  <c r="B1781" i="57"/>
  <c r="A1781" i="57"/>
  <c r="F1780" i="57"/>
  <c r="E1780" i="57"/>
  <c r="D1780" i="57"/>
  <c r="C1780" i="57"/>
  <c r="B1780" i="57"/>
  <c r="A1780" i="57"/>
  <c r="F1779" i="57"/>
  <c r="E1779" i="57"/>
  <c r="D1779" i="57"/>
  <c r="C1779" i="57"/>
  <c r="B1779" i="57"/>
  <c r="A1779" i="57"/>
  <c r="A1770" i="57"/>
  <c r="B1770" i="57"/>
  <c r="C1770" i="57"/>
  <c r="D1770" i="57"/>
  <c r="E1770" i="57"/>
  <c r="F1770" i="57"/>
  <c r="A1771" i="57"/>
  <c r="B1771" i="57"/>
  <c r="C1771" i="57"/>
  <c r="D1771" i="57"/>
  <c r="E1771" i="57"/>
  <c r="F1771" i="57"/>
  <c r="A1772" i="57"/>
  <c r="B1772" i="57"/>
  <c r="C1772" i="57"/>
  <c r="D1772" i="57"/>
  <c r="E1772" i="57"/>
  <c r="F1772" i="57"/>
  <c r="A1773" i="57"/>
  <c r="B1773" i="57"/>
  <c r="C1773" i="57"/>
  <c r="D1773" i="57"/>
  <c r="E1773" i="57"/>
  <c r="F1773" i="57"/>
  <c r="A1774" i="57"/>
  <c r="B1774" i="57"/>
  <c r="C1774" i="57"/>
  <c r="D1774" i="57"/>
  <c r="E1774" i="57"/>
  <c r="F1774" i="57"/>
  <c r="A1775" i="57"/>
  <c r="B1775" i="57"/>
  <c r="C1775" i="57"/>
  <c r="D1775" i="57"/>
  <c r="E1775" i="57"/>
  <c r="F1775" i="57"/>
  <c r="A1776" i="57"/>
  <c r="B1776" i="57"/>
  <c r="C1776" i="57"/>
  <c r="D1776" i="57"/>
  <c r="E1776" i="57"/>
  <c r="F1776" i="57"/>
  <c r="F1769" i="57"/>
  <c r="E1769" i="57"/>
  <c r="D1769" i="57"/>
  <c r="C1769" i="57"/>
  <c r="B1769" i="57"/>
  <c r="A1769" i="57"/>
  <c r="F1768" i="57"/>
  <c r="E1768" i="57"/>
  <c r="D1768" i="57"/>
  <c r="C1768" i="57"/>
  <c r="B1768" i="57"/>
  <c r="A1768" i="57"/>
  <c r="F1767" i="57"/>
  <c r="E1767" i="57"/>
  <c r="D1767" i="57"/>
  <c r="C1767" i="57"/>
  <c r="B1767" i="57"/>
  <c r="A1767" i="57"/>
  <c r="A1703" i="57"/>
  <c r="B1703" i="57"/>
  <c r="C1703" i="57"/>
  <c r="D1703" i="57"/>
  <c r="E1703" i="57"/>
  <c r="F1703" i="57"/>
  <c r="A1704" i="57"/>
  <c r="B1704" i="57"/>
  <c r="C1704" i="57"/>
  <c r="D1704" i="57"/>
  <c r="E1704" i="57"/>
  <c r="F1704" i="57"/>
  <c r="A1705" i="57"/>
  <c r="B1705" i="57"/>
  <c r="C1705" i="57"/>
  <c r="D1705" i="57"/>
  <c r="E1705" i="57"/>
  <c r="F1705" i="57"/>
  <c r="A1706" i="57"/>
  <c r="B1706" i="57"/>
  <c r="C1706" i="57"/>
  <c r="D1706" i="57"/>
  <c r="E1706" i="57"/>
  <c r="F1706" i="57"/>
  <c r="A1707" i="57"/>
  <c r="B1707" i="57"/>
  <c r="C1707" i="57"/>
  <c r="D1707" i="57"/>
  <c r="E1707" i="57"/>
  <c r="F1707" i="57"/>
  <c r="A1708" i="57"/>
  <c r="B1708" i="57"/>
  <c r="C1708" i="57"/>
  <c r="D1708" i="57"/>
  <c r="E1708" i="57"/>
  <c r="F1708" i="57"/>
  <c r="A1709" i="57"/>
  <c r="B1709" i="57"/>
  <c r="C1709" i="57"/>
  <c r="D1709" i="57"/>
  <c r="E1709" i="57"/>
  <c r="F1709" i="57"/>
  <c r="A1710" i="57"/>
  <c r="B1710" i="57"/>
  <c r="C1710" i="57"/>
  <c r="D1710" i="57"/>
  <c r="E1710" i="57"/>
  <c r="F1710" i="57"/>
  <c r="A1711" i="57"/>
  <c r="B1711" i="57"/>
  <c r="C1711" i="57"/>
  <c r="D1711" i="57"/>
  <c r="E1711" i="57"/>
  <c r="F1711" i="57"/>
  <c r="A1712" i="57"/>
  <c r="B1712" i="57"/>
  <c r="C1712" i="57"/>
  <c r="D1712" i="57"/>
  <c r="E1712" i="57"/>
  <c r="F1712" i="57"/>
  <c r="A1713" i="57"/>
  <c r="B1713" i="57"/>
  <c r="C1713" i="57"/>
  <c r="D1713" i="57"/>
  <c r="E1713" i="57"/>
  <c r="F1713" i="57"/>
  <c r="A1714" i="57"/>
  <c r="B1714" i="57"/>
  <c r="C1714" i="57"/>
  <c r="D1714" i="57"/>
  <c r="E1714" i="57"/>
  <c r="F1714" i="57"/>
  <c r="A1715" i="57"/>
  <c r="B1715" i="57"/>
  <c r="C1715" i="57"/>
  <c r="D1715" i="57"/>
  <c r="E1715" i="57"/>
  <c r="F1715" i="57"/>
  <c r="A1716" i="57"/>
  <c r="B1716" i="57"/>
  <c r="C1716" i="57"/>
  <c r="D1716" i="57"/>
  <c r="E1716" i="57"/>
  <c r="F1716" i="57"/>
  <c r="A1717" i="57"/>
  <c r="B1717" i="57"/>
  <c r="C1717" i="57"/>
  <c r="D1717" i="57"/>
  <c r="E1717" i="57"/>
  <c r="F1717" i="57"/>
  <c r="A1718" i="57"/>
  <c r="B1718" i="57"/>
  <c r="C1718" i="57"/>
  <c r="D1718" i="57"/>
  <c r="E1718" i="57"/>
  <c r="F1718" i="57"/>
  <c r="A1719" i="57"/>
  <c r="B1719" i="57"/>
  <c r="C1719" i="57"/>
  <c r="D1719" i="57"/>
  <c r="E1719" i="57"/>
  <c r="F1719" i="57"/>
  <c r="A1720" i="57"/>
  <c r="B1720" i="57"/>
  <c r="C1720" i="57"/>
  <c r="D1720" i="57"/>
  <c r="E1720" i="57"/>
  <c r="F1720" i="57"/>
  <c r="A1721" i="57"/>
  <c r="B1721" i="57"/>
  <c r="C1721" i="57"/>
  <c r="D1721" i="57"/>
  <c r="E1721" i="57"/>
  <c r="F1721" i="57"/>
  <c r="A1722" i="57"/>
  <c r="B1722" i="57"/>
  <c r="C1722" i="57"/>
  <c r="D1722" i="57"/>
  <c r="E1722" i="57"/>
  <c r="F1722" i="57"/>
  <c r="A1723" i="57"/>
  <c r="B1723" i="57"/>
  <c r="C1723" i="57"/>
  <c r="D1723" i="57"/>
  <c r="E1723" i="57"/>
  <c r="F1723" i="57"/>
  <c r="A1724" i="57"/>
  <c r="B1724" i="57"/>
  <c r="C1724" i="57"/>
  <c r="D1724" i="57"/>
  <c r="E1724" i="57"/>
  <c r="F1724" i="57"/>
  <c r="A1725" i="57"/>
  <c r="B1725" i="57"/>
  <c r="C1725" i="57"/>
  <c r="D1725" i="57"/>
  <c r="E1725" i="57"/>
  <c r="F1725" i="57"/>
  <c r="A1726" i="57"/>
  <c r="B1726" i="57"/>
  <c r="C1726" i="57"/>
  <c r="D1726" i="57"/>
  <c r="E1726" i="57"/>
  <c r="F1726" i="57"/>
  <c r="A1727" i="57"/>
  <c r="B1727" i="57"/>
  <c r="C1727" i="57"/>
  <c r="D1727" i="57"/>
  <c r="E1727" i="57"/>
  <c r="F1727" i="57"/>
  <c r="A1728" i="57"/>
  <c r="B1728" i="57"/>
  <c r="C1728" i="57"/>
  <c r="D1728" i="57"/>
  <c r="E1728" i="57"/>
  <c r="F1728" i="57"/>
  <c r="A1729" i="57"/>
  <c r="B1729" i="57"/>
  <c r="C1729" i="57"/>
  <c r="D1729" i="57"/>
  <c r="E1729" i="57"/>
  <c r="F1729" i="57"/>
  <c r="A1730" i="57"/>
  <c r="B1730" i="57"/>
  <c r="C1730" i="57"/>
  <c r="D1730" i="57"/>
  <c r="E1730" i="57"/>
  <c r="F1730" i="57"/>
  <c r="A1731" i="57"/>
  <c r="B1731" i="57"/>
  <c r="C1731" i="57"/>
  <c r="D1731" i="57"/>
  <c r="E1731" i="57"/>
  <c r="F1731" i="57"/>
  <c r="A1732" i="57"/>
  <c r="B1732" i="57"/>
  <c r="C1732" i="57"/>
  <c r="D1732" i="57"/>
  <c r="E1732" i="57"/>
  <c r="F1732" i="57"/>
  <c r="A1733" i="57"/>
  <c r="B1733" i="57"/>
  <c r="C1733" i="57"/>
  <c r="D1733" i="57"/>
  <c r="E1733" i="57"/>
  <c r="F1733" i="57"/>
  <c r="A1734" i="57"/>
  <c r="B1734" i="57"/>
  <c r="C1734" i="57"/>
  <c r="D1734" i="57"/>
  <c r="E1734" i="57"/>
  <c r="F1734" i="57"/>
  <c r="A1735" i="57"/>
  <c r="B1735" i="57"/>
  <c r="C1735" i="57"/>
  <c r="D1735" i="57"/>
  <c r="E1735" i="57"/>
  <c r="F1735" i="57"/>
  <c r="A1736" i="57"/>
  <c r="B1736" i="57"/>
  <c r="C1736" i="57"/>
  <c r="D1736" i="57"/>
  <c r="E1736" i="57"/>
  <c r="F1736" i="57"/>
  <c r="A1737" i="57"/>
  <c r="B1737" i="57"/>
  <c r="C1737" i="57"/>
  <c r="D1737" i="57"/>
  <c r="E1737" i="57"/>
  <c r="F1737" i="57"/>
  <c r="A1738" i="57"/>
  <c r="B1738" i="57"/>
  <c r="C1738" i="57"/>
  <c r="D1738" i="57"/>
  <c r="E1738" i="57"/>
  <c r="F1738" i="57"/>
  <c r="A1739" i="57"/>
  <c r="B1739" i="57"/>
  <c r="C1739" i="57"/>
  <c r="D1739" i="57"/>
  <c r="E1739" i="57"/>
  <c r="F1739" i="57"/>
  <c r="A1740" i="57"/>
  <c r="B1740" i="57"/>
  <c r="C1740" i="57"/>
  <c r="D1740" i="57"/>
  <c r="E1740" i="57"/>
  <c r="F1740" i="57"/>
  <c r="A1741" i="57"/>
  <c r="B1741" i="57"/>
  <c r="C1741" i="57"/>
  <c r="D1741" i="57"/>
  <c r="E1741" i="57"/>
  <c r="F1741" i="57"/>
  <c r="A1742" i="57"/>
  <c r="B1742" i="57"/>
  <c r="C1742" i="57"/>
  <c r="D1742" i="57"/>
  <c r="E1742" i="57"/>
  <c r="F1742" i="57"/>
  <c r="A1743" i="57"/>
  <c r="B1743" i="57"/>
  <c r="C1743" i="57"/>
  <c r="D1743" i="57"/>
  <c r="E1743" i="57"/>
  <c r="F1743" i="57"/>
  <c r="A1744" i="57"/>
  <c r="B1744" i="57"/>
  <c r="C1744" i="57"/>
  <c r="D1744" i="57"/>
  <c r="E1744" i="57"/>
  <c r="F1744" i="57"/>
  <c r="A1745" i="57"/>
  <c r="B1745" i="57"/>
  <c r="C1745" i="57"/>
  <c r="D1745" i="57"/>
  <c r="E1745" i="57"/>
  <c r="F1745" i="57"/>
  <c r="A1746" i="57"/>
  <c r="B1746" i="57"/>
  <c r="C1746" i="57"/>
  <c r="D1746" i="57"/>
  <c r="E1746" i="57"/>
  <c r="F1746" i="57"/>
  <c r="A1747" i="57"/>
  <c r="B1747" i="57"/>
  <c r="C1747" i="57"/>
  <c r="D1747" i="57"/>
  <c r="E1747" i="57"/>
  <c r="F1747" i="57"/>
  <c r="A1748" i="57"/>
  <c r="B1748" i="57"/>
  <c r="C1748" i="57"/>
  <c r="D1748" i="57"/>
  <c r="E1748" i="57"/>
  <c r="F1748" i="57"/>
  <c r="A1749" i="57"/>
  <c r="B1749" i="57"/>
  <c r="C1749" i="57"/>
  <c r="D1749" i="57"/>
  <c r="E1749" i="57"/>
  <c r="F1749" i="57"/>
  <c r="A1750" i="57"/>
  <c r="B1750" i="57"/>
  <c r="C1750" i="57"/>
  <c r="D1750" i="57"/>
  <c r="E1750" i="57"/>
  <c r="F1750" i="57"/>
  <c r="A1751" i="57"/>
  <c r="B1751" i="57"/>
  <c r="C1751" i="57"/>
  <c r="D1751" i="57"/>
  <c r="E1751" i="57"/>
  <c r="F1751" i="57"/>
  <c r="A1752" i="57"/>
  <c r="B1752" i="57"/>
  <c r="C1752" i="57"/>
  <c r="D1752" i="57"/>
  <c r="E1752" i="57"/>
  <c r="F1752" i="57"/>
  <c r="A1753" i="57"/>
  <c r="B1753" i="57"/>
  <c r="C1753" i="57"/>
  <c r="D1753" i="57"/>
  <c r="E1753" i="57"/>
  <c r="F1753" i="57"/>
  <c r="A1754" i="57"/>
  <c r="B1754" i="57"/>
  <c r="C1754" i="57"/>
  <c r="D1754" i="57"/>
  <c r="E1754" i="57"/>
  <c r="F1754" i="57"/>
  <c r="A1755" i="57"/>
  <c r="B1755" i="57"/>
  <c r="C1755" i="57"/>
  <c r="D1755" i="57"/>
  <c r="E1755" i="57"/>
  <c r="F1755" i="57"/>
  <c r="A1756" i="57"/>
  <c r="B1756" i="57"/>
  <c r="C1756" i="57"/>
  <c r="D1756" i="57"/>
  <c r="E1756" i="57"/>
  <c r="F1756" i="57"/>
  <c r="A1757" i="57"/>
  <c r="B1757" i="57"/>
  <c r="C1757" i="57"/>
  <c r="D1757" i="57"/>
  <c r="E1757" i="57"/>
  <c r="F1757" i="57"/>
  <c r="A1758" i="57"/>
  <c r="B1758" i="57"/>
  <c r="C1758" i="57"/>
  <c r="D1758" i="57"/>
  <c r="E1758" i="57"/>
  <c r="F1758" i="57"/>
  <c r="A1759" i="57"/>
  <c r="B1759" i="57"/>
  <c r="C1759" i="57"/>
  <c r="D1759" i="57"/>
  <c r="E1759" i="57"/>
  <c r="F1759" i="57"/>
  <c r="A1760" i="57"/>
  <c r="B1760" i="57"/>
  <c r="C1760" i="57"/>
  <c r="D1760" i="57"/>
  <c r="E1760" i="57"/>
  <c r="F1760" i="57"/>
  <c r="A1761" i="57"/>
  <c r="B1761" i="57"/>
  <c r="C1761" i="57"/>
  <c r="D1761" i="57"/>
  <c r="E1761" i="57"/>
  <c r="F1761" i="57"/>
  <c r="A1762" i="57"/>
  <c r="B1762" i="57"/>
  <c r="C1762" i="57"/>
  <c r="D1762" i="57"/>
  <c r="E1762" i="57"/>
  <c r="F1762" i="57"/>
  <c r="A1763" i="57"/>
  <c r="B1763" i="57"/>
  <c r="C1763" i="57"/>
  <c r="D1763" i="57"/>
  <c r="E1763" i="57"/>
  <c r="F1763" i="57"/>
  <c r="A1764" i="57"/>
  <c r="B1764" i="57"/>
  <c r="C1764" i="57"/>
  <c r="D1764" i="57"/>
  <c r="E1764" i="57"/>
  <c r="F1764" i="57"/>
  <c r="A1765" i="57"/>
  <c r="B1765" i="57"/>
  <c r="C1765" i="57"/>
  <c r="D1765" i="57"/>
  <c r="E1765" i="57"/>
  <c r="F1765" i="57"/>
  <c r="A1766" i="57"/>
  <c r="B1766" i="57"/>
  <c r="C1766" i="57"/>
  <c r="D1766" i="57"/>
  <c r="E1766" i="57"/>
  <c r="F1766" i="57"/>
  <c r="F1702" i="57"/>
  <c r="E1702" i="57"/>
  <c r="D1702" i="57"/>
  <c r="C1702" i="57"/>
  <c r="B1702" i="57"/>
  <c r="A1702" i="57"/>
  <c r="F1701" i="57"/>
  <c r="E1701" i="57"/>
  <c r="D1701" i="57"/>
  <c r="C1701" i="57"/>
  <c r="B1701" i="57"/>
  <c r="A1701" i="57"/>
  <c r="F1700" i="57"/>
  <c r="E1700" i="57"/>
  <c r="D1700" i="57"/>
  <c r="C1700" i="57"/>
  <c r="B1700" i="57"/>
  <c r="A1700" i="57"/>
  <c r="F1699" i="57"/>
  <c r="E1699" i="57"/>
  <c r="D1699" i="57"/>
  <c r="C1699" i="57"/>
  <c r="B1699" i="57"/>
  <c r="A1699" i="57"/>
  <c r="F1698" i="57"/>
  <c r="E1698" i="57"/>
  <c r="D1698" i="57"/>
  <c r="C1698" i="57"/>
  <c r="B1698" i="57"/>
  <c r="A1698" i="57"/>
  <c r="F1697" i="57"/>
  <c r="E1697" i="57"/>
  <c r="D1697" i="57"/>
  <c r="C1697" i="57"/>
  <c r="B1697" i="57"/>
  <c r="A1697" i="57"/>
  <c r="F1696" i="57"/>
  <c r="E1696" i="57"/>
  <c r="D1696" i="57"/>
  <c r="C1696" i="57"/>
  <c r="B1696" i="57"/>
  <c r="A1696" i="57"/>
  <c r="F1695" i="57"/>
  <c r="E1695" i="57"/>
  <c r="D1695" i="57"/>
  <c r="C1695" i="57"/>
  <c r="B1695" i="57"/>
  <c r="A1695" i="57"/>
  <c r="F1694" i="57"/>
  <c r="E1694" i="57"/>
  <c r="D1694" i="57"/>
  <c r="C1694" i="57"/>
  <c r="B1694" i="57"/>
  <c r="A1694" i="57"/>
  <c r="F1693" i="57"/>
  <c r="E1693" i="57"/>
  <c r="D1693" i="57"/>
  <c r="C1693" i="57"/>
  <c r="B1693" i="57"/>
  <c r="A1693" i="57"/>
  <c r="F1692" i="57"/>
  <c r="E1692" i="57"/>
  <c r="D1692" i="57"/>
  <c r="C1692" i="57"/>
  <c r="B1692" i="57"/>
  <c r="A1692" i="57"/>
  <c r="F1691" i="57"/>
  <c r="E1691" i="57"/>
  <c r="D1691" i="57"/>
  <c r="C1691" i="57"/>
  <c r="B1691" i="57"/>
  <c r="A1691" i="57"/>
  <c r="A1681" i="57"/>
  <c r="B1681" i="57"/>
  <c r="C1681" i="57"/>
  <c r="D1681" i="57"/>
  <c r="E1681" i="57"/>
  <c r="F1681" i="57"/>
  <c r="A1682" i="57"/>
  <c r="B1682" i="57"/>
  <c r="C1682" i="57"/>
  <c r="D1682" i="57"/>
  <c r="E1682" i="57"/>
  <c r="F1682" i="57"/>
  <c r="A1683" i="57"/>
  <c r="B1683" i="57"/>
  <c r="C1683" i="57"/>
  <c r="D1683" i="57"/>
  <c r="E1683" i="57"/>
  <c r="F1683" i="57"/>
  <c r="A1684" i="57"/>
  <c r="B1684" i="57"/>
  <c r="C1684" i="57"/>
  <c r="D1684" i="57"/>
  <c r="E1684" i="57"/>
  <c r="F1684" i="57"/>
  <c r="A1685" i="57"/>
  <c r="B1685" i="57"/>
  <c r="C1685" i="57"/>
  <c r="D1685" i="57"/>
  <c r="E1685" i="57"/>
  <c r="F1685" i="57"/>
  <c r="A1686" i="57"/>
  <c r="B1686" i="57"/>
  <c r="C1686" i="57"/>
  <c r="D1686" i="57"/>
  <c r="E1686" i="57"/>
  <c r="F1686" i="57"/>
  <c r="A1687" i="57"/>
  <c r="B1687" i="57"/>
  <c r="C1687" i="57"/>
  <c r="D1687" i="57"/>
  <c r="E1687" i="57"/>
  <c r="F1687" i="57"/>
  <c r="A1688" i="57"/>
  <c r="B1688" i="57"/>
  <c r="C1688" i="57"/>
  <c r="D1688" i="57"/>
  <c r="E1688" i="57"/>
  <c r="F1688" i="57"/>
  <c r="F1680" i="57"/>
  <c r="E1680" i="57"/>
  <c r="D1680" i="57"/>
  <c r="C1680" i="57"/>
  <c r="B1680" i="57"/>
  <c r="A1680" i="57"/>
  <c r="F1679" i="57"/>
  <c r="E1679" i="57"/>
  <c r="D1679" i="57"/>
  <c r="C1679" i="57"/>
  <c r="B1679" i="57"/>
  <c r="A1679" i="57"/>
  <c r="F1678" i="57"/>
  <c r="E1678" i="57"/>
  <c r="D1678" i="57"/>
  <c r="C1678" i="57"/>
  <c r="B1678" i="57"/>
  <c r="A1678" i="57"/>
  <c r="F1677" i="57"/>
  <c r="E1677" i="57"/>
  <c r="D1677" i="57"/>
  <c r="C1677" i="57"/>
  <c r="B1677" i="57"/>
  <c r="A1677" i="57"/>
  <c r="A1642" i="57"/>
  <c r="B1642" i="57"/>
  <c r="C1642" i="57"/>
  <c r="D1642" i="57"/>
  <c r="E1642" i="57"/>
  <c r="F1642" i="57"/>
  <c r="A1643" i="57"/>
  <c r="B1643" i="57"/>
  <c r="C1643" i="57"/>
  <c r="D1643" i="57"/>
  <c r="E1643" i="57"/>
  <c r="F1643" i="57"/>
  <c r="A1644" i="57"/>
  <c r="B1644" i="57"/>
  <c r="C1644" i="57"/>
  <c r="D1644" i="57"/>
  <c r="E1644" i="57"/>
  <c r="F1644" i="57"/>
  <c r="A1645" i="57"/>
  <c r="B1645" i="57"/>
  <c r="C1645" i="57"/>
  <c r="D1645" i="57"/>
  <c r="E1645" i="57"/>
  <c r="F1645" i="57"/>
  <c r="A1646" i="57"/>
  <c r="B1646" i="57"/>
  <c r="C1646" i="57"/>
  <c r="D1646" i="57"/>
  <c r="E1646" i="57"/>
  <c r="F1646" i="57"/>
  <c r="A1647" i="57"/>
  <c r="B1647" i="57"/>
  <c r="C1647" i="57"/>
  <c r="D1647" i="57"/>
  <c r="E1647" i="57"/>
  <c r="F1647" i="57"/>
  <c r="A1648" i="57"/>
  <c r="B1648" i="57"/>
  <c r="C1648" i="57"/>
  <c r="D1648" i="57"/>
  <c r="E1648" i="57"/>
  <c r="F1648" i="57"/>
  <c r="A1649" i="57"/>
  <c r="B1649" i="57"/>
  <c r="C1649" i="57"/>
  <c r="D1649" i="57"/>
  <c r="E1649" i="57"/>
  <c r="F1649" i="57"/>
  <c r="A1650" i="57"/>
  <c r="B1650" i="57"/>
  <c r="C1650" i="57"/>
  <c r="D1650" i="57"/>
  <c r="E1650" i="57"/>
  <c r="F1650" i="57"/>
  <c r="A1651" i="57"/>
  <c r="B1651" i="57"/>
  <c r="C1651" i="57"/>
  <c r="D1651" i="57"/>
  <c r="E1651" i="57"/>
  <c r="F1651" i="57"/>
  <c r="A1652" i="57"/>
  <c r="B1652" i="57"/>
  <c r="C1652" i="57"/>
  <c r="D1652" i="57"/>
  <c r="E1652" i="57"/>
  <c r="F1652" i="57"/>
  <c r="A1653" i="57"/>
  <c r="B1653" i="57"/>
  <c r="C1653" i="57"/>
  <c r="D1653" i="57"/>
  <c r="E1653" i="57"/>
  <c r="F1653" i="57"/>
  <c r="A1654" i="57"/>
  <c r="B1654" i="57"/>
  <c r="C1654" i="57"/>
  <c r="D1654" i="57"/>
  <c r="E1654" i="57"/>
  <c r="F1654" i="57"/>
  <c r="A1655" i="57"/>
  <c r="B1655" i="57"/>
  <c r="C1655" i="57"/>
  <c r="D1655" i="57"/>
  <c r="E1655" i="57"/>
  <c r="F1655" i="57"/>
  <c r="A1656" i="57"/>
  <c r="B1656" i="57"/>
  <c r="C1656" i="57"/>
  <c r="D1656" i="57"/>
  <c r="E1656" i="57"/>
  <c r="F1656" i="57"/>
  <c r="A1657" i="57"/>
  <c r="B1657" i="57"/>
  <c r="C1657" i="57"/>
  <c r="D1657" i="57"/>
  <c r="E1657" i="57"/>
  <c r="F1657" i="57"/>
  <c r="A1658" i="57"/>
  <c r="B1658" i="57"/>
  <c r="C1658" i="57"/>
  <c r="D1658" i="57"/>
  <c r="E1658" i="57"/>
  <c r="F1658" i="57"/>
  <c r="A1659" i="57"/>
  <c r="B1659" i="57"/>
  <c r="C1659" i="57"/>
  <c r="D1659" i="57"/>
  <c r="E1659" i="57"/>
  <c r="F1659" i="57"/>
  <c r="A1660" i="57"/>
  <c r="B1660" i="57"/>
  <c r="C1660" i="57"/>
  <c r="D1660" i="57"/>
  <c r="E1660" i="57"/>
  <c r="F1660" i="57"/>
  <c r="A1661" i="57"/>
  <c r="B1661" i="57"/>
  <c r="C1661" i="57"/>
  <c r="D1661" i="57"/>
  <c r="E1661" i="57"/>
  <c r="F1661" i="57"/>
  <c r="A1662" i="57"/>
  <c r="B1662" i="57"/>
  <c r="C1662" i="57"/>
  <c r="D1662" i="57"/>
  <c r="E1662" i="57"/>
  <c r="F1662" i="57"/>
  <c r="A1663" i="57"/>
  <c r="B1663" i="57"/>
  <c r="C1663" i="57"/>
  <c r="D1663" i="57"/>
  <c r="E1663" i="57"/>
  <c r="F1663" i="57"/>
  <c r="A1664" i="57"/>
  <c r="B1664" i="57"/>
  <c r="C1664" i="57"/>
  <c r="D1664" i="57"/>
  <c r="E1664" i="57"/>
  <c r="F1664" i="57"/>
  <c r="A1665" i="57"/>
  <c r="B1665" i="57"/>
  <c r="C1665" i="57"/>
  <c r="D1665" i="57"/>
  <c r="E1665" i="57"/>
  <c r="F1665" i="57"/>
  <c r="A1666" i="57"/>
  <c r="B1666" i="57"/>
  <c r="C1666" i="57"/>
  <c r="D1666" i="57"/>
  <c r="E1666" i="57"/>
  <c r="F1666" i="57"/>
  <c r="A1667" i="57"/>
  <c r="B1667" i="57"/>
  <c r="C1667" i="57"/>
  <c r="D1667" i="57"/>
  <c r="E1667" i="57"/>
  <c r="F1667" i="57"/>
  <c r="A1668" i="57"/>
  <c r="B1668" i="57"/>
  <c r="C1668" i="57"/>
  <c r="D1668" i="57"/>
  <c r="E1668" i="57"/>
  <c r="F1668" i="57"/>
  <c r="A1669" i="57"/>
  <c r="B1669" i="57"/>
  <c r="C1669" i="57"/>
  <c r="D1669" i="57"/>
  <c r="E1669" i="57"/>
  <c r="F1669" i="57"/>
  <c r="A1670" i="57"/>
  <c r="B1670" i="57"/>
  <c r="C1670" i="57"/>
  <c r="D1670" i="57"/>
  <c r="E1670" i="57"/>
  <c r="F1670" i="57"/>
  <c r="A1671" i="57"/>
  <c r="B1671" i="57"/>
  <c r="C1671" i="57"/>
  <c r="D1671" i="57"/>
  <c r="E1671" i="57"/>
  <c r="F1671" i="57"/>
  <c r="A1672" i="57"/>
  <c r="B1672" i="57"/>
  <c r="C1672" i="57"/>
  <c r="D1672" i="57"/>
  <c r="E1672" i="57"/>
  <c r="F1672" i="57"/>
  <c r="A1673" i="57"/>
  <c r="B1673" i="57"/>
  <c r="C1673" i="57"/>
  <c r="D1673" i="57"/>
  <c r="E1673" i="57"/>
  <c r="F1673" i="57"/>
  <c r="A1674" i="57"/>
  <c r="B1674" i="57"/>
  <c r="C1674" i="57"/>
  <c r="D1674" i="57"/>
  <c r="E1674" i="57"/>
  <c r="F1674" i="57"/>
  <c r="F1641" i="57"/>
  <c r="E1641" i="57"/>
  <c r="D1641" i="57"/>
  <c r="C1641" i="57"/>
  <c r="B1641" i="57"/>
  <c r="A1641" i="57"/>
  <c r="F1640" i="57"/>
  <c r="E1640" i="57"/>
  <c r="D1640" i="57"/>
  <c r="C1640" i="57"/>
  <c r="B1640" i="57"/>
  <c r="A1640" i="57"/>
  <c r="F1639" i="57"/>
  <c r="E1639" i="57"/>
  <c r="D1639" i="57"/>
  <c r="C1639" i="57"/>
  <c r="B1639" i="57"/>
  <c r="A1639" i="57"/>
  <c r="F1638" i="57"/>
  <c r="E1638" i="57"/>
  <c r="D1638" i="57"/>
  <c r="C1638" i="57"/>
  <c r="B1638" i="57"/>
  <c r="A1638" i="57"/>
  <c r="A1597" i="57"/>
  <c r="B1597" i="57"/>
  <c r="C1597" i="57"/>
  <c r="D1597" i="57"/>
  <c r="E1597" i="57"/>
  <c r="F1597" i="57"/>
  <c r="A1598" i="57"/>
  <c r="B1598" i="57"/>
  <c r="C1598" i="57"/>
  <c r="D1598" i="57"/>
  <c r="E1598" i="57"/>
  <c r="F1598" i="57"/>
  <c r="A1599" i="57"/>
  <c r="B1599" i="57"/>
  <c r="C1599" i="57"/>
  <c r="D1599" i="57"/>
  <c r="E1599" i="57"/>
  <c r="F1599" i="57"/>
  <c r="A1600" i="57"/>
  <c r="B1600" i="57"/>
  <c r="C1600" i="57"/>
  <c r="D1600" i="57"/>
  <c r="E1600" i="57"/>
  <c r="F1600" i="57"/>
  <c r="A1601" i="57"/>
  <c r="B1601" i="57"/>
  <c r="C1601" i="57"/>
  <c r="D1601" i="57"/>
  <c r="E1601" i="57"/>
  <c r="F1601" i="57"/>
  <c r="A1602" i="57"/>
  <c r="B1602" i="57"/>
  <c r="C1602" i="57"/>
  <c r="D1602" i="57"/>
  <c r="E1602" i="57"/>
  <c r="F1602" i="57"/>
  <c r="A1603" i="57"/>
  <c r="B1603" i="57"/>
  <c r="C1603" i="57"/>
  <c r="D1603" i="57"/>
  <c r="E1603" i="57"/>
  <c r="F1603" i="57"/>
  <c r="A1604" i="57"/>
  <c r="B1604" i="57"/>
  <c r="C1604" i="57"/>
  <c r="D1604" i="57"/>
  <c r="E1604" i="57"/>
  <c r="F1604" i="57"/>
  <c r="A1605" i="57"/>
  <c r="B1605" i="57"/>
  <c r="C1605" i="57"/>
  <c r="D1605" i="57"/>
  <c r="E1605" i="57"/>
  <c r="F1605" i="57"/>
  <c r="A1606" i="57"/>
  <c r="B1606" i="57"/>
  <c r="C1606" i="57"/>
  <c r="D1606" i="57"/>
  <c r="E1606" i="57"/>
  <c r="F1606" i="57"/>
  <c r="A1607" i="57"/>
  <c r="B1607" i="57"/>
  <c r="C1607" i="57"/>
  <c r="D1607" i="57"/>
  <c r="E1607" i="57"/>
  <c r="F1607" i="57"/>
  <c r="A1608" i="57"/>
  <c r="B1608" i="57"/>
  <c r="C1608" i="57"/>
  <c r="D1608" i="57"/>
  <c r="E1608" i="57"/>
  <c r="F1608" i="57"/>
  <c r="A1609" i="57"/>
  <c r="B1609" i="57"/>
  <c r="C1609" i="57"/>
  <c r="D1609" i="57"/>
  <c r="E1609" i="57"/>
  <c r="F1609" i="57"/>
  <c r="A1610" i="57"/>
  <c r="B1610" i="57"/>
  <c r="C1610" i="57"/>
  <c r="D1610" i="57"/>
  <c r="E1610" i="57"/>
  <c r="F1610" i="57"/>
  <c r="A1611" i="57"/>
  <c r="B1611" i="57"/>
  <c r="C1611" i="57"/>
  <c r="D1611" i="57"/>
  <c r="E1611" i="57"/>
  <c r="F1611" i="57"/>
  <c r="A1612" i="57"/>
  <c r="B1612" i="57"/>
  <c r="C1612" i="57"/>
  <c r="D1612" i="57"/>
  <c r="E1612" i="57"/>
  <c r="F1612" i="57"/>
  <c r="A1613" i="57"/>
  <c r="B1613" i="57"/>
  <c r="C1613" i="57"/>
  <c r="D1613" i="57"/>
  <c r="E1613" i="57"/>
  <c r="F1613" i="57"/>
  <c r="A1614" i="57"/>
  <c r="B1614" i="57"/>
  <c r="C1614" i="57"/>
  <c r="D1614" i="57"/>
  <c r="E1614" i="57"/>
  <c r="F1614" i="57"/>
  <c r="A1615" i="57"/>
  <c r="B1615" i="57"/>
  <c r="C1615" i="57"/>
  <c r="D1615" i="57"/>
  <c r="E1615" i="57"/>
  <c r="F1615" i="57"/>
  <c r="A1616" i="57"/>
  <c r="B1616" i="57"/>
  <c r="C1616" i="57"/>
  <c r="D1616" i="57"/>
  <c r="E1616" i="57"/>
  <c r="F1616" i="57"/>
  <c r="A1617" i="57"/>
  <c r="B1617" i="57"/>
  <c r="C1617" i="57"/>
  <c r="D1617" i="57"/>
  <c r="E1617" i="57"/>
  <c r="F1617" i="57"/>
  <c r="A1618" i="57"/>
  <c r="B1618" i="57"/>
  <c r="C1618" i="57"/>
  <c r="D1618" i="57"/>
  <c r="E1618" i="57"/>
  <c r="F1618" i="57"/>
  <c r="A1619" i="57"/>
  <c r="B1619" i="57"/>
  <c r="C1619" i="57"/>
  <c r="D1619" i="57"/>
  <c r="E1619" i="57"/>
  <c r="F1619" i="57"/>
  <c r="A1620" i="57"/>
  <c r="B1620" i="57"/>
  <c r="C1620" i="57"/>
  <c r="D1620" i="57"/>
  <c r="E1620" i="57"/>
  <c r="F1620" i="57"/>
  <c r="A1621" i="57"/>
  <c r="B1621" i="57"/>
  <c r="C1621" i="57"/>
  <c r="D1621" i="57"/>
  <c r="E1621" i="57"/>
  <c r="F1621" i="57"/>
  <c r="A1622" i="57"/>
  <c r="B1622" i="57"/>
  <c r="C1622" i="57"/>
  <c r="D1622" i="57"/>
  <c r="E1622" i="57"/>
  <c r="F1622" i="57"/>
  <c r="A1623" i="57"/>
  <c r="B1623" i="57"/>
  <c r="C1623" i="57"/>
  <c r="D1623" i="57"/>
  <c r="E1623" i="57"/>
  <c r="F1623" i="57"/>
  <c r="A1624" i="57"/>
  <c r="B1624" i="57"/>
  <c r="C1624" i="57"/>
  <c r="D1624" i="57"/>
  <c r="E1624" i="57"/>
  <c r="F1624" i="57"/>
  <c r="A1625" i="57"/>
  <c r="B1625" i="57"/>
  <c r="C1625" i="57"/>
  <c r="D1625" i="57"/>
  <c r="E1625" i="57"/>
  <c r="F1625" i="57"/>
  <c r="A1626" i="57"/>
  <c r="B1626" i="57"/>
  <c r="C1626" i="57"/>
  <c r="D1626" i="57"/>
  <c r="E1626" i="57"/>
  <c r="F1626" i="57"/>
  <c r="A1627" i="57"/>
  <c r="B1627" i="57"/>
  <c r="C1627" i="57"/>
  <c r="D1627" i="57"/>
  <c r="E1627" i="57"/>
  <c r="F1627" i="57"/>
  <c r="A1628" i="57"/>
  <c r="B1628" i="57"/>
  <c r="C1628" i="57"/>
  <c r="D1628" i="57"/>
  <c r="E1628" i="57"/>
  <c r="F1628" i="57"/>
  <c r="A1629" i="57"/>
  <c r="B1629" i="57"/>
  <c r="C1629" i="57"/>
  <c r="D1629" i="57"/>
  <c r="E1629" i="57"/>
  <c r="F1629" i="57"/>
  <c r="A1630" i="57"/>
  <c r="B1630" i="57"/>
  <c r="C1630" i="57"/>
  <c r="D1630" i="57"/>
  <c r="E1630" i="57"/>
  <c r="F1630" i="57"/>
  <c r="A1631" i="57"/>
  <c r="B1631" i="57"/>
  <c r="C1631" i="57"/>
  <c r="D1631" i="57"/>
  <c r="E1631" i="57"/>
  <c r="F1631" i="57"/>
  <c r="A1632" i="57"/>
  <c r="B1632" i="57"/>
  <c r="C1632" i="57"/>
  <c r="D1632" i="57"/>
  <c r="E1632" i="57"/>
  <c r="F1632" i="57"/>
  <c r="A1633" i="57"/>
  <c r="B1633" i="57"/>
  <c r="C1633" i="57"/>
  <c r="D1633" i="57"/>
  <c r="E1633" i="57"/>
  <c r="F1633" i="57"/>
  <c r="A1634" i="57"/>
  <c r="B1634" i="57"/>
  <c r="C1634" i="57"/>
  <c r="D1634" i="57"/>
  <c r="E1634" i="57"/>
  <c r="F1634" i="57"/>
  <c r="A1635" i="57"/>
  <c r="B1635" i="57"/>
  <c r="C1635" i="57"/>
  <c r="D1635" i="57"/>
  <c r="E1635" i="57"/>
  <c r="F1635" i="57"/>
  <c r="A1596" i="57"/>
  <c r="B1596" i="57"/>
  <c r="C1596" i="57"/>
  <c r="D1596" i="57"/>
  <c r="E1596" i="57"/>
  <c r="F1596" i="57"/>
  <c r="F1595" i="57"/>
  <c r="E1595" i="57"/>
  <c r="D1595" i="57"/>
  <c r="C1595" i="57"/>
  <c r="B1595" i="57"/>
  <c r="A1595" i="57"/>
  <c r="F1594" i="57"/>
  <c r="E1594" i="57"/>
  <c r="D1594" i="57"/>
  <c r="C1594" i="57"/>
  <c r="B1594" i="57"/>
  <c r="A1594" i="57"/>
  <c r="F1593" i="57"/>
  <c r="E1593" i="57"/>
  <c r="D1593" i="57"/>
  <c r="C1593" i="57"/>
  <c r="B1593" i="57"/>
  <c r="A1593" i="57"/>
  <c r="A1576" i="57"/>
  <c r="B1576" i="57"/>
  <c r="C1576" i="57"/>
  <c r="D1576" i="57"/>
  <c r="E1576" i="57"/>
  <c r="F1576" i="57"/>
  <c r="A1577" i="57"/>
  <c r="B1577" i="57"/>
  <c r="C1577" i="57"/>
  <c r="D1577" i="57"/>
  <c r="E1577" i="57"/>
  <c r="F1577" i="57"/>
  <c r="A1578" i="57"/>
  <c r="B1578" i="57"/>
  <c r="C1578" i="57"/>
  <c r="D1578" i="57"/>
  <c r="E1578" i="57"/>
  <c r="F1578" i="57"/>
  <c r="A1579" i="57"/>
  <c r="B1579" i="57"/>
  <c r="C1579" i="57"/>
  <c r="D1579" i="57"/>
  <c r="E1579" i="57"/>
  <c r="F1579" i="57"/>
  <c r="A1580" i="57"/>
  <c r="B1580" i="57"/>
  <c r="C1580" i="57"/>
  <c r="D1580" i="57"/>
  <c r="E1580" i="57"/>
  <c r="F1580" i="57"/>
  <c r="A1581" i="57"/>
  <c r="B1581" i="57"/>
  <c r="C1581" i="57"/>
  <c r="D1581" i="57"/>
  <c r="E1581" i="57"/>
  <c r="F1581" i="57"/>
  <c r="A1582" i="57"/>
  <c r="B1582" i="57"/>
  <c r="C1582" i="57"/>
  <c r="D1582" i="57"/>
  <c r="E1582" i="57"/>
  <c r="F1582" i="57"/>
  <c r="A1583" i="57"/>
  <c r="B1583" i="57"/>
  <c r="C1583" i="57"/>
  <c r="D1583" i="57"/>
  <c r="E1583" i="57"/>
  <c r="F1583" i="57"/>
  <c r="A1584" i="57"/>
  <c r="B1584" i="57"/>
  <c r="C1584" i="57"/>
  <c r="D1584" i="57"/>
  <c r="E1584" i="57"/>
  <c r="F1584" i="57"/>
  <c r="A1585" i="57"/>
  <c r="B1585" i="57"/>
  <c r="C1585" i="57"/>
  <c r="D1585" i="57"/>
  <c r="E1585" i="57"/>
  <c r="F1585" i="57"/>
  <c r="A1586" i="57"/>
  <c r="B1586" i="57"/>
  <c r="C1586" i="57"/>
  <c r="D1586" i="57"/>
  <c r="E1586" i="57"/>
  <c r="F1586" i="57"/>
  <c r="A1587" i="57"/>
  <c r="B1587" i="57"/>
  <c r="C1587" i="57"/>
  <c r="D1587" i="57"/>
  <c r="E1587" i="57"/>
  <c r="F1587" i="57"/>
  <c r="A1588" i="57"/>
  <c r="B1588" i="57"/>
  <c r="C1588" i="57"/>
  <c r="D1588" i="57"/>
  <c r="E1588" i="57"/>
  <c r="F1588" i="57"/>
  <c r="A1589" i="57"/>
  <c r="B1589" i="57"/>
  <c r="C1589" i="57"/>
  <c r="D1589" i="57"/>
  <c r="E1589" i="57"/>
  <c r="F1589" i="57"/>
  <c r="A1590" i="57"/>
  <c r="B1590" i="57"/>
  <c r="C1590" i="57"/>
  <c r="D1590" i="57"/>
  <c r="E1590" i="57"/>
  <c r="F1590" i="57"/>
  <c r="F1575" i="57"/>
  <c r="E1575" i="57"/>
  <c r="D1575" i="57"/>
  <c r="C1575" i="57"/>
  <c r="B1575" i="57"/>
  <c r="A1575" i="57"/>
  <c r="F1574" i="57"/>
  <c r="E1574" i="57"/>
  <c r="D1574" i="57"/>
  <c r="C1574" i="57"/>
  <c r="B1574" i="57"/>
  <c r="A1574" i="57"/>
  <c r="F1573" i="57"/>
  <c r="E1573" i="57"/>
  <c r="D1573" i="57"/>
  <c r="C1573" i="57"/>
  <c r="B1573" i="57"/>
  <c r="A1573" i="57"/>
  <c r="F1572" i="57"/>
  <c r="E1572" i="57"/>
  <c r="D1572" i="57"/>
  <c r="C1572" i="57"/>
  <c r="B1572" i="57"/>
  <c r="A1572" i="57"/>
  <c r="F1571" i="57"/>
  <c r="E1571" i="57"/>
  <c r="D1571" i="57"/>
  <c r="C1571" i="57"/>
  <c r="B1571" i="57"/>
  <c r="A1571" i="57"/>
  <c r="F1570" i="57"/>
  <c r="E1570" i="57"/>
  <c r="D1570" i="57"/>
  <c r="C1570" i="57"/>
  <c r="B1570" i="57"/>
  <c r="A1570" i="57"/>
  <c r="F1569" i="57"/>
  <c r="E1569" i="57"/>
  <c r="D1569" i="57"/>
  <c r="C1569" i="57"/>
  <c r="B1569" i="57"/>
  <c r="A1569" i="57"/>
  <c r="F1568" i="57"/>
  <c r="E1568" i="57"/>
  <c r="D1568" i="57"/>
  <c r="C1568" i="57"/>
  <c r="B1568" i="57"/>
  <c r="A1568" i="57"/>
  <c r="F1567" i="57"/>
  <c r="E1567" i="57"/>
  <c r="D1567" i="57"/>
  <c r="C1567" i="57"/>
  <c r="B1567" i="57"/>
  <c r="A1567" i="57"/>
  <c r="F1566" i="57"/>
  <c r="E1566" i="57"/>
  <c r="D1566" i="57"/>
  <c r="C1566" i="57"/>
  <c r="B1566" i="57"/>
  <c r="A1566" i="57"/>
  <c r="F1565" i="57"/>
  <c r="E1565" i="57"/>
  <c r="D1565" i="57"/>
  <c r="C1565" i="57"/>
  <c r="B1565" i="57"/>
  <c r="A1565" i="57"/>
  <c r="F1564" i="57"/>
  <c r="E1564" i="57"/>
  <c r="D1564" i="57"/>
  <c r="C1564" i="57"/>
  <c r="B1564" i="57"/>
  <c r="A1564" i="57"/>
  <c r="F1563" i="57"/>
  <c r="E1563" i="57"/>
  <c r="D1563" i="57"/>
  <c r="C1563" i="57"/>
  <c r="B1563" i="57"/>
  <c r="A1563" i="57"/>
  <c r="F1562" i="57"/>
  <c r="E1562" i="57"/>
  <c r="D1562" i="57"/>
  <c r="C1562" i="57"/>
  <c r="B1562" i="57"/>
  <c r="A1562" i="57"/>
  <c r="F1561" i="57"/>
  <c r="E1561" i="57"/>
  <c r="D1561" i="57"/>
  <c r="C1561" i="57"/>
  <c r="B1561" i="57"/>
  <c r="A1561" i="57"/>
  <c r="F1560" i="57"/>
  <c r="E1560" i="57"/>
  <c r="D1560" i="57"/>
  <c r="C1560" i="57"/>
  <c r="B1560" i="57"/>
  <c r="A1560" i="57"/>
  <c r="F1559" i="57"/>
  <c r="E1559" i="57"/>
  <c r="D1559" i="57"/>
  <c r="C1559" i="57"/>
  <c r="B1559" i="57"/>
  <c r="A1559" i="57"/>
  <c r="F1558" i="57"/>
  <c r="E1558" i="57"/>
  <c r="D1558" i="57"/>
  <c r="C1558" i="57"/>
  <c r="B1558" i="57"/>
  <c r="A1558" i="57"/>
  <c r="F1557" i="57"/>
  <c r="E1557" i="57"/>
  <c r="D1557" i="57"/>
  <c r="C1557" i="57"/>
  <c r="B1557" i="57"/>
  <c r="A1557" i="57"/>
  <c r="F1556" i="57"/>
  <c r="E1556" i="57"/>
  <c r="D1556" i="57"/>
  <c r="C1556" i="57"/>
  <c r="B1556" i="57"/>
  <c r="A1556" i="57"/>
  <c r="F1555" i="57"/>
  <c r="E1555" i="57"/>
  <c r="D1555" i="57"/>
  <c r="C1555" i="57"/>
  <c r="B1555" i="57"/>
  <c r="A1555" i="57"/>
  <c r="F1554" i="57"/>
  <c r="E1554" i="57"/>
  <c r="D1554" i="57"/>
  <c r="C1554" i="57"/>
  <c r="B1554" i="57"/>
  <c r="A1554" i="57"/>
  <c r="F1553" i="57"/>
  <c r="E1553" i="57"/>
  <c r="D1553" i="57"/>
  <c r="C1553" i="57"/>
  <c r="B1553" i="57"/>
  <c r="A1553" i="57"/>
  <c r="F1552" i="57"/>
  <c r="E1552" i="57"/>
  <c r="D1552" i="57"/>
  <c r="C1552" i="57"/>
  <c r="B1552" i="57"/>
  <c r="A1552" i="57"/>
  <c r="F1551" i="57"/>
  <c r="E1551" i="57"/>
  <c r="D1551" i="57"/>
  <c r="C1551" i="57"/>
  <c r="B1551" i="57"/>
  <c r="A1551" i="57"/>
  <c r="F1550" i="57"/>
  <c r="E1550" i="57"/>
  <c r="D1550" i="57"/>
  <c r="C1550" i="57"/>
  <c r="B1550" i="57"/>
  <c r="A1550" i="57"/>
  <c r="F1549" i="57"/>
  <c r="E1549" i="57"/>
  <c r="D1549" i="57"/>
  <c r="C1549" i="57"/>
  <c r="B1549" i="57"/>
  <c r="A1549" i="57"/>
  <c r="F1548" i="57"/>
  <c r="E1548" i="57"/>
  <c r="D1548" i="57"/>
  <c r="C1548" i="57"/>
  <c r="B1548" i="57"/>
  <c r="A1548" i="57"/>
  <c r="F1547" i="57"/>
  <c r="E1547" i="57"/>
  <c r="D1547" i="57"/>
  <c r="C1547" i="57"/>
  <c r="B1547" i="57"/>
  <c r="A1547" i="57"/>
  <c r="A1520" i="57"/>
  <c r="B1520" i="57"/>
  <c r="C1520" i="57"/>
  <c r="D1520" i="57"/>
  <c r="E1520" i="57"/>
  <c r="F1520" i="57"/>
  <c r="A1521" i="57"/>
  <c r="B1521" i="57"/>
  <c r="C1521" i="57"/>
  <c r="D1521" i="57"/>
  <c r="E1521" i="57"/>
  <c r="F1521" i="57"/>
  <c r="A1522" i="57"/>
  <c r="B1522" i="57"/>
  <c r="C1522" i="57"/>
  <c r="D1522" i="57"/>
  <c r="E1522" i="57"/>
  <c r="F1522" i="57"/>
  <c r="A1523" i="57"/>
  <c r="B1523" i="57"/>
  <c r="C1523" i="57"/>
  <c r="D1523" i="57"/>
  <c r="E1523" i="57"/>
  <c r="F1523" i="57"/>
  <c r="A1524" i="57"/>
  <c r="B1524" i="57"/>
  <c r="C1524" i="57"/>
  <c r="D1524" i="57"/>
  <c r="E1524" i="57"/>
  <c r="F1524" i="57"/>
  <c r="A1525" i="57"/>
  <c r="B1525" i="57"/>
  <c r="C1525" i="57"/>
  <c r="D1525" i="57"/>
  <c r="E1525" i="57"/>
  <c r="F1525" i="57"/>
  <c r="A1526" i="57"/>
  <c r="B1526" i="57"/>
  <c r="C1526" i="57"/>
  <c r="D1526" i="57"/>
  <c r="E1526" i="57"/>
  <c r="F1526" i="57"/>
  <c r="A1527" i="57"/>
  <c r="B1527" i="57"/>
  <c r="C1527" i="57"/>
  <c r="D1527" i="57"/>
  <c r="E1527" i="57"/>
  <c r="F1527" i="57"/>
  <c r="A1528" i="57"/>
  <c r="B1528" i="57"/>
  <c r="C1528" i="57"/>
  <c r="D1528" i="57"/>
  <c r="E1528" i="57"/>
  <c r="F1528" i="57"/>
  <c r="A1529" i="57"/>
  <c r="B1529" i="57"/>
  <c r="C1529" i="57"/>
  <c r="D1529" i="57"/>
  <c r="E1529" i="57"/>
  <c r="F1529" i="57"/>
  <c r="A1530" i="57"/>
  <c r="B1530" i="57"/>
  <c r="C1530" i="57"/>
  <c r="D1530" i="57"/>
  <c r="E1530" i="57"/>
  <c r="F1530" i="57"/>
  <c r="A1531" i="57"/>
  <c r="B1531" i="57"/>
  <c r="C1531" i="57"/>
  <c r="D1531" i="57"/>
  <c r="E1531" i="57"/>
  <c r="F1531" i="57"/>
  <c r="A1532" i="57"/>
  <c r="B1532" i="57"/>
  <c r="C1532" i="57"/>
  <c r="D1532" i="57"/>
  <c r="E1532" i="57"/>
  <c r="F1532" i="57"/>
  <c r="A1533" i="57"/>
  <c r="B1533" i="57"/>
  <c r="C1533" i="57"/>
  <c r="D1533" i="57"/>
  <c r="E1533" i="57"/>
  <c r="F1533" i="57"/>
  <c r="A1534" i="57"/>
  <c r="B1534" i="57"/>
  <c r="C1534" i="57"/>
  <c r="D1534" i="57"/>
  <c r="E1534" i="57"/>
  <c r="F1534" i="57"/>
  <c r="A1535" i="57"/>
  <c r="B1535" i="57"/>
  <c r="C1535" i="57"/>
  <c r="D1535" i="57"/>
  <c r="E1535" i="57"/>
  <c r="F1535" i="57"/>
  <c r="A1536" i="57"/>
  <c r="B1536" i="57"/>
  <c r="C1536" i="57"/>
  <c r="D1536" i="57"/>
  <c r="E1536" i="57"/>
  <c r="F1536" i="57"/>
  <c r="A1537" i="57"/>
  <c r="B1537" i="57"/>
  <c r="C1537" i="57"/>
  <c r="D1537" i="57"/>
  <c r="E1537" i="57"/>
  <c r="F1537" i="57"/>
  <c r="A1538" i="57"/>
  <c r="B1538" i="57"/>
  <c r="C1538" i="57"/>
  <c r="D1538" i="57"/>
  <c r="E1538" i="57"/>
  <c r="F1538" i="57"/>
  <c r="A1539" i="57"/>
  <c r="B1539" i="57"/>
  <c r="C1539" i="57"/>
  <c r="D1539" i="57"/>
  <c r="E1539" i="57"/>
  <c r="F1539" i="57"/>
  <c r="A1540" i="57"/>
  <c r="B1540" i="57"/>
  <c r="C1540" i="57"/>
  <c r="D1540" i="57"/>
  <c r="E1540" i="57"/>
  <c r="F1540" i="57"/>
  <c r="A1541" i="57"/>
  <c r="B1541" i="57"/>
  <c r="C1541" i="57"/>
  <c r="D1541" i="57"/>
  <c r="E1541" i="57"/>
  <c r="F1541" i="57"/>
  <c r="A1542" i="57"/>
  <c r="B1542" i="57"/>
  <c r="C1542" i="57"/>
  <c r="D1542" i="57"/>
  <c r="E1542" i="57"/>
  <c r="F1542" i="57"/>
  <c r="A1543" i="57"/>
  <c r="B1543" i="57"/>
  <c r="C1543" i="57"/>
  <c r="D1543" i="57"/>
  <c r="E1543" i="57"/>
  <c r="F1543" i="57"/>
  <c r="A1544" i="57"/>
  <c r="B1544" i="57"/>
  <c r="C1544" i="57"/>
  <c r="D1544" i="57"/>
  <c r="E1544" i="57"/>
  <c r="F1544" i="57"/>
  <c r="F1519" i="57"/>
  <c r="E1519" i="57"/>
  <c r="D1519" i="57"/>
  <c r="C1519" i="57"/>
  <c r="B1519" i="57"/>
  <c r="A1519" i="57"/>
  <c r="F1518" i="57"/>
  <c r="E1518" i="57"/>
  <c r="D1518" i="57"/>
  <c r="C1518" i="57"/>
  <c r="B1518" i="57"/>
  <c r="A1518" i="57"/>
  <c r="F1517" i="57"/>
  <c r="E1517" i="57"/>
  <c r="D1517" i="57"/>
  <c r="C1517" i="57"/>
  <c r="B1517" i="57"/>
  <c r="A1517" i="57"/>
  <c r="F1516" i="57"/>
  <c r="E1516" i="57"/>
  <c r="D1516" i="57"/>
  <c r="C1516" i="57"/>
  <c r="B1516" i="57"/>
  <c r="A1516" i="57"/>
  <c r="A1443" i="57"/>
  <c r="B1443" i="57"/>
  <c r="C1443" i="57"/>
  <c r="D1443" i="57"/>
  <c r="E1443" i="57"/>
  <c r="F1443" i="57"/>
  <c r="A1444" i="57"/>
  <c r="B1444" i="57"/>
  <c r="C1444" i="57"/>
  <c r="D1444" i="57"/>
  <c r="E1444" i="57"/>
  <c r="F1444" i="57"/>
  <c r="A1445" i="57"/>
  <c r="B1445" i="57"/>
  <c r="C1445" i="57"/>
  <c r="D1445" i="57"/>
  <c r="E1445" i="57"/>
  <c r="F1445" i="57"/>
  <c r="A1446" i="57"/>
  <c r="B1446" i="57"/>
  <c r="C1446" i="57"/>
  <c r="D1446" i="57"/>
  <c r="E1446" i="57"/>
  <c r="F1446" i="57"/>
  <c r="A1447" i="57"/>
  <c r="B1447" i="57"/>
  <c r="C1447" i="57"/>
  <c r="D1447" i="57"/>
  <c r="E1447" i="57"/>
  <c r="F1447" i="57"/>
  <c r="A1448" i="57"/>
  <c r="B1448" i="57"/>
  <c r="C1448" i="57"/>
  <c r="D1448" i="57"/>
  <c r="E1448" i="57"/>
  <c r="F1448" i="57"/>
  <c r="A1449" i="57"/>
  <c r="B1449" i="57"/>
  <c r="C1449" i="57"/>
  <c r="D1449" i="57"/>
  <c r="E1449" i="57"/>
  <c r="F1449" i="57"/>
  <c r="A1450" i="57"/>
  <c r="B1450" i="57"/>
  <c r="C1450" i="57"/>
  <c r="D1450" i="57"/>
  <c r="E1450" i="57"/>
  <c r="F1450" i="57"/>
  <c r="A1451" i="57"/>
  <c r="B1451" i="57"/>
  <c r="C1451" i="57"/>
  <c r="D1451" i="57"/>
  <c r="E1451" i="57"/>
  <c r="F1451" i="57"/>
  <c r="A1452" i="57"/>
  <c r="B1452" i="57"/>
  <c r="C1452" i="57"/>
  <c r="D1452" i="57"/>
  <c r="E1452" i="57"/>
  <c r="F1452" i="57"/>
  <c r="A1453" i="57"/>
  <c r="B1453" i="57"/>
  <c r="C1453" i="57"/>
  <c r="D1453" i="57"/>
  <c r="E1453" i="57"/>
  <c r="F1453" i="57"/>
  <c r="A1454" i="57"/>
  <c r="B1454" i="57"/>
  <c r="C1454" i="57"/>
  <c r="D1454" i="57"/>
  <c r="E1454" i="57"/>
  <c r="F1454" i="57"/>
  <c r="A1455" i="57"/>
  <c r="B1455" i="57"/>
  <c r="C1455" i="57"/>
  <c r="D1455" i="57"/>
  <c r="E1455" i="57"/>
  <c r="F1455" i="57"/>
  <c r="A1456" i="57"/>
  <c r="B1456" i="57"/>
  <c r="C1456" i="57"/>
  <c r="D1456" i="57"/>
  <c r="E1456" i="57"/>
  <c r="F1456" i="57"/>
  <c r="A1457" i="57"/>
  <c r="B1457" i="57"/>
  <c r="C1457" i="57"/>
  <c r="D1457" i="57"/>
  <c r="E1457" i="57"/>
  <c r="F1457" i="57"/>
  <c r="A1458" i="57"/>
  <c r="B1458" i="57"/>
  <c r="C1458" i="57"/>
  <c r="D1458" i="57"/>
  <c r="E1458" i="57"/>
  <c r="F1458" i="57"/>
  <c r="A1459" i="57"/>
  <c r="B1459" i="57"/>
  <c r="C1459" i="57"/>
  <c r="D1459" i="57"/>
  <c r="E1459" i="57"/>
  <c r="F1459" i="57"/>
  <c r="A1460" i="57"/>
  <c r="B1460" i="57"/>
  <c r="C1460" i="57"/>
  <c r="D1460" i="57"/>
  <c r="E1460" i="57"/>
  <c r="F1460" i="57"/>
  <c r="A1461" i="57"/>
  <c r="B1461" i="57"/>
  <c r="C1461" i="57"/>
  <c r="D1461" i="57"/>
  <c r="E1461" i="57"/>
  <c r="F1461" i="57"/>
  <c r="A1462" i="57"/>
  <c r="B1462" i="57"/>
  <c r="C1462" i="57"/>
  <c r="D1462" i="57"/>
  <c r="E1462" i="57"/>
  <c r="F1462" i="57"/>
  <c r="A1463" i="57"/>
  <c r="B1463" i="57"/>
  <c r="C1463" i="57"/>
  <c r="D1463" i="57"/>
  <c r="E1463" i="57"/>
  <c r="F1463" i="57"/>
  <c r="A1464" i="57"/>
  <c r="B1464" i="57"/>
  <c r="C1464" i="57"/>
  <c r="D1464" i="57"/>
  <c r="E1464" i="57"/>
  <c r="F1464" i="57"/>
  <c r="A1465" i="57"/>
  <c r="B1465" i="57"/>
  <c r="C1465" i="57"/>
  <c r="D1465" i="57"/>
  <c r="E1465" i="57"/>
  <c r="F1465" i="57"/>
  <c r="A1466" i="57"/>
  <c r="B1466" i="57"/>
  <c r="C1466" i="57"/>
  <c r="D1466" i="57"/>
  <c r="E1466" i="57"/>
  <c r="F1466" i="57"/>
  <c r="A1467" i="57"/>
  <c r="B1467" i="57"/>
  <c r="C1467" i="57"/>
  <c r="D1467" i="57"/>
  <c r="E1467" i="57"/>
  <c r="F1467" i="57"/>
  <c r="A1468" i="57"/>
  <c r="B1468" i="57"/>
  <c r="C1468" i="57"/>
  <c r="D1468" i="57"/>
  <c r="E1468" i="57"/>
  <c r="F1468" i="57"/>
  <c r="A1469" i="57"/>
  <c r="B1469" i="57"/>
  <c r="C1469" i="57"/>
  <c r="D1469" i="57"/>
  <c r="E1469" i="57"/>
  <c r="F1469" i="57"/>
  <c r="A1470" i="57"/>
  <c r="B1470" i="57"/>
  <c r="C1470" i="57"/>
  <c r="D1470" i="57"/>
  <c r="E1470" i="57"/>
  <c r="F1470" i="57"/>
  <c r="A1471" i="57"/>
  <c r="B1471" i="57"/>
  <c r="C1471" i="57"/>
  <c r="D1471" i="57"/>
  <c r="E1471" i="57"/>
  <c r="F1471" i="57"/>
  <c r="A1472" i="57"/>
  <c r="B1472" i="57"/>
  <c r="C1472" i="57"/>
  <c r="D1472" i="57"/>
  <c r="E1472" i="57"/>
  <c r="F1472" i="57"/>
  <c r="A1473" i="57"/>
  <c r="B1473" i="57"/>
  <c r="C1473" i="57"/>
  <c r="D1473" i="57"/>
  <c r="E1473" i="57"/>
  <c r="F1473" i="57"/>
  <c r="A1474" i="57"/>
  <c r="B1474" i="57"/>
  <c r="C1474" i="57"/>
  <c r="D1474" i="57"/>
  <c r="E1474" i="57"/>
  <c r="F1474" i="57"/>
  <c r="A1475" i="57"/>
  <c r="B1475" i="57"/>
  <c r="C1475" i="57"/>
  <c r="D1475" i="57"/>
  <c r="E1475" i="57"/>
  <c r="F1475" i="57"/>
  <c r="A1476" i="57"/>
  <c r="B1476" i="57"/>
  <c r="C1476" i="57"/>
  <c r="D1476" i="57"/>
  <c r="E1476" i="57"/>
  <c r="F1476" i="57"/>
  <c r="A1477" i="57"/>
  <c r="B1477" i="57"/>
  <c r="C1477" i="57"/>
  <c r="D1477" i="57"/>
  <c r="E1477" i="57"/>
  <c r="F1477" i="57"/>
  <c r="A1478" i="57"/>
  <c r="B1478" i="57"/>
  <c r="C1478" i="57"/>
  <c r="D1478" i="57"/>
  <c r="E1478" i="57"/>
  <c r="F1478" i="57"/>
  <c r="A1479" i="57"/>
  <c r="B1479" i="57"/>
  <c r="C1479" i="57"/>
  <c r="D1479" i="57"/>
  <c r="E1479" i="57"/>
  <c r="F1479" i="57"/>
  <c r="A1480" i="57"/>
  <c r="B1480" i="57"/>
  <c r="C1480" i="57"/>
  <c r="D1480" i="57"/>
  <c r="E1480" i="57"/>
  <c r="F1480" i="57"/>
  <c r="A1481" i="57"/>
  <c r="B1481" i="57"/>
  <c r="C1481" i="57"/>
  <c r="D1481" i="57"/>
  <c r="E1481" i="57"/>
  <c r="F1481" i="57"/>
  <c r="A1482" i="57"/>
  <c r="B1482" i="57"/>
  <c r="C1482" i="57"/>
  <c r="D1482" i="57"/>
  <c r="E1482" i="57"/>
  <c r="F1482" i="57"/>
  <c r="A1483" i="57"/>
  <c r="B1483" i="57"/>
  <c r="C1483" i="57"/>
  <c r="D1483" i="57"/>
  <c r="E1483" i="57"/>
  <c r="F1483" i="57"/>
  <c r="A1484" i="57"/>
  <c r="B1484" i="57"/>
  <c r="C1484" i="57"/>
  <c r="D1484" i="57"/>
  <c r="E1484" i="57"/>
  <c r="F1484" i="57"/>
  <c r="A1485" i="57"/>
  <c r="B1485" i="57"/>
  <c r="C1485" i="57"/>
  <c r="D1485" i="57"/>
  <c r="E1485" i="57"/>
  <c r="F1485" i="57"/>
  <c r="A1486" i="57"/>
  <c r="B1486" i="57"/>
  <c r="C1486" i="57"/>
  <c r="D1486" i="57"/>
  <c r="E1486" i="57"/>
  <c r="F1486" i="57"/>
  <c r="A1487" i="57"/>
  <c r="B1487" i="57"/>
  <c r="C1487" i="57"/>
  <c r="D1487" i="57"/>
  <c r="E1487" i="57"/>
  <c r="F1487" i="57"/>
  <c r="A1488" i="57"/>
  <c r="B1488" i="57"/>
  <c r="C1488" i="57"/>
  <c r="D1488" i="57"/>
  <c r="E1488" i="57"/>
  <c r="F1488" i="57"/>
  <c r="A1489" i="57"/>
  <c r="B1489" i="57"/>
  <c r="C1489" i="57"/>
  <c r="D1489" i="57"/>
  <c r="E1489" i="57"/>
  <c r="F1489" i="57"/>
  <c r="A1490" i="57"/>
  <c r="B1490" i="57"/>
  <c r="C1490" i="57"/>
  <c r="D1490" i="57"/>
  <c r="E1490" i="57"/>
  <c r="F1490" i="57"/>
  <c r="A1491" i="57"/>
  <c r="B1491" i="57"/>
  <c r="C1491" i="57"/>
  <c r="D1491" i="57"/>
  <c r="E1491" i="57"/>
  <c r="F1491" i="57"/>
  <c r="A1492" i="57"/>
  <c r="B1492" i="57"/>
  <c r="C1492" i="57"/>
  <c r="D1492" i="57"/>
  <c r="E1492" i="57"/>
  <c r="F1492" i="57"/>
  <c r="A1493" i="57"/>
  <c r="B1493" i="57"/>
  <c r="C1493" i="57"/>
  <c r="D1493" i="57"/>
  <c r="E1493" i="57"/>
  <c r="F1493" i="57"/>
  <c r="A1494" i="57"/>
  <c r="B1494" i="57"/>
  <c r="C1494" i="57"/>
  <c r="D1494" i="57"/>
  <c r="E1494" i="57"/>
  <c r="F1494" i="57"/>
  <c r="A1495" i="57"/>
  <c r="B1495" i="57"/>
  <c r="C1495" i="57"/>
  <c r="D1495" i="57"/>
  <c r="E1495" i="57"/>
  <c r="F1495" i="57"/>
  <c r="A1496" i="57"/>
  <c r="B1496" i="57"/>
  <c r="C1496" i="57"/>
  <c r="D1496" i="57"/>
  <c r="E1496" i="57"/>
  <c r="F1496" i="57"/>
  <c r="A1497" i="57"/>
  <c r="B1497" i="57"/>
  <c r="C1497" i="57"/>
  <c r="D1497" i="57"/>
  <c r="E1497" i="57"/>
  <c r="F1497" i="57"/>
  <c r="A1498" i="57"/>
  <c r="B1498" i="57"/>
  <c r="C1498" i="57"/>
  <c r="D1498" i="57"/>
  <c r="E1498" i="57"/>
  <c r="F1498" i="57"/>
  <c r="A1499" i="57"/>
  <c r="B1499" i="57"/>
  <c r="C1499" i="57"/>
  <c r="D1499" i="57"/>
  <c r="E1499" i="57"/>
  <c r="F1499" i="57"/>
  <c r="A1500" i="57"/>
  <c r="B1500" i="57"/>
  <c r="C1500" i="57"/>
  <c r="D1500" i="57"/>
  <c r="E1500" i="57"/>
  <c r="F1500" i="57"/>
  <c r="A1501" i="57"/>
  <c r="B1501" i="57"/>
  <c r="C1501" i="57"/>
  <c r="D1501" i="57"/>
  <c r="E1501" i="57"/>
  <c r="F1501" i="57"/>
  <c r="A1502" i="57"/>
  <c r="B1502" i="57"/>
  <c r="C1502" i="57"/>
  <c r="D1502" i="57"/>
  <c r="E1502" i="57"/>
  <c r="F1502" i="57"/>
  <c r="A1503" i="57"/>
  <c r="B1503" i="57"/>
  <c r="C1503" i="57"/>
  <c r="D1503" i="57"/>
  <c r="E1503" i="57"/>
  <c r="F1503" i="57"/>
  <c r="A1504" i="57"/>
  <c r="B1504" i="57"/>
  <c r="C1504" i="57"/>
  <c r="D1504" i="57"/>
  <c r="E1504" i="57"/>
  <c r="F1504" i="57"/>
  <c r="A1505" i="57"/>
  <c r="B1505" i="57"/>
  <c r="C1505" i="57"/>
  <c r="D1505" i="57"/>
  <c r="E1505" i="57"/>
  <c r="F1505" i="57"/>
  <c r="A1506" i="57"/>
  <c r="B1506" i="57"/>
  <c r="C1506" i="57"/>
  <c r="D1506" i="57"/>
  <c r="E1506" i="57"/>
  <c r="F1506" i="57"/>
  <c r="A1507" i="57"/>
  <c r="B1507" i="57"/>
  <c r="C1507" i="57"/>
  <c r="D1507" i="57"/>
  <c r="E1507" i="57"/>
  <c r="F1507" i="57"/>
  <c r="A1508" i="57"/>
  <c r="B1508" i="57"/>
  <c r="C1508" i="57"/>
  <c r="D1508" i="57"/>
  <c r="E1508" i="57"/>
  <c r="F1508" i="57"/>
  <c r="A1509" i="57"/>
  <c r="B1509" i="57"/>
  <c r="C1509" i="57"/>
  <c r="D1509" i="57"/>
  <c r="E1509" i="57"/>
  <c r="F1509" i="57"/>
  <c r="A1510" i="57"/>
  <c r="B1510" i="57"/>
  <c r="C1510" i="57"/>
  <c r="D1510" i="57"/>
  <c r="E1510" i="57"/>
  <c r="F1510" i="57"/>
  <c r="A1511" i="57"/>
  <c r="B1511" i="57"/>
  <c r="C1511" i="57"/>
  <c r="D1511" i="57"/>
  <c r="E1511" i="57"/>
  <c r="F1511" i="57"/>
  <c r="A1512" i="57"/>
  <c r="B1512" i="57"/>
  <c r="C1512" i="57"/>
  <c r="D1512" i="57"/>
  <c r="E1512" i="57"/>
  <c r="F1512" i="57"/>
  <c r="A1513" i="57"/>
  <c r="B1513" i="57"/>
  <c r="C1513" i="57"/>
  <c r="D1513" i="57"/>
  <c r="E1513" i="57"/>
  <c r="F1513" i="57"/>
  <c r="F1442" i="57"/>
  <c r="E1442" i="57"/>
  <c r="D1442" i="57"/>
  <c r="C1442" i="57"/>
  <c r="B1442" i="57"/>
  <c r="A1442" i="57"/>
  <c r="F1441" i="57"/>
  <c r="E1441" i="57"/>
  <c r="D1441" i="57"/>
  <c r="C1441" i="57"/>
  <c r="B1441" i="57"/>
  <c r="A1441" i="57"/>
  <c r="F1440" i="57"/>
  <c r="E1440" i="57"/>
  <c r="D1440" i="57"/>
  <c r="C1440" i="57"/>
  <c r="B1440" i="57"/>
  <c r="A1440" i="57"/>
  <c r="A1361" i="57"/>
  <c r="B1361" i="57"/>
  <c r="C1361" i="57"/>
  <c r="D1361" i="57"/>
  <c r="E1361" i="57"/>
  <c r="F1361" i="57"/>
  <c r="A1362" i="57"/>
  <c r="B1362" i="57"/>
  <c r="C1362" i="57"/>
  <c r="D1362" i="57"/>
  <c r="E1362" i="57"/>
  <c r="F1362" i="57"/>
  <c r="A1363" i="57"/>
  <c r="B1363" i="57"/>
  <c r="C1363" i="57"/>
  <c r="D1363" i="57"/>
  <c r="E1363" i="57"/>
  <c r="F1363" i="57"/>
  <c r="A1364" i="57"/>
  <c r="B1364" i="57"/>
  <c r="C1364" i="57"/>
  <c r="D1364" i="57"/>
  <c r="E1364" i="57"/>
  <c r="F1364" i="57"/>
  <c r="A1365" i="57"/>
  <c r="B1365" i="57"/>
  <c r="C1365" i="57"/>
  <c r="D1365" i="57"/>
  <c r="E1365" i="57"/>
  <c r="F1365" i="57"/>
  <c r="A1366" i="57"/>
  <c r="B1366" i="57"/>
  <c r="C1366" i="57"/>
  <c r="D1366" i="57"/>
  <c r="E1366" i="57"/>
  <c r="F1366" i="57"/>
  <c r="A1367" i="57"/>
  <c r="B1367" i="57"/>
  <c r="C1367" i="57"/>
  <c r="D1367" i="57"/>
  <c r="E1367" i="57"/>
  <c r="F1367" i="57"/>
  <c r="A1368" i="57"/>
  <c r="B1368" i="57"/>
  <c r="C1368" i="57"/>
  <c r="D1368" i="57"/>
  <c r="E1368" i="57"/>
  <c r="F1368" i="57"/>
  <c r="A1369" i="57"/>
  <c r="B1369" i="57"/>
  <c r="C1369" i="57"/>
  <c r="D1369" i="57"/>
  <c r="E1369" i="57"/>
  <c r="F1369" i="57"/>
  <c r="A1370" i="57"/>
  <c r="B1370" i="57"/>
  <c r="C1370" i="57"/>
  <c r="D1370" i="57"/>
  <c r="E1370" i="57"/>
  <c r="F1370" i="57"/>
  <c r="A1371" i="57"/>
  <c r="B1371" i="57"/>
  <c r="C1371" i="57"/>
  <c r="D1371" i="57"/>
  <c r="E1371" i="57"/>
  <c r="F1371" i="57"/>
  <c r="A1372" i="57"/>
  <c r="B1372" i="57"/>
  <c r="C1372" i="57"/>
  <c r="D1372" i="57"/>
  <c r="E1372" i="57"/>
  <c r="F1372" i="57"/>
  <c r="A1373" i="57"/>
  <c r="B1373" i="57"/>
  <c r="C1373" i="57"/>
  <c r="D1373" i="57"/>
  <c r="E1373" i="57"/>
  <c r="F1373" i="57"/>
  <c r="A1374" i="57"/>
  <c r="B1374" i="57"/>
  <c r="C1374" i="57"/>
  <c r="D1374" i="57"/>
  <c r="E1374" i="57"/>
  <c r="F1374" i="57"/>
  <c r="A1375" i="57"/>
  <c r="B1375" i="57"/>
  <c r="C1375" i="57"/>
  <c r="D1375" i="57"/>
  <c r="E1375" i="57"/>
  <c r="F1375" i="57"/>
  <c r="A1376" i="57"/>
  <c r="B1376" i="57"/>
  <c r="C1376" i="57"/>
  <c r="D1376" i="57"/>
  <c r="E1376" i="57"/>
  <c r="F1376" i="57"/>
  <c r="A1377" i="57"/>
  <c r="B1377" i="57"/>
  <c r="C1377" i="57"/>
  <c r="D1377" i="57"/>
  <c r="E1377" i="57"/>
  <c r="F1377" i="57"/>
  <c r="A1378" i="57"/>
  <c r="B1378" i="57"/>
  <c r="C1378" i="57"/>
  <c r="D1378" i="57"/>
  <c r="E1378" i="57"/>
  <c r="F1378" i="57"/>
  <c r="A1379" i="57"/>
  <c r="B1379" i="57"/>
  <c r="C1379" i="57"/>
  <c r="D1379" i="57"/>
  <c r="E1379" i="57"/>
  <c r="F1379" i="57"/>
  <c r="A1380" i="57"/>
  <c r="B1380" i="57"/>
  <c r="C1380" i="57"/>
  <c r="D1380" i="57"/>
  <c r="E1380" i="57"/>
  <c r="F1380" i="57"/>
  <c r="A1381" i="57"/>
  <c r="B1381" i="57"/>
  <c r="C1381" i="57"/>
  <c r="D1381" i="57"/>
  <c r="E1381" i="57"/>
  <c r="F1381" i="57"/>
  <c r="A1382" i="57"/>
  <c r="B1382" i="57"/>
  <c r="C1382" i="57"/>
  <c r="D1382" i="57"/>
  <c r="E1382" i="57"/>
  <c r="F1382" i="57"/>
  <c r="A1383" i="57"/>
  <c r="B1383" i="57"/>
  <c r="C1383" i="57"/>
  <c r="D1383" i="57"/>
  <c r="E1383" i="57"/>
  <c r="F1383" i="57"/>
  <c r="A1384" i="57"/>
  <c r="B1384" i="57"/>
  <c r="C1384" i="57"/>
  <c r="D1384" i="57"/>
  <c r="E1384" i="57"/>
  <c r="F1384" i="57"/>
  <c r="A1385" i="57"/>
  <c r="B1385" i="57"/>
  <c r="C1385" i="57"/>
  <c r="D1385" i="57"/>
  <c r="E1385" i="57"/>
  <c r="F1385" i="57"/>
  <c r="A1386" i="57"/>
  <c r="B1386" i="57"/>
  <c r="C1386" i="57"/>
  <c r="D1386" i="57"/>
  <c r="E1386" i="57"/>
  <c r="F1386" i="57"/>
  <c r="A1387" i="57"/>
  <c r="B1387" i="57"/>
  <c r="C1387" i="57"/>
  <c r="D1387" i="57"/>
  <c r="E1387" i="57"/>
  <c r="F1387" i="57"/>
  <c r="A1388" i="57"/>
  <c r="B1388" i="57"/>
  <c r="C1388" i="57"/>
  <c r="D1388" i="57"/>
  <c r="E1388" i="57"/>
  <c r="F1388" i="57"/>
  <c r="A1389" i="57"/>
  <c r="B1389" i="57"/>
  <c r="C1389" i="57"/>
  <c r="D1389" i="57"/>
  <c r="E1389" i="57"/>
  <c r="F1389" i="57"/>
  <c r="A1390" i="57"/>
  <c r="B1390" i="57"/>
  <c r="C1390" i="57"/>
  <c r="D1390" i="57"/>
  <c r="E1390" i="57"/>
  <c r="F1390" i="57"/>
  <c r="A1391" i="57"/>
  <c r="B1391" i="57"/>
  <c r="C1391" i="57"/>
  <c r="D1391" i="57"/>
  <c r="E1391" i="57"/>
  <c r="F1391" i="57"/>
  <c r="A1392" i="57"/>
  <c r="B1392" i="57"/>
  <c r="C1392" i="57"/>
  <c r="D1392" i="57"/>
  <c r="E1392" i="57"/>
  <c r="F1392" i="57"/>
  <c r="A1393" i="57"/>
  <c r="B1393" i="57"/>
  <c r="C1393" i="57"/>
  <c r="D1393" i="57"/>
  <c r="E1393" i="57"/>
  <c r="F1393" i="57"/>
  <c r="A1394" i="57"/>
  <c r="B1394" i="57"/>
  <c r="C1394" i="57"/>
  <c r="D1394" i="57"/>
  <c r="E1394" i="57"/>
  <c r="F1394" i="57"/>
  <c r="A1395" i="57"/>
  <c r="B1395" i="57"/>
  <c r="C1395" i="57"/>
  <c r="D1395" i="57"/>
  <c r="E1395" i="57"/>
  <c r="F1395" i="57"/>
  <c r="A1396" i="57"/>
  <c r="B1396" i="57"/>
  <c r="C1396" i="57"/>
  <c r="D1396" i="57"/>
  <c r="E1396" i="57"/>
  <c r="F1396" i="57"/>
  <c r="A1397" i="57"/>
  <c r="B1397" i="57"/>
  <c r="C1397" i="57"/>
  <c r="D1397" i="57"/>
  <c r="E1397" i="57"/>
  <c r="F1397" i="57"/>
  <c r="A1398" i="57"/>
  <c r="B1398" i="57"/>
  <c r="C1398" i="57"/>
  <c r="D1398" i="57"/>
  <c r="E1398" i="57"/>
  <c r="F1398" i="57"/>
  <c r="A1399" i="57"/>
  <c r="B1399" i="57"/>
  <c r="C1399" i="57"/>
  <c r="D1399" i="57"/>
  <c r="E1399" i="57"/>
  <c r="F1399" i="57"/>
  <c r="A1400" i="57"/>
  <c r="B1400" i="57"/>
  <c r="C1400" i="57"/>
  <c r="D1400" i="57"/>
  <c r="E1400" i="57"/>
  <c r="F1400" i="57"/>
  <c r="A1401" i="57"/>
  <c r="B1401" i="57"/>
  <c r="C1401" i="57"/>
  <c r="D1401" i="57"/>
  <c r="E1401" i="57"/>
  <c r="F1401" i="57"/>
  <c r="A1402" i="57"/>
  <c r="B1402" i="57"/>
  <c r="C1402" i="57"/>
  <c r="D1402" i="57"/>
  <c r="E1402" i="57"/>
  <c r="F1402" i="57"/>
  <c r="A1403" i="57"/>
  <c r="B1403" i="57"/>
  <c r="C1403" i="57"/>
  <c r="D1403" i="57"/>
  <c r="E1403" i="57"/>
  <c r="F1403" i="57"/>
  <c r="A1404" i="57"/>
  <c r="B1404" i="57"/>
  <c r="C1404" i="57"/>
  <c r="D1404" i="57"/>
  <c r="E1404" i="57"/>
  <c r="F1404" i="57"/>
  <c r="A1405" i="57"/>
  <c r="B1405" i="57"/>
  <c r="C1405" i="57"/>
  <c r="D1405" i="57"/>
  <c r="E1405" i="57"/>
  <c r="F1405" i="57"/>
  <c r="A1406" i="57"/>
  <c r="B1406" i="57"/>
  <c r="C1406" i="57"/>
  <c r="D1406" i="57"/>
  <c r="E1406" i="57"/>
  <c r="F1406" i="57"/>
  <c r="A1407" i="57"/>
  <c r="B1407" i="57"/>
  <c r="C1407" i="57"/>
  <c r="D1407" i="57"/>
  <c r="E1407" i="57"/>
  <c r="F1407" i="57"/>
  <c r="A1408" i="57"/>
  <c r="B1408" i="57"/>
  <c r="C1408" i="57"/>
  <c r="D1408" i="57"/>
  <c r="E1408" i="57"/>
  <c r="F1408" i="57"/>
  <c r="A1409" i="57"/>
  <c r="B1409" i="57"/>
  <c r="C1409" i="57"/>
  <c r="D1409" i="57"/>
  <c r="E1409" i="57"/>
  <c r="F1409" i="57"/>
  <c r="A1410" i="57"/>
  <c r="B1410" i="57"/>
  <c r="C1410" i="57"/>
  <c r="D1410" i="57"/>
  <c r="E1410" i="57"/>
  <c r="F1410" i="57"/>
  <c r="A1411" i="57"/>
  <c r="B1411" i="57"/>
  <c r="C1411" i="57"/>
  <c r="D1411" i="57"/>
  <c r="E1411" i="57"/>
  <c r="F1411" i="57"/>
  <c r="A1412" i="57"/>
  <c r="B1412" i="57"/>
  <c r="C1412" i="57"/>
  <c r="D1412" i="57"/>
  <c r="E1412" i="57"/>
  <c r="F1412" i="57"/>
  <c r="A1413" i="57"/>
  <c r="B1413" i="57"/>
  <c r="C1413" i="57"/>
  <c r="D1413" i="57"/>
  <c r="E1413" i="57"/>
  <c r="F1413" i="57"/>
  <c r="A1414" i="57"/>
  <c r="B1414" i="57"/>
  <c r="C1414" i="57"/>
  <c r="D1414" i="57"/>
  <c r="E1414" i="57"/>
  <c r="F1414" i="57"/>
  <c r="A1415" i="57"/>
  <c r="B1415" i="57"/>
  <c r="C1415" i="57"/>
  <c r="D1415" i="57"/>
  <c r="E1415" i="57"/>
  <c r="F1415" i="57"/>
  <c r="A1416" i="57"/>
  <c r="B1416" i="57"/>
  <c r="C1416" i="57"/>
  <c r="D1416" i="57"/>
  <c r="E1416" i="57"/>
  <c r="F1416" i="57"/>
  <c r="A1417" i="57"/>
  <c r="B1417" i="57"/>
  <c r="C1417" i="57"/>
  <c r="D1417" i="57"/>
  <c r="E1417" i="57"/>
  <c r="F1417" i="57"/>
  <c r="A1418" i="57"/>
  <c r="B1418" i="57"/>
  <c r="C1418" i="57"/>
  <c r="D1418" i="57"/>
  <c r="E1418" i="57"/>
  <c r="F1418" i="57"/>
  <c r="A1419" i="57"/>
  <c r="B1419" i="57"/>
  <c r="C1419" i="57"/>
  <c r="D1419" i="57"/>
  <c r="E1419" i="57"/>
  <c r="F1419" i="57"/>
  <c r="A1420" i="57"/>
  <c r="B1420" i="57"/>
  <c r="C1420" i="57"/>
  <c r="D1420" i="57"/>
  <c r="E1420" i="57"/>
  <c r="F1420" i="57"/>
  <c r="A1421" i="57"/>
  <c r="B1421" i="57"/>
  <c r="C1421" i="57"/>
  <c r="D1421" i="57"/>
  <c r="E1421" i="57"/>
  <c r="F1421" i="57"/>
  <c r="A1422" i="57"/>
  <c r="B1422" i="57"/>
  <c r="C1422" i="57"/>
  <c r="D1422" i="57"/>
  <c r="E1422" i="57"/>
  <c r="F1422" i="57"/>
  <c r="A1423" i="57"/>
  <c r="B1423" i="57"/>
  <c r="C1423" i="57"/>
  <c r="D1423" i="57"/>
  <c r="E1423" i="57"/>
  <c r="F1423" i="57"/>
  <c r="A1424" i="57"/>
  <c r="B1424" i="57"/>
  <c r="C1424" i="57"/>
  <c r="D1424" i="57"/>
  <c r="E1424" i="57"/>
  <c r="F1424" i="57"/>
  <c r="A1425" i="57"/>
  <c r="B1425" i="57"/>
  <c r="C1425" i="57"/>
  <c r="D1425" i="57"/>
  <c r="E1425" i="57"/>
  <c r="F1425" i="57"/>
  <c r="A1426" i="57"/>
  <c r="B1426" i="57"/>
  <c r="C1426" i="57"/>
  <c r="D1426" i="57"/>
  <c r="E1426" i="57"/>
  <c r="F1426" i="57"/>
  <c r="A1427" i="57"/>
  <c r="B1427" i="57"/>
  <c r="C1427" i="57"/>
  <c r="D1427" i="57"/>
  <c r="E1427" i="57"/>
  <c r="F1427" i="57"/>
  <c r="A1428" i="57"/>
  <c r="B1428" i="57"/>
  <c r="C1428" i="57"/>
  <c r="D1428" i="57"/>
  <c r="E1428" i="57"/>
  <c r="F1428" i="57"/>
  <c r="A1429" i="57"/>
  <c r="B1429" i="57"/>
  <c r="C1429" i="57"/>
  <c r="D1429" i="57"/>
  <c r="E1429" i="57"/>
  <c r="F1429" i="57"/>
  <c r="A1430" i="57"/>
  <c r="B1430" i="57"/>
  <c r="C1430" i="57"/>
  <c r="D1430" i="57"/>
  <c r="E1430" i="57"/>
  <c r="F1430" i="57"/>
  <c r="A1431" i="57"/>
  <c r="B1431" i="57"/>
  <c r="C1431" i="57"/>
  <c r="D1431" i="57"/>
  <c r="E1431" i="57"/>
  <c r="F1431" i="57"/>
  <c r="A1432" i="57"/>
  <c r="B1432" i="57"/>
  <c r="C1432" i="57"/>
  <c r="D1432" i="57"/>
  <c r="E1432" i="57"/>
  <c r="F1432" i="57"/>
  <c r="A1433" i="57"/>
  <c r="B1433" i="57"/>
  <c r="C1433" i="57"/>
  <c r="D1433" i="57"/>
  <c r="E1433" i="57"/>
  <c r="F1433" i="57"/>
  <c r="A1434" i="57"/>
  <c r="B1434" i="57"/>
  <c r="C1434" i="57"/>
  <c r="D1434" i="57"/>
  <c r="E1434" i="57"/>
  <c r="F1434" i="57"/>
  <c r="A1435" i="57"/>
  <c r="B1435" i="57"/>
  <c r="C1435" i="57"/>
  <c r="D1435" i="57"/>
  <c r="E1435" i="57"/>
  <c r="F1435" i="57"/>
  <c r="A1436" i="57"/>
  <c r="B1436" i="57"/>
  <c r="C1436" i="57"/>
  <c r="D1436" i="57"/>
  <c r="E1436" i="57"/>
  <c r="F1436" i="57"/>
  <c r="A1437" i="57"/>
  <c r="B1437" i="57"/>
  <c r="C1437" i="57"/>
  <c r="D1437" i="57"/>
  <c r="E1437" i="57"/>
  <c r="F1437" i="57"/>
  <c r="F1360" i="57"/>
  <c r="E1360" i="57"/>
  <c r="D1360" i="57"/>
  <c r="C1360" i="57"/>
  <c r="B1360" i="57"/>
  <c r="A1360" i="57"/>
  <c r="F1359" i="57"/>
  <c r="E1359" i="57"/>
  <c r="D1359" i="57"/>
  <c r="C1359" i="57"/>
  <c r="B1359" i="57"/>
  <c r="A1359" i="57"/>
  <c r="F1358" i="57"/>
  <c r="E1358" i="57"/>
  <c r="D1358" i="57"/>
  <c r="C1358" i="57"/>
  <c r="B1358" i="57"/>
  <c r="A1358" i="57"/>
  <c r="F1357" i="57"/>
  <c r="E1357" i="57"/>
  <c r="D1357" i="57"/>
  <c r="C1357" i="57"/>
  <c r="B1357" i="57"/>
  <c r="A1357" i="57"/>
  <c r="A1312" i="57"/>
  <c r="B1312" i="57"/>
  <c r="C1312" i="57"/>
  <c r="D1312" i="57"/>
  <c r="E1312" i="57"/>
  <c r="F1312" i="57"/>
  <c r="A1313" i="57"/>
  <c r="B1313" i="57"/>
  <c r="C1313" i="57"/>
  <c r="D1313" i="57"/>
  <c r="E1313" i="57"/>
  <c r="F1313" i="57"/>
  <c r="A1314" i="57"/>
  <c r="B1314" i="57"/>
  <c r="C1314" i="57"/>
  <c r="D1314" i="57"/>
  <c r="E1314" i="57"/>
  <c r="F1314" i="57"/>
  <c r="A1315" i="57"/>
  <c r="B1315" i="57"/>
  <c r="C1315" i="57"/>
  <c r="D1315" i="57"/>
  <c r="E1315" i="57"/>
  <c r="F1315" i="57"/>
  <c r="A1316" i="57"/>
  <c r="B1316" i="57"/>
  <c r="C1316" i="57"/>
  <c r="D1316" i="57"/>
  <c r="E1316" i="57"/>
  <c r="F1316" i="57"/>
  <c r="A1317" i="57"/>
  <c r="B1317" i="57"/>
  <c r="C1317" i="57"/>
  <c r="D1317" i="57"/>
  <c r="E1317" i="57"/>
  <c r="F1317" i="57"/>
  <c r="A1318" i="57"/>
  <c r="B1318" i="57"/>
  <c r="C1318" i="57"/>
  <c r="D1318" i="57"/>
  <c r="E1318" i="57"/>
  <c r="F1318" i="57"/>
  <c r="A1319" i="57"/>
  <c r="B1319" i="57"/>
  <c r="C1319" i="57"/>
  <c r="D1319" i="57"/>
  <c r="E1319" i="57"/>
  <c r="F1319" i="57"/>
  <c r="A1320" i="57"/>
  <c r="B1320" i="57"/>
  <c r="C1320" i="57"/>
  <c r="D1320" i="57"/>
  <c r="E1320" i="57"/>
  <c r="F1320" i="57"/>
  <c r="A1321" i="57"/>
  <c r="B1321" i="57"/>
  <c r="C1321" i="57"/>
  <c r="D1321" i="57"/>
  <c r="E1321" i="57"/>
  <c r="F1321" i="57"/>
  <c r="A1322" i="57"/>
  <c r="B1322" i="57"/>
  <c r="C1322" i="57"/>
  <c r="D1322" i="57"/>
  <c r="E1322" i="57"/>
  <c r="F1322" i="57"/>
  <c r="A1323" i="57"/>
  <c r="B1323" i="57"/>
  <c r="C1323" i="57"/>
  <c r="D1323" i="57"/>
  <c r="E1323" i="57"/>
  <c r="F1323" i="57"/>
  <c r="A1324" i="57"/>
  <c r="B1324" i="57"/>
  <c r="C1324" i="57"/>
  <c r="D1324" i="57"/>
  <c r="E1324" i="57"/>
  <c r="F1324" i="57"/>
  <c r="A1325" i="57"/>
  <c r="B1325" i="57"/>
  <c r="C1325" i="57"/>
  <c r="D1325" i="57"/>
  <c r="E1325" i="57"/>
  <c r="F1325" i="57"/>
  <c r="A1326" i="57"/>
  <c r="B1326" i="57"/>
  <c r="C1326" i="57"/>
  <c r="D1326" i="57"/>
  <c r="E1326" i="57"/>
  <c r="F1326" i="57"/>
  <c r="A1327" i="57"/>
  <c r="B1327" i="57"/>
  <c r="C1327" i="57"/>
  <c r="D1327" i="57"/>
  <c r="E1327" i="57"/>
  <c r="F1327" i="57"/>
  <c r="A1328" i="57"/>
  <c r="B1328" i="57"/>
  <c r="C1328" i="57"/>
  <c r="D1328" i="57"/>
  <c r="E1328" i="57"/>
  <c r="F1328" i="57"/>
  <c r="A1329" i="57"/>
  <c r="B1329" i="57"/>
  <c r="C1329" i="57"/>
  <c r="D1329" i="57"/>
  <c r="E1329" i="57"/>
  <c r="F1329" i="57"/>
  <c r="A1330" i="57"/>
  <c r="B1330" i="57"/>
  <c r="C1330" i="57"/>
  <c r="D1330" i="57"/>
  <c r="E1330" i="57"/>
  <c r="F1330" i="57"/>
  <c r="A1331" i="57"/>
  <c r="B1331" i="57"/>
  <c r="C1331" i="57"/>
  <c r="D1331" i="57"/>
  <c r="E1331" i="57"/>
  <c r="F1331" i="57"/>
  <c r="A1332" i="57"/>
  <c r="B1332" i="57"/>
  <c r="C1332" i="57"/>
  <c r="D1332" i="57"/>
  <c r="E1332" i="57"/>
  <c r="F1332" i="57"/>
  <c r="A1333" i="57"/>
  <c r="B1333" i="57"/>
  <c r="C1333" i="57"/>
  <c r="D1333" i="57"/>
  <c r="E1333" i="57"/>
  <c r="F1333" i="57"/>
  <c r="A1334" i="57"/>
  <c r="B1334" i="57"/>
  <c r="C1334" i="57"/>
  <c r="D1334" i="57"/>
  <c r="E1334" i="57"/>
  <c r="F1334" i="57"/>
  <c r="A1335" i="57"/>
  <c r="B1335" i="57"/>
  <c r="C1335" i="57"/>
  <c r="D1335" i="57"/>
  <c r="E1335" i="57"/>
  <c r="F1335" i="57"/>
  <c r="A1336" i="57"/>
  <c r="B1336" i="57"/>
  <c r="C1336" i="57"/>
  <c r="D1336" i="57"/>
  <c r="E1336" i="57"/>
  <c r="F1336" i="57"/>
  <c r="A1337" i="57"/>
  <c r="B1337" i="57"/>
  <c r="C1337" i="57"/>
  <c r="D1337" i="57"/>
  <c r="E1337" i="57"/>
  <c r="F1337" i="57"/>
  <c r="A1338" i="57"/>
  <c r="B1338" i="57"/>
  <c r="C1338" i="57"/>
  <c r="D1338" i="57"/>
  <c r="E1338" i="57"/>
  <c r="F1338" i="57"/>
  <c r="A1339" i="57"/>
  <c r="B1339" i="57"/>
  <c r="C1339" i="57"/>
  <c r="D1339" i="57"/>
  <c r="E1339" i="57"/>
  <c r="F1339" i="57"/>
  <c r="A1340" i="57"/>
  <c r="B1340" i="57"/>
  <c r="C1340" i="57"/>
  <c r="D1340" i="57"/>
  <c r="E1340" i="57"/>
  <c r="F1340" i="57"/>
  <c r="A1341" i="57"/>
  <c r="B1341" i="57"/>
  <c r="C1341" i="57"/>
  <c r="D1341" i="57"/>
  <c r="E1341" i="57"/>
  <c r="F1341" i="57"/>
  <c r="A1342" i="57"/>
  <c r="B1342" i="57"/>
  <c r="C1342" i="57"/>
  <c r="D1342" i="57"/>
  <c r="E1342" i="57"/>
  <c r="F1342" i="57"/>
  <c r="A1343" i="57"/>
  <c r="B1343" i="57"/>
  <c r="C1343" i="57"/>
  <c r="D1343" i="57"/>
  <c r="E1343" i="57"/>
  <c r="F1343" i="57"/>
  <c r="A1344" i="57"/>
  <c r="B1344" i="57"/>
  <c r="C1344" i="57"/>
  <c r="D1344" i="57"/>
  <c r="E1344" i="57"/>
  <c r="F1344" i="57"/>
  <c r="A1345" i="57"/>
  <c r="B1345" i="57"/>
  <c r="C1345" i="57"/>
  <c r="D1345" i="57"/>
  <c r="E1345" i="57"/>
  <c r="F1345" i="57"/>
  <c r="A1346" i="57"/>
  <c r="B1346" i="57"/>
  <c r="C1346" i="57"/>
  <c r="D1346" i="57"/>
  <c r="E1346" i="57"/>
  <c r="F1346" i="57"/>
  <c r="A1348" i="57"/>
  <c r="B1348" i="57"/>
  <c r="C1348" i="57"/>
  <c r="D1348" i="57"/>
  <c r="E1348" i="57"/>
  <c r="F1348" i="57"/>
  <c r="A1349" i="57"/>
  <c r="B1349" i="57"/>
  <c r="C1349" i="57"/>
  <c r="D1349" i="57"/>
  <c r="E1349" i="57"/>
  <c r="F1349" i="57"/>
  <c r="A1350" i="57"/>
  <c r="B1350" i="57"/>
  <c r="C1350" i="57"/>
  <c r="D1350" i="57"/>
  <c r="E1350" i="57"/>
  <c r="F1350" i="57"/>
  <c r="A1351" i="57"/>
  <c r="B1351" i="57"/>
  <c r="C1351" i="57"/>
  <c r="D1351" i="57"/>
  <c r="E1351" i="57"/>
  <c r="F1351" i="57"/>
  <c r="A1352" i="57"/>
  <c r="B1352" i="57"/>
  <c r="C1352" i="57"/>
  <c r="D1352" i="57"/>
  <c r="E1352" i="57"/>
  <c r="F1352" i="57"/>
  <c r="A1353" i="57"/>
  <c r="B1353" i="57"/>
  <c r="C1353" i="57"/>
  <c r="D1353" i="57"/>
  <c r="E1353" i="57"/>
  <c r="F1353" i="57"/>
  <c r="A1354" i="57"/>
  <c r="B1354" i="57"/>
  <c r="C1354" i="57"/>
  <c r="D1354" i="57"/>
  <c r="E1354" i="57"/>
  <c r="F1354" i="57"/>
  <c r="A1355" i="57"/>
  <c r="B1355" i="57"/>
  <c r="C1355" i="57"/>
  <c r="D1355" i="57"/>
  <c r="E1355" i="57"/>
  <c r="F1355" i="57"/>
  <c r="A1356" i="57"/>
  <c r="B1356" i="57"/>
  <c r="C1356" i="57"/>
  <c r="D1356" i="57"/>
  <c r="E1356" i="57"/>
  <c r="F1356" i="57"/>
  <c r="F1311" i="57"/>
  <c r="E1311" i="57"/>
  <c r="D1311" i="57"/>
  <c r="C1311" i="57"/>
  <c r="B1311" i="57"/>
  <c r="A1311" i="57"/>
  <c r="F1310" i="57"/>
  <c r="E1310" i="57"/>
  <c r="D1310" i="57"/>
  <c r="C1310" i="57"/>
  <c r="B1310" i="57"/>
  <c r="A1310" i="57"/>
  <c r="F1309" i="57"/>
  <c r="E1309" i="57"/>
  <c r="D1309" i="57"/>
  <c r="C1309" i="57"/>
  <c r="B1309" i="57"/>
  <c r="A1309" i="57"/>
  <c r="F1308" i="57"/>
  <c r="E1308" i="57"/>
  <c r="D1308" i="57"/>
  <c r="C1308" i="57"/>
  <c r="B1308" i="57"/>
  <c r="A1308" i="57"/>
  <c r="A1271" i="57"/>
  <c r="B1271" i="57"/>
  <c r="C1271" i="57"/>
  <c r="D1271" i="57"/>
  <c r="E1271" i="57"/>
  <c r="F1271" i="57"/>
  <c r="A1272" i="57"/>
  <c r="B1272" i="57"/>
  <c r="C1272" i="57"/>
  <c r="D1272" i="57"/>
  <c r="E1272" i="57"/>
  <c r="F1272" i="57"/>
  <c r="A1273" i="57"/>
  <c r="B1273" i="57"/>
  <c r="C1273" i="57"/>
  <c r="D1273" i="57"/>
  <c r="E1273" i="57"/>
  <c r="F1273" i="57"/>
  <c r="A1274" i="57"/>
  <c r="B1274" i="57"/>
  <c r="C1274" i="57"/>
  <c r="D1274" i="57"/>
  <c r="E1274" i="57"/>
  <c r="F1274" i="57"/>
  <c r="A1275" i="57"/>
  <c r="B1275" i="57"/>
  <c r="C1275" i="57"/>
  <c r="D1275" i="57"/>
  <c r="E1275" i="57"/>
  <c r="F1275" i="57"/>
  <c r="A1276" i="57"/>
  <c r="B1276" i="57"/>
  <c r="C1276" i="57"/>
  <c r="D1276" i="57"/>
  <c r="E1276" i="57"/>
  <c r="F1276" i="57"/>
  <c r="A1277" i="57"/>
  <c r="B1277" i="57"/>
  <c r="C1277" i="57"/>
  <c r="D1277" i="57"/>
  <c r="E1277" i="57"/>
  <c r="F1277" i="57"/>
  <c r="A1278" i="57"/>
  <c r="B1278" i="57"/>
  <c r="C1278" i="57"/>
  <c r="D1278" i="57"/>
  <c r="E1278" i="57"/>
  <c r="F1278" i="57"/>
  <c r="A1279" i="57"/>
  <c r="B1279" i="57"/>
  <c r="C1279" i="57"/>
  <c r="D1279" i="57"/>
  <c r="E1279" i="57"/>
  <c r="F1279" i="57"/>
  <c r="A1280" i="57"/>
  <c r="B1280" i="57"/>
  <c r="C1280" i="57"/>
  <c r="D1280" i="57"/>
  <c r="E1280" i="57"/>
  <c r="F1280" i="57"/>
  <c r="A1281" i="57"/>
  <c r="B1281" i="57"/>
  <c r="C1281" i="57"/>
  <c r="D1281" i="57"/>
  <c r="E1281" i="57"/>
  <c r="F1281" i="57"/>
  <c r="A1282" i="57"/>
  <c r="B1282" i="57"/>
  <c r="C1282" i="57"/>
  <c r="D1282" i="57"/>
  <c r="E1282" i="57"/>
  <c r="F1282" i="57"/>
  <c r="A1283" i="57"/>
  <c r="B1283" i="57"/>
  <c r="C1283" i="57"/>
  <c r="D1283" i="57"/>
  <c r="E1283" i="57"/>
  <c r="F1283" i="57"/>
  <c r="A1284" i="57"/>
  <c r="B1284" i="57"/>
  <c r="C1284" i="57"/>
  <c r="D1284" i="57"/>
  <c r="E1284" i="57"/>
  <c r="F1284" i="57"/>
  <c r="A1285" i="57"/>
  <c r="B1285" i="57"/>
  <c r="C1285" i="57"/>
  <c r="D1285" i="57"/>
  <c r="E1285" i="57"/>
  <c r="F1285" i="57"/>
  <c r="A1286" i="57"/>
  <c r="B1286" i="57"/>
  <c r="C1286" i="57"/>
  <c r="D1286" i="57"/>
  <c r="E1286" i="57"/>
  <c r="F1286" i="57"/>
  <c r="A1287" i="57"/>
  <c r="B1287" i="57"/>
  <c r="C1287" i="57"/>
  <c r="D1287" i="57"/>
  <c r="E1287" i="57"/>
  <c r="F1287" i="57"/>
  <c r="A1288" i="57"/>
  <c r="B1288" i="57"/>
  <c r="C1288" i="57"/>
  <c r="D1288" i="57"/>
  <c r="E1288" i="57"/>
  <c r="F1288" i="57"/>
  <c r="A1289" i="57"/>
  <c r="B1289" i="57"/>
  <c r="C1289" i="57"/>
  <c r="D1289" i="57"/>
  <c r="E1289" i="57"/>
  <c r="F1289" i="57"/>
  <c r="A1290" i="57"/>
  <c r="B1290" i="57"/>
  <c r="C1290" i="57"/>
  <c r="D1290" i="57"/>
  <c r="E1290" i="57"/>
  <c r="F1290" i="57"/>
  <c r="A1291" i="57"/>
  <c r="B1291" i="57"/>
  <c r="C1291" i="57"/>
  <c r="D1291" i="57"/>
  <c r="E1291" i="57"/>
  <c r="F1291" i="57"/>
  <c r="A1292" i="57"/>
  <c r="B1292" i="57"/>
  <c r="C1292" i="57"/>
  <c r="D1292" i="57"/>
  <c r="E1292" i="57"/>
  <c r="F1292" i="57"/>
  <c r="A1293" i="57"/>
  <c r="B1293" i="57"/>
  <c r="C1293" i="57"/>
  <c r="D1293" i="57"/>
  <c r="E1293" i="57"/>
  <c r="F1293" i="57"/>
  <c r="A1294" i="57"/>
  <c r="B1294" i="57"/>
  <c r="C1294" i="57"/>
  <c r="D1294" i="57"/>
  <c r="E1294" i="57"/>
  <c r="F1294" i="57"/>
  <c r="A1295" i="57"/>
  <c r="B1295" i="57"/>
  <c r="C1295" i="57"/>
  <c r="D1295" i="57"/>
  <c r="E1295" i="57"/>
  <c r="F1295" i="57"/>
  <c r="A1296" i="57"/>
  <c r="B1296" i="57"/>
  <c r="C1296" i="57"/>
  <c r="D1296" i="57"/>
  <c r="E1296" i="57"/>
  <c r="F1296" i="57"/>
  <c r="A1297" i="57"/>
  <c r="B1297" i="57"/>
  <c r="C1297" i="57"/>
  <c r="D1297" i="57"/>
  <c r="E1297" i="57"/>
  <c r="F1297" i="57"/>
  <c r="A1298" i="57"/>
  <c r="B1298" i="57"/>
  <c r="C1298" i="57"/>
  <c r="D1298" i="57"/>
  <c r="E1298" i="57"/>
  <c r="F1298" i="57"/>
  <c r="A1299" i="57"/>
  <c r="B1299" i="57"/>
  <c r="C1299" i="57"/>
  <c r="D1299" i="57"/>
  <c r="E1299" i="57"/>
  <c r="F1299" i="57"/>
  <c r="A1300" i="57"/>
  <c r="B1300" i="57"/>
  <c r="C1300" i="57"/>
  <c r="D1300" i="57"/>
  <c r="E1300" i="57"/>
  <c r="F1300" i="57"/>
  <c r="A1301" i="57"/>
  <c r="B1301" i="57"/>
  <c r="C1301" i="57"/>
  <c r="D1301" i="57"/>
  <c r="E1301" i="57"/>
  <c r="F1301" i="57"/>
  <c r="A1302" i="57"/>
  <c r="B1302" i="57"/>
  <c r="C1302" i="57"/>
  <c r="D1302" i="57"/>
  <c r="E1302" i="57"/>
  <c r="F1302" i="57"/>
  <c r="A1303" i="57"/>
  <c r="B1303" i="57"/>
  <c r="C1303" i="57"/>
  <c r="D1303" i="57"/>
  <c r="E1303" i="57"/>
  <c r="F1303" i="57"/>
  <c r="A1304" i="57"/>
  <c r="B1304" i="57"/>
  <c r="C1304" i="57"/>
  <c r="D1304" i="57"/>
  <c r="E1304" i="57"/>
  <c r="F1304" i="57"/>
  <c r="A1305" i="57"/>
  <c r="B1305" i="57"/>
  <c r="C1305" i="57"/>
  <c r="D1305" i="57"/>
  <c r="E1305" i="57"/>
  <c r="F1305" i="57"/>
  <c r="F1270" i="57"/>
  <c r="E1270" i="57"/>
  <c r="D1270" i="57"/>
  <c r="C1270" i="57"/>
  <c r="B1270" i="57"/>
  <c r="A1270" i="57"/>
  <c r="F1269" i="57"/>
  <c r="E1269" i="57"/>
  <c r="D1269" i="57"/>
  <c r="C1269" i="57"/>
  <c r="B1269" i="57"/>
  <c r="A1269" i="57"/>
  <c r="F1268" i="57"/>
  <c r="E1268" i="57"/>
  <c r="D1268" i="57"/>
  <c r="C1268" i="57"/>
  <c r="B1268" i="57"/>
  <c r="A1268" i="57"/>
  <c r="F1267" i="57"/>
  <c r="E1267" i="57"/>
  <c r="D1267" i="57"/>
  <c r="C1267" i="57"/>
  <c r="B1267" i="57"/>
  <c r="A1267" i="57"/>
  <c r="F1266" i="57"/>
  <c r="E1266" i="57"/>
  <c r="D1266" i="57"/>
  <c r="C1266" i="57"/>
  <c r="B1266" i="57"/>
  <c r="A1266" i="57"/>
  <c r="A1232" i="57"/>
  <c r="B1232" i="57"/>
  <c r="C1232" i="57"/>
  <c r="D1232" i="57"/>
  <c r="E1232" i="57"/>
  <c r="F1232" i="57"/>
  <c r="A1233" i="57"/>
  <c r="B1233" i="57"/>
  <c r="C1233" i="57"/>
  <c r="D1233" i="57"/>
  <c r="E1233" i="57"/>
  <c r="F1233" i="57"/>
  <c r="A1234" i="57"/>
  <c r="B1234" i="57"/>
  <c r="C1234" i="57"/>
  <c r="D1234" i="57"/>
  <c r="E1234" i="57"/>
  <c r="F1234" i="57"/>
  <c r="A1235" i="57"/>
  <c r="B1235" i="57"/>
  <c r="C1235" i="57"/>
  <c r="D1235" i="57"/>
  <c r="E1235" i="57"/>
  <c r="F1235" i="57"/>
  <c r="A1236" i="57"/>
  <c r="B1236" i="57"/>
  <c r="C1236" i="57"/>
  <c r="D1236" i="57"/>
  <c r="E1236" i="57"/>
  <c r="F1236" i="57"/>
  <c r="A1237" i="57"/>
  <c r="B1237" i="57"/>
  <c r="C1237" i="57"/>
  <c r="D1237" i="57"/>
  <c r="E1237" i="57"/>
  <c r="F1237" i="57"/>
  <c r="A1238" i="57"/>
  <c r="B1238" i="57"/>
  <c r="C1238" i="57"/>
  <c r="D1238" i="57"/>
  <c r="E1238" i="57"/>
  <c r="F1238" i="57"/>
  <c r="A1239" i="57"/>
  <c r="B1239" i="57"/>
  <c r="C1239" i="57"/>
  <c r="D1239" i="57"/>
  <c r="E1239" i="57"/>
  <c r="F1239" i="57"/>
  <c r="A1240" i="57"/>
  <c r="B1240" i="57"/>
  <c r="C1240" i="57"/>
  <c r="D1240" i="57"/>
  <c r="E1240" i="57"/>
  <c r="F1240" i="57"/>
  <c r="A1241" i="57"/>
  <c r="B1241" i="57"/>
  <c r="C1241" i="57"/>
  <c r="D1241" i="57"/>
  <c r="E1241" i="57"/>
  <c r="F1241" i="57"/>
  <c r="A1242" i="57"/>
  <c r="B1242" i="57"/>
  <c r="C1242" i="57"/>
  <c r="D1242" i="57"/>
  <c r="E1242" i="57"/>
  <c r="F1242" i="57"/>
  <c r="A1243" i="57"/>
  <c r="B1243" i="57"/>
  <c r="C1243" i="57"/>
  <c r="D1243" i="57"/>
  <c r="E1243" i="57"/>
  <c r="F1243" i="57"/>
  <c r="A1244" i="57"/>
  <c r="B1244" i="57"/>
  <c r="C1244" i="57"/>
  <c r="D1244" i="57"/>
  <c r="E1244" i="57"/>
  <c r="F1244" i="57"/>
  <c r="A1245" i="57"/>
  <c r="B1245" i="57"/>
  <c r="C1245" i="57"/>
  <c r="D1245" i="57"/>
  <c r="E1245" i="57"/>
  <c r="F1245" i="57"/>
  <c r="A1246" i="57"/>
  <c r="B1246" i="57"/>
  <c r="C1246" i="57"/>
  <c r="D1246" i="57"/>
  <c r="E1246" i="57"/>
  <c r="F1246" i="57"/>
  <c r="A1247" i="57"/>
  <c r="B1247" i="57"/>
  <c r="C1247" i="57"/>
  <c r="D1247" i="57"/>
  <c r="E1247" i="57"/>
  <c r="F1247" i="57"/>
  <c r="A1248" i="57"/>
  <c r="B1248" i="57"/>
  <c r="C1248" i="57"/>
  <c r="D1248" i="57"/>
  <c r="E1248" i="57"/>
  <c r="F1248" i="57"/>
  <c r="A1249" i="57"/>
  <c r="B1249" i="57"/>
  <c r="C1249" i="57"/>
  <c r="D1249" i="57"/>
  <c r="E1249" i="57"/>
  <c r="F1249" i="57"/>
  <c r="A1250" i="57"/>
  <c r="B1250" i="57"/>
  <c r="C1250" i="57"/>
  <c r="D1250" i="57"/>
  <c r="E1250" i="57"/>
  <c r="F1250" i="57"/>
  <c r="A1251" i="57"/>
  <c r="B1251" i="57"/>
  <c r="C1251" i="57"/>
  <c r="D1251" i="57"/>
  <c r="E1251" i="57"/>
  <c r="F1251" i="57"/>
  <c r="A1252" i="57"/>
  <c r="B1252" i="57"/>
  <c r="C1252" i="57"/>
  <c r="D1252" i="57"/>
  <c r="E1252" i="57"/>
  <c r="F1252" i="57"/>
  <c r="A1253" i="57"/>
  <c r="B1253" i="57"/>
  <c r="C1253" i="57"/>
  <c r="D1253" i="57"/>
  <c r="E1253" i="57"/>
  <c r="F1253" i="57"/>
  <c r="A1254" i="57"/>
  <c r="B1254" i="57"/>
  <c r="C1254" i="57"/>
  <c r="D1254" i="57"/>
  <c r="E1254" i="57"/>
  <c r="F1254" i="57"/>
  <c r="A1255" i="57"/>
  <c r="B1255" i="57"/>
  <c r="C1255" i="57"/>
  <c r="D1255" i="57"/>
  <c r="E1255" i="57"/>
  <c r="F1255" i="57"/>
  <c r="A1256" i="57"/>
  <c r="B1256" i="57"/>
  <c r="C1256" i="57"/>
  <c r="D1256" i="57"/>
  <c r="E1256" i="57"/>
  <c r="F1256" i="57"/>
  <c r="A1257" i="57"/>
  <c r="B1257" i="57"/>
  <c r="C1257" i="57"/>
  <c r="D1257" i="57"/>
  <c r="E1257" i="57"/>
  <c r="F1257" i="57"/>
  <c r="A1258" i="57"/>
  <c r="B1258" i="57"/>
  <c r="C1258" i="57"/>
  <c r="D1258" i="57"/>
  <c r="E1258" i="57"/>
  <c r="F1258" i="57"/>
  <c r="A1259" i="57"/>
  <c r="B1259" i="57"/>
  <c r="C1259" i="57"/>
  <c r="D1259" i="57"/>
  <c r="E1259" i="57"/>
  <c r="F1259" i="57"/>
  <c r="A1260" i="57"/>
  <c r="B1260" i="57"/>
  <c r="C1260" i="57"/>
  <c r="D1260" i="57"/>
  <c r="E1260" i="57"/>
  <c r="F1260" i="57"/>
  <c r="A1261" i="57"/>
  <c r="B1261" i="57"/>
  <c r="C1261" i="57"/>
  <c r="D1261" i="57"/>
  <c r="E1261" i="57"/>
  <c r="F1261" i="57"/>
  <c r="A1262" i="57"/>
  <c r="B1262" i="57"/>
  <c r="C1262" i="57"/>
  <c r="D1262" i="57"/>
  <c r="E1262" i="57"/>
  <c r="F1262" i="57"/>
  <c r="A1263" i="57"/>
  <c r="B1263" i="57"/>
  <c r="C1263" i="57"/>
  <c r="D1263" i="57"/>
  <c r="E1263" i="57"/>
  <c r="F1263" i="57"/>
  <c r="F1231" i="57"/>
  <c r="E1231" i="57"/>
  <c r="D1231" i="57"/>
  <c r="C1231" i="57"/>
  <c r="B1231" i="57"/>
  <c r="A1231" i="57"/>
  <c r="F1230" i="57"/>
  <c r="E1230" i="57"/>
  <c r="D1230" i="57"/>
  <c r="C1230" i="57"/>
  <c r="B1230" i="57"/>
  <c r="A1230" i="57"/>
  <c r="F1229" i="57"/>
  <c r="E1229" i="57"/>
  <c r="D1229" i="57"/>
  <c r="C1229" i="57"/>
  <c r="B1229" i="57"/>
  <c r="A1229" i="57"/>
  <c r="F1228" i="57"/>
  <c r="E1228" i="57"/>
  <c r="D1228" i="57"/>
  <c r="C1228" i="57"/>
  <c r="B1228" i="57"/>
  <c r="A1228" i="57"/>
  <c r="A1022" i="57"/>
  <c r="B1022" i="57"/>
  <c r="C1022" i="57"/>
  <c r="D1022" i="57"/>
  <c r="E1022" i="57"/>
  <c r="F1022" i="57"/>
  <c r="A1023" i="57"/>
  <c r="B1023" i="57"/>
  <c r="C1023" i="57"/>
  <c r="D1023" i="57"/>
  <c r="E1023" i="57"/>
  <c r="F1023" i="57"/>
  <c r="A1024" i="57"/>
  <c r="B1024" i="57"/>
  <c r="C1024" i="57"/>
  <c r="D1024" i="57"/>
  <c r="E1024" i="57"/>
  <c r="F1024" i="57"/>
  <c r="A1025" i="57"/>
  <c r="B1025" i="57"/>
  <c r="C1025" i="57"/>
  <c r="D1025" i="57"/>
  <c r="E1025" i="57"/>
  <c r="F1025" i="57"/>
  <c r="A1026" i="57"/>
  <c r="B1026" i="57"/>
  <c r="C1026" i="57"/>
  <c r="D1026" i="57"/>
  <c r="E1026" i="57"/>
  <c r="F1026" i="57"/>
  <c r="A1027" i="57"/>
  <c r="B1027" i="57"/>
  <c r="C1027" i="57"/>
  <c r="D1027" i="57"/>
  <c r="E1027" i="57"/>
  <c r="F1027" i="57"/>
  <c r="A1028" i="57"/>
  <c r="B1028" i="57"/>
  <c r="C1028" i="57"/>
  <c r="D1028" i="57"/>
  <c r="E1028" i="57"/>
  <c r="F1028" i="57"/>
  <c r="A1029" i="57"/>
  <c r="B1029" i="57"/>
  <c r="C1029" i="57"/>
  <c r="D1029" i="57"/>
  <c r="E1029" i="57"/>
  <c r="F1029" i="57"/>
  <c r="A1030" i="57"/>
  <c r="B1030" i="57"/>
  <c r="C1030" i="57"/>
  <c r="D1030" i="57"/>
  <c r="E1030" i="57"/>
  <c r="F1030" i="57"/>
  <c r="A1031" i="57"/>
  <c r="B1031" i="57"/>
  <c r="C1031" i="57"/>
  <c r="D1031" i="57"/>
  <c r="E1031" i="57"/>
  <c r="F1031" i="57"/>
  <c r="A1032" i="57"/>
  <c r="B1032" i="57"/>
  <c r="C1032" i="57"/>
  <c r="D1032" i="57"/>
  <c r="E1032" i="57"/>
  <c r="F1032" i="57"/>
  <c r="A1033" i="57"/>
  <c r="B1033" i="57"/>
  <c r="C1033" i="57"/>
  <c r="D1033" i="57"/>
  <c r="E1033" i="57"/>
  <c r="F1033" i="57"/>
  <c r="A1034" i="57"/>
  <c r="B1034" i="57"/>
  <c r="C1034" i="57"/>
  <c r="D1034" i="57"/>
  <c r="E1034" i="57"/>
  <c r="F1034" i="57"/>
  <c r="A1035" i="57"/>
  <c r="B1035" i="57"/>
  <c r="C1035" i="57"/>
  <c r="D1035" i="57"/>
  <c r="E1035" i="57"/>
  <c r="F1035" i="57"/>
  <c r="A1036" i="57"/>
  <c r="B1036" i="57"/>
  <c r="C1036" i="57"/>
  <c r="D1036" i="57"/>
  <c r="E1036" i="57"/>
  <c r="F1036" i="57"/>
  <c r="A1037" i="57"/>
  <c r="B1037" i="57"/>
  <c r="C1037" i="57"/>
  <c r="D1037" i="57"/>
  <c r="E1037" i="57"/>
  <c r="F1037" i="57"/>
  <c r="A1038" i="57"/>
  <c r="B1038" i="57"/>
  <c r="C1038" i="57"/>
  <c r="D1038" i="57"/>
  <c r="E1038" i="57"/>
  <c r="F1038" i="57"/>
  <c r="A1039" i="57"/>
  <c r="B1039" i="57"/>
  <c r="C1039" i="57"/>
  <c r="D1039" i="57"/>
  <c r="E1039" i="57"/>
  <c r="F1039" i="57"/>
  <c r="A1040" i="57"/>
  <c r="B1040" i="57"/>
  <c r="C1040" i="57"/>
  <c r="D1040" i="57"/>
  <c r="E1040" i="57"/>
  <c r="F1040" i="57"/>
  <c r="A1041" i="57"/>
  <c r="B1041" i="57"/>
  <c r="C1041" i="57"/>
  <c r="D1041" i="57"/>
  <c r="E1041" i="57"/>
  <c r="F1041" i="57"/>
  <c r="A1042" i="57"/>
  <c r="B1042" i="57"/>
  <c r="C1042" i="57"/>
  <c r="D1042" i="57"/>
  <c r="E1042" i="57"/>
  <c r="F1042" i="57"/>
  <c r="A1043" i="57"/>
  <c r="B1043" i="57"/>
  <c r="C1043" i="57"/>
  <c r="D1043" i="57"/>
  <c r="E1043" i="57"/>
  <c r="F1043" i="57"/>
  <c r="A1044" i="57"/>
  <c r="B1044" i="57"/>
  <c r="C1044" i="57"/>
  <c r="D1044" i="57"/>
  <c r="E1044" i="57"/>
  <c r="F1044" i="57"/>
  <c r="A1045" i="57"/>
  <c r="B1045" i="57"/>
  <c r="C1045" i="57"/>
  <c r="D1045" i="57"/>
  <c r="E1045" i="57"/>
  <c r="F1045" i="57"/>
  <c r="A1046" i="57"/>
  <c r="B1046" i="57"/>
  <c r="C1046" i="57"/>
  <c r="D1046" i="57"/>
  <c r="E1046" i="57"/>
  <c r="F1046" i="57"/>
  <c r="A1047" i="57"/>
  <c r="B1047" i="57"/>
  <c r="C1047" i="57"/>
  <c r="D1047" i="57"/>
  <c r="E1047" i="57"/>
  <c r="F1047" i="57"/>
  <c r="A1048" i="57"/>
  <c r="B1048" i="57"/>
  <c r="C1048" i="57"/>
  <c r="D1048" i="57"/>
  <c r="E1048" i="57"/>
  <c r="F1048" i="57"/>
  <c r="A1049" i="57"/>
  <c r="B1049" i="57"/>
  <c r="C1049" i="57"/>
  <c r="D1049" i="57"/>
  <c r="E1049" i="57"/>
  <c r="F1049" i="57"/>
  <c r="A1050" i="57"/>
  <c r="B1050" i="57"/>
  <c r="C1050" i="57"/>
  <c r="D1050" i="57"/>
  <c r="E1050" i="57"/>
  <c r="F1050" i="57"/>
  <c r="A1051" i="57"/>
  <c r="B1051" i="57"/>
  <c r="C1051" i="57"/>
  <c r="D1051" i="57"/>
  <c r="E1051" i="57"/>
  <c r="F1051" i="57"/>
  <c r="A1052" i="57"/>
  <c r="B1052" i="57"/>
  <c r="C1052" i="57"/>
  <c r="D1052" i="57"/>
  <c r="E1052" i="57"/>
  <c r="F1052" i="57"/>
  <c r="A1053" i="57"/>
  <c r="B1053" i="57"/>
  <c r="C1053" i="57"/>
  <c r="D1053" i="57"/>
  <c r="E1053" i="57"/>
  <c r="F1053" i="57"/>
  <c r="A1054" i="57"/>
  <c r="B1054" i="57"/>
  <c r="C1054" i="57"/>
  <c r="D1054" i="57"/>
  <c r="E1054" i="57"/>
  <c r="F1054" i="57"/>
  <c r="A1055" i="57"/>
  <c r="B1055" i="57"/>
  <c r="C1055" i="57"/>
  <c r="D1055" i="57"/>
  <c r="E1055" i="57"/>
  <c r="F1055" i="57"/>
  <c r="A1056" i="57"/>
  <c r="B1056" i="57"/>
  <c r="C1056" i="57"/>
  <c r="D1056" i="57"/>
  <c r="E1056" i="57"/>
  <c r="F1056" i="57"/>
  <c r="A1057" i="57"/>
  <c r="B1057" i="57"/>
  <c r="C1057" i="57"/>
  <c r="D1057" i="57"/>
  <c r="E1057" i="57"/>
  <c r="F1057" i="57"/>
  <c r="A1058" i="57"/>
  <c r="B1058" i="57"/>
  <c r="C1058" i="57"/>
  <c r="D1058" i="57"/>
  <c r="E1058" i="57"/>
  <c r="F1058" i="57"/>
  <c r="A1059" i="57"/>
  <c r="B1059" i="57"/>
  <c r="C1059" i="57"/>
  <c r="D1059" i="57"/>
  <c r="E1059" i="57"/>
  <c r="F1059" i="57"/>
  <c r="A1060" i="57"/>
  <c r="B1060" i="57"/>
  <c r="C1060" i="57"/>
  <c r="D1060" i="57"/>
  <c r="E1060" i="57"/>
  <c r="F1060" i="57"/>
  <c r="A1061" i="57"/>
  <c r="B1061" i="57"/>
  <c r="C1061" i="57"/>
  <c r="D1061" i="57"/>
  <c r="E1061" i="57"/>
  <c r="F1061" i="57"/>
  <c r="A1062" i="57"/>
  <c r="B1062" i="57"/>
  <c r="C1062" i="57"/>
  <c r="D1062" i="57"/>
  <c r="E1062" i="57"/>
  <c r="F1062" i="57"/>
  <c r="A1063" i="57"/>
  <c r="B1063" i="57"/>
  <c r="C1063" i="57"/>
  <c r="D1063" i="57"/>
  <c r="E1063" i="57"/>
  <c r="F1063" i="57"/>
  <c r="A1064" i="57"/>
  <c r="B1064" i="57"/>
  <c r="C1064" i="57"/>
  <c r="D1064" i="57"/>
  <c r="E1064" i="57"/>
  <c r="F1064" i="57"/>
  <c r="A1065" i="57"/>
  <c r="B1065" i="57"/>
  <c r="C1065" i="57"/>
  <c r="D1065" i="57"/>
  <c r="E1065" i="57"/>
  <c r="F1065" i="57"/>
  <c r="A1066" i="57"/>
  <c r="B1066" i="57"/>
  <c r="C1066" i="57"/>
  <c r="D1066" i="57"/>
  <c r="E1066" i="57"/>
  <c r="F1066" i="57"/>
  <c r="A1067" i="57"/>
  <c r="B1067" i="57"/>
  <c r="C1067" i="57"/>
  <c r="D1067" i="57"/>
  <c r="E1067" i="57"/>
  <c r="F1067" i="57"/>
  <c r="A1068" i="57"/>
  <c r="B1068" i="57"/>
  <c r="C1068" i="57"/>
  <c r="D1068" i="57"/>
  <c r="E1068" i="57"/>
  <c r="F1068" i="57"/>
  <c r="A1069" i="57"/>
  <c r="B1069" i="57"/>
  <c r="C1069" i="57"/>
  <c r="D1069" i="57"/>
  <c r="E1069" i="57"/>
  <c r="F1069" i="57"/>
  <c r="A1070" i="57"/>
  <c r="B1070" i="57"/>
  <c r="C1070" i="57"/>
  <c r="D1070" i="57"/>
  <c r="E1070" i="57"/>
  <c r="F1070" i="57"/>
  <c r="A1071" i="57"/>
  <c r="B1071" i="57"/>
  <c r="C1071" i="57"/>
  <c r="D1071" i="57"/>
  <c r="E1071" i="57"/>
  <c r="F1071" i="57"/>
  <c r="A1072" i="57"/>
  <c r="B1072" i="57"/>
  <c r="C1072" i="57"/>
  <c r="D1072" i="57"/>
  <c r="E1072" i="57"/>
  <c r="F1072" i="57"/>
  <c r="A1073" i="57"/>
  <c r="B1073" i="57"/>
  <c r="C1073" i="57"/>
  <c r="D1073" i="57"/>
  <c r="E1073" i="57"/>
  <c r="F1073" i="57"/>
  <c r="A1074" i="57"/>
  <c r="B1074" i="57"/>
  <c r="C1074" i="57"/>
  <c r="D1074" i="57"/>
  <c r="E1074" i="57"/>
  <c r="F1074" i="57"/>
  <c r="A1075" i="57"/>
  <c r="B1075" i="57"/>
  <c r="C1075" i="57"/>
  <c r="D1075" i="57"/>
  <c r="E1075" i="57"/>
  <c r="F1075" i="57"/>
  <c r="A1076" i="57"/>
  <c r="B1076" i="57"/>
  <c r="C1076" i="57"/>
  <c r="D1076" i="57"/>
  <c r="E1076" i="57"/>
  <c r="F1076" i="57"/>
  <c r="A1077" i="57"/>
  <c r="B1077" i="57"/>
  <c r="C1077" i="57"/>
  <c r="D1077" i="57"/>
  <c r="E1077" i="57"/>
  <c r="F1077" i="57"/>
  <c r="A1078" i="57"/>
  <c r="B1078" i="57"/>
  <c r="C1078" i="57"/>
  <c r="D1078" i="57"/>
  <c r="E1078" i="57"/>
  <c r="F1078" i="57"/>
  <c r="A1079" i="57"/>
  <c r="B1079" i="57"/>
  <c r="C1079" i="57"/>
  <c r="D1079" i="57"/>
  <c r="E1079" i="57"/>
  <c r="F1079" i="57"/>
  <c r="A1080" i="57"/>
  <c r="B1080" i="57"/>
  <c r="C1080" i="57"/>
  <c r="D1080" i="57"/>
  <c r="E1080" i="57"/>
  <c r="F1080" i="57"/>
  <c r="A1081" i="57"/>
  <c r="B1081" i="57"/>
  <c r="C1081" i="57"/>
  <c r="D1081" i="57"/>
  <c r="E1081" i="57"/>
  <c r="F1081" i="57"/>
  <c r="A1082" i="57"/>
  <c r="B1082" i="57"/>
  <c r="C1082" i="57"/>
  <c r="D1082" i="57"/>
  <c r="E1082" i="57"/>
  <c r="F1082" i="57"/>
  <c r="A1083" i="57"/>
  <c r="B1083" i="57"/>
  <c r="C1083" i="57"/>
  <c r="D1083" i="57"/>
  <c r="E1083" i="57"/>
  <c r="F1083" i="57"/>
  <c r="A1084" i="57"/>
  <c r="B1084" i="57"/>
  <c r="C1084" i="57"/>
  <c r="D1084" i="57"/>
  <c r="E1084" i="57"/>
  <c r="F1084" i="57"/>
  <c r="A1085" i="57"/>
  <c r="B1085" i="57"/>
  <c r="C1085" i="57"/>
  <c r="D1085" i="57"/>
  <c r="E1085" i="57"/>
  <c r="F1085" i="57"/>
  <c r="A1086" i="57"/>
  <c r="B1086" i="57"/>
  <c r="C1086" i="57"/>
  <c r="D1086" i="57"/>
  <c r="E1086" i="57"/>
  <c r="F1086" i="57"/>
  <c r="A1087" i="57"/>
  <c r="B1087" i="57"/>
  <c r="C1087" i="57"/>
  <c r="D1087" i="57"/>
  <c r="E1087" i="57"/>
  <c r="F1087" i="57"/>
  <c r="A1088" i="57"/>
  <c r="B1088" i="57"/>
  <c r="C1088" i="57"/>
  <c r="D1088" i="57"/>
  <c r="E1088" i="57"/>
  <c r="F1088" i="57"/>
  <c r="A1089" i="57"/>
  <c r="B1089" i="57"/>
  <c r="C1089" i="57"/>
  <c r="D1089" i="57"/>
  <c r="E1089" i="57"/>
  <c r="F1089" i="57"/>
  <c r="A1090" i="57"/>
  <c r="B1090" i="57"/>
  <c r="C1090" i="57"/>
  <c r="D1090" i="57"/>
  <c r="E1090" i="57"/>
  <c r="F1090" i="57"/>
  <c r="A1091" i="57"/>
  <c r="B1091" i="57"/>
  <c r="C1091" i="57"/>
  <c r="D1091" i="57"/>
  <c r="E1091" i="57"/>
  <c r="F1091" i="57"/>
  <c r="A1092" i="57"/>
  <c r="B1092" i="57"/>
  <c r="C1092" i="57"/>
  <c r="D1092" i="57"/>
  <c r="E1092" i="57"/>
  <c r="F1092" i="57"/>
  <c r="A1093" i="57"/>
  <c r="B1093" i="57"/>
  <c r="C1093" i="57"/>
  <c r="D1093" i="57"/>
  <c r="E1093" i="57"/>
  <c r="F1093" i="57"/>
  <c r="A1094" i="57"/>
  <c r="B1094" i="57"/>
  <c r="C1094" i="57"/>
  <c r="D1094" i="57"/>
  <c r="E1094" i="57"/>
  <c r="F1094" i="57"/>
  <c r="A1095" i="57"/>
  <c r="B1095" i="57"/>
  <c r="C1095" i="57"/>
  <c r="D1095" i="57"/>
  <c r="E1095" i="57"/>
  <c r="F1095" i="57"/>
  <c r="A1096" i="57"/>
  <c r="B1096" i="57"/>
  <c r="C1096" i="57"/>
  <c r="D1096" i="57"/>
  <c r="E1096" i="57"/>
  <c r="F1096" i="57"/>
  <c r="A1097" i="57"/>
  <c r="B1097" i="57"/>
  <c r="C1097" i="57"/>
  <c r="D1097" i="57"/>
  <c r="E1097" i="57"/>
  <c r="F1097" i="57"/>
  <c r="A1098" i="57"/>
  <c r="B1098" i="57"/>
  <c r="C1098" i="57"/>
  <c r="D1098" i="57"/>
  <c r="E1098" i="57"/>
  <c r="F1098" i="57"/>
  <c r="A1099" i="57"/>
  <c r="B1099" i="57"/>
  <c r="C1099" i="57"/>
  <c r="D1099" i="57"/>
  <c r="E1099" i="57"/>
  <c r="F1099" i="57"/>
  <c r="A1100" i="57"/>
  <c r="B1100" i="57"/>
  <c r="C1100" i="57"/>
  <c r="D1100" i="57"/>
  <c r="E1100" i="57"/>
  <c r="F1100" i="57"/>
  <c r="A1101" i="57"/>
  <c r="B1101" i="57"/>
  <c r="C1101" i="57"/>
  <c r="D1101" i="57"/>
  <c r="E1101" i="57"/>
  <c r="F1101" i="57"/>
  <c r="A1102" i="57"/>
  <c r="B1102" i="57"/>
  <c r="C1102" i="57"/>
  <c r="D1102" i="57"/>
  <c r="E1102" i="57"/>
  <c r="F1102" i="57"/>
  <c r="A1103" i="57"/>
  <c r="B1103" i="57"/>
  <c r="C1103" i="57"/>
  <c r="D1103" i="57"/>
  <c r="E1103" i="57"/>
  <c r="F1103" i="57"/>
  <c r="A1104" i="57"/>
  <c r="B1104" i="57"/>
  <c r="C1104" i="57"/>
  <c r="D1104" i="57"/>
  <c r="E1104" i="57"/>
  <c r="F1104" i="57"/>
  <c r="A1105" i="57"/>
  <c r="B1105" i="57"/>
  <c r="C1105" i="57"/>
  <c r="D1105" i="57"/>
  <c r="E1105" i="57"/>
  <c r="F1105" i="57"/>
  <c r="A1106" i="57"/>
  <c r="B1106" i="57"/>
  <c r="C1106" i="57"/>
  <c r="D1106" i="57"/>
  <c r="E1106" i="57"/>
  <c r="F1106" i="57"/>
  <c r="A1107" i="57"/>
  <c r="B1107" i="57"/>
  <c r="C1107" i="57"/>
  <c r="D1107" i="57"/>
  <c r="E1107" i="57"/>
  <c r="F1107" i="57"/>
  <c r="A1108" i="57"/>
  <c r="B1108" i="57"/>
  <c r="C1108" i="57"/>
  <c r="D1108" i="57"/>
  <c r="E1108" i="57"/>
  <c r="F1108" i="57"/>
  <c r="A1109" i="57"/>
  <c r="B1109" i="57"/>
  <c r="C1109" i="57"/>
  <c r="D1109" i="57"/>
  <c r="E1109" i="57"/>
  <c r="F1109" i="57"/>
  <c r="A1110" i="57"/>
  <c r="B1110" i="57"/>
  <c r="C1110" i="57"/>
  <c r="D1110" i="57"/>
  <c r="E1110" i="57"/>
  <c r="F1110" i="57"/>
  <c r="A1111" i="57"/>
  <c r="B1111" i="57"/>
  <c r="C1111" i="57"/>
  <c r="D1111" i="57"/>
  <c r="E1111" i="57"/>
  <c r="F1111" i="57"/>
  <c r="A1112" i="57"/>
  <c r="B1112" i="57"/>
  <c r="C1112" i="57"/>
  <c r="D1112" i="57"/>
  <c r="E1112" i="57"/>
  <c r="F1112" i="57"/>
  <c r="A1113" i="57"/>
  <c r="B1113" i="57"/>
  <c r="C1113" i="57"/>
  <c r="D1113" i="57"/>
  <c r="E1113" i="57"/>
  <c r="F1113" i="57"/>
  <c r="A1114" i="57"/>
  <c r="B1114" i="57"/>
  <c r="C1114" i="57"/>
  <c r="D1114" i="57"/>
  <c r="E1114" i="57"/>
  <c r="F1114" i="57"/>
  <c r="A1115" i="57"/>
  <c r="B1115" i="57"/>
  <c r="C1115" i="57"/>
  <c r="D1115" i="57"/>
  <c r="E1115" i="57"/>
  <c r="F1115" i="57"/>
  <c r="A1116" i="57"/>
  <c r="B1116" i="57"/>
  <c r="C1116" i="57"/>
  <c r="D1116" i="57"/>
  <c r="E1116" i="57"/>
  <c r="F1116" i="57"/>
  <c r="A1117" i="57"/>
  <c r="B1117" i="57"/>
  <c r="C1117" i="57"/>
  <c r="D1117" i="57"/>
  <c r="E1117" i="57"/>
  <c r="F1117" i="57"/>
  <c r="A1118" i="57"/>
  <c r="B1118" i="57"/>
  <c r="C1118" i="57"/>
  <c r="D1118" i="57"/>
  <c r="E1118" i="57"/>
  <c r="F1118" i="57"/>
  <c r="A1119" i="57"/>
  <c r="B1119" i="57"/>
  <c r="C1119" i="57"/>
  <c r="D1119" i="57"/>
  <c r="E1119" i="57"/>
  <c r="F1119" i="57"/>
  <c r="A1120" i="57"/>
  <c r="B1120" i="57"/>
  <c r="C1120" i="57"/>
  <c r="D1120" i="57"/>
  <c r="E1120" i="57"/>
  <c r="F1120" i="57"/>
  <c r="A1121" i="57"/>
  <c r="B1121" i="57"/>
  <c r="C1121" i="57"/>
  <c r="D1121" i="57"/>
  <c r="E1121" i="57"/>
  <c r="F1121" i="57"/>
  <c r="A1122" i="57"/>
  <c r="B1122" i="57"/>
  <c r="C1122" i="57"/>
  <c r="D1122" i="57"/>
  <c r="E1122" i="57"/>
  <c r="F1122" i="57"/>
  <c r="A1123" i="57"/>
  <c r="B1123" i="57"/>
  <c r="C1123" i="57"/>
  <c r="D1123" i="57"/>
  <c r="E1123" i="57"/>
  <c r="F1123" i="57"/>
  <c r="A1124" i="57"/>
  <c r="B1124" i="57"/>
  <c r="C1124" i="57"/>
  <c r="D1124" i="57"/>
  <c r="E1124" i="57"/>
  <c r="F1124" i="57"/>
  <c r="A1125" i="57"/>
  <c r="B1125" i="57"/>
  <c r="C1125" i="57"/>
  <c r="D1125" i="57"/>
  <c r="E1125" i="57"/>
  <c r="F1125" i="57"/>
  <c r="A1126" i="57"/>
  <c r="B1126" i="57"/>
  <c r="C1126" i="57"/>
  <c r="D1126" i="57"/>
  <c r="E1126" i="57"/>
  <c r="F1126" i="57"/>
  <c r="A1127" i="57"/>
  <c r="B1127" i="57"/>
  <c r="C1127" i="57"/>
  <c r="D1127" i="57"/>
  <c r="E1127" i="57"/>
  <c r="F1127" i="57"/>
  <c r="A1128" i="57"/>
  <c r="B1128" i="57"/>
  <c r="C1128" i="57"/>
  <c r="D1128" i="57"/>
  <c r="E1128" i="57"/>
  <c r="F1128" i="57"/>
  <c r="A1129" i="57"/>
  <c r="B1129" i="57"/>
  <c r="C1129" i="57"/>
  <c r="D1129" i="57"/>
  <c r="E1129" i="57"/>
  <c r="F1129" i="57"/>
  <c r="A1130" i="57"/>
  <c r="B1130" i="57"/>
  <c r="C1130" i="57"/>
  <c r="D1130" i="57"/>
  <c r="E1130" i="57"/>
  <c r="F1130" i="57"/>
  <c r="A1131" i="57"/>
  <c r="B1131" i="57"/>
  <c r="C1131" i="57"/>
  <c r="D1131" i="57"/>
  <c r="E1131" i="57"/>
  <c r="F1131" i="57"/>
  <c r="A1132" i="57"/>
  <c r="B1132" i="57"/>
  <c r="C1132" i="57"/>
  <c r="D1132" i="57"/>
  <c r="E1132" i="57"/>
  <c r="F1132" i="57"/>
  <c r="A1133" i="57"/>
  <c r="B1133" i="57"/>
  <c r="C1133" i="57"/>
  <c r="D1133" i="57"/>
  <c r="E1133" i="57"/>
  <c r="F1133" i="57"/>
  <c r="A1134" i="57"/>
  <c r="B1134" i="57"/>
  <c r="C1134" i="57"/>
  <c r="D1134" i="57"/>
  <c r="E1134" i="57"/>
  <c r="F1134" i="57"/>
  <c r="A1136" i="57"/>
  <c r="B1136" i="57"/>
  <c r="C1136" i="57"/>
  <c r="D1136" i="57"/>
  <c r="E1136" i="57"/>
  <c r="F1136" i="57"/>
  <c r="A1137" i="57"/>
  <c r="B1137" i="57"/>
  <c r="C1137" i="57"/>
  <c r="D1137" i="57"/>
  <c r="E1137" i="57"/>
  <c r="F1137" i="57"/>
  <c r="A1138" i="57"/>
  <c r="B1138" i="57"/>
  <c r="C1138" i="57"/>
  <c r="D1138" i="57"/>
  <c r="E1138" i="57"/>
  <c r="F1138" i="57"/>
  <c r="A1139" i="57"/>
  <c r="B1139" i="57"/>
  <c r="C1139" i="57"/>
  <c r="D1139" i="57"/>
  <c r="E1139" i="57"/>
  <c r="F1139" i="57"/>
  <c r="A1140" i="57"/>
  <c r="B1140" i="57"/>
  <c r="C1140" i="57"/>
  <c r="D1140" i="57"/>
  <c r="E1140" i="57"/>
  <c r="F1140" i="57"/>
  <c r="A1141" i="57"/>
  <c r="B1141" i="57"/>
  <c r="C1141" i="57"/>
  <c r="D1141" i="57"/>
  <c r="E1141" i="57"/>
  <c r="F1141" i="57"/>
  <c r="A1142" i="57"/>
  <c r="B1142" i="57"/>
  <c r="C1142" i="57"/>
  <c r="D1142" i="57"/>
  <c r="E1142" i="57"/>
  <c r="F1142" i="57"/>
  <c r="A1143" i="57"/>
  <c r="B1143" i="57"/>
  <c r="C1143" i="57"/>
  <c r="D1143" i="57"/>
  <c r="E1143" i="57"/>
  <c r="F1143" i="57"/>
  <c r="A1144" i="57"/>
  <c r="B1144" i="57"/>
  <c r="C1144" i="57"/>
  <c r="D1144" i="57"/>
  <c r="E1144" i="57"/>
  <c r="F1144" i="57"/>
  <c r="A1145" i="57"/>
  <c r="B1145" i="57"/>
  <c r="C1145" i="57"/>
  <c r="D1145" i="57"/>
  <c r="E1145" i="57"/>
  <c r="F1145" i="57"/>
  <c r="A1146" i="57"/>
  <c r="B1146" i="57"/>
  <c r="C1146" i="57"/>
  <c r="D1146" i="57"/>
  <c r="E1146" i="57"/>
  <c r="F1146" i="57"/>
  <c r="A1147" i="57"/>
  <c r="B1147" i="57"/>
  <c r="C1147" i="57"/>
  <c r="D1147" i="57"/>
  <c r="E1147" i="57"/>
  <c r="F1147" i="57"/>
  <c r="A1148" i="57"/>
  <c r="B1148" i="57"/>
  <c r="C1148" i="57"/>
  <c r="D1148" i="57"/>
  <c r="E1148" i="57"/>
  <c r="F1148" i="57"/>
  <c r="A1149" i="57"/>
  <c r="B1149" i="57"/>
  <c r="C1149" i="57"/>
  <c r="D1149" i="57"/>
  <c r="E1149" i="57"/>
  <c r="F1149" i="57"/>
  <c r="A1150" i="57"/>
  <c r="B1150" i="57"/>
  <c r="C1150" i="57"/>
  <c r="D1150" i="57"/>
  <c r="E1150" i="57"/>
  <c r="F1150" i="57"/>
  <c r="A1151" i="57"/>
  <c r="B1151" i="57"/>
  <c r="C1151" i="57"/>
  <c r="D1151" i="57"/>
  <c r="E1151" i="57"/>
  <c r="F1151" i="57"/>
  <c r="A1152" i="57"/>
  <c r="B1152" i="57"/>
  <c r="C1152" i="57"/>
  <c r="D1152" i="57"/>
  <c r="E1152" i="57"/>
  <c r="F1152" i="57"/>
  <c r="A1153" i="57"/>
  <c r="B1153" i="57"/>
  <c r="C1153" i="57"/>
  <c r="D1153" i="57"/>
  <c r="E1153" i="57"/>
  <c r="F1153" i="57"/>
  <c r="A1154" i="57"/>
  <c r="B1154" i="57"/>
  <c r="C1154" i="57"/>
  <c r="D1154" i="57"/>
  <c r="E1154" i="57"/>
  <c r="F1154" i="57"/>
  <c r="A1155" i="57"/>
  <c r="B1155" i="57"/>
  <c r="C1155" i="57"/>
  <c r="D1155" i="57"/>
  <c r="E1155" i="57"/>
  <c r="F1155" i="57"/>
  <c r="A1156" i="57"/>
  <c r="B1156" i="57"/>
  <c r="C1156" i="57"/>
  <c r="D1156" i="57"/>
  <c r="E1156" i="57"/>
  <c r="F1156" i="57"/>
  <c r="A1157" i="57"/>
  <c r="B1157" i="57"/>
  <c r="C1157" i="57"/>
  <c r="D1157" i="57"/>
  <c r="E1157" i="57"/>
  <c r="F1157" i="57"/>
  <c r="A1158" i="57"/>
  <c r="B1158" i="57"/>
  <c r="C1158" i="57"/>
  <c r="D1158" i="57"/>
  <c r="E1158" i="57"/>
  <c r="F1158" i="57"/>
  <c r="A1159" i="57"/>
  <c r="B1159" i="57"/>
  <c r="C1159" i="57"/>
  <c r="D1159" i="57"/>
  <c r="E1159" i="57"/>
  <c r="F1159" i="57"/>
  <c r="A1160" i="57"/>
  <c r="B1160" i="57"/>
  <c r="C1160" i="57"/>
  <c r="D1160" i="57"/>
  <c r="E1160" i="57"/>
  <c r="F1160" i="57"/>
  <c r="A1161" i="57"/>
  <c r="B1161" i="57"/>
  <c r="C1161" i="57"/>
  <c r="D1161" i="57"/>
  <c r="E1161" i="57"/>
  <c r="F1161" i="57"/>
  <c r="A1162" i="57"/>
  <c r="B1162" i="57"/>
  <c r="C1162" i="57"/>
  <c r="D1162" i="57"/>
  <c r="E1162" i="57"/>
  <c r="F1162" i="57"/>
  <c r="A1163" i="57"/>
  <c r="B1163" i="57"/>
  <c r="C1163" i="57"/>
  <c r="D1163" i="57"/>
  <c r="E1163" i="57"/>
  <c r="F1163" i="57"/>
  <c r="A1164" i="57"/>
  <c r="B1164" i="57"/>
  <c r="C1164" i="57"/>
  <c r="D1164" i="57"/>
  <c r="E1164" i="57"/>
  <c r="F1164" i="57"/>
  <c r="A1165" i="57"/>
  <c r="B1165" i="57"/>
  <c r="C1165" i="57"/>
  <c r="D1165" i="57"/>
  <c r="E1165" i="57"/>
  <c r="F1165" i="57"/>
  <c r="A1166" i="57"/>
  <c r="B1166" i="57"/>
  <c r="C1166" i="57"/>
  <c r="D1166" i="57"/>
  <c r="E1166" i="57"/>
  <c r="F1166" i="57"/>
  <c r="A1167" i="57"/>
  <c r="B1167" i="57"/>
  <c r="C1167" i="57"/>
  <c r="D1167" i="57"/>
  <c r="E1167" i="57"/>
  <c r="F1167" i="57"/>
  <c r="A1168" i="57"/>
  <c r="B1168" i="57"/>
  <c r="C1168" i="57"/>
  <c r="D1168" i="57"/>
  <c r="E1168" i="57"/>
  <c r="F1168" i="57"/>
  <c r="A1169" i="57"/>
  <c r="B1169" i="57"/>
  <c r="C1169" i="57"/>
  <c r="D1169" i="57"/>
  <c r="E1169" i="57"/>
  <c r="F1169" i="57"/>
  <c r="A1170" i="57"/>
  <c r="B1170" i="57"/>
  <c r="C1170" i="57"/>
  <c r="D1170" i="57"/>
  <c r="E1170" i="57"/>
  <c r="F1170" i="57"/>
  <c r="A1171" i="57"/>
  <c r="B1171" i="57"/>
  <c r="C1171" i="57"/>
  <c r="D1171" i="57"/>
  <c r="E1171" i="57"/>
  <c r="F1171" i="57"/>
  <c r="A1172" i="57"/>
  <c r="B1172" i="57"/>
  <c r="C1172" i="57"/>
  <c r="D1172" i="57"/>
  <c r="E1172" i="57"/>
  <c r="F1172" i="57"/>
  <c r="A1173" i="57"/>
  <c r="B1173" i="57"/>
  <c r="C1173" i="57"/>
  <c r="D1173" i="57"/>
  <c r="E1173" i="57"/>
  <c r="F1173" i="57"/>
  <c r="A1174" i="57"/>
  <c r="B1174" i="57"/>
  <c r="C1174" i="57"/>
  <c r="D1174" i="57"/>
  <c r="E1174" i="57"/>
  <c r="F1174" i="57"/>
  <c r="A1175" i="57"/>
  <c r="B1175" i="57"/>
  <c r="C1175" i="57"/>
  <c r="D1175" i="57"/>
  <c r="E1175" i="57"/>
  <c r="F1175" i="57"/>
  <c r="A1176" i="57"/>
  <c r="B1176" i="57"/>
  <c r="C1176" i="57"/>
  <c r="D1176" i="57"/>
  <c r="E1176" i="57"/>
  <c r="F1176" i="57"/>
  <c r="A1177" i="57"/>
  <c r="B1177" i="57"/>
  <c r="C1177" i="57"/>
  <c r="D1177" i="57"/>
  <c r="E1177" i="57"/>
  <c r="F1177" i="57"/>
  <c r="A1178" i="57"/>
  <c r="B1178" i="57"/>
  <c r="C1178" i="57"/>
  <c r="D1178" i="57"/>
  <c r="E1178" i="57"/>
  <c r="F1178" i="57"/>
  <c r="A1179" i="57"/>
  <c r="B1179" i="57"/>
  <c r="C1179" i="57"/>
  <c r="D1179" i="57"/>
  <c r="E1179" i="57"/>
  <c r="F1179" i="57"/>
  <c r="A1180" i="57"/>
  <c r="B1180" i="57"/>
  <c r="C1180" i="57"/>
  <c r="D1180" i="57"/>
  <c r="E1180" i="57"/>
  <c r="F1180" i="57"/>
  <c r="A1181" i="57"/>
  <c r="B1181" i="57"/>
  <c r="C1181" i="57"/>
  <c r="D1181" i="57"/>
  <c r="E1181" i="57"/>
  <c r="F1181" i="57"/>
  <c r="A1182" i="57"/>
  <c r="B1182" i="57"/>
  <c r="C1182" i="57"/>
  <c r="D1182" i="57"/>
  <c r="E1182" i="57"/>
  <c r="F1182" i="57"/>
  <c r="A1183" i="57"/>
  <c r="B1183" i="57"/>
  <c r="C1183" i="57"/>
  <c r="D1183" i="57"/>
  <c r="E1183" i="57"/>
  <c r="F1183" i="57"/>
  <c r="A1184" i="57"/>
  <c r="B1184" i="57"/>
  <c r="C1184" i="57"/>
  <c r="D1184" i="57"/>
  <c r="E1184" i="57"/>
  <c r="F1184" i="57"/>
  <c r="A1185" i="57"/>
  <c r="B1185" i="57"/>
  <c r="C1185" i="57"/>
  <c r="D1185" i="57"/>
  <c r="E1185" i="57"/>
  <c r="F1185" i="57"/>
  <c r="A1186" i="57"/>
  <c r="B1186" i="57"/>
  <c r="C1186" i="57"/>
  <c r="D1186" i="57"/>
  <c r="E1186" i="57"/>
  <c r="F1186" i="57"/>
  <c r="A1187" i="57"/>
  <c r="B1187" i="57"/>
  <c r="C1187" i="57"/>
  <c r="D1187" i="57"/>
  <c r="E1187" i="57"/>
  <c r="F1187" i="57"/>
  <c r="A1188" i="57"/>
  <c r="B1188" i="57"/>
  <c r="C1188" i="57"/>
  <c r="D1188" i="57"/>
  <c r="E1188" i="57"/>
  <c r="F1188" i="57"/>
  <c r="A1189" i="57"/>
  <c r="B1189" i="57"/>
  <c r="C1189" i="57"/>
  <c r="D1189" i="57"/>
  <c r="E1189" i="57"/>
  <c r="F1189" i="57"/>
  <c r="A1190" i="57"/>
  <c r="B1190" i="57"/>
  <c r="C1190" i="57"/>
  <c r="D1190" i="57"/>
  <c r="E1190" i="57"/>
  <c r="F1190" i="57"/>
  <c r="A1191" i="57"/>
  <c r="B1191" i="57"/>
  <c r="C1191" i="57"/>
  <c r="D1191" i="57"/>
  <c r="E1191" i="57"/>
  <c r="F1191" i="57"/>
  <c r="A1192" i="57"/>
  <c r="B1192" i="57"/>
  <c r="C1192" i="57"/>
  <c r="D1192" i="57"/>
  <c r="E1192" i="57"/>
  <c r="F1192" i="57"/>
  <c r="A1193" i="57"/>
  <c r="B1193" i="57"/>
  <c r="C1193" i="57"/>
  <c r="D1193" i="57"/>
  <c r="E1193" i="57"/>
  <c r="F1193" i="57"/>
  <c r="A1194" i="57"/>
  <c r="B1194" i="57"/>
  <c r="C1194" i="57"/>
  <c r="D1194" i="57"/>
  <c r="E1194" i="57"/>
  <c r="F1194" i="57"/>
  <c r="A1195" i="57"/>
  <c r="B1195" i="57"/>
  <c r="C1195" i="57"/>
  <c r="D1195" i="57"/>
  <c r="E1195" i="57"/>
  <c r="F1195" i="57"/>
  <c r="A1196" i="57"/>
  <c r="B1196" i="57"/>
  <c r="C1196" i="57"/>
  <c r="D1196" i="57"/>
  <c r="E1196" i="57"/>
  <c r="F1196" i="57"/>
  <c r="A1197" i="57"/>
  <c r="B1197" i="57"/>
  <c r="C1197" i="57"/>
  <c r="D1197" i="57"/>
  <c r="E1197" i="57"/>
  <c r="F1197" i="57"/>
  <c r="A1198" i="57"/>
  <c r="B1198" i="57"/>
  <c r="C1198" i="57"/>
  <c r="D1198" i="57"/>
  <c r="E1198" i="57"/>
  <c r="F1198" i="57"/>
  <c r="A1199" i="57"/>
  <c r="B1199" i="57"/>
  <c r="C1199" i="57"/>
  <c r="D1199" i="57"/>
  <c r="E1199" i="57"/>
  <c r="F1199" i="57"/>
  <c r="A1200" i="57"/>
  <c r="B1200" i="57"/>
  <c r="C1200" i="57"/>
  <c r="D1200" i="57"/>
  <c r="E1200" i="57"/>
  <c r="F1200" i="57"/>
  <c r="A1201" i="57"/>
  <c r="B1201" i="57"/>
  <c r="C1201" i="57"/>
  <c r="D1201" i="57"/>
  <c r="E1201" i="57"/>
  <c r="F1201" i="57"/>
  <c r="A1202" i="57"/>
  <c r="B1202" i="57"/>
  <c r="C1202" i="57"/>
  <c r="D1202" i="57"/>
  <c r="E1202" i="57"/>
  <c r="F1202" i="57"/>
  <c r="A1203" i="57"/>
  <c r="B1203" i="57"/>
  <c r="C1203" i="57"/>
  <c r="D1203" i="57"/>
  <c r="E1203" i="57"/>
  <c r="F1203" i="57"/>
  <c r="A1204" i="57"/>
  <c r="B1204" i="57"/>
  <c r="C1204" i="57"/>
  <c r="D1204" i="57"/>
  <c r="E1204" i="57"/>
  <c r="F1204" i="57"/>
  <c r="A1205" i="57"/>
  <c r="B1205" i="57"/>
  <c r="C1205" i="57"/>
  <c r="D1205" i="57"/>
  <c r="E1205" i="57"/>
  <c r="F1205" i="57"/>
  <c r="A1206" i="57"/>
  <c r="B1206" i="57"/>
  <c r="C1206" i="57"/>
  <c r="D1206" i="57"/>
  <c r="E1206" i="57"/>
  <c r="F1206" i="57"/>
  <c r="A1207" i="57"/>
  <c r="B1207" i="57"/>
  <c r="C1207" i="57"/>
  <c r="D1207" i="57"/>
  <c r="E1207" i="57"/>
  <c r="F1207" i="57"/>
  <c r="A1208" i="57"/>
  <c r="B1208" i="57"/>
  <c r="C1208" i="57"/>
  <c r="D1208" i="57"/>
  <c r="E1208" i="57"/>
  <c r="F1208" i="57"/>
  <c r="A1209" i="57"/>
  <c r="B1209" i="57"/>
  <c r="C1209" i="57"/>
  <c r="D1209" i="57"/>
  <c r="E1209" i="57"/>
  <c r="F1209" i="57"/>
  <c r="A1210" i="57"/>
  <c r="B1210" i="57"/>
  <c r="C1210" i="57"/>
  <c r="D1210" i="57"/>
  <c r="E1210" i="57"/>
  <c r="F1210" i="57"/>
  <c r="A1211" i="57"/>
  <c r="B1211" i="57"/>
  <c r="C1211" i="57"/>
  <c r="D1211" i="57"/>
  <c r="E1211" i="57"/>
  <c r="F1211" i="57"/>
  <c r="A1212" i="57"/>
  <c r="B1212" i="57"/>
  <c r="C1212" i="57"/>
  <c r="D1212" i="57"/>
  <c r="E1212" i="57"/>
  <c r="F1212" i="57"/>
  <c r="A1213" i="57"/>
  <c r="B1213" i="57"/>
  <c r="C1213" i="57"/>
  <c r="D1213" i="57"/>
  <c r="E1213" i="57"/>
  <c r="F1213" i="57"/>
  <c r="A1214" i="57"/>
  <c r="B1214" i="57"/>
  <c r="C1214" i="57"/>
  <c r="D1214" i="57"/>
  <c r="E1214" i="57"/>
  <c r="F1214" i="57"/>
  <c r="A1215" i="57"/>
  <c r="B1215" i="57"/>
  <c r="C1215" i="57"/>
  <c r="D1215" i="57"/>
  <c r="E1215" i="57"/>
  <c r="F1215" i="57"/>
  <c r="A1216" i="57"/>
  <c r="B1216" i="57"/>
  <c r="C1216" i="57"/>
  <c r="D1216" i="57"/>
  <c r="E1216" i="57"/>
  <c r="F1216" i="57"/>
  <c r="A1217" i="57"/>
  <c r="B1217" i="57"/>
  <c r="C1217" i="57"/>
  <c r="D1217" i="57"/>
  <c r="E1217" i="57"/>
  <c r="F1217" i="57"/>
  <c r="A1218" i="57"/>
  <c r="B1218" i="57"/>
  <c r="C1218" i="57"/>
  <c r="D1218" i="57"/>
  <c r="E1218" i="57"/>
  <c r="F1218" i="57"/>
  <c r="A1219" i="57"/>
  <c r="B1219" i="57"/>
  <c r="C1219" i="57"/>
  <c r="D1219" i="57"/>
  <c r="E1219" i="57"/>
  <c r="F1219" i="57"/>
  <c r="A1220" i="57"/>
  <c r="B1220" i="57"/>
  <c r="C1220" i="57"/>
  <c r="D1220" i="57"/>
  <c r="E1220" i="57"/>
  <c r="F1220" i="57"/>
  <c r="A1221" i="57"/>
  <c r="B1221" i="57"/>
  <c r="C1221" i="57"/>
  <c r="D1221" i="57"/>
  <c r="E1221" i="57"/>
  <c r="F1221" i="57"/>
  <c r="A1222" i="57"/>
  <c r="B1222" i="57"/>
  <c r="C1222" i="57"/>
  <c r="D1222" i="57"/>
  <c r="E1222" i="57"/>
  <c r="F1222" i="57"/>
  <c r="A1223" i="57"/>
  <c r="B1223" i="57"/>
  <c r="C1223" i="57"/>
  <c r="D1223" i="57"/>
  <c r="E1223" i="57"/>
  <c r="F1223" i="57"/>
  <c r="A1224" i="57"/>
  <c r="B1224" i="57"/>
  <c r="C1224" i="57"/>
  <c r="D1224" i="57"/>
  <c r="E1224" i="57"/>
  <c r="F1224" i="57"/>
  <c r="A1225" i="57"/>
  <c r="B1225" i="57"/>
  <c r="C1225" i="57"/>
  <c r="D1225" i="57"/>
  <c r="E1225" i="57"/>
  <c r="F1225" i="57"/>
  <c r="F1021" i="57"/>
  <c r="E1021" i="57"/>
  <c r="D1021" i="57"/>
  <c r="C1021" i="57"/>
  <c r="B1021" i="57"/>
  <c r="A1021" i="57"/>
  <c r="F1020" i="57"/>
  <c r="E1020" i="57"/>
  <c r="D1020" i="57"/>
  <c r="C1020" i="57"/>
  <c r="B1020" i="57"/>
  <c r="A1020" i="57"/>
  <c r="F1019" i="57"/>
  <c r="E1019" i="57"/>
  <c r="D1019" i="57"/>
  <c r="C1019" i="57"/>
  <c r="B1019" i="57"/>
  <c r="A1019" i="57"/>
  <c r="A934" i="57"/>
  <c r="B934" i="57"/>
  <c r="C934" i="57"/>
  <c r="D934" i="57"/>
  <c r="E934" i="57"/>
  <c r="F934" i="57"/>
  <c r="A935" i="57"/>
  <c r="B935" i="57"/>
  <c r="C935" i="57"/>
  <c r="D935" i="57"/>
  <c r="E935" i="57"/>
  <c r="F935" i="57"/>
  <c r="A936" i="57"/>
  <c r="B936" i="57"/>
  <c r="C936" i="57"/>
  <c r="D936" i="57"/>
  <c r="E936" i="57"/>
  <c r="F936" i="57"/>
  <c r="A937" i="57"/>
  <c r="B937" i="57"/>
  <c r="C937" i="57"/>
  <c r="D937" i="57"/>
  <c r="E937" i="57"/>
  <c r="F937" i="57"/>
  <c r="A938" i="57"/>
  <c r="B938" i="57"/>
  <c r="C938" i="57"/>
  <c r="D938" i="57"/>
  <c r="E938" i="57"/>
  <c r="F938" i="57"/>
  <c r="A939" i="57"/>
  <c r="B939" i="57"/>
  <c r="C939" i="57"/>
  <c r="D939" i="57"/>
  <c r="E939" i="57"/>
  <c r="F939" i="57"/>
  <c r="A940" i="57"/>
  <c r="B940" i="57"/>
  <c r="C940" i="57"/>
  <c r="D940" i="57"/>
  <c r="E940" i="57"/>
  <c r="F940" i="57"/>
  <c r="A941" i="57"/>
  <c r="B941" i="57"/>
  <c r="C941" i="57"/>
  <c r="D941" i="57"/>
  <c r="E941" i="57"/>
  <c r="F941" i="57"/>
  <c r="A942" i="57"/>
  <c r="B942" i="57"/>
  <c r="C942" i="57"/>
  <c r="D942" i="57"/>
  <c r="E942" i="57"/>
  <c r="F942" i="57"/>
  <c r="A943" i="57"/>
  <c r="B943" i="57"/>
  <c r="C943" i="57"/>
  <c r="D943" i="57"/>
  <c r="E943" i="57"/>
  <c r="F943" i="57"/>
  <c r="A944" i="57"/>
  <c r="B944" i="57"/>
  <c r="C944" i="57"/>
  <c r="D944" i="57"/>
  <c r="E944" i="57"/>
  <c r="F944" i="57"/>
  <c r="A945" i="57"/>
  <c r="B945" i="57"/>
  <c r="C945" i="57"/>
  <c r="D945" i="57"/>
  <c r="E945" i="57"/>
  <c r="F945" i="57"/>
  <c r="A946" i="57"/>
  <c r="B946" i="57"/>
  <c r="C946" i="57"/>
  <c r="D946" i="57"/>
  <c r="E946" i="57"/>
  <c r="F946" i="57"/>
  <c r="A947" i="57"/>
  <c r="B947" i="57"/>
  <c r="C947" i="57"/>
  <c r="D947" i="57"/>
  <c r="E947" i="57"/>
  <c r="F947" i="57"/>
  <c r="A948" i="57"/>
  <c r="B948" i="57"/>
  <c r="C948" i="57"/>
  <c r="D948" i="57"/>
  <c r="E948" i="57"/>
  <c r="F948" i="57"/>
  <c r="A949" i="57"/>
  <c r="B949" i="57"/>
  <c r="C949" i="57"/>
  <c r="D949" i="57"/>
  <c r="E949" i="57"/>
  <c r="F949" i="57"/>
  <c r="A950" i="57"/>
  <c r="B950" i="57"/>
  <c r="C950" i="57"/>
  <c r="D950" i="57"/>
  <c r="E950" i="57"/>
  <c r="F950" i="57"/>
  <c r="A951" i="57"/>
  <c r="B951" i="57"/>
  <c r="C951" i="57"/>
  <c r="D951" i="57"/>
  <c r="E951" i="57"/>
  <c r="F951" i="57"/>
  <c r="A952" i="57"/>
  <c r="B952" i="57"/>
  <c r="C952" i="57"/>
  <c r="D952" i="57"/>
  <c r="E952" i="57"/>
  <c r="F952" i="57"/>
  <c r="A953" i="57"/>
  <c r="B953" i="57"/>
  <c r="C953" i="57"/>
  <c r="D953" i="57"/>
  <c r="E953" i="57"/>
  <c r="F953" i="57"/>
  <c r="A954" i="57"/>
  <c r="B954" i="57"/>
  <c r="C954" i="57"/>
  <c r="D954" i="57"/>
  <c r="E954" i="57"/>
  <c r="F954" i="57"/>
  <c r="A955" i="57"/>
  <c r="B955" i="57"/>
  <c r="C955" i="57"/>
  <c r="D955" i="57"/>
  <c r="E955" i="57"/>
  <c r="F955" i="57"/>
  <c r="A956" i="57"/>
  <c r="B956" i="57"/>
  <c r="C956" i="57"/>
  <c r="D956" i="57"/>
  <c r="E956" i="57"/>
  <c r="F956" i="57"/>
  <c r="A957" i="57"/>
  <c r="B957" i="57"/>
  <c r="C957" i="57"/>
  <c r="D957" i="57"/>
  <c r="E957" i="57"/>
  <c r="F957" i="57"/>
  <c r="A958" i="57"/>
  <c r="B958" i="57"/>
  <c r="C958" i="57"/>
  <c r="D958" i="57"/>
  <c r="E958" i="57"/>
  <c r="F958" i="57"/>
  <c r="A959" i="57"/>
  <c r="B959" i="57"/>
  <c r="C959" i="57"/>
  <c r="D959" i="57"/>
  <c r="E959" i="57"/>
  <c r="F959" i="57"/>
  <c r="A960" i="57"/>
  <c r="B960" i="57"/>
  <c r="C960" i="57"/>
  <c r="D960" i="57"/>
  <c r="E960" i="57"/>
  <c r="F960" i="57"/>
  <c r="A961" i="57"/>
  <c r="B961" i="57"/>
  <c r="C961" i="57"/>
  <c r="D961" i="57"/>
  <c r="E961" i="57"/>
  <c r="F961" i="57"/>
  <c r="A962" i="57"/>
  <c r="B962" i="57"/>
  <c r="C962" i="57"/>
  <c r="D962" i="57"/>
  <c r="E962" i="57"/>
  <c r="F962" i="57"/>
  <c r="A963" i="57"/>
  <c r="B963" i="57"/>
  <c r="C963" i="57"/>
  <c r="D963" i="57"/>
  <c r="E963" i="57"/>
  <c r="F963" i="57"/>
  <c r="A964" i="57"/>
  <c r="B964" i="57"/>
  <c r="C964" i="57"/>
  <c r="D964" i="57"/>
  <c r="E964" i="57"/>
  <c r="F964" i="57"/>
  <c r="A965" i="57"/>
  <c r="B965" i="57"/>
  <c r="C965" i="57"/>
  <c r="D965" i="57"/>
  <c r="E965" i="57"/>
  <c r="F965" i="57"/>
  <c r="A966" i="57"/>
  <c r="B966" i="57"/>
  <c r="C966" i="57"/>
  <c r="D966" i="57"/>
  <c r="E966" i="57"/>
  <c r="F966" i="57"/>
  <c r="A967" i="57"/>
  <c r="B967" i="57"/>
  <c r="C967" i="57"/>
  <c r="D967" i="57"/>
  <c r="E967" i="57"/>
  <c r="F967" i="57"/>
  <c r="A968" i="57"/>
  <c r="B968" i="57"/>
  <c r="C968" i="57"/>
  <c r="D968" i="57"/>
  <c r="E968" i="57"/>
  <c r="F968" i="57"/>
  <c r="A969" i="57"/>
  <c r="B969" i="57"/>
  <c r="C969" i="57"/>
  <c r="D969" i="57"/>
  <c r="E969" i="57"/>
  <c r="F969" i="57"/>
  <c r="A970" i="57"/>
  <c r="B970" i="57"/>
  <c r="C970" i="57"/>
  <c r="D970" i="57"/>
  <c r="E970" i="57"/>
  <c r="F970" i="57"/>
  <c r="A971" i="57"/>
  <c r="B971" i="57"/>
  <c r="C971" i="57"/>
  <c r="D971" i="57"/>
  <c r="E971" i="57"/>
  <c r="F971" i="57"/>
  <c r="A972" i="57"/>
  <c r="B972" i="57"/>
  <c r="C972" i="57"/>
  <c r="D972" i="57"/>
  <c r="E972" i="57"/>
  <c r="F972" i="57"/>
  <c r="A973" i="57"/>
  <c r="B973" i="57"/>
  <c r="C973" i="57"/>
  <c r="D973" i="57"/>
  <c r="E973" i="57"/>
  <c r="F973" i="57"/>
  <c r="A974" i="57"/>
  <c r="B974" i="57"/>
  <c r="C974" i="57"/>
  <c r="D974" i="57"/>
  <c r="E974" i="57"/>
  <c r="F974" i="57"/>
  <c r="A975" i="57"/>
  <c r="B975" i="57"/>
  <c r="C975" i="57"/>
  <c r="D975" i="57"/>
  <c r="E975" i="57"/>
  <c r="F975" i="57"/>
  <c r="A976" i="57"/>
  <c r="B976" i="57"/>
  <c r="C976" i="57"/>
  <c r="D976" i="57"/>
  <c r="E976" i="57"/>
  <c r="F976" i="57"/>
  <c r="A977" i="57"/>
  <c r="B977" i="57"/>
  <c r="C977" i="57"/>
  <c r="D977" i="57"/>
  <c r="E977" i="57"/>
  <c r="F977" i="57"/>
  <c r="A978" i="57"/>
  <c r="B978" i="57"/>
  <c r="C978" i="57"/>
  <c r="D978" i="57"/>
  <c r="E978" i="57"/>
  <c r="F978" i="57"/>
  <c r="A979" i="57"/>
  <c r="B979" i="57"/>
  <c r="C979" i="57"/>
  <c r="D979" i="57"/>
  <c r="E979" i="57"/>
  <c r="F979" i="57"/>
  <c r="A980" i="57"/>
  <c r="B980" i="57"/>
  <c r="C980" i="57"/>
  <c r="D980" i="57"/>
  <c r="E980" i="57"/>
  <c r="F980" i="57"/>
  <c r="A981" i="57"/>
  <c r="B981" i="57"/>
  <c r="C981" i="57"/>
  <c r="D981" i="57"/>
  <c r="E981" i="57"/>
  <c r="F981" i="57"/>
  <c r="A982" i="57"/>
  <c r="B982" i="57"/>
  <c r="C982" i="57"/>
  <c r="D982" i="57"/>
  <c r="E982" i="57"/>
  <c r="F982" i="57"/>
  <c r="A983" i="57"/>
  <c r="B983" i="57"/>
  <c r="C983" i="57"/>
  <c r="D983" i="57"/>
  <c r="E983" i="57"/>
  <c r="F983" i="57"/>
  <c r="A984" i="57"/>
  <c r="B984" i="57"/>
  <c r="C984" i="57"/>
  <c r="D984" i="57"/>
  <c r="E984" i="57"/>
  <c r="F984" i="57"/>
  <c r="A985" i="57"/>
  <c r="B985" i="57"/>
  <c r="C985" i="57"/>
  <c r="D985" i="57"/>
  <c r="E985" i="57"/>
  <c r="F985" i="57"/>
  <c r="A986" i="57"/>
  <c r="B986" i="57"/>
  <c r="C986" i="57"/>
  <c r="D986" i="57"/>
  <c r="E986" i="57"/>
  <c r="F986" i="57"/>
  <c r="A987" i="57"/>
  <c r="B987" i="57"/>
  <c r="C987" i="57"/>
  <c r="D987" i="57"/>
  <c r="E987" i="57"/>
  <c r="F987" i="57"/>
  <c r="A988" i="57"/>
  <c r="B988" i="57"/>
  <c r="C988" i="57"/>
  <c r="D988" i="57"/>
  <c r="E988" i="57"/>
  <c r="F988" i="57"/>
  <c r="A989" i="57"/>
  <c r="B989" i="57"/>
  <c r="C989" i="57"/>
  <c r="D989" i="57"/>
  <c r="E989" i="57"/>
  <c r="F989" i="57"/>
  <c r="A990" i="57"/>
  <c r="B990" i="57"/>
  <c r="C990" i="57"/>
  <c r="D990" i="57"/>
  <c r="E990" i="57"/>
  <c r="F990" i="57"/>
  <c r="A991" i="57"/>
  <c r="B991" i="57"/>
  <c r="C991" i="57"/>
  <c r="D991" i="57"/>
  <c r="E991" i="57"/>
  <c r="F991" i="57"/>
  <c r="A992" i="57"/>
  <c r="B992" i="57"/>
  <c r="C992" i="57"/>
  <c r="D992" i="57"/>
  <c r="E992" i="57"/>
  <c r="F992" i="57"/>
  <c r="A993" i="57"/>
  <c r="B993" i="57"/>
  <c r="C993" i="57"/>
  <c r="D993" i="57"/>
  <c r="E993" i="57"/>
  <c r="F993" i="57"/>
  <c r="A994" i="57"/>
  <c r="B994" i="57"/>
  <c r="C994" i="57"/>
  <c r="D994" i="57"/>
  <c r="E994" i="57"/>
  <c r="F994" i="57"/>
  <c r="A995" i="57"/>
  <c r="B995" i="57"/>
  <c r="C995" i="57"/>
  <c r="D995" i="57"/>
  <c r="E995" i="57"/>
  <c r="F995" i="57"/>
  <c r="A996" i="57"/>
  <c r="B996" i="57"/>
  <c r="C996" i="57"/>
  <c r="D996" i="57"/>
  <c r="E996" i="57"/>
  <c r="F996" i="57"/>
  <c r="A997" i="57"/>
  <c r="B997" i="57"/>
  <c r="C997" i="57"/>
  <c r="D997" i="57"/>
  <c r="E997" i="57"/>
  <c r="F997" i="57"/>
  <c r="A998" i="57"/>
  <c r="B998" i="57"/>
  <c r="C998" i="57"/>
  <c r="D998" i="57"/>
  <c r="E998" i="57"/>
  <c r="F998" i="57"/>
  <c r="A999" i="57"/>
  <c r="B999" i="57"/>
  <c r="C999" i="57"/>
  <c r="D999" i="57"/>
  <c r="E999" i="57"/>
  <c r="F999" i="57"/>
  <c r="A1000" i="57"/>
  <c r="B1000" i="57"/>
  <c r="C1000" i="57"/>
  <c r="D1000" i="57"/>
  <c r="E1000" i="57"/>
  <c r="F1000" i="57"/>
  <c r="A1001" i="57"/>
  <c r="B1001" i="57"/>
  <c r="C1001" i="57"/>
  <c r="D1001" i="57"/>
  <c r="E1001" i="57"/>
  <c r="F1001" i="57"/>
  <c r="A1002" i="57"/>
  <c r="B1002" i="57"/>
  <c r="C1002" i="57"/>
  <c r="D1002" i="57"/>
  <c r="E1002" i="57"/>
  <c r="F1002" i="57"/>
  <c r="A1003" i="57"/>
  <c r="B1003" i="57"/>
  <c r="C1003" i="57"/>
  <c r="D1003" i="57"/>
  <c r="E1003" i="57"/>
  <c r="F1003" i="57"/>
  <c r="A1004" i="57"/>
  <c r="B1004" i="57"/>
  <c r="C1004" i="57"/>
  <c r="D1004" i="57"/>
  <c r="E1004" i="57"/>
  <c r="F1004" i="57"/>
  <c r="A1005" i="57"/>
  <c r="B1005" i="57"/>
  <c r="C1005" i="57"/>
  <c r="D1005" i="57"/>
  <c r="E1005" i="57"/>
  <c r="F1005" i="57"/>
  <c r="A1006" i="57"/>
  <c r="B1006" i="57"/>
  <c r="C1006" i="57"/>
  <c r="D1006" i="57"/>
  <c r="E1006" i="57"/>
  <c r="F1006" i="57"/>
  <c r="A1007" i="57"/>
  <c r="B1007" i="57"/>
  <c r="C1007" i="57"/>
  <c r="D1007" i="57"/>
  <c r="E1007" i="57"/>
  <c r="F1007" i="57"/>
  <c r="A1008" i="57"/>
  <c r="B1008" i="57"/>
  <c r="C1008" i="57"/>
  <c r="D1008" i="57"/>
  <c r="E1008" i="57"/>
  <c r="F1008" i="57"/>
  <c r="A1009" i="57"/>
  <c r="B1009" i="57"/>
  <c r="C1009" i="57"/>
  <c r="D1009" i="57"/>
  <c r="E1009" i="57"/>
  <c r="F1009" i="57"/>
  <c r="A1010" i="57"/>
  <c r="B1010" i="57"/>
  <c r="C1010" i="57"/>
  <c r="D1010" i="57"/>
  <c r="E1010" i="57"/>
  <c r="F1010" i="57"/>
  <c r="A1011" i="57"/>
  <c r="B1011" i="57"/>
  <c r="C1011" i="57"/>
  <c r="D1011" i="57"/>
  <c r="E1011" i="57"/>
  <c r="F1011" i="57"/>
  <c r="A1012" i="57"/>
  <c r="B1012" i="57"/>
  <c r="C1012" i="57"/>
  <c r="D1012" i="57"/>
  <c r="E1012" i="57"/>
  <c r="F1012" i="57"/>
  <c r="A1013" i="57"/>
  <c r="B1013" i="57"/>
  <c r="C1013" i="57"/>
  <c r="D1013" i="57"/>
  <c r="E1013" i="57"/>
  <c r="F1013" i="57"/>
  <c r="A1014" i="57"/>
  <c r="B1014" i="57"/>
  <c r="C1014" i="57"/>
  <c r="D1014" i="57"/>
  <c r="E1014" i="57"/>
  <c r="F1014" i="57"/>
  <c r="A1015" i="57"/>
  <c r="B1015" i="57"/>
  <c r="C1015" i="57"/>
  <c r="D1015" i="57"/>
  <c r="E1015" i="57"/>
  <c r="F1015" i="57"/>
  <c r="A1016" i="57"/>
  <c r="B1016" i="57"/>
  <c r="C1016" i="57"/>
  <c r="D1016" i="57"/>
  <c r="E1016" i="57"/>
  <c r="F1016" i="57"/>
  <c r="F933" i="57"/>
  <c r="E933" i="57"/>
  <c r="D933" i="57"/>
  <c r="C933" i="57"/>
  <c r="B933" i="57"/>
  <c r="A933" i="57"/>
  <c r="F932" i="57"/>
  <c r="E932" i="57"/>
  <c r="D932" i="57"/>
  <c r="C932" i="57"/>
  <c r="B932" i="57"/>
  <c r="A932" i="57"/>
  <c r="F931" i="57"/>
  <c r="E931" i="57"/>
  <c r="D931" i="57"/>
  <c r="C931" i="57"/>
  <c r="B931" i="57"/>
  <c r="A931" i="57"/>
  <c r="F930" i="57"/>
  <c r="E930" i="57"/>
  <c r="D930" i="57"/>
  <c r="C930" i="57"/>
  <c r="B930" i="57"/>
  <c r="A930" i="57"/>
  <c r="A812" i="57"/>
  <c r="B812" i="57"/>
  <c r="C812" i="57"/>
  <c r="D812" i="57"/>
  <c r="E812" i="57"/>
  <c r="F812" i="57"/>
  <c r="A813" i="57"/>
  <c r="B813" i="57"/>
  <c r="C813" i="57"/>
  <c r="D813" i="57"/>
  <c r="E813" i="57"/>
  <c r="F813" i="57"/>
  <c r="A814" i="57"/>
  <c r="B814" i="57"/>
  <c r="C814" i="57"/>
  <c r="D814" i="57"/>
  <c r="E814" i="57"/>
  <c r="F814" i="57"/>
  <c r="A815" i="57"/>
  <c r="B815" i="57"/>
  <c r="C815" i="57"/>
  <c r="D815" i="57"/>
  <c r="E815" i="57"/>
  <c r="F815" i="57"/>
  <c r="A816" i="57"/>
  <c r="B816" i="57"/>
  <c r="C816" i="57"/>
  <c r="D816" i="57"/>
  <c r="E816" i="57"/>
  <c r="F816" i="57"/>
  <c r="A817" i="57"/>
  <c r="B817" i="57"/>
  <c r="C817" i="57"/>
  <c r="D817" i="57"/>
  <c r="E817" i="57"/>
  <c r="F817" i="57"/>
  <c r="A818" i="57"/>
  <c r="B818" i="57"/>
  <c r="C818" i="57"/>
  <c r="D818" i="57"/>
  <c r="E818" i="57"/>
  <c r="F818" i="57"/>
  <c r="A819" i="57"/>
  <c r="B819" i="57"/>
  <c r="C819" i="57"/>
  <c r="D819" i="57"/>
  <c r="E819" i="57"/>
  <c r="F819" i="57"/>
  <c r="A820" i="57"/>
  <c r="B820" i="57"/>
  <c r="C820" i="57"/>
  <c r="D820" i="57"/>
  <c r="E820" i="57"/>
  <c r="F820" i="57"/>
  <c r="A821" i="57"/>
  <c r="B821" i="57"/>
  <c r="C821" i="57"/>
  <c r="D821" i="57"/>
  <c r="E821" i="57"/>
  <c r="F821" i="57"/>
  <c r="A822" i="57"/>
  <c r="B822" i="57"/>
  <c r="C822" i="57"/>
  <c r="D822" i="57"/>
  <c r="E822" i="57"/>
  <c r="F822" i="57"/>
  <c r="A823" i="57"/>
  <c r="B823" i="57"/>
  <c r="C823" i="57"/>
  <c r="D823" i="57"/>
  <c r="E823" i="57"/>
  <c r="F823" i="57"/>
  <c r="A824" i="57"/>
  <c r="B824" i="57"/>
  <c r="C824" i="57"/>
  <c r="D824" i="57"/>
  <c r="E824" i="57"/>
  <c r="F824" i="57"/>
  <c r="A825" i="57"/>
  <c r="B825" i="57"/>
  <c r="C825" i="57"/>
  <c r="D825" i="57"/>
  <c r="E825" i="57"/>
  <c r="F825" i="57"/>
  <c r="A826" i="57"/>
  <c r="B826" i="57"/>
  <c r="C826" i="57"/>
  <c r="D826" i="57"/>
  <c r="E826" i="57"/>
  <c r="F826" i="57"/>
  <c r="A827" i="57"/>
  <c r="B827" i="57"/>
  <c r="C827" i="57"/>
  <c r="D827" i="57"/>
  <c r="E827" i="57"/>
  <c r="F827" i="57"/>
  <c r="A828" i="57"/>
  <c r="B828" i="57"/>
  <c r="C828" i="57"/>
  <c r="D828" i="57"/>
  <c r="E828" i="57"/>
  <c r="F828" i="57"/>
  <c r="A829" i="57"/>
  <c r="B829" i="57"/>
  <c r="C829" i="57"/>
  <c r="D829" i="57"/>
  <c r="E829" i="57"/>
  <c r="F829" i="57"/>
  <c r="A830" i="57"/>
  <c r="B830" i="57"/>
  <c r="C830" i="57"/>
  <c r="D830" i="57"/>
  <c r="E830" i="57"/>
  <c r="F830" i="57"/>
  <c r="A831" i="57"/>
  <c r="B831" i="57"/>
  <c r="C831" i="57"/>
  <c r="D831" i="57"/>
  <c r="E831" i="57"/>
  <c r="F831" i="57"/>
  <c r="A832" i="57"/>
  <c r="B832" i="57"/>
  <c r="C832" i="57"/>
  <c r="D832" i="57"/>
  <c r="E832" i="57"/>
  <c r="F832" i="57"/>
  <c r="A833" i="57"/>
  <c r="B833" i="57"/>
  <c r="C833" i="57"/>
  <c r="D833" i="57"/>
  <c r="E833" i="57"/>
  <c r="F833" i="57"/>
  <c r="A834" i="57"/>
  <c r="B834" i="57"/>
  <c r="C834" i="57"/>
  <c r="D834" i="57"/>
  <c r="E834" i="57"/>
  <c r="F834" i="57"/>
  <c r="A835" i="57"/>
  <c r="B835" i="57"/>
  <c r="C835" i="57"/>
  <c r="D835" i="57"/>
  <c r="E835" i="57"/>
  <c r="F835" i="57"/>
  <c r="A836" i="57"/>
  <c r="B836" i="57"/>
  <c r="C836" i="57"/>
  <c r="D836" i="57"/>
  <c r="E836" i="57"/>
  <c r="F836" i="57"/>
  <c r="A837" i="57"/>
  <c r="B837" i="57"/>
  <c r="C837" i="57"/>
  <c r="D837" i="57"/>
  <c r="E837" i="57"/>
  <c r="F837" i="57"/>
  <c r="A838" i="57"/>
  <c r="B838" i="57"/>
  <c r="C838" i="57"/>
  <c r="D838" i="57"/>
  <c r="E838" i="57"/>
  <c r="F838" i="57"/>
  <c r="A839" i="57"/>
  <c r="B839" i="57"/>
  <c r="C839" i="57"/>
  <c r="D839" i="57"/>
  <c r="E839" i="57"/>
  <c r="F839" i="57"/>
  <c r="A840" i="57"/>
  <c r="B840" i="57"/>
  <c r="C840" i="57"/>
  <c r="D840" i="57"/>
  <c r="E840" i="57"/>
  <c r="F840" i="57"/>
  <c r="A841" i="57"/>
  <c r="B841" i="57"/>
  <c r="C841" i="57"/>
  <c r="D841" i="57"/>
  <c r="E841" i="57"/>
  <c r="F841" i="57"/>
  <c r="A842" i="57"/>
  <c r="B842" i="57"/>
  <c r="C842" i="57"/>
  <c r="D842" i="57"/>
  <c r="E842" i="57"/>
  <c r="F842" i="57"/>
  <c r="A843" i="57"/>
  <c r="B843" i="57"/>
  <c r="C843" i="57"/>
  <c r="D843" i="57"/>
  <c r="E843" i="57"/>
  <c r="F843" i="57"/>
  <c r="A844" i="57"/>
  <c r="B844" i="57"/>
  <c r="C844" i="57"/>
  <c r="D844" i="57"/>
  <c r="E844" i="57"/>
  <c r="F844" i="57"/>
  <c r="A845" i="57"/>
  <c r="B845" i="57"/>
  <c r="C845" i="57"/>
  <c r="D845" i="57"/>
  <c r="E845" i="57"/>
  <c r="F845" i="57"/>
  <c r="A846" i="57"/>
  <c r="B846" i="57"/>
  <c r="C846" i="57"/>
  <c r="D846" i="57"/>
  <c r="E846" i="57"/>
  <c r="F846" i="57"/>
  <c r="A847" i="57"/>
  <c r="B847" i="57"/>
  <c r="C847" i="57"/>
  <c r="D847" i="57"/>
  <c r="E847" i="57"/>
  <c r="F847" i="57"/>
  <c r="A848" i="57"/>
  <c r="B848" i="57"/>
  <c r="C848" i="57"/>
  <c r="D848" i="57"/>
  <c r="E848" i="57"/>
  <c r="F848" i="57"/>
  <c r="A849" i="57"/>
  <c r="B849" i="57"/>
  <c r="C849" i="57"/>
  <c r="D849" i="57"/>
  <c r="E849" i="57"/>
  <c r="F849" i="57"/>
  <c r="A850" i="57"/>
  <c r="B850" i="57"/>
  <c r="C850" i="57"/>
  <c r="D850" i="57"/>
  <c r="E850" i="57"/>
  <c r="F850" i="57"/>
  <c r="A851" i="57"/>
  <c r="B851" i="57"/>
  <c r="C851" i="57"/>
  <c r="D851" i="57"/>
  <c r="E851" i="57"/>
  <c r="F851" i="57"/>
  <c r="A852" i="57"/>
  <c r="B852" i="57"/>
  <c r="C852" i="57"/>
  <c r="D852" i="57"/>
  <c r="E852" i="57"/>
  <c r="F852" i="57"/>
  <c r="A853" i="57"/>
  <c r="B853" i="57"/>
  <c r="C853" i="57"/>
  <c r="D853" i="57"/>
  <c r="E853" i="57"/>
  <c r="F853" i="57"/>
  <c r="A854" i="57"/>
  <c r="B854" i="57"/>
  <c r="C854" i="57"/>
  <c r="D854" i="57"/>
  <c r="E854" i="57"/>
  <c r="F854" i="57"/>
  <c r="A855" i="57"/>
  <c r="B855" i="57"/>
  <c r="C855" i="57"/>
  <c r="D855" i="57"/>
  <c r="E855" i="57"/>
  <c r="F855" i="57"/>
  <c r="A856" i="57"/>
  <c r="B856" i="57"/>
  <c r="C856" i="57"/>
  <c r="D856" i="57"/>
  <c r="E856" i="57"/>
  <c r="F856" i="57"/>
  <c r="A857" i="57"/>
  <c r="B857" i="57"/>
  <c r="C857" i="57"/>
  <c r="D857" i="57"/>
  <c r="E857" i="57"/>
  <c r="F857" i="57"/>
  <c r="A858" i="57"/>
  <c r="B858" i="57"/>
  <c r="C858" i="57"/>
  <c r="D858" i="57"/>
  <c r="E858" i="57"/>
  <c r="F858" i="57"/>
  <c r="A859" i="57"/>
  <c r="B859" i="57"/>
  <c r="C859" i="57"/>
  <c r="D859" i="57"/>
  <c r="E859" i="57"/>
  <c r="F859" i="57"/>
  <c r="A860" i="57"/>
  <c r="B860" i="57"/>
  <c r="C860" i="57"/>
  <c r="D860" i="57"/>
  <c r="E860" i="57"/>
  <c r="F860" i="57"/>
  <c r="A861" i="57"/>
  <c r="B861" i="57"/>
  <c r="C861" i="57"/>
  <c r="D861" i="57"/>
  <c r="E861" i="57"/>
  <c r="F861" i="57"/>
  <c r="A862" i="57"/>
  <c r="B862" i="57"/>
  <c r="C862" i="57"/>
  <c r="D862" i="57"/>
  <c r="E862" i="57"/>
  <c r="F862" i="57"/>
  <c r="A863" i="57"/>
  <c r="B863" i="57"/>
  <c r="C863" i="57"/>
  <c r="D863" i="57"/>
  <c r="E863" i="57"/>
  <c r="F863" i="57"/>
  <c r="A864" i="57"/>
  <c r="B864" i="57"/>
  <c r="C864" i="57"/>
  <c r="D864" i="57"/>
  <c r="E864" i="57"/>
  <c r="F864" i="57"/>
  <c r="A865" i="57"/>
  <c r="B865" i="57"/>
  <c r="C865" i="57"/>
  <c r="D865" i="57"/>
  <c r="E865" i="57"/>
  <c r="F865" i="57"/>
  <c r="A866" i="57"/>
  <c r="B866" i="57"/>
  <c r="C866" i="57"/>
  <c r="D866" i="57"/>
  <c r="E866" i="57"/>
  <c r="F866" i="57"/>
  <c r="A867" i="57"/>
  <c r="B867" i="57"/>
  <c r="C867" i="57"/>
  <c r="D867" i="57"/>
  <c r="E867" i="57"/>
  <c r="F867" i="57"/>
  <c r="A868" i="57"/>
  <c r="B868" i="57"/>
  <c r="C868" i="57"/>
  <c r="D868" i="57"/>
  <c r="E868" i="57"/>
  <c r="F868" i="57"/>
  <c r="A869" i="57"/>
  <c r="B869" i="57"/>
  <c r="C869" i="57"/>
  <c r="D869" i="57"/>
  <c r="E869" i="57"/>
  <c r="F869" i="57"/>
  <c r="A870" i="57"/>
  <c r="B870" i="57"/>
  <c r="C870" i="57"/>
  <c r="D870" i="57"/>
  <c r="E870" i="57"/>
  <c r="F870" i="57"/>
  <c r="A871" i="57"/>
  <c r="B871" i="57"/>
  <c r="C871" i="57"/>
  <c r="D871" i="57"/>
  <c r="E871" i="57"/>
  <c r="F871" i="57"/>
  <c r="A872" i="57"/>
  <c r="B872" i="57"/>
  <c r="C872" i="57"/>
  <c r="D872" i="57"/>
  <c r="E872" i="57"/>
  <c r="F872" i="57"/>
  <c r="A873" i="57"/>
  <c r="B873" i="57"/>
  <c r="C873" i="57"/>
  <c r="D873" i="57"/>
  <c r="E873" i="57"/>
  <c r="F873" i="57"/>
  <c r="A874" i="57"/>
  <c r="B874" i="57"/>
  <c r="C874" i="57"/>
  <c r="D874" i="57"/>
  <c r="E874" i="57"/>
  <c r="F874" i="57"/>
  <c r="A875" i="57"/>
  <c r="B875" i="57"/>
  <c r="C875" i="57"/>
  <c r="D875" i="57"/>
  <c r="E875" i="57"/>
  <c r="F875" i="57"/>
  <c r="A876" i="57"/>
  <c r="B876" i="57"/>
  <c r="C876" i="57"/>
  <c r="D876" i="57"/>
  <c r="E876" i="57"/>
  <c r="F876" i="57"/>
  <c r="A877" i="57"/>
  <c r="B877" i="57"/>
  <c r="C877" i="57"/>
  <c r="D877" i="57"/>
  <c r="E877" i="57"/>
  <c r="F877" i="57"/>
  <c r="A878" i="57"/>
  <c r="B878" i="57"/>
  <c r="C878" i="57"/>
  <c r="D878" i="57"/>
  <c r="E878" i="57"/>
  <c r="F878" i="57"/>
  <c r="A879" i="57"/>
  <c r="B879" i="57"/>
  <c r="C879" i="57"/>
  <c r="D879" i="57"/>
  <c r="E879" i="57"/>
  <c r="F879" i="57"/>
  <c r="A880" i="57"/>
  <c r="B880" i="57"/>
  <c r="C880" i="57"/>
  <c r="D880" i="57"/>
  <c r="E880" i="57"/>
  <c r="F880" i="57"/>
  <c r="A881" i="57"/>
  <c r="B881" i="57"/>
  <c r="C881" i="57"/>
  <c r="D881" i="57"/>
  <c r="E881" i="57"/>
  <c r="F881" i="57"/>
  <c r="A882" i="57"/>
  <c r="B882" i="57"/>
  <c r="C882" i="57"/>
  <c r="D882" i="57"/>
  <c r="E882" i="57"/>
  <c r="F882" i="57"/>
  <c r="A883" i="57"/>
  <c r="B883" i="57"/>
  <c r="C883" i="57"/>
  <c r="D883" i="57"/>
  <c r="E883" i="57"/>
  <c r="F883" i="57"/>
  <c r="A884" i="57"/>
  <c r="B884" i="57"/>
  <c r="C884" i="57"/>
  <c r="D884" i="57"/>
  <c r="E884" i="57"/>
  <c r="F884" i="57"/>
  <c r="A885" i="57"/>
  <c r="B885" i="57"/>
  <c r="C885" i="57"/>
  <c r="D885" i="57"/>
  <c r="E885" i="57"/>
  <c r="F885" i="57"/>
  <c r="A886" i="57"/>
  <c r="B886" i="57"/>
  <c r="C886" i="57"/>
  <c r="D886" i="57"/>
  <c r="E886" i="57"/>
  <c r="F886" i="57"/>
  <c r="A887" i="57"/>
  <c r="B887" i="57"/>
  <c r="C887" i="57"/>
  <c r="D887" i="57"/>
  <c r="E887" i="57"/>
  <c r="F887" i="57"/>
  <c r="A888" i="57"/>
  <c r="B888" i="57"/>
  <c r="C888" i="57"/>
  <c r="D888" i="57"/>
  <c r="E888" i="57"/>
  <c r="F888" i="57"/>
  <c r="A889" i="57"/>
  <c r="B889" i="57"/>
  <c r="C889" i="57"/>
  <c r="D889" i="57"/>
  <c r="E889" i="57"/>
  <c r="F889" i="57"/>
  <c r="A890" i="57"/>
  <c r="B890" i="57"/>
  <c r="C890" i="57"/>
  <c r="D890" i="57"/>
  <c r="E890" i="57"/>
  <c r="F890" i="57"/>
  <c r="A891" i="57"/>
  <c r="B891" i="57"/>
  <c r="C891" i="57"/>
  <c r="D891" i="57"/>
  <c r="E891" i="57"/>
  <c r="F891" i="57"/>
  <c r="A892" i="57"/>
  <c r="B892" i="57"/>
  <c r="C892" i="57"/>
  <c r="D892" i="57"/>
  <c r="E892" i="57"/>
  <c r="F892" i="57"/>
  <c r="A893" i="57"/>
  <c r="B893" i="57"/>
  <c r="C893" i="57"/>
  <c r="D893" i="57"/>
  <c r="E893" i="57"/>
  <c r="F893" i="57"/>
  <c r="A894" i="57"/>
  <c r="B894" i="57"/>
  <c r="C894" i="57"/>
  <c r="D894" i="57"/>
  <c r="E894" i="57"/>
  <c r="F894" i="57"/>
  <c r="A895" i="57"/>
  <c r="B895" i="57"/>
  <c r="C895" i="57"/>
  <c r="D895" i="57"/>
  <c r="E895" i="57"/>
  <c r="F895" i="57"/>
  <c r="A896" i="57"/>
  <c r="B896" i="57"/>
  <c r="C896" i="57"/>
  <c r="D896" i="57"/>
  <c r="E896" i="57"/>
  <c r="F896" i="57"/>
  <c r="A897" i="57"/>
  <c r="B897" i="57"/>
  <c r="C897" i="57"/>
  <c r="D897" i="57"/>
  <c r="E897" i="57"/>
  <c r="F897" i="57"/>
  <c r="A898" i="57"/>
  <c r="B898" i="57"/>
  <c r="C898" i="57"/>
  <c r="D898" i="57"/>
  <c r="E898" i="57"/>
  <c r="F898" i="57"/>
  <c r="A899" i="57"/>
  <c r="B899" i="57"/>
  <c r="C899" i="57"/>
  <c r="D899" i="57"/>
  <c r="E899" i="57"/>
  <c r="F899" i="57"/>
  <c r="A900" i="57"/>
  <c r="B900" i="57"/>
  <c r="C900" i="57"/>
  <c r="D900" i="57"/>
  <c r="E900" i="57"/>
  <c r="F900" i="57"/>
  <c r="A901" i="57"/>
  <c r="B901" i="57"/>
  <c r="C901" i="57"/>
  <c r="D901" i="57"/>
  <c r="E901" i="57"/>
  <c r="F901" i="57"/>
  <c r="A902" i="57"/>
  <c r="B902" i="57"/>
  <c r="C902" i="57"/>
  <c r="D902" i="57"/>
  <c r="E902" i="57"/>
  <c r="F902" i="57"/>
  <c r="A903" i="57"/>
  <c r="B903" i="57"/>
  <c r="C903" i="57"/>
  <c r="D903" i="57"/>
  <c r="E903" i="57"/>
  <c r="F903" i="57"/>
  <c r="A904" i="57"/>
  <c r="B904" i="57"/>
  <c r="C904" i="57"/>
  <c r="D904" i="57"/>
  <c r="E904" i="57"/>
  <c r="F904" i="57"/>
  <c r="A905" i="57"/>
  <c r="B905" i="57"/>
  <c r="C905" i="57"/>
  <c r="D905" i="57"/>
  <c r="E905" i="57"/>
  <c r="F905" i="57"/>
  <c r="A906" i="57"/>
  <c r="B906" i="57"/>
  <c r="C906" i="57"/>
  <c r="D906" i="57"/>
  <c r="E906" i="57"/>
  <c r="F906" i="57"/>
  <c r="A907" i="57"/>
  <c r="B907" i="57"/>
  <c r="C907" i="57"/>
  <c r="D907" i="57"/>
  <c r="E907" i="57"/>
  <c r="F907" i="57"/>
  <c r="A908" i="57"/>
  <c r="B908" i="57"/>
  <c r="C908" i="57"/>
  <c r="D908" i="57"/>
  <c r="E908" i="57"/>
  <c r="F908" i="57"/>
  <c r="A909" i="57"/>
  <c r="B909" i="57"/>
  <c r="C909" i="57"/>
  <c r="D909" i="57"/>
  <c r="E909" i="57"/>
  <c r="F909" i="57"/>
  <c r="A910" i="57"/>
  <c r="B910" i="57"/>
  <c r="C910" i="57"/>
  <c r="D910" i="57"/>
  <c r="E910" i="57"/>
  <c r="F910" i="57"/>
  <c r="A911" i="57"/>
  <c r="B911" i="57"/>
  <c r="C911" i="57"/>
  <c r="D911" i="57"/>
  <c r="E911" i="57"/>
  <c r="F911" i="57"/>
  <c r="A912" i="57"/>
  <c r="B912" i="57"/>
  <c r="C912" i="57"/>
  <c r="D912" i="57"/>
  <c r="E912" i="57"/>
  <c r="F912" i="57"/>
  <c r="A913" i="57"/>
  <c r="B913" i="57"/>
  <c r="C913" i="57"/>
  <c r="D913" i="57"/>
  <c r="E913" i="57"/>
  <c r="F913" i="57"/>
  <c r="A914" i="57"/>
  <c r="B914" i="57"/>
  <c r="C914" i="57"/>
  <c r="D914" i="57"/>
  <c r="E914" i="57"/>
  <c r="F914" i="57"/>
  <c r="A915" i="57"/>
  <c r="B915" i="57"/>
  <c r="C915" i="57"/>
  <c r="D915" i="57"/>
  <c r="E915" i="57"/>
  <c r="F915" i="57"/>
  <c r="A916" i="57"/>
  <c r="B916" i="57"/>
  <c r="C916" i="57"/>
  <c r="D916" i="57"/>
  <c r="E916" i="57"/>
  <c r="F916" i="57"/>
  <c r="A917" i="57"/>
  <c r="B917" i="57"/>
  <c r="C917" i="57"/>
  <c r="D917" i="57"/>
  <c r="E917" i="57"/>
  <c r="F917" i="57"/>
  <c r="A918" i="57"/>
  <c r="B918" i="57"/>
  <c r="C918" i="57"/>
  <c r="D918" i="57"/>
  <c r="E918" i="57"/>
  <c r="F918" i="57"/>
  <c r="A919" i="57"/>
  <c r="B919" i="57"/>
  <c r="C919" i="57"/>
  <c r="D919" i="57"/>
  <c r="E919" i="57"/>
  <c r="F919" i="57"/>
  <c r="A920" i="57"/>
  <c r="B920" i="57"/>
  <c r="C920" i="57"/>
  <c r="D920" i="57"/>
  <c r="E920" i="57"/>
  <c r="F920" i="57"/>
  <c r="A921" i="57"/>
  <c r="B921" i="57"/>
  <c r="C921" i="57"/>
  <c r="D921" i="57"/>
  <c r="E921" i="57"/>
  <c r="F921" i="57"/>
  <c r="A922" i="57"/>
  <c r="B922" i="57"/>
  <c r="C922" i="57"/>
  <c r="D922" i="57"/>
  <c r="E922" i="57"/>
  <c r="F922" i="57"/>
  <c r="A923" i="57"/>
  <c r="B923" i="57"/>
  <c r="C923" i="57"/>
  <c r="D923" i="57"/>
  <c r="E923" i="57"/>
  <c r="F923" i="57"/>
  <c r="A924" i="57"/>
  <c r="B924" i="57"/>
  <c r="C924" i="57"/>
  <c r="D924" i="57"/>
  <c r="E924" i="57"/>
  <c r="F924" i="57"/>
  <c r="A925" i="57"/>
  <c r="B925" i="57"/>
  <c r="C925" i="57"/>
  <c r="D925" i="57"/>
  <c r="E925" i="57"/>
  <c r="F925" i="57"/>
  <c r="A926" i="57"/>
  <c r="B926" i="57"/>
  <c r="C926" i="57"/>
  <c r="D926" i="57"/>
  <c r="E926" i="57"/>
  <c r="F926" i="57"/>
  <c r="A927" i="57"/>
  <c r="B927" i="57"/>
  <c r="C927" i="57"/>
  <c r="D927" i="57"/>
  <c r="E927" i="57"/>
  <c r="F927" i="57"/>
  <c r="F811" i="57"/>
  <c r="E811" i="57"/>
  <c r="D811" i="57"/>
  <c r="C811" i="57"/>
  <c r="B811" i="57"/>
  <c r="A811" i="57"/>
  <c r="F810" i="57"/>
  <c r="E810" i="57"/>
  <c r="D810" i="57"/>
  <c r="C810" i="57"/>
  <c r="B810" i="57"/>
  <c r="A810" i="57"/>
  <c r="F809" i="57"/>
  <c r="E809" i="57"/>
  <c r="D809" i="57"/>
  <c r="C809" i="57"/>
  <c r="B809" i="57"/>
  <c r="A809" i="57"/>
  <c r="A716" i="57"/>
  <c r="B716" i="57"/>
  <c r="C716" i="57"/>
  <c r="D716" i="57"/>
  <c r="E716" i="57"/>
  <c r="F716" i="57"/>
  <c r="A717" i="57"/>
  <c r="B717" i="57"/>
  <c r="C717" i="57"/>
  <c r="D717" i="57"/>
  <c r="E717" i="57"/>
  <c r="F717" i="57"/>
  <c r="A718" i="57"/>
  <c r="B718" i="57"/>
  <c r="C718" i="57"/>
  <c r="D718" i="57"/>
  <c r="E718" i="57"/>
  <c r="F718" i="57"/>
  <c r="A719" i="57"/>
  <c r="B719" i="57"/>
  <c r="C719" i="57"/>
  <c r="D719" i="57"/>
  <c r="E719" i="57"/>
  <c r="F719" i="57"/>
  <c r="A720" i="57"/>
  <c r="B720" i="57"/>
  <c r="C720" i="57"/>
  <c r="D720" i="57"/>
  <c r="E720" i="57"/>
  <c r="F720" i="57"/>
  <c r="A721" i="57"/>
  <c r="B721" i="57"/>
  <c r="C721" i="57"/>
  <c r="D721" i="57"/>
  <c r="E721" i="57"/>
  <c r="F721" i="57"/>
  <c r="A722" i="57"/>
  <c r="B722" i="57"/>
  <c r="C722" i="57"/>
  <c r="D722" i="57"/>
  <c r="E722" i="57"/>
  <c r="F722" i="57"/>
  <c r="A723" i="57"/>
  <c r="B723" i="57"/>
  <c r="C723" i="57"/>
  <c r="D723" i="57"/>
  <c r="E723" i="57"/>
  <c r="F723" i="57"/>
  <c r="A724" i="57"/>
  <c r="B724" i="57"/>
  <c r="C724" i="57"/>
  <c r="D724" i="57"/>
  <c r="E724" i="57"/>
  <c r="F724" i="57"/>
  <c r="A725" i="57"/>
  <c r="B725" i="57"/>
  <c r="C725" i="57"/>
  <c r="D725" i="57"/>
  <c r="E725" i="57"/>
  <c r="F725" i="57"/>
  <c r="A726" i="57"/>
  <c r="B726" i="57"/>
  <c r="C726" i="57"/>
  <c r="D726" i="57"/>
  <c r="E726" i="57"/>
  <c r="F726" i="57"/>
  <c r="A727" i="57"/>
  <c r="B727" i="57"/>
  <c r="C727" i="57"/>
  <c r="D727" i="57"/>
  <c r="E727" i="57"/>
  <c r="F727" i="57"/>
  <c r="A728" i="57"/>
  <c r="B728" i="57"/>
  <c r="C728" i="57"/>
  <c r="D728" i="57"/>
  <c r="E728" i="57"/>
  <c r="F728" i="57"/>
  <c r="A729" i="57"/>
  <c r="B729" i="57"/>
  <c r="C729" i="57"/>
  <c r="D729" i="57"/>
  <c r="E729" i="57"/>
  <c r="F729" i="57"/>
  <c r="A730" i="57"/>
  <c r="B730" i="57"/>
  <c r="C730" i="57"/>
  <c r="D730" i="57"/>
  <c r="E730" i="57"/>
  <c r="F730" i="57"/>
  <c r="A731" i="57"/>
  <c r="B731" i="57"/>
  <c r="C731" i="57"/>
  <c r="D731" i="57"/>
  <c r="E731" i="57"/>
  <c r="F731" i="57"/>
  <c r="A732" i="57"/>
  <c r="B732" i="57"/>
  <c r="C732" i="57"/>
  <c r="D732" i="57"/>
  <c r="E732" i="57"/>
  <c r="F732" i="57"/>
  <c r="A733" i="57"/>
  <c r="B733" i="57"/>
  <c r="C733" i="57"/>
  <c r="D733" i="57"/>
  <c r="E733" i="57"/>
  <c r="F733" i="57"/>
  <c r="A734" i="57"/>
  <c r="B734" i="57"/>
  <c r="C734" i="57"/>
  <c r="D734" i="57"/>
  <c r="E734" i="57"/>
  <c r="F734" i="57"/>
  <c r="A735" i="57"/>
  <c r="B735" i="57"/>
  <c r="C735" i="57"/>
  <c r="D735" i="57"/>
  <c r="E735" i="57"/>
  <c r="F735" i="57"/>
  <c r="A736" i="57"/>
  <c r="B736" i="57"/>
  <c r="C736" i="57"/>
  <c r="D736" i="57"/>
  <c r="E736" i="57"/>
  <c r="F736" i="57"/>
  <c r="A737" i="57"/>
  <c r="B737" i="57"/>
  <c r="C737" i="57"/>
  <c r="D737" i="57"/>
  <c r="E737" i="57"/>
  <c r="F737" i="57"/>
  <c r="A738" i="57"/>
  <c r="B738" i="57"/>
  <c r="C738" i="57"/>
  <c r="D738" i="57"/>
  <c r="E738" i="57"/>
  <c r="F738" i="57"/>
  <c r="A739" i="57"/>
  <c r="B739" i="57"/>
  <c r="C739" i="57"/>
  <c r="D739" i="57"/>
  <c r="E739" i="57"/>
  <c r="F739" i="57"/>
  <c r="A740" i="57"/>
  <c r="B740" i="57"/>
  <c r="C740" i="57"/>
  <c r="D740" i="57"/>
  <c r="E740" i="57"/>
  <c r="F740" i="57"/>
  <c r="A741" i="57"/>
  <c r="B741" i="57"/>
  <c r="C741" i="57"/>
  <c r="D741" i="57"/>
  <c r="E741" i="57"/>
  <c r="F741" i="57"/>
  <c r="A742" i="57"/>
  <c r="B742" i="57"/>
  <c r="C742" i="57"/>
  <c r="D742" i="57"/>
  <c r="E742" i="57"/>
  <c r="F742" i="57"/>
  <c r="A743" i="57"/>
  <c r="B743" i="57"/>
  <c r="C743" i="57"/>
  <c r="D743" i="57"/>
  <c r="E743" i="57"/>
  <c r="F743" i="57"/>
  <c r="A744" i="57"/>
  <c r="B744" i="57"/>
  <c r="C744" i="57"/>
  <c r="D744" i="57"/>
  <c r="E744" i="57"/>
  <c r="F744" i="57"/>
  <c r="A745" i="57"/>
  <c r="B745" i="57"/>
  <c r="C745" i="57"/>
  <c r="D745" i="57"/>
  <c r="E745" i="57"/>
  <c r="F745" i="57"/>
  <c r="A746" i="57"/>
  <c r="B746" i="57"/>
  <c r="C746" i="57"/>
  <c r="D746" i="57"/>
  <c r="E746" i="57"/>
  <c r="F746" i="57"/>
  <c r="A747" i="57"/>
  <c r="B747" i="57"/>
  <c r="C747" i="57"/>
  <c r="D747" i="57"/>
  <c r="E747" i="57"/>
  <c r="F747" i="57"/>
  <c r="A748" i="57"/>
  <c r="B748" i="57"/>
  <c r="C748" i="57"/>
  <c r="D748" i="57"/>
  <c r="E748" i="57"/>
  <c r="F748" i="57"/>
  <c r="A749" i="57"/>
  <c r="B749" i="57"/>
  <c r="C749" i="57"/>
  <c r="D749" i="57"/>
  <c r="E749" i="57"/>
  <c r="F749" i="57"/>
  <c r="A750" i="57"/>
  <c r="B750" i="57"/>
  <c r="C750" i="57"/>
  <c r="D750" i="57"/>
  <c r="E750" i="57"/>
  <c r="F750" i="57"/>
  <c r="A751" i="57"/>
  <c r="B751" i="57"/>
  <c r="C751" i="57"/>
  <c r="D751" i="57"/>
  <c r="E751" i="57"/>
  <c r="F751" i="57"/>
  <c r="A752" i="57"/>
  <c r="B752" i="57"/>
  <c r="C752" i="57"/>
  <c r="D752" i="57"/>
  <c r="E752" i="57"/>
  <c r="F752" i="57"/>
  <c r="A753" i="57"/>
  <c r="B753" i="57"/>
  <c r="C753" i="57"/>
  <c r="D753" i="57"/>
  <c r="E753" i="57"/>
  <c r="F753" i="57"/>
  <c r="A754" i="57"/>
  <c r="B754" i="57"/>
  <c r="C754" i="57"/>
  <c r="D754" i="57"/>
  <c r="E754" i="57"/>
  <c r="F754" i="57"/>
  <c r="A755" i="57"/>
  <c r="B755" i="57"/>
  <c r="C755" i="57"/>
  <c r="D755" i="57"/>
  <c r="E755" i="57"/>
  <c r="F755" i="57"/>
  <c r="A756" i="57"/>
  <c r="B756" i="57"/>
  <c r="C756" i="57"/>
  <c r="D756" i="57"/>
  <c r="E756" i="57"/>
  <c r="F756" i="57"/>
  <c r="A757" i="57"/>
  <c r="B757" i="57"/>
  <c r="C757" i="57"/>
  <c r="D757" i="57"/>
  <c r="E757" i="57"/>
  <c r="F757" i="57"/>
  <c r="A758" i="57"/>
  <c r="B758" i="57"/>
  <c r="C758" i="57"/>
  <c r="D758" i="57"/>
  <c r="E758" i="57"/>
  <c r="F758" i="57"/>
  <c r="A759" i="57"/>
  <c r="B759" i="57"/>
  <c r="C759" i="57"/>
  <c r="D759" i="57"/>
  <c r="E759" i="57"/>
  <c r="F759" i="57"/>
  <c r="A760" i="57"/>
  <c r="B760" i="57"/>
  <c r="C760" i="57"/>
  <c r="D760" i="57"/>
  <c r="E760" i="57"/>
  <c r="F760" i="57"/>
  <c r="A761" i="57"/>
  <c r="B761" i="57"/>
  <c r="C761" i="57"/>
  <c r="D761" i="57"/>
  <c r="E761" i="57"/>
  <c r="F761" i="57"/>
  <c r="A762" i="57"/>
  <c r="B762" i="57"/>
  <c r="C762" i="57"/>
  <c r="D762" i="57"/>
  <c r="E762" i="57"/>
  <c r="F762" i="57"/>
  <c r="A763" i="57"/>
  <c r="B763" i="57"/>
  <c r="C763" i="57"/>
  <c r="D763" i="57"/>
  <c r="E763" i="57"/>
  <c r="F763" i="57"/>
  <c r="A764" i="57"/>
  <c r="B764" i="57"/>
  <c r="C764" i="57"/>
  <c r="D764" i="57"/>
  <c r="E764" i="57"/>
  <c r="F764" i="57"/>
  <c r="A765" i="57"/>
  <c r="B765" i="57"/>
  <c r="C765" i="57"/>
  <c r="D765" i="57"/>
  <c r="E765" i="57"/>
  <c r="F765" i="57"/>
  <c r="A766" i="57"/>
  <c r="B766" i="57"/>
  <c r="C766" i="57"/>
  <c r="D766" i="57"/>
  <c r="E766" i="57"/>
  <c r="F766" i="57"/>
  <c r="A767" i="57"/>
  <c r="B767" i="57"/>
  <c r="C767" i="57"/>
  <c r="D767" i="57"/>
  <c r="E767" i="57"/>
  <c r="F767" i="57"/>
  <c r="A768" i="57"/>
  <c r="B768" i="57"/>
  <c r="C768" i="57"/>
  <c r="D768" i="57"/>
  <c r="E768" i="57"/>
  <c r="F768" i="57"/>
  <c r="A769" i="57"/>
  <c r="B769" i="57"/>
  <c r="C769" i="57"/>
  <c r="D769" i="57"/>
  <c r="E769" i="57"/>
  <c r="F769" i="57"/>
  <c r="A770" i="57"/>
  <c r="B770" i="57"/>
  <c r="C770" i="57"/>
  <c r="D770" i="57"/>
  <c r="E770" i="57"/>
  <c r="F770" i="57"/>
  <c r="A771" i="57"/>
  <c r="B771" i="57"/>
  <c r="C771" i="57"/>
  <c r="D771" i="57"/>
  <c r="E771" i="57"/>
  <c r="F771" i="57"/>
  <c r="A772" i="57"/>
  <c r="B772" i="57"/>
  <c r="C772" i="57"/>
  <c r="D772" i="57"/>
  <c r="E772" i="57"/>
  <c r="F772" i="57"/>
  <c r="A773" i="57"/>
  <c r="B773" i="57"/>
  <c r="C773" i="57"/>
  <c r="D773" i="57"/>
  <c r="E773" i="57"/>
  <c r="F773" i="57"/>
  <c r="A774" i="57"/>
  <c r="B774" i="57"/>
  <c r="C774" i="57"/>
  <c r="D774" i="57"/>
  <c r="E774" i="57"/>
  <c r="F774" i="57"/>
  <c r="A775" i="57"/>
  <c r="B775" i="57"/>
  <c r="C775" i="57"/>
  <c r="D775" i="57"/>
  <c r="E775" i="57"/>
  <c r="F775" i="57"/>
  <c r="A776" i="57"/>
  <c r="B776" i="57"/>
  <c r="C776" i="57"/>
  <c r="D776" i="57"/>
  <c r="E776" i="57"/>
  <c r="F776" i="57"/>
  <c r="A777" i="57"/>
  <c r="B777" i="57"/>
  <c r="C777" i="57"/>
  <c r="D777" i="57"/>
  <c r="E777" i="57"/>
  <c r="F777" i="57"/>
  <c r="A778" i="57"/>
  <c r="B778" i="57"/>
  <c r="C778" i="57"/>
  <c r="D778" i="57"/>
  <c r="E778" i="57"/>
  <c r="F778" i="57"/>
  <c r="A779" i="57"/>
  <c r="B779" i="57"/>
  <c r="C779" i="57"/>
  <c r="D779" i="57"/>
  <c r="E779" i="57"/>
  <c r="F779" i="57"/>
  <c r="A780" i="57"/>
  <c r="B780" i="57"/>
  <c r="C780" i="57"/>
  <c r="D780" i="57"/>
  <c r="E780" i="57"/>
  <c r="F780" i="57"/>
  <c r="A781" i="57"/>
  <c r="B781" i="57"/>
  <c r="C781" i="57"/>
  <c r="D781" i="57"/>
  <c r="E781" i="57"/>
  <c r="F781" i="57"/>
  <c r="A782" i="57"/>
  <c r="B782" i="57"/>
  <c r="C782" i="57"/>
  <c r="D782" i="57"/>
  <c r="E782" i="57"/>
  <c r="F782" i="57"/>
  <c r="A783" i="57"/>
  <c r="B783" i="57"/>
  <c r="C783" i="57"/>
  <c r="D783" i="57"/>
  <c r="E783" i="57"/>
  <c r="F783" i="57"/>
  <c r="A784" i="57"/>
  <c r="B784" i="57"/>
  <c r="C784" i="57"/>
  <c r="D784" i="57"/>
  <c r="E784" i="57"/>
  <c r="F784" i="57"/>
  <c r="A785" i="57"/>
  <c r="B785" i="57"/>
  <c r="C785" i="57"/>
  <c r="D785" i="57"/>
  <c r="E785" i="57"/>
  <c r="F785" i="57"/>
  <c r="A786" i="57"/>
  <c r="B786" i="57"/>
  <c r="C786" i="57"/>
  <c r="D786" i="57"/>
  <c r="E786" i="57"/>
  <c r="F786" i="57"/>
  <c r="A787" i="57"/>
  <c r="B787" i="57"/>
  <c r="C787" i="57"/>
  <c r="D787" i="57"/>
  <c r="E787" i="57"/>
  <c r="F787" i="57"/>
  <c r="A788" i="57"/>
  <c r="B788" i="57"/>
  <c r="C788" i="57"/>
  <c r="D788" i="57"/>
  <c r="E788" i="57"/>
  <c r="F788" i="57"/>
  <c r="A789" i="57"/>
  <c r="B789" i="57"/>
  <c r="C789" i="57"/>
  <c r="D789" i="57"/>
  <c r="E789" i="57"/>
  <c r="F789" i="57"/>
  <c r="A790" i="57"/>
  <c r="B790" i="57"/>
  <c r="C790" i="57"/>
  <c r="D790" i="57"/>
  <c r="E790" i="57"/>
  <c r="F790" i="57"/>
  <c r="A791" i="57"/>
  <c r="B791" i="57"/>
  <c r="C791" i="57"/>
  <c r="D791" i="57"/>
  <c r="E791" i="57"/>
  <c r="F791" i="57"/>
  <c r="A792" i="57"/>
  <c r="B792" i="57"/>
  <c r="C792" i="57"/>
  <c r="D792" i="57"/>
  <c r="E792" i="57"/>
  <c r="F792" i="57"/>
  <c r="A793" i="57"/>
  <c r="B793" i="57"/>
  <c r="C793" i="57"/>
  <c r="D793" i="57"/>
  <c r="E793" i="57"/>
  <c r="F793" i="57"/>
  <c r="A794" i="57"/>
  <c r="B794" i="57"/>
  <c r="C794" i="57"/>
  <c r="D794" i="57"/>
  <c r="E794" i="57"/>
  <c r="F794" i="57"/>
  <c r="A795" i="57"/>
  <c r="B795" i="57"/>
  <c r="C795" i="57"/>
  <c r="D795" i="57"/>
  <c r="E795" i="57"/>
  <c r="F795" i="57"/>
  <c r="A796" i="57"/>
  <c r="B796" i="57"/>
  <c r="C796" i="57"/>
  <c r="D796" i="57"/>
  <c r="E796" i="57"/>
  <c r="F796" i="57"/>
  <c r="A797" i="57"/>
  <c r="B797" i="57"/>
  <c r="C797" i="57"/>
  <c r="D797" i="57"/>
  <c r="E797" i="57"/>
  <c r="F797" i="57"/>
  <c r="A798" i="57"/>
  <c r="B798" i="57"/>
  <c r="C798" i="57"/>
  <c r="D798" i="57"/>
  <c r="E798" i="57"/>
  <c r="F798" i="57"/>
  <c r="A799" i="57"/>
  <c r="B799" i="57"/>
  <c r="C799" i="57"/>
  <c r="D799" i="57"/>
  <c r="E799" i="57"/>
  <c r="F799" i="57"/>
  <c r="A800" i="57"/>
  <c r="B800" i="57"/>
  <c r="C800" i="57"/>
  <c r="D800" i="57"/>
  <c r="E800" i="57"/>
  <c r="F800" i="57"/>
  <c r="A801" i="57"/>
  <c r="B801" i="57"/>
  <c r="C801" i="57"/>
  <c r="D801" i="57"/>
  <c r="E801" i="57"/>
  <c r="F801" i="57"/>
  <c r="A802" i="57"/>
  <c r="B802" i="57"/>
  <c r="C802" i="57"/>
  <c r="D802" i="57"/>
  <c r="E802" i="57"/>
  <c r="F802" i="57"/>
  <c r="A803" i="57"/>
  <c r="B803" i="57"/>
  <c r="C803" i="57"/>
  <c r="D803" i="57"/>
  <c r="E803" i="57"/>
  <c r="F803" i="57"/>
  <c r="A804" i="57"/>
  <c r="B804" i="57"/>
  <c r="C804" i="57"/>
  <c r="D804" i="57"/>
  <c r="E804" i="57"/>
  <c r="F804" i="57"/>
  <c r="A805" i="57"/>
  <c r="B805" i="57"/>
  <c r="C805" i="57"/>
  <c r="D805" i="57"/>
  <c r="E805" i="57"/>
  <c r="F805" i="57"/>
  <c r="A806" i="57"/>
  <c r="B806" i="57"/>
  <c r="C806" i="57"/>
  <c r="D806" i="57"/>
  <c r="E806" i="57"/>
  <c r="F806" i="57"/>
  <c r="F715" i="57"/>
  <c r="E715" i="57"/>
  <c r="D715" i="57"/>
  <c r="C715" i="57"/>
  <c r="B715" i="57"/>
  <c r="A715" i="57"/>
  <c r="F714" i="57"/>
  <c r="E714" i="57"/>
  <c r="D714" i="57"/>
  <c r="C714" i="57"/>
  <c r="B714" i="57"/>
  <c r="A714" i="57"/>
  <c r="F713" i="57"/>
  <c r="E713" i="57"/>
  <c r="D713" i="57"/>
  <c r="C713" i="57"/>
  <c r="B713" i="57"/>
  <c r="A713" i="57"/>
  <c r="F712" i="57"/>
  <c r="E712" i="57"/>
  <c r="D712" i="57"/>
  <c r="C712" i="57"/>
  <c r="B712" i="57"/>
  <c r="A712" i="57"/>
  <c r="F711" i="57"/>
  <c r="E711" i="57"/>
  <c r="D711" i="57"/>
  <c r="C711" i="57"/>
  <c r="B711" i="57"/>
  <c r="A711" i="57"/>
  <c r="F710" i="57"/>
  <c r="E710" i="57"/>
  <c r="D710" i="57"/>
  <c r="C710" i="57"/>
  <c r="B710" i="57"/>
  <c r="A710" i="57"/>
  <c r="F709" i="57"/>
  <c r="E709" i="57"/>
  <c r="D709" i="57"/>
  <c r="C709" i="57"/>
  <c r="B709" i="57"/>
  <c r="A709" i="57"/>
  <c r="F708" i="57"/>
  <c r="E708" i="57"/>
  <c r="D708" i="57"/>
  <c r="C708" i="57"/>
  <c r="B708" i="57"/>
  <c r="A708" i="57"/>
  <c r="F707" i="57"/>
  <c r="E707" i="57"/>
  <c r="D707" i="57"/>
  <c r="C707" i="57"/>
  <c r="B707" i="57"/>
  <c r="A707" i="57"/>
  <c r="F706" i="57"/>
  <c r="E706" i="57"/>
  <c r="D706" i="57"/>
  <c r="C706" i="57"/>
  <c r="B706" i="57"/>
  <c r="A706" i="57"/>
  <c r="F705" i="57"/>
  <c r="E705" i="57"/>
  <c r="D705" i="57"/>
  <c r="C705" i="57"/>
  <c r="B705" i="57"/>
  <c r="A705" i="57"/>
  <c r="F704" i="57"/>
  <c r="E704" i="57"/>
  <c r="D704" i="57"/>
  <c r="C704" i="57"/>
  <c r="B704" i="57"/>
  <c r="A704" i="57"/>
  <c r="F703" i="57"/>
  <c r="E703" i="57"/>
  <c r="D703" i="57"/>
  <c r="C703" i="57"/>
  <c r="B703" i="57"/>
  <c r="A703" i="57"/>
  <c r="F702" i="57"/>
  <c r="E702" i="57"/>
  <c r="D702" i="57"/>
  <c r="C702" i="57"/>
  <c r="B702" i="57"/>
  <c r="A702" i="57"/>
  <c r="F701" i="57"/>
  <c r="E701" i="57"/>
  <c r="D701" i="57"/>
  <c r="C701" i="57"/>
  <c r="B701" i="57"/>
  <c r="A701" i="57"/>
  <c r="F700" i="57"/>
  <c r="E700" i="57"/>
  <c r="D700" i="57"/>
  <c r="C700" i="57"/>
  <c r="B700" i="57"/>
  <c r="A700" i="57"/>
  <c r="F699" i="57"/>
  <c r="E699" i="57"/>
  <c r="D699" i="57"/>
  <c r="C699" i="57"/>
  <c r="B699" i="57"/>
  <c r="A699" i="57"/>
  <c r="A684" i="57"/>
  <c r="B684" i="57"/>
  <c r="C684" i="57"/>
  <c r="D684" i="57"/>
  <c r="E684" i="57"/>
  <c r="F684" i="57"/>
  <c r="A685" i="57"/>
  <c r="B685" i="57"/>
  <c r="C685" i="57"/>
  <c r="D685" i="57"/>
  <c r="E685" i="57"/>
  <c r="F685" i="57"/>
  <c r="A686" i="57"/>
  <c r="B686" i="57"/>
  <c r="C686" i="57"/>
  <c r="D686" i="57"/>
  <c r="E686" i="57"/>
  <c r="F686" i="57"/>
  <c r="A687" i="57"/>
  <c r="B687" i="57"/>
  <c r="C687" i="57"/>
  <c r="D687" i="57"/>
  <c r="E687" i="57"/>
  <c r="F687" i="57"/>
  <c r="A688" i="57"/>
  <c r="B688" i="57"/>
  <c r="C688" i="57"/>
  <c r="D688" i="57"/>
  <c r="E688" i="57"/>
  <c r="F688" i="57"/>
  <c r="A689" i="57"/>
  <c r="B689" i="57"/>
  <c r="C689" i="57"/>
  <c r="D689" i="57"/>
  <c r="E689" i="57"/>
  <c r="F689" i="57"/>
  <c r="A690" i="57"/>
  <c r="B690" i="57"/>
  <c r="C690" i="57"/>
  <c r="D690" i="57"/>
  <c r="E690" i="57"/>
  <c r="F690" i="57"/>
  <c r="A691" i="57"/>
  <c r="B691" i="57"/>
  <c r="C691" i="57"/>
  <c r="D691" i="57"/>
  <c r="E691" i="57"/>
  <c r="F691" i="57"/>
  <c r="A692" i="57"/>
  <c r="B692" i="57"/>
  <c r="C692" i="57"/>
  <c r="D692" i="57"/>
  <c r="E692" i="57"/>
  <c r="F692" i="57"/>
  <c r="A693" i="57"/>
  <c r="B693" i="57"/>
  <c r="C693" i="57"/>
  <c r="D693" i="57"/>
  <c r="E693" i="57"/>
  <c r="F693" i="57"/>
  <c r="A694" i="57"/>
  <c r="B694" i="57"/>
  <c r="C694" i="57"/>
  <c r="D694" i="57"/>
  <c r="E694" i="57"/>
  <c r="F694" i="57"/>
  <c r="A695" i="57"/>
  <c r="B695" i="57"/>
  <c r="C695" i="57"/>
  <c r="D695" i="57"/>
  <c r="E695" i="57"/>
  <c r="F695" i="57"/>
  <c r="A696" i="57"/>
  <c r="B696" i="57"/>
  <c r="C696" i="57"/>
  <c r="D696" i="57"/>
  <c r="E696" i="57"/>
  <c r="F696" i="57"/>
  <c r="F683" i="57"/>
  <c r="E683" i="57"/>
  <c r="D683" i="57"/>
  <c r="C683" i="57"/>
  <c r="B683" i="57"/>
  <c r="A683" i="57"/>
  <c r="F682" i="57"/>
  <c r="E682" i="57"/>
  <c r="D682" i="57"/>
  <c r="C682" i="57"/>
  <c r="B682" i="57"/>
  <c r="A682" i="57"/>
  <c r="F681" i="57"/>
  <c r="E681" i="57"/>
  <c r="D681" i="57"/>
  <c r="C681" i="57"/>
  <c r="B681" i="57"/>
  <c r="A681" i="57"/>
  <c r="F680" i="57"/>
  <c r="E680" i="57"/>
  <c r="D680" i="57"/>
  <c r="C680" i="57"/>
  <c r="B680" i="57"/>
  <c r="A680" i="57"/>
  <c r="A566" i="57"/>
  <c r="B566" i="57"/>
  <c r="C566" i="57"/>
  <c r="D566" i="57"/>
  <c r="E566" i="57"/>
  <c r="F566" i="57"/>
  <c r="A567" i="57"/>
  <c r="B567" i="57"/>
  <c r="C567" i="57"/>
  <c r="D567" i="57"/>
  <c r="E567" i="57"/>
  <c r="F567" i="57"/>
  <c r="A568" i="57"/>
  <c r="B568" i="57"/>
  <c r="C568" i="57"/>
  <c r="D568" i="57"/>
  <c r="E568" i="57"/>
  <c r="F568" i="57"/>
  <c r="A569" i="57"/>
  <c r="B569" i="57"/>
  <c r="C569" i="57"/>
  <c r="D569" i="57"/>
  <c r="E569" i="57"/>
  <c r="F569" i="57"/>
  <c r="A570" i="57"/>
  <c r="B570" i="57"/>
  <c r="C570" i="57"/>
  <c r="D570" i="57"/>
  <c r="E570" i="57"/>
  <c r="F570" i="57"/>
  <c r="A571" i="57"/>
  <c r="B571" i="57"/>
  <c r="C571" i="57"/>
  <c r="D571" i="57"/>
  <c r="E571" i="57"/>
  <c r="F571" i="57"/>
  <c r="A572" i="57"/>
  <c r="B572" i="57"/>
  <c r="C572" i="57"/>
  <c r="D572" i="57"/>
  <c r="E572" i="57"/>
  <c r="F572" i="57"/>
  <c r="A573" i="57"/>
  <c r="B573" i="57"/>
  <c r="C573" i="57"/>
  <c r="D573" i="57"/>
  <c r="E573" i="57"/>
  <c r="F573" i="57"/>
  <c r="A574" i="57"/>
  <c r="B574" i="57"/>
  <c r="C574" i="57"/>
  <c r="D574" i="57"/>
  <c r="E574" i="57"/>
  <c r="F574" i="57"/>
  <c r="A575" i="57"/>
  <c r="B575" i="57"/>
  <c r="C575" i="57"/>
  <c r="D575" i="57"/>
  <c r="E575" i="57"/>
  <c r="F575" i="57"/>
  <c r="A576" i="57"/>
  <c r="B576" i="57"/>
  <c r="C576" i="57"/>
  <c r="D576" i="57"/>
  <c r="E576" i="57"/>
  <c r="F576" i="57"/>
  <c r="A577" i="57"/>
  <c r="B577" i="57"/>
  <c r="C577" i="57"/>
  <c r="D577" i="57"/>
  <c r="E577" i="57"/>
  <c r="F577" i="57"/>
  <c r="A578" i="57"/>
  <c r="B578" i="57"/>
  <c r="C578" i="57"/>
  <c r="D578" i="57"/>
  <c r="E578" i="57"/>
  <c r="F578" i="57"/>
  <c r="A579" i="57"/>
  <c r="B579" i="57"/>
  <c r="C579" i="57"/>
  <c r="D579" i="57"/>
  <c r="E579" i="57"/>
  <c r="F579" i="57"/>
  <c r="A580" i="57"/>
  <c r="B580" i="57"/>
  <c r="C580" i="57"/>
  <c r="D580" i="57"/>
  <c r="E580" i="57"/>
  <c r="F580" i="57"/>
  <c r="A581" i="57"/>
  <c r="B581" i="57"/>
  <c r="C581" i="57"/>
  <c r="D581" i="57"/>
  <c r="E581" i="57"/>
  <c r="F581" i="57"/>
  <c r="A582" i="57"/>
  <c r="B582" i="57"/>
  <c r="C582" i="57"/>
  <c r="D582" i="57"/>
  <c r="E582" i="57"/>
  <c r="F582" i="57"/>
  <c r="A583" i="57"/>
  <c r="B583" i="57"/>
  <c r="C583" i="57"/>
  <c r="D583" i="57"/>
  <c r="E583" i="57"/>
  <c r="F583" i="57"/>
  <c r="A584" i="57"/>
  <c r="B584" i="57"/>
  <c r="C584" i="57"/>
  <c r="D584" i="57"/>
  <c r="E584" i="57"/>
  <c r="F584" i="57"/>
  <c r="A585" i="57"/>
  <c r="B585" i="57"/>
  <c r="C585" i="57"/>
  <c r="D585" i="57"/>
  <c r="E585" i="57"/>
  <c r="F585" i="57"/>
  <c r="A586" i="57"/>
  <c r="B586" i="57"/>
  <c r="C586" i="57"/>
  <c r="D586" i="57"/>
  <c r="E586" i="57"/>
  <c r="F586" i="57"/>
  <c r="A587" i="57"/>
  <c r="B587" i="57"/>
  <c r="C587" i="57"/>
  <c r="D587" i="57"/>
  <c r="E587" i="57"/>
  <c r="F587" i="57"/>
  <c r="A588" i="57"/>
  <c r="B588" i="57"/>
  <c r="C588" i="57"/>
  <c r="D588" i="57"/>
  <c r="E588" i="57"/>
  <c r="F588" i="57"/>
  <c r="A589" i="57"/>
  <c r="B589" i="57"/>
  <c r="C589" i="57"/>
  <c r="D589" i="57"/>
  <c r="E589" i="57"/>
  <c r="F589" i="57"/>
  <c r="A590" i="57"/>
  <c r="B590" i="57"/>
  <c r="C590" i="57"/>
  <c r="D590" i="57"/>
  <c r="E590" i="57"/>
  <c r="F590" i="57"/>
  <c r="A591" i="57"/>
  <c r="B591" i="57"/>
  <c r="C591" i="57"/>
  <c r="D591" i="57"/>
  <c r="E591" i="57"/>
  <c r="F591" i="57"/>
  <c r="A592" i="57"/>
  <c r="B592" i="57"/>
  <c r="C592" i="57"/>
  <c r="D592" i="57"/>
  <c r="E592" i="57"/>
  <c r="F592" i="57"/>
  <c r="A593" i="57"/>
  <c r="B593" i="57"/>
  <c r="C593" i="57"/>
  <c r="D593" i="57"/>
  <c r="E593" i="57"/>
  <c r="F593" i="57"/>
  <c r="A594" i="57"/>
  <c r="B594" i="57"/>
  <c r="C594" i="57"/>
  <c r="D594" i="57"/>
  <c r="E594" i="57"/>
  <c r="F594" i="57"/>
  <c r="A595" i="57"/>
  <c r="B595" i="57"/>
  <c r="C595" i="57"/>
  <c r="D595" i="57"/>
  <c r="E595" i="57"/>
  <c r="F595" i="57"/>
  <c r="A596" i="57"/>
  <c r="B596" i="57"/>
  <c r="C596" i="57"/>
  <c r="D596" i="57"/>
  <c r="E596" i="57"/>
  <c r="F596" i="57"/>
  <c r="A597" i="57"/>
  <c r="B597" i="57"/>
  <c r="C597" i="57"/>
  <c r="D597" i="57"/>
  <c r="E597" i="57"/>
  <c r="F597" i="57"/>
  <c r="A598" i="57"/>
  <c r="B598" i="57"/>
  <c r="C598" i="57"/>
  <c r="D598" i="57"/>
  <c r="E598" i="57"/>
  <c r="F598" i="57"/>
  <c r="A599" i="57"/>
  <c r="B599" i="57"/>
  <c r="C599" i="57"/>
  <c r="D599" i="57"/>
  <c r="E599" i="57"/>
  <c r="F599" i="57"/>
  <c r="A600" i="57"/>
  <c r="B600" i="57"/>
  <c r="C600" i="57"/>
  <c r="D600" i="57"/>
  <c r="E600" i="57"/>
  <c r="F600" i="57"/>
  <c r="A601" i="57"/>
  <c r="B601" i="57"/>
  <c r="C601" i="57"/>
  <c r="D601" i="57"/>
  <c r="E601" i="57"/>
  <c r="F601" i="57"/>
  <c r="A602" i="57"/>
  <c r="B602" i="57"/>
  <c r="C602" i="57"/>
  <c r="D602" i="57"/>
  <c r="E602" i="57"/>
  <c r="F602" i="57"/>
  <c r="A603" i="57"/>
  <c r="B603" i="57"/>
  <c r="C603" i="57"/>
  <c r="D603" i="57"/>
  <c r="E603" i="57"/>
  <c r="F603" i="57"/>
  <c r="A604" i="57"/>
  <c r="B604" i="57"/>
  <c r="C604" i="57"/>
  <c r="D604" i="57"/>
  <c r="E604" i="57"/>
  <c r="F604" i="57"/>
  <c r="A605" i="57"/>
  <c r="B605" i="57"/>
  <c r="C605" i="57"/>
  <c r="D605" i="57"/>
  <c r="E605" i="57"/>
  <c r="F605" i="57"/>
  <c r="A606" i="57"/>
  <c r="B606" i="57"/>
  <c r="C606" i="57"/>
  <c r="D606" i="57"/>
  <c r="E606" i="57"/>
  <c r="F606" i="57"/>
  <c r="A607" i="57"/>
  <c r="B607" i="57"/>
  <c r="C607" i="57"/>
  <c r="D607" i="57"/>
  <c r="E607" i="57"/>
  <c r="F607" i="57"/>
  <c r="A608" i="57"/>
  <c r="B608" i="57"/>
  <c r="C608" i="57"/>
  <c r="D608" i="57"/>
  <c r="E608" i="57"/>
  <c r="F608" i="57"/>
  <c r="A609" i="57"/>
  <c r="B609" i="57"/>
  <c r="C609" i="57"/>
  <c r="D609" i="57"/>
  <c r="E609" i="57"/>
  <c r="F609" i="57"/>
  <c r="A610" i="57"/>
  <c r="B610" i="57"/>
  <c r="C610" i="57"/>
  <c r="D610" i="57"/>
  <c r="E610" i="57"/>
  <c r="F610" i="57"/>
  <c r="A611" i="57"/>
  <c r="B611" i="57"/>
  <c r="C611" i="57"/>
  <c r="D611" i="57"/>
  <c r="E611" i="57"/>
  <c r="F611" i="57"/>
  <c r="A612" i="57"/>
  <c r="B612" i="57"/>
  <c r="C612" i="57"/>
  <c r="D612" i="57"/>
  <c r="E612" i="57"/>
  <c r="F612" i="57"/>
  <c r="A613" i="57"/>
  <c r="B613" i="57"/>
  <c r="C613" i="57"/>
  <c r="D613" i="57"/>
  <c r="E613" i="57"/>
  <c r="F613" i="57"/>
  <c r="A614" i="57"/>
  <c r="B614" i="57"/>
  <c r="C614" i="57"/>
  <c r="D614" i="57"/>
  <c r="E614" i="57"/>
  <c r="F614" i="57"/>
  <c r="A615" i="57"/>
  <c r="B615" i="57"/>
  <c r="C615" i="57"/>
  <c r="D615" i="57"/>
  <c r="E615" i="57"/>
  <c r="F615" i="57"/>
  <c r="A616" i="57"/>
  <c r="B616" i="57"/>
  <c r="C616" i="57"/>
  <c r="D616" i="57"/>
  <c r="E616" i="57"/>
  <c r="F616" i="57"/>
  <c r="A617" i="57"/>
  <c r="B617" i="57"/>
  <c r="C617" i="57"/>
  <c r="D617" i="57"/>
  <c r="E617" i="57"/>
  <c r="F617" i="57"/>
  <c r="A618" i="57"/>
  <c r="B618" i="57"/>
  <c r="C618" i="57"/>
  <c r="D618" i="57"/>
  <c r="E618" i="57"/>
  <c r="F618" i="57"/>
  <c r="A619" i="57"/>
  <c r="B619" i="57"/>
  <c r="C619" i="57"/>
  <c r="D619" i="57"/>
  <c r="E619" i="57"/>
  <c r="F619" i="57"/>
  <c r="A620" i="57"/>
  <c r="B620" i="57"/>
  <c r="C620" i="57"/>
  <c r="D620" i="57"/>
  <c r="E620" i="57"/>
  <c r="F620" i="57"/>
  <c r="A621" i="57"/>
  <c r="B621" i="57"/>
  <c r="C621" i="57"/>
  <c r="D621" i="57"/>
  <c r="E621" i="57"/>
  <c r="F621" i="57"/>
  <c r="A622" i="57"/>
  <c r="B622" i="57"/>
  <c r="C622" i="57"/>
  <c r="D622" i="57"/>
  <c r="E622" i="57"/>
  <c r="F622" i="57"/>
  <c r="A623" i="57"/>
  <c r="B623" i="57"/>
  <c r="C623" i="57"/>
  <c r="D623" i="57"/>
  <c r="E623" i="57"/>
  <c r="F623" i="57"/>
  <c r="A624" i="57"/>
  <c r="B624" i="57"/>
  <c r="C624" i="57"/>
  <c r="D624" i="57"/>
  <c r="E624" i="57"/>
  <c r="F624" i="57"/>
  <c r="A625" i="57"/>
  <c r="B625" i="57"/>
  <c r="C625" i="57"/>
  <c r="D625" i="57"/>
  <c r="E625" i="57"/>
  <c r="F625" i="57"/>
  <c r="A626" i="57"/>
  <c r="B626" i="57"/>
  <c r="C626" i="57"/>
  <c r="D626" i="57"/>
  <c r="E626" i="57"/>
  <c r="F626" i="57"/>
  <c r="A627" i="57"/>
  <c r="B627" i="57"/>
  <c r="C627" i="57"/>
  <c r="D627" i="57"/>
  <c r="E627" i="57"/>
  <c r="F627" i="57"/>
  <c r="A628" i="57"/>
  <c r="B628" i="57"/>
  <c r="C628" i="57"/>
  <c r="D628" i="57"/>
  <c r="E628" i="57"/>
  <c r="F628" i="57"/>
  <c r="A629" i="57"/>
  <c r="B629" i="57"/>
  <c r="C629" i="57"/>
  <c r="D629" i="57"/>
  <c r="E629" i="57"/>
  <c r="F629" i="57"/>
  <c r="A630" i="57"/>
  <c r="B630" i="57"/>
  <c r="C630" i="57"/>
  <c r="D630" i="57"/>
  <c r="E630" i="57"/>
  <c r="F630" i="57"/>
  <c r="A631" i="57"/>
  <c r="B631" i="57"/>
  <c r="C631" i="57"/>
  <c r="D631" i="57"/>
  <c r="E631" i="57"/>
  <c r="F631" i="57"/>
  <c r="A632" i="57"/>
  <c r="B632" i="57"/>
  <c r="C632" i="57"/>
  <c r="D632" i="57"/>
  <c r="E632" i="57"/>
  <c r="F632" i="57"/>
  <c r="A633" i="57"/>
  <c r="B633" i="57"/>
  <c r="C633" i="57"/>
  <c r="D633" i="57"/>
  <c r="E633" i="57"/>
  <c r="F633" i="57"/>
  <c r="A634" i="57"/>
  <c r="B634" i="57"/>
  <c r="C634" i="57"/>
  <c r="D634" i="57"/>
  <c r="E634" i="57"/>
  <c r="F634" i="57"/>
  <c r="A635" i="57"/>
  <c r="B635" i="57"/>
  <c r="C635" i="57"/>
  <c r="D635" i="57"/>
  <c r="E635" i="57"/>
  <c r="F635" i="57"/>
  <c r="A636" i="57"/>
  <c r="B636" i="57"/>
  <c r="C636" i="57"/>
  <c r="D636" i="57"/>
  <c r="E636" i="57"/>
  <c r="F636" i="57"/>
  <c r="A637" i="57"/>
  <c r="B637" i="57"/>
  <c r="C637" i="57"/>
  <c r="D637" i="57"/>
  <c r="E637" i="57"/>
  <c r="F637" i="57"/>
  <c r="A638" i="57"/>
  <c r="B638" i="57"/>
  <c r="C638" i="57"/>
  <c r="D638" i="57"/>
  <c r="E638" i="57"/>
  <c r="F638" i="57"/>
  <c r="A639" i="57"/>
  <c r="B639" i="57"/>
  <c r="C639" i="57"/>
  <c r="D639" i="57"/>
  <c r="E639" i="57"/>
  <c r="F639" i="57"/>
  <c r="A640" i="57"/>
  <c r="B640" i="57"/>
  <c r="C640" i="57"/>
  <c r="D640" i="57"/>
  <c r="E640" i="57"/>
  <c r="F640" i="57"/>
  <c r="A641" i="57"/>
  <c r="B641" i="57"/>
  <c r="C641" i="57"/>
  <c r="D641" i="57"/>
  <c r="E641" i="57"/>
  <c r="F641" i="57"/>
  <c r="A642" i="57"/>
  <c r="B642" i="57"/>
  <c r="C642" i="57"/>
  <c r="D642" i="57"/>
  <c r="E642" i="57"/>
  <c r="F642" i="57"/>
  <c r="A643" i="57"/>
  <c r="B643" i="57"/>
  <c r="C643" i="57"/>
  <c r="D643" i="57"/>
  <c r="E643" i="57"/>
  <c r="F643" i="57"/>
  <c r="A644" i="57"/>
  <c r="B644" i="57"/>
  <c r="C644" i="57"/>
  <c r="D644" i="57"/>
  <c r="E644" i="57"/>
  <c r="F644" i="57"/>
  <c r="A645" i="57"/>
  <c r="B645" i="57"/>
  <c r="C645" i="57"/>
  <c r="D645" i="57"/>
  <c r="E645" i="57"/>
  <c r="F645" i="57"/>
  <c r="A646" i="57"/>
  <c r="B646" i="57"/>
  <c r="C646" i="57"/>
  <c r="D646" i="57"/>
  <c r="E646" i="57"/>
  <c r="F646" i="57"/>
  <c r="A647" i="57"/>
  <c r="B647" i="57"/>
  <c r="C647" i="57"/>
  <c r="D647" i="57"/>
  <c r="E647" i="57"/>
  <c r="F647" i="57"/>
  <c r="A648" i="57"/>
  <c r="B648" i="57"/>
  <c r="C648" i="57"/>
  <c r="D648" i="57"/>
  <c r="E648" i="57"/>
  <c r="F648" i="57"/>
  <c r="A649" i="57"/>
  <c r="B649" i="57"/>
  <c r="C649" i="57"/>
  <c r="D649" i="57"/>
  <c r="E649" i="57"/>
  <c r="F649" i="57"/>
  <c r="A650" i="57"/>
  <c r="B650" i="57"/>
  <c r="C650" i="57"/>
  <c r="D650" i="57"/>
  <c r="E650" i="57"/>
  <c r="F650" i="57"/>
  <c r="A651" i="57"/>
  <c r="B651" i="57"/>
  <c r="C651" i="57"/>
  <c r="D651" i="57"/>
  <c r="E651" i="57"/>
  <c r="F651" i="57"/>
  <c r="A652" i="57"/>
  <c r="B652" i="57"/>
  <c r="C652" i="57"/>
  <c r="D652" i="57"/>
  <c r="E652" i="57"/>
  <c r="F652" i="57"/>
  <c r="A653" i="57"/>
  <c r="B653" i="57"/>
  <c r="C653" i="57"/>
  <c r="D653" i="57"/>
  <c r="E653" i="57"/>
  <c r="F653" i="57"/>
  <c r="A654" i="57"/>
  <c r="B654" i="57"/>
  <c r="C654" i="57"/>
  <c r="D654" i="57"/>
  <c r="E654" i="57"/>
  <c r="F654" i="57"/>
  <c r="A655" i="57"/>
  <c r="B655" i="57"/>
  <c r="C655" i="57"/>
  <c r="D655" i="57"/>
  <c r="E655" i="57"/>
  <c r="F655" i="57"/>
  <c r="A656" i="57"/>
  <c r="B656" i="57"/>
  <c r="C656" i="57"/>
  <c r="D656" i="57"/>
  <c r="E656" i="57"/>
  <c r="F656" i="57"/>
  <c r="A657" i="57"/>
  <c r="B657" i="57"/>
  <c r="C657" i="57"/>
  <c r="D657" i="57"/>
  <c r="E657" i="57"/>
  <c r="F657" i="57"/>
  <c r="A658" i="57"/>
  <c r="B658" i="57"/>
  <c r="C658" i="57"/>
  <c r="D658" i="57"/>
  <c r="E658" i="57"/>
  <c r="F658" i="57"/>
  <c r="A659" i="57"/>
  <c r="B659" i="57"/>
  <c r="C659" i="57"/>
  <c r="D659" i="57"/>
  <c r="E659" i="57"/>
  <c r="F659" i="57"/>
  <c r="A660" i="57"/>
  <c r="B660" i="57"/>
  <c r="C660" i="57"/>
  <c r="D660" i="57"/>
  <c r="E660" i="57"/>
  <c r="F660" i="57"/>
  <c r="A661" i="57"/>
  <c r="B661" i="57"/>
  <c r="C661" i="57"/>
  <c r="D661" i="57"/>
  <c r="E661" i="57"/>
  <c r="F661" i="57"/>
  <c r="A662" i="57"/>
  <c r="B662" i="57"/>
  <c r="C662" i="57"/>
  <c r="D662" i="57"/>
  <c r="E662" i="57"/>
  <c r="F662" i="57"/>
  <c r="A663" i="57"/>
  <c r="B663" i="57"/>
  <c r="C663" i="57"/>
  <c r="D663" i="57"/>
  <c r="E663" i="57"/>
  <c r="F663" i="57"/>
  <c r="A664" i="57"/>
  <c r="B664" i="57"/>
  <c r="C664" i="57"/>
  <c r="D664" i="57"/>
  <c r="E664" i="57"/>
  <c r="F664" i="57"/>
  <c r="A665" i="57"/>
  <c r="B665" i="57"/>
  <c r="C665" i="57"/>
  <c r="D665" i="57"/>
  <c r="E665" i="57"/>
  <c r="F665" i="57"/>
  <c r="A666" i="57"/>
  <c r="B666" i="57"/>
  <c r="C666" i="57"/>
  <c r="D666" i="57"/>
  <c r="E666" i="57"/>
  <c r="F666" i="57"/>
  <c r="A667" i="57"/>
  <c r="B667" i="57"/>
  <c r="C667" i="57"/>
  <c r="D667" i="57"/>
  <c r="E667" i="57"/>
  <c r="F667" i="57"/>
  <c r="A668" i="57"/>
  <c r="B668" i="57"/>
  <c r="C668" i="57"/>
  <c r="D668" i="57"/>
  <c r="E668" i="57"/>
  <c r="F668" i="57"/>
  <c r="A669" i="57"/>
  <c r="B669" i="57"/>
  <c r="C669" i="57"/>
  <c r="D669" i="57"/>
  <c r="E669" i="57"/>
  <c r="F669" i="57"/>
  <c r="A670" i="57"/>
  <c r="B670" i="57"/>
  <c r="C670" i="57"/>
  <c r="D670" i="57"/>
  <c r="E670" i="57"/>
  <c r="F670" i="57"/>
  <c r="A671" i="57"/>
  <c r="B671" i="57"/>
  <c r="C671" i="57"/>
  <c r="D671" i="57"/>
  <c r="E671" i="57"/>
  <c r="F671" i="57"/>
  <c r="A672" i="57"/>
  <c r="B672" i="57"/>
  <c r="C672" i="57"/>
  <c r="D672" i="57"/>
  <c r="E672" i="57"/>
  <c r="F672" i="57"/>
  <c r="A673" i="57"/>
  <c r="B673" i="57"/>
  <c r="C673" i="57"/>
  <c r="D673" i="57"/>
  <c r="E673" i="57"/>
  <c r="F673" i="57"/>
  <c r="A674" i="57"/>
  <c r="B674" i="57"/>
  <c r="C674" i="57"/>
  <c r="D674" i="57"/>
  <c r="E674" i="57"/>
  <c r="F674" i="57"/>
  <c r="A675" i="57"/>
  <c r="B675" i="57"/>
  <c r="C675" i="57"/>
  <c r="D675" i="57"/>
  <c r="E675" i="57"/>
  <c r="F675" i="57"/>
  <c r="A676" i="57"/>
  <c r="B676" i="57"/>
  <c r="C676" i="57"/>
  <c r="D676" i="57"/>
  <c r="E676" i="57"/>
  <c r="F676" i="57"/>
  <c r="A677" i="57"/>
  <c r="B677" i="57"/>
  <c r="C677" i="57"/>
  <c r="D677" i="57"/>
  <c r="E677" i="57"/>
  <c r="F677" i="57"/>
  <c r="A678" i="57"/>
  <c r="B678" i="57"/>
  <c r="C678" i="57"/>
  <c r="D678" i="57"/>
  <c r="E678" i="57"/>
  <c r="F678" i="57"/>
  <c r="A679" i="57"/>
  <c r="B679" i="57"/>
  <c r="C679" i="57"/>
  <c r="D679" i="57"/>
  <c r="E679" i="57"/>
  <c r="F679" i="57"/>
  <c r="A562" i="57"/>
  <c r="B562" i="57"/>
  <c r="C562" i="57"/>
  <c r="D562" i="57"/>
  <c r="E562" i="57"/>
  <c r="F562" i="57"/>
  <c r="A563" i="57"/>
  <c r="B563" i="57"/>
  <c r="C563" i="57"/>
  <c r="D563" i="57"/>
  <c r="E563" i="57"/>
  <c r="F563" i="57"/>
  <c r="A564" i="57"/>
  <c r="B564" i="57"/>
  <c r="C564" i="57"/>
  <c r="D564" i="57"/>
  <c r="E564" i="57"/>
  <c r="F564" i="57"/>
  <c r="A565" i="57"/>
  <c r="B565" i="57"/>
  <c r="C565" i="57"/>
  <c r="D565" i="57"/>
  <c r="E565" i="57"/>
  <c r="F565" i="57"/>
  <c r="F561" i="57"/>
  <c r="E561" i="57"/>
  <c r="D561" i="57"/>
  <c r="C561" i="57"/>
  <c r="B561" i="57"/>
  <c r="A561" i="57"/>
  <c r="F560" i="57"/>
  <c r="E560" i="57"/>
  <c r="D560" i="57"/>
  <c r="C560" i="57"/>
  <c r="B560" i="57"/>
  <c r="A560" i="57"/>
  <c r="F559" i="57"/>
  <c r="E559" i="57"/>
  <c r="D559" i="57"/>
  <c r="C559" i="57"/>
  <c r="B559" i="57"/>
  <c r="A559" i="57"/>
  <c r="F558" i="57"/>
  <c r="E558" i="57"/>
  <c r="D558" i="57"/>
  <c r="C558" i="57"/>
  <c r="B558" i="57"/>
  <c r="A558" i="57"/>
  <c r="F557" i="57"/>
  <c r="E557" i="57"/>
  <c r="D557" i="57"/>
  <c r="C557" i="57"/>
  <c r="B557" i="57"/>
  <c r="A557" i="57"/>
  <c r="F556" i="57"/>
  <c r="E556" i="57"/>
  <c r="D556" i="57"/>
  <c r="C556" i="57"/>
  <c r="B556" i="57"/>
  <c r="A556" i="57"/>
  <c r="F555" i="57"/>
  <c r="E555" i="57"/>
  <c r="D555" i="57"/>
  <c r="C555" i="57"/>
  <c r="B555" i="57"/>
  <c r="A555" i="57"/>
  <c r="F554" i="57"/>
  <c r="E554" i="57"/>
  <c r="D554" i="57"/>
  <c r="C554" i="57"/>
  <c r="B554" i="57"/>
  <c r="A554" i="57"/>
  <c r="F553" i="57"/>
  <c r="E553" i="57"/>
  <c r="D553" i="57"/>
  <c r="C553" i="57"/>
  <c r="B553" i="57"/>
  <c r="A553" i="57"/>
  <c r="F552" i="57"/>
  <c r="E552" i="57"/>
  <c r="D552" i="57"/>
  <c r="C552" i="57"/>
  <c r="B552" i="57"/>
  <c r="A552" i="57"/>
  <c r="F551" i="57"/>
  <c r="E551" i="57"/>
  <c r="D551" i="57"/>
  <c r="C551" i="57"/>
  <c r="B551" i="57"/>
  <c r="A551" i="57"/>
  <c r="F550" i="57"/>
  <c r="E550" i="57"/>
  <c r="D550" i="57"/>
  <c r="C550" i="57"/>
  <c r="B550" i="57"/>
  <c r="A550" i="57"/>
  <c r="F549" i="57"/>
  <c r="E549" i="57"/>
  <c r="D549" i="57"/>
  <c r="C549" i="57"/>
  <c r="B549" i="57"/>
  <c r="A549" i="57"/>
  <c r="F548" i="57"/>
  <c r="E548" i="57"/>
  <c r="D548" i="57"/>
  <c r="C548" i="57"/>
  <c r="B548" i="57"/>
  <c r="A548" i="57"/>
  <c r="F547" i="57"/>
  <c r="E547" i="57"/>
  <c r="D547" i="57"/>
  <c r="C547" i="57"/>
  <c r="B547" i="57"/>
  <c r="A547" i="57"/>
  <c r="F546" i="57"/>
  <c r="E546" i="57"/>
  <c r="D546" i="57"/>
  <c r="C546" i="57"/>
  <c r="B546" i="57"/>
  <c r="A546" i="57"/>
  <c r="F545" i="57"/>
  <c r="E545" i="57"/>
  <c r="D545" i="57"/>
  <c r="C545" i="57"/>
  <c r="B545" i="57"/>
  <c r="A545" i="57"/>
  <c r="F544" i="57"/>
  <c r="E544" i="57"/>
  <c r="D544" i="57"/>
  <c r="C544" i="57"/>
  <c r="B544" i="57"/>
  <c r="A544" i="57"/>
  <c r="F543" i="57"/>
  <c r="E543" i="57"/>
  <c r="D543" i="57"/>
  <c r="C543" i="57"/>
  <c r="B543" i="57"/>
  <c r="A543" i="57"/>
  <c r="F542" i="57"/>
  <c r="E542" i="57"/>
  <c r="D542" i="57"/>
  <c r="C542" i="57"/>
  <c r="B542" i="57"/>
  <c r="A542" i="57"/>
  <c r="F541" i="57"/>
  <c r="E541" i="57"/>
  <c r="D541" i="57"/>
  <c r="C541" i="57"/>
  <c r="B541" i="57"/>
  <c r="A541" i="57"/>
  <c r="F540" i="57"/>
  <c r="E540" i="57"/>
  <c r="D540" i="57"/>
  <c r="C540" i="57"/>
  <c r="B540" i="57"/>
  <c r="A540" i="57"/>
  <c r="F539" i="57"/>
  <c r="E539" i="57"/>
  <c r="D539" i="57"/>
  <c r="C539" i="57"/>
  <c r="B539" i="57"/>
  <c r="A539" i="57"/>
  <c r="F538" i="57"/>
  <c r="E538" i="57"/>
  <c r="D538" i="57"/>
  <c r="C538" i="57"/>
  <c r="B538" i="57"/>
  <c r="A538" i="57"/>
  <c r="F537" i="57"/>
  <c r="E537" i="57"/>
  <c r="D537" i="57"/>
  <c r="C537" i="57"/>
  <c r="B537" i="57"/>
  <c r="A537" i="57"/>
  <c r="F536" i="57"/>
  <c r="E536" i="57"/>
  <c r="D536" i="57"/>
  <c r="C536" i="57"/>
  <c r="B536" i="57"/>
  <c r="A536" i="57"/>
  <c r="F535" i="57"/>
  <c r="E535" i="57"/>
  <c r="D535" i="57"/>
  <c r="C535" i="57"/>
  <c r="B535" i="57"/>
  <c r="A535" i="57"/>
  <c r="F534" i="57"/>
  <c r="E534" i="57"/>
  <c r="D534" i="57"/>
  <c r="C534" i="57"/>
  <c r="B534" i="57"/>
  <c r="A534" i="57"/>
  <c r="F533" i="57"/>
  <c r="E533" i="57"/>
  <c r="D533" i="57"/>
  <c r="C533" i="57"/>
  <c r="B533" i="57"/>
  <c r="A533" i="57"/>
  <c r="F532" i="57"/>
  <c r="E532" i="57"/>
  <c r="D532" i="57"/>
  <c r="C532" i="57"/>
  <c r="B532" i="57"/>
  <c r="A532" i="57"/>
  <c r="F531" i="57"/>
  <c r="E531" i="57"/>
  <c r="D531" i="57"/>
  <c r="C531" i="57"/>
  <c r="B531" i="57"/>
  <c r="A531" i="57"/>
  <c r="F530" i="57"/>
  <c r="E530" i="57"/>
  <c r="D530" i="57"/>
  <c r="C530" i="57"/>
  <c r="B530" i="57"/>
  <c r="A530" i="57"/>
  <c r="F529" i="57"/>
  <c r="E529" i="57"/>
  <c r="D529" i="57"/>
  <c r="C529" i="57"/>
  <c r="B529" i="57"/>
  <c r="A529" i="57"/>
  <c r="A506" i="57"/>
  <c r="B506" i="57"/>
  <c r="C506" i="57"/>
  <c r="D506" i="57"/>
  <c r="E506" i="57"/>
  <c r="F506" i="57"/>
  <c r="A507" i="57"/>
  <c r="B507" i="57"/>
  <c r="C507" i="57"/>
  <c r="D507" i="57"/>
  <c r="E507" i="57"/>
  <c r="F507" i="57"/>
  <c r="A508" i="57"/>
  <c r="B508" i="57"/>
  <c r="C508" i="57"/>
  <c r="D508" i="57"/>
  <c r="E508" i="57"/>
  <c r="F508" i="57"/>
  <c r="A509" i="57"/>
  <c r="B509" i="57"/>
  <c r="C509" i="57"/>
  <c r="D509" i="57"/>
  <c r="E509" i="57"/>
  <c r="F509" i="57"/>
  <c r="A510" i="57"/>
  <c r="B510" i="57"/>
  <c r="C510" i="57"/>
  <c r="D510" i="57"/>
  <c r="E510" i="57"/>
  <c r="F510" i="57"/>
  <c r="A511" i="57"/>
  <c r="B511" i="57"/>
  <c r="C511" i="57"/>
  <c r="D511" i="57"/>
  <c r="E511" i="57"/>
  <c r="F511" i="57"/>
  <c r="A512" i="57"/>
  <c r="B512" i="57"/>
  <c r="C512" i="57"/>
  <c r="D512" i="57"/>
  <c r="E512" i="57"/>
  <c r="F512" i="57"/>
  <c r="A513" i="57"/>
  <c r="B513" i="57"/>
  <c r="C513" i="57"/>
  <c r="D513" i="57"/>
  <c r="E513" i="57"/>
  <c r="F513" i="57"/>
  <c r="A514" i="57"/>
  <c r="B514" i="57"/>
  <c r="C514" i="57"/>
  <c r="D514" i="57"/>
  <c r="E514" i="57"/>
  <c r="F514" i="57"/>
  <c r="A515" i="57"/>
  <c r="B515" i="57"/>
  <c r="C515" i="57"/>
  <c r="D515" i="57"/>
  <c r="E515" i="57"/>
  <c r="F515" i="57"/>
  <c r="A516" i="57"/>
  <c r="B516" i="57"/>
  <c r="C516" i="57"/>
  <c r="D516" i="57"/>
  <c r="E516" i="57"/>
  <c r="F516" i="57"/>
  <c r="A517" i="57"/>
  <c r="B517" i="57"/>
  <c r="C517" i="57"/>
  <c r="D517" i="57"/>
  <c r="E517" i="57"/>
  <c r="F517" i="57"/>
  <c r="A518" i="57"/>
  <c r="B518" i="57"/>
  <c r="C518" i="57"/>
  <c r="D518" i="57"/>
  <c r="E518" i="57"/>
  <c r="F518" i="57"/>
  <c r="A519" i="57"/>
  <c r="B519" i="57"/>
  <c r="C519" i="57"/>
  <c r="D519" i="57"/>
  <c r="E519" i="57"/>
  <c r="F519" i="57"/>
  <c r="A520" i="57"/>
  <c r="B520" i="57"/>
  <c r="C520" i="57"/>
  <c r="D520" i="57"/>
  <c r="E520" i="57"/>
  <c r="F520" i="57"/>
  <c r="A521" i="57"/>
  <c r="B521" i="57"/>
  <c r="C521" i="57"/>
  <c r="D521" i="57"/>
  <c r="E521" i="57"/>
  <c r="F521" i="57"/>
  <c r="A522" i="57"/>
  <c r="B522" i="57"/>
  <c r="C522" i="57"/>
  <c r="D522" i="57"/>
  <c r="E522" i="57"/>
  <c r="F522" i="57"/>
  <c r="A523" i="57"/>
  <c r="B523" i="57"/>
  <c r="C523" i="57"/>
  <c r="D523" i="57"/>
  <c r="E523" i="57"/>
  <c r="F523" i="57"/>
  <c r="A524" i="57"/>
  <c r="B524" i="57"/>
  <c r="C524" i="57"/>
  <c r="D524" i="57"/>
  <c r="E524" i="57"/>
  <c r="F524" i="57"/>
  <c r="A525" i="57"/>
  <c r="B525" i="57"/>
  <c r="C525" i="57"/>
  <c r="D525" i="57"/>
  <c r="E525" i="57"/>
  <c r="F525" i="57"/>
  <c r="A526" i="57"/>
  <c r="B526" i="57"/>
  <c r="C526" i="57"/>
  <c r="D526" i="57"/>
  <c r="E526" i="57"/>
  <c r="F526" i="57"/>
  <c r="F505" i="57"/>
  <c r="E505" i="57"/>
  <c r="D505" i="57"/>
  <c r="C505" i="57"/>
  <c r="B505" i="57"/>
  <c r="A505" i="57"/>
  <c r="F504" i="57"/>
  <c r="E504" i="57"/>
  <c r="D504" i="57"/>
  <c r="C504" i="57"/>
  <c r="B504" i="57"/>
  <c r="A504" i="57"/>
  <c r="F503" i="57"/>
  <c r="E503" i="57"/>
  <c r="D503" i="57"/>
  <c r="C503" i="57"/>
  <c r="B503" i="57"/>
  <c r="A503" i="57"/>
  <c r="F502" i="57"/>
  <c r="E502" i="57"/>
  <c r="D502" i="57"/>
  <c r="C502" i="57"/>
  <c r="B502" i="57"/>
  <c r="A502" i="57"/>
  <c r="F501" i="57"/>
  <c r="E501" i="57"/>
  <c r="D501" i="57"/>
  <c r="C501" i="57"/>
  <c r="B501" i="57"/>
  <c r="A501" i="57"/>
  <c r="F500" i="57"/>
  <c r="E500" i="57"/>
  <c r="D500" i="57"/>
  <c r="C500" i="57"/>
  <c r="B500" i="57"/>
  <c r="A500" i="57"/>
  <c r="F499" i="57"/>
  <c r="E499" i="57"/>
  <c r="D499" i="57"/>
  <c r="C499" i="57"/>
  <c r="B499" i="57"/>
  <c r="A499" i="57"/>
  <c r="F498" i="57"/>
  <c r="E498" i="57"/>
  <c r="D498" i="57"/>
  <c r="C498" i="57"/>
  <c r="B498" i="57"/>
  <c r="A498" i="57"/>
  <c r="F497" i="57"/>
  <c r="E497" i="57"/>
  <c r="D497" i="57"/>
  <c r="C497" i="57"/>
  <c r="B497" i="57"/>
  <c r="A497" i="57"/>
  <c r="F496" i="57"/>
  <c r="E496" i="57"/>
  <c r="D496" i="57"/>
  <c r="C496" i="57"/>
  <c r="B496" i="57"/>
  <c r="A496" i="57"/>
  <c r="F495" i="57"/>
  <c r="E495" i="57"/>
  <c r="D495" i="57"/>
  <c r="C495" i="57"/>
  <c r="B495" i="57"/>
  <c r="A495" i="57"/>
  <c r="F494" i="57"/>
  <c r="E494" i="57"/>
  <c r="D494" i="57"/>
  <c r="C494" i="57"/>
  <c r="B494" i="57"/>
  <c r="A494" i="57"/>
  <c r="A483" i="57"/>
  <c r="B483" i="57"/>
  <c r="C483" i="57"/>
  <c r="D483" i="57"/>
  <c r="E483" i="57"/>
  <c r="F483" i="57"/>
  <c r="A484" i="57"/>
  <c r="B484" i="57"/>
  <c r="C484" i="57"/>
  <c r="D484" i="57"/>
  <c r="E484" i="57"/>
  <c r="F484" i="57"/>
  <c r="A485" i="57"/>
  <c r="B485" i="57"/>
  <c r="C485" i="57"/>
  <c r="D485" i="57"/>
  <c r="E485" i="57"/>
  <c r="F485" i="57"/>
  <c r="A486" i="57"/>
  <c r="B486" i="57"/>
  <c r="C486" i="57"/>
  <c r="D486" i="57"/>
  <c r="E486" i="57"/>
  <c r="F486" i="57"/>
  <c r="A487" i="57"/>
  <c r="B487" i="57"/>
  <c r="C487" i="57"/>
  <c r="D487" i="57"/>
  <c r="E487" i="57"/>
  <c r="F487" i="57"/>
  <c r="A488" i="57"/>
  <c r="B488" i="57"/>
  <c r="C488" i="57"/>
  <c r="D488" i="57"/>
  <c r="E488" i="57"/>
  <c r="F488" i="57"/>
  <c r="A489" i="57"/>
  <c r="B489" i="57"/>
  <c r="C489" i="57"/>
  <c r="D489" i="57"/>
  <c r="E489" i="57"/>
  <c r="F489" i="57"/>
  <c r="A490" i="57"/>
  <c r="B490" i="57"/>
  <c r="C490" i="57"/>
  <c r="D490" i="57"/>
  <c r="E490" i="57"/>
  <c r="F490" i="57"/>
  <c r="A491" i="57"/>
  <c r="B491" i="57"/>
  <c r="C491" i="57"/>
  <c r="D491" i="57"/>
  <c r="E491" i="57"/>
  <c r="F491" i="57"/>
  <c r="F482" i="57"/>
  <c r="E482" i="57"/>
  <c r="D482" i="57"/>
  <c r="C482" i="57"/>
  <c r="B482" i="57"/>
  <c r="A482" i="57"/>
  <c r="F481" i="57"/>
  <c r="E481" i="57"/>
  <c r="D481" i="57"/>
  <c r="C481" i="57"/>
  <c r="B481" i="57"/>
  <c r="A481" i="57"/>
  <c r="F480" i="57"/>
  <c r="E480" i="57"/>
  <c r="D480" i="57"/>
  <c r="C480" i="57"/>
  <c r="B480" i="57"/>
  <c r="A480" i="57"/>
  <c r="A438" i="57"/>
  <c r="B438" i="57"/>
  <c r="C438" i="57"/>
  <c r="D438" i="57"/>
  <c r="E438" i="57"/>
  <c r="F438" i="57"/>
  <c r="A439" i="57"/>
  <c r="B439" i="57"/>
  <c r="C439" i="57"/>
  <c r="D439" i="57"/>
  <c r="E439" i="57"/>
  <c r="F439" i="57"/>
  <c r="A440" i="57"/>
  <c r="B440" i="57"/>
  <c r="C440" i="57"/>
  <c r="D440" i="57"/>
  <c r="E440" i="57"/>
  <c r="F440" i="57"/>
  <c r="A441" i="57"/>
  <c r="B441" i="57"/>
  <c r="C441" i="57"/>
  <c r="D441" i="57"/>
  <c r="E441" i="57"/>
  <c r="F441" i="57"/>
  <c r="A442" i="57"/>
  <c r="B442" i="57"/>
  <c r="C442" i="57"/>
  <c r="D442" i="57"/>
  <c r="E442" i="57"/>
  <c r="F442" i="57"/>
  <c r="A443" i="57"/>
  <c r="B443" i="57"/>
  <c r="C443" i="57"/>
  <c r="D443" i="57"/>
  <c r="E443" i="57"/>
  <c r="F443" i="57"/>
  <c r="A444" i="57"/>
  <c r="B444" i="57"/>
  <c r="C444" i="57"/>
  <c r="D444" i="57"/>
  <c r="E444" i="57"/>
  <c r="F444" i="57"/>
  <c r="A445" i="57"/>
  <c r="B445" i="57"/>
  <c r="C445" i="57"/>
  <c r="D445" i="57"/>
  <c r="E445" i="57"/>
  <c r="F445" i="57"/>
  <c r="A446" i="57"/>
  <c r="B446" i="57"/>
  <c r="C446" i="57"/>
  <c r="D446" i="57"/>
  <c r="E446" i="57"/>
  <c r="F446" i="57"/>
  <c r="A447" i="57"/>
  <c r="B447" i="57"/>
  <c r="C447" i="57"/>
  <c r="D447" i="57"/>
  <c r="E447" i="57"/>
  <c r="F447" i="57"/>
  <c r="A448" i="57"/>
  <c r="B448" i="57"/>
  <c r="C448" i="57"/>
  <c r="D448" i="57"/>
  <c r="E448" i="57"/>
  <c r="F448" i="57"/>
  <c r="A449" i="57"/>
  <c r="B449" i="57"/>
  <c r="C449" i="57"/>
  <c r="D449" i="57"/>
  <c r="E449" i="57"/>
  <c r="F449" i="57"/>
  <c r="A450" i="57"/>
  <c r="B450" i="57"/>
  <c r="C450" i="57"/>
  <c r="D450" i="57"/>
  <c r="E450" i="57"/>
  <c r="F450" i="57"/>
  <c r="A451" i="57"/>
  <c r="B451" i="57"/>
  <c r="C451" i="57"/>
  <c r="D451" i="57"/>
  <c r="E451" i="57"/>
  <c r="F451" i="57"/>
  <c r="A452" i="57"/>
  <c r="B452" i="57"/>
  <c r="C452" i="57"/>
  <c r="D452" i="57"/>
  <c r="E452" i="57"/>
  <c r="F452" i="57"/>
  <c r="A453" i="57"/>
  <c r="B453" i="57"/>
  <c r="C453" i="57"/>
  <c r="D453" i="57"/>
  <c r="E453" i="57"/>
  <c r="F453" i="57"/>
  <c r="A454" i="57"/>
  <c r="B454" i="57"/>
  <c r="C454" i="57"/>
  <c r="D454" i="57"/>
  <c r="E454" i="57"/>
  <c r="F454" i="57"/>
  <c r="A455" i="57"/>
  <c r="B455" i="57"/>
  <c r="C455" i="57"/>
  <c r="D455" i="57"/>
  <c r="E455" i="57"/>
  <c r="F455" i="57"/>
  <c r="A456" i="57"/>
  <c r="B456" i="57"/>
  <c r="C456" i="57"/>
  <c r="D456" i="57"/>
  <c r="E456" i="57"/>
  <c r="F456" i="57"/>
  <c r="A457" i="57"/>
  <c r="B457" i="57"/>
  <c r="C457" i="57"/>
  <c r="D457" i="57"/>
  <c r="E457" i="57"/>
  <c r="F457" i="57"/>
  <c r="A458" i="57"/>
  <c r="B458" i="57"/>
  <c r="C458" i="57"/>
  <c r="D458" i="57"/>
  <c r="E458" i="57"/>
  <c r="F458" i="57"/>
  <c r="A459" i="57"/>
  <c r="B459" i="57"/>
  <c r="C459" i="57"/>
  <c r="D459" i="57"/>
  <c r="E459" i="57"/>
  <c r="F459" i="57"/>
  <c r="A460" i="57"/>
  <c r="B460" i="57"/>
  <c r="C460" i="57"/>
  <c r="D460" i="57"/>
  <c r="E460" i="57"/>
  <c r="F460" i="57"/>
  <c r="A461" i="57"/>
  <c r="B461" i="57"/>
  <c r="C461" i="57"/>
  <c r="D461" i="57"/>
  <c r="E461" i="57"/>
  <c r="F461" i="57"/>
  <c r="A462" i="57"/>
  <c r="B462" i="57"/>
  <c r="C462" i="57"/>
  <c r="D462" i="57"/>
  <c r="E462" i="57"/>
  <c r="F462" i="57"/>
  <c r="A463" i="57"/>
  <c r="B463" i="57"/>
  <c r="C463" i="57"/>
  <c r="D463" i="57"/>
  <c r="E463" i="57"/>
  <c r="F463" i="57"/>
  <c r="A464" i="57"/>
  <c r="B464" i="57"/>
  <c r="C464" i="57"/>
  <c r="D464" i="57"/>
  <c r="E464" i="57"/>
  <c r="F464" i="57"/>
  <c r="A465" i="57"/>
  <c r="B465" i="57"/>
  <c r="C465" i="57"/>
  <c r="D465" i="57"/>
  <c r="E465" i="57"/>
  <c r="F465" i="57"/>
  <c r="A466" i="57"/>
  <c r="B466" i="57"/>
  <c r="C466" i="57"/>
  <c r="D466" i="57"/>
  <c r="E466" i="57"/>
  <c r="F466" i="57"/>
  <c r="A467" i="57"/>
  <c r="B467" i="57"/>
  <c r="C467" i="57"/>
  <c r="D467" i="57"/>
  <c r="E467" i="57"/>
  <c r="F467" i="57"/>
  <c r="A468" i="57"/>
  <c r="B468" i="57"/>
  <c r="C468" i="57"/>
  <c r="D468" i="57"/>
  <c r="E468" i="57"/>
  <c r="F468" i="57"/>
  <c r="A469" i="57"/>
  <c r="B469" i="57"/>
  <c r="C469" i="57"/>
  <c r="D469" i="57"/>
  <c r="E469" i="57"/>
  <c r="F469" i="57"/>
  <c r="A470" i="57"/>
  <c r="B470" i="57"/>
  <c r="C470" i="57"/>
  <c r="D470" i="57"/>
  <c r="E470" i="57"/>
  <c r="F470" i="57"/>
  <c r="A471" i="57"/>
  <c r="B471" i="57"/>
  <c r="C471" i="57"/>
  <c r="D471" i="57"/>
  <c r="E471" i="57"/>
  <c r="F471" i="57"/>
  <c r="A472" i="57"/>
  <c r="B472" i="57"/>
  <c r="C472" i="57"/>
  <c r="D472" i="57"/>
  <c r="E472" i="57"/>
  <c r="F472" i="57"/>
  <c r="A473" i="57"/>
  <c r="B473" i="57"/>
  <c r="C473" i="57"/>
  <c r="D473" i="57"/>
  <c r="E473" i="57"/>
  <c r="F473" i="57"/>
  <c r="A474" i="57"/>
  <c r="B474" i="57"/>
  <c r="C474" i="57"/>
  <c r="D474" i="57"/>
  <c r="E474" i="57"/>
  <c r="F474" i="57"/>
  <c r="A475" i="57"/>
  <c r="B475" i="57"/>
  <c r="C475" i="57"/>
  <c r="D475" i="57"/>
  <c r="E475" i="57"/>
  <c r="F475" i="57"/>
  <c r="A476" i="57"/>
  <c r="B476" i="57"/>
  <c r="C476" i="57"/>
  <c r="D476" i="57"/>
  <c r="E476" i="57"/>
  <c r="F476" i="57"/>
  <c r="A477" i="57"/>
  <c r="B477" i="57"/>
  <c r="C477" i="57"/>
  <c r="D477" i="57"/>
  <c r="E477" i="57"/>
  <c r="F477" i="57"/>
  <c r="F437" i="57"/>
  <c r="E437" i="57"/>
  <c r="D437" i="57"/>
  <c r="C437" i="57"/>
  <c r="B437" i="57"/>
  <c r="A437" i="57"/>
  <c r="F436" i="57"/>
  <c r="E436" i="57"/>
  <c r="D436" i="57"/>
  <c r="C436" i="57"/>
  <c r="B436" i="57"/>
  <c r="A436" i="57"/>
  <c r="F435" i="57"/>
  <c r="E435" i="57"/>
  <c r="D435" i="57"/>
  <c r="C435" i="57"/>
  <c r="B435" i="57"/>
  <c r="A435" i="57"/>
  <c r="F434" i="57"/>
  <c r="E434" i="57"/>
  <c r="D434" i="57"/>
  <c r="C434" i="57"/>
  <c r="B434" i="57"/>
  <c r="A434" i="57"/>
  <c r="F433" i="57"/>
  <c r="E433" i="57"/>
  <c r="D433" i="57"/>
  <c r="C433" i="57"/>
  <c r="B433" i="57"/>
  <c r="A433" i="57"/>
  <c r="F432" i="57"/>
  <c r="E432" i="57"/>
  <c r="D432" i="57"/>
  <c r="C432" i="57"/>
  <c r="B432" i="57"/>
  <c r="A432" i="57"/>
  <c r="A429" i="57"/>
  <c r="B429" i="57"/>
  <c r="C429" i="57"/>
  <c r="D429" i="57"/>
  <c r="E429" i="57"/>
  <c r="F429" i="57"/>
  <c r="F428" i="57"/>
  <c r="E428" i="57"/>
  <c r="D428" i="57"/>
  <c r="C428" i="57"/>
  <c r="B428" i="57"/>
  <c r="A428" i="57"/>
  <c r="F427" i="57"/>
  <c r="E427" i="57"/>
  <c r="D427" i="57"/>
  <c r="C427" i="57"/>
  <c r="B427" i="57"/>
  <c r="A427" i="57"/>
  <c r="F426" i="57"/>
  <c r="E426" i="57"/>
  <c r="D426" i="57"/>
  <c r="C426" i="57"/>
  <c r="B426" i="57"/>
  <c r="A426" i="57"/>
  <c r="F425" i="57"/>
  <c r="E425" i="57"/>
  <c r="D425" i="57"/>
  <c r="C425" i="57"/>
  <c r="B425" i="57"/>
  <c r="A425" i="57"/>
  <c r="F424" i="57"/>
  <c r="E424" i="57"/>
  <c r="D424" i="57"/>
  <c r="C424" i="57"/>
  <c r="B424" i="57"/>
  <c r="A424" i="57"/>
  <c r="A419" i="57"/>
  <c r="B419" i="57"/>
  <c r="C419" i="57"/>
  <c r="D419" i="57"/>
  <c r="E419" i="57"/>
  <c r="F419" i="57"/>
  <c r="A420" i="57"/>
  <c r="B420" i="57"/>
  <c r="C420" i="57"/>
  <c r="D420" i="57"/>
  <c r="E420" i="57"/>
  <c r="F420" i="57"/>
  <c r="A421" i="57"/>
  <c r="B421" i="57"/>
  <c r="C421" i="57"/>
  <c r="D421" i="57"/>
  <c r="E421" i="57"/>
  <c r="F421" i="57"/>
  <c r="F418" i="57"/>
  <c r="E418" i="57"/>
  <c r="D418" i="57"/>
  <c r="C418" i="57"/>
  <c r="B418" i="57"/>
  <c r="A418" i="57"/>
  <c r="F417" i="57"/>
  <c r="E417" i="57"/>
  <c r="D417" i="57"/>
  <c r="C417" i="57"/>
  <c r="B417" i="57"/>
  <c r="A417" i="57"/>
  <c r="A390" i="57"/>
  <c r="B390" i="57"/>
  <c r="C390" i="57"/>
  <c r="D390" i="57"/>
  <c r="E390" i="57"/>
  <c r="F390" i="57"/>
  <c r="A391" i="57"/>
  <c r="B391" i="57"/>
  <c r="C391" i="57"/>
  <c r="D391" i="57"/>
  <c r="E391" i="57"/>
  <c r="F391" i="57"/>
  <c r="A392" i="57"/>
  <c r="B392" i="57"/>
  <c r="C392" i="57"/>
  <c r="D392" i="57"/>
  <c r="E392" i="57"/>
  <c r="F392" i="57"/>
  <c r="A393" i="57"/>
  <c r="B393" i="57"/>
  <c r="C393" i="57"/>
  <c r="D393" i="57"/>
  <c r="E393" i="57"/>
  <c r="F393" i="57"/>
  <c r="A394" i="57"/>
  <c r="B394" i="57"/>
  <c r="C394" i="57"/>
  <c r="D394" i="57"/>
  <c r="E394" i="57"/>
  <c r="F394" i="57"/>
  <c r="A395" i="57"/>
  <c r="B395" i="57"/>
  <c r="C395" i="57"/>
  <c r="D395" i="57"/>
  <c r="E395" i="57"/>
  <c r="F395" i="57"/>
  <c r="A396" i="57"/>
  <c r="B396" i="57"/>
  <c r="C396" i="57"/>
  <c r="D396" i="57"/>
  <c r="E396" i="57"/>
  <c r="F396" i="57"/>
  <c r="A397" i="57"/>
  <c r="B397" i="57"/>
  <c r="C397" i="57"/>
  <c r="D397" i="57"/>
  <c r="E397" i="57"/>
  <c r="F397" i="57"/>
  <c r="A398" i="57"/>
  <c r="B398" i="57"/>
  <c r="C398" i="57"/>
  <c r="D398" i="57"/>
  <c r="E398" i="57"/>
  <c r="F398" i="57"/>
  <c r="A399" i="57"/>
  <c r="B399" i="57"/>
  <c r="C399" i="57"/>
  <c r="D399" i="57"/>
  <c r="E399" i="57"/>
  <c r="F399" i="57"/>
  <c r="A400" i="57"/>
  <c r="B400" i="57"/>
  <c r="C400" i="57"/>
  <c r="D400" i="57"/>
  <c r="E400" i="57"/>
  <c r="F400" i="57"/>
  <c r="A401" i="57"/>
  <c r="B401" i="57"/>
  <c r="C401" i="57"/>
  <c r="D401" i="57"/>
  <c r="E401" i="57"/>
  <c r="F401" i="57"/>
  <c r="A402" i="57"/>
  <c r="B402" i="57"/>
  <c r="C402" i="57"/>
  <c r="D402" i="57"/>
  <c r="E402" i="57"/>
  <c r="F402" i="57"/>
  <c r="A403" i="57"/>
  <c r="B403" i="57"/>
  <c r="C403" i="57"/>
  <c r="D403" i="57"/>
  <c r="E403" i="57"/>
  <c r="F403" i="57"/>
  <c r="A404" i="57"/>
  <c r="B404" i="57"/>
  <c r="C404" i="57"/>
  <c r="D404" i="57"/>
  <c r="E404" i="57"/>
  <c r="F404" i="57"/>
  <c r="A405" i="57"/>
  <c r="B405" i="57"/>
  <c r="C405" i="57"/>
  <c r="D405" i="57"/>
  <c r="E405" i="57"/>
  <c r="F405" i="57"/>
  <c r="A406" i="57"/>
  <c r="B406" i="57"/>
  <c r="C406" i="57"/>
  <c r="D406" i="57"/>
  <c r="E406" i="57"/>
  <c r="F406" i="57"/>
  <c r="A407" i="57"/>
  <c r="B407" i="57"/>
  <c r="C407" i="57"/>
  <c r="D407" i="57"/>
  <c r="E407" i="57"/>
  <c r="F407" i="57"/>
  <c r="A408" i="57"/>
  <c r="B408" i="57"/>
  <c r="C408" i="57"/>
  <c r="D408" i="57"/>
  <c r="E408" i="57"/>
  <c r="F408" i="57"/>
  <c r="A409" i="57"/>
  <c r="B409" i="57"/>
  <c r="C409" i="57"/>
  <c r="D409" i="57"/>
  <c r="E409" i="57"/>
  <c r="F409" i="57"/>
  <c r="A410" i="57"/>
  <c r="B410" i="57"/>
  <c r="C410" i="57"/>
  <c r="D410" i="57"/>
  <c r="E410" i="57"/>
  <c r="F410" i="57"/>
  <c r="A411" i="57"/>
  <c r="B411" i="57"/>
  <c r="C411" i="57"/>
  <c r="D411" i="57"/>
  <c r="E411" i="57"/>
  <c r="F411" i="57"/>
  <c r="A412" i="57"/>
  <c r="B412" i="57"/>
  <c r="C412" i="57"/>
  <c r="D412" i="57"/>
  <c r="E412" i="57"/>
  <c r="F412" i="57"/>
  <c r="A413" i="57"/>
  <c r="B413" i="57"/>
  <c r="C413" i="57"/>
  <c r="D413" i="57"/>
  <c r="E413" i="57"/>
  <c r="F413" i="57"/>
  <c r="A414" i="57"/>
  <c r="B414" i="57"/>
  <c r="C414" i="57"/>
  <c r="D414" i="57"/>
  <c r="E414" i="57"/>
  <c r="F414" i="57"/>
  <c r="A292" i="57"/>
  <c r="B292" i="57"/>
  <c r="C292" i="57"/>
  <c r="D292" i="57"/>
  <c r="E292" i="57"/>
  <c r="F292" i="57"/>
  <c r="A293" i="57"/>
  <c r="B293" i="57"/>
  <c r="C293" i="57"/>
  <c r="D293" i="57"/>
  <c r="E293" i="57"/>
  <c r="F293" i="57"/>
  <c r="A294" i="57"/>
  <c r="B294" i="57"/>
  <c r="C294" i="57"/>
  <c r="D294" i="57"/>
  <c r="E294" i="57"/>
  <c r="F294" i="57"/>
  <c r="A295" i="57"/>
  <c r="B295" i="57"/>
  <c r="C295" i="57"/>
  <c r="D295" i="57"/>
  <c r="E295" i="57"/>
  <c r="F295" i="57"/>
  <c r="A296" i="57"/>
  <c r="B296" i="57"/>
  <c r="C296" i="57"/>
  <c r="D296" i="57"/>
  <c r="E296" i="57"/>
  <c r="F296" i="57"/>
  <c r="A297" i="57"/>
  <c r="B297" i="57"/>
  <c r="C297" i="57"/>
  <c r="D297" i="57"/>
  <c r="E297" i="57"/>
  <c r="F297" i="57"/>
  <c r="A298" i="57"/>
  <c r="B298" i="57"/>
  <c r="C298" i="57"/>
  <c r="D298" i="57"/>
  <c r="E298" i="57"/>
  <c r="F298" i="57"/>
  <c r="A299" i="57"/>
  <c r="B299" i="57"/>
  <c r="C299" i="57"/>
  <c r="D299" i="57"/>
  <c r="E299" i="57"/>
  <c r="F299" i="57"/>
  <c r="A300" i="57"/>
  <c r="B300" i="57"/>
  <c r="C300" i="57"/>
  <c r="D300" i="57"/>
  <c r="E300" i="57"/>
  <c r="F300" i="57"/>
  <c r="A301" i="57"/>
  <c r="B301" i="57"/>
  <c r="C301" i="57"/>
  <c r="D301" i="57"/>
  <c r="E301" i="57"/>
  <c r="F301" i="57"/>
  <c r="A302" i="57"/>
  <c r="B302" i="57"/>
  <c r="C302" i="57"/>
  <c r="D302" i="57"/>
  <c r="E302" i="57"/>
  <c r="F302" i="57"/>
  <c r="A303" i="57"/>
  <c r="B303" i="57"/>
  <c r="C303" i="57"/>
  <c r="D303" i="57"/>
  <c r="E303" i="57"/>
  <c r="F303" i="57"/>
  <c r="A304" i="57"/>
  <c r="B304" i="57"/>
  <c r="C304" i="57"/>
  <c r="D304" i="57"/>
  <c r="E304" i="57"/>
  <c r="F304" i="57"/>
  <c r="A305" i="57"/>
  <c r="B305" i="57"/>
  <c r="C305" i="57"/>
  <c r="D305" i="57"/>
  <c r="E305" i="57"/>
  <c r="F305" i="57"/>
  <c r="A306" i="57"/>
  <c r="B306" i="57"/>
  <c r="C306" i="57"/>
  <c r="D306" i="57"/>
  <c r="E306" i="57"/>
  <c r="F306" i="57"/>
  <c r="A307" i="57"/>
  <c r="B307" i="57"/>
  <c r="C307" i="57"/>
  <c r="D307" i="57"/>
  <c r="E307" i="57"/>
  <c r="F307" i="57"/>
  <c r="A308" i="57"/>
  <c r="B308" i="57"/>
  <c r="C308" i="57"/>
  <c r="D308" i="57"/>
  <c r="E308" i="57"/>
  <c r="F308" i="57"/>
  <c r="A309" i="57"/>
  <c r="B309" i="57"/>
  <c r="C309" i="57"/>
  <c r="D309" i="57"/>
  <c r="E309" i="57"/>
  <c r="F309" i="57"/>
  <c r="A310" i="57"/>
  <c r="B310" i="57"/>
  <c r="C310" i="57"/>
  <c r="D310" i="57"/>
  <c r="E310" i="57"/>
  <c r="F310" i="57"/>
  <c r="A311" i="57"/>
  <c r="B311" i="57"/>
  <c r="C311" i="57"/>
  <c r="D311" i="57"/>
  <c r="E311" i="57"/>
  <c r="F311" i="57"/>
  <c r="A312" i="57"/>
  <c r="B312" i="57"/>
  <c r="C312" i="57"/>
  <c r="D312" i="57"/>
  <c r="E312" i="57"/>
  <c r="F312" i="57"/>
  <c r="A313" i="57"/>
  <c r="B313" i="57"/>
  <c r="C313" i="57"/>
  <c r="D313" i="57"/>
  <c r="E313" i="57"/>
  <c r="F313" i="57"/>
  <c r="A314" i="57"/>
  <c r="B314" i="57"/>
  <c r="C314" i="57"/>
  <c r="D314" i="57"/>
  <c r="E314" i="57"/>
  <c r="F314" i="57"/>
  <c r="A315" i="57"/>
  <c r="B315" i="57"/>
  <c r="C315" i="57"/>
  <c r="D315" i="57"/>
  <c r="E315" i="57"/>
  <c r="F315" i="57"/>
  <c r="A316" i="57"/>
  <c r="B316" i="57"/>
  <c r="C316" i="57"/>
  <c r="D316" i="57"/>
  <c r="E316" i="57"/>
  <c r="F316" i="57"/>
  <c r="A317" i="57"/>
  <c r="B317" i="57"/>
  <c r="C317" i="57"/>
  <c r="D317" i="57"/>
  <c r="E317" i="57"/>
  <c r="F317" i="57"/>
  <c r="A318" i="57"/>
  <c r="B318" i="57"/>
  <c r="C318" i="57"/>
  <c r="D318" i="57"/>
  <c r="E318" i="57"/>
  <c r="F318" i="57"/>
  <c r="A319" i="57"/>
  <c r="B319" i="57"/>
  <c r="C319" i="57"/>
  <c r="D319" i="57"/>
  <c r="E319" i="57"/>
  <c r="F319" i="57"/>
  <c r="A320" i="57"/>
  <c r="B320" i="57"/>
  <c r="C320" i="57"/>
  <c r="D320" i="57"/>
  <c r="E320" i="57"/>
  <c r="F320" i="57"/>
  <c r="A321" i="57"/>
  <c r="B321" i="57"/>
  <c r="C321" i="57"/>
  <c r="D321" i="57"/>
  <c r="E321" i="57"/>
  <c r="F321" i="57"/>
  <c r="A322" i="57"/>
  <c r="B322" i="57"/>
  <c r="C322" i="57"/>
  <c r="D322" i="57"/>
  <c r="E322" i="57"/>
  <c r="F322" i="57"/>
  <c r="A323" i="57"/>
  <c r="B323" i="57"/>
  <c r="C323" i="57"/>
  <c r="D323" i="57"/>
  <c r="E323" i="57"/>
  <c r="F323" i="57"/>
  <c r="A324" i="57"/>
  <c r="B324" i="57"/>
  <c r="C324" i="57"/>
  <c r="D324" i="57"/>
  <c r="E324" i="57"/>
  <c r="F324" i="57"/>
  <c r="A325" i="57"/>
  <c r="B325" i="57"/>
  <c r="C325" i="57"/>
  <c r="D325" i="57"/>
  <c r="E325" i="57"/>
  <c r="F325" i="57"/>
  <c r="A326" i="57"/>
  <c r="B326" i="57"/>
  <c r="C326" i="57"/>
  <c r="D326" i="57"/>
  <c r="E326" i="57"/>
  <c r="F326" i="57"/>
  <c r="A327" i="57"/>
  <c r="B327" i="57"/>
  <c r="C327" i="57"/>
  <c r="D327" i="57"/>
  <c r="E327" i="57"/>
  <c r="F327" i="57"/>
  <c r="A328" i="57"/>
  <c r="B328" i="57"/>
  <c r="C328" i="57"/>
  <c r="D328" i="57"/>
  <c r="E328" i="57"/>
  <c r="F328" i="57"/>
  <c r="A329" i="57"/>
  <c r="B329" i="57"/>
  <c r="C329" i="57"/>
  <c r="D329" i="57"/>
  <c r="E329" i="57"/>
  <c r="F329" i="57"/>
  <c r="A330" i="57"/>
  <c r="B330" i="57"/>
  <c r="C330" i="57"/>
  <c r="D330" i="57"/>
  <c r="E330" i="57"/>
  <c r="F330" i="57"/>
  <c r="A331" i="57"/>
  <c r="B331" i="57"/>
  <c r="C331" i="57"/>
  <c r="D331" i="57"/>
  <c r="E331" i="57"/>
  <c r="F331" i="57"/>
  <c r="A332" i="57"/>
  <c r="B332" i="57"/>
  <c r="C332" i="57"/>
  <c r="D332" i="57"/>
  <c r="E332" i="57"/>
  <c r="F332" i="57"/>
  <c r="A333" i="57"/>
  <c r="B333" i="57"/>
  <c r="C333" i="57"/>
  <c r="D333" i="57"/>
  <c r="E333" i="57"/>
  <c r="F333" i="57"/>
  <c r="A334" i="57"/>
  <c r="B334" i="57"/>
  <c r="C334" i="57"/>
  <c r="D334" i="57"/>
  <c r="E334" i="57"/>
  <c r="F334" i="57"/>
  <c r="A335" i="57"/>
  <c r="B335" i="57"/>
  <c r="C335" i="57"/>
  <c r="D335" i="57"/>
  <c r="E335" i="57"/>
  <c r="F335" i="57"/>
  <c r="A336" i="57"/>
  <c r="B336" i="57"/>
  <c r="C336" i="57"/>
  <c r="D336" i="57"/>
  <c r="E336" i="57"/>
  <c r="F336" i="57"/>
  <c r="A337" i="57"/>
  <c r="B337" i="57"/>
  <c r="C337" i="57"/>
  <c r="D337" i="57"/>
  <c r="E337" i="57"/>
  <c r="F337" i="57"/>
  <c r="A338" i="57"/>
  <c r="B338" i="57"/>
  <c r="C338" i="57"/>
  <c r="D338" i="57"/>
  <c r="E338" i="57"/>
  <c r="F338" i="57"/>
  <c r="A339" i="57"/>
  <c r="B339" i="57"/>
  <c r="C339" i="57"/>
  <c r="D339" i="57"/>
  <c r="E339" i="57"/>
  <c r="F339" i="57"/>
  <c r="A340" i="57"/>
  <c r="B340" i="57"/>
  <c r="C340" i="57"/>
  <c r="D340" i="57"/>
  <c r="E340" i="57"/>
  <c r="F340" i="57"/>
  <c r="A341" i="57"/>
  <c r="B341" i="57"/>
  <c r="C341" i="57"/>
  <c r="D341" i="57"/>
  <c r="E341" i="57"/>
  <c r="F341" i="57"/>
  <c r="A342" i="57"/>
  <c r="B342" i="57"/>
  <c r="C342" i="57"/>
  <c r="D342" i="57"/>
  <c r="E342" i="57"/>
  <c r="F342" i="57"/>
  <c r="A343" i="57"/>
  <c r="B343" i="57"/>
  <c r="C343" i="57"/>
  <c r="D343" i="57"/>
  <c r="E343" i="57"/>
  <c r="F343" i="57"/>
  <c r="A344" i="57"/>
  <c r="B344" i="57"/>
  <c r="C344" i="57"/>
  <c r="D344" i="57"/>
  <c r="E344" i="57"/>
  <c r="F344" i="57"/>
  <c r="A345" i="57"/>
  <c r="B345" i="57"/>
  <c r="C345" i="57"/>
  <c r="D345" i="57"/>
  <c r="E345" i="57"/>
  <c r="F345" i="57"/>
  <c r="A346" i="57"/>
  <c r="B346" i="57"/>
  <c r="C346" i="57"/>
  <c r="D346" i="57"/>
  <c r="E346" i="57"/>
  <c r="F346" i="57"/>
  <c r="A347" i="57"/>
  <c r="B347" i="57"/>
  <c r="C347" i="57"/>
  <c r="D347" i="57"/>
  <c r="E347" i="57"/>
  <c r="F347" i="57"/>
  <c r="A348" i="57"/>
  <c r="B348" i="57"/>
  <c r="C348" i="57"/>
  <c r="D348" i="57"/>
  <c r="E348" i="57"/>
  <c r="F348" i="57"/>
  <c r="A349" i="57"/>
  <c r="B349" i="57"/>
  <c r="C349" i="57"/>
  <c r="D349" i="57"/>
  <c r="E349" i="57"/>
  <c r="F349" i="57"/>
  <c r="A350" i="57"/>
  <c r="B350" i="57"/>
  <c r="C350" i="57"/>
  <c r="D350" i="57"/>
  <c r="E350" i="57"/>
  <c r="F350" i="57"/>
  <c r="A351" i="57"/>
  <c r="B351" i="57"/>
  <c r="C351" i="57"/>
  <c r="D351" i="57"/>
  <c r="E351" i="57"/>
  <c r="F351" i="57"/>
  <c r="A352" i="57"/>
  <c r="B352" i="57"/>
  <c r="C352" i="57"/>
  <c r="D352" i="57"/>
  <c r="E352" i="57"/>
  <c r="F352" i="57"/>
  <c r="A353" i="57"/>
  <c r="B353" i="57"/>
  <c r="C353" i="57"/>
  <c r="D353" i="57"/>
  <c r="E353" i="57"/>
  <c r="F353" i="57"/>
  <c r="A354" i="57"/>
  <c r="B354" i="57"/>
  <c r="C354" i="57"/>
  <c r="D354" i="57"/>
  <c r="E354" i="57"/>
  <c r="F354" i="57"/>
  <c r="A355" i="57"/>
  <c r="B355" i="57"/>
  <c r="C355" i="57"/>
  <c r="D355" i="57"/>
  <c r="E355" i="57"/>
  <c r="F355" i="57"/>
  <c r="A356" i="57"/>
  <c r="B356" i="57"/>
  <c r="C356" i="57"/>
  <c r="D356" i="57"/>
  <c r="E356" i="57"/>
  <c r="F356" i="57"/>
  <c r="A357" i="57"/>
  <c r="B357" i="57"/>
  <c r="C357" i="57"/>
  <c r="D357" i="57"/>
  <c r="E357" i="57"/>
  <c r="F357" i="57"/>
  <c r="A358" i="57"/>
  <c r="B358" i="57"/>
  <c r="C358" i="57"/>
  <c r="D358" i="57"/>
  <c r="E358" i="57"/>
  <c r="F358" i="57"/>
  <c r="A359" i="57"/>
  <c r="B359" i="57"/>
  <c r="C359" i="57"/>
  <c r="D359" i="57"/>
  <c r="E359" i="57"/>
  <c r="F359" i="57"/>
  <c r="A360" i="57"/>
  <c r="B360" i="57"/>
  <c r="C360" i="57"/>
  <c r="D360" i="57"/>
  <c r="E360" i="57"/>
  <c r="F360" i="57"/>
  <c r="A361" i="57"/>
  <c r="B361" i="57"/>
  <c r="C361" i="57"/>
  <c r="D361" i="57"/>
  <c r="E361" i="57"/>
  <c r="F361" i="57"/>
  <c r="A362" i="57"/>
  <c r="B362" i="57"/>
  <c r="C362" i="57"/>
  <c r="D362" i="57"/>
  <c r="E362" i="57"/>
  <c r="F362" i="57"/>
  <c r="A363" i="57"/>
  <c r="B363" i="57"/>
  <c r="C363" i="57"/>
  <c r="D363" i="57"/>
  <c r="E363" i="57"/>
  <c r="F363" i="57"/>
  <c r="A364" i="57"/>
  <c r="B364" i="57"/>
  <c r="C364" i="57"/>
  <c r="D364" i="57"/>
  <c r="E364" i="57"/>
  <c r="F364" i="57"/>
  <c r="A365" i="57"/>
  <c r="B365" i="57"/>
  <c r="C365" i="57"/>
  <c r="D365" i="57"/>
  <c r="E365" i="57"/>
  <c r="F365" i="57"/>
  <c r="A366" i="57"/>
  <c r="B366" i="57"/>
  <c r="C366" i="57"/>
  <c r="D366" i="57"/>
  <c r="E366" i="57"/>
  <c r="F366" i="57"/>
  <c r="A367" i="57"/>
  <c r="B367" i="57"/>
  <c r="C367" i="57"/>
  <c r="D367" i="57"/>
  <c r="E367" i="57"/>
  <c r="F367" i="57"/>
  <c r="A368" i="57"/>
  <c r="B368" i="57"/>
  <c r="C368" i="57"/>
  <c r="D368" i="57"/>
  <c r="E368" i="57"/>
  <c r="F368" i="57"/>
  <c r="A369" i="57"/>
  <c r="B369" i="57"/>
  <c r="C369" i="57"/>
  <c r="D369" i="57"/>
  <c r="E369" i="57"/>
  <c r="F369" i="57"/>
  <c r="A370" i="57"/>
  <c r="B370" i="57"/>
  <c r="C370" i="57"/>
  <c r="D370" i="57"/>
  <c r="E370" i="57"/>
  <c r="F370" i="57"/>
  <c r="A371" i="57"/>
  <c r="B371" i="57"/>
  <c r="C371" i="57"/>
  <c r="D371" i="57"/>
  <c r="E371" i="57"/>
  <c r="F371" i="57"/>
  <c r="A372" i="57"/>
  <c r="B372" i="57"/>
  <c r="C372" i="57"/>
  <c r="D372" i="57"/>
  <c r="E372" i="57"/>
  <c r="F372" i="57"/>
  <c r="A373" i="57"/>
  <c r="B373" i="57"/>
  <c r="C373" i="57"/>
  <c r="D373" i="57"/>
  <c r="E373" i="57"/>
  <c r="F373" i="57"/>
  <c r="A374" i="57"/>
  <c r="B374" i="57"/>
  <c r="C374" i="57"/>
  <c r="D374" i="57"/>
  <c r="E374" i="57"/>
  <c r="F374" i="57"/>
  <c r="A375" i="57"/>
  <c r="B375" i="57"/>
  <c r="C375" i="57"/>
  <c r="D375" i="57"/>
  <c r="E375" i="57"/>
  <c r="F375" i="57"/>
  <c r="A376" i="57"/>
  <c r="B376" i="57"/>
  <c r="C376" i="57"/>
  <c r="D376" i="57"/>
  <c r="E376" i="57"/>
  <c r="F376" i="57"/>
  <c r="A377" i="57"/>
  <c r="B377" i="57"/>
  <c r="C377" i="57"/>
  <c r="D377" i="57"/>
  <c r="E377" i="57"/>
  <c r="F377" i="57"/>
  <c r="A378" i="57"/>
  <c r="B378" i="57"/>
  <c r="C378" i="57"/>
  <c r="D378" i="57"/>
  <c r="E378" i="57"/>
  <c r="F378" i="57"/>
  <c r="A379" i="57"/>
  <c r="B379" i="57"/>
  <c r="C379" i="57"/>
  <c r="D379" i="57"/>
  <c r="E379" i="57"/>
  <c r="F379" i="57"/>
  <c r="A380" i="57"/>
  <c r="B380" i="57"/>
  <c r="C380" i="57"/>
  <c r="D380" i="57"/>
  <c r="E380" i="57"/>
  <c r="F380" i="57"/>
  <c r="A381" i="57"/>
  <c r="B381" i="57"/>
  <c r="C381" i="57"/>
  <c r="D381" i="57"/>
  <c r="E381" i="57"/>
  <c r="F381" i="57"/>
  <c r="A382" i="57"/>
  <c r="B382" i="57"/>
  <c r="C382" i="57"/>
  <c r="D382" i="57"/>
  <c r="E382" i="57"/>
  <c r="F382" i="57"/>
  <c r="A383" i="57"/>
  <c r="B383" i="57"/>
  <c r="C383" i="57"/>
  <c r="D383" i="57"/>
  <c r="E383" i="57"/>
  <c r="F383" i="57"/>
  <c r="A384" i="57"/>
  <c r="B384" i="57"/>
  <c r="C384" i="57"/>
  <c r="D384" i="57"/>
  <c r="E384" i="57"/>
  <c r="F384" i="57"/>
  <c r="A385" i="57"/>
  <c r="B385" i="57"/>
  <c r="C385" i="57"/>
  <c r="D385" i="57"/>
  <c r="E385" i="57"/>
  <c r="F385" i="57"/>
  <c r="A386" i="57"/>
  <c r="B386" i="57"/>
  <c r="C386" i="57"/>
  <c r="D386" i="57"/>
  <c r="E386" i="57"/>
  <c r="F386" i="57"/>
  <c r="A387" i="57"/>
  <c r="B387" i="57"/>
  <c r="C387" i="57"/>
  <c r="D387" i="57"/>
  <c r="E387" i="57"/>
  <c r="F387" i="57"/>
  <c r="A388" i="57"/>
  <c r="B388" i="57"/>
  <c r="C388" i="57"/>
  <c r="D388" i="57"/>
  <c r="E388" i="57"/>
  <c r="F388" i="57"/>
  <c r="A389" i="57"/>
  <c r="B389" i="57"/>
  <c r="C389" i="57"/>
  <c r="D389" i="57"/>
  <c r="E389" i="57"/>
  <c r="F389" i="57"/>
  <c r="F291" i="57"/>
  <c r="E291" i="57"/>
  <c r="D291" i="57"/>
  <c r="C291" i="57"/>
  <c r="B291" i="57"/>
  <c r="A291" i="57"/>
  <c r="F290" i="57"/>
  <c r="E290" i="57"/>
  <c r="D290" i="57"/>
  <c r="C290" i="57"/>
  <c r="B290" i="57"/>
  <c r="A290" i="57"/>
  <c r="F289" i="57"/>
  <c r="E289" i="57"/>
  <c r="D289" i="57"/>
  <c r="C289" i="57"/>
  <c r="B289" i="57"/>
  <c r="A289" i="57"/>
  <c r="A261" i="57"/>
  <c r="B261" i="57"/>
  <c r="C261" i="57"/>
  <c r="D261" i="57"/>
  <c r="E261" i="57"/>
  <c r="F261" i="57"/>
  <c r="A262" i="57"/>
  <c r="B262" i="57"/>
  <c r="C262" i="57"/>
  <c r="D262" i="57"/>
  <c r="E262" i="57"/>
  <c r="F262" i="57"/>
  <c r="A263" i="57"/>
  <c r="B263" i="57"/>
  <c r="C263" i="57"/>
  <c r="D263" i="57"/>
  <c r="E263" i="57"/>
  <c r="F263" i="57"/>
  <c r="A264" i="57"/>
  <c r="B264" i="57"/>
  <c r="C264" i="57"/>
  <c r="D264" i="57"/>
  <c r="E264" i="57"/>
  <c r="F264" i="57"/>
  <c r="A265" i="57"/>
  <c r="B265" i="57"/>
  <c r="C265" i="57"/>
  <c r="D265" i="57"/>
  <c r="E265" i="57"/>
  <c r="F265" i="57"/>
  <c r="A266" i="57"/>
  <c r="B266" i="57"/>
  <c r="C266" i="57"/>
  <c r="D266" i="57"/>
  <c r="E266" i="57"/>
  <c r="F266" i="57"/>
  <c r="A267" i="57"/>
  <c r="B267" i="57"/>
  <c r="C267" i="57"/>
  <c r="D267" i="57"/>
  <c r="E267" i="57"/>
  <c r="F267" i="57"/>
  <c r="A268" i="57"/>
  <c r="B268" i="57"/>
  <c r="C268" i="57"/>
  <c r="D268" i="57"/>
  <c r="E268" i="57"/>
  <c r="F268" i="57"/>
  <c r="A269" i="57"/>
  <c r="B269" i="57"/>
  <c r="C269" i="57"/>
  <c r="D269" i="57"/>
  <c r="E269" i="57"/>
  <c r="F269" i="57"/>
  <c r="A270" i="57"/>
  <c r="B270" i="57"/>
  <c r="C270" i="57"/>
  <c r="D270" i="57"/>
  <c r="E270" i="57"/>
  <c r="F270" i="57"/>
  <c r="A271" i="57"/>
  <c r="B271" i="57"/>
  <c r="C271" i="57"/>
  <c r="D271" i="57"/>
  <c r="E271" i="57"/>
  <c r="F271" i="57"/>
  <c r="A272" i="57"/>
  <c r="B272" i="57"/>
  <c r="C272" i="57"/>
  <c r="D272" i="57"/>
  <c r="E272" i="57"/>
  <c r="F272" i="57"/>
  <c r="A273" i="57"/>
  <c r="B273" i="57"/>
  <c r="C273" i="57"/>
  <c r="D273" i="57"/>
  <c r="E273" i="57"/>
  <c r="F273" i="57"/>
  <c r="A274" i="57"/>
  <c r="B274" i="57"/>
  <c r="C274" i="57"/>
  <c r="D274" i="57"/>
  <c r="E274" i="57"/>
  <c r="F274" i="57"/>
  <c r="A275" i="57"/>
  <c r="B275" i="57"/>
  <c r="C275" i="57"/>
  <c r="D275" i="57"/>
  <c r="E275" i="57"/>
  <c r="F275" i="57"/>
  <c r="A276" i="57"/>
  <c r="B276" i="57"/>
  <c r="C276" i="57"/>
  <c r="D276" i="57"/>
  <c r="E276" i="57"/>
  <c r="F276" i="57"/>
  <c r="A277" i="57"/>
  <c r="B277" i="57"/>
  <c r="C277" i="57"/>
  <c r="D277" i="57"/>
  <c r="E277" i="57"/>
  <c r="F277" i="57"/>
  <c r="A278" i="57"/>
  <c r="B278" i="57"/>
  <c r="C278" i="57"/>
  <c r="D278" i="57"/>
  <c r="E278" i="57"/>
  <c r="F278" i="57"/>
  <c r="A279" i="57"/>
  <c r="B279" i="57"/>
  <c r="C279" i="57"/>
  <c r="D279" i="57"/>
  <c r="E279" i="57"/>
  <c r="F279" i="57"/>
  <c r="A280" i="57"/>
  <c r="B280" i="57"/>
  <c r="C280" i="57"/>
  <c r="D280" i="57"/>
  <c r="E280" i="57"/>
  <c r="F280" i="57"/>
  <c r="A281" i="57"/>
  <c r="B281" i="57"/>
  <c r="C281" i="57"/>
  <c r="D281" i="57"/>
  <c r="E281" i="57"/>
  <c r="F281" i="57"/>
  <c r="A282" i="57"/>
  <c r="B282" i="57"/>
  <c r="C282" i="57"/>
  <c r="D282" i="57"/>
  <c r="E282" i="57"/>
  <c r="F282" i="57"/>
  <c r="A283" i="57"/>
  <c r="B283" i="57"/>
  <c r="C283" i="57"/>
  <c r="D283" i="57"/>
  <c r="E283" i="57"/>
  <c r="F283" i="57"/>
  <c r="A284" i="57"/>
  <c r="B284" i="57"/>
  <c r="C284" i="57"/>
  <c r="D284" i="57"/>
  <c r="E284" i="57"/>
  <c r="F284" i="57"/>
  <c r="A285" i="57"/>
  <c r="B285" i="57"/>
  <c r="C285" i="57"/>
  <c r="D285" i="57"/>
  <c r="E285" i="57"/>
  <c r="F285" i="57"/>
  <c r="A286" i="57"/>
  <c r="B286" i="57"/>
  <c r="C286" i="57"/>
  <c r="D286" i="57"/>
  <c r="E286" i="57"/>
  <c r="F286" i="57"/>
  <c r="F260" i="57"/>
  <c r="E260" i="57"/>
  <c r="D260" i="57"/>
  <c r="C260" i="57"/>
  <c r="B260" i="57"/>
  <c r="A260" i="57"/>
  <c r="F259" i="57"/>
  <c r="E259" i="57"/>
  <c r="D259" i="57"/>
  <c r="C259" i="57"/>
  <c r="B259" i="57"/>
  <c r="A259" i="57"/>
  <c r="F258" i="57"/>
  <c r="E258" i="57"/>
  <c r="D258" i="57"/>
  <c r="C258" i="57"/>
  <c r="B258" i="57"/>
  <c r="A258" i="57"/>
  <c r="F257" i="57"/>
  <c r="E257" i="57"/>
  <c r="D257" i="57"/>
  <c r="C257" i="57"/>
  <c r="B257" i="57"/>
  <c r="A257" i="57"/>
  <c r="F256" i="57"/>
  <c r="E256" i="57"/>
  <c r="D256" i="57"/>
  <c r="C256" i="57"/>
  <c r="B256" i="57"/>
  <c r="A256" i="57"/>
  <c r="F255" i="57"/>
  <c r="E255" i="57"/>
  <c r="D255" i="57"/>
  <c r="C255" i="57"/>
  <c r="B255" i="57"/>
  <c r="A255" i="57"/>
  <c r="F254" i="57"/>
  <c r="E254" i="57"/>
  <c r="D254" i="57"/>
  <c r="C254" i="57"/>
  <c r="B254" i="57"/>
  <c r="A254" i="57"/>
  <c r="F253" i="57"/>
  <c r="E253" i="57"/>
  <c r="D253" i="57"/>
  <c r="C253" i="57"/>
  <c r="B253" i="57"/>
  <c r="A253" i="57"/>
  <c r="F252" i="57"/>
  <c r="E252" i="57"/>
  <c r="D252" i="57"/>
  <c r="C252" i="57"/>
  <c r="B252" i="57"/>
  <c r="A252" i="57"/>
  <c r="F251" i="57"/>
  <c r="E251" i="57"/>
  <c r="D251" i="57"/>
  <c r="C251" i="57"/>
  <c r="B251" i="57"/>
  <c r="A251" i="57"/>
  <c r="F250" i="57"/>
  <c r="E250" i="57"/>
  <c r="D250" i="57"/>
  <c r="C250" i="57"/>
  <c r="B250" i="57"/>
  <c r="A250" i="57"/>
  <c r="F249" i="57"/>
  <c r="E249" i="57"/>
  <c r="D249" i="57"/>
  <c r="C249" i="57"/>
  <c r="B249" i="57"/>
  <c r="A249" i="57"/>
  <c r="F248" i="57"/>
  <c r="E248" i="57"/>
  <c r="D248" i="57"/>
  <c r="C248" i="57"/>
  <c r="B248" i="57"/>
  <c r="A248" i="57"/>
  <c r="F247" i="57"/>
  <c r="E247" i="57"/>
  <c r="D247" i="57"/>
  <c r="C247" i="57"/>
  <c r="B247" i="57"/>
  <c r="A247" i="57"/>
  <c r="F246" i="57"/>
  <c r="E246" i="57"/>
  <c r="D246" i="57"/>
  <c r="C246" i="57"/>
  <c r="B246" i="57"/>
  <c r="A246" i="57"/>
  <c r="F245" i="57"/>
  <c r="E245" i="57"/>
  <c r="D245" i="57"/>
  <c r="C245" i="57"/>
  <c r="B245" i="57"/>
  <c r="A245" i="57"/>
  <c r="F244" i="57"/>
  <c r="E244" i="57"/>
  <c r="D244" i="57"/>
  <c r="C244" i="57"/>
  <c r="B244" i="57"/>
  <c r="A244" i="57"/>
  <c r="A240" i="57"/>
  <c r="B240" i="57"/>
  <c r="C240" i="57"/>
  <c r="D240" i="57"/>
  <c r="E240" i="57"/>
  <c r="F240" i="57"/>
  <c r="A241" i="57"/>
  <c r="B241" i="57"/>
  <c r="C241" i="57"/>
  <c r="D241" i="57"/>
  <c r="E241" i="57"/>
  <c r="F241" i="57"/>
  <c r="F239" i="57"/>
  <c r="E239" i="57"/>
  <c r="D239" i="57"/>
  <c r="C239" i="57"/>
  <c r="B239" i="57"/>
  <c r="A239" i="57"/>
  <c r="F238" i="57"/>
  <c r="E238" i="57"/>
  <c r="D238" i="57"/>
  <c r="C238" i="57"/>
  <c r="B238" i="57"/>
  <c r="A238" i="57"/>
  <c r="F237" i="57"/>
  <c r="E237" i="57"/>
  <c r="D237" i="57"/>
  <c r="C237" i="57"/>
  <c r="B237" i="57"/>
  <c r="A237" i="57"/>
  <c r="F236" i="57"/>
  <c r="E236" i="57"/>
  <c r="D236" i="57"/>
  <c r="C236" i="57"/>
  <c r="B236" i="57"/>
  <c r="A236" i="57"/>
  <c r="F235" i="57"/>
  <c r="E235" i="57"/>
  <c r="D235" i="57"/>
  <c r="C235" i="57"/>
  <c r="B235" i="57"/>
  <c r="A235" i="57"/>
  <c r="F234" i="57"/>
  <c r="E234" i="57"/>
  <c r="D234" i="57"/>
  <c r="C234" i="57"/>
  <c r="B234" i="57"/>
  <c r="A234" i="57"/>
  <c r="F233" i="57"/>
  <c r="E233" i="57"/>
  <c r="D233" i="57"/>
  <c r="C233" i="57"/>
  <c r="B233" i="57"/>
  <c r="A233" i="57"/>
  <c r="F232" i="57"/>
  <c r="E232" i="57"/>
  <c r="D232" i="57"/>
  <c r="C232" i="57"/>
  <c r="B232" i="57"/>
  <c r="A232" i="57"/>
  <c r="F231" i="57"/>
  <c r="E231" i="57"/>
  <c r="D231" i="57"/>
  <c r="C231" i="57"/>
  <c r="B231" i="57"/>
  <c r="A231" i="57"/>
  <c r="F230" i="57"/>
  <c r="E230" i="57"/>
  <c r="D230" i="57"/>
  <c r="C230" i="57"/>
  <c r="B230" i="57"/>
  <c r="A230" i="57"/>
  <c r="F229" i="57"/>
  <c r="E229" i="57"/>
  <c r="D229" i="57"/>
  <c r="C229" i="57"/>
  <c r="B229" i="57"/>
  <c r="A229" i="57"/>
  <c r="F228" i="57"/>
  <c r="E228" i="57"/>
  <c r="D228" i="57"/>
  <c r="C228" i="57"/>
  <c r="B228" i="57"/>
  <c r="A228" i="57"/>
  <c r="F227" i="57"/>
  <c r="E227" i="57"/>
  <c r="D227" i="57"/>
  <c r="C227" i="57"/>
  <c r="B227" i="57"/>
  <c r="A227" i="57"/>
  <c r="F226" i="57"/>
  <c r="E226" i="57"/>
  <c r="D226" i="57"/>
  <c r="C226" i="57"/>
  <c r="B226" i="57"/>
  <c r="A226" i="57"/>
  <c r="F225" i="57"/>
  <c r="E225" i="57"/>
  <c r="D225" i="57"/>
  <c r="C225" i="57"/>
  <c r="B225" i="57"/>
  <c r="A225" i="57"/>
  <c r="A211" i="57"/>
  <c r="B211" i="57"/>
  <c r="C211" i="57"/>
  <c r="D211" i="57"/>
  <c r="E211" i="57"/>
  <c r="F211" i="57"/>
  <c r="A212" i="57"/>
  <c r="B212" i="57"/>
  <c r="C212" i="57"/>
  <c r="D212" i="57"/>
  <c r="E212" i="57"/>
  <c r="F212" i="57"/>
  <c r="A213" i="57"/>
  <c r="B213" i="57"/>
  <c r="C213" i="57"/>
  <c r="D213" i="57"/>
  <c r="E213" i="57"/>
  <c r="F213" i="57"/>
  <c r="A214" i="57"/>
  <c r="B214" i="57"/>
  <c r="C214" i="57"/>
  <c r="D214" i="57"/>
  <c r="E214" i="57"/>
  <c r="F214" i="57"/>
  <c r="A215" i="57"/>
  <c r="B215" i="57"/>
  <c r="C215" i="57"/>
  <c r="D215" i="57"/>
  <c r="E215" i="57"/>
  <c r="F215" i="57"/>
  <c r="A216" i="57"/>
  <c r="B216" i="57"/>
  <c r="C216" i="57"/>
  <c r="D216" i="57"/>
  <c r="E216" i="57"/>
  <c r="F216" i="57"/>
  <c r="A217" i="57"/>
  <c r="B217" i="57"/>
  <c r="C217" i="57"/>
  <c r="D217" i="57"/>
  <c r="E217" i="57"/>
  <c r="F217" i="57"/>
  <c r="A218" i="57"/>
  <c r="B218" i="57"/>
  <c r="C218" i="57"/>
  <c r="D218" i="57"/>
  <c r="E218" i="57"/>
  <c r="F218" i="57"/>
  <c r="A219" i="57"/>
  <c r="B219" i="57"/>
  <c r="C219" i="57"/>
  <c r="D219" i="57"/>
  <c r="E219" i="57"/>
  <c r="F219" i="57"/>
  <c r="A220" i="57"/>
  <c r="B220" i="57"/>
  <c r="C220" i="57"/>
  <c r="D220" i="57"/>
  <c r="E220" i="57"/>
  <c r="F220" i="57"/>
  <c r="A221" i="57"/>
  <c r="B221" i="57"/>
  <c r="C221" i="57"/>
  <c r="D221" i="57"/>
  <c r="E221" i="57"/>
  <c r="F221" i="57"/>
  <c r="A222" i="57"/>
  <c r="B222" i="57"/>
  <c r="C222" i="57"/>
  <c r="D222" i="57"/>
  <c r="E222" i="57"/>
  <c r="F222" i="57"/>
  <c r="F210" i="57"/>
  <c r="E210" i="57"/>
  <c r="D210" i="57"/>
  <c r="C210" i="57"/>
  <c r="B210" i="57"/>
  <c r="A210" i="57"/>
  <c r="F209" i="57"/>
  <c r="E209" i="57"/>
  <c r="D209" i="57"/>
  <c r="C209" i="57"/>
  <c r="B209" i="57"/>
  <c r="A209" i="57"/>
  <c r="F208" i="57"/>
  <c r="E208" i="57"/>
  <c r="D208" i="57"/>
  <c r="C208" i="57"/>
  <c r="B208" i="57"/>
  <c r="A208" i="57"/>
  <c r="A131" i="57"/>
  <c r="B131" i="57"/>
  <c r="C131" i="57"/>
  <c r="D131" i="57"/>
  <c r="E131" i="57"/>
  <c r="F131" i="57"/>
  <c r="A132" i="57"/>
  <c r="B132" i="57"/>
  <c r="C132" i="57"/>
  <c r="D132" i="57"/>
  <c r="E132" i="57"/>
  <c r="F132" i="57"/>
  <c r="A133" i="57"/>
  <c r="B133" i="57"/>
  <c r="C133" i="57"/>
  <c r="D133" i="57"/>
  <c r="E133" i="57"/>
  <c r="F133" i="57"/>
  <c r="A134" i="57"/>
  <c r="B134" i="57"/>
  <c r="C134" i="57"/>
  <c r="D134" i="57"/>
  <c r="E134" i="57"/>
  <c r="F134" i="57"/>
  <c r="A135" i="57"/>
  <c r="B135" i="57"/>
  <c r="C135" i="57"/>
  <c r="D135" i="57"/>
  <c r="E135" i="57"/>
  <c r="F135" i="57"/>
  <c r="A136" i="57"/>
  <c r="B136" i="57"/>
  <c r="C136" i="57"/>
  <c r="D136" i="57"/>
  <c r="E136" i="57"/>
  <c r="F136" i="57"/>
  <c r="A137" i="57"/>
  <c r="B137" i="57"/>
  <c r="C137" i="57"/>
  <c r="D137" i="57"/>
  <c r="E137" i="57"/>
  <c r="F137" i="57"/>
  <c r="A138" i="57"/>
  <c r="B138" i="57"/>
  <c r="C138" i="57"/>
  <c r="D138" i="57"/>
  <c r="E138" i="57"/>
  <c r="F138" i="57"/>
  <c r="A139" i="57"/>
  <c r="B139" i="57"/>
  <c r="C139" i="57"/>
  <c r="D139" i="57"/>
  <c r="E139" i="57"/>
  <c r="F139" i="57"/>
  <c r="A140" i="57"/>
  <c r="B140" i="57"/>
  <c r="C140" i="57"/>
  <c r="D140" i="57"/>
  <c r="E140" i="57"/>
  <c r="F140" i="57"/>
  <c r="A141" i="57"/>
  <c r="B141" i="57"/>
  <c r="C141" i="57"/>
  <c r="D141" i="57"/>
  <c r="E141" i="57"/>
  <c r="F141" i="57"/>
  <c r="A142" i="57"/>
  <c r="B142" i="57"/>
  <c r="C142" i="57"/>
  <c r="D142" i="57"/>
  <c r="E142" i="57"/>
  <c r="F142" i="57"/>
  <c r="A143" i="57"/>
  <c r="B143" i="57"/>
  <c r="C143" i="57"/>
  <c r="D143" i="57"/>
  <c r="E143" i="57"/>
  <c r="F143" i="57"/>
  <c r="A144" i="57"/>
  <c r="B144" i="57"/>
  <c r="C144" i="57"/>
  <c r="D144" i="57"/>
  <c r="E144" i="57"/>
  <c r="F144" i="57"/>
  <c r="A145" i="57"/>
  <c r="B145" i="57"/>
  <c r="C145" i="57"/>
  <c r="D145" i="57"/>
  <c r="E145" i="57"/>
  <c r="F145" i="57"/>
  <c r="A146" i="57"/>
  <c r="B146" i="57"/>
  <c r="C146" i="57"/>
  <c r="D146" i="57"/>
  <c r="E146" i="57"/>
  <c r="F146" i="57"/>
  <c r="A147" i="57"/>
  <c r="B147" i="57"/>
  <c r="C147" i="57"/>
  <c r="D147" i="57"/>
  <c r="E147" i="57"/>
  <c r="F147" i="57"/>
  <c r="A148" i="57"/>
  <c r="B148" i="57"/>
  <c r="C148" i="57"/>
  <c r="D148" i="57"/>
  <c r="E148" i="57"/>
  <c r="F148" i="57"/>
  <c r="A149" i="57"/>
  <c r="B149" i="57"/>
  <c r="C149" i="57"/>
  <c r="D149" i="57"/>
  <c r="E149" i="57"/>
  <c r="F149" i="57"/>
  <c r="A150" i="57"/>
  <c r="B150" i="57"/>
  <c r="C150" i="57"/>
  <c r="D150" i="57"/>
  <c r="E150" i="57"/>
  <c r="F150" i="57"/>
  <c r="A151" i="57"/>
  <c r="B151" i="57"/>
  <c r="C151" i="57"/>
  <c r="D151" i="57"/>
  <c r="E151" i="57"/>
  <c r="F151" i="57"/>
  <c r="A152" i="57"/>
  <c r="B152" i="57"/>
  <c r="C152" i="57"/>
  <c r="D152" i="57"/>
  <c r="E152" i="57"/>
  <c r="F152" i="57"/>
  <c r="A153" i="57"/>
  <c r="B153" i="57"/>
  <c r="C153" i="57"/>
  <c r="D153" i="57"/>
  <c r="E153" i="57"/>
  <c r="F153" i="57"/>
  <c r="A154" i="57"/>
  <c r="B154" i="57"/>
  <c r="C154" i="57"/>
  <c r="D154" i="57"/>
  <c r="E154" i="57"/>
  <c r="F154" i="57"/>
  <c r="A155" i="57"/>
  <c r="B155" i="57"/>
  <c r="C155" i="57"/>
  <c r="D155" i="57"/>
  <c r="E155" i="57"/>
  <c r="F155" i="57"/>
  <c r="A156" i="57"/>
  <c r="B156" i="57"/>
  <c r="C156" i="57"/>
  <c r="D156" i="57"/>
  <c r="E156" i="57"/>
  <c r="F156" i="57"/>
  <c r="A157" i="57"/>
  <c r="B157" i="57"/>
  <c r="C157" i="57"/>
  <c r="D157" i="57"/>
  <c r="E157" i="57"/>
  <c r="F157" i="57"/>
  <c r="A158" i="57"/>
  <c r="B158" i="57"/>
  <c r="C158" i="57"/>
  <c r="D158" i="57"/>
  <c r="E158" i="57"/>
  <c r="F158" i="57"/>
  <c r="A159" i="57"/>
  <c r="B159" i="57"/>
  <c r="C159" i="57"/>
  <c r="D159" i="57"/>
  <c r="E159" i="57"/>
  <c r="F159" i="57"/>
  <c r="A160" i="57"/>
  <c r="B160" i="57"/>
  <c r="C160" i="57"/>
  <c r="D160" i="57"/>
  <c r="E160" i="57"/>
  <c r="F160" i="57"/>
  <c r="A161" i="57"/>
  <c r="B161" i="57"/>
  <c r="C161" i="57"/>
  <c r="D161" i="57"/>
  <c r="E161" i="57"/>
  <c r="F161" i="57"/>
  <c r="A162" i="57"/>
  <c r="B162" i="57"/>
  <c r="C162" i="57"/>
  <c r="D162" i="57"/>
  <c r="E162" i="57"/>
  <c r="F162" i="57"/>
  <c r="A163" i="57"/>
  <c r="B163" i="57"/>
  <c r="C163" i="57"/>
  <c r="D163" i="57"/>
  <c r="E163" i="57"/>
  <c r="F163" i="57"/>
  <c r="A164" i="57"/>
  <c r="B164" i="57"/>
  <c r="C164" i="57"/>
  <c r="D164" i="57"/>
  <c r="E164" i="57"/>
  <c r="F164" i="57"/>
  <c r="A165" i="57"/>
  <c r="B165" i="57"/>
  <c r="C165" i="57"/>
  <c r="D165" i="57"/>
  <c r="E165" i="57"/>
  <c r="F165" i="57"/>
  <c r="A166" i="57"/>
  <c r="B166" i="57"/>
  <c r="C166" i="57"/>
  <c r="D166" i="57"/>
  <c r="E166" i="57"/>
  <c r="F166" i="57"/>
  <c r="A167" i="57"/>
  <c r="B167" i="57"/>
  <c r="C167" i="57"/>
  <c r="D167" i="57"/>
  <c r="E167" i="57"/>
  <c r="F167" i="57"/>
  <c r="A168" i="57"/>
  <c r="B168" i="57"/>
  <c r="C168" i="57"/>
  <c r="D168" i="57"/>
  <c r="E168" i="57"/>
  <c r="F168" i="57"/>
  <c r="A169" i="57"/>
  <c r="B169" i="57"/>
  <c r="C169" i="57"/>
  <c r="D169" i="57"/>
  <c r="E169" i="57"/>
  <c r="F169" i="57"/>
  <c r="A170" i="57"/>
  <c r="B170" i="57"/>
  <c r="C170" i="57"/>
  <c r="D170" i="57"/>
  <c r="E170" i="57"/>
  <c r="F170" i="57"/>
  <c r="A171" i="57"/>
  <c r="B171" i="57"/>
  <c r="C171" i="57"/>
  <c r="D171" i="57"/>
  <c r="E171" i="57"/>
  <c r="F171" i="57"/>
  <c r="A172" i="57"/>
  <c r="B172" i="57"/>
  <c r="C172" i="57"/>
  <c r="D172" i="57"/>
  <c r="E172" i="57"/>
  <c r="F172" i="57"/>
  <c r="A173" i="57"/>
  <c r="B173" i="57"/>
  <c r="C173" i="57"/>
  <c r="D173" i="57"/>
  <c r="E173" i="57"/>
  <c r="F173" i="57"/>
  <c r="A174" i="57"/>
  <c r="B174" i="57"/>
  <c r="C174" i="57"/>
  <c r="D174" i="57"/>
  <c r="E174" i="57"/>
  <c r="F174" i="57"/>
  <c r="A175" i="57"/>
  <c r="B175" i="57"/>
  <c r="C175" i="57"/>
  <c r="D175" i="57"/>
  <c r="E175" i="57"/>
  <c r="F175" i="57"/>
  <c r="A176" i="57"/>
  <c r="B176" i="57"/>
  <c r="C176" i="57"/>
  <c r="D176" i="57"/>
  <c r="E176" i="57"/>
  <c r="F176" i="57"/>
  <c r="A177" i="57"/>
  <c r="B177" i="57"/>
  <c r="C177" i="57"/>
  <c r="D177" i="57"/>
  <c r="E177" i="57"/>
  <c r="F177" i="57"/>
  <c r="A178" i="57"/>
  <c r="B178" i="57"/>
  <c r="C178" i="57"/>
  <c r="D178" i="57"/>
  <c r="E178" i="57"/>
  <c r="F178" i="57"/>
  <c r="A179" i="57"/>
  <c r="B179" i="57"/>
  <c r="C179" i="57"/>
  <c r="D179" i="57"/>
  <c r="E179" i="57"/>
  <c r="F179" i="57"/>
  <c r="A180" i="57"/>
  <c r="B180" i="57"/>
  <c r="C180" i="57"/>
  <c r="D180" i="57"/>
  <c r="E180" i="57"/>
  <c r="F180" i="57"/>
  <c r="A181" i="57"/>
  <c r="B181" i="57"/>
  <c r="C181" i="57"/>
  <c r="D181" i="57"/>
  <c r="E181" i="57"/>
  <c r="F181" i="57"/>
  <c r="A182" i="57"/>
  <c r="B182" i="57"/>
  <c r="C182" i="57"/>
  <c r="D182" i="57"/>
  <c r="E182" i="57"/>
  <c r="F182" i="57"/>
  <c r="A183" i="57"/>
  <c r="B183" i="57"/>
  <c r="C183" i="57"/>
  <c r="D183" i="57"/>
  <c r="E183" i="57"/>
  <c r="F183" i="57"/>
  <c r="A184" i="57"/>
  <c r="B184" i="57"/>
  <c r="C184" i="57"/>
  <c r="D184" i="57"/>
  <c r="E184" i="57"/>
  <c r="F184" i="57"/>
  <c r="A185" i="57"/>
  <c r="B185" i="57"/>
  <c r="C185" i="57"/>
  <c r="D185" i="57"/>
  <c r="E185" i="57"/>
  <c r="F185" i="57"/>
  <c r="A186" i="57"/>
  <c r="B186" i="57"/>
  <c r="C186" i="57"/>
  <c r="D186" i="57"/>
  <c r="E186" i="57"/>
  <c r="F186" i="57"/>
  <c r="A187" i="57"/>
  <c r="B187" i="57"/>
  <c r="C187" i="57"/>
  <c r="D187" i="57"/>
  <c r="E187" i="57"/>
  <c r="F187" i="57"/>
  <c r="A188" i="57"/>
  <c r="B188" i="57"/>
  <c r="C188" i="57"/>
  <c r="D188" i="57"/>
  <c r="E188" i="57"/>
  <c r="F188" i="57"/>
  <c r="A189" i="57"/>
  <c r="B189" i="57"/>
  <c r="C189" i="57"/>
  <c r="D189" i="57"/>
  <c r="E189" i="57"/>
  <c r="F189" i="57"/>
  <c r="A190" i="57"/>
  <c r="B190" i="57"/>
  <c r="C190" i="57"/>
  <c r="D190" i="57"/>
  <c r="E190" i="57"/>
  <c r="F190" i="57"/>
  <c r="A191" i="57"/>
  <c r="B191" i="57"/>
  <c r="C191" i="57"/>
  <c r="D191" i="57"/>
  <c r="E191" i="57"/>
  <c r="F191" i="57"/>
  <c r="A192" i="57"/>
  <c r="B192" i="57"/>
  <c r="C192" i="57"/>
  <c r="D192" i="57"/>
  <c r="E192" i="57"/>
  <c r="F192" i="57"/>
  <c r="A193" i="57"/>
  <c r="B193" i="57"/>
  <c r="C193" i="57"/>
  <c r="D193" i="57"/>
  <c r="E193" i="57"/>
  <c r="F193" i="57"/>
  <c r="A194" i="57"/>
  <c r="B194" i="57"/>
  <c r="C194" i="57"/>
  <c r="D194" i="57"/>
  <c r="E194" i="57"/>
  <c r="F194" i="57"/>
  <c r="A195" i="57"/>
  <c r="B195" i="57"/>
  <c r="C195" i="57"/>
  <c r="D195" i="57"/>
  <c r="E195" i="57"/>
  <c r="F195" i="57"/>
  <c r="A196" i="57"/>
  <c r="B196" i="57"/>
  <c r="C196" i="57"/>
  <c r="D196" i="57"/>
  <c r="E196" i="57"/>
  <c r="F196" i="57"/>
  <c r="A197" i="57"/>
  <c r="B197" i="57"/>
  <c r="C197" i="57"/>
  <c r="D197" i="57"/>
  <c r="E197" i="57"/>
  <c r="F197" i="57"/>
  <c r="A198" i="57"/>
  <c r="B198" i="57"/>
  <c r="C198" i="57"/>
  <c r="D198" i="57"/>
  <c r="E198" i="57"/>
  <c r="F198" i="57"/>
  <c r="A199" i="57"/>
  <c r="B199" i="57"/>
  <c r="C199" i="57"/>
  <c r="D199" i="57"/>
  <c r="E199" i="57"/>
  <c r="F199" i="57"/>
  <c r="A200" i="57"/>
  <c r="B200" i="57"/>
  <c r="C200" i="57"/>
  <c r="D200" i="57"/>
  <c r="E200" i="57"/>
  <c r="F200" i="57"/>
  <c r="A201" i="57"/>
  <c r="B201" i="57"/>
  <c r="C201" i="57"/>
  <c r="D201" i="57"/>
  <c r="E201" i="57"/>
  <c r="F201" i="57"/>
  <c r="A202" i="57"/>
  <c r="B202" i="57"/>
  <c r="C202" i="57"/>
  <c r="D202" i="57"/>
  <c r="E202" i="57"/>
  <c r="F202" i="57"/>
  <c r="A203" i="57"/>
  <c r="B203" i="57"/>
  <c r="C203" i="57"/>
  <c r="D203" i="57"/>
  <c r="E203" i="57"/>
  <c r="F203" i="57"/>
  <c r="A204" i="57"/>
  <c r="B204" i="57"/>
  <c r="C204" i="57"/>
  <c r="D204" i="57"/>
  <c r="E204" i="57"/>
  <c r="F204" i="57"/>
  <c r="A205" i="57"/>
  <c r="B205" i="57"/>
  <c r="C205" i="57"/>
  <c r="D205" i="57"/>
  <c r="E205" i="57"/>
  <c r="F205" i="57"/>
  <c r="A206" i="57"/>
  <c r="B206" i="57"/>
  <c r="C206" i="57"/>
  <c r="D206" i="57"/>
  <c r="E206" i="57"/>
  <c r="F206" i="57"/>
  <c r="A207" i="57"/>
  <c r="B207" i="57"/>
  <c r="C207" i="57"/>
  <c r="D207" i="57"/>
  <c r="E207" i="57"/>
  <c r="F207" i="57"/>
  <c r="F130" i="57"/>
  <c r="E130" i="57"/>
  <c r="D130" i="57"/>
  <c r="C130" i="57"/>
  <c r="B130" i="57"/>
  <c r="A130" i="57"/>
  <c r="F129" i="57"/>
  <c r="E129" i="57"/>
  <c r="D129" i="57"/>
  <c r="C129" i="57"/>
  <c r="B129" i="57"/>
  <c r="A129" i="57"/>
  <c r="F128" i="57"/>
  <c r="E128" i="57"/>
  <c r="D128" i="57"/>
  <c r="C128" i="57"/>
  <c r="B128" i="57"/>
  <c r="A128" i="57"/>
  <c r="A71" i="57"/>
  <c r="B71" i="57"/>
  <c r="C71" i="57"/>
  <c r="D71" i="57"/>
  <c r="E71" i="57"/>
  <c r="F71" i="57"/>
  <c r="A72" i="57"/>
  <c r="B72" i="57"/>
  <c r="C72" i="57"/>
  <c r="D72" i="57"/>
  <c r="E72" i="57"/>
  <c r="F72" i="57"/>
  <c r="A73" i="57"/>
  <c r="B73" i="57"/>
  <c r="C73" i="57"/>
  <c r="D73" i="57"/>
  <c r="E73" i="57"/>
  <c r="F73" i="57"/>
  <c r="A74" i="57"/>
  <c r="B74" i="57"/>
  <c r="C74" i="57"/>
  <c r="D74" i="57"/>
  <c r="E74" i="57"/>
  <c r="F74" i="57"/>
  <c r="A75" i="57"/>
  <c r="B75" i="57"/>
  <c r="C75" i="57"/>
  <c r="D75" i="57"/>
  <c r="E75" i="57"/>
  <c r="F75" i="57"/>
  <c r="A76" i="57"/>
  <c r="B76" i="57"/>
  <c r="C76" i="57"/>
  <c r="D76" i="57"/>
  <c r="E76" i="57"/>
  <c r="F76" i="57"/>
  <c r="A77" i="57"/>
  <c r="B77" i="57"/>
  <c r="C77" i="57"/>
  <c r="D77" i="57"/>
  <c r="E77" i="57"/>
  <c r="F77" i="57"/>
  <c r="A78" i="57"/>
  <c r="B78" i="57"/>
  <c r="C78" i="57"/>
  <c r="D78" i="57"/>
  <c r="E78" i="57"/>
  <c r="F78" i="57"/>
  <c r="A79" i="57"/>
  <c r="B79" i="57"/>
  <c r="C79" i="57"/>
  <c r="D79" i="57"/>
  <c r="E79" i="57"/>
  <c r="F79" i="57"/>
  <c r="A80" i="57"/>
  <c r="B80" i="57"/>
  <c r="C80" i="57"/>
  <c r="D80" i="57"/>
  <c r="E80" i="57"/>
  <c r="F80" i="57"/>
  <c r="A81" i="57"/>
  <c r="B81" i="57"/>
  <c r="C81" i="57"/>
  <c r="D81" i="57"/>
  <c r="E81" i="57"/>
  <c r="F81" i="57"/>
  <c r="A82" i="57"/>
  <c r="B82" i="57"/>
  <c r="C82" i="57"/>
  <c r="D82" i="57"/>
  <c r="E82" i="57"/>
  <c r="F82" i="57"/>
  <c r="A83" i="57"/>
  <c r="B83" i="57"/>
  <c r="C83" i="57"/>
  <c r="D83" i="57"/>
  <c r="E83" i="57"/>
  <c r="F83" i="57"/>
  <c r="A84" i="57"/>
  <c r="B84" i="57"/>
  <c r="C84" i="57"/>
  <c r="D84" i="57"/>
  <c r="E84" i="57"/>
  <c r="F84" i="57"/>
  <c r="A85" i="57"/>
  <c r="B85" i="57"/>
  <c r="C85" i="57"/>
  <c r="D85" i="57"/>
  <c r="E85" i="57"/>
  <c r="F85" i="57"/>
  <c r="A86" i="57"/>
  <c r="B86" i="57"/>
  <c r="C86" i="57"/>
  <c r="D86" i="57"/>
  <c r="E86" i="57"/>
  <c r="F86" i="57"/>
  <c r="A87" i="57"/>
  <c r="B87" i="57"/>
  <c r="C87" i="57"/>
  <c r="D87" i="57"/>
  <c r="E87" i="57"/>
  <c r="F87" i="57"/>
  <c r="A88" i="57"/>
  <c r="B88" i="57"/>
  <c r="C88" i="57"/>
  <c r="D88" i="57"/>
  <c r="E88" i="57"/>
  <c r="F88" i="57"/>
  <c r="A89" i="57"/>
  <c r="B89" i="57"/>
  <c r="C89" i="57"/>
  <c r="D89" i="57"/>
  <c r="E89" i="57"/>
  <c r="F89" i="57"/>
  <c r="A90" i="57"/>
  <c r="B90" i="57"/>
  <c r="C90" i="57"/>
  <c r="D90" i="57"/>
  <c r="E90" i="57"/>
  <c r="F90" i="57"/>
  <c r="A91" i="57"/>
  <c r="B91" i="57"/>
  <c r="C91" i="57"/>
  <c r="D91" i="57"/>
  <c r="E91" i="57"/>
  <c r="F91" i="57"/>
  <c r="A92" i="57"/>
  <c r="B92" i="57"/>
  <c r="C92" i="57"/>
  <c r="D92" i="57"/>
  <c r="E92" i="57"/>
  <c r="F92" i="57"/>
  <c r="A93" i="57"/>
  <c r="B93" i="57"/>
  <c r="C93" i="57"/>
  <c r="D93" i="57"/>
  <c r="E93" i="57"/>
  <c r="F93" i="57"/>
  <c r="A94" i="57"/>
  <c r="B94" i="57"/>
  <c r="C94" i="57"/>
  <c r="D94" i="57"/>
  <c r="E94" i="57"/>
  <c r="F94" i="57"/>
  <c r="A95" i="57"/>
  <c r="B95" i="57"/>
  <c r="C95" i="57"/>
  <c r="D95" i="57"/>
  <c r="E95" i="57"/>
  <c r="F95" i="57"/>
  <c r="A96" i="57"/>
  <c r="B96" i="57"/>
  <c r="C96" i="57"/>
  <c r="D96" i="57"/>
  <c r="E96" i="57"/>
  <c r="F96" i="57"/>
  <c r="A97" i="57"/>
  <c r="B97" i="57"/>
  <c r="C97" i="57"/>
  <c r="D97" i="57"/>
  <c r="E97" i="57"/>
  <c r="F97" i="57"/>
  <c r="A98" i="57"/>
  <c r="B98" i="57"/>
  <c r="C98" i="57"/>
  <c r="D98" i="57"/>
  <c r="E98" i="57"/>
  <c r="F98" i="57"/>
  <c r="A99" i="57"/>
  <c r="B99" i="57"/>
  <c r="C99" i="57"/>
  <c r="D99" i="57"/>
  <c r="E99" i="57"/>
  <c r="F99" i="57"/>
  <c r="A100" i="57"/>
  <c r="B100" i="57"/>
  <c r="C100" i="57"/>
  <c r="D100" i="57"/>
  <c r="E100" i="57"/>
  <c r="F100" i="57"/>
  <c r="A101" i="57"/>
  <c r="B101" i="57"/>
  <c r="C101" i="57"/>
  <c r="D101" i="57"/>
  <c r="E101" i="57"/>
  <c r="F101" i="57"/>
  <c r="A102" i="57"/>
  <c r="B102" i="57"/>
  <c r="C102" i="57"/>
  <c r="D102" i="57"/>
  <c r="E102" i="57"/>
  <c r="F102" i="57"/>
  <c r="A103" i="57"/>
  <c r="B103" i="57"/>
  <c r="C103" i="57"/>
  <c r="D103" i="57"/>
  <c r="E103" i="57"/>
  <c r="F103" i="57"/>
  <c r="A104" i="57"/>
  <c r="B104" i="57"/>
  <c r="C104" i="57"/>
  <c r="D104" i="57"/>
  <c r="E104" i="57"/>
  <c r="F104" i="57"/>
  <c r="A105" i="57"/>
  <c r="B105" i="57"/>
  <c r="C105" i="57"/>
  <c r="D105" i="57"/>
  <c r="E105" i="57"/>
  <c r="F105" i="57"/>
  <c r="A106" i="57"/>
  <c r="B106" i="57"/>
  <c r="C106" i="57"/>
  <c r="D106" i="57"/>
  <c r="E106" i="57"/>
  <c r="F106" i="57"/>
  <c r="A107" i="57"/>
  <c r="B107" i="57"/>
  <c r="C107" i="57"/>
  <c r="D107" i="57"/>
  <c r="E107" i="57"/>
  <c r="F107" i="57"/>
  <c r="A108" i="57"/>
  <c r="B108" i="57"/>
  <c r="C108" i="57"/>
  <c r="D108" i="57"/>
  <c r="E108" i="57"/>
  <c r="F108" i="57"/>
  <c r="A109" i="57"/>
  <c r="B109" i="57"/>
  <c r="C109" i="57"/>
  <c r="D109" i="57"/>
  <c r="E109" i="57"/>
  <c r="F109" i="57"/>
  <c r="A110" i="57"/>
  <c r="B110" i="57"/>
  <c r="C110" i="57"/>
  <c r="D110" i="57"/>
  <c r="E110" i="57"/>
  <c r="F110" i="57"/>
  <c r="A111" i="57"/>
  <c r="B111" i="57"/>
  <c r="C111" i="57"/>
  <c r="D111" i="57"/>
  <c r="E111" i="57"/>
  <c r="F111" i="57"/>
  <c r="A112" i="57"/>
  <c r="B112" i="57"/>
  <c r="C112" i="57"/>
  <c r="D112" i="57"/>
  <c r="E112" i="57"/>
  <c r="F112" i="57"/>
  <c r="A113" i="57"/>
  <c r="B113" i="57"/>
  <c r="C113" i="57"/>
  <c r="D113" i="57"/>
  <c r="E113" i="57"/>
  <c r="F113" i="57"/>
  <c r="A114" i="57"/>
  <c r="B114" i="57"/>
  <c r="C114" i="57"/>
  <c r="D114" i="57"/>
  <c r="E114" i="57"/>
  <c r="F114" i="57"/>
  <c r="A115" i="57"/>
  <c r="B115" i="57"/>
  <c r="C115" i="57"/>
  <c r="D115" i="57"/>
  <c r="E115" i="57"/>
  <c r="F115" i="57"/>
  <c r="A116" i="57"/>
  <c r="B116" i="57"/>
  <c r="C116" i="57"/>
  <c r="D116" i="57"/>
  <c r="E116" i="57"/>
  <c r="F116" i="57"/>
  <c r="A117" i="57"/>
  <c r="B117" i="57"/>
  <c r="C117" i="57"/>
  <c r="D117" i="57"/>
  <c r="E117" i="57"/>
  <c r="F117" i="57"/>
  <c r="A118" i="57"/>
  <c r="B118" i="57"/>
  <c r="C118" i="57"/>
  <c r="D118" i="57"/>
  <c r="E118" i="57"/>
  <c r="F118" i="57"/>
  <c r="A119" i="57"/>
  <c r="B119" i="57"/>
  <c r="C119" i="57"/>
  <c r="D119" i="57"/>
  <c r="E119" i="57"/>
  <c r="F119" i="57"/>
  <c r="A120" i="57"/>
  <c r="B120" i="57"/>
  <c r="C120" i="57"/>
  <c r="D120" i="57"/>
  <c r="E120" i="57"/>
  <c r="F120" i="57"/>
  <c r="A121" i="57"/>
  <c r="B121" i="57"/>
  <c r="C121" i="57"/>
  <c r="D121" i="57"/>
  <c r="E121" i="57"/>
  <c r="F121" i="57"/>
  <c r="A122" i="57"/>
  <c r="B122" i="57"/>
  <c r="C122" i="57"/>
  <c r="D122" i="57"/>
  <c r="E122" i="57"/>
  <c r="F122" i="57"/>
  <c r="A123" i="57"/>
  <c r="B123" i="57"/>
  <c r="C123" i="57"/>
  <c r="D123" i="57"/>
  <c r="E123" i="57"/>
  <c r="F123" i="57"/>
  <c r="A124" i="57"/>
  <c r="B124" i="57"/>
  <c r="C124" i="57"/>
  <c r="D124" i="57"/>
  <c r="E124" i="57"/>
  <c r="F124" i="57"/>
  <c r="A125" i="57"/>
  <c r="B125" i="57"/>
  <c r="C125" i="57"/>
  <c r="D125" i="57"/>
  <c r="E125" i="57"/>
  <c r="F125" i="57"/>
  <c r="F70" i="57"/>
  <c r="E70" i="57"/>
  <c r="D70" i="57"/>
  <c r="C70" i="57"/>
  <c r="B70" i="57"/>
  <c r="A70" i="57"/>
  <c r="A46" i="57"/>
  <c r="B46" i="57"/>
  <c r="C46" i="57"/>
  <c r="D46" i="57"/>
  <c r="E46" i="57"/>
  <c r="F46" i="57"/>
  <c r="A47" i="57"/>
  <c r="B47" i="57"/>
  <c r="C47" i="57"/>
  <c r="D47" i="57"/>
  <c r="E47" i="57"/>
  <c r="F47" i="57"/>
  <c r="A48" i="57"/>
  <c r="B48" i="57"/>
  <c r="C48" i="57"/>
  <c r="D48" i="57"/>
  <c r="E48" i="57"/>
  <c r="F48" i="57"/>
  <c r="A49" i="57"/>
  <c r="B49" i="57"/>
  <c r="C49" i="57"/>
  <c r="D49" i="57"/>
  <c r="E49" i="57"/>
  <c r="F49" i="57"/>
  <c r="A50" i="57"/>
  <c r="B50" i="57"/>
  <c r="C50" i="57"/>
  <c r="D50" i="57"/>
  <c r="E50" i="57"/>
  <c r="F50" i="57"/>
  <c r="A51" i="57"/>
  <c r="B51" i="57"/>
  <c r="C51" i="57"/>
  <c r="D51" i="57"/>
  <c r="E51" i="57"/>
  <c r="F51" i="57"/>
  <c r="A52" i="57"/>
  <c r="B52" i="57"/>
  <c r="C52" i="57"/>
  <c r="D52" i="57"/>
  <c r="E52" i="57"/>
  <c r="F52" i="57"/>
  <c r="A53" i="57"/>
  <c r="B53" i="57"/>
  <c r="C53" i="57"/>
  <c r="D53" i="57"/>
  <c r="E53" i="57"/>
  <c r="F53" i="57"/>
  <c r="A54" i="57"/>
  <c r="B54" i="57"/>
  <c r="C54" i="57"/>
  <c r="D54" i="57"/>
  <c r="E54" i="57"/>
  <c r="F54" i="57"/>
  <c r="A55" i="57"/>
  <c r="B55" i="57"/>
  <c r="C55" i="57"/>
  <c r="D55" i="57"/>
  <c r="E55" i="57"/>
  <c r="F55" i="57"/>
  <c r="A56" i="57"/>
  <c r="B56" i="57"/>
  <c r="C56" i="57"/>
  <c r="D56" i="57"/>
  <c r="E56" i="57"/>
  <c r="F56" i="57"/>
  <c r="A57" i="57"/>
  <c r="B57" i="57"/>
  <c r="C57" i="57"/>
  <c r="D57" i="57"/>
  <c r="E57" i="57"/>
  <c r="F57" i="57"/>
  <c r="A58" i="57"/>
  <c r="B58" i="57"/>
  <c r="C58" i="57"/>
  <c r="D58" i="57"/>
  <c r="E58" i="57"/>
  <c r="F58" i="57"/>
  <c r="A59" i="57"/>
  <c r="B59" i="57"/>
  <c r="C59" i="57"/>
  <c r="D59" i="57"/>
  <c r="E59" i="57"/>
  <c r="F59" i="57"/>
  <c r="A60" i="57"/>
  <c r="B60" i="57"/>
  <c r="C60" i="57"/>
  <c r="D60" i="57"/>
  <c r="E60" i="57"/>
  <c r="F60" i="57"/>
  <c r="A61" i="57"/>
  <c r="B61" i="57"/>
  <c r="C61" i="57"/>
  <c r="D61" i="57"/>
  <c r="E61" i="57"/>
  <c r="F61" i="57"/>
  <c r="A62" i="57"/>
  <c r="B62" i="57"/>
  <c r="C62" i="57"/>
  <c r="D62" i="57"/>
  <c r="E62" i="57"/>
  <c r="F62" i="57"/>
  <c r="A63" i="57"/>
  <c r="B63" i="57"/>
  <c r="C63" i="57"/>
  <c r="D63" i="57"/>
  <c r="E63" i="57"/>
  <c r="F63" i="57"/>
  <c r="A64" i="57"/>
  <c r="B64" i="57"/>
  <c r="C64" i="57"/>
  <c r="D64" i="57"/>
  <c r="E64" i="57"/>
  <c r="F64" i="57"/>
  <c r="A65" i="57"/>
  <c r="B65" i="57"/>
  <c r="C65" i="57"/>
  <c r="D65" i="57"/>
  <c r="E65" i="57"/>
  <c r="F65" i="57"/>
  <c r="A66" i="57"/>
  <c r="B66" i="57"/>
  <c r="C66" i="57"/>
  <c r="D66" i="57"/>
  <c r="E66" i="57"/>
  <c r="F66" i="57"/>
  <c r="A67" i="57"/>
  <c r="B67" i="57"/>
  <c r="C67" i="57"/>
  <c r="D67" i="57"/>
  <c r="E67" i="57"/>
  <c r="F67" i="57"/>
  <c r="F45" i="57"/>
  <c r="E45" i="57"/>
  <c r="D45" i="57"/>
  <c r="C45" i="57"/>
  <c r="B45" i="57"/>
  <c r="A45" i="57"/>
  <c r="F44" i="57"/>
  <c r="E44" i="57"/>
  <c r="D44" i="57"/>
  <c r="C44" i="57"/>
  <c r="B44" i="57"/>
  <c r="A44" i="57"/>
  <c r="F43" i="57"/>
  <c r="E43" i="57"/>
  <c r="D43" i="57"/>
  <c r="C43" i="57"/>
  <c r="B43" i="57"/>
  <c r="A43" i="57"/>
  <c r="F42" i="57"/>
  <c r="E42" i="57"/>
  <c r="D42" i="57"/>
  <c r="C42" i="57"/>
  <c r="B42" i="57"/>
  <c r="A42" i="57"/>
  <c r="A20" i="57"/>
  <c r="B20" i="57"/>
  <c r="C20" i="57"/>
  <c r="D20" i="57"/>
  <c r="E20" i="57"/>
  <c r="F20" i="57"/>
  <c r="A21" i="57"/>
  <c r="B21" i="57"/>
  <c r="C21" i="57"/>
  <c r="D21" i="57"/>
  <c r="E21" i="57"/>
  <c r="F21" i="57"/>
  <c r="A22" i="57"/>
  <c r="B22" i="57"/>
  <c r="C22" i="57"/>
  <c r="D22" i="57"/>
  <c r="E22" i="57"/>
  <c r="F22" i="57"/>
  <c r="A23" i="57"/>
  <c r="B23" i="57"/>
  <c r="C23" i="57"/>
  <c r="D23" i="57"/>
  <c r="E23" i="57"/>
  <c r="F23" i="57"/>
  <c r="A24" i="57"/>
  <c r="B24" i="57"/>
  <c r="C24" i="57"/>
  <c r="D24" i="57"/>
  <c r="E24" i="57"/>
  <c r="F24" i="57"/>
  <c r="A25" i="57"/>
  <c r="B25" i="57"/>
  <c r="C25" i="57"/>
  <c r="D25" i="57"/>
  <c r="E25" i="57"/>
  <c r="F25" i="57"/>
  <c r="A26" i="57"/>
  <c r="B26" i="57"/>
  <c r="C26" i="57"/>
  <c r="D26" i="57"/>
  <c r="E26" i="57"/>
  <c r="F26" i="57"/>
  <c r="A27" i="57"/>
  <c r="B27" i="57"/>
  <c r="C27" i="57"/>
  <c r="D27" i="57"/>
  <c r="E27" i="57"/>
  <c r="F27" i="57"/>
  <c r="A28" i="57"/>
  <c r="B28" i="57"/>
  <c r="C28" i="57"/>
  <c r="D28" i="57"/>
  <c r="E28" i="57"/>
  <c r="F28" i="57"/>
  <c r="A29" i="57"/>
  <c r="B29" i="57"/>
  <c r="C29" i="57"/>
  <c r="D29" i="57"/>
  <c r="E29" i="57"/>
  <c r="F29" i="57"/>
  <c r="A30" i="57"/>
  <c r="B30" i="57"/>
  <c r="C30" i="57"/>
  <c r="D30" i="57"/>
  <c r="E30" i="57"/>
  <c r="F30" i="57"/>
  <c r="A31" i="57"/>
  <c r="B31" i="57"/>
  <c r="C31" i="57"/>
  <c r="D31" i="57"/>
  <c r="E31" i="57"/>
  <c r="F31" i="57"/>
  <c r="A32" i="57"/>
  <c r="B32" i="57"/>
  <c r="C32" i="57"/>
  <c r="D32" i="57"/>
  <c r="E32" i="57"/>
  <c r="F32" i="57"/>
  <c r="A33" i="57"/>
  <c r="B33" i="57"/>
  <c r="C33" i="57"/>
  <c r="D33" i="57"/>
  <c r="E33" i="57"/>
  <c r="F33" i="57"/>
  <c r="A34" i="57"/>
  <c r="B34" i="57"/>
  <c r="C34" i="57"/>
  <c r="D34" i="57"/>
  <c r="E34" i="57"/>
  <c r="F34" i="57"/>
  <c r="A35" i="57"/>
  <c r="B35" i="57"/>
  <c r="C35" i="57"/>
  <c r="D35" i="57"/>
  <c r="E35" i="57"/>
  <c r="F35" i="57"/>
  <c r="A36" i="57"/>
  <c r="B36" i="57"/>
  <c r="C36" i="57"/>
  <c r="D36" i="57"/>
  <c r="E36" i="57"/>
  <c r="F36" i="57"/>
  <c r="A37" i="57"/>
  <c r="B37" i="57"/>
  <c r="C37" i="57"/>
  <c r="D37" i="57"/>
  <c r="E37" i="57"/>
  <c r="F37" i="57"/>
  <c r="A38" i="57"/>
  <c r="B38" i="57"/>
  <c r="C38" i="57"/>
  <c r="D38" i="57"/>
  <c r="E38" i="57"/>
  <c r="F38" i="57"/>
  <c r="A39" i="57"/>
  <c r="B39" i="57"/>
  <c r="C39" i="57"/>
  <c r="D39" i="57"/>
  <c r="E39" i="57"/>
  <c r="F39" i="57"/>
  <c r="F19" i="57"/>
  <c r="E19" i="57"/>
  <c r="D19" i="57"/>
  <c r="C19" i="57"/>
  <c r="B19" i="57"/>
  <c r="A19" i="57"/>
  <c r="F18" i="57"/>
  <c r="E18" i="57"/>
  <c r="D18" i="57"/>
  <c r="C18" i="57"/>
  <c r="B18" i="57"/>
  <c r="A18" i="57"/>
  <c r="F17" i="57"/>
  <c r="E17" i="57"/>
  <c r="D17" i="57"/>
  <c r="C17" i="57"/>
  <c r="B17" i="57"/>
  <c r="A17" i="57"/>
  <c r="F16" i="57"/>
  <c r="E16" i="57"/>
  <c r="D16" i="57"/>
  <c r="C16" i="57"/>
  <c r="B16" i="57"/>
  <c r="A16" i="57"/>
  <c r="F15" i="57"/>
  <c r="E15" i="57"/>
  <c r="D15" i="57"/>
  <c r="C15" i="57"/>
  <c r="B15" i="57"/>
  <c r="A15" i="57"/>
  <c r="F14" i="57"/>
  <c r="E14" i="57"/>
  <c r="D14" i="57"/>
  <c r="C14" i="57"/>
  <c r="B14" i="57"/>
  <c r="A14" i="57"/>
  <c r="F13" i="57"/>
  <c r="E13" i="57"/>
  <c r="D13" i="57"/>
  <c r="C13" i="57"/>
  <c r="B13" i="57"/>
  <c r="A13" i="57"/>
  <c r="A5" i="57"/>
  <c r="B5" i="57"/>
  <c r="C5" i="57"/>
  <c r="D5" i="57"/>
  <c r="E5" i="57"/>
  <c r="F5" i="57"/>
  <c r="A6" i="57"/>
  <c r="B6" i="57"/>
  <c r="C6" i="57"/>
  <c r="D6" i="57"/>
  <c r="E6" i="57"/>
  <c r="F6" i="57"/>
  <c r="A7" i="57"/>
  <c r="B7" i="57"/>
  <c r="C7" i="57"/>
  <c r="D7" i="57"/>
  <c r="E7" i="57"/>
  <c r="F7" i="57"/>
  <c r="A8" i="57"/>
  <c r="B8" i="57"/>
  <c r="C8" i="57"/>
  <c r="D8" i="57"/>
  <c r="E8" i="57"/>
  <c r="F8" i="57"/>
  <c r="A9" i="57"/>
  <c r="B9" i="57"/>
  <c r="C9" i="57"/>
  <c r="D9" i="57"/>
  <c r="E9" i="57"/>
  <c r="F9" i="57"/>
  <c r="A10" i="57"/>
  <c r="B10" i="57"/>
  <c r="C10" i="57"/>
  <c r="D10" i="57"/>
  <c r="E10" i="57"/>
  <c r="F10" i="57"/>
  <c r="F4" i="57"/>
  <c r="E4" i="57"/>
  <c r="D4" i="57"/>
  <c r="C4" i="57"/>
  <c r="B4" i="57"/>
  <c r="A4" i="57"/>
  <c r="W2" i="118" l="1"/>
  <c r="W3" i="118"/>
  <c r="W4" i="118"/>
  <c r="W5" i="118"/>
  <c r="W6" i="118"/>
  <c r="W7" i="118"/>
  <c r="W8" i="118"/>
  <c r="W9" i="118"/>
  <c r="W10" i="118"/>
  <c r="W11" i="118"/>
  <c r="W12" i="118"/>
  <c r="W13" i="118"/>
  <c r="W14" i="118"/>
  <c r="W15" i="118"/>
  <c r="W16" i="118"/>
  <c r="W17" i="118"/>
  <c r="W18" i="118"/>
  <c r="W19" i="118"/>
  <c r="W20" i="118"/>
  <c r="W21" i="118"/>
  <c r="W22" i="118"/>
  <c r="W23" i="118"/>
  <c r="W24" i="118"/>
  <c r="W25" i="118"/>
  <c r="W26" i="118"/>
  <c r="W27" i="118"/>
  <c r="W28" i="118"/>
  <c r="W29" i="118"/>
  <c r="W30" i="118"/>
  <c r="W31" i="118"/>
  <c r="W32" i="118"/>
  <c r="W33" i="118"/>
  <c r="W34" i="118"/>
  <c r="W35" i="118"/>
  <c r="W36" i="118"/>
  <c r="W37" i="118"/>
  <c r="W38" i="118"/>
  <c r="W39" i="118"/>
  <c r="W40" i="118"/>
  <c r="W1" i="118"/>
  <c r="U1" i="118"/>
  <c r="U3" i="118"/>
  <c r="U4" i="118"/>
  <c r="U5" i="118"/>
  <c r="U6" i="118"/>
  <c r="U7" i="118"/>
  <c r="U8" i="118"/>
  <c r="U9" i="118"/>
  <c r="U10" i="118"/>
  <c r="U11" i="118"/>
  <c r="U12" i="118"/>
  <c r="U13" i="118"/>
  <c r="U14" i="118"/>
  <c r="U15" i="118"/>
  <c r="U1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U37" i="118"/>
  <c r="U38" i="118"/>
  <c r="U39" i="118"/>
  <c r="U40" i="118"/>
  <c r="U2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1" i="118"/>
  <c r="E1" i="118"/>
  <c r="E3" i="118"/>
  <c r="E4" i="118"/>
  <c r="E5" i="118"/>
  <c r="E6" i="118"/>
  <c r="E7" i="118"/>
  <c r="E8" i="118"/>
  <c r="E9" i="118"/>
  <c r="E10" i="118"/>
  <c r="E11" i="118"/>
  <c r="E12" i="118"/>
  <c r="E13" i="118"/>
  <c r="E14" i="118"/>
  <c r="E15" i="118"/>
  <c r="E16" i="118"/>
  <c r="E17" i="118"/>
  <c r="E18" i="118"/>
  <c r="E19" i="118"/>
  <c r="E20" i="118"/>
  <c r="E21" i="118"/>
  <c r="E22" i="118"/>
  <c r="E23" i="118"/>
  <c r="E24" i="118"/>
  <c r="E25" i="118"/>
  <c r="E26" i="118"/>
  <c r="E27" i="118"/>
  <c r="E28" i="118"/>
  <c r="E29" i="118"/>
  <c r="E30" i="118"/>
  <c r="E31" i="118"/>
  <c r="E32" i="118"/>
  <c r="E33" i="118"/>
  <c r="E34" i="118"/>
  <c r="E35" i="118"/>
  <c r="E36" i="118"/>
  <c r="E37" i="118"/>
  <c r="E38" i="118"/>
  <c r="E39" i="118"/>
  <c r="E40" i="118"/>
  <c r="E2" i="118"/>
  <c r="D1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2" i="118"/>
  <c r="C1" i="118"/>
  <c r="C2" i="118"/>
  <c r="C3" i="118"/>
  <c r="C4" i="118"/>
  <c r="C5" i="118"/>
  <c r="C6" i="118"/>
  <c r="C7" i="118"/>
  <c r="C8" i="118"/>
  <c r="C9" i="118"/>
  <c r="C10" i="118"/>
  <c r="C11" i="118"/>
  <c r="C12" i="118"/>
  <c r="C13" i="118"/>
  <c r="C14" i="118"/>
  <c r="C15" i="118"/>
  <c r="C16" i="118"/>
  <c r="C17" i="118"/>
  <c r="C18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C33" i="118"/>
  <c r="C34" i="118"/>
  <c r="C35" i="118"/>
  <c r="C36" i="118"/>
  <c r="C37" i="118"/>
  <c r="C38" i="118"/>
  <c r="C39" i="118"/>
  <c r="C40" i="118"/>
  <c r="B5" i="118"/>
  <c r="B6" i="118"/>
  <c r="B7" i="118"/>
  <c r="B8" i="118"/>
  <c r="B9" i="118"/>
  <c r="B10" i="118"/>
  <c r="B11" i="118"/>
  <c r="B12" i="118"/>
  <c r="B13" i="118"/>
  <c r="B14" i="118"/>
  <c r="B15" i="118"/>
  <c r="B16" i="118"/>
  <c r="B17" i="118"/>
  <c r="B18" i="118"/>
  <c r="B19" i="118"/>
  <c r="B20" i="118"/>
  <c r="B21" i="118"/>
  <c r="B22" i="118"/>
  <c r="B23" i="118"/>
  <c r="B24" i="118"/>
  <c r="B25" i="118"/>
  <c r="B26" i="118"/>
  <c r="B27" i="118"/>
  <c r="B28" i="118"/>
  <c r="B29" i="118"/>
  <c r="B30" i="118"/>
  <c r="B31" i="118"/>
  <c r="B32" i="118"/>
  <c r="B33" i="118"/>
  <c r="B34" i="118"/>
  <c r="B35" i="118"/>
  <c r="B36" i="118"/>
  <c r="B37" i="118"/>
  <c r="B38" i="118"/>
  <c r="B39" i="118"/>
  <c r="B40" i="118"/>
  <c r="B4" i="118"/>
  <c r="B3" i="118"/>
  <c r="B2" i="118"/>
  <c r="B1" i="118"/>
  <c r="A1" i="118"/>
  <c r="A2" i="118"/>
  <c r="A3" i="118"/>
  <c r="A4" i="118"/>
  <c r="A5" i="118"/>
  <c r="A6" i="118"/>
  <c r="A7" i="118"/>
  <c r="A8" i="118"/>
  <c r="A9" i="118"/>
  <c r="A10" i="118"/>
  <c r="A11" i="118"/>
  <c r="A12" i="118"/>
  <c r="A13" i="118"/>
  <c r="A14" i="118"/>
  <c r="A15" i="118"/>
  <c r="A16" i="118"/>
  <c r="A17" i="118"/>
  <c r="A18" i="118"/>
  <c r="A19" i="118"/>
  <c r="A20" i="118"/>
  <c r="A21" i="118"/>
  <c r="A22" i="118"/>
  <c r="A23" i="118"/>
  <c r="A24" i="118"/>
  <c r="A25" i="118"/>
  <c r="A26" i="118"/>
  <c r="A27" i="118"/>
  <c r="A28" i="118"/>
  <c r="A29" i="118"/>
  <c r="A30" i="118"/>
  <c r="A31" i="118"/>
  <c r="A32" i="118"/>
  <c r="A33" i="118"/>
  <c r="A34" i="118"/>
  <c r="A35" i="118"/>
  <c r="A36" i="118"/>
  <c r="A37" i="118"/>
  <c r="A38" i="118"/>
  <c r="A39" i="118"/>
  <c r="A40" i="118"/>
  <c r="AG54" i="28"/>
  <c r="AJ54" i="28"/>
  <c r="X54" i="28"/>
  <c r="V54" i="28" l="1"/>
  <c r="AI54" i="28"/>
  <c r="Z54" i="28"/>
  <c r="AA54" i="28" s="1"/>
  <c r="T54" i="28"/>
  <c r="S54" i="28"/>
  <c r="R54" i="28"/>
  <c r="Q54" i="28"/>
  <c r="P54" i="28"/>
  <c r="N54" i="28"/>
  <c r="AG51" i="28"/>
  <c r="X51" i="28"/>
  <c r="AJ51" i="28"/>
  <c r="AI51" i="28" l="1"/>
  <c r="V51" i="28"/>
  <c r="Z51" i="28"/>
  <c r="AA51" i="28" s="1"/>
  <c r="T51" i="28"/>
  <c r="S51" i="28"/>
  <c r="R51" i="28"/>
  <c r="Q51" i="28"/>
  <c r="P51" i="28"/>
  <c r="N51" i="28"/>
  <c r="AG50" i="28"/>
  <c r="X50" i="28"/>
  <c r="AJ50" i="28"/>
  <c r="AI50" i="28" l="1"/>
  <c r="V50" i="28"/>
  <c r="Z50" i="28"/>
  <c r="AA50" i="28" s="1"/>
  <c r="T50" i="28"/>
  <c r="S50" i="28"/>
  <c r="R50" i="28"/>
  <c r="Q50" i="28"/>
  <c r="P50" i="28"/>
  <c r="N50" i="28"/>
  <c r="AG53" i="28"/>
  <c r="AJ53" i="28"/>
  <c r="X53" i="28"/>
  <c r="AI53" i="28" l="1"/>
  <c r="V53" i="28"/>
  <c r="Z53" i="28"/>
  <c r="AA53" i="28" s="1"/>
  <c r="T53" i="28"/>
  <c r="S53" i="28"/>
  <c r="R53" i="28"/>
  <c r="Q53" i="28"/>
  <c r="P53" i="28"/>
  <c r="N53" i="28"/>
  <c r="AP1" i="28"/>
  <c r="AO1" i="28"/>
  <c r="AN1" i="28"/>
  <c r="AQ1" i="28"/>
  <c r="AG9" i="74" l="1"/>
  <c r="X9" i="74"/>
  <c r="AJ9" i="74"/>
  <c r="AI9" i="74" l="1"/>
  <c r="Z9" i="74"/>
  <c r="AA9" i="74" s="1"/>
  <c r="V9" i="74"/>
  <c r="AG33" i="74"/>
  <c r="Z33" i="74" l="1"/>
  <c r="AA33" i="74" s="1"/>
  <c r="V33" i="74"/>
  <c r="AG8" i="74"/>
  <c r="X8" i="74"/>
  <c r="AJ8" i="74"/>
  <c r="AI8" i="74" l="1"/>
  <c r="Z8" i="74"/>
  <c r="AA8" i="74" s="1"/>
  <c r="V8" i="74"/>
  <c r="AG31" i="74"/>
  <c r="Z31" i="74" l="1"/>
  <c r="AA31" i="74" s="1"/>
  <c r="V31" i="74"/>
  <c r="AG26" i="74"/>
  <c r="Z26" i="74" l="1"/>
  <c r="AA26" i="74" s="1"/>
  <c r="V26" i="74"/>
  <c r="AG29" i="74"/>
  <c r="Z29" i="74" l="1"/>
  <c r="AA29" i="74" s="1"/>
  <c r="V29" i="74"/>
  <c r="AG7" i="74"/>
  <c r="X7" i="74"/>
  <c r="AJ7" i="74"/>
  <c r="AI7" i="74" l="1"/>
  <c r="Z7" i="74"/>
  <c r="AA7" i="74" s="1"/>
  <c r="V7" i="74"/>
  <c r="AG6" i="74"/>
  <c r="X6" i="74"/>
  <c r="AJ6" i="74"/>
  <c r="AI6" i="74" l="1"/>
  <c r="Z6" i="74"/>
  <c r="AA6" i="74" s="1"/>
  <c r="V6" i="74"/>
  <c r="AG27" i="74"/>
  <c r="Z27" i="74" l="1"/>
  <c r="AA27" i="74" s="1"/>
  <c r="V27" i="74"/>
  <c r="AG32" i="74"/>
  <c r="Z32" i="74" l="1"/>
  <c r="AA32" i="74" s="1"/>
  <c r="V32" i="74"/>
  <c r="AG5" i="74"/>
  <c r="X5" i="74"/>
  <c r="AJ5" i="74"/>
  <c r="AI5" i="74" l="1"/>
  <c r="Z5" i="74"/>
  <c r="AA5" i="74" s="1"/>
  <c r="V5" i="74"/>
  <c r="AG28" i="74" l="1"/>
  <c r="Z28" i="74" l="1"/>
  <c r="AA28" i="74" s="1"/>
  <c r="V28" i="74"/>
  <c r="AG949" i="57"/>
  <c r="X949" i="57"/>
  <c r="AJ949" i="57"/>
  <c r="V949" i="57" l="1"/>
  <c r="AI949" i="57"/>
  <c r="Z949" i="57"/>
  <c r="AA949" i="57" s="1"/>
  <c r="T949" i="57"/>
  <c r="S949" i="57"/>
  <c r="R949" i="57"/>
  <c r="Q949" i="57"/>
  <c r="P949" i="57"/>
  <c r="AG41" i="114"/>
  <c r="X41" i="114"/>
  <c r="AJ41" i="114"/>
  <c r="AI41" i="114" l="1"/>
  <c r="Z41" i="114"/>
  <c r="AA41" i="114" s="1"/>
  <c r="V41" i="114"/>
  <c r="AG1650" i="57"/>
  <c r="AJ1650" i="57"/>
  <c r="X1650" i="57"/>
  <c r="V1650" i="57" l="1"/>
  <c r="AI1650" i="57"/>
  <c r="Z1650" i="57"/>
  <c r="AA1650" i="57" s="1"/>
  <c r="T1650" i="57"/>
  <c r="S1650" i="57"/>
  <c r="R1650" i="57"/>
  <c r="Q1650" i="57"/>
  <c r="P1650" i="57"/>
  <c r="AG653" i="57"/>
  <c r="X653" i="57"/>
  <c r="AJ653" i="57"/>
  <c r="V653" i="57" l="1"/>
  <c r="N1650" i="57"/>
  <c r="AI653" i="57"/>
  <c r="Z653" i="57"/>
  <c r="AA653" i="57" s="1"/>
  <c r="T653" i="57"/>
  <c r="S653" i="57"/>
  <c r="R653" i="57"/>
  <c r="Q653" i="57"/>
  <c r="P653" i="57"/>
  <c r="AJ669" i="57"/>
  <c r="AI669" i="57" l="1"/>
  <c r="AG669" i="57"/>
  <c r="X669" i="57"/>
  <c r="V669" i="57" l="1"/>
  <c r="Z669" i="57"/>
  <c r="AA669" i="57" s="1"/>
  <c r="T669" i="57"/>
  <c r="S669" i="57"/>
  <c r="R669" i="57"/>
  <c r="Q669" i="57"/>
  <c r="P669" i="57"/>
  <c r="AG579" i="57"/>
  <c r="X579" i="57"/>
  <c r="AJ579" i="57"/>
  <c r="V579" i="57" l="1"/>
  <c r="AI579" i="57"/>
  <c r="Z579" i="57"/>
  <c r="AA579" i="57" s="1"/>
  <c r="T579" i="57"/>
  <c r="S579" i="57"/>
  <c r="R579" i="57"/>
  <c r="Q579" i="57"/>
  <c r="P579" i="57"/>
  <c r="AG545" i="57"/>
  <c r="X545" i="57"/>
  <c r="AJ545" i="57"/>
  <c r="V545" i="57" l="1"/>
  <c r="AI545" i="57"/>
  <c r="Z545" i="57"/>
  <c r="AA545" i="57" s="1"/>
  <c r="T545" i="57"/>
  <c r="S545" i="57"/>
  <c r="R545" i="57"/>
  <c r="Q545" i="57"/>
  <c r="P545" i="57"/>
  <c r="AG40" i="114"/>
  <c r="X40" i="114"/>
  <c r="AJ40" i="114"/>
  <c r="AI40" i="114" l="1"/>
  <c r="Z40" i="114"/>
  <c r="AA40" i="114" s="1"/>
  <c r="V40" i="114"/>
  <c r="AG123" i="114" l="1"/>
  <c r="Z123" i="114" l="1"/>
  <c r="AA123" i="114" s="1"/>
  <c r="V123" i="114"/>
  <c r="AJ39" i="114"/>
  <c r="AI39" i="114" l="1"/>
  <c r="AG39" i="114"/>
  <c r="X39" i="114"/>
  <c r="Z39" i="114" l="1"/>
  <c r="AA39" i="114" s="1"/>
  <c r="V39" i="114"/>
  <c r="AG126" i="114" l="1"/>
  <c r="Z126" i="114" l="1"/>
  <c r="AA126" i="114" s="1"/>
  <c r="V126" i="114"/>
  <c r="AJ38" i="114"/>
  <c r="AI38" i="114" l="1"/>
  <c r="AG38" i="114"/>
  <c r="X38" i="114"/>
  <c r="Z38" i="114" l="1"/>
  <c r="AA38" i="114" s="1"/>
  <c r="V38" i="114"/>
  <c r="AJ278" i="57"/>
  <c r="AI278" i="57" l="1"/>
  <c r="AG278" i="57"/>
  <c r="X278" i="57"/>
  <c r="V278" i="57" l="1"/>
  <c r="Z278" i="57"/>
  <c r="AA278" i="57" s="1"/>
  <c r="T278" i="57"/>
  <c r="S278" i="57"/>
  <c r="R278" i="57"/>
  <c r="Q278" i="57"/>
  <c r="P278" i="57"/>
  <c r="AG1225" i="57"/>
  <c r="X1225" i="57"/>
  <c r="AJ1225" i="57"/>
  <c r="V1225" i="57" l="1"/>
  <c r="N278" i="57"/>
  <c r="AI1225" i="57"/>
  <c r="Z1225" i="57"/>
  <c r="AA1225" i="57" s="1"/>
  <c r="T1225" i="57"/>
  <c r="S1225" i="57"/>
  <c r="R1225" i="57"/>
  <c r="Q1225" i="57"/>
  <c r="P1225" i="57"/>
  <c r="AG647" i="57"/>
  <c r="AJ647" i="57"/>
  <c r="X647" i="57"/>
  <c r="V647" i="57" l="1"/>
  <c r="AI647" i="57"/>
  <c r="Z647" i="57"/>
  <c r="AA647" i="57" s="1"/>
  <c r="T647" i="57"/>
  <c r="S647" i="57"/>
  <c r="R647" i="57"/>
  <c r="Q647" i="57"/>
  <c r="P647" i="57"/>
  <c r="AG676" i="57"/>
  <c r="AJ676" i="57"/>
  <c r="X676" i="57"/>
  <c r="V676" i="57" l="1"/>
  <c r="AI676" i="57"/>
  <c r="Z676" i="57"/>
  <c r="AA676" i="57" s="1"/>
  <c r="T676" i="57"/>
  <c r="S676" i="57"/>
  <c r="R676" i="57"/>
  <c r="Q676" i="57"/>
  <c r="P676" i="57"/>
  <c r="AG1699" i="57"/>
  <c r="X1699" i="57"/>
  <c r="AJ1699" i="57"/>
  <c r="V1699" i="57" l="1"/>
  <c r="AI1699" i="57"/>
  <c r="Z1699" i="57"/>
  <c r="AA1699" i="57" s="1"/>
  <c r="T1699" i="57"/>
  <c r="S1699" i="57"/>
  <c r="R1699" i="57"/>
  <c r="Q1699" i="57"/>
  <c r="P1699" i="57"/>
  <c r="AG37" i="114"/>
  <c r="X37" i="114"/>
  <c r="AJ37" i="114"/>
  <c r="AI37" i="114" l="1"/>
  <c r="Z37" i="114"/>
  <c r="AA37" i="114" s="1"/>
  <c r="V37" i="114"/>
  <c r="AG36" i="114"/>
  <c r="X36" i="114"/>
  <c r="AJ36" i="114"/>
  <c r="AI36" i="114" l="1"/>
  <c r="Z36" i="114"/>
  <c r="AA36" i="114" s="1"/>
  <c r="V36" i="114"/>
  <c r="AG120" i="114" l="1"/>
  <c r="Z120" i="114" l="1"/>
  <c r="AA120" i="114" s="1"/>
  <c r="V120" i="114"/>
  <c r="AG125" i="114" l="1"/>
  <c r="Z125" i="114" l="1"/>
  <c r="AA125" i="114" s="1"/>
  <c r="V125" i="114"/>
  <c r="AJ35" i="114"/>
  <c r="AI35" i="114" l="1"/>
  <c r="AG35" i="114"/>
  <c r="X35" i="114"/>
  <c r="Z35" i="114" l="1"/>
  <c r="AA35" i="114" s="1"/>
  <c r="V35" i="114"/>
  <c r="AJ134" i="57"/>
  <c r="AI134" i="57" l="1"/>
  <c r="AG134" i="57"/>
  <c r="X134" i="57"/>
  <c r="V134" i="57" l="1"/>
  <c r="Z134" i="57"/>
  <c r="AA134" i="57" s="1"/>
  <c r="T134" i="57"/>
  <c r="S134" i="57"/>
  <c r="R134" i="57"/>
  <c r="Q134" i="57"/>
  <c r="P134" i="57"/>
  <c r="AG715" i="57"/>
  <c r="AJ715" i="57"/>
  <c r="X715" i="57"/>
  <c r="V715" i="57" l="1"/>
  <c r="AI715" i="57"/>
  <c r="Z715" i="57"/>
  <c r="AA715" i="57" s="1"/>
  <c r="T715" i="57"/>
  <c r="S715" i="57"/>
  <c r="R715" i="57"/>
  <c r="Q715" i="57"/>
  <c r="P715" i="57"/>
  <c r="AG1219" i="57"/>
  <c r="X1219" i="57"/>
  <c r="AJ1219" i="57"/>
  <c r="V1219" i="57" l="1"/>
  <c r="AI1219" i="57"/>
  <c r="Z1219" i="57"/>
  <c r="AA1219" i="57" s="1"/>
  <c r="T1219" i="57"/>
  <c r="S1219" i="57"/>
  <c r="R1219" i="57"/>
  <c r="Q1219" i="57"/>
  <c r="P1219" i="57"/>
  <c r="AG563" i="57"/>
  <c r="X563" i="57"/>
  <c r="AJ563" i="57"/>
  <c r="V563" i="57" l="1"/>
  <c r="AI563" i="57"/>
  <c r="Z563" i="57"/>
  <c r="AA563" i="57" s="1"/>
  <c r="T563" i="57"/>
  <c r="S563" i="57"/>
  <c r="R563" i="57"/>
  <c r="Q563" i="57"/>
  <c r="P563" i="57"/>
  <c r="AG644" i="57"/>
  <c r="X644" i="57"/>
  <c r="AJ644" i="57"/>
  <c r="V644" i="57" l="1"/>
  <c r="AI644" i="57"/>
  <c r="Z644" i="57"/>
  <c r="AA644" i="57" s="1"/>
  <c r="T644" i="57"/>
  <c r="S644" i="57"/>
  <c r="R644" i="57"/>
  <c r="Q644" i="57"/>
  <c r="P644" i="57"/>
  <c r="AG121" i="114"/>
  <c r="Z121" i="114" l="1"/>
  <c r="AA121" i="114" s="1"/>
  <c r="V121" i="114"/>
  <c r="AG112" i="114"/>
  <c r="Z112" i="114" l="1"/>
  <c r="AA112" i="114" s="1"/>
  <c r="V112" i="114"/>
  <c r="AG117" i="114" l="1"/>
  <c r="Z117" i="114" l="1"/>
  <c r="AA117" i="114" s="1"/>
  <c r="V117" i="114"/>
  <c r="AJ34" i="114"/>
  <c r="AI34" i="114" l="1"/>
  <c r="AG34" i="114"/>
  <c r="X34" i="114"/>
  <c r="Z34" i="114" l="1"/>
  <c r="AA34" i="114" s="1"/>
  <c r="V34" i="114"/>
  <c r="AJ33" i="114"/>
  <c r="AI33" i="114" l="1"/>
  <c r="AG33" i="114"/>
  <c r="X33" i="114"/>
  <c r="Z33" i="114" l="1"/>
  <c r="AA33" i="114" s="1"/>
  <c r="V33" i="114"/>
  <c r="AJ1021" i="57"/>
  <c r="AI1021" i="57" l="1"/>
  <c r="AG1021" i="57"/>
  <c r="X1021" i="57"/>
  <c r="V1021" i="57" l="1"/>
  <c r="Z1021" i="57"/>
  <c r="AA1021" i="57" s="1"/>
  <c r="T1021" i="57"/>
  <c r="S1021" i="57"/>
  <c r="R1021" i="57"/>
  <c r="Q1021" i="57"/>
  <c r="P1021" i="57"/>
  <c r="AG870" i="57"/>
  <c r="X870" i="57"/>
  <c r="AJ870" i="57"/>
  <c r="V870" i="57" l="1"/>
  <c r="AI870" i="57"/>
  <c r="Z870" i="57"/>
  <c r="AA870" i="57" s="1"/>
  <c r="T870" i="57"/>
  <c r="S870" i="57"/>
  <c r="R870" i="57"/>
  <c r="Q870" i="57"/>
  <c r="P870" i="57"/>
  <c r="AG936" i="57"/>
  <c r="X936" i="57"/>
  <c r="AJ936" i="57"/>
  <c r="V936" i="57" l="1"/>
  <c r="AI936" i="57"/>
  <c r="Z936" i="57"/>
  <c r="AA936" i="57" s="1"/>
  <c r="T936" i="57"/>
  <c r="S936" i="57"/>
  <c r="R936" i="57"/>
  <c r="Q936" i="57"/>
  <c r="P936" i="57"/>
  <c r="AG736" i="57"/>
  <c r="X736" i="57"/>
  <c r="AJ736" i="57"/>
  <c r="V736" i="57" l="1"/>
  <c r="AI736" i="57"/>
  <c r="Z736" i="57"/>
  <c r="AA736" i="57" s="1"/>
  <c r="T736" i="57"/>
  <c r="S736" i="57"/>
  <c r="R736" i="57"/>
  <c r="Q736" i="57"/>
  <c r="P736" i="57"/>
  <c r="AG813" i="57"/>
  <c r="X813" i="57"/>
  <c r="AJ813" i="57"/>
  <c r="V813" i="57" l="1"/>
  <c r="AI813" i="57"/>
  <c r="Z813" i="57"/>
  <c r="AA813" i="57" s="1"/>
  <c r="T813" i="57"/>
  <c r="S813" i="57"/>
  <c r="R813" i="57"/>
  <c r="Q813" i="57"/>
  <c r="P813" i="57"/>
  <c r="AG32" i="114"/>
  <c r="X32" i="114"/>
  <c r="AJ32" i="114"/>
  <c r="AI32" i="114" l="1"/>
  <c r="Z32" i="114"/>
  <c r="AA32" i="114" s="1"/>
  <c r="V32" i="114"/>
  <c r="AG31" i="114"/>
  <c r="X31" i="114"/>
  <c r="AJ31" i="114"/>
  <c r="AI31" i="114" l="1"/>
  <c r="Z31" i="114"/>
  <c r="AA31" i="114" s="1"/>
  <c r="V31" i="114"/>
  <c r="AG30" i="114"/>
  <c r="X30" i="114"/>
  <c r="AJ30" i="114"/>
  <c r="AI30" i="114" l="1"/>
  <c r="Z30" i="114"/>
  <c r="AA30" i="114" s="1"/>
  <c r="V30" i="114"/>
  <c r="AG29" i="114"/>
  <c r="X29" i="114"/>
  <c r="AJ29" i="114"/>
  <c r="AI29" i="114" l="1"/>
  <c r="Z29" i="114"/>
  <c r="AA29" i="114" s="1"/>
  <c r="V29" i="114"/>
  <c r="AJ28" i="114"/>
  <c r="AI28" i="114" l="1"/>
  <c r="AG28" i="114"/>
  <c r="X28" i="114"/>
  <c r="Z28" i="114" l="1"/>
  <c r="AA28" i="114" s="1"/>
  <c r="V28" i="114"/>
  <c r="AJ1064" i="57"/>
  <c r="AI1064" i="57" l="1"/>
  <c r="AG1064" i="57"/>
  <c r="X1064" i="57"/>
  <c r="V1064" i="57" l="1"/>
  <c r="Z1064" i="57"/>
  <c r="AA1064" i="57" s="1"/>
  <c r="T1064" i="57"/>
  <c r="S1064" i="57"/>
  <c r="R1064" i="57"/>
  <c r="Q1064" i="57"/>
  <c r="P1064" i="57"/>
  <c r="AG275" i="57"/>
  <c r="AJ275" i="57"/>
  <c r="X275" i="57"/>
  <c r="V275" i="57" l="1"/>
  <c r="AI275" i="57"/>
  <c r="Z275" i="57"/>
  <c r="AA275" i="57" s="1"/>
  <c r="T275" i="57"/>
  <c r="S275" i="57"/>
  <c r="R275" i="57"/>
  <c r="Q275" i="57"/>
  <c r="P275" i="57"/>
  <c r="AG687" i="57"/>
  <c r="X687" i="57"/>
  <c r="AJ687" i="57"/>
  <c r="V687" i="57" l="1"/>
  <c r="N275" i="57"/>
  <c r="AI687" i="57"/>
  <c r="Z687" i="57"/>
  <c r="AA687" i="57" s="1"/>
  <c r="T687" i="57"/>
  <c r="S687" i="57"/>
  <c r="R687" i="57"/>
  <c r="Q687" i="57"/>
  <c r="P687" i="57"/>
  <c r="AG950" i="57"/>
  <c r="X950" i="57"/>
  <c r="AJ950" i="57"/>
  <c r="V950" i="57" l="1"/>
  <c r="AI950" i="57"/>
  <c r="Z950" i="57"/>
  <c r="AA950" i="57" s="1"/>
  <c r="T950" i="57"/>
  <c r="S950" i="57"/>
  <c r="R950" i="57"/>
  <c r="Q950" i="57"/>
  <c r="P950" i="57"/>
  <c r="AG1395" i="57"/>
  <c r="X1395" i="57"/>
  <c r="AJ1395" i="57"/>
  <c r="V1395" i="57" l="1"/>
  <c r="AI1395" i="57"/>
  <c r="Z1395" i="57"/>
  <c r="AA1395" i="57" s="1"/>
  <c r="T1395" i="57"/>
  <c r="S1395" i="57"/>
  <c r="R1395" i="57"/>
  <c r="Q1395" i="57"/>
  <c r="P1395" i="57"/>
  <c r="AG27" i="114"/>
  <c r="AJ27" i="114"/>
  <c r="X27" i="114"/>
  <c r="AI27" i="114" l="1"/>
  <c r="Z27" i="114"/>
  <c r="AA27" i="114" s="1"/>
  <c r="V27" i="114"/>
  <c r="AG26" i="114"/>
  <c r="X26" i="114"/>
  <c r="AJ26" i="114"/>
  <c r="AI26" i="114" l="1"/>
  <c r="Z26" i="114"/>
  <c r="AA26" i="114" s="1"/>
  <c r="V26" i="114"/>
  <c r="AJ25" i="114"/>
  <c r="AI25" i="114" l="1"/>
  <c r="AG25" i="114"/>
  <c r="X25" i="114"/>
  <c r="Z25" i="114" l="1"/>
  <c r="AA25" i="114" s="1"/>
  <c r="V25" i="114"/>
  <c r="AJ24" i="114"/>
  <c r="AI24" i="114" l="1"/>
  <c r="AG24" i="114"/>
  <c r="X24" i="114"/>
  <c r="Z24" i="114" l="1"/>
  <c r="AA24" i="114" s="1"/>
  <c r="V24" i="114"/>
  <c r="AJ23" i="114"/>
  <c r="AI23" i="114" l="1"/>
  <c r="AG23" i="114"/>
  <c r="X23" i="114"/>
  <c r="Z23" i="114" l="1"/>
  <c r="AA23" i="114" s="1"/>
  <c r="V23" i="114"/>
  <c r="AJ712" i="57"/>
  <c r="AI712" i="57" l="1"/>
  <c r="AG712" i="57"/>
  <c r="X712" i="57"/>
  <c r="V712" i="57" l="1"/>
  <c r="Z712" i="57"/>
  <c r="AA712" i="57" s="1"/>
  <c r="T712" i="57"/>
  <c r="S712" i="57"/>
  <c r="R712" i="57"/>
  <c r="Q712" i="57"/>
  <c r="P712" i="57"/>
  <c r="AG1028" i="57"/>
  <c r="X1028" i="57"/>
  <c r="AJ1028" i="57"/>
  <c r="V1028" i="57" l="1"/>
  <c r="AI1028" i="57"/>
  <c r="Z1028" i="57"/>
  <c r="AA1028" i="57" s="1"/>
  <c r="T1028" i="57"/>
  <c r="S1028" i="57"/>
  <c r="R1028" i="57"/>
  <c r="Q1028" i="57"/>
  <c r="P1028" i="57"/>
  <c r="AG599" i="57"/>
  <c r="X599" i="57"/>
  <c r="AJ599" i="57"/>
  <c r="V599" i="57" l="1"/>
  <c r="AI599" i="57"/>
  <c r="Z599" i="57"/>
  <c r="AA599" i="57" s="1"/>
  <c r="T599" i="57"/>
  <c r="S599" i="57"/>
  <c r="R599" i="57"/>
  <c r="Q599" i="57"/>
  <c r="P599" i="57"/>
  <c r="AG1235" i="57"/>
  <c r="X1235" i="57"/>
  <c r="AJ1235" i="57"/>
  <c r="V1235" i="57" l="1"/>
  <c r="AI1235" i="57"/>
  <c r="Z1235" i="57"/>
  <c r="AA1235" i="57" s="1"/>
  <c r="T1235" i="57"/>
  <c r="S1235" i="57"/>
  <c r="R1235" i="57"/>
  <c r="Q1235" i="57"/>
  <c r="P1235" i="57"/>
  <c r="AG543" i="57"/>
  <c r="X543" i="57"/>
  <c r="AJ543" i="57"/>
  <c r="V543" i="57" l="1"/>
  <c r="AI543" i="57"/>
  <c r="Z543" i="57"/>
  <c r="AA543" i="57" s="1"/>
  <c r="T543" i="57"/>
  <c r="S543" i="57"/>
  <c r="R543" i="57"/>
  <c r="Q543" i="57"/>
  <c r="P543" i="57"/>
  <c r="AG22" i="114"/>
  <c r="X22" i="114"/>
  <c r="AJ22" i="114"/>
  <c r="AI22" i="114" l="1"/>
  <c r="Z22" i="114"/>
  <c r="AA22" i="114" s="1"/>
  <c r="V22" i="114"/>
  <c r="AG21" i="114"/>
  <c r="X21" i="114"/>
  <c r="AJ21" i="114"/>
  <c r="AI21" i="114" l="1"/>
  <c r="Z21" i="114"/>
  <c r="AA21" i="114" s="1"/>
  <c r="V21" i="114"/>
  <c r="AJ20" i="114"/>
  <c r="AI20" i="114" l="1"/>
  <c r="AG20" i="114"/>
  <c r="X20" i="114"/>
  <c r="Z20" i="114" l="1"/>
  <c r="AA20" i="114" s="1"/>
  <c r="V20" i="114"/>
  <c r="AG19" i="114"/>
  <c r="X19" i="114"/>
  <c r="AJ19" i="114"/>
  <c r="AI19" i="114" l="1"/>
  <c r="Z19" i="114"/>
  <c r="AA19" i="114" s="1"/>
  <c r="V19" i="114"/>
  <c r="AG113" i="114" l="1"/>
  <c r="Z113" i="114" l="1"/>
  <c r="AA113" i="114" s="1"/>
  <c r="V113" i="114"/>
  <c r="AJ1204" i="57"/>
  <c r="AI1204" i="57" l="1"/>
  <c r="AG1204" i="57"/>
  <c r="X1204" i="57"/>
  <c r="V1204" i="57" l="1"/>
  <c r="Z1204" i="57"/>
  <c r="AA1204" i="57" s="1"/>
  <c r="T1204" i="57"/>
  <c r="S1204" i="57"/>
  <c r="R1204" i="57"/>
  <c r="Q1204" i="57"/>
  <c r="P1204" i="57"/>
  <c r="AG580" i="57"/>
  <c r="X580" i="57"/>
  <c r="AJ580" i="57"/>
  <c r="V580" i="57" l="1"/>
  <c r="AI580" i="57"/>
  <c r="Z580" i="57"/>
  <c r="AA580" i="57" s="1"/>
  <c r="T580" i="57"/>
  <c r="S580" i="57"/>
  <c r="R580" i="57"/>
  <c r="Q580" i="57"/>
  <c r="P580" i="57"/>
  <c r="AG600" i="57"/>
  <c r="AJ600" i="57"/>
  <c r="X600" i="57"/>
  <c r="V600" i="57" l="1"/>
  <c r="AI600" i="57"/>
  <c r="Z600" i="57"/>
  <c r="AA600" i="57" s="1"/>
  <c r="T600" i="57"/>
  <c r="S600" i="57"/>
  <c r="R600" i="57"/>
  <c r="Q600" i="57"/>
  <c r="P600" i="57"/>
  <c r="AG728" i="57"/>
  <c r="X728" i="57"/>
  <c r="AJ728" i="57"/>
  <c r="V728" i="57" l="1"/>
  <c r="AI728" i="57"/>
  <c r="Z728" i="57"/>
  <c r="AA728" i="57" s="1"/>
  <c r="T728" i="57"/>
  <c r="S728" i="57"/>
  <c r="R728" i="57"/>
  <c r="Q728" i="57"/>
  <c r="P728" i="57"/>
  <c r="AG551" i="57"/>
  <c r="AJ551" i="57"/>
  <c r="X551" i="57"/>
  <c r="V551" i="57" l="1"/>
  <c r="AI551" i="57"/>
  <c r="Z551" i="57"/>
  <c r="AA551" i="57" s="1"/>
  <c r="T551" i="57"/>
  <c r="S551" i="57"/>
  <c r="R551" i="57"/>
  <c r="Q551" i="57"/>
  <c r="P551" i="57"/>
  <c r="AG124" i="114"/>
  <c r="Z124" i="114" l="1"/>
  <c r="AA124" i="114" s="1"/>
  <c r="V124" i="114"/>
  <c r="AG18" i="114"/>
  <c r="X18" i="114"/>
  <c r="AJ18" i="114"/>
  <c r="AI18" i="114" l="1"/>
  <c r="Z18" i="114"/>
  <c r="AA18" i="114" s="1"/>
  <c r="V18" i="114"/>
  <c r="AG115" i="114" l="1"/>
  <c r="Z115" i="114" l="1"/>
  <c r="AA115" i="114" s="1"/>
  <c r="V115" i="114"/>
  <c r="AG114" i="114"/>
  <c r="Z114" i="114" l="1"/>
  <c r="AA114" i="114" s="1"/>
  <c r="V114" i="114"/>
  <c r="AG17" i="114"/>
  <c r="X17" i="114"/>
  <c r="AJ17" i="114"/>
  <c r="AI17" i="114" l="1"/>
  <c r="Z17" i="114"/>
  <c r="AA17" i="114" s="1"/>
  <c r="V17" i="114"/>
  <c r="Y183" i="114" l="1"/>
  <c r="X183" i="114"/>
  <c r="T1364" i="57"/>
  <c r="S1364" i="57"/>
  <c r="R1364" i="57"/>
  <c r="Q1364" i="57"/>
  <c r="P1364" i="57"/>
  <c r="AG6" i="22"/>
  <c r="X6" i="22"/>
  <c r="N22" i="28" l="1"/>
  <c r="Z6" i="22"/>
  <c r="AA6" i="22" s="1"/>
  <c r="V6" i="22"/>
  <c r="T6" i="22"/>
  <c r="S6" i="22"/>
  <c r="R6" i="22"/>
  <c r="Q6" i="22"/>
  <c r="P6" i="22"/>
  <c r="AQ22" i="28"/>
  <c r="AP22" i="28"/>
  <c r="AM22" i="28"/>
  <c r="AL22" i="28" l="1"/>
  <c r="X22" i="28"/>
  <c r="V22" i="28" l="1"/>
  <c r="AJ22" i="28"/>
  <c r="Z22" i="28"/>
  <c r="AA22" i="28" s="1"/>
  <c r="T22" i="28"/>
  <c r="S22" i="28"/>
  <c r="R22" i="28"/>
  <c r="Q22" i="28"/>
  <c r="P22" i="28"/>
  <c r="AG39" i="74" l="1"/>
  <c r="Z39" i="74" l="1"/>
  <c r="AA39" i="74" s="1"/>
  <c r="V39" i="74"/>
  <c r="AG10" i="74"/>
  <c r="X10" i="74"/>
  <c r="AJ10" i="74"/>
  <c r="AI10" i="74" l="1"/>
  <c r="Z10" i="74"/>
  <c r="AA10" i="74" s="1"/>
  <c r="V10" i="74"/>
  <c r="AG1099" i="57"/>
  <c r="X1099" i="57"/>
  <c r="AJ1099" i="57"/>
  <c r="V1099" i="57" l="1"/>
  <c r="AI1099" i="57"/>
  <c r="Z1099" i="57"/>
  <c r="AA1099" i="57" s="1"/>
  <c r="T1099" i="57"/>
  <c r="S1099" i="57"/>
  <c r="R1099" i="57"/>
  <c r="Q1099" i="57"/>
  <c r="P1099" i="57"/>
  <c r="AG1360" i="57"/>
  <c r="AJ1360" i="57"/>
  <c r="X1360" i="57"/>
  <c r="V1360" i="57" l="1"/>
  <c r="AI1360" i="57"/>
  <c r="Z1360" i="57"/>
  <c r="AA1360" i="57" s="1"/>
  <c r="T1360" i="57"/>
  <c r="S1360" i="57"/>
  <c r="R1360" i="57"/>
  <c r="Q1360" i="57"/>
  <c r="P1360" i="57"/>
  <c r="AG693" i="57"/>
  <c r="X693" i="57"/>
  <c r="AJ693" i="57"/>
  <c r="V693" i="57" l="1"/>
  <c r="AI693" i="57"/>
  <c r="Z693" i="57"/>
  <c r="AA693" i="57" s="1"/>
  <c r="T693" i="57"/>
  <c r="S693" i="57"/>
  <c r="R693" i="57"/>
  <c r="Q693" i="57"/>
  <c r="P693" i="57"/>
  <c r="AG743" i="57"/>
  <c r="AJ743" i="57"/>
  <c r="X743" i="57"/>
  <c r="V743" i="57" l="1"/>
  <c r="AI743" i="57"/>
  <c r="Z743" i="57"/>
  <c r="AA743" i="57" s="1"/>
  <c r="T743" i="57"/>
  <c r="S743" i="57"/>
  <c r="R743" i="57"/>
  <c r="Q743" i="57"/>
  <c r="P743" i="57"/>
  <c r="AG139" i="114" l="1"/>
  <c r="Z139" i="114" l="1"/>
  <c r="AA139" i="114" s="1"/>
  <c r="V139" i="114"/>
  <c r="AG116" i="114" l="1"/>
  <c r="Z116" i="114" l="1"/>
  <c r="AA116" i="114" s="1"/>
  <c r="V116" i="114"/>
  <c r="AJ53" i="114"/>
  <c r="AI53" i="114" l="1"/>
  <c r="AG53" i="114"/>
  <c r="X53" i="114"/>
  <c r="Z53" i="114" l="1"/>
  <c r="AA53" i="114" s="1"/>
  <c r="V53" i="114"/>
  <c r="AJ52" i="114"/>
  <c r="AI52" i="114" l="1"/>
  <c r="AG52" i="114"/>
  <c r="X52" i="114"/>
  <c r="Z52" i="114" l="1"/>
  <c r="AA52" i="114" s="1"/>
  <c r="V52" i="114"/>
  <c r="AJ1200" i="57"/>
  <c r="AI1200" i="57" l="1"/>
  <c r="AG1200" i="57"/>
  <c r="X1200" i="57"/>
  <c r="V1200" i="57" l="1"/>
  <c r="Z1200" i="57"/>
  <c r="AA1200" i="57" s="1"/>
  <c r="T1200" i="57"/>
  <c r="S1200" i="57"/>
  <c r="R1200" i="57"/>
  <c r="Q1200" i="57"/>
  <c r="P1200" i="57"/>
  <c r="AG668" i="57"/>
  <c r="X668" i="57"/>
  <c r="AJ668" i="57"/>
  <c r="V668" i="57" l="1"/>
  <c r="AI668" i="57"/>
  <c r="Z668" i="57"/>
  <c r="AA668" i="57" s="1"/>
  <c r="T668" i="57"/>
  <c r="S668" i="57"/>
  <c r="R668" i="57"/>
  <c r="Q668" i="57"/>
  <c r="P668" i="57"/>
  <c r="AG293" i="57"/>
  <c r="X293" i="57"/>
  <c r="AJ293" i="57"/>
  <c r="V293" i="57" l="1"/>
  <c r="AI293" i="57"/>
  <c r="Z293" i="57"/>
  <c r="AA293" i="57" s="1"/>
  <c r="T293" i="57"/>
  <c r="S293" i="57"/>
  <c r="R293" i="57"/>
  <c r="Q293" i="57"/>
  <c r="P293" i="57"/>
  <c r="AG765" i="57"/>
  <c r="X765" i="57"/>
  <c r="AJ765" i="57"/>
  <c r="V765" i="57" l="1"/>
  <c r="N293" i="57"/>
  <c r="AI765" i="57"/>
  <c r="Z765" i="57"/>
  <c r="AA765" i="57" s="1"/>
  <c r="T765" i="57"/>
  <c r="S765" i="57"/>
  <c r="R765" i="57"/>
  <c r="Q765" i="57"/>
  <c r="P765" i="57"/>
  <c r="AG1182" i="57"/>
  <c r="X1182" i="57"/>
  <c r="AJ1182" i="57"/>
  <c r="V1182" i="57" l="1"/>
  <c r="AI1182" i="57"/>
  <c r="Z1182" i="57"/>
  <c r="AA1182" i="57" s="1"/>
  <c r="T1182" i="57"/>
  <c r="S1182" i="57"/>
  <c r="R1182" i="57"/>
  <c r="Q1182" i="57"/>
  <c r="P1182" i="57"/>
  <c r="AG51" i="114"/>
  <c r="X51" i="114"/>
  <c r="AJ51" i="114"/>
  <c r="AI51" i="114" l="1"/>
  <c r="Z51" i="114"/>
  <c r="AA51" i="114" s="1"/>
  <c r="V51" i="114"/>
  <c r="AG50" i="114"/>
  <c r="X50" i="114"/>
  <c r="AJ50" i="114"/>
  <c r="AI50" i="114" l="1"/>
  <c r="Z50" i="114"/>
  <c r="AA50" i="114" s="1"/>
  <c r="V50" i="114"/>
  <c r="AJ49" i="114"/>
  <c r="AI49" i="114" l="1"/>
  <c r="AG49" i="114"/>
  <c r="X49" i="114"/>
  <c r="Z49" i="114" l="1"/>
  <c r="AA49" i="114" s="1"/>
  <c r="V49" i="114"/>
  <c r="AJ48" i="114"/>
  <c r="AI48" i="114" l="1"/>
  <c r="AG48" i="114"/>
  <c r="X48" i="114"/>
  <c r="Z48" i="114" l="1"/>
  <c r="AA48" i="114" s="1"/>
  <c r="V48" i="114"/>
  <c r="AJ47" i="114"/>
  <c r="AI47" i="114" l="1"/>
  <c r="AG47" i="114"/>
  <c r="X47" i="114"/>
  <c r="Z47" i="114" l="1"/>
  <c r="AA47" i="114" s="1"/>
  <c r="V47" i="114"/>
  <c r="AJ607" i="57"/>
  <c r="AI607" i="57" l="1"/>
  <c r="AG607" i="57"/>
  <c r="X607" i="57"/>
  <c r="V607" i="57" l="1"/>
  <c r="Z607" i="57"/>
  <c r="AA607" i="57" s="1"/>
  <c r="T607" i="57"/>
  <c r="S607" i="57"/>
  <c r="R607" i="57"/>
  <c r="Q607" i="57"/>
  <c r="P607" i="57"/>
  <c r="AG1522" i="57"/>
  <c r="X1522" i="57"/>
  <c r="AJ1522" i="57"/>
  <c r="V1522" i="57" l="1"/>
  <c r="AI1522" i="57"/>
  <c r="Z1522" i="57"/>
  <c r="AA1522" i="57" s="1"/>
  <c r="T1522" i="57"/>
  <c r="S1522" i="57"/>
  <c r="R1522" i="57"/>
  <c r="Q1522" i="57"/>
  <c r="P1522" i="57"/>
  <c r="AG1517" i="57"/>
  <c r="X1517" i="57"/>
  <c r="AJ1517" i="57"/>
  <c r="V1517" i="57" l="1"/>
  <c r="AI1517" i="57"/>
  <c r="Z1517" i="57"/>
  <c r="AA1517" i="57" s="1"/>
  <c r="T1517" i="57"/>
  <c r="S1517" i="57"/>
  <c r="R1517" i="57"/>
  <c r="Q1517" i="57"/>
  <c r="P1517" i="57"/>
  <c r="AG546" i="57"/>
  <c r="AJ546" i="57"/>
  <c r="X546" i="57"/>
  <c r="V546" i="57" l="1"/>
  <c r="AI546" i="57"/>
  <c r="Z546" i="57"/>
  <c r="AA546" i="57" s="1"/>
  <c r="T546" i="57"/>
  <c r="S546" i="57"/>
  <c r="R546" i="57"/>
  <c r="Q546" i="57"/>
  <c r="P546" i="57"/>
  <c r="AG780" i="57"/>
  <c r="X780" i="57"/>
  <c r="AJ780" i="57"/>
  <c r="V780" i="57" l="1"/>
  <c r="AI780" i="57"/>
  <c r="Z780" i="57"/>
  <c r="AA780" i="57" s="1"/>
  <c r="T780" i="57"/>
  <c r="S780" i="57"/>
  <c r="R780" i="57"/>
  <c r="Q780" i="57"/>
  <c r="P780" i="57"/>
  <c r="AG46" i="114"/>
  <c r="X46" i="114"/>
  <c r="AJ46" i="114"/>
  <c r="AI46" i="114" l="1"/>
  <c r="Z46" i="114"/>
  <c r="AA46" i="114" s="1"/>
  <c r="V46" i="114"/>
  <c r="AG45" i="114"/>
  <c r="X45" i="114"/>
  <c r="AJ45" i="114"/>
  <c r="AI45" i="114" l="1"/>
  <c r="Z45" i="114"/>
  <c r="AA45" i="114" s="1"/>
  <c r="V45" i="114"/>
  <c r="AJ44" i="114"/>
  <c r="AI44" i="114" l="1"/>
  <c r="AG44" i="114"/>
  <c r="X44" i="114"/>
  <c r="Z44" i="114" l="1"/>
  <c r="AA44" i="114" s="1"/>
  <c r="V44" i="114"/>
  <c r="AJ43" i="114"/>
  <c r="AI43" i="114" l="1"/>
  <c r="AG43" i="114"/>
  <c r="X43" i="114"/>
  <c r="Z43" i="114" l="1"/>
  <c r="AA43" i="114" s="1"/>
  <c r="V43" i="114"/>
  <c r="AJ42" i="114"/>
  <c r="AI42" i="114" l="1"/>
  <c r="AG42" i="114"/>
  <c r="X42" i="114"/>
  <c r="Z42" i="114" l="1"/>
  <c r="AA42" i="114" s="1"/>
  <c r="V42" i="114"/>
  <c r="AG48" i="22" l="1"/>
  <c r="Y48" i="22"/>
  <c r="X48" i="22"/>
  <c r="Z48" i="22" l="1"/>
  <c r="AA48" i="22" s="1"/>
  <c r="T48" i="22"/>
  <c r="S48" i="22"/>
  <c r="R48" i="22"/>
  <c r="Q48" i="22"/>
  <c r="P48" i="22"/>
  <c r="M48" i="22"/>
  <c r="L48" i="22"/>
  <c r="K48" i="22"/>
  <c r="J48" i="22"/>
  <c r="AG47" i="22"/>
  <c r="Y47" i="22"/>
  <c r="Y49" i="22" s="1"/>
  <c r="X47" i="22"/>
  <c r="N48" i="22" l="1"/>
  <c r="X49" i="22"/>
  <c r="Z47" i="22"/>
  <c r="AA47" i="22" s="1"/>
  <c r="T47" i="22"/>
  <c r="S47" i="22"/>
  <c r="R47" i="22"/>
  <c r="Q47" i="22"/>
  <c r="P47" i="22"/>
  <c r="M47" i="22"/>
  <c r="L47" i="22"/>
  <c r="K47" i="22"/>
  <c r="J47" i="22"/>
  <c r="AN36" i="118"/>
  <c r="AN9" i="118"/>
  <c r="AN2" i="118"/>
  <c r="AM33" i="118"/>
  <c r="AM18" i="118"/>
  <c r="AN27" i="118"/>
  <c r="AM23" i="118"/>
  <c r="AN20" i="118"/>
  <c r="AM12" i="118"/>
  <c r="AN30" i="118"/>
  <c r="AN31" i="118"/>
  <c r="AN10" i="118"/>
  <c r="AM20" i="118"/>
  <c r="AN4" i="118"/>
  <c r="AM10" i="118"/>
  <c r="AN26" i="118"/>
  <c r="AN6" i="118"/>
  <c r="AM38" i="118"/>
  <c r="AN24" i="118"/>
  <c r="AM35" i="118"/>
  <c r="AN19" i="118"/>
  <c r="AM2" i="118"/>
  <c r="AM13" i="118"/>
  <c r="AM32" i="118"/>
  <c r="AM22" i="118"/>
  <c r="AM37" i="118"/>
  <c r="AN14" i="118"/>
  <c r="AM14" i="118"/>
  <c r="AM21" i="118"/>
  <c r="AN33" i="118"/>
  <c r="AM29" i="118"/>
  <c r="AM36" i="118"/>
  <c r="AM15" i="118"/>
  <c r="AM39" i="118"/>
  <c r="AM24" i="118"/>
  <c r="AM3" i="118"/>
  <c r="AM16" i="118"/>
  <c r="AM11" i="118"/>
  <c r="AN13" i="118"/>
  <c r="AM6" i="118"/>
  <c r="AN37" i="118"/>
  <c r="AM19" i="118"/>
  <c r="AN16" i="118"/>
  <c r="AN7" i="118"/>
  <c r="AM4" i="118"/>
  <c r="AM26" i="118"/>
  <c r="AM30" i="118"/>
  <c r="AN22" i="118"/>
  <c r="AN17" i="118"/>
  <c r="AM27" i="118"/>
  <c r="AN15" i="118"/>
  <c r="AM9" i="118"/>
  <c r="AM7" i="118"/>
  <c r="AN3" i="118"/>
  <c r="AN39" i="118"/>
  <c r="AN8" i="118"/>
  <c r="AN35" i="118"/>
  <c r="AN25" i="118"/>
  <c r="AN18" i="118"/>
  <c r="AN40" i="118"/>
  <c r="AM40" i="118"/>
  <c r="AN5" i="118"/>
  <c r="AM1" i="118"/>
  <c r="AM25" i="118"/>
  <c r="AM34" i="118"/>
  <c r="AN12" i="118"/>
  <c r="AN32" i="118"/>
  <c r="AN1" i="118"/>
  <c r="AM31" i="118"/>
  <c r="AM28" i="118"/>
  <c r="AN11" i="118"/>
  <c r="AN34" i="118"/>
  <c r="AN23" i="118"/>
  <c r="AN21" i="118"/>
  <c r="AN28" i="118"/>
  <c r="AN29" i="118"/>
  <c r="AM17" i="118"/>
  <c r="AN38" i="118"/>
  <c r="AM8" i="118"/>
  <c r="AM5" i="118"/>
  <c r="N47" i="22" l="1"/>
  <c r="AD49" i="22"/>
  <c r="Z49" i="22"/>
  <c r="M565" i="22"/>
  <c r="L565" i="22"/>
  <c r="K565" i="22"/>
  <c r="J565" i="22"/>
  <c r="M564" i="22"/>
  <c r="L564" i="22"/>
  <c r="K564" i="22"/>
  <c r="J564" i="22"/>
  <c r="M563" i="22"/>
  <c r="L563" i="22"/>
  <c r="K563" i="22"/>
  <c r="J563" i="22"/>
  <c r="M562" i="22"/>
  <c r="L562" i="22"/>
  <c r="K562" i="22"/>
  <c r="J562" i="22"/>
  <c r="M561" i="22"/>
  <c r="L561" i="22"/>
  <c r="K561" i="22"/>
  <c r="J561" i="22"/>
  <c r="M560" i="22"/>
  <c r="L560" i="22"/>
  <c r="K560" i="22"/>
  <c r="J560" i="22"/>
  <c r="M559" i="22"/>
  <c r="L559" i="22"/>
  <c r="K559" i="22"/>
  <c r="J559" i="22"/>
  <c r="J553" i="22"/>
  <c r="K553" i="22"/>
  <c r="L553" i="22"/>
  <c r="M553" i="22"/>
  <c r="J554" i="22"/>
  <c r="K554" i="22"/>
  <c r="L554" i="22"/>
  <c r="M554" i="22"/>
  <c r="J555" i="22"/>
  <c r="K555" i="22"/>
  <c r="L555" i="22"/>
  <c r="M555" i="22"/>
  <c r="J556" i="22"/>
  <c r="K556" i="22"/>
  <c r="L556" i="22"/>
  <c r="M556" i="22"/>
  <c r="M552" i="22"/>
  <c r="L552" i="22"/>
  <c r="K552" i="22"/>
  <c r="J552" i="22"/>
  <c r="M551" i="22"/>
  <c r="L551" i="22"/>
  <c r="K551" i="22"/>
  <c r="J551" i="22"/>
  <c r="M550" i="22"/>
  <c r="L550" i="22"/>
  <c r="K550" i="22"/>
  <c r="J550" i="22"/>
  <c r="J547" i="22"/>
  <c r="K547" i="22"/>
  <c r="L547" i="22"/>
  <c r="M547" i="22"/>
  <c r="M546" i="22"/>
  <c r="L546" i="22"/>
  <c r="K546" i="22"/>
  <c r="J546" i="22"/>
  <c r="M545" i="22"/>
  <c r="L545" i="22"/>
  <c r="K545" i="22"/>
  <c r="J545" i="22"/>
  <c r="M542" i="22"/>
  <c r="L542" i="22"/>
  <c r="K542" i="22"/>
  <c r="J542" i="22"/>
  <c r="M541" i="22"/>
  <c r="L541" i="22"/>
  <c r="K541" i="22"/>
  <c r="J541" i="22"/>
  <c r="J530" i="22"/>
  <c r="K530" i="22"/>
  <c r="L530" i="22"/>
  <c r="M530" i="22"/>
  <c r="J531" i="22"/>
  <c r="K531" i="22"/>
  <c r="L531" i="22"/>
  <c r="M531" i="22"/>
  <c r="J532" i="22"/>
  <c r="K532" i="22"/>
  <c r="L532" i="22"/>
  <c r="M532" i="22"/>
  <c r="J533" i="22"/>
  <c r="K533" i="22"/>
  <c r="L533" i="22"/>
  <c r="M533" i="22"/>
  <c r="J534" i="22"/>
  <c r="K534" i="22"/>
  <c r="L534" i="22"/>
  <c r="M534" i="22"/>
  <c r="J535" i="22"/>
  <c r="K535" i="22"/>
  <c r="L535" i="22"/>
  <c r="M535" i="22"/>
  <c r="J536" i="22"/>
  <c r="K536" i="22"/>
  <c r="L536" i="22"/>
  <c r="M536" i="22"/>
  <c r="J537" i="22"/>
  <c r="K537" i="22"/>
  <c r="L537" i="22"/>
  <c r="M537" i="22"/>
  <c r="J538" i="22"/>
  <c r="K538" i="22"/>
  <c r="L538" i="22"/>
  <c r="M538" i="22"/>
  <c r="M529" i="22"/>
  <c r="L529" i="22"/>
  <c r="K529" i="22"/>
  <c r="J529" i="22"/>
  <c r="J523" i="22"/>
  <c r="K523" i="22"/>
  <c r="L523" i="22"/>
  <c r="M523" i="22"/>
  <c r="J524" i="22"/>
  <c r="K524" i="22"/>
  <c r="L524" i="22"/>
  <c r="M524" i="22"/>
  <c r="J525" i="22"/>
  <c r="K525" i="22"/>
  <c r="L525" i="22"/>
  <c r="M525" i="22"/>
  <c r="J526" i="22"/>
  <c r="K526" i="22"/>
  <c r="L526" i="22"/>
  <c r="M526" i="22"/>
  <c r="M522" i="22"/>
  <c r="L522" i="22"/>
  <c r="K522" i="22"/>
  <c r="J522" i="22"/>
  <c r="M521" i="22"/>
  <c r="L521" i="22"/>
  <c r="K521" i="22"/>
  <c r="J521" i="22"/>
  <c r="M520" i="22"/>
  <c r="L520" i="22"/>
  <c r="K520" i="22"/>
  <c r="J520" i="22"/>
  <c r="M519" i="22"/>
  <c r="L519" i="22"/>
  <c r="K519" i="22"/>
  <c r="J519" i="22"/>
  <c r="M518" i="22"/>
  <c r="L518" i="22"/>
  <c r="K518" i="22"/>
  <c r="J518" i="22"/>
  <c r="M517" i="22"/>
  <c r="L517" i="22"/>
  <c r="K517" i="22"/>
  <c r="J517" i="22"/>
  <c r="M514" i="22"/>
  <c r="L514" i="22"/>
  <c r="K514" i="22"/>
  <c r="J514" i="22"/>
  <c r="M513" i="22"/>
  <c r="L513" i="22"/>
  <c r="K513" i="22"/>
  <c r="J513" i="22"/>
  <c r="M512" i="22"/>
  <c r="L512" i="22"/>
  <c r="K512" i="22"/>
  <c r="J512" i="22"/>
  <c r="M511" i="22"/>
  <c r="L511" i="22"/>
  <c r="K511" i="22"/>
  <c r="J511" i="22"/>
  <c r="M510" i="22"/>
  <c r="L510" i="22"/>
  <c r="K510" i="22"/>
  <c r="J510" i="22"/>
  <c r="M509" i="22"/>
  <c r="L509" i="22"/>
  <c r="K509" i="22"/>
  <c r="J509" i="22"/>
  <c r="J504" i="22"/>
  <c r="K504" i="22"/>
  <c r="L504" i="22"/>
  <c r="M504" i="22"/>
  <c r="J505" i="22"/>
  <c r="K505" i="22"/>
  <c r="L505" i="22"/>
  <c r="M505" i="22"/>
  <c r="J506" i="22"/>
  <c r="K506" i="22"/>
  <c r="L506" i="22"/>
  <c r="M506" i="22"/>
  <c r="M503" i="22"/>
  <c r="L503" i="22"/>
  <c r="K503" i="22"/>
  <c r="J503" i="22"/>
  <c r="M502" i="22"/>
  <c r="L502" i="22"/>
  <c r="K502" i="22"/>
  <c r="J502" i="22"/>
  <c r="M501" i="22"/>
  <c r="L501" i="22"/>
  <c r="K501" i="22"/>
  <c r="J501" i="22"/>
  <c r="J498" i="22"/>
  <c r="K498" i="22"/>
  <c r="L498" i="22"/>
  <c r="M498" i="22"/>
  <c r="M497" i="22"/>
  <c r="L497" i="22"/>
  <c r="K497" i="22"/>
  <c r="J497" i="22"/>
  <c r="M496" i="22"/>
  <c r="L496" i="22"/>
  <c r="K496" i="22"/>
  <c r="J496" i="22"/>
  <c r="M493" i="22"/>
  <c r="L493" i="22"/>
  <c r="K493" i="22"/>
  <c r="J493" i="22"/>
  <c r="M492" i="22"/>
  <c r="L492" i="22"/>
  <c r="K492" i="22"/>
  <c r="J492" i="22"/>
  <c r="M491" i="22"/>
  <c r="L491" i="22"/>
  <c r="K491" i="22"/>
  <c r="J491" i="22"/>
  <c r="M490" i="22"/>
  <c r="L490" i="22"/>
  <c r="K490" i="22"/>
  <c r="J490" i="22"/>
  <c r="M489" i="22"/>
  <c r="L489" i="22"/>
  <c r="K489" i="22"/>
  <c r="J489" i="22"/>
  <c r="M479" i="22"/>
  <c r="L479" i="22"/>
  <c r="K479" i="22"/>
  <c r="J479" i="22"/>
  <c r="M478" i="22"/>
  <c r="L478" i="22"/>
  <c r="K478" i="22"/>
  <c r="J478" i="22"/>
  <c r="M475" i="22"/>
  <c r="L475" i="22"/>
  <c r="K475" i="22"/>
  <c r="J475" i="22"/>
  <c r="M474" i="22"/>
  <c r="L474" i="22"/>
  <c r="K474" i="22"/>
  <c r="J474" i="22"/>
  <c r="M473" i="22"/>
  <c r="L473" i="22"/>
  <c r="K473" i="22"/>
  <c r="J473" i="22"/>
  <c r="M472" i="22"/>
  <c r="L472" i="22"/>
  <c r="K472" i="22"/>
  <c r="J472" i="22"/>
  <c r="M469" i="22"/>
  <c r="L469" i="22"/>
  <c r="K469" i="22"/>
  <c r="J469" i="22"/>
  <c r="M468" i="22"/>
  <c r="L468" i="22"/>
  <c r="K468" i="22"/>
  <c r="J468" i="22"/>
  <c r="M465" i="22"/>
  <c r="L465" i="22"/>
  <c r="K465" i="22"/>
  <c r="J465" i="22"/>
  <c r="M464" i="22"/>
  <c r="L464" i="22"/>
  <c r="K464" i="22"/>
  <c r="J464" i="22"/>
  <c r="M463" i="22"/>
  <c r="L463" i="22"/>
  <c r="K463" i="22"/>
  <c r="J463" i="22"/>
  <c r="M462" i="22"/>
  <c r="L462" i="22"/>
  <c r="K462" i="22"/>
  <c r="J462" i="22"/>
  <c r="J459" i="22"/>
  <c r="K459" i="22"/>
  <c r="L459" i="22"/>
  <c r="M459" i="22"/>
  <c r="M458" i="22"/>
  <c r="L458" i="22"/>
  <c r="K458" i="22"/>
  <c r="J458" i="22"/>
  <c r="M455" i="22"/>
  <c r="L455" i="22"/>
  <c r="K455" i="22"/>
  <c r="J455" i="22"/>
  <c r="M452" i="22"/>
  <c r="L452" i="22"/>
  <c r="K452" i="22"/>
  <c r="J452" i="22"/>
  <c r="M451" i="22"/>
  <c r="L451" i="22"/>
  <c r="K451" i="22"/>
  <c r="J451" i="22"/>
  <c r="M450" i="22"/>
  <c r="L450" i="22"/>
  <c r="K450" i="22"/>
  <c r="J450" i="22"/>
  <c r="M449" i="22"/>
  <c r="L449" i="22"/>
  <c r="K449" i="22"/>
  <c r="J449" i="22"/>
  <c r="M446" i="22"/>
  <c r="L446" i="22"/>
  <c r="K446" i="22"/>
  <c r="J446" i="22"/>
  <c r="M445" i="22"/>
  <c r="L445" i="22"/>
  <c r="K445" i="22"/>
  <c r="J445" i="22"/>
  <c r="M444" i="22"/>
  <c r="L444" i="22"/>
  <c r="K444" i="22"/>
  <c r="J444" i="22"/>
  <c r="M443" i="22"/>
  <c r="L443" i="22"/>
  <c r="K443" i="22"/>
  <c r="J443" i="22"/>
  <c r="M442" i="22"/>
  <c r="L442" i="22"/>
  <c r="K442" i="22"/>
  <c r="J442" i="22"/>
  <c r="J439" i="22"/>
  <c r="K439" i="22"/>
  <c r="L439" i="22"/>
  <c r="M439" i="22"/>
  <c r="M438" i="22"/>
  <c r="L438" i="22"/>
  <c r="K438" i="22"/>
  <c r="J438" i="22"/>
  <c r="M437" i="22"/>
  <c r="L437" i="22"/>
  <c r="K437" i="22"/>
  <c r="J437" i="22"/>
  <c r="M436" i="22"/>
  <c r="L436" i="22"/>
  <c r="K436" i="22"/>
  <c r="J436" i="22"/>
  <c r="M435" i="22"/>
  <c r="L435" i="22"/>
  <c r="K435" i="22"/>
  <c r="J435" i="22"/>
  <c r="J430" i="22"/>
  <c r="K430" i="22"/>
  <c r="L430" i="22"/>
  <c r="M430" i="22"/>
  <c r="J431" i="22"/>
  <c r="K431" i="22"/>
  <c r="L431" i="22"/>
  <c r="M431" i="22"/>
  <c r="J432" i="22"/>
  <c r="K432" i="22"/>
  <c r="L432" i="22"/>
  <c r="M432" i="22"/>
  <c r="M429" i="22"/>
  <c r="L429" i="22"/>
  <c r="K429" i="22"/>
  <c r="J429" i="22"/>
  <c r="M426" i="22"/>
  <c r="L426" i="22"/>
  <c r="K426" i="22"/>
  <c r="J426" i="22"/>
  <c r="M425" i="22"/>
  <c r="L425" i="22"/>
  <c r="K425" i="22"/>
  <c r="J425" i="22"/>
  <c r="M424" i="22"/>
  <c r="L424" i="22"/>
  <c r="K424" i="22"/>
  <c r="J424" i="22"/>
  <c r="M421" i="22"/>
  <c r="L421" i="22"/>
  <c r="K421" i="22"/>
  <c r="J421" i="22"/>
  <c r="M418" i="22"/>
  <c r="L418" i="22"/>
  <c r="K418" i="22"/>
  <c r="J418" i="22"/>
  <c r="J411" i="22"/>
  <c r="K411" i="22"/>
  <c r="L411" i="22"/>
  <c r="M411" i="22"/>
  <c r="M410" i="22"/>
  <c r="L410" i="22"/>
  <c r="K410" i="22"/>
  <c r="J410" i="22"/>
  <c r="M409" i="22"/>
  <c r="L409" i="22"/>
  <c r="K409" i="22"/>
  <c r="J409" i="22"/>
  <c r="M408" i="22"/>
  <c r="L408" i="22"/>
  <c r="K408" i="22"/>
  <c r="J408" i="22"/>
  <c r="J391" i="22"/>
  <c r="K391" i="22"/>
  <c r="L391" i="22"/>
  <c r="M391" i="22"/>
  <c r="J392" i="22"/>
  <c r="K392" i="22"/>
  <c r="L392" i="22"/>
  <c r="M392" i="22"/>
  <c r="J393" i="22"/>
  <c r="K393" i="22"/>
  <c r="L393" i="22"/>
  <c r="M393" i="22"/>
  <c r="J394" i="22"/>
  <c r="K394" i="22"/>
  <c r="L394" i="22"/>
  <c r="M394" i="22"/>
  <c r="J398" i="22"/>
  <c r="K398" i="22"/>
  <c r="L398" i="22"/>
  <c r="M398" i="22"/>
  <c r="J399" i="22"/>
  <c r="K399" i="22"/>
  <c r="L399" i="22"/>
  <c r="M399" i="22"/>
  <c r="J400" i="22"/>
  <c r="K400" i="22"/>
  <c r="L400" i="22"/>
  <c r="M400" i="22"/>
  <c r="M390" i="22"/>
  <c r="L390" i="22"/>
  <c r="K390" i="22"/>
  <c r="J390" i="22"/>
  <c r="M389" i="22"/>
  <c r="L389" i="22"/>
  <c r="K389" i="22"/>
  <c r="J389" i="22"/>
  <c r="M388" i="22"/>
  <c r="L388" i="22"/>
  <c r="K388" i="22"/>
  <c r="J388" i="22"/>
  <c r="M387" i="22"/>
  <c r="L387" i="22"/>
  <c r="K387" i="22"/>
  <c r="J387" i="22"/>
  <c r="M386" i="22"/>
  <c r="L386" i="22"/>
  <c r="K386" i="22"/>
  <c r="J386" i="22"/>
  <c r="M385" i="22"/>
  <c r="L385" i="22"/>
  <c r="K385" i="22"/>
  <c r="J385" i="22"/>
  <c r="M384" i="22"/>
  <c r="L384" i="22"/>
  <c r="K384" i="22"/>
  <c r="J384" i="22"/>
  <c r="M383" i="22"/>
  <c r="L383" i="22"/>
  <c r="K383" i="22"/>
  <c r="J383" i="22"/>
  <c r="M382" i="22"/>
  <c r="L382" i="22"/>
  <c r="K382" i="22"/>
  <c r="J382" i="22"/>
  <c r="M381" i="22"/>
  <c r="L381" i="22"/>
  <c r="K381" i="22"/>
  <c r="J381" i="22"/>
  <c r="M380" i="22"/>
  <c r="L380" i="22"/>
  <c r="K380" i="22"/>
  <c r="J380" i="22"/>
  <c r="M379" i="22"/>
  <c r="L379" i="22"/>
  <c r="K379" i="22"/>
  <c r="J379" i="22"/>
  <c r="M378" i="22"/>
  <c r="L378" i="22"/>
  <c r="K378" i="22"/>
  <c r="J378" i="22"/>
  <c r="M377" i="22"/>
  <c r="L377" i="22"/>
  <c r="K377" i="22"/>
  <c r="J377" i="22"/>
  <c r="M376" i="22"/>
  <c r="L376" i="22"/>
  <c r="K376" i="22"/>
  <c r="J376" i="22"/>
  <c r="M375" i="22"/>
  <c r="L375" i="22"/>
  <c r="K375" i="22"/>
  <c r="J375" i="22"/>
  <c r="M374" i="22"/>
  <c r="L374" i="22"/>
  <c r="K374" i="22"/>
  <c r="J374" i="22"/>
  <c r="J354" i="22"/>
  <c r="K354" i="22"/>
  <c r="L354" i="22"/>
  <c r="M354" i="22"/>
  <c r="J355" i="22"/>
  <c r="K355" i="22"/>
  <c r="L355" i="22"/>
  <c r="M355" i="22"/>
  <c r="J356" i="22"/>
  <c r="K356" i="22"/>
  <c r="L356" i="22"/>
  <c r="M356" i="22"/>
  <c r="J357" i="22"/>
  <c r="K357" i="22"/>
  <c r="L357" i="22"/>
  <c r="M357" i="22"/>
  <c r="J358" i="22"/>
  <c r="K358" i="22"/>
  <c r="L358" i="22"/>
  <c r="M358" i="22"/>
  <c r="J359" i="22"/>
  <c r="K359" i="22"/>
  <c r="L359" i="22"/>
  <c r="M359" i="22"/>
  <c r="J360" i="22"/>
  <c r="K360" i="22"/>
  <c r="L360" i="22"/>
  <c r="M360" i="22"/>
  <c r="J361" i="22"/>
  <c r="K361" i="22"/>
  <c r="L361" i="22"/>
  <c r="M361" i="22"/>
  <c r="J362" i="22"/>
  <c r="K362" i="22"/>
  <c r="L362" i="22"/>
  <c r="M362" i="22"/>
  <c r="J363" i="22"/>
  <c r="K363" i="22"/>
  <c r="L363" i="22"/>
  <c r="M363" i="22"/>
  <c r="J364" i="22"/>
  <c r="K364" i="22"/>
  <c r="L364" i="22"/>
  <c r="M364" i="22"/>
  <c r="J365" i="22"/>
  <c r="K365" i="22"/>
  <c r="L365" i="22"/>
  <c r="M365" i="22"/>
  <c r="J366" i="22"/>
  <c r="K366" i="22"/>
  <c r="L366" i="22"/>
  <c r="M366" i="22"/>
  <c r="J367" i="22"/>
  <c r="K367" i="22"/>
  <c r="L367" i="22"/>
  <c r="M367" i="22"/>
  <c r="J368" i="22"/>
  <c r="K368" i="22"/>
  <c r="L368" i="22"/>
  <c r="M368" i="22"/>
  <c r="J369" i="22"/>
  <c r="K369" i="22"/>
  <c r="L369" i="22"/>
  <c r="M369" i="22"/>
  <c r="M353" i="22"/>
  <c r="L353" i="22"/>
  <c r="K353" i="22"/>
  <c r="J353" i="22"/>
  <c r="J324" i="22"/>
  <c r="K324" i="22"/>
  <c r="L324" i="22"/>
  <c r="M324" i="22"/>
  <c r="J325" i="22"/>
  <c r="K325" i="22"/>
  <c r="L325" i="22"/>
  <c r="M325" i="22"/>
  <c r="J326" i="22"/>
  <c r="K326" i="22"/>
  <c r="L326" i="22"/>
  <c r="M326" i="22"/>
  <c r="J327" i="22"/>
  <c r="K327" i="22"/>
  <c r="L327" i="22"/>
  <c r="M327" i="22"/>
  <c r="J328" i="22"/>
  <c r="K328" i="22"/>
  <c r="L328" i="22"/>
  <c r="M328" i="22"/>
  <c r="J329" i="22"/>
  <c r="K329" i="22"/>
  <c r="L329" i="22"/>
  <c r="M329" i="22"/>
  <c r="J330" i="22"/>
  <c r="K330" i="22"/>
  <c r="L330" i="22"/>
  <c r="M330" i="22"/>
  <c r="J331" i="22"/>
  <c r="K331" i="22"/>
  <c r="L331" i="22"/>
  <c r="M331" i="22"/>
  <c r="J332" i="22"/>
  <c r="K332" i="22"/>
  <c r="L332" i="22"/>
  <c r="M332" i="22"/>
  <c r="J333" i="22"/>
  <c r="K333" i="22"/>
  <c r="L333" i="22"/>
  <c r="M333" i="22"/>
  <c r="J334" i="22"/>
  <c r="K334" i="22"/>
  <c r="L334" i="22"/>
  <c r="M334" i="22"/>
  <c r="J335" i="22"/>
  <c r="K335" i="22"/>
  <c r="L335" i="22"/>
  <c r="M335" i="22"/>
  <c r="J336" i="22"/>
  <c r="K336" i="22"/>
  <c r="L336" i="22"/>
  <c r="M336" i="22"/>
  <c r="J337" i="22"/>
  <c r="K337" i="22"/>
  <c r="L337" i="22"/>
  <c r="M337" i="22"/>
  <c r="J338" i="22"/>
  <c r="K338" i="22"/>
  <c r="L338" i="22"/>
  <c r="M338" i="22"/>
  <c r="J339" i="22"/>
  <c r="K339" i="22"/>
  <c r="L339" i="22"/>
  <c r="M339" i="22"/>
  <c r="J340" i="22"/>
  <c r="K340" i="22"/>
  <c r="L340" i="22"/>
  <c r="M340" i="22"/>
  <c r="J341" i="22"/>
  <c r="K341" i="22"/>
  <c r="L341" i="22"/>
  <c r="M341" i="22"/>
  <c r="J342" i="22"/>
  <c r="K342" i="22"/>
  <c r="L342" i="22"/>
  <c r="M342" i="22"/>
  <c r="J343" i="22"/>
  <c r="K343" i="22"/>
  <c r="L343" i="22"/>
  <c r="M343" i="22"/>
  <c r="J344" i="22"/>
  <c r="K344" i="22"/>
  <c r="L344" i="22"/>
  <c r="M344" i="22"/>
  <c r="J345" i="22"/>
  <c r="K345" i="22"/>
  <c r="L345" i="22"/>
  <c r="M345" i="22"/>
  <c r="J346" i="22"/>
  <c r="K346" i="22"/>
  <c r="L346" i="22"/>
  <c r="M346" i="22"/>
  <c r="J347" i="22"/>
  <c r="K347" i="22"/>
  <c r="L347" i="22"/>
  <c r="M347" i="22"/>
  <c r="J348" i="22"/>
  <c r="K348" i="22"/>
  <c r="L348" i="22"/>
  <c r="M348" i="22"/>
  <c r="M323" i="22"/>
  <c r="L323" i="22"/>
  <c r="K323" i="22"/>
  <c r="J323" i="22"/>
  <c r="J259" i="22"/>
  <c r="K259" i="22"/>
  <c r="L259" i="22"/>
  <c r="M259" i="22"/>
  <c r="J260" i="22"/>
  <c r="K260" i="22"/>
  <c r="L260" i="22"/>
  <c r="M260" i="22"/>
  <c r="J261" i="22"/>
  <c r="K261" i="22"/>
  <c r="L261" i="22"/>
  <c r="M261" i="22"/>
  <c r="J262" i="22"/>
  <c r="K262" i="22"/>
  <c r="L262" i="22"/>
  <c r="M262" i="22"/>
  <c r="J263" i="22"/>
  <c r="K263" i="22"/>
  <c r="L263" i="22"/>
  <c r="M263" i="22"/>
  <c r="J264" i="22"/>
  <c r="K264" i="22"/>
  <c r="L264" i="22"/>
  <c r="M264" i="22"/>
  <c r="J265" i="22"/>
  <c r="K265" i="22"/>
  <c r="L265" i="22"/>
  <c r="M265" i="22"/>
  <c r="J266" i="22"/>
  <c r="K266" i="22"/>
  <c r="L266" i="22"/>
  <c r="M266" i="22"/>
  <c r="J267" i="22"/>
  <c r="K267" i="22"/>
  <c r="L267" i="22"/>
  <c r="M267" i="22"/>
  <c r="J268" i="22"/>
  <c r="K268" i="22"/>
  <c r="L268" i="22"/>
  <c r="M268" i="22"/>
  <c r="J269" i="22"/>
  <c r="K269" i="22"/>
  <c r="L269" i="22"/>
  <c r="M269" i="22"/>
  <c r="J270" i="22"/>
  <c r="K270" i="22"/>
  <c r="L270" i="22"/>
  <c r="M270" i="22"/>
  <c r="J271" i="22"/>
  <c r="K271" i="22"/>
  <c r="L271" i="22"/>
  <c r="M271" i="22"/>
  <c r="J272" i="22"/>
  <c r="K272" i="22"/>
  <c r="L272" i="22"/>
  <c r="M272" i="22"/>
  <c r="J273" i="22"/>
  <c r="K273" i="22"/>
  <c r="L273" i="22"/>
  <c r="M273" i="22"/>
  <c r="J274" i="22"/>
  <c r="K274" i="22"/>
  <c r="L274" i="22"/>
  <c r="M274" i="22"/>
  <c r="J275" i="22"/>
  <c r="K275" i="22"/>
  <c r="L275" i="22"/>
  <c r="M275" i="22"/>
  <c r="J276" i="22"/>
  <c r="K276" i="22"/>
  <c r="L276" i="22"/>
  <c r="M276" i="22"/>
  <c r="J277" i="22"/>
  <c r="K277" i="22"/>
  <c r="L277" i="22"/>
  <c r="M277" i="22"/>
  <c r="J278" i="22"/>
  <c r="K278" i="22"/>
  <c r="L278" i="22"/>
  <c r="M278" i="22"/>
  <c r="J279" i="22"/>
  <c r="K279" i="22"/>
  <c r="L279" i="22"/>
  <c r="M279" i="22"/>
  <c r="J280" i="22"/>
  <c r="K280" i="22"/>
  <c r="L280" i="22"/>
  <c r="M280" i="22"/>
  <c r="J281" i="22"/>
  <c r="K281" i="22"/>
  <c r="L281" i="22"/>
  <c r="M281" i="22"/>
  <c r="J282" i="22"/>
  <c r="K282" i="22"/>
  <c r="L282" i="22"/>
  <c r="M282" i="22"/>
  <c r="J283" i="22"/>
  <c r="K283" i="22"/>
  <c r="L283" i="22"/>
  <c r="M283" i="22"/>
  <c r="J284" i="22"/>
  <c r="K284" i="22"/>
  <c r="L284" i="22"/>
  <c r="M284" i="22"/>
  <c r="J285" i="22"/>
  <c r="K285" i="22"/>
  <c r="L285" i="22"/>
  <c r="M285" i="22"/>
  <c r="J286" i="22"/>
  <c r="K286" i="22"/>
  <c r="L286" i="22"/>
  <c r="M286" i="22"/>
  <c r="J287" i="22"/>
  <c r="K287" i="22"/>
  <c r="L287" i="22"/>
  <c r="M287" i="22"/>
  <c r="J288" i="22"/>
  <c r="K288" i="22"/>
  <c r="L288" i="22"/>
  <c r="M288" i="22"/>
  <c r="J289" i="22"/>
  <c r="K289" i="22"/>
  <c r="L289" i="22"/>
  <c r="M289" i="22"/>
  <c r="J290" i="22"/>
  <c r="K290" i="22"/>
  <c r="L290" i="22"/>
  <c r="M290" i="22"/>
  <c r="J291" i="22"/>
  <c r="K291" i="22"/>
  <c r="L291" i="22"/>
  <c r="M291" i="22"/>
  <c r="J292" i="22"/>
  <c r="K292" i="22"/>
  <c r="L292" i="22"/>
  <c r="M292" i="22"/>
  <c r="J293" i="22"/>
  <c r="K293" i="22"/>
  <c r="L293" i="22"/>
  <c r="M293" i="22"/>
  <c r="J294" i="22"/>
  <c r="K294" i="22"/>
  <c r="L294" i="22"/>
  <c r="M294" i="22"/>
  <c r="J295" i="22"/>
  <c r="K295" i="22"/>
  <c r="L295" i="22"/>
  <c r="M295" i="22"/>
  <c r="J296" i="22"/>
  <c r="K296" i="22"/>
  <c r="L296" i="22"/>
  <c r="M296" i="22"/>
  <c r="J297" i="22"/>
  <c r="K297" i="22"/>
  <c r="L297" i="22"/>
  <c r="M297" i="22"/>
  <c r="J298" i="22"/>
  <c r="K298" i="22"/>
  <c r="L298" i="22"/>
  <c r="M298" i="22"/>
  <c r="J299" i="22"/>
  <c r="K299" i="22"/>
  <c r="L299" i="22"/>
  <c r="M299" i="22"/>
  <c r="J300" i="22"/>
  <c r="K300" i="22"/>
  <c r="L300" i="22"/>
  <c r="M300" i="22"/>
  <c r="J301" i="22"/>
  <c r="K301" i="22"/>
  <c r="L301" i="22"/>
  <c r="M301" i="22"/>
  <c r="J302" i="22"/>
  <c r="K302" i="22"/>
  <c r="L302" i="22"/>
  <c r="M302" i="22"/>
  <c r="J303" i="22"/>
  <c r="K303" i="22"/>
  <c r="L303" i="22"/>
  <c r="M303" i="22"/>
  <c r="J304" i="22"/>
  <c r="K304" i="22"/>
  <c r="L304" i="22"/>
  <c r="M304" i="22"/>
  <c r="J305" i="22"/>
  <c r="K305" i="22"/>
  <c r="L305" i="22"/>
  <c r="M305" i="22"/>
  <c r="J306" i="22"/>
  <c r="K306" i="22"/>
  <c r="L306" i="22"/>
  <c r="M306" i="22"/>
  <c r="J307" i="22"/>
  <c r="K307" i="22"/>
  <c r="L307" i="22"/>
  <c r="M307" i="22"/>
  <c r="J308" i="22"/>
  <c r="K308" i="22"/>
  <c r="L308" i="22"/>
  <c r="M308" i="22"/>
  <c r="J309" i="22"/>
  <c r="K309" i="22"/>
  <c r="L309" i="22"/>
  <c r="M309" i="22"/>
  <c r="J310" i="22"/>
  <c r="K310" i="22"/>
  <c r="L310" i="22"/>
  <c r="M310" i="22"/>
  <c r="J311" i="22"/>
  <c r="K311" i="22"/>
  <c r="L311" i="22"/>
  <c r="M311" i="22"/>
  <c r="J312" i="22"/>
  <c r="K312" i="22"/>
  <c r="L312" i="22"/>
  <c r="M312" i="22"/>
  <c r="J313" i="22"/>
  <c r="K313" i="22"/>
  <c r="L313" i="22"/>
  <c r="M313" i="22"/>
  <c r="J314" i="22"/>
  <c r="K314" i="22"/>
  <c r="L314" i="22"/>
  <c r="M314" i="22"/>
  <c r="J315" i="22"/>
  <c r="K315" i="22"/>
  <c r="L315" i="22"/>
  <c r="M315" i="22"/>
  <c r="J316" i="22"/>
  <c r="K316" i="22"/>
  <c r="L316" i="22"/>
  <c r="M316" i="22"/>
  <c r="J317" i="22"/>
  <c r="K317" i="22"/>
  <c r="L317" i="22"/>
  <c r="M317" i="22"/>
  <c r="J318" i="22"/>
  <c r="K318" i="22"/>
  <c r="L318" i="22"/>
  <c r="M318" i="22"/>
  <c r="M258" i="22"/>
  <c r="L258" i="22"/>
  <c r="K258" i="22"/>
  <c r="J258" i="22"/>
  <c r="J195" i="22"/>
  <c r="K195" i="22"/>
  <c r="L195" i="22"/>
  <c r="M195" i="22"/>
  <c r="J196" i="22"/>
  <c r="K196" i="22"/>
  <c r="L196" i="22"/>
  <c r="M196" i="22"/>
  <c r="J197" i="22"/>
  <c r="K197" i="22"/>
  <c r="L197" i="22"/>
  <c r="M197" i="22"/>
  <c r="J198" i="22"/>
  <c r="K198" i="22"/>
  <c r="L198" i="22"/>
  <c r="M198" i="22"/>
  <c r="J199" i="22"/>
  <c r="K199" i="22"/>
  <c r="L199" i="22"/>
  <c r="M199" i="22"/>
  <c r="J200" i="22"/>
  <c r="K200" i="22"/>
  <c r="L200" i="22"/>
  <c r="M200" i="22"/>
  <c r="J201" i="22"/>
  <c r="K201" i="22"/>
  <c r="L201" i="22"/>
  <c r="M201" i="22"/>
  <c r="J202" i="22"/>
  <c r="K202" i="22"/>
  <c r="L202" i="22"/>
  <c r="M202" i="22"/>
  <c r="J203" i="22"/>
  <c r="K203" i="22"/>
  <c r="L203" i="22"/>
  <c r="M203" i="22"/>
  <c r="J204" i="22"/>
  <c r="K204" i="22"/>
  <c r="L204" i="22"/>
  <c r="M204" i="22"/>
  <c r="J205" i="22"/>
  <c r="K205" i="22"/>
  <c r="L205" i="22"/>
  <c r="M205" i="22"/>
  <c r="J206" i="22"/>
  <c r="K206" i="22"/>
  <c r="L206" i="22"/>
  <c r="M206" i="22"/>
  <c r="J207" i="22"/>
  <c r="K207" i="22"/>
  <c r="L207" i="22"/>
  <c r="M207" i="22"/>
  <c r="J208" i="22"/>
  <c r="K208" i="22"/>
  <c r="L208" i="22"/>
  <c r="M208" i="22"/>
  <c r="J209" i="22"/>
  <c r="K209" i="22"/>
  <c r="L209" i="22"/>
  <c r="M209" i="22"/>
  <c r="J210" i="22"/>
  <c r="K210" i="22"/>
  <c r="L210" i="22"/>
  <c r="M210" i="22"/>
  <c r="J211" i="22"/>
  <c r="K211" i="22"/>
  <c r="L211" i="22"/>
  <c r="M211" i="22"/>
  <c r="J212" i="22"/>
  <c r="K212" i="22"/>
  <c r="L212" i="22"/>
  <c r="M212" i="22"/>
  <c r="J213" i="22"/>
  <c r="K213" i="22"/>
  <c r="L213" i="22"/>
  <c r="M213" i="22"/>
  <c r="J214" i="22"/>
  <c r="K214" i="22"/>
  <c r="L214" i="22"/>
  <c r="M214" i="22"/>
  <c r="J215" i="22"/>
  <c r="K215" i="22"/>
  <c r="L215" i="22"/>
  <c r="M215" i="22"/>
  <c r="J216" i="22"/>
  <c r="K216" i="22"/>
  <c r="L216" i="22"/>
  <c r="M216" i="22"/>
  <c r="J217" i="22"/>
  <c r="K217" i="22"/>
  <c r="L217" i="22"/>
  <c r="M217" i="22"/>
  <c r="J218" i="22"/>
  <c r="K218" i="22"/>
  <c r="L218" i="22"/>
  <c r="M218" i="22"/>
  <c r="J219" i="22"/>
  <c r="K219" i="22"/>
  <c r="L219" i="22"/>
  <c r="M219" i="22"/>
  <c r="J220" i="22"/>
  <c r="K220" i="22"/>
  <c r="L220" i="22"/>
  <c r="M220" i="22"/>
  <c r="J221" i="22"/>
  <c r="K221" i="22"/>
  <c r="L221" i="22"/>
  <c r="M221" i="22"/>
  <c r="J222" i="22"/>
  <c r="K222" i="22"/>
  <c r="L222" i="22"/>
  <c r="M222" i="22"/>
  <c r="J223" i="22"/>
  <c r="K223" i="22"/>
  <c r="L223" i="22"/>
  <c r="M223" i="22"/>
  <c r="J224" i="22"/>
  <c r="K224" i="22"/>
  <c r="L224" i="22"/>
  <c r="M224" i="22"/>
  <c r="J225" i="22"/>
  <c r="K225" i="22"/>
  <c r="L225" i="22"/>
  <c r="M225" i="22"/>
  <c r="J226" i="22"/>
  <c r="K226" i="22"/>
  <c r="L226" i="22"/>
  <c r="M226" i="22"/>
  <c r="J227" i="22"/>
  <c r="K227" i="22"/>
  <c r="L227" i="22"/>
  <c r="M227" i="22"/>
  <c r="J228" i="22"/>
  <c r="K228" i="22"/>
  <c r="L228" i="22"/>
  <c r="M228" i="22"/>
  <c r="J229" i="22"/>
  <c r="K229" i="22"/>
  <c r="L229" i="22"/>
  <c r="M229" i="22"/>
  <c r="J230" i="22"/>
  <c r="K230" i="22"/>
  <c r="L230" i="22"/>
  <c r="M230" i="22"/>
  <c r="J231" i="22"/>
  <c r="K231" i="22"/>
  <c r="L231" i="22"/>
  <c r="M231" i="22"/>
  <c r="J232" i="22"/>
  <c r="K232" i="22"/>
  <c r="L232" i="22"/>
  <c r="M232" i="22"/>
  <c r="J233" i="22"/>
  <c r="K233" i="22"/>
  <c r="L233" i="22"/>
  <c r="M233" i="22"/>
  <c r="J234" i="22"/>
  <c r="K234" i="22"/>
  <c r="L234" i="22"/>
  <c r="M234" i="22"/>
  <c r="J235" i="22"/>
  <c r="K235" i="22"/>
  <c r="L235" i="22"/>
  <c r="M235" i="22"/>
  <c r="J236" i="22"/>
  <c r="K236" i="22"/>
  <c r="L236" i="22"/>
  <c r="M236" i="22"/>
  <c r="J237" i="22"/>
  <c r="K237" i="22"/>
  <c r="L237" i="22"/>
  <c r="M237" i="22"/>
  <c r="J238" i="22"/>
  <c r="K238" i="22"/>
  <c r="L238" i="22"/>
  <c r="M238" i="22"/>
  <c r="J239" i="22"/>
  <c r="K239" i="22"/>
  <c r="L239" i="22"/>
  <c r="M239" i="22"/>
  <c r="J240" i="22"/>
  <c r="K240" i="22"/>
  <c r="L240" i="22"/>
  <c r="M240" i="22"/>
  <c r="J241" i="22"/>
  <c r="K241" i="22"/>
  <c r="L241" i="22"/>
  <c r="M241" i="22"/>
  <c r="J242" i="22"/>
  <c r="K242" i="22"/>
  <c r="L242" i="22"/>
  <c r="M242" i="22"/>
  <c r="J243" i="22"/>
  <c r="K243" i="22"/>
  <c r="L243" i="22"/>
  <c r="M243" i="22"/>
  <c r="J244" i="22"/>
  <c r="K244" i="22"/>
  <c r="L244" i="22"/>
  <c r="M244" i="22"/>
  <c r="J245" i="22"/>
  <c r="K245" i="22"/>
  <c r="L245" i="22"/>
  <c r="M245" i="22"/>
  <c r="J246" i="22"/>
  <c r="K246" i="22"/>
  <c r="L246" i="22"/>
  <c r="M246" i="22"/>
  <c r="J247" i="22"/>
  <c r="K247" i="22"/>
  <c r="L247" i="22"/>
  <c r="M247" i="22"/>
  <c r="J248" i="22"/>
  <c r="K248" i="22"/>
  <c r="L248" i="22"/>
  <c r="M248" i="22"/>
  <c r="J249" i="22"/>
  <c r="K249" i="22"/>
  <c r="L249" i="22"/>
  <c r="M249" i="22"/>
  <c r="J250" i="22"/>
  <c r="K250" i="22"/>
  <c r="L250" i="22"/>
  <c r="M250" i="22"/>
  <c r="J251" i="22"/>
  <c r="K251" i="22"/>
  <c r="L251" i="22"/>
  <c r="M251" i="22"/>
  <c r="J252" i="22"/>
  <c r="K252" i="22"/>
  <c r="L252" i="22"/>
  <c r="M252" i="22"/>
  <c r="J253" i="22"/>
  <c r="K253" i="22"/>
  <c r="L253" i="22"/>
  <c r="M253" i="22"/>
  <c r="M194" i="22"/>
  <c r="L194" i="22"/>
  <c r="K194" i="22"/>
  <c r="J194" i="22"/>
  <c r="M189" i="22"/>
  <c r="L189" i="22"/>
  <c r="K189" i="22"/>
  <c r="J189" i="22"/>
  <c r="M188" i="22"/>
  <c r="L188" i="22"/>
  <c r="K188" i="22"/>
  <c r="J188" i="22"/>
  <c r="M187" i="22"/>
  <c r="L187" i="22"/>
  <c r="K187" i="22"/>
  <c r="J187" i="22"/>
  <c r="J178" i="22"/>
  <c r="K178" i="22"/>
  <c r="L178" i="22"/>
  <c r="M178" i="22"/>
  <c r="J179" i="22"/>
  <c r="K179" i="22"/>
  <c r="L179" i="22"/>
  <c r="M179" i="22"/>
  <c r="J180" i="22"/>
  <c r="K180" i="22"/>
  <c r="L180" i="22"/>
  <c r="M180" i="22"/>
  <c r="J181" i="22"/>
  <c r="K181" i="22"/>
  <c r="L181" i="22"/>
  <c r="M181" i="22"/>
  <c r="J182" i="22"/>
  <c r="K182" i="22"/>
  <c r="L182" i="22"/>
  <c r="M182" i="22"/>
  <c r="M177" i="22"/>
  <c r="L177" i="22"/>
  <c r="K177" i="22"/>
  <c r="J177" i="22"/>
  <c r="M163" i="22"/>
  <c r="L163" i="22"/>
  <c r="K163" i="22"/>
  <c r="J163" i="22"/>
  <c r="J173" i="22"/>
  <c r="K173" i="22"/>
  <c r="L173" i="22"/>
  <c r="M173" i="22"/>
  <c r="M172" i="22"/>
  <c r="L172" i="22"/>
  <c r="K172" i="22"/>
  <c r="J172" i="22"/>
  <c r="M171" i="22"/>
  <c r="L171" i="22"/>
  <c r="K171" i="22"/>
  <c r="J171" i="22"/>
  <c r="M170" i="22"/>
  <c r="L170" i="22"/>
  <c r="K170" i="22"/>
  <c r="J170" i="22"/>
  <c r="M169" i="22"/>
  <c r="L169" i="22"/>
  <c r="K169" i="22"/>
  <c r="J169" i="22"/>
  <c r="M168" i="22"/>
  <c r="L168" i="22"/>
  <c r="K168" i="22"/>
  <c r="J168" i="22"/>
  <c r="M167" i="22"/>
  <c r="L167" i="22"/>
  <c r="K167" i="22"/>
  <c r="J167" i="22"/>
  <c r="J155" i="22"/>
  <c r="K155" i="22"/>
  <c r="L155" i="22"/>
  <c r="M155" i="22"/>
  <c r="J156" i="22"/>
  <c r="K156" i="22"/>
  <c r="L156" i="22"/>
  <c r="M156" i="22"/>
  <c r="J157" i="22"/>
  <c r="K157" i="22"/>
  <c r="L157" i="22"/>
  <c r="M157" i="22"/>
  <c r="J158" i="22"/>
  <c r="K158" i="22"/>
  <c r="L158" i="22"/>
  <c r="M158" i="22"/>
  <c r="J159" i="22"/>
  <c r="K159" i="22"/>
  <c r="L159" i="22"/>
  <c r="M159" i="22"/>
  <c r="M154" i="22"/>
  <c r="L154" i="22"/>
  <c r="K154" i="22"/>
  <c r="J154" i="22"/>
  <c r="M150" i="22"/>
  <c r="L150" i="22"/>
  <c r="K150" i="22"/>
  <c r="J150" i="22"/>
  <c r="M146" i="22"/>
  <c r="L146" i="22"/>
  <c r="K146" i="22"/>
  <c r="J146" i="22"/>
  <c r="J132" i="22"/>
  <c r="K132" i="22"/>
  <c r="L132" i="22"/>
  <c r="M132" i="22"/>
  <c r="J133" i="22"/>
  <c r="K133" i="22"/>
  <c r="L133" i="22"/>
  <c r="M133" i="22"/>
  <c r="J134" i="22"/>
  <c r="K134" i="22"/>
  <c r="L134" i="22"/>
  <c r="M134" i="22"/>
  <c r="J135" i="22"/>
  <c r="K135" i="22"/>
  <c r="L135" i="22"/>
  <c r="M135" i="22"/>
  <c r="J136" i="22"/>
  <c r="K136" i="22"/>
  <c r="L136" i="22"/>
  <c r="M136" i="22"/>
  <c r="J137" i="22"/>
  <c r="K137" i="22"/>
  <c r="L137" i="22"/>
  <c r="M137" i="22"/>
  <c r="J138" i="22"/>
  <c r="K138" i="22"/>
  <c r="L138" i="22"/>
  <c r="M138" i="22"/>
  <c r="J139" i="22"/>
  <c r="K139" i="22"/>
  <c r="L139" i="22"/>
  <c r="M139" i="22"/>
  <c r="J140" i="22"/>
  <c r="K140" i="22"/>
  <c r="L140" i="22"/>
  <c r="M140" i="22"/>
  <c r="J141" i="22"/>
  <c r="K141" i="22"/>
  <c r="L141" i="22"/>
  <c r="M141" i="22"/>
  <c r="J142" i="22"/>
  <c r="K142" i="22"/>
  <c r="L142" i="22"/>
  <c r="M142" i="22"/>
  <c r="M131" i="22"/>
  <c r="L131" i="22"/>
  <c r="K131" i="22"/>
  <c r="J131" i="22"/>
  <c r="M126" i="22"/>
  <c r="L126" i="22"/>
  <c r="K126" i="22"/>
  <c r="J126" i="22"/>
  <c r="J119" i="22"/>
  <c r="K119" i="22"/>
  <c r="L119" i="22"/>
  <c r="M119" i="22"/>
  <c r="J120" i="22"/>
  <c r="K120" i="22"/>
  <c r="L120" i="22"/>
  <c r="M120" i="22"/>
  <c r="J121" i="22"/>
  <c r="K121" i="22"/>
  <c r="L121" i="22"/>
  <c r="M121" i="22"/>
  <c r="M118" i="22"/>
  <c r="L118" i="22"/>
  <c r="K118" i="22"/>
  <c r="J118" i="22"/>
  <c r="M114" i="22"/>
  <c r="L114" i="22"/>
  <c r="K114" i="22"/>
  <c r="J114" i="22"/>
  <c r="M113" i="22"/>
  <c r="L113" i="22"/>
  <c r="K113" i="22"/>
  <c r="J113" i="22"/>
  <c r="M109" i="22"/>
  <c r="L109" i="22"/>
  <c r="K109" i="22"/>
  <c r="J109" i="22"/>
  <c r="M108" i="22"/>
  <c r="L108" i="22"/>
  <c r="K108" i="22"/>
  <c r="J108" i="22"/>
  <c r="M107" i="22"/>
  <c r="L107" i="22"/>
  <c r="K107" i="22"/>
  <c r="J107" i="22"/>
  <c r="M103" i="22"/>
  <c r="L103" i="22"/>
  <c r="K103" i="22"/>
  <c r="J103" i="22"/>
  <c r="J93" i="22"/>
  <c r="K93" i="22"/>
  <c r="L93" i="22"/>
  <c r="M93" i="22"/>
  <c r="J94" i="22"/>
  <c r="K94" i="22"/>
  <c r="L94" i="22"/>
  <c r="M94" i="22"/>
  <c r="J95" i="22"/>
  <c r="K95" i="22"/>
  <c r="L95" i="22"/>
  <c r="M95" i="22"/>
  <c r="J96" i="22"/>
  <c r="K96" i="22"/>
  <c r="L96" i="22"/>
  <c r="M96" i="22"/>
  <c r="J97" i="22"/>
  <c r="K97" i="22"/>
  <c r="L97" i="22"/>
  <c r="M97" i="22"/>
  <c r="J98" i="22"/>
  <c r="K98" i="22"/>
  <c r="L98" i="22"/>
  <c r="M98" i="22"/>
  <c r="J99" i="22"/>
  <c r="K99" i="22"/>
  <c r="L99" i="22"/>
  <c r="M99" i="22"/>
  <c r="M92" i="22"/>
  <c r="L92" i="22"/>
  <c r="K92" i="22"/>
  <c r="J92" i="22"/>
  <c r="M87" i="22"/>
  <c r="L87" i="22"/>
  <c r="K87" i="22"/>
  <c r="J87" i="22"/>
  <c r="M86" i="22"/>
  <c r="L86" i="22"/>
  <c r="K86" i="22"/>
  <c r="J86" i="22"/>
  <c r="M82" i="22"/>
  <c r="L82" i="22"/>
  <c r="K82" i="22"/>
  <c r="J82" i="22"/>
  <c r="M78" i="22"/>
  <c r="L78" i="22"/>
  <c r="K78" i="22"/>
  <c r="J78" i="22"/>
  <c r="M77" i="22"/>
  <c r="L77" i="22"/>
  <c r="K77" i="22"/>
  <c r="J77" i="22"/>
  <c r="M76" i="22"/>
  <c r="L76" i="22"/>
  <c r="K76" i="22"/>
  <c r="J76" i="22"/>
  <c r="M72" i="22"/>
  <c r="L72" i="22"/>
  <c r="K72" i="22"/>
  <c r="J72" i="22"/>
  <c r="M71" i="22"/>
  <c r="L71" i="22"/>
  <c r="K71" i="22"/>
  <c r="J71" i="22"/>
  <c r="M67" i="22"/>
  <c r="L67" i="22"/>
  <c r="K67" i="22"/>
  <c r="J67" i="22"/>
  <c r="M63" i="22"/>
  <c r="L63" i="22"/>
  <c r="K63" i="22"/>
  <c r="J63" i="22"/>
  <c r="J57" i="22"/>
  <c r="K57" i="22"/>
  <c r="L57" i="22"/>
  <c r="M57" i="22"/>
  <c r="J58" i="22"/>
  <c r="K58" i="22"/>
  <c r="L58" i="22"/>
  <c r="M58" i="22"/>
  <c r="J59" i="22"/>
  <c r="K59" i="22"/>
  <c r="L59" i="22"/>
  <c r="M59" i="22"/>
  <c r="M56" i="22"/>
  <c r="L56" i="22"/>
  <c r="K56" i="22"/>
  <c r="J56" i="22"/>
  <c r="M52" i="22"/>
  <c r="L52" i="22"/>
  <c r="K52" i="22"/>
  <c r="J52" i="22"/>
  <c r="M43" i="22"/>
  <c r="L43" i="22"/>
  <c r="K43" i="22"/>
  <c r="J43" i="22"/>
  <c r="M39" i="22"/>
  <c r="L39" i="22"/>
  <c r="K39" i="22"/>
  <c r="J39" i="22"/>
  <c r="M35" i="22"/>
  <c r="L35" i="22"/>
  <c r="K35" i="22"/>
  <c r="J35" i="22"/>
  <c r="M34" i="22"/>
  <c r="L34" i="22"/>
  <c r="K34" i="22"/>
  <c r="J34" i="22"/>
  <c r="M33" i="22"/>
  <c r="L33" i="22"/>
  <c r="K33" i="22"/>
  <c r="J33" i="22"/>
  <c r="M29" i="22"/>
  <c r="L29" i="22"/>
  <c r="K29" i="22"/>
  <c r="J29" i="22"/>
  <c r="M28" i="22"/>
  <c r="L28" i="22"/>
  <c r="K28" i="22"/>
  <c r="J28" i="22"/>
  <c r="M27" i="22"/>
  <c r="L27" i="22"/>
  <c r="K27" i="22"/>
  <c r="J27" i="22"/>
  <c r="M26" i="22"/>
  <c r="L26" i="22"/>
  <c r="K26" i="22"/>
  <c r="J26" i="22"/>
  <c r="M22" i="22"/>
  <c r="L22" i="22"/>
  <c r="K22" i="22"/>
  <c r="J22" i="22"/>
  <c r="M21" i="22"/>
  <c r="L21" i="22"/>
  <c r="K21" i="22"/>
  <c r="J21" i="22"/>
  <c r="M20" i="22"/>
  <c r="L20" i="22"/>
  <c r="K20" i="22"/>
  <c r="J20" i="22"/>
  <c r="M19" i="22"/>
  <c r="L19" i="22"/>
  <c r="K19" i="22"/>
  <c r="J19" i="22"/>
  <c r="J12" i="22"/>
  <c r="K12" i="22"/>
  <c r="L12" i="22"/>
  <c r="M12" i="22"/>
  <c r="J13" i="22"/>
  <c r="K13" i="22"/>
  <c r="L13" i="22"/>
  <c r="M13" i="22"/>
  <c r="J14" i="22"/>
  <c r="K14" i="22"/>
  <c r="L14" i="22"/>
  <c r="M14" i="22"/>
  <c r="J15" i="22"/>
  <c r="K15" i="22"/>
  <c r="L15" i="22"/>
  <c r="M15" i="22"/>
  <c r="M11" i="22"/>
  <c r="L11" i="22"/>
  <c r="K11" i="22"/>
  <c r="J11" i="22"/>
  <c r="M10" i="22"/>
  <c r="L10" i="22"/>
  <c r="K10" i="22"/>
  <c r="J10" i="22"/>
  <c r="N16" i="118"/>
  <c r="N18" i="118"/>
  <c r="N19" i="118"/>
  <c r="N20" i="118"/>
  <c r="AG35" i="74"/>
  <c r="N23" i="118" l="1"/>
  <c r="N38" i="118"/>
  <c r="N21" i="118"/>
  <c r="N22" i="118"/>
  <c r="N25" i="118"/>
  <c r="N15" i="118"/>
  <c r="N11" i="118"/>
  <c r="N10" i="118"/>
  <c r="N31" i="118"/>
  <c r="N37" i="118"/>
  <c r="N36" i="118"/>
  <c r="N35" i="118"/>
  <c r="N32" i="118"/>
  <c r="N8" i="118"/>
  <c r="N7" i="118"/>
  <c r="N30" i="118"/>
  <c r="N33" i="118"/>
  <c r="N28" i="118"/>
  <c r="N4" i="118"/>
  <c r="N14" i="118"/>
  <c r="N34" i="118"/>
  <c r="N5" i="118"/>
  <c r="N27" i="118"/>
  <c r="N29" i="118"/>
  <c r="N3" i="118"/>
  <c r="N2" i="118"/>
  <c r="N1" i="118"/>
  <c r="N13" i="118"/>
  <c r="N24" i="118"/>
  <c r="N39" i="118"/>
  <c r="N12" i="118"/>
  <c r="N6" i="118"/>
  <c r="N40" i="118"/>
  <c r="N1308" i="57"/>
  <c r="N1453" i="57"/>
  <c r="N1493" i="57"/>
  <c r="N1497" i="57"/>
  <c r="N1501" i="57"/>
  <c r="N1503" i="57"/>
  <c r="N1505" i="57"/>
  <c r="N1507" i="57"/>
  <c r="N1509" i="57"/>
  <c r="N1511" i="57"/>
  <c r="N1513" i="57"/>
  <c r="N1547" i="57"/>
  <c r="N1553" i="57"/>
  <c r="N1561" i="57"/>
  <c r="N1565" i="57"/>
  <c r="N1569" i="57"/>
  <c r="N1573" i="57"/>
  <c r="N1639" i="57"/>
  <c r="N1677" i="57"/>
  <c r="N1679" i="57"/>
  <c r="N1691" i="57"/>
  <c r="N408" i="57"/>
  <c r="N402" i="57"/>
  <c r="N400" i="57"/>
  <c r="N396" i="57"/>
  <c r="N394" i="57"/>
  <c r="N392" i="57"/>
  <c r="N390" i="57"/>
  <c r="N388" i="57"/>
  <c r="N386" i="57"/>
  <c r="N382" i="57"/>
  <c r="N380" i="57"/>
  <c r="N378" i="57"/>
  <c r="N372" i="57"/>
  <c r="N368" i="57"/>
  <c r="N366" i="57"/>
  <c r="N364" i="57"/>
  <c r="N362" i="57"/>
  <c r="N358" i="57"/>
  <c r="N356" i="57"/>
  <c r="N199" i="57"/>
  <c r="N197" i="57"/>
  <c r="N216" i="57"/>
  <c r="N1442" i="57"/>
  <c r="N1446" i="57"/>
  <c r="N1450" i="57"/>
  <c r="N1452" i="57"/>
  <c r="N1454" i="57"/>
  <c r="N1456" i="57"/>
  <c r="N1464" i="57"/>
  <c r="N1468" i="57"/>
  <c r="N1470" i="57"/>
  <c r="N1474" i="57"/>
  <c r="N1476" i="57"/>
  <c r="N355" i="57"/>
  <c r="N26" i="118"/>
  <c r="N26" i="57"/>
  <c r="N165" i="57"/>
  <c r="N167" i="57"/>
  <c r="N354" i="57"/>
  <c r="N350" i="57"/>
  <c r="N475" i="57"/>
  <c r="N459" i="57"/>
  <c r="N1293" i="57"/>
  <c r="N1287" i="57"/>
  <c r="N1806" i="57"/>
  <c r="N1808" i="57"/>
  <c r="N1818" i="57"/>
  <c r="N86" i="57"/>
  <c r="N78" i="57"/>
  <c r="N407" i="57"/>
  <c r="N383" i="57"/>
  <c r="N379" i="57"/>
  <c r="N359" i="57"/>
  <c r="N14" i="57"/>
  <c r="N16" i="57"/>
  <c r="N18" i="57"/>
  <c r="N48" i="57"/>
  <c r="N50" i="57"/>
  <c r="N54" i="57"/>
  <c r="N56" i="57"/>
  <c r="N58" i="57"/>
  <c r="N60" i="57"/>
  <c r="N62" i="57"/>
  <c r="N64" i="57"/>
  <c r="N66" i="57"/>
  <c r="N70" i="57"/>
  <c r="N142" i="57"/>
  <c r="N164" i="57"/>
  <c r="N1298" i="57"/>
  <c r="N1274" i="57"/>
  <c r="N1272" i="57"/>
  <c r="N1588" i="57"/>
  <c r="N1781" i="57"/>
  <c r="N1785" i="57"/>
  <c r="N154" i="22"/>
  <c r="N169" i="22"/>
  <c r="N187" i="22"/>
  <c r="N1667" i="57"/>
  <c r="N1663" i="57"/>
  <c r="N1655" i="57"/>
  <c r="N91" i="57"/>
  <c r="N87" i="57"/>
  <c r="N289" i="57"/>
  <c r="N291" i="57"/>
  <c r="N309" i="57"/>
  <c r="N313" i="57"/>
  <c r="N315" i="57"/>
  <c r="N317" i="57"/>
  <c r="N319" i="57"/>
  <c r="N321" i="57"/>
  <c r="N323" i="57"/>
  <c r="N325" i="57"/>
  <c r="N519" i="57"/>
  <c r="N1579" i="57"/>
  <c r="N1577" i="57"/>
  <c r="N1802" i="57"/>
  <c r="N1798" i="57"/>
  <c r="N1796" i="57"/>
  <c r="N1794" i="57"/>
  <c r="N1792" i="57"/>
  <c r="N1790" i="57"/>
  <c r="N1814" i="57"/>
  <c r="N1812" i="57"/>
  <c r="N1820" i="57"/>
  <c r="N13" i="57"/>
  <c r="N17" i="57"/>
  <c r="N43" i="57"/>
  <c r="N45" i="57"/>
  <c r="N47" i="57"/>
  <c r="N49" i="57"/>
  <c r="N51" i="57"/>
  <c r="N53" i="57"/>
  <c r="N55" i="57"/>
  <c r="N57" i="57"/>
  <c r="N59" i="57"/>
  <c r="N61" i="57"/>
  <c r="N63" i="57"/>
  <c r="N65" i="57"/>
  <c r="N67" i="57"/>
  <c r="N206" i="57"/>
  <c r="N204" i="57"/>
  <c r="N198" i="57"/>
  <c r="N194" i="57"/>
  <c r="N221" i="57"/>
  <c r="N217" i="57"/>
  <c r="N213" i="57"/>
  <c r="N211" i="57"/>
  <c r="N240" i="57"/>
  <c r="N285" i="57"/>
  <c r="N294" i="57"/>
  <c r="N308" i="57"/>
  <c r="N1580" i="57"/>
  <c r="N1801" i="57"/>
  <c r="N1797" i="57"/>
  <c r="N1793" i="57"/>
  <c r="N1789" i="57"/>
  <c r="N1811" i="57"/>
  <c r="N197" i="22"/>
  <c r="N318" i="22"/>
  <c r="N314" i="22"/>
  <c r="N310" i="22"/>
  <c r="N294" i="22"/>
  <c r="N282" i="22"/>
  <c r="N278" i="22"/>
  <c r="N274" i="22"/>
  <c r="N266" i="22"/>
  <c r="N262" i="22"/>
  <c r="N341" i="22"/>
  <c r="N333" i="22"/>
  <c r="N329" i="22"/>
  <c r="N325" i="22"/>
  <c r="N368" i="22"/>
  <c r="N356" i="22"/>
  <c r="N400" i="22"/>
  <c r="N525" i="22"/>
  <c r="N538" i="22"/>
  <c r="N546" i="22"/>
  <c r="N552" i="22"/>
  <c r="N562" i="22"/>
  <c r="N85" i="57"/>
  <c r="N83" i="57"/>
  <c r="N81" i="57"/>
  <c r="N79" i="57"/>
  <c r="N75" i="57"/>
  <c r="N73" i="57"/>
  <c r="N71" i="57"/>
  <c r="N146" i="57"/>
  <c r="N304" i="57"/>
  <c r="N346" i="57"/>
  <c r="N340" i="57"/>
  <c r="N338" i="57"/>
  <c r="N477" i="57"/>
  <c r="N1305" i="57"/>
  <c r="N1301" i="57"/>
  <c r="N9" i="118"/>
  <c r="N129" i="57"/>
  <c r="N209" i="57"/>
  <c r="N276" i="57"/>
  <c r="N272" i="57"/>
  <c r="N268" i="57"/>
  <c r="N266" i="57"/>
  <c r="N484" i="57"/>
  <c r="N482" i="57"/>
  <c r="N526" i="57"/>
  <c r="N520" i="57"/>
  <c r="N516" i="57"/>
  <c r="N514" i="57"/>
  <c r="N1228" i="57"/>
  <c r="N1295" i="57"/>
  <c r="N1666" i="57"/>
  <c r="N27" i="57"/>
  <c r="N25" i="57"/>
  <c r="N116" i="57"/>
  <c r="N112" i="57"/>
  <c r="N110" i="57"/>
  <c r="N108" i="57"/>
  <c r="N106" i="57"/>
  <c r="N104" i="57"/>
  <c r="N102" i="57"/>
  <c r="N100" i="57"/>
  <c r="N98" i="57"/>
  <c r="N96" i="57"/>
  <c r="N94" i="57"/>
  <c r="N145" i="57"/>
  <c r="N147" i="57"/>
  <c r="N149" i="57"/>
  <c r="N153" i="57"/>
  <c r="N155" i="57"/>
  <c r="N157" i="57"/>
  <c r="N161" i="57"/>
  <c r="N163" i="57"/>
  <c r="N401" i="57"/>
  <c r="N397" i="57"/>
  <c r="N393" i="57"/>
  <c r="N391" i="57"/>
  <c r="N389" i="57"/>
  <c r="N387" i="57"/>
  <c r="N1496" i="57"/>
  <c r="N1498" i="57"/>
  <c r="N1500" i="57"/>
  <c r="N299" i="57"/>
  <c r="N349" i="57"/>
  <c r="N347" i="57"/>
  <c r="N339" i="57"/>
  <c r="N337" i="57"/>
  <c r="N335" i="57"/>
  <c r="N476" i="57"/>
  <c r="N472" i="57"/>
  <c r="N468" i="57"/>
  <c r="N464" i="57"/>
  <c r="N462" i="57"/>
  <c r="N456" i="57"/>
  <c r="N454" i="57"/>
  <c r="N210" i="57"/>
  <c r="N273" i="57"/>
  <c r="N271" i="57"/>
  <c r="N511" i="57"/>
  <c r="N1290" i="57"/>
  <c r="N1288" i="57"/>
  <c r="N1286" i="57"/>
  <c r="N1589" i="57"/>
  <c r="N1583" i="57"/>
  <c r="N17" i="118"/>
  <c r="N121" i="57"/>
  <c r="N113" i="57"/>
  <c r="N109" i="57"/>
  <c r="N1447" i="57"/>
  <c r="N1457" i="57"/>
  <c r="N1459" i="57"/>
  <c r="N1471" i="57"/>
  <c r="N1477" i="57"/>
  <c r="N115" i="57"/>
  <c r="N111" i="57"/>
  <c r="N107" i="57"/>
  <c r="N74" i="57"/>
  <c r="N72" i="57"/>
  <c r="N170" i="57"/>
  <c r="N195" i="57"/>
  <c r="N265" i="57"/>
  <c r="N261" i="57"/>
  <c r="N381" i="57"/>
  <c r="N377" i="57"/>
  <c r="N375" i="57"/>
  <c r="N373" i="57"/>
  <c r="N371" i="57"/>
  <c r="N367" i="57"/>
  <c r="N363" i="57"/>
  <c r="N361" i="57"/>
  <c r="N357" i="57"/>
  <c r="N473" i="57"/>
  <c r="N471" i="57"/>
  <c r="N469" i="57"/>
  <c r="N463" i="57"/>
  <c r="N461" i="57"/>
  <c r="N103" i="57"/>
  <c r="N101" i="57"/>
  <c r="N99" i="57"/>
  <c r="N97" i="57"/>
  <c r="N95" i="57"/>
  <c r="N202" i="57"/>
  <c r="N200" i="57"/>
  <c r="N220" i="57"/>
  <c r="N218" i="57"/>
  <c r="N212" i="57"/>
  <c r="N241" i="57"/>
  <c r="N239" i="57"/>
  <c r="N286" i="57"/>
  <c r="N284" i="57"/>
  <c r="N1672" i="57"/>
  <c r="N1670" i="57"/>
  <c r="N1668" i="57"/>
  <c r="N89" i="57"/>
  <c r="N227" i="57"/>
  <c r="N245" i="57"/>
  <c r="N249" i="57"/>
  <c r="N253" i="57"/>
  <c r="N257" i="57"/>
  <c r="N270" i="57"/>
  <c r="N306" i="57"/>
  <c r="N398" i="57"/>
  <c r="N114" i="57"/>
  <c r="N310" i="57"/>
  <c r="N312" i="57"/>
  <c r="N318" i="57"/>
  <c r="N320" i="57"/>
  <c r="N322" i="57"/>
  <c r="N324" i="57"/>
  <c r="N326" i="57"/>
  <c r="N370" i="57"/>
  <c r="N466" i="57"/>
  <c r="N458" i="57"/>
  <c r="N480" i="57"/>
  <c r="N494" i="57"/>
  <c r="N498" i="57"/>
  <c r="N502" i="57"/>
  <c r="N42" i="57"/>
  <c r="N46" i="57"/>
  <c r="N122" i="57"/>
  <c r="N118" i="57"/>
  <c r="N92" i="57"/>
  <c r="N144" i="57"/>
  <c r="N148" i="57"/>
  <c r="N156" i="57"/>
  <c r="N160" i="57"/>
  <c r="N417" i="57"/>
  <c r="N10" i="57"/>
  <c r="N6" i="57"/>
  <c r="N24" i="57"/>
  <c r="N90" i="57"/>
  <c r="N88" i="57"/>
  <c r="N84" i="57"/>
  <c r="N166" i="57"/>
  <c r="N207" i="57"/>
  <c r="N205" i="57"/>
  <c r="N203" i="57"/>
  <c r="N277" i="57"/>
  <c r="N297" i="57"/>
  <c r="N301" i="57"/>
  <c r="N305" i="57"/>
  <c r="N413" i="57"/>
  <c r="N411" i="57"/>
  <c r="N409" i="57"/>
  <c r="N352" i="57"/>
  <c r="N348" i="57"/>
  <c r="N336" i="57"/>
  <c r="N489" i="57"/>
  <c r="N485" i="57"/>
  <c r="N483" i="57"/>
  <c r="N525" i="57"/>
  <c r="N515" i="57"/>
  <c r="N513" i="57"/>
  <c r="N699" i="57"/>
  <c r="N1275" i="57"/>
  <c r="N1271" i="57"/>
  <c r="N1654" i="57"/>
  <c r="N1642" i="57"/>
  <c r="N1685" i="57"/>
  <c r="N1681" i="57"/>
  <c r="N510" i="57"/>
  <c r="N1441" i="57"/>
  <c r="N1458" i="57"/>
  <c r="N1478" i="57"/>
  <c r="N1480" i="57"/>
  <c r="N1484" i="57"/>
  <c r="N1486" i="57"/>
  <c r="N1488" i="57"/>
  <c r="N1490" i="57"/>
  <c r="N1492" i="57"/>
  <c r="N1586" i="57"/>
  <c r="N930" i="57"/>
  <c r="N1019" i="57"/>
  <c r="N1267" i="57"/>
  <c r="N1296" i="57"/>
  <c r="N1445" i="57"/>
  <c r="N1502" i="57"/>
  <c r="N1554" i="57"/>
  <c r="N1556" i="57"/>
  <c r="N1558" i="57"/>
  <c r="N1562" i="57"/>
  <c r="N1564" i="57"/>
  <c r="N1566" i="57"/>
  <c r="N1568" i="57"/>
  <c r="N1570" i="57"/>
  <c r="N1572" i="57"/>
  <c r="N1574" i="57"/>
  <c r="N1665" i="57"/>
  <c r="N1661" i="57"/>
  <c r="N537" i="22"/>
  <c r="N1284" i="57"/>
  <c r="N1282" i="57"/>
  <c r="N1469" i="57"/>
  <c r="N1587" i="57"/>
  <c r="N1585" i="57"/>
  <c r="N1653" i="57"/>
  <c r="N1649" i="57"/>
  <c r="N1645" i="57"/>
  <c r="N1641" i="57"/>
  <c r="N1688" i="57"/>
  <c r="N1684" i="57"/>
  <c r="N1680" i="57"/>
  <c r="N530" i="22"/>
  <c r="N553" i="22"/>
  <c r="N1291" i="57"/>
  <c r="N1664" i="57"/>
  <c r="N1656" i="57"/>
  <c r="N173" i="57"/>
  <c r="N7" i="57"/>
  <c r="N22" i="57"/>
  <c r="N193" i="57"/>
  <c r="N189" i="57"/>
  <c r="N185" i="57"/>
  <c r="N222" i="57"/>
  <c r="N228" i="57"/>
  <c r="N246" i="57"/>
  <c r="N250" i="57"/>
  <c r="N254" i="57"/>
  <c r="N258" i="57"/>
  <c r="N281" i="57"/>
  <c r="N290" i="57"/>
  <c r="N298" i="57"/>
  <c r="N302" i="57"/>
  <c r="N405" i="57"/>
  <c r="N353" i="57"/>
  <c r="N424" i="57"/>
  <c r="N495" i="57"/>
  <c r="N499" i="57"/>
  <c r="N503" i="57"/>
  <c r="N521" i="57"/>
  <c r="N506" i="57"/>
  <c r="N1461" i="57"/>
  <c r="N1465" i="57"/>
  <c r="N1557" i="57"/>
  <c r="N1581" i="57"/>
  <c r="N1674" i="57"/>
  <c r="N1652" i="57"/>
  <c r="N1648" i="57"/>
  <c r="N1644" i="57"/>
  <c r="N1687" i="57"/>
  <c r="N1683" i="57"/>
  <c r="N1809" i="57"/>
  <c r="N1819" i="57"/>
  <c r="N1266" i="57"/>
  <c r="N1472" i="57"/>
  <c r="N1495" i="57"/>
  <c r="N124" i="57"/>
  <c r="N120" i="57"/>
  <c r="N76" i="57"/>
  <c r="N152" i="57"/>
  <c r="N171" i="57"/>
  <c r="N175" i="57"/>
  <c r="N179" i="57"/>
  <c r="N183" i="57"/>
  <c r="N215" i="57"/>
  <c r="N274" i="57"/>
  <c r="N263" i="57"/>
  <c r="N342" i="57"/>
  <c r="N491" i="57"/>
  <c r="N487" i="57"/>
  <c r="N518" i="57"/>
  <c r="N1303" i="57"/>
  <c r="N1299" i="57"/>
  <c r="N1281" i="57"/>
  <c r="N1277" i="57"/>
  <c r="N1273" i="57"/>
  <c r="N1269" i="57"/>
  <c r="N1499" i="57"/>
  <c r="N1549" i="57"/>
  <c r="N1779" i="57"/>
  <c r="N1783" i="57"/>
  <c r="N1787" i="57"/>
  <c r="N19" i="57"/>
  <c r="N4" i="57"/>
  <c r="N80" i="57"/>
  <c r="N219" i="57"/>
  <c r="N267" i="57"/>
  <c r="N376" i="57"/>
  <c r="N365" i="57"/>
  <c r="N474" i="57"/>
  <c r="N470" i="57"/>
  <c r="N455" i="57"/>
  <c r="N1292" i="57"/>
  <c r="N1449" i="57"/>
  <c r="N1460" i="57"/>
  <c r="N1479" i="57"/>
  <c r="N1483" i="57"/>
  <c r="N1487" i="57"/>
  <c r="N1491" i="57"/>
  <c r="N1506" i="57"/>
  <c r="N1510" i="57"/>
  <c r="N1516" i="57"/>
  <c r="N1578" i="57"/>
  <c r="N1640" i="57"/>
  <c r="N1671" i="57"/>
  <c r="N1660" i="57"/>
  <c r="N177" i="57"/>
  <c r="N8" i="57"/>
  <c r="N23" i="57"/>
  <c r="N201" i="57"/>
  <c r="N190" i="57"/>
  <c r="N186" i="57"/>
  <c r="N282" i="57"/>
  <c r="N316" i="57"/>
  <c r="N406" i="57"/>
  <c r="N369" i="57"/>
  <c r="N522" i="57"/>
  <c r="N507" i="57"/>
  <c r="N1285" i="57"/>
  <c r="N1560" i="57"/>
  <c r="N1582" i="57"/>
  <c r="N1824" i="57"/>
  <c r="N125" i="57"/>
  <c r="N117" i="57"/>
  <c r="N77" i="57"/>
  <c r="N143" i="57"/>
  <c r="N151" i="57"/>
  <c r="N159" i="57"/>
  <c r="N174" i="57"/>
  <c r="N178" i="57"/>
  <c r="N182" i="57"/>
  <c r="N264" i="57"/>
  <c r="N414" i="57"/>
  <c r="N410" i="57"/>
  <c r="N395" i="57"/>
  <c r="N343" i="57"/>
  <c r="N467" i="57"/>
  <c r="N488" i="57"/>
  <c r="N1304" i="57"/>
  <c r="N1300" i="57"/>
  <c r="N1289" i="57"/>
  <c r="N1278" i="57"/>
  <c r="N1270" i="57"/>
  <c r="N1448" i="57"/>
  <c r="N1475" i="57"/>
  <c r="N1482" i="57"/>
  <c r="N1494" i="57"/>
  <c r="N1548" i="57"/>
  <c r="N1552" i="57"/>
  <c r="N1590" i="57"/>
  <c r="N1593" i="57"/>
  <c r="N1657" i="57"/>
  <c r="N1782" i="57"/>
  <c r="N1786" i="57"/>
  <c r="N169" i="57"/>
  <c r="N9" i="57"/>
  <c r="N5" i="57"/>
  <c r="N20" i="57"/>
  <c r="N52" i="57"/>
  <c r="N128" i="57"/>
  <c r="N162" i="57"/>
  <c r="N191" i="57"/>
  <c r="N187" i="57"/>
  <c r="N226" i="57"/>
  <c r="N230" i="57"/>
  <c r="N238" i="57"/>
  <c r="N244" i="57"/>
  <c r="N248" i="57"/>
  <c r="N252" i="57"/>
  <c r="N256" i="57"/>
  <c r="N260" i="57"/>
  <c r="N283" i="57"/>
  <c r="N279" i="57"/>
  <c r="N292" i="57"/>
  <c r="N296" i="57"/>
  <c r="N300" i="57"/>
  <c r="N311" i="57"/>
  <c r="N403" i="57"/>
  <c r="N399" i="57"/>
  <c r="N384" i="57"/>
  <c r="N351" i="57"/>
  <c r="N460" i="57"/>
  <c r="N497" i="57"/>
  <c r="N501" i="57"/>
  <c r="N505" i="57"/>
  <c r="N523" i="57"/>
  <c r="N508" i="57"/>
  <c r="N1444" i="57"/>
  <c r="N1455" i="57"/>
  <c r="N1463" i="57"/>
  <c r="N1467" i="57"/>
  <c r="N1807" i="57"/>
  <c r="N1817" i="57"/>
  <c r="N1823" i="57"/>
  <c r="N481" i="57"/>
  <c r="N512" i="57"/>
  <c r="N1297" i="57"/>
  <c r="N1440" i="57"/>
  <c r="N1551" i="57"/>
  <c r="N1555" i="57"/>
  <c r="N1559" i="57"/>
  <c r="N1563" i="57"/>
  <c r="N1567" i="57"/>
  <c r="N1571" i="57"/>
  <c r="N1575" i="57"/>
  <c r="N1646" i="57"/>
  <c r="N1799" i="57"/>
  <c r="N1795" i="57"/>
  <c r="N1791" i="57"/>
  <c r="N1813" i="57"/>
  <c r="N1658" i="57"/>
  <c r="N150" i="57"/>
  <c r="N154" i="57"/>
  <c r="N307" i="57"/>
  <c r="N374" i="57"/>
  <c r="N344" i="57"/>
  <c r="N529" i="57"/>
  <c r="N1279" i="57"/>
  <c r="N1451" i="57"/>
  <c r="N1481" i="57"/>
  <c r="N1485" i="57"/>
  <c r="N1489" i="57"/>
  <c r="N1504" i="57"/>
  <c r="N1508" i="57"/>
  <c r="N1512" i="57"/>
  <c r="N1576" i="57"/>
  <c r="N1638" i="57"/>
  <c r="N1669" i="57"/>
  <c r="N1662" i="57"/>
  <c r="N1678" i="57"/>
  <c r="N1803" i="57"/>
  <c r="N44" i="57"/>
  <c r="N21" i="57"/>
  <c r="N82" i="57"/>
  <c r="N192" i="57"/>
  <c r="N188" i="57"/>
  <c r="N184" i="57"/>
  <c r="N225" i="57"/>
  <c r="N229" i="57"/>
  <c r="N247" i="57"/>
  <c r="N251" i="57"/>
  <c r="N255" i="57"/>
  <c r="N259" i="57"/>
  <c r="N280" i="57"/>
  <c r="N269" i="57"/>
  <c r="N295" i="57"/>
  <c r="N303" i="57"/>
  <c r="N314" i="57"/>
  <c r="N404" i="57"/>
  <c r="N385" i="57"/>
  <c r="N457" i="57"/>
  <c r="N496" i="57"/>
  <c r="N500" i="57"/>
  <c r="N504" i="57"/>
  <c r="N524" i="57"/>
  <c r="N509" i="57"/>
  <c r="N809" i="57"/>
  <c r="N1294" i="57"/>
  <c r="N1283" i="57"/>
  <c r="N1443" i="57"/>
  <c r="N1462" i="57"/>
  <c r="N1466" i="57"/>
  <c r="N1584" i="57"/>
  <c r="N1673" i="57"/>
  <c r="N1651" i="57"/>
  <c r="N1647" i="57"/>
  <c r="N1643" i="57"/>
  <c r="N1686" i="57"/>
  <c r="N1682" i="57"/>
  <c r="N1810" i="57"/>
  <c r="N158" i="57"/>
  <c r="N15" i="57"/>
  <c r="N123" i="57"/>
  <c r="N119" i="57"/>
  <c r="N105" i="57"/>
  <c r="N93" i="57"/>
  <c r="N168" i="57"/>
  <c r="N172" i="57"/>
  <c r="N176" i="57"/>
  <c r="N180" i="57"/>
  <c r="N196" i="57"/>
  <c r="N214" i="57"/>
  <c r="N262" i="57"/>
  <c r="N412" i="57"/>
  <c r="N360" i="57"/>
  <c r="N345" i="57"/>
  <c r="N341" i="57"/>
  <c r="N465" i="57"/>
  <c r="N490" i="57"/>
  <c r="N486" i="57"/>
  <c r="N517" i="57"/>
  <c r="N1302" i="57"/>
  <c r="N1280" i="57"/>
  <c r="N1276" i="57"/>
  <c r="N1268" i="57"/>
  <c r="N1473" i="57"/>
  <c r="N1550" i="57"/>
  <c r="N1659" i="57"/>
  <c r="N1780" i="57"/>
  <c r="N1784" i="57"/>
  <c r="N1788" i="57"/>
  <c r="N1800" i="57"/>
  <c r="N181" i="57"/>
  <c r="N61" i="28"/>
  <c r="N68" i="28"/>
  <c r="N13" i="28"/>
  <c r="N27" i="28"/>
  <c r="N14" i="28"/>
  <c r="N28" i="28"/>
  <c r="N64" i="28"/>
  <c r="N12" i="28"/>
  <c r="N17" i="28"/>
  <c r="N62" i="28"/>
  <c r="N24" i="28"/>
  <c r="N19" i="28"/>
  <c r="N18" i="28"/>
  <c r="N25" i="28"/>
  <c r="N20" i="28"/>
  <c r="N29" i="28"/>
  <c r="N63" i="28"/>
  <c r="N26" i="28"/>
  <c r="N21" i="28"/>
  <c r="N16" i="28"/>
  <c r="N30" i="28"/>
  <c r="N23" i="28"/>
  <c r="N276" i="22"/>
  <c r="N532" i="22"/>
  <c r="N555" i="22"/>
  <c r="N236" i="22"/>
  <c r="N224" i="22"/>
  <c r="N220" i="22"/>
  <c r="N208" i="22"/>
  <c r="N297" i="22"/>
  <c r="N293" i="22"/>
  <c r="N289" i="22"/>
  <c r="N285" i="22"/>
  <c r="N281" i="22"/>
  <c r="N277" i="22"/>
  <c r="N340" i="22"/>
  <c r="N328" i="22"/>
  <c r="N324" i="22"/>
  <c r="N367" i="22"/>
  <c r="N363" i="22"/>
  <c r="N359" i="22"/>
  <c r="N399" i="22"/>
  <c r="N392" i="22"/>
  <c r="N432" i="22"/>
  <c r="N410" i="22"/>
  <c r="N424" i="22"/>
  <c r="N436" i="22"/>
  <c r="N442" i="22"/>
  <c r="N446" i="22"/>
  <c r="N452" i="22"/>
  <c r="N462" i="22"/>
  <c r="N468" i="22"/>
  <c r="N474" i="22"/>
  <c r="N99" i="22"/>
  <c r="N95" i="22"/>
  <c r="N119" i="22"/>
  <c r="N141" i="22"/>
  <c r="N137" i="22"/>
  <c r="N133" i="22"/>
  <c r="N249" i="22"/>
  <c r="N241" i="22"/>
  <c r="N258" i="22"/>
  <c r="N545" i="22"/>
  <c r="N246" i="22"/>
  <c r="N222" i="22"/>
  <c r="N206" i="22"/>
  <c r="N307" i="22"/>
  <c r="N303" i="22"/>
  <c r="N275" i="22"/>
  <c r="N271" i="22"/>
  <c r="N342" i="22"/>
  <c r="N330" i="22"/>
  <c r="N326" i="22"/>
  <c r="N369" i="22"/>
  <c r="N394" i="22"/>
  <c r="N430" i="22"/>
  <c r="N243" i="22"/>
  <c r="N227" i="22"/>
  <c r="N223" i="22"/>
  <c r="N211" i="22"/>
  <c r="N203" i="22"/>
  <c r="N199" i="22"/>
  <c r="N195" i="22"/>
  <c r="N316" i="22"/>
  <c r="N489" i="22"/>
  <c r="N248" i="22"/>
  <c r="N240" i="22"/>
  <c r="N245" i="22"/>
  <c r="N233" i="22"/>
  <c r="N213" i="22"/>
  <c r="N242" i="22"/>
  <c r="N218" i="22"/>
  <c r="N299" i="22"/>
  <c r="N295" i="22"/>
  <c r="N542" i="22"/>
  <c r="N550" i="22"/>
  <c r="N560" i="22"/>
  <c r="N219" i="22"/>
  <c r="N300" i="22"/>
  <c r="N347" i="22"/>
  <c r="N366" i="22"/>
  <c r="N493" i="22"/>
  <c r="N501" i="22"/>
  <c r="N511" i="22"/>
  <c r="N517" i="22"/>
  <c r="N232" i="22"/>
  <c r="N269" i="22"/>
  <c r="N375" i="22"/>
  <c r="N237" i="22"/>
  <c r="N226" i="22"/>
  <c r="N270" i="22"/>
  <c r="N345" i="22"/>
  <c r="N364" i="22"/>
  <c r="N234" i="22"/>
  <c r="N200" i="22"/>
  <c r="N317" i="22"/>
  <c r="N313" i="22"/>
  <c r="N309" i="22"/>
  <c r="N301" i="22"/>
  <c r="N374" i="22"/>
  <c r="N551" i="22"/>
  <c r="N561" i="22"/>
  <c r="N565" i="22"/>
  <c r="N529" i="22"/>
  <c r="N10" i="22"/>
  <c r="N21" i="22"/>
  <c r="N28" i="22"/>
  <c r="N35" i="22"/>
  <c r="N56" i="22"/>
  <c r="N63" i="22"/>
  <c r="N78" i="22"/>
  <c r="N92" i="22"/>
  <c r="N103" i="22"/>
  <c r="N113" i="22"/>
  <c r="N150" i="22"/>
  <c r="N168" i="22"/>
  <c r="N172" i="22"/>
  <c r="N194" i="22"/>
  <c r="N526" i="22"/>
  <c r="N13" i="22"/>
  <c r="N96" i="22"/>
  <c r="N120" i="22"/>
  <c r="N142" i="22"/>
  <c r="N138" i="22"/>
  <c r="N134" i="22"/>
  <c r="N157" i="22"/>
  <c r="N182" i="22"/>
  <c r="N178" i="22"/>
  <c r="N216" i="22"/>
  <c r="N212" i="22"/>
  <c r="N263" i="22"/>
  <c r="N338" i="22"/>
  <c r="N365" i="22"/>
  <c r="N298" i="22"/>
  <c r="N239" i="22"/>
  <c r="N306" i="22"/>
  <c r="N302" i="22"/>
  <c r="N353" i="22"/>
  <c r="N20" i="22"/>
  <c r="N146" i="22"/>
  <c r="N167" i="22"/>
  <c r="N171" i="22"/>
  <c r="N177" i="22"/>
  <c r="N189" i="22"/>
  <c r="N228" i="22"/>
  <c r="N205" i="22"/>
  <c r="N268" i="22"/>
  <c r="N264" i="22"/>
  <c r="N260" i="22"/>
  <c r="N339" i="22"/>
  <c r="N335" i="22"/>
  <c r="N331" i="22"/>
  <c r="N327" i="22"/>
  <c r="N523" i="22"/>
  <c r="N251" i="22"/>
  <c r="N217" i="22"/>
  <c r="N291" i="22"/>
  <c r="N287" i="22"/>
  <c r="N283" i="22"/>
  <c r="N272" i="22"/>
  <c r="N376" i="22"/>
  <c r="N541" i="22"/>
  <c r="N559" i="22"/>
  <c r="N563" i="22"/>
  <c r="N221" i="22"/>
  <c r="N521" i="22"/>
  <c r="N533" i="22"/>
  <c r="N547" i="22"/>
  <c r="N556" i="22"/>
  <c r="N76" i="22"/>
  <c r="N108" i="22"/>
  <c r="N118" i="22"/>
  <c r="N126" i="22"/>
  <c r="N15" i="22"/>
  <c r="N140" i="22"/>
  <c r="N136" i="22"/>
  <c r="N132" i="22"/>
  <c r="N159" i="22"/>
  <c r="N155" i="22"/>
  <c r="N180" i="22"/>
  <c r="N252" i="22"/>
  <c r="N214" i="22"/>
  <c r="N336" i="22"/>
  <c r="N19" i="22"/>
  <c r="N26" i="22"/>
  <c r="N33" i="22"/>
  <c r="N43" i="22"/>
  <c r="N71" i="22"/>
  <c r="N86" i="22"/>
  <c r="N524" i="22"/>
  <c r="AA49" i="22"/>
  <c r="AE49" i="22"/>
  <c r="N58" i="22"/>
  <c r="N98" i="22"/>
  <c r="N94" i="22"/>
  <c r="N230" i="22"/>
  <c r="N204" i="22"/>
  <c r="N380" i="22"/>
  <c r="N384" i="22"/>
  <c r="N388" i="22"/>
  <c r="N505" i="22"/>
  <c r="N296" i="22"/>
  <c r="N267" i="22"/>
  <c r="N259" i="22"/>
  <c r="N346" i="22"/>
  <c r="N355" i="22"/>
  <c r="N534" i="22"/>
  <c r="N11" i="22"/>
  <c r="N22" i="22"/>
  <c r="N29" i="22"/>
  <c r="N39" i="22"/>
  <c r="N67" i="22"/>
  <c r="N82" i="22"/>
  <c r="N107" i="22"/>
  <c r="N114" i="22"/>
  <c r="N156" i="22"/>
  <c r="N173" i="22"/>
  <c r="N181" i="22"/>
  <c r="N253" i="22"/>
  <c r="N238" i="22"/>
  <c r="N201" i="22"/>
  <c r="N409" i="22"/>
  <c r="N421" i="22"/>
  <c r="N429" i="22"/>
  <c r="N435" i="22"/>
  <c r="N445" i="22"/>
  <c r="N451" i="22"/>
  <c r="N465" i="22"/>
  <c r="N473" i="22"/>
  <c r="N479" i="22"/>
  <c r="N492" i="22"/>
  <c r="N510" i="22"/>
  <c r="N514" i="22"/>
  <c r="N520" i="22"/>
  <c r="N531" i="22"/>
  <c r="N554" i="22"/>
  <c r="N12" i="22"/>
  <c r="N59" i="22"/>
  <c r="N231" i="22"/>
  <c r="N315" i="22"/>
  <c r="N311" i="22"/>
  <c r="N343" i="22"/>
  <c r="N332" i="22"/>
  <c r="N379" i="22"/>
  <c r="N383" i="22"/>
  <c r="N387" i="22"/>
  <c r="N393" i="22"/>
  <c r="N439" i="22"/>
  <c r="N459" i="22"/>
  <c r="N498" i="22"/>
  <c r="N506" i="22"/>
  <c r="N535" i="22"/>
  <c r="N250" i="22"/>
  <c r="N235" i="22"/>
  <c r="N209" i="22"/>
  <c r="N198" i="22"/>
  <c r="N304" i="22"/>
  <c r="N290" i="22"/>
  <c r="N286" i="22"/>
  <c r="N360" i="22"/>
  <c r="N564" i="22"/>
  <c r="N202" i="22"/>
  <c r="N312" i="22"/>
  <c r="N308" i="22"/>
  <c r="N408" i="22"/>
  <c r="N418" i="22"/>
  <c r="N426" i="22"/>
  <c r="N438" i="22"/>
  <c r="N444" i="22"/>
  <c r="N450" i="22"/>
  <c r="N458" i="22"/>
  <c r="N464" i="22"/>
  <c r="N472" i="22"/>
  <c r="N478" i="22"/>
  <c r="N491" i="22"/>
  <c r="N497" i="22"/>
  <c r="N503" i="22"/>
  <c r="N509" i="22"/>
  <c r="N513" i="22"/>
  <c r="N519" i="22"/>
  <c r="N378" i="22"/>
  <c r="N382" i="22"/>
  <c r="N386" i="22"/>
  <c r="N390" i="22"/>
  <c r="N247" i="22"/>
  <c r="N210" i="22"/>
  <c r="N279" i="22"/>
  <c r="N265" i="22"/>
  <c r="N261" i="22"/>
  <c r="N348" i="22"/>
  <c r="N344" i="22"/>
  <c r="N337" i="22"/>
  <c r="N357" i="22"/>
  <c r="N536" i="22"/>
  <c r="N361" i="22"/>
  <c r="N27" i="22"/>
  <c r="N34" i="22"/>
  <c r="N52" i="22"/>
  <c r="N72" i="22"/>
  <c r="N77" i="22"/>
  <c r="N87" i="22"/>
  <c r="N109" i="22"/>
  <c r="N131" i="22"/>
  <c r="N139" i="22"/>
  <c r="N135" i="22"/>
  <c r="N158" i="22"/>
  <c r="N179" i="22"/>
  <c r="N225" i="22"/>
  <c r="N305" i="22"/>
  <c r="N425" i="22"/>
  <c r="N437" i="22"/>
  <c r="N443" i="22"/>
  <c r="N449" i="22"/>
  <c r="N455" i="22"/>
  <c r="N463" i="22"/>
  <c r="N469" i="22"/>
  <c r="N475" i="22"/>
  <c r="N490" i="22"/>
  <c r="N496" i="22"/>
  <c r="N502" i="22"/>
  <c r="N512" i="22"/>
  <c r="N518" i="22"/>
  <c r="N522" i="22"/>
  <c r="N14" i="22"/>
  <c r="N57" i="22"/>
  <c r="N97" i="22"/>
  <c r="N93" i="22"/>
  <c r="N121" i="22"/>
  <c r="N244" i="22"/>
  <c r="N229" i="22"/>
  <c r="N207" i="22"/>
  <c r="N280" i="22"/>
  <c r="N273" i="22"/>
  <c r="N323" i="22"/>
  <c r="N334" i="22"/>
  <c r="N377" i="22"/>
  <c r="N381" i="22"/>
  <c r="N385" i="22"/>
  <c r="N389" i="22"/>
  <c r="N398" i="22"/>
  <c r="N391" i="22"/>
  <c r="N411" i="22"/>
  <c r="N431" i="22"/>
  <c r="N504" i="22"/>
  <c r="N358" i="22"/>
  <c r="N354" i="22"/>
  <c r="N170" i="22"/>
  <c r="N163" i="22"/>
  <c r="N188" i="22"/>
  <c r="N215" i="22"/>
  <c r="N196" i="22"/>
  <c r="N292" i="22"/>
  <c r="N288" i="22"/>
  <c r="N284" i="22"/>
  <c r="N362" i="22"/>
  <c r="Z35" i="74"/>
  <c r="AA35" i="74" s="1"/>
  <c r="V35" i="74"/>
  <c r="N35" i="74"/>
  <c r="AG38" i="74"/>
  <c r="Z38" i="74" l="1"/>
  <c r="AA38" i="74" s="1"/>
  <c r="V38" i="74"/>
  <c r="N38" i="74"/>
  <c r="AG823" i="57"/>
  <c r="AJ823" i="57"/>
  <c r="X823" i="57"/>
  <c r="V823" i="57" l="1"/>
  <c r="AI823" i="57"/>
  <c r="Z823" i="57"/>
  <c r="AA823" i="57" s="1"/>
  <c r="T823" i="57"/>
  <c r="S823" i="57"/>
  <c r="R823" i="57"/>
  <c r="Q823" i="57"/>
  <c r="P823" i="57"/>
  <c r="AG1220" i="57"/>
  <c r="X1220" i="57"/>
  <c r="AJ1220" i="57"/>
  <c r="V1220" i="57" l="1"/>
  <c r="AI1220" i="57"/>
  <c r="Z1220" i="57"/>
  <c r="AA1220" i="57" s="1"/>
  <c r="T1220" i="57"/>
  <c r="S1220" i="57"/>
  <c r="R1220" i="57"/>
  <c r="Q1220" i="57"/>
  <c r="P1220" i="57"/>
  <c r="AG135" i="114" l="1"/>
  <c r="Z135" i="114" l="1"/>
  <c r="AA135" i="114" s="1"/>
  <c r="V135" i="114"/>
  <c r="N135" i="114"/>
  <c r="AG128" i="114"/>
  <c r="Z128" i="114" l="1"/>
  <c r="AA128" i="114" s="1"/>
  <c r="V128" i="114"/>
  <c r="N128" i="114"/>
  <c r="AG60" i="114"/>
  <c r="X60" i="114"/>
  <c r="AJ60" i="114"/>
  <c r="AI60" i="114" l="1"/>
  <c r="Z60" i="114"/>
  <c r="AA60" i="114" s="1"/>
  <c r="V60" i="114"/>
  <c r="N60" i="114"/>
  <c r="AG59" i="114"/>
  <c r="AJ59" i="114"/>
  <c r="X59" i="114"/>
  <c r="AI59" i="114" l="1"/>
  <c r="Z59" i="114"/>
  <c r="AA59" i="114" s="1"/>
  <c r="V59" i="114"/>
  <c r="N59" i="114"/>
  <c r="AG339" i="57"/>
  <c r="X339" i="57"/>
  <c r="AJ339" i="57"/>
  <c r="V339" i="57" l="1"/>
  <c r="AI339" i="57"/>
  <c r="Z339" i="57"/>
  <c r="AA339" i="57" s="1"/>
  <c r="T339" i="57"/>
  <c r="S339" i="57"/>
  <c r="R339" i="57"/>
  <c r="Q339" i="57"/>
  <c r="P339" i="57"/>
  <c r="AG652" i="57"/>
  <c r="X652" i="57"/>
  <c r="AJ652" i="57"/>
  <c r="V652" i="57" l="1"/>
  <c r="AI652" i="57"/>
  <c r="Z652" i="57"/>
  <c r="AA652" i="57" s="1"/>
  <c r="T652" i="57"/>
  <c r="S652" i="57"/>
  <c r="R652" i="57"/>
  <c r="Q652" i="57"/>
  <c r="P652" i="57"/>
  <c r="AG205" i="57"/>
  <c r="X205" i="57"/>
  <c r="AJ205" i="57"/>
  <c r="V205" i="57" l="1"/>
  <c r="AI205" i="57"/>
  <c r="Z205" i="57"/>
  <c r="AA205" i="57" s="1"/>
  <c r="T205" i="57"/>
  <c r="S205" i="57"/>
  <c r="R205" i="57"/>
  <c r="Q205" i="57"/>
  <c r="P205" i="57"/>
  <c r="AG133" i="114" l="1"/>
  <c r="Z133" i="114" l="1"/>
  <c r="AA133" i="114" s="1"/>
  <c r="V133" i="114"/>
  <c r="N133" i="114"/>
  <c r="AG146" i="114"/>
  <c r="Z146" i="114" l="1"/>
  <c r="AA146" i="114" s="1"/>
  <c r="V146" i="114"/>
  <c r="N146" i="114"/>
  <c r="AG138" i="114"/>
  <c r="Z138" i="114" l="1"/>
  <c r="AA138" i="114" s="1"/>
  <c r="V138" i="114"/>
  <c r="N138" i="114"/>
  <c r="AG58" i="114"/>
  <c r="X58" i="114"/>
  <c r="AJ58" i="114"/>
  <c r="AI58" i="114" l="1"/>
  <c r="Z58" i="114"/>
  <c r="AA58" i="114" s="1"/>
  <c r="V58" i="114"/>
  <c r="N58" i="114"/>
  <c r="AG57" i="114"/>
  <c r="AJ57" i="114"/>
  <c r="X57" i="114"/>
  <c r="AI57" i="114" l="1"/>
  <c r="Z57" i="114"/>
  <c r="AA57" i="114" s="1"/>
  <c r="V57" i="114"/>
  <c r="N57" i="114"/>
  <c r="AG556" i="57"/>
  <c r="AJ556" i="57"/>
  <c r="X556" i="57"/>
  <c r="V556" i="57" l="1"/>
  <c r="AI556" i="57"/>
  <c r="Z556" i="57"/>
  <c r="AA556" i="57" s="1"/>
  <c r="T556" i="57"/>
  <c r="S556" i="57"/>
  <c r="R556" i="57"/>
  <c r="Q556" i="57"/>
  <c r="P556" i="57"/>
  <c r="AG933" i="57"/>
  <c r="AJ933" i="57"/>
  <c r="X933" i="57"/>
  <c r="V933" i="57" l="1"/>
  <c r="AI933" i="57"/>
  <c r="Z933" i="57"/>
  <c r="AA933" i="57" s="1"/>
  <c r="T933" i="57"/>
  <c r="S933" i="57"/>
  <c r="R933" i="57"/>
  <c r="Q933" i="57"/>
  <c r="P933" i="57"/>
  <c r="AG577" i="57"/>
  <c r="AJ577" i="57"/>
  <c r="X577" i="57"/>
  <c r="V577" i="57" l="1"/>
  <c r="AI577" i="57"/>
  <c r="Z577" i="57"/>
  <c r="AA577" i="57" s="1"/>
  <c r="T577" i="57"/>
  <c r="S577" i="57"/>
  <c r="R577" i="57"/>
  <c r="Q577" i="57"/>
  <c r="P577" i="57"/>
  <c r="AG642" i="57"/>
  <c r="AJ642" i="57"/>
  <c r="X642" i="57"/>
  <c r="V642" i="57" l="1"/>
  <c r="AI642" i="57"/>
  <c r="Z642" i="57"/>
  <c r="AA642" i="57" s="1"/>
  <c r="T642" i="57"/>
  <c r="S642" i="57"/>
  <c r="R642" i="57"/>
  <c r="Q642" i="57"/>
  <c r="P642" i="57"/>
  <c r="AG131" i="114" l="1"/>
  <c r="Z131" i="114" l="1"/>
  <c r="AA131" i="114" s="1"/>
  <c r="V131" i="114"/>
  <c r="N131" i="114"/>
  <c r="AG56" i="114"/>
  <c r="AJ56" i="114"/>
  <c r="X56" i="114"/>
  <c r="AI56" i="114" l="1"/>
  <c r="Z56" i="114"/>
  <c r="AA56" i="114" s="1"/>
  <c r="V56" i="114"/>
  <c r="N56" i="114"/>
  <c r="AG55" i="114"/>
  <c r="AJ55" i="114"/>
  <c r="X55" i="114"/>
  <c r="AI55" i="114" l="1"/>
  <c r="Z55" i="114"/>
  <c r="AA55" i="114" s="1"/>
  <c r="V55" i="114"/>
  <c r="N55" i="114"/>
  <c r="AG54" i="114"/>
  <c r="AJ54" i="114"/>
  <c r="X54" i="114"/>
  <c r="AI54" i="114" l="1"/>
  <c r="Z54" i="114"/>
  <c r="AA54" i="114" s="1"/>
  <c r="V54" i="114"/>
  <c r="N54" i="114"/>
  <c r="AG136" i="114"/>
  <c r="Z136" i="114" l="1"/>
  <c r="AA136" i="114" s="1"/>
  <c r="V136" i="114"/>
  <c r="N136" i="114"/>
  <c r="Y127" i="22"/>
  <c r="AG126" i="22"/>
  <c r="Z45" i="74" l="1"/>
  <c r="AA45" i="74" s="1"/>
  <c r="AD45" i="74"/>
  <c r="X127" i="22"/>
  <c r="Z126" i="22"/>
  <c r="AA126" i="22" s="1"/>
  <c r="T126" i="22"/>
  <c r="S126" i="22"/>
  <c r="R126" i="22"/>
  <c r="Q126" i="22"/>
  <c r="P126" i="22"/>
  <c r="J15" i="21"/>
  <c r="I15" i="21"/>
  <c r="M11" i="21"/>
  <c r="K11" i="21"/>
  <c r="L11" i="21" s="1"/>
  <c r="X30" i="118"/>
  <c r="AK30" i="118"/>
  <c r="V30" i="118" l="1"/>
  <c r="AE45" i="74"/>
  <c r="N11" i="21"/>
  <c r="AJ30" i="118"/>
  <c r="Z30" i="118"/>
  <c r="AA30" i="118" s="1"/>
  <c r="T30" i="118"/>
  <c r="S30" i="118"/>
  <c r="R30" i="118"/>
  <c r="Q30" i="118"/>
  <c r="P30" i="118"/>
  <c r="P551" i="22"/>
  <c r="R551" i="22"/>
  <c r="Q551" i="22"/>
  <c r="S551" i="22"/>
  <c r="P552" i="22"/>
  <c r="R552" i="22"/>
  <c r="Q552" i="22"/>
  <c r="S552" i="22"/>
  <c r="P553" i="22"/>
  <c r="R553" i="22"/>
  <c r="Q553" i="22"/>
  <c r="S553" i="22"/>
  <c r="P554" i="22"/>
  <c r="R554" i="22"/>
  <c r="Q554" i="22"/>
  <c r="S554" i="22"/>
  <c r="P555" i="22"/>
  <c r="R555" i="22"/>
  <c r="Q555" i="22"/>
  <c r="S555" i="22"/>
  <c r="P556" i="22"/>
  <c r="R556" i="22"/>
  <c r="Q556" i="22"/>
  <c r="S556" i="22"/>
  <c r="P559" i="22"/>
  <c r="R559" i="22"/>
  <c r="Q559" i="22"/>
  <c r="S559" i="22"/>
  <c r="P560" i="22"/>
  <c r="R560" i="22"/>
  <c r="Q560" i="22"/>
  <c r="S560" i="22"/>
  <c r="P561" i="22"/>
  <c r="R561" i="22"/>
  <c r="Q561" i="22"/>
  <c r="S561" i="22"/>
  <c r="P562" i="22"/>
  <c r="R562" i="22"/>
  <c r="Q562" i="22"/>
  <c r="S562" i="22"/>
  <c r="P563" i="22"/>
  <c r="R563" i="22"/>
  <c r="Q563" i="22"/>
  <c r="S563" i="22"/>
  <c r="P564" i="22"/>
  <c r="R564" i="22"/>
  <c r="Q564" i="22"/>
  <c r="S564" i="22"/>
  <c r="P565" i="22"/>
  <c r="R565" i="22"/>
  <c r="Q565" i="22"/>
  <c r="S565" i="22"/>
  <c r="S550" i="22"/>
  <c r="Q550" i="22"/>
  <c r="R550" i="22"/>
  <c r="P550" i="22"/>
  <c r="P547" i="22"/>
  <c r="R547" i="22"/>
  <c r="Q547" i="22"/>
  <c r="S547" i="22"/>
  <c r="S546" i="22"/>
  <c r="Q546" i="22"/>
  <c r="R546" i="22"/>
  <c r="P546" i="22"/>
  <c r="S545" i="22"/>
  <c r="Q545" i="22"/>
  <c r="R545" i="22"/>
  <c r="P545" i="22"/>
  <c r="S542" i="22"/>
  <c r="Q542" i="22"/>
  <c r="R542" i="22"/>
  <c r="P542" i="22"/>
  <c r="S541" i="22"/>
  <c r="Q541" i="22"/>
  <c r="R541" i="22"/>
  <c r="P541" i="22"/>
  <c r="P538" i="22"/>
  <c r="R538" i="22"/>
  <c r="Q538" i="22"/>
  <c r="S538" i="22"/>
  <c r="P535" i="22"/>
  <c r="R535" i="22"/>
  <c r="Q535" i="22"/>
  <c r="S535" i="22"/>
  <c r="P536" i="22"/>
  <c r="R536" i="22"/>
  <c r="Q536" i="22"/>
  <c r="S536" i="22"/>
  <c r="P537" i="22"/>
  <c r="R537" i="22"/>
  <c r="Q537" i="22"/>
  <c r="S537" i="22"/>
  <c r="S534" i="22"/>
  <c r="Q534" i="22"/>
  <c r="R534" i="22"/>
  <c r="P534" i="22"/>
  <c r="S533" i="22"/>
  <c r="Q533" i="22"/>
  <c r="R533" i="22"/>
  <c r="P533" i="22"/>
  <c r="S532" i="22"/>
  <c r="Q532" i="22"/>
  <c r="R532" i="22"/>
  <c r="P532" i="22"/>
  <c r="S531" i="22"/>
  <c r="Q531" i="22"/>
  <c r="R531" i="22"/>
  <c r="P531" i="22"/>
  <c r="S530" i="22"/>
  <c r="Q530" i="22"/>
  <c r="R530" i="22"/>
  <c r="P530" i="22"/>
  <c r="S529" i="22"/>
  <c r="Q529" i="22"/>
  <c r="R529" i="22"/>
  <c r="P529" i="22"/>
  <c r="S526" i="22"/>
  <c r="Q526" i="22"/>
  <c r="R526" i="22"/>
  <c r="P526" i="22"/>
  <c r="S525" i="22"/>
  <c r="Q525" i="22"/>
  <c r="R525" i="22"/>
  <c r="P525" i="22"/>
  <c r="S524" i="22"/>
  <c r="Q524" i="22"/>
  <c r="R524" i="22"/>
  <c r="P524" i="22"/>
  <c r="S523" i="22"/>
  <c r="Q523" i="22"/>
  <c r="R523" i="22"/>
  <c r="P523" i="22"/>
  <c r="S522" i="22"/>
  <c r="Q522" i="22"/>
  <c r="R522" i="22"/>
  <c r="P522" i="22"/>
  <c r="S521" i="22"/>
  <c r="Q521" i="22"/>
  <c r="R521" i="22"/>
  <c r="P521" i="22"/>
  <c r="S520" i="22"/>
  <c r="Q520" i="22"/>
  <c r="R520" i="22"/>
  <c r="P520" i="22"/>
  <c r="S519" i="22"/>
  <c r="Q519" i="22"/>
  <c r="R519" i="22"/>
  <c r="P519" i="22"/>
  <c r="S518" i="22"/>
  <c r="Q518" i="22"/>
  <c r="R518" i="22"/>
  <c r="P518" i="22"/>
  <c r="S517" i="22"/>
  <c r="Q517" i="22"/>
  <c r="R517" i="22"/>
  <c r="P517" i="22"/>
  <c r="S514" i="22"/>
  <c r="Q514" i="22"/>
  <c r="R514" i="22"/>
  <c r="P514" i="22"/>
  <c r="S513" i="22"/>
  <c r="Q513" i="22"/>
  <c r="R513" i="22"/>
  <c r="P513" i="22"/>
  <c r="S512" i="22"/>
  <c r="Q512" i="22"/>
  <c r="R512" i="22"/>
  <c r="P512" i="22"/>
  <c r="S511" i="22"/>
  <c r="Q511" i="22"/>
  <c r="R511" i="22"/>
  <c r="P511" i="22"/>
  <c r="S510" i="22"/>
  <c r="Q510" i="22"/>
  <c r="R510" i="22"/>
  <c r="P510" i="22"/>
  <c r="S509" i="22"/>
  <c r="Q509" i="22"/>
  <c r="R509" i="22"/>
  <c r="P509" i="22"/>
  <c r="P503" i="22"/>
  <c r="R503" i="22"/>
  <c r="Q503" i="22"/>
  <c r="S503" i="22"/>
  <c r="P504" i="22"/>
  <c r="R504" i="22"/>
  <c r="Q504" i="22"/>
  <c r="S504" i="22"/>
  <c r="P505" i="22"/>
  <c r="R505" i="22"/>
  <c r="Q505" i="22"/>
  <c r="S505" i="22"/>
  <c r="P506" i="22"/>
  <c r="R506" i="22"/>
  <c r="Q506" i="22"/>
  <c r="S506" i="22"/>
  <c r="S502" i="22"/>
  <c r="Q502" i="22"/>
  <c r="R502" i="22"/>
  <c r="P502" i="22"/>
  <c r="S501" i="22"/>
  <c r="Q501" i="22"/>
  <c r="R501" i="22"/>
  <c r="P501" i="22"/>
  <c r="S498" i="22"/>
  <c r="Q498" i="22"/>
  <c r="R498" i="22"/>
  <c r="P498" i="22"/>
  <c r="S497" i="22"/>
  <c r="Q497" i="22"/>
  <c r="R497" i="22"/>
  <c r="P497" i="22"/>
  <c r="S496" i="22"/>
  <c r="Q496" i="22"/>
  <c r="R496" i="22"/>
  <c r="P496" i="22"/>
  <c r="S493" i="22"/>
  <c r="Q493" i="22"/>
  <c r="R493" i="22"/>
  <c r="P493" i="22"/>
  <c r="S492" i="22"/>
  <c r="Q492" i="22"/>
  <c r="R492" i="22"/>
  <c r="P492" i="22"/>
  <c r="S491" i="22"/>
  <c r="Q491" i="22"/>
  <c r="R491" i="22"/>
  <c r="P491" i="22"/>
  <c r="S490" i="22"/>
  <c r="Q490" i="22"/>
  <c r="R490" i="22"/>
  <c r="P490" i="22"/>
  <c r="S489" i="22"/>
  <c r="Q489" i="22"/>
  <c r="R489" i="22"/>
  <c r="P489" i="22"/>
  <c r="S479" i="22"/>
  <c r="Q479" i="22"/>
  <c r="R479" i="22"/>
  <c r="P479" i="22"/>
  <c r="S478" i="22"/>
  <c r="Q478" i="22"/>
  <c r="R478" i="22"/>
  <c r="P478" i="22"/>
  <c r="P469" i="22"/>
  <c r="R469" i="22"/>
  <c r="Q469" i="22"/>
  <c r="S469" i="22"/>
  <c r="S468" i="22"/>
  <c r="Q468" i="22"/>
  <c r="R468" i="22"/>
  <c r="P468" i="22"/>
  <c r="S475" i="22"/>
  <c r="Q475" i="22"/>
  <c r="R475" i="22"/>
  <c r="P475" i="22"/>
  <c r="S474" i="22"/>
  <c r="Q474" i="22"/>
  <c r="R474" i="22"/>
  <c r="P474" i="22"/>
  <c r="S473" i="22"/>
  <c r="Q473" i="22"/>
  <c r="R473" i="22"/>
  <c r="P473" i="22"/>
  <c r="S472" i="22"/>
  <c r="Q472" i="22"/>
  <c r="R472" i="22"/>
  <c r="P472" i="22"/>
  <c r="P463" i="22"/>
  <c r="R463" i="22"/>
  <c r="Q463" i="22"/>
  <c r="S463" i="22"/>
  <c r="P464" i="22"/>
  <c r="R464" i="22"/>
  <c r="Q464" i="22"/>
  <c r="S464" i="22"/>
  <c r="P465" i="22"/>
  <c r="R465" i="22"/>
  <c r="Q465" i="22"/>
  <c r="S465" i="22"/>
  <c r="S462" i="22"/>
  <c r="Q462" i="22"/>
  <c r="R462" i="22"/>
  <c r="P462" i="22"/>
  <c r="S459" i="22"/>
  <c r="Q459" i="22"/>
  <c r="R459" i="22"/>
  <c r="P459" i="22"/>
  <c r="S458" i="22"/>
  <c r="Q458" i="22"/>
  <c r="R458" i="22"/>
  <c r="P458" i="22"/>
  <c r="S455" i="22"/>
  <c r="Q455" i="22"/>
  <c r="R455" i="22"/>
  <c r="P455" i="22"/>
  <c r="S452" i="22"/>
  <c r="Q452" i="22"/>
  <c r="R452" i="22"/>
  <c r="P452" i="22"/>
  <c r="S451" i="22"/>
  <c r="Q451" i="22"/>
  <c r="R451" i="22"/>
  <c r="P451" i="22"/>
  <c r="S450" i="22"/>
  <c r="Q450" i="22"/>
  <c r="R450" i="22"/>
  <c r="P450" i="22"/>
  <c r="S449" i="22"/>
  <c r="Q449" i="22"/>
  <c r="R449" i="22"/>
  <c r="P449" i="22"/>
  <c r="S446" i="22"/>
  <c r="Q446" i="22"/>
  <c r="R446" i="22"/>
  <c r="P446" i="22"/>
  <c r="S445" i="22"/>
  <c r="Q445" i="22"/>
  <c r="R445" i="22"/>
  <c r="P445" i="22"/>
  <c r="S444" i="22"/>
  <c r="Q444" i="22"/>
  <c r="R444" i="22"/>
  <c r="P444" i="22"/>
  <c r="S443" i="22"/>
  <c r="Q443" i="22"/>
  <c r="R443" i="22"/>
  <c r="P443" i="22"/>
  <c r="S442" i="22"/>
  <c r="Q442" i="22"/>
  <c r="R442" i="22"/>
  <c r="P442" i="22"/>
  <c r="P439" i="22"/>
  <c r="R439" i="22"/>
  <c r="Q439" i="22"/>
  <c r="S439" i="22"/>
  <c r="S438" i="22"/>
  <c r="Q438" i="22"/>
  <c r="R438" i="22"/>
  <c r="P438" i="22"/>
  <c r="S437" i="22"/>
  <c r="Q437" i="22"/>
  <c r="R437" i="22"/>
  <c r="P437" i="22"/>
  <c r="S436" i="22"/>
  <c r="Q436" i="22"/>
  <c r="R436" i="22"/>
  <c r="P436" i="22"/>
  <c r="S435" i="22"/>
  <c r="Q435" i="22"/>
  <c r="R435" i="22"/>
  <c r="P435" i="22"/>
  <c r="P432" i="22"/>
  <c r="R432" i="22"/>
  <c r="Q432" i="22"/>
  <c r="S432" i="22"/>
  <c r="P430" i="22"/>
  <c r="R430" i="22"/>
  <c r="Q430" i="22"/>
  <c r="S430" i="22"/>
  <c r="P431" i="22"/>
  <c r="R431" i="22"/>
  <c r="Q431" i="22"/>
  <c r="S431" i="22"/>
  <c r="S429" i="22"/>
  <c r="Q429" i="22"/>
  <c r="R429" i="22"/>
  <c r="P429" i="22"/>
  <c r="S426" i="22"/>
  <c r="Q426" i="22"/>
  <c r="R426" i="22"/>
  <c r="P426" i="22"/>
  <c r="S425" i="22"/>
  <c r="Q425" i="22"/>
  <c r="R425" i="22"/>
  <c r="P425" i="22"/>
  <c r="S424" i="22"/>
  <c r="Q424" i="22"/>
  <c r="R424" i="22"/>
  <c r="P424" i="22"/>
  <c r="S421" i="22"/>
  <c r="Q421" i="22"/>
  <c r="R421" i="22"/>
  <c r="P421" i="22"/>
  <c r="S418" i="22"/>
  <c r="Q418" i="22"/>
  <c r="R418" i="22"/>
  <c r="P418" i="22"/>
  <c r="P411" i="22"/>
  <c r="R411" i="22"/>
  <c r="Q411" i="22"/>
  <c r="S411" i="22"/>
  <c r="S410" i="22"/>
  <c r="Q410" i="22"/>
  <c r="R410" i="22"/>
  <c r="P410" i="22"/>
  <c r="S409" i="22"/>
  <c r="Q409" i="22"/>
  <c r="R409" i="22"/>
  <c r="P409" i="22"/>
  <c r="S408" i="22"/>
  <c r="Q408" i="22"/>
  <c r="R408" i="22"/>
  <c r="P408" i="22"/>
  <c r="S400" i="22"/>
  <c r="Q400" i="22"/>
  <c r="R400" i="22"/>
  <c r="P400" i="22"/>
  <c r="S399" i="22"/>
  <c r="Q399" i="22"/>
  <c r="R399" i="22"/>
  <c r="P399" i="22"/>
  <c r="S398" i="22"/>
  <c r="Q398" i="22"/>
  <c r="R398" i="22"/>
  <c r="P398" i="22"/>
  <c r="P391" i="22"/>
  <c r="R391" i="22"/>
  <c r="Q391" i="22"/>
  <c r="S391" i="22"/>
  <c r="P392" i="22"/>
  <c r="R392" i="22"/>
  <c r="Q392" i="22"/>
  <c r="S392" i="22"/>
  <c r="P393" i="22"/>
  <c r="R393" i="22"/>
  <c r="Q393" i="22"/>
  <c r="S393" i="22"/>
  <c r="P394" i="22"/>
  <c r="R394" i="22"/>
  <c r="Q394" i="22"/>
  <c r="S394" i="22"/>
  <c r="S390" i="22"/>
  <c r="Q390" i="22"/>
  <c r="R390" i="22"/>
  <c r="P390" i="22"/>
  <c r="S389" i="22"/>
  <c r="Q389" i="22"/>
  <c r="R389" i="22"/>
  <c r="P389" i="22"/>
  <c r="S388" i="22"/>
  <c r="Q388" i="22"/>
  <c r="R388" i="22"/>
  <c r="P388" i="22"/>
  <c r="S387" i="22"/>
  <c r="Q387" i="22"/>
  <c r="R387" i="22"/>
  <c r="P387" i="22"/>
  <c r="S386" i="22"/>
  <c r="Q386" i="22"/>
  <c r="R386" i="22"/>
  <c r="P386" i="22"/>
  <c r="S385" i="22"/>
  <c r="Q385" i="22"/>
  <c r="R385" i="22"/>
  <c r="P385" i="22"/>
  <c r="S384" i="22"/>
  <c r="Q384" i="22"/>
  <c r="R384" i="22"/>
  <c r="P384" i="22"/>
  <c r="S383" i="22"/>
  <c r="Q383" i="22"/>
  <c r="R383" i="22"/>
  <c r="P383" i="22"/>
  <c r="S382" i="22"/>
  <c r="Q382" i="22"/>
  <c r="R382" i="22"/>
  <c r="P382" i="22"/>
  <c r="S381" i="22"/>
  <c r="Q381" i="22"/>
  <c r="R381" i="22"/>
  <c r="P381" i="22"/>
  <c r="S380" i="22"/>
  <c r="Q380" i="22"/>
  <c r="R380" i="22"/>
  <c r="P380" i="22"/>
  <c r="S379" i="22"/>
  <c r="Q379" i="22"/>
  <c r="R379" i="22"/>
  <c r="P379" i="22"/>
  <c r="S378" i="22"/>
  <c r="Q378" i="22"/>
  <c r="R378" i="22"/>
  <c r="P378" i="22"/>
  <c r="S377" i="22"/>
  <c r="Q377" i="22"/>
  <c r="R377" i="22"/>
  <c r="P377" i="22"/>
  <c r="S376" i="22"/>
  <c r="Q376" i="22"/>
  <c r="R376" i="22"/>
  <c r="P376" i="22"/>
  <c r="S375" i="22"/>
  <c r="Q375" i="22"/>
  <c r="R375" i="22"/>
  <c r="P375" i="22"/>
  <c r="S374" i="22"/>
  <c r="Q374" i="22"/>
  <c r="R374" i="22"/>
  <c r="P374" i="22"/>
  <c r="P357" i="22"/>
  <c r="R357" i="22"/>
  <c r="Q357" i="22"/>
  <c r="S357" i="22"/>
  <c r="P358" i="22"/>
  <c r="R358" i="22"/>
  <c r="Q358" i="22"/>
  <c r="S358" i="22"/>
  <c r="P359" i="22"/>
  <c r="R359" i="22"/>
  <c r="Q359" i="22"/>
  <c r="S359" i="22"/>
  <c r="P360" i="22"/>
  <c r="R360" i="22"/>
  <c r="Q360" i="22"/>
  <c r="S360" i="22"/>
  <c r="P361" i="22"/>
  <c r="R361" i="22"/>
  <c r="Q361" i="22"/>
  <c r="S361" i="22"/>
  <c r="P362" i="22"/>
  <c r="R362" i="22"/>
  <c r="Q362" i="22"/>
  <c r="S362" i="22"/>
  <c r="P363" i="22"/>
  <c r="R363" i="22"/>
  <c r="Q363" i="22"/>
  <c r="S363" i="22"/>
  <c r="P364" i="22"/>
  <c r="R364" i="22"/>
  <c r="Q364" i="22"/>
  <c r="S364" i="22"/>
  <c r="P365" i="22"/>
  <c r="R365" i="22"/>
  <c r="Q365" i="22"/>
  <c r="S365" i="22"/>
  <c r="P366" i="22"/>
  <c r="R366" i="22"/>
  <c r="Q366" i="22"/>
  <c r="S366" i="22"/>
  <c r="P367" i="22"/>
  <c r="R367" i="22"/>
  <c r="Q367" i="22"/>
  <c r="S367" i="22"/>
  <c r="P368" i="22"/>
  <c r="R368" i="22"/>
  <c r="Q368" i="22"/>
  <c r="S368" i="22"/>
  <c r="P369" i="22"/>
  <c r="R369" i="22"/>
  <c r="Q369" i="22"/>
  <c r="S369" i="22"/>
  <c r="S356" i="22"/>
  <c r="Q356" i="22"/>
  <c r="R356" i="22"/>
  <c r="P356" i="22"/>
  <c r="S355" i="22"/>
  <c r="Q355" i="22"/>
  <c r="R355" i="22"/>
  <c r="P355" i="22"/>
  <c r="S354" i="22"/>
  <c r="Q354" i="22"/>
  <c r="R354" i="22"/>
  <c r="P354" i="22"/>
  <c r="S353" i="22"/>
  <c r="Q353" i="22"/>
  <c r="R353" i="22"/>
  <c r="P353" i="22"/>
  <c r="P324" i="22"/>
  <c r="R324" i="22"/>
  <c r="Q324" i="22"/>
  <c r="S324" i="22"/>
  <c r="P325" i="22"/>
  <c r="R325" i="22"/>
  <c r="Q325" i="22"/>
  <c r="S325" i="22"/>
  <c r="P326" i="22"/>
  <c r="R326" i="22"/>
  <c r="Q326" i="22"/>
  <c r="S326" i="22"/>
  <c r="P327" i="22"/>
  <c r="R327" i="22"/>
  <c r="Q327" i="22"/>
  <c r="S327" i="22"/>
  <c r="P328" i="22"/>
  <c r="R328" i="22"/>
  <c r="Q328" i="22"/>
  <c r="S328" i="22"/>
  <c r="P329" i="22"/>
  <c r="R329" i="22"/>
  <c r="Q329" i="22"/>
  <c r="S329" i="22"/>
  <c r="P330" i="22"/>
  <c r="R330" i="22"/>
  <c r="Q330" i="22"/>
  <c r="S330" i="22"/>
  <c r="P331" i="22"/>
  <c r="R331" i="22"/>
  <c r="Q331" i="22"/>
  <c r="S331" i="22"/>
  <c r="P332" i="22"/>
  <c r="R332" i="22"/>
  <c r="Q332" i="22"/>
  <c r="S332" i="22"/>
  <c r="P333" i="22"/>
  <c r="R333" i="22"/>
  <c r="Q333" i="22"/>
  <c r="S333" i="22"/>
  <c r="P334" i="22"/>
  <c r="R334" i="22"/>
  <c r="Q334" i="22"/>
  <c r="S334" i="22"/>
  <c r="P335" i="22"/>
  <c r="R335" i="22"/>
  <c r="Q335" i="22"/>
  <c r="S335" i="22"/>
  <c r="P336" i="22"/>
  <c r="R336" i="22"/>
  <c r="Q336" i="22"/>
  <c r="S336" i="22"/>
  <c r="P337" i="22"/>
  <c r="R337" i="22"/>
  <c r="Q337" i="22"/>
  <c r="S337" i="22"/>
  <c r="P338" i="22"/>
  <c r="R338" i="22"/>
  <c r="Q338" i="22"/>
  <c r="S338" i="22"/>
  <c r="P339" i="22"/>
  <c r="R339" i="22"/>
  <c r="Q339" i="22"/>
  <c r="S339" i="22"/>
  <c r="P340" i="22"/>
  <c r="R340" i="22"/>
  <c r="Q340" i="22"/>
  <c r="S340" i="22"/>
  <c r="P341" i="22"/>
  <c r="R341" i="22"/>
  <c r="Q341" i="22"/>
  <c r="S341" i="22"/>
  <c r="P342" i="22"/>
  <c r="R342" i="22"/>
  <c r="Q342" i="22"/>
  <c r="S342" i="22"/>
  <c r="P343" i="22"/>
  <c r="R343" i="22"/>
  <c r="Q343" i="22"/>
  <c r="S343" i="22"/>
  <c r="P344" i="22"/>
  <c r="R344" i="22"/>
  <c r="Q344" i="22"/>
  <c r="S344" i="22"/>
  <c r="P345" i="22"/>
  <c r="R345" i="22"/>
  <c r="Q345" i="22"/>
  <c r="S345" i="22"/>
  <c r="P346" i="22"/>
  <c r="R346" i="22"/>
  <c r="Q346" i="22"/>
  <c r="S346" i="22"/>
  <c r="P347" i="22"/>
  <c r="R347" i="22"/>
  <c r="Q347" i="22"/>
  <c r="S347" i="22"/>
  <c r="P348" i="22"/>
  <c r="R348" i="22"/>
  <c r="Q348" i="22"/>
  <c r="S348" i="22"/>
  <c r="S323" i="22"/>
  <c r="Q323" i="22"/>
  <c r="R323" i="22"/>
  <c r="P323" i="22"/>
  <c r="P259" i="22"/>
  <c r="R259" i="22"/>
  <c r="Q259" i="22"/>
  <c r="S259" i="22"/>
  <c r="P260" i="22"/>
  <c r="R260" i="22"/>
  <c r="Q260" i="22"/>
  <c r="S260" i="22"/>
  <c r="P261" i="22"/>
  <c r="R261" i="22"/>
  <c r="Q261" i="22"/>
  <c r="S261" i="22"/>
  <c r="P262" i="22"/>
  <c r="R262" i="22"/>
  <c r="Q262" i="22"/>
  <c r="S262" i="22"/>
  <c r="P263" i="22"/>
  <c r="R263" i="22"/>
  <c r="Q263" i="22"/>
  <c r="S263" i="22"/>
  <c r="P264" i="22"/>
  <c r="R264" i="22"/>
  <c r="Q264" i="22"/>
  <c r="S264" i="22"/>
  <c r="P265" i="22"/>
  <c r="R265" i="22"/>
  <c r="Q265" i="22"/>
  <c r="S265" i="22"/>
  <c r="P266" i="22"/>
  <c r="R266" i="22"/>
  <c r="Q266" i="22"/>
  <c r="S266" i="22"/>
  <c r="P267" i="22"/>
  <c r="R267" i="22"/>
  <c r="Q267" i="22"/>
  <c r="S267" i="22"/>
  <c r="P268" i="22"/>
  <c r="R268" i="22"/>
  <c r="Q268" i="22"/>
  <c r="S268" i="22"/>
  <c r="P269" i="22"/>
  <c r="R269" i="22"/>
  <c r="Q269" i="22"/>
  <c r="S269" i="22"/>
  <c r="P270" i="22"/>
  <c r="R270" i="22"/>
  <c r="Q270" i="22"/>
  <c r="S270" i="22"/>
  <c r="P271" i="22"/>
  <c r="R271" i="22"/>
  <c r="Q271" i="22"/>
  <c r="S271" i="22"/>
  <c r="P272" i="22"/>
  <c r="R272" i="22"/>
  <c r="Q272" i="22"/>
  <c r="S272" i="22"/>
  <c r="P273" i="22"/>
  <c r="R273" i="22"/>
  <c r="Q273" i="22"/>
  <c r="S273" i="22"/>
  <c r="P274" i="22"/>
  <c r="R274" i="22"/>
  <c r="Q274" i="22"/>
  <c r="S274" i="22"/>
  <c r="P275" i="22"/>
  <c r="R275" i="22"/>
  <c r="Q275" i="22"/>
  <c r="S275" i="22"/>
  <c r="P276" i="22"/>
  <c r="R276" i="22"/>
  <c r="Q276" i="22"/>
  <c r="S276" i="22"/>
  <c r="P277" i="22"/>
  <c r="R277" i="22"/>
  <c r="Q277" i="22"/>
  <c r="S277" i="22"/>
  <c r="P278" i="22"/>
  <c r="R278" i="22"/>
  <c r="Q278" i="22"/>
  <c r="S278" i="22"/>
  <c r="P279" i="22"/>
  <c r="R279" i="22"/>
  <c r="Q279" i="22"/>
  <c r="S279" i="22"/>
  <c r="P280" i="22"/>
  <c r="R280" i="22"/>
  <c r="Q280" i="22"/>
  <c r="S280" i="22"/>
  <c r="P281" i="22"/>
  <c r="R281" i="22"/>
  <c r="Q281" i="22"/>
  <c r="S281" i="22"/>
  <c r="P282" i="22"/>
  <c r="R282" i="22"/>
  <c r="Q282" i="22"/>
  <c r="S282" i="22"/>
  <c r="P283" i="22"/>
  <c r="R283" i="22"/>
  <c r="Q283" i="22"/>
  <c r="S283" i="22"/>
  <c r="P284" i="22"/>
  <c r="R284" i="22"/>
  <c r="Q284" i="22"/>
  <c r="S284" i="22"/>
  <c r="P285" i="22"/>
  <c r="R285" i="22"/>
  <c r="Q285" i="22"/>
  <c r="S285" i="22"/>
  <c r="P286" i="22"/>
  <c r="R286" i="22"/>
  <c r="Q286" i="22"/>
  <c r="S286" i="22"/>
  <c r="P287" i="22"/>
  <c r="R287" i="22"/>
  <c r="Q287" i="22"/>
  <c r="S287" i="22"/>
  <c r="P288" i="22"/>
  <c r="R288" i="22"/>
  <c r="Q288" i="22"/>
  <c r="S288" i="22"/>
  <c r="P289" i="22"/>
  <c r="R289" i="22"/>
  <c r="Q289" i="22"/>
  <c r="S289" i="22"/>
  <c r="P290" i="22"/>
  <c r="R290" i="22"/>
  <c r="Q290" i="22"/>
  <c r="S290" i="22"/>
  <c r="P291" i="22"/>
  <c r="R291" i="22"/>
  <c r="Q291" i="22"/>
  <c r="S291" i="22"/>
  <c r="P292" i="22"/>
  <c r="R292" i="22"/>
  <c r="Q292" i="22"/>
  <c r="S292" i="22"/>
  <c r="P293" i="22"/>
  <c r="R293" i="22"/>
  <c r="Q293" i="22"/>
  <c r="S293" i="22"/>
  <c r="P294" i="22"/>
  <c r="R294" i="22"/>
  <c r="Q294" i="22"/>
  <c r="S294" i="22"/>
  <c r="P295" i="22"/>
  <c r="R295" i="22"/>
  <c r="Q295" i="22"/>
  <c r="S295" i="22"/>
  <c r="P296" i="22"/>
  <c r="R296" i="22"/>
  <c r="Q296" i="22"/>
  <c r="S296" i="22"/>
  <c r="P297" i="22"/>
  <c r="R297" i="22"/>
  <c r="Q297" i="22"/>
  <c r="S297" i="22"/>
  <c r="P298" i="22"/>
  <c r="R298" i="22"/>
  <c r="Q298" i="22"/>
  <c r="S298" i="22"/>
  <c r="P299" i="22"/>
  <c r="R299" i="22"/>
  <c r="Q299" i="22"/>
  <c r="S299" i="22"/>
  <c r="P300" i="22"/>
  <c r="R300" i="22"/>
  <c r="Q300" i="22"/>
  <c r="S300" i="22"/>
  <c r="P301" i="22"/>
  <c r="R301" i="22"/>
  <c r="Q301" i="22"/>
  <c r="S301" i="22"/>
  <c r="P302" i="22"/>
  <c r="R302" i="22"/>
  <c r="Q302" i="22"/>
  <c r="S302" i="22"/>
  <c r="P303" i="22"/>
  <c r="R303" i="22"/>
  <c r="Q303" i="22"/>
  <c r="S303" i="22"/>
  <c r="P304" i="22"/>
  <c r="R304" i="22"/>
  <c r="Q304" i="22"/>
  <c r="S304" i="22"/>
  <c r="P305" i="22"/>
  <c r="R305" i="22"/>
  <c r="Q305" i="22"/>
  <c r="S305" i="22"/>
  <c r="P306" i="22"/>
  <c r="R306" i="22"/>
  <c r="Q306" i="22"/>
  <c r="S306" i="22"/>
  <c r="P307" i="22"/>
  <c r="R307" i="22"/>
  <c r="Q307" i="22"/>
  <c r="S307" i="22"/>
  <c r="P308" i="22"/>
  <c r="R308" i="22"/>
  <c r="Q308" i="22"/>
  <c r="S308" i="22"/>
  <c r="P309" i="22"/>
  <c r="R309" i="22"/>
  <c r="Q309" i="22"/>
  <c r="S309" i="22"/>
  <c r="P310" i="22"/>
  <c r="R310" i="22"/>
  <c r="Q310" i="22"/>
  <c r="S310" i="22"/>
  <c r="P311" i="22"/>
  <c r="R311" i="22"/>
  <c r="Q311" i="22"/>
  <c r="S311" i="22"/>
  <c r="P312" i="22"/>
  <c r="R312" i="22"/>
  <c r="Q312" i="22"/>
  <c r="S312" i="22"/>
  <c r="P313" i="22"/>
  <c r="R313" i="22"/>
  <c r="Q313" i="22"/>
  <c r="S313" i="22"/>
  <c r="P314" i="22"/>
  <c r="R314" i="22"/>
  <c r="Q314" i="22"/>
  <c r="S314" i="22"/>
  <c r="P315" i="22"/>
  <c r="R315" i="22"/>
  <c r="Q315" i="22"/>
  <c r="S315" i="22"/>
  <c r="P316" i="22"/>
  <c r="R316" i="22"/>
  <c r="Q316" i="22"/>
  <c r="S316" i="22"/>
  <c r="P317" i="22"/>
  <c r="R317" i="22"/>
  <c r="Q317" i="22"/>
  <c r="S317" i="22"/>
  <c r="P318" i="22"/>
  <c r="R318" i="22"/>
  <c r="Q318" i="22"/>
  <c r="S318" i="22"/>
  <c r="S258" i="22"/>
  <c r="Q258" i="22"/>
  <c r="R258" i="22"/>
  <c r="P258" i="22"/>
  <c r="P200" i="22"/>
  <c r="R200" i="22"/>
  <c r="Q200" i="22"/>
  <c r="S200" i="22"/>
  <c r="P201" i="22"/>
  <c r="R201" i="22"/>
  <c r="Q201" i="22"/>
  <c r="S201" i="22"/>
  <c r="P202" i="22"/>
  <c r="R202" i="22"/>
  <c r="Q202" i="22"/>
  <c r="S202" i="22"/>
  <c r="P203" i="22"/>
  <c r="R203" i="22"/>
  <c r="Q203" i="22"/>
  <c r="S203" i="22"/>
  <c r="P204" i="22"/>
  <c r="R204" i="22"/>
  <c r="Q204" i="22"/>
  <c r="S204" i="22"/>
  <c r="P205" i="22"/>
  <c r="R205" i="22"/>
  <c r="Q205" i="22"/>
  <c r="S205" i="22"/>
  <c r="P206" i="22"/>
  <c r="R206" i="22"/>
  <c r="Q206" i="22"/>
  <c r="S206" i="22"/>
  <c r="P207" i="22"/>
  <c r="R207" i="22"/>
  <c r="Q207" i="22"/>
  <c r="S207" i="22"/>
  <c r="P208" i="22"/>
  <c r="R208" i="22"/>
  <c r="Q208" i="22"/>
  <c r="S208" i="22"/>
  <c r="P209" i="22"/>
  <c r="R209" i="22"/>
  <c r="Q209" i="22"/>
  <c r="S209" i="22"/>
  <c r="P210" i="22"/>
  <c r="R210" i="22"/>
  <c r="Q210" i="22"/>
  <c r="S210" i="22"/>
  <c r="P211" i="22"/>
  <c r="R211" i="22"/>
  <c r="Q211" i="22"/>
  <c r="S211" i="22"/>
  <c r="P212" i="22"/>
  <c r="R212" i="22"/>
  <c r="Q212" i="22"/>
  <c r="S212" i="22"/>
  <c r="P213" i="22"/>
  <c r="R213" i="22"/>
  <c r="Q213" i="22"/>
  <c r="S213" i="22"/>
  <c r="P214" i="22"/>
  <c r="R214" i="22"/>
  <c r="Q214" i="22"/>
  <c r="S214" i="22"/>
  <c r="P215" i="22"/>
  <c r="R215" i="22"/>
  <c r="Q215" i="22"/>
  <c r="S215" i="22"/>
  <c r="P216" i="22"/>
  <c r="R216" i="22"/>
  <c r="Q216" i="22"/>
  <c r="S216" i="22"/>
  <c r="P217" i="22"/>
  <c r="R217" i="22"/>
  <c r="Q217" i="22"/>
  <c r="S217" i="22"/>
  <c r="P218" i="22"/>
  <c r="R218" i="22"/>
  <c r="Q218" i="22"/>
  <c r="S218" i="22"/>
  <c r="P219" i="22"/>
  <c r="R219" i="22"/>
  <c r="Q219" i="22"/>
  <c r="S219" i="22"/>
  <c r="P220" i="22"/>
  <c r="R220" i="22"/>
  <c r="Q220" i="22"/>
  <c r="S220" i="22"/>
  <c r="P221" i="22"/>
  <c r="R221" i="22"/>
  <c r="Q221" i="22"/>
  <c r="S221" i="22"/>
  <c r="P222" i="22"/>
  <c r="R222" i="22"/>
  <c r="Q222" i="22"/>
  <c r="S222" i="22"/>
  <c r="P223" i="22"/>
  <c r="R223" i="22"/>
  <c r="Q223" i="22"/>
  <c r="S223" i="22"/>
  <c r="P224" i="22"/>
  <c r="R224" i="22"/>
  <c r="Q224" i="22"/>
  <c r="S224" i="22"/>
  <c r="P225" i="22"/>
  <c r="R225" i="22"/>
  <c r="Q225" i="22"/>
  <c r="S225" i="22"/>
  <c r="P226" i="22"/>
  <c r="R226" i="22"/>
  <c r="Q226" i="22"/>
  <c r="S226" i="22"/>
  <c r="P227" i="22"/>
  <c r="R227" i="22"/>
  <c r="Q227" i="22"/>
  <c r="S227" i="22"/>
  <c r="P228" i="22"/>
  <c r="R228" i="22"/>
  <c r="Q228" i="22"/>
  <c r="S228" i="22"/>
  <c r="P229" i="22"/>
  <c r="R229" i="22"/>
  <c r="Q229" i="22"/>
  <c r="S229" i="22"/>
  <c r="P230" i="22"/>
  <c r="R230" i="22"/>
  <c r="Q230" i="22"/>
  <c r="S230" i="22"/>
  <c r="P231" i="22"/>
  <c r="R231" i="22"/>
  <c r="Q231" i="22"/>
  <c r="S231" i="22"/>
  <c r="P232" i="22"/>
  <c r="R232" i="22"/>
  <c r="Q232" i="22"/>
  <c r="S232" i="22"/>
  <c r="P233" i="22"/>
  <c r="R233" i="22"/>
  <c r="Q233" i="22"/>
  <c r="S233" i="22"/>
  <c r="P234" i="22"/>
  <c r="R234" i="22"/>
  <c r="Q234" i="22"/>
  <c r="S234" i="22"/>
  <c r="P235" i="22"/>
  <c r="R235" i="22"/>
  <c r="Q235" i="22"/>
  <c r="S235" i="22"/>
  <c r="P236" i="22"/>
  <c r="R236" i="22"/>
  <c r="Q236" i="22"/>
  <c r="S236" i="22"/>
  <c r="P237" i="22"/>
  <c r="R237" i="22"/>
  <c r="Q237" i="22"/>
  <c r="S237" i="22"/>
  <c r="P238" i="22"/>
  <c r="R238" i="22"/>
  <c r="Q238" i="22"/>
  <c r="S238" i="22"/>
  <c r="P239" i="22"/>
  <c r="R239" i="22"/>
  <c r="Q239" i="22"/>
  <c r="S239" i="22"/>
  <c r="P240" i="22"/>
  <c r="R240" i="22"/>
  <c r="Q240" i="22"/>
  <c r="S240" i="22"/>
  <c r="P241" i="22"/>
  <c r="R241" i="22"/>
  <c r="Q241" i="22"/>
  <c r="S241" i="22"/>
  <c r="P242" i="22"/>
  <c r="R242" i="22"/>
  <c r="Q242" i="22"/>
  <c r="S242" i="22"/>
  <c r="P243" i="22"/>
  <c r="R243" i="22"/>
  <c r="Q243" i="22"/>
  <c r="S243" i="22"/>
  <c r="P244" i="22"/>
  <c r="R244" i="22"/>
  <c r="Q244" i="22"/>
  <c r="S244" i="22"/>
  <c r="P245" i="22"/>
  <c r="R245" i="22"/>
  <c r="Q245" i="22"/>
  <c r="S245" i="22"/>
  <c r="P246" i="22"/>
  <c r="R246" i="22"/>
  <c r="Q246" i="22"/>
  <c r="S246" i="22"/>
  <c r="P247" i="22"/>
  <c r="R247" i="22"/>
  <c r="Q247" i="22"/>
  <c r="S247" i="22"/>
  <c r="P248" i="22"/>
  <c r="R248" i="22"/>
  <c r="Q248" i="22"/>
  <c r="S248" i="22"/>
  <c r="P249" i="22"/>
  <c r="R249" i="22"/>
  <c r="Q249" i="22"/>
  <c r="S249" i="22"/>
  <c r="P250" i="22"/>
  <c r="R250" i="22"/>
  <c r="Q250" i="22"/>
  <c r="S250" i="22"/>
  <c r="P251" i="22"/>
  <c r="R251" i="22"/>
  <c r="Q251" i="22"/>
  <c r="S251" i="22"/>
  <c r="P252" i="22"/>
  <c r="R252" i="22"/>
  <c r="Q252" i="22"/>
  <c r="S252" i="22"/>
  <c r="P253" i="22"/>
  <c r="R253" i="22"/>
  <c r="Q253" i="22"/>
  <c r="S253" i="22"/>
  <c r="S189" i="22"/>
  <c r="Q189" i="22"/>
  <c r="R189" i="22"/>
  <c r="P189" i="22"/>
  <c r="S188" i="22"/>
  <c r="Q188" i="22"/>
  <c r="R188" i="22"/>
  <c r="P188" i="22"/>
  <c r="S187" i="22"/>
  <c r="Q187" i="22"/>
  <c r="R187" i="22"/>
  <c r="P187" i="22"/>
  <c r="S199" i="22"/>
  <c r="Q199" i="22"/>
  <c r="R199" i="22"/>
  <c r="P199" i="22"/>
  <c r="S198" i="22"/>
  <c r="Q198" i="22"/>
  <c r="R198" i="22"/>
  <c r="P198" i="22"/>
  <c r="S197" i="22"/>
  <c r="Q197" i="22"/>
  <c r="R197" i="22"/>
  <c r="P197" i="22"/>
  <c r="S196" i="22"/>
  <c r="Q196" i="22"/>
  <c r="R196" i="22"/>
  <c r="P196" i="22"/>
  <c r="S195" i="22"/>
  <c r="Q195" i="22"/>
  <c r="R195" i="22"/>
  <c r="P195" i="22"/>
  <c r="S194" i="22"/>
  <c r="Q194" i="22"/>
  <c r="R194" i="22"/>
  <c r="P194" i="22"/>
  <c r="P178" i="22"/>
  <c r="R178" i="22"/>
  <c r="Q178" i="22"/>
  <c r="S178" i="22"/>
  <c r="P179" i="22"/>
  <c r="R179" i="22"/>
  <c r="Q179" i="22"/>
  <c r="S179" i="22"/>
  <c r="P180" i="22"/>
  <c r="R180" i="22"/>
  <c r="Q180" i="22"/>
  <c r="S180" i="22"/>
  <c r="P181" i="22"/>
  <c r="R181" i="22"/>
  <c r="Q181" i="22"/>
  <c r="S181" i="22"/>
  <c r="P182" i="22"/>
  <c r="R182" i="22"/>
  <c r="Q182" i="22"/>
  <c r="S182" i="22"/>
  <c r="S177" i="22"/>
  <c r="Q177" i="22"/>
  <c r="R177" i="22"/>
  <c r="P177" i="22"/>
  <c r="S163" i="22"/>
  <c r="Q163" i="22"/>
  <c r="R163" i="22"/>
  <c r="P163" i="22"/>
  <c r="P173" i="22"/>
  <c r="R173" i="22"/>
  <c r="Q173" i="22"/>
  <c r="S173" i="22"/>
  <c r="S172" i="22"/>
  <c r="Q172" i="22"/>
  <c r="R172" i="22"/>
  <c r="P172" i="22"/>
  <c r="S171" i="22"/>
  <c r="Q171" i="22"/>
  <c r="R171" i="22"/>
  <c r="P171" i="22"/>
  <c r="S170" i="22"/>
  <c r="Q170" i="22"/>
  <c r="R170" i="22"/>
  <c r="P170" i="22"/>
  <c r="S169" i="22"/>
  <c r="Q169" i="22"/>
  <c r="R169" i="22"/>
  <c r="P169" i="22"/>
  <c r="S168" i="22"/>
  <c r="Q168" i="22"/>
  <c r="R168" i="22"/>
  <c r="P168" i="22"/>
  <c r="S167" i="22"/>
  <c r="Q167" i="22"/>
  <c r="R167" i="22"/>
  <c r="P167" i="22"/>
  <c r="P155" i="22"/>
  <c r="R155" i="22"/>
  <c r="Q155" i="22"/>
  <c r="S155" i="22"/>
  <c r="P156" i="22"/>
  <c r="R156" i="22"/>
  <c r="Q156" i="22"/>
  <c r="S156" i="22"/>
  <c r="P157" i="22"/>
  <c r="R157" i="22"/>
  <c r="Q157" i="22"/>
  <c r="S157" i="22"/>
  <c r="P158" i="22"/>
  <c r="R158" i="22"/>
  <c r="Q158" i="22"/>
  <c r="S158" i="22"/>
  <c r="P159" i="22"/>
  <c r="R159" i="22"/>
  <c r="Q159" i="22"/>
  <c r="S159" i="22"/>
  <c r="S154" i="22"/>
  <c r="Q154" i="22"/>
  <c r="R154" i="22"/>
  <c r="P154" i="22"/>
  <c r="S150" i="22"/>
  <c r="Q150" i="22"/>
  <c r="R150" i="22"/>
  <c r="P150" i="22"/>
  <c r="S146" i="22"/>
  <c r="Q146" i="22"/>
  <c r="R146" i="22"/>
  <c r="P146" i="22"/>
  <c r="P135" i="22"/>
  <c r="R135" i="22"/>
  <c r="Q135" i="22"/>
  <c r="S135" i="22"/>
  <c r="P136" i="22"/>
  <c r="R136" i="22"/>
  <c r="Q136" i="22"/>
  <c r="S136" i="22"/>
  <c r="P137" i="22"/>
  <c r="R137" i="22"/>
  <c r="Q137" i="22"/>
  <c r="S137" i="22"/>
  <c r="P138" i="22"/>
  <c r="R138" i="22"/>
  <c r="Q138" i="22"/>
  <c r="S138" i="22"/>
  <c r="P139" i="22"/>
  <c r="R139" i="22"/>
  <c r="Q139" i="22"/>
  <c r="S139" i="22"/>
  <c r="P140" i="22"/>
  <c r="R140" i="22"/>
  <c r="Q140" i="22"/>
  <c r="S140" i="22"/>
  <c r="P141" i="22"/>
  <c r="R141" i="22"/>
  <c r="Q141" i="22"/>
  <c r="S141" i="22"/>
  <c r="P142" i="22"/>
  <c r="R142" i="22"/>
  <c r="Q142" i="22"/>
  <c r="S142" i="22"/>
  <c r="S134" i="22"/>
  <c r="Q134" i="22"/>
  <c r="R134" i="22"/>
  <c r="P134" i="22"/>
  <c r="S133" i="22"/>
  <c r="Q133" i="22"/>
  <c r="R133" i="22"/>
  <c r="P133" i="22"/>
  <c r="S132" i="22"/>
  <c r="Q132" i="22"/>
  <c r="R132" i="22"/>
  <c r="P132" i="22"/>
  <c r="S131" i="22"/>
  <c r="Q131" i="22"/>
  <c r="R131" i="22"/>
  <c r="P131" i="22"/>
  <c r="S103" i="22"/>
  <c r="Q103" i="22"/>
  <c r="R103" i="22"/>
  <c r="P103" i="22"/>
  <c r="S109" i="22"/>
  <c r="Q109" i="22"/>
  <c r="R109" i="22"/>
  <c r="P109" i="22"/>
  <c r="S108" i="22"/>
  <c r="Q108" i="22"/>
  <c r="R108" i="22"/>
  <c r="P108" i="22"/>
  <c r="S107" i="22"/>
  <c r="Q107" i="22"/>
  <c r="R107" i="22"/>
  <c r="P107" i="22"/>
  <c r="S114" i="22"/>
  <c r="Q114" i="22"/>
  <c r="R114" i="22"/>
  <c r="P114" i="22"/>
  <c r="S113" i="22"/>
  <c r="Q113" i="22"/>
  <c r="R113" i="22"/>
  <c r="P113" i="22"/>
  <c r="S121" i="22"/>
  <c r="Q121" i="22"/>
  <c r="R121" i="22"/>
  <c r="P121" i="22"/>
  <c r="S120" i="22"/>
  <c r="Q120" i="22"/>
  <c r="R120" i="22"/>
  <c r="P120" i="22"/>
  <c r="S119" i="22"/>
  <c r="Q119" i="22"/>
  <c r="R119" i="22"/>
  <c r="P119" i="22"/>
  <c r="S118" i="22"/>
  <c r="Q118" i="22"/>
  <c r="R118" i="22"/>
  <c r="P118" i="22"/>
  <c r="P93" i="22"/>
  <c r="R93" i="22"/>
  <c r="Q93" i="22"/>
  <c r="S93" i="22"/>
  <c r="P94" i="22"/>
  <c r="R94" i="22"/>
  <c r="Q94" i="22"/>
  <c r="S94" i="22"/>
  <c r="P95" i="22"/>
  <c r="R95" i="22"/>
  <c r="Q95" i="22"/>
  <c r="S95" i="22"/>
  <c r="P96" i="22"/>
  <c r="R96" i="22"/>
  <c r="Q96" i="22"/>
  <c r="S96" i="22"/>
  <c r="P97" i="22"/>
  <c r="R97" i="22"/>
  <c r="Q97" i="22"/>
  <c r="S97" i="22"/>
  <c r="P98" i="22"/>
  <c r="R98" i="22"/>
  <c r="Q98" i="22"/>
  <c r="S98" i="22"/>
  <c r="P99" i="22"/>
  <c r="R99" i="22"/>
  <c r="Q99" i="22"/>
  <c r="S99" i="22"/>
  <c r="S92" i="22"/>
  <c r="Q92" i="22"/>
  <c r="R92" i="22"/>
  <c r="P92" i="22"/>
  <c r="S87" i="22"/>
  <c r="Q87" i="22"/>
  <c r="R87" i="22"/>
  <c r="P87" i="22"/>
  <c r="S86" i="22"/>
  <c r="Q86" i="22"/>
  <c r="R86" i="22"/>
  <c r="P86" i="22"/>
  <c r="S82" i="22"/>
  <c r="Q82" i="22"/>
  <c r="R82" i="22"/>
  <c r="P82" i="22"/>
  <c r="S78" i="22"/>
  <c r="Q78" i="22"/>
  <c r="R78" i="22"/>
  <c r="P78" i="22"/>
  <c r="S77" i="22"/>
  <c r="Q77" i="22"/>
  <c r="R77" i="22"/>
  <c r="P77" i="22"/>
  <c r="S76" i="22"/>
  <c r="Q76" i="22"/>
  <c r="R76" i="22"/>
  <c r="P76" i="22"/>
  <c r="P26" i="22"/>
  <c r="R26" i="22"/>
  <c r="Q26" i="22"/>
  <c r="S26" i="22"/>
  <c r="P27" i="22"/>
  <c r="R27" i="22"/>
  <c r="Q27" i="22"/>
  <c r="S27" i="22"/>
  <c r="P28" i="22"/>
  <c r="R28" i="22"/>
  <c r="Q28" i="22"/>
  <c r="S28" i="22"/>
  <c r="P29" i="22"/>
  <c r="R29" i="22"/>
  <c r="Q29" i="22"/>
  <c r="S29" i="22"/>
  <c r="S72" i="22"/>
  <c r="Q72" i="22"/>
  <c r="R72" i="22"/>
  <c r="P72" i="22"/>
  <c r="S71" i="22"/>
  <c r="Q71" i="22"/>
  <c r="R71" i="22"/>
  <c r="P71" i="22"/>
  <c r="S67" i="22"/>
  <c r="Q67" i="22"/>
  <c r="R67" i="22"/>
  <c r="P67" i="22"/>
  <c r="S63" i="22"/>
  <c r="Q63" i="22"/>
  <c r="R63" i="22"/>
  <c r="P63" i="22"/>
  <c r="S59" i="22"/>
  <c r="Q59" i="22"/>
  <c r="R59" i="22"/>
  <c r="P59" i="22"/>
  <c r="S58" i="22"/>
  <c r="Q58" i="22"/>
  <c r="R58" i="22"/>
  <c r="P58" i="22"/>
  <c r="S57" i="22"/>
  <c r="Q57" i="22"/>
  <c r="R57" i="22"/>
  <c r="P57" i="22"/>
  <c r="S56" i="22"/>
  <c r="Q56" i="22"/>
  <c r="R56" i="22"/>
  <c r="P56" i="22"/>
  <c r="S52" i="22"/>
  <c r="Q52" i="22"/>
  <c r="R52" i="22"/>
  <c r="P52" i="22"/>
  <c r="S43" i="22"/>
  <c r="Q43" i="22"/>
  <c r="R43" i="22"/>
  <c r="P43" i="22"/>
  <c r="S39" i="22"/>
  <c r="Q39" i="22"/>
  <c r="R39" i="22"/>
  <c r="P39" i="22"/>
  <c r="S35" i="22"/>
  <c r="Q35" i="22"/>
  <c r="R35" i="22"/>
  <c r="P35" i="22"/>
  <c r="S34" i="22"/>
  <c r="Q34" i="22"/>
  <c r="R34" i="22"/>
  <c r="P34" i="22"/>
  <c r="S33" i="22"/>
  <c r="Q33" i="22"/>
  <c r="R33" i="22"/>
  <c r="P33" i="22"/>
  <c r="S22" i="22"/>
  <c r="Q22" i="22"/>
  <c r="R22" i="22"/>
  <c r="P22" i="22"/>
  <c r="S21" i="22"/>
  <c r="Q21" i="22"/>
  <c r="R21" i="22"/>
  <c r="P21" i="22"/>
  <c r="S20" i="22"/>
  <c r="Q20" i="22"/>
  <c r="R20" i="22"/>
  <c r="P20" i="22"/>
  <c r="S19" i="22"/>
  <c r="Q19" i="22"/>
  <c r="R19" i="22"/>
  <c r="P19" i="22"/>
  <c r="P11" i="22"/>
  <c r="R11" i="22"/>
  <c r="Q11" i="22"/>
  <c r="S11" i="22"/>
  <c r="P12" i="22"/>
  <c r="R12" i="22"/>
  <c r="Q12" i="22"/>
  <c r="S12" i="22"/>
  <c r="P13" i="22"/>
  <c r="R13" i="22"/>
  <c r="Q13" i="22"/>
  <c r="S13" i="22"/>
  <c r="P14" i="22"/>
  <c r="R14" i="22"/>
  <c r="Q14" i="22"/>
  <c r="S14" i="22"/>
  <c r="P15" i="22"/>
  <c r="R15" i="22"/>
  <c r="Q15" i="22"/>
  <c r="S15" i="22"/>
  <c r="S10" i="22"/>
  <c r="Q10" i="22"/>
  <c r="R10" i="22"/>
  <c r="P10" i="22"/>
  <c r="P72" i="28"/>
  <c r="R72" i="28"/>
  <c r="Q72" i="28"/>
  <c r="S72" i="28"/>
  <c r="P73" i="28"/>
  <c r="R73" i="28"/>
  <c r="Q73" i="28"/>
  <c r="S73" i="28"/>
  <c r="P74" i="28"/>
  <c r="R74" i="28"/>
  <c r="Q74" i="28"/>
  <c r="S74" i="28"/>
  <c r="P75" i="28"/>
  <c r="R75" i="28"/>
  <c r="Q75" i="28"/>
  <c r="S75" i="28"/>
  <c r="P76" i="28"/>
  <c r="R76" i="28"/>
  <c r="Q76" i="28"/>
  <c r="S76" i="28"/>
  <c r="P77" i="28"/>
  <c r="R77" i="28"/>
  <c r="Q77" i="28"/>
  <c r="S77" i="28"/>
  <c r="P78" i="28"/>
  <c r="R78" i="28"/>
  <c r="Q78" i="28"/>
  <c r="S78" i="28"/>
  <c r="P79" i="28"/>
  <c r="R79" i="28"/>
  <c r="Q79" i="28"/>
  <c r="S79" i="28"/>
  <c r="P80" i="28"/>
  <c r="R80" i="28"/>
  <c r="Q80" i="28"/>
  <c r="S80" i="28"/>
  <c r="P81" i="28"/>
  <c r="R81" i="28"/>
  <c r="Q81" i="28"/>
  <c r="S81" i="28"/>
  <c r="P82" i="28"/>
  <c r="R82" i="28"/>
  <c r="Q82" i="28"/>
  <c r="S82" i="28"/>
  <c r="P83" i="28"/>
  <c r="R83" i="28"/>
  <c r="Q83" i="28"/>
  <c r="S83" i="28"/>
  <c r="P84" i="28"/>
  <c r="R84" i="28"/>
  <c r="Q84" i="28"/>
  <c r="S84" i="28"/>
  <c r="P85" i="28"/>
  <c r="R85" i="28"/>
  <c r="Q85" i="28"/>
  <c r="S85" i="28"/>
  <c r="P86" i="28"/>
  <c r="R86" i="28"/>
  <c r="Q86" i="28"/>
  <c r="S86" i="28"/>
  <c r="P87" i="28"/>
  <c r="R87" i="28"/>
  <c r="Q87" i="28"/>
  <c r="S87" i="28"/>
  <c r="P88" i="28"/>
  <c r="R88" i="28"/>
  <c r="Q88" i="28"/>
  <c r="S88" i="28"/>
  <c r="P89" i="28"/>
  <c r="R89" i="28"/>
  <c r="Q89" i="28"/>
  <c r="S89" i="28"/>
  <c r="P90" i="28"/>
  <c r="R90" i="28"/>
  <c r="Q90" i="28"/>
  <c r="S90" i="28"/>
  <c r="P91" i="28"/>
  <c r="R91" i="28"/>
  <c r="Q91" i="28"/>
  <c r="S91" i="28"/>
  <c r="P92" i="28"/>
  <c r="R92" i="28"/>
  <c r="Q92" i="28"/>
  <c r="S92" i="28"/>
  <c r="P93" i="28"/>
  <c r="R93" i="28"/>
  <c r="Q93" i="28"/>
  <c r="S93" i="28"/>
  <c r="P94" i="28"/>
  <c r="R94" i="28"/>
  <c r="Q94" i="28"/>
  <c r="S94" i="28"/>
  <c r="P95" i="28"/>
  <c r="R95" i="28"/>
  <c r="Q95" i="28"/>
  <c r="S95" i="28"/>
  <c r="P96" i="28"/>
  <c r="R96" i="28"/>
  <c r="Q96" i="28"/>
  <c r="S96" i="28"/>
  <c r="P97" i="28"/>
  <c r="R97" i="28"/>
  <c r="Q97" i="28"/>
  <c r="S97" i="28"/>
  <c r="P98" i="28"/>
  <c r="R98" i="28"/>
  <c r="Q98" i="28"/>
  <c r="S98" i="28"/>
  <c r="P99" i="28"/>
  <c r="R99" i="28"/>
  <c r="Q99" i="28"/>
  <c r="S99" i="28"/>
  <c r="P100" i="28"/>
  <c r="R100" i="28"/>
  <c r="Q100" i="28"/>
  <c r="S100" i="28"/>
  <c r="P101" i="28"/>
  <c r="R101" i="28"/>
  <c r="Q101" i="28"/>
  <c r="S101" i="28"/>
  <c r="P102" i="28"/>
  <c r="R102" i="28"/>
  <c r="Q102" i="28"/>
  <c r="S102" i="28"/>
  <c r="P103" i="28"/>
  <c r="R103" i="28"/>
  <c r="Q103" i="28"/>
  <c r="S103" i="28"/>
  <c r="P104" i="28"/>
  <c r="R104" i="28"/>
  <c r="Q104" i="28"/>
  <c r="S104" i="28"/>
  <c r="P105" i="28"/>
  <c r="R105" i="28"/>
  <c r="Q105" i="28"/>
  <c r="S105" i="28"/>
  <c r="P106" i="28"/>
  <c r="R106" i="28"/>
  <c r="Q106" i="28"/>
  <c r="S106" i="28"/>
  <c r="P107" i="28"/>
  <c r="R107" i="28"/>
  <c r="Q107" i="28"/>
  <c r="S107" i="28"/>
  <c r="P108" i="28"/>
  <c r="R108" i="28"/>
  <c r="Q108" i="28"/>
  <c r="S108" i="28"/>
  <c r="P109" i="28"/>
  <c r="R109" i="28"/>
  <c r="Q109" i="28"/>
  <c r="S109" i="28"/>
  <c r="P110" i="28"/>
  <c r="R110" i="28"/>
  <c r="Q110" i="28"/>
  <c r="S110" i="28"/>
  <c r="P111" i="28"/>
  <c r="R111" i="28"/>
  <c r="Q111" i="28"/>
  <c r="S111" i="28"/>
  <c r="P112" i="28"/>
  <c r="R112" i="28"/>
  <c r="Q112" i="28"/>
  <c r="S112" i="28"/>
  <c r="P113" i="28"/>
  <c r="R113" i="28"/>
  <c r="Q113" i="28"/>
  <c r="S113" i="28"/>
  <c r="P114" i="28"/>
  <c r="R114" i="28"/>
  <c r="Q114" i="28"/>
  <c r="S114" i="28"/>
  <c r="P115" i="28"/>
  <c r="R115" i="28"/>
  <c r="Q115" i="28"/>
  <c r="S115" i="28"/>
  <c r="P116" i="28"/>
  <c r="R116" i="28"/>
  <c r="Q116" i="28"/>
  <c r="S116" i="28"/>
  <c r="P117" i="28"/>
  <c r="R117" i="28"/>
  <c r="Q117" i="28"/>
  <c r="S117" i="28"/>
  <c r="P118" i="28"/>
  <c r="R118" i="28"/>
  <c r="Q118" i="28"/>
  <c r="S118" i="28"/>
  <c r="P119" i="28"/>
  <c r="R119" i="28"/>
  <c r="Q119" i="28"/>
  <c r="S119" i="28"/>
  <c r="P120" i="28"/>
  <c r="R120" i="28"/>
  <c r="Q120" i="28"/>
  <c r="S120" i="28"/>
  <c r="P121" i="28"/>
  <c r="R121" i="28"/>
  <c r="Q121" i="28"/>
  <c r="S121" i="28"/>
  <c r="P122" i="28"/>
  <c r="R122" i="28"/>
  <c r="Q122" i="28"/>
  <c r="S122" i="28"/>
  <c r="P123" i="28"/>
  <c r="R123" i="28"/>
  <c r="Q123" i="28"/>
  <c r="S123" i="28"/>
  <c r="P124" i="28"/>
  <c r="R124" i="28"/>
  <c r="Q124" i="28"/>
  <c r="S124" i="28"/>
  <c r="P125" i="28"/>
  <c r="R125" i="28"/>
  <c r="Q125" i="28"/>
  <c r="S125" i="28"/>
  <c r="P126" i="28"/>
  <c r="R126" i="28"/>
  <c r="Q126" i="28"/>
  <c r="S126" i="28"/>
  <c r="P127" i="28"/>
  <c r="R127" i="28"/>
  <c r="Q127" i="28"/>
  <c r="S127" i="28"/>
  <c r="P128" i="28"/>
  <c r="R128" i="28"/>
  <c r="Q128" i="28"/>
  <c r="S128" i="28"/>
  <c r="P129" i="28"/>
  <c r="R129" i="28"/>
  <c r="Q129" i="28"/>
  <c r="S129" i="28"/>
  <c r="P130" i="28"/>
  <c r="R130" i="28"/>
  <c r="Q130" i="28"/>
  <c r="S130" i="28"/>
  <c r="P131" i="28"/>
  <c r="R131" i="28"/>
  <c r="Q131" i="28"/>
  <c r="S131" i="28"/>
  <c r="P132" i="28"/>
  <c r="R132" i="28"/>
  <c r="Q132" i="28"/>
  <c r="S132" i="28"/>
  <c r="P133" i="28"/>
  <c r="R133" i="28"/>
  <c r="Q133" i="28"/>
  <c r="S133" i="28"/>
  <c r="P134" i="28"/>
  <c r="R134" i="28"/>
  <c r="Q134" i="28"/>
  <c r="S134" i="28"/>
  <c r="P135" i="28"/>
  <c r="R135" i="28"/>
  <c r="Q135" i="28"/>
  <c r="S135" i="28"/>
  <c r="P136" i="28"/>
  <c r="R136" i="28"/>
  <c r="Q136" i="28"/>
  <c r="S136" i="28"/>
  <c r="P137" i="28"/>
  <c r="R137" i="28"/>
  <c r="Q137" i="28"/>
  <c r="S137" i="28"/>
  <c r="P138" i="28"/>
  <c r="R138" i="28"/>
  <c r="Q138" i="28"/>
  <c r="S138" i="28"/>
  <c r="P139" i="28"/>
  <c r="R139" i="28"/>
  <c r="Q139" i="28"/>
  <c r="S139" i="28"/>
  <c r="P140" i="28"/>
  <c r="R140" i="28"/>
  <c r="Q140" i="28"/>
  <c r="S140" i="28"/>
  <c r="P141" i="28"/>
  <c r="R141" i="28"/>
  <c r="Q141" i="28"/>
  <c r="S141" i="28"/>
  <c r="P142" i="28"/>
  <c r="R142" i="28"/>
  <c r="Q142" i="28"/>
  <c r="S142" i="28"/>
  <c r="P143" i="28"/>
  <c r="R143" i="28"/>
  <c r="Q143" i="28"/>
  <c r="S143" i="28"/>
  <c r="P144" i="28"/>
  <c r="R144" i="28"/>
  <c r="Q144" i="28"/>
  <c r="S144" i="28"/>
  <c r="P145" i="28"/>
  <c r="R145" i="28"/>
  <c r="Q145" i="28"/>
  <c r="S145" i="28"/>
  <c r="P146" i="28"/>
  <c r="R146" i="28"/>
  <c r="Q146" i="28"/>
  <c r="S146" i="28"/>
  <c r="P147" i="28"/>
  <c r="R147" i="28"/>
  <c r="Q147" i="28"/>
  <c r="S147" i="28"/>
  <c r="P148" i="28"/>
  <c r="R148" i="28"/>
  <c r="Q148" i="28"/>
  <c r="S148" i="28"/>
  <c r="P149" i="28"/>
  <c r="R149" i="28"/>
  <c r="Q149" i="28"/>
  <c r="S149" i="28"/>
  <c r="P150" i="28"/>
  <c r="R150" i="28"/>
  <c r="Q150" i="28"/>
  <c r="S150" i="28"/>
  <c r="P151" i="28"/>
  <c r="R151" i="28"/>
  <c r="Q151" i="28"/>
  <c r="S151" i="28"/>
  <c r="P152" i="28"/>
  <c r="R152" i="28"/>
  <c r="Q152" i="28"/>
  <c r="S152" i="28"/>
  <c r="P153" i="28"/>
  <c r="R153" i="28"/>
  <c r="Q153" i="28"/>
  <c r="S153" i="28"/>
  <c r="P154" i="28"/>
  <c r="R154" i="28"/>
  <c r="Q154" i="28"/>
  <c r="S154" i="28"/>
  <c r="P155" i="28"/>
  <c r="R155" i="28"/>
  <c r="Q155" i="28"/>
  <c r="S155" i="28"/>
  <c r="P156" i="28"/>
  <c r="R156" i="28"/>
  <c r="Q156" i="28"/>
  <c r="S156" i="28"/>
  <c r="P157" i="28"/>
  <c r="R157" i="28"/>
  <c r="Q157" i="28"/>
  <c r="S157" i="28"/>
  <c r="P158" i="28"/>
  <c r="R158" i="28"/>
  <c r="Q158" i="28"/>
  <c r="S158" i="28"/>
  <c r="P159" i="28"/>
  <c r="R159" i="28"/>
  <c r="Q159" i="28"/>
  <c r="S159" i="28"/>
  <c r="P160" i="28"/>
  <c r="R160" i="28"/>
  <c r="Q160" i="28"/>
  <c r="S160" i="28"/>
  <c r="P161" i="28"/>
  <c r="R161" i="28"/>
  <c r="Q161" i="28"/>
  <c r="S161" i="28"/>
  <c r="P162" i="28"/>
  <c r="R162" i="28"/>
  <c r="Q162" i="28"/>
  <c r="S162" i="28"/>
  <c r="P163" i="28"/>
  <c r="R163" i="28"/>
  <c r="Q163" i="28"/>
  <c r="S163" i="28"/>
  <c r="P164" i="28"/>
  <c r="R164" i="28"/>
  <c r="Q164" i="28"/>
  <c r="S164" i="28"/>
  <c r="P165" i="28"/>
  <c r="R165" i="28"/>
  <c r="Q165" i="28"/>
  <c r="S165" i="28"/>
  <c r="P166" i="28"/>
  <c r="R166" i="28"/>
  <c r="Q166" i="28"/>
  <c r="S166" i="28"/>
  <c r="P167" i="28"/>
  <c r="R167" i="28"/>
  <c r="Q167" i="28"/>
  <c r="S167" i="28"/>
  <c r="P168" i="28"/>
  <c r="R168" i="28"/>
  <c r="Q168" i="28"/>
  <c r="S168" i="28"/>
  <c r="P169" i="28"/>
  <c r="R169" i="28"/>
  <c r="Q169" i="28"/>
  <c r="S169" i="28"/>
  <c r="P170" i="28"/>
  <c r="R170" i="28"/>
  <c r="Q170" i="28"/>
  <c r="S170" i="28"/>
  <c r="P171" i="28"/>
  <c r="R171" i="28"/>
  <c r="Q171" i="28"/>
  <c r="S171" i="28"/>
  <c r="P172" i="28"/>
  <c r="R172" i="28"/>
  <c r="Q172" i="28"/>
  <c r="S172" i="28"/>
  <c r="P173" i="28"/>
  <c r="R173" i="28"/>
  <c r="Q173" i="28"/>
  <c r="S173" i="28"/>
  <c r="P174" i="28"/>
  <c r="R174" i="28"/>
  <c r="Q174" i="28"/>
  <c r="S174" i="28"/>
  <c r="P175" i="28"/>
  <c r="R175" i="28"/>
  <c r="Q175" i="28"/>
  <c r="S175" i="28"/>
  <c r="P176" i="28"/>
  <c r="R176" i="28"/>
  <c r="Q176" i="28"/>
  <c r="S176" i="28"/>
  <c r="P177" i="28"/>
  <c r="R177" i="28"/>
  <c r="Q177" i="28"/>
  <c r="S177" i="28"/>
  <c r="P178" i="28"/>
  <c r="R178" i="28"/>
  <c r="Q178" i="28"/>
  <c r="S178" i="28"/>
  <c r="P179" i="28"/>
  <c r="R179" i="28"/>
  <c r="Q179" i="28"/>
  <c r="S179" i="28"/>
  <c r="P180" i="28"/>
  <c r="R180" i="28"/>
  <c r="Q180" i="28"/>
  <c r="S180" i="28"/>
  <c r="P181" i="28"/>
  <c r="R181" i="28"/>
  <c r="Q181" i="28"/>
  <c r="S181" i="28"/>
  <c r="P182" i="28"/>
  <c r="R182" i="28"/>
  <c r="Q182" i="28"/>
  <c r="S182" i="28"/>
  <c r="P183" i="28"/>
  <c r="R183" i="28"/>
  <c r="Q183" i="28"/>
  <c r="S183" i="28"/>
  <c r="P184" i="28"/>
  <c r="R184" i="28"/>
  <c r="Q184" i="28"/>
  <c r="S184" i="28"/>
  <c r="P185" i="28"/>
  <c r="R185" i="28"/>
  <c r="Q185" i="28"/>
  <c r="S185" i="28"/>
  <c r="P186" i="28"/>
  <c r="R186" i="28"/>
  <c r="Q186" i="28"/>
  <c r="S186" i="28"/>
  <c r="P187" i="28"/>
  <c r="R187" i="28"/>
  <c r="Q187" i="28"/>
  <c r="S187" i="28"/>
  <c r="P188" i="28"/>
  <c r="R188" i="28"/>
  <c r="Q188" i="28"/>
  <c r="S188" i="28"/>
  <c r="P189" i="28"/>
  <c r="R189" i="28"/>
  <c r="Q189" i="28"/>
  <c r="S189" i="28"/>
  <c r="P190" i="28"/>
  <c r="R190" i="28"/>
  <c r="Q190" i="28"/>
  <c r="S190" i="28"/>
  <c r="P191" i="28"/>
  <c r="R191" i="28"/>
  <c r="Q191" i="28"/>
  <c r="S191" i="28"/>
  <c r="P192" i="28"/>
  <c r="R192" i="28"/>
  <c r="Q192" i="28"/>
  <c r="S192" i="28"/>
  <c r="P193" i="28"/>
  <c r="R193" i="28"/>
  <c r="Q193" i="28"/>
  <c r="S193" i="28"/>
  <c r="P194" i="28"/>
  <c r="R194" i="28"/>
  <c r="Q194" i="28"/>
  <c r="S194" i="28"/>
  <c r="P195" i="28"/>
  <c r="R195" i="28"/>
  <c r="Q195" i="28"/>
  <c r="S195" i="28"/>
  <c r="P196" i="28"/>
  <c r="R196" i="28"/>
  <c r="Q196" i="28"/>
  <c r="S196" i="28"/>
  <c r="P197" i="28"/>
  <c r="R197" i="28"/>
  <c r="Q197" i="28"/>
  <c r="S197" i="28"/>
  <c r="P198" i="28"/>
  <c r="R198" i="28"/>
  <c r="Q198" i="28"/>
  <c r="S198" i="28"/>
  <c r="P199" i="28"/>
  <c r="R199" i="28"/>
  <c r="Q199" i="28"/>
  <c r="S199" i="28"/>
  <c r="P200" i="28"/>
  <c r="R200" i="28"/>
  <c r="Q200" i="28"/>
  <c r="S200" i="28"/>
  <c r="P201" i="28"/>
  <c r="R201" i="28"/>
  <c r="Q201" i="28"/>
  <c r="S201" i="28"/>
  <c r="P202" i="28"/>
  <c r="R202" i="28"/>
  <c r="Q202" i="28"/>
  <c r="S202" i="28"/>
  <c r="P203" i="28"/>
  <c r="R203" i="28"/>
  <c r="Q203" i="28"/>
  <c r="S203" i="28"/>
  <c r="P204" i="28"/>
  <c r="R204" i="28"/>
  <c r="Q204" i="28"/>
  <c r="S204" i="28"/>
  <c r="P205" i="28"/>
  <c r="R205" i="28"/>
  <c r="Q205" i="28"/>
  <c r="S205" i="28"/>
  <c r="P206" i="28"/>
  <c r="R206" i="28"/>
  <c r="Q206" i="28"/>
  <c r="S206" i="28"/>
  <c r="P207" i="28"/>
  <c r="R207" i="28"/>
  <c r="Q207" i="28"/>
  <c r="S207" i="28"/>
  <c r="P208" i="28"/>
  <c r="R208" i="28"/>
  <c r="Q208" i="28"/>
  <c r="S208" i="28"/>
  <c r="P209" i="28"/>
  <c r="R209" i="28"/>
  <c r="Q209" i="28"/>
  <c r="S209" i="28"/>
  <c r="P210" i="28"/>
  <c r="R210" i="28"/>
  <c r="Q210" i="28"/>
  <c r="S210" i="28"/>
  <c r="P211" i="28"/>
  <c r="R211" i="28"/>
  <c r="Q211" i="28"/>
  <c r="S211" i="28"/>
  <c r="P212" i="28"/>
  <c r="R212" i="28"/>
  <c r="Q212" i="28"/>
  <c r="S212" i="28"/>
  <c r="P213" i="28"/>
  <c r="R213" i="28"/>
  <c r="Q213" i="28"/>
  <c r="S213" i="28"/>
  <c r="P214" i="28"/>
  <c r="R214" i="28"/>
  <c r="Q214" i="28"/>
  <c r="S214" i="28"/>
  <c r="P215" i="28"/>
  <c r="R215" i="28"/>
  <c r="Q215" i="28"/>
  <c r="S215" i="28"/>
  <c r="P216" i="28"/>
  <c r="R216" i="28"/>
  <c r="Q216" i="28"/>
  <c r="S216" i="28"/>
  <c r="P217" i="28"/>
  <c r="R217" i="28"/>
  <c r="Q217" i="28"/>
  <c r="S217" i="28"/>
  <c r="P218" i="28"/>
  <c r="R218" i="28"/>
  <c r="Q218" i="28"/>
  <c r="S218" i="28"/>
  <c r="P219" i="28"/>
  <c r="R219" i="28"/>
  <c r="Q219" i="28"/>
  <c r="S219" i="28"/>
  <c r="P220" i="28"/>
  <c r="R220" i="28"/>
  <c r="Q220" i="28"/>
  <c r="S220" i="28"/>
  <c r="P221" i="28"/>
  <c r="R221" i="28"/>
  <c r="Q221" i="28"/>
  <c r="S221" i="28"/>
  <c r="P222" i="28"/>
  <c r="R222" i="28"/>
  <c r="Q222" i="28"/>
  <c r="S222" i="28"/>
  <c r="P223" i="28"/>
  <c r="R223" i="28"/>
  <c r="Q223" i="28"/>
  <c r="S223" i="28"/>
  <c r="P224" i="28"/>
  <c r="R224" i="28"/>
  <c r="Q224" i="28"/>
  <c r="S224" i="28"/>
  <c r="P225" i="28"/>
  <c r="R225" i="28"/>
  <c r="Q225" i="28"/>
  <c r="S225" i="28"/>
  <c r="P226" i="28"/>
  <c r="R226" i="28"/>
  <c r="Q226" i="28"/>
  <c r="S226" i="28"/>
  <c r="P227" i="28"/>
  <c r="R227" i="28"/>
  <c r="Q227" i="28"/>
  <c r="S227" i="28"/>
  <c r="P228" i="28"/>
  <c r="R228" i="28"/>
  <c r="Q228" i="28"/>
  <c r="S228" i="28"/>
  <c r="P229" i="28"/>
  <c r="R229" i="28"/>
  <c r="Q229" i="28"/>
  <c r="S229" i="28"/>
  <c r="P230" i="28"/>
  <c r="R230" i="28"/>
  <c r="Q230" i="28"/>
  <c r="S230" i="28"/>
  <c r="P231" i="28"/>
  <c r="R231" i="28"/>
  <c r="Q231" i="28"/>
  <c r="S231" i="28"/>
  <c r="P232" i="28"/>
  <c r="R232" i="28"/>
  <c r="Q232" i="28"/>
  <c r="S232" i="28"/>
  <c r="P233" i="28"/>
  <c r="R233" i="28"/>
  <c r="Q233" i="28"/>
  <c r="S233" i="28"/>
  <c r="P234" i="28"/>
  <c r="R234" i="28"/>
  <c r="Q234" i="28"/>
  <c r="S234" i="28"/>
  <c r="P235" i="28"/>
  <c r="R235" i="28"/>
  <c r="Q235" i="28"/>
  <c r="S235" i="28"/>
  <c r="P236" i="28"/>
  <c r="R236" i="28"/>
  <c r="Q236" i="28"/>
  <c r="S236" i="28"/>
  <c r="P237" i="28"/>
  <c r="R237" i="28"/>
  <c r="Q237" i="28"/>
  <c r="S237" i="28"/>
  <c r="P238" i="28"/>
  <c r="R238" i="28"/>
  <c r="Q238" i="28"/>
  <c r="S238" i="28"/>
  <c r="P239" i="28"/>
  <c r="R239" i="28"/>
  <c r="Q239" i="28"/>
  <c r="S239" i="28"/>
  <c r="P240" i="28"/>
  <c r="R240" i="28"/>
  <c r="Q240" i="28"/>
  <c r="S240" i="28"/>
  <c r="P241" i="28"/>
  <c r="R241" i="28"/>
  <c r="Q241" i="28"/>
  <c r="S241" i="28"/>
  <c r="P242" i="28"/>
  <c r="R242" i="28"/>
  <c r="Q242" i="28"/>
  <c r="S242" i="28"/>
  <c r="P243" i="28"/>
  <c r="R243" i="28"/>
  <c r="Q243" i="28"/>
  <c r="S243" i="28"/>
  <c r="P244" i="28"/>
  <c r="R244" i="28"/>
  <c r="Q244" i="28"/>
  <c r="S244" i="28"/>
  <c r="P245" i="28"/>
  <c r="R245" i="28"/>
  <c r="Q245" i="28"/>
  <c r="S245" i="28"/>
  <c r="P246" i="28"/>
  <c r="R246" i="28"/>
  <c r="Q246" i="28"/>
  <c r="S246" i="28"/>
  <c r="P247" i="28"/>
  <c r="R247" i="28"/>
  <c r="Q247" i="28"/>
  <c r="S247" i="28"/>
  <c r="P248" i="28"/>
  <c r="R248" i="28"/>
  <c r="Q248" i="28"/>
  <c r="S248" i="28"/>
  <c r="P249" i="28"/>
  <c r="R249" i="28"/>
  <c r="Q249" i="28"/>
  <c r="S249" i="28"/>
  <c r="P250" i="28"/>
  <c r="R250" i="28"/>
  <c r="Q250" i="28"/>
  <c r="S250" i="28"/>
  <c r="P251" i="28"/>
  <c r="R251" i="28"/>
  <c r="Q251" i="28"/>
  <c r="S251" i="28"/>
  <c r="P252" i="28"/>
  <c r="R252" i="28"/>
  <c r="Q252" i="28"/>
  <c r="S252" i="28"/>
  <c r="P253" i="28"/>
  <c r="R253" i="28"/>
  <c r="Q253" i="28"/>
  <c r="S253" i="28"/>
  <c r="P254" i="28"/>
  <c r="R254" i="28"/>
  <c r="Q254" i="28"/>
  <c r="S254" i="28"/>
  <c r="P255" i="28"/>
  <c r="R255" i="28"/>
  <c r="Q255" i="28"/>
  <c r="S255" i="28"/>
  <c r="P256" i="28"/>
  <c r="R256" i="28"/>
  <c r="Q256" i="28"/>
  <c r="S256" i="28"/>
  <c r="P257" i="28"/>
  <c r="R257" i="28"/>
  <c r="Q257" i="28"/>
  <c r="S257" i="28"/>
  <c r="P258" i="28"/>
  <c r="R258" i="28"/>
  <c r="Q258" i="28"/>
  <c r="S258" i="28"/>
  <c r="P259" i="28"/>
  <c r="R259" i="28"/>
  <c r="Q259" i="28"/>
  <c r="S259" i="28"/>
  <c r="P260" i="28"/>
  <c r="R260" i="28"/>
  <c r="Q260" i="28"/>
  <c r="S260" i="28"/>
  <c r="P261" i="28"/>
  <c r="R261" i="28"/>
  <c r="Q261" i="28"/>
  <c r="S261" i="28"/>
  <c r="P262" i="28"/>
  <c r="R262" i="28"/>
  <c r="Q262" i="28"/>
  <c r="S262" i="28"/>
  <c r="P263" i="28"/>
  <c r="R263" i="28"/>
  <c r="Q263" i="28"/>
  <c r="S263" i="28"/>
  <c r="P264" i="28"/>
  <c r="R264" i="28"/>
  <c r="Q264" i="28"/>
  <c r="S264" i="28"/>
  <c r="P265" i="28"/>
  <c r="R265" i="28"/>
  <c r="Q265" i="28"/>
  <c r="S265" i="28"/>
  <c r="P266" i="28"/>
  <c r="R266" i="28"/>
  <c r="Q266" i="28"/>
  <c r="S266" i="28"/>
  <c r="P267" i="28"/>
  <c r="R267" i="28"/>
  <c r="Q267" i="28"/>
  <c r="S267" i="28"/>
  <c r="P268" i="28"/>
  <c r="R268" i="28"/>
  <c r="Q268" i="28"/>
  <c r="S268" i="28"/>
  <c r="P269" i="28"/>
  <c r="R269" i="28"/>
  <c r="Q269" i="28"/>
  <c r="S269" i="28"/>
  <c r="P270" i="28"/>
  <c r="R270" i="28"/>
  <c r="Q270" i="28"/>
  <c r="S270" i="28"/>
  <c r="P271" i="28"/>
  <c r="R271" i="28"/>
  <c r="Q271" i="28"/>
  <c r="S271" i="28"/>
  <c r="P272" i="28"/>
  <c r="R272" i="28"/>
  <c r="Q272" i="28"/>
  <c r="S272" i="28"/>
  <c r="P273" i="28"/>
  <c r="R273" i="28"/>
  <c r="Q273" i="28"/>
  <c r="S273" i="28"/>
  <c r="P274" i="28"/>
  <c r="R274" i="28"/>
  <c r="Q274" i="28"/>
  <c r="S274" i="28"/>
  <c r="P275" i="28"/>
  <c r="R275" i="28"/>
  <c r="Q275" i="28"/>
  <c r="S275" i="28"/>
  <c r="P276" i="28"/>
  <c r="R276" i="28"/>
  <c r="Q276" i="28"/>
  <c r="S276" i="28"/>
  <c r="P277" i="28"/>
  <c r="R277" i="28"/>
  <c r="Q277" i="28"/>
  <c r="S277" i="28"/>
  <c r="P278" i="28"/>
  <c r="R278" i="28"/>
  <c r="Q278" i="28"/>
  <c r="S278" i="28"/>
  <c r="P279" i="28"/>
  <c r="R279" i="28"/>
  <c r="Q279" i="28"/>
  <c r="S279" i="28"/>
  <c r="P280" i="28"/>
  <c r="R280" i="28"/>
  <c r="Q280" i="28"/>
  <c r="S280" i="28"/>
  <c r="P281" i="28"/>
  <c r="R281" i="28"/>
  <c r="Q281" i="28"/>
  <c r="S281" i="28"/>
  <c r="P282" i="28"/>
  <c r="R282" i="28"/>
  <c r="Q282" i="28"/>
  <c r="S282" i="28"/>
  <c r="P283" i="28"/>
  <c r="R283" i="28"/>
  <c r="Q283" i="28"/>
  <c r="S283" i="28"/>
  <c r="P284" i="28"/>
  <c r="R284" i="28"/>
  <c r="Q284" i="28"/>
  <c r="S284" i="28"/>
  <c r="P285" i="28"/>
  <c r="R285" i="28"/>
  <c r="Q285" i="28"/>
  <c r="S285" i="28"/>
  <c r="P286" i="28"/>
  <c r="R286" i="28"/>
  <c r="Q286" i="28"/>
  <c r="S286" i="28"/>
  <c r="P287" i="28"/>
  <c r="R287" i="28"/>
  <c r="Q287" i="28"/>
  <c r="S287" i="28"/>
  <c r="P288" i="28"/>
  <c r="R288" i="28"/>
  <c r="Q288" i="28"/>
  <c r="S288" i="28"/>
  <c r="P289" i="28"/>
  <c r="R289" i="28"/>
  <c r="Q289" i="28"/>
  <c r="S289" i="28"/>
  <c r="P290" i="28"/>
  <c r="R290" i="28"/>
  <c r="Q290" i="28"/>
  <c r="S290" i="28"/>
  <c r="P291" i="28"/>
  <c r="R291" i="28"/>
  <c r="Q291" i="28"/>
  <c r="S291" i="28"/>
  <c r="P292" i="28"/>
  <c r="R292" i="28"/>
  <c r="Q292" i="28"/>
  <c r="S292" i="28"/>
  <c r="P293" i="28"/>
  <c r="R293" i="28"/>
  <c r="Q293" i="28"/>
  <c r="S293" i="28"/>
  <c r="P294" i="28"/>
  <c r="R294" i="28"/>
  <c r="Q294" i="28"/>
  <c r="S294" i="28"/>
  <c r="P295" i="28"/>
  <c r="R295" i="28"/>
  <c r="Q295" i="28"/>
  <c r="S295" i="28"/>
  <c r="P296" i="28"/>
  <c r="R296" i="28"/>
  <c r="Q296" i="28"/>
  <c r="S296" i="28"/>
  <c r="P297" i="28"/>
  <c r="R297" i="28"/>
  <c r="Q297" i="28"/>
  <c r="S297" i="28"/>
  <c r="P298" i="28"/>
  <c r="R298" i="28"/>
  <c r="Q298" i="28"/>
  <c r="S298" i="28"/>
  <c r="P299" i="28"/>
  <c r="R299" i="28"/>
  <c r="Q299" i="28"/>
  <c r="S299" i="28"/>
  <c r="P300" i="28"/>
  <c r="R300" i="28"/>
  <c r="Q300" i="28"/>
  <c r="S300" i="28"/>
  <c r="P301" i="28"/>
  <c r="R301" i="28"/>
  <c r="Q301" i="28"/>
  <c r="S301" i="28"/>
  <c r="P302" i="28"/>
  <c r="R302" i="28"/>
  <c r="Q302" i="28"/>
  <c r="S302" i="28"/>
  <c r="P303" i="28"/>
  <c r="R303" i="28"/>
  <c r="Q303" i="28"/>
  <c r="S303" i="28"/>
  <c r="P304" i="28"/>
  <c r="R304" i="28"/>
  <c r="Q304" i="28"/>
  <c r="S304" i="28"/>
  <c r="P305" i="28"/>
  <c r="R305" i="28"/>
  <c r="Q305" i="28"/>
  <c r="S305" i="28"/>
  <c r="P306" i="28"/>
  <c r="R306" i="28"/>
  <c r="Q306" i="28"/>
  <c r="S306" i="28"/>
  <c r="P307" i="28"/>
  <c r="R307" i="28"/>
  <c r="Q307" i="28"/>
  <c r="S307" i="28"/>
  <c r="P308" i="28"/>
  <c r="R308" i="28"/>
  <c r="Q308" i="28"/>
  <c r="S308" i="28"/>
  <c r="P309" i="28"/>
  <c r="R309" i="28"/>
  <c r="Q309" i="28"/>
  <c r="S309" i="28"/>
  <c r="P310" i="28"/>
  <c r="R310" i="28"/>
  <c r="Q310" i="28"/>
  <c r="S310" i="28"/>
  <c r="P311" i="28"/>
  <c r="R311" i="28"/>
  <c r="Q311" i="28"/>
  <c r="S311" i="28"/>
  <c r="P312" i="28"/>
  <c r="R312" i="28"/>
  <c r="Q312" i="28"/>
  <c r="S312" i="28"/>
  <c r="P313" i="28"/>
  <c r="R313" i="28"/>
  <c r="Q313" i="28"/>
  <c r="S313" i="28"/>
  <c r="P314" i="28"/>
  <c r="R314" i="28"/>
  <c r="Q314" i="28"/>
  <c r="S314" i="28"/>
  <c r="P315" i="28"/>
  <c r="R315" i="28"/>
  <c r="Q315" i="28"/>
  <c r="S315" i="28"/>
  <c r="P316" i="28"/>
  <c r="R316" i="28"/>
  <c r="Q316" i="28"/>
  <c r="S316" i="28"/>
  <c r="P317" i="28"/>
  <c r="R317" i="28"/>
  <c r="Q317" i="28"/>
  <c r="S317" i="28"/>
  <c r="P318" i="28"/>
  <c r="R318" i="28"/>
  <c r="Q318" i="28"/>
  <c r="S318" i="28"/>
  <c r="P319" i="28"/>
  <c r="R319" i="28"/>
  <c r="Q319" i="28"/>
  <c r="S319" i="28"/>
  <c r="P320" i="28"/>
  <c r="R320" i="28"/>
  <c r="Q320" i="28"/>
  <c r="S320" i="28"/>
  <c r="P321" i="28"/>
  <c r="R321" i="28"/>
  <c r="Q321" i="28"/>
  <c r="S321" i="28"/>
  <c r="P322" i="28"/>
  <c r="R322" i="28"/>
  <c r="Q322" i="28"/>
  <c r="S322" i="28"/>
  <c r="P323" i="28"/>
  <c r="R323" i="28"/>
  <c r="Q323" i="28"/>
  <c r="S323" i="28"/>
  <c r="P324" i="28"/>
  <c r="R324" i="28"/>
  <c r="Q324" i="28"/>
  <c r="S324" i="28"/>
  <c r="P325" i="28"/>
  <c r="R325" i="28"/>
  <c r="Q325" i="28"/>
  <c r="S325" i="28"/>
  <c r="P326" i="28"/>
  <c r="R326" i="28"/>
  <c r="Q326" i="28"/>
  <c r="S326" i="28"/>
  <c r="P327" i="28"/>
  <c r="R327" i="28"/>
  <c r="Q327" i="28"/>
  <c r="S327" i="28"/>
  <c r="P328" i="28"/>
  <c r="R328" i="28"/>
  <c r="Q328" i="28"/>
  <c r="S328" i="28"/>
  <c r="P329" i="28"/>
  <c r="R329" i="28"/>
  <c r="Q329" i="28"/>
  <c r="S329" i="28"/>
  <c r="P330" i="28"/>
  <c r="R330" i="28"/>
  <c r="Q330" i="28"/>
  <c r="S330" i="28"/>
  <c r="P331" i="28"/>
  <c r="R331" i="28"/>
  <c r="Q331" i="28"/>
  <c r="S331" i="28"/>
  <c r="P332" i="28"/>
  <c r="R332" i="28"/>
  <c r="Q332" i="28"/>
  <c r="S332" i="28"/>
  <c r="P333" i="28"/>
  <c r="R333" i="28"/>
  <c r="Q333" i="28"/>
  <c r="S333" i="28"/>
  <c r="P334" i="28"/>
  <c r="R334" i="28"/>
  <c r="Q334" i="28"/>
  <c r="S334" i="28"/>
  <c r="P335" i="28"/>
  <c r="R335" i="28"/>
  <c r="Q335" i="28"/>
  <c r="S335" i="28"/>
  <c r="P336" i="28"/>
  <c r="R336" i="28"/>
  <c r="Q336" i="28"/>
  <c r="S336" i="28"/>
  <c r="P337" i="28"/>
  <c r="R337" i="28"/>
  <c r="Q337" i="28"/>
  <c r="S337" i="28"/>
  <c r="P338" i="28"/>
  <c r="R338" i="28"/>
  <c r="Q338" i="28"/>
  <c r="S338" i="28"/>
  <c r="P339" i="28"/>
  <c r="R339" i="28"/>
  <c r="Q339" i="28"/>
  <c r="S339" i="28"/>
  <c r="P340" i="28"/>
  <c r="R340" i="28"/>
  <c r="Q340" i="28"/>
  <c r="S340" i="28"/>
  <c r="P341" i="28"/>
  <c r="R341" i="28"/>
  <c r="Q341" i="28"/>
  <c r="S341" i="28"/>
  <c r="P342" i="28"/>
  <c r="R342" i="28"/>
  <c r="Q342" i="28"/>
  <c r="S342" i="28"/>
  <c r="S71" i="28"/>
  <c r="Q71" i="28"/>
  <c r="R71" i="28"/>
  <c r="P71" i="28"/>
  <c r="P69" i="28"/>
  <c r="R69" i="28"/>
  <c r="Q69" i="28"/>
  <c r="S69" i="28"/>
  <c r="P70" i="28"/>
  <c r="R70" i="28"/>
  <c r="Q70" i="28"/>
  <c r="S70" i="28"/>
  <c r="S68" i="28"/>
  <c r="Q68" i="28"/>
  <c r="R68" i="28"/>
  <c r="P68" i="28"/>
  <c r="S64" i="28"/>
  <c r="Q64" i="28"/>
  <c r="R64" i="28"/>
  <c r="P64" i="28"/>
  <c r="S62" i="28"/>
  <c r="Q62" i="28"/>
  <c r="R62" i="28"/>
  <c r="P62" i="28"/>
  <c r="S63" i="28"/>
  <c r="Q63" i="28"/>
  <c r="R63" i="28"/>
  <c r="P63" i="28"/>
  <c r="S61" i="28"/>
  <c r="Q61" i="28"/>
  <c r="R61" i="28"/>
  <c r="P61" i="28"/>
  <c r="P18" i="28"/>
  <c r="R18" i="28"/>
  <c r="Q18" i="28"/>
  <c r="S18" i="28"/>
  <c r="P20" i="28"/>
  <c r="R20" i="28"/>
  <c r="Q20" i="28"/>
  <c r="S20" i="28"/>
  <c r="P21" i="28"/>
  <c r="R21" i="28"/>
  <c r="Q21" i="28"/>
  <c r="S21" i="28"/>
  <c r="P27" i="28"/>
  <c r="R27" i="28"/>
  <c r="Q27" i="28"/>
  <c r="S27" i="28"/>
  <c r="P23" i="28"/>
  <c r="R23" i="28"/>
  <c r="Q23" i="28"/>
  <c r="S23" i="28"/>
  <c r="P24" i="28"/>
  <c r="R24" i="28"/>
  <c r="Q24" i="28"/>
  <c r="S24" i="28"/>
  <c r="P25" i="28"/>
  <c r="R25" i="28"/>
  <c r="Q25" i="28"/>
  <c r="S25" i="28"/>
  <c r="P26" i="28"/>
  <c r="R26" i="28"/>
  <c r="Q26" i="28"/>
  <c r="S26" i="28"/>
  <c r="P28" i="28"/>
  <c r="R28" i="28"/>
  <c r="Q28" i="28"/>
  <c r="S28" i="28"/>
  <c r="P34" i="28"/>
  <c r="R34" i="28"/>
  <c r="Q34" i="28"/>
  <c r="S34" i="28"/>
  <c r="P29" i="28"/>
  <c r="R29" i="28"/>
  <c r="Q29" i="28"/>
  <c r="S29" i="28"/>
  <c r="P30" i="28"/>
  <c r="R30" i="28"/>
  <c r="Q30" i="28"/>
  <c r="S30" i="28"/>
  <c r="P32" i="28"/>
  <c r="R32" i="28"/>
  <c r="Q32" i="28"/>
  <c r="S32" i="28"/>
  <c r="P33" i="28"/>
  <c r="R33" i="28"/>
  <c r="Q33" i="28"/>
  <c r="S33" i="28"/>
  <c r="P31" i="28"/>
  <c r="R31" i="28"/>
  <c r="Q31" i="28"/>
  <c r="S31" i="28"/>
  <c r="P35" i="28"/>
  <c r="R35" i="28"/>
  <c r="Q35" i="28"/>
  <c r="S35" i="28"/>
  <c r="P36" i="28"/>
  <c r="R36" i="28"/>
  <c r="Q36" i="28"/>
  <c r="S36" i="28"/>
  <c r="P37" i="28"/>
  <c r="R37" i="28"/>
  <c r="Q37" i="28"/>
  <c r="S37" i="28"/>
  <c r="P38" i="28"/>
  <c r="R38" i="28"/>
  <c r="Q38" i="28"/>
  <c r="S38" i="28"/>
  <c r="P39" i="28"/>
  <c r="R39" i="28"/>
  <c r="Q39" i="28"/>
  <c r="S39" i="28"/>
  <c r="S19" i="28"/>
  <c r="Q19" i="28"/>
  <c r="R19" i="28"/>
  <c r="P19" i="28"/>
  <c r="S17" i="28"/>
  <c r="Q17" i="28"/>
  <c r="R17" i="28"/>
  <c r="P17" i="28"/>
  <c r="S16" i="28"/>
  <c r="Q16" i="28"/>
  <c r="R16" i="28"/>
  <c r="P16" i="28"/>
  <c r="P13" i="28"/>
  <c r="R13" i="28"/>
  <c r="Q13" i="28"/>
  <c r="S13" i="28"/>
  <c r="P14" i="28"/>
  <c r="R14" i="28"/>
  <c r="Q14" i="28"/>
  <c r="S14" i="28"/>
  <c r="S12" i="28"/>
  <c r="Q12" i="28"/>
  <c r="R12" i="28"/>
  <c r="P12" i="28"/>
  <c r="S1824" i="57"/>
  <c r="Q1824" i="57"/>
  <c r="R1824" i="57"/>
  <c r="P1824" i="57"/>
  <c r="S1823" i="57"/>
  <c r="Q1823" i="57"/>
  <c r="R1823" i="57"/>
  <c r="P1823" i="57"/>
  <c r="P1819" i="57"/>
  <c r="R1819" i="57"/>
  <c r="Q1819" i="57"/>
  <c r="S1819" i="57"/>
  <c r="P1820" i="57"/>
  <c r="R1820" i="57"/>
  <c r="Q1820" i="57"/>
  <c r="S1820" i="57"/>
  <c r="S1818" i="57"/>
  <c r="Q1818" i="57"/>
  <c r="R1818" i="57"/>
  <c r="P1818" i="57"/>
  <c r="S1817" i="57"/>
  <c r="Q1817" i="57"/>
  <c r="R1817" i="57"/>
  <c r="P1817" i="57"/>
  <c r="P1809" i="57"/>
  <c r="R1809" i="57"/>
  <c r="Q1809" i="57"/>
  <c r="S1809" i="57"/>
  <c r="P1810" i="57"/>
  <c r="R1810" i="57"/>
  <c r="Q1810" i="57"/>
  <c r="S1810" i="57"/>
  <c r="P1811" i="57"/>
  <c r="R1811" i="57"/>
  <c r="Q1811" i="57"/>
  <c r="S1811" i="57"/>
  <c r="P1812" i="57"/>
  <c r="R1812" i="57"/>
  <c r="Q1812" i="57"/>
  <c r="S1812" i="57"/>
  <c r="P1813" i="57"/>
  <c r="R1813" i="57"/>
  <c r="Q1813" i="57"/>
  <c r="S1813" i="57"/>
  <c r="P1814" i="57"/>
  <c r="R1814" i="57"/>
  <c r="Q1814" i="57"/>
  <c r="S1814" i="57"/>
  <c r="S1808" i="57"/>
  <c r="Q1808" i="57"/>
  <c r="R1808" i="57"/>
  <c r="P1808" i="57"/>
  <c r="S1807" i="57"/>
  <c r="Q1807" i="57"/>
  <c r="R1807" i="57"/>
  <c r="P1807" i="57"/>
  <c r="S1806" i="57"/>
  <c r="Q1806" i="57"/>
  <c r="R1806" i="57"/>
  <c r="P1806" i="57"/>
  <c r="P1789" i="57"/>
  <c r="R1789" i="57"/>
  <c r="Q1789" i="57"/>
  <c r="S1789" i="57"/>
  <c r="P1790" i="57"/>
  <c r="R1790" i="57"/>
  <c r="Q1790" i="57"/>
  <c r="S1790" i="57"/>
  <c r="P1791" i="57"/>
  <c r="R1791" i="57"/>
  <c r="Q1791" i="57"/>
  <c r="S1791" i="57"/>
  <c r="P1792" i="57"/>
  <c r="R1792" i="57"/>
  <c r="Q1792" i="57"/>
  <c r="S1792" i="57"/>
  <c r="P1793" i="57"/>
  <c r="R1793" i="57"/>
  <c r="Q1793" i="57"/>
  <c r="S1793" i="57"/>
  <c r="P1794" i="57"/>
  <c r="R1794" i="57"/>
  <c r="Q1794" i="57"/>
  <c r="S1794" i="57"/>
  <c r="P1795" i="57"/>
  <c r="R1795" i="57"/>
  <c r="Q1795" i="57"/>
  <c r="S1795" i="57"/>
  <c r="P1796" i="57"/>
  <c r="R1796" i="57"/>
  <c r="Q1796" i="57"/>
  <c r="S1796" i="57"/>
  <c r="P1797" i="57"/>
  <c r="R1797" i="57"/>
  <c r="Q1797" i="57"/>
  <c r="S1797" i="57"/>
  <c r="P1798" i="57"/>
  <c r="R1798" i="57"/>
  <c r="Q1798" i="57"/>
  <c r="S1798" i="57"/>
  <c r="P1799" i="57"/>
  <c r="R1799" i="57"/>
  <c r="Q1799" i="57"/>
  <c r="S1799" i="57"/>
  <c r="P1800" i="57"/>
  <c r="R1800" i="57"/>
  <c r="Q1800" i="57"/>
  <c r="S1800" i="57"/>
  <c r="P1801" i="57"/>
  <c r="R1801" i="57"/>
  <c r="Q1801" i="57"/>
  <c r="S1801" i="57"/>
  <c r="P1802" i="57"/>
  <c r="R1802" i="57"/>
  <c r="Q1802" i="57"/>
  <c r="S1802" i="57"/>
  <c r="P1803" i="57"/>
  <c r="R1803" i="57"/>
  <c r="Q1803" i="57"/>
  <c r="S1803" i="57"/>
  <c r="S1788" i="57"/>
  <c r="Q1788" i="57"/>
  <c r="R1788" i="57"/>
  <c r="P1788" i="57"/>
  <c r="S1787" i="57"/>
  <c r="Q1787" i="57"/>
  <c r="R1787" i="57"/>
  <c r="P1787" i="57"/>
  <c r="S1786" i="57"/>
  <c r="Q1786" i="57"/>
  <c r="R1786" i="57"/>
  <c r="P1786" i="57"/>
  <c r="S1785" i="57"/>
  <c r="Q1785" i="57"/>
  <c r="R1785" i="57"/>
  <c r="P1785" i="57"/>
  <c r="S1784" i="57"/>
  <c r="Q1784" i="57"/>
  <c r="R1784" i="57"/>
  <c r="P1784" i="57"/>
  <c r="S1783" i="57"/>
  <c r="Q1783" i="57"/>
  <c r="R1783" i="57"/>
  <c r="P1783" i="57"/>
  <c r="S1782" i="57"/>
  <c r="Q1782" i="57"/>
  <c r="R1782" i="57"/>
  <c r="P1782" i="57"/>
  <c r="S1781" i="57"/>
  <c r="Q1781" i="57"/>
  <c r="R1781" i="57"/>
  <c r="P1781" i="57"/>
  <c r="S1780" i="57"/>
  <c r="Q1780" i="57"/>
  <c r="R1780" i="57"/>
  <c r="P1780" i="57"/>
  <c r="S1779" i="57"/>
  <c r="Q1779" i="57"/>
  <c r="R1779" i="57"/>
  <c r="P1779" i="57"/>
  <c r="P1772" i="57"/>
  <c r="R1772" i="57"/>
  <c r="Q1772" i="57"/>
  <c r="S1772" i="57"/>
  <c r="P1773" i="57"/>
  <c r="R1773" i="57"/>
  <c r="Q1773" i="57"/>
  <c r="S1773" i="57"/>
  <c r="P1774" i="57"/>
  <c r="R1774" i="57"/>
  <c r="Q1774" i="57"/>
  <c r="S1774" i="57"/>
  <c r="P1775" i="57"/>
  <c r="R1775" i="57"/>
  <c r="Q1775" i="57"/>
  <c r="S1775" i="57"/>
  <c r="P1776" i="57"/>
  <c r="R1776" i="57"/>
  <c r="Q1776" i="57"/>
  <c r="S1776" i="57"/>
  <c r="S1771" i="57"/>
  <c r="Q1771" i="57"/>
  <c r="R1771" i="57"/>
  <c r="P1771" i="57"/>
  <c r="S1770" i="57"/>
  <c r="Q1770" i="57"/>
  <c r="R1770" i="57"/>
  <c r="P1770" i="57"/>
  <c r="S1769" i="57"/>
  <c r="Q1769" i="57"/>
  <c r="R1769" i="57"/>
  <c r="P1769" i="57"/>
  <c r="S1768" i="57"/>
  <c r="Q1768" i="57"/>
  <c r="R1768" i="57"/>
  <c r="P1768" i="57"/>
  <c r="S1767" i="57"/>
  <c r="Q1767" i="57"/>
  <c r="R1767" i="57"/>
  <c r="P1767" i="57"/>
  <c r="P1703" i="57"/>
  <c r="R1703" i="57"/>
  <c r="Q1703" i="57"/>
  <c r="S1703" i="57"/>
  <c r="P1704" i="57"/>
  <c r="R1704" i="57"/>
  <c r="Q1704" i="57"/>
  <c r="S1704" i="57"/>
  <c r="P1705" i="57"/>
  <c r="R1705" i="57"/>
  <c r="Q1705" i="57"/>
  <c r="S1705" i="57"/>
  <c r="P1706" i="57"/>
  <c r="R1706" i="57"/>
  <c r="Q1706" i="57"/>
  <c r="S1706" i="57"/>
  <c r="P1707" i="57"/>
  <c r="R1707" i="57"/>
  <c r="Q1707" i="57"/>
  <c r="S1707" i="57"/>
  <c r="P1708" i="57"/>
  <c r="R1708" i="57"/>
  <c r="Q1708" i="57"/>
  <c r="S1708" i="57"/>
  <c r="P1709" i="57"/>
  <c r="R1709" i="57"/>
  <c r="Q1709" i="57"/>
  <c r="S1709" i="57"/>
  <c r="P1710" i="57"/>
  <c r="R1710" i="57"/>
  <c r="Q1710" i="57"/>
  <c r="S1710" i="57"/>
  <c r="P1711" i="57"/>
  <c r="R1711" i="57"/>
  <c r="Q1711" i="57"/>
  <c r="S1711" i="57"/>
  <c r="P1712" i="57"/>
  <c r="R1712" i="57"/>
  <c r="Q1712" i="57"/>
  <c r="S1712" i="57"/>
  <c r="P1713" i="57"/>
  <c r="R1713" i="57"/>
  <c r="Q1713" i="57"/>
  <c r="S1713" i="57"/>
  <c r="P1714" i="57"/>
  <c r="R1714" i="57"/>
  <c r="Q1714" i="57"/>
  <c r="S1714" i="57"/>
  <c r="P1715" i="57"/>
  <c r="R1715" i="57"/>
  <c r="Q1715" i="57"/>
  <c r="S1715" i="57"/>
  <c r="P1716" i="57"/>
  <c r="R1716" i="57"/>
  <c r="Q1716" i="57"/>
  <c r="S1716" i="57"/>
  <c r="P1717" i="57"/>
  <c r="R1717" i="57"/>
  <c r="Q1717" i="57"/>
  <c r="S1717" i="57"/>
  <c r="P1718" i="57"/>
  <c r="R1718" i="57"/>
  <c r="Q1718" i="57"/>
  <c r="S1718" i="57"/>
  <c r="P1719" i="57"/>
  <c r="R1719" i="57"/>
  <c r="Q1719" i="57"/>
  <c r="S1719" i="57"/>
  <c r="P1720" i="57"/>
  <c r="R1720" i="57"/>
  <c r="Q1720" i="57"/>
  <c r="S1720" i="57"/>
  <c r="P1721" i="57"/>
  <c r="R1721" i="57"/>
  <c r="Q1721" i="57"/>
  <c r="S1721" i="57"/>
  <c r="P1722" i="57"/>
  <c r="R1722" i="57"/>
  <c r="Q1722" i="57"/>
  <c r="S1722" i="57"/>
  <c r="P1723" i="57"/>
  <c r="R1723" i="57"/>
  <c r="Q1723" i="57"/>
  <c r="S1723" i="57"/>
  <c r="P1724" i="57"/>
  <c r="R1724" i="57"/>
  <c r="Q1724" i="57"/>
  <c r="S1724" i="57"/>
  <c r="P1725" i="57"/>
  <c r="R1725" i="57"/>
  <c r="Q1725" i="57"/>
  <c r="S1725" i="57"/>
  <c r="P1726" i="57"/>
  <c r="R1726" i="57"/>
  <c r="Q1726" i="57"/>
  <c r="S1726" i="57"/>
  <c r="P1727" i="57"/>
  <c r="R1727" i="57"/>
  <c r="Q1727" i="57"/>
  <c r="S1727" i="57"/>
  <c r="P1728" i="57"/>
  <c r="R1728" i="57"/>
  <c r="Q1728" i="57"/>
  <c r="S1728" i="57"/>
  <c r="P1729" i="57"/>
  <c r="R1729" i="57"/>
  <c r="Q1729" i="57"/>
  <c r="S1729" i="57"/>
  <c r="P1730" i="57"/>
  <c r="R1730" i="57"/>
  <c r="Q1730" i="57"/>
  <c r="S1730" i="57"/>
  <c r="P1731" i="57"/>
  <c r="R1731" i="57"/>
  <c r="Q1731" i="57"/>
  <c r="S1731" i="57"/>
  <c r="P1732" i="57"/>
  <c r="R1732" i="57"/>
  <c r="Q1732" i="57"/>
  <c r="S1732" i="57"/>
  <c r="P1733" i="57"/>
  <c r="R1733" i="57"/>
  <c r="Q1733" i="57"/>
  <c r="S1733" i="57"/>
  <c r="P1734" i="57"/>
  <c r="R1734" i="57"/>
  <c r="Q1734" i="57"/>
  <c r="S1734" i="57"/>
  <c r="P1735" i="57"/>
  <c r="R1735" i="57"/>
  <c r="Q1735" i="57"/>
  <c r="S1735" i="57"/>
  <c r="P1736" i="57"/>
  <c r="R1736" i="57"/>
  <c r="Q1736" i="57"/>
  <c r="S1736" i="57"/>
  <c r="P1737" i="57"/>
  <c r="R1737" i="57"/>
  <c r="Q1737" i="57"/>
  <c r="S1737" i="57"/>
  <c r="P1738" i="57"/>
  <c r="R1738" i="57"/>
  <c r="Q1738" i="57"/>
  <c r="S1738" i="57"/>
  <c r="P1739" i="57"/>
  <c r="R1739" i="57"/>
  <c r="Q1739" i="57"/>
  <c r="S1739" i="57"/>
  <c r="P1740" i="57"/>
  <c r="R1740" i="57"/>
  <c r="Q1740" i="57"/>
  <c r="S1740" i="57"/>
  <c r="P1741" i="57"/>
  <c r="R1741" i="57"/>
  <c r="Q1741" i="57"/>
  <c r="S1741" i="57"/>
  <c r="P1742" i="57"/>
  <c r="R1742" i="57"/>
  <c r="Q1742" i="57"/>
  <c r="S1742" i="57"/>
  <c r="P1743" i="57"/>
  <c r="R1743" i="57"/>
  <c r="Q1743" i="57"/>
  <c r="S1743" i="57"/>
  <c r="P1744" i="57"/>
  <c r="R1744" i="57"/>
  <c r="Q1744" i="57"/>
  <c r="S1744" i="57"/>
  <c r="P1745" i="57"/>
  <c r="R1745" i="57"/>
  <c r="Q1745" i="57"/>
  <c r="S1745" i="57"/>
  <c r="P1746" i="57"/>
  <c r="R1746" i="57"/>
  <c r="Q1746" i="57"/>
  <c r="S1746" i="57"/>
  <c r="P1747" i="57"/>
  <c r="R1747" i="57"/>
  <c r="Q1747" i="57"/>
  <c r="S1747" i="57"/>
  <c r="P1748" i="57"/>
  <c r="R1748" i="57"/>
  <c r="Q1748" i="57"/>
  <c r="S1748" i="57"/>
  <c r="P1749" i="57"/>
  <c r="R1749" i="57"/>
  <c r="Q1749" i="57"/>
  <c r="S1749" i="57"/>
  <c r="P1750" i="57"/>
  <c r="R1750" i="57"/>
  <c r="Q1750" i="57"/>
  <c r="S1750" i="57"/>
  <c r="P1751" i="57"/>
  <c r="R1751" i="57"/>
  <c r="Q1751" i="57"/>
  <c r="S1751" i="57"/>
  <c r="P1752" i="57"/>
  <c r="R1752" i="57"/>
  <c r="Q1752" i="57"/>
  <c r="S1752" i="57"/>
  <c r="P1753" i="57"/>
  <c r="R1753" i="57"/>
  <c r="Q1753" i="57"/>
  <c r="S1753" i="57"/>
  <c r="P1754" i="57"/>
  <c r="R1754" i="57"/>
  <c r="Q1754" i="57"/>
  <c r="S1754" i="57"/>
  <c r="P1755" i="57"/>
  <c r="R1755" i="57"/>
  <c r="Q1755" i="57"/>
  <c r="S1755" i="57"/>
  <c r="P1756" i="57"/>
  <c r="R1756" i="57"/>
  <c r="Q1756" i="57"/>
  <c r="S1756" i="57"/>
  <c r="P1757" i="57"/>
  <c r="R1757" i="57"/>
  <c r="Q1757" i="57"/>
  <c r="S1757" i="57"/>
  <c r="P1758" i="57"/>
  <c r="R1758" i="57"/>
  <c r="Q1758" i="57"/>
  <c r="S1758" i="57"/>
  <c r="P1759" i="57"/>
  <c r="R1759" i="57"/>
  <c r="Q1759" i="57"/>
  <c r="S1759" i="57"/>
  <c r="P1760" i="57"/>
  <c r="R1760" i="57"/>
  <c r="Q1760" i="57"/>
  <c r="S1760" i="57"/>
  <c r="P1761" i="57"/>
  <c r="R1761" i="57"/>
  <c r="Q1761" i="57"/>
  <c r="S1761" i="57"/>
  <c r="P1762" i="57"/>
  <c r="R1762" i="57"/>
  <c r="Q1762" i="57"/>
  <c r="S1762" i="57"/>
  <c r="P1763" i="57"/>
  <c r="R1763" i="57"/>
  <c r="Q1763" i="57"/>
  <c r="S1763" i="57"/>
  <c r="P1764" i="57"/>
  <c r="R1764" i="57"/>
  <c r="Q1764" i="57"/>
  <c r="S1764" i="57"/>
  <c r="P1765" i="57"/>
  <c r="R1765" i="57"/>
  <c r="Q1765" i="57"/>
  <c r="S1765" i="57"/>
  <c r="P1766" i="57"/>
  <c r="R1766" i="57"/>
  <c r="Q1766" i="57"/>
  <c r="S1766" i="57"/>
  <c r="S1702" i="57"/>
  <c r="Q1702" i="57"/>
  <c r="R1702" i="57"/>
  <c r="P1702" i="57"/>
  <c r="S1701" i="57"/>
  <c r="Q1701" i="57"/>
  <c r="R1701" i="57"/>
  <c r="P1701" i="57"/>
  <c r="S1700" i="57"/>
  <c r="Q1700" i="57"/>
  <c r="R1700" i="57"/>
  <c r="P1700" i="57"/>
  <c r="S1698" i="57"/>
  <c r="Q1698" i="57"/>
  <c r="R1698" i="57"/>
  <c r="P1698" i="57"/>
  <c r="S1697" i="57"/>
  <c r="Q1697" i="57"/>
  <c r="R1697" i="57"/>
  <c r="P1697" i="57"/>
  <c r="S1696" i="57"/>
  <c r="Q1696" i="57"/>
  <c r="R1696" i="57"/>
  <c r="P1696" i="57"/>
  <c r="S1695" i="57"/>
  <c r="Q1695" i="57"/>
  <c r="R1695" i="57"/>
  <c r="P1695" i="57"/>
  <c r="S1694" i="57"/>
  <c r="Q1694" i="57"/>
  <c r="R1694" i="57"/>
  <c r="P1694" i="57"/>
  <c r="S1693" i="57"/>
  <c r="Q1693" i="57"/>
  <c r="R1693" i="57"/>
  <c r="P1693" i="57"/>
  <c r="S1692" i="57"/>
  <c r="Q1692" i="57"/>
  <c r="R1692" i="57"/>
  <c r="P1692" i="57"/>
  <c r="S1691" i="57"/>
  <c r="Q1691" i="57"/>
  <c r="R1691" i="57"/>
  <c r="P1691" i="57"/>
  <c r="P1679" i="57"/>
  <c r="R1679" i="57"/>
  <c r="Q1679" i="57"/>
  <c r="S1679" i="57"/>
  <c r="P1680" i="57"/>
  <c r="R1680" i="57"/>
  <c r="Q1680" i="57"/>
  <c r="S1680" i="57"/>
  <c r="P1681" i="57"/>
  <c r="R1681" i="57"/>
  <c r="Q1681" i="57"/>
  <c r="S1681" i="57"/>
  <c r="P1682" i="57"/>
  <c r="R1682" i="57"/>
  <c r="Q1682" i="57"/>
  <c r="S1682" i="57"/>
  <c r="P1683" i="57"/>
  <c r="R1683" i="57"/>
  <c r="Q1683" i="57"/>
  <c r="S1683" i="57"/>
  <c r="P1684" i="57"/>
  <c r="R1684" i="57"/>
  <c r="Q1684" i="57"/>
  <c r="S1684" i="57"/>
  <c r="P1685" i="57"/>
  <c r="R1685" i="57"/>
  <c r="Q1685" i="57"/>
  <c r="S1685" i="57"/>
  <c r="P1686" i="57"/>
  <c r="R1686" i="57"/>
  <c r="Q1686" i="57"/>
  <c r="S1686" i="57"/>
  <c r="P1687" i="57"/>
  <c r="R1687" i="57"/>
  <c r="Q1687" i="57"/>
  <c r="S1687" i="57"/>
  <c r="P1688" i="57"/>
  <c r="R1688" i="57"/>
  <c r="Q1688" i="57"/>
  <c r="S1688" i="57"/>
  <c r="S1678" i="57"/>
  <c r="Q1678" i="57"/>
  <c r="R1678" i="57"/>
  <c r="P1678" i="57"/>
  <c r="S1677" i="57"/>
  <c r="Q1677" i="57"/>
  <c r="R1677" i="57"/>
  <c r="P1677" i="57"/>
  <c r="P1643" i="57"/>
  <c r="R1643" i="57"/>
  <c r="Q1643" i="57"/>
  <c r="S1643" i="57"/>
  <c r="P1644" i="57"/>
  <c r="R1644" i="57"/>
  <c r="Q1644" i="57"/>
  <c r="S1644" i="57"/>
  <c r="P1645" i="57"/>
  <c r="R1645" i="57"/>
  <c r="Q1645" i="57"/>
  <c r="S1645" i="57"/>
  <c r="P1646" i="57"/>
  <c r="R1646" i="57"/>
  <c r="Q1646" i="57"/>
  <c r="S1646" i="57"/>
  <c r="P1647" i="57"/>
  <c r="R1647" i="57"/>
  <c r="Q1647" i="57"/>
  <c r="S1647" i="57"/>
  <c r="P1648" i="57"/>
  <c r="R1648" i="57"/>
  <c r="Q1648" i="57"/>
  <c r="S1648" i="57"/>
  <c r="P1649" i="57"/>
  <c r="R1649" i="57"/>
  <c r="Q1649" i="57"/>
  <c r="S1649" i="57"/>
  <c r="P1651" i="57"/>
  <c r="R1651" i="57"/>
  <c r="Q1651" i="57"/>
  <c r="S1651" i="57"/>
  <c r="P1652" i="57"/>
  <c r="R1652" i="57"/>
  <c r="Q1652" i="57"/>
  <c r="S1652" i="57"/>
  <c r="P1653" i="57"/>
  <c r="R1653" i="57"/>
  <c r="Q1653" i="57"/>
  <c r="S1653" i="57"/>
  <c r="P1654" i="57"/>
  <c r="R1654" i="57"/>
  <c r="Q1654" i="57"/>
  <c r="S1654" i="57"/>
  <c r="P1655" i="57"/>
  <c r="R1655" i="57"/>
  <c r="Q1655" i="57"/>
  <c r="S1655" i="57"/>
  <c r="P1656" i="57"/>
  <c r="R1656" i="57"/>
  <c r="Q1656" i="57"/>
  <c r="S1656" i="57"/>
  <c r="P1657" i="57"/>
  <c r="R1657" i="57"/>
  <c r="Q1657" i="57"/>
  <c r="S1657" i="57"/>
  <c r="P1658" i="57"/>
  <c r="R1658" i="57"/>
  <c r="Q1658" i="57"/>
  <c r="S1658" i="57"/>
  <c r="P1659" i="57"/>
  <c r="R1659" i="57"/>
  <c r="Q1659" i="57"/>
  <c r="S1659" i="57"/>
  <c r="P1660" i="57"/>
  <c r="R1660" i="57"/>
  <c r="Q1660" i="57"/>
  <c r="S1660" i="57"/>
  <c r="P1661" i="57"/>
  <c r="R1661" i="57"/>
  <c r="Q1661" i="57"/>
  <c r="S1661" i="57"/>
  <c r="P1662" i="57"/>
  <c r="R1662" i="57"/>
  <c r="Q1662" i="57"/>
  <c r="S1662" i="57"/>
  <c r="P1663" i="57"/>
  <c r="R1663" i="57"/>
  <c r="Q1663" i="57"/>
  <c r="S1663" i="57"/>
  <c r="P1664" i="57"/>
  <c r="R1664" i="57"/>
  <c r="Q1664" i="57"/>
  <c r="S1664" i="57"/>
  <c r="P1665" i="57"/>
  <c r="R1665" i="57"/>
  <c r="Q1665" i="57"/>
  <c r="S1665" i="57"/>
  <c r="P1666" i="57"/>
  <c r="R1666" i="57"/>
  <c r="Q1666" i="57"/>
  <c r="S1666" i="57"/>
  <c r="P1667" i="57"/>
  <c r="R1667" i="57"/>
  <c r="Q1667" i="57"/>
  <c r="S1667" i="57"/>
  <c r="P1668" i="57"/>
  <c r="R1668" i="57"/>
  <c r="Q1668" i="57"/>
  <c r="S1668" i="57"/>
  <c r="P1669" i="57"/>
  <c r="R1669" i="57"/>
  <c r="Q1669" i="57"/>
  <c r="S1669" i="57"/>
  <c r="P1670" i="57"/>
  <c r="R1670" i="57"/>
  <c r="Q1670" i="57"/>
  <c r="S1670" i="57"/>
  <c r="P1671" i="57"/>
  <c r="R1671" i="57"/>
  <c r="Q1671" i="57"/>
  <c r="S1671" i="57"/>
  <c r="P1672" i="57"/>
  <c r="R1672" i="57"/>
  <c r="Q1672" i="57"/>
  <c r="S1672" i="57"/>
  <c r="P1673" i="57"/>
  <c r="R1673" i="57"/>
  <c r="Q1673" i="57"/>
  <c r="S1673" i="57"/>
  <c r="P1674" i="57"/>
  <c r="R1674" i="57"/>
  <c r="Q1674" i="57"/>
  <c r="S1674" i="57"/>
  <c r="S1642" i="57"/>
  <c r="Q1642" i="57"/>
  <c r="R1642" i="57"/>
  <c r="P1642" i="57"/>
  <c r="S1641" i="57"/>
  <c r="Q1641" i="57"/>
  <c r="R1641" i="57"/>
  <c r="P1641" i="57"/>
  <c r="S1640" i="57"/>
  <c r="Q1640" i="57"/>
  <c r="R1640" i="57"/>
  <c r="P1640" i="57"/>
  <c r="S1639" i="57"/>
  <c r="Q1639" i="57"/>
  <c r="R1639" i="57"/>
  <c r="P1639" i="57"/>
  <c r="S1638" i="57"/>
  <c r="Q1638" i="57"/>
  <c r="R1638" i="57"/>
  <c r="P1638" i="57"/>
  <c r="P1598" i="57"/>
  <c r="R1598" i="57"/>
  <c r="Q1598" i="57"/>
  <c r="S1598" i="57"/>
  <c r="P1599" i="57"/>
  <c r="R1599" i="57"/>
  <c r="Q1599" i="57"/>
  <c r="S1599" i="57"/>
  <c r="P1600" i="57"/>
  <c r="R1600" i="57"/>
  <c r="Q1600" i="57"/>
  <c r="S1600" i="57"/>
  <c r="P1601" i="57"/>
  <c r="R1601" i="57"/>
  <c r="Q1601" i="57"/>
  <c r="S1601" i="57"/>
  <c r="P1602" i="57"/>
  <c r="R1602" i="57"/>
  <c r="Q1602" i="57"/>
  <c r="S1602" i="57"/>
  <c r="P1603" i="57"/>
  <c r="R1603" i="57"/>
  <c r="Q1603" i="57"/>
  <c r="S1603" i="57"/>
  <c r="P1604" i="57"/>
  <c r="R1604" i="57"/>
  <c r="Q1604" i="57"/>
  <c r="S1604" i="57"/>
  <c r="P1605" i="57"/>
  <c r="R1605" i="57"/>
  <c r="Q1605" i="57"/>
  <c r="S1605" i="57"/>
  <c r="P1606" i="57"/>
  <c r="R1606" i="57"/>
  <c r="Q1606" i="57"/>
  <c r="S1606" i="57"/>
  <c r="P1607" i="57"/>
  <c r="R1607" i="57"/>
  <c r="Q1607" i="57"/>
  <c r="S1607" i="57"/>
  <c r="P1608" i="57"/>
  <c r="R1608" i="57"/>
  <c r="Q1608" i="57"/>
  <c r="S1608" i="57"/>
  <c r="P1609" i="57"/>
  <c r="R1609" i="57"/>
  <c r="Q1609" i="57"/>
  <c r="S1609" i="57"/>
  <c r="P1610" i="57"/>
  <c r="R1610" i="57"/>
  <c r="Q1610" i="57"/>
  <c r="S1610" i="57"/>
  <c r="P1611" i="57"/>
  <c r="R1611" i="57"/>
  <c r="Q1611" i="57"/>
  <c r="S1611" i="57"/>
  <c r="P1612" i="57"/>
  <c r="R1612" i="57"/>
  <c r="Q1612" i="57"/>
  <c r="S1612" i="57"/>
  <c r="P1613" i="57"/>
  <c r="R1613" i="57"/>
  <c r="Q1613" i="57"/>
  <c r="S1613" i="57"/>
  <c r="P1614" i="57"/>
  <c r="R1614" i="57"/>
  <c r="Q1614" i="57"/>
  <c r="S1614" i="57"/>
  <c r="P1615" i="57"/>
  <c r="R1615" i="57"/>
  <c r="Q1615" i="57"/>
  <c r="S1615" i="57"/>
  <c r="P1616" i="57"/>
  <c r="R1616" i="57"/>
  <c r="Q1616" i="57"/>
  <c r="S1616" i="57"/>
  <c r="P1617" i="57"/>
  <c r="R1617" i="57"/>
  <c r="Q1617" i="57"/>
  <c r="S1617" i="57"/>
  <c r="P1618" i="57"/>
  <c r="R1618" i="57"/>
  <c r="Q1618" i="57"/>
  <c r="S1618" i="57"/>
  <c r="P1619" i="57"/>
  <c r="R1619" i="57"/>
  <c r="Q1619" i="57"/>
  <c r="S1619" i="57"/>
  <c r="P1620" i="57"/>
  <c r="R1620" i="57"/>
  <c r="Q1620" i="57"/>
  <c r="S1620" i="57"/>
  <c r="P1621" i="57"/>
  <c r="R1621" i="57"/>
  <c r="Q1621" i="57"/>
  <c r="S1621" i="57"/>
  <c r="P1622" i="57"/>
  <c r="R1622" i="57"/>
  <c r="Q1622" i="57"/>
  <c r="S1622" i="57"/>
  <c r="P1623" i="57"/>
  <c r="R1623" i="57"/>
  <c r="Q1623" i="57"/>
  <c r="S1623" i="57"/>
  <c r="P1624" i="57"/>
  <c r="R1624" i="57"/>
  <c r="Q1624" i="57"/>
  <c r="S1624" i="57"/>
  <c r="P1625" i="57"/>
  <c r="R1625" i="57"/>
  <c r="Q1625" i="57"/>
  <c r="S1625" i="57"/>
  <c r="P1626" i="57"/>
  <c r="R1626" i="57"/>
  <c r="Q1626" i="57"/>
  <c r="S1626" i="57"/>
  <c r="P1627" i="57"/>
  <c r="R1627" i="57"/>
  <c r="Q1627" i="57"/>
  <c r="S1627" i="57"/>
  <c r="P1628" i="57"/>
  <c r="R1628" i="57"/>
  <c r="Q1628" i="57"/>
  <c r="S1628" i="57"/>
  <c r="P1629" i="57"/>
  <c r="R1629" i="57"/>
  <c r="Q1629" i="57"/>
  <c r="S1629" i="57"/>
  <c r="P1630" i="57"/>
  <c r="R1630" i="57"/>
  <c r="Q1630" i="57"/>
  <c r="S1630" i="57"/>
  <c r="P1631" i="57"/>
  <c r="R1631" i="57"/>
  <c r="Q1631" i="57"/>
  <c r="S1631" i="57"/>
  <c r="P1632" i="57"/>
  <c r="R1632" i="57"/>
  <c r="Q1632" i="57"/>
  <c r="S1632" i="57"/>
  <c r="P1633" i="57"/>
  <c r="R1633" i="57"/>
  <c r="Q1633" i="57"/>
  <c r="S1633" i="57"/>
  <c r="P1634" i="57"/>
  <c r="R1634" i="57"/>
  <c r="Q1634" i="57"/>
  <c r="S1634" i="57"/>
  <c r="P1635" i="57"/>
  <c r="R1635" i="57"/>
  <c r="Q1635" i="57"/>
  <c r="S1635" i="57"/>
  <c r="S1597" i="57"/>
  <c r="Q1597" i="57"/>
  <c r="R1597" i="57"/>
  <c r="P1597" i="57"/>
  <c r="S1596" i="57"/>
  <c r="Q1596" i="57"/>
  <c r="R1596" i="57"/>
  <c r="P1596" i="57"/>
  <c r="S1595" i="57"/>
  <c r="Q1595" i="57"/>
  <c r="R1595" i="57"/>
  <c r="P1595" i="57"/>
  <c r="S1594" i="57"/>
  <c r="Q1594" i="57"/>
  <c r="R1594" i="57"/>
  <c r="P1594" i="57"/>
  <c r="S1593" i="57"/>
  <c r="Q1593" i="57"/>
  <c r="R1593" i="57"/>
  <c r="P1593" i="57"/>
  <c r="P1553" i="57"/>
  <c r="R1553" i="57"/>
  <c r="Q1553" i="57"/>
  <c r="S1553" i="57"/>
  <c r="P1554" i="57"/>
  <c r="R1554" i="57"/>
  <c r="Q1554" i="57"/>
  <c r="S1554" i="57"/>
  <c r="P1555" i="57"/>
  <c r="R1555" i="57"/>
  <c r="Q1555" i="57"/>
  <c r="S1555" i="57"/>
  <c r="P1556" i="57"/>
  <c r="R1556" i="57"/>
  <c r="Q1556" i="57"/>
  <c r="S1556" i="57"/>
  <c r="P1557" i="57"/>
  <c r="R1557" i="57"/>
  <c r="Q1557" i="57"/>
  <c r="S1557" i="57"/>
  <c r="P1558" i="57"/>
  <c r="R1558" i="57"/>
  <c r="Q1558" i="57"/>
  <c r="S1558" i="57"/>
  <c r="P1559" i="57"/>
  <c r="R1559" i="57"/>
  <c r="Q1559" i="57"/>
  <c r="S1559" i="57"/>
  <c r="P1560" i="57"/>
  <c r="R1560" i="57"/>
  <c r="Q1560" i="57"/>
  <c r="S1560" i="57"/>
  <c r="P1561" i="57"/>
  <c r="R1561" i="57"/>
  <c r="Q1561" i="57"/>
  <c r="S1561" i="57"/>
  <c r="P1562" i="57"/>
  <c r="R1562" i="57"/>
  <c r="Q1562" i="57"/>
  <c r="S1562" i="57"/>
  <c r="P1563" i="57"/>
  <c r="R1563" i="57"/>
  <c r="Q1563" i="57"/>
  <c r="S1563" i="57"/>
  <c r="P1564" i="57"/>
  <c r="R1564" i="57"/>
  <c r="Q1564" i="57"/>
  <c r="S1564" i="57"/>
  <c r="P1565" i="57"/>
  <c r="R1565" i="57"/>
  <c r="Q1565" i="57"/>
  <c r="S1565" i="57"/>
  <c r="P1566" i="57"/>
  <c r="R1566" i="57"/>
  <c r="Q1566" i="57"/>
  <c r="S1566" i="57"/>
  <c r="P1567" i="57"/>
  <c r="R1567" i="57"/>
  <c r="Q1567" i="57"/>
  <c r="S1567" i="57"/>
  <c r="P1568" i="57"/>
  <c r="R1568" i="57"/>
  <c r="Q1568" i="57"/>
  <c r="S1568" i="57"/>
  <c r="P1569" i="57"/>
  <c r="R1569" i="57"/>
  <c r="Q1569" i="57"/>
  <c r="S1569" i="57"/>
  <c r="P1570" i="57"/>
  <c r="R1570" i="57"/>
  <c r="Q1570" i="57"/>
  <c r="S1570" i="57"/>
  <c r="P1571" i="57"/>
  <c r="R1571" i="57"/>
  <c r="Q1571" i="57"/>
  <c r="S1571" i="57"/>
  <c r="P1572" i="57"/>
  <c r="R1572" i="57"/>
  <c r="Q1572" i="57"/>
  <c r="S1572" i="57"/>
  <c r="P1573" i="57"/>
  <c r="R1573" i="57"/>
  <c r="Q1573" i="57"/>
  <c r="S1573" i="57"/>
  <c r="P1574" i="57"/>
  <c r="R1574" i="57"/>
  <c r="Q1574" i="57"/>
  <c r="S1574" i="57"/>
  <c r="P1575" i="57"/>
  <c r="R1575" i="57"/>
  <c r="Q1575" i="57"/>
  <c r="S1575" i="57"/>
  <c r="P1576" i="57"/>
  <c r="R1576" i="57"/>
  <c r="Q1576" i="57"/>
  <c r="S1576" i="57"/>
  <c r="P1577" i="57"/>
  <c r="R1577" i="57"/>
  <c r="Q1577" i="57"/>
  <c r="S1577" i="57"/>
  <c r="P1578" i="57"/>
  <c r="R1578" i="57"/>
  <c r="Q1578" i="57"/>
  <c r="S1578" i="57"/>
  <c r="P1579" i="57"/>
  <c r="R1579" i="57"/>
  <c r="Q1579" i="57"/>
  <c r="S1579" i="57"/>
  <c r="P1580" i="57"/>
  <c r="R1580" i="57"/>
  <c r="Q1580" i="57"/>
  <c r="S1580" i="57"/>
  <c r="P1581" i="57"/>
  <c r="R1581" i="57"/>
  <c r="Q1581" i="57"/>
  <c r="S1581" i="57"/>
  <c r="P1582" i="57"/>
  <c r="R1582" i="57"/>
  <c r="Q1582" i="57"/>
  <c r="S1582" i="57"/>
  <c r="P1583" i="57"/>
  <c r="R1583" i="57"/>
  <c r="Q1583" i="57"/>
  <c r="S1583" i="57"/>
  <c r="P1584" i="57"/>
  <c r="R1584" i="57"/>
  <c r="Q1584" i="57"/>
  <c r="S1584" i="57"/>
  <c r="P1585" i="57"/>
  <c r="R1585" i="57"/>
  <c r="Q1585" i="57"/>
  <c r="S1585" i="57"/>
  <c r="P1586" i="57"/>
  <c r="R1586" i="57"/>
  <c r="Q1586" i="57"/>
  <c r="S1586" i="57"/>
  <c r="P1587" i="57"/>
  <c r="R1587" i="57"/>
  <c r="Q1587" i="57"/>
  <c r="S1587" i="57"/>
  <c r="P1588" i="57"/>
  <c r="R1588" i="57"/>
  <c r="Q1588" i="57"/>
  <c r="S1588" i="57"/>
  <c r="P1589" i="57"/>
  <c r="R1589" i="57"/>
  <c r="Q1589" i="57"/>
  <c r="S1589" i="57"/>
  <c r="P1590" i="57"/>
  <c r="R1590" i="57"/>
  <c r="Q1590" i="57"/>
  <c r="S1590" i="57"/>
  <c r="S1552" i="57"/>
  <c r="Q1552" i="57"/>
  <c r="R1552" i="57"/>
  <c r="P1552" i="57"/>
  <c r="S1551" i="57"/>
  <c r="Q1551" i="57"/>
  <c r="R1551" i="57"/>
  <c r="P1551" i="57"/>
  <c r="S1550" i="57"/>
  <c r="Q1550" i="57"/>
  <c r="R1550" i="57"/>
  <c r="P1550" i="57"/>
  <c r="S1549" i="57"/>
  <c r="Q1549" i="57"/>
  <c r="R1549" i="57"/>
  <c r="P1549" i="57"/>
  <c r="S1548" i="57"/>
  <c r="Q1548" i="57"/>
  <c r="R1548" i="57"/>
  <c r="P1548" i="57"/>
  <c r="S1547" i="57"/>
  <c r="Q1547" i="57"/>
  <c r="R1547" i="57"/>
  <c r="P1547" i="57"/>
  <c r="P1520" i="57"/>
  <c r="R1520" i="57"/>
  <c r="Q1520" i="57"/>
  <c r="S1520" i="57"/>
  <c r="P1521" i="57"/>
  <c r="R1521" i="57"/>
  <c r="Q1521" i="57"/>
  <c r="S1521" i="57"/>
  <c r="P1523" i="57"/>
  <c r="R1523" i="57"/>
  <c r="Q1523" i="57"/>
  <c r="S1523" i="57"/>
  <c r="P1524" i="57"/>
  <c r="R1524" i="57"/>
  <c r="Q1524" i="57"/>
  <c r="S1524" i="57"/>
  <c r="P1525" i="57"/>
  <c r="R1525" i="57"/>
  <c r="Q1525" i="57"/>
  <c r="S1525" i="57"/>
  <c r="P1526" i="57"/>
  <c r="R1526" i="57"/>
  <c r="Q1526" i="57"/>
  <c r="S1526" i="57"/>
  <c r="P1527" i="57"/>
  <c r="R1527" i="57"/>
  <c r="Q1527" i="57"/>
  <c r="S1527" i="57"/>
  <c r="P1528" i="57"/>
  <c r="R1528" i="57"/>
  <c r="Q1528" i="57"/>
  <c r="S1528" i="57"/>
  <c r="P1529" i="57"/>
  <c r="R1529" i="57"/>
  <c r="Q1529" i="57"/>
  <c r="S1529" i="57"/>
  <c r="P1530" i="57"/>
  <c r="R1530" i="57"/>
  <c r="Q1530" i="57"/>
  <c r="S1530" i="57"/>
  <c r="P1531" i="57"/>
  <c r="R1531" i="57"/>
  <c r="Q1531" i="57"/>
  <c r="S1531" i="57"/>
  <c r="P1532" i="57"/>
  <c r="R1532" i="57"/>
  <c r="Q1532" i="57"/>
  <c r="S1532" i="57"/>
  <c r="P1533" i="57"/>
  <c r="R1533" i="57"/>
  <c r="Q1533" i="57"/>
  <c r="S1533" i="57"/>
  <c r="P1534" i="57"/>
  <c r="R1534" i="57"/>
  <c r="Q1534" i="57"/>
  <c r="S1534" i="57"/>
  <c r="P1535" i="57"/>
  <c r="R1535" i="57"/>
  <c r="Q1535" i="57"/>
  <c r="S1535" i="57"/>
  <c r="P1536" i="57"/>
  <c r="R1536" i="57"/>
  <c r="Q1536" i="57"/>
  <c r="S1536" i="57"/>
  <c r="P1537" i="57"/>
  <c r="R1537" i="57"/>
  <c r="Q1537" i="57"/>
  <c r="S1537" i="57"/>
  <c r="P1538" i="57"/>
  <c r="R1538" i="57"/>
  <c r="Q1538" i="57"/>
  <c r="S1538" i="57"/>
  <c r="P1539" i="57"/>
  <c r="R1539" i="57"/>
  <c r="Q1539" i="57"/>
  <c r="S1539" i="57"/>
  <c r="P1540" i="57"/>
  <c r="R1540" i="57"/>
  <c r="Q1540" i="57"/>
  <c r="S1540" i="57"/>
  <c r="P1541" i="57"/>
  <c r="R1541" i="57"/>
  <c r="Q1541" i="57"/>
  <c r="S1541" i="57"/>
  <c r="P1542" i="57"/>
  <c r="R1542" i="57"/>
  <c r="Q1542" i="57"/>
  <c r="S1542" i="57"/>
  <c r="P1543" i="57"/>
  <c r="R1543" i="57"/>
  <c r="Q1543" i="57"/>
  <c r="S1543" i="57"/>
  <c r="P1544" i="57"/>
  <c r="R1544" i="57"/>
  <c r="Q1544" i="57"/>
  <c r="S1544" i="57"/>
  <c r="S1519" i="57"/>
  <c r="Q1519" i="57"/>
  <c r="R1519" i="57"/>
  <c r="P1519" i="57"/>
  <c r="S1518" i="57"/>
  <c r="Q1518" i="57"/>
  <c r="R1518" i="57"/>
  <c r="P1518" i="57"/>
  <c r="S1516" i="57"/>
  <c r="Q1516" i="57"/>
  <c r="R1516" i="57"/>
  <c r="P1516" i="57"/>
  <c r="P1444" i="57"/>
  <c r="R1444" i="57"/>
  <c r="Q1444" i="57"/>
  <c r="S1444" i="57"/>
  <c r="P1445" i="57"/>
  <c r="R1445" i="57"/>
  <c r="Q1445" i="57"/>
  <c r="S1445" i="57"/>
  <c r="P1446" i="57"/>
  <c r="R1446" i="57"/>
  <c r="Q1446" i="57"/>
  <c r="S1446" i="57"/>
  <c r="P1447" i="57"/>
  <c r="R1447" i="57"/>
  <c r="Q1447" i="57"/>
  <c r="S1447" i="57"/>
  <c r="P1448" i="57"/>
  <c r="R1448" i="57"/>
  <c r="Q1448" i="57"/>
  <c r="S1448" i="57"/>
  <c r="P1449" i="57"/>
  <c r="R1449" i="57"/>
  <c r="Q1449" i="57"/>
  <c r="S1449" i="57"/>
  <c r="P1450" i="57"/>
  <c r="R1450" i="57"/>
  <c r="Q1450" i="57"/>
  <c r="S1450" i="57"/>
  <c r="P1451" i="57"/>
  <c r="R1451" i="57"/>
  <c r="Q1451" i="57"/>
  <c r="S1451" i="57"/>
  <c r="P1452" i="57"/>
  <c r="R1452" i="57"/>
  <c r="Q1452" i="57"/>
  <c r="S1452" i="57"/>
  <c r="P1453" i="57"/>
  <c r="R1453" i="57"/>
  <c r="Q1453" i="57"/>
  <c r="S1453" i="57"/>
  <c r="P1454" i="57"/>
  <c r="R1454" i="57"/>
  <c r="Q1454" i="57"/>
  <c r="S1454" i="57"/>
  <c r="P1455" i="57"/>
  <c r="R1455" i="57"/>
  <c r="Q1455" i="57"/>
  <c r="S1455" i="57"/>
  <c r="P1456" i="57"/>
  <c r="R1456" i="57"/>
  <c r="Q1456" i="57"/>
  <c r="S1456" i="57"/>
  <c r="P1457" i="57"/>
  <c r="R1457" i="57"/>
  <c r="Q1457" i="57"/>
  <c r="S1457" i="57"/>
  <c r="P1458" i="57"/>
  <c r="R1458" i="57"/>
  <c r="Q1458" i="57"/>
  <c r="S1458" i="57"/>
  <c r="P1459" i="57"/>
  <c r="R1459" i="57"/>
  <c r="Q1459" i="57"/>
  <c r="S1459" i="57"/>
  <c r="P1460" i="57"/>
  <c r="R1460" i="57"/>
  <c r="Q1460" i="57"/>
  <c r="S1460" i="57"/>
  <c r="P1461" i="57"/>
  <c r="R1461" i="57"/>
  <c r="Q1461" i="57"/>
  <c r="S1461" i="57"/>
  <c r="P1462" i="57"/>
  <c r="R1462" i="57"/>
  <c r="Q1462" i="57"/>
  <c r="S1462" i="57"/>
  <c r="P1463" i="57"/>
  <c r="R1463" i="57"/>
  <c r="Q1463" i="57"/>
  <c r="S1463" i="57"/>
  <c r="P1464" i="57"/>
  <c r="R1464" i="57"/>
  <c r="Q1464" i="57"/>
  <c r="S1464" i="57"/>
  <c r="P1465" i="57"/>
  <c r="R1465" i="57"/>
  <c r="Q1465" i="57"/>
  <c r="S1465" i="57"/>
  <c r="P1466" i="57"/>
  <c r="R1466" i="57"/>
  <c r="Q1466" i="57"/>
  <c r="S1466" i="57"/>
  <c r="P1467" i="57"/>
  <c r="R1467" i="57"/>
  <c r="Q1467" i="57"/>
  <c r="S1467" i="57"/>
  <c r="P1468" i="57"/>
  <c r="R1468" i="57"/>
  <c r="Q1468" i="57"/>
  <c r="S1468" i="57"/>
  <c r="P1469" i="57"/>
  <c r="R1469" i="57"/>
  <c r="Q1469" i="57"/>
  <c r="S1469" i="57"/>
  <c r="P1470" i="57"/>
  <c r="R1470" i="57"/>
  <c r="Q1470" i="57"/>
  <c r="S1470" i="57"/>
  <c r="P1471" i="57"/>
  <c r="R1471" i="57"/>
  <c r="Q1471" i="57"/>
  <c r="S1471" i="57"/>
  <c r="P1472" i="57"/>
  <c r="R1472" i="57"/>
  <c r="Q1472" i="57"/>
  <c r="S1472" i="57"/>
  <c r="P1473" i="57"/>
  <c r="R1473" i="57"/>
  <c r="Q1473" i="57"/>
  <c r="S1473" i="57"/>
  <c r="P1474" i="57"/>
  <c r="R1474" i="57"/>
  <c r="Q1474" i="57"/>
  <c r="S1474" i="57"/>
  <c r="P1475" i="57"/>
  <c r="R1475" i="57"/>
  <c r="Q1475" i="57"/>
  <c r="S1475" i="57"/>
  <c r="P1476" i="57"/>
  <c r="R1476" i="57"/>
  <c r="Q1476" i="57"/>
  <c r="S1476" i="57"/>
  <c r="P1477" i="57"/>
  <c r="R1477" i="57"/>
  <c r="Q1477" i="57"/>
  <c r="S1477" i="57"/>
  <c r="P1478" i="57"/>
  <c r="R1478" i="57"/>
  <c r="Q1478" i="57"/>
  <c r="S1478" i="57"/>
  <c r="P1479" i="57"/>
  <c r="R1479" i="57"/>
  <c r="Q1479" i="57"/>
  <c r="S1479" i="57"/>
  <c r="P1480" i="57"/>
  <c r="R1480" i="57"/>
  <c r="Q1480" i="57"/>
  <c r="S1480" i="57"/>
  <c r="P1481" i="57"/>
  <c r="R1481" i="57"/>
  <c r="Q1481" i="57"/>
  <c r="S1481" i="57"/>
  <c r="P1482" i="57"/>
  <c r="R1482" i="57"/>
  <c r="Q1482" i="57"/>
  <c r="S1482" i="57"/>
  <c r="P1483" i="57"/>
  <c r="R1483" i="57"/>
  <c r="Q1483" i="57"/>
  <c r="S1483" i="57"/>
  <c r="P1484" i="57"/>
  <c r="R1484" i="57"/>
  <c r="Q1484" i="57"/>
  <c r="S1484" i="57"/>
  <c r="P1485" i="57"/>
  <c r="R1485" i="57"/>
  <c r="Q1485" i="57"/>
  <c r="S1485" i="57"/>
  <c r="P1486" i="57"/>
  <c r="R1486" i="57"/>
  <c r="Q1486" i="57"/>
  <c r="S1486" i="57"/>
  <c r="P1487" i="57"/>
  <c r="R1487" i="57"/>
  <c r="Q1487" i="57"/>
  <c r="S1487" i="57"/>
  <c r="P1488" i="57"/>
  <c r="R1488" i="57"/>
  <c r="Q1488" i="57"/>
  <c r="S1488" i="57"/>
  <c r="P1489" i="57"/>
  <c r="R1489" i="57"/>
  <c r="Q1489" i="57"/>
  <c r="S1489" i="57"/>
  <c r="P1490" i="57"/>
  <c r="R1490" i="57"/>
  <c r="Q1490" i="57"/>
  <c r="S1490" i="57"/>
  <c r="P1491" i="57"/>
  <c r="R1491" i="57"/>
  <c r="Q1491" i="57"/>
  <c r="S1491" i="57"/>
  <c r="P1492" i="57"/>
  <c r="R1492" i="57"/>
  <c r="Q1492" i="57"/>
  <c r="S1492" i="57"/>
  <c r="P1493" i="57"/>
  <c r="R1493" i="57"/>
  <c r="Q1493" i="57"/>
  <c r="S1493" i="57"/>
  <c r="P1494" i="57"/>
  <c r="R1494" i="57"/>
  <c r="Q1494" i="57"/>
  <c r="S1494" i="57"/>
  <c r="P1495" i="57"/>
  <c r="R1495" i="57"/>
  <c r="Q1495" i="57"/>
  <c r="S1495" i="57"/>
  <c r="P1496" i="57"/>
  <c r="R1496" i="57"/>
  <c r="Q1496" i="57"/>
  <c r="S1496" i="57"/>
  <c r="P1497" i="57"/>
  <c r="R1497" i="57"/>
  <c r="Q1497" i="57"/>
  <c r="S1497" i="57"/>
  <c r="P1498" i="57"/>
  <c r="R1498" i="57"/>
  <c r="Q1498" i="57"/>
  <c r="S1498" i="57"/>
  <c r="P1499" i="57"/>
  <c r="R1499" i="57"/>
  <c r="Q1499" i="57"/>
  <c r="S1499" i="57"/>
  <c r="P1500" i="57"/>
  <c r="R1500" i="57"/>
  <c r="Q1500" i="57"/>
  <c r="S1500" i="57"/>
  <c r="P1501" i="57"/>
  <c r="R1501" i="57"/>
  <c r="Q1501" i="57"/>
  <c r="S1501" i="57"/>
  <c r="P1502" i="57"/>
  <c r="R1502" i="57"/>
  <c r="Q1502" i="57"/>
  <c r="S1502" i="57"/>
  <c r="P1503" i="57"/>
  <c r="R1503" i="57"/>
  <c r="Q1503" i="57"/>
  <c r="S1503" i="57"/>
  <c r="P1504" i="57"/>
  <c r="R1504" i="57"/>
  <c r="Q1504" i="57"/>
  <c r="S1504" i="57"/>
  <c r="P1505" i="57"/>
  <c r="R1505" i="57"/>
  <c r="Q1505" i="57"/>
  <c r="S1505" i="57"/>
  <c r="P1506" i="57"/>
  <c r="R1506" i="57"/>
  <c r="Q1506" i="57"/>
  <c r="S1506" i="57"/>
  <c r="P1507" i="57"/>
  <c r="R1507" i="57"/>
  <c r="Q1507" i="57"/>
  <c r="S1507" i="57"/>
  <c r="P1508" i="57"/>
  <c r="R1508" i="57"/>
  <c r="Q1508" i="57"/>
  <c r="S1508" i="57"/>
  <c r="P1509" i="57"/>
  <c r="R1509" i="57"/>
  <c r="Q1509" i="57"/>
  <c r="S1509" i="57"/>
  <c r="P1510" i="57"/>
  <c r="R1510" i="57"/>
  <c r="Q1510" i="57"/>
  <c r="S1510" i="57"/>
  <c r="P1511" i="57"/>
  <c r="R1511" i="57"/>
  <c r="Q1511" i="57"/>
  <c r="S1511" i="57"/>
  <c r="P1512" i="57"/>
  <c r="R1512" i="57"/>
  <c r="Q1512" i="57"/>
  <c r="S1512" i="57"/>
  <c r="P1513" i="57"/>
  <c r="R1513" i="57"/>
  <c r="Q1513" i="57"/>
  <c r="S1513" i="57"/>
  <c r="S1443" i="57"/>
  <c r="Q1443" i="57"/>
  <c r="R1443" i="57"/>
  <c r="P1443" i="57"/>
  <c r="S1442" i="57"/>
  <c r="Q1442" i="57"/>
  <c r="R1442" i="57"/>
  <c r="P1442" i="57"/>
  <c r="S1441" i="57"/>
  <c r="Q1441" i="57"/>
  <c r="R1441" i="57"/>
  <c r="P1441" i="57"/>
  <c r="S1440" i="57"/>
  <c r="Q1440" i="57"/>
  <c r="R1440" i="57"/>
  <c r="P1440" i="57"/>
  <c r="P1371" i="57"/>
  <c r="R1371" i="57"/>
  <c r="Q1371" i="57"/>
  <c r="S1371" i="57"/>
  <c r="P1372" i="57"/>
  <c r="R1372" i="57"/>
  <c r="Q1372" i="57"/>
  <c r="S1372" i="57"/>
  <c r="P1373" i="57"/>
  <c r="R1373" i="57"/>
  <c r="Q1373" i="57"/>
  <c r="S1373" i="57"/>
  <c r="P1374" i="57"/>
  <c r="R1374" i="57"/>
  <c r="Q1374" i="57"/>
  <c r="S1374" i="57"/>
  <c r="P1375" i="57"/>
  <c r="R1375" i="57"/>
  <c r="Q1375" i="57"/>
  <c r="S1375" i="57"/>
  <c r="P1376" i="57"/>
  <c r="R1376" i="57"/>
  <c r="Q1376" i="57"/>
  <c r="S1376" i="57"/>
  <c r="P1377" i="57"/>
  <c r="R1377" i="57"/>
  <c r="Q1377" i="57"/>
  <c r="S1377" i="57"/>
  <c r="P1378" i="57"/>
  <c r="R1378" i="57"/>
  <c r="Q1378" i="57"/>
  <c r="S1378" i="57"/>
  <c r="P1379" i="57"/>
  <c r="R1379" i="57"/>
  <c r="Q1379" i="57"/>
  <c r="S1379" i="57"/>
  <c r="P1380" i="57"/>
  <c r="R1380" i="57"/>
  <c r="Q1380" i="57"/>
  <c r="S1380" i="57"/>
  <c r="P1381" i="57"/>
  <c r="R1381" i="57"/>
  <c r="Q1381" i="57"/>
  <c r="S1381" i="57"/>
  <c r="P1382" i="57"/>
  <c r="R1382" i="57"/>
  <c r="Q1382" i="57"/>
  <c r="S1382" i="57"/>
  <c r="P1383" i="57"/>
  <c r="R1383" i="57"/>
  <c r="Q1383" i="57"/>
  <c r="S1383" i="57"/>
  <c r="P1384" i="57"/>
  <c r="R1384" i="57"/>
  <c r="Q1384" i="57"/>
  <c r="S1384" i="57"/>
  <c r="P1385" i="57"/>
  <c r="R1385" i="57"/>
  <c r="Q1385" i="57"/>
  <c r="S1385" i="57"/>
  <c r="P1386" i="57"/>
  <c r="R1386" i="57"/>
  <c r="Q1386" i="57"/>
  <c r="S1386" i="57"/>
  <c r="P1387" i="57"/>
  <c r="R1387" i="57"/>
  <c r="Q1387" i="57"/>
  <c r="S1387" i="57"/>
  <c r="P1388" i="57"/>
  <c r="R1388" i="57"/>
  <c r="Q1388" i="57"/>
  <c r="S1388" i="57"/>
  <c r="P1389" i="57"/>
  <c r="R1389" i="57"/>
  <c r="Q1389" i="57"/>
  <c r="S1389" i="57"/>
  <c r="P1390" i="57"/>
  <c r="R1390" i="57"/>
  <c r="Q1390" i="57"/>
  <c r="S1390" i="57"/>
  <c r="P1391" i="57"/>
  <c r="R1391" i="57"/>
  <c r="Q1391" i="57"/>
  <c r="S1391" i="57"/>
  <c r="P1392" i="57"/>
  <c r="R1392" i="57"/>
  <c r="Q1392" i="57"/>
  <c r="S1392" i="57"/>
  <c r="P1393" i="57"/>
  <c r="R1393" i="57"/>
  <c r="Q1393" i="57"/>
  <c r="S1393" i="57"/>
  <c r="P1394" i="57"/>
  <c r="R1394" i="57"/>
  <c r="Q1394" i="57"/>
  <c r="S1394" i="57"/>
  <c r="P1396" i="57"/>
  <c r="R1396" i="57"/>
  <c r="Q1396" i="57"/>
  <c r="S1396" i="57"/>
  <c r="P1397" i="57"/>
  <c r="R1397" i="57"/>
  <c r="Q1397" i="57"/>
  <c r="S1397" i="57"/>
  <c r="P1398" i="57"/>
  <c r="R1398" i="57"/>
  <c r="Q1398" i="57"/>
  <c r="S1398" i="57"/>
  <c r="P1399" i="57"/>
  <c r="R1399" i="57"/>
  <c r="Q1399" i="57"/>
  <c r="S1399" i="57"/>
  <c r="P1400" i="57"/>
  <c r="R1400" i="57"/>
  <c r="Q1400" i="57"/>
  <c r="S1400" i="57"/>
  <c r="P1401" i="57"/>
  <c r="R1401" i="57"/>
  <c r="Q1401" i="57"/>
  <c r="S1401" i="57"/>
  <c r="P1402" i="57"/>
  <c r="R1402" i="57"/>
  <c r="Q1402" i="57"/>
  <c r="S1402" i="57"/>
  <c r="P1403" i="57"/>
  <c r="R1403" i="57"/>
  <c r="Q1403" i="57"/>
  <c r="S1403" i="57"/>
  <c r="P1404" i="57"/>
  <c r="R1404" i="57"/>
  <c r="Q1404" i="57"/>
  <c r="S1404" i="57"/>
  <c r="P1405" i="57"/>
  <c r="R1405" i="57"/>
  <c r="Q1405" i="57"/>
  <c r="S1405" i="57"/>
  <c r="P1406" i="57"/>
  <c r="R1406" i="57"/>
  <c r="Q1406" i="57"/>
  <c r="S1406" i="57"/>
  <c r="P1407" i="57"/>
  <c r="R1407" i="57"/>
  <c r="Q1407" i="57"/>
  <c r="S1407" i="57"/>
  <c r="P1408" i="57"/>
  <c r="R1408" i="57"/>
  <c r="Q1408" i="57"/>
  <c r="S1408" i="57"/>
  <c r="P1409" i="57"/>
  <c r="R1409" i="57"/>
  <c r="Q1409" i="57"/>
  <c r="S1409" i="57"/>
  <c r="P1410" i="57"/>
  <c r="R1410" i="57"/>
  <c r="Q1410" i="57"/>
  <c r="S1410" i="57"/>
  <c r="P1411" i="57"/>
  <c r="R1411" i="57"/>
  <c r="Q1411" i="57"/>
  <c r="S1411" i="57"/>
  <c r="P1412" i="57"/>
  <c r="R1412" i="57"/>
  <c r="Q1412" i="57"/>
  <c r="S1412" i="57"/>
  <c r="P1413" i="57"/>
  <c r="R1413" i="57"/>
  <c r="Q1413" i="57"/>
  <c r="S1413" i="57"/>
  <c r="P1414" i="57"/>
  <c r="R1414" i="57"/>
  <c r="Q1414" i="57"/>
  <c r="S1414" i="57"/>
  <c r="P1415" i="57"/>
  <c r="R1415" i="57"/>
  <c r="Q1415" i="57"/>
  <c r="S1415" i="57"/>
  <c r="P1416" i="57"/>
  <c r="R1416" i="57"/>
  <c r="Q1416" i="57"/>
  <c r="S1416" i="57"/>
  <c r="P1417" i="57"/>
  <c r="R1417" i="57"/>
  <c r="Q1417" i="57"/>
  <c r="S1417" i="57"/>
  <c r="P1418" i="57"/>
  <c r="R1418" i="57"/>
  <c r="Q1418" i="57"/>
  <c r="S1418" i="57"/>
  <c r="P1419" i="57"/>
  <c r="R1419" i="57"/>
  <c r="Q1419" i="57"/>
  <c r="S1419" i="57"/>
  <c r="P1420" i="57"/>
  <c r="R1420" i="57"/>
  <c r="Q1420" i="57"/>
  <c r="S1420" i="57"/>
  <c r="P1421" i="57"/>
  <c r="R1421" i="57"/>
  <c r="Q1421" i="57"/>
  <c r="S1421" i="57"/>
  <c r="P1422" i="57"/>
  <c r="R1422" i="57"/>
  <c r="Q1422" i="57"/>
  <c r="S1422" i="57"/>
  <c r="P1423" i="57"/>
  <c r="R1423" i="57"/>
  <c r="Q1423" i="57"/>
  <c r="S1423" i="57"/>
  <c r="P1424" i="57"/>
  <c r="R1424" i="57"/>
  <c r="Q1424" i="57"/>
  <c r="S1424" i="57"/>
  <c r="P1425" i="57"/>
  <c r="R1425" i="57"/>
  <c r="Q1425" i="57"/>
  <c r="S1425" i="57"/>
  <c r="P1426" i="57"/>
  <c r="R1426" i="57"/>
  <c r="Q1426" i="57"/>
  <c r="S1426" i="57"/>
  <c r="P1427" i="57"/>
  <c r="R1427" i="57"/>
  <c r="Q1427" i="57"/>
  <c r="S1427" i="57"/>
  <c r="P1428" i="57"/>
  <c r="R1428" i="57"/>
  <c r="Q1428" i="57"/>
  <c r="S1428" i="57"/>
  <c r="P1429" i="57"/>
  <c r="R1429" i="57"/>
  <c r="Q1429" i="57"/>
  <c r="S1429" i="57"/>
  <c r="P1430" i="57"/>
  <c r="R1430" i="57"/>
  <c r="Q1430" i="57"/>
  <c r="S1430" i="57"/>
  <c r="P1431" i="57"/>
  <c r="R1431" i="57"/>
  <c r="Q1431" i="57"/>
  <c r="S1431" i="57"/>
  <c r="P1432" i="57"/>
  <c r="R1432" i="57"/>
  <c r="Q1432" i="57"/>
  <c r="S1432" i="57"/>
  <c r="P1433" i="57"/>
  <c r="R1433" i="57"/>
  <c r="Q1433" i="57"/>
  <c r="S1433" i="57"/>
  <c r="P1434" i="57"/>
  <c r="R1434" i="57"/>
  <c r="Q1434" i="57"/>
  <c r="S1434" i="57"/>
  <c r="P1435" i="57"/>
  <c r="R1435" i="57"/>
  <c r="Q1435" i="57"/>
  <c r="S1435" i="57"/>
  <c r="P1436" i="57"/>
  <c r="R1436" i="57"/>
  <c r="Q1436" i="57"/>
  <c r="S1436" i="57"/>
  <c r="P1437" i="57"/>
  <c r="R1437" i="57"/>
  <c r="Q1437" i="57"/>
  <c r="S1437" i="57"/>
  <c r="S1370" i="57"/>
  <c r="Q1370" i="57"/>
  <c r="R1370" i="57"/>
  <c r="P1370" i="57"/>
  <c r="S1369" i="57"/>
  <c r="Q1369" i="57"/>
  <c r="R1369" i="57"/>
  <c r="P1369" i="57"/>
  <c r="S1368" i="57"/>
  <c r="Q1368" i="57"/>
  <c r="R1368" i="57"/>
  <c r="P1368" i="57"/>
  <c r="S1367" i="57"/>
  <c r="Q1367" i="57"/>
  <c r="R1367" i="57"/>
  <c r="P1367" i="57"/>
  <c r="S1366" i="57"/>
  <c r="Q1366" i="57"/>
  <c r="R1366" i="57"/>
  <c r="P1366" i="57"/>
  <c r="S1365" i="57"/>
  <c r="Q1365" i="57"/>
  <c r="R1365" i="57"/>
  <c r="P1365" i="57"/>
  <c r="P1362" i="57"/>
  <c r="R1362" i="57"/>
  <c r="Q1362" i="57"/>
  <c r="S1362" i="57"/>
  <c r="P1363" i="57"/>
  <c r="R1363" i="57"/>
  <c r="Q1363" i="57"/>
  <c r="S1363" i="57"/>
  <c r="S1361" i="57"/>
  <c r="Q1361" i="57"/>
  <c r="R1361" i="57"/>
  <c r="P1361" i="57"/>
  <c r="S1359" i="57"/>
  <c r="Q1359" i="57"/>
  <c r="R1359" i="57"/>
  <c r="P1359" i="57"/>
  <c r="S1358" i="57"/>
  <c r="Q1358" i="57"/>
  <c r="R1358" i="57"/>
  <c r="P1358" i="57"/>
  <c r="S1357" i="57"/>
  <c r="Q1357" i="57"/>
  <c r="R1357" i="57"/>
  <c r="P1357" i="57"/>
  <c r="P1315" i="57"/>
  <c r="R1315" i="57"/>
  <c r="Q1315" i="57"/>
  <c r="S1315" i="57"/>
  <c r="P1316" i="57"/>
  <c r="R1316" i="57"/>
  <c r="Q1316" i="57"/>
  <c r="S1316" i="57"/>
  <c r="P1317" i="57"/>
  <c r="R1317" i="57"/>
  <c r="Q1317" i="57"/>
  <c r="S1317" i="57"/>
  <c r="P1318" i="57"/>
  <c r="R1318" i="57"/>
  <c r="Q1318" i="57"/>
  <c r="S1318" i="57"/>
  <c r="P1319" i="57"/>
  <c r="R1319" i="57"/>
  <c r="Q1319" i="57"/>
  <c r="S1319" i="57"/>
  <c r="P1320" i="57"/>
  <c r="R1320" i="57"/>
  <c r="Q1320" i="57"/>
  <c r="S1320" i="57"/>
  <c r="P1321" i="57"/>
  <c r="R1321" i="57"/>
  <c r="Q1321" i="57"/>
  <c r="S1321" i="57"/>
  <c r="P1322" i="57"/>
  <c r="R1322" i="57"/>
  <c r="Q1322" i="57"/>
  <c r="S1322" i="57"/>
  <c r="P1323" i="57"/>
  <c r="R1323" i="57"/>
  <c r="Q1323" i="57"/>
  <c r="S1323" i="57"/>
  <c r="P1324" i="57"/>
  <c r="R1324" i="57"/>
  <c r="Q1324" i="57"/>
  <c r="S1324" i="57"/>
  <c r="P1325" i="57"/>
  <c r="R1325" i="57"/>
  <c r="Q1325" i="57"/>
  <c r="S1325" i="57"/>
  <c r="P1326" i="57"/>
  <c r="R1326" i="57"/>
  <c r="Q1326" i="57"/>
  <c r="S1326" i="57"/>
  <c r="P1327" i="57"/>
  <c r="R1327" i="57"/>
  <c r="Q1327" i="57"/>
  <c r="S1327" i="57"/>
  <c r="P1328" i="57"/>
  <c r="R1328" i="57"/>
  <c r="Q1328" i="57"/>
  <c r="S1328" i="57"/>
  <c r="P1329" i="57"/>
  <c r="R1329" i="57"/>
  <c r="Q1329" i="57"/>
  <c r="S1329" i="57"/>
  <c r="P1330" i="57"/>
  <c r="R1330" i="57"/>
  <c r="Q1330" i="57"/>
  <c r="S1330" i="57"/>
  <c r="P1331" i="57"/>
  <c r="R1331" i="57"/>
  <c r="Q1331" i="57"/>
  <c r="S1331" i="57"/>
  <c r="P1332" i="57"/>
  <c r="R1332" i="57"/>
  <c r="Q1332" i="57"/>
  <c r="S1332" i="57"/>
  <c r="P1333" i="57"/>
  <c r="R1333" i="57"/>
  <c r="Q1333" i="57"/>
  <c r="S1333" i="57"/>
  <c r="P1334" i="57"/>
  <c r="R1334" i="57"/>
  <c r="Q1334" i="57"/>
  <c r="S1334" i="57"/>
  <c r="P1335" i="57"/>
  <c r="R1335" i="57"/>
  <c r="Q1335" i="57"/>
  <c r="S1335" i="57"/>
  <c r="P1336" i="57"/>
  <c r="R1336" i="57"/>
  <c r="Q1336" i="57"/>
  <c r="S1336" i="57"/>
  <c r="P1337" i="57"/>
  <c r="R1337" i="57"/>
  <c r="Q1337" i="57"/>
  <c r="S1337" i="57"/>
  <c r="P1338" i="57"/>
  <c r="R1338" i="57"/>
  <c r="Q1338" i="57"/>
  <c r="S1338" i="57"/>
  <c r="P1339" i="57"/>
  <c r="R1339" i="57"/>
  <c r="Q1339" i="57"/>
  <c r="S1339" i="57"/>
  <c r="P1340" i="57"/>
  <c r="R1340" i="57"/>
  <c r="Q1340" i="57"/>
  <c r="S1340" i="57"/>
  <c r="P1341" i="57"/>
  <c r="R1341" i="57"/>
  <c r="Q1341" i="57"/>
  <c r="S1341" i="57"/>
  <c r="P1342" i="57"/>
  <c r="R1342" i="57"/>
  <c r="Q1342" i="57"/>
  <c r="S1342" i="57"/>
  <c r="P1343" i="57"/>
  <c r="R1343" i="57"/>
  <c r="Q1343" i="57"/>
  <c r="S1343" i="57"/>
  <c r="P1344" i="57"/>
  <c r="R1344" i="57"/>
  <c r="Q1344" i="57"/>
  <c r="S1344" i="57"/>
  <c r="P1345" i="57"/>
  <c r="R1345" i="57"/>
  <c r="Q1345" i="57"/>
  <c r="S1345" i="57"/>
  <c r="P1346" i="57"/>
  <c r="R1346" i="57"/>
  <c r="Q1346" i="57"/>
  <c r="S1346" i="57"/>
  <c r="P1348" i="57"/>
  <c r="R1348" i="57"/>
  <c r="Q1348" i="57"/>
  <c r="S1348" i="57"/>
  <c r="P1349" i="57"/>
  <c r="R1349" i="57"/>
  <c r="Q1349" i="57"/>
  <c r="S1349" i="57"/>
  <c r="P1350" i="57"/>
  <c r="R1350" i="57"/>
  <c r="Q1350" i="57"/>
  <c r="S1350" i="57"/>
  <c r="P1351" i="57"/>
  <c r="R1351" i="57"/>
  <c r="Q1351" i="57"/>
  <c r="S1351" i="57"/>
  <c r="P1352" i="57"/>
  <c r="R1352" i="57"/>
  <c r="Q1352" i="57"/>
  <c r="S1352" i="57"/>
  <c r="P1353" i="57"/>
  <c r="R1353" i="57"/>
  <c r="Q1353" i="57"/>
  <c r="S1353" i="57"/>
  <c r="P1354" i="57"/>
  <c r="R1354" i="57"/>
  <c r="Q1354" i="57"/>
  <c r="S1354" i="57"/>
  <c r="P1355" i="57"/>
  <c r="R1355" i="57"/>
  <c r="Q1355" i="57"/>
  <c r="S1355" i="57"/>
  <c r="P1356" i="57"/>
  <c r="R1356" i="57"/>
  <c r="Q1356" i="57"/>
  <c r="S1356" i="57"/>
  <c r="S1314" i="57"/>
  <c r="Q1314" i="57"/>
  <c r="R1314" i="57"/>
  <c r="P1314" i="57"/>
  <c r="S1313" i="57"/>
  <c r="Q1313" i="57"/>
  <c r="R1313" i="57"/>
  <c r="P1313" i="57"/>
  <c r="S1312" i="57"/>
  <c r="Q1312" i="57"/>
  <c r="R1312" i="57"/>
  <c r="P1312" i="57"/>
  <c r="S1311" i="57"/>
  <c r="Q1311" i="57"/>
  <c r="R1311" i="57"/>
  <c r="P1311" i="57"/>
  <c r="S1310" i="57"/>
  <c r="Q1310" i="57"/>
  <c r="R1310" i="57"/>
  <c r="P1310" i="57"/>
  <c r="S1309" i="57"/>
  <c r="Q1309" i="57"/>
  <c r="R1309" i="57"/>
  <c r="P1309" i="57"/>
  <c r="S1308" i="57"/>
  <c r="Q1308" i="57"/>
  <c r="R1308" i="57"/>
  <c r="P1308" i="57"/>
  <c r="P1302" i="57"/>
  <c r="R1302" i="57"/>
  <c r="Q1302" i="57"/>
  <c r="S1302" i="57"/>
  <c r="P1303" i="57"/>
  <c r="R1303" i="57"/>
  <c r="Q1303" i="57"/>
  <c r="S1303" i="57"/>
  <c r="P1304" i="57"/>
  <c r="R1304" i="57"/>
  <c r="Q1304" i="57"/>
  <c r="S1304" i="57"/>
  <c r="P1305" i="57"/>
  <c r="R1305" i="57"/>
  <c r="Q1305" i="57"/>
  <c r="S1305" i="57"/>
  <c r="S1301" i="57"/>
  <c r="Q1301" i="57"/>
  <c r="R1301" i="57"/>
  <c r="P1301" i="57"/>
  <c r="S1300" i="57"/>
  <c r="Q1300" i="57"/>
  <c r="R1300" i="57"/>
  <c r="P1300" i="57"/>
  <c r="S1299" i="57"/>
  <c r="Q1299" i="57"/>
  <c r="R1299" i="57"/>
  <c r="P1299" i="57"/>
  <c r="S1298" i="57"/>
  <c r="Q1298" i="57"/>
  <c r="R1298" i="57"/>
  <c r="P1298" i="57"/>
  <c r="S1297" i="57"/>
  <c r="Q1297" i="57"/>
  <c r="R1297" i="57"/>
  <c r="P1297" i="57"/>
  <c r="S1296" i="57"/>
  <c r="Q1296" i="57"/>
  <c r="R1296" i="57"/>
  <c r="P1296" i="57"/>
  <c r="S1295" i="57"/>
  <c r="Q1295" i="57"/>
  <c r="R1295" i="57"/>
  <c r="P1295" i="57"/>
  <c r="S1294" i="57"/>
  <c r="Q1294" i="57"/>
  <c r="R1294" i="57"/>
  <c r="P1294" i="57"/>
  <c r="S1293" i="57"/>
  <c r="Q1293" i="57"/>
  <c r="R1293" i="57"/>
  <c r="P1293" i="57"/>
  <c r="S1292" i="57"/>
  <c r="Q1292" i="57"/>
  <c r="R1292" i="57"/>
  <c r="P1292" i="57"/>
  <c r="S1291" i="57"/>
  <c r="Q1291" i="57"/>
  <c r="R1291" i="57"/>
  <c r="P1291" i="57"/>
  <c r="S1290" i="57"/>
  <c r="Q1290" i="57"/>
  <c r="R1290" i="57"/>
  <c r="P1290" i="57"/>
  <c r="S1289" i="57"/>
  <c r="Q1289" i="57"/>
  <c r="R1289" i="57"/>
  <c r="P1289" i="57"/>
  <c r="S1288" i="57"/>
  <c r="Q1288" i="57"/>
  <c r="R1288" i="57"/>
  <c r="P1288" i="57"/>
  <c r="S1287" i="57"/>
  <c r="Q1287" i="57"/>
  <c r="R1287" i="57"/>
  <c r="P1287" i="57"/>
  <c r="S1286" i="57"/>
  <c r="Q1286" i="57"/>
  <c r="R1286" i="57"/>
  <c r="P1286" i="57"/>
  <c r="S1285" i="57"/>
  <c r="Q1285" i="57"/>
  <c r="R1285" i="57"/>
  <c r="P1285" i="57"/>
  <c r="S1284" i="57"/>
  <c r="Q1284" i="57"/>
  <c r="R1284" i="57"/>
  <c r="P1284" i="57"/>
  <c r="S1283" i="57"/>
  <c r="Q1283" i="57"/>
  <c r="R1283" i="57"/>
  <c r="P1283" i="57"/>
  <c r="S1282" i="57"/>
  <c r="Q1282" i="57"/>
  <c r="R1282" i="57"/>
  <c r="P1282" i="57"/>
  <c r="S1281" i="57"/>
  <c r="Q1281" i="57"/>
  <c r="R1281" i="57"/>
  <c r="P1281" i="57"/>
  <c r="S1280" i="57"/>
  <c r="Q1280" i="57"/>
  <c r="R1280" i="57"/>
  <c r="P1280" i="57"/>
  <c r="S1279" i="57"/>
  <c r="Q1279" i="57"/>
  <c r="R1279" i="57"/>
  <c r="P1279" i="57"/>
  <c r="S1278" i="57"/>
  <c r="Q1278" i="57"/>
  <c r="R1278" i="57"/>
  <c r="P1278" i="57"/>
  <c r="S1277" i="57"/>
  <c r="Q1277" i="57"/>
  <c r="R1277" i="57"/>
  <c r="P1277" i="57"/>
  <c r="S1276" i="57"/>
  <c r="Q1276" i="57"/>
  <c r="R1276" i="57"/>
  <c r="P1276" i="57"/>
  <c r="S1275" i="57"/>
  <c r="Q1275" i="57"/>
  <c r="R1275" i="57"/>
  <c r="P1275" i="57"/>
  <c r="S1274" i="57"/>
  <c r="Q1274" i="57"/>
  <c r="R1274" i="57"/>
  <c r="P1274" i="57"/>
  <c r="S1273" i="57"/>
  <c r="Q1273" i="57"/>
  <c r="R1273" i="57"/>
  <c r="P1273" i="57"/>
  <c r="S1272" i="57"/>
  <c r="Q1272" i="57"/>
  <c r="R1272" i="57"/>
  <c r="P1272" i="57"/>
  <c r="S1271" i="57"/>
  <c r="Q1271" i="57"/>
  <c r="R1271" i="57"/>
  <c r="P1271" i="57"/>
  <c r="S1270" i="57"/>
  <c r="Q1270" i="57"/>
  <c r="R1270" i="57"/>
  <c r="P1270" i="57"/>
  <c r="S1269" i="57"/>
  <c r="Q1269" i="57"/>
  <c r="R1269" i="57"/>
  <c r="P1269" i="57"/>
  <c r="S1268" i="57"/>
  <c r="Q1268" i="57"/>
  <c r="R1268" i="57"/>
  <c r="P1268" i="57"/>
  <c r="S1267" i="57"/>
  <c r="Q1267" i="57"/>
  <c r="R1267" i="57"/>
  <c r="P1267" i="57"/>
  <c r="S1266" i="57"/>
  <c r="Q1266" i="57"/>
  <c r="R1266" i="57"/>
  <c r="P1266" i="57"/>
  <c r="P1233" i="57"/>
  <c r="R1233" i="57"/>
  <c r="Q1233" i="57"/>
  <c r="S1233" i="57"/>
  <c r="P1234" i="57"/>
  <c r="R1234" i="57"/>
  <c r="Q1234" i="57"/>
  <c r="S1234" i="57"/>
  <c r="P1236" i="57"/>
  <c r="R1236" i="57"/>
  <c r="Q1236" i="57"/>
  <c r="S1236" i="57"/>
  <c r="P1237" i="57"/>
  <c r="R1237" i="57"/>
  <c r="Q1237" i="57"/>
  <c r="S1237" i="57"/>
  <c r="P1238" i="57"/>
  <c r="R1238" i="57"/>
  <c r="Q1238" i="57"/>
  <c r="S1238" i="57"/>
  <c r="P1239" i="57"/>
  <c r="R1239" i="57"/>
  <c r="Q1239" i="57"/>
  <c r="S1239" i="57"/>
  <c r="P1240" i="57"/>
  <c r="R1240" i="57"/>
  <c r="Q1240" i="57"/>
  <c r="S1240" i="57"/>
  <c r="P1241" i="57"/>
  <c r="R1241" i="57"/>
  <c r="Q1241" i="57"/>
  <c r="S1241" i="57"/>
  <c r="P1242" i="57"/>
  <c r="R1242" i="57"/>
  <c r="Q1242" i="57"/>
  <c r="S1242" i="57"/>
  <c r="P1243" i="57"/>
  <c r="R1243" i="57"/>
  <c r="Q1243" i="57"/>
  <c r="S1243" i="57"/>
  <c r="P1244" i="57"/>
  <c r="R1244" i="57"/>
  <c r="Q1244" i="57"/>
  <c r="S1244" i="57"/>
  <c r="P1245" i="57"/>
  <c r="R1245" i="57"/>
  <c r="Q1245" i="57"/>
  <c r="S1245" i="57"/>
  <c r="P1246" i="57"/>
  <c r="R1246" i="57"/>
  <c r="Q1246" i="57"/>
  <c r="S1246" i="57"/>
  <c r="P1247" i="57"/>
  <c r="R1247" i="57"/>
  <c r="Q1247" i="57"/>
  <c r="S1247" i="57"/>
  <c r="P1248" i="57"/>
  <c r="R1248" i="57"/>
  <c r="Q1248" i="57"/>
  <c r="S1248" i="57"/>
  <c r="P1249" i="57"/>
  <c r="R1249" i="57"/>
  <c r="Q1249" i="57"/>
  <c r="S1249" i="57"/>
  <c r="P1250" i="57"/>
  <c r="R1250" i="57"/>
  <c r="Q1250" i="57"/>
  <c r="S1250" i="57"/>
  <c r="P1251" i="57"/>
  <c r="R1251" i="57"/>
  <c r="Q1251" i="57"/>
  <c r="S1251" i="57"/>
  <c r="P1252" i="57"/>
  <c r="R1252" i="57"/>
  <c r="Q1252" i="57"/>
  <c r="S1252" i="57"/>
  <c r="P1253" i="57"/>
  <c r="R1253" i="57"/>
  <c r="Q1253" i="57"/>
  <c r="S1253" i="57"/>
  <c r="P1254" i="57"/>
  <c r="R1254" i="57"/>
  <c r="Q1254" i="57"/>
  <c r="S1254" i="57"/>
  <c r="P1255" i="57"/>
  <c r="R1255" i="57"/>
  <c r="Q1255" i="57"/>
  <c r="S1255" i="57"/>
  <c r="P1256" i="57"/>
  <c r="R1256" i="57"/>
  <c r="Q1256" i="57"/>
  <c r="S1256" i="57"/>
  <c r="P1257" i="57"/>
  <c r="R1257" i="57"/>
  <c r="Q1257" i="57"/>
  <c r="S1257" i="57"/>
  <c r="P1258" i="57"/>
  <c r="R1258" i="57"/>
  <c r="Q1258" i="57"/>
  <c r="S1258" i="57"/>
  <c r="P1259" i="57"/>
  <c r="R1259" i="57"/>
  <c r="Q1259" i="57"/>
  <c r="S1259" i="57"/>
  <c r="P1260" i="57"/>
  <c r="R1260" i="57"/>
  <c r="Q1260" i="57"/>
  <c r="S1260" i="57"/>
  <c r="P1261" i="57"/>
  <c r="R1261" i="57"/>
  <c r="Q1261" i="57"/>
  <c r="S1261" i="57"/>
  <c r="P1262" i="57"/>
  <c r="R1262" i="57"/>
  <c r="Q1262" i="57"/>
  <c r="S1262" i="57"/>
  <c r="P1263" i="57"/>
  <c r="R1263" i="57"/>
  <c r="Q1263" i="57"/>
  <c r="S1263" i="57"/>
  <c r="S1232" i="57"/>
  <c r="Q1232" i="57"/>
  <c r="R1232" i="57"/>
  <c r="P1232" i="57"/>
  <c r="S1231" i="57"/>
  <c r="Q1231" i="57"/>
  <c r="R1231" i="57"/>
  <c r="P1231" i="57"/>
  <c r="S1230" i="57"/>
  <c r="Q1230" i="57"/>
  <c r="R1230" i="57"/>
  <c r="P1230" i="57"/>
  <c r="S1229" i="57"/>
  <c r="Q1229" i="57"/>
  <c r="R1229" i="57"/>
  <c r="P1229" i="57"/>
  <c r="S1228" i="57"/>
  <c r="Q1228" i="57"/>
  <c r="R1228" i="57"/>
  <c r="P1228" i="57"/>
  <c r="P1023" i="57"/>
  <c r="R1023" i="57"/>
  <c r="Q1023" i="57"/>
  <c r="S1023" i="57"/>
  <c r="P1024" i="57"/>
  <c r="R1024" i="57"/>
  <c r="Q1024" i="57"/>
  <c r="S1024" i="57"/>
  <c r="P1025" i="57"/>
  <c r="R1025" i="57"/>
  <c r="Q1025" i="57"/>
  <c r="S1025" i="57"/>
  <c r="P1026" i="57"/>
  <c r="R1026" i="57"/>
  <c r="Q1026" i="57"/>
  <c r="S1026" i="57"/>
  <c r="P1027" i="57"/>
  <c r="R1027" i="57"/>
  <c r="Q1027" i="57"/>
  <c r="S1027" i="57"/>
  <c r="P1029" i="57"/>
  <c r="R1029" i="57"/>
  <c r="Q1029" i="57"/>
  <c r="S1029" i="57"/>
  <c r="P1030" i="57"/>
  <c r="R1030" i="57"/>
  <c r="Q1030" i="57"/>
  <c r="S1030" i="57"/>
  <c r="P1031" i="57"/>
  <c r="R1031" i="57"/>
  <c r="Q1031" i="57"/>
  <c r="S1031" i="57"/>
  <c r="P1032" i="57"/>
  <c r="R1032" i="57"/>
  <c r="Q1032" i="57"/>
  <c r="S1032" i="57"/>
  <c r="P1033" i="57"/>
  <c r="R1033" i="57"/>
  <c r="Q1033" i="57"/>
  <c r="S1033" i="57"/>
  <c r="P1034" i="57"/>
  <c r="R1034" i="57"/>
  <c r="Q1034" i="57"/>
  <c r="S1034" i="57"/>
  <c r="P1035" i="57"/>
  <c r="R1035" i="57"/>
  <c r="Q1035" i="57"/>
  <c r="S1035" i="57"/>
  <c r="P1036" i="57"/>
  <c r="R1036" i="57"/>
  <c r="Q1036" i="57"/>
  <c r="S1036" i="57"/>
  <c r="P1037" i="57"/>
  <c r="R1037" i="57"/>
  <c r="Q1037" i="57"/>
  <c r="S1037" i="57"/>
  <c r="P1038" i="57"/>
  <c r="R1038" i="57"/>
  <c r="Q1038" i="57"/>
  <c r="S1038" i="57"/>
  <c r="P1039" i="57"/>
  <c r="R1039" i="57"/>
  <c r="Q1039" i="57"/>
  <c r="S1039" i="57"/>
  <c r="P1040" i="57"/>
  <c r="R1040" i="57"/>
  <c r="Q1040" i="57"/>
  <c r="S1040" i="57"/>
  <c r="P1041" i="57"/>
  <c r="R1041" i="57"/>
  <c r="Q1041" i="57"/>
  <c r="S1041" i="57"/>
  <c r="P1042" i="57"/>
  <c r="R1042" i="57"/>
  <c r="Q1042" i="57"/>
  <c r="S1042" i="57"/>
  <c r="P1043" i="57"/>
  <c r="R1043" i="57"/>
  <c r="Q1043" i="57"/>
  <c r="S1043" i="57"/>
  <c r="P1044" i="57"/>
  <c r="R1044" i="57"/>
  <c r="Q1044" i="57"/>
  <c r="S1044" i="57"/>
  <c r="P1045" i="57"/>
  <c r="R1045" i="57"/>
  <c r="Q1045" i="57"/>
  <c r="S1045" i="57"/>
  <c r="P1046" i="57"/>
  <c r="R1046" i="57"/>
  <c r="Q1046" i="57"/>
  <c r="S1046" i="57"/>
  <c r="P1047" i="57"/>
  <c r="R1047" i="57"/>
  <c r="Q1047" i="57"/>
  <c r="S1047" i="57"/>
  <c r="P1048" i="57"/>
  <c r="R1048" i="57"/>
  <c r="Q1048" i="57"/>
  <c r="S1048" i="57"/>
  <c r="P1049" i="57"/>
  <c r="R1049" i="57"/>
  <c r="Q1049" i="57"/>
  <c r="S1049" i="57"/>
  <c r="P1050" i="57"/>
  <c r="R1050" i="57"/>
  <c r="Q1050" i="57"/>
  <c r="S1050" i="57"/>
  <c r="P1051" i="57"/>
  <c r="R1051" i="57"/>
  <c r="Q1051" i="57"/>
  <c r="S1051" i="57"/>
  <c r="P1052" i="57"/>
  <c r="R1052" i="57"/>
  <c r="Q1052" i="57"/>
  <c r="S1052" i="57"/>
  <c r="P1053" i="57"/>
  <c r="R1053" i="57"/>
  <c r="Q1053" i="57"/>
  <c r="S1053" i="57"/>
  <c r="P1054" i="57"/>
  <c r="R1054" i="57"/>
  <c r="Q1054" i="57"/>
  <c r="S1054" i="57"/>
  <c r="P1055" i="57"/>
  <c r="R1055" i="57"/>
  <c r="Q1055" i="57"/>
  <c r="S1055" i="57"/>
  <c r="P1056" i="57"/>
  <c r="R1056" i="57"/>
  <c r="Q1056" i="57"/>
  <c r="S1056" i="57"/>
  <c r="P1057" i="57"/>
  <c r="R1057" i="57"/>
  <c r="Q1057" i="57"/>
  <c r="S1057" i="57"/>
  <c r="P1058" i="57"/>
  <c r="R1058" i="57"/>
  <c r="Q1058" i="57"/>
  <c r="S1058" i="57"/>
  <c r="P1059" i="57"/>
  <c r="R1059" i="57"/>
  <c r="Q1059" i="57"/>
  <c r="S1059" i="57"/>
  <c r="P1060" i="57"/>
  <c r="R1060" i="57"/>
  <c r="Q1060" i="57"/>
  <c r="S1060" i="57"/>
  <c r="P1061" i="57"/>
  <c r="R1061" i="57"/>
  <c r="Q1061" i="57"/>
  <c r="S1061" i="57"/>
  <c r="P1062" i="57"/>
  <c r="R1062" i="57"/>
  <c r="Q1062" i="57"/>
  <c r="S1062" i="57"/>
  <c r="P1063" i="57"/>
  <c r="R1063" i="57"/>
  <c r="Q1063" i="57"/>
  <c r="S1063" i="57"/>
  <c r="P1065" i="57"/>
  <c r="R1065" i="57"/>
  <c r="Q1065" i="57"/>
  <c r="S1065" i="57"/>
  <c r="P1066" i="57"/>
  <c r="R1066" i="57"/>
  <c r="Q1066" i="57"/>
  <c r="S1066" i="57"/>
  <c r="P1067" i="57"/>
  <c r="R1067" i="57"/>
  <c r="Q1067" i="57"/>
  <c r="S1067" i="57"/>
  <c r="P1068" i="57"/>
  <c r="R1068" i="57"/>
  <c r="Q1068" i="57"/>
  <c r="S1068" i="57"/>
  <c r="P1069" i="57"/>
  <c r="R1069" i="57"/>
  <c r="Q1069" i="57"/>
  <c r="S1069" i="57"/>
  <c r="P1070" i="57"/>
  <c r="R1070" i="57"/>
  <c r="Q1070" i="57"/>
  <c r="S1070" i="57"/>
  <c r="P1071" i="57"/>
  <c r="R1071" i="57"/>
  <c r="Q1071" i="57"/>
  <c r="S1071" i="57"/>
  <c r="P1072" i="57"/>
  <c r="R1072" i="57"/>
  <c r="Q1072" i="57"/>
  <c r="S1072" i="57"/>
  <c r="P1073" i="57"/>
  <c r="R1073" i="57"/>
  <c r="Q1073" i="57"/>
  <c r="S1073" i="57"/>
  <c r="P1074" i="57"/>
  <c r="R1074" i="57"/>
  <c r="Q1074" i="57"/>
  <c r="S1074" i="57"/>
  <c r="P1075" i="57"/>
  <c r="R1075" i="57"/>
  <c r="Q1075" i="57"/>
  <c r="S1075" i="57"/>
  <c r="P1076" i="57"/>
  <c r="R1076" i="57"/>
  <c r="Q1076" i="57"/>
  <c r="S1076" i="57"/>
  <c r="P1077" i="57"/>
  <c r="R1077" i="57"/>
  <c r="Q1077" i="57"/>
  <c r="S1077" i="57"/>
  <c r="P1078" i="57"/>
  <c r="R1078" i="57"/>
  <c r="Q1078" i="57"/>
  <c r="S1078" i="57"/>
  <c r="P1079" i="57"/>
  <c r="R1079" i="57"/>
  <c r="Q1079" i="57"/>
  <c r="S1079" i="57"/>
  <c r="P1080" i="57"/>
  <c r="R1080" i="57"/>
  <c r="Q1080" i="57"/>
  <c r="S1080" i="57"/>
  <c r="P1081" i="57"/>
  <c r="R1081" i="57"/>
  <c r="Q1081" i="57"/>
  <c r="S1081" i="57"/>
  <c r="P1082" i="57"/>
  <c r="R1082" i="57"/>
  <c r="Q1082" i="57"/>
  <c r="S1082" i="57"/>
  <c r="P1083" i="57"/>
  <c r="R1083" i="57"/>
  <c r="Q1083" i="57"/>
  <c r="S1083" i="57"/>
  <c r="P1084" i="57"/>
  <c r="R1084" i="57"/>
  <c r="Q1084" i="57"/>
  <c r="S1084" i="57"/>
  <c r="P1085" i="57"/>
  <c r="R1085" i="57"/>
  <c r="Q1085" i="57"/>
  <c r="S1085" i="57"/>
  <c r="P1086" i="57"/>
  <c r="R1086" i="57"/>
  <c r="Q1086" i="57"/>
  <c r="S1086" i="57"/>
  <c r="P1087" i="57"/>
  <c r="R1087" i="57"/>
  <c r="Q1087" i="57"/>
  <c r="S1087" i="57"/>
  <c r="P1088" i="57"/>
  <c r="R1088" i="57"/>
  <c r="Q1088" i="57"/>
  <c r="S1088" i="57"/>
  <c r="P1089" i="57"/>
  <c r="R1089" i="57"/>
  <c r="Q1089" i="57"/>
  <c r="S1089" i="57"/>
  <c r="P1090" i="57"/>
  <c r="R1090" i="57"/>
  <c r="Q1090" i="57"/>
  <c r="S1090" i="57"/>
  <c r="P1091" i="57"/>
  <c r="R1091" i="57"/>
  <c r="Q1091" i="57"/>
  <c r="S1091" i="57"/>
  <c r="P1092" i="57"/>
  <c r="R1092" i="57"/>
  <c r="Q1092" i="57"/>
  <c r="S1092" i="57"/>
  <c r="P1093" i="57"/>
  <c r="R1093" i="57"/>
  <c r="Q1093" i="57"/>
  <c r="S1093" i="57"/>
  <c r="P1094" i="57"/>
  <c r="R1094" i="57"/>
  <c r="Q1094" i="57"/>
  <c r="S1094" i="57"/>
  <c r="P1095" i="57"/>
  <c r="R1095" i="57"/>
  <c r="Q1095" i="57"/>
  <c r="S1095" i="57"/>
  <c r="P1096" i="57"/>
  <c r="R1096" i="57"/>
  <c r="Q1096" i="57"/>
  <c r="S1096" i="57"/>
  <c r="P1097" i="57"/>
  <c r="R1097" i="57"/>
  <c r="Q1097" i="57"/>
  <c r="S1097" i="57"/>
  <c r="P1098" i="57"/>
  <c r="R1098" i="57"/>
  <c r="Q1098" i="57"/>
  <c r="S1098" i="57"/>
  <c r="P1100" i="57"/>
  <c r="R1100" i="57"/>
  <c r="Q1100" i="57"/>
  <c r="S1100" i="57"/>
  <c r="P1101" i="57"/>
  <c r="R1101" i="57"/>
  <c r="Q1101" i="57"/>
  <c r="S1101" i="57"/>
  <c r="P1102" i="57"/>
  <c r="R1102" i="57"/>
  <c r="Q1102" i="57"/>
  <c r="S1102" i="57"/>
  <c r="P1103" i="57"/>
  <c r="R1103" i="57"/>
  <c r="Q1103" i="57"/>
  <c r="S1103" i="57"/>
  <c r="P1104" i="57"/>
  <c r="R1104" i="57"/>
  <c r="Q1104" i="57"/>
  <c r="S1104" i="57"/>
  <c r="P1105" i="57"/>
  <c r="R1105" i="57"/>
  <c r="Q1105" i="57"/>
  <c r="S1105" i="57"/>
  <c r="P1106" i="57"/>
  <c r="R1106" i="57"/>
  <c r="Q1106" i="57"/>
  <c r="S1106" i="57"/>
  <c r="P1107" i="57"/>
  <c r="R1107" i="57"/>
  <c r="Q1107" i="57"/>
  <c r="S1107" i="57"/>
  <c r="P1108" i="57"/>
  <c r="R1108" i="57"/>
  <c r="Q1108" i="57"/>
  <c r="S1108" i="57"/>
  <c r="P1109" i="57"/>
  <c r="R1109" i="57"/>
  <c r="Q1109" i="57"/>
  <c r="S1109" i="57"/>
  <c r="P1110" i="57"/>
  <c r="R1110" i="57"/>
  <c r="Q1110" i="57"/>
  <c r="S1110" i="57"/>
  <c r="P1111" i="57"/>
  <c r="R1111" i="57"/>
  <c r="Q1111" i="57"/>
  <c r="S1111" i="57"/>
  <c r="P1112" i="57"/>
  <c r="R1112" i="57"/>
  <c r="Q1112" i="57"/>
  <c r="S1112" i="57"/>
  <c r="P1113" i="57"/>
  <c r="R1113" i="57"/>
  <c r="Q1113" i="57"/>
  <c r="S1113" i="57"/>
  <c r="P1114" i="57"/>
  <c r="R1114" i="57"/>
  <c r="Q1114" i="57"/>
  <c r="S1114" i="57"/>
  <c r="P1115" i="57"/>
  <c r="R1115" i="57"/>
  <c r="Q1115" i="57"/>
  <c r="S1115" i="57"/>
  <c r="P1116" i="57"/>
  <c r="R1116" i="57"/>
  <c r="Q1116" i="57"/>
  <c r="S1116" i="57"/>
  <c r="P1117" i="57"/>
  <c r="R1117" i="57"/>
  <c r="Q1117" i="57"/>
  <c r="S1117" i="57"/>
  <c r="P1118" i="57"/>
  <c r="R1118" i="57"/>
  <c r="Q1118" i="57"/>
  <c r="S1118" i="57"/>
  <c r="P1119" i="57"/>
  <c r="R1119" i="57"/>
  <c r="Q1119" i="57"/>
  <c r="S1119" i="57"/>
  <c r="P1120" i="57"/>
  <c r="R1120" i="57"/>
  <c r="Q1120" i="57"/>
  <c r="S1120" i="57"/>
  <c r="P1121" i="57"/>
  <c r="R1121" i="57"/>
  <c r="Q1121" i="57"/>
  <c r="S1121" i="57"/>
  <c r="P1122" i="57"/>
  <c r="R1122" i="57"/>
  <c r="Q1122" i="57"/>
  <c r="S1122" i="57"/>
  <c r="P1123" i="57"/>
  <c r="R1123" i="57"/>
  <c r="Q1123" i="57"/>
  <c r="S1123" i="57"/>
  <c r="P1124" i="57"/>
  <c r="R1124" i="57"/>
  <c r="Q1124" i="57"/>
  <c r="S1124" i="57"/>
  <c r="P1125" i="57"/>
  <c r="R1125" i="57"/>
  <c r="Q1125" i="57"/>
  <c r="S1125" i="57"/>
  <c r="P1126" i="57"/>
  <c r="R1126" i="57"/>
  <c r="Q1126" i="57"/>
  <c r="S1126" i="57"/>
  <c r="P1127" i="57"/>
  <c r="R1127" i="57"/>
  <c r="Q1127" i="57"/>
  <c r="S1127" i="57"/>
  <c r="P1128" i="57"/>
  <c r="R1128" i="57"/>
  <c r="Q1128" i="57"/>
  <c r="S1128" i="57"/>
  <c r="P1129" i="57"/>
  <c r="R1129" i="57"/>
  <c r="Q1129" i="57"/>
  <c r="S1129" i="57"/>
  <c r="P1130" i="57"/>
  <c r="R1130" i="57"/>
  <c r="Q1130" i="57"/>
  <c r="S1130" i="57"/>
  <c r="P1131" i="57"/>
  <c r="R1131" i="57"/>
  <c r="Q1131" i="57"/>
  <c r="S1131" i="57"/>
  <c r="P1132" i="57"/>
  <c r="R1132" i="57"/>
  <c r="Q1132" i="57"/>
  <c r="S1132" i="57"/>
  <c r="P1133" i="57"/>
  <c r="R1133" i="57"/>
  <c r="Q1133" i="57"/>
  <c r="S1133" i="57"/>
  <c r="P1134" i="57"/>
  <c r="R1134" i="57"/>
  <c r="Q1134" i="57"/>
  <c r="S1134" i="57"/>
  <c r="P1136" i="57"/>
  <c r="R1136" i="57"/>
  <c r="Q1136" i="57"/>
  <c r="S1136" i="57"/>
  <c r="P1137" i="57"/>
  <c r="R1137" i="57"/>
  <c r="Q1137" i="57"/>
  <c r="S1137" i="57"/>
  <c r="P1138" i="57"/>
  <c r="R1138" i="57"/>
  <c r="Q1138" i="57"/>
  <c r="S1138" i="57"/>
  <c r="P1139" i="57"/>
  <c r="R1139" i="57"/>
  <c r="Q1139" i="57"/>
  <c r="S1139" i="57"/>
  <c r="P1140" i="57"/>
  <c r="R1140" i="57"/>
  <c r="Q1140" i="57"/>
  <c r="S1140" i="57"/>
  <c r="P1141" i="57"/>
  <c r="R1141" i="57"/>
  <c r="Q1141" i="57"/>
  <c r="S1141" i="57"/>
  <c r="P1142" i="57"/>
  <c r="R1142" i="57"/>
  <c r="Q1142" i="57"/>
  <c r="S1142" i="57"/>
  <c r="P1143" i="57"/>
  <c r="R1143" i="57"/>
  <c r="Q1143" i="57"/>
  <c r="S1143" i="57"/>
  <c r="P1144" i="57"/>
  <c r="R1144" i="57"/>
  <c r="Q1144" i="57"/>
  <c r="S1144" i="57"/>
  <c r="P1145" i="57"/>
  <c r="R1145" i="57"/>
  <c r="Q1145" i="57"/>
  <c r="S1145" i="57"/>
  <c r="P1146" i="57"/>
  <c r="R1146" i="57"/>
  <c r="Q1146" i="57"/>
  <c r="S1146" i="57"/>
  <c r="P1147" i="57"/>
  <c r="R1147" i="57"/>
  <c r="Q1147" i="57"/>
  <c r="S1147" i="57"/>
  <c r="P1148" i="57"/>
  <c r="R1148" i="57"/>
  <c r="Q1148" i="57"/>
  <c r="S1148" i="57"/>
  <c r="P1149" i="57"/>
  <c r="R1149" i="57"/>
  <c r="Q1149" i="57"/>
  <c r="S1149" i="57"/>
  <c r="P1150" i="57"/>
  <c r="R1150" i="57"/>
  <c r="Q1150" i="57"/>
  <c r="S1150" i="57"/>
  <c r="P1151" i="57"/>
  <c r="R1151" i="57"/>
  <c r="Q1151" i="57"/>
  <c r="S1151" i="57"/>
  <c r="P1152" i="57"/>
  <c r="R1152" i="57"/>
  <c r="Q1152" i="57"/>
  <c r="S1152" i="57"/>
  <c r="P1153" i="57"/>
  <c r="R1153" i="57"/>
  <c r="Q1153" i="57"/>
  <c r="S1153" i="57"/>
  <c r="P1154" i="57"/>
  <c r="R1154" i="57"/>
  <c r="Q1154" i="57"/>
  <c r="S1154" i="57"/>
  <c r="P1155" i="57"/>
  <c r="R1155" i="57"/>
  <c r="Q1155" i="57"/>
  <c r="S1155" i="57"/>
  <c r="P1156" i="57"/>
  <c r="R1156" i="57"/>
  <c r="Q1156" i="57"/>
  <c r="S1156" i="57"/>
  <c r="P1157" i="57"/>
  <c r="R1157" i="57"/>
  <c r="Q1157" i="57"/>
  <c r="S1157" i="57"/>
  <c r="P1158" i="57"/>
  <c r="R1158" i="57"/>
  <c r="Q1158" i="57"/>
  <c r="S1158" i="57"/>
  <c r="P1159" i="57"/>
  <c r="R1159" i="57"/>
  <c r="Q1159" i="57"/>
  <c r="S1159" i="57"/>
  <c r="P1160" i="57"/>
  <c r="R1160" i="57"/>
  <c r="Q1160" i="57"/>
  <c r="S1160" i="57"/>
  <c r="P1161" i="57"/>
  <c r="R1161" i="57"/>
  <c r="Q1161" i="57"/>
  <c r="S1161" i="57"/>
  <c r="P1162" i="57"/>
  <c r="R1162" i="57"/>
  <c r="Q1162" i="57"/>
  <c r="S1162" i="57"/>
  <c r="P1163" i="57"/>
  <c r="R1163" i="57"/>
  <c r="Q1163" i="57"/>
  <c r="S1163" i="57"/>
  <c r="P1164" i="57"/>
  <c r="R1164" i="57"/>
  <c r="Q1164" i="57"/>
  <c r="S1164" i="57"/>
  <c r="P1165" i="57"/>
  <c r="R1165" i="57"/>
  <c r="Q1165" i="57"/>
  <c r="S1165" i="57"/>
  <c r="P1166" i="57"/>
  <c r="R1166" i="57"/>
  <c r="Q1166" i="57"/>
  <c r="S1166" i="57"/>
  <c r="P1167" i="57"/>
  <c r="R1167" i="57"/>
  <c r="Q1167" i="57"/>
  <c r="S1167" i="57"/>
  <c r="P1168" i="57"/>
  <c r="R1168" i="57"/>
  <c r="Q1168" i="57"/>
  <c r="S1168" i="57"/>
  <c r="P1169" i="57"/>
  <c r="R1169" i="57"/>
  <c r="Q1169" i="57"/>
  <c r="S1169" i="57"/>
  <c r="P1170" i="57"/>
  <c r="R1170" i="57"/>
  <c r="Q1170" i="57"/>
  <c r="S1170" i="57"/>
  <c r="P1171" i="57"/>
  <c r="R1171" i="57"/>
  <c r="Q1171" i="57"/>
  <c r="S1171" i="57"/>
  <c r="P1172" i="57"/>
  <c r="R1172" i="57"/>
  <c r="Q1172" i="57"/>
  <c r="S1172" i="57"/>
  <c r="P1173" i="57"/>
  <c r="R1173" i="57"/>
  <c r="Q1173" i="57"/>
  <c r="S1173" i="57"/>
  <c r="P1174" i="57"/>
  <c r="R1174" i="57"/>
  <c r="Q1174" i="57"/>
  <c r="S1174" i="57"/>
  <c r="P1175" i="57"/>
  <c r="R1175" i="57"/>
  <c r="Q1175" i="57"/>
  <c r="S1175" i="57"/>
  <c r="P1176" i="57"/>
  <c r="R1176" i="57"/>
  <c r="Q1176" i="57"/>
  <c r="S1176" i="57"/>
  <c r="P1177" i="57"/>
  <c r="R1177" i="57"/>
  <c r="Q1177" i="57"/>
  <c r="S1177" i="57"/>
  <c r="P1178" i="57"/>
  <c r="R1178" i="57"/>
  <c r="Q1178" i="57"/>
  <c r="S1178" i="57"/>
  <c r="P1179" i="57"/>
  <c r="R1179" i="57"/>
  <c r="Q1179" i="57"/>
  <c r="S1179" i="57"/>
  <c r="P1180" i="57"/>
  <c r="R1180" i="57"/>
  <c r="Q1180" i="57"/>
  <c r="S1180" i="57"/>
  <c r="P1181" i="57"/>
  <c r="R1181" i="57"/>
  <c r="Q1181" i="57"/>
  <c r="S1181" i="57"/>
  <c r="P1183" i="57"/>
  <c r="R1183" i="57"/>
  <c r="Q1183" i="57"/>
  <c r="S1183" i="57"/>
  <c r="P1184" i="57"/>
  <c r="R1184" i="57"/>
  <c r="Q1184" i="57"/>
  <c r="S1184" i="57"/>
  <c r="P1185" i="57"/>
  <c r="R1185" i="57"/>
  <c r="Q1185" i="57"/>
  <c r="S1185" i="57"/>
  <c r="P1186" i="57"/>
  <c r="R1186" i="57"/>
  <c r="Q1186" i="57"/>
  <c r="S1186" i="57"/>
  <c r="P1187" i="57"/>
  <c r="R1187" i="57"/>
  <c r="Q1187" i="57"/>
  <c r="S1187" i="57"/>
  <c r="P1188" i="57"/>
  <c r="R1188" i="57"/>
  <c r="Q1188" i="57"/>
  <c r="S1188" i="57"/>
  <c r="P1189" i="57"/>
  <c r="R1189" i="57"/>
  <c r="Q1189" i="57"/>
  <c r="S1189" i="57"/>
  <c r="P1190" i="57"/>
  <c r="R1190" i="57"/>
  <c r="Q1190" i="57"/>
  <c r="S1190" i="57"/>
  <c r="P1191" i="57"/>
  <c r="R1191" i="57"/>
  <c r="Q1191" i="57"/>
  <c r="S1191" i="57"/>
  <c r="P1192" i="57"/>
  <c r="R1192" i="57"/>
  <c r="Q1192" i="57"/>
  <c r="S1192" i="57"/>
  <c r="P1193" i="57"/>
  <c r="R1193" i="57"/>
  <c r="Q1193" i="57"/>
  <c r="S1193" i="57"/>
  <c r="P1194" i="57"/>
  <c r="R1194" i="57"/>
  <c r="Q1194" i="57"/>
  <c r="S1194" i="57"/>
  <c r="P1195" i="57"/>
  <c r="R1195" i="57"/>
  <c r="Q1195" i="57"/>
  <c r="S1195" i="57"/>
  <c r="P1196" i="57"/>
  <c r="R1196" i="57"/>
  <c r="Q1196" i="57"/>
  <c r="S1196" i="57"/>
  <c r="P1197" i="57"/>
  <c r="R1197" i="57"/>
  <c r="Q1197" i="57"/>
  <c r="S1197" i="57"/>
  <c r="P1198" i="57"/>
  <c r="R1198" i="57"/>
  <c r="Q1198" i="57"/>
  <c r="S1198" i="57"/>
  <c r="P1199" i="57"/>
  <c r="R1199" i="57"/>
  <c r="Q1199" i="57"/>
  <c r="S1199" i="57"/>
  <c r="P1201" i="57"/>
  <c r="R1201" i="57"/>
  <c r="Q1201" i="57"/>
  <c r="S1201" i="57"/>
  <c r="P1202" i="57"/>
  <c r="R1202" i="57"/>
  <c r="Q1202" i="57"/>
  <c r="S1202" i="57"/>
  <c r="P1203" i="57"/>
  <c r="R1203" i="57"/>
  <c r="Q1203" i="57"/>
  <c r="S1203" i="57"/>
  <c r="P1205" i="57"/>
  <c r="R1205" i="57"/>
  <c r="Q1205" i="57"/>
  <c r="S1205" i="57"/>
  <c r="P1206" i="57"/>
  <c r="R1206" i="57"/>
  <c r="Q1206" i="57"/>
  <c r="S1206" i="57"/>
  <c r="P1207" i="57"/>
  <c r="R1207" i="57"/>
  <c r="Q1207" i="57"/>
  <c r="S1207" i="57"/>
  <c r="P1208" i="57"/>
  <c r="R1208" i="57"/>
  <c r="Q1208" i="57"/>
  <c r="S1208" i="57"/>
  <c r="P1209" i="57"/>
  <c r="R1209" i="57"/>
  <c r="Q1209" i="57"/>
  <c r="S1209" i="57"/>
  <c r="P1210" i="57"/>
  <c r="R1210" i="57"/>
  <c r="Q1210" i="57"/>
  <c r="S1210" i="57"/>
  <c r="P1211" i="57"/>
  <c r="R1211" i="57"/>
  <c r="Q1211" i="57"/>
  <c r="S1211" i="57"/>
  <c r="P1212" i="57"/>
  <c r="R1212" i="57"/>
  <c r="Q1212" i="57"/>
  <c r="S1212" i="57"/>
  <c r="P1213" i="57"/>
  <c r="R1213" i="57"/>
  <c r="Q1213" i="57"/>
  <c r="S1213" i="57"/>
  <c r="P1214" i="57"/>
  <c r="R1214" i="57"/>
  <c r="Q1214" i="57"/>
  <c r="S1214" i="57"/>
  <c r="P1215" i="57"/>
  <c r="R1215" i="57"/>
  <c r="Q1215" i="57"/>
  <c r="S1215" i="57"/>
  <c r="P1216" i="57"/>
  <c r="R1216" i="57"/>
  <c r="Q1216" i="57"/>
  <c r="S1216" i="57"/>
  <c r="P1217" i="57"/>
  <c r="R1217" i="57"/>
  <c r="Q1217" i="57"/>
  <c r="S1217" i="57"/>
  <c r="P1218" i="57"/>
  <c r="R1218" i="57"/>
  <c r="Q1218" i="57"/>
  <c r="S1218" i="57"/>
  <c r="P1221" i="57"/>
  <c r="R1221" i="57"/>
  <c r="Q1221" i="57"/>
  <c r="S1221" i="57"/>
  <c r="P1222" i="57"/>
  <c r="R1222" i="57"/>
  <c r="Q1222" i="57"/>
  <c r="S1222" i="57"/>
  <c r="P1223" i="57"/>
  <c r="R1223" i="57"/>
  <c r="Q1223" i="57"/>
  <c r="S1223" i="57"/>
  <c r="P1224" i="57"/>
  <c r="R1224" i="57"/>
  <c r="Q1224" i="57"/>
  <c r="S1224" i="57"/>
  <c r="S1022" i="57"/>
  <c r="Q1022" i="57"/>
  <c r="R1022" i="57"/>
  <c r="P1022" i="57"/>
  <c r="S1020" i="57"/>
  <c r="Q1020" i="57"/>
  <c r="R1020" i="57"/>
  <c r="P1020" i="57"/>
  <c r="S1019" i="57"/>
  <c r="Q1019" i="57"/>
  <c r="R1019" i="57"/>
  <c r="P1019" i="57"/>
  <c r="P934" i="57"/>
  <c r="R934" i="57"/>
  <c r="Q934" i="57"/>
  <c r="S934" i="57"/>
  <c r="P935" i="57"/>
  <c r="R935" i="57"/>
  <c r="Q935" i="57"/>
  <c r="S935" i="57"/>
  <c r="P937" i="57"/>
  <c r="R937" i="57"/>
  <c r="Q937" i="57"/>
  <c r="S937" i="57"/>
  <c r="P938" i="57"/>
  <c r="R938" i="57"/>
  <c r="Q938" i="57"/>
  <c r="S938" i="57"/>
  <c r="P939" i="57"/>
  <c r="R939" i="57"/>
  <c r="Q939" i="57"/>
  <c r="S939" i="57"/>
  <c r="P940" i="57"/>
  <c r="R940" i="57"/>
  <c r="Q940" i="57"/>
  <c r="S940" i="57"/>
  <c r="P941" i="57"/>
  <c r="R941" i="57"/>
  <c r="Q941" i="57"/>
  <c r="S941" i="57"/>
  <c r="P942" i="57"/>
  <c r="R942" i="57"/>
  <c r="Q942" i="57"/>
  <c r="S942" i="57"/>
  <c r="P943" i="57"/>
  <c r="R943" i="57"/>
  <c r="Q943" i="57"/>
  <c r="S943" i="57"/>
  <c r="P944" i="57"/>
  <c r="R944" i="57"/>
  <c r="Q944" i="57"/>
  <c r="S944" i="57"/>
  <c r="P945" i="57"/>
  <c r="R945" i="57"/>
  <c r="Q945" i="57"/>
  <c r="S945" i="57"/>
  <c r="P946" i="57"/>
  <c r="R946" i="57"/>
  <c r="Q946" i="57"/>
  <c r="S946" i="57"/>
  <c r="P947" i="57"/>
  <c r="R947" i="57"/>
  <c r="Q947" i="57"/>
  <c r="S947" i="57"/>
  <c r="P948" i="57"/>
  <c r="R948" i="57"/>
  <c r="Q948" i="57"/>
  <c r="S948" i="57"/>
  <c r="P951" i="57"/>
  <c r="R951" i="57"/>
  <c r="Q951" i="57"/>
  <c r="S951" i="57"/>
  <c r="P952" i="57"/>
  <c r="R952" i="57"/>
  <c r="Q952" i="57"/>
  <c r="S952" i="57"/>
  <c r="P953" i="57"/>
  <c r="R953" i="57"/>
  <c r="Q953" i="57"/>
  <c r="S953" i="57"/>
  <c r="P954" i="57"/>
  <c r="R954" i="57"/>
  <c r="Q954" i="57"/>
  <c r="S954" i="57"/>
  <c r="P955" i="57"/>
  <c r="R955" i="57"/>
  <c r="Q955" i="57"/>
  <c r="S955" i="57"/>
  <c r="P956" i="57"/>
  <c r="R956" i="57"/>
  <c r="Q956" i="57"/>
  <c r="S956" i="57"/>
  <c r="P957" i="57"/>
  <c r="R957" i="57"/>
  <c r="Q957" i="57"/>
  <c r="S957" i="57"/>
  <c r="P958" i="57"/>
  <c r="R958" i="57"/>
  <c r="Q958" i="57"/>
  <c r="S958" i="57"/>
  <c r="P959" i="57"/>
  <c r="R959" i="57"/>
  <c r="Q959" i="57"/>
  <c r="S959" i="57"/>
  <c r="P960" i="57"/>
  <c r="R960" i="57"/>
  <c r="Q960" i="57"/>
  <c r="S960" i="57"/>
  <c r="P961" i="57"/>
  <c r="R961" i="57"/>
  <c r="Q961" i="57"/>
  <c r="S961" i="57"/>
  <c r="P962" i="57"/>
  <c r="R962" i="57"/>
  <c r="Q962" i="57"/>
  <c r="S962" i="57"/>
  <c r="P963" i="57"/>
  <c r="R963" i="57"/>
  <c r="Q963" i="57"/>
  <c r="S963" i="57"/>
  <c r="P964" i="57"/>
  <c r="R964" i="57"/>
  <c r="Q964" i="57"/>
  <c r="S964" i="57"/>
  <c r="P965" i="57"/>
  <c r="R965" i="57"/>
  <c r="Q965" i="57"/>
  <c r="S965" i="57"/>
  <c r="P966" i="57"/>
  <c r="R966" i="57"/>
  <c r="Q966" i="57"/>
  <c r="S966" i="57"/>
  <c r="P967" i="57"/>
  <c r="R967" i="57"/>
  <c r="Q967" i="57"/>
  <c r="S967" i="57"/>
  <c r="P968" i="57"/>
  <c r="R968" i="57"/>
  <c r="Q968" i="57"/>
  <c r="S968" i="57"/>
  <c r="P969" i="57"/>
  <c r="R969" i="57"/>
  <c r="Q969" i="57"/>
  <c r="S969" i="57"/>
  <c r="P970" i="57"/>
  <c r="R970" i="57"/>
  <c r="Q970" i="57"/>
  <c r="S970" i="57"/>
  <c r="P971" i="57"/>
  <c r="R971" i="57"/>
  <c r="Q971" i="57"/>
  <c r="S971" i="57"/>
  <c r="P972" i="57"/>
  <c r="R972" i="57"/>
  <c r="Q972" i="57"/>
  <c r="S972" i="57"/>
  <c r="P973" i="57"/>
  <c r="R973" i="57"/>
  <c r="Q973" i="57"/>
  <c r="S973" i="57"/>
  <c r="P974" i="57"/>
  <c r="R974" i="57"/>
  <c r="Q974" i="57"/>
  <c r="S974" i="57"/>
  <c r="P975" i="57"/>
  <c r="R975" i="57"/>
  <c r="Q975" i="57"/>
  <c r="S975" i="57"/>
  <c r="P976" i="57"/>
  <c r="R976" i="57"/>
  <c r="Q976" i="57"/>
  <c r="S976" i="57"/>
  <c r="P977" i="57"/>
  <c r="R977" i="57"/>
  <c r="Q977" i="57"/>
  <c r="S977" i="57"/>
  <c r="P978" i="57"/>
  <c r="R978" i="57"/>
  <c r="Q978" i="57"/>
  <c r="S978" i="57"/>
  <c r="P979" i="57"/>
  <c r="R979" i="57"/>
  <c r="Q979" i="57"/>
  <c r="S979" i="57"/>
  <c r="P980" i="57"/>
  <c r="R980" i="57"/>
  <c r="Q980" i="57"/>
  <c r="S980" i="57"/>
  <c r="P981" i="57"/>
  <c r="R981" i="57"/>
  <c r="Q981" i="57"/>
  <c r="S981" i="57"/>
  <c r="P982" i="57"/>
  <c r="R982" i="57"/>
  <c r="Q982" i="57"/>
  <c r="S982" i="57"/>
  <c r="P983" i="57"/>
  <c r="R983" i="57"/>
  <c r="Q983" i="57"/>
  <c r="S983" i="57"/>
  <c r="P984" i="57"/>
  <c r="R984" i="57"/>
  <c r="Q984" i="57"/>
  <c r="S984" i="57"/>
  <c r="P985" i="57"/>
  <c r="R985" i="57"/>
  <c r="Q985" i="57"/>
  <c r="S985" i="57"/>
  <c r="P986" i="57"/>
  <c r="R986" i="57"/>
  <c r="Q986" i="57"/>
  <c r="S986" i="57"/>
  <c r="P987" i="57"/>
  <c r="R987" i="57"/>
  <c r="Q987" i="57"/>
  <c r="S987" i="57"/>
  <c r="P988" i="57"/>
  <c r="R988" i="57"/>
  <c r="Q988" i="57"/>
  <c r="S988" i="57"/>
  <c r="P989" i="57"/>
  <c r="R989" i="57"/>
  <c r="Q989" i="57"/>
  <c r="S989" i="57"/>
  <c r="P990" i="57"/>
  <c r="R990" i="57"/>
  <c r="Q990" i="57"/>
  <c r="S990" i="57"/>
  <c r="P991" i="57"/>
  <c r="R991" i="57"/>
  <c r="Q991" i="57"/>
  <c r="S991" i="57"/>
  <c r="P992" i="57"/>
  <c r="R992" i="57"/>
  <c r="Q992" i="57"/>
  <c r="S992" i="57"/>
  <c r="P993" i="57"/>
  <c r="R993" i="57"/>
  <c r="Q993" i="57"/>
  <c r="S993" i="57"/>
  <c r="P994" i="57"/>
  <c r="R994" i="57"/>
  <c r="Q994" i="57"/>
  <c r="S994" i="57"/>
  <c r="P995" i="57"/>
  <c r="R995" i="57"/>
  <c r="Q995" i="57"/>
  <c r="S995" i="57"/>
  <c r="P996" i="57"/>
  <c r="R996" i="57"/>
  <c r="Q996" i="57"/>
  <c r="S996" i="57"/>
  <c r="P997" i="57"/>
  <c r="R997" i="57"/>
  <c r="Q997" i="57"/>
  <c r="S997" i="57"/>
  <c r="P998" i="57"/>
  <c r="R998" i="57"/>
  <c r="Q998" i="57"/>
  <c r="S998" i="57"/>
  <c r="P999" i="57"/>
  <c r="R999" i="57"/>
  <c r="Q999" i="57"/>
  <c r="S999" i="57"/>
  <c r="P1000" i="57"/>
  <c r="R1000" i="57"/>
  <c r="Q1000" i="57"/>
  <c r="S1000" i="57"/>
  <c r="P1001" i="57"/>
  <c r="R1001" i="57"/>
  <c r="Q1001" i="57"/>
  <c r="S1001" i="57"/>
  <c r="P1002" i="57"/>
  <c r="R1002" i="57"/>
  <c r="Q1002" i="57"/>
  <c r="S1002" i="57"/>
  <c r="P1003" i="57"/>
  <c r="R1003" i="57"/>
  <c r="Q1003" i="57"/>
  <c r="S1003" i="57"/>
  <c r="P1004" i="57"/>
  <c r="R1004" i="57"/>
  <c r="Q1004" i="57"/>
  <c r="S1004" i="57"/>
  <c r="P1005" i="57"/>
  <c r="R1005" i="57"/>
  <c r="Q1005" i="57"/>
  <c r="S1005" i="57"/>
  <c r="P1006" i="57"/>
  <c r="R1006" i="57"/>
  <c r="Q1006" i="57"/>
  <c r="S1006" i="57"/>
  <c r="P1007" i="57"/>
  <c r="R1007" i="57"/>
  <c r="Q1007" i="57"/>
  <c r="S1007" i="57"/>
  <c r="P1008" i="57"/>
  <c r="R1008" i="57"/>
  <c r="Q1008" i="57"/>
  <c r="S1008" i="57"/>
  <c r="P1009" i="57"/>
  <c r="R1009" i="57"/>
  <c r="Q1009" i="57"/>
  <c r="S1009" i="57"/>
  <c r="P1010" i="57"/>
  <c r="R1010" i="57"/>
  <c r="Q1010" i="57"/>
  <c r="S1010" i="57"/>
  <c r="P1011" i="57"/>
  <c r="R1011" i="57"/>
  <c r="Q1011" i="57"/>
  <c r="S1011" i="57"/>
  <c r="P1012" i="57"/>
  <c r="R1012" i="57"/>
  <c r="Q1012" i="57"/>
  <c r="S1012" i="57"/>
  <c r="P1013" i="57"/>
  <c r="R1013" i="57"/>
  <c r="Q1013" i="57"/>
  <c r="S1013" i="57"/>
  <c r="P1014" i="57"/>
  <c r="R1014" i="57"/>
  <c r="Q1014" i="57"/>
  <c r="S1014" i="57"/>
  <c r="P1015" i="57"/>
  <c r="R1015" i="57"/>
  <c r="Q1015" i="57"/>
  <c r="S1015" i="57"/>
  <c r="P1016" i="57"/>
  <c r="R1016" i="57"/>
  <c r="Q1016" i="57"/>
  <c r="S1016" i="57"/>
  <c r="S932" i="57"/>
  <c r="Q932" i="57"/>
  <c r="R932" i="57"/>
  <c r="P932" i="57"/>
  <c r="S931" i="57"/>
  <c r="Q931" i="57"/>
  <c r="R931" i="57"/>
  <c r="P931" i="57"/>
  <c r="S930" i="57"/>
  <c r="Q930" i="57"/>
  <c r="R930" i="57"/>
  <c r="P930" i="57"/>
  <c r="P812" i="57"/>
  <c r="R812" i="57"/>
  <c r="Q812" i="57"/>
  <c r="S812" i="57"/>
  <c r="P814" i="57"/>
  <c r="R814" i="57"/>
  <c r="Q814" i="57"/>
  <c r="S814" i="57"/>
  <c r="P815" i="57"/>
  <c r="R815" i="57"/>
  <c r="Q815" i="57"/>
  <c r="S815" i="57"/>
  <c r="P816" i="57"/>
  <c r="R816" i="57"/>
  <c r="Q816" i="57"/>
  <c r="S816" i="57"/>
  <c r="P817" i="57"/>
  <c r="R817" i="57"/>
  <c r="Q817" i="57"/>
  <c r="S817" i="57"/>
  <c r="P818" i="57"/>
  <c r="R818" i="57"/>
  <c r="Q818" i="57"/>
  <c r="S818" i="57"/>
  <c r="P819" i="57"/>
  <c r="R819" i="57"/>
  <c r="Q819" i="57"/>
  <c r="S819" i="57"/>
  <c r="P820" i="57"/>
  <c r="R820" i="57"/>
  <c r="Q820" i="57"/>
  <c r="S820" i="57"/>
  <c r="P821" i="57"/>
  <c r="R821" i="57"/>
  <c r="Q821" i="57"/>
  <c r="S821" i="57"/>
  <c r="P822" i="57"/>
  <c r="R822" i="57"/>
  <c r="Q822" i="57"/>
  <c r="S822" i="57"/>
  <c r="P824" i="57"/>
  <c r="R824" i="57"/>
  <c r="Q824" i="57"/>
  <c r="S824" i="57"/>
  <c r="P825" i="57"/>
  <c r="R825" i="57"/>
  <c r="Q825" i="57"/>
  <c r="S825" i="57"/>
  <c r="P826" i="57"/>
  <c r="R826" i="57"/>
  <c r="Q826" i="57"/>
  <c r="S826" i="57"/>
  <c r="P827" i="57"/>
  <c r="R827" i="57"/>
  <c r="Q827" i="57"/>
  <c r="S827" i="57"/>
  <c r="P828" i="57"/>
  <c r="R828" i="57"/>
  <c r="Q828" i="57"/>
  <c r="S828" i="57"/>
  <c r="P829" i="57"/>
  <c r="R829" i="57"/>
  <c r="Q829" i="57"/>
  <c r="S829" i="57"/>
  <c r="P830" i="57"/>
  <c r="R830" i="57"/>
  <c r="Q830" i="57"/>
  <c r="S830" i="57"/>
  <c r="P831" i="57"/>
  <c r="R831" i="57"/>
  <c r="Q831" i="57"/>
  <c r="S831" i="57"/>
  <c r="P832" i="57"/>
  <c r="R832" i="57"/>
  <c r="Q832" i="57"/>
  <c r="S832" i="57"/>
  <c r="P833" i="57"/>
  <c r="R833" i="57"/>
  <c r="Q833" i="57"/>
  <c r="S833" i="57"/>
  <c r="P834" i="57"/>
  <c r="R834" i="57"/>
  <c r="Q834" i="57"/>
  <c r="S834" i="57"/>
  <c r="P835" i="57"/>
  <c r="R835" i="57"/>
  <c r="Q835" i="57"/>
  <c r="S835" i="57"/>
  <c r="P836" i="57"/>
  <c r="R836" i="57"/>
  <c r="Q836" i="57"/>
  <c r="S836" i="57"/>
  <c r="P837" i="57"/>
  <c r="R837" i="57"/>
  <c r="Q837" i="57"/>
  <c r="S837" i="57"/>
  <c r="P838" i="57"/>
  <c r="R838" i="57"/>
  <c r="Q838" i="57"/>
  <c r="S838" i="57"/>
  <c r="P839" i="57"/>
  <c r="R839" i="57"/>
  <c r="Q839" i="57"/>
  <c r="S839" i="57"/>
  <c r="P840" i="57"/>
  <c r="R840" i="57"/>
  <c r="Q840" i="57"/>
  <c r="S840" i="57"/>
  <c r="P841" i="57"/>
  <c r="R841" i="57"/>
  <c r="Q841" i="57"/>
  <c r="S841" i="57"/>
  <c r="P842" i="57"/>
  <c r="R842" i="57"/>
  <c r="Q842" i="57"/>
  <c r="S842" i="57"/>
  <c r="P843" i="57"/>
  <c r="R843" i="57"/>
  <c r="Q843" i="57"/>
  <c r="S843" i="57"/>
  <c r="P844" i="57"/>
  <c r="R844" i="57"/>
  <c r="Q844" i="57"/>
  <c r="S844" i="57"/>
  <c r="P845" i="57"/>
  <c r="R845" i="57"/>
  <c r="Q845" i="57"/>
  <c r="S845" i="57"/>
  <c r="P846" i="57"/>
  <c r="R846" i="57"/>
  <c r="Q846" i="57"/>
  <c r="S846" i="57"/>
  <c r="P847" i="57"/>
  <c r="R847" i="57"/>
  <c r="Q847" i="57"/>
  <c r="S847" i="57"/>
  <c r="P848" i="57"/>
  <c r="R848" i="57"/>
  <c r="Q848" i="57"/>
  <c r="S848" i="57"/>
  <c r="P849" i="57"/>
  <c r="R849" i="57"/>
  <c r="Q849" i="57"/>
  <c r="S849" i="57"/>
  <c r="P850" i="57"/>
  <c r="R850" i="57"/>
  <c r="Q850" i="57"/>
  <c r="S850" i="57"/>
  <c r="P851" i="57"/>
  <c r="R851" i="57"/>
  <c r="Q851" i="57"/>
  <c r="S851" i="57"/>
  <c r="P852" i="57"/>
  <c r="R852" i="57"/>
  <c r="Q852" i="57"/>
  <c r="S852" i="57"/>
  <c r="P853" i="57"/>
  <c r="R853" i="57"/>
  <c r="Q853" i="57"/>
  <c r="S853" i="57"/>
  <c r="P854" i="57"/>
  <c r="R854" i="57"/>
  <c r="Q854" i="57"/>
  <c r="S854" i="57"/>
  <c r="P855" i="57"/>
  <c r="R855" i="57"/>
  <c r="Q855" i="57"/>
  <c r="S855" i="57"/>
  <c r="P856" i="57"/>
  <c r="R856" i="57"/>
  <c r="Q856" i="57"/>
  <c r="S856" i="57"/>
  <c r="P857" i="57"/>
  <c r="R857" i="57"/>
  <c r="Q857" i="57"/>
  <c r="S857" i="57"/>
  <c r="P858" i="57"/>
  <c r="R858" i="57"/>
  <c r="Q858" i="57"/>
  <c r="S858" i="57"/>
  <c r="P859" i="57"/>
  <c r="R859" i="57"/>
  <c r="Q859" i="57"/>
  <c r="S859" i="57"/>
  <c r="P860" i="57"/>
  <c r="R860" i="57"/>
  <c r="Q860" i="57"/>
  <c r="S860" i="57"/>
  <c r="P861" i="57"/>
  <c r="R861" i="57"/>
  <c r="Q861" i="57"/>
  <c r="S861" i="57"/>
  <c r="P862" i="57"/>
  <c r="R862" i="57"/>
  <c r="Q862" i="57"/>
  <c r="S862" i="57"/>
  <c r="P863" i="57"/>
  <c r="R863" i="57"/>
  <c r="Q863" i="57"/>
  <c r="S863" i="57"/>
  <c r="P864" i="57"/>
  <c r="R864" i="57"/>
  <c r="Q864" i="57"/>
  <c r="S864" i="57"/>
  <c r="P865" i="57"/>
  <c r="R865" i="57"/>
  <c r="Q865" i="57"/>
  <c r="S865" i="57"/>
  <c r="P866" i="57"/>
  <c r="R866" i="57"/>
  <c r="Q866" i="57"/>
  <c r="S866" i="57"/>
  <c r="P867" i="57"/>
  <c r="R867" i="57"/>
  <c r="Q867" i="57"/>
  <c r="S867" i="57"/>
  <c r="P868" i="57"/>
  <c r="R868" i="57"/>
  <c r="Q868" i="57"/>
  <c r="S868" i="57"/>
  <c r="P869" i="57"/>
  <c r="R869" i="57"/>
  <c r="Q869" i="57"/>
  <c r="S869" i="57"/>
  <c r="P871" i="57"/>
  <c r="R871" i="57"/>
  <c r="Q871" i="57"/>
  <c r="S871" i="57"/>
  <c r="P872" i="57"/>
  <c r="R872" i="57"/>
  <c r="Q872" i="57"/>
  <c r="S872" i="57"/>
  <c r="P873" i="57"/>
  <c r="R873" i="57"/>
  <c r="Q873" i="57"/>
  <c r="S873" i="57"/>
  <c r="P874" i="57"/>
  <c r="R874" i="57"/>
  <c r="Q874" i="57"/>
  <c r="S874" i="57"/>
  <c r="P875" i="57"/>
  <c r="R875" i="57"/>
  <c r="Q875" i="57"/>
  <c r="S875" i="57"/>
  <c r="P876" i="57"/>
  <c r="R876" i="57"/>
  <c r="Q876" i="57"/>
  <c r="S876" i="57"/>
  <c r="P877" i="57"/>
  <c r="R877" i="57"/>
  <c r="Q877" i="57"/>
  <c r="S877" i="57"/>
  <c r="P878" i="57"/>
  <c r="R878" i="57"/>
  <c r="Q878" i="57"/>
  <c r="S878" i="57"/>
  <c r="P879" i="57"/>
  <c r="R879" i="57"/>
  <c r="Q879" i="57"/>
  <c r="S879" i="57"/>
  <c r="P880" i="57"/>
  <c r="R880" i="57"/>
  <c r="Q880" i="57"/>
  <c r="S880" i="57"/>
  <c r="P881" i="57"/>
  <c r="R881" i="57"/>
  <c r="Q881" i="57"/>
  <c r="S881" i="57"/>
  <c r="P882" i="57"/>
  <c r="R882" i="57"/>
  <c r="Q882" i="57"/>
  <c r="S882" i="57"/>
  <c r="P883" i="57"/>
  <c r="R883" i="57"/>
  <c r="Q883" i="57"/>
  <c r="S883" i="57"/>
  <c r="P884" i="57"/>
  <c r="R884" i="57"/>
  <c r="Q884" i="57"/>
  <c r="S884" i="57"/>
  <c r="P885" i="57"/>
  <c r="R885" i="57"/>
  <c r="Q885" i="57"/>
  <c r="S885" i="57"/>
  <c r="P886" i="57"/>
  <c r="R886" i="57"/>
  <c r="Q886" i="57"/>
  <c r="S886" i="57"/>
  <c r="P887" i="57"/>
  <c r="R887" i="57"/>
  <c r="Q887" i="57"/>
  <c r="S887" i="57"/>
  <c r="P888" i="57"/>
  <c r="R888" i="57"/>
  <c r="Q888" i="57"/>
  <c r="S888" i="57"/>
  <c r="P889" i="57"/>
  <c r="R889" i="57"/>
  <c r="Q889" i="57"/>
  <c r="S889" i="57"/>
  <c r="P890" i="57"/>
  <c r="R890" i="57"/>
  <c r="Q890" i="57"/>
  <c r="S890" i="57"/>
  <c r="P891" i="57"/>
  <c r="R891" i="57"/>
  <c r="Q891" i="57"/>
  <c r="S891" i="57"/>
  <c r="P892" i="57"/>
  <c r="R892" i="57"/>
  <c r="Q892" i="57"/>
  <c r="S892" i="57"/>
  <c r="P893" i="57"/>
  <c r="R893" i="57"/>
  <c r="Q893" i="57"/>
  <c r="S893" i="57"/>
  <c r="P894" i="57"/>
  <c r="R894" i="57"/>
  <c r="Q894" i="57"/>
  <c r="S894" i="57"/>
  <c r="P895" i="57"/>
  <c r="R895" i="57"/>
  <c r="Q895" i="57"/>
  <c r="S895" i="57"/>
  <c r="P896" i="57"/>
  <c r="R896" i="57"/>
  <c r="Q896" i="57"/>
  <c r="S896" i="57"/>
  <c r="P897" i="57"/>
  <c r="R897" i="57"/>
  <c r="Q897" i="57"/>
  <c r="S897" i="57"/>
  <c r="P898" i="57"/>
  <c r="R898" i="57"/>
  <c r="Q898" i="57"/>
  <c r="S898" i="57"/>
  <c r="P899" i="57"/>
  <c r="R899" i="57"/>
  <c r="Q899" i="57"/>
  <c r="S899" i="57"/>
  <c r="P900" i="57"/>
  <c r="R900" i="57"/>
  <c r="Q900" i="57"/>
  <c r="S900" i="57"/>
  <c r="P901" i="57"/>
  <c r="R901" i="57"/>
  <c r="Q901" i="57"/>
  <c r="S901" i="57"/>
  <c r="P902" i="57"/>
  <c r="R902" i="57"/>
  <c r="Q902" i="57"/>
  <c r="S902" i="57"/>
  <c r="P903" i="57"/>
  <c r="R903" i="57"/>
  <c r="Q903" i="57"/>
  <c r="S903" i="57"/>
  <c r="P904" i="57"/>
  <c r="R904" i="57"/>
  <c r="Q904" i="57"/>
  <c r="S904" i="57"/>
  <c r="P905" i="57"/>
  <c r="R905" i="57"/>
  <c r="Q905" i="57"/>
  <c r="S905" i="57"/>
  <c r="P906" i="57"/>
  <c r="R906" i="57"/>
  <c r="Q906" i="57"/>
  <c r="S906" i="57"/>
  <c r="P907" i="57"/>
  <c r="R907" i="57"/>
  <c r="Q907" i="57"/>
  <c r="S907" i="57"/>
  <c r="P908" i="57"/>
  <c r="R908" i="57"/>
  <c r="Q908" i="57"/>
  <c r="S908" i="57"/>
  <c r="P909" i="57"/>
  <c r="R909" i="57"/>
  <c r="Q909" i="57"/>
  <c r="S909" i="57"/>
  <c r="P910" i="57"/>
  <c r="R910" i="57"/>
  <c r="Q910" i="57"/>
  <c r="S910" i="57"/>
  <c r="P911" i="57"/>
  <c r="R911" i="57"/>
  <c r="Q911" i="57"/>
  <c r="S911" i="57"/>
  <c r="P912" i="57"/>
  <c r="R912" i="57"/>
  <c r="Q912" i="57"/>
  <c r="S912" i="57"/>
  <c r="P913" i="57"/>
  <c r="R913" i="57"/>
  <c r="Q913" i="57"/>
  <c r="S913" i="57"/>
  <c r="P914" i="57"/>
  <c r="R914" i="57"/>
  <c r="Q914" i="57"/>
  <c r="S914" i="57"/>
  <c r="P915" i="57"/>
  <c r="R915" i="57"/>
  <c r="Q915" i="57"/>
  <c r="S915" i="57"/>
  <c r="P916" i="57"/>
  <c r="R916" i="57"/>
  <c r="Q916" i="57"/>
  <c r="S916" i="57"/>
  <c r="P917" i="57"/>
  <c r="R917" i="57"/>
  <c r="Q917" i="57"/>
  <c r="S917" i="57"/>
  <c r="P918" i="57"/>
  <c r="R918" i="57"/>
  <c r="Q918" i="57"/>
  <c r="S918" i="57"/>
  <c r="P919" i="57"/>
  <c r="R919" i="57"/>
  <c r="Q919" i="57"/>
  <c r="S919" i="57"/>
  <c r="P920" i="57"/>
  <c r="R920" i="57"/>
  <c r="Q920" i="57"/>
  <c r="S920" i="57"/>
  <c r="P921" i="57"/>
  <c r="R921" i="57"/>
  <c r="Q921" i="57"/>
  <c r="S921" i="57"/>
  <c r="P922" i="57"/>
  <c r="R922" i="57"/>
  <c r="Q922" i="57"/>
  <c r="S922" i="57"/>
  <c r="P923" i="57"/>
  <c r="R923" i="57"/>
  <c r="Q923" i="57"/>
  <c r="S923" i="57"/>
  <c r="P924" i="57"/>
  <c r="R924" i="57"/>
  <c r="Q924" i="57"/>
  <c r="S924" i="57"/>
  <c r="P925" i="57"/>
  <c r="R925" i="57"/>
  <c r="Q925" i="57"/>
  <c r="S925" i="57"/>
  <c r="P926" i="57"/>
  <c r="R926" i="57"/>
  <c r="Q926" i="57"/>
  <c r="S926" i="57"/>
  <c r="P927" i="57"/>
  <c r="R927" i="57"/>
  <c r="Q927" i="57"/>
  <c r="S927" i="57"/>
  <c r="S811" i="57"/>
  <c r="Q811" i="57"/>
  <c r="R811" i="57"/>
  <c r="P811" i="57"/>
  <c r="S810" i="57"/>
  <c r="Q810" i="57"/>
  <c r="R810" i="57"/>
  <c r="P810" i="57"/>
  <c r="S809" i="57"/>
  <c r="Q809" i="57"/>
  <c r="R809" i="57"/>
  <c r="P809" i="57"/>
  <c r="P716" i="57"/>
  <c r="R716" i="57"/>
  <c r="Q716" i="57"/>
  <c r="S716" i="57"/>
  <c r="P717" i="57"/>
  <c r="R717" i="57"/>
  <c r="Q717" i="57"/>
  <c r="S717" i="57"/>
  <c r="P718" i="57"/>
  <c r="R718" i="57"/>
  <c r="Q718" i="57"/>
  <c r="S718" i="57"/>
  <c r="P719" i="57"/>
  <c r="R719" i="57"/>
  <c r="Q719" i="57"/>
  <c r="S719" i="57"/>
  <c r="P720" i="57"/>
  <c r="R720" i="57"/>
  <c r="Q720" i="57"/>
  <c r="S720" i="57"/>
  <c r="P721" i="57"/>
  <c r="R721" i="57"/>
  <c r="Q721" i="57"/>
  <c r="S721" i="57"/>
  <c r="P722" i="57"/>
  <c r="R722" i="57"/>
  <c r="Q722" i="57"/>
  <c r="S722" i="57"/>
  <c r="P723" i="57"/>
  <c r="R723" i="57"/>
  <c r="Q723" i="57"/>
  <c r="S723" i="57"/>
  <c r="P724" i="57"/>
  <c r="R724" i="57"/>
  <c r="Q724" i="57"/>
  <c r="S724" i="57"/>
  <c r="P725" i="57"/>
  <c r="R725" i="57"/>
  <c r="Q725" i="57"/>
  <c r="S725" i="57"/>
  <c r="P726" i="57"/>
  <c r="R726" i="57"/>
  <c r="Q726" i="57"/>
  <c r="S726" i="57"/>
  <c r="P727" i="57"/>
  <c r="R727" i="57"/>
  <c r="Q727" i="57"/>
  <c r="S727" i="57"/>
  <c r="P729" i="57"/>
  <c r="R729" i="57"/>
  <c r="Q729" i="57"/>
  <c r="S729" i="57"/>
  <c r="P730" i="57"/>
  <c r="R730" i="57"/>
  <c r="Q730" i="57"/>
  <c r="S730" i="57"/>
  <c r="P731" i="57"/>
  <c r="R731" i="57"/>
  <c r="Q731" i="57"/>
  <c r="S731" i="57"/>
  <c r="P732" i="57"/>
  <c r="R732" i="57"/>
  <c r="Q732" i="57"/>
  <c r="S732" i="57"/>
  <c r="P733" i="57"/>
  <c r="R733" i="57"/>
  <c r="Q733" i="57"/>
  <c r="S733" i="57"/>
  <c r="P734" i="57"/>
  <c r="R734" i="57"/>
  <c r="Q734" i="57"/>
  <c r="S734" i="57"/>
  <c r="P735" i="57"/>
  <c r="R735" i="57"/>
  <c r="Q735" i="57"/>
  <c r="S735" i="57"/>
  <c r="P737" i="57"/>
  <c r="R737" i="57"/>
  <c r="Q737" i="57"/>
  <c r="S737" i="57"/>
  <c r="P738" i="57"/>
  <c r="R738" i="57"/>
  <c r="Q738" i="57"/>
  <c r="S738" i="57"/>
  <c r="P739" i="57"/>
  <c r="R739" i="57"/>
  <c r="Q739" i="57"/>
  <c r="S739" i="57"/>
  <c r="P740" i="57"/>
  <c r="R740" i="57"/>
  <c r="Q740" i="57"/>
  <c r="S740" i="57"/>
  <c r="P741" i="57"/>
  <c r="R741" i="57"/>
  <c r="Q741" i="57"/>
  <c r="S741" i="57"/>
  <c r="P742" i="57"/>
  <c r="R742" i="57"/>
  <c r="Q742" i="57"/>
  <c r="S742" i="57"/>
  <c r="P744" i="57"/>
  <c r="R744" i="57"/>
  <c r="Q744" i="57"/>
  <c r="S744" i="57"/>
  <c r="P745" i="57"/>
  <c r="R745" i="57"/>
  <c r="Q745" i="57"/>
  <c r="S745" i="57"/>
  <c r="P746" i="57"/>
  <c r="R746" i="57"/>
  <c r="Q746" i="57"/>
  <c r="S746" i="57"/>
  <c r="P747" i="57"/>
  <c r="R747" i="57"/>
  <c r="Q747" i="57"/>
  <c r="S747" i="57"/>
  <c r="P748" i="57"/>
  <c r="R748" i="57"/>
  <c r="Q748" i="57"/>
  <c r="S748" i="57"/>
  <c r="P749" i="57"/>
  <c r="R749" i="57"/>
  <c r="Q749" i="57"/>
  <c r="S749" i="57"/>
  <c r="P750" i="57"/>
  <c r="R750" i="57"/>
  <c r="Q750" i="57"/>
  <c r="S750" i="57"/>
  <c r="P751" i="57"/>
  <c r="R751" i="57"/>
  <c r="Q751" i="57"/>
  <c r="S751" i="57"/>
  <c r="P752" i="57"/>
  <c r="R752" i="57"/>
  <c r="Q752" i="57"/>
  <c r="S752" i="57"/>
  <c r="P753" i="57"/>
  <c r="R753" i="57"/>
  <c r="Q753" i="57"/>
  <c r="S753" i="57"/>
  <c r="P754" i="57"/>
  <c r="R754" i="57"/>
  <c r="Q754" i="57"/>
  <c r="S754" i="57"/>
  <c r="P755" i="57"/>
  <c r="R755" i="57"/>
  <c r="Q755" i="57"/>
  <c r="S755" i="57"/>
  <c r="P756" i="57"/>
  <c r="R756" i="57"/>
  <c r="Q756" i="57"/>
  <c r="S756" i="57"/>
  <c r="P757" i="57"/>
  <c r="R757" i="57"/>
  <c r="Q757" i="57"/>
  <c r="S757" i="57"/>
  <c r="P758" i="57"/>
  <c r="R758" i="57"/>
  <c r="Q758" i="57"/>
  <c r="S758" i="57"/>
  <c r="P759" i="57"/>
  <c r="R759" i="57"/>
  <c r="Q759" i="57"/>
  <c r="S759" i="57"/>
  <c r="P760" i="57"/>
  <c r="R760" i="57"/>
  <c r="Q760" i="57"/>
  <c r="S760" i="57"/>
  <c r="P761" i="57"/>
  <c r="R761" i="57"/>
  <c r="Q761" i="57"/>
  <c r="S761" i="57"/>
  <c r="P762" i="57"/>
  <c r="R762" i="57"/>
  <c r="Q762" i="57"/>
  <c r="S762" i="57"/>
  <c r="P763" i="57"/>
  <c r="R763" i="57"/>
  <c r="Q763" i="57"/>
  <c r="S763" i="57"/>
  <c r="P764" i="57"/>
  <c r="R764" i="57"/>
  <c r="Q764" i="57"/>
  <c r="S764" i="57"/>
  <c r="P766" i="57"/>
  <c r="R766" i="57"/>
  <c r="Q766" i="57"/>
  <c r="S766" i="57"/>
  <c r="P767" i="57"/>
  <c r="R767" i="57"/>
  <c r="Q767" i="57"/>
  <c r="S767" i="57"/>
  <c r="P768" i="57"/>
  <c r="R768" i="57"/>
  <c r="Q768" i="57"/>
  <c r="S768" i="57"/>
  <c r="P769" i="57"/>
  <c r="R769" i="57"/>
  <c r="Q769" i="57"/>
  <c r="S769" i="57"/>
  <c r="P770" i="57"/>
  <c r="R770" i="57"/>
  <c r="Q770" i="57"/>
  <c r="S770" i="57"/>
  <c r="P771" i="57"/>
  <c r="R771" i="57"/>
  <c r="Q771" i="57"/>
  <c r="S771" i="57"/>
  <c r="P772" i="57"/>
  <c r="R772" i="57"/>
  <c r="Q772" i="57"/>
  <c r="S772" i="57"/>
  <c r="P773" i="57"/>
  <c r="R773" i="57"/>
  <c r="Q773" i="57"/>
  <c r="S773" i="57"/>
  <c r="P774" i="57"/>
  <c r="R774" i="57"/>
  <c r="Q774" i="57"/>
  <c r="S774" i="57"/>
  <c r="P775" i="57"/>
  <c r="R775" i="57"/>
  <c r="Q775" i="57"/>
  <c r="S775" i="57"/>
  <c r="P776" i="57"/>
  <c r="R776" i="57"/>
  <c r="Q776" i="57"/>
  <c r="S776" i="57"/>
  <c r="P777" i="57"/>
  <c r="R777" i="57"/>
  <c r="Q777" i="57"/>
  <c r="S777" i="57"/>
  <c r="P778" i="57"/>
  <c r="R778" i="57"/>
  <c r="Q778" i="57"/>
  <c r="S778" i="57"/>
  <c r="P779" i="57"/>
  <c r="R779" i="57"/>
  <c r="Q779" i="57"/>
  <c r="S779" i="57"/>
  <c r="P781" i="57"/>
  <c r="R781" i="57"/>
  <c r="Q781" i="57"/>
  <c r="S781" i="57"/>
  <c r="P782" i="57"/>
  <c r="R782" i="57"/>
  <c r="Q782" i="57"/>
  <c r="S782" i="57"/>
  <c r="P783" i="57"/>
  <c r="R783" i="57"/>
  <c r="Q783" i="57"/>
  <c r="S783" i="57"/>
  <c r="P784" i="57"/>
  <c r="R784" i="57"/>
  <c r="Q784" i="57"/>
  <c r="S784" i="57"/>
  <c r="P785" i="57"/>
  <c r="R785" i="57"/>
  <c r="Q785" i="57"/>
  <c r="S785" i="57"/>
  <c r="P786" i="57"/>
  <c r="R786" i="57"/>
  <c r="Q786" i="57"/>
  <c r="S786" i="57"/>
  <c r="P787" i="57"/>
  <c r="R787" i="57"/>
  <c r="Q787" i="57"/>
  <c r="S787" i="57"/>
  <c r="P788" i="57"/>
  <c r="R788" i="57"/>
  <c r="Q788" i="57"/>
  <c r="S788" i="57"/>
  <c r="P789" i="57"/>
  <c r="R789" i="57"/>
  <c r="Q789" i="57"/>
  <c r="S789" i="57"/>
  <c r="P790" i="57"/>
  <c r="R790" i="57"/>
  <c r="Q790" i="57"/>
  <c r="S790" i="57"/>
  <c r="P791" i="57"/>
  <c r="R791" i="57"/>
  <c r="Q791" i="57"/>
  <c r="S791" i="57"/>
  <c r="P792" i="57"/>
  <c r="R792" i="57"/>
  <c r="Q792" i="57"/>
  <c r="S792" i="57"/>
  <c r="P793" i="57"/>
  <c r="R793" i="57"/>
  <c r="Q793" i="57"/>
  <c r="S793" i="57"/>
  <c r="P794" i="57"/>
  <c r="R794" i="57"/>
  <c r="Q794" i="57"/>
  <c r="S794" i="57"/>
  <c r="P795" i="57"/>
  <c r="R795" i="57"/>
  <c r="Q795" i="57"/>
  <c r="S795" i="57"/>
  <c r="P796" i="57"/>
  <c r="R796" i="57"/>
  <c r="Q796" i="57"/>
  <c r="S796" i="57"/>
  <c r="P797" i="57"/>
  <c r="R797" i="57"/>
  <c r="Q797" i="57"/>
  <c r="S797" i="57"/>
  <c r="P798" i="57"/>
  <c r="R798" i="57"/>
  <c r="Q798" i="57"/>
  <c r="S798" i="57"/>
  <c r="P799" i="57"/>
  <c r="R799" i="57"/>
  <c r="Q799" i="57"/>
  <c r="S799" i="57"/>
  <c r="P800" i="57"/>
  <c r="R800" i="57"/>
  <c r="Q800" i="57"/>
  <c r="S800" i="57"/>
  <c r="P801" i="57"/>
  <c r="R801" i="57"/>
  <c r="Q801" i="57"/>
  <c r="S801" i="57"/>
  <c r="P802" i="57"/>
  <c r="R802" i="57"/>
  <c r="Q802" i="57"/>
  <c r="S802" i="57"/>
  <c r="P803" i="57"/>
  <c r="R803" i="57"/>
  <c r="Q803" i="57"/>
  <c r="S803" i="57"/>
  <c r="P804" i="57"/>
  <c r="R804" i="57"/>
  <c r="Q804" i="57"/>
  <c r="S804" i="57"/>
  <c r="P805" i="57"/>
  <c r="R805" i="57"/>
  <c r="Q805" i="57"/>
  <c r="S805" i="57"/>
  <c r="P806" i="57"/>
  <c r="R806" i="57"/>
  <c r="Q806" i="57"/>
  <c r="S806" i="57"/>
  <c r="S714" i="57"/>
  <c r="Q714" i="57"/>
  <c r="R714" i="57"/>
  <c r="P714" i="57"/>
  <c r="S713" i="57"/>
  <c r="Q713" i="57"/>
  <c r="R713" i="57"/>
  <c r="P713" i="57"/>
  <c r="S711" i="57"/>
  <c r="Q711" i="57"/>
  <c r="R711" i="57"/>
  <c r="P711" i="57"/>
  <c r="S710" i="57"/>
  <c r="Q710" i="57"/>
  <c r="R710" i="57"/>
  <c r="P710" i="57"/>
  <c r="S709" i="57"/>
  <c r="Q709" i="57"/>
  <c r="R709" i="57"/>
  <c r="P709" i="57"/>
  <c r="S708" i="57"/>
  <c r="Q708" i="57"/>
  <c r="R708" i="57"/>
  <c r="P708" i="57"/>
  <c r="S707" i="57"/>
  <c r="Q707" i="57"/>
  <c r="R707" i="57"/>
  <c r="P707" i="57"/>
  <c r="S706" i="57"/>
  <c r="Q706" i="57"/>
  <c r="R706" i="57"/>
  <c r="P706" i="57"/>
  <c r="S705" i="57"/>
  <c r="Q705" i="57"/>
  <c r="R705" i="57"/>
  <c r="P705" i="57"/>
  <c r="S704" i="57"/>
  <c r="Q704" i="57"/>
  <c r="R704" i="57"/>
  <c r="P704" i="57"/>
  <c r="S703" i="57"/>
  <c r="Q703" i="57"/>
  <c r="R703" i="57"/>
  <c r="P703" i="57"/>
  <c r="S702" i="57"/>
  <c r="Q702" i="57"/>
  <c r="R702" i="57"/>
  <c r="P702" i="57"/>
  <c r="S701" i="57"/>
  <c r="Q701" i="57"/>
  <c r="R701" i="57"/>
  <c r="P701" i="57"/>
  <c r="S700" i="57"/>
  <c r="Q700" i="57"/>
  <c r="R700" i="57"/>
  <c r="P700" i="57"/>
  <c r="S699" i="57"/>
  <c r="Q699" i="57"/>
  <c r="R699" i="57"/>
  <c r="P699" i="57"/>
  <c r="P681" i="57"/>
  <c r="R681" i="57"/>
  <c r="Q681" i="57"/>
  <c r="S681" i="57"/>
  <c r="P682" i="57"/>
  <c r="R682" i="57"/>
  <c r="Q682" i="57"/>
  <c r="S682" i="57"/>
  <c r="P683" i="57"/>
  <c r="R683" i="57"/>
  <c r="Q683" i="57"/>
  <c r="S683" i="57"/>
  <c r="P684" i="57"/>
  <c r="R684" i="57"/>
  <c r="Q684" i="57"/>
  <c r="S684" i="57"/>
  <c r="P685" i="57"/>
  <c r="R685" i="57"/>
  <c r="Q685" i="57"/>
  <c r="S685" i="57"/>
  <c r="P686" i="57"/>
  <c r="R686" i="57"/>
  <c r="Q686" i="57"/>
  <c r="S686" i="57"/>
  <c r="P688" i="57"/>
  <c r="R688" i="57"/>
  <c r="Q688" i="57"/>
  <c r="S688" i="57"/>
  <c r="P689" i="57"/>
  <c r="R689" i="57"/>
  <c r="Q689" i="57"/>
  <c r="S689" i="57"/>
  <c r="P690" i="57"/>
  <c r="R690" i="57"/>
  <c r="Q690" i="57"/>
  <c r="S690" i="57"/>
  <c r="P691" i="57"/>
  <c r="R691" i="57"/>
  <c r="Q691" i="57"/>
  <c r="S691" i="57"/>
  <c r="P692" i="57"/>
  <c r="R692" i="57"/>
  <c r="Q692" i="57"/>
  <c r="S692" i="57"/>
  <c r="P694" i="57"/>
  <c r="R694" i="57"/>
  <c r="Q694" i="57"/>
  <c r="S694" i="57"/>
  <c r="P695" i="57"/>
  <c r="R695" i="57"/>
  <c r="Q695" i="57"/>
  <c r="S695" i="57"/>
  <c r="P696" i="57"/>
  <c r="R696" i="57"/>
  <c r="Q696" i="57"/>
  <c r="S696" i="57"/>
  <c r="S680" i="57"/>
  <c r="Q680" i="57"/>
  <c r="R680" i="57"/>
  <c r="P680" i="57"/>
  <c r="P534" i="57"/>
  <c r="R534" i="57"/>
  <c r="Q534" i="57"/>
  <c r="S534" i="57"/>
  <c r="P535" i="57"/>
  <c r="R535" i="57"/>
  <c r="Q535" i="57"/>
  <c r="S535" i="57"/>
  <c r="P536" i="57"/>
  <c r="R536" i="57"/>
  <c r="Q536" i="57"/>
  <c r="S536" i="57"/>
  <c r="P537" i="57"/>
  <c r="R537" i="57"/>
  <c r="Q537" i="57"/>
  <c r="S537" i="57"/>
  <c r="P538" i="57"/>
  <c r="R538" i="57"/>
  <c r="Q538" i="57"/>
  <c r="S538" i="57"/>
  <c r="P539" i="57"/>
  <c r="R539" i="57"/>
  <c r="Q539" i="57"/>
  <c r="S539" i="57"/>
  <c r="P540" i="57"/>
  <c r="R540" i="57"/>
  <c r="Q540" i="57"/>
  <c r="S540" i="57"/>
  <c r="P541" i="57"/>
  <c r="R541" i="57"/>
  <c r="Q541" i="57"/>
  <c r="S541" i="57"/>
  <c r="P542" i="57"/>
  <c r="R542" i="57"/>
  <c r="Q542" i="57"/>
  <c r="S542" i="57"/>
  <c r="P544" i="57"/>
  <c r="R544" i="57"/>
  <c r="Q544" i="57"/>
  <c r="S544" i="57"/>
  <c r="P547" i="57"/>
  <c r="R547" i="57"/>
  <c r="Q547" i="57"/>
  <c r="S547" i="57"/>
  <c r="P548" i="57"/>
  <c r="R548" i="57"/>
  <c r="Q548" i="57"/>
  <c r="S548" i="57"/>
  <c r="P549" i="57"/>
  <c r="R549" i="57"/>
  <c r="Q549" i="57"/>
  <c r="S549" i="57"/>
  <c r="P550" i="57"/>
  <c r="R550" i="57"/>
  <c r="Q550" i="57"/>
  <c r="S550" i="57"/>
  <c r="P552" i="57"/>
  <c r="R552" i="57"/>
  <c r="Q552" i="57"/>
  <c r="S552" i="57"/>
  <c r="P553" i="57"/>
  <c r="R553" i="57"/>
  <c r="Q553" i="57"/>
  <c r="S553" i="57"/>
  <c r="P554" i="57"/>
  <c r="R554" i="57"/>
  <c r="Q554" i="57"/>
  <c r="S554" i="57"/>
  <c r="P555" i="57"/>
  <c r="R555" i="57"/>
  <c r="Q555" i="57"/>
  <c r="S555" i="57"/>
  <c r="P557" i="57"/>
  <c r="R557" i="57"/>
  <c r="Q557" i="57"/>
  <c r="S557" i="57"/>
  <c r="P558" i="57"/>
  <c r="R558" i="57"/>
  <c r="Q558" i="57"/>
  <c r="S558" i="57"/>
  <c r="P559" i="57"/>
  <c r="R559" i="57"/>
  <c r="Q559" i="57"/>
  <c r="S559" i="57"/>
  <c r="P560" i="57"/>
  <c r="R560" i="57"/>
  <c r="Q560" i="57"/>
  <c r="S560" i="57"/>
  <c r="P561" i="57"/>
  <c r="R561" i="57"/>
  <c r="Q561" i="57"/>
  <c r="S561" i="57"/>
  <c r="P562" i="57"/>
  <c r="R562" i="57"/>
  <c r="Q562" i="57"/>
  <c r="S562" i="57"/>
  <c r="P564" i="57"/>
  <c r="R564" i="57"/>
  <c r="Q564" i="57"/>
  <c r="S564" i="57"/>
  <c r="P565" i="57"/>
  <c r="R565" i="57"/>
  <c r="Q565" i="57"/>
  <c r="S565" i="57"/>
  <c r="P566" i="57"/>
  <c r="R566" i="57"/>
  <c r="Q566" i="57"/>
  <c r="S566" i="57"/>
  <c r="P567" i="57"/>
  <c r="R567" i="57"/>
  <c r="Q567" i="57"/>
  <c r="S567" i="57"/>
  <c r="P568" i="57"/>
  <c r="R568" i="57"/>
  <c r="Q568" i="57"/>
  <c r="S568" i="57"/>
  <c r="P569" i="57"/>
  <c r="R569" i="57"/>
  <c r="Q569" i="57"/>
  <c r="S569" i="57"/>
  <c r="P570" i="57"/>
  <c r="R570" i="57"/>
  <c r="Q570" i="57"/>
  <c r="S570" i="57"/>
  <c r="P571" i="57"/>
  <c r="R571" i="57"/>
  <c r="Q571" i="57"/>
  <c r="S571" i="57"/>
  <c r="P572" i="57"/>
  <c r="R572" i="57"/>
  <c r="Q572" i="57"/>
  <c r="S572" i="57"/>
  <c r="P573" i="57"/>
  <c r="R573" i="57"/>
  <c r="Q573" i="57"/>
  <c r="S573" i="57"/>
  <c r="P574" i="57"/>
  <c r="R574" i="57"/>
  <c r="Q574" i="57"/>
  <c r="S574" i="57"/>
  <c r="P575" i="57"/>
  <c r="R575" i="57"/>
  <c r="Q575" i="57"/>
  <c r="S575" i="57"/>
  <c r="P576" i="57"/>
  <c r="R576" i="57"/>
  <c r="Q576" i="57"/>
  <c r="S576" i="57"/>
  <c r="P578" i="57"/>
  <c r="R578" i="57"/>
  <c r="Q578" i="57"/>
  <c r="S578" i="57"/>
  <c r="P581" i="57"/>
  <c r="R581" i="57"/>
  <c r="Q581" i="57"/>
  <c r="S581" i="57"/>
  <c r="P582" i="57"/>
  <c r="R582" i="57"/>
  <c r="Q582" i="57"/>
  <c r="S582" i="57"/>
  <c r="P583" i="57"/>
  <c r="R583" i="57"/>
  <c r="Q583" i="57"/>
  <c r="S583" i="57"/>
  <c r="P584" i="57"/>
  <c r="R584" i="57"/>
  <c r="Q584" i="57"/>
  <c r="S584" i="57"/>
  <c r="P585" i="57"/>
  <c r="R585" i="57"/>
  <c r="Q585" i="57"/>
  <c r="S585" i="57"/>
  <c r="P586" i="57"/>
  <c r="R586" i="57"/>
  <c r="Q586" i="57"/>
  <c r="S586" i="57"/>
  <c r="P587" i="57"/>
  <c r="R587" i="57"/>
  <c r="Q587" i="57"/>
  <c r="S587" i="57"/>
  <c r="P588" i="57"/>
  <c r="R588" i="57"/>
  <c r="Q588" i="57"/>
  <c r="S588" i="57"/>
  <c r="P589" i="57"/>
  <c r="R589" i="57"/>
  <c r="Q589" i="57"/>
  <c r="S589" i="57"/>
  <c r="P590" i="57"/>
  <c r="R590" i="57"/>
  <c r="Q590" i="57"/>
  <c r="S590" i="57"/>
  <c r="P591" i="57"/>
  <c r="R591" i="57"/>
  <c r="Q591" i="57"/>
  <c r="S591" i="57"/>
  <c r="P592" i="57"/>
  <c r="R592" i="57"/>
  <c r="Q592" i="57"/>
  <c r="S592" i="57"/>
  <c r="P593" i="57"/>
  <c r="R593" i="57"/>
  <c r="Q593" i="57"/>
  <c r="S593" i="57"/>
  <c r="P594" i="57"/>
  <c r="R594" i="57"/>
  <c r="Q594" i="57"/>
  <c r="S594" i="57"/>
  <c r="P595" i="57"/>
  <c r="R595" i="57"/>
  <c r="Q595" i="57"/>
  <c r="S595" i="57"/>
  <c r="P596" i="57"/>
  <c r="R596" i="57"/>
  <c r="Q596" i="57"/>
  <c r="S596" i="57"/>
  <c r="P597" i="57"/>
  <c r="R597" i="57"/>
  <c r="Q597" i="57"/>
  <c r="S597" i="57"/>
  <c r="P598" i="57"/>
  <c r="R598" i="57"/>
  <c r="Q598" i="57"/>
  <c r="S598" i="57"/>
  <c r="P601" i="57"/>
  <c r="R601" i="57"/>
  <c r="Q601" i="57"/>
  <c r="S601" i="57"/>
  <c r="P602" i="57"/>
  <c r="R602" i="57"/>
  <c r="Q602" i="57"/>
  <c r="S602" i="57"/>
  <c r="P603" i="57"/>
  <c r="R603" i="57"/>
  <c r="Q603" i="57"/>
  <c r="S603" i="57"/>
  <c r="P604" i="57"/>
  <c r="R604" i="57"/>
  <c r="Q604" i="57"/>
  <c r="S604" i="57"/>
  <c r="P605" i="57"/>
  <c r="R605" i="57"/>
  <c r="Q605" i="57"/>
  <c r="S605" i="57"/>
  <c r="P606" i="57"/>
  <c r="R606" i="57"/>
  <c r="Q606" i="57"/>
  <c r="S606" i="57"/>
  <c r="P608" i="57"/>
  <c r="R608" i="57"/>
  <c r="Q608" i="57"/>
  <c r="S608" i="57"/>
  <c r="P609" i="57"/>
  <c r="R609" i="57"/>
  <c r="Q609" i="57"/>
  <c r="S609" i="57"/>
  <c r="P610" i="57"/>
  <c r="R610" i="57"/>
  <c r="Q610" i="57"/>
  <c r="S610" i="57"/>
  <c r="P611" i="57"/>
  <c r="R611" i="57"/>
  <c r="Q611" i="57"/>
  <c r="S611" i="57"/>
  <c r="P612" i="57"/>
  <c r="R612" i="57"/>
  <c r="Q612" i="57"/>
  <c r="S612" i="57"/>
  <c r="P613" i="57"/>
  <c r="R613" i="57"/>
  <c r="Q613" i="57"/>
  <c r="S613" i="57"/>
  <c r="P614" i="57"/>
  <c r="R614" i="57"/>
  <c r="Q614" i="57"/>
  <c r="S614" i="57"/>
  <c r="P615" i="57"/>
  <c r="R615" i="57"/>
  <c r="Q615" i="57"/>
  <c r="S615" i="57"/>
  <c r="P616" i="57"/>
  <c r="R616" i="57"/>
  <c r="Q616" i="57"/>
  <c r="S616" i="57"/>
  <c r="P617" i="57"/>
  <c r="R617" i="57"/>
  <c r="Q617" i="57"/>
  <c r="S617" i="57"/>
  <c r="P618" i="57"/>
  <c r="R618" i="57"/>
  <c r="Q618" i="57"/>
  <c r="S618" i="57"/>
  <c r="P619" i="57"/>
  <c r="R619" i="57"/>
  <c r="Q619" i="57"/>
  <c r="S619" i="57"/>
  <c r="P620" i="57"/>
  <c r="R620" i="57"/>
  <c r="Q620" i="57"/>
  <c r="S620" i="57"/>
  <c r="P621" i="57"/>
  <c r="R621" i="57"/>
  <c r="Q621" i="57"/>
  <c r="S621" i="57"/>
  <c r="P622" i="57"/>
  <c r="R622" i="57"/>
  <c r="Q622" i="57"/>
  <c r="S622" i="57"/>
  <c r="P623" i="57"/>
  <c r="R623" i="57"/>
  <c r="Q623" i="57"/>
  <c r="S623" i="57"/>
  <c r="P624" i="57"/>
  <c r="R624" i="57"/>
  <c r="Q624" i="57"/>
  <c r="S624" i="57"/>
  <c r="P625" i="57"/>
  <c r="R625" i="57"/>
  <c r="Q625" i="57"/>
  <c r="S625" i="57"/>
  <c r="P626" i="57"/>
  <c r="R626" i="57"/>
  <c r="Q626" i="57"/>
  <c r="S626" i="57"/>
  <c r="P627" i="57"/>
  <c r="R627" i="57"/>
  <c r="Q627" i="57"/>
  <c r="S627" i="57"/>
  <c r="P628" i="57"/>
  <c r="R628" i="57"/>
  <c r="Q628" i="57"/>
  <c r="S628" i="57"/>
  <c r="P629" i="57"/>
  <c r="R629" i="57"/>
  <c r="Q629" i="57"/>
  <c r="S629" i="57"/>
  <c r="P630" i="57"/>
  <c r="R630" i="57"/>
  <c r="Q630" i="57"/>
  <c r="S630" i="57"/>
  <c r="P631" i="57"/>
  <c r="R631" i="57"/>
  <c r="Q631" i="57"/>
  <c r="S631" i="57"/>
  <c r="P632" i="57"/>
  <c r="R632" i="57"/>
  <c r="Q632" i="57"/>
  <c r="S632" i="57"/>
  <c r="P633" i="57"/>
  <c r="R633" i="57"/>
  <c r="Q633" i="57"/>
  <c r="S633" i="57"/>
  <c r="P634" i="57"/>
  <c r="R634" i="57"/>
  <c r="Q634" i="57"/>
  <c r="S634" i="57"/>
  <c r="P635" i="57"/>
  <c r="R635" i="57"/>
  <c r="Q635" i="57"/>
  <c r="S635" i="57"/>
  <c r="P636" i="57"/>
  <c r="R636" i="57"/>
  <c r="Q636" i="57"/>
  <c r="S636" i="57"/>
  <c r="P637" i="57"/>
  <c r="R637" i="57"/>
  <c r="Q637" i="57"/>
  <c r="S637" i="57"/>
  <c r="P638" i="57"/>
  <c r="R638" i="57"/>
  <c r="Q638" i="57"/>
  <c r="S638" i="57"/>
  <c r="P639" i="57"/>
  <c r="R639" i="57"/>
  <c r="Q639" i="57"/>
  <c r="S639" i="57"/>
  <c r="P640" i="57"/>
  <c r="R640" i="57"/>
  <c r="Q640" i="57"/>
  <c r="S640" i="57"/>
  <c r="P641" i="57"/>
  <c r="R641" i="57"/>
  <c r="Q641" i="57"/>
  <c r="S641" i="57"/>
  <c r="P643" i="57"/>
  <c r="R643" i="57"/>
  <c r="Q643" i="57"/>
  <c r="S643" i="57"/>
  <c r="P645" i="57"/>
  <c r="R645" i="57"/>
  <c r="Q645" i="57"/>
  <c r="S645" i="57"/>
  <c r="P646" i="57"/>
  <c r="R646" i="57"/>
  <c r="Q646" i="57"/>
  <c r="S646" i="57"/>
  <c r="P648" i="57"/>
  <c r="R648" i="57"/>
  <c r="Q648" i="57"/>
  <c r="S648" i="57"/>
  <c r="P649" i="57"/>
  <c r="R649" i="57"/>
  <c r="Q649" i="57"/>
  <c r="S649" i="57"/>
  <c r="P650" i="57"/>
  <c r="R650" i="57"/>
  <c r="Q650" i="57"/>
  <c r="S650" i="57"/>
  <c r="P651" i="57"/>
  <c r="R651" i="57"/>
  <c r="Q651" i="57"/>
  <c r="S651" i="57"/>
  <c r="P654" i="57"/>
  <c r="R654" i="57"/>
  <c r="Q654" i="57"/>
  <c r="S654" i="57"/>
  <c r="P655" i="57"/>
  <c r="R655" i="57"/>
  <c r="Q655" i="57"/>
  <c r="S655" i="57"/>
  <c r="P656" i="57"/>
  <c r="R656" i="57"/>
  <c r="Q656" i="57"/>
  <c r="S656" i="57"/>
  <c r="P657" i="57"/>
  <c r="R657" i="57"/>
  <c r="Q657" i="57"/>
  <c r="S657" i="57"/>
  <c r="P658" i="57"/>
  <c r="R658" i="57"/>
  <c r="Q658" i="57"/>
  <c r="S658" i="57"/>
  <c r="P659" i="57"/>
  <c r="R659" i="57"/>
  <c r="Q659" i="57"/>
  <c r="S659" i="57"/>
  <c r="P660" i="57"/>
  <c r="R660" i="57"/>
  <c r="Q660" i="57"/>
  <c r="S660" i="57"/>
  <c r="P661" i="57"/>
  <c r="R661" i="57"/>
  <c r="Q661" i="57"/>
  <c r="S661" i="57"/>
  <c r="P662" i="57"/>
  <c r="R662" i="57"/>
  <c r="Q662" i="57"/>
  <c r="S662" i="57"/>
  <c r="P663" i="57"/>
  <c r="R663" i="57"/>
  <c r="Q663" i="57"/>
  <c r="S663" i="57"/>
  <c r="P664" i="57"/>
  <c r="R664" i="57"/>
  <c r="Q664" i="57"/>
  <c r="S664" i="57"/>
  <c r="P665" i="57"/>
  <c r="R665" i="57"/>
  <c r="Q665" i="57"/>
  <c r="S665" i="57"/>
  <c r="P666" i="57"/>
  <c r="R666" i="57"/>
  <c r="Q666" i="57"/>
  <c r="S666" i="57"/>
  <c r="P667" i="57"/>
  <c r="R667" i="57"/>
  <c r="Q667" i="57"/>
  <c r="S667" i="57"/>
  <c r="P670" i="57"/>
  <c r="R670" i="57"/>
  <c r="Q670" i="57"/>
  <c r="S670" i="57"/>
  <c r="P671" i="57"/>
  <c r="R671" i="57"/>
  <c r="Q671" i="57"/>
  <c r="S671" i="57"/>
  <c r="P672" i="57"/>
  <c r="R672" i="57"/>
  <c r="Q672" i="57"/>
  <c r="S672" i="57"/>
  <c r="P673" i="57"/>
  <c r="R673" i="57"/>
  <c r="Q673" i="57"/>
  <c r="S673" i="57"/>
  <c r="P674" i="57"/>
  <c r="R674" i="57"/>
  <c r="Q674" i="57"/>
  <c r="S674" i="57"/>
  <c r="P675" i="57"/>
  <c r="R675" i="57"/>
  <c r="Q675" i="57"/>
  <c r="S675" i="57"/>
  <c r="P677" i="57"/>
  <c r="R677" i="57"/>
  <c r="Q677" i="57"/>
  <c r="S677" i="57"/>
  <c r="P678" i="57"/>
  <c r="R678" i="57"/>
  <c r="Q678" i="57"/>
  <c r="S678" i="57"/>
  <c r="P679" i="57"/>
  <c r="R679" i="57"/>
  <c r="Q679" i="57"/>
  <c r="S679" i="57"/>
  <c r="S533" i="57"/>
  <c r="Q533" i="57"/>
  <c r="R533" i="57"/>
  <c r="P533" i="57"/>
  <c r="S532" i="57"/>
  <c r="Q532" i="57"/>
  <c r="R532" i="57"/>
  <c r="P532" i="57"/>
  <c r="S531" i="57"/>
  <c r="Q531" i="57"/>
  <c r="R531" i="57"/>
  <c r="P531" i="57"/>
  <c r="S530" i="57"/>
  <c r="Q530" i="57"/>
  <c r="R530" i="57"/>
  <c r="P530" i="57"/>
  <c r="S529" i="57"/>
  <c r="Q529" i="57"/>
  <c r="R529" i="57"/>
  <c r="P529" i="57"/>
  <c r="P506" i="57"/>
  <c r="R506" i="57"/>
  <c r="Q506" i="57"/>
  <c r="S506" i="57"/>
  <c r="P507" i="57"/>
  <c r="R507" i="57"/>
  <c r="Q507" i="57"/>
  <c r="S507" i="57"/>
  <c r="P508" i="57"/>
  <c r="R508" i="57"/>
  <c r="Q508" i="57"/>
  <c r="S508" i="57"/>
  <c r="P509" i="57"/>
  <c r="R509" i="57"/>
  <c r="Q509" i="57"/>
  <c r="S509" i="57"/>
  <c r="P510" i="57"/>
  <c r="R510" i="57"/>
  <c r="Q510" i="57"/>
  <c r="S510" i="57"/>
  <c r="P511" i="57"/>
  <c r="R511" i="57"/>
  <c r="Q511" i="57"/>
  <c r="S511" i="57"/>
  <c r="P512" i="57"/>
  <c r="R512" i="57"/>
  <c r="Q512" i="57"/>
  <c r="S512" i="57"/>
  <c r="P513" i="57"/>
  <c r="R513" i="57"/>
  <c r="Q513" i="57"/>
  <c r="S513" i="57"/>
  <c r="P514" i="57"/>
  <c r="R514" i="57"/>
  <c r="Q514" i="57"/>
  <c r="S514" i="57"/>
  <c r="P515" i="57"/>
  <c r="R515" i="57"/>
  <c r="Q515" i="57"/>
  <c r="S515" i="57"/>
  <c r="P516" i="57"/>
  <c r="R516" i="57"/>
  <c r="Q516" i="57"/>
  <c r="S516" i="57"/>
  <c r="P517" i="57"/>
  <c r="R517" i="57"/>
  <c r="Q517" i="57"/>
  <c r="S517" i="57"/>
  <c r="P518" i="57"/>
  <c r="R518" i="57"/>
  <c r="Q518" i="57"/>
  <c r="S518" i="57"/>
  <c r="P519" i="57"/>
  <c r="R519" i="57"/>
  <c r="Q519" i="57"/>
  <c r="S519" i="57"/>
  <c r="P520" i="57"/>
  <c r="R520" i="57"/>
  <c r="Q520" i="57"/>
  <c r="S520" i="57"/>
  <c r="P521" i="57"/>
  <c r="R521" i="57"/>
  <c r="Q521" i="57"/>
  <c r="S521" i="57"/>
  <c r="P522" i="57"/>
  <c r="R522" i="57"/>
  <c r="Q522" i="57"/>
  <c r="S522" i="57"/>
  <c r="P523" i="57"/>
  <c r="R523" i="57"/>
  <c r="Q523" i="57"/>
  <c r="S523" i="57"/>
  <c r="P524" i="57"/>
  <c r="R524" i="57"/>
  <c r="Q524" i="57"/>
  <c r="S524" i="57"/>
  <c r="P525" i="57"/>
  <c r="R525" i="57"/>
  <c r="Q525" i="57"/>
  <c r="S525" i="57"/>
  <c r="P526" i="57"/>
  <c r="R526" i="57"/>
  <c r="Q526" i="57"/>
  <c r="S526" i="57"/>
  <c r="S505" i="57"/>
  <c r="Q505" i="57"/>
  <c r="R505" i="57"/>
  <c r="P505" i="57"/>
  <c r="S504" i="57"/>
  <c r="Q504" i="57"/>
  <c r="R504" i="57"/>
  <c r="P504" i="57"/>
  <c r="S503" i="57"/>
  <c r="Q503" i="57"/>
  <c r="R503" i="57"/>
  <c r="P503" i="57"/>
  <c r="S502" i="57"/>
  <c r="Q502" i="57"/>
  <c r="R502" i="57"/>
  <c r="P502" i="57"/>
  <c r="S501" i="57"/>
  <c r="Q501" i="57"/>
  <c r="R501" i="57"/>
  <c r="P501" i="57"/>
  <c r="S500" i="57"/>
  <c r="Q500" i="57"/>
  <c r="R500" i="57"/>
  <c r="P500" i="57"/>
  <c r="S499" i="57"/>
  <c r="Q499" i="57"/>
  <c r="R499" i="57"/>
  <c r="P499" i="57"/>
  <c r="S498" i="57"/>
  <c r="Q498" i="57"/>
  <c r="R498" i="57"/>
  <c r="P498" i="57"/>
  <c r="S497" i="57"/>
  <c r="Q497" i="57"/>
  <c r="R497" i="57"/>
  <c r="P497" i="57"/>
  <c r="S496" i="57"/>
  <c r="Q496" i="57"/>
  <c r="R496" i="57"/>
  <c r="P496" i="57"/>
  <c r="S495" i="57"/>
  <c r="Q495" i="57"/>
  <c r="R495" i="57"/>
  <c r="P495" i="57"/>
  <c r="S494" i="57"/>
  <c r="Q494" i="57"/>
  <c r="R494" i="57"/>
  <c r="P494" i="57"/>
  <c r="P485" i="57"/>
  <c r="R485" i="57"/>
  <c r="Q485" i="57"/>
  <c r="S485" i="57"/>
  <c r="P486" i="57"/>
  <c r="R486" i="57"/>
  <c r="Q486" i="57"/>
  <c r="S486" i="57"/>
  <c r="P487" i="57"/>
  <c r="R487" i="57"/>
  <c r="Q487" i="57"/>
  <c r="S487" i="57"/>
  <c r="P488" i="57"/>
  <c r="R488" i="57"/>
  <c r="Q488" i="57"/>
  <c r="S488" i="57"/>
  <c r="P489" i="57"/>
  <c r="R489" i="57"/>
  <c r="Q489" i="57"/>
  <c r="S489" i="57"/>
  <c r="P490" i="57"/>
  <c r="R490" i="57"/>
  <c r="Q490" i="57"/>
  <c r="S490" i="57"/>
  <c r="P491" i="57"/>
  <c r="R491" i="57"/>
  <c r="Q491" i="57"/>
  <c r="S491" i="57"/>
  <c r="S484" i="57"/>
  <c r="Q484" i="57"/>
  <c r="R484" i="57"/>
  <c r="P484" i="57"/>
  <c r="S483" i="57"/>
  <c r="Q483" i="57"/>
  <c r="R483" i="57"/>
  <c r="P483" i="57"/>
  <c r="S482" i="57"/>
  <c r="Q482" i="57"/>
  <c r="R482" i="57"/>
  <c r="P482" i="57"/>
  <c r="S481" i="57"/>
  <c r="Q481" i="57"/>
  <c r="R481" i="57"/>
  <c r="P481" i="57"/>
  <c r="S480" i="57"/>
  <c r="Q480" i="57"/>
  <c r="R480" i="57"/>
  <c r="P480" i="57"/>
  <c r="P438" i="57"/>
  <c r="R438" i="57"/>
  <c r="Q438" i="57"/>
  <c r="S438" i="57"/>
  <c r="P439" i="57"/>
  <c r="R439" i="57"/>
  <c r="Q439" i="57"/>
  <c r="S439" i="57"/>
  <c r="P440" i="57"/>
  <c r="R440" i="57"/>
  <c r="Q440" i="57"/>
  <c r="S440" i="57"/>
  <c r="P441" i="57"/>
  <c r="R441" i="57"/>
  <c r="Q441" i="57"/>
  <c r="S441" i="57"/>
  <c r="P442" i="57"/>
  <c r="R442" i="57"/>
  <c r="Q442" i="57"/>
  <c r="S442" i="57"/>
  <c r="P443" i="57"/>
  <c r="R443" i="57"/>
  <c r="Q443" i="57"/>
  <c r="S443" i="57"/>
  <c r="P444" i="57"/>
  <c r="R444" i="57"/>
  <c r="Q444" i="57"/>
  <c r="S444" i="57"/>
  <c r="P445" i="57"/>
  <c r="R445" i="57"/>
  <c r="Q445" i="57"/>
  <c r="S445" i="57"/>
  <c r="P446" i="57"/>
  <c r="R446" i="57"/>
  <c r="Q446" i="57"/>
  <c r="S446" i="57"/>
  <c r="P447" i="57"/>
  <c r="R447" i="57"/>
  <c r="Q447" i="57"/>
  <c r="S447" i="57"/>
  <c r="P448" i="57"/>
  <c r="R448" i="57"/>
  <c r="Q448" i="57"/>
  <c r="S448" i="57"/>
  <c r="P449" i="57"/>
  <c r="R449" i="57"/>
  <c r="Q449" i="57"/>
  <c r="S449" i="57"/>
  <c r="P450" i="57"/>
  <c r="R450" i="57"/>
  <c r="Q450" i="57"/>
  <c r="S450" i="57"/>
  <c r="P451" i="57"/>
  <c r="R451" i="57"/>
  <c r="Q451" i="57"/>
  <c r="S451" i="57"/>
  <c r="P452" i="57"/>
  <c r="R452" i="57"/>
  <c r="Q452" i="57"/>
  <c r="S452" i="57"/>
  <c r="P453" i="57"/>
  <c r="R453" i="57"/>
  <c r="Q453" i="57"/>
  <c r="S453" i="57"/>
  <c r="P454" i="57"/>
  <c r="R454" i="57"/>
  <c r="Q454" i="57"/>
  <c r="S454" i="57"/>
  <c r="P455" i="57"/>
  <c r="R455" i="57"/>
  <c r="Q455" i="57"/>
  <c r="S455" i="57"/>
  <c r="P456" i="57"/>
  <c r="R456" i="57"/>
  <c r="Q456" i="57"/>
  <c r="S456" i="57"/>
  <c r="P457" i="57"/>
  <c r="R457" i="57"/>
  <c r="Q457" i="57"/>
  <c r="S457" i="57"/>
  <c r="P458" i="57"/>
  <c r="R458" i="57"/>
  <c r="Q458" i="57"/>
  <c r="S458" i="57"/>
  <c r="P459" i="57"/>
  <c r="R459" i="57"/>
  <c r="Q459" i="57"/>
  <c r="S459" i="57"/>
  <c r="P460" i="57"/>
  <c r="R460" i="57"/>
  <c r="Q460" i="57"/>
  <c r="S460" i="57"/>
  <c r="P461" i="57"/>
  <c r="R461" i="57"/>
  <c r="Q461" i="57"/>
  <c r="S461" i="57"/>
  <c r="P462" i="57"/>
  <c r="R462" i="57"/>
  <c r="Q462" i="57"/>
  <c r="S462" i="57"/>
  <c r="P463" i="57"/>
  <c r="R463" i="57"/>
  <c r="Q463" i="57"/>
  <c r="S463" i="57"/>
  <c r="P464" i="57"/>
  <c r="R464" i="57"/>
  <c r="Q464" i="57"/>
  <c r="S464" i="57"/>
  <c r="P465" i="57"/>
  <c r="R465" i="57"/>
  <c r="Q465" i="57"/>
  <c r="S465" i="57"/>
  <c r="P466" i="57"/>
  <c r="R466" i="57"/>
  <c r="Q466" i="57"/>
  <c r="S466" i="57"/>
  <c r="P467" i="57"/>
  <c r="R467" i="57"/>
  <c r="Q467" i="57"/>
  <c r="S467" i="57"/>
  <c r="P468" i="57"/>
  <c r="R468" i="57"/>
  <c r="Q468" i="57"/>
  <c r="S468" i="57"/>
  <c r="P469" i="57"/>
  <c r="R469" i="57"/>
  <c r="Q469" i="57"/>
  <c r="S469" i="57"/>
  <c r="P470" i="57"/>
  <c r="R470" i="57"/>
  <c r="Q470" i="57"/>
  <c r="S470" i="57"/>
  <c r="P471" i="57"/>
  <c r="R471" i="57"/>
  <c r="Q471" i="57"/>
  <c r="S471" i="57"/>
  <c r="P472" i="57"/>
  <c r="R472" i="57"/>
  <c r="Q472" i="57"/>
  <c r="S472" i="57"/>
  <c r="P473" i="57"/>
  <c r="R473" i="57"/>
  <c r="Q473" i="57"/>
  <c r="S473" i="57"/>
  <c r="P474" i="57"/>
  <c r="R474" i="57"/>
  <c r="Q474" i="57"/>
  <c r="S474" i="57"/>
  <c r="P475" i="57"/>
  <c r="R475" i="57"/>
  <c r="Q475" i="57"/>
  <c r="S475" i="57"/>
  <c r="P476" i="57"/>
  <c r="R476" i="57"/>
  <c r="Q476" i="57"/>
  <c r="S476" i="57"/>
  <c r="P477" i="57"/>
  <c r="R477" i="57"/>
  <c r="Q477" i="57"/>
  <c r="S477" i="57"/>
  <c r="S437" i="57"/>
  <c r="Q437" i="57"/>
  <c r="R437" i="57"/>
  <c r="P437" i="57"/>
  <c r="S436" i="57"/>
  <c r="Q436" i="57"/>
  <c r="R436" i="57"/>
  <c r="P436" i="57"/>
  <c r="S435" i="57"/>
  <c r="Q435" i="57"/>
  <c r="R435" i="57"/>
  <c r="P435" i="57"/>
  <c r="S434" i="57"/>
  <c r="Q434" i="57"/>
  <c r="R434" i="57"/>
  <c r="P434" i="57"/>
  <c r="S433" i="57"/>
  <c r="Q433" i="57"/>
  <c r="R433" i="57"/>
  <c r="P433" i="57"/>
  <c r="S432" i="57"/>
  <c r="Q432" i="57"/>
  <c r="R432" i="57"/>
  <c r="P432" i="57"/>
  <c r="P425" i="57"/>
  <c r="R425" i="57"/>
  <c r="Q425" i="57"/>
  <c r="S425" i="57"/>
  <c r="P426" i="57"/>
  <c r="R426" i="57"/>
  <c r="Q426" i="57"/>
  <c r="S426" i="57"/>
  <c r="P427" i="57"/>
  <c r="R427" i="57"/>
  <c r="Q427" i="57"/>
  <c r="S427" i="57"/>
  <c r="P428" i="57"/>
  <c r="R428" i="57"/>
  <c r="Q428" i="57"/>
  <c r="S428" i="57"/>
  <c r="P429" i="57"/>
  <c r="R429" i="57"/>
  <c r="Q429" i="57"/>
  <c r="S429" i="57"/>
  <c r="S424" i="57"/>
  <c r="Q424" i="57"/>
  <c r="R424" i="57"/>
  <c r="P424" i="57"/>
  <c r="S421" i="57"/>
  <c r="Q421" i="57"/>
  <c r="R421" i="57"/>
  <c r="P421" i="57"/>
  <c r="S420" i="57"/>
  <c r="Q420" i="57"/>
  <c r="R420" i="57"/>
  <c r="P420" i="57"/>
  <c r="S419" i="57"/>
  <c r="Q419" i="57"/>
  <c r="R419" i="57"/>
  <c r="P419" i="57"/>
  <c r="S418" i="57"/>
  <c r="Q418" i="57"/>
  <c r="R418" i="57"/>
  <c r="P418" i="57"/>
  <c r="S417" i="57"/>
  <c r="Q417" i="57"/>
  <c r="R417" i="57"/>
  <c r="P417" i="57"/>
  <c r="P292" i="57"/>
  <c r="R292" i="57"/>
  <c r="Q292" i="57"/>
  <c r="S292" i="57"/>
  <c r="P294" i="57"/>
  <c r="R294" i="57"/>
  <c r="Q294" i="57"/>
  <c r="S294" i="57"/>
  <c r="P295" i="57"/>
  <c r="R295" i="57"/>
  <c r="Q295" i="57"/>
  <c r="S295" i="57"/>
  <c r="P296" i="57"/>
  <c r="R296" i="57"/>
  <c r="Q296" i="57"/>
  <c r="S296" i="57"/>
  <c r="P297" i="57"/>
  <c r="R297" i="57"/>
  <c r="Q297" i="57"/>
  <c r="S297" i="57"/>
  <c r="P298" i="57"/>
  <c r="R298" i="57"/>
  <c r="Q298" i="57"/>
  <c r="S298" i="57"/>
  <c r="P299" i="57"/>
  <c r="R299" i="57"/>
  <c r="Q299" i="57"/>
  <c r="S299" i="57"/>
  <c r="P300" i="57"/>
  <c r="R300" i="57"/>
  <c r="Q300" i="57"/>
  <c r="S300" i="57"/>
  <c r="P301" i="57"/>
  <c r="R301" i="57"/>
  <c r="Q301" i="57"/>
  <c r="S301" i="57"/>
  <c r="P302" i="57"/>
  <c r="R302" i="57"/>
  <c r="Q302" i="57"/>
  <c r="S302" i="57"/>
  <c r="P303" i="57"/>
  <c r="R303" i="57"/>
  <c r="Q303" i="57"/>
  <c r="S303" i="57"/>
  <c r="P304" i="57"/>
  <c r="R304" i="57"/>
  <c r="Q304" i="57"/>
  <c r="S304" i="57"/>
  <c r="P305" i="57"/>
  <c r="R305" i="57"/>
  <c r="Q305" i="57"/>
  <c r="S305" i="57"/>
  <c r="P306" i="57"/>
  <c r="R306" i="57"/>
  <c r="Q306" i="57"/>
  <c r="S306" i="57"/>
  <c r="P307" i="57"/>
  <c r="R307" i="57"/>
  <c r="Q307" i="57"/>
  <c r="S307" i="57"/>
  <c r="P308" i="57"/>
  <c r="R308" i="57"/>
  <c r="Q308" i="57"/>
  <c r="S308" i="57"/>
  <c r="P309" i="57"/>
  <c r="R309" i="57"/>
  <c r="Q309" i="57"/>
  <c r="S309" i="57"/>
  <c r="P310" i="57"/>
  <c r="R310" i="57"/>
  <c r="Q310" i="57"/>
  <c r="S310" i="57"/>
  <c r="P311" i="57"/>
  <c r="R311" i="57"/>
  <c r="Q311" i="57"/>
  <c r="S311" i="57"/>
  <c r="P312" i="57"/>
  <c r="R312" i="57"/>
  <c r="Q312" i="57"/>
  <c r="S312" i="57"/>
  <c r="P313" i="57"/>
  <c r="R313" i="57"/>
  <c r="Q313" i="57"/>
  <c r="S313" i="57"/>
  <c r="P314" i="57"/>
  <c r="R314" i="57"/>
  <c r="Q314" i="57"/>
  <c r="S314" i="57"/>
  <c r="P315" i="57"/>
  <c r="R315" i="57"/>
  <c r="Q315" i="57"/>
  <c r="S315" i="57"/>
  <c r="P316" i="57"/>
  <c r="R316" i="57"/>
  <c r="Q316" i="57"/>
  <c r="S316" i="57"/>
  <c r="P317" i="57"/>
  <c r="R317" i="57"/>
  <c r="Q317" i="57"/>
  <c r="S317" i="57"/>
  <c r="P318" i="57"/>
  <c r="R318" i="57"/>
  <c r="Q318" i="57"/>
  <c r="S318" i="57"/>
  <c r="P319" i="57"/>
  <c r="R319" i="57"/>
  <c r="Q319" i="57"/>
  <c r="S319" i="57"/>
  <c r="P320" i="57"/>
  <c r="R320" i="57"/>
  <c r="Q320" i="57"/>
  <c r="S320" i="57"/>
  <c r="P321" i="57"/>
  <c r="R321" i="57"/>
  <c r="Q321" i="57"/>
  <c r="S321" i="57"/>
  <c r="P322" i="57"/>
  <c r="R322" i="57"/>
  <c r="Q322" i="57"/>
  <c r="S322" i="57"/>
  <c r="P323" i="57"/>
  <c r="R323" i="57"/>
  <c r="Q323" i="57"/>
  <c r="S323" i="57"/>
  <c r="P324" i="57"/>
  <c r="R324" i="57"/>
  <c r="Q324" i="57"/>
  <c r="S324" i="57"/>
  <c r="P325" i="57"/>
  <c r="R325" i="57"/>
  <c r="Q325" i="57"/>
  <c r="S325" i="57"/>
  <c r="P326" i="57"/>
  <c r="R326" i="57"/>
  <c r="Q326" i="57"/>
  <c r="S326" i="57"/>
  <c r="P327" i="57"/>
  <c r="R327" i="57"/>
  <c r="Q327" i="57"/>
  <c r="S327" i="57"/>
  <c r="P328" i="57"/>
  <c r="R328" i="57"/>
  <c r="Q328" i="57"/>
  <c r="S328" i="57"/>
  <c r="P329" i="57"/>
  <c r="R329" i="57"/>
  <c r="Q329" i="57"/>
  <c r="S329" i="57"/>
  <c r="P330" i="57"/>
  <c r="R330" i="57"/>
  <c r="Q330" i="57"/>
  <c r="S330" i="57"/>
  <c r="P331" i="57"/>
  <c r="R331" i="57"/>
  <c r="Q331" i="57"/>
  <c r="S331" i="57"/>
  <c r="P332" i="57"/>
  <c r="R332" i="57"/>
  <c r="Q332" i="57"/>
  <c r="S332" i="57"/>
  <c r="P333" i="57"/>
  <c r="R333" i="57"/>
  <c r="Q333" i="57"/>
  <c r="S333" i="57"/>
  <c r="P334" i="57"/>
  <c r="R334" i="57"/>
  <c r="Q334" i="57"/>
  <c r="S334" i="57"/>
  <c r="P335" i="57"/>
  <c r="R335" i="57"/>
  <c r="Q335" i="57"/>
  <c r="S335" i="57"/>
  <c r="P336" i="57"/>
  <c r="R336" i="57"/>
  <c r="Q336" i="57"/>
  <c r="S336" i="57"/>
  <c r="P337" i="57"/>
  <c r="R337" i="57"/>
  <c r="Q337" i="57"/>
  <c r="S337" i="57"/>
  <c r="P338" i="57"/>
  <c r="R338" i="57"/>
  <c r="Q338" i="57"/>
  <c r="S338" i="57"/>
  <c r="P340" i="57"/>
  <c r="R340" i="57"/>
  <c r="Q340" i="57"/>
  <c r="S340" i="57"/>
  <c r="P341" i="57"/>
  <c r="R341" i="57"/>
  <c r="Q341" i="57"/>
  <c r="S341" i="57"/>
  <c r="P342" i="57"/>
  <c r="R342" i="57"/>
  <c r="Q342" i="57"/>
  <c r="S342" i="57"/>
  <c r="P343" i="57"/>
  <c r="R343" i="57"/>
  <c r="Q343" i="57"/>
  <c r="S343" i="57"/>
  <c r="P344" i="57"/>
  <c r="R344" i="57"/>
  <c r="Q344" i="57"/>
  <c r="S344" i="57"/>
  <c r="P345" i="57"/>
  <c r="R345" i="57"/>
  <c r="Q345" i="57"/>
  <c r="S345" i="57"/>
  <c r="P346" i="57"/>
  <c r="R346" i="57"/>
  <c r="Q346" i="57"/>
  <c r="S346" i="57"/>
  <c r="P347" i="57"/>
  <c r="R347" i="57"/>
  <c r="Q347" i="57"/>
  <c r="S347" i="57"/>
  <c r="P348" i="57"/>
  <c r="R348" i="57"/>
  <c r="Q348" i="57"/>
  <c r="S348" i="57"/>
  <c r="P349" i="57"/>
  <c r="R349" i="57"/>
  <c r="Q349" i="57"/>
  <c r="S349" i="57"/>
  <c r="P350" i="57"/>
  <c r="R350" i="57"/>
  <c r="Q350" i="57"/>
  <c r="S350" i="57"/>
  <c r="P351" i="57"/>
  <c r="R351" i="57"/>
  <c r="Q351" i="57"/>
  <c r="S351" i="57"/>
  <c r="P352" i="57"/>
  <c r="R352" i="57"/>
  <c r="Q352" i="57"/>
  <c r="S352" i="57"/>
  <c r="P353" i="57"/>
  <c r="R353" i="57"/>
  <c r="Q353" i="57"/>
  <c r="S353" i="57"/>
  <c r="P354" i="57"/>
  <c r="R354" i="57"/>
  <c r="Q354" i="57"/>
  <c r="S354" i="57"/>
  <c r="P355" i="57"/>
  <c r="R355" i="57"/>
  <c r="Q355" i="57"/>
  <c r="S355" i="57"/>
  <c r="P356" i="57"/>
  <c r="R356" i="57"/>
  <c r="Q356" i="57"/>
  <c r="S356" i="57"/>
  <c r="P357" i="57"/>
  <c r="R357" i="57"/>
  <c r="Q357" i="57"/>
  <c r="S357" i="57"/>
  <c r="P358" i="57"/>
  <c r="R358" i="57"/>
  <c r="Q358" i="57"/>
  <c r="S358" i="57"/>
  <c r="P359" i="57"/>
  <c r="R359" i="57"/>
  <c r="Q359" i="57"/>
  <c r="S359" i="57"/>
  <c r="P360" i="57"/>
  <c r="R360" i="57"/>
  <c r="Q360" i="57"/>
  <c r="S360" i="57"/>
  <c r="P361" i="57"/>
  <c r="R361" i="57"/>
  <c r="Q361" i="57"/>
  <c r="S361" i="57"/>
  <c r="P362" i="57"/>
  <c r="R362" i="57"/>
  <c r="Q362" i="57"/>
  <c r="S362" i="57"/>
  <c r="P363" i="57"/>
  <c r="R363" i="57"/>
  <c r="Q363" i="57"/>
  <c r="S363" i="57"/>
  <c r="P364" i="57"/>
  <c r="R364" i="57"/>
  <c r="Q364" i="57"/>
  <c r="S364" i="57"/>
  <c r="P365" i="57"/>
  <c r="R365" i="57"/>
  <c r="Q365" i="57"/>
  <c r="S365" i="57"/>
  <c r="P366" i="57"/>
  <c r="R366" i="57"/>
  <c r="Q366" i="57"/>
  <c r="S366" i="57"/>
  <c r="P367" i="57"/>
  <c r="R367" i="57"/>
  <c r="Q367" i="57"/>
  <c r="S367" i="57"/>
  <c r="P368" i="57"/>
  <c r="R368" i="57"/>
  <c r="Q368" i="57"/>
  <c r="S368" i="57"/>
  <c r="P369" i="57"/>
  <c r="R369" i="57"/>
  <c r="Q369" i="57"/>
  <c r="S369" i="57"/>
  <c r="P370" i="57"/>
  <c r="R370" i="57"/>
  <c r="Q370" i="57"/>
  <c r="S370" i="57"/>
  <c r="P371" i="57"/>
  <c r="R371" i="57"/>
  <c r="Q371" i="57"/>
  <c r="S371" i="57"/>
  <c r="P372" i="57"/>
  <c r="R372" i="57"/>
  <c r="Q372" i="57"/>
  <c r="S372" i="57"/>
  <c r="P373" i="57"/>
  <c r="R373" i="57"/>
  <c r="Q373" i="57"/>
  <c r="S373" i="57"/>
  <c r="P374" i="57"/>
  <c r="R374" i="57"/>
  <c r="Q374" i="57"/>
  <c r="S374" i="57"/>
  <c r="P375" i="57"/>
  <c r="R375" i="57"/>
  <c r="Q375" i="57"/>
  <c r="S375" i="57"/>
  <c r="P376" i="57"/>
  <c r="R376" i="57"/>
  <c r="Q376" i="57"/>
  <c r="S376" i="57"/>
  <c r="P377" i="57"/>
  <c r="R377" i="57"/>
  <c r="Q377" i="57"/>
  <c r="S377" i="57"/>
  <c r="P378" i="57"/>
  <c r="R378" i="57"/>
  <c r="Q378" i="57"/>
  <c r="S378" i="57"/>
  <c r="P379" i="57"/>
  <c r="R379" i="57"/>
  <c r="Q379" i="57"/>
  <c r="S379" i="57"/>
  <c r="P380" i="57"/>
  <c r="R380" i="57"/>
  <c r="Q380" i="57"/>
  <c r="S380" i="57"/>
  <c r="P381" i="57"/>
  <c r="R381" i="57"/>
  <c r="Q381" i="57"/>
  <c r="S381" i="57"/>
  <c r="P382" i="57"/>
  <c r="R382" i="57"/>
  <c r="Q382" i="57"/>
  <c r="S382" i="57"/>
  <c r="P383" i="57"/>
  <c r="R383" i="57"/>
  <c r="Q383" i="57"/>
  <c r="S383" i="57"/>
  <c r="P384" i="57"/>
  <c r="R384" i="57"/>
  <c r="Q384" i="57"/>
  <c r="S384" i="57"/>
  <c r="P385" i="57"/>
  <c r="R385" i="57"/>
  <c r="Q385" i="57"/>
  <c r="S385" i="57"/>
  <c r="P386" i="57"/>
  <c r="R386" i="57"/>
  <c r="Q386" i="57"/>
  <c r="S386" i="57"/>
  <c r="P387" i="57"/>
  <c r="R387" i="57"/>
  <c r="Q387" i="57"/>
  <c r="S387" i="57"/>
  <c r="P388" i="57"/>
  <c r="R388" i="57"/>
  <c r="Q388" i="57"/>
  <c r="S388" i="57"/>
  <c r="P389" i="57"/>
  <c r="R389" i="57"/>
  <c r="Q389" i="57"/>
  <c r="S389" i="57"/>
  <c r="P390" i="57"/>
  <c r="R390" i="57"/>
  <c r="Q390" i="57"/>
  <c r="S390" i="57"/>
  <c r="P391" i="57"/>
  <c r="R391" i="57"/>
  <c r="Q391" i="57"/>
  <c r="S391" i="57"/>
  <c r="P392" i="57"/>
  <c r="R392" i="57"/>
  <c r="Q392" i="57"/>
  <c r="S392" i="57"/>
  <c r="P393" i="57"/>
  <c r="R393" i="57"/>
  <c r="Q393" i="57"/>
  <c r="S393" i="57"/>
  <c r="P394" i="57"/>
  <c r="R394" i="57"/>
  <c r="Q394" i="57"/>
  <c r="S394" i="57"/>
  <c r="P395" i="57"/>
  <c r="R395" i="57"/>
  <c r="Q395" i="57"/>
  <c r="S395" i="57"/>
  <c r="P396" i="57"/>
  <c r="R396" i="57"/>
  <c r="Q396" i="57"/>
  <c r="S396" i="57"/>
  <c r="P397" i="57"/>
  <c r="R397" i="57"/>
  <c r="Q397" i="57"/>
  <c r="S397" i="57"/>
  <c r="P398" i="57"/>
  <c r="R398" i="57"/>
  <c r="Q398" i="57"/>
  <c r="S398" i="57"/>
  <c r="P399" i="57"/>
  <c r="R399" i="57"/>
  <c r="Q399" i="57"/>
  <c r="S399" i="57"/>
  <c r="P400" i="57"/>
  <c r="R400" i="57"/>
  <c r="Q400" i="57"/>
  <c r="S400" i="57"/>
  <c r="P401" i="57"/>
  <c r="R401" i="57"/>
  <c r="Q401" i="57"/>
  <c r="S401" i="57"/>
  <c r="P402" i="57"/>
  <c r="R402" i="57"/>
  <c r="Q402" i="57"/>
  <c r="S402" i="57"/>
  <c r="P403" i="57"/>
  <c r="R403" i="57"/>
  <c r="Q403" i="57"/>
  <c r="S403" i="57"/>
  <c r="P404" i="57"/>
  <c r="R404" i="57"/>
  <c r="Q404" i="57"/>
  <c r="S404" i="57"/>
  <c r="P405" i="57"/>
  <c r="R405" i="57"/>
  <c r="Q405" i="57"/>
  <c r="S405" i="57"/>
  <c r="P406" i="57"/>
  <c r="R406" i="57"/>
  <c r="Q406" i="57"/>
  <c r="S406" i="57"/>
  <c r="P407" i="57"/>
  <c r="R407" i="57"/>
  <c r="Q407" i="57"/>
  <c r="S407" i="57"/>
  <c r="P408" i="57"/>
  <c r="R408" i="57"/>
  <c r="Q408" i="57"/>
  <c r="S408" i="57"/>
  <c r="P409" i="57"/>
  <c r="R409" i="57"/>
  <c r="Q409" i="57"/>
  <c r="S409" i="57"/>
  <c r="P410" i="57"/>
  <c r="R410" i="57"/>
  <c r="Q410" i="57"/>
  <c r="S410" i="57"/>
  <c r="P411" i="57"/>
  <c r="R411" i="57"/>
  <c r="Q411" i="57"/>
  <c r="S411" i="57"/>
  <c r="P412" i="57"/>
  <c r="R412" i="57"/>
  <c r="Q412" i="57"/>
  <c r="S412" i="57"/>
  <c r="P413" i="57"/>
  <c r="R413" i="57"/>
  <c r="Q413" i="57"/>
  <c r="S413" i="57"/>
  <c r="P414" i="57"/>
  <c r="R414" i="57"/>
  <c r="Q414" i="57"/>
  <c r="S414" i="57"/>
  <c r="S291" i="57"/>
  <c r="Q291" i="57"/>
  <c r="R291" i="57"/>
  <c r="P291" i="57"/>
  <c r="S290" i="57"/>
  <c r="Q290" i="57"/>
  <c r="R290" i="57"/>
  <c r="P290" i="57"/>
  <c r="S289" i="57"/>
  <c r="Q289" i="57"/>
  <c r="R289" i="57"/>
  <c r="P289" i="57"/>
  <c r="P261" i="57"/>
  <c r="R261" i="57"/>
  <c r="Q261" i="57"/>
  <c r="S261" i="57"/>
  <c r="P262" i="57"/>
  <c r="R262" i="57"/>
  <c r="Q262" i="57"/>
  <c r="S262" i="57"/>
  <c r="P263" i="57"/>
  <c r="R263" i="57"/>
  <c r="Q263" i="57"/>
  <c r="S263" i="57"/>
  <c r="P264" i="57"/>
  <c r="R264" i="57"/>
  <c r="Q264" i="57"/>
  <c r="S264" i="57"/>
  <c r="P265" i="57"/>
  <c r="R265" i="57"/>
  <c r="Q265" i="57"/>
  <c r="S265" i="57"/>
  <c r="P266" i="57"/>
  <c r="R266" i="57"/>
  <c r="Q266" i="57"/>
  <c r="S266" i="57"/>
  <c r="P267" i="57"/>
  <c r="R267" i="57"/>
  <c r="Q267" i="57"/>
  <c r="S267" i="57"/>
  <c r="P268" i="57"/>
  <c r="R268" i="57"/>
  <c r="Q268" i="57"/>
  <c r="S268" i="57"/>
  <c r="P269" i="57"/>
  <c r="R269" i="57"/>
  <c r="Q269" i="57"/>
  <c r="S269" i="57"/>
  <c r="P270" i="57"/>
  <c r="R270" i="57"/>
  <c r="Q270" i="57"/>
  <c r="S270" i="57"/>
  <c r="P271" i="57"/>
  <c r="R271" i="57"/>
  <c r="Q271" i="57"/>
  <c r="S271" i="57"/>
  <c r="P272" i="57"/>
  <c r="R272" i="57"/>
  <c r="Q272" i="57"/>
  <c r="S272" i="57"/>
  <c r="P273" i="57"/>
  <c r="R273" i="57"/>
  <c r="Q273" i="57"/>
  <c r="S273" i="57"/>
  <c r="P274" i="57"/>
  <c r="R274" i="57"/>
  <c r="Q274" i="57"/>
  <c r="S274" i="57"/>
  <c r="P276" i="57"/>
  <c r="R276" i="57"/>
  <c r="Q276" i="57"/>
  <c r="S276" i="57"/>
  <c r="P277" i="57"/>
  <c r="R277" i="57"/>
  <c r="Q277" i="57"/>
  <c r="S277" i="57"/>
  <c r="P279" i="57"/>
  <c r="R279" i="57"/>
  <c r="Q279" i="57"/>
  <c r="S279" i="57"/>
  <c r="P280" i="57"/>
  <c r="R280" i="57"/>
  <c r="Q280" i="57"/>
  <c r="S280" i="57"/>
  <c r="P281" i="57"/>
  <c r="R281" i="57"/>
  <c r="Q281" i="57"/>
  <c r="S281" i="57"/>
  <c r="P282" i="57"/>
  <c r="R282" i="57"/>
  <c r="Q282" i="57"/>
  <c r="S282" i="57"/>
  <c r="P283" i="57"/>
  <c r="R283" i="57"/>
  <c r="Q283" i="57"/>
  <c r="S283" i="57"/>
  <c r="P284" i="57"/>
  <c r="R284" i="57"/>
  <c r="Q284" i="57"/>
  <c r="S284" i="57"/>
  <c r="P285" i="57"/>
  <c r="R285" i="57"/>
  <c r="Q285" i="57"/>
  <c r="S285" i="57"/>
  <c r="P286" i="57"/>
  <c r="R286" i="57"/>
  <c r="Q286" i="57"/>
  <c r="S286" i="57"/>
  <c r="S260" i="57"/>
  <c r="Q260" i="57"/>
  <c r="R260" i="57"/>
  <c r="P260" i="57"/>
  <c r="S259" i="57"/>
  <c r="Q259" i="57"/>
  <c r="R259" i="57"/>
  <c r="P259" i="57"/>
  <c r="S258" i="57"/>
  <c r="Q258" i="57"/>
  <c r="R258" i="57"/>
  <c r="P258" i="57"/>
  <c r="S257" i="57"/>
  <c r="Q257" i="57"/>
  <c r="R257" i="57"/>
  <c r="P257" i="57"/>
  <c r="S256" i="57"/>
  <c r="Q256" i="57"/>
  <c r="R256" i="57"/>
  <c r="P256" i="57"/>
  <c r="S255" i="57"/>
  <c r="Q255" i="57"/>
  <c r="R255" i="57"/>
  <c r="P255" i="57"/>
  <c r="S254" i="57"/>
  <c r="Q254" i="57"/>
  <c r="R254" i="57"/>
  <c r="P254" i="57"/>
  <c r="S253" i="57"/>
  <c r="Q253" i="57"/>
  <c r="R253" i="57"/>
  <c r="P253" i="57"/>
  <c r="S252" i="57"/>
  <c r="Q252" i="57"/>
  <c r="R252" i="57"/>
  <c r="P252" i="57"/>
  <c r="S251" i="57"/>
  <c r="Q251" i="57"/>
  <c r="R251" i="57"/>
  <c r="P251" i="57"/>
  <c r="S250" i="57"/>
  <c r="Q250" i="57"/>
  <c r="R250" i="57"/>
  <c r="P250" i="57"/>
  <c r="S249" i="57"/>
  <c r="Q249" i="57"/>
  <c r="R249" i="57"/>
  <c r="P249" i="57"/>
  <c r="S248" i="57"/>
  <c r="Q248" i="57"/>
  <c r="R248" i="57"/>
  <c r="P248" i="57"/>
  <c r="S247" i="57"/>
  <c r="Q247" i="57"/>
  <c r="R247" i="57"/>
  <c r="P247" i="57"/>
  <c r="S246" i="57"/>
  <c r="Q246" i="57"/>
  <c r="R246" i="57"/>
  <c r="P246" i="57"/>
  <c r="S245" i="57"/>
  <c r="Q245" i="57"/>
  <c r="R245" i="57"/>
  <c r="P245" i="57"/>
  <c r="S244" i="57"/>
  <c r="Q244" i="57"/>
  <c r="R244" i="57"/>
  <c r="P244" i="57"/>
  <c r="P240" i="57"/>
  <c r="R240" i="57"/>
  <c r="Q240" i="57"/>
  <c r="S240" i="57"/>
  <c r="P241" i="57"/>
  <c r="R241" i="57"/>
  <c r="Q241" i="57"/>
  <c r="S241" i="57"/>
  <c r="S239" i="57"/>
  <c r="Q239" i="57"/>
  <c r="R239" i="57"/>
  <c r="P239" i="57"/>
  <c r="S238" i="57"/>
  <c r="Q238" i="57"/>
  <c r="R238" i="57"/>
  <c r="P238" i="57"/>
  <c r="S237" i="57"/>
  <c r="Q237" i="57"/>
  <c r="R237" i="57"/>
  <c r="P237" i="57"/>
  <c r="S236" i="57"/>
  <c r="Q236" i="57"/>
  <c r="R236" i="57"/>
  <c r="P236" i="57"/>
  <c r="S235" i="57"/>
  <c r="Q235" i="57"/>
  <c r="R235" i="57"/>
  <c r="P235" i="57"/>
  <c r="S234" i="57"/>
  <c r="Q234" i="57"/>
  <c r="R234" i="57"/>
  <c r="P234" i="57"/>
  <c r="S233" i="57"/>
  <c r="Q233" i="57"/>
  <c r="R233" i="57"/>
  <c r="P233" i="57"/>
  <c r="S232" i="57"/>
  <c r="Q232" i="57"/>
  <c r="R232" i="57"/>
  <c r="P232" i="57"/>
  <c r="S231" i="57"/>
  <c r="Q231" i="57"/>
  <c r="R231" i="57"/>
  <c r="P231" i="57"/>
  <c r="S230" i="57"/>
  <c r="Q230" i="57"/>
  <c r="R230" i="57"/>
  <c r="P230" i="57"/>
  <c r="S229" i="57"/>
  <c r="Q229" i="57"/>
  <c r="R229" i="57"/>
  <c r="P229" i="57"/>
  <c r="S228" i="57"/>
  <c r="Q228" i="57"/>
  <c r="R228" i="57"/>
  <c r="P228" i="57"/>
  <c r="S227" i="57"/>
  <c r="Q227" i="57"/>
  <c r="R227" i="57"/>
  <c r="P227" i="57"/>
  <c r="S226" i="57"/>
  <c r="Q226" i="57"/>
  <c r="R226" i="57"/>
  <c r="P226" i="57"/>
  <c r="S225" i="57"/>
  <c r="Q225" i="57"/>
  <c r="R225" i="57"/>
  <c r="P225" i="57"/>
  <c r="P211" i="57"/>
  <c r="R211" i="57"/>
  <c r="Q211" i="57"/>
  <c r="S211" i="57"/>
  <c r="P212" i="57"/>
  <c r="R212" i="57"/>
  <c r="Q212" i="57"/>
  <c r="S212" i="57"/>
  <c r="P213" i="57"/>
  <c r="R213" i="57"/>
  <c r="Q213" i="57"/>
  <c r="S213" i="57"/>
  <c r="P214" i="57"/>
  <c r="R214" i="57"/>
  <c r="Q214" i="57"/>
  <c r="S214" i="57"/>
  <c r="P215" i="57"/>
  <c r="R215" i="57"/>
  <c r="Q215" i="57"/>
  <c r="S215" i="57"/>
  <c r="P216" i="57"/>
  <c r="R216" i="57"/>
  <c r="Q216" i="57"/>
  <c r="S216" i="57"/>
  <c r="P217" i="57"/>
  <c r="R217" i="57"/>
  <c r="Q217" i="57"/>
  <c r="S217" i="57"/>
  <c r="P218" i="57"/>
  <c r="R218" i="57"/>
  <c r="Q218" i="57"/>
  <c r="S218" i="57"/>
  <c r="P219" i="57"/>
  <c r="R219" i="57"/>
  <c r="Q219" i="57"/>
  <c r="S219" i="57"/>
  <c r="P220" i="57"/>
  <c r="R220" i="57"/>
  <c r="Q220" i="57"/>
  <c r="S220" i="57"/>
  <c r="P221" i="57"/>
  <c r="R221" i="57"/>
  <c r="Q221" i="57"/>
  <c r="S221" i="57"/>
  <c r="P222" i="57"/>
  <c r="R222" i="57"/>
  <c r="Q222" i="57"/>
  <c r="S222" i="57"/>
  <c r="S210" i="57"/>
  <c r="Q210" i="57"/>
  <c r="R210" i="57"/>
  <c r="P210" i="57"/>
  <c r="S209" i="57"/>
  <c r="Q209" i="57"/>
  <c r="R209" i="57"/>
  <c r="P209" i="57"/>
  <c r="S208" i="57"/>
  <c r="Q208" i="57"/>
  <c r="R208" i="57"/>
  <c r="P208" i="57"/>
  <c r="P130" i="57"/>
  <c r="R130" i="57"/>
  <c r="Q130" i="57"/>
  <c r="S130" i="57"/>
  <c r="P131" i="57"/>
  <c r="R131" i="57"/>
  <c r="Q131" i="57"/>
  <c r="S131" i="57"/>
  <c r="P132" i="57"/>
  <c r="R132" i="57"/>
  <c r="Q132" i="57"/>
  <c r="S132" i="57"/>
  <c r="P133" i="57"/>
  <c r="R133" i="57"/>
  <c r="Q133" i="57"/>
  <c r="S133" i="57"/>
  <c r="P135" i="57"/>
  <c r="R135" i="57"/>
  <c r="Q135" i="57"/>
  <c r="S135" i="57"/>
  <c r="P136" i="57"/>
  <c r="R136" i="57"/>
  <c r="Q136" i="57"/>
  <c r="S136" i="57"/>
  <c r="P137" i="57"/>
  <c r="R137" i="57"/>
  <c r="Q137" i="57"/>
  <c r="S137" i="57"/>
  <c r="P138" i="57"/>
  <c r="R138" i="57"/>
  <c r="Q138" i="57"/>
  <c r="S138" i="57"/>
  <c r="P139" i="57"/>
  <c r="R139" i="57"/>
  <c r="Q139" i="57"/>
  <c r="S139" i="57"/>
  <c r="P140" i="57"/>
  <c r="R140" i="57"/>
  <c r="Q140" i="57"/>
  <c r="S140" i="57"/>
  <c r="P141" i="57"/>
  <c r="R141" i="57"/>
  <c r="Q141" i="57"/>
  <c r="S141" i="57"/>
  <c r="P142" i="57"/>
  <c r="R142" i="57"/>
  <c r="Q142" i="57"/>
  <c r="S142" i="57"/>
  <c r="P143" i="57"/>
  <c r="R143" i="57"/>
  <c r="Q143" i="57"/>
  <c r="S143" i="57"/>
  <c r="P144" i="57"/>
  <c r="R144" i="57"/>
  <c r="Q144" i="57"/>
  <c r="S144" i="57"/>
  <c r="P145" i="57"/>
  <c r="R145" i="57"/>
  <c r="Q145" i="57"/>
  <c r="S145" i="57"/>
  <c r="P146" i="57"/>
  <c r="R146" i="57"/>
  <c r="Q146" i="57"/>
  <c r="S146" i="57"/>
  <c r="P147" i="57"/>
  <c r="R147" i="57"/>
  <c r="Q147" i="57"/>
  <c r="S147" i="57"/>
  <c r="P148" i="57"/>
  <c r="R148" i="57"/>
  <c r="Q148" i="57"/>
  <c r="S148" i="57"/>
  <c r="P149" i="57"/>
  <c r="R149" i="57"/>
  <c r="Q149" i="57"/>
  <c r="S149" i="57"/>
  <c r="P150" i="57"/>
  <c r="R150" i="57"/>
  <c r="Q150" i="57"/>
  <c r="S150" i="57"/>
  <c r="P151" i="57"/>
  <c r="R151" i="57"/>
  <c r="Q151" i="57"/>
  <c r="S151" i="57"/>
  <c r="P152" i="57"/>
  <c r="R152" i="57"/>
  <c r="Q152" i="57"/>
  <c r="S152" i="57"/>
  <c r="P153" i="57"/>
  <c r="R153" i="57"/>
  <c r="Q153" i="57"/>
  <c r="S153" i="57"/>
  <c r="P154" i="57"/>
  <c r="R154" i="57"/>
  <c r="Q154" i="57"/>
  <c r="S154" i="57"/>
  <c r="P155" i="57"/>
  <c r="R155" i="57"/>
  <c r="Q155" i="57"/>
  <c r="S155" i="57"/>
  <c r="P156" i="57"/>
  <c r="R156" i="57"/>
  <c r="Q156" i="57"/>
  <c r="S156" i="57"/>
  <c r="P157" i="57"/>
  <c r="R157" i="57"/>
  <c r="Q157" i="57"/>
  <c r="S157" i="57"/>
  <c r="P158" i="57"/>
  <c r="R158" i="57"/>
  <c r="Q158" i="57"/>
  <c r="S158" i="57"/>
  <c r="P159" i="57"/>
  <c r="R159" i="57"/>
  <c r="Q159" i="57"/>
  <c r="S159" i="57"/>
  <c r="P160" i="57"/>
  <c r="R160" i="57"/>
  <c r="Q160" i="57"/>
  <c r="S160" i="57"/>
  <c r="P161" i="57"/>
  <c r="R161" i="57"/>
  <c r="Q161" i="57"/>
  <c r="S161" i="57"/>
  <c r="P162" i="57"/>
  <c r="R162" i="57"/>
  <c r="Q162" i="57"/>
  <c r="S162" i="57"/>
  <c r="P163" i="57"/>
  <c r="R163" i="57"/>
  <c r="Q163" i="57"/>
  <c r="S163" i="57"/>
  <c r="P164" i="57"/>
  <c r="R164" i="57"/>
  <c r="Q164" i="57"/>
  <c r="S164" i="57"/>
  <c r="P165" i="57"/>
  <c r="R165" i="57"/>
  <c r="Q165" i="57"/>
  <c r="S165" i="57"/>
  <c r="P166" i="57"/>
  <c r="R166" i="57"/>
  <c r="Q166" i="57"/>
  <c r="S166" i="57"/>
  <c r="P167" i="57"/>
  <c r="R167" i="57"/>
  <c r="Q167" i="57"/>
  <c r="S167" i="57"/>
  <c r="P168" i="57"/>
  <c r="R168" i="57"/>
  <c r="Q168" i="57"/>
  <c r="S168" i="57"/>
  <c r="P169" i="57"/>
  <c r="R169" i="57"/>
  <c r="Q169" i="57"/>
  <c r="S169" i="57"/>
  <c r="P170" i="57"/>
  <c r="R170" i="57"/>
  <c r="Q170" i="57"/>
  <c r="S170" i="57"/>
  <c r="P171" i="57"/>
  <c r="R171" i="57"/>
  <c r="Q171" i="57"/>
  <c r="S171" i="57"/>
  <c r="P172" i="57"/>
  <c r="R172" i="57"/>
  <c r="Q172" i="57"/>
  <c r="S172" i="57"/>
  <c r="P173" i="57"/>
  <c r="R173" i="57"/>
  <c r="Q173" i="57"/>
  <c r="S173" i="57"/>
  <c r="P174" i="57"/>
  <c r="R174" i="57"/>
  <c r="Q174" i="57"/>
  <c r="S174" i="57"/>
  <c r="P175" i="57"/>
  <c r="R175" i="57"/>
  <c r="Q175" i="57"/>
  <c r="S175" i="57"/>
  <c r="P176" i="57"/>
  <c r="R176" i="57"/>
  <c r="Q176" i="57"/>
  <c r="S176" i="57"/>
  <c r="P177" i="57"/>
  <c r="R177" i="57"/>
  <c r="Q177" i="57"/>
  <c r="S177" i="57"/>
  <c r="P178" i="57"/>
  <c r="R178" i="57"/>
  <c r="Q178" i="57"/>
  <c r="S178" i="57"/>
  <c r="P179" i="57"/>
  <c r="R179" i="57"/>
  <c r="Q179" i="57"/>
  <c r="S179" i="57"/>
  <c r="P180" i="57"/>
  <c r="R180" i="57"/>
  <c r="Q180" i="57"/>
  <c r="S180" i="57"/>
  <c r="P181" i="57"/>
  <c r="R181" i="57"/>
  <c r="Q181" i="57"/>
  <c r="S181" i="57"/>
  <c r="P182" i="57"/>
  <c r="R182" i="57"/>
  <c r="Q182" i="57"/>
  <c r="S182" i="57"/>
  <c r="P183" i="57"/>
  <c r="R183" i="57"/>
  <c r="Q183" i="57"/>
  <c r="S183" i="57"/>
  <c r="P184" i="57"/>
  <c r="R184" i="57"/>
  <c r="Q184" i="57"/>
  <c r="S184" i="57"/>
  <c r="P185" i="57"/>
  <c r="R185" i="57"/>
  <c r="Q185" i="57"/>
  <c r="S185" i="57"/>
  <c r="P186" i="57"/>
  <c r="R186" i="57"/>
  <c r="Q186" i="57"/>
  <c r="S186" i="57"/>
  <c r="P187" i="57"/>
  <c r="R187" i="57"/>
  <c r="Q187" i="57"/>
  <c r="S187" i="57"/>
  <c r="P188" i="57"/>
  <c r="R188" i="57"/>
  <c r="Q188" i="57"/>
  <c r="S188" i="57"/>
  <c r="P189" i="57"/>
  <c r="R189" i="57"/>
  <c r="Q189" i="57"/>
  <c r="S189" i="57"/>
  <c r="P190" i="57"/>
  <c r="R190" i="57"/>
  <c r="Q190" i="57"/>
  <c r="S190" i="57"/>
  <c r="P191" i="57"/>
  <c r="R191" i="57"/>
  <c r="Q191" i="57"/>
  <c r="S191" i="57"/>
  <c r="P192" i="57"/>
  <c r="R192" i="57"/>
  <c r="Q192" i="57"/>
  <c r="S192" i="57"/>
  <c r="P193" i="57"/>
  <c r="R193" i="57"/>
  <c r="Q193" i="57"/>
  <c r="S193" i="57"/>
  <c r="P194" i="57"/>
  <c r="R194" i="57"/>
  <c r="Q194" i="57"/>
  <c r="S194" i="57"/>
  <c r="P195" i="57"/>
  <c r="R195" i="57"/>
  <c r="Q195" i="57"/>
  <c r="S195" i="57"/>
  <c r="P196" i="57"/>
  <c r="R196" i="57"/>
  <c r="Q196" i="57"/>
  <c r="S196" i="57"/>
  <c r="P197" i="57"/>
  <c r="R197" i="57"/>
  <c r="Q197" i="57"/>
  <c r="S197" i="57"/>
  <c r="P198" i="57"/>
  <c r="R198" i="57"/>
  <c r="Q198" i="57"/>
  <c r="S198" i="57"/>
  <c r="P199" i="57"/>
  <c r="R199" i="57"/>
  <c r="Q199" i="57"/>
  <c r="S199" i="57"/>
  <c r="P200" i="57"/>
  <c r="R200" i="57"/>
  <c r="Q200" i="57"/>
  <c r="S200" i="57"/>
  <c r="P201" i="57"/>
  <c r="R201" i="57"/>
  <c r="Q201" i="57"/>
  <c r="S201" i="57"/>
  <c r="P202" i="57"/>
  <c r="R202" i="57"/>
  <c r="Q202" i="57"/>
  <c r="S202" i="57"/>
  <c r="P203" i="57"/>
  <c r="R203" i="57"/>
  <c r="Q203" i="57"/>
  <c r="S203" i="57"/>
  <c r="P204" i="57"/>
  <c r="R204" i="57"/>
  <c r="Q204" i="57"/>
  <c r="S204" i="57"/>
  <c r="P206" i="57"/>
  <c r="R206" i="57"/>
  <c r="Q206" i="57"/>
  <c r="S206" i="57"/>
  <c r="P207" i="57"/>
  <c r="R207" i="57"/>
  <c r="Q207" i="57"/>
  <c r="S207" i="57"/>
  <c r="S129" i="57"/>
  <c r="Q129" i="57"/>
  <c r="R129" i="57"/>
  <c r="P129" i="57"/>
  <c r="S128" i="57"/>
  <c r="Q128" i="57"/>
  <c r="R128" i="57"/>
  <c r="P128" i="57"/>
  <c r="P71" i="57"/>
  <c r="R71" i="57"/>
  <c r="Q71" i="57"/>
  <c r="S71" i="57"/>
  <c r="P72" i="57"/>
  <c r="R72" i="57"/>
  <c r="Q72" i="57"/>
  <c r="S72" i="57"/>
  <c r="P73" i="57"/>
  <c r="R73" i="57"/>
  <c r="Q73" i="57"/>
  <c r="S73" i="57"/>
  <c r="P74" i="57"/>
  <c r="R74" i="57"/>
  <c r="Q74" i="57"/>
  <c r="S74" i="57"/>
  <c r="P75" i="57"/>
  <c r="R75" i="57"/>
  <c r="Q75" i="57"/>
  <c r="S75" i="57"/>
  <c r="P76" i="57"/>
  <c r="R76" i="57"/>
  <c r="Q76" i="57"/>
  <c r="S76" i="57"/>
  <c r="P77" i="57"/>
  <c r="R77" i="57"/>
  <c r="Q77" i="57"/>
  <c r="S77" i="57"/>
  <c r="P78" i="57"/>
  <c r="R78" i="57"/>
  <c r="Q78" i="57"/>
  <c r="S78" i="57"/>
  <c r="P79" i="57"/>
  <c r="R79" i="57"/>
  <c r="Q79" i="57"/>
  <c r="S79" i="57"/>
  <c r="P80" i="57"/>
  <c r="R80" i="57"/>
  <c r="Q80" i="57"/>
  <c r="S80" i="57"/>
  <c r="P81" i="57"/>
  <c r="R81" i="57"/>
  <c r="Q81" i="57"/>
  <c r="S81" i="57"/>
  <c r="P82" i="57"/>
  <c r="R82" i="57"/>
  <c r="Q82" i="57"/>
  <c r="S82" i="57"/>
  <c r="P83" i="57"/>
  <c r="R83" i="57"/>
  <c r="Q83" i="57"/>
  <c r="S83" i="57"/>
  <c r="P84" i="57"/>
  <c r="R84" i="57"/>
  <c r="Q84" i="57"/>
  <c r="S84" i="57"/>
  <c r="P85" i="57"/>
  <c r="R85" i="57"/>
  <c r="Q85" i="57"/>
  <c r="S85" i="57"/>
  <c r="P86" i="57"/>
  <c r="R86" i="57"/>
  <c r="Q86" i="57"/>
  <c r="S86" i="57"/>
  <c r="P87" i="57"/>
  <c r="R87" i="57"/>
  <c r="Q87" i="57"/>
  <c r="S87" i="57"/>
  <c r="P88" i="57"/>
  <c r="R88" i="57"/>
  <c r="Q88" i="57"/>
  <c r="S88" i="57"/>
  <c r="P89" i="57"/>
  <c r="R89" i="57"/>
  <c r="Q89" i="57"/>
  <c r="S89" i="57"/>
  <c r="P90" i="57"/>
  <c r="R90" i="57"/>
  <c r="Q90" i="57"/>
  <c r="S90" i="57"/>
  <c r="P91" i="57"/>
  <c r="R91" i="57"/>
  <c r="Q91" i="57"/>
  <c r="S91" i="57"/>
  <c r="P92" i="57"/>
  <c r="R92" i="57"/>
  <c r="Q92" i="57"/>
  <c r="S92" i="57"/>
  <c r="P93" i="57"/>
  <c r="R93" i="57"/>
  <c r="Q93" i="57"/>
  <c r="S93" i="57"/>
  <c r="P94" i="57"/>
  <c r="R94" i="57"/>
  <c r="Q94" i="57"/>
  <c r="S94" i="57"/>
  <c r="P95" i="57"/>
  <c r="R95" i="57"/>
  <c r="Q95" i="57"/>
  <c r="S95" i="57"/>
  <c r="P96" i="57"/>
  <c r="R96" i="57"/>
  <c r="Q96" i="57"/>
  <c r="S96" i="57"/>
  <c r="P97" i="57"/>
  <c r="R97" i="57"/>
  <c r="Q97" i="57"/>
  <c r="S97" i="57"/>
  <c r="P98" i="57"/>
  <c r="R98" i="57"/>
  <c r="Q98" i="57"/>
  <c r="S98" i="57"/>
  <c r="P99" i="57"/>
  <c r="R99" i="57"/>
  <c r="Q99" i="57"/>
  <c r="S99" i="57"/>
  <c r="P100" i="57"/>
  <c r="R100" i="57"/>
  <c r="Q100" i="57"/>
  <c r="S100" i="57"/>
  <c r="P101" i="57"/>
  <c r="R101" i="57"/>
  <c r="Q101" i="57"/>
  <c r="S101" i="57"/>
  <c r="P102" i="57"/>
  <c r="R102" i="57"/>
  <c r="Q102" i="57"/>
  <c r="S102" i="57"/>
  <c r="P103" i="57"/>
  <c r="R103" i="57"/>
  <c r="Q103" i="57"/>
  <c r="S103" i="57"/>
  <c r="P104" i="57"/>
  <c r="R104" i="57"/>
  <c r="Q104" i="57"/>
  <c r="S104" i="57"/>
  <c r="P105" i="57"/>
  <c r="R105" i="57"/>
  <c r="Q105" i="57"/>
  <c r="S105" i="57"/>
  <c r="P106" i="57"/>
  <c r="R106" i="57"/>
  <c r="Q106" i="57"/>
  <c r="S106" i="57"/>
  <c r="P107" i="57"/>
  <c r="R107" i="57"/>
  <c r="Q107" i="57"/>
  <c r="S107" i="57"/>
  <c r="P108" i="57"/>
  <c r="R108" i="57"/>
  <c r="Q108" i="57"/>
  <c r="S108" i="57"/>
  <c r="P109" i="57"/>
  <c r="R109" i="57"/>
  <c r="Q109" i="57"/>
  <c r="S109" i="57"/>
  <c r="P110" i="57"/>
  <c r="R110" i="57"/>
  <c r="Q110" i="57"/>
  <c r="S110" i="57"/>
  <c r="P111" i="57"/>
  <c r="R111" i="57"/>
  <c r="Q111" i="57"/>
  <c r="S111" i="57"/>
  <c r="P112" i="57"/>
  <c r="R112" i="57"/>
  <c r="Q112" i="57"/>
  <c r="S112" i="57"/>
  <c r="P113" i="57"/>
  <c r="R113" i="57"/>
  <c r="Q113" i="57"/>
  <c r="S113" i="57"/>
  <c r="P114" i="57"/>
  <c r="R114" i="57"/>
  <c r="Q114" i="57"/>
  <c r="S114" i="57"/>
  <c r="P115" i="57"/>
  <c r="R115" i="57"/>
  <c r="Q115" i="57"/>
  <c r="S115" i="57"/>
  <c r="P116" i="57"/>
  <c r="R116" i="57"/>
  <c r="Q116" i="57"/>
  <c r="S116" i="57"/>
  <c r="P117" i="57"/>
  <c r="R117" i="57"/>
  <c r="Q117" i="57"/>
  <c r="S117" i="57"/>
  <c r="P118" i="57"/>
  <c r="R118" i="57"/>
  <c r="Q118" i="57"/>
  <c r="S118" i="57"/>
  <c r="P119" i="57"/>
  <c r="R119" i="57"/>
  <c r="Q119" i="57"/>
  <c r="S119" i="57"/>
  <c r="P120" i="57"/>
  <c r="R120" i="57"/>
  <c r="Q120" i="57"/>
  <c r="S120" i="57"/>
  <c r="P121" i="57"/>
  <c r="R121" i="57"/>
  <c r="Q121" i="57"/>
  <c r="S121" i="57"/>
  <c r="P122" i="57"/>
  <c r="R122" i="57"/>
  <c r="Q122" i="57"/>
  <c r="S122" i="57"/>
  <c r="P123" i="57"/>
  <c r="R123" i="57"/>
  <c r="Q123" i="57"/>
  <c r="S123" i="57"/>
  <c r="P124" i="57"/>
  <c r="R124" i="57"/>
  <c r="Q124" i="57"/>
  <c r="S124" i="57"/>
  <c r="P125" i="57"/>
  <c r="R125" i="57"/>
  <c r="Q125" i="57"/>
  <c r="S125" i="57"/>
  <c r="S70" i="57"/>
  <c r="Q70" i="57"/>
  <c r="R70" i="57"/>
  <c r="P70" i="57"/>
  <c r="S67" i="57"/>
  <c r="Q67" i="57"/>
  <c r="R67" i="57"/>
  <c r="P67" i="57"/>
  <c r="S66" i="57"/>
  <c r="Q66" i="57"/>
  <c r="R66" i="57"/>
  <c r="P66" i="57"/>
  <c r="S65" i="57"/>
  <c r="Q65" i="57"/>
  <c r="R65" i="57"/>
  <c r="P65" i="57"/>
  <c r="S64" i="57"/>
  <c r="Q64" i="57"/>
  <c r="R64" i="57"/>
  <c r="P64" i="57"/>
  <c r="S63" i="57"/>
  <c r="Q63" i="57"/>
  <c r="R63" i="57"/>
  <c r="P63" i="57"/>
  <c r="S62" i="57"/>
  <c r="Q62" i="57"/>
  <c r="R62" i="57"/>
  <c r="P62" i="57"/>
  <c r="S61" i="57"/>
  <c r="Q61" i="57"/>
  <c r="R61" i="57"/>
  <c r="P61" i="57"/>
  <c r="S60" i="57"/>
  <c r="Q60" i="57"/>
  <c r="R60" i="57"/>
  <c r="P60" i="57"/>
  <c r="S59" i="57"/>
  <c r="Q59" i="57"/>
  <c r="R59" i="57"/>
  <c r="P59" i="57"/>
  <c r="S58" i="57"/>
  <c r="Q58" i="57"/>
  <c r="R58" i="57"/>
  <c r="P58" i="57"/>
  <c r="S57" i="57"/>
  <c r="Q57" i="57"/>
  <c r="R57" i="57"/>
  <c r="P57" i="57"/>
  <c r="S56" i="57"/>
  <c r="Q56" i="57"/>
  <c r="R56" i="57"/>
  <c r="P56" i="57"/>
  <c r="S55" i="57"/>
  <c r="Q55" i="57"/>
  <c r="R55" i="57"/>
  <c r="P55" i="57"/>
  <c r="S54" i="57"/>
  <c r="Q54" i="57"/>
  <c r="R54" i="57"/>
  <c r="P54" i="57"/>
  <c r="S53" i="57"/>
  <c r="Q53" i="57"/>
  <c r="R53" i="57"/>
  <c r="P53" i="57"/>
  <c r="S52" i="57"/>
  <c r="Q52" i="57"/>
  <c r="R52" i="57"/>
  <c r="P52" i="57"/>
  <c r="S51" i="57"/>
  <c r="Q51" i="57"/>
  <c r="R51" i="57"/>
  <c r="P51" i="57"/>
  <c r="S50" i="57"/>
  <c r="Q50" i="57"/>
  <c r="R50" i="57"/>
  <c r="P50" i="57"/>
  <c r="S49" i="57"/>
  <c r="Q49" i="57"/>
  <c r="R49" i="57"/>
  <c r="P49" i="57"/>
  <c r="S48" i="57"/>
  <c r="Q48" i="57"/>
  <c r="R48" i="57"/>
  <c r="P48" i="57"/>
  <c r="S47" i="57"/>
  <c r="Q47" i="57"/>
  <c r="R47" i="57"/>
  <c r="P47" i="57"/>
  <c r="S46" i="57"/>
  <c r="Q46" i="57"/>
  <c r="R46" i="57"/>
  <c r="P46" i="57"/>
  <c r="S45" i="57"/>
  <c r="Q45" i="57"/>
  <c r="R45" i="57"/>
  <c r="P45" i="57"/>
  <c r="S44" i="57"/>
  <c r="Q44" i="57"/>
  <c r="R44" i="57"/>
  <c r="P44" i="57"/>
  <c r="S43" i="57"/>
  <c r="Q43" i="57"/>
  <c r="R43" i="57"/>
  <c r="P43" i="57"/>
  <c r="S42" i="57"/>
  <c r="Q42" i="57"/>
  <c r="R42" i="57"/>
  <c r="P42" i="57"/>
  <c r="P20" i="57"/>
  <c r="R20" i="57"/>
  <c r="Q20" i="57"/>
  <c r="S20" i="57"/>
  <c r="P21" i="57"/>
  <c r="R21" i="57"/>
  <c r="Q21" i="57"/>
  <c r="S21" i="57"/>
  <c r="P22" i="57"/>
  <c r="R22" i="57"/>
  <c r="Q22" i="57"/>
  <c r="S22" i="57"/>
  <c r="P23" i="57"/>
  <c r="R23" i="57"/>
  <c r="Q23" i="57"/>
  <c r="S23" i="57"/>
  <c r="P24" i="57"/>
  <c r="R24" i="57"/>
  <c r="Q24" i="57"/>
  <c r="S24" i="57"/>
  <c r="P25" i="57"/>
  <c r="R25" i="57"/>
  <c r="Q25" i="57"/>
  <c r="S25" i="57"/>
  <c r="P26" i="57"/>
  <c r="R26" i="57"/>
  <c r="Q26" i="57"/>
  <c r="S26" i="57"/>
  <c r="P27" i="57"/>
  <c r="R27" i="57"/>
  <c r="Q27" i="57"/>
  <c r="S27" i="57"/>
  <c r="P28" i="57"/>
  <c r="R28" i="57"/>
  <c r="Q28" i="57"/>
  <c r="S28" i="57"/>
  <c r="P29" i="57"/>
  <c r="R29" i="57"/>
  <c r="Q29" i="57"/>
  <c r="S29" i="57"/>
  <c r="P30" i="57"/>
  <c r="R30" i="57"/>
  <c r="Q30" i="57"/>
  <c r="S30" i="57"/>
  <c r="P31" i="57"/>
  <c r="R31" i="57"/>
  <c r="Q31" i="57"/>
  <c r="S31" i="57"/>
  <c r="P32" i="57"/>
  <c r="R32" i="57"/>
  <c r="Q32" i="57"/>
  <c r="S32" i="57"/>
  <c r="P33" i="57"/>
  <c r="R33" i="57"/>
  <c r="Q33" i="57"/>
  <c r="S33" i="57"/>
  <c r="P34" i="57"/>
  <c r="R34" i="57"/>
  <c r="Q34" i="57"/>
  <c r="S34" i="57"/>
  <c r="P35" i="57"/>
  <c r="R35" i="57"/>
  <c r="Q35" i="57"/>
  <c r="S35" i="57"/>
  <c r="P36" i="57"/>
  <c r="R36" i="57"/>
  <c r="Q36" i="57"/>
  <c r="S36" i="57"/>
  <c r="P37" i="57"/>
  <c r="R37" i="57"/>
  <c r="Q37" i="57"/>
  <c r="S37" i="57"/>
  <c r="P38" i="57"/>
  <c r="R38" i="57"/>
  <c r="Q38" i="57"/>
  <c r="S38" i="57"/>
  <c r="P39" i="57"/>
  <c r="R39" i="57"/>
  <c r="Q39" i="57"/>
  <c r="S39" i="57"/>
  <c r="S19" i="57"/>
  <c r="Q19" i="57"/>
  <c r="R19" i="57"/>
  <c r="P19" i="57"/>
  <c r="S18" i="57"/>
  <c r="Q18" i="57"/>
  <c r="R18" i="57"/>
  <c r="P18" i="57"/>
  <c r="S17" i="57"/>
  <c r="Q17" i="57"/>
  <c r="R17" i="57"/>
  <c r="P17" i="57"/>
  <c r="S16" i="57"/>
  <c r="Q16" i="57"/>
  <c r="R16" i="57"/>
  <c r="P16" i="57"/>
  <c r="S15" i="57"/>
  <c r="Q15" i="57"/>
  <c r="R15" i="57"/>
  <c r="P15" i="57"/>
  <c r="S14" i="57"/>
  <c r="Q14" i="57"/>
  <c r="R14" i="57"/>
  <c r="P14" i="57"/>
  <c r="S13" i="57"/>
  <c r="Q13" i="57"/>
  <c r="R13" i="57"/>
  <c r="P13" i="57"/>
  <c r="S10" i="57"/>
  <c r="Q10" i="57"/>
  <c r="R10" i="57"/>
  <c r="P10" i="57"/>
  <c r="S9" i="57"/>
  <c r="Q9" i="57"/>
  <c r="R9" i="57"/>
  <c r="P9" i="57"/>
  <c r="S8" i="57"/>
  <c r="Q8" i="57"/>
  <c r="R8" i="57"/>
  <c r="P8" i="57"/>
  <c r="S7" i="57"/>
  <c r="Q7" i="57"/>
  <c r="R7" i="57"/>
  <c r="P7" i="57"/>
  <c r="S6" i="57"/>
  <c r="Q6" i="57"/>
  <c r="R6" i="57"/>
  <c r="P6" i="57"/>
  <c r="S5" i="57"/>
  <c r="Q5" i="57"/>
  <c r="R5" i="57"/>
  <c r="P5" i="57"/>
  <c r="S4" i="57"/>
  <c r="Q4" i="57"/>
  <c r="R4" i="57"/>
  <c r="P4" i="57"/>
  <c r="P8" i="118"/>
  <c r="R8" i="118"/>
  <c r="Q8" i="118"/>
  <c r="S8" i="118"/>
  <c r="P9" i="118"/>
  <c r="R9" i="118"/>
  <c r="Q9" i="118"/>
  <c r="S9" i="118"/>
  <c r="P10" i="118"/>
  <c r="R10" i="118"/>
  <c r="Q10" i="118"/>
  <c r="S10" i="118"/>
  <c r="P11" i="118"/>
  <c r="R11" i="118"/>
  <c r="Q11" i="118"/>
  <c r="S11" i="118"/>
  <c r="P12" i="118"/>
  <c r="R12" i="118"/>
  <c r="Q12" i="118"/>
  <c r="S12" i="118"/>
  <c r="P13" i="118"/>
  <c r="R13" i="118"/>
  <c r="Q13" i="118"/>
  <c r="S13" i="118"/>
  <c r="P14" i="118"/>
  <c r="R14" i="118"/>
  <c r="Q14" i="118"/>
  <c r="S14" i="118"/>
  <c r="P15" i="118"/>
  <c r="R15" i="118"/>
  <c r="Q15" i="118"/>
  <c r="S15" i="118"/>
  <c r="P16" i="118"/>
  <c r="R16" i="118"/>
  <c r="Q16" i="118"/>
  <c r="S16" i="118"/>
  <c r="P17" i="118"/>
  <c r="R17" i="118"/>
  <c r="Q17" i="118"/>
  <c r="S17" i="118"/>
  <c r="P18" i="118"/>
  <c r="R18" i="118"/>
  <c r="Q18" i="118"/>
  <c r="S18" i="118"/>
  <c r="P19" i="118"/>
  <c r="R19" i="118"/>
  <c r="Q19" i="118"/>
  <c r="S19" i="118"/>
  <c r="P20" i="118"/>
  <c r="R20" i="118"/>
  <c r="Q20" i="118"/>
  <c r="S20" i="118"/>
  <c r="P21" i="118"/>
  <c r="R21" i="118"/>
  <c r="Q21" i="118"/>
  <c r="S21" i="118"/>
  <c r="P22" i="118"/>
  <c r="R22" i="118"/>
  <c r="Q22" i="118"/>
  <c r="S22" i="118"/>
  <c r="P23" i="118"/>
  <c r="R23" i="118"/>
  <c r="Q23" i="118"/>
  <c r="S23" i="118"/>
  <c r="P24" i="118"/>
  <c r="R24" i="118"/>
  <c r="Q24" i="118"/>
  <c r="S24" i="118"/>
  <c r="P25" i="118"/>
  <c r="R25" i="118"/>
  <c r="Q25" i="118"/>
  <c r="S25" i="118"/>
  <c r="P26" i="118"/>
  <c r="R26" i="118"/>
  <c r="Q26" i="118"/>
  <c r="S26" i="118"/>
  <c r="P27" i="118"/>
  <c r="R27" i="118"/>
  <c r="Q27" i="118"/>
  <c r="S27" i="118"/>
  <c r="P28" i="118"/>
  <c r="R28" i="118"/>
  <c r="Q28" i="118"/>
  <c r="S28" i="118"/>
  <c r="P29" i="118"/>
  <c r="R29" i="118"/>
  <c r="Q29" i="118"/>
  <c r="S29" i="118"/>
  <c r="P31" i="118"/>
  <c r="R31" i="118"/>
  <c r="Q31" i="118"/>
  <c r="S31" i="118"/>
  <c r="P32" i="118"/>
  <c r="R32" i="118"/>
  <c r="Q32" i="118"/>
  <c r="S32" i="118"/>
  <c r="P33" i="118"/>
  <c r="R33" i="118"/>
  <c r="Q33" i="118"/>
  <c r="S33" i="118"/>
  <c r="P34" i="118"/>
  <c r="R34" i="118"/>
  <c r="Q34" i="118"/>
  <c r="S34" i="118"/>
  <c r="P35" i="118"/>
  <c r="R35" i="118"/>
  <c r="Q35" i="118"/>
  <c r="S35" i="118"/>
  <c r="P36" i="118"/>
  <c r="R36" i="118"/>
  <c r="Q36" i="118"/>
  <c r="S36" i="118"/>
  <c r="P37" i="118"/>
  <c r="R37" i="118"/>
  <c r="Q37" i="118"/>
  <c r="S37" i="118"/>
  <c r="P38" i="118"/>
  <c r="R38" i="118"/>
  <c r="Q38" i="118"/>
  <c r="S38" i="118"/>
  <c r="P39" i="118"/>
  <c r="R39" i="118"/>
  <c r="Q39" i="118"/>
  <c r="S39" i="118"/>
  <c r="P40" i="118"/>
  <c r="R40" i="118"/>
  <c r="Q40" i="118"/>
  <c r="S40" i="118"/>
  <c r="S7" i="118"/>
  <c r="Q7" i="118"/>
  <c r="R7" i="118"/>
  <c r="P7" i="118"/>
  <c r="S6" i="118"/>
  <c r="Q6" i="118"/>
  <c r="R6" i="118"/>
  <c r="P6" i="118"/>
  <c r="S5" i="118"/>
  <c r="Q5" i="118"/>
  <c r="R5" i="118"/>
  <c r="P5" i="118"/>
  <c r="S4" i="118"/>
  <c r="Q4" i="118"/>
  <c r="R4" i="118"/>
  <c r="P4" i="118"/>
  <c r="S3" i="118"/>
  <c r="Q3" i="118"/>
  <c r="R3" i="118"/>
  <c r="P3" i="118"/>
  <c r="S2" i="118"/>
  <c r="Q2" i="118"/>
  <c r="R2" i="118"/>
  <c r="P2" i="118"/>
  <c r="S1" i="118"/>
  <c r="Q1" i="118"/>
  <c r="R1" i="118"/>
  <c r="P1" i="118"/>
  <c r="AG11" i="74"/>
  <c r="N11" i="74"/>
  <c r="X11" i="74"/>
  <c r="AJ11" i="74"/>
  <c r="AI11" i="74" l="1"/>
  <c r="Z11" i="74"/>
  <c r="AA11" i="74" s="1"/>
  <c r="V11" i="74"/>
  <c r="AG37" i="74" l="1"/>
  <c r="N37" i="74"/>
  <c r="Z37" i="74" l="1"/>
  <c r="AA37" i="74" s="1"/>
  <c r="V37" i="74"/>
  <c r="AG44" i="74"/>
  <c r="N44" i="74"/>
  <c r="Z44" i="74" l="1"/>
  <c r="AA44" i="74" s="1"/>
  <c r="V44" i="74"/>
  <c r="AG40" i="74"/>
  <c r="N40" i="74"/>
  <c r="Z40" i="74" l="1"/>
  <c r="AA40" i="74" s="1"/>
  <c r="V40" i="74"/>
  <c r="AG1687" i="57" l="1"/>
  <c r="AJ1687" i="57"/>
  <c r="X1687" i="57"/>
  <c r="V1687" i="57" l="1"/>
  <c r="AI1687" i="57"/>
  <c r="Z1687" i="57"/>
  <c r="AA1687" i="57" s="1"/>
  <c r="T1687" i="57"/>
  <c r="AG132" i="114" l="1"/>
  <c r="N132" i="114"/>
  <c r="Z132" i="114" l="1"/>
  <c r="AA132" i="114" s="1"/>
  <c r="V132" i="114"/>
  <c r="AG63" i="114"/>
  <c r="N63" i="114"/>
  <c r="X63" i="114"/>
  <c r="AJ63" i="114"/>
  <c r="AI63" i="114" l="1"/>
  <c r="Z63" i="114"/>
  <c r="AA63" i="114" s="1"/>
  <c r="V63" i="114"/>
  <c r="AG137" i="114"/>
  <c r="N137" i="114"/>
  <c r="Z137" i="114" l="1"/>
  <c r="AA137" i="114" s="1"/>
  <c r="V137" i="114"/>
  <c r="AG279" i="57"/>
  <c r="X279" i="57"/>
  <c r="AJ279" i="57"/>
  <c r="V279" i="57" l="1"/>
  <c r="AI279" i="57"/>
  <c r="Z279" i="57"/>
  <c r="AA279" i="57" s="1"/>
  <c r="T279" i="57"/>
  <c r="T368" i="57"/>
  <c r="X368" i="57"/>
  <c r="V368" i="57" l="1"/>
  <c r="Z368" i="57"/>
  <c r="AA368" i="57" s="1"/>
  <c r="AG368" i="57"/>
  <c r="AJ711" i="57"/>
  <c r="AJ368" i="57"/>
  <c r="AI368" i="57" l="1"/>
  <c r="AI711" i="57"/>
  <c r="AG711" i="57"/>
  <c r="X711" i="57"/>
  <c r="V711" i="57" l="1"/>
  <c r="Z711" i="57"/>
  <c r="AA711" i="57" s="1"/>
  <c r="T711" i="57"/>
  <c r="AG631" i="57"/>
  <c r="X631" i="57"/>
  <c r="AJ631" i="57"/>
  <c r="V631" i="57" l="1"/>
  <c r="AI631" i="57"/>
  <c r="Z631" i="57"/>
  <c r="AA631" i="57" s="1"/>
  <c r="T631" i="57"/>
  <c r="AG110" i="57"/>
  <c r="X110" i="57"/>
  <c r="AJ110" i="57"/>
  <c r="V110" i="57" l="1"/>
  <c r="AI110" i="57"/>
  <c r="Z110" i="57"/>
  <c r="AA110" i="57" s="1"/>
  <c r="T110" i="57"/>
  <c r="AG1696" i="57"/>
  <c r="AJ1696" i="57"/>
  <c r="X1696" i="57"/>
  <c r="V1696" i="57" l="1"/>
  <c r="AI1696" i="57"/>
  <c r="Z1696" i="57"/>
  <c r="AA1696" i="57" s="1"/>
  <c r="T1696" i="57"/>
  <c r="AG62" i="114"/>
  <c r="N62" i="114"/>
  <c r="X62" i="114"/>
  <c r="AJ62" i="114"/>
  <c r="AI62" i="114" l="1"/>
  <c r="Z62" i="114"/>
  <c r="AA62" i="114" s="1"/>
  <c r="V62" i="114"/>
  <c r="AG61" i="114"/>
  <c r="N61" i="114"/>
  <c r="X61" i="114"/>
  <c r="AJ61" i="114"/>
  <c r="AI61" i="114" l="1"/>
  <c r="Z61" i="114"/>
  <c r="AA61" i="114" s="1"/>
  <c r="V61" i="114"/>
  <c r="AG149" i="114"/>
  <c r="N149" i="114"/>
  <c r="Z149" i="114" l="1"/>
  <c r="AA149" i="114" s="1"/>
  <c r="V149" i="114"/>
  <c r="AG144" i="114"/>
  <c r="N144" i="114"/>
  <c r="Z144" i="114" l="1"/>
  <c r="AA144" i="114" s="1"/>
  <c r="V144" i="114"/>
  <c r="AG122" i="114"/>
  <c r="N122" i="114"/>
  <c r="Z122" i="114" l="1"/>
  <c r="AA122" i="114" s="1"/>
  <c r="V122" i="114"/>
  <c r="Y57" i="74"/>
  <c r="X57" i="74"/>
  <c r="AG159" i="114"/>
  <c r="N159" i="114"/>
  <c r="Z159" i="114" l="1"/>
  <c r="AA159" i="114" s="1"/>
  <c r="V159" i="114"/>
  <c r="AG1134" i="57"/>
  <c r="AQ34" i="28"/>
  <c r="AJ1134" i="57"/>
  <c r="AQ21" i="28"/>
  <c r="AQ26" i="28"/>
  <c r="AQ27" i="28"/>
  <c r="AQ31" i="28"/>
  <c r="AQ19" i="28"/>
  <c r="AQ24" i="28"/>
  <c r="AQ20" i="28"/>
  <c r="AQ25" i="28"/>
  <c r="AQ14" i="28"/>
  <c r="AQ16" i="28"/>
  <c r="AQ35" i="28"/>
  <c r="AQ18" i="28"/>
  <c r="AQ39" i="28"/>
  <c r="AQ33" i="28"/>
  <c r="AQ36" i="28"/>
  <c r="AQ12" i="28"/>
  <c r="AQ38" i="28"/>
  <c r="AQ32" i="28"/>
  <c r="AQ13" i="28"/>
  <c r="AQ17" i="28"/>
  <c r="AQ37" i="28"/>
  <c r="AQ28" i="28"/>
  <c r="AQ30" i="28"/>
  <c r="X1134" i="57"/>
  <c r="AQ29" i="28"/>
  <c r="AQ23" i="28"/>
  <c r="V1134" i="57" l="1"/>
  <c r="AI1134" i="57"/>
  <c r="Z1134" i="57"/>
  <c r="AA1134" i="57" s="1"/>
  <c r="T1134" i="57"/>
  <c r="AG61" i="28"/>
  <c r="X61" i="28"/>
  <c r="AJ61" i="28"/>
  <c r="V61" i="28" l="1"/>
  <c r="AI61" i="28"/>
  <c r="Z61" i="28"/>
  <c r="AA61" i="28" s="1"/>
  <c r="T61" i="28"/>
  <c r="AG680" i="57"/>
  <c r="X680" i="57"/>
  <c r="AJ680" i="57"/>
  <c r="V680" i="57" l="1"/>
  <c r="AI680" i="57"/>
  <c r="Z680" i="57"/>
  <c r="AA680" i="57" s="1"/>
  <c r="T680" i="57"/>
  <c r="AG63" i="28"/>
  <c r="X63" i="28"/>
  <c r="AJ63" i="28"/>
  <c r="V63" i="28" l="1"/>
  <c r="AI63" i="28"/>
  <c r="Z63" i="28"/>
  <c r="AA63" i="28" s="1"/>
  <c r="T63" i="28"/>
  <c r="AP26" i="28"/>
  <c r="AP12" i="28"/>
  <c r="AP27" i="28"/>
  <c r="AP37" i="28"/>
  <c r="AP25" i="28"/>
  <c r="AP38" i="28"/>
  <c r="AP28" i="28"/>
  <c r="AP24" i="28"/>
  <c r="AP13" i="28"/>
  <c r="AP18" i="28"/>
  <c r="AP21" i="28"/>
  <c r="AP14" i="28"/>
  <c r="AP17" i="28"/>
  <c r="AP36" i="28"/>
  <c r="AP35" i="28"/>
  <c r="AP16" i="28"/>
  <c r="AP33" i="28"/>
  <c r="AP39" i="28"/>
  <c r="AP34" i="28"/>
  <c r="AP19" i="28"/>
  <c r="AP30" i="28"/>
  <c r="AP32" i="28"/>
  <c r="AP29" i="28"/>
  <c r="AP31" i="28"/>
  <c r="AP23" i="28"/>
  <c r="AP20" i="28"/>
  <c r="AG12" i="74" l="1"/>
  <c r="N12" i="74"/>
  <c r="X12" i="74"/>
  <c r="AJ12" i="74"/>
  <c r="AI12" i="74" l="1"/>
  <c r="Z12" i="74"/>
  <c r="AA12" i="74" s="1"/>
  <c r="V12" i="74"/>
  <c r="AG41" i="74"/>
  <c r="N41" i="74"/>
  <c r="Z41" i="74" l="1"/>
  <c r="AA41" i="74" s="1"/>
  <c r="V41" i="74"/>
  <c r="AG632" i="57"/>
  <c r="X632" i="57"/>
  <c r="AJ632" i="57"/>
  <c r="V632" i="57" l="1"/>
  <c r="AI632" i="57"/>
  <c r="Z632" i="57"/>
  <c r="AA632" i="57" s="1"/>
  <c r="T632" i="57"/>
  <c r="AG1693" i="57"/>
  <c r="AJ1693" i="57"/>
  <c r="X1693" i="57"/>
  <c r="V1693" i="57" l="1"/>
  <c r="AI1693" i="57"/>
  <c r="Z1693" i="57"/>
  <c r="AA1693" i="57" s="1"/>
  <c r="T1693" i="57"/>
  <c r="AG162" i="114" l="1"/>
  <c r="N162" i="114"/>
  <c r="Z162" i="114" l="1"/>
  <c r="AA162" i="114" s="1"/>
  <c r="V162" i="114"/>
  <c r="AG129" i="114"/>
  <c r="N129" i="114"/>
  <c r="Z129" i="114" l="1"/>
  <c r="AA129" i="114" s="1"/>
  <c r="V129" i="114"/>
  <c r="AG67" i="114"/>
  <c r="N67" i="114"/>
  <c r="AJ67" i="114"/>
  <c r="X67" i="114"/>
  <c r="AI67" i="114" l="1"/>
  <c r="Z67" i="114"/>
  <c r="AA67" i="114" s="1"/>
  <c r="V67" i="114"/>
  <c r="AG42" i="57"/>
  <c r="AG43" i="57"/>
  <c r="AG44" i="57"/>
  <c r="AG45" i="57"/>
  <c r="AG46" i="57"/>
  <c r="AG48" i="57"/>
  <c r="AG49" i="57"/>
  <c r="AG50" i="57"/>
  <c r="AG51" i="57"/>
  <c r="AG52" i="57"/>
  <c r="AG53" i="57"/>
  <c r="AG54" i="57"/>
  <c r="AG55" i="57"/>
  <c r="AG56" i="57"/>
  <c r="AG57" i="57"/>
  <c r="AG58" i="57"/>
  <c r="AG59" i="57"/>
  <c r="AG60" i="57"/>
  <c r="AG61" i="57"/>
  <c r="AG62" i="57"/>
  <c r="AG63" i="57"/>
  <c r="AG64" i="57"/>
  <c r="AG65" i="57"/>
  <c r="AG66" i="57"/>
  <c r="AG67" i="57"/>
  <c r="AG47" i="57"/>
  <c r="AG64" i="114"/>
  <c r="AG158" i="114"/>
  <c r="AG65" i="114"/>
  <c r="AG564" i="57"/>
  <c r="AJ564" i="57"/>
  <c r="X564" i="57"/>
  <c r="V564" i="57" l="1"/>
  <c r="AI564" i="57"/>
  <c r="Z564" i="57"/>
  <c r="AA564" i="57" s="1"/>
  <c r="T564" i="57"/>
  <c r="AJ47" i="57"/>
  <c r="X47" i="57"/>
  <c r="V47" i="57" l="1"/>
  <c r="AI47" i="57"/>
  <c r="Z47" i="57"/>
  <c r="AA47" i="57" s="1"/>
  <c r="T47" i="57"/>
  <c r="AG550" i="57" l="1"/>
  <c r="X550" i="57"/>
  <c r="AJ550" i="57"/>
  <c r="V550" i="57" l="1"/>
  <c r="AI550" i="57"/>
  <c r="Z550" i="57"/>
  <c r="AA550" i="57" s="1"/>
  <c r="T550" i="57"/>
  <c r="AG640" i="57"/>
  <c r="AJ640" i="57"/>
  <c r="X640" i="57"/>
  <c r="V640" i="57" l="1"/>
  <c r="AI640" i="57"/>
  <c r="Z640" i="57"/>
  <c r="AA640" i="57" s="1"/>
  <c r="T640" i="57"/>
  <c r="AG66" i="114"/>
  <c r="N66" i="114"/>
  <c r="X66" i="114"/>
  <c r="AJ66" i="114"/>
  <c r="AI66" i="114" l="1"/>
  <c r="Z66" i="114"/>
  <c r="AA66" i="114" s="1"/>
  <c r="V66" i="114"/>
  <c r="N65" i="114"/>
  <c r="AJ65" i="114"/>
  <c r="X65" i="114"/>
  <c r="AI65" i="114" l="1"/>
  <c r="Z65" i="114"/>
  <c r="AA65" i="114" s="1"/>
  <c r="V65" i="114"/>
  <c r="N158" i="114"/>
  <c r="Z158" i="114" l="1"/>
  <c r="AA158" i="114" s="1"/>
  <c r="V158" i="114"/>
  <c r="N64" i="114"/>
  <c r="AJ64" i="114"/>
  <c r="X64" i="114"/>
  <c r="AI64" i="114" l="1"/>
  <c r="Z64" i="114"/>
  <c r="AA64" i="114" s="1"/>
  <c r="V64" i="114"/>
  <c r="AG145" i="114"/>
  <c r="N145" i="114"/>
  <c r="Z145" i="114" l="1"/>
  <c r="AA145" i="114" s="1"/>
  <c r="V145" i="114"/>
  <c r="AO6" i="28"/>
  <c r="AP5" i="28"/>
  <c r="AN3" i="28"/>
  <c r="AP2" i="28"/>
  <c r="AO5" i="28"/>
  <c r="AQ8" i="28"/>
  <c r="AP3" i="28"/>
  <c r="AP9" i="28"/>
  <c r="AO9" i="28"/>
  <c r="AP6" i="28"/>
  <c r="AP7" i="28"/>
  <c r="AQ4" i="28"/>
  <c r="AO2" i="28"/>
  <c r="AQ2" i="28"/>
  <c r="AQ6" i="28"/>
  <c r="AQ7" i="28"/>
  <c r="AN2" i="28"/>
  <c r="AN4" i="28"/>
  <c r="AQ3" i="28"/>
  <c r="AP8" i="28"/>
  <c r="AO7" i="28"/>
  <c r="AQ5" i="28"/>
  <c r="AN7" i="28"/>
  <c r="AQ9" i="28"/>
  <c r="AP4" i="28"/>
  <c r="AO3" i="28"/>
  <c r="AN9" i="28"/>
  <c r="AN8" i="28"/>
  <c r="AN5" i="28"/>
  <c r="AO8" i="28"/>
  <c r="AO4" i="28"/>
  <c r="AN6" i="28"/>
  <c r="AG42" i="74" l="1"/>
  <c r="N42" i="74"/>
  <c r="Z42" i="74" l="1"/>
  <c r="AA42" i="74" s="1"/>
  <c r="V42" i="74"/>
  <c r="AG48" i="74"/>
  <c r="N48" i="74"/>
  <c r="Z48" i="74" l="1"/>
  <c r="AA48" i="74" s="1"/>
  <c r="V48" i="74"/>
  <c r="AG49" i="74"/>
  <c r="N49" i="74"/>
  <c r="Z49" i="74" l="1"/>
  <c r="AA49" i="74" s="1"/>
  <c r="V49" i="74"/>
  <c r="AG47" i="74"/>
  <c r="N47" i="74"/>
  <c r="Z47" i="74" l="1"/>
  <c r="AA47" i="74" s="1"/>
  <c r="V47" i="74"/>
  <c r="AG1061" i="57"/>
  <c r="X1061" i="57"/>
  <c r="AJ1061" i="57"/>
  <c r="V1061" i="57" l="1"/>
  <c r="AI1061" i="57"/>
  <c r="Z1061" i="57"/>
  <c r="AA1061" i="57" s="1"/>
  <c r="T1061" i="57"/>
  <c r="AG603" i="57" l="1"/>
  <c r="X603" i="57"/>
  <c r="AJ603" i="57"/>
  <c r="V603" i="57" l="1"/>
  <c r="AI603" i="57"/>
  <c r="Z603" i="57"/>
  <c r="AA603" i="57" s="1"/>
  <c r="T603" i="57"/>
  <c r="AG1127" i="57"/>
  <c r="AJ1127" i="57"/>
  <c r="X1127" i="57"/>
  <c r="V1127" i="57" l="1"/>
  <c r="AI1127" i="57"/>
  <c r="Z1127" i="57"/>
  <c r="AA1127" i="57" s="1"/>
  <c r="T1127" i="57"/>
  <c r="AG1519" i="57"/>
  <c r="AJ1519" i="57"/>
  <c r="X1519" i="57"/>
  <c r="V1519" i="57" l="1"/>
  <c r="AI1519" i="57"/>
  <c r="Z1519" i="57"/>
  <c r="AA1519" i="57" s="1"/>
  <c r="T1519" i="57"/>
  <c r="AG118" i="114"/>
  <c r="N118" i="114"/>
  <c r="Z118" i="114" l="1"/>
  <c r="AA118" i="114" s="1"/>
  <c r="V118" i="114"/>
  <c r="AG161" i="114"/>
  <c r="N161" i="114"/>
  <c r="Z161" i="114" l="1"/>
  <c r="AA161" i="114" s="1"/>
  <c r="V161" i="114"/>
  <c r="AG160" i="114"/>
  <c r="N160" i="114"/>
  <c r="Z160" i="114" l="1"/>
  <c r="AA160" i="114" s="1"/>
  <c r="V160" i="114"/>
  <c r="AG154" i="114"/>
  <c r="N154" i="114"/>
  <c r="Z154" i="114" l="1"/>
  <c r="AA154" i="114" s="1"/>
  <c r="V154" i="114"/>
  <c r="AG1400" i="57"/>
  <c r="X1400" i="57"/>
  <c r="AJ1400" i="57"/>
  <c r="V1400" i="57" l="1"/>
  <c r="AI1400" i="57"/>
  <c r="Z1400" i="57"/>
  <c r="AA1400" i="57" s="1"/>
  <c r="T1400" i="57"/>
  <c r="AG1534" i="57"/>
  <c r="AJ1534" i="57"/>
  <c r="X1534" i="57"/>
  <c r="V1534" i="57" l="1"/>
  <c r="AI1534" i="57"/>
  <c r="Z1534" i="57"/>
  <c r="AA1534" i="57" s="1"/>
  <c r="T1534" i="57"/>
  <c r="AG452" i="57"/>
  <c r="AJ452" i="57"/>
  <c r="X452" i="57"/>
  <c r="V452" i="57" l="1"/>
  <c r="AI452" i="57"/>
  <c r="Z452" i="57"/>
  <c r="AA452" i="57" s="1"/>
  <c r="T452" i="57"/>
  <c r="AG1034" i="57" l="1"/>
  <c r="X1034" i="57"/>
  <c r="AJ1034" i="57"/>
  <c r="V1034" i="57" l="1"/>
  <c r="AI1034" i="57"/>
  <c r="Z1034" i="57"/>
  <c r="AA1034" i="57" s="1"/>
  <c r="T1034" i="57"/>
  <c r="AG71" i="114"/>
  <c r="N71" i="114"/>
  <c r="AJ71" i="114"/>
  <c r="X71" i="114"/>
  <c r="AI71" i="114" l="1"/>
  <c r="Z71" i="114"/>
  <c r="AA71" i="114" s="1"/>
  <c r="V71" i="114"/>
  <c r="AG147" i="114"/>
  <c r="N147" i="114"/>
  <c r="Z147" i="114" l="1"/>
  <c r="AA147" i="114" s="1"/>
  <c r="V147" i="114"/>
  <c r="AG70" i="114"/>
  <c r="N70" i="114"/>
  <c r="X70" i="114"/>
  <c r="AJ70" i="114"/>
  <c r="AI70" i="114" l="1"/>
  <c r="Z70" i="114"/>
  <c r="AA70" i="114" s="1"/>
  <c r="V70" i="114"/>
  <c r="AG69" i="114" l="1"/>
  <c r="N69" i="114"/>
  <c r="AJ69" i="114"/>
  <c r="X69" i="114"/>
  <c r="AI69" i="114" l="1"/>
  <c r="Z69" i="114"/>
  <c r="AA69" i="114" s="1"/>
  <c r="V69" i="114"/>
  <c r="AG209" i="57"/>
  <c r="AJ209" i="57"/>
  <c r="X209" i="57"/>
  <c r="V209" i="57" l="1"/>
  <c r="AI209" i="57"/>
  <c r="Z209" i="57"/>
  <c r="AA209" i="57" s="1"/>
  <c r="T209" i="57"/>
  <c r="AG655" i="57"/>
  <c r="AJ655" i="57"/>
  <c r="X655" i="57"/>
  <c r="V655" i="57" l="1"/>
  <c r="AI655" i="57"/>
  <c r="Z655" i="57"/>
  <c r="AA655" i="57" s="1"/>
  <c r="T655" i="57"/>
  <c r="AG487" i="57" l="1"/>
  <c r="AJ487" i="57"/>
  <c r="X487" i="57"/>
  <c r="V487" i="57" l="1"/>
  <c r="AI487" i="57"/>
  <c r="Z487" i="57"/>
  <c r="AA487" i="57" s="1"/>
  <c r="T487" i="57"/>
  <c r="AG163" i="114"/>
  <c r="N163" i="114"/>
  <c r="Z163" i="114" l="1"/>
  <c r="AA163" i="114" s="1"/>
  <c r="V163" i="114"/>
  <c r="AG155" i="114"/>
  <c r="N155" i="114"/>
  <c r="Z155" i="114" l="1"/>
  <c r="AA155" i="114" s="1"/>
  <c r="V155" i="114"/>
  <c r="AG140" i="114"/>
  <c r="N140" i="114"/>
  <c r="Z140" i="114" l="1"/>
  <c r="AA140" i="114" s="1"/>
  <c r="V140" i="114"/>
  <c r="AG152" i="114"/>
  <c r="N152" i="114"/>
  <c r="Z152" i="114" l="1"/>
  <c r="AA152" i="114" s="1"/>
  <c r="V152" i="114"/>
  <c r="AG68" i="114"/>
  <c r="N68" i="114"/>
  <c r="AJ68" i="114"/>
  <c r="X68" i="114"/>
  <c r="AI68" i="114" l="1"/>
  <c r="Z68" i="114"/>
  <c r="AA68" i="114" s="1"/>
  <c r="V68" i="114"/>
  <c r="X143" i="22"/>
  <c r="AG134" i="22"/>
  <c r="Y134" i="22"/>
  <c r="Z134" i="22" s="1"/>
  <c r="AA134" i="22" s="1"/>
  <c r="T134" i="22"/>
  <c r="AG133" i="22"/>
  <c r="Y133" i="22"/>
  <c r="Z133" i="22" s="1"/>
  <c r="AA133" i="22" s="1"/>
  <c r="T133" i="22"/>
  <c r="AG132" i="22"/>
  <c r="Y132" i="22"/>
  <c r="Z132" i="22" s="1"/>
  <c r="AA132" i="22" s="1"/>
  <c r="T132" i="22"/>
  <c r="AG131" i="22"/>
  <c r="Y131" i="22"/>
  <c r="Z131" i="22" s="1"/>
  <c r="AA131" i="22" s="1"/>
  <c r="T131" i="22"/>
  <c r="AG1364" i="57"/>
  <c r="AJ1364" i="57"/>
  <c r="X1364" i="57"/>
  <c r="V1364" i="57" l="1"/>
  <c r="AI1364" i="57"/>
  <c r="Z1364" i="57"/>
  <c r="AA1364" i="57" s="1"/>
  <c r="AJ208" i="57"/>
  <c r="AI208" i="57" l="1"/>
  <c r="AG208" i="57"/>
  <c r="N208" i="57"/>
  <c r="X208" i="57"/>
  <c r="V208" i="57" l="1"/>
  <c r="Z208" i="57"/>
  <c r="AA208" i="57" s="1"/>
  <c r="T208" i="57"/>
  <c r="AG1767" i="57"/>
  <c r="AJ1767" i="57"/>
  <c r="X1767" i="57"/>
  <c r="V1767" i="57" l="1"/>
  <c r="AI1767" i="57"/>
  <c r="Z1767" i="57"/>
  <c r="AA1767" i="57" s="1"/>
  <c r="T1767" i="57"/>
  <c r="AG1363" i="57"/>
  <c r="X1363" i="57"/>
  <c r="AJ1363" i="57"/>
  <c r="V1363" i="57" l="1"/>
  <c r="AI1363" i="57"/>
  <c r="Z1363" i="57"/>
  <c r="AA1363" i="57" s="1"/>
  <c r="T1363" i="57"/>
  <c r="AG62" i="28"/>
  <c r="AJ62" i="28"/>
  <c r="X62" i="28"/>
  <c r="V62" i="28" l="1"/>
  <c r="AI62" i="28"/>
  <c r="Z62" i="28"/>
  <c r="AA62" i="28" s="1"/>
  <c r="T62" i="28"/>
  <c r="AG64" i="28"/>
  <c r="AJ64" i="28"/>
  <c r="V64" i="28" l="1"/>
  <c r="AI64" i="28"/>
  <c r="Z64" i="28"/>
  <c r="AA64" i="28" s="1"/>
  <c r="T64" i="28"/>
  <c r="AG165" i="114" l="1"/>
  <c r="AG168" i="114"/>
  <c r="AG977" i="57"/>
  <c r="AJ977" i="57"/>
  <c r="X977" i="57"/>
  <c r="V977" i="57" l="1"/>
  <c r="AI977" i="57"/>
  <c r="Z977" i="57"/>
  <c r="AA977" i="57" s="1"/>
  <c r="T977" i="57"/>
  <c r="AG381" i="57" l="1"/>
  <c r="AJ381" i="57"/>
  <c r="X381" i="57"/>
  <c r="V381" i="57" l="1"/>
  <c r="AI381" i="57"/>
  <c r="Z381" i="57"/>
  <c r="AA381" i="57" s="1"/>
  <c r="T381" i="57"/>
  <c r="AG167" i="114" l="1"/>
  <c r="N167" i="114"/>
  <c r="Z167" i="114" l="1"/>
  <c r="AA167" i="114" s="1"/>
  <c r="V167" i="114"/>
  <c r="AG169" i="114"/>
  <c r="N169" i="114"/>
  <c r="Z169" i="114" l="1"/>
  <c r="AA169" i="114" s="1"/>
  <c r="V169" i="114"/>
  <c r="N168" i="114"/>
  <c r="Z168" i="114" l="1"/>
  <c r="AA168" i="114" s="1"/>
  <c r="V168" i="114"/>
  <c r="N165" i="114"/>
  <c r="Z165" i="114" l="1"/>
  <c r="AA165" i="114" s="1"/>
  <c r="V165" i="114"/>
  <c r="AG72" i="114"/>
  <c r="N72" i="114"/>
  <c r="AJ72" i="114"/>
  <c r="X72" i="114"/>
  <c r="AI72" i="114" l="1"/>
  <c r="Z72" i="114"/>
  <c r="AA72" i="114" s="1"/>
  <c r="V72" i="114"/>
  <c r="T283" i="57"/>
  <c r="T1507" i="57"/>
  <c r="AG50" i="74"/>
  <c r="N50" i="74"/>
  <c r="Z50" i="74" l="1"/>
  <c r="AA50" i="74" s="1"/>
  <c r="V50" i="74"/>
  <c r="AG1093" i="57"/>
  <c r="X1093" i="57"/>
  <c r="AJ1093" i="57"/>
  <c r="V1093" i="57" l="1"/>
  <c r="AI1093" i="57"/>
  <c r="Z1093" i="57"/>
  <c r="AA1093" i="57" s="1"/>
  <c r="T1093" i="57"/>
  <c r="AG1392" i="57"/>
  <c r="X1392" i="57"/>
  <c r="AJ1392" i="57"/>
  <c r="V1392" i="57" l="1"/>
  <c r="AI1392" i="57"/>
  <c r="Z1392" i="57"/>
  <c r="AA1392" i="57" s="1"/>
  <c r="T1392" i="57"/>
  <c r="AG626" i="57"/>
  <c r="X626" i="57"/>
  <c r="AJ626" i="57"/>
  <c r="V626" i="57" l="1"/>
  <c r="AI626" i="57"/>
  <c r="Z626" i="57"/>
  <c r="AA626" i="57" s="1"/>
  <c r="T626" i="57"/>
  <c r="AG595" i="57"/>
  <c r="X595" i="57"/>
  <c r="AJ595" i="57"/>
  <c r="V595" i="57" l="1"/>
  <c r="AI595" i="57"/>
  <c r="Z595" i="57"/>
  <c r="AA595" i="57" s="1"/>
  <c r="T595" i="57"/>
  <c r="AG166" i="114"/>
  <c r="N166" i="114"/>
  <c r="Z166" i="114" l="1"/>
  <c r="AA166" i="114" s="1"/>
  <c r="V166" i="114"/>
  <c r="AG141" i="114"/>
  <c r="N141" i="114"/>
  <c r="Z141" i="114" l="1"/>
  <c r="AA141" i="114" s="1"/>
  <c r="V141" i="114"/>
  <c r="AG77" i="114"/>
  <c r="N77" i="114"/>
  <c r="X77" i="114"/>
  <c r="AJ77" i="114"/>
  <c r="AI77" i="114" l="1"/>
  <c r="Z77" i="114"/>
  <c r="AA77" i="114" s="1"/>
  <c r="V77" i="114"/>
  <c r="AG76" i="114"/>
  <c r="N76" i="114"/>
  <c r="X76" i="114"/>
  <c r="AJ76" i="114"/>
  <c r="AI76" i="114" l="1"/>
  <c r="Z76" i="114"/>
  <c r="AA76" i="114" s="1"/>
  <c r="V76" i="114"/>
  <c r="AG774" i="57"/>
  <c r="X774" i="57"/>
  <c r="AJ774" i="57"/>
  <c r="V774" i="57" l="1"/>
  <c r="AI774" i="57"/>
  <c r="Z774" i="57"/>
  <c r="AA774" i="57" s="1"/>
  <c r="T774" i="57"/>
  <c r="AG1819" i="57"/>
  <c r="X1819" i="57"/>
  <c r="AJ1819" i="57"/>
  <c r="V1819" i="57" l="1"/>
  <c r="AI1819" i="57"/>
  <c r="Z1819" i="57"/>
  <c r="AA1819" i="57" s="1"/>
  <c r="T1819" i="57"/>
  <c r="AG679" i="57"/>
  <c r="X679" i="57"/>
  <c r="AJ679" i="57"/>
  <c r="V679" i="57" l="1"/>
  <c r="AI679" i="57"/>
  <c r="Z679" i="57"/>
  <c r="AA679" i="57" s="1"/>
  <c r="T679" i="57"/>
  <c r="AG677" i="57"/>
  <c r="AJ677" i="57"/>
  <c r="X677" i="57"/>
  <c r="V677" i="57" l="1"/>
  <c r="AI677" i="57"/>
  <c r="Z677" i="57"/>
  <c r="AA677" i="57" s="1"/>
  <c r="T677" i="57"/>
  <c r="AG853" i="57"/>
  <c r="X853" i="57"/>
  <c r="AJ853" i="57"/>
  <c r="V853" i="57" l="1"/>
  <c r="AI853" i="57"/>
  <c r="Z853" i="57"/>
  <c r="AA853" i="57" s="1"/>
  <c r="T853" i="57"/>
  <c r="AG75" i="114"/>
  <c r="N75" i="114"/>
  <c r="X73" i="114"/>
  <c r="AJ75" i="114"/>
  <c r="X75" i="114"/>
  <c r="AI75" i="114" l="1"/>
  <c r="Z75" i="114"/>
  <c r="AA75" i="114" s="1"/>
  <c r="V75" i="114"/>
  <c r="AG74" i="114"/>
  <c r="N74" i="114"/>
  <c r="X74" i="114"/>
  <c r="AJ74" i="114"/>
  <c r="AI74" i="114" l="1"/>
  <c r="Z74" i="114"/>
  <c r="AA74" i="114" s="1"/>
  <c r="V74" i="114"/>
  <c r="AG73" i="114"/>
  <c r="N73" i="114"/>
  <c r="AJ73" i="114"/>
  <c r="AI73" i="114" l="1"/>
  <c r="Z73" i="114"/>
  <c r="AA73" i="114" s="1"/>
  <c r="V73" i="114"/>
  <c r="AG157" i="114"/>
  <c r="N157" i="114"/>
  <c r="Z157" i="114" l="1"/>
  <c r="AA157" i="114" s="1"/>
  <c r="V157" i="114"/>
  <c r="AG171" i="114"/>
  <c r="N171" i="114"/>
  <c r="Z171" i="114" l="1"/>
  <c r="AA171" i="114" s="1"/>
  <c r="V171" i="114"/>
  <c r="AK20" i="118"/>
  <c r="X20" i="118"/>
  <c r="V20" i="118" l="1"/>
  <c r="Z20" i="118"/>
  <c r="AA20" i="118" s="1"/>
  <c r="AJ20" i="118"/>
  <c r="T20" i="118"/>
  <c r="AG13" i="74"/>
  <c r="N13" i="74"/>
  <c r="AJ13" i="74"/>
  <c r="X13" i="74"/>
  <c r="AI13" i="74" l="1"/>
  <c r="Z13" i="74"/>
  <c r="AA13" i="74" s="1"/>
  <c r="V13" i="74"/>
  <c r="AG51" i="74"/>
  <c r="N51" i="74"/>
  <c r="Z51" i="74" l="1"/>
  <c r="AA51" i="74" s="1"/>
  <c r="V51" i="74"/>
  <c r="AG43" i="74"/>
  <c r="N43" i="74"/>
  <c r="Z43" i="74" l="1"/>
  <c r="AA43" i="74" s="1"/>
  <c r="V43" i="74"/>
  <c r="AG939" i="57"/>
  <c r="X939" i="57"/>
  <c r="AJ939" i="57"/>
  <c r="V939" i="57" l="1"/>
  <c r="AI939" i="57"/>
  <c r="Z939" i="57"/>
  <c r="AA939" i="57" s="1"/>
  <c r="T939" i="57"/>
  <c r="AG88" i="114"/>
  <c r="N88" i="114"/>
  <c r="X88" i="114"/>
  <c r="AJ88" i="114"/>
  <c r="AI88" i="114" l="1"/>
  <c r="Z88" i="114"/>
  <c r="AA88" i="114" s="1"/>
  <c r="V88" i="114"/>
  <c r="AG871" i="57"/>
  <c r="X871" i="57"/>
  <c r="AJ871" i="57"/>
  <c r="V871" i="57" l="1"/>
  <c r="AI871" i="57"/>
  <c r="Z871" i="57"/>
  <c r="AA871" i="57" s="1"/>
  <c r="T871" i="57"/>
  <c r="AG682" i="57"/>
  <c r="AJ682" i="57"/>
  <c r="X682" i="57"/>
  <c r="V682" i="57" l="1"/>
  <c r="AI682" i="57"/>
  <c r="Z682" i="57"/>
  <c r="AA682" i="57" s="1"/>
  <c r="T682" i="57"/>
  <c r="AG692" i="57" l="1"/>
  <c r="X692" i="57"/>
  <c r="AJ692" i="57"/>
  <c r="V692" i="57" l="1"/>
  <c r="AI692" i="57"/>
  <c r="Z692" i="57"/>
  <c r="AA692" i="57" s="1"/>
  <c r="T692" i="57"/>
  <c r="AG87" i="114"/>
  <c r="N87" i="114"/>
  <c r="X87" i="114"/>
  <c r="AJ87" i="114"/>
  <c r="AI87" i="114" l="1"/>
  <c r="Z87" i="114"/>
  <c r="AA87" i="114" s="1"/>
  <c r="V87" i="114"/>
  <c r="AG172" i="114"/>
  <c r="N172" i="114"/>
  <c r="Z172" i="114" l="1"/>
  <c r="AA172" i="114" s="1"/>
  <c r="V172" i="114"/>
  <c r="AG164" i="114"/>
  <c r="N164" i="114"/>
  <c r="Z164" i="114" l="1"/>
  <c r="AA164" i="114" s="1"/>
  <c r="V164" i="114"/>
  <c r="AG86" i="114"/>
  <c r="N86" i="114"/>
  <c r="AJ86" i="114"/>
  <c r="X86" i="114"/>
  <c r="AI86" i="114" l="1"/>
  <c r="Z86" i="114"/>
  <c r="AA86" i="114" s="1"/>
  <c r="V86" i="114"/>
  <c r="AG85" i="114"/>
  <c r="N85" i="114"/>
  <c r="X85" i="114"/>
  <c r="AJ85" i="114"/>
  <c r="AI85" i="114" l="1"/>
  <c r="Z85" i="114"/>
  <c r="AA85" i="114" s="1"/>
  <c r="V85" i="114"/>
  <c r="AG1179" i="57"/>
  <c r="X1179" i="57"/>
  <c r="AJ1179" i="57"/>
  <c r="V1179" i="57" l="1"/>
  <c r="AI1179" i="57"/>
  <c r="Z1179" i="57"/>
  <c r="AA1179" i="57" s="1"/>
  <c r="T1179" i="57"/>
  <c r="AG912" i="57"/>
  <c r="X912" i="57"/>
  <c r="AJ912" i="57"/>
  <c r="V912" i="57" l="1"/>
  <c r="AI912" i="57"/>
  <c r="Z912" i="57"/>
  <c r="AA912" i="57" s="1"/>
  <c r="T912" i="57"/>
  <c r="AG1325" i="57" l="1"/>
  <c r="AJ1325" i="57"/>
  <c r="X1325" i="57"/>
  <c r="V1325" i="57" l="1"/>
  <c r="AI1325" i="57"/>
  <c r="Z1325" i="57"/>
  <c r="AA1325" i="57" s="1"/>
  <c r="T1325" i="57"/>
  <c r="AG883" i="57"/>
  <c r="AJ883" i="57"/>
  <c r="X883" i="57"/>
  <c r="V883" i="57" l="1"/>
  <c r="AI883" i="57"/>
  <c r="Z883" i="57"/>
  <c r="AA883" i="57" s="1"/>
  <c r="T883" i="57"/>
  <c r="AG84" i="114"/>
  <c r="N84" i="114"/>
  <c r="AJ84" i="114"/>
  <c r="X84" i="114"/>
  <c r="AI84" i="114" l="1"/>
  <c r="Z84" i="114"/>
  <c r="AA84" i="114" s="1"/>
  <c r="V84" i="114"/>
  <c r="AG83" i="114"/>
  <c r="N83" i="114"/>
  <c r="X83" i="114"/>
  <c r="AJ83" i="114"/>
  <c r="AI83" i="114" l="1"/>
  <c r="Z83" i="114"/>
  <c r="AA83" i="114" s="1"/>
  <c r="V83" i="114"/>
  <c r="AG134" i="114"/>
  <c r="N134" i="114"/>
  <c r="Z134" i="114" l="1"/>
  <c r="AA134" i="114" s="1"/>
  <c r="V134" i="114"/>
  <c r="AG82" i="114"/>
  <c r="N82" i="114"/>
  <c r="X82" i="114"/>
  <c r="AJ82" i="114"/>
  <c r="AI82" i="114" l="1"/>
  <c r="Z82" i="114"/>
  <c r="AA82" i="114" s="1"/>
  <c r="V82" i="114"/>
  <c r="AG81" i="114"/>
  <c r="N81" i="114"/>
  <c r="X81" i="114"/>
  <c r="AJ81" i="114"/>
  <c r="AI81" i="114" l="1"/>
  <c r="Z81" i="114"/>
  <c r="AA81" i="114" s="1"/>
  <c r="V81" i="114"/>
  <c r="AG581" i="57"/>
  <c r="AJ581" i="57"/>
  <c r="X581" i="57"/>
  <c r="V581" i="57" l="1"/>
  <c r="AI581" i="57"/>
  <c r="Z581" i="57"/>
  <c r="AA581" i="57" s="1"/>
  <c r="T581" i="57"/>
  <c r="AG491" i="57"/>
  <c r="X491" i="57"/>
  <c r="AJ491" i="57"/>
  <c r="V491" i="57" l="1"/>
  <c r="AI491" i="57"/>
  <c r="Z491" i="57"/>
  <c r="AA491" i="57" s="1"/>
  <c r="T491" i="57"/>
  <c r="AG656" i="57"/>
  <c r="X656" i="57"/>
  <c r="AJ656" i="57"/>
  <c r="V656" i="57" l="1"/>
  <c r="AI656" i="57"/>
  <c r="Z656" i="57"/>
  <c r="AA656" i="57" s="1"/>
  <c r="T656" i="57"/>
  <c r="AG747" i="57"/>
  <c r="AJ747" i="57"/>
  <c r="X747" i="57"/>
  <c r="V747" i="57" l="1"/>
  <c r="AI747" i="57"/>
  <c r="Z747" i="57"/>
  <c r="AA747" i="57" s="1"/>
  <c r="T747" i="57"/>
  <c r="AG906" i="57"/>
  <c r="AJ906" i="57"/>
  <c r="X906" i="57"/>
  <c r="V906" i="57" l="1"/>
  <c r="AI906" i="57"/>
  <c r="Z906" i="57"/>
  <c r="AA906" i="57" s="1"/>
  <c r="T906" i="57"/>
  <c r="AG148" i="114"/>
  <c r="N148" i="114"/>
  <c r="Z148" i="114" l="1"/>
  <c r="AA148" i="114" s="1"/>
  <c r="V148" i="114"/>
  <c r="AG80" i="114"/>
  <c r="N80" i="114"/>
  <c r="AJ80" i="114"/>
  <c r="X80" i="114"/>
  <c r="AI80" i="114" l="1"/>
  <c r="Z80" i="114"/>
  <c r="AA80" i="114" s="1"/>
  <c r="V80" i="114"/>
  <c r="AG79" i="114"/>
  <c r="N79" i="114"/>
  <c r="AJ79" i="114"/>
  <c r="X79" i="114"/>
  <c r="AI79" i="114" l="1"/>
  <c r="Z79" i="114"/>
  <c r="AA79" i="114" s="1"/>
  <c r="V79" i="114"/>
  <c r="AG78" i="114"/>
  <c r="N78" i="114"/>
  <c r="X78" i="114"/>
  <c r="AJ78" i="114"/>
  <c r="AI78" i="114" l="1"/>
  <c r="Z78" i="114"/>
  <c r="AA78" i="114" s="1"/>
  <c r="V78" i="114"/>
  <c r="AG153" i="114"/>
  <c r="N153" i="114"/>
  <c r="Z153" i="114" l="1"/>
  <c r="AA153" i="114" s="1"/>
  <c r="V153" i="114"/>
  <c r="T207" i="57"/>
  <c r="AG139" i="22"/>
  <c r="Y139" i="22"/>
  <c r="Z139" i="22" s="1"/>
  <c r="AA139" i="22" s="1"/>
  <c r="T139" i="22"/>
  <c r="AG138" i="22"/>
  <c r="Y138" i="22"/>
  <c r="Z138" i="22" s="1"/>
  <c r="AA138" i="22" s="1"/>
  <c r="T138" i="22"/>
  <c r="AG137" i="22"/>
  <c r="Y137" i="22"/>
  <c r="Z137" i="22" s="1"/>
  <c r="AA137" i="22" s="1"/>
  <c r="T137" i="22"/>
  <c r="AG136" i="22"/>
  <c r="Y136" i="22"/>
  <c r="Z136" i="22" s="1"/>
  <c r="AA136" i="22" s="1"/>
  <c r="T136" i="22"/>
  <c r="AG135" i="22"/>
  <c r="Y135" i="22"/>
  <c r="T135" i="22"/>
  <c r="AJ15" i="74"/>
  <c r="Z135" i="22" l="1"/>
  <c r="AA135" i="22" s="1"/>
  <c r="AI15" i="74"/>
  <c r="AG15" i="74"/>
  <c r="N15" i="74"/>
  <c r="X15" i="74"/>
  <c r="Z15" i="74" l="1"/>
  <c r="AA15" i="74" s="1"/>
  <c r="V15" i="74"/>
  <c r="AG362" i="57" l="1"/>
  <c r="X362" i="57"/>
  <c r="AJ362" i="57"/>
  <c r="V362" i="57" l="1"/>
  <c r="AI362" i="57"/>
  <c r="Z362" i="57"/>
  <c r="AA362" i="57" s="1"/>
  <c r="T362" i="57"/>
  <c r="AG222" i="57"/>
  <c r="X222" i="57"/>
  <c r="AJ222" i="57"/>
  <c r="V222" i="57" l="1"/>
  <c r="AI222" i="57"/>
  <c r="Z222" i="57"/>
  <c r="AA222" i="57" s="1"/>
  <c r="T222" i="57"/>
  <c r="AG777" i="57"/>
  <c r="AJ777" i="57"/>
  <c r="X777" i="57"/>
  <c r="V777" i="57" l="1"/>
  <c r="AI777" i="57"/>
  <c r="Z777" i="57"/>
  <c r="AA777" i="57" s="1"/>
  <c r="T777" i="57"/>
  <c r="AG98" i="114"/>
  <c r="N98" i="114"/>
  <c r="X98" i="114"/>
  <c r="AJ98" i="114"/>
  <c r="AI98" i="114" l="1"/>
  <c r="Z98" i="114"/>
  <c r="AA98" i="114" s="1"/>
  <c r="V98" i="114"/>
  <c r="AG97" i="114"/>
  <c r="N97" i="114"/>
  <c r="X97" i="114"/>
  <c r="AJ97" i="114"/>
  <c r="AI97" i="114" l="1"/>
  <c r="Z97" i="114"/>
  <c r="AA97" i="114" s="1"/>
  <c r="V97" i="114"/>
  <c r="AG96" i="114"/>
  <c r="N96" i="114"/>
  <c r="X96" i="114"/>
  <c r="AJ96" i="114"/>
  <c r="AI96" i="114" l="1"/>
  <c r="Z96" i="114"/>
  <c r="AA96" i="114" s="1"/>
  <c r="V96" i="114"/>
  <c r="AG173" i="114"/>
  <c r="N173" i="114"/>
  <c r="Z173" i="114" l="1"/>
  <c r="AA173" i="114" s="1"/>
  <c r="V173" i="114"/>
  <c r="AG157" i="57"/>
  <c r="X157" i="57"/>
  <c r="AJ157" i="57"/>
  <c r="V157" i="57" l="1"/>
  <c r="AI157" i="57"/>
  <c r="Z157" i="57"/>
  <c r="AA157" i="57" s="1"/>
  <c r="T157" i="57"/>
  <c r="AG414" i="57"/>
  <c r="AJ414" i="57"/>
  <c r="X414" i="57"/>
  <c r="V414" i="57" l="1"/>
  <c r="AI414" i="57"/>
  <c r="Z414" i="57"/>
  <c r="AA414" i="57" s="1"/>
  <c r="T414" i="57"/>
  <c r="AG960" i="57"/>
  <c r="X960" i="57"/>
  <c r="AJ960" i="57"/>
  <c r="V960" i="57" l="1"/>
  <c r="AI960" i="57"/>
  <c r="Z960" i="57"/>
  <c r="AA960" i="57" s="1"/>
  <c r="T960" i="57"/>
  <c r="AG537" i="57"/>
  <c r="X537" i="57"/>
  <c r="AJ537" i="57"/>
  <c r="V537" i="57" l="1"/>
  <c r="AI537" i="57"/>
  <c r="Z537" i="57"/>
  <c r="AA537" i="57" s="1"/>
  <c r="T537" i="57"/>
  <c r="AG822" i="57"/>
  <c r="X822" i="57"/>
  <c r="AJ822" i="57"/>
  <c r="V822" i="57" l="1"/>
  <c r="AI822" i="57"/>
  <c r="Z822" i="57"/>
  <c r="AA822" i="57" s="1"/>
  <c r="T822" i="57"/>
  <c r="AG156" i="114"/>
  <c r="N156" i="114"/>
  <c r="Z156" i="114" l="1"/>
  <c r="AA156" i="114" s="1"/>
  <c r="V156" i="114"/>
  <c r="AG95" i="114"/>
  <c r="N95" i="114"/>
  <c r="X95" i="114"/>
  <c r="AJ95" i="114"/>
  <c r="AI95" i="114" l="1"/>
  <c r="Z95" i="114"/>
  <c r="AA95" i="114" s="1"/>
  <c r="V95" i="114"/>
  <c r="AG94" i="114"/>
  <c r="N94" i="114"/>
  <c r="X94" i="114"/>
  <c r="AJ94" i="114"/>
  <c r="AI94" i="114" l="1"/>
  <c r="Z94" i="114"/>
  <c r="AA94" i="114" s="1"/>
  <c r="V94" i="114"/>
  <c r="AG93" i="114"/>
  <c r="N93" i="114"/>
  <c r="X93" i="114"/>
  <c r="AJ93" i="114"/>
  <c r="AI93" i="114" l="1"/>
  <c r="Z93" i="114"/>
  <c r="AA93" i="114" s="1"/>
  <c r="V93" i="114"/>
  <c r="AG92" i="114"/>
  <c r="N92" i="114"/>
  <c r="X92" i="114"/>
  <c r="AJ92" i="114"/>
  <c r="AI92" i="114" l="1"/>
  <c r="Z92" i="114"/>
  <c r="AA92" i="114" s="1"/>
  <c r="V92" i="114"/>
  <c r="AG52" i="74"/>
  <c r="N52" i="74"/>
  <c r="Z52" i="74" l="1"/>
  <c r="AA52" i="74" s="1"/>
  <c r="V52" i="74"/>
  <c r="AG34" i="74"/>
  <c r="N34" i="74"/>
  <c r="Z34" i="74" l="1"/>
  <c r="AA34" i="74" s="1"/>
  <c r="V34" i="74"/>
  <c r="AG14" i="74"/>
  <c r="N14" i="74"/>
  <c r="X14" i="74"/>
  <c r="AJ14" i="74"/>
  <c r="AI14" i="74" l="1"/>
  <c r="Z14" i="74"/>
  <c r="AA14" i="74" s="1"/>
  <c r="V14" i="74"/>
  <c r="AG30" i="74"/>
  <c r="N30" i="74"/>
  <c r="Z30" i="74" l="1"/>
  <c r="AA30" i="74" s="1"/>
  <c r="V30" i="74"/>
  <c r="AG1415" i="57" l="1"/>
  <c r="X1415" i="57"/>
  <c r="AJ1415" i="57"/>
  <c r="V1415" i="57" l="1"/>
  <c r="AI1415" i="57"/>
  <c r="Z1415" i="57"/>
  <c r="AA1415" i="57" s="1"/>
  <c r="T1415" i="57"/>
  <c r="AG91" i="114"/>
  <c r="N91" i="114"/>
  <c r="X91" i="114"/>
  <c r="AJ91" i="114"/>
  <c r="AI91" i="114" l="1"/>
  <c r="Z91" i="114"/>
  <c r="AA91" i="114" s="1"/>
  <c r="V91" i="114"/>
  <c r="AG170" i="114"/>
  <c r="N170" i="114"/>
  <c r="Z170" i="114" l="1"/>
  <c r="AA170" i="114" s="1"/>
  <c r="V170" i="114"/>
  <c r="AG174" i="114"/>
  <c r="N174" i="114"/>
  <c r="Z174" i="114" l="1"/>
  <c r="AA174" i="114" s="1"/>
  <c r="V174" i="114"/>
  <c r="AG176" i="114"/>
  <c r="N176" i="114"/>
  <c r="Z176" i="114" l="1"/>
  <c r="AA176" i="114" s="1"/>
  <c r="V176" i="114"/>
  <c r="AG552" i="57" l="1"/>
  <c r="X552" i="57"/>
  <c r="AJ552" i="57"/>
  <c r="V552" i="57" l="1"/>
  <c r="AI552" i="57"/>
  <c r="Z552" i="57"/>
  <c r="AA552" i="57" s="1"/>
  <c r="T552" i="57"/>
  <c r="AG127" i="114" l="1"/>
  <c r="N127" i="114"/>
  <c r="Z127" i="114" l="1"/>
  <c r="AA127" i="114" s="1"/>
  <c r="V127" i="114"/>
  <c r="AG90" i="114"/>
  <c r="N90" i="114"/>
  <c r="AJ90" i="114"/>
  <c r="X90" i="114"/>
  <c r="AI90" i="114" l="1"/>
  <c r="Z90" i="114"/>
  <c r="AA90" i="114" s="1"/>
  <c r="V90" i="114"/>
  <c r="AG175" i="114"/>
  <c r="N175" i="114"/>
  <c r="Z175" i="114" l="1"/>
  <c r="AA175" i="114" s="1"/>
  <c r="V175" i="114"/>
  <c r="AG547" i="57"/>
  <c r="X547" i="57"/>
  <c r="AJ547" i="57"/>
  <c r="V547" i="57" l="1"/>
  <c r="AI547" i="57"/>
  <c r="Z547" i="57"/>
  <c r="AA547" i="57" s="1"/>
  <c r="T547" i="57"/>
  <c r="AG898" i="57"/>
  <c r="X898" i="57"/>
  <c r="AJ898" i="57"/>
  <c r="V898" i="57" l="1"/>
  <c r="AI898" i="57"/>
  <c r="Z898" i="57"/>
  <c r="AA898" i="57" s="1"/>
  <c r="T898" i="57"/>
  <c r="AG89" i="114"/>
  <c r="N89" i="114"/>
  <c r="AJ89" i="114"/>
  <c r="X89" i="114"/>
  <c r="AI89" i="114" l="1"/>
  <c r="Z89" i="114"/>
  <c r="AA89" i="114" s="1"/>
  <c r="V89" i="114"/>
  <c r="AG119" i="114"/>
  <c r="N119" i="114"/>
  <c r="Z119" i="114" l="1"/>
  <c r="AA119" i="114" s="1"/>
  <c r="V119" i="114"/>
  <c r="AG54" i="74" l="1"/>
  <c r="N54" i="74"/>
  <c r="Z54" i="74" l="1"/>
  <c r="AA54" i="74" s="1"/>
  <c r="V54" i="74"/>
  <c r="AG16" i="74"/>
  <c r="N16" i="74"/>
  <c r="X16" i="74"/>
  <c r="AJ16" i="74"/>
  <c r="AI16" i="74" l="1"/>
  <c r="Z16" i="74"/>
  <c r="AA16" i="74" s="1"/>
  <c r="V16" i="74"/>
  <c r="AG36" i="74"/>
  <c r="N36" i="74"/>
  <c r="Z36" i="74" l="1"/>
  <c r="AA36" i="74" s="1"/>
  <c r="V36" i="74"/>
  <c r="AG55" i="74"/>
  <c r="N55" i="74"/>
  <c r="Z55" i="74" l="1"/>
  <c r="AA55" i="74" s="1"/>
  <c r="V55" i="74"/>
  <c r="X58" i="57"/>
  <c r="AJ58" i="57"/>
  <c r="V58" i="57" l="1"/>
  <c r="AI58" i="57"/>
  <c r="Z58" i="57"/>
  <c r="AA58" i="57" s="1"/>
  <c r="T58" i="57"/>
  <c r="AG177" i="114" l="1"/>
  <c r="N177" i="114"/>
  <c r="Z177" i="114" l="1"/>
  <c r="AA177" i="114" s="1"/>
  <c r="V177" i="114"/>
  <c r="AG659" i="57" l="1"/>
  <c r="X659" i="57"/>
  <c r="AJ659" i="57"/>
  <c r="V659" i="57" l="1"/>
  <c r="AI659" i="57"/>
  <c r="Z659" i="57"/>
  <c r="AA659" i="57" s="1"/>
  <c r="T659" i="57"/>
  <c r="AG1025" i="57"/>
  <c r="AJ1025" i="57"/>
  <c r="X1025" i="57"/>
  <c r="V1025" i="57" l="1"/>
  <c r="AI1025" i="57"/>
  <c r="Z1025" i="57"/>
  <c r="AA1025" i="57" s="1"/>
  <c r="T1025" i="57"/>
  <c r="AG1130" i="57"/>
  <c r="AJ1130" i="57"/>
  <c r="X1130" i="57"/>
  <c r="V1130" i="57" l="1"/>
  <c r="AI1130" i="57"/>
  <c r="Z1130" i="57"/>
  <c r="AA1130" i="57" s="1"/>
  <c r="T1130" i="57"/>
  <c r="AG102" i="114"/>
  <c r="N102" i="114"/>
  <c r="AJ102" i="114"/>
  <c r="X102" i="114"/>
  <c r="AI102" i="114" l="1"/>
  <c r="Z102" i="114"/>
  <c r="AA102" i="114" s="1"/>
  <c r="V102" i="114"/>
  <c r="AG101" i="114"/>
  <c r="N101" i="114"/>
  <c r="X101" i="114"/>
  <c r="AJ101" i="114"/>
  <c r="AI101" i="114" l="1"/>
  <c r="Z101" i="114"/>
  <c r="AA101" i="114" s="1"/>
  <c r="V101" i="114"/>
  <c r="AG130" i="114"/>
  <c r="N130" i="114"/>
  <c r="Z130" i="114" l="1"/>
  <c r="AA130" i="114" s="1"/>
  <c r="V130" i="114"/>
  <c r="AG142" i="114"/>
  <c r="N142" i="114"/>
  <c r="Z142" i="114" l="1"/>
  <c r="AA142" i="114" s="1"/>
  <c r="V142" i="114"/>
  <c r="AG1105" i="57"/>
  <c r="X1105" i="57"/>
  <c r="AJ1105" i="57"/>
  <c r="V1105" i="57" l="1"/>
  <c r="AI1105" i="57"/>
  <c r="Z1105" i="57"/>
  <c r="AA1105" i="57" s="1"/>
  <c r="T1105" i="57"/>
  <c r="AG143" i="114" l="1"/>
  <c r="N143" i="114"/>
  <c r="Z143" i="114" l="1"/>
  <c r="AA143" i="114" s="1"/>
  <c r="V143" i="114"/>
  <c r="AG178" i="114"/>
  <c r="N178" i="114"/>
  <c r="Z178" i="114" l="1"/>
  <c r="AA178" i="114" s="1"/>
  <c r="V178" i="114"/>
  <c r="AG100" i="114"/>
  <c r="N100" i="114"/>
  <c r="AJ100" i="114"/>
  <c r="X100" i="114"/>
  <c r="AI100" i="114" l="1"/>
  <c r="Z100" i="114"/>
  <c r="AA100" i="114" s="1"/>
  <c r="V100" i="114"/>
  <c r="AG629" i="57" l="1"/>
  <c r="X629" i="57"/>
  <c r="AJ629" i="57"/>
  <c r="V629" i="57" l="1"/>
  <c r="AI629" i="57"/>
  <c r="Z629" i="57"/>
  <c r="AA629" i="57" s="1"/>
  <c r="T629" i="57"/>
  <c r="AG791" i="57"/>
  <c r="AJ791" i="57"/>
  <c r="X791" i="57"/>
  <c r="V791" i="57" l="1"/>
  <c r="AI791" i="57"/>
  <c r="Z791" i="57"/>
  <c r="AA791" i="57" s="1"/>
  <c r="T791" i="57"/>
  <c r="AG99" i="114"/>
  <c r="N99" i="114"/>
  <c r="AJ99" i="114"/>
  <c r="X99" i="114"/>
  <c r="X103" i="114" l="1"/>
  <c r="AI99" i="114"/>
  <c r="Z99" i="114"/>
  <c r="AA99" i="114" s="1"/>
  <c r="V99" i="114"/>
  <c r="AG179" i="114"/>
  <c r="N179" i="114"/>
  <c r="Z150" i="114" l="1"/>
  <c r="AD150" i="114"/>
  <c r="Z179" i="114"/>
  <c r="AA179" i="114" s="1"/>
  <c r="V179" i="114"/>
  <c r="Y141" i="22"/>
  <c r="AD57" i="74"/>
  <c r="AA150" i="114" l="1"/>
  <c r="AE150" i="114"/>
  <c r="Z57" i="74"/>
  <c r="AG56" i="74"/>
  <c r="N56" i="74"/>
  <c r="Z56" i="74"/>
  <c r="AA56" i="74" s="1"/>
  <c r="V56" i="74"/>
  <c r="AA57" i="74" l="1"/>
  <c r="AE57" i="74"/>
  <c r="AG17" i="74" l="1"/>
  <c r="N17" i="74"/>
  <c r="X17" i="74"/>
  <c r="AJ17" i="74"/>
  <c r="AI17" i="74" l="1"/>
  <c r="Z17" i="74"/>
  <c r="AA17" i="74" s="1"/>
  <c r="V17" i="74"/>
  <c r="AG53" i="74"/>
  <c r="N53" i="74"/>
  <c r="Z53" i="74" l="1"/>
  <c r="AA53" i="74" s="1"/>
  <c r="V53" i="74"/>
  <c r="AG180" i="114" l="1"/>
  <c r="N180" i="114"/>
  <c r="Z180" i="114" l="1"/>
  <c r="AA180" i="114" s="1"/>
  <c r="V180" i="114"/>
  <c r="Y140" i="22"/>
  <c r="AG142" i="22"/>
  <c r="Y142" i="22"/>
  <c r="Z142" i="22" s="1"/>
  <c r="AA142" i="22" s="1"/>
  <c r="T142" i="22"/>
  <c r="AG141" i="22"/>
  <c r="Z141" i="22"/>
  <c r="AA141" i="22" s="1"/>
  <c r="T141" i="22"/>
  <c r="AG140" i="22"/>
  <c r="T140" i="22"/>
  <c r="T753" i="57"/>
  <c r="T521" i="57"/>
  <c r="T891" i="57"/>
  <c r="T392" i="57"/>
  <c r="AG69" i="28"/>
  <c r="V69" i="28" l="1"/>
  <c r="Y143" i="22"/>
  <c r="Z140" i="22"/>
  <c r="AA140" i="22" s="1"/>
  <c r="Z69" i="28"/>
  <c r="AA69" i="28" s="1"/>
  <c r="T69" i="28"/>
  <c r="AG68" i="28"/>
  <c r="X1357" i="57"/>
  <c r="V68" i="28" l="1"/>
  <c r="V1357" i="57"/>
  <c r="AD143" i="22"/>
  <c r="Z143" i="22"/>
  <c r="Z68" i="28"/>
  <c r="AA68" i="28" s="1"/>
  <c r="T68" i="28"/>
  <c r="AG1765" i="57"/>
  <c r="X1765" i="57"/>
  <c r="AJ1765" i="57"/>
  <c r="V1765" i="57" l="1"/>
  <c r="AA143" i="22"/>
  <c r="AE143" i="22"/>
  <c r="AI1765" i="57"/>
  <c r="Z1765" i="57"/>
  <c r="AA1765" i="57" s="1"/>
  <c r="T1765" i="57"/>
  <c r="AG1357" i="57"/>
  <c r="AJ1357" i="57"/>
  <c r="AI1357" i="57" l="1"/>
  <c r="Z1357" i="57"/>
  <c r="AA1357" i="57" s="1"/>
  <c r="T1357" i="57"/>
  <c r="AG70" i="28"/>
  <c r="Z70" i="28" l="1"/>
  <c r="AA70" i="28" s="1"/>
  <c r="T70" i="28"/>
  <c r="AG320" i="57"/>
  <c r="AJ320" i="57"/>
  <c r="X320" i="57"/>
  <c r="V320" i="57" l="1"/>
  <c r="AI320" i="57"/>
  <c r="Z320" i="57"/>
  <c r="AA320" i="57" s="1"/>
  <c r="T320" i="57"/>
  <c r="AG18" i="74"/>
  <c r="N18" i="74"/>
  <c r="AJ18" i="74"/>
  <c r="X18" i="74"/>
  <c r="AI18" i="74" l="1"/>
  <c r="Z18" i="74"/>
  <c r="AA18" i="74" s="1"/>
  <c r="V18" i="74"/>
  <c r="AD183" i="114" l="1"/>
  <c r="Z183" i="114" l="1"/>
  <c r="AA183" i="114" s="1"/>
  <c r="AG182" i="114"/>
  <c r="N182" i="114"/>
  <c r="Z182" i="114"/>
  <c r="AA182" i="114" s="1"/>
  <c r="V182" i="114"/>
  <c r="AG181" i="114"/>
  <c r="N181" i="114"/>
  <c r="Z181" i="114"/>
  <c r="AA181" i="114" s="1"/>
  <c r="V181" i="114"/>
  <c r="AG1820" i="57"/>
  <c r="X1820" i="57"/>
  <c r="AJ1820" i="57"/>
  <c r="V1820" i="57" l="1"/>
  <c r="AE183" i="114"/>
  <c r="Z103" i="114"/>
  <c r="AA103" i="114" s="1"/>
  <c r="AD103" i="114"/>
  <c r="AI1820" i="57"/>
  <c r="Z1820" i="57"/>
  <c r="AA1820" i="57" s="1"/>
  <c r="T1820" i="57"/>
  <c r="AE103" i="114" l="1"/>
  <c r="AG457" i="57"/>
  <c r="X457" i="57"/>
  <c r="AJ457" i="57"/>
  <c r="V457" i="57" l="1"/>
  <c r="AI457" i="57"/>
  <c r="Z457" i="57"/>
  <c r="AA457" i="57" s="1"/>
  <c r="T457" i="57"/>
  <c r="AG19" i="74" l="1"/>
  <c r="N19" i="74"/>
  <c r="AJ19" i="74"/>
  <c r="X19" i="74"/>
  <c r="X20" i="74" l="1"/>
  <c r="AI19" i="74"/>
  <c r="Z19" i="74"/>
  <c r="AA19" i="74" s="1"/>
  <c r="V19" i="74"/>
  <c r="AG911" i="57"/>
  <c r="X911" i="57"/>
  <c r="AJ911" i="57"/>
  <c r="V911" i="57" l="1"/>
  <c r="AI911" i="57"/>
  <c r="Z911" i="57"/>
  <c r="AA911" i="57" s="1"/>
  <c r="T911" i="57"/>
  <c r="Y194" i="114" l="1"/>
  <c r="X194" i="114"/>
  <c r="AG1187" i="57"/>
  <c r="X1187" i="57"/>
  <c r="AJ1187" i="57"/>
  <c r="V1187" i="57" l="1"/>
  <c r="AI1187" i="57"/>
  <c r="Z1187" i="57"/>
  <c r="AA1187" i="57" s="1"/>
  <c r="T1187" i="57"/>
  <c r="AG59" i="74" l="1"/>
  <c r="N59" i="74"/>
  <c r="Z59" i="74" l="1"/>
  <c r="AA59" i="74" s="1"/>
  <c r="V59" i="74"/>
  <c r="AG476" i="57" l="1"/>
  <c r="AJ476" i="57"/>
  <c r="X476" i="57"/>
  <c r="V476" i="57" l="1"/>
  <c r="AI476" i="57"/>
  <c r="Z476" i="57"/>
  <c r="AA476" i="57" s="1"/>
  <c r="T476" i="57"/>
  <c r="AG648" i="57"/>
  <c r="X648" i="57"/>
  <c r="AJ648" i="57"/>
  <c r="V648" i="57" l="1"/>
  <c r="AI648" i="57"/>
  <c r="Z648" i="57"/>
  <c r="AA648" i="57" s="1"/>
  <c r="T648" i="57"/>
  <c r="AG185" i="114" l="1"/>
  <c r="N185" i="114"/>
  <c r="Z185" i="114" l="1"/>
  <c r="AA185" i="114" s="1"/>
  <c r="V185" i="114"/>
  <c r="AG186" i="114" l="1"/>
  <c r="N186" i="114"/>
  <c r="Z186" i="114" l="1"/>
  <c r="AA186" i="114" s="1"/>
  <c r="V186" i="114"/>
  <c r="T538" i="22" l="1"/>
  <c r="T542" i="22"/>
  <c r="T541" i="22"/>
  <c r="T547" i="22"/>
  <c r="T546" i="22"/>
  <c r="T545" i="22"/>
  <c r="T551" i="22"/>
  <c r="T552" i="22"/>
  <c r="T553" i="22"/>
  <c r="T554" i="22"/>
  <c r="T555" i="22"/>
  <c r="T556" i="22"/>
  <c r="T550" i="22"/>
  <c r="T565" i="22"/>
  <c r="T564" i="22"/>
  <c r="T563" i="22"/>
  <c r="T562" i="22"/>
  <c r="T561" i="22"/>
  <c r="T560" i="22"/>
  <c r="T559" i="22"/>
  <c r="T537" i="22"/>
  <c r="T536" i="22"/>
  <c r="T535" i="22"/>
  <c r="T534" i="22"/>
  <c r="T533" i="22"/>
  <c r="T532" i="22"/>
  <c r="T531" i="22"/>
  <c r="T530" i="22"/>
  <c r="T529" i="22"/>
  <c r="T523" i="22"/>
  <c r="T524" i="22"/>
  <c r="T525" i="22"/>
  <c r="T526" i="22"/>
  <c r="T522" i="22"/>
  <c r="T521" i="22"/>
  <c r="T520" i="22"/>
  <c r="T519" i="22"/>
  <c r="T518" i="22"/>
  <c r="T517" i="22"/>
  <c r="T512" i="22"/>
  <c r="T513" i="22"/>
  <c r="T514" i="22"/>
  <c r="T511" i="22"/>
  <c r="T510" i="22"/>
  <c r="T509" i="22"/>
  <c r="T498" i="22"/>
  <c r="T497" i="22"/>
  <c r="T496" i="22"/>
  <c r="T506" i="22"/>
  <c r="T505" i="22"/>
  <c r="T504" i="22"/>
  <c r="T503" i="22"/>
  <c r="T502" i="22"/>
  <c r="T501" i="22"/>
  <c r="T491" i="22"/>
  <c r="T492" i="22"/>
  <c r="T493" i="22"/>
  <c r="T490" i="22"/>
  <c r="T489" i="22"/>
  <c r="T479" i="22"/>
  <c r="T478" i="22"/>
  <c r="T475" i="22"/>
  <c r="T474" i="22"/>
  <c r="T473" i="22"/>
  <c r="T472" i="22"/>
  <c r="T469" i="22"/>
  <c r="T468" i="22"/>
  <c r="T462" i="22"/>
  <c r="T459" i="22"/>
  <c r="T458" i="22"/>
  <c r="T455" i="22"/>
  <c r="T465" i="22"/>
  <c r="T464" i="22"/>
  <c r="T463" i="22"/>
  <c r="T452" i="22"/>
  <c r="T451" i="22"/>
  <c r="T450" i="22"/>
  <c r="T449" i="22"/>
  <c r="T446" i="22"/>
  <c r="T445" i="22"/>
  <c r="T444" i="22"/>
  <c r="T443" i="22"/>
  <c r="T442" i="22"/>
  <c r="T439" i="22"/>
  <c r="T438" i="22"/>
  <c r="T437" i="22"/>
  <c r="T436" i="22"/>
  <c r="T435" i="22"/>
  <c r="T432" i="22"/>
  <c r="T431" i="22"/>
  <c r="T430" i="22"/>
  <c r="T429" i="22"/>
  <c r="T425" i="22"/>
  <c r="T426" i="22"/>
  <c r="T424" i="22"/>
  <c r="T421" i="22"/>
  <c r="T418" i="22"/>
  <c r="T409" i="22"/>
  <c r="T410" i="22"/>
  <c r="T411" i="22"/>
  <c r="T408" i="22"/>
  <c r="T400" i="22"/>
  <c r="T399" i="22"/>
  <c r="T398" i="22"/>
  <c r="T391" i="22"/>
  <c r="T392" i="22"/>
  <c r="T393" i="22"/>
  <c r="T394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54" i="22"/>
  <c r="T355" i="22"/>
  <c r="T356" i="22"/>
  <c r="T357" i="22"/>
  <c r="T358" i="22"/>
  <c r="T359" i="22"/>
  <c r="T360" i="22"/>
  <c r="T361" i="22"/>
  <c r="T362" i="22"/>
  <c r="T363" i="22"/>
  <c r="T364" i="22"/>
  <c r="T365" i="22"/>
  <c r="T366" i="22"/>
  <c r="T367" i="22"/>
  <c r="T368" i="22"/>
  <c r="T369" i="22"/>
  <c r="T353" i="22"/>
  <c r="T324" i="22"/>
  <c r="T325" i="22"/>
  <c r="T326" i="22"/>
  <c r="T327" i="22"/>
  <c r="T328" i="22"/>
  <c r="T329" i="22"/>
  <c r="T330" i="22"/>
  <c r="T331" i="22"/>
  <c r="T332" i="22"/>
  <c r="T333" i="22"/>
  <c r="T334" i="22"/>
  <c r="T335" i="22"/>
  <c r="T336" i="22"/>
  <c r="T337" i="22"/>
  <c r="T338" i="22"/>
  <c r="T339" i="22"/>
  <c r="T340" i="22"/>
  <c r="T341" i="22"/>
  <c r="T342" i="22"/>
  <c r="T343" i="22"/>
  <c r="T344" i="22"/>
  <c r="T345" i="22"/>
  <c r="T346" i="22"/>
  <c r="T347" i="22"/>
  <c r="T348" i="22"/>
  <c r="T323" i="22"/>
  <c r="T259" i="22"/>
  <c r="T260" i="22"/>
  <c r="T261" i="22"/>
  <c r="T262" i="22"/>
  <c r="T263" i="22"/>
  <c r="T264" i="22"/>
  <c r="T265" i="22"/>
  <c r="T266" i="22"/>
  <c r="T267" i="22"/>
  <c r="T268" i="22"/>
  <c r="T269" i="22"/>
  <c r="T270" i="22"/>
  <c r="T271" i="22"/>
  <c r="T272" i="22"/>
  <c r="T273" i="22"/>
  <c r="T274" i="22"/>
  <c r="T275" i="22"/>
  <c r="T276" i="22"/>
  <c r="T277" i="22"/>
  <c r="T278" i="22"/>
  <c r="T279" i="22"/>
  <c r="T280" i="22"/>
  <c r="T281" i="22"/>
  <c r="T282" i="22"/>
  <c r="T283" i="22"/>
  <c r="T284" i="22"/>
  <c r="T285" i="22"/>
  <c r="T286" i="22"/>
  <c r="T287" i="22"/>
  <c r="T288" i="22"/>
  <c r="T289" i="22"/>
  <c r="T290" i="22"/>
  <c r="T291" i="22"/>
  <c r="T292" i="22"/>
  <c r="T293" i="22"/>
  <c r="T294" i="22"/>
  <c r="T295" i="22"/>
  <c r="T296" i="22"/>
  <c r="T297" i="22"/>
  <c r="T298" i="22"/>
  <c r="T299" i="22"/>
  <c r="T300" i="22"/>
  <c r="T301" i="22"/>
  <c r="T302" i="22"/>
  <c r="T303" i="22"/>
  <c r="T304" i="22"/>
  <c r="T305" i="22"/>
  <c r="T306" i="22"/>
  <c r="T307" i="22"/>
  <c r="T308" i="22"/>
  <c r="T309" i="22"/>
  <c r="T310" i="22"/>
  <c r="T311" i="22"/>
  <c r="T312" i="22"/>
  <c r="T313" i="22"/>
  <c r="T314" i="22"/>
  <c r="T315" i="22"/>
  <c r="T316" i="22"/>
  <c r="T317" i="22"/>
  <c r="T318" i="22"/>
  <c r="T258" i="22"/>
  <c r="T197" i="22"/>
  <c r="T198" i="22"/>
  <c r="T199" i="22"/>
  <c r="T200" i="22"/>
  <c r="T201" i="22"/>
  <c r="T202" i="22"/>
  <c r="T203" i="22"/>
  <c r="T204" i="22"/>
  <c r="T205" i="22"/>
  <c r="T206" i="22"/>
  <c r="T207" i="22"/>
  <c r="T208" i="22"/>
  <c r="T209" i="22"/>
  <c r="T210" i="22"/>
  <c r="T211" i="22"/>
  <c r="T212" i="22"/>
  <c r="T213" i="22"/>
  <c r="T214" i="22"/>
  <c r="T215" i="22"/>
  <c r="T216" i="22"/>
  <c r="T217" i="22"/>
  <c r="T218" i="22"/>
  <c r="T219" i="22"/>
  <c r="T220" i="22"/>
  <c r="T221" i="22"/>
  <c r="T222" i="22"/>
  <c r="T223" i="22"/>
  <c r="T224" i="22"/>
  <c r="T225" i="22"/>
  <c r="T226" i="22"/>
  <c r="T227" i="22"/>
  <c r="T228" i="22"/>
  <c r="T229" i="22"/>
  <c r="T230" i="22"/>
  <c r="T231" i="22"/>
  <c r="T232" i="22"/>
  <c r="T233" i="22"/>
  <c r="T234" i="22"/>
  <c r="T235" i="22"/>
  <c r="T236" i="22"/>
  <c r="T237" i="22"/>
  <c r="T238" i="22"/>
  <c r="T239" i="22"/>
  <c r="T240" i="22"/>
  <c r="T241" i="22"/>
  <c r="T242" i="22"/>
  <c r="T243" i="22"/>
  <c r="T244" i="22"/>
  <c r="T245" i="22"/>
  <c r="T246" i="22"/>
  <c r="T247" i="22"/>
  <c r="T248" i="22"/>
  <c r="T249" i="22"/>
  <c r="T250" i="22"/>
  <c r="T251" i="22"/>
  <c r="T252" i="22"/>
  <c r="T253" i="22"/>
  <c r="T196" i="22"/>
  <c r="T195" i="22"/>
  <c r="T194" i="22"/>
  <c r="T188" i="22"/>
  <c r="T189" i="22"/>
  <c r="T187" i="22"/>
  <c r="T182" i="22"/>
  <c r="T181" i="22"/>
  <c r="T180" i="22"/>
  <c r="T179" i="22"/>
  <c r="T178" i="22"/>
  <c r="T177" i="22"/>
  <c r="T168" i="22"/>
  <c r="T169" i="22"/>
  <c r="T170" i="22"/>
  <c r="T171" i="22"/>
  <c r="T172" i="22"/>
  <c r="T173" i="22"/>
  <c r="T167" i="22"/>
  <c r="T163" i="22"/>
  <c r="T155" i="22"/>
  <c r="T156" i="22"/>
  <c r="T157" i="22"/>
  <c r="T158" i="22"/>
  <c r="T159" i="22"/>
  <c r="T154" i="22"/>
  <c r="T150" i="22"/>
  <c r="T146" i="22"/>
  <c r="T119" i="22"/>
  <c r="T120" i="22"/>
  <c r="T121" i="22"/>
  <c r="T118" i="22"/>
  <c r="T114" i="22"/>
  <c r="T113" i="22"/>
  <c r="T109" i="22"/>
  <c r="T108" i="22"/>
  <c r="T107" i="22"/>
  <c r="T103" i="22"/>
  <c r="T95" i="22"/>
  <c r="T96" i="22"/>
  <c r="T97" i="22"/>
  <c r="T98" i="22"/>
  <c r="T99" i="22"/>
  <c r="T94" i="22"/>
  <c r="T93" i="22"/>
  <c r="T92" i="22"/>
  <c r="T87" i="22"/>
  <c r="T86" i="22"/>
  <c r="T82" i="22"/>
  <c r="T78" i="22"/>
  <c r="T77" i="22"/>
  <c r="T76" i="22"/>
  <c r="T26" i="22"/>
  <c r="T27" i="22"/>
  <c r="T28" i="22"/>
  <c r="T29" i="22"/>
  <c r="T72" i="22"/>
  <c r="T71" i="22"/>
  <c r="T67" i="22"/>
  <c r="T63" i="22"/>
  <c r="T39" i="22"/>
  <c r="T59" i="22"/>
  <c r="T58" i="22"/>
  <c r="T57" i="22"/>
  <c r="T56" i="22"/>
  <c r="T52" i="22"/>
  <c r="T43" i="22"/>
  <c r="T35" i="22"/>
  <c r="T34" i="22"/>
  <c r="T33" i="22"/>
  <c r="T22" i="22"/>
  <c r="T21" i="22"/>
  <c r="T20" i="22"/>
  <c r="T19" i="22"/>
  <c r="T11" i="22"/>
  <c r="T12" i="22"/>
  <c r="T13" i="22"/>
  <c r="T14" i="22"/>
  <c r="T15" i="22"/>
  <c r="T10" i="22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339" i="28"/>
  <c r="T340" i="28"/>
  <c r="T341" i="28"/>
  <c r="T342" i="28"/>
  <c r="T78" i="28"/>
  <c r="T72" i="28"/>
  <c r="T73" i="28"/>
  <c r="T74" i="28"/>
  <c r="T75" i="28"/>
  <c r="T76" i="28"/>
  <c r="T77" i="28"/>
  <c r="T71" i="28"/>
  <c r="T13" i="28"/>
  <c r="T14" i="28"/>
  <c r="T16" i="28"/>
  <c r="T17" i="28"/>
  <c r="T19" i="28"/>
  <c r="T18" i="28"/>
  <c r="T20" i="28"/>
  <c r="T21" i="28"/>
  <c r="T28" i="28"/>
  <c r="T23" i="28"/>
  <c r="T26" i="28"/>
  <c r="T25" i="28"/>
  <c r="T24" i="28"/>
  <c r="T34" i="28"/>
  <c r="T31" i="28"/>
  <c r="T35" i="28"/>
  <c r="T32" i="28"/>
  <c r="T27" i="28"/>
  <c r="T29" i="28"/>
  <c r="T30" i="28"/>
  <c r="T33" i="28"/>
  <c r="T36" i="28"/>
  <c r="T37" i="28"/>
  <c r="T38" i="28"/>
  <c r="T39" i="28"/>
  <c r="T12" i="28"/>
  <c r="T1824" i="57"/>
  <c r="T1823" i="57"/>
  <c r="T1818" i="57"/>
  <c r="T1817" i="57"/>
  <c r="T1812" i="57"/>
  <c r="T1813" i="57"/>
  <c r="T1814" i="57"/>
  <c r="T1811" i="57"/>
  <c r="T1810" i="57"/>
  <c r="T1809" i="57"/>
  <c r="T1808" i="57"/>
  <c r="T1807" i="57"/>
  <c r="T1806" i="57"/>
  <c r="T1784" i="57"/>
  <c r="T1785" i="57"/>
  <c r="T1786" i="57"/>
  <c r="T1787" i="57"/>
  <c r="T1788" i="57"/>
  <c r="T1789" i="57"/>
  <c r="T1790" i="57"/>
  <c r="T1791" i="57"/>
  <c r="T1792" i="57"/>
  <c r="T1793" i="57"/>
  <c r="T1794" i="57"/>
  <c r="T1795" i="57"/>
  <c r="T1796" i="57"/>
  <c r="T1797" i="57"/>
  <c r="T1798" i="57"/>
  <c r="T1799" i="57"/>
  <c r="T1800" i="57"/>
  <c r="T1801" i="57"/>
  <c r="T1802" i="57"/>
  <c r="T1803" i="57"/>
  <c r="T1783" i="57"/>
  <c r="T1782" i="57"/>
  <c r="T1781" i="57"/>
  <c r="T1780" i="57"/>
  <c r="T1779" i="57"/>
  <c r="T1703" i="57"/>
  <c r="T1704" i="57"/>
  <c r="T1705" i="57"/>
  <c r="T1706" i="57"/>
  <c r="T1707" i="57"/>
  <c r="T1708" i="57"/>
  <c r="T1709" i="57"/>
  <c r="T1710" i="57"/>
  <c r="T1711" i="57"/>
  <c r="T1712" i="57"/>
  <c r="T1713" i="57"/>
  <c r="T1714" i="57"/>
  <c r="T1715" i="57"/>
  <c r="T1716" i="57"/>
  <c r="T1717" i="57"/>
  <c r="T1718" i="57"/>
  <c r="T1719" i="57"/>
  <c r="T1720" i="57"/>
  <c r="T1721" i="57"/>
  <c r="T1722" i="57"/>
  <c r="T1723" i="57"/>
  <c r="T1724" i="57"/>
  <c r="T1725" i="57"/>
  <c r="T1726" i="57"/>
  <c r="T1727" i="57"/>
  <c r="T1728" i="57"/>
  <c r="T1729" i="57"/>
  <c r="T1730" i="57"/>
  <c r="T1731" i="57"/>
  <c r="T1732" i="57"/>
  <c r="T1733" i="57"/>
  <c r="T1734" i="57"/>
  <c r="T1735" i="57"/>
  <c r="T1736" i="57"/>
  <c r="T1737" i="57"/>
  <c r="T1738" i="57"/>
  <c r="T1739" i="57"/>
  <c r="T1740" i="57"/>
  <c r="T1741" i="57"/>
  <c r="T1742" i="57"/>
  <c r="T1743" i="57"/>
  <c r="T1744" i="57"/>
  <c r="T1745" i="57"/>
  <c r="T1746" i="57"/>
  <c r="T1747" i="57"/>
  <c r="T1748" i="57"/>
  <c r="T1749" i="57"/>
  <c r="T1750" i="57"/>
  <c r="T1751" i="57"/>
  <c r="T1752" i="57"/>
  <c r="T1753" i="57"/>
  <c r="T1754" i="57"/>
  <c r="T1755" i="57"/>
  <c r="T1756" i="57"/>
  <c r="T1757" i="57"/>
  <c r="T1758" i="57"/>
  <c r="T1759" i="57"/>
  <c r="T1760" i="57"/>
  <c r="T1761" i="57"/>
  <c r="T1762" i="57"/>
  <c r="T1763" i="57"/>
  <c r="T1764" i="57"/>
  <c r="T1766" i="57"/>
  <c r="T1768" i="57"/>
  <c r="T1769" i="57"/>
  <c r="T1770" i="57"/>
  <c r="T1771" i="57"/>
  <c r="T1772" i="57"/>
  <c r="T1773" i="57"/>
  <c r="T1774" i="57"/>
  <c r="T1775" i="57"/>
  <c r="T1776" i="57"/>
  <c r="T1702" i="57"/>
  <c r="T1701" i="57"/>
  <c r="T1700" i="57"/>
  <c r="T1698" i="57"/>
  <c r="T1697" i="57"/>
  <c r="T1695" i="57"/>
  <c r="T1694" i="57"/>
  <c r="T1692" i="57"/>
  <c r="T1691" i="57"/>
  <c r="T1682" i="57"/>
  <c r="T1683" i="57"/>
  <c r="T1684" i="57"/>
  <c r="T1685" i="57"/>
  <c r="T1686" i="57"/>
  <c r="T1688" i="57"/>
  <c r="T1681" i="57"/>
  <c r="T1680" i="57"/>
  <c r="T1679" i="57"/>
  <c r="T1678" i="57"/>
  <c r="T1677" i="57"/>
  <c r="T1674" i="57"/>
  <c r="T1673" i="57"/>
  <c r="T1672" i="57"/>
  <c r="T1671" i="57"/>
  <c r="T1670" i="57"/>
  <c r="T1669" i="57"/>
  <c r="T1668" i="57"/>
  <c r="T1667" i="57"/>
  <c r="T1666" i="57"/>
  <c r="T1665" i="57"/>
  <c r="T1664" i="57"/>
  <c r="T1663" i="57"/>
  <c r="T1662" i="57"/>
  <c r="T1661" i="57"/>
  <c r="T1660" i="57"/>
  <c r="T1659" i="57"/>
  <c r="T1658" i="57"/>
  <c r="T1657" i="57"/>
  <c r="T1656" i="57"/>
  <c r="T1655" i="57"/>
  <c r="T1654" i="57"/>
  <c r="T1653" i="57"/>
  <c r="T1652" i="57"/>
  <c r="T1651" i="57"/>
  <c r="T1649" i="57"/>
  <c r="T1648" i="57"/>
  <c r="T1647" i="57"/>
  <c r="T1646" i="57"/>
  <c r="T1645" i="57"/>
  <c r="T1644" i="57"/>
  <c r="T1643" i="57"/>
  <c r="T1642" i="57"/>
  <c r="T1641" i="57"/>
  <c r="T1640" i="57"/>
  <c r="T1639" i="57"/>
  <c r="T1638" i="57"/>
  <c r="T1597" i="57"/>
  <c r="T1598" i="57"/>
  <c r="T1599" i="57"/>
  <c r="T1600" i="57"/>
  <c r="T1601" i="57"/>
  <c r="T1602" i="57"/>
  <c r="T1603" i="57"/>
  <c r="T1604" i="57"/>
  <c r="T1605" i="57"/>
  <c r="T1606" i="57"/>
  <c r="T1607" i="57"/>
  <c r="T1608" i="57"/>
  <c r="T1609" i="57"/>
  <c r="T1610" i="57"/>
  <c r="T1611" i="57"/>
  <c r="T1612" i="57"/>
  <c r="T1613" i="57"/>
  <c r="T1614" i="57"/>
  <c r="T1615" i="57"/>
  <c r="T1616" i="57"/>
  <c r="T1617" i="57"/>
  <c r="T1618" i="57"/>
  <c r="T1619" i="57"/>
  <c r="T1620" i="57"/>
  <c r="T1621" i="57"/>
  <c r="T1622" i="57"/>
  <c r="T1623" i="57"/>
  <c r="T1624" i="57"/>
  <c r="T1625" i="57"/>
  <c r="T1626" i="57"/>
  <c r="T1627" i="57"/>
  <c r="T1628" i="57"/>
  <c r="T1629" i="57"/>
  <c r="T1630" i="57"/>
  <c r="T1631" i="57"/>
  <c r="T1632" i="57"/>
  <c r="T1633" i="57"/>
  <c r="T1634" i="57"/>
  <c r="T1635" i="57"/>
  <c r="T1596" i="57"/>
  <c r="T1595" i="57"/>
  <c r="T1594" i="57"/>
  <c r="T1593" i="57"/>
  <c r="T1576" i="57"/>
  <c r="T1577" i="57"/>
  <c r="T1578" i="57"/>
  <c r="T1579" i="57"/>
  <c r="T1580" i="57"/>
  <c r="T1581" i="57"/>
  <c r="T1582" i="57"/>
  <c r="T1583" i="57"/>
  <c r="T1584" i="57"/>
  <c r="T1585" i="57"/>
  <c r="T1586" i="57"/>
  <c r="T1587" i="57"/>
  <c r="T1588" i="57"/>
  <c r="T1589" i="57"/>
  <c r="T1590" i="57"/>
  <c r="T1575" i="57"/>
  <c r="T1574" i="57"/>
  <c r="T1573" i="57"/>
  <c r="T1572" i="57"/>
  <c r="T1571" i="57"/>
  <c r="T1570" i="57"/>
  <c r="T1569" i="57"/>
  <c r="T1568" i="57"/>
  <c r="T1567" i="57"/>
  <c r="T1566" i="57"/>
  <c r="T1565" i="57"/>
  <c r="T1564" i="57"/>
  <c r="T1563" i="57"/>
  <c r="T1562" i="57"/>
  <c r="T1561" i="57"/>
  <c r="T1560" i="57"/>
  <c r="T1559" i="57"/>
  <c r="T1558" i="57"/>
  <c r="T1557" i="57"/>
  <c r="T1556" i="57"/>
  <c r="T1555" i="57"/>
  <c r="T1554" i="57"/>
  <c r="T1553" i="57"/>
  <c r="T1552" i="57"/>
  <c r="T1551" i="57"/>
  <c r="T1550" i="57"/>
  <c r="T1549" i="57"/>
  <c r="T1548" i="57"/>
  <c r="T1547" i="57"/>
  <c r="T1520" i="57"/>
  <c r="T1521" i="57"/>
  <c r="T1523" i="57"/>
  <c r="T1524" i="57"/>
  <c r="T1525" i="57"/>
  <c r="T1526" i="57"/>
  <c r="T1527" i="57"/>
  <c r="T1528" i="57"/>
  <c r="T1529" i="57"/>
  <c r="T1530" i="57"/>
  <c r="T1531" i="57"/>
  <c r="T1532" i="57"/>
  <c r="T1533" i="57"/>
  <c r="T1535" i="57"/>
  <c r="T1536" i="57"/>
  <c r="T1537" i="57"/>
  <c r="T1538" i="57"/>
  <c r="T1539" i="57"/>
  <c r="T1540" i="57"/>
  <c r="T1541" i="57"/>
  <c r="T1542" i="57"/>
  <c r="T1543" i="57"/>
  <c r="T1544" i="57"/>
  <c r="T1518" i="57"/>
  <c r="T1516" i="57"/>
  <c r="T1441" i="57"/>
  <c r="T1442" i="57"/>
  <c r="T1443" i="57"/>
  <c r="T1444" i="57"/>
  <c r="T1445" i="57"/>
  <c r="T1446" i="57"/>
  <c r="T1447" i="57"/>
  <c r="T1448" i="57"/>
  <c r="T1449" i="57"/>
  <c r="T1450" i="57"/>
  <c r="T1451" i="57"/>
  <c r="T1452" i="57"/>
  <c r="T1453" i="57"/>
  <c r="T1454" i="57"/>
  <c r="T1455" i="57"/>
  <c r="T1456" i="57"/>
  <c r="T1457" i="57"/>
  <c r="T1458" i="57"/>
  <c r="T1459" i="57"/>
  <c r="T1460" i="57"/>
  <c r="T1461" i="57"/>
  <c r="T1462" i="57"/>
  <c r="T1463" i="57"/>
  <c r="T1464" i="57"/>
  <c r="T1465" i="57"/>
  <c r="T1466" i="57"/>
  <c r="T1467" i="57"/>
  <c r="T1468" i="57"/>
  <c r="T1469" i="57"/>
  <c r="T1470" i="57"/>
  <c r="T1471" i="57"/>
  <c r="T1472" i="57"/>
  <c r="T1473" i="57"/>
  <c r="T1474" i="57"/>
  <c r="T1475" i="57"/>
  <c r="T1476" i="57"/>
  <c r="T1477" i="57"/>
  <c r="T1478" i="57"/>
  <c r="T1479" i="57"/>
  <c r="T1480" i="57"/>
  <c r="T1481" i="57"/>
  <c r="T1482" i="57"/>
  <c r="T1483" i="57"/>
  <c r="T1484" i="57"/>
  <c r="T1485" i="57"/>
  <c r="T1486" i="57"/>
  <c r="T1487" i="57"/>
  <c r="T1488" i="57"/>
  <c r="T1489" i="57"/>
  <c r="T1490" i="57"/>
  <c r="T1491" i="57"/>
  <c r="T1492" i="57"/>
  <c r="T1493" i="57"/>
  <c r="T1494" i="57"/>
  <c r="T1495" i="57"/>
  <c r="T1496" i="57"/>
  <c r="T1497" i="57"/>
  <c r="T1498" i="57"/>
  <c r="T1499" i="57"/>
  <c r="T1500" i="57"/>
  <c r="T1501" i="57"/>
  <c r="T1502" i="57"/>
  <c r="T1503" i="57"/>
  <c r="T1504" i="57"/>
  <c r="T1505" i="57"/>
  <c r="T1506" i="57"/>
  <c r="T1508" i="57"/>
  <c r="T1509" i="57"/>
  <c r="T1510" i="57"/>
  <c r="T1511" i="57"/>
  <c r="T1512" i="57"/>
  <c r="T1513" i="57"/>
  <c r="T1440" i="57"/>
  <c r="T1311" i="57"/>
  <c r="T1312" i="57"/>
  <c r="T1313" i="57"/>
  <c r="T1314" i="57"/>
  <c r="T1315" i="57"/>
  <c r="T1316" i="57"/>
  <c r="T1317" i="57"/>
  <c r="T1318" i="57"/>
  <c r="T1319" i="57"/>
  <c r="T1320" i="57"/>
  <c r="T1321" i="57"/>
  <c r="T1322" i="57"/>
  <c r="T1323" i="57"/>
  <c r="T1324" i="57"/>
  <c r="T1326" i="57"/>
  <c r="T1327" i="57"/>
  <c r="T1328" i="57"/>
  <c r="T1329" i="57"/>
  <c r="T1330" i="57"/>
  <c r="T1331" i="57"/>
  <c r="T1332" i="57"/>
  <c r="T1333" i="57"/>
  <c r="T1334" i="57"/>
  <c r="T1335" i="57"/>
  <c r="T1336" i="57"/>
  <c r="T1337" i="57"/>
  <c r="T1338" i="57"/>
  <c r="T1339" i="57"/>
  <c r="T1340" i="57"/>
  <c r="T1341" i="57"/>
  <c r="T1342" i="57"/>
  <c r="T1343" i="57"/>
  <c r="T1344" i="57"/>
  <c r="T1345" i="57"/>
  <c r="T1346" i="57"/>
  <c r="T1348" i="57"/>
  <c r="T1349" i="57"/>
  <c r="T1350" i="57"/>
  <c r="T1351" i="57"/>
  <c r="T1352" i="57"/>
  <c r="T1353" i="57"/>
  <c r="T1354" i="57"/>
  <c r="T1355" i="57"/>
  <c r="T1356" i="57"/>
  <c r="T1358" i="57"/>
  <c r="T1359" i="57"/>
  <c r="T1361" i="57"/>
  <c r="T1362" i="57"/>
  <c r="T1365" i="57"/>
  <c r="T1366" i="57"/>
  <c r="T1367" i="57"/>
  <c r="T1368" i="57"/>
  <c r="T1369" i="57"/>
  <c r="T1370" i="57"/>
  <c r="T1371" i="57"/>
  <c r="T1372" i="57"/>
  <c r="T1373" i="57"/>
  <c r="T1374" i="57"/>
  <c r="T1375" i="57"/>
  <c r="T1376" i="57"/>
  <c r="T1377" i="57"/>
  <c r="T1378" i="57"/>
  <c r="T1379" i="57"/>
  <c r="T1380" i="57"/>
  <c r="T1381" i="57"/>
  <c r="T1382" i="57"/>
  <c r="T1383" i="57"/>
  <c r="T1384" i="57"/>
  <c r="T1385" i="57"/>
  <c r="T1386" i="57"/>
  <c r="T1387" i="57"/>
  <c r="T1388" i="57"/>
  <c r="T1389" i="57"/>
  <c r="T1390" i="57"/>
  <c r="T1391" i="57"/>
  <c r="T1393" i="57"/>
  <c r="T1394" i="57"/>
  <c r="T1396" i="57"/>
  <c r="T1397" i="57"/>
  <c r="T1398" i="57"/>
  <c r="T1399" i="57"/>
  <c r="T1401" i="57"/>
  <c r="T1402" i="57"/>
  <c r="T1403" i="57"/>
  <c r="T1404" i="57"/>
  <c r="T1405" i="57"/>
  <c r="T1406" i="57"/>
  <c r="T1407" i="57"/>
  <c r="T1408" i="57"/>
  <c r="T1409" i="57"/>
  <c r="T1410" i="57"/>
  <c r="T1411" i="57"/>
  <c r="T1412" i="57"/>
  <c r="T1413" i="57"/>
  <c r="T1414" i="57"/>
  <c r="T1416" i="57"/>
  <c r="T1417" i="57"/>
  <c r="T1418" i="57"/>
  <c r="T1419" i="57"/>
  <c r="T1420" i="57"/>
  <c r="T1421" i="57"/>
  <c r="T1422" i="57"/>
  <c r="T1423" i="57"/>
  <c r="T1424" i="57"/>
  <c r="T1425" i="57"/>
  <c r="T1426" i="57"/>
  <c r="T1427" i="57"/>
  <c r="T1428" i="57"/>
  <c r="T1429" i="57"/>
  <c r="T1430" i="57"/>
  <c r="T1431" i="57"/>
  <c r="T1432" i="57"/>
  <c r="T1433" i="57"/>
  <c r="T1434" i="57"/>
  <c r="T1435" i="57"/>
  <c r="T1436" i="57"/>
  <c r="T1437" i="57"/>
  <c r="T1310" i="57"/>
  <c r="T1309" i="57"/>
  <c r="T1308" i="57"/>
  <c r="T1302" i="57"/>
  <c r="T1303" i="57"/>
  <c r="T1304" i="57"/>
  <c r="T1305" i="57"/>
  <c r="T1301" i="57"/>
  <c r="T1300" i="57"/>
  <c r="T1299" i="57"/>
  <c r="T1298" i="57"/>
  <c r="T1297" i="57"/>
  <c r="T1296" i="57"/>
  <c r="T1295" i="57"/>
  <c r="T1294" i="57"/>
  <c r="T1293" i="57"/>
  <c r="T1292" i="57"/>
  <c r="T1291" i="57"/>
  <c r="T1290" i="57"/>
  <c r="T1289" i="57"/>
  <c r="T1288" i="57"/>
  <c r="T1287" i="57"/>
  <c r="T1286" i="57"/>
  <c r="T1285" i="57"/>
  <c r="T1284" i="57"/>
  <c r="T1283" i="57"/>
  <c r="T1282" i="57"/>
  <c r="T1281" i="57"/>
  <c r="T1280" i="57"/>
  <c r="T1279" i="57"/>
  <c r="T1278" i="57"/>
  <c r="T1277" i="57"/>
  <c r="T1276" i="57"/>
  <c r="T1275" i="57"/>
  <c r="T1274" i="57"/>
  <c r="T1273" i="57"/>
  <c r="T1272" i="57"/>
  <c r="T1271" i="57"/>
  <c r="T1270" i="57"/>
  <c r="T1269" i="57"/>
  <c r="T1268" i="57"/>
  <c r="T1267" i="57"/>
  <c r="T1266" i="57"/>
  <c r="T1233" i="57"/>
  <c r="T1234" i="57"/>
  <c r="T1236" i="57"/>
  <c r="T1237" i="57"/>
  <c r="T1238" i="57"/>
  <c r="T1239" i="57"/>
  <c r="T1240" i="57"/>
  <c r="T1241" i="57"/>
  <c r="T1242" i="57"/>
  <c r="T1243" i="57"/>
  <c r="T1244" i="57"/>
  <c r="T1245" i="57"/>
  <c r="T1246" i="57"/>
  <c r="T1247" i="57"/>
  <c r="T1248" i="57"/>
  <c r="T1249" i="57"/>
  <c r="T1250" i="57"/>
  <c r="T1251" i="57"/>
  <c r="T1252" i="57"/>
  <c r="T1253" i="57"/>
  <c r="T1254" i="57"/>
  <c r="T1255" i="57"/>
  <c r="T1256" i="57"/>
  <c r="T1257" i="57"/>
  <c r="T1258" i="57"/>
  <c r="T1259" i="57"/>
  <c r="T1260" i="57"/>
  <c r="T1261" i="57"/>
  <c r="T1262" i="57"/>
  <c r="T1263" i="57"/>
  <c r="T1232" i="57"/>
  <c r="T1231" i="57"/>
  <c r="T1230" i="57"/>
  <c r="T1229" i="57"/>
  <c r="T1228" i="57"/>
  <c r="T1106" i="57"/>
  <c r="T1107" i="57"/>
  <c r="T1108" i="57"/>
  <c r="T1109" i="57"/>
  <c r="T1110" i="57"/>
  <c r="T1111" i="57"/>
  <c r="T1112" i="57"/>
  <c r="T1113" i="57"/>
  <c r="T1114" i="57"/>
  <c r="T1115" i="57"/>
  <c r="T1116" i="57"/>
  <c r="T1117" i="57"/>
  <c r="T1118" i="57"/>
  <c r="T1119" i="57"/>
  <c r="T1120" i="57"/>
  <c r="T1121" i="57"/>
  <c r="T1122" i="57"/>
  <c r="T1123" i="57"/>
  <c r="T1124" i="57"/>
  <c r="T1125" i="57"/>
  <c r="T1126" i="57"/>
  <c r="T1128" i="57"/>
  <c r="T1129" i="57"/>
  <c r="T1131" i="57"/>
  <c r="T1132" i="57"/>
  <c r="T1133" i="57"/>
  <c r="T1136" i="57"/>
  <c r="T1137" i="57"/>
  <c r="T1138" i="57"/>
  <c r="T1139" i="57"/>
  <c r="T1140" i="57"/>
  <c r="T1141" i="57"/>
  <c r="T1142" i="57"/>
  <c r="T1143" i="57"/>
  <c r="T1144" i="57"/>
  <c r="T1145" i="57"/>
  <c r="T1146" i="57"/>
  <c r="T1147" i="57"/>
  <c r="T1148" i="57"/>
  <c r="T1149" i="57"/>
  <c r="T1150" i="57"/>
  <c r="T1151" i="57"/>
  <c r="T1152" i="57"/>
  <c r="T1153" i="57"/>
  <c r="T1154" i="57"/>
  <c r="T1155" i="57"/>
  <c r="T1156" i="57"/>
  <c r="T1157" i="57"/>
  <c r="T1158" i="57"/>
  <c r="T1159" i="57"/>
  <c r="T1160" i="57"/>
  <c r="T1161" i="57"/>
  <c r="T1162" i="57"/>
  <c r="T1163" i="57"/>
  <c r="T1164" i="57"/>
  <c r="T1165" i="57"/>
  <c r="T1166" i="57"/>
  <c r="T1167" i="57"/>
  <c r="T1168" i="57"/>
  <c r="T1169" i="57"/>
  <c r="T1170" i="57"/>
  <c r="T1171" i="57"/>
  <c r="T1172" i="57"/>
  <c r="T1173" i="57"/>
  <c r="T1174" i="57"/>
  <c r="T1175" i="57"/>
  <c r="T1176" i="57"/>
  <c r="T1177" i="57"/>
  <c r="T1178" i="57"/>
  <c r="T1180" i="57"/>
  <c r="T1181" i="57"/>
  <c r="T1183" i="57"/>
  <c r="T1184" i="57"/>
  <c r="T1185" i="57"/>
  <c r="T1186" i="57"/>
  <c r="T1188" i="57"/>
  <c r="T1189" i="57"/>
  <c r="T1190" i="57"/>
  <c r="T1191" i="57"/>
  <c r="T1192" i="57"/>
  <c r="T1193" i="57"/>
  <c r="T1194" i="57"/>
  <c r="T1195" i="57"/>
  <c r="T1196" i="57"/>
  <c r="T1197" i="57"/>
  <c r="T1198" i="57"/>
  <c r="T1199" i="57"/>
  <c r="T1201" i="57"/>
  <c r="T1202" i="57"/>
  <c r="T1203" i="57"/>
  <c r="T1205" i="57"/>
  <c r="T1206" i="57"/>
  <c r="T1207" i="57"/>
  <c r="T1208" i="57"/>
  <c r="T1209" i="57"/>
  <c r="T1210" i="57"/>
  <c r="T1211" i="57"/>
  <c r="T1212" i="57"/>
  <c r="T1213" i="57"/>
  <c r="T1214" i="57"/>
  <c r="T1215" i="57"/>
  <c r="T1216" i="57"/>
  <c r="T1217" i="57"/>
  <c r="T1218" i="57"/>
  <c r="T1221" i="57"/>
  <c r="T1222" i="57"/>
  <c r="T1223" i="57"/>
  <c r="T1224" i="57"/>
  <c r="T1104" i="57"/>
  <c r="T1103" i="57"/>
  <c r="T1102" i="57"/>
  <c r="T1101" i="57"/>
  <c r="T1100" i="57"/>
  <c r="T1098" i="57"/>
  <c r="T1097" i="57"/>
  <c r="T1096" i="57"/>
  <c r="T1095" i="57"/>
  <c r="T1094" i="57"/>
  <c r="T1092" i="57"/>
  <c r="T1091" i="57"/>
  <c r="T1090" i="57"/>
  <c r="T1089" i="57"/>
  <c r="T1088" i="57"/>
  <c r="T1087" i="57"/>
  <c r="T1086" i="57"/>
  <c r="T1085" i="57"/>
  <c r="T1084" i="57"/>
  <c r="T1083" i="57"/>
  <c r="T1082" i="57"/>
  <c r="T1081" i="57"/>
  <c r="T1080" i="57"/>
  <c r="T1079" i="57"/>
  <c r="T1078" i="57"/>
  <c r="T1077" i="57"/>
  <c r="T1076" i="57"/>
  <c r="T1075" i="57"/>
  <c r="T1074" i="57"/>
  <c r="T1073" i="57"/>
  <c r="T1072" i="57"/>
  <c r="T1071" i="57"/>
  <c r="T1070" i="57"/>
  <c r="T1069" i="57"/>
  <c r="T1068" i="57"/>
  <c r="T1067" i="57"/>
  <c r="T1066" i="57"/>
  <c r="T1065" i="57"/>
  <c r="T1063" i="57"/>
  <c r="T1062" i="57"/>
  <c r="T1060" i="57"/>
  <c r="T1059" i="57"/>
  <c r="T1058" i="57"/>
  <c r="T1057" i="57"/>
  <c r="T1056" i="57"/>
  <c r="T1055" i="57"/>
  <c r="T1054" i="57"/>
  <c r="T1053" i="57"/>
  <c r="T1052" i="57"/>
  <c r="T1051" i="57"/>
  <c r="T1050" i="57"/>
  <c r="T1049" i="57"/>
  <c r="T1048" i="57"/>
  <c r="T1047" i="57"/>
  <c r="T1046" i="57"/>
  <c r="T1045" i="57"/>
  <c r="T1044" i="57"/>
  <c r="T1043" i="57"/>
  <c r="T1042" i="57"/>
  <c r="T1041" i="57"/>
  <c r="T1040" i="57"/>
  <c r="T1039" i="57"/>
  <c r="T1038" i="57"/>
  <c r="T1037" i="57"/>
  <c r="T1036" i="57"/>
  <c r="T1035" i="57"/>
  <c r="T1033" i="57"/>
  <c r="T1032" i="57"/>
  <c r="T1031" i="57"/>
  <c r="T1030" i="57"/>
  <c r="T1029" i="57"/>
  <c r="T1027" i="57"/>
  <c r="T1026" i="57"/>
  <c r="T1024" i="57"/>
  <c r="T1023" i="57"/>
  <c r="T1022" i="57"/>
  <c r="T1020" i="57"/>
  <c r="T1019" i="57"/>
  <c r="T934" i="57"/>
  <c r="T935" i="57"/>
  <c r="T937" i="57"/>
  <c r="T938" i="57"/>
  <c r="T940" i="57"/>
  <c r="T941" i="57"/>
  <c r="T942" i="57"/>
  <c r="T943" i="57"/>
  <c r="T944" i="57"/>
  <c r="T945" i="57"/>
  <c r="T946" i="57"/>
  <c r="T947" i="57"/>
  <c r="T948" i="57"/>
  <c r="T951" i="57"/>
  <c r="T952" i="57"/>
  <c r="T953" i="57"/>
  <c r="T954" i="57"/>
  <c r="T955" i="57"/>
  <c r="T956" i="57"/>
  <c r="T957" i="57"/>
  <c r="T958" i="57"/>
  <c r="T959" i="57"/>
  <c r="T961" i="57"/>
  <c r="T962" i="57"/>
  <c r="T963" i="57"/>
  <c r="T964" i="57"/>
  <c r="T965" i="57"/>
  <c r="T966" i="57"/>
  <c r="T967" i="57"/>
  <c r="T968" i="57"/>
  <c r="T969" i="57"/>
  <c r="T970" i="57"/>
  <c r="T971" i="57"/>
  <c r="T972" i="57"/>
  <c r="T973" i="57"/>
  <c r="T974" i="57"/>
  <c r="T975" i="57"/>
  <c r="T976" i="57"/>
  <c r="T978" i="57"/>
  <c r="T979" i="57"/>
  <c r="T980" i="57"/>
  <c r="T981" i="57"/>
  <c r="T982" i="57"/>
  <c r="T983" i="57"/>
  <c r="T984" i="57"/>
  <c r="T985" i="57"/>
  <c r="T986" i="57"/>
  <c r="T987" i="57"/>
  <c r="T988" i="57"/>
  <c r="T989" i="57"/>
  <c r="T990" i="57"/>
  <c r="T991" i="57"/>
  <c r="T992" i="57"/>
  <c r="T993" i="57"/>
  <c r="T994" i="57"/>
  <c r="T995" i="57"/>
  <c r="T996" i="57"/>
  <c r="T997" i="57"/>
  <c r="T998" i="57"/>
  <c r="T999" i="57"/>
  <c r="T1000" i="57"/>
  <c r="T1001" i="57"/>
  <c r="T1002" i="57"/>
  <c r="T1003" i="57"/>
  <c r="T1004" i="57"/>
  <c r="T1005" i="57"/>
  <c r="T1006" i="57"/>
  <c r="T1007" i="57"/>
  <c r="T1008" i="57"/>
  <c r="T1009" i="57"/>
  <c r="T1010" i="57"/>
  <c r="T1011" i="57"/>
  <c r="T1012" i="57"/>
  <c r="T1013" i="57"/>
  <c r="T1014" i="57"/>
  <c r="T1015" i="57"/>
  <c r="T1016" i="57"/>
  <c r="T932" i="57"/>
  <c r="T931" i="57"/>
  <c r="T930" i="57"/>
  <c r="T810" i="57"/>
  <c r="T811" i="57"/>
  <c r="T812" i="57"/>
  <c r="T814" i="57"/>
  <c r="T815" i="57"/>
  <c r="T816" i="57"/>
  <c r="T817" i="57"/>
  <c r="T818" i="57"/>
  <c r="T819" i="57"/>
  <c r="T820" i="57"/>
  <c r="T821" i="57"/>
  <c r="T824" i="57"/>
  <c r="T825" i="57"/>
  <c r="T826" i="57"/>
  <c r="T827" i="57"/>
  <c r="T828" i="57"/>
  <c r="T829" i="57"/>
  <c r="T830" i="57"/>
  <c r="T831" i="57"/>
  <c r="T832" i="57"/>
  <c r="T833" i="57"/>
  <c r="T834" i="57"/>
  <c r="T835" i="57"/>
  <c r="T836" i="57"/>
  <c r="T837" i="57"/>
  <c r="T838" i="57"/>
  <c r="T839" i="57"/>
  <c r="T840" i="57"/>
  <c r="T841" i="57"/>
  <c r="T842" i="57"/>
  <c r="T843" i="57"/>
  <c r="T844" i="57"/>
  <c r="T845" i="57"/>
  <c r="T846" i="57"/>
  <c r="T847" i="57"/>
  <c r="T848" i="57"/>
  <c r="T849" i="57"/>
  <c r="T850" i="57"/>
  <c r="T851" i="57"/>
  <c r="T852" i="57"/>
  <c r="T854" i="57"/>
  <c r="T855" i="57"/>
  <c r="T856" i="57"/>
  <c r="T857" i="57"/>
  <c r="T858" i="57"/>
  <c r="T859" i="57"/>
  <c r="T860" i="57"/>
  <c r="T861" i="57"/>
  <c r="T862" i="57"/>
  <c r="T863" i="57"/>
  <c r="T864" i="57"/>
  <c r="T865" i="57"/>
  <c r="T866" i="57"/>
  <c r="T867" i="57"/>
  <c r="T868" i="57"/>
  <c r="T869" i="57"/>
  <c r="T872" i="57"/>
  <c r="T873" i="57"/>
  <c r="T874" i="57"/>
  <c r="T875" i="57"/>
  <c r="T876" i="57"/>
  <c r="T877" i="57"/>
  <c r="T878" i="57"/>
  <c r="T879" i="57"/>
  <c r="T880" i="57"/>
  <c r="T881" i="57"/>
  <c r="T882" i="57"/>
  <c r="T884" i="57"/>
  <c r="T885" i="57"/>
  <c r="T886" i="57"/>
  <c r="T887" i="57"/>
  <c r="T888" i="57"/>
  <c r="T889" i="57"/>
  <c r="T890" i="57"/>
  <c r="T892" i="57"/>
  <c r="T893" i="57"/>
  <c r="T894" i="57"/>
  <c r="T895" i="57"/>
  <c r="T896" i="57"/>
  <c r="T897" i="57"/>
  <c r="T899" i="57"/>
  <c r="T900" i="57"/>
  <c r="T901" i="57"/>
  <c r="T902" i="57"/>
  <c r="T903" i="57"/>
  <c r="T904" i="57"/>
  <c r="T905" i="57"/>
  <c r="T907" i="57"/>
  <c r="T908" i="57"/>
  <c r="T909" i="57"/>
  <c r="T910" i="57"/>
  <c r="T913" i="57"/>
  <c r="T914" i="57"/>
  <c r="T915" i="57"/>
  <c r="T916" i="57"/>
  <c r="T917" i="57"/>
  <c r="T918" i="57"/>
  <c r="T919" i="57"/>
  <c r="T920" i="57"/>
  <c r="T921" i="57"/>
  <c r="T922" i="57"/>
  <c r="T923" i="57"/>
  <c r="T924" i="57"/>
  <c r="T925" i="57"/>
  <c r="T926" i="57"/>
  <c r="T927" i="57"/>
  <c r="T809" i="57"/>
  <c r="T806" i="57"/>
  <c r="T805" i="57"/>
  <c r="T804" i="57"/>
  <c r="T803" i="57"/>
  <c r="T802" i="57"/>
  <c r="T801" i="57"/>
  <c r="T800" i="57"/>
  <c r="T799" i="57"/>
  <c r="T798" i="57"/>
  <c r="T797" i="57"/>
  <c r="T796" i="57"/>
  <c r="T795" i="57"/>
  <c r="T794" i="57"/>
  <c r="T793" i="57"/>
  <c r="T792" i="57"/>
  <c r="T790" i="57"/>
  <c r="T789" i="57"/>
  <c r="T788" i="57"/>
  <c r="T787" i="57"/>
  <c r="T786" i="57"/>
  <c r="T785" i="57"/>
  <c r="T784" i="57"/>
  <c r="T783" i="57"/>
  <c r="T782" i="57"/>
  <c r="T781" i="57"/>
  <c r="T779" i="57"/>
  <c r="T778" i="57"/>
  <c r="T776" i="57"/>
  <c r="T775" i="57"/>
  <c r="T773" i="57"/>
  <c r="T772" i="57"/>
  <c r="T771" i="57"/>
  <c r="T770" i="57"/>
  <c r="T769" i="57"/>
  <c r="T768" i="57"/>
  <c r="T767" i="57"/>
  <c r="T766" i="57"/>
  <c r="T764" i="57"/>
  <c r="T763" i="57"/>
  <c r="T762" i="57"/>
  <c r="T761" i="57"/>
  <c r="T760" i="57"/>
  <c r="T759" i="57"/>
  <c r="T758" i="57"/>
  <c r="T757" i="57"/>
  <c r="T756" i="57"/>
  <c r="T755" i="57"/>
  <c r="T754" i="57"/>
  <c r="T752" i="57"/>
  <c r="T751" i="57"/>
  <c r="T750" i="57"/>
  <c r="T749" i="57"/>
  <c r="T748" i="57"/>
  <c r="T746" i="57"/>
  <c r="T745" i="57"/>
  <c r="T744" i="57"/>
  <c r="T742" i="57"/>
  <c r="T741" i="57"/>
  <c r="T740" i="57"/>
  <c r="T739" i="57"/>
  <c r="T738" i="57"/>
  <c r="T737" i="57"/>
  <c r="T735" i="57"/>
  <c r="T734" i="57"/>
  <c r="T733" i="57"/>
  <c r="T732" i="57"/>
  <c r="T731" i="57"/>
  <c r="T730" i="57"/>
  <c r="T729" i="57"/>
  <c r="T727" i="57"/>
  <c r="T726" i="57"/>
  <c r="T725" i="57"/>
  <c r="T724" i="57"/>
  <c r="T723" i="57"/>
  <c r="T722" i="57"/>
  <c r="T721" i="57"/>
  <c r="T720" i="57"/>
  <c r="T719" i="57"/>
  <c r="T718" i="57"/>
  <c r="T717" i="57"/>
  <c r="T716" i="57"/>
  <c r="T714" i="57"/>
  <c r="T713" i="57"/>
  <c r="T710" i="57"/>
  <c r="T709" i="57"/>
  <c r="T708" i="57"/>
  <c r="T707" i="57"/>
  <c r="T706" i="57"/>
  <c r="T705" i="57"/>
  <c r="T704" i="57"/>
  <c r="T703" i="57"/>
  <c r="T702" i="57"/>
  <c r="T701" i="57"/>
  <c r="T700" i="57"/>
  <c r="T699" i="57"/>
  <c r="T562" i="57"/>
  <c r="T565" i="57"/>
  <c r="T566" i="57"/>
  <c r="T567" i="57"/>
  <c r="T568" i="57"/>
  <c r="T569" i="57"/>
  <c r="T570" i="57"/>
  <c r="T571" i="57"/>
  <c r="T572" i="57"/>
  <c r="T573" i="57"/>
  <c r="T574" i="57"/>
  <c r="T575" i="57"/>
  <c r="T576" i="57"/>
  <c r="T578" i="57"/>
  <c r="T582" i="57"/>
  <c r="T583" i="57"/>
  <c r="T584" i="57"/>
  <c r="T585" i="57"/>
  <c r="T586" i="57"/>
  <c r="T587" i="57"/>
  <c r="T588" i="57"/>
  <c r="T589" i="57"/>
  <c r="T590" i="57"/>
  <c r="T591" i="57"/>
  <c r="T592" i="57"/>
  <c r="T593" i="57"/>
  <c r="T594" i="57"/>
  <c r="T596" i="57"/>
  <c r="T597" i="57"/>
  <c r="T598" i="57"/>
  <c r="T601" i="57"/>
  <c r="T602" i="57"/>
  <c r="T604" i="57"/>
  <c r="T605" i="57"/>
  <c r="T606" i="57"/>
  <c r="T608" i="57"/>
  <c r="T609" i="57"/>
  <c r="T610" i="57"/>
  <c r="T611" i="57"/>
  <c r="T612" i="57"/>
  <c r="T613" i="57"/>
  <c r="T614" i="57"/>
  <c r="T615" i="57"/>
  <c r="T616" i="57"/>
  <c r="T617" i="57"/>
  <c r="T618" i="57"/>
  <c r="T619" i="57"/>
  <c r="T620" i="57"/>
  <c r="T621" i="57"/>
  <c r="T622" i="57"/>
  <c r="T623" i="57"/>
  <c r="T624" i="57"/>
  <c r="T625" i="57"/>
  <c r="T627" i="57"/>
  <c r="T628" i="57"/>
  <c r="T630" i="57"/>
  <c r="T633" i="57"/>
  <c r="T634" i="57"/>
  <c r="T635" i="57"/>
  <c r="T636" i="57"/>
  <c r="T637" i="57"/>
  <c r="T638" i="57"/>
  <c r="T639" i="57"/>
  <c r="T641" i="57"/>
  <c r="T643" i="57"/>
  <c r="T645" i="57"/>
  <c r="T646" i="57"/>
  <c r="T649" i="57"/>
  <c r="T650" i="57"/>
  <c r="T651" i="57"/>
  <c r="T654" i="57"/>
  <c r="T657" i="57"/>
  <c r="T658" i="57"/>
  <c r="T660" i="57"/>
  <c r="T661" i="57"/>
  <c r="T662" i="57"/>
  <c r="T663" i="57"/>
  <c r="T664" i="57"/>
  <c r="T665" i="57"/>
  <c r="T666" i="57"/>
  <c r="T667" i="57"/>
  <c r="T670" i="57"/>
  <c r="T671" i="57"/>
  <c r="T672" i="57"/>
  <c r="T673" i="57"/>
  <c r="T674" i="57"/>
  <c r="T675" i="57"/>
  <c r="T678" i="57"/>
  <c r="T681" i="57"/>
  <c r="T683" i="57"/>
  <c r="T684" i="57"/>
  <c r="T685" i="57"/>
  <c r="T686" i="57"/>
  <c r="T688" i="57"/>
  <c r="T689" i="57"/>
  <c r="T690" i="57"/>
  <c r="T691" i="57"/>
  <c r="T694" i="57"/>
  <c r="T695" i="57"/>
  <c r="T696" i="57"/>
  <c r="T561" i="57"/>
  <c r="T560" i="57"/>
  <c r="T559" i="57"/>
  <c r="T558" i="57"/>
  <c r="T557" i="57"/>
  <c r="T555" i="57"/>
  <c r="T554" i="57"/>
  <c r="T553" i="57"/>
  <c r="T549" i="57"/>
  <c r="T548" i="57"/>
  <c r="T544" i="57"/>
  <c r="T542" i="57"/>
  <c r="T541" i="57"/>
  <c r="T540" i="57"/>
  <c r="T539" i="57"/>
  <c r="T538" i="57"/>
  <c r="T536" i="57"/>
  <c r="T535" i="57"/>
  <c r="T534" i="57"/>
  <c r="T533" i="57"/>
  <c r="T532" i="57"/>
  <c r="T531" i="57"/>
  <c r="T530" i="57"/>
  <c r="T529" i="57"/>
  <c r="T506" i="57"/>
  <c r="T507" i="57"/>
  <c r="T508" i="57"/>
  <c r="T509" i="57"/>
  <c r="T510" i="57"/>
  <c r="T511" i="57"/>
  <c r="T512" i="57"/>
  <c r="T513" i="57"/>
  <c r="T514" i="57"/>
  <c r="T515" i="57"/>
  <c r="T516" i="57"/>
  <c r="T517" i="57"/>
  <c r="T518" i="57"/>
  <c r="T519" i="57"/>
  <c r="T520" i="57"/>
  <c r="T522" i="57"/>
  <c r="T523" i="57"/>
  <c r="T524" i="57"/>
  <c r="T525" i="57"/>
  <c r="T526" i="57"/>
  <c r="T505" i="57"/>
  <c r="T504" i="57"/>
  <c r="T503" i="57"/>
  <c r="T502" i="57"/>
  <c r="T501" i="57"/>
  <c r="T500" i="57"/>
  <c r="T499" i="57"/>
  <c r="T498" i="57"/>
  <c r="T497" i="57"/>
  <c r="T496" i="57"/>
  <c r="T495" i="57"/>
  <c r="T494" i="57"/>
  <c r="T484" i="57"/>
  <c r="T485" i="57"/>
  <c r="T486" i="57"/>
  <c r="T488" i="57"/>
  <c r="T489" i="57"/>
  <c r="T490" i="57"/>
  <c r="T483" i="57"/>
  <c r="T482" i="57"/>
  <c r="T481" i="57"/>
  <c r="T480" i="57"/>
  <c r="T438" i="57"/>
  <c r="T439" i="57"/>
  <c r="T440" i="57"/>
  <c r="T441" i="57"/>
  <c r="T442" i="57"/>
  <c r="T443" i="57"/>
  <c r="T444" i="57"/>
  <c r="T445" i="57"/>
  <c r="T446" i="57"/>
  <c r="T447" i="57"/>
  <c r="T448" i="57"/>
  <c r="T449" i="57"/>
  <c r="T450" i="57"/>
  <c r="T451" i="57"/>
  <c r="T453" i="57"/>
  <c r="T454" i="57"/>
  <c r="T455" i="57"/>
  <c r="T456" i="57"/>
  <c r="T458" i="57"/>
  <c r="T459" i="57"/>
  <c r="T460" i="57"/>
  <c r="T461" i="57"/>
  <c r="T462" i="57"/>
  <c r="T463" i="57"/>
  <c r="T464" i="57"/>
  <c r="T465" i="57"/>
  <c r="T466" i="57"/>
  <c r="T467" i="57"/>
  <c r="T468" i="57"/>
  <c r="T469" i="57"/>
  <c r="T470" i="57"/>
  <c r="T471" i="57"/>
  <c r="T472" i="57"/>
  <c r="T473" i="57"/>
  <c r="T474" i="57"/>
  <c r="T475" i="57"/>
  <c r="T477" i="57"/>
  <c r="T437" i="57"/>
  <c r="T436" i="57"/>
  <c r="T435" i="57"/>
  <c r="T434" i="57"/>
  <c r="T433" i="57"/>
  <c r="T432" i="57"/>
  <c r="T429" i="57"/>
  <c r="T428" i="57"/>
  <c r="T427" i="57"/>
  <c r="T426" i="57"/>
  <c r="T425" i="57"/>
  <c r="T424" i="57"/>
  <c r="T421" i="57"/>
  <c r="T420" i="57"/>
  <c r="T419" i="57"/>
  <c r="T418" i="57"/>
  <c r="T417" i="57"/>
  <c r="T306" i="57"/>
  <c r="T307" i="57"/>
  <c r="T308" i="57"/>
  <c r="T309" i="57"/>
  <c r="T310" i="57"/>
  <c r="T311" i="57"/>
  <c r="T312" i="57"/>
  <c r="T313" i="57"/>
  <c r="T314" i="57"/>
  <c r="T315" i="57"/>
  <c r="T316" i="57"/>
  <c r="T317" i="57"/>
  <c r="T318" i="57"/>
  <c r="T319" i="57"/>
  <c r="T321" i="57"/>
  <c r="T322" i="57"/>
  <c r="T323" i="57"/>
  <c r="T324" i="57"/>
  <c r="T325" i="57"/>
  <c r="T326" i="57"/>
  <c r="T327" i="57"/>
  <c r="T328" i="57"/>
  <c r="T329" i="57"/>
  <c r="T330" i="57"/>
  <c r="T331" i="57"/>
  <c r="T332" i="57"/>
  <c r="T333" i="57"/>
  <c r="T334" i="57"/>
  <c r="T335" i="57"/>
  <c r="T336" i="57"/>
  <c r="T337" i="57"/>
  <c r="T338" i="57"/>
  <c r="T340" i="57"/>
  <c r="T341" i="57"/>
  <c r="T342" i="57"/>
  <c r="T343" i="57"/>
  <c r="T344" i="57"/>
  <c r="T345" i="57"/>
  <c r="T346" i="57"/>
  <c r="T347" i="57"/>
  <c r="T348" i="57"/>
  <c r="T349" i="57"/>
  <c r="T350" i="57"/>
  <c r="T351" i="57"/>
  <c r="T352" i="57"/>
  <c r="T353" i="57"/>
  <c r="T354" i="57"/>
  <c r="T355" i="57"/>
  <c r="T356" i="57"/>
  <c r="T357" i="57"/>
  <c r="T358" i="57"/>
  <c r="T359" i="57"/>
  <c r="T360" i="57"/>
  <c r="T361" i="57"/>
  <c r="T363" i="57"/>
  <c r="T364" i="57"/>
  <c r="T365" i="57"/>
  <c r="T366" i="57"/>
  <c r="T367" i="57"/>
  <c r="T369" i="57"/>
  <c r="T370" i="57"/>
  <c r="T371" i="57"/>
  <c r="T372" i="57"/>
  <c r="T373" i="57"/>
  <c r="T374" i="57"/>
  <c r="T375" i="57"/>
  <c r="T376" i="57"/>
  <c r="T377" i="57"/>
  <c r="T378" i="57"/>
  <c r="T379" i="57"/>
  <c r="T380" i="57"/>
  <c r="T382" i="57"/>
  <c r="T383" i="57"/>
  <c r="T384" i="57"/>
  <c r="T385" i="57"/>
  <c r="T386" i="57"/>
  <c r="T387" i="57"/>
  <c r="T388" i="57"/>
  <c r="T389" i="57"/>
  <c r="T390" i="57"/>
  <c r="T391" i="57"/>
  <c r="T393" i="57"/>
  <c r="T394" i="57"/>
  <c r="T395" i="57"/>
  <c r="T396" i="57"/>
  <c r="T397" i="57"/>
  <c r="T398" i="57"/>
  <c r="T399" i="57"/>
  <c r="T400" i="57"/>
  <c r="T401" i="57"/>
  <c r="T402" i="57"/>
  <c r="T403" i="57"/>
  <c r="T404" i="57"/>
  <c r="T405" i="57"/>
  <c r="T406" i="57"/>
  <c r="T407" i="57"/>
  <c r="T408" i="57"/>
  <c r="T409" i="57"/>
  <c r="T410" i="57"/>
  <c r="T411" i="57"/>
  <c r="T412" i="57"/>
  <c r="T413" i="57"/>
  <c r="T305" i="57"/>
  <c r="T304" i="57"/>
  <c r="T303" i="57"/>
  <c r="T302" i="57"/>
  <c r="T301" i="57"/>
  <c r="T300" i="57"/>
  <c r="T299" i="57"/>
  <c r="T298" i="57"/>
  <c r="T297" i="57"/>
  <c r="T296" i="57"/>
  <c r="T295" i="57"/>
  <c r="T294" i="57"/>
  <c r="T292" i="57"/>
  <c r="T291" i="57"/>
  <c r="T290" i="57"/>
  <c r="T289" i="57"/>
  <c r="T286" i="57"/>
  <c r="T285" i="57"/>
  <c r="T284" i="57"/>
  <c r="T282" i="57"/>
  <c r="T281" i="57"/>
  <c r="T280" i="57"/>
  <c r="T277" i="57"/>
  <c r="T276" i="57"/>
  <c r="T274" i="57"/>
  <c r="T273" i="57"/>
  <c r="T272" i="57"/>
  <c r="T271" i="57"/>
  <c r="T270" i="57"/>
  <c r="T269" i="57"/>
  <c r="T268" i="57"/>
  <c r="T267" i="57"/>
  <c r="T266" i="57"/>
  <c r="T265" i="57"/>
  <c r="T264" i="57"/>
  <c r="T263" i="57"/>
  <c r="T262" i="57"/>
  <c r="T261" i="57"/>
  <c r="T260" i="57"/>
  <c r="T259" i="57"/>
  <c r="T258" i="57"/>
  <c r="T257" i="57"/>
  <c r="T256" i="57"/>
  <c r="T255" i="57"/>
  <c r="T254" i="57"/>
  <c r="T253" i="57"/>
  <c r="T252" i="57"/>
  <c r="T251" i="57"/>
  <c r="T250" i="57"/>
  <c r="T249" i="57"/>
  <c r="T248" i="57"/>
  <c r="T247" i="57"/>
  <c r="T246" i="57"/>
  <c r="T245" i="57"/>
  <c r="T244" i="57"/>
  <c r="T227" i="57"/>
  <c r="T228" i="57"/>
  <c r="T229" i="57"/>
  <c r="T230" i="57"/>
  <c r="T231" i="57"/>
  <c r="T232" i="57"/>
  <c r="T233" i="57"/>
  <c r="T234" i="57"/>
  <c r="T235" i="57"/>
  <c r="T236" i="57"/>
  <c r="T237" i="57"/>
  <c r="T238" i="57"/>
  <c r="T239" i="57"/>
  <c r="T240" i="57"/>
  <c r="T241" i="57"/>
  <c r="T226" i="57"/>
  <c r="T225" i="57"/>
  <c r="T184" i="57"/>
  <c r="T185" i="57"/>
  <c r="T186" i="57"/>
  <c r="T187" i="57"/>
  <c r="T188" i="57"/>
  <c r="T189" i="57"/>
  <c r="T190" i="57"/>
  <c r="T191" i="57"/>
  <c r="T192" i="57"/>
  <c r="T193" i="57"/>
  <c r="T194" i="57"/>
  <c r="T195" i="57"/>
  <c r="T196" i="57"/>
  <c r="T197" i="57"/>
  <c r="T198" i="57"/>
  <c r="T199" i="57"/>
  <c r="T200" i="57"/>
  <c r="T201" i="57"/>
  <c r="T202" i="57"/>
  <c r="T203" i="57"/>
  <c r="T204" i="57"/>
  <c r="T206" i="57"/>
  <c r="T210" i="57"/>
  <c r="T211" i="57"/>
  <c r="T212" i="57"/>
  <c r="T213" i="57"/>
  <c r="T214" i="57"/>
  <c r="T215" i="57"/>
  <c r="T216" i="57"/>
  <c r="T217" i="57"/>
  <c r="T218" i="57"/>
  <c r="T219" i="57"/>
  <c r="T220" i="57"/>
  <c r="T221" i="57"/>
  <c r="T183" i="57"/>
  <c r="T182" i="57"/>
  <c r="T181" i="57"/>
  <c r="T180" i="57"/>
  <c r="T179" i="57"/>
  <c r="T178" i="57"/>
  <c r="T177" i="57"/>
  <c r="T176" i="57"/>
  <c r="T175" i="57"/>
  <c r="T174" i="57"/>
  <c r="T173" i="57"/>
  <c r="T172" i="57"/>
  <c r="T171" i="57"/>
  <c r="T170" i="57"/>
  <c r="T169" i="57"/>
  <c r="T168" i="57"/>
  <c r="T167" i="57"/>
  <c r="T166" i="57"/>
  <c r="T165" i="57"/>
  <c r="T164" i="57"/>
  <c r="T163" i="57"/>
  <c r="T162" i="57"/>
  <c r="T161" i="57"/>
  <c r="T160" i="57"/>
  <c r="T159" i="57"/>
  <c r="T158" i="57"/>
  <c r="T156" i="57"/>
  <c r="T155" i="57"/>
  <c r="T154" i="57"/>
  <c r="T153" i="57"/>
  <c r="T152" i="57"/>
  <c r="T151" i="57"/>
  <c r="T150" i="57"/>
  <c r="T149" i="57"/>
  <c r="T148" i="57"/>
  <c r="T147" i="57"/>
  <c r="T146" i="57"/>
  <c r="T145" i="57"/>
  <c r="T144" i="57"/>
  <c r="T143" i="57"/>
  <c r="T142" i="57"/>
  <c r="T141" i="57"/>
  <c r="T140" i="57"/>
  <c r="T139" i="57"/>
  <c r="T138" i="57"/>
  <c r="T137" i="57"/>
  <c r="T136" i="57"/>
  <c r="T135" i="57"/>
  <c r="T133" i="57"/>
  <c r="T132" i="57"/>
  <c r="T131" i="57"/>
  <c r="T130" i="57"/>
  <c r="T129" i="57"/>
  <c r="T128" i="57"/>
  <c r="T96" i="57"/>
  <c r="T97" i="57"/>
  <c r="T98" i="57"/>
  <c r="T99" i="57"/>
  <c r="T100" i="57"/>
  <c r="T101" i="57"/>
  <c r="T102" i="57"/>
  <c r="T103" i="57"/>
  <c r="T104" i="57"/>
  <c r="T105" i="57"/>
  <c r="T106" i="57"/>
  <c r="T107" i="57"/>
  <c r="T108" i="57"/>
  <c r="T109" i="57"/>
  <c r="T111" i="57"/>
  <c r="T112" i="57"/>
  <c r="T113" i="57"/>
  <c r="T114" i="57"/>
  <c r="T115" i="57"/>
  <c r="T116" i="57"/>
  <c r="T117" i="57"/>
  <c r="T118" i="57"/>
  <c r="T119" i="57"/>
  <c r="T120" i="57"/>
  <c r="T121" i="57"/>
  <c r="T122" i="57"/>
  <c r="T123" i="57"/>
  <c r="T124" i="57"/>
  <c r="T125" i="57"/>
  <c r="T95" i="57"/>
  <c r="T94" i="57"/>
  <c r="T93" i="57"/>
  <c r="T92" i="57"/>
  <c r="T91" i="57"/>
  <c r="T90" i="57"/>
  <c r="T89" i="57"/>
  <c r="T88" i="57"/>
  <c r="T87" i="57"/>
  <c r="T86" i="57"/>
  <c r="T85" i="57"/>
  <c r="T84" i="57"/>
  <c r="T83" i="57"/>
  <c r="T82" i="57"/>
  <c r="T81" i="57"/>
  <c r="T80" i="57"/>
  <c r="T79" i="57"/>
  <c r="T78" i="57"/>
  <c r="T77" i="57"/>
  <c r="T76" i="57"/>
  <c r="T75" i="57"/>
  <c r="T74" i="57"/>
  <c r="T73" i="57"/>
  <c r="T72" i="57"/>
  <c r="T71" i="57"/>
  <c r="T70" i="57"/>
  <c r="T43" i="57"/>
  <c r="T44" i="57"/>
  <c r="T45" i="57"/>
  <c r="T46" i="57"/>
  <c r="T48" i="57"/>
  <c r="T49" i="57"/>
  <c r="T50" i="57"/>
  <c r="T51" i="57"/>
  <c r="T52" i="57"/>
  <c r="T53" i="57"/>
  <c r="T54" i="57"/>
  <c r="T55" i="57"/>
  <c r="T56" i="57"/>
  <c r="T57" i="57"/>
  <c r="T59" i="57"/>
  <c r="T60" i="57"/>
  <c r="T61" i="57"/>
  <c r="T62" i="57"/>
  <c r="T63" i="57"/>
  <c r="T64" i="57"/>
  <c r="T65" i="57"/>
  <c r="T66" i="57"/>
  <c r="T67" i="57"/>
  <c r="T42" i="57"/>
  <c r="T14" i="57"/>
  <c r="T15" i="57"/>
  <c r="T16" i="57"/>
  <c r="T17" i="57"/>
  <c r="T18" i="57"/>
  <c r="T19" i="57"/>
  <c r="T20" i="57"/>
  <c r="T21" i="57"/>
  <c r="T22" i="57"/>
  <c r="T23" i="57"/>
  <c r="T24" i="57"/>
  <c r="T25" i="57"/>
  <c r="T26" i="57"/>
  <c r="T27" i="57"/>
  <c r="T28" i="57"/>
  <c r="T29" i="57"/>
  <c r="T30" i="57"/>
  <c r="T31" i="57"/>
  <c r="T32" i="57"/>
  <c r="T33" i="57"/>
  <c r="T34" i="57"/>
  <c r="T35" i="57"/>
  <c r="T36" i="57"/>
  <c r="T37" i="57"/>
  <c r="T38" i="57"/>
  <c r="T39" i="57"/>
  <c r="T13" i="57"/>
  <c r="T6" i="57"/>
  <c r="T7" i="57"/>
  <c r="T8" i="57"/>
  <c r="T9" i="57"/>
  <c r="T10" i="57"/>
  <c r="T5" i="57"/>
  <c r="T4" i="57"/>
  <c r="T15" i="118"/>
  <c r="T16" i="118"/>
  <c r="T17" i="118"/>
  <c r="T18" i="118"/>
  <c r="T19" i="118"/>
  <c r="T21" i="118"/>
  <c r="T22" i="118"/>
  <c r="T23" i="118"/>
  <c r="T24" i="118"/>
  <c r="T25" i="118"/>
  <c r="T26" i="118"/>
  <c r="T27" i="118"/>
  <c r="T28" i="118"/>
  <c r="T29" i="118"/>
  <c r="T31" i="118"/>
  <c r="T32" i="118"/>
  <c r="T33" i="118"/>
  <c r="T34" i="118"/>
  <c r="T35" i="118"/>
  <c r="T36" i="118"/>
  <c r="T37" i="118"/>
  <c r="T38" i="118"/>
  <c r="T39" i="118"/>
  <c r="T40" i="118"/>
  <c r="T14" i="118"/>
  <c r="T13" i="118"/>
  <c r="T12" i="118"/>
  <c r="T11" i="118"/>
  <c r="T10" i="118"/>
  <c r="T9" i="118"/>
  <c r="T8" i="118"/>
  <c r="T7" i="118"/>
  <c r="T6" i="118"/>
  <c r="T5" i="118"/>
  <c r="T4" i="118"/>
  <c r="T3" i="118"/>
  <c r="T2" i="118"/>
  <c r="T1" i="118"/>
  <c r="Y75" i="74" l="1"/>
  <c r="X75" i="74"/>
  <c r="AG510" i="57"/>
  <c r="AJ510" i="57"/>
  <c r="X510" i="57"/>
  <c r="V510" i="57" l="1"/>
  <c r="AI510" i="57"/>
  <c r="Z510" i="57"/>
  <c r="AA510" i="57" s="1"/>
  <c r="X29" i="118"/>
  <c r="AK29" i="118"/>
  <c r="V29" i="118" l="1"/>
  <c r="Z29" i="118"/>
  <c r="AA29" i="118" s="1"/>
  <c r="AJ29" i="118"/>
  <c r="AG594" i="57"/>
  <c r="X594" i="57"/>
  <c r="AJ594" i="57"/>
  <c r="V594" i="57" l="1"/>
  <c r="AI594" i="57"/>
  <c r="Z594" i="57"/>
  <c r="AA594" i="57" s="1"/>
  <c r="AG62" i="74"/>
  <c r="N62" i="74"/>
  <c r="Z62" i="74" l="1"/>
  <c r="AA62" i="74" s="1"/>
  <c r="V62" i="74"/>
  <c r="AG1772" i="57"/>
  <c r="X1772" i="57"/>
  <c r="AJ1772" i="57"/>
  <c r="V1772" i="57" l="1"/>
  <c r="AI1772" i="57"/>
  <c r="Z1772" i="57"/>
  <c r="AA1772" i="57" s="1"/>
  <c r="AG187" i="114"/>
  <c r="N187" i="114"/>
  <c r="Z187" i="114" l="1"/>
  <c r="AA187" i="114" s="1"/>
  <c r="V187" i="114"/>
  <c r="AJ15" i="28"/>
  <c r="X26" i="28"/>
  <c r="X38" i="28"/>
  <c r="X40" i="118"/>
  <c r="X17" i="28"/>
  <c r="X23" i="28"/>
  <c r="X27" i="28"/>
  <c r="X34" i="28"/>
  <c r="X24" i="28"/>
  <c r="X29" i="28"/>
  <c r="X21" i="28"/>
  <c r="X37" i="28"/>
  <c r="X32" i="28"/>
  <c r="X19" i="28"/>
  <c r="X28" i="28"/>
  <c r="X25" i="28"/>
  <c r="X36" i="28"/>
  <c r="X20" i="28"/>
  <c r="X18" i="28"/>
  <c r="X31" i="28"/>
  <c r="X39" i="28"/>
  <c r="AK40" i="118"/>
  <c r="X30" i="28"/>
  <c r="X33" i="28"/>
  <c r="X35" i="28"/>
  <c r="V33" i="28" l="1"/>
  <c r="V24" i="28"/>
  <c r="V34" i="28"/>
  <c r="V17" i="28"/>
  <c r="V21" i="28"/>
  <c r="V26" i="28"/>
  <c r="V23" i="28"/>
  <c r="V40" i="118"/>
  <c r="V30" i="28"/>
  <c r="V35" i="28"/>
  <c r="V20" i="28"/>
  <c r="V18" i="28"/>
  <c r="V28" i="28"/>
  <c r="V19" i="28"/>
  <c r="V36" i="28"/>
  <c r="V37" i="28"/>
  <c r="V32" i="28"/>
  <c r="V29" i="28"/>
  <c r="V25" i="28"/>
  <c r="V31" i="28"/>
  <c r="V38" i="28"/>
  <c r="V27" i="28"/>
  <c r="V39" i="28"/>
  <c r="Z19" i="28"/>
  <c r="AA19" i="28" s="1"/>
  <c r="Z23" i="28"/>
  <c r="AA23" i="28" s="1"/>
  <c r="Z26" i="28"/>
  <c r="AA26" i="28" s="1"/>
  <c r="Z25" i="28"/>
  <c r="AA25" i="28" s="1"/>
  <c r="Z34" i="28"/>
  <c r="AA34" i="28" s="1"/>
  <c r="Z29" i="28"/>
  <c r="AA29" i="28" s="1"/>
  <c r="Z30" i="28"/>
  <c r="AA30" i="28" s="1"/>
  <c r="Z31" i="28"/>
  <c r="AA31" i="28" s="1"/>
  <c r="Z27" i="28"/>
  <c r="AA27" i="28" s="1"/>
  <c r="Z33" i="28"/>
  <c r="AA33" i="28" s="1"/>
  <c r="Z35" i="28"/>
  <c r="AA35" i="28" s="1"/>
  <c r="AJ40" i="118"/>
  <c r="Z40" i="118"/>
  <c r="AA40" i="118" s="1"/>
  <c r="AK39" i="118"/>
  <c r="X39" i="118"/>
  <c r="V39" i="118" l="1"/>
  <c r="AJ39" i="118"/>
  <c r="Z39" i="118"/>
  <c r="AA39" i="118" s="1"/>
  <c r="AK38" i="118"/>
  <c r="X38" i="118"/>
  <c r="V38" i="118" l="1"/>
  <c r="AJ38" i="118"/>
  <c r="Z38" i="118"/>
  <c r="AA38" i="118" s="1"/>
  <c r="AK37" i="118"/>
  <c r="X37" i="118"/>
  <c r="V37" i="118" l="1"/>
  <c r="Z37" i="118"/>
  <c r="AA37" i="118" s="1"/>
  <c r="AJ37" i="118"/>
  <c r="X36" i="118"/>
  <c r="AK36" i="118"/>
  <c r="V36" i="118" l="1"/>
  <c r="Z36" i="118"/>
  <c r="AA36" i="118" s="1"/>
  <c r="AJ36" i="118"/>
  <c r="AK35" i="118"/>
  <c r="X35" i="118"/>
  <c r="V35" i="118" l="1"/>
  <c r="Z35" i="118"/>
  <c r="AA35" i="118" s="1"/>
  <c r="AJ35" i="118"/>
  <c r="X34" i="118"/>
  <c r="AK34" i="118"/>
  <c r="V34" i="118" l="1"/>
  <c r="Z34" i="118"/>
  <c r="AA34" i="118" s="1"/>
  <c r="AJ34" i="118"/>
  <c r="X33" i="118"/>
  <c r="AK33" i="118"/>
  <c r="V33" i="118" l="1"/>
  <c r="Z33" i="118"/>
  <c r="AA33" i="118" s="1"/>
  <c r="AJ33" i="118"/>
  <c r="AK32" i="118"/>
  <c r="X32" i="118"/>
  <c r="V32" i="118" l="1"/>
  <c r="Z32" i="118"/>
  <c r="AA32" i="118" s="1"/>
  <c r="AJ32" i="118"/>
  <c r="X31" i="118"/>
  <c r="AK31" i="118"/>
  <c r="V31" i="118" l="1"/>
  <c r="Z31" i="118"/>
  <c r="AA31" i="118" s="1"/>
  <c r="AJ31" i="118"/>
  <c r="X28" i="118"/>
  <c r="AK28" i="118"/>
  <c r="V28" i="118" l="1"/>
  <c r="Z28" i="118"/>
  <c r="AA28" i="118" s="1"/>
  <c r="AJ28" i="118"/>
  <c r="X27" i="118"/>
  <c r="AK27" i="118"/>
  <c r="V27" i="118" l="1"/>
  <c r="Z27" i="118"/>
  <c r="AA27" i="118" s="1"/>
  <c r="AJ27" i="118"/>
  <c r="AK26" i="118"/>
  <c r="X26" i="118"/>
  <c r="V26" i="118" l="1"/>
  <c r="Z26" i="118"/>
  <c r="AA26" i="118" s="1"/>
  <c r="AJ26" i="118"/>
  <c r="X25" i="118"/>
  <c r="AK25" i="118"/>
  <c r="V25" i="118" l="1"/>
  <c r="Z25" i="118"/>
  <c r="AA25" i="118" s="1"/>
  <c r="AJ25" i="118"/>
  <c r="X24" i="118"/>
  <c r="AK24" i="118"/>
  <c r="V24" i="118" l="1"/>
  <c r="Z24" i="118"/>
  <c r="AA24" i="118" s="1"/>
  <c r="AJ24" i="118"/>
  <c r="X23" i="118"/>
  <c r="AK23" i="118"/>
  <c r="V23" i="118" l="1"/>
  <c r="Z23" i="118"/>
  <c r="AA23" i="118" s="1"/>
  <c r="AJ23" i="118"/>
  <c r="AK22" i="118"/>
  <c r="X22" i="118"/>
  <c r="V22" i="118" l="1"/>
  <c r="Z22" i="118"/>
  <c r="AA22" i="118" s="1"/>
  <c r="AJ22" i="118"/>
  <c r="AK21" i="118"/>
  <c r="X21" i="118"/>
  <c r="V21" i="118" l="1"/>
  <c r="Z21" i="118"/>
  <c r="AA21" i="118" s="1"/>
  <c r="AJ21" i="118"/>
  <c r="AK19" i="118"/>
  <c r="X19" i="118"/>
  <c r="V19" i="118" l="1"/>
  <c r="Z19" i="118"/>
  <c r="AA19" i="118" s="1"/>
  <c r="AJ19" i="118"/>
  <c r="AK18" i="118"/>
  <c r="X18" i="118"/>
  <c r="V18" i="118" l="1"/>
  <c r="Z18" i="118"/>
  <c r="AA18" i="118" s="1"/>
  <c r="AJ18" i="118"/>
  <c r="X17" i="118"/>
  <c r="AK17" i="118"/>
  <c r="V17" i="118" l="1"/>
  <c r="Z17" i="118"/>
  <c r="AA17" i="118" s="1"/>
  <c r="AJ17" i="118"/>
  <c r="AK16" i="118"/>
  <c r="X16" i="118"/>
  <c r="V16" i="118" l="1"/>
  <c r="Z16" i="118"/>
  <c r="AA16" i="118" s="1"/>
  <c r="AJ16" i="118"/>
  <c r="AK15" i="118"/>
  <c r="X15" i="118"/>
  <c r="V15" i="118" l="1"/>
  <c r="Z15" i="118"/>
  <c r="AA15" i="118" s="1"/>
  <c r="AJ15" i="118"/>
  <c r="X14" i="118"/>
  <c r="AK14" i="118"/>
  <c r="V14" i="118" l="1"/>
  <c r="Z14" i="118"/>
  <c r="AA14" i="118" s="1"/>
  <c r="AJ14" i="118"/>
  <c r="AK13" i="118"/>
  <c r="X13" i="118"/>
  <c r="V13" i="118" l="1"/>
  <c r="Z13" i="118"/>
  <c r="AA13" i="118" s="1"/>
  <c r="AJ13" i="118"/>
  <c r="X12" i="118"/>
  <c r="AK12" i="118"/>
  <c r="V12" i="118" l="1"/>
  <c r="Z12" i="118"/>
  <c r="AA12" i="118" s="1"/>
  <c r="AJ12" i="118"/>
  <c r="AK11" i="118"/>
  <c r="X11" i="118"/>
  <c r="V11" i="118" l="1"/>
  <c r="Z11" i="118"/>
  <c r="AA11" i="118" s="1"/>
  <c r="AJ11" i="118"/>
  <c r="AK10" i="118"/>
  <c r="X10" i="118"/>
  <c r="V10" i="118" l="1"/>
  <c r="Z10" i="118"/>
  <c r="AA10" i="118" s="1"/>
  <c r="AJ10" i="118"/>
  <c r="AK9" i="118"/>
  <c r="X9" i="118"/>
  <c r="V9" i="118" l="1"/>
  <c r="Z9" i="118"/>
  <c r="AA9" i="118" s="1"/>
  <c r="AJ9" i="118"/>
  <c r="AK8" i="118"/>
  <c r="X8" i="118"/>
  <c r="V8" i="118" l="1"/>
  <c r="Z8" i="118"/>
  <c r="AA8" i="118" s="1"/>
  <c r="AJ8" i="118"/>
  <c r="AK7" i="118"/>
  <c r="X7" i="118"/>
  <c r="V7" i="118" l="1"/>
  <c r="Z7" i="118"/>
  <c r="AA7" i="118" s="1"/>
  <c r="AJ7" i="118"/>
  <c r="X6" i="118"/>
  <c r="AK6" i="118"/>
  <c r="V6" i="118" l="1"/>
  <c r="Z6" i="118"/>
  <c r="AA6" i="118" s="1"/>
  <c r="AJ6" i="118"/>
  <c r="X5" i="118"/>
  <c r="AK5" i="118"/>
  <c r="V5" i="118" l="1"/>
  <c r="Z5" i="118"/>
  <c r="AA5" i="118" s="1"/>
  <c r="AJ5" i="118"/>
  <c r="X4" i="118"/>
  <c r="AK4" i="118"/>
  <c r="V4" i="118" l="1"/>
  <c r="Z4" i="118"/>
  <c r="AA4" i="118" s="1"/>
  <c r="AJ4" i="118"/>
  <c r="AK3" i="118"/>
  <c r="X3" i="118"/>
  <c r="V3" i="118" l="1"/>
  <c r="Z3" i="118"/>
  <c r="AA3" i="118" s="1"/>
  <c r="AJ3" i="118"/>
  <c r="AK2" i="118"/>
  <c r="X2" i="118"/>
  <c r="V2" i="118" l="1"/>
  <c r="AJ2" i="118"/>
  <c r="Z2" i="118"/>
  <c r="AA2" i="118" s="1"/>
  <c r="X1" i="118"/>
  <c r="AK1" i="118"/>
  <c r="V1" i="118" l="1"/>
  <c r="AJ1" i="118"/>
  <c r="Z1" i="118"/>
  <c r="AA1" i="118" s="1"/>
  <c r="AG745" i="57" l="1"/>
  <c r="X745" i="57"/>
  <c r="AJ745" i="57"/>
  <c r="V745" i="57" l="1"/>
  <c r="AI745" i="57"/>
  <c r="Z745" i="57"/>
  <c r="AA745" i="57" s="1"/>
  <c r="AG60" i="74" l="1"/>
  <c r="N60" i="74"/>
  <c r="Z60" i="74" l="1"/>
  <c r="AA60" i="74" s="1"/>
  <c r="V60" i="74"/>
  <c r="AG63" i="74"/>
  <c r="N63" i="74"/>
  <c r="Z63" i="74" l="1"/>
  <c r="AA63" i="74" s="1"/>
  <c r="V63" i="74"/>
  <c r="AG61" i="74"/>
  <c r="N61" i="74"/>
  <c r="Z61" i="74" l="1"/>
  <c r="AA61" i="74" s="1"/>
  <c r="V61" i="74"/>
  <c r="AG1385" i="57"/>
  <c r="AJ1385" i="57"/>
  <c r="X1385" i="57"/>
  <c r="V1385" i="57" l="1"/>
  <c r="AI1385" i="57"/>
  <c r="Z1385" i="57"/>
  <c r="AA1385" i="57" s="1"/>
  <c r="AG615" i="57"/>
  <c r="X615" i="57"/>
  <c r="AJ615" i="57"/>
  <c r="V615" i="57" l="1"/>
  <c r="AI615" i="57"/>
  <c r="Z615" i="57"/>
  <c r="AA615" i="57" s="1"/>
  <c r="AG1430" i="57" l="1"/>
  <c r="X1430" i="57"/>
  <c r="AJ1430" i="57"/>
  <c r="V1430" i="57" l="1"/>
  <c r="AI1430" i="57"/>
  <c r="Z1430" i="57"/>
  <c r="AA1430" i="57" s="1"/>
  <c r="N190" i="114"/>
  <c r="AG190" i="114" l="1"/>
  <c r="Z190" i="114" l="1"/>
  <c r="AA190" i="114" s="1"/>
  <c r="V190" i="114"/>
  <c r="N66" i="74" l="1"/>
  <c r="N65" i="74"/>
  <c r="N64" i="74"/>
  <c r="N189" i="114" l="1"/>
  <c r="N191" i="114"/>
  <c r="N188" i="114"/>
  <c r="AG64" i="74" l="1"/>
  <c r="Z64" i="74" l="1"/>
  <c r="AA64" i="74" s="1"/>
  <c r="V64" i="74"/>
  <c r="AG1119" i="57"/>
  <c r="X1119" i="57"/>
  <c r="AJ1119" i="57"/>
  <c r="V1119" i="57" l="1"/>
  <c r="AI1119" i="57"/>
  <c r="Z1119" i="57"/>
  <c r="AA1119" i="57" s="1"/>
  <c r="AG880" i="57"/>
  <c r="X880" i="57"/>
  <c r="AJ880" i="57"/>
  <c r="V880" i="57" l="1"/>
  <c r="AI880" i="57"/>
  <c r="Z880" i="57"/>
  <c r="AA880" i="57" s="1"/>
  <c r="AG332" i="57"/>
  <c r="X332" i="57"/>
  <c r="AJ332" i="57"/>
  <c r="V332" i="57" l="1"/>
  <c r="AI332" i="57"/>
  <c r="Z332" i="57"/>
  <c r="AA332" i="57" s="1"/>
  <c r="AG191" i="114" l="1"/>
  <c r="Z191" i="114" l="1"/>
  <c r="AA191" i="114" s="1"/>
  <c r="V191" i="114"/>
  <c r="AG188" i="114"/>
  <c r="Z188" i="114" l="1"/>
  <c r="AA188" i="114" s="1"/>
  <c r="V188" i="114"/>
  <c r="AG1614" i="57"/>
  <c r="X1614" i="57"/>
  <c r="AJ1614" i="57"/>
  <c r="V1614" i="57" l="1"/>
  <c r="AI1614" i="57"/>
  <c r="Z1614" i="57"/>
  <c r="AA1614" i="57" s="1"/>
  <c r="AG379" i="57" l="1"/>
  <c r="X379" i="57"/>
  <c r="AJ379" i="57"/>
  <c r="V379" i="57" l="1"/>
  <c r="AI379" i="57"/>
  <c r="Z379" i="57"/>
  <c r="AA379" i="57" s="1"/>
  <c r="AG696" i="57"/>
  <c r="X696" i="57"/>
  <c r="AJ696" i="57"/>
  <c r="V696" i="57" l="1"/>
  <c r="AI696" i="57"/>
  <c r="Z696" i="57"/>
  <c r="AA696" i="57" s="1"/>
  <c r="AG370" i="57"/>
  <c r="X370" i="57"/>
  <c r="AJ370" i="57"/>
  <c r="V370" i="57" l="1"/>
  <c r="AI370" i="57"/>
  <c r="Z370" i="57"/>
  <c r="AA370" i="57" s="1"/>
  <c r="AG921" i="57" l="1"/>
  <c r="X921" i="57"/>
  <c r="AJ921" i="57"/>
  <c r="V921" i="57" l="1"/>
  <c r="AI921" i="57"/>
  <c r="Z921" i="57"/>
  <c r="AA921" i="57" s="1"/>
  <c r="AG621" i="57"/>
  <c r="X621" i="57"/>
  <c r="AJ621" i="57"/>
  <c r="V621" i="57" l="1"/>
  <c r="AI621" i="57"/>
  <c r="Z621" i="57"/>
  <c r="AA621" i="57" s="1"/>
  <c r="AG582" i="57"/>
  <c r="X582" i="57"/>
  <c r="AJ582" i="57"/>
  <c r="V582" i="57" l="1"/>
  <c r="AI582" i="57"/>
  <c r="Z582" i="57"/>
  <c r="AA582" i="57" s="1"/>
  <c r="AG561" i="57" l="1"/>
  <c r="X561" i="57"/>
  <c r="AJ561" i="57"/>
  <c r="V561" i="57" l="1"/>
  <c r="AI561" i="57"/>
  <c r="Z561" i="57"/>
  <c r="AA561" i="57" s="1"/>
  <c r="AG432" i="57" l="1"/>
  <c r="X432" i="57"/>
  <c r="AJ432" i="57"/>
  <c r="V432" i="57" l="1"/>
  <c r="AI432" i="57"/>
  <c r="Z432" i="57"/>
  <c r="AA432" i="57" s="1"/>
  <c r="X18" i="57"/>
  <c r="AJ18" i="57"/>
  <c r="V18" i="57" l="1"/>
  <c r="AI18" i="57"/>
  <c r="Z18" i="57"/>
  <c r="AA18" i="57" s="1"/>
  <c r="AG1209" i="57" l="1"/>
  <c r="AJ1209" i="57"/>
  <c r="X1209" i="57"/>
  <c r="V1209" i="57" l="1"/>
  <c r="AI1209" i="57"/>
  <c r="Z1209" i="57"/>
  <c r="AA1209" i="57" s="1"/>
  <c r="AG654" i="57"/>
  <c r="AJ654" i="57"/>
  <c r="X654" i="57"/>
  <c r="V654" i="57" l="1"/>
  <c r="AI654" i="57"/>
  <c r="Z654" i="57"/>
  <c r="AA654" i="57" s="1"/>
  <c r="AG1527" i="57" l="1"/>
  <c r="X1527" i="57"/>
  <c r="AJ1527" i="57"/>
  <c r="V1527" i="57" l="1"/>
  <c r="AI1527" i="57"/>
  <c r="Z1527" i="57"/>
  <c r="AA1527" i="57" s="1"/>
  <c r="AG934" i="57" l="1"/>
  <c r="X934" i="57"/>
  <c r="AJ934" i="57"/>
  <c r="V934" i="57" l="1"/>
  <c r="AI934" i="57"/>
  <c r="Z934" i="57"/>
  <c r="AA934" i="57" s="1"/>
  <c r="AG944" i="57"/>
  <c r="AJ944" i="57"/>
  <c r="X944" i="57"/>
  <c r="V944" i="57" l="1"/>
  <c r="AI944" i="57"/>
  <c r="Z944" i="57"/>
  <c r="AA944" i="57" s="1"/>
  <c r="AG1339" i="57" l="1"/>
  <c r="X1339" i="57"/>
  <c r="AJ1339" i="57"/>
  <c r="V1339" i="57" l="1"/>
  <c r="AI1339" i="57"/>
  <c r="Z1339" i="57"/>
  <c r="AA1339" i="57" s="1"/>
  <c r="AG1609" i="57" l="1"/>
  <c r="AJ1609" i="57"/>
  <c r="X1609" i="57"/>
  <c r="V1609" i="57" l="1"/>
  <c r="AI1609" i="57"/>
  <c r="Z1609" i="57"/>
  <c r="AA1609" i="57" s="1"/>
  <c r="AG1612" i="57" l="1"/>
  <c r="X1612" i="57"/>
  <c r="AJ1612" i="57"/>
  <c r="V1612" i="57" l="1"/>
  <c r="AI1612" i="57"/>
  <c r="Z1612" i="57"/>
  <c r="AA1612" i="57" s="1"/>
  <c r="AG1621" i="57"/>
  <c r="X1621" i="57"/>
  <c r="AJ1621" i="57"/>
  <c r="V1621" i="57" l="1"/>
  <c r="AI1621" i="57"/>
  <c r="Z1621" i="57"/>
  <c r="AA1621" i="57" s="1"/>
  <c r="AG1613" i="57"/>
  <c r="X1613" i="57"/>
  <c r="AJ1613" i="57"/>
  <c r="V1613" i="57" l="1"/>
  <c r="AI1613" i="57"/>
  <c r="Z1613" i="57"/>
  <c r="AA1613" i="57" s="1"/>
  <c r="AG1627" i="57"/>
  <c r="X1627" i="57"/>
  <c r="AJ1627" i="57"/>
  <c r="V1627" i="57" l="1"/>
  <c r="AI1627" i="57"/>
  <c r="Z1627" i="57"/>
  <c r="AA1627" i="57" s="1"/>
  <c r="AG1610" i="57" l="1"/>
  <c r="AJ1610" i="57"/>
  <c r="X1610" i="57"/>
  <c r="V1610" i="57" l="1"/>
  <c r="AI1610" i="57"/>
  <c r="Z1610" i="57"/>
  <c r="AA1610" i="57" s="1"/>
  <c r="AG1611" i="57"/>
  <c r="AJ1611" i="57"/>
  <c r="X1611" i="57"/>
  <c r="V1611" i="57" l="1"/>
  <c r="AI1611" i="57"/>
  <c r="Z1611" i="57"/>
  <c r="AA1611" i="57" s="1"/>
  <c r="AG1620" i="57"/>
  <c r="AJ1620" i="57"/>
  <c r="X1620" i="57"/>
  <c r="V1620" i="57" l="1"/>
  <c r="AI1620" i="57"/>
  <c r="Z1620" i="57"/>
  <c r="AA1620" i="57" s="1"/>
  <c r="AG1615" i="57"/>
  <c r="X1615" i="57"/>
  <c r="AJ1615" i="57"/>
  <c r="V1615" i="57" l="1"/>
  <c r="AI1615" i="57"/>
  <c r="Z1615" i="57"/>
  <c r="AA1615" i="57" s="1"/>
  <c r="AG714" i="57" l="1"/>
  <c r="X714" i="57"/>
  <c r="AJ714" i="57"/>
  <c r="V714" i="57" l="1"/>
  <c r="AI714" i="57"/>
  <c r="Z714" i="57"/>
  <c r="AA714" i="57" s="1"/>
  <c r="X42" i="57"/>
  <c r="AJ42" i="57"/>
  <c r="V42" i="57" l="1"/>
  <c r="AI42" i="57"/>
  <c r="Z42" i="57"/>
  <c r="AA42" i="57" s="1"/>
  <c r="X43" i="57"/>
  <c r="AJ43" i="57"/>
  <c r="V43" i="57" l="1"/>
  <c r="AI43" i="57"/>
  <c r="Z43" i="57"/>
  <c r="AA43" i="57" s="1"/>
  <c r="AG532" i="57" l="1"/>
  <c r="AJ532" i="57"/>
  <c r="X532" i="57"/>
  <c r="V532" i="57" l="1"/>
  <c r="AI532" i="57"/>
  <c r="Z532" i="57"/>
  <c r="AA532" i="57" s="1"/>
  <c r="AG549" i="57" l="1"/>
  <c r="X549" i="57"/>
  <c r="AJ549" i="57"/>
  <c r="V549" i="57" l="1"/>
  <c r="AI549" i="57"/>
  <c r="Z549" i="57"/>
  <c r="AA549" i="57" s="1"/>
  <c r="AG530" i="57"/>
  <c r="X530" i="57"/>
  <c r="AJ530" i="57"/>
  <c r="V530" i="57" l="1"/>
  <c r="AI530" i="57"/>
  <c r="Z530" i="57"/>
  <c r="AA530" i="57" s="1"/>
  <c r="AG588" i="57" l="1"/>
  <c r="X588" i="57"/>
  <c r="AJ588" i="57"/>
  <c r="V588" i="57" l="1"/>
  <c r="AI588" i="57"/>
  <c r="Z588" i="57"/>
  <c r="AA588" i="57" s="1"/>
  <c r="AG65" i="74" l="1"/>
  <c r="Z65" i="74" l="1"/>
  <c r="AA65" i="74" s="1"/>
  <c r="V65" i="74"/>
  <c r="AG192" i="114" l="1"/>
  <c r="Z192" i="114" l="1"/>
  <c r="AA192" i="114" s="1"/>
  <c r="V192" i="114"/>
  <c r="Y37" i="28"/>
  <c r="Z37" i="28" s="1"/>
  <c r="AA37" i="28" s="1"/>
  <c r="Y109" i="22"/>
  <c r="Y108" i="22"/>
  <c r="Y107" i="22"/>
  <c r="AG69" i="74" l="1"/>
  <c r="Z69" i="74" l="1"/>
  <c r="AA69" i="74" s="1"/>
  <c r="V69" i="74"/>
  <c r="AG605" i="57" l="1"/>
  <c r="X605" i="57"/>
  <c r="AJ605" i="57"/>
  <c r="V605" i="57" l="1"/>
  <c r="AI605" i="57"/>
  <c r="Z605" i="57"/>
  <c r="AA605" i="57" s="1"/>
  <c r="AG735" i="57" l="1"/>
  <c r="X735" i="57"/>
  <c r="AJ735" i="57"/>
  <c r="V735" i="57" l="1"/>
  <c r="AI735" i="57"/>
  <c r="Z735" i="57"/>
  <c r="AA735" i="57" s="1"/>
  <c r="AG1789" i="57" l="1"/>
  <c r="X1789" i="57"/>
  <c r="AJ1789" i="57"/>
  <c r="V1789" i="57" l="1"/>
  <c r="AI1789" i="57"/>
  <c r="Z1789" i="57"/>
  <c r="AA1789" i="57" s="1"/>
  <c r="AG1305" i="57"/>
  <c r="X1305" i="57"/>
  <c r="AJ1305" i="57"/>
  <c r="V1305" i="57" l="1"/>
  <c r="AI1305" i="57"/>
  <c r="Z1305" i="57"/>
  <c r="AA1305" i="57" s="1"/>
  <c r="AG189" i="114" l="1"/>
  <c r="Z189" i="114" l="1"/>
  <c r="AA189" i="114" s="1"/>
  <c r="V189" i="114"/>
  <c r="AG193" i="114" l="1"/>
  <c r="Z193" i="114" l="1"/>
  <c r="AA193" i="114" s="1"/>
  <c r="V193" i="114"/>
  <c r="AG1144" i="57" l="1"/>
  <c r="X1144" i="57"/>
  <c r="AJ1144" i="57"/>
  <c r="V1144" i="57" l="1"/>
  <c r="AI1144" i="57"/>
  <c r="Z1144" i="57"/>
  <c r="AA1144" i="57" s="1"/>
  <c r="AG1050" i="57"/>
  <c r="X1050" i="57"/>
  <c r="AJ1050" i="57"/>
  <c r="V1050" i="57" l="1"/>
  <c r="AI1050" i="57"/>
  <c r="Z1050" i="57"/>
  <c r="AA1050" i="57" s="1"/>
  <c r="AG1756" i="57" l="1"/>
  <c r="X1756" i="57"/>
  <c r="AJ1756" i="57"/>
  <c r="V1756" i="57" l="1"/>
  <c r="AI1756" i="57"/>
  <c r="Z1756" i="57"/>
  <c r="AA1756" i="57" s="1"/>
  <c r="AG917" i="57" l="1"/>
  <c r="AJ917" i="57"/>
  <c r="X917" i="57"/>
  <c r="V917" i="57" l="1"/>
  <c r="AI917" i="57"/>
  <c r="Z917" i="57"/>
  <c r="AA917" i="57" s="1"/>
  <c r="AG1065" i="57"/>
  <c r="X1065" i="57"/>
  <c r="AJ1065" i="57"/>
  <c r="V1065" i="57" l="1"/>
  <c r="AI1065" i="57"/>
  <c r="Z1065" i="57"/>
  <c r="AA1065" i="57" s="1"/>
  <c r="Y245" i="114" l="1"/>
  <c r="X245" i="114"/>
  <c r="Y121" i="74"/>
  <c r="X121" i="74"/>
  <c r="AG72" i="28"/>
  <c r="Z72" i="28" l="1"/>
  <c r="AA72" i="28" s="1"/>
  <c r="AG283" i="57"/>
  <c r="X283" i="57"/>
  <c r="AJ283" i="57"/>
  <c r="V283" i="57" l="1"/>
  <c r="AI283" i="57"/>
  <c r="Z283" i="57"/>
  <c r="AA283" i="57" s="1"/>
  <c r="AG649" i="57" l="1"/>
  <c r="X649" i="57"/>
  <c r="AJ649" i="57"/>
  <c r="V649" i="57" l="1"/>
  <c r="AI649" i="57"/>
  <c r="Z649" i="57"/>
  <c r="AA649" i="57" s="1"/>
  <c r="AG72" i="74" l="1"/>
  <c r="Z72" i="74" l="1"/>
  <c r="AA72" i="74" s="1"/>
  <c r="V72" i="74"/>
  <c r="AG616" i="57" l="1"/>
  <c r="AJ616" i="57"/>
  <c r="X616" i="57"/>
  <c r="V616" i="57" l="1"/>
  <c r="AI616" i="57"/>
  <c r="Z616" i="57"/>
  <c r="AA616" i="57" s="1"/>
  <c r="X1059" i="57"/>
  <c r="V1059" i="57" l="1"/>
  <c r="Z1059" i="57"/>
  <c r="AA1059" i="57" s="1"/>
  <c r="AG1059" i="57"/>
  <c r="AJ1059" i="57"/>
  <c r="AI1059" i="57" l="1"/>
  <c r="AG1390" i="57" l="1"/>
  <c r="AJ1390" i="57"/>
  <c r="X1390" i="57"/>
  <c r="V1390" i="57" l="1"/>
  <c r="AI1390" i="57"/>
  <c r="Z1390" i="57"/>
  <c r="AA1390" i="57" s="1"/>
  <c r="AG1574" i="57"/>
  <c r="X1574" i="57"/>
  <c r="AJ1574" i="57"/>
  <c r="V1574" i="57" l="1"/>
  <c r="AI1574" i="57"/>
  <c r="Z1574" i="57"/>
  <c r="AA1574" i="57" s="1"/>
  <c r="AG74" i="74" l="1"/>
  <c r="Z74" i="74" l="1"/>
  <c r="AA74" i="74" s="1"/>
  <c r="V74" i="74"/>
  <c r="AG70" i="74"/>
  <c r="Z70" i="74" l="1"/>
  <c r="AA70" i="74" s="1"/>
  <c r="V70" i="74"/>
  <c r="AG67" i="74"/>
  <c r="Z67" i="74" l="1"/>
  <c r="AA67" i="74" s="1"/>
  <c r="V67" i="74"/>
  <c r="AG553" i="57" l="1"/>
  <c r="AJ553" i="57"/>
  <c r="X553" i="57"/>
  <c r="V553" i="57" l="1"/>
  <c r="AI553" i="57"/>
  <c r="Z553" i="57"/>
  <c r="AA553" i="57" s="1"/>
  <c r="AG383" i="57"/>
  <c r="X383" i="57"/>
  <c r="AJ383" i="57"/>
  <c r="V383" i="57" l="1"/>
  <c r="AI383" i="57"/>
  <c r="Z383" i="57"/>
  <c r="AA383" i="57" s="1"/>
  <c r="AG635" i="57"/>
  <c r="X635" i="57"/>
  <c r="AJ635" i="57"/>
  <c r="V635" i="57" l="1"/>
  <c r="AI635" i="57"/>
  <c r="Z635" i="57"/>
  <c r="AA635" i="57" s="1"/>
  <c r="AG71" i="74" l="1"/>
  <c r="Z71" i="74" l="1"/>
  <c r="AA71" i="74" s="1"/>
  <c r="V71" i="74"/>
  <c r="AG840" i="57" l="1"/>
  <c r="X840" i="57"/>
  <c r="AJ840" i="57"/>
  <c r="V840" i="57" l="1"/>
  <c r="AI840" i="57"/>
  <c r="Z840" i="57"/>
  <c r="AA840" i="57" s="1"/>
  <c r="AJ845" i="57"/>
  <c r="AI845" i="57" l="1"/>
  <c r="AG845" i="57"/>
  <c r="X845" i="57"/>
  <c r="V845" i="57" l="1"/>
  <c r="Z845" i="57"/>
  <c r="AA845" i="57" s="1"/>
  <c r="AG1292" i="57"/>
  <c r="X1292" i="57"/>
  <c r="AJ1292" i="57"/>
  <c r="V1292" i="57" l="1"/>
  <c r="AI1292" i="57"/>
  <c r="Z1292" i="57"/>
  <c r="AA1292" i="57" s="1"/>
  <c r="AG78" i="74" l="1"/>
  <c r="Z78" i="74" l="1"/>
  <c r="AA78" i="74" s="1"/>
  <c r="V78" i="74"/>
  <c r="AG79" i="74" l="1"/>
  <c r="Z79" i="74" l="1"/>
  <c r="AA79" i="74" s="1"/>
  <c r="V79" i="74"/>
  <c r="AG68" i="74" l="1"/>
  <c r="Z68" i="74" l="1"/>
  <c r="AA68" i="74" s="1"/>
  <c r="V68" i="74"/>
  <c r="AG73" i="74" l="1"/>
  <c r="Z73" i="74" l="1"/>
  <c r="AA73" i="74" s="1"/>
  <c r="V73" i="74"/>
  <c r="AG1355" i="57" l="1"/>
  <c r="X1355" i="57"/>
  <c r="AJ1355" i="57"/>
  <c r="V1355" i="57" l="1"/>
  <c r="AI1355" i="57"/>
  <c r="Z1355" i="57"/>
  <c r="AA1355" i="57" s="1"/>
  <c r="AG77" i="74" l="1"/>
  <c r="Z77" i="74" l="1"/>
  <c r="AA77" i="74" s="1"/>
  <c r="V77" i="74"/>
  <c r="AG66" i="74"/>
  <c r="Z66" i="74" l="1"/>
  <c r="AA66" i="74" s="1"/>
  <c r="V66" i="74"/>
  <c r="AG352" i="57" l="1"/>
  <c r="AJ352" i="57"/>
  <c r="X352" i="57"/>
  <c r="V352" i="57" l="1"/>
  <c r="AI352" i="57"/>
  <c r="Z352" i="57"/>
  <c r="AA352" i="57" s="1"/>
  <c r="AG196" i="114" l="1"/>
  <c r="Z196" i="114" l="1"/>
  <c r="AA196" i="114" s="1"/>
  <c r="V196" i="114"/>
  <c r="AG724" i="57" l="1"/>
  <c r="AJ724" i="57"/>
  <c r="X724" i="57"/>
  <c r="V724" i="57" l="1"/>
  <c r="AI724" i="57"/>
  <c r="Z724" i="57"/>
  <c r="AA724" i="57" s="1"/>
  <c r="AG80" i="74" l="1"/>
  <c r="Z80" i="74" l="1"/>
  <c r="AA80" i="74" s="1"/>
  <c r="V80" i="74"/>
  <c r="AG1507" i="57"/>
  <c r="AJ1507" i="57"/>
  <c r="X1507" i="57"/>
  <c r="V1507" i="57" l="1"/>
  <c r="AI1507" i="57"/>
  <c r="Z1507" i="57"/>
  <c r="AA1507" i="57" s="1"/>
  <c r="AG71" i="28"/>
  <c r="Z71" i="28" l="1"/>
  <c r="AA71" i="28" s="1"/>
  <c r="AG1539" i="57"/>
  <c r="X1539" i="57"/>
  <c r="AJ1539" i="57"/>
  <c r="V1539" i="57" l="1"/>
  <c r="AI1539" i="57"/>
  <c r="Z1539" i="57"/>
  <c r="AA1539" i="57" s="1"/>
  <c r="AG200" i="114"/>
  <c r="Z200" i="114" l="1"/>
  <c r="AA200" i="114" s="1"/>
  <c r="V200" i="114"/>
  <c r="Y556" i="22"/>
  <c r="Y555" i="22"/>
  <c r="Y554" i="22"/>
  <c r="Y553" i="22"/>
  <c r="Y552" i="22"/>
  <c r="Y551" i="22"/>
  <c r="Y547" i="22"/>
  <c r="Y546" i="22"/>
  <c r="Y545" i="22"/>
  <c r="Y543" i="22"/>
  <c r="Y532" i="22"/>
  <c r="Y531" i="22"/>
  <c r="Y530" i="22"/>
  <c r="Y529" i="22"/>
  <c r="Y527" i="22"/>
  <c r="Y515" i="22"/>
  <c r="Y505" i="22"/>
  <c r="Y501" i="22"/>
  <c r="Y499" i="22"/>
  <c r="Y494" i="22"/>
  <c r="Y487" i="22"/>
  <c r="Y478" i="22"/>
  <c r="Y480" i="22" s="1"/>
  <c r="Y476" i="22"/>
  <c r="Y470" i="22"/>
  <c r="Y463" i="22"/>
  <c r="Y462" i="22"/>
  <c r="Y460" i="22"/>
  <c r="Y449" i="22"/>
  <c r="Y453" i="22" s="1"/>
  <c r="Y443" i="22"/>
  <c r="Y447" i="22" s="1"/>
  <c r="Y439" i="22"/>
  <c r="Y436" i="22"/>
  <c r="Y435" i="22"/>
  <c r="Y433" i="22"/>
  <c r="Y424" i="22"/>
  <c r="Y427" i="22" s="1"/>
  <c r="Y418" i="22"/>
  <c r="Y415" i="22"/>
  <c r="Y412" i="22"/>
  <c r="Y401" i="22"/>
  <c r="Y395" i="22"/>
  <c r="Y367" i="22"/>
  <c r="Y366" i="22"/>
  <c r="Y365" i="22"/>
  <c r="Y364" i="22"/>
  <c r="Y343" i="22"/>
  <c r="Y342" i="22"/>
  <c r="Y339" i="22"/>
  <c r="Y298" i="22"/>
  <c r="Y297" i="22"/>
  <c r="Y296" i="22"/>
  <c r="Y295" i="22"/>
  <c r="Y294" i="22"/>
  <c r="Y291" i="22"/>
  <c r="Y290" i="22"/>
  <c r="Y287" i="22"/>
  <c r="Y276" i="22"/>
  <c r="Y275" i="22"/>
  <c r="Y274" i="22"/>
  <c r="Y273" i="22"/>
  <c r="Y272" i="22"/>
  <c r="Y271" i="22"/>
  <c r="Y270" i="22"/>
  <c r="Y264" i="22"/>
  <c r="Y263" i="22"/>
  <c r="Y254" i="22"/>
  <c r="Y190" i="22"/>
  <c r="Y183" i="22"/>
  <c r="Y173" i="22"/>
  <c r="Y172" i="22"/>
  <c r="Y171" i="22"/>
  <c r="Y170" i="22"/>
  <c r="Y169" i="22"/>
  <c r="Y168" i="22"/>
  <c r="Y167" i="22"/>
  <c r="Y164" i="22"/>
  <c r="Y159" i="22"/>
  <c r="Y158" i="22"/>
  <c r="Y157" i="22"/>
  <c r="Y156" i="22"/>
  <c r="Y154" i="22"/>
  <c r="Y151" i="22"/>
  <c r="Y146" i="22"/>
  <c r="Y147" i="22" s="1"/>
  <c r="Y15" i="22"/>
  <c r="Y14" i="22"/>
  <c r="Y13" i="22"/>
  <c r="Y12" i="22"/>
  <c r="Y11" i="22"/>
  <c r="Y10" i="22"/>
  <c r="Y121" i="22"/>
  <c r="Y120" i="22"/>
  <c r="Y119" i="22"/>
  <c r="Y118" i="22"/>
  <c r="Y97" i="22"/>
  <c r="Y96" i="22"/>
  <c r="Y114" i="22"/>
  <c r="Y113" i="22"/>
  <c r="Y78" i="22"/>
  <c r="Y77" i="22"/>
  <c r="Y76" i="22"/>
  <c r="Y88" i="22"/>
  <c r="Y103" i="22"/>
  <c r="Y104" i="22" s="1"/>
  <c r="Y68" i="22"/>
  <c r="Y40" i="22"/>
  <c r="Y72" i="22"/>
  <c r="Y73" i="22" s="1"/>
  <c r="Y35" i="22"/>
  <c r="Y34" i="22"/>
  <c r="Y33" i="22"/>
  <c r="Y43" i="22"/>
  <c r="Y44" i="22" s="1"/>
  <c r="Y29" i="22"/>
  <c r="Y28" i="22"/>
  <c r="Y27" i="22"/>
  <c r="Y26" i="22"/>
  <c r="Y64" i="22"/>
  <c r="Y59" i="22"/>
  <c r="Y58" i="22"/>
  <c r="Y57" i="22"/>
  <c r="Y83" i="22"/>
  <c r="Y52" i="22"/>
  <c r="Y22" i="22"/>
  <c r="Y21" i="22"/>
  <c r="Y20" i="22"/>
  <c r="Y19" i="22"/>
  <c r="Y7" i="22"/>
  <c r="Y3" i="22"/>
  <c r="Y39" i="28"/>
  <c r="Z39" i="28" s="1"/>
  <c r="AA39" i="28" s="1"/>
  <c r="Y38" i="28"/>
  <c r="Z38" i="28" s="1"/>
  <c r="AA38" i="28" s="1"/>
  <c r="Y36" i="28"/>
  <c r="Z36" i="28" s="1"/>
  <c r="AA36" i="28" s="1"/>
  <c r="Y32" i="28"/>
  <c r="Z32" i="28" s="1"/>
  <c r="AA32" i="28" s="1"/>
  <c r="Y24" i="28"/>
  <c r="Z24" i="28" s="1"/>
  <c r="AA24" i="28" s="1"/>
  <c r="Z18" i="28"/>
  <c r="AA18" i="28" s="1"/>
  <c r="Y21" i="28"/>
  <c r="Z21" i="28" s="1"/>
  <c r="AA21" i="28" s="1"/>
  <c r="Y20" i="28"/>
  <c r="Z20" i="28" s="1"/>
  <c r="AA20" i="28" s="1"/>
  <c r="Z28" i="28"/>
  <c r="AA28" i="28" s="1"/>
  <c r="Y17" i="28"/>
  <c r="Z17" i="28" s="1"/>
  <c r="AA17" i="28" s="1"/>
  <c r="Y16" i="28"/>
  <c r="Y16" i="22" l="1"/>
  <c r="Y110" i="22"/>
  <c r="Y466" i="22"/>
  <c r="Y100" i="22"/>
  <c r="Y30" i="22"/>
  <c r="Y36" i="22"/>
  <c r="Y557" i="22"/>
  <c r="Y60" i="22"/>
  <c r="Y53" i="22"/>
  <c r="Y79" i="22"/>
  <c r="Y122" i="22"/>
  <c r="Y507" i="22"/>
  <c r="Y440" i="22"/>
  <c r="Y160" i="22"/>
  <c r="Y115" i="22"/>
  <c r="Y349" i="22"/>
  <c r="Y23" i="22"/>
  <c r="Y174" i="22"/>
  <c r="Y370" i="22"/>
  <c r="Y539" i="22"/>
  <c r="Y319" i="22"/>
  <c r="Y548" i="22"/>
  <c r="S414" i="22"/>
  <c r="AG84" i="74" l="1"/>
  <c r="Z84" i="74" l="1"/>
  <c r="AA84" i="74" s="1"/>
  <c r="V84" i="74"/>
  <c r="AG82" i="74"/>
  <c r="Z82" i="74" l="1"/>
  <c r="AA82" i="74" s="1"/>
  <c r="V82" i="74"/>
  <c r="AG1077" i="57"/>
  <c r="X1077" i="57"/>
  <c r="AJ1077" i="57"/>
  <c r="V1077" i="57" l="1"/>
  <c r="AI1077" i="57"/>
  <c r="Z1077" i="57"/>
  <c r="AA1077" i="57" s="1"/>
  <c r="AG1718" i="57"/>
  <c r="AJ1718" i="57"/>
  <c r="X1718" i="57"/>
  <c r="V1718" i="57" l="1"/>
  <c r="AI1718" i="57"/>
  <c r="Z1718" i="57"/>
  <c r="AA1718" i="57" s="1"/>
  <c r="AG244" i="57"/>
  <c r="X244" i="57"/>
  <c r="AJ244" i="57"/>
  <c r="V244" i="57" l="1"/>
  <c r="AI244" i="57"/>
  <c r="Z244" i="57"/>
  <c r="AA244" i="57" s="1"/>
  <c r="AG197" i="114"/>
  <c r="Z197" i="114" l="1"/>
  <c r="AA197" i="114" s="1"/>
  <c r="V197" i="114"/>
  <c r="AG198" i="114"/>
  <c r="Z198" i="114" l="1"/>
  <c r="AA198" i="114" s="1"/>
  <c r="V198" i="114"/>
  <c r="AG86" i="74" l="1"/>
  <c r="Z86" i="74" l="1"/>
  <c r="AA86" i="74" s="1"/>
  <c r="V86" i="74"/>
  <c r="AG83" i="74"/>
  <c r="Z83" i="74" l="1"/>
  <c r="AA83" i="74" s="1"/>
  <c r="V83" i="74"/>
  <c r="AG273" i="57"/>
  <c r="X273" i="57"/>
  <c r="AJ273" i="57"/>
  <c r="V273" i="57" l="1"/>
  <c r="AI273" i="57"/>
  <c r="Z273" i="57"/>
  <c r="AA273" i="57" s="1"/>
  <c r="AG199" i="114" l="1"/>
  <c r="Z199" i="114" l="1"/>
  <c r="AA199" i="114" s="1"/>
  <c r="V199" i="114"/>
  <c r="AG207" i="57"/>
  <c r="X207" i="57"/>
  <c r="AJ207" i="57"/>
  <c r="V207" i="57" l="1"/>
  <c r="AI207" i="57"/>
  <c r="Z207" i="57"/>
  <c r="AA207" i="57" s="1"/>
  <c r="AG73" i="28"/>
  <c r="Z73" i="28" l="1"/>
  <c r="AA73" i="28" s="1"/>
  <c r="AG591" i="57"/>
  <c r="X591" i="57"/>
  <c r="AJ591" i="57"/>
  <c r="V591" i="57" l="1"/>
  <c r="AI591" i="57"/>
  <c r="Z591" i="57"/>
  <c r="AA591" i="57" s="1"/>
  <c r="AG85" i="74" l="1"/>
  <c r="Z85" i="74" l="1"/>
  <c r="AA85" i="74" s="1"/>
  <c r="V85" i="74"/>
  <c r="AG88" i="74"/>
  <c r="Z88" i="74" l="1"/>
  <c r="AA88" i="74" s="1"/>
  <c r="V88" i="74"/>
  <c r="AG1115" i="57" l="1"/>
  <c r="X1115" i="57"/>
  <c r="AJ1115" i="57"/>
  <c r="V1115" i="57" l="1"/>
  <c r="AI1115" i="57"/>
  <c r="Z1115" i="57"/>
  <c r="AA1115" i="57" s="1"/>
  <c r="AG1762" i="57"/>
  <c r="AJ1762" i="57"/>
  <c r="X1762" i="57"/>
  <c r="V1762" i="57" l="1"/>
  <c r="AI1762" i="57"/>
  <c r="Z1762" i="57"/>
  <c r="AA1762" i="57" s="1"/>
  <c r="AG204" i="114" l="1"/>
  <c r="Z204" i="114" l="1"/>
  <c r="AA204" i="114" s="1"/>
  <c r="V204" i="114"/>
  <c r="AG201" i="114" l="1"/>
  <c r="Z201" i="114" l="1"/>
  <c r="AA201" i="114" s="1"/>
  <c r="V201" i="114"/>
  <c r="AG205" i="114"/>
  <c r="Z205" i="114" l="1"/>
  <c r="AA205" i="114" s="1"/>
  <c r="V205" i="114"/>
  <c r="AG562" i="57" l="1"/>
  <c r="X562" i="57"/>
  <c r="AJ562" i="57"/>
  <c r="V562" i="57" l="1"/>
  <c r="AI562" i="57"/>
  <c r="Z562" i="57"/>
  <c r="AA562" i="57" s="1"/>
  <c r="AG91" i="74"/>
  <c r="Z91" i="74" l="1"/>
  <c r="AA91" i="74" s="1"/>
  <c r="V91" i="74"/>
  <c r="AG89" i="74"/>
  <c r="Z89" i="74" l="1"/>
  <c r="AA89" i="74" s="1"/>
  <c r="V89" i="74"/>
  <c r="AG92" i="74"/>
  <c r="Z92" i="74" l="1"/>
  <c r="AA92" i="74" s="1"/>
  <c r="V92" i="74"/>
  <c r="AG1213" i="57" l="1"/>
  <c r="X1213" i="57"/>
  <c r="AJ1213" i="57"/>
  <c r="V1213" i="57" l="1"/>
  <c r="AI1213" i="57"/>
  <c r="Z1213" i="57"/>
  <c r="AA1213" i="57" s="1"/>
  <c r="AG202" i="114" l="1"/>
  <c r="Z202" i="114" l="1"/>
  <c r="AA202" i="114" s="1"/>
  <c r="V202" i="114"/>
  <c r="AG203" i="114"/>
  <c r="Z203" i="114" l="1"/>
  <c r="AA203" i="114" s="1"/>
  <c r="V203" i="114"/>
  <c r="AG211" i="114"/>
  <c r="Z211" i="114" l="1"/>
  <c r="AA211" i="114" s="1"/>
  <c r="V211" i="114"/>
  <c r="AG206" i="114"/>
  <c r="Z206" i="114" l="1"/>
  <c r="AA206" i="114" s="1"/>
  <c r="V206" i="114"/>
  <c r="AG753" i="57"/>
  <c r="X753" i="57"/>
  <c r="AJ753" i="57"/>
  <c r="V753" i="57" l="1"/>
  <c r="AI753" i="57"/>
  <c r="Z753" i="57"/>
  <c r="AA753" i="57" s="1"/>
  <c r="AG521" i="57"/>
  <c r="X521" i="57"/>
  <c r="AJ521" i="57"/>
  <c r="V521" i="57" l="1"/>
  <c r="AI521" i="57"/>
  <c r="Z521" i="57"/>
  <c r="AA521" i="57" s="1"/>
  <c r="AG891" i="57"/>
  <c r="AJ891" i="57"/>
  <c r="X891" i="57"/>
  <c r="V891" i="57" l="1"/>
  <c r="AI891" i="57"/>
  <c r="Z891" i="57"/>
  <c r="AA891" i="57" s="1"/>
  <c r="AG392" i="57"/>
  <c r="X392" i="57"/>
  <c r="AJ392" i="57"/>
  <c r="V392" i="57" l="1"/>
  <c r="AI392" i="57"/>
  <c r="Z392" i="57"/>
  <c r="AA392" i="57" s="1"/>
  <c r="AG74" i="28"/>
  <c r="Z74" i="28" l="1"/>
  <c r="AA74" i="28" s="1"/>
  <c r="AG75" i="28"/>
  <c r="Z75" i="28" l="1"/>
  <c r="AA75" i="28" s="1"/>
  <c r="AG76" i="28"/>
  <c r="Z76" i="28" l="1"/>
  <c r="AA76" i="28" s="1"/>
  <c r="AG77" i="28"/>
  <c r="Z77" i="28" l="1"/>
  <c r="AA77" i="28" s="1"/>
  <c r="AG95" i="74" l="1"/>
  <c r="Z95" i="74" l="1"/>
  <c r="AA95" i="74" s="1"/>
  <c r="V95" i="74"/>
  <c r="V217" i="114"/>
  <c r="Z217" i="114"/>
  <c r="AA217" i="114" s="1"/>
  <c r="AG217" i="114"/>
  <c r="AG78" i="28" l="1"/>
  <c r="Z78" i="28" l="1"/>
  <c r="AA78" i="28" s="1"/>
  <c r="AG1362" i="57"/>
  <c r="AJ1362" i="57"/>
  <c r="X1362" i="57"/>
  <c r="V1362" i="57" l="1"/>
  <c r="AI1362" i="57"/>
  <c r="Z1362" i="57"/>
  <c r="AA1362" i="57" s="1"/>
  <c r="AG1729" i="57"/>
  <c r="X1729" i="57"/>
  <c r="AJ1729" i="57"/>
  <c r="V1729" i="57" l="1"/>
  <c r="AI1729" i="57"/>
  <c r="Z1729" i="57"/>
  <c r="AA1729" i="57" s="1"/>
  <c r="AG93" i="74"/>
  <c r="Z93" i="74" l="1"/>
  <c r="AA93" i="74" s="1"/>
  <c r="V93" i="74"/>
  <c r="AG94" i="74"/>
  <c r="Z94" i="74" l="1"/>
  <c r="AA94" i="74" s="1"/>
  <c r="V94" i="74"/>
  <c r="AG657" i="57" l="1"/>
  <c r="AJ657" i="57"/>
  <c r="X657" i="57"/>
  <c r="V657" i="57" l="1"/>
  <c r="AI657" i="57"/>
  <c r="Z657" i="57"/>
  <c r="AA657" i="57" s="1"/>
  <c r="AG1757" i="57" l="1"/>
  <c r="X1757" i="57"/>
  <c r="AJ1757" i="57"/>
  <c r="V1757" i="57" l="1"/>
  <c r="AI1757" i="57"/>
  <c r="Z1757" i="57"/>
  <c r="AA1757" i="57" s="1"/>
  <c r="AG219" i="57"/>
  <c r="X219" i="57"/>
  <c r="AJ219" i="57"/>
  <c r="V219" i="57" l="1"/>
  <c r="AI219" i="57"/>
  <c r="Z219" i="57"/>
  <c r="AA219" i="57" s="1"/>
  <c r="AG219" i="114" l="1"/>
  <c r="Z219" i="114" l="1"/>
  <c r="AA219" i="114" s="1"/>
  <c r="V219" i="114"/>
  <c r="AG212" i="114"/>
  <c r="Z212" i="114" l="1"/>
  <c r="AA212" i="114" s="1"/>
  <c r="V212" i="114"/>
  <c r="AG218" i="114"/>
  <c r="Z218" i="114" l="1"/>
  <c r="AA218" i="114" s="1"/>
  <c r="V218" i="114"/>
  <c r="AG96" i="74" l="1"/>
  <c r="Z96" i="74" l="1"/>
  <c r="AA96" i="74" s="1"/>
  <c r="V96" i="74"/>
  <c r="AG98" i="74"/>
  <c r="Z98" i="74" l="1"/>
  <c r="AA98" i="74" s="1"/>
  <c r="V98" i="74"/>
  <c r="AG90" i="74"/>
  <c r="Z90" i="74" l="1"/>
  <c r="AA90" i="74" s="1"/>
  <c r="V90" i="74"/>
  <c r="AG81" i="74"/>
  <c r="Z81" i="74" l="1"/>
  <c r="AA81" i="74" s="1"/>
  <c r="V81" i="74"/>
  <c r="AG102" i="74"/>
  <c r="Z102" i="74" l="1"/>
  <c r="AA102" i="74" s="1"/>
  <c r="V102" i="74"/>
  <c r="AG100" i="74"/>
  <c r="Z100" i="74" l="1"/>
  <c r="AA100" i="74" s="1"/>
  <c r="V100" i="74"/>
  <c r="AG97" i="74"/>
  <c r="Z97" i="74" l="1"/>
  <c r="AA97" i="74" s="1"/>
  <c r="V97" i="74"/>
  <c r="AG1175" i="57"/>
  <c r="X1175" i="57"/>
  <c r="AJ1175" i="57"/>
  <c r="V1175" i="57" l="1"/>
  <c r="AI1175" i="57"/>
  <c r="Z1175" i="57"/>
  <c r="AA1175" i="57" s="1"/>
  <c r="AG1748" i="57" l="1"/>
  <c r="AJ1748" i="57"/>
  <c r="X1748" i="57"/>
  <c r="V1748" i="57" l="1"/>
  <c r="AI1748" i="57"/>
  <c r="Z1748" i="57"/>
  <c r="AA1748" i="57" s="1"/>
  <c r="AG221" i="114" l="1"/>
  <c r="Z221" i="114" l="1"/>
  <c r="AA221" i="114" s="1"/>
  <c r="V221" i="114"/>
  <c r="AG215" i="114"/>
  <c r="Z215" i="114" l="1"/>
  <c r="AA215" i="114" s="1"/>
  <c r="V215" i="114"/>
  <c r="AG210" i="114"/>
  <c r="Z210" i="114" l="1"/>
  <c r="AA210" i="114" s="1"/>
  <c r="V210" i="114"/>
  <c r="AG209" i="114" l="1"/>
  <c r="Z209" i="114" l="1"/>
  <c r="AA209" i="114" s="1"/>
  <c r="V209" i="114"/>
  <c r="AG214" i="114"/>
  <c r="Z214" i="114" l="1"/>
  <c r="AA214" i="114" s="1"/>
  <c r="V214" i="114"/>
  <c r="AG216" i="114"/>
  <c r="Z216" i="114" l="1"/>
  <c r="AA216" i="114" s="1"/>
  <c r="V216" i="114"/>
  <c r="AG213" i="114" l="1"/>
  <c r="Z213" i="114" l="1"/>
  <c r="AA213" i="114" s="1"/>
  <c r="V213" i="114"/>
  <c r="AG796" i="57"/>
  <c r="X796" i="57"/>
  <c r="AJ796" i="57"/>
  <c r="V796" i="57" l="1"/>
  <c r="AI796" i="57"/>
  <c r="Z796" i="57"/>
  <c r="AA796" i="57" s="1"/>
  <c r="AG87" i="74"/>
  <c r="Z87" i="74" l="1"/>
  <c r="AA87" i="74" s="1"/>
  <c r="V87" i="74"/>
  <c r="AG223" i="114" l="1"/>
  <c r="Z223" i="114" l="1"/>
  <c r="AA223" i="114" s="1"/>
  <c r="V223" i="114"/>
  <c r="AG358" i="57" l="1"/>
  <c r="AJ358" i="57"/>
  <c r="X358" i="57"/>
  <c r="V358" i="57" l="1"/>
  <c r="AI358" i="57"/>
  <c r="Z358" i="57"/>
  <c r="AA358" i="57" s="1"/>
  <c r="AG79" i="28"/>
  <c r="Z79" i="28" l="1"/>
  <c r="AA79" i="28" s="1"/>
  <c r="AG1719" i="57"/>
  <c r="X1719" i="57"/>
  <c r="AJ1719" i="57"/>
  <c r="V1719" i="57" l="1"/>
  <c r="AI1719" i="57"/>
  <c r="Z1719" i="57"/>
  <c r="AA1719" i="57" s="1"/>
  <c r="AG104" i="74"/>
  <c r="Z104" i="74" l="1"/>
  <c r="AA104" i="74" s="1"/>
  <c r="V104" i="74"/>
  <c r="AG103" i="74"/>
  <c r="Z103" i="74" l="1"/>
  <c r="AA103" i="74" s="1"/>
  <c r="V103" i="74"/>
  <c r="AG105" i="74" l="1"/>
  <c r="Z105" i="74" l="1"/>
  <c r="AA105" i="74" s="1"/>
  <c r="V105" i="74"/>
  <c r="AG224" i="114"/>
  <c r="AG207" i="114"/>
  <c r="AG227" i="114"/>
  <c r="AG222" i="114"/>
  <c r="V224" i="114" l="1"/>
  <c r="Z224" i="114"/>
  <c r="AA224" i="114" s="1"/>
  <c r="Z222" i="114"/>
  <c r="AA222" i="114" s="1"/>
  <c r="V222" i="114"/>
  <c r="V207" i="114"/>
  <c r="Z207" i="114"/>
  <c r="AA207" i="114" s="1"/>
  <c r="Z227" i="114"/>
  <c r="AA227" i="114" s="1"/>
  <c r="V227" i="114"/>
  <c r="AG1525" i="57" l="1"/>
  <c r="X1525" i="57"/>
  <c r="AJ1525" i="57"/>
  <c r="V1525" i="57" l="1"/>
  <c r="AI1525" i="57"/>
  <c r="Z1525" i="57"/>
  <c r="AA1525" i="57" s="1"/>
  <c r="AG99" i="74" l="1"/>
  <c r="Z99" i="74" l="1"/>
  <c r="AA99" i="74" s="1"/>
  <c r="V99" i="74"/>
  <c r="AG228" i="114" l="1"/>
  <c r="Z228" i="114" l="1"/>
  <c r="AA228" i="114" s="1"/>
  <c r="V228" i="114"/>
  <c r="AG230" i="114"/>
  <c r="Z230" i="114" l="1"/>
  <c r="AA230" i="114" s="1"/>
  <c r="V230" i="114"/>
  <c r="AG1608" i="57"/>
  <c r="AJ1608" i="57"/>
  <c r="X1608" i="57"/>
  <c r="V1608" i="57" l="1"/>
  <c r="AI1608" i="57"/>
  <c r="Z1608" i="57"/>
  <c r="AA1608" i="57" s="1"/>
  <c r="AG742" i="57"/>
  <c r="X742" i="57"/>
  <c r="AJ742" i="57"/>
  <c r="V742" i="57" l="1"/>
  <c r="AI742" i="57"/>
  <c r="Z742" i="57"/>
  <c r="AA742" i="57" s="1"/>
  <c r="AG81" i="28"/>
  <c r="Z81" i="28" l="1"/>
  <c r="AA81" i="28" s="1"/>
  <c r="AG80" i="28"/>
  <c r="Z80" i="28" l="1"/>
  <c r="AA80" i="28" s="1"/>
  <c r="AG231" i="114" l="1"/>
  <c r="Z231" i="114" l="1"/>
  <c r="AA231" i="114" s="1"/>
  <c r="V231" i="114"/>
  <c r="AG233" i="114" l="1"/>
  <c r="Z233" i="114" l="1"/>
  <c r="AA233" i="114" s="1"/>
  <c r="V233" i="114"/>
  <c r="AG1533" i="57" l="1"/>
  <c r="AJ1533" i="57"/>
  <c r="X1533" i="57"/>
  <c r="V1533" i="57" l="1"/>
  <c r="AI1533" i="57"/>
  <c r="Z1533" i="57"/>
  <c r="AA1533" i="57" s="1"/>
  <c r="AG108" i="74" l="1"/>
  <c r="Z108" i="74" l="1"/>
  <c r="AA108" i="74" s="1"/>
  <c r="V108" i="74"/>
  <c r="AG109" i="74" l="1"/>
  <c r="Z109" i="74" l="1"/>
  <c r="AA109" i="74" s="1"/>
  <c r="V109" i="74"/>
  <c r="AG196" i="57"/>
  <c r="X196" i="57"/>
  <c r="AJ196" i="57"/>
  <c r="V196" i="57" l="1"/>
  <c r="AI196" i="57"/>
  <c r="Z196" i="57"/>
  <c r="AA196" i="57" s="1"/>
  <c r="AG82" i="28"/>
  <c r="Z82" i="28" l="1"/>
  <c r="AA82" i="28" s="1"/>
  <c r="AG1554" i="57"/>
  <c r="X1554" i="57"/>
  <c r="AJ1554" i="57"/>
  <c r="V1554" i="57" l="1"/>
  <c r="AI1554" i="57"/>
  <c r="Z1554" i="57"/>
  <c r="AA1554" i="57" s="1"/>
  <c r="AG111" i="74" l="1"/>
  <c r="Z111" i="74" l="1"/>
  <c r="AA111" i="74" s="1"/>
  <c r="V111" i="74"/>
  <c r="AG110" i="74"/>
  <c r="Z110" i="74" l="1"/>
  <c r="AA110" i="74" s="1"/>
  <c r="V110" i="74"/>
  <c r="AG232" i="114" l="1"/>
  <c r="Z232" i="114" l="1"/>
  <c r="AA232" i="114" s="1"/>
  <c r="V232" i="114"/>
  <c r="AG225" i="114" l="1"/>
  <c r="Z225" i="114" l="1"/>
  <c r="AA225" i="114" s="1"/>
  <c r="V225" i="114"/>
  <c r="AG214" i="57"/>
  <c r="X214" i="57"/>
  <c r="AJ214" i="57"/>
  <c r="V214" i="57" l="1"/>
  <c r="AI214" i="57"/>
  <c r="Z214" i="57"/>
  <c r="AA214" i="57" s="1"/>
  <c r="AG1380" i="57"/>
  <c r="X1380" i="57"/>
  <c r="AJ1380" i="57"/>
  <c r="V1380" i="57" l="1"/>
  <c r="AI1380" i="57"/>
  <c r="Z1380" i="57"/>
  <c r="AA1380" i="57" s="1"/>
  <c r="AG601" i="57"/>
  <c r="X601" i="57"/>
  <c r="AJ601" i="57"/>
  <c r="V601" i="57" l="1"/>
  <c r="AI601" i="57"/>
  <c r="Z601" i="57"/>
  <c r="AA601" i="57" s="1"/>
  <c r="AG1811" i="57"/>
  <c r="X1811" i="57"/>
  <c r="AJ1811" i="57"/>
  <c r="V1811" i="57" l="1"/>
  <c r="AI1811" i="57"/>
  <c r="Z1811" i="57"/>
  <c r="AA1811" i="57" s="1"/>
  <c r="AG83" i="28"/>
  <c r="Z83" i="28" l="1"/>
  <c r="AA83" i="28" s="1"/>
  <c r="AG84" i="28"/>
  <c r="Z84" i="28" l="1"/>
  <c r="AA84" i="28" s="1"/>
  <c r="AG85" i="28"/>
  <c r="Z85" i="28" l="1"/>
  <c r="AA85" i="28" s="1"/>
  <c r="AG86" i="28"/>
  <c r="Z86" i="28" l="1"/>
  <c r="AA86" i="28" s="1"/>
  <c r="AJ399" i="57"/>
  <c r="AI399" i="57" l="1"/>
  <c r="AG651" i="57"/>
  <c r="X651" i="57"/>
  <c r="AJ651" i="57"/>
  <c r="V651" i="57" l="1"/>
  <c r="AI651" i="57"/>
  <c r="Z651" i="57"/>
  <c r="AA651" i="57" s="1"/>
  <c r="AG101" i="74" l="1"/>
  <c r="Z101" i="74" l="1"/>
  <c r="AA101" i="74" s="1"/>
  <c r="V101" i="74"/>
  <c r="AG106" i="74" l="1"/>
  <c r="Z106" i="74" l="1"/>
  <c r="AA106" i="74" s="1"/>
  <c r="V106" i="74"/>
  <c r="AG229" i="114" l="1"/>
  <c r="Z229" i="114" l="1"/>
  <c r="AA229" i="114" s="1"/>
  <c r="V229" i="114"/>
  <c r="AG226" i="114"/>
  <c r="Z226" i="114" l="1"/>
  <c r="AA226" i="114" s="1"/>
  <c r="V226" i="114"/>
  <c r="AG112" i="74" l="1"/>
  <c r="Z112" i="74" l="1"/>
  <c r="AA112" i="74" s="1"/>
  <c r="V112" i="74"/>
  <c r="AG571" i="57" l="1"/>
  <c r="X571" i="57"/>
  <c r="AJ571" i="57"/>
  <c r="V571" i="57" l="1"/>
  <c r="AI571" i="57"/>
  <c r="Z571" i="57"/>
  <c r="AA571" i="57" s="1"/>
  <c r="AG234" i="114" l="1"/>
  <c r="Z234" i="114" l="1"/>
  <c r="AA234" i="114" s="1"/>
  <c r="V234" i="114"/>
  <c r="AG1282" i="57" l="1"/>
  <c r="X1282" i="57"/>
  <c r="AJ1282" i="57"/>
  <c r="V1282" i="57" l="1"/>
  <c r="AI1282" i="57"/>
  <c r="Z1282" i="57"/>
  <c r="AA1282" i="57" s="1"/>
  <c r="AG115" i="74"/>
  <c r="Z115" i="74" l="1"/>
  <c r="AA115" i="74" s="1"/>
  <c r="V115" i="74"/>
  <c r="AG235" i="114" l="1"/>
  <c r="Z235" i="114" l="1"/>
  <c r="AA235" i="114" s="1"/>
  <c r="V235" i="114"/>
  <c r="K12" i="21"/>
  <c r="M12" i="21"/>
  <c r="AG146" i="22"/>
  <c r="N12" i="21" l="1"/>
  <c r="L12" i="21"/>
  <c r="Z121" i="74"/>
  <c r="AA121" i="74" s="1"/>
  <c r="AD121" i="74"/>
  <c r="Z146" i="22"/>
  <c r="AA146" i="22" s="1"/>
  <c r="X147" i="22"/>
  <c r="AE121" i="74" l="1"/>
  <c r="Z147" i="22"/>
  <c r="AD147" i="22"/>
  <c r="AA147" i="22" l="1"/>
  <c r="AE147" i="22"/>
  <c r="AG1108" i="57" l="1"/>
  <c r="AJ1108" i="57"/>
  <c r="X1108" i="57"/>
  <c r="V1108" i="57" l="1"/>
  <c r="AI1108" i="57"/>
  <c r="Z1108" i="57"/>
  <c r="AA1108" i="57" s="1"/>
  <c r="AG117" i="74" l="1"/>
  <c r="Z117" i="74" l="1"/>
  <c r="AA117" i="74" s="1"/>
  <c r="V117" i="74"/>
  <c r="AG116" i="74"/>
  <c r="Z116" i="74" l="1"/>
  <c r="AA116" i="74" s="1"/>
  <c r="V116" i="74"/>
  <c r="AG514" i="57" l="1"/>
  <c r="X514" i="57"/>
  <c r="AJ514" i="57"/>
  <c r="V514" i="57" l="1"/>
  <c r="AI514" i="57"/>
  <c r="Z514" i="57"/>
  <c r="AA514" i="57" s="1"/>
  <c r="X165" i="74" l="1"/>
  <c r="Y149" i="74"/>
  <c r="X149" i="74"/>
  <c r="AG123" i="74" l="1"/>
  <c r="Z123" i="74" l="1"/>
  <c r="AA123" i="74" s="1"/>
  <c r="V123" i="74"/>
  <c r="X151" i="22" l="1"/>
  <c r="AG150" i="22"/>
  <c r="Z150" i="22"/>
  <c r="AA150" i="22" s="1"/>
  <c r="Z151" i="22" l="1"/>
  <c r="AA151" i="22" s="1"/>
  <c r="AD151" i="22"/>
  <c r="AE151" i="22" l="1"/>
  <c r="AG124" i="74" l="1"/>
  <c r="Z124" i="74" l="1"/>
  <c r="AA124" i="74" s="1"/>
  <c r="V124" i="74"/>
  <c r="AG119" i="74"/>
  <c r="Z119" i="74" l="1"/>
  <c r="AA119" i="74" s="1"/>
  <c r="V119" i="74"/>
  <c r="AG242" i="114" l="1"/>
  <c r="Z242" i="114" l="1"/>
  <c r="AA242" i="114" s="1"/>
  <c r="V242" i="114"/>
  <c r="AG247" i="114"/>
  <c r="Z247" i="114" l="1"/>
  <c r="AA247" i="114" s="1"/>
  <c r="V247" i="114"/>
  <c r="AG248" i="114"/>
  <c r="Z248" i="114" l="1"/>
  <c r="AA248" i="114" s="1"/>
  <c r="V248" i="114"/>
  <c r="AG244" i="114"/>
  <c r="Z244" i="114" l="1"/>
  <c r="AA244" i="114" s="1"/>
  <c r="V244" i="114"/>
  <c r="AG1300" i="57"/>
  <c r="X1300" i="57"/>
  <c r="AJ1300" i="57"/>
  <c r="V1300" i="57" l="1"/>
  <c r="AI1300" i="57"/>
  <c r="Z1300" i="57"/>
  <c r="AA1300" i="57" s="1"/>
  <c r="AG930" i="57"/>
  <c r="X930" i="57"/>
  <c r="AJ930" i="57"/>
  <c r="V930" i="57" l="1"/>
  <c r="AI930" i="57"/>
  <c r="Z930" i="57"/>
  <c r="AA930" i="57" s="1"/>
  <c r="AG88" i="28"/>
  <c r="Z88" i="28" l="1"/>
  <c r="AA88" i="28" s="1"/>
  <c r="AG87" i="28"/>
  <c r="Z87" i="28" l="1"/>
  <c r="AA87" i="28" s="1"/>
  <c r="AG125" i="74" l="1"/>
  <c r="Z125" i="74" l="1"/>
  <c r="AA125" i="74" s="1"/>
  <c r="V125" i="74"/>
  <c r="AG349" i="57" l="1"/>
  <c r="X349" i="57"/>
  <c r="AJ349" i="57"/>
  <c r="V349" i="57" l="1"/>
  <c r="AI349" i="57"/>
  <c r="Z349" i="57"/>
  <c r="AA349" i="57" s="1"/>
  <c r="AG120" i="74"/>
  <c r="Z120" i="74" l="1"/>
  <c r="AA120" i="74" s="1"/>
  <c r="V120" i="74"/>
  <c r="AG240" i="114" l="1"/>
  <c r="Z240" i="114" l="1"/>
  <c r="AA240" i="114" s="1"/>
  <c r="V240" i="114"/>
  <c r="X160" i="22"/>
  <c r="K13" i="21"/>
  <c r="M13" i="21"/>
  <c r="L13" i="21" l="1"/>
  <c r="K15" i="21"/>
  <c r="N13" i="21"/>
  <c r="AG126" i="74" l="1"/>
  <c r="Z126" i="74" l="1"/>
  <c r="AA126" i="74" s="1"/>
  <c r="V126" i="74"/>
  <c r="AG114" i="74"/>
  <c r="Z114" i="74" l="1"/>
  <c r="AA114" i="74" s="1"/>
  <c r="V114" i="74"/>
  <c r="AG118" i="74"/>
  <c r="Z118" i="74" l="1"/>
  <c r="AA118" i="74" s="1"/>
  <c r="V118" i="74"/>
  <c r="AG1041" i="57" l="1"/>
  <c r="X1041" i="57"/>
  <c r="AJ1041" i="57"/>
  <c r="V1041" i="57" l="1"/>
  <c r="AI1041" i="57"/>
  <c r="Z1041" i="57"/>
  <c r="AA1041" i="57" s="1"/>
  <c r="AG236" i="114" l="1"/>
  <c r="Z236" i="114" l="1"/>
  <c r="AA236" i="114" s="1"/>
  <c r="V236" i="114"/>
  <c r="Y275" i="114" l="1"/>
  <c r="X275" i="114"/>
  <c r="Z249" i="114"/>
  <c r="AG128" i="74" l="1"/>
  <c r="Z128" i="74" l="1"/>
  <c r="AA128" i="74" s="1"/>
  <c r="V128" i="74"/>
  <c r="AG249" i="114"/>
  <c r="AA249" i="114" l="1"/>
  <c r="V249" i="114"/>
  <c r="X35" i="57"/>
  <c r="V35" i="57" l="1"/>
  <c r="AG127" i="74"/>
  <c r="Z127" i="74" l="1"/>
  <c r="AA127" i="74" s="1"/>
  <c r="V127" i="74"/>
  <c r="AG129" i="74"/>
  <c r="Z129" i="74" l="1"/>
  <c r="AA129" i="74" s="1"/>
  <c r="V129" i="74"/>
  <c r="AG250" i="114" l="1"/>
  <c r="Z250" i="114" l="1"/>
  <c r="AA250" i="114" s="1"/>
  <c r="V250" i="114"/>
  <c r="AG238" i="114"/>
  <c r="Z238" i="114" l="1"/>
  <c r="AA238" i="114" s="1"/>
  <c r="V238" i="114"/>
  <c r="AG1544" i="57" l="1"/>
  <c r="X1544" i="57"/>
  <c r="AJ1544" i="57"/>
  <c r="V1544" i="57" l="1"/>
  <c r="AI1544" i="57"/>
  <c r="Z1544" i="57"/>
  <c r="AA1544" i="57" s="1"/>
  <c r="AG1201" i="57"/>
  <c r="AJ1201" i="57"/>
  <c r="X1201" i="57"/>
  <c r="V1201" i="57" l="1"/>
  <c r="AI1201" i="57"/>
  <c r="Z1201" i="57"/>
  <c r="AA1201" i="57" s="1"/>
  <c r="AG673" i="57"/>
  <c r="X673" i="57"/>
  <c r="AJ673" i="57"/>
  <c r="V673" i="57" l="1"/>
  <c r="AI673" i="57"/>
  <c r="Z673" i="57"/>
  <c r="AA673" i="57" s="1"/>
  <c r="AG92" i="28"/>
  <c r="Z92" i="28" l="1"/>
  <c r="AA92" i="28" s="1"/>
  <c r="AG90" i="28"/>
  <c r="Z90" i="28" l="1"/>
  <c r="AA90" i="28" s="1"/>
  <c r="AG89" i="28"/>
  <c r="Z89" i="28" l="1"/>
  <c r="AA89" i="28" s="1"/>
  <c r="AG132" i="74" l="1"/>
  <c r="Z132" i="74" l="1"/>
  <c r="AA132" i="74" s="1"/>
  <c r="V132" i="74"/>
  <c r="AG252" i="114" l="1"/>
  <c r="Z252" i="114" l="1"/>
  <c r="AA252" i="114" s="1"/>
  <c r="V252" i="114"/>
  <c r="AG251" i="114"/>
  <c r="Z251" i="114" l="1"/>
  <c r="AA251" i="114" s="1"/>
  <c r="V251" i="114"/>
  <c r="AG109" i="57" l="1"/>
  <c r="X109" i="57"/>
  <c r="AJ109" i="57"/>
  <c r="V109" i="57" l="1"/>
  <c r="AI109" i="57"/>
  <c r="Z109" i="57"/>
  <c r="AA109" i="57" s="1"/>
  <c r="AM29" i="28"/>
  <c r="AL29" i="28" l="1"/>
  <c r="AJ29" i="28"/>
  <c r="AG208" i="114" l="1"/>
  <c r="Z208" i="114" l="1"/>
  <c r="AA208" i="114" s="1"/>
  <c r="V208" i="114"/>
  <c r="AG814" i="57"/>
  <c r="AJ814" i="57"/>
  <c r="X814" i="57"/>
  <c r="V814" i="57" l="1"/>
  <c r="AI814" i="57"/>
  <c r="Z814" i="57"/>
  <c r="AA814" i="57" s="1"/>
  <c r="AG91" i="28"/>
  <c r="Z91" i="28" l="1"/>
  <c r="AA91" i="28" s="1"/>
  <c r="AG135" i="74" l="1"/>
  <c r="Z135" i="74" l="1"/>
  <c r="AA135" i="74" s="1"/>
  <c r="V135" i="74"/>
  <c r="AG243" i="114" l="1"/>
  <c r="Z243" i="114" l="1"/>
  <c r="AA243" i="114" s="1"/>
  <c r="V243" i="114"/>
  <c r="AG258" i="114"/>
  <c r="Z258" i="114" l="1"/>
  <c r="AA258" i="114" s="1"/>
  <c r="V258" i="114"/>
  <c r="AG257" i="114"/>
  <c r="Z257" i="114" l="1"/>
  <c r="AA257" i="114" s="1"/>
  <c r="V257" i="114"/>
  <c r="AG253" i="114"/>
  <c r="Z253" i="114" l="1"/>
  <c r="AA253" i="114" s="1"/>
  <c r="V253" i="114"/>
  <c r="AG133" i="74"/>
  <c r="Z133" i="74" l="1"/>
  <c r="AA133" i="74" s="1"/>
  <c r="V133" i="74"/>
  <c r="AG259" i="114" l="1"/>
  <c r="Z259" i="114" l="1"/>
  <c r="AA259" i="114" s="1"/>
  <c r="V259" i="114"/>
  <c r="AG255" i="114"/>
  <c r="Z255" i="114" l="1"/>
  <c r="AA255" i="114" s="1"/>
  <c r="V255" i="114"/>
  <c r="V254" i="114" l="1"/>
  <c r="Z254" i="114"/>
  <c r="AA254" i="114" s="1"/>
  <c r="AG254" i="114"/>
  <c r="AG130" i="74" l="1"/>
  <c r="Z130" i="74" l="1"/>
  <c r="AA130" i="74" s="1"/>
  <c r="V130" i="74"/>
  <c r="AG136" i="74"/>
  <c r="Z136" i="74" l="1"/>
  <c r="AA136" i="74" s="1"/>
  <c r="V136" i="74"/>
  <c r="AG134" i="74"/>
  <c r="Z134" i="74" l="1"/>
  <c r="AA134" i="74" s="1"/>
  <c r="V134" i="74"/>
  <c r="AG113" i="74"/>
  <c r="Z113" i="74" l="1"/>
  <c r="AA113" i="74" s="1"/>
  <c r="V113" i="74"/>
  <c r="AG256" i="114" l="1"/>
  <c r="Z256" i="114" l="1"/>
  <c r="AA256" i="114" s="1"/>
  <c r="V256" i="114"/>
  <c r="AG220" i="114"/>
  <c r="Z220" i="114" l="1"/>
  <c r="AA220" i="114" s="1"/>
  <c r="V220" i="114"/>
  <c r="AG239" i="114"/>
  <c r="Z239" i="114" l="1"/>
  <c r="AA239" i="114" s="1"/>
  <c r="V239" i="114"/>
  <c r="AG260" i="114"/>
  <c r="Z260" i="114" l="1"/>
  <c r="AA260" i="114" s="1"/>
  <c r="V260" i="114"/>
  <c r="AG131" i="74" l="1"/>
  <c r="Z131" i="74" l="1"/>
  <c r="AA131" i="74" s="1"/>
  <c r="V131" i="74"/>
  <c r="AG962" i="57" l="1"/>
  <c r="AJ962" i="57"/>
  <c r="X962" i="57"/>
  <c r="V962" i="57" l="1"/>
  <c r="AI962" i="57"/>
  <c r="Z962" i="57"/>
  <c r="AA962" i="57" s="1"/>
  <c r="AG264" i="114" l="1"/>
  <c r="Z264" i="114" l="1"/>
  <c r="AA264" i="114" s="1"/>
  <c r="V264" i="114"/>
  <c r="AG262" i="114" l="1"/>
  <c r="Z262" i="114" l="1"/>
  <c r="AA262" i="114" s="1"/>
  <c r="V262" i="114"/>
  <c r="AG263" i="114"/>
  <c r="Z263" i="114" l="1"/>
  <c r="AA263" i="114" s="1"/>
  <c r="V263" i="114"/>
  <c r="AG261" i="114"/>
  <c r="Z261" i="114" l="1"/>
  <c r="AA261" i="114" s="1"/>
  <c r="V261" i="114"/>
  <c r="AJ35" i="57"/>
  <c r="AI35" i="57" l="1"/>
  <c r="Z35" i="57"/>
  <c r="AA35" i="57" s="1"/>
  <c r="AG265" i="57" l="1"/>
  <c r="X265" i="57"/>
  <c r="AJ265" i="57"/>
  <c r="V265" i="57" l="1"/>
  <c r="AI265" i="57"/>
  <c r="Z265" i="57"/>
  <c r="AA265" i="57" s="1"/>
  <c r="AG138" i="74" l="1"/>
  <c r="Z75" i="74" l="1"/>
  <c r="AD75" i="74"/>
  <c r="Z138" i="74"/>
  <c r="AA138" i="74" s="1"/>
  <c r="V138" i="74"/>
  <c r="AA75" i="74" l="1"/>
  <c r="AE75" i="74"/>
  <c r="AG269" i="114" l="1"/>
  <c r="Z269" i="114" l="1"/>
  <c r="AA269" i="114" s="1"/>
  <c r="V269" i="114"/>
  <c r="AG268" i="114"/>
  <c r="Z268" i="114" l="1"/>
  <c r="AA268" i="114" s="1"/>
  <c r="V268" i="114"/>
  <c r="AG267" i="114"/>
  <c r="Z267" i="114" l="1"/>
  <c r="AA267" i="114" s="1"/>
  <c r="V267" i="114"/>
  <c r="AG237" i="114"/>
  <c r="Z237" i="114" l="1"/>
  <c r="AA237" i="114" s="1"/>
  <c r="V237" i="114"/>
  <c r="AG241" i="114" l="1"/>
  <c r="AD194" i="114" l="1"/>
  <c r="Z194" i="114"/>
  <c r="Z241" i="114"/>
  <c r="AA241" i="114" s="1"/>
  <c r="V241" i="114"/>
  <c r="AG266" i="114"/>
  <c r="AE194" i="114" l="1"/>
  <c r="AA194" i="114"/>
  <c r="Z245" i="114"/>
  <c r="AD245" i="114"/>
  <c r="Z266" i="114"/>
  <c r="AA266" i="114" s="1"/>
  <c r="V266" i="114"/>
  <c r="AG399" i="57"/>
  <c r="X399" i="57"/>
  <c r="V399" i="57" l="1"/>
  <c r="AE245" i="114"/>
  <c r="AA245" i="114"/>
  <c r="Z399" i="57"/>
  <c r="AA399" i="57" s="1"/>
  <c r="AG93" i="28" l="1"/>
  <c r="Z93" i="28" l="1"/>
  <c r="AA93" i="28" s="1"/>
  <c r="AG145" i="74" l="1"/>
  <c r="Z145" i="74" l="1"/>
  <c r="AA145" i="74" s="1"/>
  <c r="V145" i="74"/>
  <c r="AG144" i="74"/>
  <c r="Z144" i="74" l="1"/>
  <c r="AA144" i="74" s="1"/>
  <c r="V144" i="74"/>
  <c r="AG137" i="74"/>
  <c r="Z137" i="74" l="1"/>
  <c r="AA137" i="74" s="1"/>
  <c r="V137" i="74"/>
  <c r="Y165" i="74" l="1"/>
  <c r="Y279" i="114"/>
  <c r="X279" i="114"/>
  <c r="V277" i="114"/>
  <c r="Z277" i="114"/>
  <c r="AA277" i="114" s="1"/>
  <c r="AG277" i="114"/>
  <c r="V278" i="114"/>
  <c r="Z278" i="114"/>
  <c r="AA278" i="114" s="1"/>
  <c r="AG278" i="114"/>
  <c r="AG163" i="74"/>
  <c r="Z163" i="74"/>
  <c r="AA163" i="74" s="1"/>
  <c r="V163" i="74"/>
  <c r="AG162" i="74"/>
  <c r="Z162" i="74"/>
  <c r="AA162" i="74" s="1"/>
  <c r="V162" i="74"/>
  <c r="AG161" i="74"/>
  <c r="Z161" i="74"/>
  <c r="AA161" i="74" s="1"/>
  <c r="V161" i="74"/>
  <c r="AG160" i="74"/>
  <c r="Z160" i="74"/>
  <c r="AA160" i="74" s="1"/>
  <c r="V160" i="74"/>
  <c r="AG159" i="74"/>
  <c r="Z159" i="74"/>
  <c r="AA159" i="74" s="1"/>
  <c r="V159" i="74"/>
  <c r="AG158" i="74"/>
  <c r="Z158" i="74"/>
  <c r="AA158" i="74" s="1"/>
  <c r="V158" i="74"/>
  <c r="AG157" i="74"/>
  <c r="Z157" i="74"/>
  <c r="AA157" i="74" s="1"/>
  <c r="V157" i="74"/>
  <c r="AG156" i="74"/>
  <c r="Z156" i="74"/>
  <c r="AA156" i="74" s="1"/>
  <c r="V156" i="74"/>
  <c r="AG155" i="74"/>
  <c r="Z155" i="74"/>
  <c r="AA155" i="74" s="1"/>
  <c r="V155" i="74"/>
  <c r="AG154" i="74"/>
  <c r="Z154" i="74"/>
  <c r="AA154" i="74" s="1"/>
  <c r="V154" i="74"/>
  <c r="AG153" i="74"/>
  <c r="Z153" i="74"/>
  <c r="AA153" i="74" s="1"/>
  <c r="V153" i="74"/>
  <c r="AG152" i="74"/>
  <c r="Z152" i="74"/>
  <c r="AA152" i="74" s="1"/>
  <c r="V152" i="74"/>
  <c r="AG151" i="74"/>
  <c r="Z151" i="74"/>
  <c r="AA151" i="74" s="1"/>
  <c r="V151" i="74"/>
  <c r="AG270" i="114"/>
  <c r="Z270" i="114" l="1"/>
  <c r="AA270" i="114" s="1"/>
  <c r="V270" i="114"/>
  <c r="AG274" i="114"/>
  <c r="Z274" i="114" l="1"/>
  <c r="AA274" i="114" s="1"/>
  <c r="V274" i="114"/>
  <c r="Z275" i="114" l="1"/>
  <c r="AD275" i="114"/>
  <c r="AE275" i="114" l="1"/>
  <c r="AA275" i="114"/>
  <c r="AG140" i="74" l="1"/>
  <c r="Z140" i="74" l="1"/>
  <c r="AA140" i="74" s="1"/>
  <c r="V140" i="74"/>
  <c r="AG139" i="74"/>
  <c r="Z139" i="74" l="1"/>
  <c r="AA139" i="74" s="1"/>
  <c r="V139" i="74"/>
  <c r="AG143" i="74"/>
  <c r="Z143" i="74" l="1"/>
  <c r="AA143" i="74" s="1"/>
  <c r="V143" i="74"/>
  <c r="AG147" i="74" l="1"/>
  <c r="Z147" i="74" l="1"/>
  <c r="AA147" i="74" s="1"/>
  <c r="V147" i="74"/>
  <c r="AG146" i="74"/>
  <c r="Z146" i="74" l="1"/>
  <c r="AA146" i="74" s="1"/>
  <c r="V146" i="74"/>
  <c r="AG1408" i="57" l="1"/>
  <c r="X1408" i="57"/>
  <c r="AJ1408" i="57"/>
  <c r="V1408" i="57" l="1"/>
  <c r="AI1408" i="57"/>
  <c r="Z1408" i="57"/>
  <c r="AA1408" i="57" s="1"/>
  <c r="AG265" i="114"/>
  <c r="Z265" i="114" l="1"/>
  <c r="AA265" i="114" s="1"/>
  <c r="V265" i="114"/>
  <c r="AG273" i="114"/>
  <c r="Z273" i="114" l="1"/>
  <c r="AA273" i="114" s="1"/>
  <c r="V273" i="114"/>
  <c r="AG272" i="114"/>
  <c r="Z272" i="114" l="1"/>
  <c r="AA272" i="114" s="1"/>
  <c r="V272" i="114"/>
  <c r="AG271" i="114"/>
  <c r="Z271" i="114" l="1"/>
  <c r="AA271" i="114" s="1"/>
  <c r="V271" i="114"/>
  <c r="AG439" i="57" l="1"/>
  <c r="X439" i="57"/>
  <c r="AJ439" i="57"/>
  <c r="V439" i="57" l="1"/>
  <c r="AI439" i="57"/>
  <c r="Z439" i="57"/>
  <c r="AA439" i="57" s="1"/>
  <c r="AG148" i="74"/>
  <c r="Z148" i="74" l="1"/>
  <c r="AA148" i="74" s="1"/>
  <c r="V148" i="74"/>
  <c r="AG1735" i="57" l="1"/>
  <c r="X1735" i="57"/>
  <c r="AJ1735" i="57"/>
  <c r="V1735" i="57" l="1"/>
  <c r="AI1735" i="57"/>
  <c r="Z1735" i="57"/>
  <c r="AA1735" i="57" s="1"/>
  <c r="AG662" i="57"/>
  <c r="AJ662" i="57"/>
  <c r="X662" i="57"/>
  <c r="V662" i="57" l="1"/>
  <c r="AI662" i="57"/>
  <c r="Z662" i="57"/>
  <c r="AA662" i="57" s="1"/>
  <c r="AG141" i="74" l="1"/>
  <c r="Z141" i="74" l="1"/>
  <c r="AA141" i="74" s="1"/>
  <c r="V141" i="74"/>
  <c r="AG151" i="57" l="1"/>
  <c r="X151" i="57"/>
  <c r="AJ151" i="57"/>
  <c r="V151" i="57" l="1"/>
  <c r="AI151" i="57"/>
  <c r="Z151" i="57"/>
  <c r="AA151" i="57" s="1"/>
  <c r="AG744" i="57"/>
  <c r="AJ744" i="57"/>
  <c r="X744" i="57"/>
  <c r="V744" i="57" l="1"/>
  <c r="AI744" i="57"/>
  <c r="Z744" i="57"/>
  <c r="AA744" i="57" s="1"/>
  <c r="AG633" i="57" l="1"/>
  <c r="X633" i="57"/>
  <c r="AJ633" i="57"/>
  <c r="V633" i="57" l="1"/>
  <c r="AI633" i="57"/>
  <c r="Z633" i="57"/>
  <c r="AA633" i="57" s="1"/>
  <c r="AG961" i="57"/>
  <c r="X961" i="57"/>
  <c r="AJ961" i="57"/>
  <c r="V961" i="57" l="1"/>
  <c r="AI961" i="57"/>
  <c r="Z961" i="57"/>
  <c r="AA961" i="57" s="1"/>
  <c r="AG1128" i="57" l="1"/>
  <c r="X1128" i="57"/>
  <c r="AJ1128" i="57"/>
  <c r="V1128" i="57" l="1"/>
  <c r="AI1128" i="57"/>
  <c r="Z1128" i="57"/>
  <c r="AA1128" i="57" s="1"/>
  <c r="AG1662" i="57" l="1"/>
  <c r="X1662" i="57"/>
  <c r="AJ1662" i="57"/>
  <c r="V1662" i="57" l="1"/>
  <c r="AI1662" i="57"/>
  <c r="Z1662" i="57"/>
  <c r="AA1662" i="57" s="1"/>
  <c r="AG555" i="57"/>
  <c r="AJ555" i="57"/>
  <c r="X555" i="57"/>
  <c r="V555" i="57" l="1"/>
  <c r="AI555" i="57"/>
  <c r="Z555" i="57"/>
  <c r="AA555" i="57" s="1"/>
  <c r="AG1573" i="57" l="1"/>
  <c r="AJ1573" i="57"/>
  <c r="X1573" i="57"/>
  <c r="V1573" i="57" l="1"/>
  <c r="AI1573" i="57"/>
  <c r="Z1573" i="57"/>
  <c r="AA1573" i="57" s="1"/>
  <c r="AG674" i="57"/>
  <c r="AJ674" i="57"/>
  <c r="X674" i="57"/>
  <c r="V674" i="57" l="1"/>
  <c r="AI674" i="57"/>
  <c r="Z674" i="57"/>
  <c r="AA674" i="57" s="1"/>
  <c r="AG660" i="57"/>
  <c r="X660" i="57"/>
  <c r="AJ660" i="57"/>
  <c r="V660" i="57" l="1"/>
  <c r="AI660" i="57"/>
  <c r="Z660" i="57"/>
  <c r="AA660" i="57" s="1"/>
  <c r="AG1218" i="57" l="1"/>
  <c r="X1218" i="57"/>
  <c r="AJ1218" i="57"/>
  <c r="V1218" i="57" l="1"/>
  <c r="AI1218" i="57"/>
  <c r="Z1218" i="57"/>
  <c r="AA1218" i="57" s="1"/>
  <c r="AG945" i="57" l="1"/>
  <c r="AJ945" i="57"/>
  <c r="X945" i="57"/>
  <c r="V945" i="57" l="1"/>
  <c r="AI945" i="57"/>
  <c r="Z945" i="57"/>
  <c r="AA945" i="57" s="1"/>
  <c r="AG260" i="57" l="1"/>
  <c r="AJ260" i="57"/>
  <c r="X260" i="57"/>
  <c r="V260" i="57" l="1"/>
  <c r="AI260" i="57"/>
  <c r="Z260" i="57"/>
  <c r="AA260" i="57" s="1"/>
  <c r="AG1782" i="57"/>
  <c r="X1782" i="57"/>
  <c r="AJ1782" i="57"/>
  <c r="V1782" i="57" l="1"/>
  <c r="AI1782" i="57"/>
  <c r="Z1782" i="57"/>
  <c r="AA1782" i="57" s="1"/>
  <c r="AG1440" i="57"/>
  <c r="X1440" i="57"/>
  <c r="AJ1440" i="57"/>
  <c r="V1440" i="57" l="1"/>
  <c r="AI1440" i="57"/>
  <c r="Z1440" i="57"/>
  <c r="AA1440" i="57" s="1"/>
  <c r="AG300" i="57" l="1"/>
  <c r="X300" i="57"/>
  <c r="AJ300" i="57"/>
  <c r="V300" i="57" l="1"/>
  <c r="AI300" i="57"/>
  <c r="Z300" i="57"/>
  <c r="AA300" i="57" s="1"/>
  <c r="AM16" i="28"/>
  <c r="X16" i="28"/>
  <c r="V16" i="28" l="1"/>
  <c r="Z16" i="28"/>
  <c r="AA16" i="28" s="1"/>
  <c r="AL16" i="28"/>
  <c r="AJ16" i="28"/>
  <c r="AG142" i="74" l="1"/>
  <c r="Z142" i="74" l="1"/>
  <c r="AA142" i="74" s="1"/>
  <c r="V142" i="74"/>
  <c r="Z149" i="74" l="1"/>
  <c r="AD149" i="74"/>
  <c r="AA149" i="74" l="1"/>
  <c r="AE149" i="74"/>
  <c r="AG1202" i="57"/>
  <c r="AJ1202" i="57"/>
  <c r="X1202" i="57"/>
  <c r="V1202" i="57" l="1"/>
  <c r="AI1202" i="57"/>
  <c r="Z1202" i="57"/>
  <c r="AA1202" i="57" s="1"/>
  <c r="AG868" i="57"/>
  <c r="X868" i="57"/>
  <c r="AJ868" i="57"/>
  <c r="V868" i="57" l="1"/>
  <c r="AI868" i="57"/>
  <c r="Z868" i="57"/>
  <c r="AA868" i="57" s="1"/>
  <c r="AG520" i="57" l="1"/>
  <c r="AJ520" i="57"/>
  <c r="X520" i="57"/>
  <c r="V520" i="57" l="1"/>
  <c r="AI520" i="57"/>
  <c r="Z520" i="57"/>
  <c r="AA520" i="57" s="1"/>
  <c r="AG557" i="57"/>
  <c r="X557" i="57"/>
  <c r="AJ557" i="57"/>
  <c r="V557" i="57" l="1"/>
  <c r="AI557" i="57"/>
  <c r="Z557" i="57"/>
  <c r="AA557" i="57" s="1"/>
  <c r="AG1784" i="57" l="1"/>
  <c r="X1784" i="57"/>
  <c r="AJ1784" i="57"/>
  <c r="V1784" i="57" l="1"/>
  <c r="AI1784" i="57"/>
  <c r="Z1784" i="57"/>
  <c r="AA1784" i="57" s="1"/>
  <c r="AG643" i="57" l="1"/>
  <c r="X643" i="57"/>
  <c r="AJ643" i="57"/>
  <c r="V643" i="57" l="1"/>
  <c r="AI643" i="57"/>
  <c r="Z643" i="57"/>
  <c r="AA643" i="57" s="1"/>
  <c r="AG1185" i="57" l="1"/>
  <c r="X1185" i="57"/>
  <c r="AJ1185" i="57"/>
  <c r="V1185" i="57" l="1"/>
  <c r="AI1185" i="57"/>
  <c r="Z1185" i="57"/>
  <c r="AA1185" i="57" s="1"/>
  <c r="AG1775" i="57" l="1"/>
  <c r="X1775" i="57"/>
  <c r="AJ1775" i="57"/>
  <c r="V1775" i="57" l="1"/>
  <c r="AI1775" i="57"/>
  <c r="Z1775" i="57"/>
  <c r="AA1775" i="57" s="1"/>
  <c r="AG164" i="74" l="1"/>
  <c r="Z164" i="74" l="1"/>
  <c r="AA164" i="74" s="1"/>
  <c r="V164" i="74"/>
  <c r="AG340" i="57" l="1"/>
  <c r="AJ340" i="57"/>
  <c r="X340" i="57"/>
  <c r="V340" i="57" l="1"/>
  <c r="AI340" i="57"/>
  <c r="Z340" i="57"/>
  <c r="AA340" i="57" s="1"/>
  <c r="AG993" i="57"/>
  <c r="X993" i="57"/>
  <c r="AJ993" i="57"/>
  <c r="V993" i="57" l="1"/>
  <c r="AI993" i="57"/>
  <c r="Z993" i="57"/>
  <c r="AA993" i="57" s="1"/>
  <c r="AG1091" i="57" l="1"/>
  <c r="AJ1091" i="57"/>
  <c r="X1091" i="57"/>
  <c r="V1091" i="57" l="1"/>
  <c r="AI1091" i="57"/>
  <c r="Z1091" i="57"/>
  <c r="AA1091" i="57" s="1"/>
  <c r="AG1737" i="57"/>
  <c r="X1737" i="57"/>
  <c r="AJ1737" i="57"/>
  <c r="V1737" i="57" l="1"/>
  <c r="AI1737" i="57"/>
  <c r="Z1737" i="57"/>
  <c r="AA1737" i="57" s="1"/>
  <c r="AG636" i="57" l="1"/>
  <c r="X636" i="57"/>
  <c r="AJ636" i="57"/>
  <c r="V636" i="57" l="1"/>
  <c r="AI636" i="57"/>
  <c r="Z636" i="57"/>
  <c r="AA636" i="57" s="1"/>
  <c r="Z165" i="74" l="1"/>
  <c r="AA165" i="74" s="1"/>
  <c r="AD165" i="74"/>
  <c r="AE165" i="74" l="1"/>
  <c r="AG198" i="57"/>
  <c r="X198" i="57"/>
  <c r="AJ198" i="57"/>
  <c r="V198" i="57" l="1"/>
  <c r="AI198" i="57"/>
  <c r="Z198" i="57"/>
  <c r="AA198" i="57" s="1"/>
  <c r="AG1536" i="57" l="1"/>
  <c r="X1536" i="57"/>
  <c r="AJ1536" i="57"/>
  <c r="V1536" i="57" l="1"/>
  <c r="AI1536" i="57"/>
  <c r="Z1536" i="57"/>
  <c r="AA1536" i="57" s="1"/>
  <c r="AG1197" i="57" l="1"/>
  <c r="AJ1197" i="57"/>
  <c r="X1197" i="57"/>
  <c r="V1197" i="57" l="1"/>
  <c r="AI1197" i="57"/>
  <c r="Z1197" i="57"/>
  <c r="AA1197" i="57" s="1"/>
  <c r="AD279" i="114" l="1"/>
  <c r="Z279" i="114"/>
  <c r="AA279" i="114" l="1"/>
  <c r="AE279" i="114"/>
  <c r="AG860" i="57" l="1"/>
  <c r="AJ860" i="57"/>
  <c r="X860" i="57"/>
  <c r="V860" i="57" l="1"/>
  <c r="AI860" i="57"/>
  <c r="Z860" i="57"/>
  <c r="AA860" i="57" s="1"/>
  <c r="AJ1640" i="57"/>
  <c r="AI1640" i="57" l="1"/>
  <c r="AG1640" i="57"/>
  <c r="X1640" i="57"/>
  <c r="V1640" i="57" l="1"/>
  <c r="Z1640" i="57"/>
  <c r="AA1640" i="57" s="1"/>
  <c r="AJ57" i="57"/>
  <c r="X57" i="57"/>
  <c r="V57" i="57" l="1"/>
  <c r="AI57" i="57"/>
  <c r="Z57" i="57"/>
  <c r="AA57" i="57" s="1"/>
  <c r="AG913" i="57" l="1"/>
  <c r="AJ913" i="57"/>
  <c r="X913" i="57"/>
  <c r="V913" i="57" l="1"/>
  <c r="AI913" i="57"/>
  <c r="Z913" i="57"/>
  <c r="AA913" i="57" s="1"/>
  <c r="AG1672" i="57" l="1"/>
  <c r="X1672" i="57"/>
  <c r="AJ1672" i="57"/>
  <c r="V1672" i="57" l="1"/>
  <c r="AI1672" i="57"/>
  <c r="Z1672" i="57"/>
  <c r="AA1672" i="57" s="1"/>
  <c r="AG1345" i="57" l="1"/>
  <c r="AJ1345" i="57"/>
  <c r="X1345" i="57"/>
  <c r="V1345" i="57" l="1"/>
  <c r="AI1345" i="57"/>
  <c r="Z1345" i="57"/>
  <c r="AA1345" i="57" s="1"/>
  <c r="AG1543" i="57" l="1"/>
  <c r="X1543" i="57"/>
  <c r="AJ1543" i="57"/>
  <c r="V1543" i="57" l="1"/>
  <c r="AI1543" i="57"/>
  <c r="Z1543" i="57"/>
  <c r="AA1543" i="57" s="1"/>
  <c r="AG1419" i="57"/>
  <c r="AJ1419" i="57"/>
  <c r="X1419" i="57"/>
  <c r="V1419" i="57" l="1"/>
  <c r="AI1419" i="57"/>
  <c r="Z1419" i="57"/>
  <c r="AA1419" i="57" s="1"/>
  <c r="AG330" i="57" l="1"/>
  <c r="X330" i="57"/>
  <c r="AJ330" i="57"/>
  <c r="V330" i="57" l="1"/>
  <c r="AI330" i="57"/>
  <c r="Z330" i="57"/>
  <c r="AA330" i="57" s="1"/>
  <c r="AG338" i="57"/>
  <c r="X338" i="57"/>
  <c r="AJ338" i="57"/>
  <c r="V338" i="57" l="1"/>
  <c r="AI338" i="57"/>
  <c r="Z338" i="57"/>
  <c r="AA338" i="57" s="1"/>
  <c r="AG1720" i="57"/>
  <c r="X1720" i="57"/>
  <c r="AJ1720" i="57"/>
  <c r="V1720" i="57" l="1"/>
  <c r="AI1720" i="57"/>
  <c r="Z1720" i="57"/>
  <c r="AA1720" i="57" s="1"/>
  <c r="AG1240" i="57" l="1"/>
  <c r="X1240" i="57"/>
  <c r="AJ1240" i="57"/>
  <c r="V1240" i="57" l="1"/>
  <c r="AI1240" i="57"/>
  <c r="Z1240" i="57"/>
  <c r="AA1240" i="57" s="1"/>
  <c r="AG856" i="57" l="1"/>
  <c r="AJ856" i="57"/>
  <c r="X856" i="57"/>
  <c r="V856" i="57" l="1"/>
  <c r="AI856" i="57"/>
  <c r="Z856" i="57"/>
  <c r="AA856" i="57" s="1"/>
  <c r="X13" i="28"/>
  <c r="AM13" i="28"/>
  <c r="V13" i="28" l="1"/>
  <c r="Z13" i="28"/>
  <c r="AA13" i="28" s="1"/>
  <c r="AL13" i="28"/>
  <c r="AG516" i="57" l="1"/>
  <c r="AJ516" i="57"/>
  <c r="X516" i="57"/>
  <c r="V516" i="57" l="1"/>
  <c r="AI516" i="57"/>
  <c r="Z516" i="57"/>
  <c r="AA516" i="57" s="1"/>
  <c r="AG107" i="74" l="1"/>
  <c r="V107" i="74" l="1"/>
  <c r="Z107" i="74"/>
  <c r="AA107" i="74" s="1"/>
  <c r="AG1817" i="57" l="1"/>
  <c r="AJ1817" i="57"/>
  <c r="X1817" i="57"/>
  <c r="V1817" i="57" l="1"/>
  <c r="AI1817" i="57"/>
  <c r="Z1817" i="57"/>
  <c r="AA1817" i="57" s="1"/>
  <c r="AG95" i="28"/>
  <c r="AG94" i="28"/>
  <c r="Z95" i="28" l="1"/>
  <c r="AA95" i="28" s="1"/>
  <c r="Z94" i="28"/>
  <c r="AA94" i="28" s="1"/>
  <c r="AG843" i="57" l="1"/>
  <c r="X843" i="57"/>
  <c r="AJ843" i="57"/>
  <c r="V843" i="57" l="1"/>
  <c r="AI843" i="57"/>
  <c r="Z843" i="57"/>
  <c r="AA843" i="57" s="1"/>
  <c r="AG1799" i="57" l="1"/>
  <c r="X1799" i="57"/>
  <c r="AJ1799" i="57"/>
  <c r="V1799" i="57" l="1"/>
  <c r="AI1799" i="57"/>
  <c r="Z1799" i="57"/>
  <c r="AA1799" i="57" s="1"/>
  <c r="AG964" i="57" l="1"/>
  <c r="X964" i="57"/>
  <c r="AJ964" i="57"/>
  <c r="V964" i="57" l="1"/>
  <c r="AI964" i="57"/>
  <c r="Z964" i="57"/>
  <c r="AA964" i="57" s="1"/>
  <c r="AJ748" i="57"/>
  <c r="AJ718" i="57"/>
  <c r="AJ749" i="57"/>
  <c r="AJ719" i="57"/>
  <c r="AJ717" i="57"/>
  <c r="AJ716" i="57"/>
  <c r="AJ720" i="57"/>
  <c r="AJ746" i="57"/>
  <c r="AI749" i="57" l="1"/>
  <c r="AI748" i="57"/>
  <c r="AI720" i="57"/>
  <c r="AI746" i="57"/>
  <c r="AI719" i="57"/>
  <c r="AI718" i="57"/>
  <c r="AI717" i="57"/>
  <c r="AI716" i="57"/>
  <c r="AG882" i="57"/>
  <c r="X882" i="57"/>
  <c r="AJ882" i="57"/>
  <c r="V882" i="57" l="1"/>
  <c r="AI882" i="57"/>
  <c r="Z882" i="57"/>
  <c r="AA882" i="57" s="1"/>
  <c r="AG996" i="57" l="1"/>
  <c r="AJ996" i="57"/>
  <c r="X996" i="57"/>
  <c r="V996" i="57" l="1"/>
  <c r="AI996" i="57"/>
  <c r="Z996" i="57"/>
  <c r="AA996" i="57" s="1"/>
  <c r="AG1750" i="57"/>
  <c r="X1750" i="57"/>
  <c r="AJ1750" i="57"/>
  <c r="V1750" i="57" l="1"/>
  <c r="AI1750" i="57"/>
  <c r="Z1750" i="57"/>
  <c r="AA1750" i="57" s="1"/>
  <c r="AG617" i="57" l="1"/>
  <c r="X617" i="57"/>
  <c r="AJ617" i="57"/>
  <c r="V617" i="57" l="1"/>
  <c r="AI617" i="57"/>
  <c r="Z617" i="57"/>
  <c r="AA617" i="57" s="1"/>
  <c r="AG1001" i="57" l="1"/>
  <c r="AJ1001" i="57"/>
  <c r="X1001" i="57"/>
  <c r="V1001" i="57" l="1"/>
  <c r="AI1001" i="57"/>
  <c r="Z1001" i="57"/>
  <c r="AA1001" i="57" s="1"/>
  <c r="O15" i="21" l="1"/>
  <c r="AG717" i="57" l="1"/>
  <c r="X717" i="57"/>
  <c r="V717" i="57" l="1"/>
  <c r="Z717" i="57"/>
  <c r="AA717" i="57" s="1"/>
  <c r="AG815" i="57" l="1"/>
  <c r="X815" i="57"/>
  <c r="AJ815" i="57"/>
  <c r="V815" i="57" l="1"/>
  <c r="AI815" i="57"/>
  <c r="Z815" i="57"/>
  <c r="AA815" i="57" s="1"/>
  <c r="AG846" i="57"/>
  <c r="X846" i="57"/>
  <c r="AJ846" i="57"/>
  <c r="V846" i="57" l="1"/>
  <c r="AI846" i="57"/>
  <c r="Z846" i="57"/>
  <c r="AA846" i="57" s="1"/>
  <c r="AG630" i="57" l="1"/>
  <c r="AJ630" i="57"/>
  <c r="X630" i="57"/>
  <c r="V630" i="57" l="1"/>
  <c r="AI630" i="57"/>
  <c r="Z630" i="57"/>
  <c r="AA630" i="57" s="1"/>
  <c r="AG1577" i="57" l="1"/>
  <c r="X1577" i="57"/>
  <c r="AJ1577" i="57"/>
  <c r="V1577" i="57" l="1"/>
  <c r="AI1577" i="57"/>
  <c r="Z1577" i="57"/>
  <c r="AA1577" i="57" s="1"/>
  <c r="AG468" i="57"/>
  <c r="AJ468" i="57"/>
  <c r="X468" i="57"/>
  <c r="V468" i="57" l="1"/>
  <c r="AI468" i="57"/>
  <c r="Z468" i="57"/>
  <c r="AA468" i="57" s="1"/>
  <c r="AG675" i="57"/>
  <c r="AJ675" i="57"/>
  <c r="X675" i="57"/>
  <c r="V675" i="57" l="1"/>
  <c r="AI675" i="57"/>
  <c r="Z675" i="57"/>
  <c r="AA675" i="57" s="1"/>
  <c r="AG98" i="28"/>
  <c r="Z98" i="28" l="1"/>
  <c r="AA98" i="28" s="1"/>
  <c r="AG96" i="28"/>
  <c r="Z96" i="28" l="1"/>
  <c r="AA96" i="28" s="1"/>
  <c r="AG97" i="28"/>
  <c r="Z97" i="28" l="1"/>
  <c r="AA97" i="28" s="1"/>
  <c r="AG720" i="57" l="1"/>
  <c r="X720" i="57"/>
  <c r="V720" i="57" l="1"/>
  <c r="Z720" i="57"/>
  <c r="AA720" i="57" s="1"/>
  <c r="AG202" i="57"/>
  <c r="X202" i="57"/>
  <c r="AJ202" i="57"/>
  <c r="V202" i="57" l="1"/>
  <c r="AI202" i="57"/>
  <c r="Z202" i="57"/>
  <c r="AA202" i="57" s="1"/>
  <c r="AG1708" i="57" l="1"/>
  <c r="AJ1708" i="57"/>
  <c r="X1708" i="57"/>
  <c r="V1708" i="57" l="1"/>
  <c r="AI1708" i="57"/>
  <c r="Z1708" i="57"/>
  <c r="AA1708" i="57" s="1"/>
  <c r="AG586" i="57"/>
  <c r="X586" i="57"/>
  <c r="AJ586" i="57"/>
  <c r="V586" i="57" l="1"/>
  <c r="AI586" i="57"/>
  <c r="Z586" i="57"/>
  <c r="AA586" i="57" s="1"/>
  <c r="AG1629" i="57"/>
  <c r="X1629" i="57"/>
  <c r="AJ1629" i="57"/>
  <c r="V1629" i="57" l="1"/>
  <c r="AI1629" i="57"/>
  <c r="Z1629" i="57"/>
  <c r="AA1629" i="57" s="1"/>
  <c r="AG1223" i="57" l="1"/>
  <c r="X1223" i="57"/>
  <c r="AJ1223" i="57"/>
  <c r="V1223" i="57" l="1"/>
  <c r="AI1223" i="57"/>
  <c r="Z1223" i="57"/>
  <c r="AA1223" i="57" s="1"/>
  <c r="AG925" i="57" l="1"/>
  <c r="X925" i="57"/>
  <c r="AJ925" i="57"/>
  <c r="V925" i="57" l="1"/>
  <c r="AI925" i="57"/>
  <c r="Z925" i="57"/>
  <c r="AA925" i="57" s="1"/>
  <c r="AG670" i="57"/>
  <c r="AJ670" i="57"/>
  <c r="X670" i="57"/>
  <c r="V670" i="57" l="1"/>
  <c r="AI670" i="57"/>
  <c r="Z670" i="57"/>
  <c r="AA670" i="57" s="1"/>
  <c r="AG1635" i="57"/>
  <c r="AJ1635" i="57"/>
  <c r="X1635" i="57"/>
  <c r="V1635" i="57" l="1"/>
  <c r="AI1635" i="57"/>
  <c r="Z1635" i="57"/>
  <c r="AA1635" i="57" s="1"/>
  <c r="AG1754" i="57" l="1"/>
  <c r="AJ1754" i="57"/>
  <c r="X1754" i="57"/>
  <c r="V1754" i="57" l="1"/>
  <c r="AI1754" i="57"/>
  <c r="Z1754" i="57"/>
  <c r="AA1754" i="57" s="1"/>
  <c r="AG1195" i="57"/>
  <c r="X1195" i="57"/>
  <c r="AJ1195" i="57"/>
  <c r="V1195" i="57" l="1"/>
  <c r="AI1195" i="57"/>
  <c r="Z1195" i="57"/>
  <c r="AA1195" i="57" s="1"/>
  <c r="AG592" i="57"/>
  <c r="X592" i="57"/>
  <c r="AJ592" i="57"/>
  <c r="V592" i="57" l="1"/>
  <c r="AI592" i="57"/>
  <c r="Z592" i="57"/>
  <c r="AA592" i="57" s="1"/>
  <c r="AG858" i="57"/>
  <c r="X858" i="57"/>
  <c r="AJ858" i="57"/>
  <c r="V858" i="57" l="1"/>
  <c r="AI858" i="57"/>
  <c r="Z858" i="57"/>
  <c r="AA858" i="57" s="1"/>
  <c r="AG941" i="57" l="1"/>
  <c r="AJ941" i="57"/>
  <c r="X941" i="57"/>
  <c r="V941" i="57" l="1"/>
  <c r="AI941" i="57"/>
  <c r="Z941" i="57"/>
  <c r="AA941" i="57" s="1"/>
  <c r="AG1781" i="57" l="1"/>
  <c r="X1781" i="57"/>
  <c r="AJ1781" i="57"/>
  <c r="V1781" i="57" l="1"/>
  <c r="AI1781" i="57"/>
  <c r="Z1781" i="57"/>
  <c r="AA1781" i="57" s="1"/>
  <c r="AG1724" i="57" l="1"/>
  <c r="X1724" i="57"/>
  <c r="AJ1724" i="57"/>
  <c r="V1724" i="57" l="1"/>
  <c r="AI1724" i="57"/>
  <c r="Z1724" i="57"/>
  <c r="AA1724" i="57" s="1"/>
  <c r="AG247" i="57"/>
  <c r="X247" i="57"/>
  <c r="AJ247" i="57"/>
  <c r="V247" i="57" l="1"/>
  <c r="AI247" i="57"/>
  <c r="Z247" i="57"/>
  <c r="AA247" i="57" s="1"/>
  <c r="AG535" i="57"/>
  <c r="X535" i="57"/>
  <c r="AJ535" i="57"/>
  <c r="V535" i="57" l="1"/>
  <c r="AI535" i="57"/>
  <c r="Z535" i="57"/>
  <c r="AA535" i="57" s="1"/>
  <c r="AG1030" i="57" l="1"/>
  <c r="AJ1030" i="57"/>
  <c r="X1030" i="57"/>
  <c r="V1030" i="57" l="1"/>
  <c r="AI1030" i="57"/>
  <c r="Z1030" i="57"/>
  <c r="AA1030" i="57" s="1"/>
  <c r="AG539" i="57"/>
  <c r="AJ539" i="57"/>
  <c r="X539" i="57"/>
  <c r="V539" i="57" l="1"/>
  <c r="AI539" i="57"/>
  <c r="Z539" i="57"/>
  <c r="AA539" i="57" s="1"/>
  <c r="AG1794" i="57" l="1"/>
  <c r="X1794" i="57"/>
  <c r="AJ1794" i="57"/>
  <c r="V1794" i="57" l="1"/>
  <c r="AI1794" i="57"/>
  <c r="Z1794" i="57"/>
  <c r="AA1794" i="57" s="1"/>
  <c r="AG1199" i="57" l="1"/>
  <c r="AJ1199" i="57"/>
  <c r="X1199" i="57"/>
  <c r="V1199" i="57" l="1"/>
  <c r="AI1199" i="57"/>
  <c r="Z1199" i="57"/>
  <c r="AA1199" i="57" s="1"/>
  <c r="AG302" i="57"/>
  <c r="X302" i="57"/>
  <c r="AJ302" i="57"/>
  <c r="V302" i="57" l="1"/>
  <c r="AI302" i="57"/>
  <c r="Z302" i="57"/>
  <c r="AA302" i="57" s="1"/>
  <c r="AG1730" i="57" l="1"/>
  <c r="AJ1730" i="57"/>
  <c r="X1730" i="57"/>
  <c r="V1730" i="57" l="1"/>
  <c r="AI1730" i="57"/>
  <c r="Z1730" i="57"/>
  <c r="AA1730" i="57" s="1"/>
  <c r="AG1698" i="57" l="1"/>
  <c r="X1698" i="57"/>
  <c r="AJ1698" i="57"/>
  <c r="V1698" i="57" l="1"/>
  <c r="AI1698" i="57"/>
  <c r="Z1698" i="57"/>
  <c r="AA1698" i="57" s="1"/>
  <c r="AG1161" i="57"/>
  <c r="X1161" i="57"/>
  <c r="AJ1161" i="57"/>
  <c r="V1161" i="57" l="1"/>
  <c r="AI1161" i="57"/>
  <c r="Z1161" i="57"/>
  <c r="AA1161" i="57" s="1"/>
  <c r="AJ1697" i="57"/>
  <c r="AI1697" i="57" l="1"/>
  <c r="AJ1700" i="57"/>
  <c r="AI1700" i="57" l="1"/>
  <c r="AJ1732" i="57"/>
  <c r="AJ1701" i="57"/>
  <c r="AI1701" i="57" l="1"/>
  <c r="AI1732" i="57"/>
  <c r="AJ1733" i="57"/>
  <c r="AI1733" i="57" l="1"/>
  <c r="AJ1734" i="57"/>
  <c r="AI1734" i="57" l="1"/>
  <c r="AJ1736" i="57"/>
  <c r="AI1736" i="57" l="1"/>
  <c r="AJ1738" i="57"/>
  <c r="AI1738" i="57" l="1"/>
  <c r="AJ1739" i="57"/>
  <c r="AI1739" i="57" l="1"/>
  <c r="AJ1740" i="57"/>
  <c r="AI1740" i="57" l="1"/>
  <c r="AJ1741" i="57"/>
  <c r="AI1741" i="57" l="1"/>
  <c r="AJ1742" i="57"/>
  <c r="AI1742" i="57" l="1"/>
  <c r="AJ1743" i="57"/>
  <c r="AI1743" i="57" l="1"/>
  <c r="AJ1744" i="57"/>
  <c r="AI1744" i="57" l="1"/>
  <c r="AJ1745" i="57"/>
  <c r="AI1745" i="57" l="1"/>
  <c r="AJ1746" i="57"/>
  <c r="AI1746" i="57" l="1"/>
  <c r="AJ1747" i="57"/>
  <c r="AI1747" i="57" l="1"/>
  <c r="AJ1749" i="57"/>
  <c r="AI1749" i="57" l="1"/>
  <c r="AJ1751" i="57"/>
  <c r="AI1751" i="57" l="1"/>
  <c r="AJ1752" i="57"/>
  <c r="AI1752" i="57" l="1"/>
  <c r="AJ1753" i="57"/>
  <c r="AI1753" i="57" l="1"/>
  <c r="AG1824" i="57" l="1"/>
  <c r="X1824" i="57"/>
  <c r="AJ1824" i="57"/>
  <c r="V1824" i="57" l="1"/>
  <c r="AI1824" i="57"/>
  <c r="Z1824" i="57"/>
  <c r="AA1824" i="57" s="1"/>
  <c r="AG1823" i="57"/>
  <c r="AJ1823" i="57"/>
  <c r="X1823" i="57"/>
  <c r="V1823" i="57" l="1"/>
  <c r="AI1823" i="57"/>
  <c r="Z1823" i="57"/>
  <c r="AA1823" i="57" s="1"/>
  <c r="AG1818" i="57" l="1"/>
  <c r="X1818" i="57"/>
  <c r="AJ1818" i="57"/>
  <c r="V1818" i="57" l="1"/>
  <c r="AI1818" i="57"/>
  <c r="Z1818" i="57"/>
  <c r="AA1818" i="57" s="1"/>
  <c r="AG1814" i="57" l="1"/>
  <c r="AJ1814" i="57"/>
  <c r="X1814" i="57"/>
  <c r="V1814" i="57" l="1"/>
  <c r="AI1814" i="57"/>
  <c r="Z1814" i="57"/>
  <c r="AA1814" i="57" s="1"/>
  <c r="AG1813" i="57"/>
  <c r="X1813" i="57"/>
  <c r="AJ1813" i="57"/>
  <c r="V1813" i="57" l="1"/>
  <c r="AI1813" i="57"/>
  <c r="Z1813" i="57"/>
  <c r="AA1813" i="57" s="1"/>
  <c r="AG1812" i="57"/>
  <c r="AJ1812" i="57"/>
  <c r="X1812" i="57"/>
  <c r="V1812" i="57" l="1"/>
  <c r="AI1812" i="57"/>
  <c r="Z1812" i="57"/>
  <c r="AA1812" i="57" s="1"/>
  <c r="AG1810" i="57"/>
  <c r="X1810" i="57"/>
  <c r="AJ1810" i="57"/>
  <c r="V1810" i="57" l="1"/>
  <c r="AI1810" i="57"/>
  <c r="Z1810" i="57"/>
  <c r="AA1810" i="57" s="1"/>
  <c r="AG1809" i="57"/>
  <c r="AJ1809" i="57"/>
  <c r="X1809" i="57"/>
  <c r="V1809" i="57" l="1"/>
  <c r="AI1809" i="57"/>
  <c r="Z1809" i="57"/>
  <c r="AA1809" i="57" s="1"/>
  <c r="AG1808" i="57"/>
  <c r="AJ1808" i="57"/>
  <c r="X1808" i="57"/>
  <c r="V1808" i="57" l="1"/>
  <c r="AI1808" i="57"/>
  <c r="Z1808" i="57"/>
  <c r="AA1808" i="57" s="1"/>
  <c r="AG1807" i="57"/>
  <c r="X1807" i="57"/>
  <c r="AJ1807" i="57"/>
  <c r="V1807" i="57" l="1"/>
  <c r="AI1807" i="57"/>
  <c r="Z1807" i="57"/>
  <c r="AA1807" i="57" s="1"/>
  <c r="AG1806" i="57"/>
  <c r="X1806" i="57"/>
  <c r="AJ1806" i="57"/>
  <c r="V1806" i="57" l="1"/>
  <c r="AI1806" i="57"/>
  <c r="Z1806" i="57"/>
  <c r="AA1806" i="57" s="1"/>
  <c r="AG1803" i="57"/>
  <c r="X1803" i="57"/>
  <c r="AJ1803" i="57"/>
  <c r="V1803" i="57" l="1"/>
  <c r="AI1803" i="57"/>
  <c r="Z1803" i="57"/>
  <c r="AA1803" i="57" s="1"/>
  <c r="AG1802" i="57"/>
  <c r="X1802" i="57"/>
  <c r="AJ1802" i="57"/>
  <c r="V1802" i="57" l="1"/>
  <c r="AI1802" i="57"/>
  <c r="Z1802" i="57"/>
  <c r="AA1802" i="57" s="1"/>
  <c r="AG1801" i="57"/>
  <c r="X1801" i="57"/>
  <c r="AJ1801" i="57"/>
  <c r="V1801" i="57" l="1"/>
  <c r="AI1801" i="57"/>
  <c r="Z1801" i="57"/>
  <c r="AA1801" i="57" s="1"/>
  <c r="AG1800" i="57"/>
  <c r="X1800" i="57"/>
  <c r="AJ1800" i="57"/>
  <c r="V1800" i="57" l="1"/>
  <c r="AI1800" i="57"/>
  <c r="Z1800" i="57"/>
  <c r="AA1800" i="57" s="1"/>
  <c r="AG1798" i="57" l="1"/>
  <c r="AJ1798" i="57"/>
  <c r="X1798" i="57"/>
  <c r="V1798" i="57" l="1"/>
  <c r="AI1798" i="57"/>
  <c r="Z1798" i="57"/>
  <c r="AA1798" i="57" s="1"/>
  <c r="AG1797" i="57"/>
  <c r="X1797" i="57"/>
  <c r="AJ1797" i="57"/>
  <c r="V1797" i="57" l="1"/>
  <c r="AI1797" i="57"/>
  <c r="Z1797" i="57"/>
  <c r="AA1797" i="57" s="1"/>
  <c r="AG1796" i="57"/>
  <c r="X1796" i="57"/>
  <c r="AJ1796" i="57"/>
  <c r="V1796" i="57" l="1"/>
  <c r="AI1796" i="57"/>
  <c r="Z1796" i="57"/>
  <c r="AA1796" i="57" s="1"/>
  <c r="AG1795" i="57"/>
  <c r="X1795" i="57"/>
  <c r="AJ1795" i="57"/>
  <c r="V1795" i="57" l="1"/>
  <c r="AI1795" i="57"/>
  <c r="Z1795" i="57"/>
  <c r="AA1795" i="57" s="1"/>
  <c r="AG1793" i="57"/>
  <c r="AJ1793" i="57"/>
  <c r="X1793" i="57"/>
  <c r="V1793" i="57" l="1"/>
  <c r="AI1793" i="57"/>
  <c r="Z1793" i="57"/>
  <c r="AA1793" i="57" s="1"/>
  <c r="AG1792" i="57"/>
  <c r="AJ1792" i="57"/>
  <c r="X1792" i="57"/>
  <c r="V1792" i="57" l="1"/>
  <c r="AI1792" i="57"/>
  <c r="Z1792" i="57"/>
  <c r="AA1792" i="57" s="1"/>
  <c r="AG1791" i="57"/>
  <c r="X1791" i="57"/>
  <c r="AJ1791" i="57"/>
  <c r="V1791" i="57" l="1"/>
  <c r="AI1791" i="57"/>
  <c r="Z1791" i="57"/>
  <c r="AA1791" i="57" s="1"/>
  <c r="AG1790" i="57"/>
  <c r="X1790" i="57"/>
  <c r="AJ1790" i="57"/>
  <c r="V1790" i="57" l="1"/>
  <c r="AI1790" i="57"/>
  <c r="Z1790" i="57"/>
  <c r="AA1790" i="57" s="1"/>
  <c r="AG1788" i="57" l="1"/>
  <c r="X1788" i="57"/>
  <c r="AJ1788" i="57"/>
  <c r="V1788" i="57" l="1"/>
  <c r="AI1788" i="57"/>
  <c r="Z1788" i="57"/>
  <c r="AA1788" i="57" s="1"/>
  <c r="AG1787" i="57"/>
  <c r="X1787" i="57"/>
  <c r="AJ1787" i="57"/>
  <c r="V1787" i="57" l="1"/>
  <c r="AI1787" i="57"/>
  <c r="Z1787" i="57"/>
  <c r="AA1787" i="57" s="1"/>
  <c r="AG1786" i="57"/>
  <c r="X1786" i="57"/>
  <c r="AJ1786" i="57"/>
  <c r="V1786" i="57" l="1"/>
  <c r="AI1786" i="57"/>
  <c r="Z1786" i="57"/>
  <c r="AA1786" i="57" s="1"/>
  <c r="AG1785" i="57" l="1"/>
  <c r="X1785" i="57"/>
  <c r="AJ1785" i="57"/>
  <c r="V1785" i="57" l="1"/>
  <c r="AI1785" i="57"/>
  <c r="Z1785" i="57"/>
  <c r="AA1785" i="57" s="1"/>
  <c r="AG1783" i="57" l="1"/>
  <c r="X1783" i="57"/>
  <c r="AJ1783" i="57"/>
  <c r="V1783" i="57" l="1"/>
  <c r="AI1783" i="57"/>
  <c r="Z1783" i="57"/>
  <c r="AA1783" i="57" s="1"/>
  <c r="AG1780" i="57" l="1"/>
  <c r="AJ1780" i="57"/>
  <c r="X1780" i="57"/>
  <c r="V1780" i="57" l="1"/>
  <c r="AI1780" i="57"/>
  <c r="Z1780" i="57"/>
  <c r="AA1780" i="57" s="1"/>
  <c r="AG1779" i="57"/>
  <c r="AJ1779" i="57"/>
  <c r="X1779" i="57"/>
  <c r="V1779" i="57" l="1"/>
  <c r="AI1779" i="57"/>
  <c r="Z1779" i="57"/>
  <c r="AA1779" i="57" s="1"/>
  <c r="AG1776" i="57"/>
  <c r="X1776" i="57"/>
  <c r="AJ1776" i="57"/>
  <c r="V1776" i="57" l="1"/>
  <c r="AI1776" i="57"/>
  <c r="Z1776" i="57"/>
  <c r="AA1776" i="57" s="1"/>
  <c r="AG1774" i="57" l="1"/>
  <c r="X1774" i="57"/>
  <c r="AJ1774" i="57"/>
  <c r="V1774" i="57" l="1"/>
  <c r="AI1774" i="57"/>
  <c r="Z1774" i="57"/>
  <c r="AA1774" i="57" s="1"/>
  <c r="AG1773" i="57"/>
  <c r="X1773" i="57"/>
  <c r="AJ1773" i="57"/>
  <c r="V1773" i="57" l="1"/>
  <c r="AI1773" i="57"/>
  <c r="Z1773" i="57"/>
  <c r="AA1773" i="57" s="1"/>
  <c r="AG1771" i="57" l="1"/>
  <c r="X1771" i="57"/>
  <c r="AJ1771" i="57"/>
  <c r="V1771" i="57" l="1"/>
  <c r="AI1771" i="57"/>
  <c r="Z1771" i="57"/>
  <c r="AA1771" i="57" s="1"/>
  <c r="AG1770" i="57"/>
  <c r="AJ1770" i="57"/>
  <c r="X1770" i="57"/>
  <c r="V1770" i="57" l="1"/>
  <c r="AI1770" i="57"/>
  <c r="Z1770" i="57"/>
  <c r="AA1770" i="57" s="1"/>
  <c r="AG1769" i="57"/>
  <c r="AJ1769" i="57"/>
  <c r="X1769" i="57"/>
  <c r="V1769" i="57" l="1"/>
  <c r="AI1769" i="57"/>
  <c r="Z1769" i="57"/>
  <c r="AA1769" i="57" s="1"/>
  <c r="AG1768" i="57"/>
  <c r="X1768" i="57"/>
  <c r="AJ1768" i="57"/>
  <c r="V1768" i="57" l="1"/>
  <c r="AI1768" i="57"/>
  <c r="Z1768" i="57"/>
  <c r="AA1768" i="57" s="1"/>
  <c r="AG1766" i="57"/>
  <c r="X1766" i="57"/>
  <c r="AJ1766" i="57"/>
  <c r="V1766" i="57" l="1"/>
  <c r="AI1766" i="57"/>
  <c r="Z1766" i="57"/>
  <c r="AA1766" i="57" s="1"/>
  <c r="AG1764" i="57"/>
  <c r="X1764" i="57"/>
  <c r="AJ1764" i="57"/>
  <c r="V1764" i="57" l="1"/>
  <c r="AI1764" i="57"/>
  <c r="Z1764" i="57"/>
  <c r="AA1764" i="57" s="1"/>
  <c r="AG1763" i="57"/>
  <c r="X1763" i="57"/>
  <c r="AJ1763" i="57"/>
  <c r="V1763" i="57" l="1"/>
  <c r="AI1763" i="57"/>
  <c r="Z1763" i="57"/>
  <c r="AA1763" i="57" s="1"/>
  <c r="AG1761" i="57" l="1"/>
  <c r="X1761" i="57"/>
  <c r="AJ1761" i="57"/>
  <c r="V1761" i="57" l="1"/>
  <c r="AI1761" i="57"/>
  <c r="Z1761" i="57"/>
  <c r="AA1761" i="57" s="1"/>
  <c r="AG1760" i="57"/>
  <c r="X1760" i="57"/>
  <c r="AJ1760" i="57"/>
  <c r="V1760" i="57" l="1"/>
  <c r="AI1760" i="57"/>
  <c r="Z1760" i="57"/>
  <c r="AA1760" i="57" s="1"/>
  <c r="AG1759" i="57"/>
  <c r="AJ1759" i="57"/>
  <c r="X1759" i="57"/>
  <c r="V1759" i="57" l="1"/>
  <c r="AI1759" i="57"/>
  <c r="Z1759" i="57"/>
  <c r="AA1759" i="57" s="1"/>
  <c r="AG1758" i="57"/>
  <c r="X1758" i="57"/>
  <c r="AJ1758" i="57"/>
  <c r="V1758" i="57" l="1"/>
  <c r="AI1758" i="57"/>
  <c r="Z1758" i="57"/>
  <c r="AA1758" i="57" s="1"/>
  <c r="AG1755" i="57" l="1"/>
  <c r="X1755" i="57"/>
  <c r="AJ1755" i="57"/>
  <c r="V1755" i="57" l="1"/>
  <c r="AI1755" i="57"/>
  <c r="Z1755" i="57"/>
  <c r="AA1755" i="57" s="1"/>
  <c r="AG1753" i="57" l="1"/>
  <c r="X1753" i="57"/>
  <c r="V1753" i="57" l="1"/>
  <c r="Z1753" i="57"/>
  <c r="AA1753" i="57" s="1"/>
  <c r="AG1752" i="57"/>
  <c r="X1752" i="57"/>
  <c r="V1752" i="57" l="1"/>
  <c r="Z1752" i="57"/>
  <c r="AA1752" i="57" s="1"/>
  <c r="AG1751" i="57"/>
  <c r="X1751" i="57"/>
  <c r="V1751" i="57" l="1"/>
  <c r="Z1751" i="57"/>
  <c r="AA1751" i="57" s="1"/>
  <c r="AG1749" i="57" l="1"/>
  <c r="X1749" i="57"/>
  <c r="V1749" i="57" l="1"/>
  <c r="Z1749" i="57"/>
  <c r="AA1749" i="57" s="1"/>
  <c r="AG1747" i="57" l="1"/>
  <c r="X1747" i="57"/>
  <c r="V1747" i="57" l="1"/>
  <c r="Z1747" i="57"/>
  <c r="AA1747" i="57" s="1"/>
  <c r="AG1746" i="57"/>
  <c r="X1746" i="57"/>
  <c r="V1746" i="57" l="1"/>
  <c r="Z1746" i="57"/>
  <c r="AA1746" i="57" s="1"/>
  <c r="AG1745" i="57"/>
  <c r="X1745" i="57"/>
  <c r="V1745" i="57" l="1"/>
  <c r="Z1745" i="57"/>
  <c r="AA1745" i="57" s="1"/>
  <c r="AG1744" i="57"/>
  <c r="X1744" i="57"/>
  <c r="V1744" i="57" l="1"/>
  <c r="Z1744" i="57"/>
  <c r="AA1744" i="57" s="1"/>
  <c r="AG1743" i="57"/>
  <c r="X1743" i="57"/>
  <c r="V1743" i="57" l="1"/>
  <c r="Z1743" i="57"/>
  <c r="AA1743" i="57" s="1"/>
  <c r="AG1742" i="57"/>
  <c r="X1742" i="57"/>
  <c r="V1742" i="57" l="1"/>
  <c r="Z1742" i="57"/>
  <c r="AA1742" i="57" s="1"/>
  <c r="AG1741" i="57"/>
  <c r="X1741" i="57"/>
  <c r="V1741" i="57" l="1"/>
  <c r="Z1741" i="57"/>
  <c r="AA1741" i="57" s="1"/>
  <c r="AG1740" i="57"/>
  <c r="X1740" i="57"/>
  <c r="V1740" i="57" l="1"/>
  <c r="Z1740" i="57"/>
  <c r="AA1740" i="57" s="1"/>
  <c r="AG1739" i="57"/>
  <c r="X1739" i="57"/>
  <c r="V1739" i="57" l="1"/>
  <c r="Z1739" i="57"/>
  <c r="AA1739" i="57" s="1"/>
  <c r="AG1738" i="57"/>
  <c r="X1738" i="57"/>
  <c r="V1738" i="57" l="1"/>
  <c r="Z1738" i="57"/>
  <c r="AA1738" i="57" s="1"/>
  <c r="AG1736" i="57" l="1"/>
  <c r="X1736" i="57"/>
  <c r="V1736" i="57" l="1"/>
  <c r="Z1736" i="57"/>
  <c r="AA1736" i="57" s="1"/>
  <c r="AG1734" i="57" l="1"/>
  <c r="X1734" i="57"/>
  <c r="V1734" i="57" l="1"/>
  <c r="Z1734" i="57"/>
  <c r="AA1734" i="57" s="1"/>
  <c r="AG1733" i="57"/>
  <c r="X1733" i="57"/>
  <c r="V1733" i="57" l="1"/>
  <c r="Z1733" i="57"/>
  <c r="AA1733" i="57" s="1"/>
  <c r="AG1732" i="57"/>
  <c r="X1732" i="57"/>
  <c r="V1732" i="57" l="1"/>
  <c r="Z1732" i="57"/>
  <c r="AA1732" i="57" s="1"/>
  <c r="AG1731" i="57"/>
  <c r="AJ1731" i="57"/>
  <c r="X1731" i="57"/>
  <c r="V1731" i="57" l="1"/>
  <c r="AI1731" i="57"/>
  <c r="Z1731" i="57"/>
  <c r="AA1731" i="57" s="1"/>
  <c r="AG1728" i="57" l="1"/>
  <c r="X1728" i="57"/>
  <c r="AJ1728" i="57"/>
  <c r="V1728" i="57" l="1"/>
  <c r="AI1728" i="57"/>
  <c r="Z1728" i="57"/>
  <c r="AA1728" i="57" s="1"/>
  <c r="AG1727" i="57"/>
  <c r="X1727" i="57"/>
  <c r="AJ1727" i="57"/>
  <c r="V1727" i="57" l="1"/>
  <c r="AI1727" i="57"/>
  <c r="Z1727" i="57"/>
  <c r="AA1727" i="57" s="1"/>
  <c r="AG1726" i="57"/>
  <c r="X1726" i="57"/>
  <c r="AJ1726" i="57"/>
  <c r="V1726" i="57" l="1"/>
  <c r="AI1726" i="57"/>
  <c r="Z1726" i="57"/>
  <c r="AA1726" i="57" s="1"/>
  <c r="AG1725" i="57"/>
  <c r="AJ1725" i="57"/>
  <c r="X1725" i="57"/>
  <c r="V1725" i="57" l="1"/>
  <c r="AI1725" i="57"/>
  <c r="Z1725" i="57"/>
  <c r="AA1725" i="57" s="1"/>
  <c r="AG1723" i="57" l="1"/>
  <c r="X1723" i="57"/>
  <c r="AJ1723" i="57"/>
  <c r="V1723" i="57" l="1"/>
  <c r="AI1723" i="57"/>
  <c r="Z1723" i="57"/>
  <c r="AA1723" i="57" s="1"/>
  <c r="AG1722" i="57"/>
  <c r="X1722" i="57"/>
  <c r="AJ1722" i="57"/>
  <c r="V1722" i="57" l="1"/>
  <c r="AI1722" i="57"/>
  <c r="Z1722" i="57"/>
  <c r="AA1722" i="57" s="1"/>
  <c r="AG1721" i="57"/>
  <c r="X1721" i="57"/>
  <c r="AJ1721" i="57"/>
  <c r="V1721" i="57" l="1"/>
  <c r="AI1721" i="57"/>
  <c r="Z1721" i="57"/>
  <c r="AA1721" i="57" s="1"/>
  <c r="AG1717" i="57" l="1"/>
  <c r="X1717" i="57"/>
  <c r="AJ1717" i="57"/>
  <c r="V1717" i="57" l="1"/>
  <c r="AI1717" i="57"/>
  <c r="Z1717" i="57"/>
  <c r="AA1717" i="57" s="1"/>
  <c r="AG1716" i="57"/>
  <c r="X1716" i="57"/>
  <c r="AJ1716" i="57"/>
  <c r="V1716" i="57" l="1"/>
  <c r="AI1716" i="57"/>
  <c r="Z1716" i="57"/>
  <c r="AA1716" i="57" s="1"/>
  <c r="AG1715" i="57"/>
  <c r="X1715" i="57"/>
  <c r="AJ1715" i="57"/>
  <c r="V1715" i="57" l="1"/>
  <c r="AI1715" i="57"/>
  <c r="Z1715" i="57"/>
  <c r="AA1715" i="57" s="1"/>
  <c r="AG1714" i="57"/>
  <c r="AJ1714" i="57"/>
  <c r="X1714" i="57"/>
  <c r="V1714" i="57" l="1"/>
  <c r="AI1714" i="57"/>
  <c r="Z1714" i="57"/>
  <c r="AA1714" i="57" s="1"/>
  <c r="AG1713" i="57"/>
  <c r="X1713" i="57"/>
  <c r="AJ1713" i="57"/>
  <c r="V1713" i="57" l="1"/>
  <c r="AI1713" i="57"/>
  <c r="Z1713" i="57"/>
  <c r="AA1713" i="57" s="1"/>
  <c r="AG1712" i="57"/>
  <c r="AJ1712" i="57"/>
  <c r="X1712" i="57"/>
  <c r="V1712" i="57" l="1"/>
  <c r="AI1712" i="57"/>
  <c r="Z1712" i="57"/>
  <c r="AA1712" i="57" s="1"/>
  <c r="AG1711" i="57"/>
  <c r="X1711" i="57"/>
  <c r="AJ1711" i="57"/>
  <c r="V1711" i="57" l="1"/>
  <c r="AI1711" i="57"/>
  <c r="Z1711" i="57"/>
  <c r="AA1711" i="57" s="1"/>
  <c r="AG1710" i="57"/>
  <c r="X1710" i="57"/>
  <c r="AJ1710" i="57"/>
  <c r="V1710" i="57" l="1"/>
  <c r="AI1710" i="57"/>
  <c r="Z1710" i="57"/>
  <c r="AA1710" i="57" s="1"/>
  <c r="AG1709" i="57"/>
  <c r="AJ1709" i="57"/>
  <c r="X1709" i="57"/>
  <c r="V1709" i="57" l="1"/>
  <c r="AI1709" i="57"/>
  <c r="Z1709" i="57"/>
  <c r="AA1709" i="57" s="1"/>
  <c r="AG1707" i="57" l="1"/>
  <c r="AJ1707" i="57"/>
  <c r="X1707" i="57"/>
  <c r="V1707" i="57" l="1"/>
  <c r="AI1707" i="57"/>
  <c r="Z1707" i="57"/>
  <c r="AA1707" i="57" s="1"/>
  <c r="AG1706" i="57"/>
  <c r="X1706" i="57"/>
  <c r="AJ1706" i="57"/>
  <c r="V1706" i="57" l="1"/>
  <c r="AI1706" i="57"/>
  <c r="Z1706" i="57"/>
  <c r="AA1706" i="57" s="1"/>
  <c r="AG1705" i="57"/>
  <c r="X1705" i="57"/>
  <c r="AJ1705" i="57"/>
  <c r="V1705" i="57" l="1"/>
  <c r="AI1705" i="57"/>
  <c r="Z1705" i="57"/>
  <c r="AA1705" i="57" s="1"/>
  <c r="AG1704" i="57"/>
  <c r="X1704" i="57"/>
  <c r="AJ1704" i="57"/>
  <c r="V1704" i="57" l="1"/>
  <c r="AI1704" i="57"/>
  <c r="Z1704" i="57"/>
  <c r="AA1704" i="57" s="1"/>
  <c r="AG1703" i="57"/>
  <c r="X1703" i="57"/>
  <c r="AJ1703" i="57"/>
  <c r="V1703" i="57" l="1"/>
  <c r="AI1703" i="57"/>
  <c r="Z1703" i="57"/>
  <c r="AA1703" i="57" s="1"/>
  <c r="AG1702" i="57"/>
  <c r="X1702" i="57"/>
  <c r="AJ1702" i="57"/>
  <c r="V1702" i="57" l="1"/>
  <c r="AI1702" i="57"/>
  <c r="Z1702" i="57"/>
  <c r="AA1702" i="57" s="1"/>
  <c r="AG1701" i="57"/>
  <c r="X1701" i="57"/>
  <c r="V1701" i="57" l="1"/>
  <c r="Z1701" i="57"/>
  <c r="AA1701" i="57" s="1"/>
  <c r="AG1700" i="57"/>
  <c r="X1700" i="57"/>
  <c r="V1700" i="57" l="1"/>
  <c r="Z1700" i="57"/>
  <c r="AA1700" i="57" s="1"/>
  <c r="AG1697" i="57" l="1"/>
  <c r="X1697" i="57"/>
  <c r="V1697" i="57" l="1"/>
  <c r="Z1697" i="57"/>
  <c r="AA1697" i="57" s="1"/>
  <c r="AG1695" i="57" l="1"/>
  <c r="AJ1695" i="57"/>
  <c r="X1695" i="57"/>
  <c r="V1695" i="57" l="1"/>
  <c r="AI1695" i="57"/>
  <c r="Z1695" i="57"/>
  <c r="AA1695" i="57" s="1"/>
  <c r="AG1694" i="57"/>
  <c r="X1694" i="57"/>
  <c r="AJ1694" i="57"/>
  <c r="V1694" i="57" l="1"/>
  <c r="AI1694" i="57"/>
  <c r="Z1694" i="57"/>
  <c r="AA1694" i="57" s="1"/>
  <c r="AG1692" i="57" l="1"/>
  <c r="X1692" i="57"/>
  <c r="AJ1692" i="57"/>
  <c r="V1692" i="57" l="1"/>
  <c r="AI1692" i="57"/>
  <c r="Z1692" i="57"/>
  <c r="AA1692" i="57" s="1"/>
  <c r="AG1691" i="57"/>
  <c r="AJ1691" i="57"/>
  <c r="X1691" i="57"/>
  <c r="V1691" i="57" l="1"/>
  <c r="AI1691" i="57"/>
  <c r="Z1691" i="57"/>
  <c r="AA1691" i="57" s="1"/>
  <c r="AG1688" i="57"/>
  <c r="X1688" i="57"/>
  <c r="AJ1688" i="57"/>
  <c r="V1688" i="57" l="1"/>
  <c r="AI1688" i="57"/>
  <c r="Z1688" i="57"/>
  <c r="AA1688" i="57" s="1"/>
  <c r="AG1686" i="57" l="1"/>
  <c r="AJ1686" i="57"/>
  <c r="X1686" i="57"/>
  <c r="V1686" i="57" l="1"/>
  <c r="AI1686" i="57"/>
  <c r="Z1686" i="57"/>
  <c r="AA1686" i="57" s="1"/>
  <c r="AG1685" i="57"/>
  <c r="X1685" i="57"/>
  <c r="AJ1685" i="57"/>
  <c r="V1685" i="57" l="1"/>
  <c r="AI1685" i="57"/>
  <c r="Z1685" i="57"/>
  <c r="AA1685" i="57" s="1"/>
  <c r="AG1684" i="57"/>
  <c r="X1684" i="57"/>
  <c r="AJ1684" i="57"/>
  <c r="V1684" i="57" l="1"/>
  <c r="AI1684" i="57"/>
  <c r="Z1684" i="57"/>
  <c r="AA1684" i="57" s="1"/>
  <c r="AG1683" i="57"/>
  <c r="AJ1683" i="57"/>
  <c r="X1683" i="57"/>
  <c r="V1683" i="57" l="1"/>
  <c r="AI1683" i="57"/>
  <c r="Z1683" i="57"/>
  <c r="AA1683" i="57" s="1"/>
  <c r="AG1682" i="57"/>
  <c r="AJ1682" i="57"/>
  <c r="X1682" i="57"/>
  <c r="V1682" i="57" l="1"/>
  <c r="AI1682" i="57"/>
  <c r="Z1682" i="57"/>
  <c r="AA1682" i="57" s="1"/>
  <c r="AG1681" i="57"/>
  <c r="X1681" i="57"/>
  <c r="AJ1681" i="57"/>
  <c r="V1681" i="57" l="1"/>
  <c r="AI1681" i="57"/>
  <c r="Z1681" i="57"/>
  <c r="AA1681" i="57" s="1"/>
  <c r="AG1680" i="57"/>
  <c r="X1680" i="57"/>
  <c r="AJ1680" i="57"/>
  <c r="V1680" i="57" l="1"/>
  <c r="AI1680" i="57"/>
  <c r="Z1680" i="57"/>
  <c r="AA1680" i="57" s="1"/>
  <c r="AG1679" i="57"/>
  <c r="AJ1679" i="57"/>
  <c r="X1679" i="57"/>
  <c r="V1679" i="57" l="1"/>
  <c r="AI1679" i="57"/>
  <c r="Z1679" i="57"/>
  <c r="AA1679" i="57" s="1"/>
  <c r="AG1678" i="57"/>
  <c r="X1678" i="57"/>
  <c r="AJ1678" i="57"/>
  <c r="V1678" i="57" l="1"/>
  <c r="AI1678" i="57"/>
  <c r="Z1678" i="57"/>
  <c r="AA1678" i="57" s="1"/>
  <c r="AG1677" i="57"/>
  <c r="X1677" i="57"/>
  <c r="AJ1677" i="57"/>
  <c r="V1677" i="57" l="1"/>
  <c r="AI1677" i="57"/>
  <c r="Z1677" i="57"/>
  <c r="AA1677" i="57" s="1"/>
  <c r="AG1674" i="57"/>
  <c r="AJ1674" i="57"/>
  <c r="X1674" i="57"/>
  <c r="V1674" i="57" l="1"/>
  <c r="AI1674" i="57"/>
  <c r="Z1674" i="57"/>
  <c r="AA1674" i="57" s="1"/>
  <c r="AG1673" i="57"/>
  <c r="X1673" i="57"/>
  <c r="AJ1673" i="57"/>
  <c r="V1673" i="57" l="1"/>
  <c r="AI1673" i="57"/>
  <c r="Z1673" i="57"/>
  <c r="AA1673" i="57" s="1"/>
  <c r="AG1671" i="57" l="1"/>
  <c r="X1671" i="57"/>
  <c r="AJ1671" i="57"/>
  <c r="V1671" i="57" l="1"/>
  <c r="AI1671" i="57"/>
  <c r="Z1671" i="57"/>
  <c r="AA1671" i="57" s="1"/>
  <c r="AG1670" i="57"/>
  <c r="X1670" i="57"/>
  <c r="AJ1670" i="57"/>
  <c r="V1670" i="57" l="1"/>
  <c r="AI1670" i="57"/>
  <c r="Z1670" i="57"/>
  <c r="AA1670" i="57" s="1"/>
  <c r="AG1669" i="57"/>
  <c r="X1669" i="57"/>
  <c r="AJ1669" i="57"/>
  <c r="V1669" i="57" l="1"/>
  <c r="AI1669" i="57"/>
  <c r="Z1669" i="57"/>
  <c r="AA1669" i="57" s="1"/>
  <c r="AG1668" i="57"/>
  <c r="X1668" i="57"/>
  <c r="AJ1668" i="57"/>
  <c r="V1668" i="57" l="1"/>
  <c r="AI1668" i="57"/>
  <c r="Z1668" i="57"/>
  <c r="AA1668" i="57" s="1"/>
  <c r="AG1667" i="57"/>
  <c r="X1667" i="57"/>
  <c r="AJ1667" i="57"/>
  <c r="V1667" i="57" l="1"/>
  <c r="AI1667" i="57"/>
  <c r="Z1667" i="57"/>
  <c r="AA1667" i="57" s="1"/>
  <c r="AG1666" i="57"/>
  <c r="AJ1666" i="57"/>
  <c r="X1666" i="57"/>
  <c r="V1666" i="57" l="1"/>
  <c r="AI1666" i="57"/>
  <c r="Z1666" i="57"/>
  <c r="AA1666" i="57" s="1"/>
  <c r="AG1665" i="57"/>
  <c r="AJ1665" i="57"/>
  <c r="X1665" i="57"/>
  <c r="V1665" i="57" l="1"/>
  <c r="AI1665" i="57"/>
  <c r="Z1665" i="57"/>
  <c r="AA1665" i="57" s="1"/>
  <c r="AG1664" i="57"/>
  <c r="AJ1664" i="57"/>
  <c r="X1664" i="57"/>
  <c r="V1664" i="57" l="1"/>
  <c r="AI1664" i="57"/>
  <c r="Z1664" i="57"/>
  <c r="AA1664" i="57" s="1"/>
  <c r="AG1663" i="57"/>
  <c r="X1663" i="57"/>
  <c r="AJ1663" i="57"/>
  <c r="V1663" i="57" l="1"/>
  <c r="AI1663" i="57"/>
  <c r="Z1663" i="57"/>
  <c r="AA1663" i="57" s="1"/>
  <c r="AG1661" i="57" l="1"/>
  <c r="X1661" i="57"/>
  <c r="AJ1661" i="57"/>
  <c r="V1661" i="57" l="1"/>
  <c r="AI1661" i="57"/>
  <c r="Z1661" i="57"/>
  <c r="AA1661" i="57" s="1"/>
  <c r="AG1660" i="57"/>
  <c r="X1660" i="57"/>
  <c r="AJ1660" i="57"/>
  <c r="V1660" i="57" l="1"/>
  <c r="AI1660" i="57"/>
  <c r="Z1660" i="57"/>
  <c r="AA1660" i="57" s="1"/>
  <c r="AG1659" i="57"/>
  <c r="AJ1659" i="57"/>
  <c r="X1659" i="57"/>
  <c r="V1659" i="57" l="1"/>
  <c r="AI1659" i="57"/>
  <c r="Z1659" i="57"/>
  <c r="AA1659" i="57" s="1"/>
  <c r="AG1658" i="57"/>
  <c r="X1658" i="57"/>
  <c r="AJ1658" i="57"/>
  <c r="V1658" i="57" l="1"/>
  <c r="AI1658" i="57"/>
  <c r="Z1658" i="57"/>
  <c r="AA1658" i="57" s="1"/>
  <c r="AG1657" i="57"/>
  <c r="AJ1657" i="57"/>
  <c r="X1657" i="57"/>
  <c r="V1657" i="57" l="1"/>
  <c r="AI1657" i="57"/>
  <c r="Z1657" i="57"/>
  <c r="AA1657" i="57" s="1"/>
  <c r="AG1656" i="57"/>
  <c r="X1656" i="57"/>
  <c r="AJ1656" i="57"/>
  <c r="V1656" i="57" l="1"/>
  <c r="AI1656" i="57"/>
  <c r="Z1656" i="57"/>
  <c r="AA1656" i="57" s="1"/>
  <c r="AG1655" i="57"/>
  <c r="X1655" i="57"/>
  <c r="AJ1655" i="57"/>
  <c r="V1655" i="57" l="1"/>
  <c r="AI1655" i="57"/>
  <c r="Z1655" i="57"/>
  <c r="AA1655" i="57" s="1"/>
  <c r="AG1654" i="57"/>
  <c r="X1654" i="57"/>
  <c r="AJ1654" i="57"/>
  <c r="V1654" i="57" l="1"/>
  <c r="AI1654" i="57"/>
  <c r="Z1654" i="57"/>
  <c r="AA1654" i="57" s="1"/>
  <c r="AG1653" i="57"/>
  <c r="X1653" i="57"/>
  <c r="AJ1653" i="57"/>
  <c r="V1653" i="57" l="1"/>
  <c r="AI1653" i="57"/>
  <c r="Z1653" i="57"/>
  <c r="AA1653" i="57" s="1"/>
  <c r="AG1652" i="57"/>
  <c r="AJ1652" i="57"/>
  <c r="X1652" i="57"/>
  <c r="V1652" i="57" l="1"/>
  <c r="AI1652" i="57"/>
  <c r="Z1652" i="57"/>
  <c r="AA1652" i="57" s="1"/>
  <c r="AG1651" i="57"/>
  <c r="AJ1651" i="57"/>
  <c r="X1651" i="57"/>
  <c r="V1651" i="57" l="1"/>
  <c r="AI1651" i="57"/>
  <c r="Z1651" i="57"/>
  <c r="AA1651" i="57" s="1"/>
  <c r="AG1649" i="57" l="1"/>
  <c r="X1649" i="57"/>
  <c r="AJ1649" i="57"/>
  <c r="V1649" i="57" l="1"/>
  <c r="AI1649" i="57"/>
  <c r="Z1649" i="57"/>
  <c r="AA1649" i="57" s="1"/>
  <c r="AG1648" i="57"/>
  <c r="X1648" i="57"/>
  <c r="AJ1648" i="57"/>
  <c r="V1648" i="57" l="1"/>
  <c r="AI1648" i="57"/>
  <c r="Z1648" i="57"/>
  <c r="AA1648" i="57" s="1"/>
  <c r="AG1647" i="57"/>
  <c r="X1647" i="57"/>
  <c r="AJ1647" i="57"/>
  <c r="V1647" i="57" l="1"/>
  <c r="AI1647" i="57"/>
  <c r="Z1647" i="57"/>
  <c r="AA1647" i="57" s="1"/>
  <c r="AG1646" i="57"/>
  <c r="X1646" i="57"/>
  <c r="AJ1646" i="57"/>
  <c r="V1646" i="57" l="1"/>
  <c r="AI1646" i="57"/>
  <c r="Z1646" i="57"/>
  <c r="AA1646" i="57" s="1"/>
  <c r="AG1645" i="57"/>
  <c r="X1645" i="57"/>
  <c r="AJ1645" i="57"/>
  <c r="V1645" i="57" l="1"/>
  <c r="AI1645" i="57"/>
  <c r="Z1645" i="57"/>
  <c r="AA1645" i="57" s="1"/>
  <c r="AG1644" i="57"/>
  <c r="X1644" i="57"/>
  <c r="AJ1644" i="57"/>
  <c r="V1644" i="57" l="1"/>
  <c r="AI1644" i="57"/>
  <c r="Z1644" i="57"/>
  <c r="AA1644" i="57" s="1"/>
  <c r="AG1643" i="57"/>
  <c r="X1643" i="57"/>
  <c r="AJ1643" i="57"/>
  <c r="V1643" i="57" l="1"/>
  <c r="AI1643" i="57"/>
  <c r="Z1643" i="57"/>
  <c r="AA1643" i="57" s="1"/>
  <c r="AG1642" i="57"/>
  <c r="X1642" i="57"/>
  <c r="AJ1642" i="57"/>
  <c r="V1642" i="57" l="1"/>
  <c r="AI1642" i="57"/>
  <c r="Z1642" i="57"/>
  <c r="AA1642" i="57" s="1"/>
  <c r="AG1641" i="57"/>
  <c r="X1641" i="57"/>
  <c r="AJ1641" i="57"/>
  <c r="V1641" i="57" l="1"/>
  <c r="AI1641" i="57"/>
  <c r="Z1641" i="57"/>
  <c r="AA1641" i="57" s="1"/>
  <c r="AG1639" i="57" l="1"/>
  <c r="X1639" i="57"/>
  <c r="AJ1639" i="57"/>
  <c r="V1639" i="57" l="1"/>
  <c r="AI1639" i="57"/>
  <c r="Z1639" i="57"/>
  <c r="AA1639" i="57" s="1"/>
  <c r="AG1638" i="57"/>
  <c r="X1638" i="57"/>
  <c r="AJ1638" i="57"/>
  <c r="V1638" i="57" l="1"/>
  <c r="AI1638" i="57"/>
  <c r="Z1638" i="57"/>
  <c r="AA1638" i="57" s="1"/>
  <c r="AG1634" i="57" l="1"/>
  <c r="X1634" i="57"/>
  <c r="AJ1634" i="57"/>
  <c r="V1634" i="57" l="1"/>
  <c r="AI1634" i="57"/>
  <c r="Z1634" i="57"/>
  <c r="AA1634" i="57" s="1"/>
  <c r="AG1633" i="57"/>
  <c r="X1633" i="57"/>
  <c r="AJ1633" i="57"/>
  <c r="V1633" i="57" l="1"/>
  <c r="AI1633" i="57"/>
  <c r="Z1633" i="57"/>
  <c r="AA1633" i="57" s="1"/>
  <c r="AG1632" i="57"/>
  <c r="X1632" i="57"/>
  <c r="AJ1632" i="57"/>
  <c r="V1632" i="57" l="1"/>
  <c r="AI1632" i="57"/>
  <c r="Z1632" i="57"/>
  <c r="AA1632" i="57" s="1"/>
  <c r="AG1631" i="57"/>
  <c r="AJ1631" i="57"/>
  <c r="X1631" i="57"/>
  <c r="V1631" i="57" l="1"/>
  <c r="AI1631" i="57"/>
  <c r="Z1631" i="57"/>
  <c r="AA1631" i="57" s="1"/>
  <c r="AG1630" i="57"/>
  <c r="X1630" i="57"/>
  <c r="AJ1630" i="57"/>
  <c r="V1630" i="57" l="1"/>
  <c r="AI1630" i="57"/>
  <c r="Z1630" i="57"/>
  <c r="AA1630" i="57" s="1"/>
  <c r="AG1628" i="57" l="1"/>
  <c r="X1628" i="57"/>
  <c r="AJ1628" i="57"/>
  <c r="V1628" i="57" l="1"/>
  <c r="AI1628" i="57"/>
  <c r="Z1628" i="57"/>
  <c r="AA1628" i="57" s="1"/>
  <c r="AG1626" i="57" l="1"/>
  <c r="X1626" i="57"/>
  <c r="AJ1626" i="57"/>
  <c r="V1626" i="57" l="1"/>
  <c r="AI1626" i="57"/>
  <c r="Z1626" i="57"/>
  <c r="AA1626" i="57" s="1"/>
  <c r="AG1625" i="57"/>
  <c r="X1625" i="57"/>
  <c r="AJ1625" i="57"/>
  <c r="V1625" i="57" l="1"/>
  <c r="AI1625" i="57"/>
  <c r="Z1625" i="57"/>
  <c r="AA1625" i="57" s="1"/>
  <c r="AG1624" i="57"/>
  <c r="AJ1624" i="57"/>
  <c r="X1624" i="57"/>
  <c r="V1624" i="57" l="1"/>
  <c r="AI1624" i="57"/>
  <c r="Z1624" i="57"/>
  <c r="AA1624" i="57" s="1"/>
  <c r="AG1623" i="57"/>
  <c r="X1623" i="57"/>
  <c r="AJ1623" i="57"/>
  <c r="V1623" i="57" l="1"/>
  <c r="AI1623" i="57"/>
  <c r="Z1623" i="57"/>
  <c r="AA1623" i="57" s="1"/>
  <c r="AG1622" i="57"/>
  <c r="AJ1622" i="57"/>
  <c r="X1622" i="57"/>
  <c r="V1622" i="57" l="1"/>
  <c r="AI1622" i="57"/>
  <c r="Z1622" i="57"/>
  <c r="AA1622" i="57" s="1"/>
  <c r="AG1619" i="57" l="1"/>
  <c r="X1619" i="57"/>
  <c r="AJ1619" i="57"/>
  <c r="V1619" i="57" l="1"/>
  <c r="AI1619" i="57"/>
  <c r="Z1619" i="57"/>
  <c r="AA1619" i="57" s="1"/>
  <c r="AG1618" i="57"/>
  <c r="AJ1618" i="57"/>
  <c r="X1618" i="57"/>
  <c r="V1618" i="57" l="1"/>
  <c r="AI1618" i="57"/>
  <c r="Z1618" i="57"/>
  <c r="AA1618" i="57" s="1"/>
  <c r="AG1617" i="57"/>
  <c r="X1617" i="57"/>
  <c r="AJ1617" i="57"/>
  <c r="V1617" i="57" l="1"/>
  <c r="AI1617" i="57"/>
  <c r="Z1617" i="57"/>
  <c r="AA1617" i="57" s="1"/>
  <c r="AG1616" i="57"/>
  <c r="X1616" i="57"/>
  <c r="AJ1616" i="57"/>
  <c r="V1616" i="57" l="1"/>
  <c r="AI1616" i="57"/>
  <c r="Z1616" i="57"/>
  <c r="AA1616" i="57" s="1"/>
  <c r="AG1607" i="57" l="1"/>
  <c r="AJ1607" i="57"/>
  <c r="X1607" i="57"/>
  <c r="V1607" i="57" l="1"/>
  <c r="AI1607" i="57"/>
  <c r="Z1607" i="57"/>
  <c r="AA1607" i="57" s="1"/>
  <c r="AG1606" i="57"/>
  <c r="AJ1606" i="57"/>
  <c r="X1606" i="57"/>
  <c r="V1606" i="57" l="1"/>
  <c r="AI1606" i="57"/>
  <c r="Z1606" i="57"/>
  <c r="AA1606" i="57" s="1"/>
  <c r="AG1605" i="57"/>
  <c r="X1605" i="57"/>
  <c r="AJ1605" i="57"/>
  <c r="V1605" i="57" l="1"/>
  <c r="AI1605" i="57"/>
  <c r="Z1605" i="57"/>
  <c r="AA1605" i="57" s="1"/>
  <c r="AG1604" i="57"/>
  <c r="X1604" i="57"/>
  <c r="AJ1604" i="57"/>
  <c r="V1604" i="57" l="1"/>
  <c r="AI1604" i="57"/>
  <c r="Z1604" i="57"/>
  <c r="AA1604" i="57" s="1"/>
  <c r="AG1603" i="57"/>
  <c r="AJ1603" i="57"/>
  <c r="X1603" i="57"/>
  <c r="V1603" i="57" l="1"/>
  <c r="AI1603" i="57"/>
  <c r="Z1603" i="57"/>
  <c r="AA1603" i="57" s="1"/>
  <c r="AG1602" i="57"/>
  <c r="AJ1602" i="57"/>
  <c r="X1602" i="57"/>
  <c r="V1602" i="57" l="1"/>
  <c r="AI1602" i="57"/>
  <c r="Z1602" i="57"/>
  <c r="AA1602" i="57" s="1"/>
  <c r="AG1601" i="57"/>
  <c r="AJ1601" i="57"/>
  <c r="X1601" i="57"/>
  <c r="V1601" i="57" l="1"/>
  <c r="AI1601" i="57"/>
  <c r="Z1601" i="57"/>
  <c r="AA1601" i="57" s="1"/>
  <c r="AG1600" i="57"/>
  <c r="AJ1600" i="57"/>
  <c r="X1600" i="57"/>
  <c r="V1600" i="57" l="1"/>
  <c r="AI1600" i="57"/>
  <c r="Z1600" i="57"/>
  <c r="AA1600" i="57" s="1"/>
  <c r="AG1599" i="57"/>
  <c r="AJ1599" i="57"/>
  <c r="X1599" i="57"/>
  <c r="V1599" i="57" l="1"/>
  <c r="AI1599" i="57"/>
  <c r="Z1599" i="57"/>
  <c r="AA1599" i="57" s="1"/>
  <c r="AG1598" i="57"/>
  <c r="X1598" i="57"/>
  <c r="AJ1598" i="57"/>
  <c r="V1598" i="57" l="1"/>
  <c r="AI1598" i="57"/>
  <c r="Z1598" i="57"/>
  <c r="AA1598" i="57" s="1"/>
  <c r="AG1597" i="57" l="1"/>
  <c r="X1597" i="57"/>
  <c r="AJ1597" i="57"/>
  <c r="V1597" i="57" l="1"/>
  <c r="AI1597" i="57"/>
  <c r="Z1597" i="57"/>
  <c r="AA1597" i="57" s="1"/>
  <c r="AG1596" i="57"/>
  <c r="X1596" i="57"/>
  <c r="AJ1596" i="57"/>
  <c r="V1596" i="57" l="1"/>
  <c r="AI1596" i="57"/>
  <c r="Z1596" i="57"/>
  <c r="AA1596" i="57" s="1"/>
  <c r="AG1595" i="57"/>
  <c r="X1595" i="57"/>
  <c r="AJ1595" i="57"/>
  <c r="V1595" i="57" l="1"/>
  <c r="AI1595" i="57"/>
  <c r="Z1595" i="57"/>
  <c r="AA1595" i="57" s="1"/>
  <c r="AG1594" i="57"/>
  <c r="X1594" i="57"/>
  <c r="AJ1594" i="57"/>
  <c r="V1594" i="57" l="1"/>
  <c r="AI1594" i="57"/>
  <c r="Z1594" i="57"/>
  <c r="AA1594" i="57" s="1"/>
  <c r="AG1593" i="57"/>
  <c r="X1593" i="57"/>
  <c r="AJ1593" i="57"/>
  <c r="V1593" i="57" l="1"/>
  <c r="AI1593" i="57"/>
  <c r="Z1593" i="57"/>
  <c r="AA1593" i="57" s="1"/>
  <c r="AG1590" i="57"/>
  <c r="X1590" i="57"/>
  <c r="AJ1590" i="57"/>
  <c r="V1590" i="57" l="1"/>
  <c r="AI1590" i="57"/>
  <c r="Z1590" i="57"/>
  <c r="AA1590" i="57" s="1"/>
  <c r="AG1589" i="57"/>
  <c r="X1589" i="57"/>
  <c r="AJ1589" i="57"/>
  <c r="V1589" i="57" l="1"/>
  <c r="AI1589" i="57"/>
  <c r="Z1589" i="57"/>
  <c r="AA1589" i="57" s="1"/>
  <c r="AG1588" i="57"/>
  <c r="X1588" i="57"/>
  <c r="AJ1588" i="57"/>
  <c r="V1588" i="57" l="1"/>
  <c r="AI1588" i="57"/>
  <c r="Z1588" i="57"/>
  <c r="AA1588" i="57" s="1"/>
  <c r="AG1587" i="57"/>
  <c r="X1587" i="57"/>
  <c r="AJ1587" i="57"/>
  <c r="V1587" i="57" l="1"/>
  <c r="AI1587" i="57"/>
  <c r="Z1587" i="57"/>
  <c r="AA1587" i="57" s="1"/>
  <c r="AG1586" i="57"/>
  <c r="AJ1586" i="57"/>
  <c r="X1586" i="57"/>
  <c r="V1586" i="57" l="1"/>
  <c r="AI1586" i="57"/>
  <c r="Z1586" i="57"/>
  <c r="AA1586" i="57" s="1"/>
  <c r="AG1585" i="57"/>
  <c r="X1585" i="57"/>
  <c r="AJ1585" i="57"/>
  <c r="V1585" i="57" l="1"/>
  <c r="AI1585" i="57"/>
  <c r="Z1585" i="57"/>
  <c r="AA1585" i="57" s="1"/>
  <c r="AG1584" i="57"/>
  <c r="AJ1584" i="57"/>
  <c r="X1584" i="57"/>
  <c r="V1584" i="57" l="1"/>
  <c r="AI1584" i="57"/>
  <c r="Z1584" i="57"/>
  <c r="AA1584" i="57" s="1"/>
  <c r="AG1583" i="57"/>
  <c r="X1583" i="57"/>
  <c r="AJ1583" i="57"/>
  <c r="V1583" i="57" l="1"/>
  <c r="AI1583" i="57"/>
  <c r="Z1583" i="57"/>
  <c r="AA1583" i="57" s="1"/>
  <c r="AG1582" i="57"/>
  <c r="AJ1582" i="57"/>
  <c r="X1582" i="57"/>
  <c r="V1582" i="57" l="1"/>
  <c r="AI1582" i="57"/>
  <c r="Z1582" i="57"/>
  <c r="AA1582" i="57" s="1"/>
  <c r="AG1581" i="57"/>
  <c r="AJ1581" i="57"/>
  <c r="X1581" i="57"/>
  <c r="V1581" i="57" l="1"/>
  <c r="AI1581" i="57"/>
  <c r="Z1581" i="57"/>
  <c r="AA1581" i="57" s="1"/>
  <c r="AG1580" i="57"/>
  <c r="X1580" i="57"/>
  <c r="AJ1580" i="57"/>
  <c r="V1580" i="57" l="1"/>
  <c r="AI1580" i="57"/>
  <c r="Z1580" i="57"/>
  <c r="AA1580" i="57" s="1"/>
  <c r="AG1579" i="57"/>
  <c r="X1579" i="57"/>
  <c r="AJ1579" i="57"/>
  <c r="V1579" i="57" l="1"/>
  <c r="AI1579" i="57"/>
  <c r="Z1579" i="57"/>
  <c r="AA1579" i="57" s="1"/>
  <c r="AG1578" i="57"/>
  <c r="X1578" i="57"/>
  <c r="AJ1578" i="57"/>
  <c r="V1578" i="57" l="1"/>
  <c r="AI1578" i="57"/>
  <c r="Z1578" i="57"/>
  <c r="AA1578" i="57" s="1"/>
  <c r="AG1576" i="57" l="1"/>
  <c r="X1576" i="57"/>
  <c r="AJ1576" i="57"/>
  <c r="V1576" i="57" l="1"/>
  <c r="AI1576" i="57"/>
  <c r="Z1576" i="57"/>
  <c r="AA1576" i="57" s="1"/>
  <c r="AG1575" i="57"/>
  <c r="X1575" i="57"/>
  <c r="AJ1575" i="57"/>
  <c r="V1575" i="57" l="1"/>
  <c r="AI1575" i="57"/>
  <c r="Z1575" i="57"/>
  <c r="AA1575" i="57" s="1"/>
  <c r="AG1572" i="57" l="1"/>
  <c r="AJ1572" i="57"/>
  <c r="X1572" i="57"/>
  <c r="V1572" i="57" l="1"/>
  <c r="AI1572" i="57"/>
  <c r="Z1572" i="57"/>
  <c r="AA1572" i="57" s="1"/>
  <c r="AG1571" i="57"/>
  <c r="X1571" i="57"/>
  <c r="AJ1571" i="57"/>
  <c r="V1571" i="57" l="1"/>
  <c r="AI1571" i="57"/>
  <c r="Z1571" i="57"/>
  <c r="AA1571" i="57" s="1"/>
  <c r="AG1570" i="57"/>
  <c r="X1570" i="57"/>
  <c r="AJ1570" i="57"/>
  <c r="V1570" i="57" l="1"/>
  <c r="AI1570" i="57"/>
  <c r="Z1570" i="57"/>
  <c r="AA1570" i="57" s="1"/>
  <c r="AG1569" i="57"/>
  <c r="X1569" i="57"/>
  <c r="AJ1569" i="57"/>
  <c r="V1569" i="57" l="1"/>
  <c r="AI1569" i="57"/>
  <c r="Z1569" i="57"/>
  <c r="AA1569" i="57" s="1"/>
  <c r="AG1568" i="57"/>
  <c r="X1568" i="57"/>
  <c r="AJ1568" i="57"/>
  <c r="V1568" i="57" l="1"/>
  <c r="AI1568" i="57"/>
  <c r="Z1568" i="57"/>
  <c r="AA1568" i="57" s="1"/>
  <c r="AG1567" i="57"/>
  <c r="X1567" i="57"/>
  <c r="AJ1567" i="57"/>
  <c r="V1567" i="57" l="1"/>
  <c r="AI1567" i="57"/>
  <c r="Z1567" i="57"/>
  <c r="AA1567" i="57" s="1"/>
  <c r="AG1566" i="57"/>
  <c r="AJ1566" i="57"/>
  <c r="X1566" i="57"/>
  <c r="V1566" i="57" l="1"/>
  <c r="AI1566" i="57"/>
  <c r="Z1566" i="57"/>
  <c r="AA1566" i="57" s="1"/>
  <c r="AG1565" i="57"/>
  <c r="X1565" i="57"/>
  <c r="AJ1565" i="57"/>
  <c r="V1565" i="57" l="1"/>
  <c r="AI1565" i="57"/>
  <c r="Z1565" i="57"/>
  <c r="AA1565" i="57" s="1"/>
  <c r="AG1564" i="57"/>
  <c r="AJ1564" i="57"/>
  <c r="X1564" i="57"/>
  <c r="V1564" i="57" l="1"/>
  <c r="AI1564" i="57"/>
  <c r="Z1564" i="57"/>
  <c r="AA1564" i="57" s="1"/>
  <c r="AG1563" i="57"/>
  <c r="AJ1563" i="57"/>
  <c r="X1563" i="57"/>
  <c r="V1563" i="57" l="1"/>
  <c r="AI1563" i="57"/>
  <c r="Z1563" i="57"/>
  <c r="AA1563" i="57" s="1"/>
  <c r="AG1562" i="57"/>
  <c r="X1562" i="57"/>
  <c r="AJ1562" i="57"/>
  <c r="V1562" i="57" l="1"/>
  <c r="AI1562" i="57"/>
  <c r="Z1562" i="57"/>
  <c r="AA1562" i="57" s="1"/>
  <c r="AG1561" i="57"/>
  <c r="X1561" i="57"/>
  <c r="AJ1561" i="57"/>
  <c r="V1561" i="57" l="1"/>
  <c r="AI1561" i="57"/>
  <c r="Z1561" i="57"/>
  <c r="AA1561" i="57" s="1"/>
  <c r="AG1560" i="57"/>
  <c r="X1560" i="57"/>
  <c r="AJ1560" i="57"/>
  <c r="V1560" i="57" l="1"/>
  <c r="AI1560" i="57"/>
  <c r="Z1560" i="57"/>
  <c r="AA1560" i="57" s="1"/>
  <c r="AG1559" i="57"/>
  <c r="X1559" i="57"/>
  <c r="AJ1559" i="57"/>
  <c r="V1559" i="57" l="1"/>
  <c r="AI1559" i="57"/>
  <c r="Z1559" i="57"/>
  <c r="AA1559" i="57" s="1"/>
  <c r="AG1558" i="57"/>
  <c r="X1558" i="57"/>
  <c r="AJ1558" i="57"/>
  <c r="V1558" i="57" l="1"/>
  <c r="AI1558" i="57"/>
  <c r="Z1558" i="57"/>
  <c r="AA1558" i="57" s="1"/>
  <c r="AG1557" i="57"/>
  <c r="X1557" i="57"/>
  <c r="AJ1557" i="57"/>
  <c r="V1557" i="57" l="1"/>
  <c r="AI1557" i="57"/>
  <c r="Z1557" i="57"/>
  <c r="AA1557" i="57" s="1"/>
  <c r="AG1556" i="57"/>
  <c r="AJ1556" i="57"/>
  <c r="X1556" i="57"/>
  <c r="V1556" i="57" l="1"/>
  <c r="AI1556" i="57"/>
  <c r="Z1556" i="57"/>
  <c r="AA1556" i="57" s="1"/>
  <c r="AG1555" i="57"/>
  <c r="X1555" i="57"/>
  <c r="AJ1555" i="57"/>
  <c r="V1555" i="57" l="1"/>
  <c r="AI1555" i="57"/>
  <c r="Z1555" i="57"/>
  <c r="AA1555" i="57" s="1"/>
  <c r="AG1553" i="57" l="1"/>
  <c r="X1553" i="57"/>
  <c r="AJ1553" i="57"/>
  <c r="V1553" i="57" l="1"/>
  <c r="AI1553" i="57"/>
  <c r="Z1553" i="57"/>
  <c r="AA1553" i="57" s="1"/>
  <c r="AG1552" i="57"/>
  <c r="X1552" i="57"/>
  <c r="AJ1552" i="57"/>
  <c r="V1552" i="57" l="1"/>
  <c r="AI1552" i="57"/>
  <c r="Z1552" i="57"/>
  <c r="AA1552" i="57" s="1"/>
  <c r="AG1551" i="57"/>
  <c r="X1551" i="57"/>
  <c r="AJ1551" i="57"/>
  <c r="V1551" i="57" l="1"/>
  <c r="AI1551" i="57"/>
  <c r="Z1551" i="57"/>
  <c r="AA1551" i="57" s="1"/>
  <c r="AG1550" i="57"/>
  <c r="X1550" i="57"/>
  <c r="AJ1550" i="57"/>
  <c r="V1550" i="57" l="1"/>
  <c r="AI1550" i="57"/>
  <c r="Z1550" i="57"/>
  <c r="AA1550" i="57" s="1"/>
  <c r="AG1549" i="57"/>
  <c r="X1549" i="57"/>
  <c r="AJ1549" i="57"/>
  <c r="V1549" i="57" l="1"/>
  <c r="AI1549" i="57"/>
  <c r="Z1549" i="57"/>
  <c r="AA1549" i="57" s="1"/>
  <c r="AG1548" i="57"/>
  <c r="X1548" i="57"/>
  <c r="AJ1548" i="57"/>
  <c r="V1548" i="57" l="1"/>
  <c r="AI1548" i="57"/>
  <c r="Z1548" i="57"/>
  <c r="AA1548" i="57" s="1"/>
  <c r="AG1547" i="57"/>
  <c r="AJ1547" i="57"/>
  <c r="X1547" i="57"/>
  <c r="V1547" i="57" l="1"/>
  <c r="AI1547" i="57"/>
  <c r="Z1547" i="57"/>
  <c r="AA1547" i="57" s="1"/>
  <c r="AG1542" i="57" l="1"/>
  <c r="AJ1542" i="57"/>
  <c r="X1542" i="57"/>
  <c r="V1542" i="57" l="1"/>
  <c r="AI1542" i="57"/>
  <c r="Z1542" i="57"/>
  <c r="AA1542" i="57" s="1"/>
  <c r="AG1541" i="57"/>
  <c r="AJ1541" i="57"/>
  <c r="X1541" i="57"/>
  <c r="V1541" i="57" l="1"/>
  <c r="AI1541" i="57"/>
  <c r="Z1541" i="57"/>
  <c r="AA1541" i="57" s="1"/>
  <c r="AG1540" i="57"/>
  <c r="X1540" i="57"/>
  <c r="AJ1540" i="57"/>
  <c r="V1540" i="57" l="1"/>
  <c r="AI1540" i="57"/>
  <c r="Z1540" i="57"/>
  <c r="AA1540" i="57" s="1"/>
  <c r="AG1538" i="57" l="1"/>
  <c r="X1538" i="57"/>
  <c r="AJ1538" i="57"/>
  <c r="V1538" i="57" l="1"/>
  <c r="AI1538" i="57"/>
  <c r="Z1538" i="57"/>
  <c r="AA1538" i="57" s="1"/>
  <c r="AG1537" i="57"/>
  <c r="X1537" i="57"/>
  <c r="AJ1537" i="57"/>
  <c r="V1537" i="57" l="1"/>
  <c r="AI1537" i="57"/>
  <c r="Z1537" i="57"/>
  <c r="AA1537" i="57" s="1"/>
  <c r="AG1535" i="57" l="1"/>
  <c r="X1535" i="57"/>
  <c r="AJ1535" i="57"/>
  <c r="V1535" i="57" l="1"/>
  <c r="AI1535" i="57"/>
  <c r="Z1535" i="57"/>
  <c r="AA1535" i="57" s="1"/>
  <c r="AG1532" i="57" l="1"/>
  <c r="AJ1532" i="57"/>
  <c r="X1532" i="57"/>
  <c r="V1532" i="57" l="1"/>
  <c r="AI1532" i="57"/>
  <c r="Z1532" i="57"/>
  <c r="AA1532" i="57" s="1"/>
  <c r="AG1531" i="57"/>
  <c r="X1531" i="57"/>
  <c r="AJ1531" i="57"/>
  <c r="V1531" i="57" l="1"/>
  <c r="AI1531" i="57"/>
  <c r="Z1531" i="57"/>
  <c r="AA1531" i="57" s="1"/>
  <c r="AG1530" i="57"/>
  <c r="X1530" i="57"/>
  <c r="AJ1530" i="57"/>
  <c r="V1530" i="57" l="1"/>
  <c r="AI1530" i="57"/>
  <c r="Z1530" i="57"/>
  <c r="AA1530" i="57" s="1"/>
  <c r="AG1529" i="57"/>
  <c r="X1529" i="57"/>
  <c r="AJ1529" i="57"/>
  <c r="V1529" i="57" l="1"/>
  <c r="AI1529" i="57"/>
  <c r="Z1529" i="57"/>
  <c r="AA1529" i="57" s="1"/>
  <c r="AG1528" i="57"/>
  <c r="AJ1528" i="57"/>
  <c r="X1528" i="57"/>
  <c r="V1528" i="57" l="1"/>
  <c r="AI1528" i="57"/>
  <c r="Z1528" i="57"/>
  <c r="AA1528" i="57" s="1"/>
  <c r="AG1526" i="57" l="1"/>
  <c r="X1526" i="57"/>
  <c r="AJ1526" i="57"/>
  <c r="V1526" i="57" l="1"/>
  <c r="AI1526" i="57"/>
  <c r="Z1526" i="57"/>
  <c r="AA1526" i="57" s="1"/>
  <c r="AG1524" i="57" l="1"/>
  <c r="X1524" i="57"/>
  <c r="AJ1524" i="57"/>
  <c r="V1524" i="57" l="1"/>
  <c r="AI1524" i="57"/>
  <c r="Z1524" i="57"/>
  <c r="AA1524" i="57" s="1"/>
  <c r="AG1523" i="57"/>
  <c r="X1523" i="57"/>
  <c r="AJ1523" i="57"/>
  <c r="V1523" i="57" l="1"/>
  <c r="AI1523" i="57"/>
  <c r="Z1523" i="57"/>
  <c r="AA1523" i="57" s="1"/>
  <c r="AG1521" i="57" l="1"/>
  <c r="X1521" i="57"/>
  <c r="AJ1521" i="57"/>
  <c r="V1521" i="57" l="1"/>
  <c r="AI1521" i="57"/>
  <c r="Z1521" i="57"/>
  <c r="AA1521" i="57" s="1"/>
  <c r="AG1520" i="57"/>
  <c r="AJ1520" i="57"/>
  <c r="X1520" i="57"/>
  <c r="V1520" i="57" l="1"/>
  <c r="AI1520" i="57"/>
  <c r="Z1520" i="57"/>
  <c r="AA1520" i="57" s="1"/>
  <c r="AG1518" i="57" l="1"/>
  <c r="AJ1518" i="57"/>
  <c r="X1518" i="57"/>
  <c r="V1518" i="57" l="1"/>
  <c r="AI1518" i="57"/>
  <c r="Z1518" i="57"/>
  <c r="AA1518" i="57" s="1"/>
  <c r="AG1516" i="57" l="1"/>
  <c r="X1516" i="57"/>
  <c r="AJ1516" i="57"/>
  <c r="V1516" i="57" l="1"/>
  <c r="AI1516" i="57"/>
  <c r="Z1516" i="57"/>
  <c r="AA1516" i="57" s="1"/>
  <c r="AG1513" i="57"/>
  <c r="X1513" i="57"/>
  <c r="AJ1513" i="57"/>
  <c r="V1513" i="57" l="1"/>
  <c r="AI1513" i="57"/>
  <c r="Z1513" i="57"/>
  <c r="AA1513" i="57" s="1"/>
  <c r="AG1512" i="57"/>
  <c r="AJ1512" i="57"/>
  <c r="X1512" i="57"/>
  <c r="V1512" i="57" l="1"/>
  <c r="AI1512" i="57"/>
  <c r="Z1512" i="57"/>
  <c r="AA1512" i="57" s="1"/>
  <c r="AG1511" i="57"/>
  <c r="Z1511" i="57"/>
  <c r="AA1511" i="57" s="1"/>
  <c r="AG1510" i="57"/>
  <c r="AJ1510" i="57"/>
  <c r="X1510" i="57"/>
  <c r="AJ1511" i="57"/>
  <c r="V1510" i="57" l="1"/>
  <c r="AI1510" i="57"/>
  <c r="AI1511" i="57"/>
  <c r="Z1510" i="57"/>
  <c r="AA1510" i="57" s="1"/>
  <c r="AG1509" i="57"/>
  <c r="AJ1509" i="57"/>
  <c r="X1509" i="57"/>
  <c r="V1509" i="57" l="1"/>
  <c r="AI1509" i="57"/>
  <c r="Z1509" i="57"/>
  <c r="AA1509" i="57" s="1"/>
  <c r="AG1508" i="57"/>
  <c r="X1508" i="57"/>
  <c r="AJ1508" i="57"/>
  <c r="V1508" i="57" l="1"/>
  <c r="AI1508" i="57"/>
  <c r="Z1508" i="57"/>
  <c r="AA1508" i="57" s="1"/>
  <c r="AG1506" i="57" l="1"/>
  <c r="AJ1506" i="57"/>
  <c r="X1506" i="57"/>
  <c r="V1506" i="57" l="1"/>
  <c r="AI1506" i="57"/>
  <c r="Z1506" i="57"/>
  <c r="AA1506" i="57" s="1"/>
  <c r="AG1505" i="57"/>
  <c r="AJ1505" i="57"/>
  <c r="X1505" i="57"/>
  <c r="V1505" i="57" l="1"/>
  <c r="AI1505" i="57"/>
  <c r="Z1505" i="57"/>
  <c r="AA1505" i="57" s="1"/>
  <c r="AG1504" i="57"/>
  <c r="AJ1504" i="57"/>
  <c r="X1504" i="57"/>
  <c r="V1504" i="57" l="1"/>
  <c r="AI1504" i="57"/>
  <c r="Z1504" i="57"/>
  <c r="AA1504" i="57" s="1"/>
  <c r="AG1503" i="57"/>
  <c r="X1503" i="57"/>
  <c r="AJ1503" i="57"/>
  <c r="V1503" i="57" l="1"/>
  <c r="AI1503" i="57"/>
  <c r="Z1503" i="57"/>
  <c r="AA1503" i="57" s="1"/>
  <c r="AG1502" i="57"/>
  <c r="AJ1502" i="57"/>
  <c r="X1502" i="57"/>
  <c r="V1502" i="57" l="1"/>
  <c r="AI1502" i="57"/>
  <c r="Z1502" i="57"/>
  <c r="AA1502" i="57" s="1"/>
  <c r="AG1501" i="57"/>
  <c r="X1501" i="57"/>
  <c r="AJ1501" i="57"/>
  <c r="V1501" i="57" l="1"/>
  <c r="AI1501" i="57"/>
  <c r="Z1501" i="57"/>
  <c r="AA1501" i="57" s="1"/>
  <c r="AG1500" i="57"/>
  <c r="X1500" i="57"/>
  <c r="AJ1500" i="57"/>
  <c r="V1500" i="57" l="1"/>
  <c r="AI1500" i="57"/>
  <c r="Z1500" i="57"/>
  <c r="AA1500" i="57" s="1"/>
  <c r="AG1499" i="57"/>
  <c r="X1499" i="57"/>
  <c r="AJ1499" i="57"/>
  <c r="V1499" i="57" l="1"/>
  <c r="AI1499" i="57"/>
  <c r="Z1499" i="57"/>
  <c r="AA1499" i="57" s="1"/>
  <c r="AG1498" i="57"/>
  <c r="AJ1498" i="57"/>
  <c r="X1498" i="57"/>
  <c r="V1498" i="57" l="1"/>
  <c r="AI1498" i="57"/>
  <c r="Z1498" i="57"/>
  <c r="AA1498" i="57" s="1"/>
  <c r="AG1497" i="57"/>
  <c r="X1497" i="57"/>
  <c r="AJ1497" i="57"/>
  <c r="V1497" i="57" l="1"/>
  <c r="AI1497" i="57"/>
  <c r="Z1497" i="57"/>
  <c r="AA1497" i="57" s="1"/>
  <c r="AG1496" i="57"/>
  <c r="X1496" i="57"/>
  <c r="AJ1496" i="57"/>
  <c r="V1496" i="57" l="1"/>
  <c r="AI1496" i="57"/>
  <c r="Z1496" i="57"/>
  <c r="AA1496" i="57" s="1"/>
  <c r="AG1495" i="57"/>
  <c r="X1495" i="57"/>
  <c r="AJ1495" i="57"/>
  <c r="V1495" i="57" l="1"/>
  <c r="AI1495" i="57"/>
  <c r="Z1495" i="57"/>
  <c r="AA1495" i="57" s="1"/>
  <c r="AG1494" i="57"/>
  <c r="X1494" i="57"/>
  <c r="AJ1494" i="57"/>
  <c r="V1494" i="57" l="1"/>
  <c r="AI1494" i="57"/>
  <c r="Z1494" i="57"/>
  <c r="AA1494" i="57" s="1"/>
  <c r="AG1493" i="57"/>
  <c r="AJ1493" i="57"/>
  <c r="X1493" i="57"/>
  <c r="V1493" i="57" l="1"/>
  <c r="AI1493" i="57"/>
  <c r="Z1493" i="57"/>
  <c r="AA1493" i="57" s="1"/>
  <c r="AG1492" i="57"/>
  <c r="X1492" i="57"/>
  <c r="AJ1492" i="57"/>
  <c r="V1492" i="57" l="1"/>
  <c r="AI1492" i="57"/>
  <c r="Z1492" i="57"/>
  <c r="AA1492" i="57" s="1"/>
  <c r="AG1491" i="57"/>
  <c r="AJ1491" i="57"/>
  <c r="X1491" i="57"/>
  <c r="V1491" i="57" l="1"/>
  <c r="AI1491" i="57"/>
  <c r="Z1491" i="57"/>
  <c r="AA1491" i="57" s="1"/>
  <c r="AG1490" i="57"/>
  <c r="X1490" i="57"/>
  <c r="AJ1490" i="57"/>
  <c r="V1490" i="57" l="1"/>
  <c r="AI1490" i="57"/>
  <c r="Z1490" i="57"/>
  <c r="AA1490" i="57" s="1"/>
  <c r="AG1489" i="57"/>
  <c r="X1489" i="57"/>
  <c r="AJ1489" i="57"/>
  <c r="V1489" i="57" l="1"/>
  <c r="AI1489" i="57"/>
  <c r="Z1489" i="57"/>
  <c r="AA1489" i="57" s="1"/>
  <c r="AG1488" i="57"/>
  <c r="AJ1488" i="57"/>
  <c r="X1488" i="57"/>
  <c r="V1488" i="57" l="1"/>
  <c r="AI1488" i="57"/>
  <c r="Z1488" i="57"/>
  <c r="AA1488" i="57" s="1"/>
  <c r="AG1487" i="57"/>
  <c r="X1487" i="57"/>
  <c r="AJ1487" i="57"/>
  <c r="V1487" i="57" l="1"/>
  <c r="AI1487" i="57"/>
  <c r="Z1487" i="57"/>
  <c r="AA1487" i="57" s="1"/>
  <c r="AG1486" i="57"/>
  <c r="AJ1486" i="57"/>
  <c r="X1486" i="57"/>
  <c r="V1486" i="57" l="1"/>
  <c r="AI1486" i="57"/>
  <c r="Z1486" i="57"/>
  <c r="AA1486" i="57" s="1"/>
  <c r="AG1485" i="57"/>
  <c r="X1485" i="57"/>
  <c r="AJ1485" i="57"/>
  <c r="V1485" i="57" l="1"/>
  <c r="AI1485" i="57"/>
  <c r="Z1485" i="57"/>
  <c r="AA1485" i="57" s="1"/>
  <c r="AG1484" i="57"/>
  <c r="AJ1484" i="57"/>
  <c r="X1484" i="57"/>
  <c r="V1484" i="57" l="1"/>
  <c r="AI1484" i="57"/>
  <c r="Z1484" i="57"/>
  <c r="AA1484" i="57" s="1"/>
  <c r="AG1483" i="57"/>
  <c r="AJ1483" i="57"/>
  <c r="X1483" i="57"/>
  <c r="V1483" i="57" l="1"/>
  <c r="AI1483" i="57"/>
  <c r="Z1483" i="57"/>
  <c r="AA1483" i="57" s="1"/>
  <c r="AG1482" i="57"/>
  <c r="AJ1482" i="57"/>
  <c r="X1482" i="57"/>
  <c r="V1482" i="57" l="1"/>
  <c r="AI1482" i="57"/>
  <c r="Z1482" i="57"/>
  <c r="AA1482" i="57" s="1"/>
  <c r="AG1481" i="57"/>
  <c r="X1481" i="57"/>
  <c r="AJ1481" i="57"/>
  <c r="V1481" i="57" l="1"/>
  <c r="AI1481" i="57"/>
  <c r="Z1481" i="57"/>
  <c r="AA1481" i="57" s="1"/>
  <c r="AG1480" i="57"/>
  <c r="X1480" i="57"/>
  <c r="AJ1480" i="57"/>
  <c r="V1480" i="57" l="1"/>
  <c r="AI1480" i="57"/>
  <c r="Z1480" i="57"/>
  <c r="AA1480" i="57" s="1"/>
  <c r="AG1479" i="57"/>
  <c r="X1479" i="57"/>
  <c r="AJ1479" i="57"/>
  <c r="V1479" i="57" l="1"/>
  <c r="AI1479" i="57"/>
  <c r="Z1479" i="57"/>
  <c r="AA1479" i="57" s="1"/>
  <c r="AG1478" i="57"/>
  <c r="AJ1478" i="57"/>
  <c r="X1478" i="57"/>
  <c r="V1478" i="57" l="1"/>
  <c r="AI1478" i="57"/>
  <c r="Z1478" i="57"/>
  <c r="AA1478" i="57" s="1"/>
  <c r="AG1477" i="57"/>
  <c r="X1477" i="57"/>
  <c r="AJ1477" i="57"/>
  <c r="V1477" i="57" l="1"/>
  <c r="AI1477" i="57"/>
  <c r="Z1477" i="57"/>
  <c r="AA1477" i="57" s="1"/>
  <c r="AG1476" i="57"/>
  <c r="X1476" i="57"/>
  <c r="AJ1476" i="57"/>
  <c r="V1476" i="57" l="1"/>
  <c r="AI1476" i="57"/>
  <c r="Z1476" i="57"/>
  <c r="AA1476" i="57" s="1"/>
  <c r="AG1475" i="57"/>
  <c r="X1475" i="57"/>
  <c r="AJ1475" i="57"/>
  <c r="V1475" i="57" l="1"/>
  <c r="AI1475" i="57"/>
  <c r="Z1475" i="57"/>
  <c r="AA1475" i="57" s="1"/>
  <c r="AG1474" i="57"/>
  <c r="X1474" i="57"/>
  <c r="AJ1474" i="57"/>
  <c r="V1474" i="57" l="1"/>
  <c r="AI1474" i="57"/>
  <c r="Z1474" i="57"/>
  <c r="AA1474" i="57" s="1"/>
  <c r="AG1473" i="57"/>
  <c r="AJ1473" i="57"/>
  <c r="X1473" i="57"/>
  <c r="V1473" i="57" l="1"/>
  <c r="AI1473" i="57"/>
  <c r="Z1473" i="57"/>
  <c r="AA1473" i="57" s="1"/>
  <c r="AG1472" i="57"/>
  <c r="AJ1472" i="57"/>
  <c r="X1472" i="57"/>
  <c r="V1472" i="57" l="1"/>
  <c r="AI1472" i="57"/>
  <c r="Z1472" i="57"/>
  <c r="AA1472" i="57" s="1"/>
  <c r="AG1471" i="57"/>
  <c r="X1471" i="57"/>
  <c r="AJ1471" i="57"/>
  <c r="V1471" i="57" l="1"/>
  <c r="AI1471" i="57"/>
  <c r="Z1471" i="57"/>
  <c r="AA1471" i="57" s="1"/>
  <c r="AG1470" i="57"/>
  <c r="X1470" i="57"/>
  <c r="AJ1470" i="57"/>
  <c r="V1470" i="57" l="1"/>
  <c r="AI1470" i="57"/>
  <c r="Z1470" i="57"/>
  <c r="AA1470" i="57" s="1"/>
  <c r="AG1469" i="57"/>
  <c r="AJ1469" i="57"/>
  <c r="X1469" i="57"/>
  <c r="V1469" i="57" l="1"/>
  <c r="AI1469" i="57"/>
  <c r="Z1469" i="57"/>
  <c r="AA1469" i="57" s="1"/>
  <c r="AG1468" i="57"/>
  <c r="AJ1468" i="57"/>
  <c r="X1468" i="57"/>
  <c r="V1468" i="57" l="1"/>
  <c r="AI1468" i="57"/>
  <c r="Z1468" i="57"/>
  <c r="AA1468" i="57" s="1"/>
  <c r="AG1467" i="57"/>
  <c r="AJ1467" i="57"/>
  <c r="X1467" i="57"/>
  <c r="V1467" i="57" l="1"/>
  <c r="AI1467" i="57"/>
  <c r="Z1467" i="57"/>
  <c r="AA1467" i="57" s="1"/>
  <c r="AG1466" i="57"/>
  <c r="X1466" i="57"/>
  <c r="AJ1466" i="57"/>
  <c r="V1466" i="57" l="1"/>
  <c r="AI1466" i="57"/>
  <c r="Z1466" i="57"/>
  <c r="AA1466" i="57" s="1"/>
  <c r="AG1465" i="57"/>
  <c r="X1465" i="57"/>
  <c r="AJ1465" i="57"/>
  <c r="V1465" i="57" l="1"/>
  <c r="AI1465" i="57"/>
  <c r="Z1465" i="57"/>
  <c r="AA1465" i="57" s="1"/>
  <c r="AG1464" i="57"/>
  <c r="X1464" i="57"/>
  <c r="AJ1464" i="57"/>
  <c r="V1464" i="57" l="1"/>
  <c r="AI1464" i="57"/>
  <c r="Z1464" i="57"/>
  <c r="AA1464" i="57" s="1"/>
  <c r="AG1463" i="57"/>
  <c r="AJ1463" i="57"/>
  <c r="X1463" i="57"/>
  <c r="V1463" i="57" l="1"/>
  <c r="AI1463" i="57"/>
  <c r="Z1463" i="57"/>
  <c r="AA1463" i="57" s="1"/>
  <c r="AG1462" i="57"/>
  <c r="AJ1462" i="57"/>
  <c r="X1462" i="57"/>
  <c r="V1462" i="57" l="1"/>
  <c r="AI1462" i="57"/>
  <c r="Z1462" i="57"/>
  <c r="AA1462" i="57" s="1"/>
  <c r="AG1461" i="57"/>
  <c r="X1461" i="57"/>
  <c r="AJ1461" i="57"/>
  <c r="V1461" i="57" l="1"/>
  <c r="AI1461" i="57"/>
  <c r="Z1461" i="57"/>
  <c r="AA1461" i="57" s="1"/>
  <c r="AG1460" i="57"/>
  <c r="X1460" i="57"/>
  <c r="AJ1460" i="57"/>
  <c r="V1460" i="57" l="1"/>
  <c r="AI1460" i="57"/>
  <c r="Z1460" i="57"/>
  <c r="AA1460" i="57" s="1"/>
  <c r="AG1459" i="57"/>
  <c r="X1459" i="57"/>
  <c r="AJ1459" i="57"/>
  <c r="V1459" i="57" l="1"/>
  <c r="AI1459" i="57"/>
  <c r="Z1459" i="57"/>
  <c r="AA1459" i="57" s="1"/>
  <c r="AG1458" i="57"/>
  <c r="X1458" i="57"/>
  <c r="AJ1458" i="57"/>
  <c r="V1458" i="57" l="1"/>
  <c r="AI1458" i="57"/>
  <c r="Z1458" i="57"/>
  <c r="AA1458" i="57" s="1"/>
  <c r="AG1457" i="57"/>
  <c r="X1457" i="57"/>
  <c r="AJ1457" i="57"/>
  <c r="V1457" i="57" l="1"/>
  <c r="AI1457" i="57"/>
  <c r="Z1457" i="57"/>
  <c r="AA1457" i="57" s="1"/>
  <c r="AG1456" i="57"/>
  <c r="X1456" i="57"/>
  <c r="AJ1456" i="57"/>
  <c r="V1456" i="57" l="1"/>
  <c r="AI1456" i="57"/>
  <c r="Z1456" i="57"/>
  <c r="AA1456" i="57" s="1"/>
  <c r="AG1455" i="57"/>
  <c r="X1455" i="57"/>
  <c r="AJ1455" i="57"/>
  <c r="V1455" i="57" l="1"/>
  <c r="AI1455" i="57"/>
  <c r="Z1455" i="57"/>
  <c r="AA1455" i="57" s="1"/>
  <c r="AG1454" i="57"/>
  <c r="X1454" i="57"/>
  <c r="AJ1454" i="57"/>
  <c r="V1454" i="57" l="1"/>
  <c r="AI1454" i="57"/>
  <c r="Z1454" i="57"/>
  <c r="AA1454" i="57" s="1"/>
  <c r="AG1453" i="57"/>
  <c r="X1453" i="57"/>
  <c r="AJ1453" i="57"/>
  <c r="V1453" i="57" l="1"/>
  <c r="AI1453" i="57"/>
  <c r="Z1453" i="57"/>
  <c r="AA1453" i="57" s="1"/>
  <c r="AG1452" i="57"/>
  <c r="AJ1452" i="57"/>
  <c r="X1452" i="57"/>
  <c r="V1452" i="57" l="1"/>
  <c r="AI1452" i="57"/>
  <c r="Z1452" i="57"/>
  <c r="AA1452" i="57" s="1"/>
  <c r="AG1451" i="57"/>
  <c r="X1451" i="57"/>
  <c r="AJ1451" i="57"/>
  <c r="V1451" i="57" l="1"/>
  <c r="AI1451" i="57"/>
  <c r="Z1451" i="57"/>
  <c r="AA1451" i="57" s="1"/>
  <c r="AG1450" i="57"/>
  <c r="AJ1450" i="57"/>
  <c r="X1450" i="57"/>
  <c r="V1450" i="57" l="1"/>
  <c r="AI1450" i="57"/>
  <c r="Z1450" i="57"/>
  <c r="AA1450" i="57" s="1"/>
  <c r="AG1449" i="57"/>
  <c r="AJ1449" i="57"/>
  <c r="X1449" i="57"/>
  <c r="V1449" i="57" l="1"/>
  <c r="AI1449" i="57"/>
  <c r="Z1449" i="57"/>
  <c r="AA1449" i="57" s="1"/>
  <c r="AG1448" i="57"/>
  <c r="AJ1448" i="57"/>
  <c r="X1448" i="57"/>
  <c r="V1448" i="57" l="1"/>
  <c r="AI1448" i="57"/>
  <c r="Z1448" i="57"/>
  <c r="AA1448" i="57" s="1"/>
  <c r="AG1447" i="57"/>
  <c r="AJ1447" i="57"/>
  <c r="X1447" i="57"/>
  <c r="V1447" i="57" l="1"/>
  <c r="AI1447" i="57"/>
  <c r="Z1447" i="57"/>
  <c r="AA1447" i="57" s="1"/>
  <c r="AG1446" i="57"/>
  <c r="X1446" i="57"/>
  <c r="AJ1446" i="57"/>
  <c r="V1446" i="57" l="1"/>
  <c r="AI1446" i="57"/>
  <c r="Z1446" i="57"/>
  <c r="AA1446" i="57" s="1"/>
  <c r="AG1445" i="57"/>
  <c r="AJ1445" i="57"/>
  <c r="X1445" i="57"/>
  <c r="V1445" i="57" l="1"/>
  <c r="AI1445" i="57"/>
  <c r="Z1445" i="57"/>
  <c r="AA1445" i="57" s="1"/>
  <c r="AG1444" i="57"/>
  <c r="AJ1444" i="57"/>
  <c r="X1444" i="57"/>
  <c r="V1444" i="57" l="1"/>
  <c r="AI1444" i="57"/>
  <c r="Z1444" i="57"/>
  <c r="AA1444" i="57" s="1"/>
  <c r="AG1443" i="57"/>
  <c r="X1443" i="57"/>
  <c r="AJ1443" i="57"/>
  <c r="V1443" i="57" l="1"/>
  <c r="AI1443" i="57"/>
  <c r="Z1443" i="57"/>
  <c r="AA1443" i="57" s="1"/>
  <c r="AG1442" i="57"/>
  <c r="X1442" i="57"/>
  <c r="AJ1442" i="57"/>
  <c r="V1442" i="57" l="1"/>
  <c r="AI1442" i="57"/>
  <c r="Z1442" i="57"/>
  <c r="AA1442" i="57" s="1"/>
  <c r="AG1441" i="57"/>
  <c r="AJ1441" i="57"/>
  <c r="X1441" i="57"/>
  <c r="V1441" i="57" l="1"/>
  <c r="AI1441" i="57"/>
  <c r="Z1441" i="57"/>
  <c r="AA1441" i="57" s="1"/>
  <c r="AG1437" i="57" l="1"/>
  <c r="AJ1437" i="57"/>
  <c r="X1437" i="57"/>
  <c r="V1437" i="57" l="1"/>
  <c r="AI1437" i="57"/>
  <c r="Z1437" i="57"/>
  <c r="AA1437" i="57" s="1"/>
  <c r="AG1436" i="57"/>
  <c r="AJ1436" i="57"/>
  <c r="X1436" i="57"/>
  <c r="V1436" i="57" l="1"/>
  <c r="AI1436" i="57"/>
  <c r="Z1436" i="57"/>
  <c r="AA1436" i="57" s="1"/>
  <c r="AG1435" i="57"/>
  <c r="AJ1435" i="57"/>
  <c r="X1435" i="57"/>
  <c r="V1435" i="57" l="1"/>
  <c r="AI1435" i="57"/>
  <c r="Z1435" i="57"/>
  <c r="AA1435" i="57" s="1"/>
  <c r="AG1434" i="57"/>
  <c r="X1434" i="57"/>
  <c r="AJ1434" i="57"/>
  <c r="V1434" i="57" l="1"/>
  <c r="AI1434" i="57"/>
  <c r="Z1434" i="57"/>
  <c r="AA1434" i="57" s="1"/>
  <c r="AG1433" i="57"/>
  <c r="X1433" i="57"/>
  <c r="AJ1433" i="57"/>
  <c r="V1433" i="57" l="1"/>
  <c r="AI1433" i="57"/>
  <c r="Z1433" i="57"/>
  <c r="AA1433" i="57" s="1"/>
  <c r="AG1432" i="57"/>
  <c r="X1432" i="57"/>
  <c r="AJ1432" i="57"/>
  <c r="V1432" i="57" l="1"/>
  <c r="AI1432" i="57"/>
  <c r="Z1432" i="57"/>
  <c r="AA1432" i="57" s="1"/>
  <c r="AG1431" i="57"/>
  <c r="X1431" i="57"/>
  <c r="AJ1431" i="57"/>
  <c r="V1431" i="57" l="1"/>
  <c r="AI1431" i="57"/>
  <c r="Z1431" i="57"/>
  <c r="AA1431" i="57" s="1"/>
  <c r="AG1429" i="57" l="1"/>
  <c r="AJ1429" i="57"/>
  <c r="X1429" i="57"/>
  <c r="V1429" i="57" l="1"/>
  <c r="AI1429" i="57"/>
  <c r="Z1429" i="57"/>
  <c r="AA1429" i="57" s="1"/>
  <c r="AG1428" i="57"/>
  <c r="AJ1428" i="57"/>
  <c r="X1428" i="57"/>
  <c r="V1428" i="57" l="1"/>
  <c r="AI1428" i="57"/>
  <c r="Z1428" i="57"/>
  <c r="AA1428" i="57" s="1"/>
  <c r="AG1427" i="57"/>
  <c r="X1427" i="57"/>
  <c r="AJ1427" i="57"/>
  <c r="V1427" i="57" l="1"/>
  <c r="AI1427" i="57"/>
  <c r="Z1427" i="57"/>
  <c r="AA1427" i="57" s="1"/>
  <c r="AG1426" i="57"/>
  <c r="X1426" i="57"/>
  <c r="AJ1426" i="57"/>
  <c r="V1426" i="57" l="1"/>
  <c r="AI1426" i="57"/>
  <c r="Z1426" i="57"/>
  <c r="AA1426" i="57" s="1"/>
  <c r="AG1425" i="57"/>
  <c r="X1425" i="57"/>
  <c r="AJ1425" i="57"/>
  <c r="V1425" i="57" l="1"/>
  <c r="AI1425" i="57"/>
  <c r="Z1425" i="57"/>
  <c r="AA1425" i="57" s="1"/>
  <c r="AG1424" i="57"/>
  <c r="AJ1424" i="57"/>
  <c r="X1424" i="57"/>
  <c r="V1424" i="57" l="1"/>
  <c r="AI1424" i="57"/>
  <c r="Z1424" i="57"/>
  <c r="AA1424" i="57" s="1"/>
  <c r="AG1423" i="57"/>
  <c r="AJ1423" i="57"/>
  <c r="X1423" i="57"/>
  <c r="V1423" i="57" l="1"/>
  <c r="AI1423" i="57"/>
  <c r="Z1423" i="57"/>
  <c r="AA1423" i="57" s="1"/>
  <c r="AG1422" i="57"/>
  <c r="X1422" i="57"/>
  <c r="AJ1422" i="57"/>
  <c r="V1422" i="57" l="1"/>
  <c r="AI1422" i="57"/>
  <c r="Z1422" i="57"/>
  <c r="AA1422" i="57" s="1"/>
  <c r="AG1421" i="57"/>
  <c r="X1421" i="57"/>
  <c r="AJ1421" i="57"/>
  <c r="V1421" i="57" l="1"/>
  <c r="AI1421" i="57"/>
  <c r="Z1421" i="57"/>
  <c r="AA1421" i="57" s="1"/>
  <c r="AG1420" i="57"/>
  <c r="X1420" i="57"/>
  <c r="AJ1420" i="57"/>
  <c r="V1420" i="57" l="1"/>
  <c r="AI1420" i="57"/>
  <c r="Z1420" i="57"/>
  <c r="AA1420" i="57" s="1"/>
  <c r="AG1418" i="57" l="1"/>
  <c r="X1418" i="57"/>
  <c r="AJ1418" i="57"/>
  <c r="V1418" i="57" l="1"/>
  <c r="AI1418" i="57"/>
  <c r="Z1418" i="57"/>
  <c r="AA1418" i="57" s="1"/>
  <c r="AG1417" i="57"/>
  <c r="AJ1417" i="57"/>
  <c r="X1417" i="57"/>
  <c r="V1417" i="57" l="1"/>
  <c r="AI1417" i="57"/>
  <c r="Z1417" i="57"/>
  <c r="AA1417" i="57" s="1"/>
  <c r="AG1416" i="57"/>
  <c r="X1416" i="57"/>
  <c r="AJ1416" i="57"/>
  <c r="V1416" i="57" l="1"/>
  <c r="AI1416" i="57"/>
  <c r="Z1416" i="57"/>
  <c r="AA1416" i="57" s="1"/>
  <c r="AG1414" i="57" l="1"/>
  <c r="X1414" i="57"/>
  <c r="AJ1414" i="57"/>
  <c r="V1414" i="57" l="1"/>
  <c r="AI1414" i="57"/>
  <c r="Z1414" i="57"/>
  <c r="AA1414" i="57" s="1"/>
  <c r="AG1413" i="57"/>
  <c r="X1413" i="57"/>
  <c r="AJ1413" i="57"/>
  <c r="V1413" i="57" l="1"/>
  <c r="AI1413" i="57"/>
  <c r="Z1413" i="57"/>
  <c r="AA1413" i="57" s="1"/>
  <c r="AG1412" i="57"/>
  <c r="AJ1412" i="57"/>
  <c r="X1412" i="57"/>
  <c r="V1412" i="57" l="1"/>
  <c r="AI1412" i="57"/>
  <c r="Z1412" i="57"/>
  <c r="AA1412" i="57" s="1"/>
  <c r="AG1411" i="57"/>
  <c r="X1411" i="57"/>
  <c r="AJ1411" i="57"/>
  <c r="V1411" i="57" l="1"/>
  <c r="AI1411" i="57"/>
  <c r="Z1411" i="57"/>
  <c r="AA1411" i="57" s="1"/>
  <c r="AG1410" i="57"/>
  <c r="X1410" i="57"/>
  <c r="AJ1410" i="57"/>
  <c r="V1410" i="57" l="1"/>
  <c r="AI1410" i="57"/>
  <c r="Z1410" i="57"/>
  <c r="AA1410" i="57" s="1"/>
  <c r="AG1409" i="57"/>
  <c r="X1409" i="57"/>
  <c r="AJ1409" i="57"/>
  <c r="V1409" i="57" l="1"/>
  <c r="AI1409" i="57"/>
  <c r="Z1409" i="57"/>
  <c r="AA1409" i="57" s="1"/>
  <c r="AG1407" i="57" l="1"/>
  <c r="AJ1407" i="57"/>
  <c r="X1407" i="57"/>
  <c r="V1407" i="57" l="1"/>
  <c r="AI1407" i="57"/>
  <c r="Z1407" i="57"/>
  <c r="AA1407" i="57" s="1"/>
  <c r="AG1406" i="57"/>
  <c r="AJ1406" i="57"/>
  <c r="X1406" i="57"/>
  <c r="V1406" i="57" l="1"/>
  <c r="AI1406" i="57"/>
  <c r="Z1406" i="57"/>
  <c r="AA1406" i="57" s="1"/>
  <c r="AG1405" i="57"/>
  <c r="X1405" i="57"/>
  <c r="AJ1405" i="57"/>
  <c r="V1405" i="57" l="1"/>
  <c r="AI1405" i="57"/>
  <c r="Z1405" i="57"/>
  <c r="AA1405" i="57" s="1"/>
  <c r="AG1404" i="57"/>
  <c r="X1404" i="57"/>
  <c r="AJ1404" i="57"/>
  <c r="V1404" i="57" l="1"/>
  <c r="AI1404" i="57"/>
  <c r="Z1404" i="57"/>
  <c r="AA1404" i="57" s="1"/>
  <c r="AG1403" i="57"/>
  <c r="X1403" i="57"/>
  <c r="AJ1403" i="57"/>
  <c r="V1403" i="57" l="1"/>
  <c r="AI1403" i="57"/>
  <c r="Z1403" i="57"/>
  <c r="AA1403" i="57" s="1"/>
  <c r="AG1402" i="57"/>
  <c r="X1402" i="57"/>
  <c r="AJ1402" i="57"/>
  <c r="V1402" i="57" l="1"/>
  <c r="AI1402" i="57"/>
  <c r="Z1402" i="57"/>
  <c r="AA1402" i="57" s="1"/>
  <c r="AG1401" i="57"/>
  <c r="AJ1401" i="57"/>
  <c r="X1401" i="57"/>
  <c r="V1401" i="57" l="1"/>
  <c r="AI1401" i="57"/>
  <c r="Z1401" i="57"/>
  <c r="AA1401" i="57" s="1"/>
  <c r="AG1399" i="57" l="1"/>
  <c r="X1399" i="57"/>
  <c r="AJ1399" i="57"/>
  <c r="V1399" i="57" l="1"/>
  <c r="AI1399" i="57"/>
  <c r="Z1399" i="57"/>
  <c r="AA1399" i="57" s="1"/>
  <c r="AG1398" i="57"/>
  <c r="X1398" i="57"/>
  <c r="AJ1398" i="57"/>
  <c r="V1398" i="57" l="1"/>
  <c r="AI1398" i="57"/>
  <c r="Z1398" i="57"/>
  <c r="AA1398" i="57" s="1"/>
  <c r="AG1397" i="57"/>
  <c r="AJ1397" i="57"/>
  <c r="X1397" i="57"/>
  <c r="V1397" i="57" l="1"/>
  <c r="AI1397" i="57"/>
  <c r="Z1397" i="57"/>
  <c r="AA1397" i="57" s="1"/>
  <c r="AG1396" i="57"/>
  <c r="AJ1396" i="57"/>
  <c r="X1396" i="57"/>
  <c r="V1396" i="57" l="1"/>
  <c r="AI1396" i="57"/>
  <c r="Z1396" i="57"/>
  <c r="AA1396" i="57" s="1"/>
  <c r="AG1394" i="57" l="1"/>
  <c r="X1394" i="57"/>
  <c r="AJ1394" i="57"/>
  <c r="V1394" i="57" l="1"/>
  <c r="AI1394" i="57"/>
  <c r="Z1394" i="57"/>
  <c r="AA1394" i="57" s="1"/>
  <c r="AG1393" i="57"/>
  <c r="X1393" i="57"/>
  <c r="AJ1393" i="57"/>
  <c r="V1393" i="57" l="1"/>
  <c r="AI1393" i="57"/>
  <c r="Z1393" i="57"/>
  <c r="AA1393" i="57" s="1"/>
  <c r="AG1391" i="57" l="1"/>
  <c r="X1391" i="57"/>
  <c r="AJ1391" i="57"/>
  <c r="V1391" i="57" l="1"/>
  <c r="AI1391" i="57"/>
  <c r="Z1391" i="57"/>
  <c r="AA1391" i="57" s="1"/>
  <c r="AG1389" i="57" l="1"/>
  <c r="AJ1389" i="57"/>
  <c r="X1389" i="57"/>
  <c r="V1389" i="57" l="1"/>
  <c r="AI1389" i="57"/>
  <c r="Z1389" i="57"/>
  <c r="AA1389" i="57" s="1"/>
  <c r="AG1388" i="57"/>
  <c r="X1388" i="57"/>
  <c r="AJ1388" i="57"/>
  <c r="V1388" i="57" l="1"/>
  <c r="AI1388" i="57"/>
  <c r="Z1388" i="57"/>
  <c r="AA1388" i="57" s="1"/>
  <c r="AG1387" i="57"/>
  <c r="AJ1387" i="57"/>
  <c r="X1387" i="57"/>
  <c r="V1387" i="57" l="1"/>
  <c r="AI1387" i="57"/>
  <c r="Z1387" i="57"/>
  <c r="AA1387" i="57" s="1"/>
  <c r="AG1386" i="57"/>
  <c r="X1386" i="57"/>
  <c r="AJ1386" i="57"/>
  <c r="V1386" i="57" l="1"/>
  <c r="AI1386" i="57"/>
  <c r="Z1386" i="57"/>
  <c r="AA1386" i="57" s="1"/>
  <c r="AG1384" i="57" l="1"/>
  <c r="X1384" i="57"/>
  <c r="AJ1384" i="57"/>
  <c r="V1384" i="57" l="1"/>
  <c r="AI1384" i="57"/>
  <c r="Z1384" i="57"/>
  <c r="AA1384" i="57" s="1"/>
  <c r="AG1383" i="57"/>
  <c r="AJ1383" i="57"/>
  <c r="X1383" i="57"/>
  <c r="V1383" i="57" l="1"/>
  <c r="AI1383" i="57"/>
  <c r="Z1383" i="57"/>
  <c r="AA1383" i="57" s="1"/>
  <c r="AG1382" i="57"/>
  <c r="X1382" i="57"/>
  <c r="AJ1382" i="57"/>
  <c r="V1382" i="57" l="1"/>
  <c r="AI1382" i="57"/>
  <c r="Z1382" i="57"/>
  <c r="AA1382" i="57" s="1"/>
  <c r="AG1381" i="57"/>
  <c r="X1381" i="57"/>
  <c r="AJ1381" i="57"/>
  <c r="V1381" i="57" l="1"/>
  <c r="AI1381" i="57"/>
  <c r="Z1381" i="57"/>
  <c r="AA1381" i="57" s="1"/>
  <c r="AG1379" i="57"/>
  <c r="X1379" i="57"/>
  <c r="AJ1379" i="57"/>
  <c r="V1379" i="57" l="1"/>
  <c r="AI1379" i="57"/>
  <c r="Z1379" i="57"/>
  <c r="AA1379" i="57" s="1"/>
  <c r="AG1378" i="57"/>
  <c r="AJ1378" i="57"/>
  <c r="X1378" i="57"/>
  <c r="V1378" i="57" l="1"/>
  <c r="AI1378" i="57"/>
  <c r="Z1378" i="57"/>
  <c r="AA1378" i="57" s="1"/>
  <c r="AG1377" i="57" l="1"/>
  <c r="AJ1377" i="57"/>
  <c r="X1377" i="57"/>
  <c r="V1377" i="57" l="1"/>
  <c r="AI1377" i="57"/>
  <c r="Z1377" i="57"/>
  <c r="AA1377" i="57" s="1"/>
  <c r="AG1376" i="57"/>
  <c r="X1376" i="57"/>
  <c r="AJ1376" i="57"/>
  <c r="V1376" i="57" l="1"/>
  <c r="AI1376" i="57"/>
  <c r="Z1376" i="57"/>
  <c r="AA1376" i="57" s="1"/>
  <c r="AG1375" i="57"/>
  <c r="X1375" i="57"/>
  <c r="AJ1375" i="57"/>
  <c r="V1375" i="57" l="1"/>
  <c r="AI1375" i="57"/>
  <c r="Z1375" i="57"/>
  <c r="AA1375" i="57" s="1"/>
  <c r="AG1374" i="57"/>
  <c r="X1374" i="57"/>
  <c r="AJ1374" i="57"/>
  <c r="V1374" i="57" l="1"/>
  <c r="AI1374" i="57"/>
  <c r="Z1374" i="57"/>
  <c r="AA1374" i="57" s="1"/>
  <c r="AG1373" i="57"/>
  <c r="X1373" i="57"/>
  <c r="AJ1373" i="57"/>
  <c r="V1373" i="57" l="1"/>
  <c r="AI1373" i="57"/>
  <c r="Z1373" i="57"/>
  <c r="AA1373" i="57" s="1"/>
  <c r="AG1372" i="57"/>
  <c r="AJ1372" i="57"/>
  <c r="X1372" i="57"/>
  <c r="V1372" i="57" l="1"/>
  <c r="AI1372" i="57"/>
  <c r="Z1372" i="57"/>
  <c r="AA1372" i="57" s="1"/>
  <c r="AG1371" i="57"/>
  <c r="X1371" i="57"/>
  <c r="AJ1371" i="57"/>
  <c r="V1371" i="57" l="1"/>
  <c r="AI1371" i="57"/>
  <c r="Z1371" i="57"/>
  <c r="AA1371" i="57" s="1"/>
  <c r="AG1370" i="57"/>
  <c r="X1370" i="57"/>
  <c r="AJ1370" i="57"/>
  <c r="V1370" i="57" l="1"/>
  <c r="AI1370" i="57"/>
  <c r="Z1370" i="57"/>
  <c r="AA1370" i="57" s="1"/>
  <c r="AG1369" i="57"/>
  <c r="X1369" i="57"/>
  <c r="AJ1369" i="57"/>
  <c r="V1369" i="57" l="1"/>
  <c r="AI1369" i="57"/>
  <c r="Z1369" i="57"/>
  <c r="AA1369" i="57" s="1"/>
  <c r="AG1368" i="57"/>
  <c r="X1368" i="57"/>
  <c r="AJ1368" i="57"/>
  <c r="V1368" i="57" l="1"/>
  <c r="AI1368" i="57"/>
  <c r="Z1368" i="57"/>
  <c r="AA1368" i="57" s="1"/>
  <c r="AG1367" i="57"/>
  <c r="X1367" i="57"/>
  <c r="AJ1367" i="57"/>
  <c r="V1367" i="57" l="1"/>
  <c r="AI1367" i="57"/>
  <c r="Z1367" i="57"/>
  <c r="AA1367" i="57" s="1"/>
  <c r="AG1366" i="57"/>
  <c r="X1366" i="57"/>
  <c r="AJ1366" i="57"/>
  <c r="V1366" i="57" l="1"/>
  <c r="AI1366" i="57"/>
  <c r="Z1366" i="57"/>
  <c r="AA1366" i="57" s="1"/>
  <c r="AG1365" i="57"/>
  <c r="X1365" i="57"/>
  <c r="AJ1365" i="57"/>
  <c r="V1365" i="57" l="1"/>
  <c r="AI1365" i="57"/>
  <c r="Z1365" i="57"/>
  <c r="AA1365" i="57" s="1"/>
  <c r="AG1361" i="57" l="1"/>
  <c r="X1361" i="57"/>
  <c r="AJ1361" i="57"/>
  <c r="V1361" i="57" l="1"/>
  <c r="AI1361" i="57"/>
  <c r="Z1361" i="57"/>
  <c r="AA1361" i="57" s="1"/>
  <c r="AG1359" i="57" l="1"/>
  <c r="AJ1359" i="57"/>
  <c r="X1359" i="57"/>
  <c r="V1359" i="57" l="1"/>
  <c r="AI1359" i="57"/>
  <c r="Z1359" i="57"/>
  <c r="AA1359" i="57" s="1"/>
  <c r="AG1358" i="57"/>
  <c r="AJ1358" i="57"/>
  <c r="X1358" i="57"/>
  <c r="V1358" i="57" l="1"/>
  <c r="AI1358" i="57"/>
  <c r="Z1358" i="57"/>
  <c r="AA1358" i="57" s="1"/>
  <c r="AG1356" i="57"/>
  <c r="X1356" i="57"/>
  <c r="AJ1356" i="57"/>
  <c r="V1356" i="57" l="1"/>
  <c r="AI1356" i="57"/>
  <c r="Z1356" i="57"/>
  <c r="AA1356" i="57" s="1"/>
  <c r="AG1354" i="57" l="1"/>
  <c r="AJ1354" i="57"/>
  <c r="X1354" i="57"/>
  <c r="V1354" i="57" l="1"/>
  <c r="AI1354" i="57"/>
  <c r="Z1354" i="57"/>
  <c r="AA1354" i="57" s="1"/>
  <c r="AG1353" i="57"/>
  <c r="X1353" i="57"/>
  <c r="AJ1353" i="57"/>
  <c r="V1353" i="57" l="1"/>
  <c r="AI1353" i="57"/>
  <c r="Z1353" i="57"/>
  <c r="AA1353" i="57" s="1"/>
  <c r="AG1352" i="57"/>
  <c r="X1352" i="57"/>
  <c r="AJ1352" i="57"/>
  <c r="V1352" i="57" l="1"/>
  <c r="AI1352" i="57"/>
  <c r="Z1352" i="57"/>
  <c r="AA1352" i="57" s="1"/>
  <c r="AG1351" i="57"/>
  <c r="AJ1351" i="57"/>
  <c r="X1351" i="57"/>
  <c r="V1351" i="57" l="1"/>
  <c r="AI1351" i="57"/>
  <c r="Z1351" i="57"/>
  <c r="AA1351" i="57" s="1"/>
  <c r="AG1350" i="57"/>
  <c r="AJ1350" i="57"/>
  <c r="X1350" i="57"/>
  <c r="V1350" i="57" l="1"/>
  <c r="AI1350" i="57"/>
  <c r="Z1350" i="57"/>
  <c r="AA1350" i="57" s="1"/>
  <c r="AG1349" i="57"/>
  <c r="AJ1349" i="57"/>
  <c r="X1349" i="57"/>
  <c r="V1349" i="57" l="1"/>
  <c r="AI1349" i="57"/>
  <c r="Z1349" i="57"/>
  <c r="AA1349" i="57" s="1"/>
  <c r="AG1348" i="57"/>
  <c r="X1348" i="57"/>
  <c r="AJ1348" i="57"/>
  <c r="V1348" i="57" l="1"/>
  <c r="AI1348" i="57"/>
  <c r="Z1348" i="57"/>
  <c r="AA1348" i="57" s="1"/>
  <c r="AG1346" i="57"/>
  <c r="X1346" i="57"/>
  <c r="AJ1346" i="57"/>
  <c r="V1346" i="57" l="1"/>
  <c r="AI1346" i="57"/>
  <c r="Z1346" i="57"/>
  <c r="AA1346" i="57" s="1"/>
  <c r="AG1344" i="57" l="1"/>
  <c r="AJ1344" i="57"/>
  <c r="X1344" i="57"/>
  <c r="V1344" i="57" l="1"/>
  <c r="AI1344" i="57"/>
  <c r="Z1344" i="57"/>
  <c r="AA1344" i="57" s="1"/>
  <c r="AG1343" i="57"/>
  <c r="X1343" i="57"/>
  <c r="AJ1343" i="57"/>
  <c r="V1343" i="57" l="1"/>
  <c r="AI1343" i="57"/>
  <c r="Z1343" i="57"/>
  <c r="AA1343" i="57" s="1"/>
  <c r="AG1342" i="57"/>
  <c r="AJ1342" i="57"/>
  <c r="X1342" i="57"/>
  <c r="V1342" i="57" l="1"/>
  <c r="AI1342" i="57"/>
  <c r="Z1342" i="57"/>
  <c r="AA1342" i="57" s="1"/>
  <c r="AG1341" i="57"/>
  <c r="AJ1341" i="57"/>
  <c r="X1341" i="57"/>
  <c r="V1341" i="57" l="1"/>
  <c r="AI1341" i="57"/>
  <c r="Z1341" i="57"/>
  <c r="AA1341" i="57" s="1"/>
  <c r="AG1340" i="57"/>
  <c r="AJ1340" i="57"/>
  <c r="X1340" i="57"/>
  <c r="V1340" i="57" l="1"/>
  <c r="AI1340" i="57"/>
  <c r="Z1340" i="57"/>
  <c r="AA1340" i="57" s="1"/>
  <c r="AG1338" i="57" l="1"/>
  <c r="X1338" i="57"/>
  <c r="AJ1338" i="57"/>
  <c r="V1338" i="57" l="1"/>
  <c r="AI1338" i="57"/>
  <c r="Z1338" i="57"/>
  <c r="AA1338" i="57" s="1"/>
  <c r="AG1337" i="57"/>
  <c r="X1337" i="57"/>
  <c r="AJ1337" i="57"/>
  <c r="V1337" i="57" l="1"/>
  <c r="AI1337" i="57"/>
  <c r="Z1337" i="57"/>
  <c r="AA1337" i="57" s="1"/>
  <c r="AG1336" i="57"/>
  <c r="X1336" i="57"/>
  <c r="AJ1336" i="57"/>
  <c r="V1336" i="57" l="1"/>
  <c r="AI1336" i="57"/>
  <c r="Z1336" i="57"/>
  <c r="AA1336" i="57" s="1"/>
  <c r="AG1335" i="57"/>
  <c r="AJ1335" i="57"/>
  <c r="X1335" i="57"/>
  <c r="V1335" i="57" l="1"/>
  <c r="AI1335" i="57"/>
  <c r="Z1335" i="57"/>
  <c r="AA1335" i="57" s="1"/>
  <c r="AG1334" i="57"/>
  <c r="AJ1334" i="57"/>
  <c r="X1334" i="57"/>
  <c r="V1334" i="57" l="1"/>
  <c r="AI1334" i="57"/>
  <c r="Z1334" i="57"/>
  <c r="AA1334" i="57" s="1"/>
  <c r="AG1333" i="57"/>
  <c r="AJ1333" i="57"/>
  <c r="X1333" i="57"/>
  <c r="V1333" i="57" l="1"/>
  <c r="AI1333" i="57"/>
  <c r="Z1333" i="57"/>
  <c r="AA1333" i="57" s="1"/>
  <c r="AG1332" i="57"/>
  <c r="AJ1332" i="57"/>
  <c r="X1332" i="57"/>
  <c r="V1332" i="57" l="1"/>
  <c r="AI1332" i="57"/>
  <c r="Z1332" i="57"/>
  <c r="AA1332" i="57" s="1"/>
  <c r="AG1331" i="57"/>
  <c r="X1331" i="57"/>
  <c r="AJ1331" i="57"/>
  <c r="V1331" i="57" l="1"/>
  <c r="AI1331" i="57"/>
  <c r="Z1331" i="57"/>
  <c r="AA1331" i="57" s="1"/>
  <c r="AG1330" i="57"/>
  <c r="AJ1330" i="57"/>
  <c r="X1330" i="57"/>
  <c r="V1330" i="57" l="1"/>
  <c r="AI1330" i="57"/>
  <c r="Z1330" i="57"/>
  <c r="AA1330" i="57" s="1"/>
  <c r="AG1329" i="57"/>
  <c r="X1329" i="57"/>
  <c r="AJ1329" i="57"/>
  <c r="V1329" i="57" l="1"/>
  <c r="AI1329" i="57"/>
  <c r="Z1329" i="57"/>
  <c r="AA1329" i="57" s="1"/>
  <c r="AG1328" i="57"/>
  <c r="AJ1328" i="57"/>
  <c r="X1328" i="57"/>
  <c r="V1328" i="57" l="1"/>
  <c r="AI1328" i="57"/>
  <c r="Z1328" i="57"/>
  <c r="AA1328" i="57" s="1"/>
  <c r="AG1327" i="57"/>
  <c r="X1327" i="57"/>
  <c r="AJ1327" i="57"/>
  <c r="V1327" i="57" l="1"/>
  <c r="AI1327" i="57"/>
  <c r="Z1327" i="57"/>
  <c r="AA1327" i="57" s="1"/>
  <c r="AG1326" i="57"/>
  <c r="X1326" i="57"/>
  <c r="AJ1326" i="57"/>
  <c r="V1326" i="57" l="1"/>
  <c r="AI1326" i="57"/>
  <c r="Z1326" i="57"/>
  <c r="AA1326" i="57" s="1"/>
  <c r="AG1324" i="57" l="1"/>
  <c r="AJ1324" i="57"/>
  <c r="X1324" i="57"/>
  <c r="V1324" i="57" l="1"/>
  <c r="AI1324" i="57"/>
  <c r="Z1324" i="57"/>
  <c r="AA1324" i="57" s="1"/>
  <c r="AG1323" i="57"/>
  <c r="X1323" i="57"/>
  <c r="AJ1323" i="57"/>
  <c r="V1323" i="57" l="1"/>
  <c r="AI1323" i="57"/>
  <c r="Z1323" i="57"/>
  <c r="AA1323" i="57" s="1"/>
  <c r="AG1322" i="57"/>
  <c r="X1322" i="57"/>
  <c r="AJ1322" i="57"/>
  <c r="V1322" i="57" l="1"/>
  <c r="AI1322" i="57"/>
  <c r="Z1322" i="57"/>
  <c r="AA1322" i="57" s="1"/>
  <c r="AG1321" i="57"/>
  <c r="X1321" i="57"/>
  <c r="AJ1321" i="57"/>
  <c r="V1321" i="57" l="1"/>
  <c r="AI1321" i="57"/>
  <c r="Z1321" i="57"/>
  <c r="AA1321" i="57" s="1"/>
  <c r="AG1320" i="57"/>
  <c r="AJ1320" i="57"/>
  <c r="X1320" i="57"/>
  <c r="V1320" i="57" l="1"/>
  <c r="AI1320" i="57"/>
  <c r="Z1320" i="57"/>
  <c r="AA1320" i="57" s="1"/>
  <c r="AG1319" i="57"/>
  <c r="AJ1319" i="57"/>
  <c r="X1319" i="57"/>
  <c r="V1319" i="57" l="1"/>
  <c r="AI1319" i="57"/>
  <c r="Z1319" i="57"/>
  <c r="AA1319" i="57" s="1"/>
  <c r="AG1318" i="57"/>
  <c r="X1318" i="57"/>
  <c r="AJ1318" i="57"/>
  <c r="V1318" i="57" l="1"/>
  <c r="AI1318" i="57"/>
  <c r="Z1318" i="57"/>
  <c r="AA1318" i="57" s="1"/>
  <c r="AG1317" i="57"/>
  <c r="X1317" i="57"/>
  <c r="AJ1317" i="57"/>
  <c r="V1317" i="57" l="1"/>
  <c r="AI1317" i="57"/>
  <c r="Z1317" i="57"/>
  <c r="AA1317" i="57" s="1"/>
  <c r="AG1316" i="57"/>
  <c r="AJ1316" i="57"/>
  <c r="X1316" i="57"/>
  <c r="V1316" i="57" l="1"/>
  <c r="AI1316" i="57"/>
  <c r="Z1316" i="57"/>
  <c r="AA1316" i="57" s="1"/>
  <c r="AG1315" i="57"/>
  <c r="X1315" i="57"/>
  <c r="AJ1315" i="57"/>
  <c r="V1315" i="57" l="1"/>
  <c r="AI1315" i="57"/>
  <c r="Z1315" i="57"/>
  <c r="AA1315" i="57" s="1"/>
  <c r="AG1314" i="57"/>
  <c r="X1314" i="57"/>
  <c r="AJ1314" i="57"/>
  <c r="V1314" i="57" l="1"/>
  <c r="AI1314" i="57"/>
  <c r="Z1314" i="57"/>
  <c r="AA1314" i="57" s="1"/>
  <c r="AG1313" i="57"/>
  <c r="X1313" i="57"/>
  <c r="AJ1313" i="57"/>
  <c r="V1313" i="57" l="1"/>
  <c r="AI1313" i="57"/>
  <c r="Z1313" i="57"/>
  <c r="AA1313" i="57" s="1"/>
  <c r="AG1312" i="57"/>
  <c r="X1312" i="57"/>
  <c r="AJ1312" i="57"/>
  <c r="V1312" i="57" l="1"/>
  <c r="AI1312" i="57"/>
  <c r="Z1312" i="57"/>
  <c r="AA1312" i="57" s="1"/>
  <c r="AG1311" i="57"/>
  <c r="X1311" i="57"/>
  <c r="AJ1311" i="57"/>
  <c r="V1311" i="57" l="1"/>
  <c r="AI1311" i="57"/>
  <c r="Z1311" i="57"/>
  <c r="AA1311" i="57" s="1"/>
  <c r="AG1310" i="57"/>
  <c r="AJ1310" i="57"/>
  <c r="X1310" i="57"/>
  <c r="V1310" i="57" l="1"/>
  <c r="AI1310" i="57"/>
  <c r="Z1310" i="57"/>
  <c r="AA1310" i="57" s="1"/>
  <c r="AG1309" i="57"/>
  <c r="AJ1309" i="57"/>
  <c r="X1309" i="57"/>
  <c r="V1309" i="57" l="1"/>
  <c r="AI1309" i="57"/>
  <c r="Z1309" i="57"/>
  <c r="AA1309" i="57" s="1"/>
  <c r="AG1308" i="57"/>
  <c r="X1308" i="57"/>
  <c r="AJ1308" i="57"/>
  <c r="V1308" i="57" l="1"/>
  <c r="AI1308" i="57"/>
  <c r="Z1308" i="57"/>
  <c r="AA1308" i="57" s="1"/>
  <c r="AG1304" i="57" l="1"/>
  <c r="X1304" i="57"/>
  <c r="AJ1304" i="57"/>
  <c r="V1304" i="57" l="1"/>
  <c r="AI1304" i="57"/>
  <c r="Z1304" i="57"/>
  <c r="AA1304" i="57" s="1"/>
  <c r="AG1303" i="57"/>
  <c r="AJ1303" i="57"/>
  <c r="X1303" i="57"/>
  <c r="V1303" i="57" l="1"/>
  <c r="AI1303" i="57"/>
  <c r="Z1303" i="57"/>
  <c r="AA1303" i="57" s="1"/>
  <c r="AG1302" i="57"/>
  <c r="X1302" i="57"/>
  <c r="AJ1302" i="57"/>
  <c r="V1302" i="57" l="1"/>
  <c r="AI1302" i="57"/>
  <c r="Z1302" i="57"/>
  <c r="AA1302" i="57" s="1"/>
  <c r="AG1301" i="57"/>
  <c r="X1301" i="57"/>
  <c r="AJ1301" i="57"/>
  <c r="V1301" i="57" l="1"/>
  <c r="AI1301" i="57"/>
  <c r="Z1301" i="57"/>
  <c r="AA1301" i="57" s="1"/>
  <c r="AG1299" i="57" l="1"/>
  <c r="X1299" i="57"/>
  <c r="AJ1299" i="57"/>
  <c r="V1299" i="57" l="1"/>
  <c r="AI1299" i="57"/>
  <c r="Z1299" i="57"/>
  <c r="AA1299" i="57" s="1"/>
  <c r="AG1298" i="57"/>
  <c r="X1298" i="57"/>
  <c r="AJ1298" i="57"/>
  <c r="V1298" i="57" l="1"/>
  <c r="AI1298" i="57"/>
  <c r="Z1298" i="57"/>
  <c r="AA1298" i="57" s="1"/>
  <c r="AG1297" i="57"/>
  <c r="X1297" i="57"/>
  <c r="AJ1297" i="57"/>
  <c r="V1297" i="57" l="1"/>
  <c r="AI1297" i="57"/>
  <c r="Z1297" i="57"/>
  <c r="AA1297" i="57" s="1"/>
  <c r="AG1296" i="57"/>
  <c r="X1296" i="57"/>
  <c r="AJ1296" i="57"/>
  <c r="V1296" i="57" l="1"/>
  <c r="AI1296" i="57"/>
  <c r="Z1296" i="57"/>
  <c r="AA1296" i="57" s="1"/>
  <c r="AG1295" i="57"/>
  <c r="AJ1295" i="57"/>
  <c r="X1295" i="57"/>
  <c r="V1295" i="57" l="1"/>
  <c r="AI1295" i="57"/>
  <c r="Z1295" i="57"/>
  <c r="AA1295" i="57" s="1"/>
  <c r="AG1294" i="57"/>
  <c r="AJ1294" i="57"/>
  <c r="X1294" i="57"/>
  <c r="V1294" i="57" l="1"/>
  <c r="AI1294" i="57"/>
  <c r="Z1294" i="57"/>
  <c r="AA1294" i="57" s="1"/>
  <c r="AG1293" i="57"/>
  <c r="X1293" i="57"/>
  <c r="AJ1293" i="57"/>
  <c r="V1293" i="57" l="1"/>
  <c r="AI1293" i="57"/>
  <c r="Z1293" i="57"/>
  <c r="AA1293" i="57" s="1"/>
  <c r="AG1291" i="57" l="1"/>
  <c r="X1291" i="57"/>
  <c r="AJ1291" i="57"/>
  <c r="V1291" i="57" l="1"/>
  <c r="AI1291" i="57"/>
  <c r="Z1291" i="57"/>
  <c r="AA1291" i="57" s="1"/>
  <c r="AG1290" i="57"/>
  <c r="AJ1290" i="57"/>
  <c r="X1290" i="57"/>
  <c r="V1290" i="57" l="1"/>
  <c r="AI1290" i="57"/>
  <c r="Z1290" i="57"/>
  <c r="AA1290" i="57" s="1"/>
  <c r="AG1289" i="57"/>
  <c r="X1289" i="57"/>
  <c r="AJ1289" i="57"/>
  <c r="V1289" i="57" l="1"/>
  <c r="AI1289" i="57"/>
  <c r="Z1289" i="57"/>
  <c r="AA1289" i="57" s="1"/>
  <c r="AG1288" i="57"/>
  <c r="AJ1288" i="57"/>
  <c r="X1288" i="57"/>
  <c r="V1288" i="57" l="1"/>
  <c r="AI1288" i="57"/>
  <c r="Z1288" i="57"/>
  <c r="AA1288" i="57" s="1"/>
  <c r="AG1287" i="57"/>
  <c r="X1287" i="57"/>
  <c r="AJ1287" i="57"/>
  <c r="V1287" i="57" l="1"/>
  <c r="AI1287" i="57"/>
  <c r="Z1287" i="57"/>
  <c r="AA1287" i="57" s="1"/>
  <c r="AG1286" i="57"/>
  <c r="X1286" i="57"/>
  <c r="AJ1286" i="57"/>
  <c r="V1286" i="57" l="1"/>
  <c r="AI1286" i="57"/>
  <c r="Z1286" i="57"/>
  <c r="AA1286" i="57" s="1"/>
  <c r="AG1285" i="57"/>
  <c r="X1285" i="57"/>
  <c r="AJ1285" i="57"/>
  <c r="V1285" i="57" l="1"/>
  <c r="AI1285" i="57"/>
  <c r="Z1285" i="57"/>
  <c r="AA1285" i="57" s="1"/>
  <c r="AG1284" i="57"/>
  <c r="X1284" i="57"/>
  <c r="AJ1284" i="57"/>
  <c r="V1284" i="57" l="1"/>
  <c r="AI1284" i="57"/>
  <c r="Z1284" i="57"/>
  <c r="AA1284" i="57" s="1"/>
  <c r="AG1283" i="57"/>
  <c r="X1283" i="57"/>
  <c r="AJ1283" i="57"/>
  <c r="V1283" i="57" l="1"/>
  <c r="AI1283" i="57"/>
  <c r="Z1283" i="57"/>
  <c r="AA1283" i="57" s="1"/>
  <c r="AG1281" i="57" l="1"/>
  <c r="X1281" i="57"/>
  <c r="AJ1281" i="57"/>
  <c r="V1281" i="57" l="1"/>
  <c r="AI1281" i="57"/>
  <c r="Z1281" i="57"/>
  <c r="AA1281" i="57" s="1"/>
  <c r="AG1280" i="57"/>
  <c r="X1280" i="57"/>
  <c r="AJ1280" i="57"/>
  <c r="V1280" i="57" l="1"/>
  <c r="AI1280" i="57"/>
  <c r="Z1280" i="57"/>
  <c r="AA1280" i="57" s="1"/>
  <c r="AG1279" i="57"/>
  <c r="X1279" i="57"/>
  <c r="AJ1279" i="57"/>
  <c r="V1279" i="57" l="1"/>
  <c r="AI1279" i="57"/>
  <c r="Z1279" i="57"/>
  <c r="AA1279" i="57" s="1"/>
  <c r="AG1278" i="57"/>
  <c r="X1278" i="57"/>
  <c r="AJ1278" i="57"/>
  <c r="V1278" i="57" l="1"/>
  <c r="AI1278" i="57"/>
  <c r="Z1278" i="57"/>
  <c r="AA1278" i="57" s="1"/>
  <c r="AG1277" i="57"/>
  <c r="X1277" i="57"/>
  <c r="AJ1277" i="57"/>
  <c r="V1277" i="57" l="1"/>
  <c r="AI1277" i="57"/>
  <c r="Z1277" i="57"/>
  <c r="AA1277" i="57" s="1"/>
  <c r="AG1276" i="57"/>
  <c r="X1276" i="57"/>
  <c r="AJ1276" i="57"/>
  <c r="V1276" i="57" l="1"/>
  <c r="AI1276" i="57"/>
  <c r="Z1276" i="57"/>
  <c r="AA1276" i="57" s="1"/>
  <c r="AG1275" i="57"/>
  <c r="X1275" i="57"/>
  <c r="AJ1275" i="57"/>
  <c r="V1275" i="57" l="1"/>
  <c r="AI1275" i="57"/>
  <c r="Z1275" i="57"/>
  <c r="AA1275" i="57" s="1"/>
  <c r="AG1274" i="57"/>
  <c r="X1274" i="57"/>
  <c r="AJ1274" i="57"/>
  <c r="V1274" i="57" l="1"/>
  <c r="AI1274" i="57"/>
  <c r="Z1274" i="57"/>
  <c r="AA1274" i="57" s="1"/>
  <c r="AG1273" i="57"/>
  <c r="X1273" i="57"/>
  <c r="AJ1273" i="57"/>
  <c r="V1273" i="57" l="1"/>
  <c r="AI1273" i="57"/>
  <c r="Z1273" i="57"/>
  <c r="AA1273" i="57" s="1"/>
  <c r="AG1272" i="57"/>
  <c r="X1272" i="57"/>
  <c r="AJ1272" i="57"/>
  <c r="V1272" i="57" l="1"/>
  <c r="AI1272" i="57"/>
  <c r="Z1272" i="57"/>
  <c r="AA1272" i="57" s="1"/>
  <c r="AG1271" i="57"/>
  <c r="AJ1271" i="57"/>
  <c r="X1271" i="57"/>
  <c r="V1271" i="57" l="1"/>
  <c r="AI1271" i="57"/>
  <c r="Z1271" i="57"/>
  <c r="AA1271" i="57" s="1"/>
  <c r="AG1270" i="57"/>
  <c r="X1270" i="57"/>
  <c r="AJ1270" i="57"/>
  <c r="V1270" i="57" l="1"/>
  <c r="AI1270" i="57"/>
  <c r="Z1270" i="57"/>
  <c r="AA1270" i="57" s="1"/>
  <c r="AG1269" i="57"/>
  <c r="AJ1269" i="57"/>
  <c r="X1269" i="57"/>
  <c r="V1269" i="57" l="1"/>
  <c r="AI1269" i="57"/>
  <c r="Z1269" i="57"/>
  <c r="AA1269" i="57" s="1"/>
  <c r="AG1268" i="57"/>
  <c r="X1268" i="57"/>
  <c r="AJ1268" i="57"/>
  <c r="V1268" i="57" l="1"/>
  <c r="AI1268" i="57"/>
  <c r="Z1268" i="57"/>
  <c r="AA1268" i="57" s="1"/>
  <c r="AG1267" i="57"/>
  <c r="X1267" i="57"/>
  <c r="AJ1267" i="57"/>
  <c r="V1267" i="57" l="1"/>
  <c r="AI1267" i="57"/>
  <c r="Z1267" i="57"/>
  <c r="AA1267" i="57" s="1"/>
  <c r="AG1266" i="57"/>
  <c r="X1266" i="57"/>
  <c r="AJ1266" i="57"/>
  <c r="V1266" i="57" l="1"/>
  <c r="AI1266" i="57"/>
  <c r="Z1266" i="57"/>
  <c r="AA1266" i="57" s="1"/>
  <c r="AG1263" i="57"/>
  <c r="X1263" i="57"/>
  <c r="AJ1263" i="57"/>
  <c r="V1263" i="57" l="1"/>
  <c r="AI1263" i="57"/>
  <c r="Z1263" i="57"/>
  <c r="AA1263" i="57" s="1"/>
  <c r="AG1262" i="57"/>
  <c r="AJ1262" i="57"/>
  <c r="X1262" i="57"/>
  <c r="V1262" i="57" l="1"/>
  <c r="AI1262" i="57"/>
  <c r="Z1262" i="57"/>
  <c r="AA1262" i="57" s="1"/>
  <c r="AG1261" i="57"/>
  <c r="X1261" i="57"/>
  <c r="AJ1261" i="57"/>
  <c r="V1261" i="57" l="1"/>
  <c r="AI1261" i="57"/>
  <c r="Z1261" i="57"/>
  <c r="AA1261" i="57" s="1"/>
  <c r="AG1260" i="57"/>
  <c r="X1260" i="57"/>
  <c r="AJ1260" i="57"/>
  <c r="V1260" i="57" l="1"/>
  <c r="AI1260" i="57"/>
  <c r="Z1260" i="57"/>
  <c r="AA1260" i="57" s="1"/>
  <c r="AG1259" i="57"/>
  <c r="X1259" i="57"/>
  <c r="AJ1259" i="57"/>
  <c r="V1259" i="57" l="1"/>
  <c r="AI1259" i="57"/>
  <c r="Z1259" i="57"/>
  <c r="AA1259" i="57" s="1"/>
  <c r="AG1258" i="57"/>
  <c r="AJ1258" i="57"/>
  <c r="X1258" i="57"/>
  <c r="V1258" i="57" l="1"/>
  <c r="AI1258" i="57"/>
  <c r="Z1258" i="57"/>
  <c r="AA1258" i="57" s="1"/>
  <c r="AG1257" i="57"/>
  <c r="X1257" i="57"/>
  <c r="AJ1257" i="57"/>
  <c r="V1257" i="57" l="1"/>
  <c r="AI1257" i="57"/>
  <c r="Z1257" i="57"/>
  <c r="AA1257" i="57" s="1"/>
  <c r="AG1256" i="57"/>
  <c r="X1256" i="57"/>
  <c r="AJ1256" i="57"/>
  <c r="V1256" i="57" l="1"/>
  <c r="AI1256" i="57"/>
  <c r="Z1256" i="57"/>
  <c r="AA1256" i="57" s="1"/>
  <c r="AG1255" i="57"/>
  <c r="AJ1255" i="57"/>
  <c r="X1255" i="57"/>
  <c r="V1255" i="57" l="1"/>
  <c r="AI1255" i="57"/>
  <c r="Z1255" i="57"/>
  <c r="AA1255" i="57" s="1"/>
  <c r="AG1254" i="57"/>
  <c r="X1254" i="57"/>
  <c r="AJ1254" i="57"/>
  <c r="V1254" i="57" l="1"/>
  <c r="AI1254" i="57"/>
  <c r="Z1254" i="57"/>
  <c r="AA1254" i="57" s="1"/>
  <c r="AG1253" i="57"/>
  <c r="X1253" i="57"/>
  <c r="AJ1253" i="57"/>
  <c r="V1253" i="57" l="1"/>
  <c r="AI1253" i="57"/>
  <c r="Z1253" i="57"/>
  <c r="AA1253" i="57" s="1"/>
  <c r="AG1252" i="57"/>
  <c r="AJ1252" i="57"/>
  <c r="X1252" i="57"/>
  <c r="V1252" i="57" l="1"/>
  <c r="AI1252" i="57"/>
  <c r="Z1252" i="57"/>
  <c r="AA1252" i="57" s="1"/>
  <c r="AG1251" i="57"/>
  <c r="X1251" i="57"/>
  <c r="AJ1251" i="57"/>
  <c r="V1251" i="57" l="1"/>
  <c r="AI1251" i="57"/>
  <c r="Z1251" i="57"/>
  <c r="AA1251" i="57" s="1"/>
  <c r="AG1250" i="57"/>
  <c r="X1250" i="57"/>
  <c r="AJ1250" i="57"/>
  <c r="V1250" i="57" l="1"/>
  <c r="AI1250" i="57"/>
  <c r="Z1250" i="57"/>
  <c r="AA1250" i="57" s="1"/>
  <c r="AG1249" i="57"/>
  <c r="AJ1249" i="57"/>
  <c r="X1249" i="57"/>
  <c r="V1249" i="57" l="1"/>
  <c r="AI1249" i="57"/>
  <c r="Z1249" i="57"/>
  <c r="AA1249" i="57" s="1"/>
  <c r="AG1248" i="57"/>
  <c r="X1248" i="57"/>
  <c r="AJ1248" i="57"/>
  <c r="V1248" i="57" l="1"/>
  <c r="AI1248" i="57"/>
  <c r="Z1248" i="57"/>
  <c r="AA1248" i="57" s="1"/>
  <c r="AG1247" i="57"/>
  <c r="X1247" i="57"/>
  <c r="AJ1247" i="57"/>
  <c r="V1247" i="57" l="1"/>
  <c r="AI1247" i="57"/>
  <c r="Z1247" i="57"/>
  <c r="AA1247" i="57" s="1"/>
  <c r="AG1246" i="57"/>
  <c r="X1246" i="57"/>
  <c r="AJ1246" i="57"/>
  <c r="V1246" i="57" l="1"/>
  <c r="AI1246" i="57"/>
  <c r="Z1246" i="57"/>
  <c r="AA1246" i="57" s="1"/>
  <c r="AG1245" i="57"/>
  <c r="X1245" i="57"/>
  <c r="AJ1245" i="57"/>
  <c r="V1245" i="57" l="1"/>
  <c r="AI1245" i="57"/>
  <c r="Z1245" i="57"/>
  <c r="AA1245" i="57" s="1"/>
  <c r="AG1244" i="57"/>
  <c r="AJ1244" i="57"/>
  <c r="X1244" i="57"/>
  <c r="V1244" i="57" l="1"/>
  <c r="AI1244" i="57"/>
  <c r="Z1244" i="57"/>
  <c r="AA1244" i="57" s="1"/>
  <c r="AG1243" i="57"/>
  <c r="AJ1243" i="57"/>
  <c r="X1243" i="57"/>
  <c r="V1243" i="57" l="1"/>
  <c r="AI1243" i="57"/>
  <c r="Z1243" i="57"/>
  <c r="AA1243" i="57" s="1"/>
  <c r="AG1242" i="57"/>
  <c r="X1242" i="57"/>
  <c r="AJ1242" i="57"/>
  <c r="V1242" i="57" l="1"/>
  <c r="AI1242" i="57"/>
  <c r="Z1242" i="57"/>
  <c r="AA1242" i="57" s="1"/>
  <c r="AG1241" i="57"/>
  <c r="X1241" i="57"/>
  <c r="AJ1241" i="57"/>
  <c r="V1241" i="57" l="1"/>
  <c r="AI1241" i="57"/>
  <c r="Z1241" i="57"/>
  <c r="AA1241" i="57" s="1"/>
  <c r="AG1239" i="57" l="1"/>
  <c r="X1239" i="57"/>
  <c r="AJ1239" i="57"/>
  <c r="V1239" i="57" l="1"/>
  <c r="AI1239" i="57"/>
  <c r="Z1239" i="57"/>
  <c r="AA1239" i="57" s="1"/>
  <c r="AG1238" i="57"/>
  <c r="X1238" i="57"/>
  <c r="AJ1238" i="57"/>
  <c r="V1238" i="57" l="1"/>
  <c r="AI1238" i="57"/>
  <c r="Z1238" i="57"/>
  <c r="AA1238" i="57" s="1"/>
  <c r="AG1237" i="57"/>
  <c r="AJ1237" i="57"/>
  <c r="X1237" i="57"/>
  <c r="V1237" i="57" l="1"/>
  <c r="AI1237" i="57"/>
  <c r="Z1237" i="57"/>
  <c r="AA1237" i="57" s="1"/>
  <c r="AG1236" i="57"/>
  <c r="AJ1236" i="57"/>
  <c r="X1236" i="57"/>
  <c r="V1236" i="57" l="1"/>
  <c r="AI1236" i="57"/>
  <c r="Z1236" i="57"/>
  <c r="AA1236" i="57" s="1"/>
  <c r="AG1234" i="57" l="1"/>
  <c r="X1234" i="57"/>
  <c r="AJ1234" i="57"/>
  <c r="V1234" i="57" l="1"/>
  <c r="AI1234" i="57"/>
  <c r="Z1234" i="57"/>
  <c r="AA1234" i="57" s="1"/>
  <c r="AG1233" i="57"/>
  <c r="X1233" i="57"/>
  <c r="AJ1233" i="57"/>
  <c r="V1233" i="57" l="1"/>
  <c r="AI1233" i="57"/>
  <c r="Z1233" i="57"/>
  <c r="AA1233" i="57" s="1"/>
  <c r="AG1232" i="57"/>
  <c r="X1232" i="57"/>
  <c r="AJ1232" i="57"/>
  <c r="V1232" i="57" l="1"/>
  <c r="AI1232" i="57"/>
  <c r="Z1232" i="57"/>
  <c r="AA1232" i="57" s="1"/>
  <c r="AG1231" i="57"/>
  <c r="X1231" i="57"/>
  <c r="AJ1231" i="57"/>
  <c r="V1231" i="57" l="1"/>
  <c r="AI1231" i="57"/>
  <c r="Z1231" i="57"/>
  <c r="AA1231" i="57" s="1"/>
  <c r="AG1230" i="57"/>
  <c r="X1230" i="57"/>
  <c r="AJ1230" i="57"/>
  <c r="V1230" i="57" l="1"/>
  <c r="AI1230" i="57"/>
  <c r="Z1230" i="57"/>
  <c r="AA1230" i="57" s="1"/>
  <c r="AG1229" i="57"/>
  <c r="X1229" i="57"/>
  <c r="AJ1229" i="57"/>
  <c r="V1229" i="57" l="1"/>
  <c r="AI1229" i="57"/>
  <c r="Z1229" i="57"/>
  <c r="AA1229" i="57" s="1"/>
  <c r="AG1228" i="57"/>
  <c r="AJ1228" i="57"/>
  <c r="X1228" i="57"/>
  <c r="V1228" i="57" l="1"/>
  <c r="AI1228" i="57"/>
  <c r="Z1228" i="57"/>
  <c r="AA1228" i="57" s="1"/>
  <c r="AG1224" i="57" l="1"/>
  <c r="AJ1224" i="57"/>
  <c r="X1224" i="57"/>
  <c r="V1224" i="57" l="1"/>
  <c r="AI1224" i="57"/>
  <c r="Z1224" i="57"/>
  <c r="AA1224" i="57" s="1"/>
  <c r="AG1222" i="57" l="1"/>
  <c r="X1222" i="57"/>
  <c r="AJ1222" i="57"/>
  <c r="V1222" i="57" l="1"/>
  <c r="AI1222" i="57"/>
  <c r="Z1222" i="57"/>
  <c r="AA1222" i="57" s="1"/>
  <c r="AG1221" i="57"/>
  <c r="X1221" i="57"/>
  <c r="AJ1221" i="57"/>
  <c r="V1221" i="57" l="1"/>
  <c r="AI1221" i="57"/>
  <c r="Z1221" i="57"/>
  <c r="AA1221" i="57" s="1"/>
  <c r="AG1217" i="57" l="1"/>
  <c r="X1217" i="57"/>
  <c r="AJ1217" i="57"/>
  <c r="V1217" i="57" l="1"/>
  <c r="AI1217" i="57"/>
  <c r="Z1217" i="57"/>
  <c r="AA1217" i="57" s="1"/>
  <c r="AG1216" i="57"/>
  <c r="X1216" i="57"/>
  <c r="AJ1216" i="57"/>
  <c r="V1216" i="57" l="1"/>
  <c r="AI1216" i="57"/>
  <c r="Z1216" i="57"/>
  <c r="AA1216" i="57" s="1"/>
  <c r="AG1215" i="57"/>
  <c r="X1215" i="57"/>
  <c r="AJ1215" i="57"/>
  <c r="V1215" i="57" l="1"/>
  <c r="AI1215" i="57"/>
  <c r="Z1215" i="57"/>
  <c r="AA1215" i="57" s="1"/>
  <c r="AG1214" i="57"/>
  <c r="X1214" i="57"/>
  <c r="AJ1214" i="57"/>
  <c r="V1214" i="57" l="1"/>
  <c r="AI1214" i="57"/>
  <c r="Z1214" i="57"/>
  <c r="AA1214" i="57" s="1"/>
  <c r="AG1212" i="57" l="1"/>
  <c r="X1212" i="57"/>
  <c r="AJ1212" i="57"/>
  <c r="V1212" i="57" l="1"/>
  <c r="AI1212" i="57"/>
  <c r="Z1212" i="57"/>
  <c r="AA1212" i="57" s="1"/>
  <c r="AG1211" i="57"/>
  <c r="AJ1211" i="57"/>
  <c r="X1211" i="57"/>
  <c r="V1211" i="57" l="1"/>
  <c r="AI1211" i="57"/>
  <c r="Z1211" i="57"/>
  <c r="AA1211" i="57" s="1"/>
  <c r="AG1210" i="57"/>
  <c r="X1210" i="57"/>
  <c r="AJ1210" i="57"/>
  <c r="V1210" i="57" l="1"/>
  <c r="AI1210" i="57"/>
  <c r="Z1210" i="57"/>
  <c r="AA1210" i="57" s="1"/>
  <c r="AG1208" i="57" l="1"/>
  <c r="X1208" i="57"/>
  <c r="AJ1208" i="57"/>
  <c r="V1208" i="57" l="1"/>
  <c r="AI1208" i="57"/>
  <c r="Z1208" i="57"/>
  <c r="AA1208" i="57" s="1"/>
  <c r="AG1207" i="57"/>
  <c r="X1207" i="57"/>
  <c r="AJ1207" i="57"/>
  <c r="V1207" i="57" l="1"/>
  <c r="AI1207" i="57"/>
  <c r="Z1207" i="57"/>
  <c r="AA1207" i="57" s="1"/>
  <c r="AG1206" i="57"/>
  <c r="X1206" i="57"/>
  <c r="AJ1206" i="57"/>
  <c r="V1206" i="57" l="1"/>
  <c r="AI1206" i="57"/>
  <c r="Z1206" i="57"/>
  <c r="AA1206" i="57" s="1"/>
  <c r="AG1205" i="57"/>
  <c r="AJ1205" i="57"/>
  <c r="X1205" i="57"/>
  <c r="V1205" i="57" l="1"/>
  <c r="AI1205" i="57"/>
  <c r="Z1205" i="57"/>
  <c r="AA1205" i="57" s="1"/>
  <c r="AG1203" i="57" l="1"/>
  <c r="X1203" i="57"/>
  <c r="AJ1203" i="57"/>
  <c r="V1203" i="57" l="1"/>
  <c r="AI1203" i="57"/>
  <c r="Z1203" i="57"/>
  <c r="AA1203" i="57" s="1"/>
  <c r="AG1198" i="57" l="1"/>
  <c r="X1198" i="57"/>
  <c r="AJ1198" i="57"/>
  <c r="V1198" i="57" l="1"/>
  <c r="AI1198" i="57"/>
  <c r="Z1198" i="57"/>
  <c r="AA1198" i="57" s="1"/>
  <c r="AG1196" i="57" l="1"/>
  <c r="X1196" i="57"/>
  <c r="AJ1196" i="57"/>
  <c r="V1196" i="57" l="1"/>
  <c r="AI1196" i="57"/>
  <c r="Z1196" i="57"/>
  <c r="AA1196" i="57" s="1"/>
  <c r="AG1194" i="57" l="1"/>
  <c r="AJ1194" i="57"/>
  <c r="X1194" i="57"/>
  <c r="V1194" i="57" l="1"/>
  <c r="AI1194" i="57"/>
  <c r="Z1194" i="57"/>
  <c r="AA1194" i="57" s="1"/>
  <c r="AG1193" i="57"/>
  <c r="X1193" i="57"/>
  <c r="AJ1193" i="57"/>
  <c r="V1193" i="57" l="1"/>
  <c r="AI1193" i="57"/>
  <c r="Z1193" i="57"/>
  <c r="AA1193" i="57" s="1"/>
  <c r="AG1192" i="57"/>
  <c r="X1192" i="57"/>
  <c r="AJ1192" i="57"/>
  <c r="V1192" i="57" l="1"/>
  <c r="AI1192" i="57"/>
  <c r="Z1192" i="57"/>
  <c r="AA1192" i="57" s="1"/>
  <c r="AG1191" i="57"/>
  <c r="X1191" i="57"/>
  <c r="AJ1191" i="57"/>
  <c r="V1191" i="57" l="1"/>
  <c r="AI1191" i="57"/>
  <c r="Z1191" i="57"/>
  <c r="AA1191" i="57" s="1"/>
  <c r="AG1190" i="57"/>
  <c r="X1190" i="57"/>
  <c r="AJ1190" i="57"/>
  <c r="V1190" i="57" l="1"/>
  <c r="AI1190" i="57"/>
  <c r="Z1190" i="57"/>
  <c r="AA1190" i="57" s="1"/>
  <c r="AG1189" i="57"/>
  <c r="X1189" i="57"/>
  <c r="AJ1189" i="57"/>
  <c r="V1189" i="57" l="1"/>
  <c r="AI1189" i="57"/>
  <c r="Z1189" i="57"/>
  <c r="AA1189" i="57" s="1"/>
  <c r="AG1188" i="57"/>
  <c r="AJ1188" i="57"/>
  <c r="X1188" i="57"/>
  <c r="V1188" i="57" l="1"/>
  <c r="AI1188" i="57"/>
  <c r="Z1188" i="57"/>
  <c r="AA1188" i="57" s="1"/>
  <c r="AG1186" i="57" l="1"/>
  <c r="X1186" i="57"/>
  <c r="AJ1186" i="57"/>
  <c r="V1186" i="57" l="1"/>
  <c r="AI1186" i="57"/>
  <c r="Z1186" i="57"/>
  <c r="AA1186" i="57" s="1"/>
  <c r="AG1184" i="57" l="1"/>
  <c r="AJ1184" i="57"/>
  <c r="X1184" i="57"/>
  <c r="V1184" i="57" l="1"/>
  <c r="AI1184" i="57"/>
  <c r="Z1184" i="57"/>
  <c r="AA1184" i="57" s="1"/>
  <c r="AG1183" i="57"/>
  <c r="X1183" i="57"/>
  <c r="AJ1183" i="57"/>
  <c r="V1183" i="57" l="1"/>
  <c r="AI1183" i="57"/>
  <c r="Z1183" i="57"/>
  <c r="AA1183" i="57" s="1"/>
  <c r="AG1181" i="57" l="1"/>
  <c r="X1181" i="57"/>
  <c r="AJ1181" i="57"/>
  <c r="V1181" i="57" l="1"/>
  <c r="AI1181" i="57"/>
  <c r="Z1181" i="57"/>
  <c r="AA1181" i="57" s="1"/>
  <c r="AG1180" i="57"/>
  <c r="AJ1180" i="57"/>
  <c r="X1180" i="57"/>
  <c r="V1180" i="57" l="1"/>
  <c r="AI1180" i="57"/>
  <c r="Z1180" i="57"/>
  <c r="AA1180" i="57" s="1"/>
  <c r="AG1178" i="57" l="1"/>
  <c r="X1178" i="57"/>
  <c r="AJ1178" i="57"/>
  <c r="V1178" i="57" l="1"/>
  <c r="AI1178" i="57"/>
  <c r="Z1178" i="57"/>
  <c r="AA1178" i="57" s="1"/>
  <c r="AG1177" i="57"/>
  <c r="X1177" i="57"/>
  <c r="AJ1177" i="57"/>
  <c r="V1177" i="57" l="1"/>
  <c r="AI1177" i="57"/>
  <c r="Z1177" i="57"/>
  <c r="AA1177" i="57" s="1"/>
  <c r="AG1176" i="57"/>
  <c r="AJ1176" i="57"/>
  <c r="X1176" i="57"/>
  <c r="V1176" i="57" l="1"/>
  <c r="AI1176" i="57"/>
  <c r="Z1176" i="57"/>
  <c r="AA1176" i="57" s="1"/>
  <c r="AG1174" i="57" l="1"/>
  <c r="AJ1174" i="57"/>
  <c r="X1174" i="57"/>
  <c r="V1174" i="57" l="1"/>
  <c r="AI1174" i="57"/>
  <c r="Z1174" i="57"/>
  <c r="AA1174" i="57" s="1"/>
  <c r="AG1173" i="57"/>
  <c r="AJ1173" i="57"/>
  <c r="X1173" i="57"/>
  <c r="V1173" i="57" l="1"/>
  <c r="AI1173" i="57"/>
  <c r="Z1173" i="57"/>
  <c r="AA1173" i="57" s="1"/>
  <c r="AG1172" i="57"/>
  <c r="X1172" i="57"/>
  <c r="AJ1172" i="57"/>
  <c r="V1172" i="57" l="1"/>
  <c r="AI1172" i="57"/>
  <c r="Z1172" i="57"/>
  <c r="AA1172" i="57" s="1"/>
  <c r="AG1171" i="57"/>
  <c r="AJ1171" i="57"/>
  <c r="X1171" i="57"/>
  <c r="V1171" i="57" l="1"/>
  <c r="AI1171" i="57"/>
  <c r="Z1171" i="57"/>
  <c r="AA1171" i="57" s="1"/>
  <c r="AG1170" i="57"/>
  <c r="X1170" i="57"/>
  <c r="AJ1170" i="57"/>
  <c r="V1170" i="57" l="1"/>
  <c r="AI1170" i="57"/>
  <c r="Z1170" i="57"/>
  <c r="AA1170" i="57" s="1"/>
  <c r="AG1169" i="57"/>
  <c r="AJ1169" i="57"/>
  <c r="X1169" i="57"/>
  <c r="V1169" i="57" l="1"/>
  <c r="AI1169" i="57"/>
  <c r="Z1169" i="57"/>
  <c r="AA1169" i="57" s="1"/>
  <c r="AG1168" i="57"/>
  <c r="AJ1168" i="57"/>
  <c r="X1168" i="57"/>
  <c r="V1168" i="57" l="1"/>
  <c r="AI1168" i="57"/>
  <c r="Z1168" i="57"/>
  <c r="AA1168" i="57" s="1"/>
  <c r="AG1167" i="57"/>
  <c r="AJ1167" i="57"/>
  <c r="X1167" i="57"/>
  <c r="V1167" i="57" l="1"/>
  <c r="AI1167" i="57"/>
  <c r="Z1167" i="57"/>
  <c r="AA1167" i="57" s="1"/>
  <c r="AG1166" i="57"/>
  <c r="X1166" i="57"/>
  <c r="AJ1166" i="57"/>
  <c r="V1166" i="57" l="1"/>
  <c r="AI1166" i="57"/>
  <c r="Z1166" i="57"/>
  <c r="AA1166" i="57" s="1"/>
  <c r="AG1165" i="57"/>
  <c r="AJ1165" i="57"/>
  <c r="X1165" i="57"/>
  <c r="V1165" i="57" l="1"/>
  <c r="AI1165" i="57"/>
  <c r="Z1165" i="57"/>
  <c r="AA1165" i="57" s="1"/>
  <c r="AG1164" i="57"/>
  <c r="AJ1164" i="57"/>
  <c r="X1164" i="57"/>
  <c r="V1164" i="57" l="1"/>
  <c r="AI1164" i="57"/>
  <c r="Z1164" i="57"/>
  <c r="AA1164" i="57" s="1"/>
  <c r="AG1163" i="57"/>
  <c r="X1163" i="57"/>
  <c r="AJ1163" i="57"/>
  <c r="V1163" i="57" l="1"/>
  <c r="AI1163" i="57"/>
  <c r="Z1163" i="57"/>
  <c r="AA1163" i="57" s="1"/>
  <c r="AG1162" i="57"/>
  <c r="X1162" i="57"/>
  <c r="AJ1162" i="57"/>
  <c r="V1162" i="57" l="1"/>
  <c r="AI1162" i="57"/>
  <c r="Z1162" i="57"/>
  <c r="AA1162" i="57" s="1"/>
  <c r="AG1160" i="57"/>
  <c r="AJ1160" i="57"/>
  <c r="X1160" i="57"/>
  <c r="V1160" i="57" l="1"/>
  <c r="AI1160" i="57"/>
  <c r="Z1160" i="57"/>
  <c r="AA1160" i="57" s="1"/>
  <c r="AG1159" i="57"/>
  <c r="AJ1159" i="57"/>
  <c r="X1159" i="57"/>
  <c r="V1159" i="57" l="1"/>
  <c r="AI1159" i="57"/>
  <c r="Z1159" i="57"/>
  <c r="AA1159" i="57" s="1"/>
  <c r="AG1158" i="57"/>
  <c r="X1158" i="57"/>
  <c r="AJ1158" i="57"/>
  <c r="V1158" i="57" l="1"/>
  <c r="AI1158" i="57"/>
  <c r="Z1158" i="57"/>
  <c r="AA1158" i="57" s="1"/>
  <c r="AG1157" i="57"/>
  <c r="AJ1157" i="57"/>
  <c r="X1157" i="57"/>
  <c r="V1157" i="57" l="1"/>
  <c r="AI1157" i="57"/>
  <c r="Z1157" i="57"/>
  <c r="AA1157" i="57" s="1"/>
  <c r="AG1156" i="57"/>
  <c r="X1156" i="57"/>
  <c r="AJ1156" i="57"/>
  <c r="V1156" i="57" l="1"/>
  <c r="AI1156" i="57"/>
  <c r="Z1156" i="57"/>
  <c r="AA1156" i="57" s="1"/>
  <c r="AG1155" i="57"/>
  <c r="AJ1155" i="57"/>
  <c r="X1155" i="57"/>
  <c r="V1155" i="57" l="1"/>
  <c r="AI1155" i="57"/>
  <c r="Z1155" i="57"/>
  <c r="AA1155" i="57" s="1"/>
  <c r="AG1154" i="57"/>
  <c r="X1154" i="57"/>
  <c r="AJ1154" i="57"/>
  <c r="V1154" i="57" l="1"/>
  <c r="AI1154" i="57"/>
  <c r="Z1154" i="57"/>
  <c r="AA1154" i="57" s="1"/>
  <c r="AG1153" i="57"/>
  <c r="AJ1153" i="57"/>
  <c r="X1153" i="57"/>
  <c r="V1153" i="57" l="1"/>
  <c r="AI1153" i="57"/>
  <c r="Z1153" i="57"/>
  <c r="AA1153" i="57" s="1"/>
  <c r="AG1152" i="57"/>
  <c r="X1152" i="57"/>
  <c r="AJ1152" i="57"/>
  <c r="V1152" i="57" l="1"/>
  <c r="AI1152" i="57"/>
  <c r="Z1152" i="57"/>
  <c r="AA1152" i="57" s="1"/>
  <c r="AG1151" i="57"/>
  <c r="X1151" i="57"/>
  <c r="AJ1151" i="57"/>
  <c r="V1151" i="57" l="1"/>
  <c r="AI1151" i="57"/>
  <c r="Z1151" i="57"/>
  <c r="AA1151" i="57" s="1"/>
  <c r="AG1150" i="57"/>
  <c r="AJ1150" i="57"/>
  <c r="X1150" i="57"/>
  <c r="V1150" i="57" l="1"/>
  <c r="AI1150" i="57"/>
  <c r="Z1150" i="57"/>
  <c r="AA1150" i="57" s="1"/>
  <c r="AG1149" i="57"/>
  <c r="AJ1149" i="57"/>
  <c r="X1149" i="57"/>
  <c r="V1149" i="57" l="1"/>
  <c r="AI1149" i="57"/>
  <c r="Z1149" i="57"/>
  <c r="AA1149" i="57" s="1"/>
  <c r="AG1148" i="57"/>
  <c r="X1148" i="57"/>
  <c r="AJ1148" i="57"/>
  <c r="V1148" i="57" l="1"/>
  <c r="AI1148" i="57"/>
  <c r="Z1148" i="57"/>
  <c r="AA1148" i="57" s="1"/>
  <c r="AG1147" i="57"/>
  <c r="X1147" i="57"/>
  <c r="AJ1147" i="57"/>
  <c r="V1147" i="57" l="1"/>
  <c r="AI1147" i="57"/>
  <c r="Z1147" i="57"/>
  <c r="AA1147" i="57" s="1"/>
  <c r="AG1146" i="57"/>
  <c r="X1146" i="57"/>
  <c r="AJ1146" i="57"/>
  <c r="V1146" i="57" l="1"/>
  <c r="AI1146" i="57"/>
  <c r="Z1146" i="57"/>
  <c r="AA1146" i="57" s="1"/>
  <c r="AG1145" i="57"/>
  <c r="X1145" i="57"/>
  <c r="AJ1145" i="57"/>
  <c r="V1145" i="57" l="1"/>
  <c r="AI1145" i="57"/>
  <c r="Z1145" i="57"/>
  <c r="AA1145" i="57" s="1"/>
  <c r="AG1143" i="57" l="1"/>
  <c r="X1143" i="57"/>
  <c r="AJ1143" i="57"/>
  <c r="V1143" i="57" l="1"/>
  <c r="AI1143" i="57"/>
  <c r="Z1143" i="57"/>
  <c r="AA1143" i="57" s="1"/>
  <c r="AG1142" i="57"/>
  <c r="AJ1142" i="57"/>
  <c r="X1142" i="57"/>
  <c r="V1142" i="57" l="1"/>
  <c r="AI1142" i="57"/>
  <c r="Z1142" i="57"/>
  <c r="AA1142" i="57" s="1"/>
  <c r="AG1141" i="57"/>
  <c r="AJ1141" i="57"/>
  <c r="X1141" i="57"/>
  <c r="V1141" i="57" l="1"/>
  <c r="AI1141" i="57"/>
  <c r="Z1141" i="57"/>
  <c r="AA1141" i="57" s="1"/>
  <c r="AG1140" i="57"/>
  <c r="X1140" i="57"/>
  <c r="AJ1140" i="57"/>
  <c r="V1140" i="57" l="1"/>
  <c r="AI1140" i="57"/>
  <c r="Z1140" i="57"/>
  <c r="AA1140" i="57" s="1"/>
  <c r="AG1139" i="57"/>
  <c r="AJ1139" i="57"/>
  <c r="X1139" i="57"/>
  <c r="V1139" i="57" l="1"/>
  <c r="AI1139" i="57"/>
  <c r="Z1139" i="57"/>
  <c r="AA1139" i="57" s="1"/>
  <c r="AG1138" i="57"/>
  <c r="X1138" i="57"/>
  <c r="AJ1138" i="57"/>
  <c r="V1138" i="57" l="1"/>
  <c r="AI1138" i="57"/>
  <c r="Z1138" i="57"/>
  <c r="AA1138" i="57" s="1"/>
  <c r="AG1137" i="57"/>
  <c r="X1137" i="57"/>
  <c r="AJ1137" i="57"/>
  <c r="V1137" i="57" l="1"/>
  <c r="AI1137" i="57"/>
  <c r="Z1137" i="57"/>
  <c r="AA1137" i="57" s="1"/>
  <c r="AG1136" i="57"/>
  <c r="X1136" i="57"/>
  <c r="AJ1136" i="57"/>
  <c r="V1136" i="57" l="1"/>
  <c r="AI1136" i="57"/>
  <c r="Z1136" i="57"/>
  <c r="AA1136" i="57" s="1"/>
  <c r="AG1133" i="57" l="1"/>
  <c r="X1133" i="57"/>
  <c r="AJ1133" i="57"/>
  <c r="V1133" i="57" l="1"/>
  <c r="AI1133" i="57"/>
  <c r="Z1133" i="57"/>
  <c r="AA1133" i="57" s="1"/>
  <c r="AG1132" i="57"/>
  <c r="X1132" i="57"/>
  <c r="AJ1132" i="57"/>
  <c r="V1132" i="57" l="1"/>
  <c r="AI1132" i="57"/>
  <c r="Z1132" i="57"/>
  <c r="AA1132" i="57" s="1"/>
  <c r="AG1131" i="57"/>
  <c r="X1131" i="57"/>
  <c r="AJ1131" i="57"/>
  <c r="V1131" i="57" l="1"/>
  <c r="AI1131" i="57"/>
  <c r="Z1131" i="57"/>
  <c r="AA1131" i="57" s="1"/>
  <c r="AG1129" i="57" l="1"/>
  <c r="X1129" i="57"/>
  <c r="AJ1129" i="57"/>
  <c r="V1129" i="57" l="1"/>
  <c r="AI1129" i="57"/>
  <c r="Z1129" i="57"/>
  <c r="AA1129" i="57" s="1"/>
  <c r="AG1126" i="57" l="1"/>
  <c r="X1126" i="57"/>
  <c r="AJ1126" i="57"/>
  <c r="V1126" i="57" l="1"/>
  <c r="AI1126" i="57"/>
  <c r="Z1126" i="57"/>
  <c r="AA1126" i="57" s="1"/>
  <c r="AG1125" i="57"/>
  <c r="X1125" i="57"/>
  <c r="AJ1125" i="57"/>
  <c r="V1125" i="57" l="1"/>
  <c r="AI1125" i="57"/>
  <c r="Z1125" i="57"/>
  <c r="AA1125" i="57" s="1"/>
  <c r="AG1124" i="57"/>
  <c r="AJ1124" i="57"/>
  <c r="X1124" i="57"/>
  <c r="V1124" i="57" l="1"/>
  <c r="AI1124" i="57"/>
  <c r="Z1124" i="57"/>
  <c r="AA1124" i="57" s="1"/>
  <c r="AG1123" i="57"/>
  <c r="X1123" i="57"/>
  <c r="AJ1123" i="57"/>
  <c r="V1123" i="57" l="1"/>
  <c r="AI1123" i="57"/>
  <c r="Z1123" i="57"/>
  <c r="AA1123" i="57" s="1"/>
  <c r="AG1122" i="57"/>
  <c r="X1122" i="57"/>
  <c r="AJ1122" i="57"/>
  <c r="V1122" i="57" l="1"/>
  <c r="AI1122" i="57"/>
  <c r="Z1122" i="57"/>
  <c r="AA1122" i="57" s="1"/>
  <c r="AG1121" i="57"/>
  <c r="AJ1121" i="57"/>
  <c r="X1121" i="57"/>
  <c r="V1121" i="57" l="1"/>
  <c r="AI1121" i="57"/>
  <c r="Z1121" i="57"/>
  <c r="AA1121" i="57" s="1"/>
  <c r="AG1120" i="57"/>
  <c r="X1120" i="57"/>
  <c r="AJ1120" i="57"/>
  <c r="V1120" i="57" l="1"/>
  <c r="AI1120" i="57"/>
  <c r="Z1120" i="57"/>
  <c r="AA1120" i="57" s="1"/>
  <c r="AG1118" i="57" l="1"/>
  <c r="AJ1118" i="57"/>
  <c r="X1118" i="57"/>
  <c r="V1118" i="57" l="1"/>
  <c r="AI1118" i="57"/>
  <c r="Z1118" i="57"/>
  <c r="AA1118" i="57" s="1"/>
  <c r="AG1117" i="57"/>
  <c r="X1117" i="57"/>
  <c r="AJ1117" i="57"/>
  <c r="V1117" i="57" l="1"/>
  <c r="AI1117" i="57"/>
  <c r="Z1117" i="57"/>
  <c r="AA1117" i="57" s="1"/>
  <c r="AG1116" i="57"/>
  <c r="X1116" i="57"/>
  <c r="AJ1116" i="57"/>
  <c r="V1116" i="57" l="1"/>
  <c r="AI1116" i="57"/>
  <c r="Z1116" i="57"/>
  <c r="AA1116" i="57" s="1"/>
  <c r="AG1114" i="57" l="1"/>
  <c r="AJ1114" i="57"/>
  <c r="X1114" i="57"/>
  <c r="V1114" i="57" l="1"/>
  <c r="AI1114" i="57"/>
  <c r="Z1114" i="57"/>
  <c r="AA1114" i="57" s="1"/>
  <c r="AG1113" i="57"/>
  <c r="AJ1113" i="57"/>
  <c r="X1113" i="57"/>
  <c r="V1113" i="57" l="1"/>
  <c r="AI1113" i="57"/>
  <c r="Z1113" i="57"/>
  <c r="AA1113" i="57" s="1"/>
  <c r="AG1112" i="57"/>
  <c r="X1112" i="57"/>
  <c r="AJ1112" i="57"/>
  <c r="V1112" i="57" l="1"/>
  <c r="AI1112" i="57"/>
  <c r="Z1112" i="57"/>
  <c r="AA1112" i="57" s="1"/>
  <c r="AG1111" i="57"/>
  <c r="X1111" i="57"/>
  <c r="AJ1111" i="57"/>
  <c r="V1111" i="57" l="1"/>
  <c r="AI1111" i="57"/>
  <c r="Z1111" i="57"/>
  <c r="AA1111" i="57" s="1"/>
  <c r="AG1110" i="57"/>
  <c r="X1110" i="57"/>
  <c r="AJ1110" i="57"/>
  <c r="V1110" i="57" l="1"/>
  <c r="AI1110" i="57"/>
  <c r="Z1110" i="57"/>
  <c r="AA1110" i="57" s="1"/>
  <c r="AG1109" i="57"/>
  <c r="X1109" i="57"/>
  <c r="AJ1109" i="57"/>
  <c r="V1109" i="57" l="1"/>
  <c r="AI1109" i="57"/>
  <c r="Z1109" i="57"/>
  <c r="AA1109" i="57" s="1"/>
  <c r="AG1107" i="57" l="1"/>
  <c r="AJ1107" i="57"/>
  <c r="X1107" i="57"/>
  <c r="V1107" i="57" l="1"/>
  <c r="AI1107" i="57"/>
  <c r="Z1107" i="57"/>
  <c r="AA1107" i="57" s="1"/>
  <c r="AG1106" i="57"/>
  <c r="X1106" i="57"/>
  <c r="AJ1106" i="57"/>
  <c r="V1106" i="57" l="1"/>
  <c r="AI1106" i="57"/>
  <c r="Z1106" i="57"/>
  <c r="AA1106" i="57" s="1"/>
  <c r="AG1104" i="57" l="1"/>
  <c r="X1104" i="57"/>
  <c r="AJ1104" i="57"/>
  <c r="V1104" i="57" l="1"/>
  <c r="AI1104" i="57"/>
  <c r="Z1104" i="57"/>
  <c r="AA1104" i="57" s="1"/>
  <c r="AG1103" i="57"/>
  <c r="X1103" i="57"/>
  <c r="AJ1103" i="57"/>
  <c r="V1103" i="57" l="1"/>
  <c r="AI1103" i="57"/>
  <c r="Z1103" i="57"/>
  <c r="AA1103" i="57" s="1"/>
  <c r="AG1102" i="57"/>
  <c r="X1102" i="57"/>
  <c r="AJ1102" i="57"/>
  <c r="V1102" i="57" l="1"/>
  <c r="AI1102" i="57"/>
  <c r="Z1102" i="57"/>
  <c r="AA1102" i="57" s="1"/>
  <c r="AG1101" i="57"/>
  <c r="X1101" i="57"/>
  <c r="AJ1101" i="57"/>
  <c r="V1101" i="57" l="1"/>
  <c r="AI1101" i="57"/>
  <c r="Z1101" i="57"/>
  <c r="AA1101" i="57" s="1"/>
  <c r="AG1100" i="57"/>
  <c r="X1100" i="57"/>
  <c r="AJ1100" i="57"/>
  <c r="V1100" i="57" l="1"/>
  <c r="AI1100" i="57"/>
  <c r="Z1100" i="57"/>
  <c r="AA1100" i="57" s="1"/>
  <c r="AG1098" i="57" l="1"/>
  <c r="AJ1098" i="57"/>
  <c r="X1098" i="57"/>
  <c r="V1098" i="57" l="1"/>
  <c r="AI1098" i="57"/>
  <c r="Z1098" i="57"/>
  <c r="AA1098" i="57" s="1"/>
  <c r="AG1097" i="57"/>
  <c r="X1097" i="57"/>
  <c r="AJ1097" i="57"/>
  <c r="V1097" i="57" l="1"/>
  <c r="AI1097" i="57"/>
  <c r="Z1097" i="57"/>
  <c r="AA1097" i="57" s="1"/>
  <c r="AG1096" i="57"/>
  <c r="X1096" i="57"/>
  <c r="AJ1096" i="57"/>
  <c r="V1096" i="57" l="1"/>
  <c r="AI1096" i="57"/>
  <c r="Z1096" i="57"/>
  <c r="AA1096" i="57" s="1"/>
  <c r="AG1095" i="57"/>
  <c r="X1095" i="57"/>
  <c r="AJ1095" i="57"/>
  <c r="V1095" i="57" l="1"/>
  <c r="AI1095" i="57"/>
  <c r="Z1095" i="57"/>
  <c r="AA1095" i="57" s="1"/>
  <c r="AG1094" i="57"/>
  <c r="AJ1094" i="57"/>
  <c r="X1094" i="57"/>
  <c r="V1094" i="57" l="1"/>
  <c r="AI1094" i="57"/>
  <c r="Z1094" i="57"/>
  <c r="AA1094" i="57" s="1"/>
  <c r="AG1092" i="57" l="1"/>
  <c r="AJ1092" i="57"/>
  <c r="X1092" i="57"/>
  <c r="V1092" i="57" l="1"/>
  <c r="AI1092" i="57"/>
  <c r="Z1092" i="57"/>
  <c r="AA1092" i="57" s="1"/>
  <c r="AG1090" i="57" l="1"/>
  <c r="AJ1090" i="57"/>
  <c r="X1090" i="57"/>
  <c r="V1090" i="57" l="1"/>
  <c r="AI1090" i="57"/>
  <c r="Z1090" i="57"/>
  <c r="AA1090" i="57" s="1"/>
  <c r="AG1089" i="57"/>
  <c r="X1089" i="57"/>
  <c r="AJ1089" i="57"/>
  <c r="V1089" i="57" l="1"/>
  <c r="AI1089" i="57"/>
  <c r="Z1089" i="57"/>
  <c r="AA1089" i="57" s="1"/>
  <c r="AG1088" i="57"/>
  <c r="X1088" i="57"/>
  <c r="AJ1088" i="57"/>
  <c r="V1088" i="57" l="1"/>
  <c r="AI1088" i="57"/>
  <c r="Z1088" i="57"/>
  <c r="AA1088" i="57" s="1"/>
  <c r="AG1087" i="57"/>
  <c r="X1087" i="57"/>
  <c r="AJ1087" i="57"/>
  <c r="V1087" i="57" l="1"/>
  <c r="AI1087" i="57"/>
  <c r="Z1087" i="57"/>
  <c r="AA1087" i="57" s="1"/>
  <c r="AG1086" i="57"/>
  <c r="X1086" i="57"/>
  <c r="AJ1086" i="57"/>
  <c r="V1086" i="57" l="1"/>
  <c r="AI1086" i="57"/>
  <c r="Z1086" i="57"/>
  <c r="AA1086" i="57" s="1"/>
  <c r="AG1085" i="57"/>
  <c r="AJ1085" i="57"/>
  <c r="X1085" i="57"/>
  <c r="V1085" i="57" l="1"/>
  <c r="AI1085" i="57"/>
  <c r="Z1085" i="57"/>
  <c r="AA1085" i="57" s="1"/>
  <c r="AG1084" i="57"/>
  <c r="AJ1084" i="57"/>
  <c r="X1084" i="57"/>
  <c r="V1084" i="57" l="1"/>
  <c r="AI1084" i="57"/>
  <c r="Z1084" i="57"/>
  <c r="AA1084" i="57" s="1"/>
  <c r="AG1083" i="57"/>
  <c r="AJ1083" i="57"/>
  <c r="X1083" i="57"/>
  <c r="V1083" i="57" l="1"/>
  <c r="AI1083" i="57"/>
  <c r="Z1083" i="57"/>
  <c r="AA1083" i="57" s="1"/>
  <c r="AG1082" i="57"/>
  <c r="X1082" i="57"/>
  <c r="AJ1082" i="57"/>
  <c r="V1082" i="57" l="1"/>
  <c r="AI1082" i="57"/>
  <c r="Z1082" i="57"/>
  <c r="AA1082" i="57" s="1"/>
  <c r="AG1081" i="57"/>
  <c r="AJ1081" i="57"/>
  <c r="X1081" i="57"/>
  <c r="V1081" i="57" l="1"/>
  <c r="AI1081" i="57"/>
  <c r="Z1081" i="57"/>
  <c r="AA1081" i="57" s="1"/>
  <c r="AG1080" i="57"/>
  <c r="AJ1080" i="57"/>
  <c r="X1080" i="57"/>
  <c r="V1080" i="57" l="1"/>
  <c r="AI1080" i="57"/>
  <c r="Z1080" i="57"/>
  <c r="AA1080" i="57" s="1"/>
  <c r="AG1079" i="57"/>
  <c r="X1079" i="57"/>
  <c r="AJ1079" i="57"/>
  <c r="V1079" i="57" l="1"/>
  <c r="AI1079" i="57"/>
  <c r="Z1079" i="57"/>
  <c r="AA1079" i="57" s="1"/>
  <c r="AG1078" i="57"/>
  <c r="X1078" i="57"/>
  <c r="AJ1078" i="57"/>
  <c r="V1078" i="57" l="1"/>
  <c r="AI1078" i="57"/>
  <c r="Z1078" i="57"/>
  <c r="AA1078" i="57" s="1"/>
  <c r="AG1076" i="57" l="1"/>
  <c r="X1076" i="57"/>
  <c r="AJ1076" i="57"/>
  <c r="V1076" i="57" l="1"/>
  <c r="AI1076" i="57"/>
  <c r="Z1076" i="57"/>
  <c r="AA1076" i="57" s="1"/>
  <c r="AG1075" i="57"/>
  <c r="AJ1075" i="57"/>
  <c r="X1075" i="57"/>
  <c r="V1075" i="57" l="1"/>
  <c r="AI1075" i="57"/>
  <c r="Z1075" i="57"/>
  <c r="AA1075" i="57" s="1"/>
  <c r="AG1074" i="57"/>
  <c r="X1074" i="57"/>
  <c r="AJ1074" i="57"/>
  <c r="V1074" i="57" l="1"/>
  <c r="AI1074" i="57"/>
  <c r="Z1074" i="57"/>
  <c r="AA1074" i="57" s="1"/>
  <c r="AG1073" i="57"/>
  <c r="X1073" i="57"/>
  <c r="AJ1073" i="57"/>
  <c r="V1073" i="57" l="1"/>
  <c r="AI1073" i="57"/>
  <c r="Z1073" i="57"/>
  <c r="AA1073" i="57" s="1"/>
  <c r="AG1072" i="57" l="1"/>
  <c r="AJ1072" i="57"/>
  <c r="X1072" i="57"/>
  <c r="V1072" i="57" l="1"/>
  <c r="AI1072" i="57"/>
  <c r="Z1072" i="57"/>
  <c r="AA1072" i="57" s="1"/>
  <c r="AG1071" i="57"/>
  <c r="AJ1071" i="57"/>
  <c r="X1071" i="57"/>
  <c r="V1071" i="57" l="1"/>
  <c r="AI1071" i="57"/>
  <c r="Z1071" i="57"/>
  <c r="AA1071" i="57" s="1"/>
  <c r="AG1070" i="57"/>
  <c r="X1070" i="57"/>
  <c r="AJ1070" i="57"/>
  <c r="V1070" i="57" l="1"/>
  <c r="AI1070" i="57"/>
  <c r="Z1070" i="57"/>
  <c r="AA1070" i="57" s="1"/>
  <c r="AG1069" i="57"/>
  <c r="X1069" i="57"/>
  <c r="AJ1069" i="57"/>
  <c r="V1069" i="57" l="1"/>
  <c r="AI1069" i="57"/>
  <c r="Z1069" i="57"/>
  <c r="AA1069" i="57" s="1"/>
  <c r="AG1068" i="57"/>
  <c r="AJ1068" i="57"/>
  <c r="X1068" i="57"/>
  <c r="V1068" i="57" l="1"/>
  <c r="AI1068" i="57"/>
  <c r="Z1068" i="57"/>
  <c r="AA1068" i="57" s="1"/>
  <c r="AG1067" i="57"/>
  <c r="AJ1067" i="57"/>
  <c r="X1067" i="57"/>
  <c r="V1067" i="57" l="1"/>
  <c r="AI1067" i="57"/>
  <c r="Z1067" i="57"/>
  <c r="AA1067" i="57" s="1"/>
  <c r="AG1066" i="57"/>
  <c r="AJ1066" i="57"/>
  <c r="X1066" i="57"/>
  <c r="V1066" i="57" l="1"/>
  <c r="AI1066" i="57"/>
  <c r="Z1066" i="57"/>
  <c r="AA1066" i="57" s="1"/>
  <c r="AG1063" i="57" l="1"/>
  <c r="X1063" i="57"/>
  <c r="AJ1063" i="57"/>
  <c r="V1063" i="57" l="1"/>
  <c r="AI1063" i="57"/>
  <c r="Z1063" i="57"/>
  <c r="AA1063" i="57" s="1"/>
  <c r="AG1062" i="57"/>
  <c r="AJ1062" i="57"/>
  <c r="X1062" i="57"/>
  <c r="V1062" i="57" l="1"/>
  <c r="AI1062" i="57"/>
  <c r="Z1062" i="57"/>
  <c r="AA1062" i="57" s="1"/>
  <c r="AG1060" i="57" l="1"/>
  <c r="X1060" i="57"/>
  <c r="AJ1060" i="57"/>
  <c r="V1060" i="57" l="1"/>
  <c r="AI1060" i="57"/>
  <c r="Z1060" i="57"/>
  <c r="AA1060" i="57" s="1"/>
  <c r="AG1058" i="57" l="1"/>
  <c r="X1058" i="57"/>
  <c r="AJ1058" i="57"/>
  <c r="V1058" i="57" l="1"/>
  <c r="AI1058" i="57"/>
  <c r="Z1058" i="57"/>
  <c r="AA1058" i="57" s="1"/>
  <c r="AG1057" i="57"/>
  <c r="X1057" i="57"/>
  <c r="AJ1057" i="57"/>
  <c r="V1057" i="57" l="1"/>
  <c r="AI1057" i="57"/>
  <c r="Z1057" i="57"/>
  <c r="AA1057" i="57" s="1"/>
  <c r="AG1056" i="57"/>
  <c r="X1056" i="57"/>
  <c r="AJ1056" i="57"/>
  <c r="V1056" i="57" l="1"/>
  <c r="AI1056" i="57"/>
  <c r="Z1056" i="57"/>
  <c r="AA1056" i="57" s="1"/>
  <c r="AG1055" i="57"/>
  <c r="X1055" i="57"/>
  <c r="AJ1055" i="57"/>
  <c r="V1055" i="57" l="1"/>
  <c r="AI1055" i="57"/>
  <c r="Z1055" i="57"/>
  <c r="AA1055" i="57" s="1"/>
  <c r="AG1054" i="57"/>
  <c r="AJ1054" i="57"/>
  <c r="X1054" i="57"/>
  <c r="V1054" i="57" l="1"/>
  <c r="AI1054" i="57"/>
  <c r="Z1054" i="57"/>
  <c r="AA1054" i="57" s="1"/>
  <c r="AG1053" i="57"/>
  <c r="X1053" i="57"/>
  <c r="AJ1053" i="57"/>
  <c r="V1053" i="57" l="1"/>
  <c r="AI1053" i="57"/>
  <c r="Z1053" i="57"/>
  <c r="AA1053" i="57" s="1"/>
  <c r="AG1052" i="57"/>
  <c r="X1052" i="57"/>
  <c r="AJ1052" i="57"/>
  <c r="V1052" i="57" l="1"/>
  <c r="AI1052" i="57"/>
  <c r="Z1052" i="57"/>
  <c r="AA1052" i="57" s="1"/>
  <c r="AG1051" i="57"/>
  <c r="X1051" i="57"/>
  <c r="AJ1051" i="57"/>
  <c r="V1051" i="57" l="1"/>
  <c r="AI1051" i="57"/>
  <c r="Z1051" i="57"/>
  <c r="AA1051" i="57" s="1"/>
  <c r="AG1049" i="57" l="1"/>
  <c r="AJ1049" i="57"/>
  <c r="X1049" i="57"/>
  <c r="V1049" i="57" l="1"/>
  <c r="AI1049" i="57"/>
  <c r="Z1049" i="57"/>
  <c r="AA1049" i="57" s="1"/>
  <c r="AG1048" i="57"/>
  <c r="X1048" i="57"/>
  <c r="AJ1048" i="57"/>
  <c r="V1048" i="57" l="1"/>
  <c r="AI1048" i="57"/>
  <c r="Z1048" i="57"/>
  <c r="AA1048" i="57" s="1"/>
  <c r="AG1047" i="57"/>
  <c r="X1047" i="57"/>
  <c r="AJ1047" i="57"/>
  <c r="V1047" i="57" l="1"/>
  <c r="AI1047" i="57"/>
  <c r="Z1047" i="57"/>
  <c r="AA1047" i="57" s="1"/>
  <c r="AG1046" i="57"/>
  <c r="AJ1046" i="57"/>
  <c r="X1046" i="57"/>
  <c r="V1046" i="57" l="1"/>
  <c r="AI1046" i="57"/>
  <c r="Z1046" i="57"/>
  <c r="AA1046" i="57" s="1"/>
  <c r="AG1045" i="57" l="1"/>
  <c r="X1045" i="57"/>
  <c r="AJ1045" i="57"/>
  <c r="V1045" i="57" l="1"/>
  <c r="AI1045" i="57"/>
  <c r="Z1045" i="57"/>
  <c r="AA1045" i="57" s="1"/>
  <c r="AG1044" i="57"/>
  <c r="X1044" i="57"/>
  <c r="AJ1044" i="57"/>
  <c r="V1044" i="57" l="1"/>
  <c r="AI1044" i="57"/>
  <c r="Z1044" i="57"/>
  <c r="AA1044" i="57" s="1"/>
  <c r="AG1043" i="57"/>
  <c r="AJ1043" i="57"/>
  <c r="X1043" i="57"/>
  <c r="V1043" i="57" l="1"/>
  <c r="AI1043" i="57"/>
  <c r="Z1043" i="57"/>
  <c r="AA1043" i="57" s="1"/>
  <c r="AG1042" i="57"/>
  <c r="AJ1042" i="57"/>
  <c r="X1042" i="57"/>
  <c r="V1042" i="57" l="1"/>
  <c r="AI1042" i="57"/>
  <c r="Z1042" i="57"/>
  <c r="AA1042" i="57" s="1"/>
  <c r="AG1040" i="57" l="1"/>
  <c r="X1040" i="57"/>
  <c r="AJ1040" i="57"/>
  <c r="V1040" i="57" l="1"/>
  <c r="AI1040" i="57"/>
  <c r="Z1040" i="57"/>
  <c r="AA1040" i="57" s="1"/>
  <c r="AG1039" i="57"/>
  <c r="X1039" i="57"/>
  <c r="AJ1039" i="57"/>
  <c r="V1039" i="57" l="1"/>
  <c r="AI1039" i="57"/>
  <c r="Z1039" i="57"/>
  <c r="AA1039" i="57" s="1"/>
  <c r="AG1038" i="57"/>
  <c r="X1038" i="57"/>
  <c r="AJ1038" i="57"/>
  <c r="V1038" i="57" l="1"/>
  <c r="AI1038" i="57"/>
  <c r="Z1038" i="57"/>
  <c r="AA1038" i="57" s="1"/>
  <c r="AG1037" i="57"/>
  <c r="X1037" i="57"/>
  <c r="AJ1037" i="57"/>
  <c r="V1037" i="57" l="1"/>
  <c r="AI1037" i="57"/>
  <c r="Z1037" i="57"/>
  <c r="AA1037" i="57" s="1"/>
  <c r="AG1036" i="57"/>
  <c r="X1036" i="57"/>
  <c r="AJ1036" i="57"/>
  <c r="V1036" i="57" l="1"/>
  <c r="AI1036" i="57"/>
  <c r="Z1036" i="57"/>
  <c r="AA1036" i="57" s="1"/>
  <c r="AG1035" i="57"/>
  <c r="AJ1035" i="57"/>
  <c r="X1035" i="57"/>
  <c r="V1035" i="57" l="1"/>
  <c r="AI1035" i="57"/>
  <c r="Z1035" i="57"/>
  <c r="AA1035" i="57" s="1"/>
  <c r="AG1033" i="57" l="1"/>
  <c r="AJ1033" i="57"/>
  <c r="X1033" i="57"/>
  <c r="V1033" i="57" l="1"/>
  <c r="AI1033" i="57"/>
  <c r="Z1033" i="57"/>
  <c r="AA1033" i="57" s="1"/>
  <c r="AG1032" i="57"/>
  <c r="X1032" i="57"/>
  <c r="AJ1032" i="57"/>
  <c r="V1032" i="57" l="1"/>
  <c r="AI1032" i="57"/>
  <c r="Z1032" i="57"/>
  <c r="AA1032" i="57" s="1"/>
  <c r="AG1031" i="57"/>
  <c r="AJ1031" i="57"/>
  <c r="X1031" i="57"/>
  <c r="V1031" i="57" l="1"/>
  <c r="AI1031" i="57"/>
  <c r="Z1031" i="57"/>
  <c r="AA1031" i="57" s="1"/>
  <c r="AG1029" i="57" l="1"/>
  <c r="AJ1029" i="57"/>
  <c r="X1029" i="57"/>
  <c r="V1029" i="57" l="1"/>
  <c r="AI1029" i="57"/>
  <c r="Z1029" i="57"/>
  <c r="AA1029" i="57" s="1"/>
  <c r="AG1027" i="57" l="1"/>
  <c r="X1027" i="57"/>
  <c r="AJ1027" i="57"/>
  <c r="V1027" i="57" l="1"/>
  <c r="AI1027" i="57"/>
  <c r="Z1027" i="57"/>
  <c r="AA1027" i="57" s="1"/>
  <c r="AG1026" i="57"/>
  <c r="X1026" i="57"/>
  <c r="AJ1026" i="57"/>
  <c r="V1026" i="57" l="1"/>
  <c r="AI1026" i="57"/>
  <c r="Z1026" i="57"/>
  <c r="AA1026" i="57" s="1"/>
  <c r="AG1024" i="57" l="1"/>
  <c r="AJ1024" i="57"/>
  <c r="X1024" i="57"/>
  <c r="V1024" i="57" l="1"/>
  <c r="AI1024" i="57"/>
  <c r="Z1024" i="57"/>
  <c r="AA1024" i="57" s="1"/>
  <c r="AG1023" i="57"/>
  <c r="X1023" i="57"/>
  <c r="AJ1023" i="57"/>
  <c r="V1023" i="57" l="1"/>
  <c r="AI1023" i="57"/>
  <c r="Z1023" i="57"/>
  <c r="AA1023" i="57" s="1"/>
  <c r="AG1022" i="57"/>
  <c r="X1022" i="57"/>
  <c r="AJ1022" i="57"/>
  <c r="V1022" i="57" l="1"/>
  <c r="AI1022" i="57"/>
  <c r="Z1022" i="57"/>
  <c r="AA1022" i="57" s="1"/>
  <c r="AG1020" i="57" l="1"/>
  <c r="X1020" i="57"/>
  <c r="AJ1020" i="57"/>
  <c r="V1020" i="57" l="1"/>
  <c r="AI1020" i="57"/>
  <c r="Z1020" i="57"/>
  <c r="AA1020" i="57" s="1"/>
  <c r="AG1019" i="57"/>
  <c r="AJ1019" i="57"/>
  <c r="X1019" i="57"/>
  <c r="V1019" i="57" l="1"/>
  <c r="AI1019" i="57"/>
  <c r="Z1019" i="57"/>
  <c r="AA1019" i="57" s="1"/>
  <c r="AG1016" i="57"/>
  <c r="X1016" i="57"/>
  <c r="AJ1016" i="57"/>
  <c r="V1016" i="57" l="1"/>
  <c r="AI1016" i="57"/>
  <c r="Z1016" i="57"/>
  <c r="AA1016" i="57" s="1"/>
  <c r="AG1015" i="57"/>
  <c r="X1015" i="57"/>
  <c r="AJ1015" i="57"/>
  <c r="V1015" i="57" l="1"/>
  <c r="AI1015" i="57"/>
  <c r="Z1015" i="57"/>
  <c r="AA1015" i="57" s="1"/>
  <c r="AG1014" i="57"/>
  <c r="X1014" i="57"/>
  <c r="AJ1014" i="57"/>
  <c r="V1014" i="57" l="1"/>
  <c r="AI1014" i="57"/>
  <c r="Z1014" i="57"/>
  <c r="AA1014" i="57" s="1"/>
  <c r="AG1013" i="57"/>
  <c r="X1013" i="57"/>
  <c r="AJ1013" i="57"/>
  <c r="V1013" i="57" l="1"/>
  <c r="AI1013" i="57"/>
  <c r="Z1013" i="57"/>
  <c r="AA1013" i="57" s="1"/>
  <c r="AG1012" i="57"/>
  <c r="X1012" i="57"/>
  <c r="AJ1012" i="57"/>
  <c r="V1012" i="57" l="1"/>
  <c r="AI1012" i="57"/>
  <c r="Z1012" i="57"/>
  <c r="AA1012" i="57" s="1"/>
  <c r="AG1011" i="57"/>
  <c r="X1011" i="57"/>
  <c r="AJ1011" i="57"/>
  <c r="V1011" i="57" l="1"/>
  <c r="AI1011" i="57"/>
  <c r="Z1011" i="57"/>
  <c r="AA1011" i="57" s="1"/>
  <c r="AG1010" i="57"/>
  <c r="X1010" i="57"/>
  <c r="AJ1010" i="57"/>
  <c r="V1010" i="57" l="1"/>
  <c r="AI1010" i="57"/>
  <c r="Z1010" i="57"/>
  <c r="AA1010" i="57" s="1"/>
  <c r="AG1009" i="57"/>
  <c r="AJ1009" i="57"/>
  <c r="X1009" i="57"/>
  <c r="V1009" i="57" l="1"/>
  <c r="AI1009" i="57"/>
  <c r="Z1009" i="57"/>
  <c r="AA1009" i="57" s="1"/>
  <c r="AG1008" i="57"/>
  <c r="X1008" i="57"/>
  <c r="AJ1008" i="57"/>
  <c r="V1008" i="57" l="1"/>
  <c r="AI1008" i="57"/>
  <c r="Z1008" i="57"/>
  <c r="AA1008" i="57" s="1"/>
  <c r="AG1007" i="57"/>
  <c r="X1007" i="57"/>
  <c r="AJ1007" i="57"/>
  <c r="V1007" i="57" l="1"/>
  <c r="AI1007" i="57"/>
  <c r="Z1007" i="57"/>
  <c r="AA1007" i="57" s="1"/>
  <c r="AG1006" i="57"/>
  <c r="X1006" i="57"/>
  <c r="AJ1006" i="57"/>
  <c r="V1006" i="57" l="1"/>
  <c r="AI1006" i="57"/>
  <c r="Z1006" i="57"/>
  <c r="AA1006" i="57" s="1"/>
  <c r="AG1005" i="57"/>
  <c r="AJ1005" i="57"/>
  <c r="X1005" i="57"/>
  <c r="V1005" i="57" l="1"/>
  <c r="AI1005" i="57"/>
  <c r="Z1005" i="57"/>
  <c r="AA1005" i="57" s="1"/>
  <c r="AG1004" i="57"/>
  <c r="X1004" i="57"/>
  <c r="AJ1004" i="57"/>
  <c r="V1004" i="57" l="1"/>
  <c r="AI1004" i="57"/>
  <c r="Z1004" i="57"/>
  <c r="AA1004" i="57" s="1"/>
  <c r="AG1003" i="57"/>
  <c r="X1003" i="57"/>
  <c r="AJ1003" i="57"/>
  <c r="V1003" i="57" l="1"/>
  <c r="AI1003" i="57"/>
  <c r="Z1003" i="57"/>
  <c r="AA1003" i="57" s="1"/>
  <c r="AG1002" i="57"/>
  <c r="AJ1002" i="57"/>
  <c r="X1002" i="57"/>
  <c r="V1002" i="57" l="1"/>
  <c r="AI1002" i="57"/>
  <c r="Z1002" i="57"/>
  <c r="AA1002" i="57" s="1"/>
  <c r="AG1000" i="57" l="1"/>
  <c r="X1000" i="57"/>
  <c r="AJ1000" i="57"/>
  <c r="V1000" i="57" l="1"/>
  <c r="AI1000" i="57"/>
  <c r="Z1000" i="57"/>
  <c r="AA1000" i="57" s="1"/>
  <c r="AG999" i="57"/>
  <c r="X999" i="57"/>
  <c r="AJ999" i="57"/>
  <c r="V999" i="57" l="1"/>
  <c r="AI999" i="57"/>
  <c r="Z999" i="57"/>
  <c r="AA999" i="57" s="1"/>
  <c r="AG998" i="57"/>
  <c r="AJ998" i="57"/>
  <c r="X998" i="57"/>
  <c r="V998" i="57" l="1"/>
  <c r="AI998" i="57"/>
  <c r="Z998" i="57"/>
  <c r="AA998" i="57" s="1"/>
  <c r="AG997" i="57"/>
  <c r="X997" i="57"/>
  <c r="AJ997" i="57"/>
  <c r="V997" i="57" l="1"/>
  <c r="AI997" i="57"/>
  <c r="Z997" i="57"/>
  <c r="AA997" i="57" s="1"/>
  <c r="AG995" i="57" l="1"/>
  <c r="X995" i="57"/>
  <c r="AJ995" i="57"/>
  <c r="V995" i="57" l="1"/>
  <c r="AI995" i="57"/>
  <c r="Z995" i="57"/>
  <c r="AA995" i="57" s="1"/>
  <c r="AG994" i="57"/>
  <c r="X994" i="57"/>
  <c r="AJ994" i="57"/>
  <c r="V994" i="57" l="1"/>
  <c r="AI994" i="57"/>
  <c r="Z994" i="57"/>
  <c r="AA994" i="57" s="1"/>
  <c r="AG992" i="57" l="1"/>
  <c r="X992" i="57"/>
  <c r="AJ992" i="57"/>
  <c r="V992" i="57" l="1"/>
  <c r="AI992" i="57"/>
  <c r="Z992" i="57"/>
  <c r="AA992" i="57" s="1"/>
  <c r="AG991" i="57"/>
  <c r="X991" i="57"/>
  <c r="AJ991" i="57"/>
  <c r="V991" i="57" l="1"/>
  <c r="AI991" i="57"/>
  <c r="Z991" i="57"/>
  <c r="AA991" i="57" s="1"/>
  <c r="AG990" i="57"/>
  <c r="AJ990" i="57"/>
  <c r="X990" i="57"/>
  <c r="V990" i="57" l="1"/>
  <c r="AI990" i="57"/>
  <c r="Z990" i="57"/>
  <c r="AA990" i="57" s="1"/>
  <c r="AG989" i="57"/>
  <c r="X989" i="57"/>
  <c r="AJ989" i="57"/>
  <c r="V989" i="57" l="1"/>
  <c r="AI989" i="57"/>
  <c r="Z989" i="57"/>
  <c r="AA989" i="57" s="1"/>
  <c r="AG988" i="57"/>
  <c r="X988" i="57"/>
  <c r="AJ988" i="57"/>
  <c r="V988" i="57" l="1"/>
  <c r="AI988" i="57"/>
  <c r="Z988" i="57"/>
  <c r="AA988" i="57" s="1"/>
  <c r="AG987" i="57"/>
  <c r="X987" i="57"/>
  <c r="AJ987" i="57"/>
  <c r="V987" i="57" l="1"/>
  <c r="AI987" i="57"/>
  <c r="Z987" i="57"/>
  <c r="AA987" i="57" s="1"/>
  <c r="AG986" i="57"/>
  <c r="X986" i="57"/>
  <c r="AJ986" i="57"/>
  <c r="V986" i="57" l="1"/>
  <c r="AI986" i="57"/>
  <c r="Z986" i="57"/>
  <c r="AA986" i="57" s="1"/>
  <c r="AG985" i="57"/>
  <c r="X985" i="57"/>
  <c r="AJ985" i="57"/>
  <c r="V985" i="57" l="1"/>
  <c r="AI985" i="57"/>
  <c r="Z985" i="57"/>
  <c r="AA985" i="57" s="1"/>
  <c r="AG984" i="57"/>
  <c r="X984" i="57"/>
  <c r="AJ984" i="57"/>
  <c r="V984" i="57" l="1"/>
  <c r="AI984" i="57"/>
  <c r="Z984" i="57"/>
  <c r="AA984" i="57" s="1"/>
  <c r="AG983" i="57"/>
  <c r="AJ983" i="57"/>
  <c r="X983" i="57"/>
  <c r="V983" i="57" l="1"/>
  <c r="AI983" i="57"/>
  <c r="Z983" i="57"/>
  <c r="AA983" i="57" s="1"/>
  <c r="AG982" i="57"/>
  <c r="X982" i="57"/>
  <c r="AJ982" i="57"/>
  <c r="V982" i="57" l="1"/>
  <c r="AI982" i="57"/>
  <c r="Z982" i="57"/>
  <c r="AA982" i="57" s="1"/>
  <c r="AG981" i="57"/>
  <c r="X981" i="57"/>
  <c r="AJ981" i="57"/>
  <c r="V981" i="57" l="1"/>
  <c r="AI981" i="57"/>
  <c r="Z981" i="57"/>
  <c r="AA981" i="57" s="1"/>
  <c r="AG980" i="57"/>
  <c r="X980" i="57"/>
  <c r="AJ980" i="57"/>
  <c r="V980" i="57" l="1"/>
  <c r="AI980" i="57"/>
  <c r="Z980" i="57"/>
  <c r="AA980" i="57" s="1"/>
  <c r="AG979" i="57"/>
  <c r="X979" i="57"/>
  <c r="AJ979" i="57"/>
  <c r="V979" i="57" l="1"/>
  <c r="AI979" i="57"/>
  <c r="Z979" i="57"/>
  <c r="AA979" i="57" s="1"/>
  <c r="AG978" i="57"/>
  <c r="X978" i="57"/>
  <c r="AJ978" i="57"/>
  <c r="V978" i="57" l="1"/>
  <c r="AI978" i="57"/>
  <c r="Z978" i="57"/>
  <c r="AA978" i="57" s="1"/>
  <c r="AG976" i="57" l="1"/>
  <c r="X976" i="57"/>
  <c r="AJ976" i="57"/>
  <c r="V976" i="57" l="1"/>
  <c r="AI976" i="57"/>
  <c r="Z976" i="57"/>
  <c r="AA976" i="57" s="1"/>
  <c r="AG975" i="57"/>
  <c r="AJ975" i="57"/>
  <c r="X975" i="57"/>
  <c r="V975" i="57" l="1"/>
  <c r="AI975" i="57"/>
  <c r="Z975" i="57"/>
  <c r="AA975" i="57" s="1"/>
  <c r="AG974" i="57"/>
  <c r="X974" i="57"/>
  <c r="AJ974" i="57"/>
  <c r="V974" i="57" l="1"/>
  <c r="AI974" i="57"/>
  <c r="Z974" i="57"/>
  <c r="AA974" i="57" s="1"/>
  <c r="AG973" i="57"/>
  <c r="AJ973" i="57"/>
  <c r="X973" i="57"/>
  <c r="V973" i="57" l="1"/>
  <c r="AI973" i="57"/>
  <c r="Z973" i="57"/>
  <c r="AA973" i="57" s="1"/>
  <c r="AG972" i="57"/>
  <c r="X972" i="57"/>
  <c r="AJ972" i="57"/>
  <c r="V972" i="57" l="1"/>
  <c r="AI972" i="57"/>
  <c r="Z972" i="57"/>
  <c r="AA972" i="57" s="1"/>
  <c r="AG971" i="57"/>
  <c r="AJ971" i="57"/>
  <c r="X971" i="57"/>
  <c r="V971" i="57" l="1"/>
  <c r="AI971" i="57"/>
  <c r="Z971" i="57"/>
  <c r="AA971" i="57" s="1"/>
  <c r="AG970" i="57"/>
  <c r="AJ970" i="57"/>
  <c r="X970" i="57"/>
  <c r="V970" i="57" l="1"/>
  <c r="AI970" i="57"/>
  <c r="Z970" i="57"/>
  <c r="AA970" i="57" s="1"/>
  <c r="AG969" i="57"/>
  <c r="X969" i="57"/>
  <c r="AJ969" i="57"/>
  <c r="V969" i="57" l="1"/>
  <c r="AI969" i="57"/>
  <c r="Z969" i="57"/>
  <c r="AA969" i="57" s="1"/>
  <c r="AG968" i="57"/>
  <c r="X968" i="57"/>
  <c r="AJ968" i="57"/>
  <c r="V968" i="57" l="1"/>
  <c r="AI968" i="57"/>
  <c r="Z968" i="57"/>
  <c r="AA968" i="57" s="1"/>
  <c r="AG967" i="57"/>
  <c r="X967" i="57"/>
  <c r="AJ967" i="57"/>
  <c r="V967" i="57" l="1"/>
  <c r="AI967" i="57"/>
  <c r="Z967" i="57"/>
  <c r="AA967" i="57" s="1"/>
  <c r="AG966" i="57"/>
  <c r="X966" i="57"/>
  <c r="AJ966" i="57"/>
  <c r="V966" i="57" l="1"/>
  <c r="AI966" i="57"/>
  <c r="Z966" i="57"/>
  <c r="AA966" i="57" s="1"/>
  <c r="AG965" i="57"/>
  <c r="X965" i="57"/>
  <c r="AJ965" i="57"/>
  <c r="V965" i="57" l="1"/>
  <c r="AI965" i="57"/>
  <c r="Z965" i="57"/>
  <c r="AA965" i="57" s="1"/>
  <c r="AG963" i="57" l="1"/>
  <c r="AJ963" i="57"/>
  <c r="X963" i="57"/>
  <c r="V963" i="57" l="1"/>
  <c r="AI963" i="57"/>
  <c r="Z963" i="57"/>
  <c r="AA963" i="57" s="1"/>
  <c r="AG959" i="57" l="1"/>
  <c r="AJ959" i="57"/>
  <c r="X959" i="57"/>
  <c r="V959" i="57" l="1"/>
  <c r="AI959" i="57"/>
  <c r="Z959" i="57"/>
  <c r="AA959" i="57" s="1"/>
  <c r="AG958" i="57"/>
  <c r="X958" i="57"/>
  <c r="AJ958" i="57"/>
  <c r="V958" i="57" l="1"/>
  <c r="AI958" i="57"/>
  <c r="Z958" i="57"/>
  <c r="AA958" i="57" s="1"/>
  <c r="AG957" i="57"/>
  <c r="X957" i="57"/>
  <c r="AJ957" i="57"/>
  <c r="V957" i="57" l="1"/>
  <c r="AI957" i="57"/>
  <c r="Z957" i="57"/>
  <c r="AA957" i="57" s="1"/>
  <c r="AG956" i="57"/>
  <c r="X956" i="57"/>
  <c r="AJ956" i="57"/>
  <c r="V956" i="57" l="1"/>
  <c r="AI956" i="57"/>
  <c r="Z956" i="57"/>
  <c r="AA956" i="57" s="1"/>
  <c r="AG955" i="57"/>
  <c r="X955" i="57"/>
  <c r="AJ955" i="57"/>
  <c r="V955" i="57" l="1"/>
  <c r="AI955" i="57"/>
  <c r="Z955" i="57"/>
  <c r="AA955" i="57" s="1"/>
  <c r="AG954" i="57"/>
  <c r="X954" i="57"/>
  <c r="AJ954" i="57"/>
  <c r="V954" i="57" l="1"/>
  <c r="AI954" i="57"/>
  <c r="Z954" i="57"/>
  <c r="AA954" i="57" s="1"/>
  <c r="AG953" i="57"/>
  <c r="AJ953" i="57"/>
  <c r="X953" i="57"/>
  <c r="V953" i="57" l="1"/>
  <c r="AI953" i="57"/>
  <c r="Z953" i="57"/>
  <c r="AA953" i="57" s="1"/>
  <c r="AG952" i="57"/>
  <c r="X952" i="57"/>
  <c r="AJ952" i="57"/>
  <c r="V952" i="57" l="1"/>
  <c r="AI952" i="57"/>
  <c r="Z952" i="57"/>
  <c r="AA952" i="57" s="1"/>
  <c r="AG951" i="57"/>
  <c r="X951" i="57"/>
  <c r="AJ951" i="57"/>
  <c r="V951" i="57" l="1"/>
  <c r="AI951" i="57"/>
  <c r="Z951" i="57"/>
  <c r="AA951" i="57" s="1"/>
  <c r="AG948" i="57" l="1"/>
  <c r="X948" i="57"/>
  <c r="AJ948" i="57"/>
  <c r="V948" i="57" l="1"/>
  <c r="AI948" i="57"/>
  <c r="Z948" i="57"/>
  <c r="AA948" i="57" s="1"/>
  <c r="AG947" i="57"/>
  <c r="X947" i="57"/>
  <c r="AJ947" i="57"/>
  <c r="V947" i="57" l="1"/>
  <c r="AI947" i="57"/>
  <c r="Z947" i="57"/>
  <c r="AA947" i="57" s="1"/>
  <c r="AG946" i="57"/>
  <c r="X946" i="57"/>
  <c r="AJ946" i="57"/>
  <c r="V946" i="57" l="1"/>
  <c r="AI946" i="57"/>
  <c r="Z946" i="57"/>
  <c r="AA946" i="57" s="1"/>
  <c r="AG943" i="57" l="1"/>
  <c r="X943" i="57"/>
  <c r="AJ943" i="57"/>
  <c r="V943" i="57" l="1"/>
  <c r="AI943" i="57"/>
  <c r="Z943" i="57"/>
  <c r="AA943" i="57" s="1"/>
  <c r="AG942" i="57"/>
  <c r="AJ942" i="57"/>
  <c r="X942" i="57"/>
  <c r="V942" i="57" l="1"/>
  <c r="AI942" i="57"/>
  <c r="Z942" i="57"/>
  <c r="AA942" i="57" s="1"/>
  <c r="AG940" i="57" l="1"/>
  <c r="X940" i="57"/>
  <c r="AJ940" i="57"/>
  <c r="V940" i="57" l="1"/>
  <c r="AI940" i="57"/>
  <c r="Z940" i="57"/>
  <c r="AA940" i="57" s="1"/>
  <c r="AG938" i="57" l="1"/>
  <c r="X938" i="57"/>
  <c r="AJ938" i="57"/>
  <c r="V938" i="57" l="1"/>
  <c r="AI938" i="57"/>
  <c r="Z938" i="57"/>
  <c r="AA938" i="57" s="1"/>
  <c r="AG937" i="57"/>
  <c r="X937" i="57"/>
  <c r="AJ937" i="57"/>
  <c r="V937" i="57" l="1"/>
  <c r="AI937" i="57"/>
  <c r="Z937" i="57"/>
  <c r="AA937" i="57" s="1"/>
  <c r="AG935" i="57" l="1"/>
  <c r="X935" i="57"/>
  <c r="AJ935" i="57"/>
  <c r="V935" i="57" l="1"/>
  <c r="AI935" i="57"/>
  <c r="Z935" i="57"/>
  <c r="AA935" i="57" s="1"/>
  <c r="AG932" i="57" l="1"/>
  <c r="X932" i="57"/>
  <c r="AJ932" i="57"/>
  <c r="V932" i="57" l="1"/>
  <c r="AI932" i="57"/>
  <c r="Z932" i="57"/>
  <c r="AA932" i="57" s="1"/>
  <c r="AG931" i="57"/>
  <c r="X931" i="57"/>
  <c r="AJ931" i="57"/>
  <c r="V931" i="57" l="1"/>
  <c r="AI931" i="57"/>
  <c r="Z931" i="57"/>
  <c r="AA931" i="57" s="1"/>
  <c r="AG927" i="57" l="1"/>
  <c r="X927" i="57"/>
  <c r="AJ927" i="57"/>
  <c r="V927" i="57" l="1"/>
  <c r="AI927" i="57"/>
  <c r="Z927" i="57"/>
  <c r="AA927" i="57" s="1"/>
  <c r="AG926" i="57"/>
  <c r="X926" i="57"/>
  <c r="AJ926" i="57"/>
  <c r="V926" i="57" l="1"/>
  <c r="AI926" i="57"/>
  <c r="Z926" i="57"/>
  <c r="AA926" i="57" s="1"/>
  <c r="AG924" i="57" l="1"/>
  <c r="X924" i="57"/>
  <c r="AJ924" i="57"/>
  <c r="V924" i="57" l="1"/>
  <c r="AI924" i="57"/>
  <c r="Z924" i="57"/>
  <c r="AA924" i="57" s="1"/>
  <c r="AG923" i="57"/>
  <c r="AJ923" i="57"/>
  <c r="X923" i="57"/>
  <c r="V923" i="57" l="1"/>
  <c r="AI923" i="57"/>
  <c r="Z923" i="57"/>
  <c r="AA923" i="57" s="1"/>
  <c r="AG922" i="57"/>
  <c r="X922" i="57"/>
  <c r="AJ922" i="57"/>
  <c r="V922" i="57" l="1"/>
  <c r="AI922" i="57"/>
  <c r="Z922" i="57"/>
  <c r="AA922" i="57" s="1"/>
  <c r="AG920" i="57" l="1"/>
  <c r="AJ920" i="57"/>
  <c r="X920" i="57"/>
  <c r="V920" i="57" l="1"/>
  <c r="AI920" i="57"/>
  <c r="Z920" i="57"/>
  <c r="AA920" i="57" s="1"/>
  <c r="AG919" i="57"/>
  <c r="X919" i="57"/>
  <c r="AJ919" i="57"/>
  <c r="V919" i="57" l="1"/>
  <c r="AI919" i="57"/>
  <c r="Z919" i="57"/>
  <c r="AA919" i="57" s="1"/>
  <c r="AG918" i="57"/>
  <c r="X918" i="57"/>
  <c r="AJ918" i="57"/>
  <c r="V918" i="57" l="1"/>
  <c r="AI918" i="57"/>
  <c r="Z918" i="57"/>
  <c r="AA918" i="57" s="1"/>
  <c r="AG916" i="57" l="1"/>
  <c r="AJ916" i="57"/>
  <c r="X916" i="57"/>
  <c r="V916" i="57" l="1"/>
  <c r="AI916" i="57"/>
  <c r="Z916" i="57"/>
  <c r="AA916" i="57" s="1"/>
  <c r="AG915" i="57"/>
  <c r="AJ915" i="57"/>
  <c r="X915" i="57"/>
  <c r="V915" i="57" l="1"/>
  <c r="AI915" i="57"/>
  <c r="Z915" i="57"/>
  <c r="AA915" i="57" s="1"/>
  <c r="AG914" i="57"/>
  <c r="AJ914" i="57"/>
  <c r="X914" i="57"/>
  <c r="V914" i="57" l="1"/>
  <c r="AI914" i="57"/>
  <c r="Z914" i="57"/>
  <c r="AA914" i="57" s="1"/>
  <c r="AG910" i="57" l="1"/>
  <c r="AJ910" i="57"/>
  <c r="X910" i="57"/>
  <c r="V910" i="57" l="1"/>
  <c r="AI910" i="57"/>
  <c r="Z910" i="57"/>
  <c r="AA910" i="57" s="1"/>
  <c r="AG909" i="57"/>
  <c r="AJ909" i="57"/>
  <c r="X909" i="57"/>
  <c r="V909" i="57" l="1"/>
  <c r="AI909" i="57"/>
  <c r="Z909" i="57"/>
  <c r="AA909" i="57" s="1"/>
  <c r="AG908" i="57"/>
  <c r="X908" i="57"/>
  <c r="AJ908" i="57"/>
  <c r="V908" i="57" l="1"/>
  <c r="AI908" i="57"/>
  <c r="Z908" i="57"/>
  <c r="AA908" i="57" s="1"/>
  <c r="AG907" i="57"/>
  <c r="X907" i="57"/>
  <c r="AJ907" i="57"/>
  <c r="V907" i="57" l="1"/>
  <c r="AI907" i="57"/>
  <c r="Z907" i="57"/>
  <c r="AA907" i="57" s="1"/>
  <c r="AG905" i="57" l="1"/>
  <c r="AJ905" i="57"/>
  <c r="X905" i="57"/>
  <c r="V905" i="57" l="1"/>
  <c r="AI905" i="57"/>
  <c r="Z905" i="57"/>
  <c r="AA905" i="57" s="1"/>
  <c r="AG904" i="57"/>
  <c r="AJ904" i="57"/>
  <c r="X904" i="57"/>
  <c r="V904" i="57" l="1"/>
  <c r="AI904" i="57"/>
  <c r="Z904" i="57"/>
  <c r="AA904" i="57" s="1"/>
  <c r="AG903" i="57"/>
  <c r="X903" i="57"/>
  <c r="AJ903" i="57"/>
  <c r="V903" i="57" l="1"/>
  <c r="AI903" i="57"/>
  <c r="Z903" i="57"/>
  <c r="AA903" i="57" s="1"/>
  <c r="AG902" i="57"/>
  <c r="AJ902" i="57"/>
  <c r="X902" i="57"/>
  <c r="V902" i="57" l="1"/>
  <c r="AI902" i="57"/>
  <c r="Z902" i="57"/>
  <c r="AA902" i="57" s="1"/>
  <c r="AG901" i="57"/>
  <c r="X901" i="57"/>
  <c r="AJ901" i="57"/>
  <c r="V901" i="57" l="1"/>
  <c r="AI901" i="57"/>
  <c r="Z901" i="57"/>
  <c r="AA901" i="57" s="1"/>
  <c r="AG900" i="57"/>
  <c r="AJ900" i="57"/>
  <c r="X900" i="57"/>
  <c r="V900" i="57" l="1"/>
  <c r="AI900" i="57"/>
  <c r="Z900" i="57"/>
  <c r="AA900" i="57" s="1"/>
  <c r="AG899" i="57"/>
  <c r="X899" i="57"/>
  <c r="AJ899" i="57"/>
  <c r="V899" i="57" l="1"/>
  <c r="AI899" i="57"/>
  <c r="Z899" i="57"/>
  <c r="AA899" i="57" s="1"/>
  <c r="AG897" i="57" l="1"/>
  <c r="AJ897" i="57"/>
  <c r="X897" i="57"/>
  <c r="V897" i="57" l="1"/>
  <c r="AI897" i="57"/>
  <c r="Z897" i="57"/>
  <c r="AA897" i="57" s="1"/>
  <c r="AG896" i="57"/>
  <c r="X896" i="57"/>
  <c r="AJ896" i="57"/>
  <c r="V896" i="57" l="1"/>
  <c r="AI896" i="57"/>
  <c r="Z896" i="57"/>
  <c r="AA896" i="57" s="1"/>
  <c r="AG895" i="57"/>
  <c r="X895" i="57"/>
  <c r="AJ895" i="57"/>
  <c r="V895" i="57" l="1"/>
  <c r="AI895" i="57"/>
  <c r="Z895" i="57"/>
  <c r="AA895" i="57" s="1"/>
  <c r="AG894" i="57"/>
  <c r="AJ894" i="57"/>
  <c r="X894" i="57"/>
  <c r="V894" i="57" l="1"/>
  <c r="AI894" i="57"/>
  <c r="Z894" i="57"/>
  <c r="AA894" i="57" s="1"/>
  <c r="AG893" i="57"/>
  <c r="X893" i="57"/>
  <c r="AJ893" i="57"/>
  <c r="V893" i="57" l="1"/>
  <c r="AI893" i="57"/>
  <c r="Z893" i="57"/>
  <c r="AA893" i="57" s="1"/>
  <c r="AG892" i="57"/>
  <c r="AJ892" i="57"/>
  <c r="X892" i="57"/>
  <c r="V892" i="57" l="1"/>
  <c r="AI892" i="57"/>
  <c r="Z892" i="57"/>
  <c r="AA892" i="57" s="1"/>
  <c r="AG890" i="57" l="1"/>
  <c r="X890" i="57"/>
  <c r="AJ890" i="57"/>
  <c r="V890" i="57" l="1"/>
  <c r="AI890" i="57"/>
  <c r="Z890" i="57"/>
  <c r="AA890" i="57" s="1"/>
  <c r="AG889" i="57"/>
  <c r="X889" i="57"/>
  <c r="AJ889" i="57"/>
  <c r="V889" i="57" l="1"/>
  <c r="AI889" i="57"/>
  <c r="Z889" i="57"/>
  <c r="AA889" i="57" s="1"/>
  <c r="AG888" i="57"/>
  <c r="X888" i="57"/>
  <c r="AJ888" i="57"/>
  <c r="V888" i="57" l="1"/>
  <c r="AI888" i="57"/>
  <c r="Z888" i="57"/>
  <c r="AA888" i="57" s="1"/>
  <c r="AG887" i="57"/>
  <c r="X887" i="57"/>
  <c r="AJ887" i="57"/>
  <c r="V887" i="57" l="1"/>
  <c r="AI887" i="57"/>
  <c r="Z887" i="57"/>
  <c r="AA887" i="57" s="1"/>
  <c r="AG886" i="57"/>
  <c r="X886" i="57"/>
  <c r="AJ886" i="57"/>
  <c r="V886" i="57" l="1"/>
  <c r="AI886" i="57"/>
  <c r="Z886" i="57"/>
  <c r="AA886" i="57" s="1"/>
  <c r="AG885" i="57"/>
  <c r="X885" i="57"/>
  <c r="AJ885" i="57"/>
  <c r="V885" i="57" l="1"/>
  <c r="AI885" i="57"/>
  <c r="Z885" i="57"/>
  <c r="AA885" i="57" s="1"/>
  <c r="AG884" i="57"/>
  <c r="X884" i="57"/>
  <c r="AJ884" i="57"/>
  <c r="V884" i="57" l="1"/>
  <c r="AI884" i="57"/>
  <c r="Z884" i="57"/>
  <c r="AA884" i="57" s="1"/>
  <c r="AG881" i="57" l="1"/>
  <c r="X881" i="57"/>
  <c r="AJ881" i="57"/>
  <c r="V881" i="57" l="1"/>
  <c r="AI881" i="57"/>
  <c r="Z881" i="57"/>
  <c r="AA881" i="57" s="1"/>
  <c r="AG879" i="57" l="1"/>
  <c r="X879" i="57"/>
  <c r="AJ879" i="57"/>
  <c r="V879" i="57" l="1"/>
  <c r="AI879" i="57"/>
  <c r="Z879" i="57"/>
  <c r="AA879" i="57" s="1"/>
  <c r="AG878" i="57"/>
  <c r="AJ878" i="57"/>
  <c r="X878" i="57"/>
  <c r="V878" i="57" l="1"/>
  <c r="AI878" i="57"/>
  <c r="Z878" i="57"/>
  <c r="AA878" i="57" s="1"/>
  <c r="AG877" i="57"/>
  <c r="AJ877" i="57"/>
  <c r="X877" i="57"/>
  <c r="V877" i="57" l="1"/>
  <c r="AI877" i="57"/>
  <c r="Z877" i="57"/>
  <c r="AA877" i="57" s="1"/>
  <c r="AG876" i="57"/>
  <c r="X876" i="57"/>
  <c r="AJ876" i="57"/>
  <c r="V876" i="57" l="1"/>
  <c r="AI876" i="57"/>
  <c r="Z876" i="57"/>
  <c r="AA876" i="57" s="1"/>
  <c r="AG875" i="57"/>
  <c r="X875" i="57"/>
  <c r="AJ875" i="57"/>
  <c r="V875" i="57" l="1"/>
  <c r="AI875" i="57"/>
  <c r="Z875" i="57"/>
  <c r="AA875" i="57" s="1"/>
  <c r="AG874" i="57"/>
  <c r="X874" i="57"/>
  <c r="AJ874" i="57"/>
  <c r="V874" i="57" l="1"/>
  <c r="AI874" i="57"/>
  <c r="Z874" i="57"/>
  <c r="AA874" i="57" s="1"/>
  <c r="AG873" i="57"/>
  <c r="X873" i="57"/>
  <c r="AJ873" i="57"/>
  <c r="V873" i="57" l="1"/>
  <c r="AI873" i="57"/>
  <c r="Z873" i="57"/>
  <c r="AA873" i="57" s="1"/>
  <c r="AG872" i="57"/>
  <c r="X872" i="57"/>
  <c r="AJ872" i="57"/>
  <c r="V872" i="57" l="1"/>
  <c r="AI872" i="57"/>
  <c r="Z872" i="57"/>
  <c r="AA872" i="57" s="1"/>
  <c r="AG869" i="57" l="1"/>
  <c r="AJ869" i="57"/>
  <c r="X869" i="57"/>
  <c r="V869" i="57" l="1"/>
  <c r="AI869" i="57"/>
  <c r="Z869" i="57"/>
  <c r="AA869" i="57" s="1"/>
  <c r="AG867" i="57" l="1"/>
  <c r="X867" i="57"/>
  <c r="AJ867" i="57"/>
  <c r="V867" i="57" l="1"/>
  <c r="AI867" i="57"/>
  <c r="Z867" i="57"/>
  <c r="AA867" i="57" s="1"/>
  <c r="AG866" i="57"/>
  <c r="AJ866" i="57"/>
  <c r="X866" i="57"/>
  <c r="V866" i="57" l="1"/>
  <c r="AI866" i="57"/>
  <c r="Z866" i="57"/>
  <c r="AA866" i="57" s="1"/>
  <c r="AG865" i="57"/>
  <c r="AJ865" i="57"/>
  <c r="X865" i="57"/>
  <c r="V865" i="57" l="1"/>
  <c r="AI865" i="57"/>
  <c r="Z865" i="57"/>
  <c r="AA865" i="57" s="1"/>
  <c r="AG864" i="57"/>
  <c r="X864" i="57"/>
  <c r="AJ864" i="57"/>
  <c r="V864" i="57" l="1"/>
  <c r="AI864" i="57"/>
  <c r="Z864" i="57"/>
  <c r="AA864" i="57" s="1"/>
  <c r="AG863" i="57"/>
  <c r="AJ863" i="57"/>
  <c r="X863" i="57"/>
  <c r="V863" i="57" l="1"/>
  <c r="AI863" i="57"/>
  <c r="Z863" i="57"/>
  <c r="AA863" i="57" s="1"/>
  <c r="AG862" i="57"/>
  <c r="X862" i="57"/>
  <c r="AJ862" i="57"/>
  <c r="V862" i="57" l="1"/>
  <c r="AI862" i="57"/>
  <c r="Z862" i="57"/>
  <c r="AA862" i="57" s="1"/>
  <c r="AG861" i="57"/>
  <c r="AJ861" i="57"/>
  <c r="X861" i="57"/>
  <c r="V861" i="57" l="1"/>
  <c r="AI861" i="57"/>
  <c r="Z861" i="57"/>
  <c r="AA861" i="57" s="1"/>
  <c r="AG859" i="57" l="1"/>
  <c r="X859" i="57"/>
  <c r="AJ859" i="57"/>
  <c r="V859" i="57" l="1"/>
  <c r="AI859" i="57"/>
  <c r="Z859" i="57"/>
  <c r="AA859" i="57" s="1"/>
  <c r="AG857" i="57" l="1"/>
  <c r="X857" i="57"/>
  <c r="AJ857" i="57"/>
  <c r="V857" i="57" l="1"/>
  <c r="AI857" i="57"/>
  <c r="Z857" i="57"/>
  <c r="AA857" i="57" s="1"/>
  <c r="AG855" i="57" l="1"/>
  <c r="X855" i="57"/>
  <c r="AJ855" i="57"/>
  <c r="V855" i="57" l="1"/>
  <c r="AI855" i="57"/>
  <c r="Z855" i="57"/>
  <c r="AA855" i="57" s="1"/>
  <c r="AG854" i="57"/>
  <c r="X854" i="57"/>
  <c r="AJ854" i="57"/>
  <c r="V854" i="57" l="1"/>
  <c r="AI854" i="57"/>
  <c r="Z854" i="57"/>
  <c r="AA854" i="57" s="1"/>
  <c r="AG852" i="57" l="1"/>
  <c r="X852" i="57"/>
  <c r="AJ852" i="57"/>
  <c r="V852" i="57" l="1"/>
  <c r="AI852" i="57"/>
  <c r="Z852" i="57"/>
  <c r="AA852" i="57" s="1"/>
  <c r="AG851" i="57"/>
  <c r="X851" i="57"/>
  <c r="AJ851" i="57"/>
  <c r="V851" i="57" l="1"/>
  <c r="AI851" i="57"/>
  <c r="Z851" i="57"/>
  <c r="AA851" i="57" s="1"/>
  <c r="AG850" i="57"/>
  <c r="AJ850" i="57"/>
  <c r="X850" i="57"/>
  <c r="V850" i="57" l="1"/>
  <c r="AI850" i="57"/>
  <c r="Z850" i="57"/>
  <c r="AA850" i="57" s="1"/>
  <c r="AG849" i="57"/>
  <c r="AJ849" i="57"/>
  <c r="X849" i="57"/>
  <c r="V849" i="57" l="1"/>
  <c r="AI849" i="57"/>
  <c r="Z849" i="57"/>
  <c r="AA849" i="57" s="1"/>
  <c r="AG848" i="57"/>
  <c r="AJ848" i="57"/>
  <c r="X848" i="57"/>
  <c r="V848" i="57" l="1"/>
  <c r="AI848" i="57"/>
  <c r="Z848" i="57"/>
  <c r="AA848" i="57" s="1"/>
  <c r="AG847" i="57"/>
  <c r="X847" i="57"/>
  <c r="AJ847" i="57"/>
  <c r="V847" i="57" l="1"/>
  <c r="AI847" i="57"/>
  <c r="Z847" i="57"/>
  <c r="AA847" i="57" s="1"/>
  <c r="AG844" i="57"/>
  <c r="AJ844" i="57"/>
  <c r="X844" i="57"/>
  <c r="V844" i="57" l="1"/>
  <c r="AI844" i="57"/>
  <c r="Z844" i="57"/>
  <c r="AA844" i="57" s="1"/>
  <c r="AG842" i="57" l="1"/>
  <c r="X842" i="57"/>
  <c r="AJ842" i="57"/>
  <c r="V842" i="57" l="1"/>
  <c r="AI842" i="57"/>
  <c r="Z842" i="57"/>
  <c r="AA842" i="57" s="1"/>
  <c r="AG841" i="57"/>
  <c r="X841" i="57"/>
  <c r="AJ841" i="57"/>
  <c r="V841" i="57" l="1"/>
  <c r="AI841" i="57"/>
  <c r="Z841" i="57"/>
  <c r="AA841" i="57" s="1"/>
  <c r="AG839" i="57" l="1"/>
  <c r="X839" i="57"/>
  <c r="AJ839" i="57"/>
  <c r="V839" i="57" l="1"/>
  <c r="AI839" i="57"/>
  <c r="Z839" i="57"/>
  <c r="AA839" i="57" s="1"/>
  <c r="AG838" i="57"/>
  <c r="X838" i="57"/>
  <c r="AJ838" i="57"/>
  <c r="V838" i="57" l="1"/>
  <c r="AI838" i="57"/>
  <c r="Z838" i="57"/>
  <c r="AA838" i="57" s="1"/>
  <c r="AG837" i="57"/>
  <c r="X837" i="57"/>
  <c r="AJ837" i="57"/>
  <c r="V837" i="57" l="1"/>
  <c r="AI837" i="57"/>
  <c r="Z837" i="57"/>
  <c r="AA837" i="57" s="1"/>
  <c r="AG836" i="57"/>
  <c r="X836" i="57"/>
  <c r="AJ836" i="57"/>
  <c r="V836" i="57" l="1"/>
  <c r="AI836" i="57"/>
  <c r="Z836" i="57"/>
  <c r="AA836" i="57" s="1"/>
  <c r="AG835" i="57"/>
  <c r="X835" i="57"/>
  <c r="AJ835" i="57"/>
  <c r="V835" i="57" l="1"/>
  <c r="AI835" i="57"/>
  <c r="Z835" i="57"/>
  <c r="AA835" i="57" s="1"/>
  <c r="AG834" i="57"/>
  <c r="X834" i="57"/>
  <c r="AJ834" i="57"/>
  <c r="V834" i="57" l="1"/>
  <c r="AI834" i="57"/>
  <c r="Z834" i="57"/>
  <c r="AA834" i="57" s="1"/>
  <c r="AG833" i="57"/>
  <c r="X833" i="57"/>
  <c r="AJ833" i="57"/>
  <c r="V833" i="57" l="1"/>
  <c r="AI833" i="57"/>
  <c r="Z833" i="57"/>
  <c r="AA833" i="57" s="1"/>
  <c r="AG832" i="57"/>
  <c r="AJ832" i="57"/>
  <c r="X832" i="57"/>
  <c r="V832" i="57" l="1"/>
  <c r="AI832" i="57"/>
  <c r="Z832" i="57"/>
  <c r="AA832" i="57" s="1"/>
  <c r="AG831" i="57"/>
  <c r="AJ831" i="57"/>
  <c r="X831" i="57"/>
  <c r="V831" i="57" l="1"/>
  <c r="AI831" i="57"/>
  <c r="Z831" i="57"/>
  <c r="AA831" i="57" s="1"/>
  <c r="AG830" i="57"/>
  <c r="AJ830" i="57"/>
  <c r="X830" i="57"/>
  <c r="V830" i="57" l="1"/>
  <c r="AI830" i="57"/>
  <c r="Z830" i="57"/>
  <c r="AA830" i="57" s="1"/>
  <c r="AG829" i="57"/>
  <c r="X829" i="57"/>
  <c r="AJ829" i="57"/>
  <c r="V829" i="57" l="1"/>
  <c r="AI829" i="57"/>
  <c r="Z829" i="57"/>
  <c r="AA829" i="57" s="1"/>
  <c r="AG828" i="57"/>
  <c r="X828" i="57"/>
  <c r="AJ828" i="57"/>
  <c r="V828" i="57" l="1"/>
  <c r="AI828" i="57"/>
  <c r="Z828" i="57"/>
  <c r="AA828" i="57" s="1"/>
  <c r="AG827" i="57"/>
  <c r="AJ827" i="57"/>
  <c r="X827" i="57"/>
  <c r="V827" i="57" l="1"/>
  <c r="AI827" i="57"/>
  <c r="Z827" i="57"/>
  <c r="AA827" i="57" s="1"/>
  <c r="AG826" i="57"/>
  <c r="X826" i="57"/>
  <c r="AJ826" i="57"/>
  <c r="V826" i="57" l="1"/>
  <c r="AI826" i="57"/>
  <c r="Z826" i="57"/>
  <c r="AA826" i="57" s="1"/>
  <c r="AG825" i="57"/>
  <c r="AJ825" i="57"/>
  <c r="X825" i="57"/>
  <c r="V825" i="57" l="1"/>
  <c r="AI825" i="57"/>
  <c r="Z825" i="57"/>
  <c r="AA825" i="57" s="1"/>
  <c r="AG824" i="57"/>
  <c r="X824" i="57"/>
  <c r="AJ824" i="57"/>
  <c r="V824" i="57" l="1"/>
  <c r="AI824" i="57"/>
  <c r="Z824" i="57"/>
  <c r="AA824" i="57" s="1"/>
  <c r="AG821" i="57" l="1"/>
  <c r="X821" i="57"/>
  <c r="AJ821" i="57"/>
  <c r="V821" i="57" l="1"/>
  <c r="AI821" i="57"/>
  <c r="Z821" i="57"/>
  <c r="AA821" i="57" s="1"/>
  <c r="AG820" i="57"/>
  <c r="X820" i="57"/>
  <c r="AJ820" i="57"/>
  <c r="V820" i="57" l="1"/>
  <c r="AI820" i="57"/>
  <c r="Z820" i="57"/>
  <c r="AA820" i="57" s="1"/>
  <c r="AG819" i="57"/>
  <c r="AJ819" i="57"/>
  <c r="X819" i="57"/>
  <c r="V819" i="57" l="1"/>
  <c r="AI819" i="57"/>
  <c r="Z819" i="57"/>
  <c r="AA819" i="57" s="1"/>
  <c r="AG818" i="57"/>
  <c r="X818" i="57"/>
  <c r="AJ818" i="57"/>
  <c r="V818" i="57" l="1"/>
  <c r="AI818" i="57"/>
  <c r="Z818" i="57"/>
  <c r="AA818" i="57" s="1"/>
  <c r="AG817" i="57"/>
  <c r="X817" i="57"/>
  <c r="AJ817" i="57"/>
  <c r="V817" i="57" l="1"/>
  <c r="AI817" i="57"/>
  <c r="Z817" i="57"/>
  <c r="AA817" i="57" s="1"/>
  <c r="AG816" i="57"/>
  <c r="AJ816" i="57"/>
  <c r="X816" i="57"/>
  <c r="V816" i="57" l="1"/>
  <c r="AI816" i="57"/>
  <c r="Z816" i="57"/>
  <c r="AA816" i="57" s="1"/>
  <c r="AG812" i="57" l="1"/>
  <c r="AJ812" i="57"/>
  <c r="X812" i="57"/>
  <c r="V812" i="57" l="1"/>
  <c r="AI812" i="57"/>
  <c r="Z812" i="57"/>
  <c r="AA812" i="57" s="1"/>
  <c r="AG811" i="57"/>
  <c r="AJ811" i="57"/>
  <c r="X811" i="57"/>
  <c r="V811" i="57" l="1"/>
  <c r="AI811" i="57"/>
  <c r="Z811" i="57"/>
  <c r="AA811" i="57" s="1"/>
  <c r="AG810" i="57"/>
  <c r="X810" i="57"/>
  <c r="AJ810" i="57"/>
  <c r="V810" i="57" l="1"/>
  <c r="AI810" i="57"/>
  <c r="Z810" i="57"/>
  <c r="AA810" i="57" s="1"/>
  <c r="AG809" i="57"/>
  <c r="X809" i="57"/>
  <c r="AJ809" i="57"/>
  <c r="V809" i="57" l="1"/>
  <c r="AI809" i="57"/>
  <c r="Z809" i="57"/>
  <c r="AA809" i="57" s="1"/>
  <c r="AG806" i="57"/>
  <c r="X806" i="57"/>
  <c r="AJ806" i="57"/>
  <c r="V806" i="57" l="1"/>
  <c r="AI806" i="57"/>
  <c r="Z806" i="57"/>
  <c r="AA806" i="57" s="1"/>
  <c r="AG805" i="57"/>
  <c r="X805" i="57"/>
  <c r="AJ805" i="57"/>
  <c r="V805" i="57" l="1"/>
  <c r="AI805" i="57"/>
  <c r="Z805" i="57"/>
  <c r="AA805" i="57" s="1"/>
  <c r="AG804" i="57"/>
  <c r="X804" i="57"/>
  <c r="AJ804" i="57"/>
  <c r="V804" i="57" l="1"/>
  <c r="AI804" i="57"/>
  <c r="Z804" i="57"/>
  <c r="AA804" i="57" s="1"/>
  <c r="AG803" i="57"/>
  <c r="X803" i="57"/>
  <c r="AJ803" i="57"/>
  <c r="V803" i="57" l="1"/>
  <c r="AI803" i="57"/>
  <c r="Z803" i="57"/>
  <c r="AA803" i="57" s="1"/>
  <c r="AG802" i="57"/>
  <c r="X802" i="57"/>
  <c r="AJ802" i="57"/>
  <c r="V802" i="57" l="1"/>
  <c r="AI802" i="57"/>
  <c r="Z802" i="57"/>
  <c r="AA802" i="57" s="1"/>
  <c r="AG801" i="57"/>
  <c r="X801" i="57"/>
  <c r="AJ801" i="57"/>
  <c r="V801" i="57" l="1"/>
  <c r="AI801" i="57"/>
  <c r="Z801" i="57"/>
  <c r="AA801" i="57" s="1"/>
  <c r="AG800" i="57"/>
  <c r="X800" i="57"/>
  <c r="AJ800" i="57"/>
  <c r="V800" i="57" l="1"/>
  <c r="AI800" i="57"/>
  <c r="Z800" i="57"/>
  <c r="AA800" i="57" s="1"/>
  <c r="AG799" i="57"/>
  <c r="X799" i="57"/>
  <c r="AJ799" i="57"/>
  <c r="V799" i="57" l="1"/>
  <c r="AI799" i="57"/>
  <c r="Z799" i="57"/>
  <c r="AA799" i="57" s="1"/>
  <c r="AG798" i="57"/>
  <c r="X798" i="57"/>
  <c r="AJ798" i="57"/>
  <c r="V798" i="57" l="1"/>
  <c r="AI798" i="57"/>
  <c r="Z798" i="57"/>
  <c r="AA798" i="57" s="1"/>
  <c r="AG797" i="57"/>
  <c r="AJ797" i="57"/>
  <c r="X797" i="57"/>
  <c r="V797" i="57" l="1"/>
  <c r="AI797" i="57"/>
  <c r="Z797" i="57"/>
  <c r="AA797" i="57" s="1"/>
  <c r="AG795" i="57" l="1"/>
  <c r="X795" i="57"/>
  <c r="AJ795" i="57"/>
  <c r="V795" i="57" l="1"/>
  <c r="AI795" i="57"/>
  <c r="Z795" i="57"/>
  <c r="AA795" i="57" s="1"/>
  <c r="AG794" i="57"/>
  <c r="AJ794" i="57"/>
  <c r="X794" i="57"/>
  <c r="V794" i="57" l="1"/>
  <c r="AI794" i="57"/>
  <c r="Z794" i="57"/>
  <c r="AA794" i="57" s="1"/>
  <c r="AG793" i="57"/>
  <c r="X793" i="57"/>
  <c r="AJ793" i="57"/>
  <c r="V793" i="57" l="1"/>
  <c r="AI793" i="57"/>
  <c r="Z793" i="57"/>
  <c r="AA793" i="57" s="1"/>
  <c r="AG792" i="57"/>
  <c r="AJ792" i="57"/>
  <c r="X792" i="57"/>
  <c r="V792" i="57" l="1"/>
  <c r="AI792" i="57"/>
  <c r="Z792" i="57"/>
  <c r="AA792" i="57" s="1"/>
  <c r="AG790" i="57" l="1"/>
  <c r="X790" i="57"/>
  <c r="AJ790" i="57"/>
  <c r="V790" i="57" l="1"/>
  <c r="AI790" i="57"/>
  <c r="Z790" i="57"/>
  <c r="AA790" i="57" s="1"/>
  <c r="AG789" i="57"/>
  <c r="X789" i="57"/>
  <c r="AJ789" i="57"/>
  <c r="V789" i="57" l="1"/>
  <c r="AI789" i="57"/>
  <c r="Z789" i="57"/>
  <c r="AA789" i="57" s="1"/>
  <c r="AG788" i="57"/>
  <c r="AJ788" i="57"/>
  <c r="X788" i="57"/>
  <c r="V788" i="57" l="1"/>
  <c r="AI788" i="57"/>
  <c r="Z788" i="57"/>
  <c r="AA788" i="57" s="1"/>
  <c r="AG787" i="57"/>
  <c r="X787" i="57"/>
  <c r="AJ787" i="57"/>
  <c r="V787" i="57" l="1"/>
  <c r="AI787" i="57"/>
  <c r="Z787" i="57"/>
  <c r="AA787" i="57" s="1"/>
  <c r="AG786" i="57"/>
  <c r="X786" i="57"/>
  <c r="AJ786" i="57"/>
  <c r="V786" i="57" l="1"/>
  <c r="AI786" i="57"/>
  <c r="Z786" i="57"/>
  <c r="AA786" i="57" s="1"/>
  <c r="AG785" i="57"/>
  <c r="AJ785" i="57"/>
  <c r="X785" i="57"/>
  <c r="V785" i="57" l="1"/>
  <c r="AI785" i="57"/>
  <c r="Z785" i="57"/>
  <c r="AA785" i="57" s="1"/>
  <c r="AG784" i="57"/>
  <c r="X784" i="57"/>
  <c r="AJ784" i="57"/>
  <c r="V784" i="57" l="1"/>
  <c r="AI784" i="57"/>
  <c r="Z784" i="57"/>
  <c r="AA784" i="57" s="1"/>
  <c r="AG783" i="57" l="1"/>
  <c r="AJ783" i="57"/>
  <c r="X783" i="57"/>
  <c r="V783" i="57" l="1"/>
  <c r="AI783" i="57"/>
  <c r="Z783" i="57"/>
  <c r="AA783" i="57" s="1"/>
  <c r="AG782" i="57"/>
  <c r="AJ782" i="57"/>
  <c r="X782" i="57"/>
  <c r="V782" i="57" l="1"/>
  <c r="AI782" i="57"/>
  <c r="Z782" i="57"/>
  <c r="AA782" i="57" s="1"/>
  <c r="AG781" i="57"/>
  <c r="X781" i="57"/>
  <c r="AJ781" i="57"/>
  <c r="V781" i="57" l="1"/>
  <c r="AI781" i="57"/>
  <c r="Z781" i="57"/>
  <c r="AA781" i="57" s="1"/>
  <c r="AG779" i="57" l="1"/>
  <c r="AJ779" i="57"/>
  <c r="X779" i="57"/>
  <c r="V779" i="57" l="1"/>
  <c r="AI779" i="57"/>
  <c r="Z779" i="57"/>
  <c r="AA779" i="57" s="1"/>
  <c r="AG778" i="57"/>
  <c r="X778" i="57"/>
  <c r="AJ778" i="57"/>
  <c r="V778" i="57" l="1"/>
  <c r="AI778" i="57"/>
  <c r="Z778" i="57"/>
  <c r="AA778" i="57" s="1"/>
  <c r="AG776" i="57" l="1"/>
  <c r="AJ776" i="57"/>
  <c r="X776" i="57"/>
  <c r="V776" i="57" l="1"/>
  <c r="AI776" i="57"/>
  <c r="Z776" i="57"/>
  <c r="AA776" i="57" s="1"/>
  <c r="AG775" i="57"/>
  <c r="X775" i="57"/>
  <c r="AJ775" i="57"/>
  <c r="V775" i="57" l="1"/>
  <c r="AI775" i="57"/>
  <c r="Z775" i="57"/>
  <c r="AA775" i="57" s="1"/>
  <c r="AG773" i="57" l="1"/>
  <c r="X773" i="57"/>
  <c r="AJ773" i="57"/>
  <c r="V773" i="57" l="1"/>
  <c r="AI773" i="57"/>
  <c r="Z773" i="57"/>
  <c r="AA773" i="57" s="1"/>
  <c r="AG772" i="57"/>
  <c r="X772" i="57"/>
  <c r="AJ772" i="57"/>
  <c r="V772" i="57" l="1"/>
  <c r="AI772" i="57"/>
  <c r="Z772" i="57"/>
  <c r="AA772" i="57" s="1"/>
  <c r="AG771" i="57"/>
  <c r="AJ771" i="57"/>
  <c r="X771" i="57"/>
  <c r="V771" i="57" l="1"/>
  <c r="AI771" i="57"/>
  <c r="Z771" i="57"/>
  <c r="AA771" i="57" s="1"/>
  <c r="AG770" i="57"/>
  <c r="X770" i="57"/>
  <c r="AJ770" i="57"/>
  <c r="V770" i="57" l="1"/>
  <c r="AI770" i="57"/>
  <c r="Z770" i="57"/>
  <c r="AA770" i="57" s="1"/>
  <c r="AG769" i="57"/>
  <c r="AJ769" i="57"/>
  <c r="X769" i="57"/>
  <c r="V769" i="57" l="1"/>
  <c r="AI769" i="57"/>
  <c r="Z769" i="57"/>
  <c r="AA769" i="57" s="1"/>
  <c r="AG768" i="57"/>
  <c r="X768" i="57"/>
  <c r="AJ768" i="57"/>
  <c r="V768" i="57" l="1"/>
  <c r="AI768" i="57"/>
  <c r="Z768" i="57"/>
  <c r="AA768" i="57" s="1"/>
  <c r="AG767" i="57"/>
  <c r="X767" i="57"/>
  <c r="AJ767" i="57"/>
  <c r="V767" i="57" l="1"/>
  <c r="AI767" i="57"/>
  <c r="Z767" i="57"/>
  <c r="AA767" i="57" s="1"/>
  <c r="AG766" i="57"/>
  <c r="AJ766" i="57"/>
  <c r="X766" i="57"/>
  <c r="V766" i="57" l="1"/>
  <c r="AI766" i="57"/>
  <c r="Z766" i="57"/>
  <c r="AA766" i="57" s="1"/>
  <c r="AG764" i="57" l="1"/>
  <c r="X764" i="57"/>
  <c r="AJ764" i="57"/>
  <c r="V764" i="57" l="1"/>
  <c r="AI764" i="57"/>
  <c r="Z764" i="57"/>
  <c r="AA764" i="57" s="1"/>
  <c r="AG763" i="57"/>
  <c r="AJ763" i="57"/>
  <c r="X763" i="57"/>
  <c r="V763" i="57" l="1"/>
  <c r="AI763" i="57"/>
  <c r="Z763" i="57"/>
  <c r="AA763" i="57" s="1"/>
  <c r="AG762" i="57"/>
  <c r="X762" i="57"/>
  <c r="AJ762" i="57"/>
  <c r="V762" i="57" l="1"/>
  <c r="AI762" i="57"/>
  <c r="Z762" i="57"/>
  <c r="AA762" i="57" s="1"/>
  <c r="AG761" i="57"/>
  <c r="X761" i="57"/>
  <c r="AJ761" i="57"/>
  <c r="V761" i="57" l="1"/>
  <c r="AI761" i="57"/>
  <c r="Z761" i="57"/>
  <c r="AA761" i="57" s="1"/>
  <c r="AG760" i="57"/>
  <c r="AJ760" i="57"/>
  <c r="X760" i="57"/>
  <c r="V760" i="57" l="1"/>
  <c r="AI760" i="57"/>
  <c r="Z760" i="57"/>
  <c r="AA760" i="57" s="1"/>
  <c r="AG759" i="57"/>
  <c r="X759" i="57"/>
  <c r="AJ759" i="57"/>
  <c r="V759" i="57" l="1"/>
  <c r="AI759" i="57"/>
  <c r="Z759" i="57"/>
  <c r="AA759" i="57" s="1"/>
  <c r="AG758" i="57"/>
  <c r="X758" i="57"/>
  <c r="AJ758" i="57"/>
  <c r="V758" i="57" l="1"/>
  <c r="AI758" i="57"/>
  <c r="Z758" i="57"/>
  <c r="AA758" i="57" s="1"/>
  <c r="AG757" i="57"/>
  <c r="AJ757" i="57"/>
  <c r="X757" i="57"/>
  <c r="V757" i="57" l="1"/>
  <c r="AI757" i="57"/>
  <c r="Z757" i="57"/>
  <c r="AA757" i="57" s="1"/>
  <c r="AG756" i="57"/>
  <c r="X756" i="57"/>
  <c r="AJ756" i="57"/>
  <c r="V756" i="57" l="1"/>
  <c r="AI756" i="57"/>
  <c r="Z756" i="57"/>
  <c r="AA756" i="57" s="1"/>
  <c r="AG755" i="57"/>
  <c r="X755" i="57"/>
  <c r="AJ755" i="57"/>
  <c r="V755" i="57" l="1"/>
  <c r="AI755" i="57"/>
  <c r="Z755" i="57"/>
  <c r="AA755" i="57" s="1"/>
  <c r="AG754" i="57"/>
  <c r="X754" i="57"/>
  <c r="AJ754" i="57"/>
  <c r="V754" i="57" l="1"/>
  <c r="AI754" i="57"/>
  <c r="Z754" i="57"/>
  <c r="AA754" i="57" s="1"/>
  <c r="AG752" i="57" l="1"/>
  <c r="X752" i="57"/>
  <c r="AJ752" i="57"/>
  <c r="V752" i="57" l="1"/>
  <c r="AI752" i="57"/>
  <c r="Z752" i="57"/>
  <c r="AA752" i="57" s="1"/>
  <c r="AG751" i="57"/>
  <c r="AJ751" i="57"/>
  <c r="X751" i="57"/>
  <c r="V751" i="57" l="1"/>
  <c r="AI751" i="57"/>
  <c r="Z751" i="57"/>
  <c r="AA751" i="57" s="1"/>
  <c r="AG750" i="57"/>
  <c r="X750" i="57"/>
  <c r="AJ750" i="57"/>
  <c r="V750" i="57" l="1"/>
  <c r="AI750" i="57"/>
  <c r="Z750" i="57"/>
  <c r="AA750" i="57" s="1"/>
  <c r="AG749" i="57"/>
  <c r="X749" i="57"/>
  <c r="V749" i="57" l="1"/>
  <c r="Z749" i="57"/>
  <c r="AA749" i="57" s="1"/>
  <c r="AG748" i="57"/>
  <c r="X748" i="57"/>
  <c r="V748" i="57" l="1"/>
  <c r="Z748" i="57"/>
  <c r="AA748" i="57" s="1"/>
  <c r="AG746" i="57" l="1"/>
  <c r="X746" i="57"/>
  <c r="V746" i="57" l="1"/>
  <c r="Z746" i="57"/>
  <c r="AA746" i="57" s="1"/>
  <c r="AG741" i="57" l="1"/>
  <c r="AJ741" i="57"/>
  <c r="X741" i="57"/>
  <c r="V741" i="57" l="1"/>
  <c r="AI741" i="57"/>
  <c r="Z741" i="57"/>
  <c r="AA741" i="57" s="1"/>
  <c r="AG740" i="57"/>
  <c r="X740" i="57"/>
  <c r="AJ740" i="57"/>
  <c r="V740" i="57" l="1"/>
  <c r="AI740" i="57"/>
  <c r="Z740" i="57"/>
  <c r="AA740" i="57" s="1"/>
  <c r="AG739" i="57"/>
  <c r="X739" i="57"/>
  <c r="AJ739" i="57"/>
  <c r="V739" i="57" l="1"/>
  <c r="AI739" i="57"/>
  <c r="Z739" i="57"/>
  <c r="AA739" i="57" s="1"/>
  <c r="AG738" i="57"/>
  <c r="X738" i="57"/>
  <c r="AJ738" i="57"/>
  <c r="V738" i="57" l="1"/>
  <c r="AI738" i="57"/>
  <c r="Z738" i="57"/>
  <c r="AA738" i="57" s="1"/>
  <c r="AG737" i="57"/>
  <c r="X737" i="57"/>
  <c r="AJ737" i="57"/>
  <c r="V737" i="57" l="1"/>
  <c r="AI737" i="57"/>
  <c r="Z737" i="57"/>
  <c r="AA737" i="57" s="1"/>
  <c r="AG734" i="57" l="1"/>
  <c r="X734" i="57"/>
  <c r="AJ734" i="57"/>
  <c r="V734" i="57" l="1"/>
  <c r="AI734" i="57"/>
  <c r="Z734" i="57"/>
  <c r="AA734" i="57" s="1"/>
  <c r="AG733" i="57"/>
  <c r="X733" i="57"/>
  <c r="AJ733" i="57"/>
  <c r="V733" i="57" l="1"/>
  <c r="AI733" i="57"/>
  <c r="Z733" i="57"/>
  <c r="AA733" i="57" s="1"/>
  <c r="AG732" i="57"/>
  <c r="X732" i="57"/>
  <c r="AJ732" i="57"/>
  <c r="V732" i="57" l="1"/>
  <c r="AI732" i="57"/>
  <c r="Z732" i="57"/>
  <c r="AA732" i="57" s="1"/>
  <c r="AG731" i="57"/>
  <c r="AJ731" i="57"/>
  <c r="X731" i="57"/>
  <c r="V731" i="57" l="1"/>
  <c r="AI731" i="57"/>
  <c r="Z731" i="57"/>
  <c r="AA731" i="57" s="1"/>
  <c r="AG730" i="57"/>
  <c r="X730" i="57"/>
  <c r="AJ730" i="57"/>
  <c r="V730" i="57" l="1"/>
  <c r="AI730" i="57"/>
  <c r="Z730" i="57"/>
  <c r="AA730" i="57" s="1"/>
  <c r="AG729" i="57"/>
  <c r="X729" i="57"/>
  <c r="AJ729" i="57"/>
  <c r="V729" i="57" l="1"/>
  <c r="AI729" i="57"/>
  <c r="Z729" i="57"/>
  <c r="AA729" i="57" s="1"/>
  <c r="AG727" i="57" l="1"/>
  <c r="X727" i="57"/>
  <c r="AJ727" i="57"/>
  <c r="V727" i="57" l="1"/>
  <c r="AI727" i="57"/>
  <c r="Z727" i="57"/>
  <c r="AA727" i="57" s="1"/>
  <c r="AG726" i="57"/>
  <c r="AJ726" i="57"/>
  <c r="X726" i="57"/>
  <c r="V726" i="57" l="1"/>
  <c r="AI726" i="57"/>
  <c r="Z726" i="57"/>
  <c r="AA726" i="57" s="1"/>
  <c r="AG725" i="57"/>
  <c r="X725" i="57"/>
  <c r="AJ725" i="57"/>
  <c r="V725" i="57" l="1"/>
  <c r="AI725" i="57"/>
  <c r="Z725" i="57"/>
  <c r="AA725" i="57" s="1"/>
  <c r="AG723" i="57" l="1"/>
  <c r="X723" i="57"/>
  <c r="AJ723" i="57"/>
  <c r="V723" i="57" l="1"/>
  <c r="AI723" i="57"/>
  <c r="Z723" i="57"/>
  <c r="AA723" i="57" s="1"/>
  <c r="AG722" i="57"/>
  <c r="AJ722" i="57"/>
  <c r="X722" i="57"/>
  <c r="V722" i="57" l="1"/>
  <c r="AI722" i="57"/>
  <c r="Z722" i="57"/>
  <c r="AA722" i="57" s="1"/>
  <c r="AG721" i="57"/>
  <c r="AJ721" i="57"/>
  <c r="X721" i="57"/>
  <c r="V721" i="57" l="1"/>
  <c r="AI721" i="57"/>
  <c r="Z721" i="57"/>
  <c r="AA721" i="57" s="1"/>
  <c r="AG719" i="57" l="1"/>
  <c r="X719" i="57"/>
  <c r="V719" i="57" l="1"/>
  <c r="Z719" i="57"/>
  <c r="AA719" i="57" s="1"/>
  <c r="AG718" i="57"/>
  <c r="X718" i="57"/>
  <c r="V718" i="57" l="1"/>
  <c r="Z718" i="57"/>
  <c r="AA718" i="57" s="1"/>
  <c r="AG716" i="57" l="1"/>
  <c r="X716" i="57"/>
  <c r="V716" i="57" l="1"/>
  <c r="Z716" i="57"/>
  <c r="AA716" i="57" s="1"/>
  <c r="AG713" i="57" l="1"/>
  <c r="X713" i="57"/>
  <c r="AJ713" i="57"/>
  <c r="V713" i="57" l="1"/>
  <c r="AI713" i="57"/>
  <c r="Z713" i="57"/>
  <c r="AA713" i="57" s="1"/>
  <c r="AG710" i="57" l="1"/>
  <c r="AJ710" i="57"/>
  <c r="X710" i="57"/>
  <c r="V710" i="57" l="1"/>
  <c r="AI710" i="57"/>
  <c r="Z710" i="57"/>
  <c r="AA710" i="57" s="1"/>
  <c r="AG709" i="57"/>
  <c r="AJ709" i="57"/>
  <c r="X709" i="57"/>
  <c r="V709" i="57" l="1"/>
  <c r="AI709" i="57"/>
  <c r="Z709" i="57"/>
  <c r="AA709" i="57" s="1"/>
  <c r="AG708" i="57"/>
  <c r="X708" i="57"/>
  <c r="AJ708" i="57"/>
  <c r="V708" i="57" l="1"/>
  <c r="AI708" i="57"/>
  <c r="Z708" i="57"/>
  <c r="AA708" i="57" s="1"/>
  <c r="AG707" i="57"/>
  <c r="X707" i="57"/>
  <c r="AJ707" i="57"/>
  <c r="V707" i="57" l="1"/>
  <c r="AI707" i="57"/>
  <c r="Z707" i="57"/>
  <c r="AA707" i="57" s="1"/>
  <c r="AG706" i="57"/>
  <c r="X706" i="57"/>
  <c r="AJ706" i="57"/>
  <c r="V706" i="57" l="1"/>
  <c r="AI706" i="57"/>
  <c r="Z706" i="57"/>
  <c r="AA706" i="57" s="1"/>
  <c r="AG705" i="57"/>
  <c r="X705" i="57"/>
  <c r="AJ705" i="57"/>
  <c r="V705" i="57" l="1"/>
  <c r="AI705" i="57"/>
  <c r="Z705" i="57"/>
  <c r="AA705" i="57" s="1"/>
  <c r="AG704" i="57"/>
  <c r="X704" i="57"/>
  <c r="AJ704" i="57"/>
  <c r="V704" i="57" l="1"/>
  <c r="AI704" i="57"/>
  <c r="Z704" i="57"/>
  <c r="AA704" i="57" s="1"/>
  <c r="AG703" i="57"/>
  <c r="AJ703" i="57"/>
  <c r="X703" i="57"/>
  <c r="V703" i="57" l="1"/>
  <c r="AI703" i="57"/>
  <c r="Z703" i="57"/>
  <c r="AA703" i="57" s="1"/>
  <c r="AG702" i="57"/>
  <c r="AJ702" i="57"/>
  <c r="X702" i="57"/>
  <c r="V702" i="57" l="1"/>
  <c r="AI702" i="57"/>
  <c r="Z702" i="57"/>
  <c r="AA702" i="57" s="1"/>
  <c r="AG701" i="57"/>
  <c r="AJ701" i="57"/>
  <c r="X701" i="57"/>
  <c r="V701" i="57" l="1"/>
  <c r="AI701" i="57"/>
  <c r="Z701" i="57"/>
  <c r="AA701" i="57" s="1"/>
  <c r="AG700" i="57"/>
  <c r="AJ700" i="57"/>
  <c r="X700" i="57"/>
  <c r="V700" i="57" l="1"/>
  <c r="AI700" i="57"/>
  <c r="Z700" i="57"/>
  <c r="AA700" i="57" s="1"/>
  <c r="AG699" i="57"/>
  <c r="AJ699" i="57"/>
  <c r="X699" i="57"/>
  <c r="V699" i="57" l="1"/>
  <c r="AI699" i="57"/>
  <c r="Z699" i="57"/>
  <c r="AA699" i="57" s="1"/>
  <c r="AG695" i="57"/>
  <c r="X695" i="57"/>
  <c r="AJ695" i="57"/>
  <c r="V695" i="57" l="1"/>
  <c r="AI695" i="57"/>
  <c r="Z695" i="57"/>
  <c r="AA695" i="57" s="1"/>
  <c r="AG694" i="57"/>
  <c r="X694" i="57"/>
  <c r="AJ694" i="57"/>
  <c r="V694" i="57" l="1"/>
  <c r="AI694" i="57"/>
  <c r="Z694" i="57"/>
  <c r="AA694" i="57" s="1"/>
  <c r="AG691" i="57" l="1"/>
  <c r="X691" i="57"/>
  <c r="AJ691" i="57"/>
  <c r="V691" i="57" l="1"/>
  <c r="AI691" i="57"/>
  <c r="Z691" i="57"/>
  <c r="AA691" i="57" s="1"/>
  <c r="AG690" i="57"/>
  <c r="X690" i="57"/>
  <c r="AJ690" i="57"/>
  <c r="V690" i="57" l="1"/>
  <c r="AI690" i="57"/>
  <c r="Z690" i="57"/>
  <c r="AA690" i="57" s="1"/>
  <c r="AG689" i="57"/>
  <c r="AJ689" i="57"/>
  <c r="X689" i="57"/>
  <c r="V689" i="57" l="1"/>
  <c r="AI689" i="57"/>
  <c r="Z689" i="57"/>
  <c r="AA689" i="57" s="1"/>
  <c r="AG688" i="57"/>
  <c r="AJ688" i="57"/>
  <c r="X688" i="57"/>
  <c r="V688" i="57" l="1"/>
  <c r="AI688" i="57"/>
  <c r="Z688" i="57"/>
  <c r="AA688" i="57" s="1"/>
  <c r="AG686" i="57" l="1"/>
  <c r="X686" i="57"/>
  <c r="AJ686" i="57"/>
  <c r="V686" i="57" l="1"/>
  <c r="AI686" i="57"/>
  <c r="Z686" i="57"/>
  <c r="AA686" i="57" s="1"/>
  <c r="AG685" i="57"/>
  <c r="X685" i="57"/>
  <c r="AJ685" i="57"/>
  <c r="V685" i="57" l="1"/>
  <c r="AI685" i="57"/>
  <c r="Z685" i="57"/>
  <c r="AA685" i="57" s="1"/>
  <c r="AG684" i="57"/>
  <c r="AJ684" i="57"/>
  <c r="X684" i="57"/>
  <c r="V684" i="57" l="1"/>
  <c r="AI684" i="57"/>
  <c r="Z684" i="57"/>
  <c r="AA684" i="57" s="1"/>
  <c r="AG683" i="57"/>
  <c r="AJ683" i="57"/>
  <c r="X683" i="57"/>
  <c r="V683" i="57" l="1"/>
  <c r="AI683" i="57"/>
  <c r="Z683" i="57"/>
  <c r="AA683" i="57" s="1"/>
  <c r="AG681" i="57" l="1"/>
  <c r="AJ681" i="57"/>
  <c r="X681" i="57"/>
  <c r="V681" i="57" l="1"/>
  <c r="AI681" i="57"/>
  <c r="Z681" i="57"/>
  <c r="AA681" i="57" s="1"/>
  <c r="AG678" i="57" l="1"/>
  <c r="X678" i="57"/>
  <c r="AJ678" i="57"/>
  <c r="V678" i="57" l="1"/>
  <c r="AI678" i="57"/>
  <c r="Z678" i="57"/>
  <c r="AA678" i="57" s="1"/>
  <c r="AG672" i="57" l="1"/>
  <c r="AJ672" i="57"/>
  <c r="X672" i="57"/>
  <c r="V672" i="57" l="1"/>
  <c r="AI672" i="57"/>
  <c r="Z672" i="57"/>
  <c r="AA672" i="57" s="1"/>
  <c r="AG671" i="57"/>
  <c r="X671" i="57"/>
  <c r="AJ671" i="57"/>
  <c r="V671" i="57" l="1"/>
  <c r="AI671" i="57"/>
  <c r="Z671" i="57"/>
  <c r="AA671" i="57" s="1"/>
  <c r="AG667" i="57" l="1"/>
  <c r="X667" i="57"/>
  <c r="AJ667" i="57"/>
  <c r="V667" i="57" l="1"/>
  <c r="AI667" i="57"/>
  <c r="Z667" i="57"/>
  <c r="AA667" i="57" s="1"/>
  <c r="AG666" i="57"/>
  <c r="X666" i="57"/>
  <c r="AJ666" i="57"/>
  <c r="V666" i="57" l="1"/>
  <c r="AI666" i="57"/>
  <c r="Z666" i="57"/>
  <c r="AA666" i="57" s="1"/>
  <c r="AG665" i="57"/>
  <c r="X665" i="57"/>
  <c r="AJ665" i="57"/>
  <c r="V665" i="57" l="1"/>
  <c r="AI665" i="57"/>
  <c r="Z665" i="57"/>
  <c r="AA665" i="57" s="1"/>
  <c r="AG664" i="57"/>
  <c r="X664" i="57"/>
  <c r="AJ664" i="57"/>
  <c r="V664" i="57" l="1"/>
  <c r="AI664" i="57"/>
  <c r="Z664" i="57"/>
  <c r="AA664" i="57" s="1"/>
  <c r="AG663" i="57"/>
  <c r="AJ663" i="57"/>
  <c r="X663" i="57"/>
  <c r="V663" i="57" l="1"/>
  <c r="AI663" i="57"/>
  <c r="Z663" i="57"/>
  <c r="AA663" i="57" s="1"/>
  <c r="AG661" i="57" l="1"/>
  <c r="X661" i="57"/>
  <c r="AJ661" i="57"/>
  <c r="V661" i="57" l="1"/>
  <c r="AI661" i="57"/>
  <c r="Z661" i="57"/>
  <c r="AA661" i="57" s="1"/>
  <c r="AG658" i="57" l="1"/>
  <c r="X658" i="57"/>
  <c r="AJ658" i="57"/>
  <c r="V658" i="57" l="1"/>
  <c r="AI658" i="57"/>
  <c r="Z658" i="57"/>
  <c r="AA658" i="57" s="1"/>
  <c r="AG650" i="57" l="1"/>
  <c r="X650" i="57"/>
  <c r="AJ650" i="57"/>
  <c r="V650" i="57" l="1"/>
  <c r="AI650" i="57"/>
  <c r="Z650" i="57"/>
  <c r="AA650" i="57" s="1"/>
  <c r="AG646" i="57" l="1"/>
  <c r="X646" i="57"/>
  <c r="AJ646" i="57"/>
  <c r="V646" i="57" l="1"/>
  <c r="AI646" i="57"/>
  <c r="Z646" i="57"/>
  <c r="AA646" i="57" s="1"/>
  <c r="AG645" i="57"/>
  <c r="AJ645" i="57"/>
  <c r="X645" i="57"/>
  <c r="V645" i="57" l="1"/>
  <c r="AI645" i="57"/>
  <c r="Z645" i="57"/>
  <c r="AA645" i="57" s="1"/>
  <c r="AG641" i="57" l="1"/>
  <c r="X641" i="57"/>
  <c r="AJ641" i="57"/>
  <c r="V641" i="57" l="1"/>
  <c r="AI641" i="57"/>
  <c r="Z641" i="57"/>
  <c r="AA641" i="57" s="1"/>
  <c r="AG639" i="57" l="1"/>
  <c r="X639" i="57"/>
  <c r="AJ639" i="57"/>
  <c r="V639" i="57" l="1"/>
  <c r="AI639" i="57"/>
  <c r="Z639" i="57"/>
  <c r="AA639" i="57" s="1"/>
  <c r="AG638" i="57"/>
  <c r="X638" i="57"/>
  <c r="AJ638" i="57"/>
  <c r="V638" i="57" l="1"/>
  <c r="AI638" i="57"/>
  <c r="Z638" i="57"/>
  <c r="AA638" i="57" s="1"/>
  <c r="AG637" i="57"/>
  <c r="AJ637" i="57"/>
  <c r="X637" i="57"/>
  <c r="V637" i="57" l="1"/>
  <c r="AI637" i="57"/>
  <c r="Z637" i="57"/>
  <c r="AA637" i="57" s="1"/>
  <c r="AG634" i="57" l="1"/>
  <c r="AJ634" i="57"/>
  <c r="X634" i="57"/>
  <c r="V634" i="57" l="1"/>
  <c r="AI634" i="57"/>
  <c r="Z634" i="57"/>
  <c r="AA634" i="57" s="1"/>
  <c r="AG628" i="57" l="1"/>
  <c r="AJ628" i="57"/>
  <c r="X628" i="57"/>
  <c r="V628" i="57" l="1"/>
  <c r="AI628" i="57"/>
  <c r="Z628" i="57"/>
  <c r="AA628" i="57" s="1"/>
  <c r="AG627" i="57"/>
  <c r="X627" i="57"/>
  <c r="AJ627" i="57"/>
  <c r="V627" i="57" l="1"/>
  <c r="AI627" i="57"/>
  <c r="Z627" i="57"/>
  <c r="AA627" i="57" s="1"/>
  <c r="AG625" i="57" l="1"/>
  <c r="X625" i="57"/>
  <c r="AJ625" i="57"/>
  <c r="V625" i="57" l="1"/>
  <c r="AI625" i="57"/>
  <c r="Z625" i="57"/>
  <c r="AA625" i="57" s="1"/>
  <c r="AG624" i="57"/>
  <c r="X624" i="57"/>
  <c r="AJ624" i="57"/>
  <c r="V624" i="57" l="1"/>
  <c r="AI624" i="57"/>
  <c r="Z624" i="57"/>
  <c r="AA624" i="57" s="1"/>
  <c r="AG623" i="57"/>
  <c r="X623" i="57"/>
  <c r="AJ623" i="57"/>
  <c r="V623" i="57" l="1"/>
  <c r="AI623" i="57"/>
  <c r="Z623" i="57"/>
  <c r="AA623" i="57" s="1"/>
  <c r="AG622" i="57"/>
  <c r="X622" i="57"/>
  <c r="AJ622" i="57"/>
  <c r="V622" i="57" l="1"/>
  <c r="AI622" i="57"/>
  <c r="Z622" i="57"/>
  <c r="AA622" i="57" s="1"/>
  <c r="AG620" i="57" l="1"/>
  <c r="AJ620" i="57"/>
  <c r="X620" i="57"/>
  <c r="V620" i="57" l="1"/>
  <c r="AI620" i="57"/>
  <c r="Z620" i="57"/>
  <c r="AA620" i="57" s="1"/>
  <c r="AG619" i="57"/>
  <c r="AJ619" i="57"/>
  <c r="X619" i="57"/>
  <c r="V619" i="57" l="1"/>
  <c r="AI619" i="57"/>
  <c r="Z619" i="57"/>
  <c r="AA619" i="57" s="1"/>
  <c r="AG618" i="57"/>
  <c r="X618" i="57"/>
  <c r="AJ618" i="57"/>
  <c r="V618" i="57" l="1"/>
  <c r="AI618" i="57"/>
  <c r="Z618" i="57"/>
  <c r="AA618" i="57" s="1"/>
  <c r="AG614" i="57" l="1"/>
  <c r="X614" i="57"/>
  <c r="AJ614" i="57"/>
  <c r="V614" i="57" l="1"/>
  <c r="AI614" i="57"/>
  <c r="Z614" i="57"/>
  <c r="AA614" i="57" s="1"/>
  <c r="AG613" i="57"/>
  <c r="AJ613" i="57"/>
  <c r="X613" i="57"/>
  <c r="V613" i="57" l="1"/>
  <c r="AI613" i="57"/>
  <c r="Z613" i="57"/>
  <c r="AA613" i="57" s="1"/>
  <c r="AG612" i="57"/>
  <c r="X612" i="57"/>
  <c r="AJ612" i="57"/>
  <c r="V612" i="57" l="1"/>
  <c r="AI612" i="57"/>
  <c r="Z612" i="57"/>
  <c r="AA612" i="57" s="1"/>
  <c r="AG611" i="57"/>
  <c r="X611" i="57"/>
  <c r="AJ611" i="57"/>
  <c r="V611" i="57" l="1"/>
  <c r="AI611" i="57"/>
  <c r="Z611" i="57"/>
  <c r="AA611" i="57" s="1"/>
  <c r="AG610" i="57"/>
  <c r="X610" i="57"/>
  <c r="AJ610" i="57"/>
  <c r="V610" i="57" l="1"/>
  <c r="AI610" i="57"/>
  <c r="Z610" i="57"/>
  <c r="AA610" i="57" s="1"/>
  <c r="AG609" i="57"/>
  <c r="X609" i="57"/>
  <c r="AJ609" i="57"/>
  <c r="V609" i="57" l="1"/>
  <c r="AI609" i="57"/>
  <c r="Z609" i="57"/>
  <c r="AA609" i="57" s="1"/>
  <c r="AG608" i="57"/>
  <c r="X608" i="57"/>
  <c r="AJ608" i="57"/>
  <c r="V608" i="57" l="1"/>
  <c r="AI608" i="57"/>
  <c r="Z608" i="57"/>
  <c r="AA608" i="57" s="1"/>
  <c r="AG606" i="57" l="1"/>
  <c r="AJ606" i="57"/>
  <c r="X606" i="57"/>
  <c r="V606" i="57" l="1"/>
  <c r="AI606" i="57"/>
  <c r="Z606" i="57"/>
  <c r="AA606" i="57" s="1"/>
  <c r="AG604" i="57" l="1"/>
  <c r="X604" i="57"/>
  <c r="AJ604" i="57"/>
  <c r="V604" i="57" l="1"/>
  <c r="AI604" i="57"/>
  <c r="Z604" i="57"/>
  <c r="AA604" i="57" s="1"/>
  <c r="AG602" i="57" l="1"/>
  <c r="X602" i="57"/>
  <c r="AJ602" i="57"/>
  <c r="V602" i="57" l="1"/>
  <c r="AI602" i="57"/>
  <c r="Z602" i="57"/>
  <c r="AA602" i="57" s="1"/>
  <c r="AG598" i="57" l="1"/>
  <c r="AJ598" i="57"/>
  <c r="X598" i="57"/>
  <c r="V598" i="57" l="1"/>
  <c r="AI598" i="57"/>
  <c r="Z598" i="57"/>
  <c r="AA598" i="57" s="1"/>
  <c r="AG597" i="57"/>
  <c r="AJ597" i="57"/>
  <c r="X597" i="57"/>
  <c r="V597" i="57" l="1"/>
  <c r="AI597" i="57"/>
  <c r="Z597" i="57"/>
  <c r="AA597" i="57" s="1"/>
  <c r="AG596" i="57"/>
  <c r="X596" i="57"/>
  <c r="AJ596" i="57"/>
  <c r="V596" i="57" l="1"/>
  <c r="AI596" i="57"/>
  <c r="Z596" i="57"/>
  <c r="AA596" i="57" s="1"/>
  <c r="AG593" i="57" l="1"/>
  <c r="X593" i="57"/>
  <c r="AJ593" i="57"/>
  <c r="V593" i="57" l="1"/>
  <c r="AI593" i="57"/>
  <c r="Z593" i="57"/>
  <c r="AA593" i="57" s="1"/>
  <c r="AG590" i="57" l="1"/>
  <c r="X590" i="57"/>
  <c r="AJ590" i="57"/>
  <c r="V590" i="57" l="1"/>
  <c r="AI590" i="57"/>
  <c r="Z590" i="57"/>
  <c r="AA590" i="57" s="1"/>
  <c r="AG589" i="57"/>
  <c r="X589" i="57"/>
  <c r="AJ589" i="57"/>
  <c r="V589" i="57" l="1"/>
  <c r="AI589" i="57"/>
  <c r="Z589" i="57"/>
  <c r="AA589" i="57" s="1"/>
  <c r="AG587" i="57" l="1"/>
  <c r="X587" i="57"/>
  <c r="AJ587" i="57"/>
  <c r="V587" i="57" l="1"/>
  <c r="AI587" i="57"/>
  <c r="Z587" i="57"/>
  <c r="AA587" i="57" s="1"/>
  <c r="AG585" i="57" l="1"/>
  <c r="AJ585" i="57"/>
  <c r="X585" i="57"/>
  <c r="V585" i="57" l="1"/>
  <c r="AI585" i="57"/>
  <c r="Z585" i="57"/>
  <c r="AA585" i="57" s="1"/>
  <c r="AG584" i="57"/>
  <c r="X584" i="57"/>
  <c r="AJ584" i="57"/>
  <c r="V584" i="57" l="1"/>
  <c r="AI584" i="57"/>
  <c r="Z584" i="57"/>
  <c r="AA584" i="57" s="1"/>
  <c r="AG583" i="57"/>
  <c r="X583" i="57"/>
  <c r="AJ583" i="57"/>
  <c r="V583" i="57" l="1"/>
  <c r="AI583" i="57"/>
  <c r="Z583" i="57"/>
  <c r="AA583" i="57" s="1"/>
  <c r="AG578" i="57" l="1"/>
  <c r="X578" i="57"/>
  <c r="AJ578" i="57"/>
  <c r="V578" i="57" l="1"/>
  <c r="AI578" i="57"/>
  <c r="Z578" i="57"/>
  <c r="AA578" i="57" s="1"/>
  <c r="AG576" i="57" l="1"/>
  <c r="X576" i="57"/>
  <c r="AJ576" i="57"/>
  <c r="V576" i="57" l="1"/>
  <c r="AI576" i="57"/>
  <c r="Z576" i="57"/>
  <c r="AA576" i="57" s="1"/>
  <c r="AG575" i="57"/>
  <c r="AJ575" i="57"/>
  <c r="X575" i="57"/>
  <c r="V575" i="57" l="1"/>
  <c r="AI575" i="57"/>
  <c r="Z575" i="57"/>
  <c r="AA575" i="57" s="1"/>
  <c r="AG574" i="57"/>
  <c r="AJ574" i="57"/>
  <c r="X574" i="57"/>
  <c r="V574" i="57" l="1"/>
  <c r="AI574" i="57"/>
  <c r="Z574" i="57"/>
  <c r="AA574" i="57" s="1"/>
  <c r="AG573" i="57"/>
  <c r="X573" i="57"/>
  <c r="AJ573" i="57"/>
  <c r="V573" i="57" l="1"/>
  <c r="AI573" i="57"/>
  <c r="Z573" i="57"/>
  <c r="AA573" i="57" s="1"/>
  <c r="AG572" i="57"/>
  <c r="AJ572" i="57"/>
  <c r="X572" i="57"/>
  <c r="V572" i="57" l="1"/>
  <c r="AI572" i="57"/>
  <c r="Z572" i="57"/>
  <c r="AA572" i="57" s="1"/>
  <c r="AG570" i="57" l="1"/>
  <c r="AJ570" i="57"/>
  <c r="X570" i="57"/>
  <c r="V570" i="57" l="1"/>
  <c r="AI570" i="57"/>
  <c r="Z570" i="57"/>
  <c r="AA570" i="57" s="1"/>
  <c r="AG569" i="57"/>
  <c r="AJ569" i="57"/>
  <c r="X569" i="57"/>
  <c r="V569" i="57" l="1"/>
  <c r="AI569" i="57"/>
  <c r="Z569" i="57"/>
  <c r="AA569" i="57" s="1"/>
  <c r="AG568" i="57"/>
  <c r="AJ568" i="57"/>
  <c r="X568" i="57"/>
  <c r="V568" i="57" l="1"/>
  <c r="AI568" i="57"/>
  <c r="Z568" i="57"/>
  <c r="AA568" i="57" s="1"/>
  <c r="AG567" i="57"/>
  <c r="X567" i="57"/>
  <c r="AJ567" i="57"/>
  <c r="V567" i="57" l="1"/>
  <c r="AI567" i="57"/>
  <c r="Z567" i="57"/>
  <c r="AA567" i="57" s="1"/>
  <c r="AG566" i="57"/>
  <c r="AJ566" i="57"/>
  <c r="X566" i="57"/>
  <c r="V566" i="57" l="1"/>
  <c r="AI566" i="57"/>
  <c r="Z566" i="57"/>
  <c r="AA566" i="57" s="1"/>
  <c r="AG565" i="57"/>
  <c r="AJ565" i="57"/>
  <c r="X565" i="57"/>
  <c r="V565" i="57" l="1"/>
  <c r="AI565" i="57"/>
  <c r="Z565" i="57"/>
  <c r="AA565" i="57" s="1"/>
  <c r="AG560" i="57" l="1"/>
  <c r="AJ560" i="57"/>
  <c r="X560" i="57"/>
  <c r="V560" i="57" l="1"/>
  <c r="AI560" i="57"/>
  <c r="Z560" i="57"/>
  <c r="AA560" i="57" s="1"/>
  <c r="AG559" i="57"/>
  <c r="X559" i="57"/>
  <c r="AJ559" i="57"/>
  <c r="V559" i="57" l="1"/>
  <c r="AI559" i="57"/>
  <c r="Z559" i="57"/>
  <c r="AA559" i="57" s="1"/>
  <c r="AG558" i="57"/>
  <c r="X558" i="57"/>
  <c r="AJ558" i="57"/>
  <c r="V558" i="57" l="1"/>
  <c r="AI558" i="57"/>
  <c r="Z558" i="57"/>
  <c r="AA558" i="57" s="1"/>
  <c r="AG554" i="57" l="1"/>
  <c r="AJ554" i="57"/>
  <c r="X554" i="57"/>
  <c r="V554" i="57" l="1"/>
  <c r="AI554" i="57"/>
  <c r="Z554" i="57"/>
  <c r="AA554" i="57" s="1"/>
  <c r="AG548" i="57" l="1"/>
  <c r="X548" i="57"/>
  <c r="AJ548" i="57"/>
  <c r="V548" i="57" l="1"/>
  <c r="AI548" i="57"/>
  <c r="Z548" i="57"/>
  <c r="AA548" i="57" s="1"/>
  <c r="AG544" i="57" l="1"/>
  <c r="X544" i="57"/>
  <c r="AJ544" i="57"/>
  <c r="V544" i="57" l="1"/>
  <c r="AI544" i="57"/>
  <c r="Z544" i="57"/>
  <c r="AA544" i="57" s="1"/>
  <c r="AG542" i="57" l="1"/>
  <c r="X542" i="57"/>
  <c r="AJ542" i="57"/>
  <c r="V542" i="57" l="1"/>
  <c r="AI542" i="57"/>
  <c r="Z542" i="57"/>
  <c r="AA542" i="57" s="1"/>
  <c r="AG541" i="57"/>
  <c r="AJ541" i="57"/>
  <c r="X541" i="57"/>
  <c r="V541" i="57" l="1"/>
  <c r="AI541" i="57"/>
  <c r="Z541" i="57"/>
  <c r="AA541" i="57" s="1"/>
  <c r="AG540" i="57"/>
  <c r="AJ540" i="57"/>
  <c r="X540" i="57"/>
  <c r="V540" i="57" l="1"/>
  <c r="AI540" i="57"/>
  <c r="Z540" i="57"/>
  <c r="AA540" i="57" s="1"/>
  <c r="AG538" i="57" l="1"/>
  <c r="X538" i="57"/>
  <c r="AJ538" i="57"/>
  <c r="V538" i="57" l="1"/>
  <c r="AI538" i="57"/>
  <c r="Z538" i="57"/>
  <c r="AA538" i="57" s="1"/>
  <c r="AG536" i="57" l="1"/>
  <c r="AJ536" i="57"/>
  <c r="X536" i="57"/>
  <c r="V536" i="57" l="1"/>
  <c r="AI536" i="57"/>
  <c r="Z536" i="57"/>
  <c r="AA536" i="57" s="1"/>
  <c r="AG534" i="57" l="1"/>
  <c r="AJ534" i="57"/>
  <c r="X534" i="57"/>
  <c r="V534" i="57" l="1"/>
  <c r="AI534" i="57"/>
  <c r="Z534" i="57"/>
  <c r="AA534" i="57" s="1"/>
  <c r="AG533" i="57"/>
  <c r="AJ533" i="57"/>
  <c r="X533" i="57"/>
  <c r="V533" i="57" l="1"/>
  <c r="AI533" i="57"/>
  <c r="Z533" i="57"/>
  <c r="AA533" i="57" s="1"/>
  <c r="AG531" i="57" l="1"/>
  <c r="X531" i="57"/>
  <c r="AJ531" i="57"/>
  <c r="V531" i="57" l="1"/>
  <c r="AI531" i="57"/>
  <c r="Z531" i="57"/>
  <c r="AA531" i="57" s="1"/>
  <c r="AG529" i="57" l="1"/>
  <c r="X529" i="57"/>
  <c r="AJ529" i="57"/>
  <c r="V529" i="57" l="1"/>
  <c r="AI529" i="57"/>
  <c r="Z529" i="57"/>
  <c r="AA529" i="57" s="1"/>
  <c r="AG526" i="57"/>
  <c r="AJ526" i="57"/>
  <c r="X526" i="57"/>
  <c r="V526" i="57" l="1"/>
  <c r="AI526" i="57"/>
  <c r="Z526" i="57"/>
  <c r="AA526" i="57" s="1"/>
  <c r="AG525" i="57"/>
  <c r="X525" i="57"/>
  <c r="AJ525" i="57"/>
  <c r="V525" i="57" l="1"/>
  <c r="AI525" i="57"/>
  <c r="Z525" i="57"/>
  <c r="AA525" i="57" s="1"/>
  <c r="AG524" i="57"/>
  <c r="X524" i="57"/>
  <c r="AJ524" i="57"/>
  <c r="V524" i="57" l="1"/>
  <c r="AI524" i="57"/>
  <c r="Z524" i="57"/>
  <c r="AA524" i="57" s="1"/>
  <c r="AG523" i="57"/>
  <c r="X523" i="57"/>
  <c r="AJ523" i="57"/>
  <c r="V523" i="57" l="1"/>
  <c r="AI523" i="57"/>
  <c r="Z523" i="57"/>
  <c r="AA523" i="57" s="1"/>
  <c r="AG522" i="57"/>
  <c r="X522" i="57"/>
  <c r="AJ522" i="57"/>
  <c r="V522" i="57" l="1"/>
  <c r="AI522" i="57"/>
  <c r="Z522" i="57"/>
  <c r="AA522" i="57" s="1"/>
  <c r="AG519" i="57" l="1"/>
  <c r="X519" i="57"/>
  <c r="AJ519" i="57"/>
  <c r="V519" i="57" l="1"/>
  <c r="AI519" i="57"/>
  <c r="Z519" i="57"/>
  <c r="AA519" i="57" s="1"/>
  <c r="AG518" i="57"/>
  <c r="X518" i="57"/>
  <c r="AJ518" i="57"/>
  <c r="V518" i="57" l="1"/>
  <c r="AI518" i="57"/>
  <c r="Z518" i="57"/>
  <c r="AA518" i="57" s="1"/>
  <c r="AG517" i="57"/>
  <c r="X517" i="57"/>
  <c r="AJ517" i="57"/>
  <c r="V517" i="57" l="1"/>
  <c r="AI517" i="57"/>
  <c r="Z517" i="57"/>
  <c r="AA517" i="57" s="1"/>
  <c r="AG515" i="57" l="1"/>
  <c r="AJ515" i="57"/>
  <c r="X515" i="57"/>
  <c r="V515" i="57" l="1"/>
  <c r="AI515" i="57"/>
  <c r="Z515" i="57"/>
  <c r="AA515" i="57" s="1"/>
  <c r="AG513" i="57" l="1"/>
  <c r="X513" i="57"/>
  <c r="AJ513" i="57"/>
  <c r="V513" i="57" l="1"/>
  <c r="AI513" i="57"/>
  <c r="Z513" i="57"/>
  <c r="AA513" i="57" s="1"/>
  <c r="AG512" i="57"/>
  <c r="X512" i="57"/>
  <c r="AJ512" i="57"/>
  <c r="V512" i="57" l="1"/>
  <c r="AI512" i="57"/>
  <c r="Z512" i="57"/>
  <c r="AA512" i="57" s="1"/>
  <c r="AG511" i="57"/>
  <c r="X511" i="57"/>
  <c r="AJ511" i="57"/>
  <c r="V511" i="57" l="1"/>
  <c r="AI511" i="57"/>
  <c r="Z511" i="57"/>
  <c r="AA511" i="57" s="1"/>
  <c r="AG509" i="57" l="1"/>
  <c r="X509" i="57"/>
  <c r="AJ509" i="57"/>
  <c r="V509" i="57" l="1"/>
  <c r="AI509" i="57"/>
  <c r="Z509" i="57"/>
  <c r="AA509" i="57" s="1"/>
  <c r="AG508" i="57"/>
  <c r="X508" i="57"/>
  <c r="AJ508" i="57"/>
  <c r="V508" i="57" l="1"/>
  <c r="AI508" i="57"/>
  <c r="Z508" i="57"/>
  <c r="AA508" i="57" s="1"/>
  <c r="AG507" i="57"/>
  <c r="X507" i="57"/>
  <c r="AJ507" i="57"/>
  <c r="V507" i="57" l="1"/>
  <c r="AI507" i="57"/>
  <c r="Z507" i="57"/>
  <c r="AA507" i="57" s="1"/>
  <c r="AG506" i="57"/>
  <c r="AJ506" i="57"/>
  <c r="X506" i="57"/>
  <c r="V506" i="57" l="1"/>
  <c r="AI506" i="57"/>
  <c r="Z506" i="57"/>
  <c r="AA506" i="57" s="1"/>
  <c r="AG505" i="57" l="1"/>
  <c r="AJ505" i="57"/>
  <c r="X505" i="57"/>
  <c r="V505" i="57" l="1"/>
  <c r="AI505" i="57"/>
  <c r="Z505" i="57"/>
  <c r="AA505" i="57" s="1"/>
  <c r="AG504" i="57"/>
  <c r="AJ504" i="57"/>
  <c r="X504" i="57"/>
  <c r="V504" i="57" l="1"/>
  <c r="AI504" i="57"/>
  <c r="Z504" i="57"/>
  <c r="AA504" i="57" s="1"/>
  <c r="AG503" i="57"/>
  <c r="AJ503" i="57"/>
  <c r="X503" i="57"/>
  <c r="V503" i="57" l="1"/>
  <c r="AI503" i="57"/>
  <c r="Z503" i="57"/>
  <c r="AA503" i="57" s="1"/>
  <c r="AG502" i="57"/>
  <c r="X502" i="57"/>
  <c r="AJ502" i="57"/>
  <c r="V502" i="57" l="1"/>
  <c r="AI502" i="57"/>
  <c r="Z502" i="57"/>
  <c r="AA502" i="57" s="1"/>
  <c r="AG501" i="57"/>
  <c r="AJ501" i="57"/>
  <c r="X501" i="57"/>
  <c r="V501" i="57" l="1"/>
  <c r="AI501" i="57"/>
  <c r="Z501" i="57"/>
  <c r="AA501" i="57" s="1"/>
  <c r="AG500" i="57"/>
  <c r="AJ500" i="57"/>
  <c r="X500" i="57"/>
  <c r="V500" i="57" l="1"/>
  <c r="AI500" i="57"/>
  <c r="Z500" i="57"/>
  <c r="AA500" i="57" s="1"/>
  <c r="AG499" i="57"/>
  <c r="X499" i="57"/>
  <c r="AJ499" i="57"/>
  <c r="V499" i="57" l="1"/>
  <c r="AI499" i="57"/>
  <c r="Z499" i="57"/>
  <c r="AA499" i="57" s="1"/>
  <c r="AG498" i="57"/>
  <c r="X498" i="57"/>
  <c r="AJ498" i="57"/>
  <c r="V498" i="57" l="1"/>
  <c r="AI498" i="57"/>
  <c r="Z498" i="57"/>
  <c r="AA498" i="57" s="1"/>
  <c r="AG497" i="57"/>
  <c r="X497" i="57"/>
  <c r="AJ497" i="57"/>
  <c r="V497" i="57" l="1"/>
  <c r="AI497" i="57"/>
  <c r="Z497" i="57"/>
  <c r="AA497" i="57" s="1"/>
  <c r="AG496" i="57"/>
  <c r="X496" i="57"/>
  <c r="AJ496" i="57"/>
  <c r="V496" i="57" l="1"/>
  <c r="AI496" i="57"/>
  <c r="Z496" i="57"/>
  <c r="AA496" i="57" s="1"/>
  <c r="AG495" i="57"/>
  <c r="X495" i="57"/>
  <c r="AJ495" i="57"/>
  <c r="V495" i="57" l="1"/>
  <c r="AI495" i="57"/>
  <c r="Z495" i="57"/>
  <c r="AA495" i="57" s="1"/>
  <c r="AG494" i="57"/>
  <c r="X494" i="57"/>
  <c r="AJ494" i="57"/>
  <c r="V494" i="57" l="1"/>
  <c r="AI494" i="57"/>
  <c r="Z494" i="57"/>
  <c r="AA494" i="57" s="1"/>
  <c r="AG490" i="57" l="1"/>
  <c r="X490" i="57"/>
  <c r="AJ490" i="57"/>
  <c r="V490" i="57" l="1"/>
  <c r="AI490" i="57"/>
  <c r="Z490" i="57"/>
  <c r="AA490" i="57" s="1"/>
  <c r="AG489" i="57"/>
  <c r="X489" i="57"/>
  <c r="AJ489" i="57"/>
  <c r="V489" i="57" l="1"/>
  <c r="AI489" i="57"/>
  <c r="Z489" i="57"/>
  <c r="AA489" i="57" s="1"/>
  <c r="AG488" i="57"/>
  <c r="AJ488" i="57"/>
  <c r="X488" i="57"/>
  <c r="V488" i="57" l="1"/>
  <c r="AI488" i="57"/>
  <c r="Z488" i="57"/>
  <c r="AA488" i="57" s="1"/>
  <c r="AG486" i="57" l="1"/>
  <c r="AJ486" i="57"/>
  <c r="X486" i="57"/>
  <c r="V486" i="57" l="1"/>
  <c r="AI486" i="57"/>
  <c r="Z486" i="57"/>
  <c r="AA486" i="57" s="1"/>
  <c r="AG485" i="57"/>
  <c r="X485" i="57"/>
  <c r="AJ485" i="57"/>
  <c r="V485" i="57" l="1"/>
  <c r="AI485" i="57"/>
  <c r="Z485" i="57"/>
  <c r="AA485" i="57" s="1"/>
  <c r="AG484" i="57"/>
  <c r="AJ484" i="57"/>
  <c r="X484" i="57"/>
  <c r="V484" i="57" l="1"/>
  <c r="AI484" i="57"/>
  <c r="Z484" i="57"/>
  <c r="AA484" i="57" s="1"/>
  <c r="AG483" i="57"/>
  <c r="AJ483" i="57"/>
  <c r="X483" i="57"/>
  <c r="V483" i="57" l="1"/>
  <c r="AI483" i="57"/>
  <c r="Z483" i="57"/>
  <c r="AA483" i="57" s="1"/>
  <c r="AG482" i="57"/>
  <c r="X482" i="57"/>
  <c r="AJ482" i="57"/>
  <c r="V482" i="57" l="1"/>
  <c r="AI482" i="57"/>
  <c r="Z482" i="57"/>
  <c r="AA482" i="57" s="1"/>
  <c r="AG481" i="57"/>
  <c r="X481" i="57"/>
  <c r="AJ481" i="57"/>
  <c r="V481" i="57" l="1"/>
  <c r="AI481" i="57"/>
  <c r="Z481" i="57"/>
  <c r="AA481" i="57" s="1"/>
  <c r="AG480" i="57"/>
  <c r="X480" i="57"/>
  <c r="AJ480" i="57"/>
  <c r="V480" i="57" l="1"/>
  <c r="AI480" i="57"/>
  <c r="Z480" i="57"/>
  <c r="AA480" i="57" s="1"/>
  <c r="AG477" i="57"/>
  <c r="X477" i="57"/>
  <c r="AJ477" i="57"/>
  <c r="V477" i="57" l="1"/>
  <c r="AI477" i="57"/>
  <c r="Z477" i="57"/>
  <c r="AA477" i="57" s="1"/>
  <c r="AG475" i="57" l="1"/>
  <c r="X475" i="57"/>
  <c r="AJ475" i="57"/>
  <c r="V475" i="57" l="1"/>
  <c r="AI475" i="57"/>
  <c r="Z475" i="57"/>
  <c r="AA475" i="57" s="1"/>
  <c r="AG474" i="57"/>
  <c r="AJ474" i="57"/>
  <c r="X474" i="57"/>
  <c r="V474" i="57" l="1"/>
  <c r="AI474" i="57"/>
  <c r="Z474" i="57"/>
  <c r="AA474" i="57" s="1"/>
  <c r="AG473" i="57"/>
  <c r="X473" i="57"/>
  <c r="AJ473" i="57"/>
  <c r="V473" i="57" l="1"/>
  <c r="AI473" i="57"/>
  <c r="Z473" i="57"/>
  <c r="AA473" i="57" s="1"/>
  <c r="AG472" i="57"/>
  <c r="AJ472" i="57"/>
  <c r="X472" i="57"/>
  <c r="V472" i="57" l="1"/>
  <c r="AI472" i="57"/>
  <c r="Z472" i="57"/>
  <c r="AA472" i="57" s="1"/>
  <c r="AG471" i="57"/>
  <c r="X471" i="57"/>
  <c r="AJ471" i="57"/>
  <c r="V471" i="57" l="1"/>
  <c r="AI471" i="57"/>
  <c r="Z471" i="57"/>
  <c r="AA471" i="57" s="1"/>
  <c r="AG470" i="57"/>
  <c r="X470" i="57"/>
  <c r="AJ470" i="57"/>
  <c r="V470" i="57" l="1"/>
  <c r="AI470" i="57"/>
  <c r="Z470" i="57"/>
  <c r="AA470" i="57" s="1"/>
  <c r="AG469" i="57"/>
  <c r="AJ469" i="57"/>
  <c r="X469" i="57"/>
  <c r="V469" i="57" l="1"/>
  <c r="AI469" i="57"/>
  <c r="Z469" i="57"/>
  <c r="AA469" i="57" s="1"/>
  <c r="AG467" i="57" l="1"/>
  <c r="X467" i="57"/>
  <c r="AJ467" i="57"/>
  <c r="V467" i="57" l="1"/>
  <c r="AI467" i="57"/>
  <c r="Z467" i="57"/>
  <c r="AA467" i="57" s="1"/>
  <c r="AG466" i="57"/>
  <c r="X466" i="57"/>
  <c r="AJ466" i="57"/>
  <c r="V466" i="57" l="1"/>
  <c r="AI466" i="57"/>
  <c r="Z466" i="57"/>
  <c r="AA466" i="57" s="1"/>
  <c r="AG465" i="57"/>
  <c r="X465" i="57"/>
  <c r="AJ465" i="57"/>
  <c r="V465" i="57" l="1"/>
  <c r="AI465" i="57"/>
  <c r="Z465" i="57"/>
  <c r="AA465" i="57" s="1"/>
  <c r="AG464" i="57"/>
  <c r="AJ464" i="57"/>
  <c r="X464" i="57"/>
  <c r="V464" i="57" l="1"/>
  <c r="AI464" i="57"/>
  <c r="Z464" i="57"/>
  <c r="AA464" i="57" s="1"/>
  <c r="AG463" i="57"/>
  <c r="X463" i="57"/>
  <c r="AJ463" i="57"/>
  <c r="V463" i="57" l="1"/>
  <c r="AI463" i="57"/>
  <c r="Z463" i="57"/>
  <c r="AA463" i="57" s="1"/>
  <c r="AG462" i="57"/>
  <c r="X462" i="57"/>
  <c r="AJ462" i="57"/>
  <c r="V462" i="57" l="1"/>
  <c r="AI462" i="57"/>
  <c r="Z462" i="57"/>
  <c r="AA462" i="57" s="1"/>
  <c r="AG461" i="57"/>
  <c r="X461" i="57"/>
  <c r="AJ461" i="57"/>
  <c r="V461" i="57" l="1"/>
  <c r="AI461" i="57"/>
  <c r="Z461" i="57"/>
  <c r="AA461" i="57" s="1"/>
  <c r="AG460" i="57"/>
  <c r="X460" i="57"/>
  <c r="AJ460" i="57"/>
  <c r="V460" i="57" l="1"/>
  <c r="AI460" i="57"/>
  <c r="Z460" i="57"/>
  <c r="AA460" i="57" s="1"/>
  <c r="AG459" i="57"/>
  <c r="AJ459" i="57"/>
  <c r="X459" i="57"/>
  <c r="V459" i="57" l="1"/>
  <c r="AI459" i="57"/>
  <c r="Z459" i="57"/>
  <c r="AA459" i="57" s="1"/>
  <c r="AG458" i="57"/>
  <c r="X458" i="57"/>
  <c r="AJ458" i="57"/>
  <c r="V458" i="57" l="1"/>
  <c r="AI458" i="57"/>
  <c r="Z458" i="57"/>
  <c r="AA458" i="57" s="1"/>
  <c r="AG456" i="57" l="1"/>
  <c r="AJ456" i="57"/>
  <c r="X456" i="57"/>
  <c r="V456" i="57" l="1"/>
  <c r="AI456" i="57"/>
  <c r="Z456" i="57"/>
  <c r="AA456" i="57" s="1"/>
  <c r="AG455" i="57"/>
  <c r="AJ455" i="57"/>
  <c r="X455" i="57"/>
  <c r="V455" i="57" l="1"/>
  <c r="AI455" i="57"/>
  <c r="Z455" i="57"/>
  <c r="AA455" i="57" s="1"/>
  <c r="AG454" i="57"/>
  <c r="X454" i="57"/>
  <c r="AJ454" i="57"/>
  <c r="V454" i="57" l="1"/>
  <c r="AI454" i="57"/>
  <c r="Z454" i="57"/>
  <c r="AA454" i="57" s="1"/>
  <c r="AG453" i="57"/>
  <c r="X453" i="57"/>
  <c r="AJ453" i="57"/>
  <c r="V453" i="57" l="1"/>
  <c r="AI453" i="57"/>
  <c r="Z453" i="57"/>
  <c r="AA453" i="57" s="1"/>
  <c r="AG451" i="57" l="1"/>
  <c r="X451" i="57"/>
  <c r="AJ451" i="57"/>
  <c r="V451" i="57" l="1"/>
  <c r="AI451" i="57"/>
  <c r="Z451" i="57"/>
  <c r="AA451" i="57" s="1"/>
  <c r="AG450" i="57"/>
  <c r="X450" i="57"/>
  <c r="AJ450" i="57"/>
  <c r="V450" i="57" l="1"/>
  <c r="AI450" i="57"/>
  <c r="Z450" i="57"/>
  <c r="AA450" i="57" s="1"/>
  <c r="AG449" i="57"/>
  <c r="AJ449" i="57"/>
  <c r="X449" i="57"/>
  <c r="V449" i="57" l="1"/>
  <c r="AI449" i="57"/>
  <c r="Z449" i="57"/>
  <c r="AA449" i="57" s="1"/>
  <c r="AG448" i="57"/>
  <c r="AJ448" i="57"/>
  <c r="X448" i="57"/>
  <c r="V448" i="57" l="1"/>
  <c r="AI448" i="57"/>
  <c r="Z448" i="57"/>
  <c r="AA448" i="57" s="1"/>
  <c r="AG447" i="57"/>
  <c r="AJ447" i="57"/>
  <c r="X447" i="57"/>
  <c r="V447" i="57" l="1"/>
  <c r="AI447" i="57"/>
  <c r="Z447" i="57"/>
  <c r="AA447" i="57" s="1"/>
  <c r="AG446" i="57"/>
  <c r="AJ446" i="57"/>
  <c r="X446" i="57"/>
  <c r="V446" i="57" l="1"/>
  <c r="AI446" i="57"/>
  <c r="Z446" i="57"/>
  <c r="AA446" i="57" s="1"/>
  <c r="AG445" i="57"/>
  <c r="X445" i="57"/>
  <c r="AJ445" i="57"/>
  <c r="V445" i="57" l="1"/>
  <c r="AI445" i="57"/>
  <c r="Z445" i="57"/>
  <c r="AA445" i="57" s="1"/>
  <c r="AG444" i="57"/>
  <c r="X444" i="57"/>
  <c r="AJ444" i="57"/>
  <c r="V444" i="57" l="1"/>
  <c r="AI444" i="57"/>
  <c r="Z444" i="57"/>
  <c r="AA444" i="57" s="1"/>
  <c r="AG443" i="57"/>
  <c r="X443" i="57"/>
  <c r="AJ443" i="57"/>
  <c r="V443" i="57" l="1"/>
  <c r="AI443" i="57"/>
  <c r="Z443" i="57"/>
  <c r="AA443" i="57" s="1"/>
  <c r="AG442" i="57"/>
  <c r="X442" i="57"/>
  <c r="AJ442" i="57"/>
  <c r="V442" i="57" l="1"/>
  <c r="AI442" i="57"/>
  <c r="Z442" i="57"/>
  <c r="AA442" i="57" s="1"/>
  <c r="AG441" i="57"/>
  <c r="X441" i="57"/>
  <c r="AJ441" i="57"/>
  <c r="V441" i="57" l="1"/>
  <c r="AI441" i="57"/>
  <c r="Z441" i="57"/>
  <c r="AA441" i="57" s="1"/>
  <c r="AG440" i="57"/>
  <c r="X440" i="57"/>
  <c r="AJ440" i="57"/>
  <c r="V440" i="57" l="1"/>
  <c r="AI440" i="57"/>
  <c r="Z440" i="57"/>
  <c r="AA440" i="57" s="1"/>
  <c r="AG438" i="57" l="1"/>
  <c r="X438" i="57"/>
  <c r="AJ438" i="57"/>
  <c r="V438" i="57" l="1"/>
  <c r="AI438" i="57"/>
  <c r="Z438" i="57"/>
  <c r="AA438" i="57" s="1"/>
  <c r="AG437" i="57"/>
  <c r="X437" i="57"/>
  <c r="AJ437" i="57"/>
  <c r="V437" i="57" l="1"/>
  <c r="AI437" i="57"/>
  <c r="Z437" i="57"/>
  <c r="AA437" i="57" s="1"/>
  <c r="AG436" i="57"/>
  <c r="X436" i="57"/>
  <c r="AJ436" i="57"/>
  <c r="V436" i="57" l="1"/>
  <c r="AI436" i="57"/>
  <c r="Z436" i="57"/>
  <c r="AA436" i="57" s="1"/>
  <c r="AG435" i="57"/>
  <c r="AJ435" i="57"/>
  <c r="X435" i="57"/>
  <c r="V435" i="57" l="1"/>
  <c r="AI435" i="57"/>
  <c r="Z435" i="57"/>
  <c r="AA435" i="57" s="1"/>
  <c r="AG434" i="57"/>
  <c r="X434" i="57"/>
  <c r="AJ434" i="57"/>
  <c r="V434" i="57" l="1"/>
  <c r="AI434" i="57"/>
  <c r="Z434" i="57"/>
  <c r="AA434" i="57" s="1"/>
  <c r="AG433" i="57"/>
  <c r="AJ433" i="57"/>
  <c r="X433" i="57"/>
  <c r="V433" i="57" l="1"/>
  <c r="AI433" i="57"/>
  <c r="Z433" i="57"/>
  <c r="AA433" i="57" s="1"/>
  <c r="AG429" i="57" l="1"/>
  <c r="AJ429" i="57"/>
  <c r="X429" i="57"/>
  <c r="V429" i="57" l="1"/>
  <c r="AI429" i="57"/>
  <c r="Z429" i="57"/>
  <c r="AA429" i="57" s="1"/>
  <c r="AG428" i="57"/>
  <c r="AJ428" i="57"/>
  <c r="X428" i="57"/>
  <c r="V428" i="57" l="1"/>
  <c r="AI428" i="57"/>
  <c r="Z428" i="57"/>
  <c r="AA428" i="57" s="1"/>
  <c r="AG427" i="57"/>
  <c r="AJ427" i="57"/>
  <c r="X427" i="57"/>
  <c r="V427" i="57" l="1"/>
  <c r="AI427" i="57"/>
  <c r="Z427" i="57"/>
  <c r="AA427" i="57" s="1"/>
  <c r="AG426" i="57"/>
  <c r="X426" i="57"/>
  <c r="AJ426" i="57"/>
  <c r="V426" i="57" l="1"/>
  <c r="AI426" i="57"/>
  <c r="Z426" i="57"/>
  <c r="AA426" i="57" s="1"/>
  <c r="AG425" i="57"/>
  <c r="AJ425" i="57"/>
  <c r="X425" i="57"/>
  <c r="V425" i="57" l="1"/>
  <c r="AI425" i="57"/>
  <c r="Z425" i="57"/>
  <c r="AA425" i="57" s="1"/>
  <c r="AG424" i="57"/>
  <c r="X424" i="57"/>
  <c r="AJ424" i="57"/>
  <c r="V424" i="57" l="1"/>
  <c r="AI424" i="57"/>
  <c r="Z424" i="57"/>
  <c r="AA424" i="57" s="1"/>
  <c r="AG421" i="57"/>
  <c r="AJ421" i="57"/>
  <c r="X421" i="57"/>
  <c r="V421" i="57" l="1"/>
  <c r="AI421" i="57"/>
  <c r="Z421" i="57"/>
  <c r="AA421" i="57" s="1"/>
  <c r="AG420" i="57"/>
  <c r="X420" i="57"/>
  <c r="AJ420" i="57"/>
  <c r="V420" i="57" l="1"/>
  <c r="AI420" i="57"/>
  <c r="Z420" i="57"/>
  <c r="AA420" i="57" s="1"/>
  <c r="AG419" i="57"/>
  <c r="X419" i="57"/>
  <c r="AJ419" i="57"/>
  <c r="V419" i="57" l="1"/>
  <c r="AI419" i="57"/>
  <c r="Z419" i="57"/>
  <c r="AA419" i="57" s="1"/>
  <c r="AG418" i="57"/>
  <c r="AJ418" i="57"/>
  <c r="X418" i="57"/>
  <c r="V418" i="57" l="1"/>
  <c r="AI418" i="57"/>
  <c r="Z418" i="57"/>
  <c r="AA418" i="57" s="1"/>
  <c r="AG417" i="57"/>
  <c r="X417" i="57"/>
  <c r="AJ417" i="57"/>
  <c r="V417" i="57" l="1"/>
  <c r="AI417" i="57"/>
  <c r="Z417" i="57"/>
  <c r="AA417" i="57" s="1"/>
  <c r="AG413" i="57" l="1"/>
  <c r="X413" i="57"/>
  <c r="AJ413" i="57"/>
  <c r="V413" i="57" l="1"/>
  <c r="AI413" i="57"/>
  <c r="Z413" i="57"/>
  <c r="AA413" i="57" s="1"/>
  <c r="AG412" i="57"/>
  <c r="AJ412" i="57"/>
  <c r="X412" i="57"/>
  <c r="V412" i="57" l="1"/>
  <c r="AI412" i="57"/>
  <c r="Z412" i="57"/>
  <c r="AA412" i="57" s="1"/>
  <c r="AG411" i="57"/>
  <c r="X411" i="57"/>
  <c r="AJ411" i="57"/>
  <c r="V411" i="57" l="1"/>
  <c r="AI411" i="57"/>
  <c r="Z411" i="57"/>
  <c r="AA411" i="57" s="1"/>
  <c r="AG410" i="57"/>
  <c r="X410" i="57"/>
  <c r="AJ410" i="57"/>
  <c r="V410" i="57" l="1"/>
  <c r="AI410" i="57"/>
  <c r="Z410" i="57"/>
  <c r="AA410" i="57" s="1"/>
  <c r="AG409" i="57"/>
  <c r="X409" i="57"/>
  <c r="AJ409" i="57"/>
  <c r="V409" i="57" l="1"/>
  <c r="AI409" i="57"/>
  <c r="Z409" i="57"/>
  <c r="AA409" i="57" s="1"/>
  <c r="AG408" i="57"/>
  <c r="AJ408" i="57"/>
  <c r="X408" i="57"/>
  <c r="V408" i="57" l="1"/>
  <c r="AI408" i="57"/>
  <c r="Z408" i="57"/>
  <c r="AA408" i="57" s="1"/>
  <c r="AG407" i="57"/>
  <c r="X407" i="57"/>
  <c r="AJ407" i="57"/>
  <c r="V407" i="57" l="1"/>
  <c r="AI407" i="57"/>
  <c r="Z407" i="57"/>
  <c r="AA407" i="57" s="1"/>
  <c r="AG406" i="57"/>
  <c r="AJ406" i="57"/>
  <c r="X406" i="57"/>
  <c r="V406" i="57" l="1"/>
  <c r="AI406" i="57"/>
  <c r="Z406" i="57"/>
  <c r="AA406" i="57" s="1"/>
  <c r="AG405" i="57"/>
  <c r="X405" i="57"/>
  <c r="AJ405" i="57"/>
  <c r="V405" i="57" l="1"/>
  <c r="AI405" i="57"/>
  <c r="Z405" i="57"/>
  <c r="AA405" i="57" s="1"/>
  <c r="AG404" i="57"/>
  <c r="X404" i="57"/>
  <c r="AJ404" i="57"/>
  <c r="V404" i="57" l="1"/>
  <c r="AI404" i="57"/>
  <c r="Z404" i="57"/>
  <c r="AA404" i="57" s="1"/>
  <c r="AG403" i="57"/>
  <c r="X403" i="57"/>
  <c r="AJ403" i="57"/>
  <c r="V403" i="57" l="1"/>
  <c r="AI403" i="57"/>
  <c r="Z403" i="57"/>
  <c r="AA403" i="57" s="1"/>
  <c r="AG402" i="57"/>
  <c r="AJ402" i="57"/>
  <c r="X402" i="57"/>
  <c r="V402" i="57" l="1"/>
  <c r="AI402" i="57"/>
  <c r="Z402" i="57"/>
  <c r="AA402" i="57" s="1"/>
  <c r="AG401" i="57"/>
  <c r="X401" i="57"/>
  <c r="AJ401" i="57"/>
  <c r="V401" i="57" l="1"/>
  <c r="AI401" i="57"/>
  <c r="Z401" i="57"/>
  <c r="AA401" i="57" s="1"/>
  <c r="AG400" i="57"/>
  <c r="X400" i="57"/>
  <c r="AJ400" i="57"/>
  <c r="V400" i="57" l="1"/>
  <c r="AI400" i="57"/>
  <c r="Z400" i="57"/>
  <c r="AA400" i="57" s="1"/>
  <c r="AG398" i="57" l="1"/>
  <c r="AJ398" i="57"/>
  <c r="X398" i="57"/>
  <c r="V398" i="57" l="1"/>
  <c r="AI398" i="57"/>
  <c r="Z398" i="57"/>
  <c r="AA398" i="57" s="1"/>
  <c r="AG397" i="57"/>
  <c r="X397" i="57"/>
  <c r="AJ397" i="57"/>
  <c r="V397" i="57" l="1"/>
  <c r="AI397" i="57"/>
  <c r="Z397" i="57"/>
  <c r="AA397" i="57" s="1"/>
  <c r="AG396" i="57"/>
  <c r="AJ396" i="57"/>
  <c r="X396" i="57"/>
  <c r="V396" i="57" l="1"/>
  <c r="AI396" i="57"/>
  <c r="Z396" i="57"/>
  <c r="AA396" i="57" s="1"/>
  <c r="AG395" i="57"/>
  <c r="AJ395" i="57"/>
  <c r="X395" i="57"/>
  <c r="V395" i="57" l="1"/>
  <c r="AI395" i="57"/>
  <c r="Z395" i="57"/>
  <c r="AA395" i="57" s="1"/>
  <c r="AG394" i="57"/>
  <c r="AJ394" i="57"/>
  <c r="X394" i="57"/>
  <c r="V394" i="57" l="1"/>
  <c r="AI394" i="57"/>
  <c r="Z394" i="57"/>
  <c r="AA394" i="57" s="1"/>
  <c r="AG393" i="57"/>
  <c r="X393" i="57"/>
  <c r="AJ393" i="57"/>
  <c r="V393" i="57" l="1"/>
  <c r="AI393" i="57"/>
  <c r="Z393" i="57"/>
  <c r="AA393" i="57" s="1"/>
  <c r="AG391" i="57" l="1"/>
  <c r="X391" i="57"/>
  <c r="AJ391" i="57"/>
  <c r="V391" i="57" l="1"/>
  <c r="AI391" i="57"/>
  <c r="Z391" i="57"/>
  <c r="AA391" i="57" s="1"/>
  <c r="AG390" i="57"/>
  <c r="X390" i="57"/>
  <c r="AJ390" i="57"/>
  <c r="V390" i="57" l="1"/>
  <c r="AI390" i="57"/>
  <c r="Z390" i="57"/>
  <c r="AA390" i="57" s="1"/>
  <c r="AG389" i="57"/>
  <c r="X389" i="57"/>
  <c r="AJ389" i="57"/>
  <c r="V389" i="57" l="1"/>
  <c r="AI389" i="57"/>
  <c r="Z389" i="57"/>
  <c r="AA389" i="57" s="1"/>
  <c r="AG388" i="57"/>
  <c r="AJ388" i="57"/>
  <c r="X388" i="57"/>
  <c r="V388" i="57" l="1"/>
  <c r="AI388" i="57"/>
  <c r="Z388" i="57"/>
  <c r="AA388" i="57" s="1"/>
  <c r="AG387" i="57"/>
  <c r="X387" i="57"/>
  <c r="AJ387" i="57"/>
  <c r="V387" i="57" l="1"/>
  <c r="AI387" i="57"/>
  <c r="Z387" i="57"/>
  <c r="AA387" i="57" s="1"/>
  <c r="AG386" i="57"/>
  <c r="X386" i="57"/>
  <c r="AJ386" i="57"/>
  <c r="V386" i="57" l="1"/>
  <c r="AI386" i="57"/>
  <c r="Z386" i="57"/>
  <c r="AA386" i="57" s="1"/>
  <c r="AG385" i="57"/>
  <c r="AJ385" i="57"/>
  <c r="X385" i="57"/>
  <c r="V385" i="57" l="1"/>
  <c r="AI385" i="57"/>
  <c r="Z385" i="57"/>
  <c r="AA385" i="57" s="1"/>
  <c r="AG384" i="57"/>
  <c r="X384" i="57"/>
  <c r="AJ384" i="57"/>
  <c r="V384" i="57" l="1"/>
  <c r="AI384" i="57"/>
  <c r="Z384" i="57"/>
  <c r="AA384" i="57" s="1"/>
  <c r="AG382" i="57" l="1"/>
  <c r="X382" i="57"/>
  <c r="AJ382" i="57"/>
  <c r="V382" i="57" l="1"/>
  <c r="AI382" i="57"/>
  <c r="Z382" i="57"/>
  <c r="AA382" i="57" s="1"/>
  <c r="AG380" i="57"/>
  <c r="X380" i="57"/>
  <c r="AJ380" i="57"/>
  <c r="V380" i="57" l="1"/>
  <c r="AI380" i="57"/>
  <c r="Z380" i="57"/>
  <c r="AA380" i="57" s="1"/>
  <c r="AG378" i="57" l="1"/>
  <c r="X378" i="57"/>
  <c r="AJ378" i="57"/>
  <c r="V378" i="57" l="1"/>
  <c r="AI378" i="57"/>
  <c r="Z378" i="57"/>
  <c r="AA378" i="57" s="1"/>
  <c r="AG377" i="57"/>
  <c r="X377" i="57"/>
  <c r="AJ377" i="57"/>
  <c r="V377" i="57" l="1"/>
  <c r="AI377" i="57"/>
  <c r="Z377" i="57"/>
  <c r="AA377" i="57" s="1"/>
  <c r="AG376" i="57"/>
  <c r="X376" i="57"/>
  <c r="AJ376" i="57"/>
  <c r="V376" i="57" l="1"/>
  <c r="AI376" i="57"/>
  <c r="Z376" i="57"/>
  <c r="AA376" i="57" s="1"/>
  <c r="AG375" i="57"/>
  <c r="X375" i="57"/>
  <c r="AJ375" i="57"/>
  <c r="V375" i="57" l="1"/>
  <c r="AI375" i="57"/>
  <c r="Z375" i="57"/>
  <c r="AA375" i="57" s="1"/>
  <c r="AG374" i="57"/>
  <c r="X374" i="57"/>
  <c r="AJ374" i="57"/>
  <c r="V374" i="57" l="1"/>
  <c r="AI374" i="57"/>
  <c r="Z374" i="57"/>
  <c r="AA374" i="57" s="1"/>
  <c r="AG373" i="57"/>
  <c r="AJ373" i="57"/>
  <c r="X373" i="57"/>
  <c r="V373" i="57" l="1"/>
  <c r="AI373" i="57"/>
  <c r="Z373" i="57"/>
  <c r="AA373" i="57" s="1"/>
  <c r="AG372" i="57"/>
  <c r="X372" i="57"/>
  <c r="AJ372" i="57"/>
  <c r="V372" i="57" l="1"/>
  <c r="AI372" i="57"/>
  <c r="Z372" i="57"/>
  <c r="AA372" i="57" s="1"/>
  <c r="AG371" i="57"/>
  <c r="X371" i="57"/>
  <c r="AJ371" i="57"/>
  <c r="V371" i="57" l="1"/>
  <c r="AI371" i="57"/>
  <c r="Z371" i="57"/>
  <c r="AA371" i="57" s="1"/>
  <c r="AG369" i="57" l="1"/>
  <c r="AJ369" i="57"/>
  <c r="X369" i="57"/>
  <c r="V369" i="57" l="1"/>
  <c r="AI369" i="57"/>
  <c r="Z369" i="57"/>
  <c r="AA369" i="57" s="1"/>
  <c r="AG367" i="57" l="1"/>
  <c r="X367" i="57"/>
  <c r="AJ367" i="57"/>
  <c r="V367" i="57" l="1"/>
  <c r="AI367" i="57"/>
  <c r="Z367" i="57"/>
  <c r="AA367" i="57" s="1"/>
  <c r="AG366" i="57"/>
  <c r="AJ366" i="57"/>
  <c r="X366" i="57"/>
  <c r="V366" i="57" l="1"/>
  <c r="AI366" i="57"/>
  <c r="Z366" i="57"/>
  <c r="AA366" i="57" s="1"/>
  <c r="AG365" i="57"/>
  <c r="AJ365" i="57"/>
  <c r="X365" i="57"/>
  <c r="V365" i="57" l="1"/>
  <c r="AI365" i="57"/>
  <c r="Z365" i="57"/>
  <c r="AA365" i="57" s="1"/>
  <c r="AG364" i="57"/>
  <c r="AJ364" i="57"/>
  <c r="X364" i="57"/>
  <c r="V364" i="57" l="1"/>
  <c r="AI364" i="57"/>
  <c r="Z364" i="57"/>
  <c r="AA364" i="57" s="1"/>
  <c r="AG363" i="57"/>
  <c r="AJ363" i="57"/>
  <c r="X363" i="57"/>
  <c r="V363" i="57" l="1"/>
  <c r="AI363" i="57"/>
  <c r="Z363" i="57"/>
  <c r="AA363" i="57" s="1"/>
  <c r="AG361" i="57" l="1"/>
  <c r="AJ361" i="57"/>
  <c r="X361" i="57"/>
  <c r="V361" i="57" l="1"/>
  <c r="AI361" i="57"/>
  <c r="Z361" i="57"/>
  <c r="AA361" i="57" s="1"/>
  <c r="AG360" i="57"/>
  <c r="X360" i="57"/>
  <c r="AJ360" i="57"/>
  <c r="V360" i="57" l="1"/>
  <c r="AI360" i="57"/>
  <c r="Z360" i="57"/>
  <c r="AA360" i="57" s="1"/>
  <c r="AG359" i="57"/>
  <c r="AJ359" i="57"/>
  <c r="X359" i="57"/>
  <c r="V359" i="57" l="1"/>
  <c r="AI359" i="57"/>
  <c r="Z359" i="57"/>
  <c r="AA359" i="57" s="1"/>
  <c r="AG357" i="57" l="1"/>
  <c r="X357" i="57"/>
  <c r="AJ357" i="57"/>
  <c r="V357" i="57" l="1"/>
  <c r="AI357" i="57"/>
  <c r="Z357" i="57"/>
  <c r="AA357" i="57" s="1"/>
  <c r="AG356" i="57"/>
  <c r="AJ356" i="57"/>
  <c r="X356" i="57"/>
  <c r="V356" i="57" l="1"/>
  <c r="AI356" i="57"/>
  <c r="Z356" i="57"/>
  <c r="AA356" i="57" s="1"/>
  <c r="AG355" i="57"/>
  <c r="X355" i="57"/>
  <c r="AJ355" i="57"/>
  <c r="V355" i="57" l="1"/>
  <c r="AI355" i="57"/>
  <c r="Z355" i="57"/>
  <c r="AA355" i="57" s="1"/>
  <c r="AG354" i="57"/>
  <c r="X354" i="57"/>
  <c r="AJ354" i="57"/>
  <c r="V354" i="57" l="1"/>
  <c r="AI354" i="57"/>
  <c r="Z354" i="57"/>
  <c r="AA354" i="57" s="1"/>
  <c r="AG353" i="57"/>
  <c r="X353" i="57"/>
  <c r="AJ353" i="57"/>
  <c r="V353" i="57" l="1"/>
  <c r="AI353" i="57"/>
  <c r="Z353" i="57"/>
  <c r="AA353" i="57" s="1"/>
  <c r="AG351" i="57" l="1"/>
  <c r="X351" i="57"/>
  <c r="AJ351" i="57"/>
  <c r="V351" i="57" l="1"/>
  <c r="AI351" i="57"/>
  <c r="Z351" i="57"/>
  <c r="AA351" i="57" s="1"/>
  <c r="AG350" i="57"/>
  <c r="X350" i="57"/>
  <c r="AJ350" i="57"/>
  <c r="V350" i="57" l="1"/>
  <c r="AI350" i="57"/>
  <c r="Z350" i="57"/>
  <c r="AA350" i="57" s="1"/>
  <c r="AG348" i="57" l="1"/>
  <c r="AJ348" i="57"/>
  <c r="X348" i="57"/>
  <c r="V348" i="57" l="1"/>
  <c r="AI348" i="57"/>
  <c r="Z348" i="57"/>
  <c r="AA348" i="57" s="1"/>
  <c r="AG347" i="57"/>
  <c r="X347" i="57"/>
  <c r="AJ347" i="57"/>
  <c r="V347" i="57" l="1"/>
  <c r="AI347" i="57"/>
  <c r="Z347" i="57"/>
  <c r="AA347" i="57" s="1"/>
  <c r="AG346" i="57"/>
  <c r="X346" i="57"/>
  <c r="AJ346" i="57"/>
  <c r="V346" i="57" l="1"/>
  <c r="AI346" i="57"/>
  <c r="Z346" i="57"/>
  <c r="AA346" i="57" s="1"/>
  <c r="AG345" i="57"/>
  <c r="AJ345" i="57"/>
  <c r="X345" i="57"/>
  <c r="V345" i="57" l="1"/>
  <c r="AI345" i="57"/>
  <c r="Z345" i="57"/>
  <c r="AA345" i="57" s="1"/>
  <c r="AG344" i="57"/>
  <c r="AJ344" i="57"/>
  <c r="X344" i="57"/>
  <c r="V344" i="57" l="1"/>
  <c r="AI344" i="57"/>
  <c r="Z344" i="57"/>
  <c r="AA344" i="57" s="1"/>
  <c r="AG343" i="57"/>
  <c r="X343" i="57"/>
  <c r="AJ343" i="57"/>
  <c r="V343" i="57" l="1"/>
  <c r="AI343" i="57"/>
  <c r="Z343" i="57"/>
  <c r="AA343" i="57" s="1"/>
  <c r="AG342" i="57"/>
  <c r="X342" i="57"/>
  <c r="AJ342" i="57"/>
  <c r="V342" i="57" l="1"/>
  <c r="AI342" i="57"/>
  <c r="Z342" i="57"/>
  <c r="AA342" i="57" s="1"/>
  <c r="AG341" i="57"/>
  <c r="X341" i="57"/>
  <c r="AJ341" i="57"/>
  <c r="V341" i="57" l="1"/>
  <c r="AI341" i="57"/>
  <c r="Z341" i="57"/>
  <c r="AA341" i="57" s="1"/>
  <c r="AG337" i="57" l="1"/>
  <c r="X337" i="57"/>
  <c r="AJ337" i="57"/>
  <c r="V337" i="57" l="1"/>
  <c r="AI337" i="57"/>
  <c r="Z337" i="57"/>
  <c r="AA337" i="57" s="1"/>
  <c r="AG336" i="57"/>
  <c r="X336" i="57"/>
  <c r="AJ336" i="57"/>
  <c r="V336" i="57" l="1"/>
  <c r="AI336" i="57"/>
  <c r="Z336" i="57"/>
  <c r="AA336" i="57" s="1"/>
  <c r="AG335" i="57"/>
  <c r="X335" i="57"/>
  <c r="AJ335" i="57"/>
  <c r="V335" i="57" l="1"/>
  <c r="AI335" i="57"/>
  <c r="Z335" i="57"/>
  <c r="AA335" i="57" s="1"/>
  <c r="AG334" i="57"/>
  <c r="X334" i="57"/>
  <c r="AJ334" i="57"/>
  <c r="V334" i="57" l="1"/>
  <c r="AI334" i="57"/>
  <c r="Z334" i="57"/>
  <c r="AA334" i="57" s="1"/>
  <c r="AG333" i="57"/>
  <c r="X333" i="57"/>
  <c r="AJ333" i="57"/>
  <c r="V333" i="57" l="1"/>
  <c r="AI333" i="57"/>
  <c r="Z333" i="57"/>
  <c r="AA333" i="57" s="1"/>
  <c r="AG331" i="57" l="1"/>
  <c r="X331" i="57"/>
  <c r="AJ331" i="57"/>
  <c r="V331" i="57" l="1"/>
  <c r="AI331" i="57"/>
  <c r="Z331" i="57"/>
  <c r="AA331" i="57" s="1"/>
  <c r="AG329" i="57" l="1"/>
  <c r="X329" i="57"/>
  <c r="AJ329" i="57"/>
  <c r="V329" i="57" l="1"/>
  <c r="AI329" i="57"/>
  <c r="Z329" i="57"/>
  <c r="AA329" i="57" s="1"/>
  <c r="AG328" i="57"/>
  <c r="X328" i="57"/>
  <c r="AJ328" i="57"/>
  <c r="V328" i="57" l="1"/>
  <c r="AI328" i="57"/>
  <c r="Z328" i="57"/>
  <c r="AA328" i="57" s="1"/>
  <c r="AG327" i="57"/>
  <c r="X327" i="57"/>
  <c r="AJ327" i="57"/>
  <c r="V327" i="57" l="1"/>
  <c r="AI327" i="57"/>
  <c r="Z327" i="57"/>
  <c r="AA327" i="57" s="1"/>
  <c r="AG326" i="57"/>
  <c r="X326" i="57"/>
  <c r="AJ326" i="57"/>
  <c r="V326" i="57" l="1"/>
  <c r="AI326" i="57"/>
  <c r="Z326" i="57"/>
  <c r="AA326" i="57" s="1"/>
  <c r="AG325" i="57"/>
  <c r="X325" i="57"/>
  <c r="AJ325" i="57"/>
  <c r="V325" i="57" l="1"/>
  <c r="AI325" i="57"/>
  <c r="Z325" i="57"/>
  <c r="AA325" i="57" s="1"/>
  <c r="AG324" i="57"/>
  <c r="X324" i="57"/>
  <c r="AJ324" i="57"/>
  <c r="V324" i="57" l="1"/>
  <c r="AI324" i="57"/>
  <c r="Z324" i="57"/>
  <c r="AA324" i="57" s="1"/>
  <c r="AG323" i="57"/>
  <c r="X323" i="57"/>
  <c r="AJ323" i="57"/>
  <c r="V323" i="57" l="1"/>
  <c r="AI323" i="57"/>
  <c r="Z323" i="57"/>
  <c r="AA323" i="57" s="1"/>
  <c r="AG322" i="57"/>
  <c r="AJ322" i="57"/>
  <c r="X322" i="57"/>
  <c r="V322" i="57" l="1"/>
  <c r="AI322" i="57"/>
  <c r="Z322" i="57"/>
  <c r="AA322" i="57" s="1"/>
  <c r="AG321" i="57"/>
  <c r="AJ321" i="57"/>
  <c r="X321" i="57"/>
  <c r="V321" i="57" l="1"/>
  <c r="AI321" i="57"/>
  <c r="Z321" i="57"/>
  <c r="AA321" i="57" s="1"/>
  <c r="AG319" i="57" l="1"/>
  <c r="X319" i="57"/>
  <c r="AJ319" i="57"/>
  <c r="V319" i="57" l="1"/>
  <c r="AI319" i="57"/>
  <c r="Z319" i="57"/>
  <c r="AA319" i="57" s="1"/>
  <c r="AG318" i="57"/>
  <c r="X318" i="57"/>
  <c r="AJ318" i="57"/>
  <c r="V318" i="57" l="1"/>
  <c r="AI318" i="57"/>
  <c r="Z318" i="57"/>
  <c r="AA318" i="57" s="1"/>
  <c r="AG317" i="57"/>
  <c r="X317" i="57"/>
  <c r="AJ317" i="57"/>
  <c r="V317" i="57" l="1"/>
  <c r="AI317" i="57"/>
  <c r="Z317" i="57"/>
  <c r="AA317" i="57" s="1"/>
  <c r="AG316" i="57"/>
  <c r="X316" i="57"/>
  <c r="AJ316" i="57"/>
  <c r="V316" i="57" l="1"/>
  <c r="AI316" i="57"/>
  <c r="Z316" i="57"/>
  <c r="AA316" i="57" s="1"/>
  <c r="AG315" i="57"/>
  <c r="X315" i="57"/>
  <c r="AJ315" i="57"/>
  <c r="V315" i="57" l="1"/>
  <c r="AI315" i="57"/>
  <c r="Z315" i="57"/>
  <c r="AA315" i="57" s="1"/>
  <c r="AG314" i="57"/>
  <c r="X314" i="57"/>
  <c r="AJ314" i="57"/>
  <c r="V314" i="57" l="1"/>
  <c r="AI314" i="57"/>
  <c r="Z314" i="57"/>
  <c r="AA314" i="57" s="1"/>
  <c r="AG313" i="57"/>
  <c r="X313" i="57"/>
  <c r="AJ313" i="57"/>
  <c r="V313" i="57" l="1"/>
  <c r="AI313" i="57"/>
  <c r="Z313" i="57"/>
  <c r="AA313" i="57" s="1"/>
  <c r="AG312" i="57"/>
  <c r="X312" i="57"/>
  <c r="AJ312" i="57"/>
  <c r="V312" i="57" l="1"/>
  <c r="AI312" i="57"/>
  <c r="Z312" i="57"/>
  <c r="AA312" i="57" s="1"/>
  <c r="AG311" i="57"/>
  <c r="X311" i="57"/>
  <c r="AJ311" i="57"/>
  <c r="V311" i="57" l="1"/>
  <c r="AI311" i="57"/>
  <c r="Z311" i="57"/>
  <c r="AA311" i="57" s="1"/>
  <c r="AG310" i="57"/>
  <c r="AJ310" i="57"/>
  <c r="X310" i="57"/>
  <c r="V310" i="57" l="1"/>
  <c r="AI310" i="57"/>
  <c r="Z310" i="57"/>
  <c r="AA310" i="57" s="1"/>
  <c r="AG309" i="57"/>
  <c r="X309" i="57"/>
  <c r="AJ309" i="57"/>
  <c r="V309" i="57" l="1"/>
  <c r="AI309" i="57"/>
  <c r="Z309" i="57"/>
  <c r="AA309" i="57" s="1"/>
  <c r="AG308" i="57"/>
  <c r="AJ308" i="57"/>
  <c r="X308" i="57"/>
  <c r="V308" i="57" l="1"/>
  <c r="AI308" i="57"/>
  <c r="Z308" i="57"/>
  <c r="AA308" i="57" s="1"/>
  <c r="AG307" i="57"/>
  <c r="X307" i="57"/>
  <c r="AJ307" i="57"/>
  <c r="V307" i="57" l="1"/>
  <c r="AI307" i="57"/>
  <c r="Z307" i="57"/>
  <c r="AA307" i="57" s="1"/>
  <c r="AG306" i="57"/>
  <c r="X306" i="57"/>
  <c r="AJ306" i="57"/>
  <c r="V306" i="57" l="1"/>
  <c r="AI306" i="57"/>
  <c r="Z306" i="57"/>
  <c r="AA306" i="57" s="1"/>
  <c r="AG305" i="57"/>
  <c r="X305" i="57"/>
  <c r="AJ305" i="57"/>
  <c r="V305" i="57" l="1"/>
  <c r="AI305" i="57"/>
  <c r="Z305" i="57"/>
  <c r="AA305" i="57" s="1"/>
  <c r="AG304" i="57"/>
  <c r="X304" i="57"/>
  <c r="AJ304" i="57"/>
  <c r="V304" i="57" l="1"/>
  <c r="AI304" i="57"/>
  <c r="Z304" i="57"/>
  <c r="AA304" i="57" s="1"/>
  <c r="AG303" i="57"/>
  <c r="X303" i="57"/>
  <c r="AJ303" i="57"/>
  <c r="V303" i="57" l="1"/>
  <c r="AI303" i="57"/>
  <c r="Z303" i="57"/>
  <c r="AA303" i="57" s="1"/>
  <c r="AG301" i="57"/>
  <c r="X301" i="57"/>
  <c r="AJ301" i="57"/>
  <c r="V301" i="57" l="1"/>
  <c r="AI301" i="57"/>
  <c r="Z301" i="57"/>
  <c r="AA301" i="57" s="1"/>
  <c r="AG299" i="57" l="1"/>
  <c r="X299" i="57"/>
  <c r="AJ299" i="57"/>
  <c r="V299" i="57" l="1"/>
  <c r="AI299" i="57"/>
  <c r="Z299" i="57"/>
  <c r="AA299" i="57" s="1"/>
  <c r="AG298" i="57"/>
  <c r="AJ298" i="57"/>
  <c r="X298" i="57"/>
  <c r="V298" i="57" l="1"/>
  <c r="AI298" i="57"/>
  <c r="Z298" i="57"/>
  <c r="AA298" i="57" s="1"/>
  <c r="AG297" i="57"/>
  <c r="X297" i="57"/>
  <c r="AJ297" i="57"/>
  <c r="V297" i="57" l="1"/>
  <c r="AI297" i="57"/>
  <c r="Z297" i="57"/>
  <c r="AA297" i="57" s="1"/>
  <c r="AG296" i="57"/>
  <c r="X296" i="57"/>
  <c r="AJ296" i="57"/>
  <c r="V296" i="57" l="1"/>
  <c r="AI296" i="57"/>
  <c r="Z296" i="57"/>
  <c r="AA296" i="57" s="1"/>
  <c r="AG295" i="57"/>
  <c r="X295" i="57"/>
  <c r="AJ295" i="57"/>
  <c r="V295" i="57" l="1"/>
  <c r="AI295" i="57"/>
  <c r="Z295" i="57"/>
  <c r="AA295" i="57" s="1"/>
  <c r="AG294" i="57"/>
  <c r="X294" i="57"/>
  <c r="AJ294" i="57"/>
  <c r="V294" i="57" l="1"/>
  <c r="AI294" i="57"/>
  <c r="Z294" i="57"/>
  <c r="AA294" i="57" s="1"/>
  <c r="AG292" i="57" l="1"/>
  <c r="X292" i="57"/>
  <c r="AJ292" i="57"/>
  <c r="V292" i="57" l="1"/>
  <c r="AI292" i="57"/>
  <c r="Z292" i="57"/>
  <c r="AA292" i="57" s="1"/>
  <c r="AG291" i="57"/>
  <c r="X291" i="57"/>
  <c r="AJ291" i="57"/>
  <c r="V291" i="57" l="1"/>
  <c r="AI291" i="57"/>
  <c r="Z291" i="57"/>
  <c r="AA291" i="57" s="1"/>
  <c r="AG290" i="57"/>
  <c r="X290" i="57"/>
  <c r="AJ290" i="57"/>
  <c r="V290" i="57" l="1"/>
  <c r="AI290" i="57"/>
  <c r="Z290" i="57"/>
  <c r="AA290" i="57" s="1"/>
  <c r="AG289" i="57"/>
  <c r="X289" i="57"/>
  <c r="AJ289" i="57"/>
  <c r="V289" i="57" l="1"/>
  <c r="AI289" i="57"/>
  <c r="Z289" i="57"/>
  <c r="AA289" i="57" s="1"/>
  <c r="AG286" i="57"/>
  <c r="X286" i="57"/>
  <c r="AJ286" i="57"/>
  <c r="V286" i="57" l="1"/>
  <c r="AI286" i="57"/>
  <c r="Z286" i="57"/>
  <c r="AA286" i="57" s="1"/>
  <c r="AG285" i="57"/>
  <c r="X285" i="57"/>
  <c r="AJ285" i="57"/>
  <c r="V285" i="57" l="1"/>
  <c r="AI285" i="57"/>
  <c r="Z285" i="57"/>
  <c r="AA285" i="57" s="1"/>
  <c r="AG284" i="57"/>
  <c r="X284" i="57"/>
  <c r="AJ284" i="57"/>
  <c r="V284" i="57" l="1"/>
  <c r="AI284" i="57"/>
  <c r="Z284" i="57"/>
  <c r="AA284" i="57" s="1"/>
  <c r="AG282" i="57"/>
  <c r="X282" i="57"/>
  <c r="AJ282" i="57"/>
  <c r="V282" i="57" l="1"/>
  <c r="AI282" i="57"/>
  <c r="Z282" i="57"/>
  <c r="AA282" i="57" s="1"/>
  <c r="AG281" i="57"/>
  <c r="X281" i="57"/>
  <c r="AJ281" i="57"/>
  <c r="V281" i="57" l="1"/>
  <c r="AI281" i="57"/>
  <c r="Z281" i="57"/>
  <c r="AA281" i="57" s="1"/>
  <c r="AG280" i="57"/>
  <c r="AJ280" i="57"/>
  <c r="X280" i="57"/>
  <c r="V280" i="57" l="1"/>
  <c r="AI280" i="57"/>
  <c r="Z280" i="57"/>
  <c r="AA280" i="57" s="1"/>
  <c r="AG277" i="57" l="1"/>
  <c r="AJ277" i="57"/>
  <c r="X277" i="57"/>
  <c r="V277" i="57" l="1"/>
  <c r="AI277" i="57"/>
  <c r="Z277" i="57"/>
  <c r="AA277" i="57" s="1"/>
  <c r="AG276" i="57"/>
  <c r="AJ276" i="57"/>
  <c r="X276" i="57"/>
  <c r="V276" i="57" l="1"/>
  <c r="AI276" i="57"/>
  <c r="Z276" i="57"/>
  <c r="AA276" i="57" s="1"/>
  <c r="AG274" i="57" l="1"/>
  <c r="X274" i="57"/>
  <c r="AJ274" i="57"/>
  <c r="V274" i="57" l="1"/>
  <c r="AI274" i="57"/>
  <c r="Z274" i="57"/>
  <c r="AA274" i="57" s="1"/>
  <c r="AG272" i="57" l="1"/>
  <c r="X272" i="57"/>
  <c r="AJ272" i="57"/>
  <c r="V272" i="57" l="1"/>
  <c r="AI272" i="57"/>
  <c r="Z272" i="57"/>
  <c r="AA272" i="57" s="1"/>
  <c r="AG271" i="57"/>
  <c r="AJ271" i="57"/>
  <c r="X271" i="57"/>
  <c r="V271" i="57" l="1"/>
  <c r="AI271" i="57"/>
  <c r="Z271" i="57"/>
  <c r="AA271" i="57" s="1"/>
  <c r="AG270" i="57"/>
  <c r="X270" i="57"/>
  <c r="AJ270" i="57"/>
  <c r="V270" i="57" l="1"/>
  <c r="AI270" i="57"/>
  <c r="Z270" i="57"/>
  <c r="AA270" i="57" s="1"/>
  <c r="AG269" i="57"/>
  <c r="X269" i="57"/>
  <c r="AJ269" i="57"/>
  <c r="V269" i="57" l="1"/>
  <c r="AI269" i="57"/>
  <c r="Z269" i="57"/>
  <c r="AA269" i="57" s="1"/>
  <c r="AG268" i="57"/>
  <c r="X268" i="57"/>
  <c r="AJ268" i="57"/>
  <c r="V268" i="57" l="1"/>
  <c r="AI268" i="57"/>
  <c r="Z268" i="57"/>
  <c r="AA268" i="57" s="1"/>
  <c r="AG267" i="57"/>
  <c r="X267" i="57"/>
  <c r="AJ267" i="57"/>
  <c r="V267" i="57" l="1"/>
  <c r="AI267" i="57"/>
  <c r="Z267" i="57"/>
  <c r="AA267" i="57" s="1"/>
  <c r="AG266" i="57"/>
  <c r="X266" i="57"/>
  <c r="AJ266" i="57"/>
  <c r="V266" i="57" l="1"/>
  <c r="AI266" i="57"/>
  <c r="Z266" i="57"/>
  <c r="AA266" i="57" s="1"/>
  <c r="AG264" i="57" l="1"/>
  <c r="AJ264" i="57"/>
  <c r="X264" i="57"/>
  <c r="V264" i="57" l="1"/>
  <c r="AI264" i="57"/>
  <c r="Z264" i="57"/>
  <c r="AA264" i="57" s="1"/>
  <c r="AG263" i="57"/>
  <c r="AJ263" i="57"/>
  <c r="X263" i="57"/>
  <c r="V263" i="57" l="1"/>
  <c r="AI263" i="57"/>
  <c r="Z263" i="57"/>
  <c r="AA263" i="57" s="1"/>
  <c r="AG262" i="57"/>
  <c r="X262" i="57"/>
  <c r="AJ262" i="57"/>
  <c r="V262" i="57" l="1"/>
  <c r="AI262" i="57"/>
  <c r="Z262" i="57"/>
  <c r="AA262" i="57" s="1"/>
  <c r="AG261" i="57"/>
  <c r="AJ261" i="57"/>
  <c r="X261" i="57"/>
  <c r="V261" i="57" l="1"/>
  <c r="AI261" i="57"/>
  <c r="Z261" i="57"/>
  <c r="AA261" i="57" s="1"/>
  <c r="AG259" i="57" l="1"/>
  <c r="X259" i="57"/>
  <c r="AJ259" i="57"/>
  <c r="V259" i="57" l="1"/>
  <c r="AI259" i="57"/>
  <c r="Z259" i="57"/>
  <c r="AA259" i="57" s="1"/>
  <c r="AG258" i="57"/>
  <c r="AJ258" i="57"/>
  <c r="X258" i="57"/>
  <c r="V258" i="57" l="1"/>
  <c r="AI258" i="57"/>
  <c r="Z258" i="57"/>
  <c r="AA258" i="57" s="1"/>
  <c r="AG257" i="57"/>
  <c r="X257" i="57"/>
  <c r="AJ257" i="57"/>
  <c r="V257" i="57" l="1"/>
  <c r="AI257" i="57"/>
  <c r="Z257" i="57"/>
  <c r="AA257" i="57" s="1"/>
  <c r="AG256" i="57"/>
  <c r="X256" i="57"/>
  <c r="AJ256" i="57"/>
  <c r="V256" i="57" l="1"/>
  <c r="AI256" i="57"/>
  <c r="Z256" i="57"/>
  <c r="AA256" i="57" s="1"/>
  <c r="AG255" i="57" l="1"/>
  <c r="X255" i="57"/>
  <c r="AJ255" i="57"/>
  <c r="V255" i="57" l="1"/>
  <c r="AI255" i="57"/>
  <c r="Z255" i="57"/>
  <c r="AA255" i="57" s="1"/>
  <c r="AG254" i="57"/>
  <c r="X254" i="57"/>
  <c r="AJ254" i="57"/>
  <c r="V254" i="57" l="1"/>
  <c r="AI254" i="57"/>
  <c r="Z254" i="57"/>
  <c r="AA254" i="57" s="1"/>
  <c r="AG253" i="57"/>
  <c r="X253" i="57"/>
  <c r="AJ253" i="57"/>
  <c r="V253" i="57" l="1"/>
  <c r="AI253" i="57"/>
  <c r="Z253" i="57"/>
  <c r="AA253" i="57" s="1"/>
  <c r="AG252" i="57"/>
  <c r="X252" i="57"/>
  <c r="AJ252" i="57"/>
  <c r="V252" i="57" l="1"/>
  <c r="AI252" i="57"/>
  <c r="Z252" i="57"/>
  <c r="AA252" i="57" s="1"/>
  <c r="AG251" i="57"/>
  <c r="AJ251" i="57"/>
  <c r="X251" i="57"/>
  <c r="V251" i="57" l="1"/>
  <c r="AI251" i="57"/>
  <c r="Z251" i="57"/>
  <c r="AA251" i="57" s="1"/>
  <c r="AG250" i="57"/>
  <c r="X250" i="57"/>
  <c r="AJ250" i="57"/>
  <c r="V250" i="57" l="1"/>
  <c r="AI250" i="57"/>
  <c r="Z250" i="57"/>
  <c r="AA250" i="57" s="1"/>
  <c r="AG249" i="57"/>
  <c r="X249" i="57"/>
  <c r="AJ249" i="57"/>
  <c r="V249" i="57" l="1"/>
  <c r="AI249" i="57"/>
  <c r="Z249" i="57"/>
  <c r="AA249" i="57" s="1"/>
  <c r="AG248" i="57"/>
  <c r="AJ248" i="57"/>
  <c r="X248" i="57"/>
  <c r="V248" i="57" l="1"/>
  <c r="AI248" i="57"/>
  <c r="Z248" i="57"/>
  <c r="AA248" i="57" s="1"/>
  <c r="AG246" i="57" l="1"/>
  <c r="X246" i="57"/>
  <c r="AJ246" i="57"/>
  <c r="V246" i="57" l="1"/>
  <c r="AI246" i="57"/>
  <c r="Z246" i="57"/>
  <c r="AA246" i="57" s="1"/>
  <c r="AG245" i="57"/>
  <c r="AJ245" i="57"/>
  <c r="X245" i="57"/>
  <c r="V245" i="57" l="1"/>
  <c r="AI245" i="57"/>
  <c r="Z245" i="57"/>
  <c r="AA245" i="57" s="1"/>
  <c r="AG241" i="57" l="1"/>
  <c r="X241" i="57"/>
  <c r="AJ241" i="57"/>
  <c r="V241" i="57" l="1"/>
  <c r="AI241" i="57"/>
  <c r="Z241" i="57"/>
  <c r="AA241" i="57" s="1"/>
  <c r="AG240" i="57"/>
  <c r="X240" i="57"/>
  <c r="AJ240" i="57"/>
  <c r="V240" i="57" l="1"/>
  <c r="AI240" i="57"/>
  <c r="Z240" i="57"/>
  <c r="AA240" i="57" s="1"/>
  <c r="AG239" i="57"/>
  <c r="X239" i="57"/>
  <c r="AJ239" i="57"/>
  <c r="V239" i="57" l="1"/>
  <c r="AI239" i="57"/>
  <c r="Z239" i="57"/>
  <c r="AA239" i="57" s="1"/>
  <c r="AG238" i="57"/>
  <c r="X238" i="57"/>
  <c r="AJ238" i="57"/>
  <c r="V238" i="57" l="1"/>
  <c r="AI238" i="57"/>
  <c r="Z238" i="57"/>
  <c r="AA238" i="57" s="1"/>
  <c r="AG237" i="57"/>
  <c r="X237" i="57"/>
  <c r="AJ237" i="57"/>
  <c r="V237" i="57" l="1"/>
  <c r="AI237" i="57"/>
  <c r="Z237" i="57"/>
  <c r="AA237" i="57" s="1"/>
  <c r="AG236" i="57"/>
  <c r="X236" i="57"/>
  <c r="AJ236" i="57"/>
  <c r="V236" i="57" l="1"/>
  <c r="AI236" i="57"/>
  <c r="Z236" i="57"/>
  <c r="AA236" i="57" s="1"/>
  <c r="AG235" i="57"/>
  <c r="X235" i="57"/>
  <c r="AJ235" i="57"/>
  <c r="V235" i="57" l="1"/>
  <c r="AI235" i="57"/>
  <c r="Z235" i="57"/>
  <c r="AA235" i="57" s="1"/>
  <c r="AG234" i="57"/>
  <c r="AJ234" i="57"/>
  <c r="X234" i="57"/>
  <c r="V234" i="57" l="1"/>
  <c r="AI234" i="57"/>
  <c r="Z234" i="57"/>
  <c r="AA234" i="57" s="1"/>
  <c r="AG233" i="57"/>
  <c r="X233" i="57"/>
  <c r="AJ233" i="57"/>
  <c r="V233" i="57" l="1"/>
  <c r="AI233" i="57"/>
  <c r="Z233" i="57"/>
  <c r="AA233" i="57" s="1"/>
  <c r="AG232" i="57"/>
  <c r="AJ232" i="57"/>
  <c r="X232" i="57"/>
  <c r="V232" i="57" l="1"/>
  <c r="AI232" i="57"/>
  <c r="Z232" i="57"/>
  <c r="AA232" i="57" s="1"/>
  <c r="AG231" i="57"/>
  <c r="X231" i="57"/>
  <c r="AJ231" i="57"/>
  <c r="V231" i="57" l="1"/>
  <c r="AI231" i="57"/>
  <c r="Z231" i="57"/>
  <c r="AA231" i="57" s="1"/>
  <c r="AG230" i="57"/>
  <c r="X230" i="57"/>
  <c r="AJ230" i="57"/>
  <c r="V230" i="57" l="1"/>
  <c r="AI230" i="57"/>
  <c r="Z230" i="57"/>
  <c r="AA230" i="57" s="1"/>
  <c r="AG229" i="57"/>
  <c r="X229" i="57"/>
  <c r="AJ229" i="57"/>
  <c r="V229" i="57" l="1"/>
  <c r="AI229" i="57"/>
  <c r="Z229" i="57"/>
  <c r="AA229" i="57" s="1"/>
  <c r="AG228" i="57"/>
  <c r="X228" i="57"/>
  <c r="AJ228" i="57"/>
  <c r="V228" i="57" l="1"/>
  <c r="AI228" i="57"/>
  <c r="Z228" i="57"/>
  <c r="AA228" i="57" s="1"/>
  <c r="AG227" i="57"/>
  <c r="X227" i="57"/>
  <c r="AJ227" i="57"/>
  <c r="V227" i="57" l="1"/>
  <c r="AI227" i="57"/>
  <c r="Z227" i="57"/>
  <c r="AA227" i="57" s="1"/>
  <c r="AG226" i="57"/>
  <c r="AJ226" i="57"/>
  <c r="X226" i="57"/>
  <c r="V226" i="57" l="1"/>
  <c r="AI226" i="57"/>
  <c r="Z226" i="57"/>
  <c r="AA226" i="57" s="1"/>
  <c r="AG225" i="57"/>
  <c r="X225" i="57"/>
  <c r="AJ225" i="57"/>
  <c r="V225" i="57" l="1"/>
  <c r="AI225" i="57"/>
  <c r="Z225" i="57"/>
  <c r="AA225" i="57" s="1"/>
  <c r="AG221" i="57" l="1"/>
  <c r="AJ221" i="57"/>
  <c r="X221" i="57"/>
  <c r="V221" i="57" l="1"/>
  <c r="AI221" i="57"/>
  <c r="Z221" i="57"/>
  <c r="AA221" i="57" s="1"/>
  <c r="AG220" i="57"/>
  <c r="AJ220" i="57"/>
  <c r="X220" i="57"/>
  <c r="V220" i="57" l="1"/>
  <c r="AI220" i="57"/>
  <c r="Z220" i="57"/>
  <c r="AA220" i="57" s="1"/>
  <c r="AG218" i="57" l="1"/>
  <c r="X218" i="57"/>
  <c r="AJ218" i="57"/>
  <c r="V218" i="57" l="1"/>
  <c r="AI218" i="57"/>
  <c r="Z218" i="57"/>
  <c r="AA218" i="57" s="1"/>
  <c r="AG217" i="57"/>
  <c r="AJ217" i="57"/>
  <c r="X217" i="57"/>
  <c r="V217" i="57" l="1"/>
  <c r="AI217" i="57"/>
  <c r="Z217" i="57"/>
  <c r="AA217" i="57" s="1"/>
  <c r="AG216" i="57"/>
  <c r="X216" i="57"/>
  <c r="AJ216" i="57"/>
  <c r="V216" i="57" l="1"/>
  <c r="AI216" i="57"/>
  <c r="Z216" i="57"/>
  <c r="AA216" i="57" s="1"/>
  <c r="AG215" i="57"/>
  <c r="X215" i="57"/>
  <c r="AJ215" i="57"/>
  <c r="V215" i="57" l="1"/>
  <c r="AI215" i="57"/>
  <c r="Z215" i="57"/>
  <c r="AA215" i="57" s="1"/>
  <c r="AG213" i="57"/>
  <c r="AJ213" i="57"/>
  <c r="X213" i="57"/>
  <c r="V213" i="57" l="1"/>
  <c r="AI213" i="57"/>
  <c r="Z213" i="57"/>
  <c r="AA213" i="57" s="1"/>
  <c r="AG212" i="57"/>
  <c r="X212" i="57"/>
  <c r="AJ212" i="57"/>
  <c r="V212" i="57" l="1"/>
  <c r="AI212" i="57"/>
  <c r="Z212" i="57"/>
  <c r="AA212" i="57" s="1"/>
  <c r="AG211" i="57"/>
  <c r="X211" i="57"/>
  <c r="AJ211" i="57"/>
  <c r="V211" i="57" l="1"/>
  <c r="AI211" i="57"/>
  <c r="Z211" i="57"/>
  <c r="AA211" i="57" s="1"/>
  <c r="AG210" i="57"/>
  <c r="X210" i="57"/>
  <c r="AJ210" i="57"/>
  <c r="V210" i="57" l="1"/>
  <c r="AI210" i="57"/>
  <c r="Z210" i="57"/>
  <c r="AA210" i="57" s="1"/>
  <c r="AG206" i="57" l="1"/>
  <c r="X206" i="57"/>
  <c r="AJ206" i="57"/>
  <c r="V206" i="57" l="1"/>
  <c r="AI206" i="57"/>
  <c r="Z206" i="57"/>
  <c r="AA206" i="57" s="1"/>
  <c r="AG204" i="57" l="1"/>
  <c r="X204" i="57"/>
  <c r="AJ204" i="57"/>
  <c r="V204" i="57" l="1"/>
  <c r="AI204" i="57"/>
  <c r="Z204" i="57"/>
  <c r="AA204" i="57" s="1"/>
  <c r="AG203" i="57"/>
  <c r="AJ203" i="57"/>
  <c r="X203" i="57"/>
  <c r="V203" i="57" l="1"/>
  <c r="AI203" i="57"/>
  <c r="Z203" i="57"/>
  <c r="AA203" i="57" s="1"/>
  <c r="AG201" i="57" l="1"/>
  <c r="AJ201" i="57"/>
  <c r="X201" i="57"/>
  <c r="V201" i="57" l="1"/>
  <c r="AI201" i="57"/>
  <c r="Z201" i="57"/>
  <c r="AA201" i="57" s="1"/>
  <c r="AG200" i="57"/>
  <c r="X200" i="57"/>
  <c r="AJ200" i="57"/>
  <c r="V200" i="57" l="1"/>
  <c r="AI200" i="57"/>
  <c r="Z200" i="57"/>
  <c r="AA200" i="57" s="1"/>
  <c r="AG199" i="57"/>
  <c r="X199" i="57"/>
  <c r="AJ199" i="57"/>
  <c r="V199" i="57" l="1"/>
  <c r="AI199" i="57"/>
  <c r="Z199" i="57"/>
  <c r="AA199" i="57" s="1"/>
  <c r="AG197" i="57" l="1"/>
  <c r="X197" i="57"/>
  <c r="AJ197" i="57"/>
  <c r="V197" i="57" l="1"/>
  <c r="AI197" i="57"/>
  <c r="Z197" i="57"/>
  <c r="AA197" i="57" s="1"/>
  <c r="AG195" i="57"/>
  <c r="X195" i="57"/>
  <c r="AJ195" i="57"/>
  <c r="V195" i="57" l="1"/>
  <c r="AI195" i="57"/>
  <c r="Z195" i="57"/>
  <c r="AA195" i="57" s="1"/>
  <c r="AG194" i="57"/>
  <c r="X194" i="57"/>
  <c r="AJ194" i="57"/>
  <c r="V194" i="57" l="1"/>
  <c r="AI194" i="57"/>
  <c r="Z194" i="57"/>
  <c r="AA194" i="57" s="1"/>
  <c r="AG193" i="57"/>
  <c r="X193" i="57"/>
  <c r="AJ193" i="57"/>
  <c r="V193" i="57" l="1"/>
  <c r="AI193" i="57"/>
  <c r="Z193" i="57"/>
  <c r="AA193" i="57" s="1"/>
  <c r="AG192" i="57"/>
  <c r="X192" i="57"/>
  <c r="AJ192" i="57"/>
  <c r="V192" i="57" l="1"/>
  <c r="AI192" i="57"/>
  <c r="Z192" i="57"/>
  <c r="AA192" i="57" s="1"/>
  <c r="AG191" i="57"/>
  <c r="X191" i="57"/>
  <c r="AJ191" i="57"/>
  <c r="V191" i="57" l="1"/>
  <c r="AI191" i="57"/>
  <c r="Z191" i="57"/>
  <c r="AA191" i="57" s="1"/>
  <c r="AG190" i="57"/>
  <c r="X190" i="57"/>
  <c r="AJ190" i="57"/>
  <c r="V190" i="57" l="1"/>
  <c r="AI190" i="57"/>
  <c r="Z190" i="57"/>
  <c r="AA190" i="57" s="1"/>
  <c r="AG189" i="57"/>
  <c r="X189" i="57"/>
  <c r="AJ189" i="57"/>
  <c r="V189" i="57" l="1"/>
  <c r="AI189" i="57"/>
  <c r="Z189" i="57"/>
  <c r="AA189" i="57" s="1"/>
  <c r="AG188" i="57"/>
  <c r="X188" i="57"/>
  <c r="AJ188" i="57"/>
  <c r="V188" i="57" l="1"/>
  <c r="AI188" i="57"/>
  <c r="Z188" i="57"/>
  <c r="AA188" i="57" s="1"/>
  <c r="AG187" i="57"/>
  <c r="AJ187" i="57"/>
  <c r="X187" i="57"/>
  <c r="V187" i="57" l="1"/>
  <c r="AI187" i="57"/>
  <c r="Z187" i="57"/>
  <c r="AA187" i="57" s="1"/>
  <c r="AG186" i="57"/>
  <c r="X186" i="57"/>
  <c r="AJ186" i="57"/>
  <c r="V186" i="57" l="1"/>
  <c r="AI186" i="57"/>
  <c r="Z186" i="57"/>
  <c r="AA186" i="57" s="1"/>
  <c r="AG185" i="57"/>
  <c r="X185" i="57"/>
  <c r="AJ185" i="57"/>
  <c r="V185" i="57" l="1"/>
  <c r="AI185" i="57"/>
  <c r="Z185" i="57"/>
  <c r="AA185" i="57" s="1"/>
  <c r="AG184" i="57"/>
  <c r="X184" i="57"/>
  <c r="AJ184" i="57"/>
  <c r="V184" i="57" l="1"/>
  <c r="AI184" i="57"/>
  <c r="Z184" i="57"/>
  <c r="AA184" i="57" s="1"/>
  <c r="AG183" i="57"/>
  <c r="X183" i="57"/>
  <c r="AJ183" i="57"/>
  <c r="V183" i="57" l="1"/>
  <c r="AI183" i="57"/>
  <c r="Z183" i="57"/>
  <c r="AA183" i="57" s="1"/>
  <c r="AG182" i="57"/>
  <c r="X182" i="57"/>
  <c r="AJ182" i="57"/>
  <c r="V182" i="57" l="1"/>
  <c r="AI182" i="57"/>
  <c r="Z182" i="57"/>
  <c r="AA182" i="57" s="1"/>
  <c r="AG181" i="57"/>
  <c r="X181" i="57"/>
  <c r="AJ181" i="57"/>
  <c r="V181" i="57" l="1"/>
  <c r="AI181" i="57"/>
  <c r="Z181" i="57"/>
  <c r="AA181" i="57" s="1"/>
  <c r="AG180" i="57"/>
  <c r="X180" i="57"/>
  <c r="AJ180" i="57"/>
  <c r="V180" i="57" l="1"/>
  <c r="AI180" i="57"/>
  <c r="Z180" i="57"/>
  <c r="AA180" i="57" s="1"/>
  <c r="AG179" i="57"/>
  <c r="X179" i="57"/>
  <c r="AJ179" i="57"/>
  <c r="V179" i="57" l="1"/>
  <c r="AI179" i="57"/>
  <c r="Z179" i="57"/>
  <c r="AA179" i="57" s="1"/>
  <c r="AG178" i="57"/>
  <c r="X178" i="57"/>
  <c r="AJ178" i="57"/>
  <c r="V178" i="57" l="1"/>
  <c r="AI178" i="57"/>
  <c r="Z178" i="57"/>
  <c r="AA178" i="57" s="1"/>
  <c r="AG177" i="57"/>
  <c r="AJ177" i="57"/>
  <c r="X177" i="57"/>
  <c r="V177" i="57" l="1"/>
  <c r="AI177" i="57"/>
  <c r="Z177" i="57"/>
  <c r="AA177" i="57" s="1"/>
  <c r="AG176" i="57"/>
  <c r="X176" i="57"/>
  <c r="AJ176" i="57"/>
  <c r="V176" i="57" l="1"/>
  <c r="AI176" i="57"/>
  <c r="Z176" i="57"/>
  <c r="AA176" i="57" s="1"/>
  <c r="AG175" i="57"/>
  <c r="AJ175" i="57"/>
  <c r="X175" i="57"/>
  <c r="V175" i="57" l="1"/>
  <c r="AI175" i="57"/>
  <c r="Z175" i="57"/>
  <c r="AA175" i="57" s="1"/>
  <c r="AG174" i="57"/>
  <c r="X174" i="57"/>
  <c r="AJ174" i="57"/>
  <c r="V174" i="57" l="1"/>
  <c r="AI174" i="57"/>
  <c r="Z174" i="57"/>
  <c r="AA174" i="57" s="1"/>
  <c r="AG173" i="57"/>
  <c r="AJ173" i="57"/>
  <c r="X173" i="57"/>
  <c r="V173" i="57" l="1"/>
  <c r="AI173" i="57"/>
  <c r="Z173" i="57"/>
  <c r="AA173" i="57" s="1"/>
  <c r="AG172" i="57"/>
  <c r="AJ172" i="57"/>
  <c r="X172" i="57"/>
  <c r="V172" i="57" l="1"/>
  <c r="AI172" i="57"/>
  <c r="Z172" i="57"/>
  <c r="AA172" i="57" s="1"/>
  <c r="AG171" i="57"/>
  <c r="AJ171" i="57"/>
  <c r="X171" i="57"/>
  <c r="V171" i="57" l="1"/>
  <c r="AI171" i="57"/>
  <c r="Z171" i="57"/>
  <c r="AA171" i="57" s="1"/>
  <c r="AG170" i="57"/>
  <c r="X170" i="57"/>
  <c r="AJ170" i="57"/>
  <c r="V170" i="57" l="1"/>
  <c r="AI170" i="57"/>
  <c r="Z170" i="57"/>
  <c r="AA170" i="57" s="1"/>
  <c r="AG169" i="57"/>
  <c r="AJ169" i="57"/>
  <c r="X169" i="57"/>
  <c r="V169" i="57" l="1"/>
  <c r="AI169" i="57"/>
  <c r="Z169" i="57"/>
  <c r="AA169" i="57" s="1"/>
  <c r="AG168" i="57"/>
  <c r="X168" i="57"/>
  <c r="AJ168" i="57"/>
  <c r="V168" i="57" l="1"/>
  <c r="AI168" i="57"/>
  <c r="Z168" i="57"/>
  <c r="AA168" i="57" s="1"/>
  <c r="AG167" i="57"/>
  <c r="X167" i="57"/>
  <c r="AJ167" i="57"/>
  <c r="V167" i="57" l="1"/>
  <c r="AI167" i="57"/>
  <c r="Z167" i="57"/>
  <c r="AA167" i="57" s="1"/>
  <c r="AG166" i="57"/>
  <c r="AJ166" i="57"/>
  <c r="X166" i="57"/>
  <c r="V166" i="57" l="1"/>
  <c r="AI166" i="57"/>
  <c r="Z166" i="57"/>
  <c r="AA166" i="57" s="1"/>
  <c r="AG165" i="57"/>
  <c r="X165" i="57"/>
  <c r="AJ165" i="57"/>
  <c r="V165" i="57" l="1"/>
  <c r="AI165" i="57"/>
  <c r="Z165" i="57"/>
  <c r="AA165" i="57" s="1"/>
  <c r="AG164" i="57"/>
  <c r="X164" i="57"/>
  <c r="AJ164" i="57"/>
  <c r="V164" i="57" l="1"/>
  <c r="AI164" i="57"/>
  <c r="Z164" i="57"/>
  <c r="AA164" i="57" s="1"/>
  <c r="AG163" i="57"/>
  <c r="X163" i="57"/>
  <c r="AJ163" i="57"/>
  <c r="V163" i="57" l="1"/>
  <c r="AI163" i="57"/>
  <c r="Z163" i="57"/>
  <c r="AA163" i="57" s="1"/>
  <c r="AG162" i="57"/>
  <c r="X162" i="57"/>
  <c r="AJ162" i="57"/>
  <c r="V162" i="57" l="1"/>
  <c r="AI162" i="57"/>
  <c r="Z162" i="57"/>
  <c r="AA162" i="57" s="1"/>
  <c r="AG161" i="57"/>
  <c r="AJ161" i="57"/>
  <c r="X161" i="57"/>
  <c r="V161" i="57" l="1"/>
  <c r="AI161" i="57"/>
  <c r="Z161" i="57"/>
  <c r="AA161" i="57" s="1"/>
  <c r="AG160" i="57"/>
  <c r="AJ160" i="57"/>
  <c r="X160" i="57"/>
  <c r="V160" i="57" l="1"/>
  <c r="AI160" i="57"/>
  <c r="Z160" i="57"/>
  <c r="AA160" i="57" s="1"/>
  <c r="AG159" i="57"/>
  <c r="X159" i="57"/>
  <c r="AJ159" i="57"/>
  <c r="V159" i="57" l="1"/>
  <c r="AI159" i="57"/>
  <c r="Z159" i="57"/>
  <c r="AA159" i="57" s="1"/>
  <c r="AG158" i="57"/>
  <c r="X158" i="57"/>
  <c r="AJ158" i="57"/>
  <c r="V158" i="57" l="1"/>
  <c r="AI158" i="57"/>
  <c r="Z158" i="57"/>
  <c r="AA158" i="57" s="1"/>
  <c r="AG156" i="57" l="1"/>
  <c r="X156" i="57"/>
  <c r="AJ156" i="57"/>
  <c r="V156" i="57" l="1"/>
  <c r="AI156" i="57"/>
  <c r="Z156" i="57"/>
  <c r="AA156" i="57" s="1"/>
  <c r="AG155" i="57"/>
  <c r="AJ155" i="57"/>
  <c r="X155" i="57"/>
  <c r="V155" i="57" l="1"/>
  <c r="AI155" i="57"/>
  <c r="Z155" i="57"/>
  <c r="AA155" i="57" s="1"/>
  <c r="AG154" i="57"/>
  <c r="X154" i="57"/>
  <c r="AJ154" i="57"/>
  <c r="V154" i="57" l="1"/>
  <c r="AI154" i="57"/>
  <c r="Z154" i="57"/>
  <c r="AA154" i="57" s="1"/>
  <c r="AG153" i="57"/>
  <c r="X153" i="57"/>
  <c r="AJ153" i="57"/>
  <c r="V153" i="57" l="1"/>
  <c r="AI153" i="57"/>
  <c r="Z153" i="57"/>
  <c r="AA153" i="57" s="1"/>
  <c r="AG152" i="57"/>
  <c r="X152" i="57"/>
  <c r="AJ152" i="57"/>
  <c r="V152" i="57" l="1"/>
  <c r="AI152" i="57"/>
  <c r="Z152" i="57"/>
  <c r="AA152" i="57" s="1"/>
  <c r="AG150" i="57" l="1"/>
  <c r="AJ150" i="57"/>
  <c r="X150" i="57"/>
  <c r="V150" i="57" l="1"/>
  <c r="AI150" i="57"/>
  <c r="Z150" i="57"/>
  <c r="AA150" i="57" s="1"/>
  <c r="AG149" i="57"/>
  <c r="X149" i="57"/>
  <c r="AJ149" i="57"/>
  <c r="V149" i="57" l="1"/>
  <c r="AI149" i="57"/>
  <c r="Z149" i="57"/>
  <c r="AA149" i="57" s="1"/>
  <c r="AG148" i="57"/>
  <c r="X148" i="57"/>
  <c r="AJ148" i="57"/>
  <c r="V148" i="57" l="1"/>
  <c r="AI148" i="57"/>
  <c r="Z148" i="57"/>
  <c r="AA148" i="57" s="1"/>
  <c r="AG147" i="57"/>
  <c r="AJ147" i="57"/>
  <c r="X147" i="57"/>
  <c r="V147" i="57" l="1"/>
  <c r="AI147" i="57"/>
  <c r="Z147" i="57"/>
  <c r="AA147" i="57" s="1"/>
  <c r="AG146" i="57"/>
  <c r="AJ146" i="57"/>
  <c r="X146" i="57"/>
  <c r="V146" i="57" l="1"/>
  <c r="AI146" i="57"/>
  <c r="Z146" i="57"/>
  <c r="AA146" i="57" s="1"/>
  <c r="AG145" i="57"/>
  <c r="X145" i="57"/>
  <c r="AJ145" i="57"/>
  <c r="V145" i="57" l="1"/>
  <c r="AI145" i="57"/>
  <c r="Z145" i="57"/>
  <c r="AA145" i="57" s="1"/>
  <c r="AG144" i="57"/>
  <c r="X144" i="57"/>
  <c r="AJ144" i="57"/>
  <c r="V144" i="57" l="1"/>
  <c r="AI144" i="57"/>
  <c r="Z144" i="57"/>
  <c r="AA144" i="57" s="1"/>
  <c r="AG143" i="57"/>
  <c r="X143" i="57"/>
  <c r="AJ143" i="57"/>
  <c r="V143" i="57" l="1"/>
  <c r="AI143" i="57"/>
  <c r="Z143" i="57"/>
  <c r="AA143" i="57" s="1"/>
  <c r="AG142" i="57"/>
  <c r="X142" i="57"/>
  <c r="AJ142" i="57"/>
  <c r="V142" i="57" l="1"/>
  <c r="AI142" i="57"/>
  <c r="Z142" i="57"/>
  <c r="AA142" i="57" s="1"/>
  <c r="AG141" i="57"/>
  <c r="X141" i="57"/>
  <c r="AJ141" i="57"/>
  <c r="V141" i="57" l="1"/>
  <c r="AI141" i="57"/>
  <c r="Z141" i="57"/>
  <c r="AA141" i="57" s="1"/>
  <c r="AG140" i="57"/>
  <c r="AJ140" i="57"/>
  <c r="X140" i="57"/>
  <c r="V140" i="57" l="1"/>
  <c r="AI140" i="57"/>
  <c r="Z140" i="57"/>
  <c r="AA140" i="57" s="1"/>
  <c r="AG139" i="57"/>
  <c r="AJ139" i="57"/>
  <c r="X139" i="57"/>
  <c r="V139" i="57" l="1"/>
  <c r="AI139" i="57"/>
  <c r="Z139" i="57"/>
  <c r="AA139" i="57" s="1"/>
  <c r="AG138" i="57"/>
  <c r="X138" i="57"/>
  <c r="AJ138" i="57"/>
  <c r="V138" i="57" l="1"/>
  <c r="AI138" i="57"/>
  <c r="Z138" i="57"/>
  <c r="AA138" i="57" s="1"/>
  <c r="AG137" i="57"/>
  <c r="X137" i="57"/>
  <c r="AJ137" i="57"/>
  <c r="V137" i="57" l="1"/>
  <c r="AI137" i="57"/>
  <c r="Z137" i="57"/>
  <c r="AA137" i="57" s="1"/>
  <c r="AG136" i="57"/>
  <c r="X136" i="57"/>
  <c r="AJ136" i="57"/>
  <c r="V136" i="57" l="1"/>
  <c r="AI136" i="57"/>
  <c r="Z136" i="57"/>
  <c r="AA136" i="57" s="1"/>
  <c r="AG135" i="57"/>
  <c r="AJ135" i="57"/>
  <c r="X135" i="57"/>
  <c r="V135" i="57" l="1"/>
  <c r="AI135" i="57"/>
  <c r="Z135" i="57"/>
  <c r="AA135" i="57" s="1"/>
  <c r="AG133" i="57" l="1"/>
  <c r="X133" i="57"/>
  <c r="AJ133" i="57"/>
  <c r="V133" i="57" l="1"/>
  <c r="AI133" i="57"/>
  <c r="Z133" i="57"/>
  <c r="AA133" i="57" s="1"/>
  <c r="AG132" i="57"/>
  <c r="X132" i="57"/>
  <c r="AJ132" i="57"/>
  <c r="V132" i="57" l="1"/>
  <c r="AI132" i="57"/>
  <c r="Z132" i="57"/>
  <c r="AA132" i="57" s="1"/>
  <c r="AG131" i="57"/>
  <c r="AJ131" i="57"/>
  <c r="X131" i="57"/>
  <c r="V131" i="57" l="1"/>
  <c r="AI131" i="57"/>
  <c r="Z131" i="57"/>
  <c r="AA131" i="57" s="1"/>
  <c r="AG130" i="57"/>
  <c r="X130" i="57"/>
  <c r="AJ130" i="57"/>
  <c r="V130" i="57" l="1"/>
  <c r="AI130" i="57"/>
  <c r="Z130" i="57"/>
  <c r="AA130" i="57" s="1"/>
  <c r="AG129" i="57"/>
  <c r="X129" i="57"/>
  <c r="AJ129" i="57"/>
  <c r="V129" i="57" l="1"/>
  <c r="AI129" i="57"/>
  <c r="Z129" i="57"/>
  <c r="AA129" i="57" s="1"/>
  <c r="AG128" i="57"/>
  <c r="X128" i="57"/>
  <c r="AJ128" i="57"/>
  <c r="V128" i="57" l="1"/>
  <c r="AI128" i="57"/>
  <c r="Z128" i="57"/>
  <c r="AA128" i="57" s="1"/>
  <c r="AG125" i="57"/>
  <c r="X125" i="57"/>
  <c r="AJ125" i="57"/>
  <c r="V125" i="57" l="1"/>
  <c r="AI125" i="57"/>
  <c r="Z125" i="57"/>
  <c r="AA125" i="57" s="1"/>
  <c r="AG124" i="57"/>
  <c r="X124" i="57"/>
  <c r="AJ124" i="57"/>
  <c r="V124" i="57" l="1"/>
  <c r="AI124" i="57"/>
  <c r="Z124" i="57"/>
  <c r="AA124" i="57" s="1"/>
  <c r="AG123" i="57"/>
  <c r="AJ123" i="57"/>
  <c r="X123" i="57"/>
  <c r="V123" i="57" l="1"/>
  <c r="AI123" i="57"/>
  <c r="Z123" i="57"/>
  <c r="AA123" i="57" s="1"/>
  <c r="AG122" i="57"/>
  <c r="X122" i="57"/>
  <c r="AJ122" i="57"/>
  <c r="V122" i="57" l="1"/>
  <c r="AI122" i="57"/>
  <c r="Z122" i="57"/>
  <c r="AA122" i="57" s="1"/>
  <c r="AG121" i="57"/>
  <c r="AJ121" i="57"/>
  <c r="X121" i="57"/>
  <c r="V121" i="57" l="1"/>
  <c r="AI121" i="57"/>
  <c r="Z121" i="57"/>
  <c r="AA121" i="57" s="1"/>
  <c r="AG120" i="57"/>
  <c r="X120" i="57"/>
  <c r="AJ120" i="57"/>
  <c r="V120" i="57" l="1"/>
  <c r="AI120" i="57"/>
  <c r="Z120" i="57"/>
  <c r="AA120" i="57" s="1"/>
  <c r="AG119" i="57"/>
  <c r="AJ119" i="57"/>
  <c r="X119" i="57"/>
  <c r="V119" i="57" l="1"/>
  <c r="AI119" i="57"/>
  <c r="Z119" i="57"/>
  <c r="AA119" i="57" s="1"/>
  <c r="AG118" i="57"/>
  <c r="X118" i="57"/>
  <c r="AJ118" i="57"/>
  <c r="V118" i="57" l="1"/>
  <c r="AI118" i="57"/>
  <c r="Z118" i="57"/>
  <c r="AA118" i="57" s="1"/>
  <c r="AG117" i="57"/>
  <c r="X117" i="57"/>
  <c r="AJ117" i="57"/>
  <c r="V117" i="57" l="1"/>
  <c r="AI117" i="57"/>
  <c r="Z117" i="57"/>
  <c r="AA117" i="57" s="1"/>
  <c r="AG116" i="57"/>
  <c r="X116" i="57"/>
  <c r="AJ116" i="57"/>
  <c r="V116" i="57" l="1"/>
  <c r="AI116" i="57"/>
  <c r="Z116" i="57"/>
  <c r="AA116" i="57" s="1"/>
  <c r="AG115" i="57"/>
  <c r="AJ115" i="57"/>
  <c r="X115" i="57"/>
  <c r="V115" i="57" l="1"/>
  <c r="AI115" i="57"/>
  <c r="Z115" i="57"/>
  <c r="AA115" i="57" s="1"/>
  <c r="AG114" i="57"/>
  <c r="X114" i="57"/>
  <c r="AJ114" i="57"/>
  <c r="V114" i="57" l="1"/>
  <c r="AI114" i="57"/>
  <c r="Z114" i="57"/>
  <c r="AA114" i="57" s="1"/>
  <c r="AG113" i="57"/>
  <c r="X113" i="57"/>
  <c r="AJ113" i="57"/>
  <c r="V113" i="57" l="1"/>
  <c r="AI113" i="57"/>
  <c r="Z113" i="57"/>
  <c r="AA113" i="57" s="1"/>
  <c r="AG112" i="57"/>
  <c r="X112" i="57"/>
  <c r="AJ112" i="57"/>
  <c r="V112" i="57" l="1"/>
  <c r="AI112" i="57"/>
  <c r="Z112" i="57"/>
  <c r="AA112" i="57" s="1"/>
  <c r="AG111" i="57"/>
  <c r="X111" i="57"/>
  <c r="AJ111" i="57"/>
  <c r="V111" i="57" l="1"/>
  <c r="AI111" i="57"/>
  <c r="Z111" i="57"/>
  <c r="AA111" i="57" s="1"/>
  <c r="AG108" i="57" l="1"/>
  <c r="X108" i="57"/>
  <c r="AJ108" i="57"/>
  <c r="V108" i="57" l="1"/>
  <c r="AI108" i="57"/>
  <c r="Z108" i="57"/>
  <c r="AA108" i="57" s="1"/>
  <c r="AG107" i="57"/>
  <c r="AJ107" i="57"/>
  <c r="X107" i="57"/>
  <c r="V107" i="57" l="1"/>
  <c r="AI107" i="57"/>
  <c r="Z107" i="57"/>
  <c r="AA107" i="57" s="1"/>
  <c r="AG106" i="57"/>
  <c r="X106" i="57"/>
  <c r="AJ106" i="57"/>
  <c r="V106" i="57" l="1"/>
  <c r="AI106" i="57"/>
  <c r="Z106" i="57"/>
  <c r="AA106" i="57" s="1"/>
  <c r="AG105" i="57"/>
  <c r="X105" i="57"/>
  <c r="AJ105" i="57"/>
  <c r="V105" i="57" l="1"/>
  <c r="AI105" i="57"/>
  <c r="Z105" i="57"/>
  <c r="AA105" i="57" s="1"/>
  <c r="AG104" i="57"/>
  <c r="X104" i="57"/>
  <c r="AJ104" i="57"/>
  <c r="V104" i="57" l="1"/>
  <c r="AI104" i="57"/>
  <c r="Z104" i="57"/>
  <c r="AA104" i="57" s="1"/>
  <c r="AG103" i="57"/>
  <c r="X103" i="57"/>
  <c r="AJ103" i="57"/>
  <c r="V103" i="57" l="1"/>
  <c r="AI103" i="57"/>
  <c r="Z103" i="57"/>
  <c r="AA103" i="57" s="1"/>
  <c r="AG102" i="57"/>
  <c r="X102" i="57"/>
  <c r="AJ102" i="57"/>
  <c r="V102" i="57" l="1"/>
  <c r="AI102" i="57"/>
  <c r="Z102" i="57"/>
  <c r="AA102" i="57" s="1"/>
  <c r="AG101" i="57"/>
  <c r="AJ101" i="57"/>
  <c r="X101" i="57"/>
  <c r="V101" i="57" l="1"/>
  <c r="AI101" i="57"/>
  <c r="Z101" i="57"/>
  <c r="AA101" i="57" s="1"/>
  <c r="AG100" i="57"/>
  <c r="AJ100" i="57"/>
  <c r="X100" i="57"/>
  <c r="V100" i="57" l="1"/>
  <c r="AI100" i="57"/>
  <c r="Z100" i="57"/>
  <c r="AA100" i="57" s="1"/>
  <c r="AG99" i="57"/>
  <c r="AJ99" i="57"/>
  <c r="X99" i="57"/>
  <c r="V99" i="57" l="1"/>
  <c r="AI99" i="57"/>
  <c r="Z99" i="57"/>
  <c r="AA99" i="57" s="1"/>
  <c r="AG98" i="57"/>
  <c r="X98" i="57"/>
  <c r="AJ98" i="57"/>
  <c r="V98" i="57" l="1"/>
  <c r="AI98" i="57"/>
  <c r="Z98" i="57"/>
  <c r="AA98" i="57" s="1"/>
  <c r="AG97" i="57"/>
  <c r="X97" i="57"/>
  <c r="AJ97" i="57"/>
  <c r="V97" i="57" l="1"/>
  <c r="AI97" i="57"/>
  <c r="Z97" i="57"/>
  <c r="AA97" i="57" s="1"/>
  <c r="AG96" i="57"/>
  <c r="AJ96" i="57"/>
  <c r="X96" i="57"/>
  <c r="V96" i="57" l="1"/>
  <c r="AI96" i="57"/>
  <c r="Z96" i="57"/>
  <c r="AA96" i="57" s="1"/>
  <c r="AG95" i="57"/>
  <c r="AJ95" i="57"/>
  <c r="X95" i="57"/>
  <c r="V95" i="57" l="1"/>
  <c r="AI95" i="57"/>
  <c r="Z95" i="57"/>
  <c r="AA95" i="57" s="1"/>
  <c r="AG94" i="57"/>
  <c r="AJ94" i="57"/>
  <c r="X94" i="57"/>
  <c r="V94" i="57" l="1"/>
  <c r="AI94" i="57"/>
  <c r="Z94" i="57"/>
  <c r="AA94" i="57" s="1"/>
  <c r="AG93" i="57"/>
  <c r="AJ93" i="57"/>
  <c r="X93" i="57"/>
  <c r="V93" i="57" l="1"/>
  <c r="AI93" i="57"/>
  <c r="Z93" i="57"/>
  <c r="AA93" i="57" s="1"/>
  <c r="AG92" i="57"/>
  <c r="X92" i="57"/>
  <c r="AJ92" i="57"/>
  <c r="V92" i="57" l="1"/>
  <c r="AI92" i="57"/>
  <c r="Z92" i="57"/>
  <c r="AA92" i="57" s="1"/>
  <c r="AG91" i="57"/>
  <c r="X91" i="57"/>
  <c r="AJ91" i="57"/>
  <c r="V91" i="57" l="1"/>
  <c r="AI91" i="57"/>
  <c r="Z91" i="57"/>
  <c r="AA91" i="57" s="1"/>
  <c r="AG90" i="57"/>
  <c r="X90" i="57"/>
  <c r="AJ90" i="57"/>
  <c r="V90" i="57" l="1"/>
  <c r="AI90" i="57"/>
  <c r="Z90" i="57"/>
  <c r="AA90" i="57" s="1"/>
  <c r="AG89" i="57"/>
  <c r="X89" i="57"/>
  <c r="AJ89" i="57"/>
  <c r="V89" i="57" l="1"/>
  <c r="AI89" i="57"/>
  <c r="Z89" i="57"/>
  <c r="AA89" i="57" s="1"/>
  <c r="AG88" i="57"/>
  <c r="AJ88" i="57"/>
  <c r="X88" i="57"/>
  <c r="V88" i="57" l="1"/>
  <c r="AI88" i="57"/>
  <c r="Z88" i="57"/>
  <c r="AA88" i="57" s="1"/>
  <c r="AG87" i="57"/>
  <c r="AJ87" i="57"/>
  <c r="X87" i="57"/>
  <c r="V87" i="57" l="1"/>
  <c r="AI87" i="57"/>
  <c r="Z87" i="57"/>
  <c r="AA87" i="57" s="1"/>
  <c r="AG86" i="57"/>
  <c r="AJ86" i="57"/>
  <c r="X86" i="57"/>
  <c r="V86" i="57" l="1"/>
  <c r="AI86" i="57"/>
  <c r="Z86" i="57"/>
  <c r="AA86" i="57" s="1"/>
  <c r="AG85" i="57"/>
  <c r="AJ85" i="57"/>
  <c r="X85" i="57"/>
  <c r="V85" i="57" l="1"/>
  <c r="AI85" i="57"/>
  <c r="Z85" i="57"/>
  <c r="AA85" i="57" s="1"/>
  <c r="AG84" i="57"/>
  <c r="AJ84" i="57"/>
  <c r="X84" i="57"/>
  <c r="V84" i="57" l="1"/>
  <c r="AI84" i="57"/>
  <c r="Z84" i="57"/>
  <c r="AA84" i="57" s="1"/>
  <c r="AG83" i="57"/>
  <c r="AJ83" i="57"/>
  <c r="X83" i="57"/>
  <c r="V83" i="57" l="1"/>
  <c r="AI83" i="57"/>
  <c r="Z83" i="57"/>
  <c r="AA83" i="57" s="1"/>
  <c r="AG82" i="57"/>
  <c r="X82" i="57"/>
  <c r="AJ82" i="57"/>
  <c r="V82" i="57" l="1"/>
  <c r="AI82" i="57"/>
  <c r="Z82" i="57"/>
  <c r="AA82" i="57" s="1"/>
  <c r="AG81" i="57"/>
  <c r="X81" i="57"/>
  <c r="AJ81" i="57"/>
  <c r="V81" i="57" l="1"/>
  <c r="AI81" i="57"/>
  <c r="Z81" i="57"/>
  <c r="AA81" i="57" s="1"/>
  <c r="AG80" i="57"/>
  <c r="AJ80" i="57"/>
  <c r="X80" i="57"/>
  <c r="V80" i="57" l="1"/>
  <c r="AI80" i="57"/>
  <c r="Z80" i="57"/>
  <c r="AA80" i="57" s="1"/>
  <c r="AG79" i="57"/>
  <c r="AJ79" i="57"/>
  <c r="X79" i="57"/>
  <c r="V79" i="57" l="1"/>
  <c r="AI79" i="57"/>
  <c r="Z79" i="57"/>
  <c r="AA79" i="57" s="1"/>
  <c r="AG78" i="57"/>
  <c r="X78" i="57"/>
  <c r="AJ78" i="57"/>
  <c r="V78" i="57" l="1"/>
  <c r="AI78" i="57"/>
  <c r="Z78" i="57"/>
  <c r="AA78" i="57" s="1"/>
  <c r="AG77" i="57"/>
  <c r="AJ77" i="57"/>
  <c r="X77" i="57"/>
  <c r="V77" i="57" l="1"/>
  <c r="AI77" i="57"/>
  <c r="Z77" i="57"/>
  <c r="AA77" i="57" s="1"/>
  <c r="AG76" i="57"/>
  <c r="X76" i="57"/>
  <c r="AJ76" i="57"/>
  <c r="V76" i="57" l="1"/>
  <c r="AI76" i="57"/>
  <c r="Z76" i="57"/>
  <c r="AA76" i="57" s="1"/>
  <c r="AG75" i="57"/>
  <c r="AJ75" i="57"/>
  <c r="X75" i="57"/>
  <c r="V75" i="57" l="1"/>
  <c r="AI75" i="57"/>
  <c r="Z75" i="57"/>
  <c r="AA75" i="57" s="1"/>
  <c r="AG74" i="57"/>
  <c r="X74" i="57"/>
  <c r="AJ74" i="57"/>
  <c r="V74" i="57" l="1"/>
  <c r="AI74" i="57"/>
  <c r="Z74" i="57"/>
  <c r="AA74" i="57" s="1"/>
  <c r="AG73" i="57"/>
  <c r="AJ73" i="57"/>
  <c r="X73" i="57"/>
  <c r="V73" i="57" l="1"/>
  <c r="AI73" i="57"/>
  <c r="Z73" i="57"/>
  <c r="AA73" i="57" s="1"/>
  <c r="AG72" i="57"/>
  <c r="X72" i="57"/>
  <c r="AJ72" i="57"/>
  <c r="V72" i="57" l="1"/>
  <c r="AI72" i="57"/>
  <c r="Z72" i="57"/>
  <c r="AA72" i="57" s="1"/>
  <c r="AG71" i="57"/>
  <c r="X71" i="57"/>
  <c r="AJ71" i="57"/>
  <c r="V71" i="57" l="1"/>
  <c r="AI71" i="57"/>
  <c r="Z71" i="57"/>
  <c r="AA71" i="57" s="1"/>
  <c r="AG70" i="57"/>
  <c r="X70" i="57"/>
  <c r="AJ70" i="57"/>
  <c r="V70" i="57" l="1"/>
  <c r="AI70" i="57"/>
  <c r="Z70" i="57"/>
  <c r="AA70" i="57" s="1"/>
  <c r="X67" i="57"/>
  <c r="AJ67" i="57"/>
  <c r="V67" i="57" l="1"/>
  <c r="AI67" i="57"/>
  <c r="Z67" i="57"/>
  <c r="AA67" i="57" s="1"/>
  <c r="AJ66" i="57"/>
  <c r="X66" i="57"/>
  <c r="V66" i="57" l="1"/>
  <c r="AI66" i="57"/>
  <c r="Z66" i="57"/>
  <c r="AA66" i="57" s="1"/>
  <c r="X65" i="57"/>
  <c r="AJ65" i="57"/>
  <c r="V65" i="57" l="1"/>
  <c r="AI65" i="57"/>
  <c r="Z65" i="57"/>
  <c r="AA65" i="57" s="1"/>
  <c r="X64" i="57"/>
  <c r="AJ64" i="57"/>
  <c r="V64" i="57" l="1"/>
  <c r="AI64" i="57"/>
  <c r="Z64" i="57"/>
  <c r="AA64" i="57" s="1"/>
  <c r="AJ63" i="57"/>
  <c r="X63" i="57"/>
  <c r="V63" i="57" l="1"/>
  <c r="AI63" i="57"/>
  <c r="Z63" i="57"/>
  <c r="AA63" i="57" s="1"/>
  <c r="X62" i="57"/>
  <c r="AJ62" i="57"/>
  <c r="V62" i="57" l="1"/>
  <c r="AI62" i="57"/>
  <c r="Z62" i="57"/>
  <c r="AA62" i="57" s="1"/>
  <c r="X61" i="57"/>
  <c r="AJ61" i="57"/>
  <c r="V61" i="57" l="1"/>
  <c r="AI61" i="57"/>
  <c r="Z61" i="57"/>
  <c r="AA61" i="57" s="1"/>
  <c r="X60" i="57"/>
  <c r="AJ60" i="57"/>
  <c r="V60" i="57" l="1"/>
  <c r="AI60" i="57"/>
  <c r="Z60" i="57"/>
  <c r="AA60" i="57" s="1"/>
  <c r="AJ59" i="57"/>
  <c r="X59" i="57"/>
  <c r="V59" i="57" l="1"/>
  <c r="AI59" i="57"/>
  <c r="Z59" i="57"/>
  <c r="AA59" i="57" s="1"/>
  <c r="AJ56" i="57"/>
  <c r="X56" i="57"/>
  <c r="V56" i="57" l="1"/>
  <c r="AI56" i="57"/>
  <c r="Z56" i="57"/>
  <c r="AA56" i="57" s="1"/>
  <c r="X55" i="57"/>
  <c r="AJ55" i="57"/>
  <c r="V55" i="57" l="1"/>
  <c r="AI55" i="57"/>
  <c r="Z55" i="57"/>
  <c r="AA55" i="57" s="1"/>
  <c r="X54" i="57"/>
  <c r="AJ54" i="57"/>
  <c r="V54" i="57" l="1"/>
  <c r="AI54" i="57"/>
  <c r="Z54" i="57"/>
  <c r="AA54" i="57" s="1"/>
  <c r="X53" i="57"/>
  <c r="AJ53" i="57"/>
  <c r="V53" i="57" l="1"/>
  <c r="AI53" i="57"/>
  <c r="Z53" i="57"/>
  <c r="AA53" i="57" s="1"/>
  <c r="X52" i="57"/>
  <c r="AJ52" i="57"/>
  <c r="V52" i="57" l="1"/>
  <c r="AI52" i="57"/>
  <c r="Z52" i="57"/>
  <c r="AA52" i="57" s="1"/>
  <c r="X51" i="57"/>
  <c r="AJ51" i="57"/>
  <c r="V51" i="57" l="1"/>
  <c r="AI51" i="57"/>
  <c r="Z51" i="57"/>
  <c r="AA51" i="57" s="1"/>
  <c r="AJ50" i="57"/>
  <c r="X50" i="57"/>
  <c r="V50" i="57" l="1"/>
  <c r="AI50" i="57"/>
  <c r="Z50" i="57"/>
  <c r="AA50" i="57" s="1"/>
  <c r="X49" i="57"/>
  <c r="AJ49" i="57"/>
  <c r="V49" i="57" l="1"/>
  <c r="AI49" i="57"/>
  <c r="Z49" i="57"/>
  <c r="AA49" i="57" s="1"/>
  <c r="X48" i="57"/>
  <c r="AJ48" i="57"/>
  <c r="V48" i="57" l="1"/>
  <c r="AI48" i="57"/>
  <c r="Z48" i="57"/>
  <c r="AA48" i="57" s="1"/>
  <c r="X46" i="57"/>
  <c r="AJ46" i="57"/>
  <c r="V46" i="57" l="1"/>
  <c r="AI46" i="57"/>
  <c r="Z46" i="57"/>
  <c r="AA46" i="57" s="1"/>
  <c r="X45" i="57"/>
  <c r="AJ45" i="57"/>
  <c r="V45" i="57" l="1"/>
  <c r="AI45" i="57"/>
  <c r="Z45" i="57"/>
  <c r="AA45" i="57" s="1"/>
  <c r="X44" i="57"/>
  <c r="AJ44" i="57"/>
  <c r="V44" i="57" l="1"/>
  <c r="AI44" i="57"/>
  <c r="Z44" i="57"/>
  <c r="AA44" i="57" s="1"/>
  <c r="AJ39" i="57"/>
  <c r="X39" i="57"/>
  <c r="V39" i="57" l="1"/>
  <c r="AI39" i="57"/>
  <c r="Z39" i="57"/>
  <c r="AA39" i="57" s="1"/>
  <c r="AJ38" i="57"/>
  <c r="X38" i="57"/>
  <c r="V38" i="57" l="1"/>
  <c r="AI38" i="57"/>
  <c r="Z38" i="57"/>
  <c r="AA38" i="57" s="1"/>
  <c r="AJ37" i="57"/>
  <c r="X37" i="57"/>
  <c r="V37" i="57" l="1"/>
  <c r="AI37" i="57"/>
  <c r="Z37" i="57"/>
  <c r="AA37" i="57" s="1"/>
  <c r="AJ36" i="57"/>
  <c r="X36" i="57"/>
  <c r="V36" i="57" l="1"/>
  <c r="AI36" i="57"/>
  <c r="Z36" i="57"/>
  <c r="AA36" i="57" s="1"/>
  <c r="X34" i="57"/>
  <c r="AJ34" i="57"/>
  <c r="V34" i="57" l="1"/>
  <c r="AI34" i="57"/>
  <c r="Z34" i="57"/>
  <c r="AA34" i="57" s="1"/>
  <c r="AJ33" i="57"/>
  <c r="X33" i="57"/>
  <c r="V33" i="57" l="1"/>
  <c r="AI33" i="57"/>
  <c r="Z33" i="57"/>
  <c r="AA33" i="57" s="1"/>
  <c r="AJ32" i="57"/>
  <c r="X32" i="57"/>
  <c r="V32" i="57" l="1"/>
  <c r="AI32" i="57"/>
  <c r="Z32" i="57"/>
  <c r="AA32" i="57" s="1"/>
  <c r="X31" i="57"/>
  <c r="AJ31" i="57"/>
  <c r="V31" i="57" l="1"/>
  <c r="AI31" i="57"/>
  <c r="Z31" i="57"/>
  <c r="AA31" i="57" s="1"/>
  <c r="X30" i="57"/>
  <c r="AJ30" i="57"/>
  <c r="V30" i="57" l="1"/>
  <c r="AI30" i="57"/>
  <c r="Z30" i="57"/>
  <c r="AA30" i="57" s="1"/>
  <c r="X29" i="57"/>
  <c r="AJ29" i="57"/>
  <c r="V29" i="57" l="1"/>
  <c r="AI29" i="57"/>
  <c r="Z29" i="57"/>
  <c r="AA29" i="57" s="1"/>
  <c r="X28" i="57"/>
  <c r="AJ28" i="57"/>
  <c r="V28" i="57" l="1"/>
  <c r="AI28" i="57"/>
  <c r="Z28" i="57"/>
  <c r="AA28" i="57" s="1"/>
  <c r="X27" i="57"/>
  <c r="AJ27" i="57"/>
  <c r="V27" i="57" l="1"/>
  <c r="AI27" i="57"/>
  <c r="Z27" i="57"/>
  <c r="AA27" i="57" s="1"/>
  <c r="X26" i="57"/>
  <c r="AJ26" i="57"/>
  <c r="V26" i="57" l="1"/>
  <c r="AI26" i="57"/>
  <c r="Z26" i="57"/>
  <c r="AA26" i="57" s="1"/>
  <c r="X25" i="57"/>
  <c r="AJ25" i="57"/>
  <c r="V25" i="57" l="1"/>
  <c r="AI25" i="57"/>
  <c r="Z25" i="57"/>
  <c r="AA25" i="57" s="1"/>
  <c r="X24" i="57"/>
  <c r="AJ24" i="57"/>
  <c r="V24" i="57" l="1"/>
  <c r="AI24" i="57"/>
  <c r="Z24" i="57"/>
  <c r="AA24" i="57" s="1"/>
  <c r="AJ23" i="57"/>
  <c r="X23" i="57"/>
  <c r="V23" i="57" l="1"/>
  <c r="AI23" i="57"/>
  <c r="Z23" i="57"/>
  <c r="AA23" i="57" s="1"/>
  <c r="X22" i="57"/>
  <c r="AJ22" i="57"/>
  <c r="V22" i="57" l="1"/>
  <c r="AI22" i="57"/>
  <c r="Z22" i="57"/>
  <c r="AA22" i="57" s="1"/>
  <c r="X21" i="57"/>
  <c r="AJ21" i="57"/>
  <c r="V21" i="57" l="1"/>
  <c r="AI21" i="57"/>
  <c r="Z21" i="57"/>
  <c r="AA21" i="57" s="1"/>
  <c r="X20" i="57"/>
  <c r="AJ20" i="57"/>
  <c r="V20" i="57" l="1"/>
  <c r="AI20" i="57"/>
  <c r="Z20" i="57"/>
  <c r="AA20" i="57" s="1"/>
  <c r="X19" i="57"/>
  <c r="AJ19" i="57"/>
  <c r="V19" i="57" l="1"/>
  <c r="AI19" i="57"/>
  <c r="Z19" i="57"/>
  <c r="AA19" i="57" s="1"/>
  <c r="X17" i="57"/>
  <c r="AJ17" i="57"/>
  <c r="V17" i="57" l="1"/>
  <c r="AI17" i="57"/>
  <c r="Z17" i="57"/>
  <c r="AA17" i="57" s="1"/>
  <c r="AJ16" i="57"/>
  <c r="X16" i="57"/>
  <c r="V16" i="57" l="1"/>
  <c r="AI16" i="57"/>
  <c r="Z16" i="57"/>
  <c r="AA16" i="57" s="1"/>
  <c r="X15" i="57"/>
  <c r="AJ15" i="57"/>
  <c r="V15" i="57" l="1"/>
  <c r="AI15" i="57"/>
  <c r="Z15" i="57"/>
  <c r="AA15" i="57" s="1"/>
  <c r="X14" i="57"/>
  <c r="AJ14" i="57"/>
  <c r="V14" i="57" l="1"/>
  <c r="AI14" i="57"/>
  <c r="Z14" i="57"/>
  <c r="AA14" i="57" s="1"/>
  <c r="X13" i="57"/>
  <c r="AJ13" i="57"/>
  <c r="V13" i="57" l="1"/>
  <c r="AI13" i="57"/>
  <c r="Z13" i="57"/>
  <c r="AA13" i="57" s="1"/>
  <c r="X10" i="57"/>
  <c r="AJ10" i="57"/>
  <c r="V10" i="57" l="1"/>
  <c r="AI10" i="57"/>
  <c r="Z10" i="57"/>
  <c r="X9" i="57"/>
  <c r="AJ9" i="57"/>
  <c r="V9" i="57" l="1"/>
  <c r="AI9" i="57"/>
  <c r="Z9" i="57"/>
  <c r="X8" i="57"/>
  <c r="AJ8" i="57"/>
  <c r="V8" i="57" l="1"/>
  <c r="AI8" i="57"/>
  <c r="Z8" i="57"/>
  <c r="AJ7" i="57"/>
  <c r="X7" i="57"/>
  <c r="V7" i="57" l="1"/>
  <c r="AI7" i="57"/>
  <c r="Z7" i="57"/>
  <c r="X6" i="57"/>
  <c r="AJ6" i="57"/>
  <c r="V6" i="57" l="1"/>
  <c r="AI6" i="57"/>
  <c r="Z6" i="57"/>
  <c r="X5" i="57"/>
  <c r="AJ5" i="57"/>
  <c r="V5" i="57" l="1"/>
  <c r="AI5" i="57"/>
  <c r="Z5" i="57"/>
  <c r="AJ4" i="57"/>
  <c r="X4" i="57"/>
  <c r="V4" i="57" l="1"/>
  <c r="AI4" i="57"/>
  <c r="Z4" i="57"/>
  <c r="AG1" i="57"/>
  <c r="X1" i="57"/>
  <c r="Z1" i="57" l="1"/>
  <c r="AA1" i="57" s="1"/>
  <c r="AG99" i="28" l="1"/>
  <c r="Z99" i="28" l="1"/>
  <c r="AA99" i="28" s="1"/>
  <c r="AM31" i="28"/>
  <c r="AL31" i="28" l="1"/>
  <c r="AJ31" i="28"/>
  <c r="AG103" i="28" l="1"/>
  <c r="Z103" i="28" l="1"/>
  <c r="AA103" i="28" s="1"/>
  <c r="AG101" i="28" l="1"/>
  <c r="Z101" i="28" l="1"/>
  <c r="AA101" i="28" s="1"/>
  <c r="AG100" i="28"/>
  <c r="Z100" i="28" l="1"/>
  <c r="AA100" i="28" s="1"/>
  <c r="AG102" i="28" l="1"/>
  <c r="Z102" i="28" l="1"/>
  <c r="AA102" i="28" s="1"/>
  <c r="X92" i="22"/>
  <c r="AG104" i="28" l="1"/>
  <c r="Z104" i="28" l="1"/>
  <c r="AA104" i="28" s="1"/>
  <c r="AM14" i="28"/>
  <c r="AL14" i="28" l="1"/>
  <c r="X14" i="28"/>
  <c r="V14" i="28" l="1"/>
  <c r="Z14" i="28"/>
  <c r="AA14" i="28" s="1"/>
  <c r="AM35" i="28"/>
  <c r="AM37" i="28"/>
  <c r="AM21" i="28"/>
  <c r="AM32" i="28"/>
  <c r="AM33" i="28"/>
  <c r="AM26" i="28"/>
  <c r="AM38" i="28"/>
  <c r="AM20" i="28"/>
  <c r="AM19" i="28"/>
  <c r="AM18" i="28"/>
  <c r="AM24" i="28"/>
  <c r="AM34" i="28"/>
  <c r="AM25" i="28"/>
  <c r="AM28" i="28"/>
  <c r="AM30" i="28"/>
  <c r="AM12" i="28"/>
  <c r="AM23" i="28"/>
  <c r="AM17" i="28"/>
  <c r="AM36" i="28"/>
  <c r="AM39" i="28"/>
  <c r="AM27" i="28"/>
  <c r="AL33" i="28" l="1"/>
  <c r="AL36" i="28"/>
  <c r="AL12" i="28"/>
  <c r="AL39" i="28"/>
  <c r="AL34" i="28"/>
  <c r="AL24" i="28"/>
  <c r="AL27" i="28"/>
  <c r="AL18" i="28"/>
  <c r="AL30" i="28"/>
  <c r="AL19" i="28"/>
  <c r="AL38" i="28"/>
  <c r="AL21" i="28"/>
  <c r="AL35" i="28"/>
  <c r="AL32" i="28"/>
  <c r="AL28" i="28"/>
  <c r="AL17" i="28"/>
  <c r="AL20" i="28"/>
  <c r="AL23" i="28"/>
  <c r="AL25" i="28"/>
  <c r="AL26" i="28"/>
  <c r="AL37" i="28"/>
  <c r="AG106" i="28" l="1"/>
  <c r="Z106" i="28" l="1"/>
  <c r="AA106" i="28" s="1"/>
  <c r="AG105" i="28"/>
  <c r="Z105" i="28" l="1"/>
  <c r="AA105" i="28" s="1"/>
  <c r="AG110" i="28" l="1"/>
  <c r="Z110" i="28" l="1"/>
  <c r="AA110" i="28" s="1"/>
  <c r="AG109" i="28" l="1"/>
  <c r="Z109" i="28" l="1"/>
  <c r="AA109" i="28" s="1"/>
  <c r="AG108" i="28"/>
  <c r="Z108" i="28" l="1"/>
  <c r="AA108" i="28" s="1"/>
  <c r="AG107" i="28"/>
  <c r="Z107" i="28" l="1"/>
  <c r="AA107" i="28" s="1"/>
  <c r="X3" i="22"/>
  <c r="AG63" i="22"/>
  <c r="X63" i="22"/>
  <c r="Z3" i="22" l="1"/>
  <c r="AA3" i="22" s="1"/>
  <c r="AD3" i="22"/>
  <c r="Z63" i="22"/>
  <c r="AA63" i="22" s="1"/>
  <c r="X7" i="22"/>
  <c r="AE3" i="22" l="1"/>
  <c r="AD7" i="22"/>
  <c r="Z7" i="22"/>
  <c r="AA7" i="22" s="1"/>
  <c r="AE7" i="22" l="1"/>
  <c r="AJ25" i="28" l="1"/>
  <c r="AJ19" i="28" l="1"/>
  <c r="AG112" i="28" l="1"/>
  <c r="Z112" i="28" l="1"/>
  <c r="AA112" i="28" s="1"/>
  <c r="AG111" i="28"/>
  <c r="Z111" i="28" l="1"/>
  <c r="AA111" i="28" s="1"/>
  <c r="AG114" i="28" l="1"/>
  <c r="Z114" i="28" l="1"/>
  <c r="AA114" i="28" s="1"/>
  <c r="AG113" i="28"/>
  <c r="Z113" i="28" l="1"/>
  <c r="AA113" i="28" s="1"/>
  <c r="AG115" i="28" l="1"/>
  <c r="Z115" i="28" l="1"/>
  <c r="AA115" i="28" s="1"/>
  <c r="X64" i="22" l="1"/>
  <c r="Z64" i="22" l="1"/>
  <c r="AA64" i="22" s="1"/>
  <c r="AD64" i="22"/>
  <c r="AG116" i="28"/>
  <c r="AE64" i="22" l="1"/>
  <c r="Z116" i="28"/>
  <c r="AA116" i="28" s="1"/>
  <c r="AG39" i="22" l="1"/>
  <c r="X39" i="22"/>
  <c r="Z39" i="22" l="1"/>
  <c r="AA39" i="22" s="1"/>
  <c r="AJ23" i="28" l="1"/>
  <c r="AG118" i="28" l="1"/>
  <c r="Z118" i="28" l="1"/>
  <c r="AA118" i="28" s="1"/>
  <c r="AG117" i="28" l="1"/>
  <c r="Z117" i="28" l="1"/>
  <c r="AA117" i="28" s="1"/>
  <c r="AG67" i="22" l="1"/>
  <c r="X67" i="22"/>
  <c r="Z67" i="22" l="1"/>
  <c r="AA67" i="22" s="1"/>
  <c r="AJ47" i="28"/>
  <c r="AJ46" i="28"/>
  <c r="AJ45" i="28"/>
  <c r="AJ44" i="28"/>
  <c r="AJ43" i="28"/>
  <c r="AG71" i="22"/>
  <c r="X71" i="22"/>
  <c r="Z71" i="22" l="1"/>
  <c r="AA71" i="22" s="1"/>
  <c r="AJ34" i="28" l="1"/>
  <c r="AG119" i="28" l="1"/>
  <c r="Z119" i="28" l="1"/>
  <c r="AA119" i="28" s="1"/>
  <c r="AG120" i="28"/>
  <c r="Z120" i="28" l="1"/>
  <c r="AA120" i="28" s="1"/>
  <c r="AG121" i="28"/>
  <c r="Z121" i="28" l="1"/>
  <c r="AA121" i="28" s="1"/>
  <c r="X68" i="22" l="1"/>
  <c r="AG82" i="22"/>
  <c r="X82" i="22"/>
  <c r="Z68" i="22" l="1"/>
  <c r="AA68" i="22" s="1"/>
  <c r="AD68" i="22"/>
  <c r="Z82" i="22"/>
  <c r="AA82" i="22" s="1"/>
  <c r="AG122" i="28"/>
  <c r="AE68" i="22" l="1"/>
  <c r="Z122" i="28"/>
  <c r="AA122" i="28" s="1"/>
  <c r="AG126" i="28" l="1"/>
  <c r="Z126" i="28" l="1"/>
  <c r="AA126" i="28" s="1"/>
  <c r="AG125" i="28"/>
  <c r="Z125" i="28" l="1"/>
  <c r="AA125" i="28" s="1"/>
  <c r="AG124" i="28"/>
  <c r="Z124" i="28" l="1"/>
  <c r="AA124" i="28" s="1"/>
  <c r="AG123" i="28"/>
  <c r="Z123" i="28" l="1"/>
  <c r="AA123" i="28" s="1"/>
  <c r="AG127" i="28" l="1"/>
  <c r="Z127" i="28" l="1"/>
  <c r="AA127" i="28" s="1"/>
  <c r="AG128" i="28" l="1"/>
  <c r="Z128" i="28" l="1"/>
  <c r="AA128" i="28" s="1"/>
  <c r="AG130" i="28" l="1"/>
  <c r="Z130" i="28" l="1"/>
  <c r="AA130" i="28" s="1"/>
  <c r="L15" i="21" l="1"/>
  <c r="M14" i="21"/>
  <c r="M15" i="21" s="1"/>
  <c r="N14" i="21" l="1"/>
  <c r="N15" i="21" s="1"/>
  <c r="L14" i="21"/>
  <c r="AG129" i="28" l="1"/>
  <c r="Z129" i="28" l="1"/>
  <c r="AA129" i="28" s="1"/>
  <c r="AG131" i="28" l="1"/>
  <c r="Z131" i="28" l="1"/>
  <c r="AA131" i="28" s="1"/>
  <c r="AG132" i="28" l="1"/>
  <c r="Z132" i="28" l="1"/>
  <c r="AA132" i="28" s="1"/>
  <c r="AG52" i="22" l="1"/>
  <c r="X52" i="22"/>
  <c r="X53" i="22" l="1"/>
  <c r="Z52" i="22"/>
  <c r="AA52" i="22" s="1"/>
  <c r="Z53" i="22" l="1"/>
  <c r="AD53" i="22"/>
  <c r="AE53" i="22" l="1"/>
  <c r="AA53" i="22"/>
  <c r="AG135" i="28" l="1"/>
  <c r="Z135" i="28" l="1"/>
  <c r="AA135" i="28" s="1"/>
  <c r="AG133" i="28" l="1"/>
  <c r="Z133" i="28" l="1"/>
  <c r="AA133" i="28" s="1"/>
  <c r="X11" i="28"/>
  <c r="V11" i="28" l="1"/>
  <c r="Z11" i="28"/>
  <c r="AA11" i="28" s="1"/>
  <c r="AG140" i="28" l="1"/>
  <c r="Z140" i="28" l="1"/>
  <c r="AA140" i="28" s="1"/>
  <c r="AG139" i="28" l="1"/>
  <c r="Z139" i="28" l="1"/>
  <c r="AA139" i="28" s="1"/>
  <c r="AG138" i="28" l="1"/>
  <c r="Z138" i="28" l="1"/>
  <c r="AA138" i="28" s="1"/>
  <c r="AG137" i="28"/>
  <c r="Z137" i="28" l="1"/>
  <c r="AA137" i="28" s="1"/>
  <c r="AG136" i="28"/>
  <c r="Z136" i="28" l="1"/>
  <c r="AA136" i="28" s="1"/>
  <c r="J28" i="21" l="1"/>
  <c r="I28" i="21"/>
  <c r="O28" i="21" s="1"/>
  <c r="K17" i="21"/>
  <c r="M17" i="21"/>
  <c r="N17" i="21" l="1"/>
  <c r="L17" i="21"/>
  <c r="X164" i="22" l="1"/>
  <c r="AG163" i="22"/>
  <c r="Z163" i="22"/>
  <c r="AA163" i="22" s="1"/>
  <c r="Z164" i="22" l="1"/>
  <c r="AA164" i="22" s="1"/>
  <c r="AD164" i="22"/>
  <c r="AE164" i="22" l="1"/>
  <c r="AG141" i="28" l="1"/>
  <c r="Z141" i="28" l="1"/>
  <c r="AA141" i="28" s="1"/>
  <c r="AG144" i="28" l="1"/>
  <c r="Z144" i="28" l="1"/>
  <c r="AA144" i="28" s="1"/>
  <c r="AG134" i="28"/>
  <c r="Z134" i="28" l="1"/>
  <c r="AA134" i="28" s="1"/>
  <c r="AG142" i="28"/>
  <c r="Z142" i="28" l="1"/>
  <c r="AA142" i="28" s="1"/>
  <c r="AG146" i="28" l="1"/>
  <c r="Z146" i="28" l="1"/>
  <c r="AA146" i="28" s="1"/>
  <c r="AG145" i="28"/>
  <c r="Z145" i="28" l="1"/>
  <c r="AA145" i="28" s="1"/>
  <c r="AG143" i="28"/>
  <c r="Z143" i="28" l="1"/>
  <c r="AA143" i="28" s="1"/>
  <c r="AG147" i="28" l="1"/>
  <c r="Z147" i="28" l="1"/>
  <c r="AA147" i="28" s="1"/>
  <c r="AG150" i="28"/>
  <c r="Z150" i="28" l="1"/>
  <c r="AA150" i="28" s="1"/>
  <c r="AG149" i="28" l="1"/>
  <c r="Z149" i="28" l="1"/>
  <c r="AA149" i="28" s="1"/>
  <c r="AG108" i="22"/>
  <c r="X40" i="22"/>
  <c r="Z40" i="22" l="1"/>
  <c r="AA40" i="22" s="1"/>
  <c r="AD40" i="22"/>
  <c r="AE40" i="22" l="1"/>
  <c r="AG99" i="22" l="1"/>
  <c r="X99" i="22"/>
  <c r="Z99" i="22" l="1"/>
  <c r="AA99" i="22" s="1"/>
  <c r="AG98" i="22"/>
  <c r="X98" i="22"/>
  <c r="Z98" i="22" l="1"/>
  <c r="AA98" i="22" s="1"/>
  <c r="AG97" i="22"/>
  <c r="X97" i="22"/>
  <c r="Z97" i="22" l="1"/>
  <c r="AA97" i="22" s="1"/>
  <c r="AG96" i="22"/>
  <c r="X96" i="22"/>
  <c r="Z96" i="22" l="1"/>
  <c r="AA96" i="22" s="1"/>
  <c r="AG95" i="22"/>
  <c r="X95" i="22"/>
  <c r="Z95" i="22" l="1"/>
  <c r="AA95" i="22" s="1"/>
  <c r="AG94" i="22"/>
  <c r="X94" i="22"/>
  <c r="Z94" i="22" l="1"/>
  <c r="AA94" i="22" s="1"/>
  <c r="AG93" i="22"/>
  <c r="X93" i="22"/>
  <c r="Z93" i="22" l="1"/>
  <c r="AA93" i="22" s="1"/>
  <c r="AG92" i="22"/>
  <c r="X100" i="22" l="1"/>
  <c r="Z92" i="22"/>
  <c r="AA92" i="22" s="1"/>
  <c r="AD100" i="22" l="1"/>
  <c r="Z100" i="22"/>
  <c r="AE100" i="22" l="1"/>
  <c r="AA100" i="22"/>
  <c r="AJ30" i="28"/>
  <c r="AJ35" i="28" l="1"/>
  <c r="AG148" i="28" l="1"/>
  <c r="Z148" i="28" l="1"/>
  <c r="AA148" i="28" s="1"/>
  <c r="AG151" i="28" l="1"/>
  <c r="Z151" i="28" l="1"/>
  <c r="AA151" i="28" s="1"/>
  <c r="AG154" i="28" l="1"/>
  <c r="Z154" i="28" l="1"/>
  <c r="AA154" i="28" s="1"/>
  <c r="AG153" i="28"/>
  <c r="Z153" i="28" l="1"/>
  <c r="AA153" i="28" s="1"/>
  <c r="AG152" i="28"/>
  <c r="Z152" i="28" l="1"/>
  <c r="AA152" i="28" s="1"/>
  <c r="AG155" i="22"/>
  <c r="Z155" i="22" l="1"/>
  <c r="AA155" i="22" s="1"/>
  <c r="AG158" i="28" l="1"/>
  <c r="Z158" i="28" l="1"/>
  <c r="AA158" i="28" s="1"/>
  <c r="AG157" i="28" l="1"/>
  <c r="Z157" i="28" l="1"/>
  <c r="AA157" i="28" s="1"/>
  <c r="X108" i="22"/>
  <c r="Z108" i="22" l="1"/>
  <c r="AA108" i="22" s="1"/>
  <c r="AG160" i="28" l="1"/>
  <c r="Z160" i="28" l="1"/>
  <c r="AA160" i="28" s="1"/>
  <c r="AG159" i="28"/>
  <c r="Z159" i="28" l="1"/>
  <c r="AA159" i="28" s="1"/>
  <c r="AG156" i="28"/>
  <c r="Z156" i="28" l="1"/>
  <c r="AA156" i="28" s="1"/>
  <c r="AG155" i="28"/>
  <c r="Z155" i="28" l="1"/>
  <c r="AA155" i="28" s="1"/>
  <c r="AG56" i="22" l="1"/>
  <c r="X56" i="22"/>
  <c r="Z56" i="22" l="1"/>
  <c r="AA56" i="22" s="1"/>
  <c r="X174" i="22"/>
  <c r="AG170" i="22"/>
  <c r="Z170" i="22"/>
  <c r="AA170" i="22" s="1"/>
  <c r="AG169" i="22"/>
  <c r="Z169" i="22"/>
  <c r="AA169" i="22" s="1"/>
  <c r="AG168" i="22"/>
  <c r="Z168" i="22"/>
  <c r="AA168" i="22" s="1"/>
  <c r="AG167" i="22"/>
  <c r="Z167" i="22"/>
  <c r="AA167" i="22" s="1"/>
  <c r="AG161" i="28" l="1"/>
  <c r="Z161" i="28" l="1"/>
  <c r="AA161" i="28" s="1"/>
  <c r="AG162" i="28"/>
  <c r="Z162" i="28" l="1"/>
  <c r="AA162" i="28" s="1"/>
  <c r="AG163" i="28" l="1"/>
  <c r="Z163" i="28" l="1"/>
  <c r="AA163" i="28" s="1"/>
  <c r="AG164" i="28"/>
  <c r="Z164" i="28" l="1"/>
  <c r="AA164" i="28" s="1"/>
  <c r="AG165" i="28"/>
  <c r="Z165" i="28" l="1"/>
  <c r="AA165" i="28" s="1"/>
  <c r="AG173" i="22" l="1"/>
  <c r="Z173" i="22"/>
  <c r="AA173" i="22" s="1"/>
  <c r="AG172" i="22"/>
  <c r="Z172" i="22"/>
  <c r="AA172" i="22" s="1"/>
  <c r="AG171" i="22"/>
  <c r="AD174" i="22" l="1"/>
  <c r="Z171" i="22"/>
  <c r="AA171" i="22" s="1"/>
  <c r="Z174" i="22" l="1"/>
  <c r="AA174" i="22" s="1"/>
  <c r="AE174" i="22" l="1"/>
  <c r="K18" i="21" l="1"/>
  <c r="M18" i="21"/>
  <c r="K19" i="21"/>
  <c r="M19" i="21"/>
  <c r="L18" i="21" l="1"/>
  <c r="N18" i="21"/>
  <c r="N19" i="21"/>
  <c r="AG166" i="28" l="1"/>
  <c r="Z166" i="28" l="1"/>
  <c r="AA166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G167" i="28" l="1"/>
  <c r="Z167" i="28" l="1"/>
  <c r="AA167" i="28" s="1"/>
  <c r="AG171" i="28" l="1"/>
  <c r="Z171" i="28" l="1"/>
  <c r="AA171" i="28" s="1"/>
  <c r="AG170" i="28"/>
  <c r="Z170" i="28" l="1"/>
  <c r="AA170" i="28" s="1"/>
  <c r="AG169" i="28"/>
  <c r="Z169" i="28" l="1"/>
  <c r="AA169" i="28" s="1"/>
  <c r="AG168" i="28"/>
  <c r="Z168" i="28" l="1"/>
  <c r="AA168" i="28" s="1"/>
  <c r="AG172" i="28" l="1"/>
  <c r="Z172" i="28" l="1"/>
  <c r="AA172" i="28" s="1"/>
  <c r="AG177" i="28" l="1"/>
  <c r="Z177" i="28" l="1"/>
  <c r="AA177" i="28" s="1"/>
  <c r="AG175" i="28" l="1"/>
  <c r="Z175" i="28" l="1"/>
  <c r="AA175" i="28" s="1"/>
  <c r="AG174" i="28"/>
  <c r="Z174" i="28" l="1"/>
  <c r="AA174" i="28" s="1"/>
  <c r="AG173" i="28"/>
  <c r="Z173" i="28" l="1"/>
  <c r="AA173" i="28" s="1"/>
  <c r="AG178" i="28" l="1"/>
  <c r="Z178" i="28" l="1"/>
  <c r="AA178" i="28" s="1"/>
  <c r="AG176" i="28"/>
  <c r="Z176" i="28" l="1"/>
  <c r="AA176" i="28" s="1"/>
  <c r="AG179" i="28" l="1"/>
  <c r="Z179" i="28" l="1"/>
  <c r="AA179" i="28" s="1"/>
  <c r="AG182" i="28" l="1"/>
  <c r="Z182" i="28" l="1"/>
  <c r="AA182" i="28" s="1"/>
  <c r="AG181" i="28"/>
  <c r="Z181" i="28" l="1"/>
  <c r="AA181" i="28" s="1"/>
  <c r="AG180" i="28"/>
  <c r="Z180" i="28" l="1"/>
  <c r="AA180" i="28" s="1"/>
  <c r="AG183" i="28" l="1"/>
  <c r="Z183" i="28" l="1"/>
  <c r="AA183" i="28" s="1"/>
  <c r="AG184" i="28"/>
  <c r="Z184" i="28" l="1"/>
  <c r="AA184" i="28" s="1"/>
  <c r="AG185" i="28" l="1"/>
  <c r="Z185" i="28" l="1"/>
  <c r="AA185" i="28" s="1"/>
  <c r="AG186" i="28" l="1"/>
  <c r="Z186" i="28" l="1"/>
  <c r="AA186" i="28" s="1"/>
  <c r="AG109" i="22" l="1"/>
  <c r="X109" i="22"/>
  <c r="Z109" i="22" l="1"/>
  <c r="AA109" i="22" s="1"/>
  <c r="AG107" i="22"/>
  <c r="X107" i="22"/>
  <c r="X110" i="22" l="1"/>
  <c r="Z107" i="22"/>
  <c r="AA107" i="22" s="1"/>
  <c r="AG59" i="22"/>
  <c r="X59" i="22"/>
  <c r="Z110" i="22" l="1"/>
  <c r="AD110" i="22"/>
  <c r="Z59" i="22"/>
  <c r="AA59" i="22" s="1"/>
  <c r="AG58" i="22"/>
  <c r="X58" i="22"/>
  <c r="AA110" i="22" l="1"/>
  <c r="AE110" i="22"/>
  <c r="Z58" i="22"/>
  <c r="AA58" i="22" s="1"/>
  <c r="AG57" i="22"/>
  <c r="X57" i="22"/>
  <c r="X60" i="22" l="1"/>
  <c r="Z57" i="22"/>
  <c r="AA57" i="22" s="1"/>
  <c r="Z60" i="22" l="1"/>
  <c r="AD60" i="22"/>
  <c r="AA60" i="22" l="1"/>
  <c r="AE60" i="22"/>
  <c r="AG187" i="28" l="1"/>
  <c r="Z187" i="28" l="1"/>
  <c r="AA187" i="28" s="1"/>
  <c r="AG72" i="22" l="1"/>
  <c r="X72" i="22"/>
  <c r="X73" i="22" l="1"/>
  <c r="Z72" i="22"/>
  <c r="AA72" i="22" s="1"/>
  <c r="AD73" i="22" l="1"/>
  <c r="Z73" i="22"/>
  <c r="AE73" i="22" l="1"/>
  <c r="AA73" i="22"/>
  <c r="AG188" i="28" l="1"/>
  <c r="Z188" i="28" l="1"/>
  <c r="AA188" i="28" s="1"/>
  <c r="AG189" i="28"/>
  <c r="Z189" i="28" l="1"/>
  <c r="AA189" i="28" s="1"/>
  <c r="AG190" i="28"/>
  <c r="Z190" i="28" l="1"/>
  <c r="AA190" i="28" s="1"/>
  <c r="AG192" i="28"/>
  <c r="X183" i="22" l="1"/>
  <c r="AG177" i="22"/>
  <c r="Z177" i="22" l="1"/>
  <c r="AA177" i="22" s="1"/>
  <c r="AJ37" i="28" l="1"/>
  <c r="AJ24" i="28" l="1"/>
  <c r="AJ26" i="28" l="1"/>
  <c r="AG156" i="22"/>
  <c r="Z192" i="28" l="1"/>
  <c r="AA192" i="28" s="1"/>
  <c r="Z156" i="22"/>
  <c r="AA156" i="22" s="1"/>
  <c r="AG103" i="22"/>
  <c r="X103" i="22"/>
  <c r="Z103" i="22" l="1"/>
  <c r="AA103" i="22" s="1"/>
  <c r="X104" i="22"/>
  <c r="Z104" i="22" l="1"/>
  <c r="AD104" i="22"/>
  <c r="AE104" i="22" l="1"/>
  <c r="AA104" i="22"/>
  <c r="AG193" i="28" l="1"/>
  <c r="Z193" i="28" l="1"/>
  <c r="AA193" i="28" s="1"/>
  <c r="AJ36" i="28" l="1"/>
  <c r="AG191" i="28" l="1"/>
  <c r="Z191" i="28" l="1"/>
  <c r="AA191" i="28" s="1"/>
  <c r="AG195" i="28"/>
  <c r="Z195" i="28" l="1"/>
  <c r="AA195" i="28" s="1"/>
  <c r="AG194" i="28"/>
  <c r="Z194" i="28" l="1"/>
  <c r="AA194" i="28" s="1"/>
  <c r="G15" i="85"/>
  <c r="N8" i="85"/>
  <c r="G27" i="85"/>
  <c r="G6" i="85"/>
  <c r="T6" i="85"/>
  <c r="G30" i="85"/>
  <c r="N14" i="85"/>
  <c r="T9" i="85"/>
  <c r="N10" i="85"/>
  <c r="G22" i="85"/>
  <c r="G9" i="85"/>
  <c r="G5" i="85"/>
  <c r="T5" i="85"/>
  <c r="N12" i="85"/>
  <c r="N17" i="85"/>
  <c r="G14" i="85"/>
  <c r="T3" i="85"/>
  <c r="G21" i="85"/>
  <c r="N19" i="85"/>
  <c r="N11" i="85"/>
  <c r="G26" i="85"/>
  <c r="G19" i="85"/>
  <c r="G16" i="85"/>
  <c r="T4" i="85"/>
  <c r="N18" i="85"/>
  <c r="G23" i="85"/>
  <c r="G28" i="85"/>
  <c r="N5" i="85"/>
  <c r="N4" i="85"/>
  <c r="G12" i="85"/>
  <c r="N16" i="85"/>
  <c r="T7" i="85"/>
  <c r="G24" i="85"/>
  <c r="G3" i="85"/>
  <c r="N7" i="85"/>
  <c r="G29" i="85"/>
  <c r="G4" i="85"/>
  <c r="G20" i="85"/>
  <c r="G13" i="85"/>
  <c r="N15" i="85"/>
  <c r="G17" i="85"/>
  <c r="G18" i="85"/>
  <c r="G7" i="85"/>
  <c r="N3" i="85"/>
  <c r="G25" i="85"/>
  <c r="T10" i="85"/>
  <c r="N6" i="85"/>
  <c r="N9" i="85"/>
  <c r="G8" i="85"/>
  <c r="T2" i="85"/>
  <c r="N20" i="85"/>
  <c r="G10" i="85"/>
  <c r="N13" i="85"/>
  <c r="AG179" i="22" l="1"/>
  <c r="Z179" i="22" l="1"/>
  <c r="AA179" i="22" s="1"/>
  <c r="AG178" i="22"/>
  <c r="Z178" i="22" l="1"/>
  <c r="AA178" i="22" s="1"/>
  <c r="AG180" i="22" l="1"/>
  <c r="Z180" i="22" l="1"/>
  <c r="AA180" i="22" s="1"/>
  <c r="AG78" i="22" l="1"/>
  <c r="X78" i="22"/>
  <c r="Z78" i="22" l="1"/>
  <c r="AA78" i="22" s="1"/>
  <c r="AG77" i="22"/>
  <c r="X77" i="22"/>
  <c r="Z77" i="22" l="1"/>
  <c r="AA77" i="22" s="1"/>
  <c r="AG76" i="22"/>
  <c r="X76" i="22"/>
  <c r="X79" i="22" l="1"/>
  <c r="Z76" i="22"/>
  <c r="AA76" i="22" s="1"/>
  <c r="Z79" i="22" l="1"/>
  <c r="AD79" i="22"/>
  <c r="AE79" i="22" l="1"/>
  <c r="AA79" i="22"/>
  <c r="AJ18" i="28" l="1"/>
  <c r="AG196" i="28" l="1"/>
  <c r="Z196" i="28" l="1"/>
  <c r="AA196" i="28" s="1"/>
  <c r="AG182" i="22" l="1"/>
  <c r="Z182" i="22" l="1"/>
  <c r="AA182" i="22" s="1"/>
  <c r="AG181" i="22"/>
  <c r="AD184" i="22" l="1"/>
  <c r="Z181" i="22"/>
  <c r="AA181" i="22" s="1"/>
  <c r="Z183" i="22" l="1"/>
  <c r="AD183" i="22"/>
  <c r="AA183" i="22" l="1"/>
  <c r="AE183" i="22"/>
  <c r="AG15" i="22" l="1"/>
  <c r="X15" i="22"/>
  <c r="Z15" i="22" l="1"/>
  <c r="AA15" i="22" s="1"/>
  <c r="AG14" i="22"/>
  <c r="X14" i="22"/>
  <c r="Z14" i="22" l="1"/>
  <c r="AA14" i="22" s="1"/>
  <c r="AG13" i="22"/>
  <c r="X13" i="22"/>
  <c r="Z13" i="22" l="1"/>
  <c r="AA13" i="22" s="1"/>
  <c r="AG12" i="22"/>
  <c r="X12" i="22"/>
  <c r="Z12" i="22" l="1"/>
  <c r="AA12" i="22" s="1"/>
  <c r="AG11" i="22"/>
  <c r="X11" i="22"/>
  <c r="Z11" i="22" l="1"/>
  <c r="AA11" i="22" s="1"/>
  <c r="AG10" i="22"/>
  <c r="X10" i="22"/>
  <c r="X16" i="22" l="1"/>
  <c r="Z10" i="22"/>
  <c r="AA10" i="22" s="1"/>
  <c r="Z16" i="22" l="1"/>
  <c r="AD16" i="22"/>
  <c r="AA16" i="22" l="1"/>
  <c r="AE16" i="22"/>
  <c r="K20" i="21" l="1"/>
  <c r="M20" i="21"/>
  <c r="N20" i="21" l="1"/>
  <c r="L20" i="21"/>
  <c r="AJ32" i="28" l="1"/>
  <c r="AJ39" i="28" l="1"/>
  <c r="AG197" i="28" l="1"/>
  <c r="Z197" i="28" l="1"/>
  <c r="AA197" i="28" s="1"/>
  <c r="AG154" i="22" l="1"/>
  <c r="Z154" i="22" l="1"/>
  <c r="AA154" i="22" s="1"/>
  <c r="X86" i="22"/>
  <c r="Z86" i="22" l="1"/>
  <c r="AA86" i="22" s="1"/>
  <c r="X114" i="22"/>
  <c r="Z114" i="22" l="1"/>
  <c r="AA114" i="22" s="1"/>
  <c r="X113" i="22"/>
  <c r="X115" i="22" l="1"/>
  <c r="Z113" i="22"/>
  <c r="AA113" i="22" s="1"/>
  <c r="Z115" i="22" l="1"/>
  <c r="AD115" i="22"/>
  <c r="AJ38" i="28"/>
  <c r="AA115" i="22" l="1"/>
  <c r="AE115" i="22"/>
  <c r="AJ33" i="28" l="1"/>
  <c r="AG121" i="22" l="1"/>
  <c r="X121" i="22"/>
  <c r="Z121" i="22" l="1"/>
  <c r="AA121" i="22" s="1"/>
  <c r="AG120" i="22"/>
  <c r="X120" i="22"/>
  <c r="Z120" i="22" l="1"/>
  <c r="AA120" i="22" s="1"/>
  <c r="AG119" i="22"/>
  <c r="X119" i="22"/>
  <c r="Z119" i="22" l="1"/>
  <c r="AA119" i="22" s="1"/>
  <c r="AG118" i="22"/>
  <c r="X118" i="22"/>
  <c r="X122" i="22" l="1"/>
  <c r="Z118" i="22"/>
  <c r="AA118" i="22" s="1"/>
  <c r="X87" i="22"/>
  <c r="AD127" i="22" l="1"/>
  <c r="Z127" i="22"/>
  <c r="X88" i="22"/>
  <c r="Z122" i="22"/>
  <c r="AD122" i="22"/>
  <c r="Z87" i="22"/>
  <c r="AA87" i="22" s="1"/>
  <c r="AA127" i="22" l="1"/>
  <c r="AE127" i="22"/>
  <c r="AE122" i="22"/>
  <c r="AA122" i="22"/>
  <c r="Z88" i="22"/>
  <c r="AD88" i="22"/>
  <c r="AA88" i="22" l="1"/>
  <c r="AE88" i="22"/>
  <c r="AG35" i="22" l="1"/>
  <c r="X35" i="22"/>
  <c r="Z35" i="22" l="1"/>
  <c r="AA35" i="22" s="1"/>
  <c r="AG34" i="22"/>
  <c r="X34" i="22"/>
  <c r="Z34" i="22" l="1"/>
  <c r="AA34" i="22" s="1"/>
  <c r="AG33" i="22"/>
  <c r="X33" i="22"/>
  <c r="X36" i="22" l="1"/>
  <c r="Z33" i="22"/>
  <c r="AA33" i="22" s="1"/>
  <c r="AG43" i="22"/>
  <c r="X43" i="22"/>
  <c r="Z36" i="22" l="1"/>
  <c r="AD36" i="22"/>
  <c r="Z43" i="22"/>
  <c r="AA43" i="22" s="1"/>
  <c r="X44" i="22"/>
  <c r="AG22" i="22"/>
  <c r="X22" i="22"/>
  <c r="AE36" i="22" l="1"/>
  <c r="AA36" i="22"/>
  <c r="Z44" i="22"/>
  <c r="AD44" i="22"/>
  <c r="Z22" i="22"/>
  <c r="AA22" i="22" s="1"/>
  <c r="AG21" i="22"/>
  <c r="X21" i="22"/>
  <c r="AE44" i="22" l="1"/>
  <c r="AA44" i="22"/>
  <c r="Z21" i="22"/>
  <c r="AA21" i="22" s="1"/>
  <c r="AG20" i="22"/>
  <c r="X20" i="22"/>
  <c r="Z20" i="22" l="1"/>
  <c r="AA20" i="22" s="1"/>
  <c r="AG19" i="22"/>
  <c r="X19" i="22"/>
  <c r="X23" i="22" l="1"/>
  <c r="Z19" i="22"/>
  <c r="AA19" i="22" s="1"/>
  <c r="Z23" i="22" l="1"/>
  <c r="AD23" i="22"/>
  <c r="AJ20" i="28"/>
  <c r="AA23" i="22" l="1"/>
  <c r="AE23" i="22"/>
  <c r="AJ21" i="28"/>
  <c r="AJ17" i="28" l="1"/>
  <c r="X12" i="28"/>
  <c r="V12" i="28" l="1"/>
  <c r="Z12" i="28"/>
  <c r="AA12" i="28" s="1"/>
  <c r="AG157" i="22"/>
  <c r="Z157" i="22" l="1"/>
  <c r="AA157" i="22" s="1"/>
  <c r="Z160" i="22" l="1"/>
  <c r="AD160" i="22"/>
  <c r="AA160" i="22" l="1"/>
  <c r="AE160" i="22"/>
  <c r="X190" i="22" l="1"/>
  <c r="AD191" i="22" l="1"/>
  <c r="AG187" i="22"/>
  <c r="Z187" i="22" l="1"/>
  <c r="AA187" i="22" s="1"/>
  <c r="AG188" i="22" l="1"/>
  <c r="Z188" i="22" l="1"/>
  <c r="AA188" i="22" s="1"/>
  <c r="Z190" i="22" l="1"/>
  <c r="AA190" i="22" s="1"/>
  <c r="AD190" i="22"/>
  <c r="AE190" i="22" l="1"/>
  <c r="AG189" i="22" l="1"/>
  <c r="Z189" i="22"/>
  <c r="AA189" i="22" s="1"/>
  <c r="W189" i="22"/>
  <c r="AG198" i="28" l="1"/>
  <c r="Z198" i="28" l="1"/>
  <c r="AA198" i="28" s="1"/>
  <c r="K21" i="21" l="1"/>
  <c r="M21" i="21"/>
  <c r="N21" i="21" l="1"/>
  <c r="L21" i="21"/>
  <c r="X254" i="22"/>
  <c r="AG194" i="22"/>
  <c r="Z194" i="22"/>
  <c r="AA194" i="22" s="1"/>
  <c r="AG195" i="22"/>
  <c r="Z195" i="22"/>
  <c r="AA195" i="22" s="1"/>
  <c r="AG196" i="22"/>
  <c r="Z196" i="22"/>
  <c r="AA196" i="22" s="1"/>
  <c r="AG198" i="22" l="1"/>
  <c r="Z198" i="22"/>
  <c r="AA198" i="22" s="1"/>
  <c r="W198" i="22"/>
  <c r="AG197" i="22"/>
  <c r="Z197" i="22"/>
  <c r="AA197" i="22" s="1"/>
  <c r="W197" i="22"/>
  <c r="AG199" i="22" l="1"/>
  <c r="Z199" i="22" l="1"/>
  <c r="AA199" i="22" s="1"/>
  <c r="AG199" i="28" l="1"/>
  <c r="Z199" i="28" l="1"/>
  <c r="AA199" i="28" s="1"/>
  <c r="AG200" i="22" l="1"/>
  <c r="Z200" i="22" l="1"/>
  <c r="AA200" i="22" s="1"/>
  <c r="AJ27" i="28" l="1"/>
  <c r="AG201" i="22"/>
  <c r="Z201" i="22" l="1"/>
  <c r="AA201" i="22" s="1"/>
  <c r="W201" i="22"/>
  <c r="AG200" i="28" l="1"/>
  <c r="Z200" i="28" l="1"/>
  <c r="AA200" i="28" s="1"/>
  <c r="AG201" i="28"/>
  <c r="Z201" i="28" l="1"/>
  <c r="AA201" i="28" s="1"/>
  <c r="AJ28" i="28" l="1"/>
  <c r="AJ40" i="28" s="1"/>
  <c r="AJ41" i="28" s="1"/>
  <c r="AG158" i="22" l="1"/>
  <c r="Z158" i="22" l="1"/>
  <c r="AA158" i="22" s="1"/>
  <c r="M22" i="21" l="1"/>
  <c r="AG203" i="22"/>
  <c r="Z203" i="22" l="1"/>
  <c r="AA203" i="22" s="1"/>
  <c r="AG204" i="22"/>
  <c r="Z204" i="22"/>
  <c r="AA204" i="22" s="1"/>
  <c r="AG205" i="22"/>
  <c r="Z205" i="22" l="1"/>
  <c r="AA205" i="22" s="1"/>
  <c r="AD254" i="22"/>
  <c r="AG206" i="22"/>
  <c r="Z206" i="22" l="1"/>
  <c r="AA206" i="22" s="1"/>
  <c r="X83" i="22" l="1"/>
  <c r="AD83" i="22" s="1"/>
  <c r="Z83" i="22" l="1"/>
  <c r="AE83" i="22" l="1"/>
  <c r="AA83" i="22"/>
  <c r="AD255" i="22" l="1"/>
  <c r="AG207" i="22" l="1"/>
  <c r="Z207" i="22" l="1"/>
  <c r="AA207" i="22" s="1"/>
  <c r="AG159" i="22"/>
  <c r="AG208" i="22"/>
  <c r="Z208" i="22"/>
  <c r="AA208" i="22" s="1"/>
  <c r="AG209" i="22" l="1"/>
  <c r="Z209" i="22"/>
  <c r="AA209" i="22" s="1"/>
  <c r="Z159" i="22" l="1"/>
  <c r="AA159" i="22" s="1"/>
  <c r="AG210" i="22" l="1"/>
  <c r="Z210" i="22"/>
  <c r="AA210" i="22" s="1"/>
  <c r="AG211" i="22"/>
  <c r="Z211" i="22"/>
  <c r="AA211" i="22" s="1"/>
  <c r="AG214" i="22" l="1"/>
  <c r="Z214" i="22"/>
  <c r="AA214" i="22" s="1"/>
  <c r="AG217" i="22"/>
  <c r="Z217" i="22"/>
  <c r="AA217" i="22" s="1"/>
  <c r="AG216" i="22"/>
  <c r="Z216" i="22"/>
  <c r="AA216" i="22" s="1"/>
  <c r="AG215" i="22"/>
  <c r="Z215" i="22"/>
  <c r="AA215" i="22" s="1"/>
  <c r="AG218" i="22"/>
  <c r="Z218" i="22"/>
  <c r="AA218" i="22" s="1"/>
  <c r="AG220" i="22"/>
  <c r="Z220" i="22"/>
  <c r="AA220" i="22" s="1"/>
  <c r="AG219" i="22"/>
  <c r="Z219" i="22"/>
  <c r="AA219" i="22" s="1"/>
  <c r="AG221" i="22"/>
  <c r="Z221" i="22"/>
  <c r="AA221" i="22" s="1"/>
  <c r="AG202" i="22" l="1"/>
  <c r="Z202" i="22" l="1"/>
  <c r="AA202" i="22" s="1"/>
  <c r="AG222" i="22" l="1"/>
  <c r="Z222" i="22"/>
  <c r="AA222" i="22" s="1"/>
  <c r="AG224" i="22"/>
  <c r="Z224" i="22"/>
  <c r="AA224" i="22" s="1"/>
  <c r="AG223" i="22"/>
  <c r="Z223" i="22"/>
  <c r="AA223" i="22" s="1"/>
  <c r="AG213" i="22" l="1"/>
  <c r="AG212" i="22"/>
  <c r="Z212" i="22" l="1"/>
  <c r="AA212" i="22" s="1"/>
  <c r="Z213" i="22" l="1"/>
  <c r="AA213" i="22" s="1"/>
  <c r="AG227" i="22" l="1"/>
  <c r="Z227" i="22"/>
  <c r="AA227" i="22" s="1"/>
  <c r="W227" i="22"/>
  <c r="AG226" i="22"/>
  <c r="Z226" i="22"/>
  <c r="AA226" i="22" s="1"/>
  <c r="W226" i="22"/>
  <c r="AG225" i="22"/>
  <c r="Z225" i="22"/>
  <c r="AA225" i="22" s="1"/>
  <c r="W225" i="22"/>
  <c r="AG231" i="22" l="1"/>
  <c r="Z231" i="22"/>
  <c r="AA231" i="22" s="1"/>
  <c r="AG230" i="22"/>
  <c r="Z230" i="22"/>
  <c r="AA230" i="22" s="1"/>
  <c r="AG229" i="22"/>
  <c r="Z229" i="22"/>
  <c r="AA229" i="22" s="1"/>
  <c r="AG228" i="22"/>
  <c r="Z228" i="22"/>
  <c r="AA228" i="22" s="1"/>
  <c r="AG232" i="22" l="1"/>
  <c r="Z232" i="22"/>
  <c r="AA232" i="22" s="1"/>
  <c r="W232" i="22"/>
  <c r="AG234" i="22"/>
  <c r="Z234" i="22"/>
  <c r="AA234" i="22" s="1"/>
  <c r="AG233" i="22"/>
  <c r="Z233" i="22"/>
  <c r="AA233" i="22" s="1"/>
  <c r="AG236" i="22"/>
  <c r="Z236" i="22"/>
  <c r="AA236" i="22" s="1"/>
  <c r="W236" i="22"/>
  <c r="AG235" i="22"/>
  <c r="Z235" i="22"/>
  <c r="AA235" i="22" s="1"/>
  <c r="W235" i="22"/>
  <c r="AG240" i="22" l="1"/>
  <c r="Z240" i="22"/>
  <c r="AA240" i="22" s="1"/>
  <c r="AG239" i="22"/>
  <c r="Z239" i="22"/>
  <c r="AA239" i="22" s="1"/>
  <c r="AG238" i="22"/>
  <c r="Z238" i="22"/>
  <c r="AA238" i="22" s="1"/>
  <c r="AG237" i="22"/>
  <c r="Z237" i="22"/>
  <c r="AA237" i="22" s="1"/>
  <c r="AG243" i="22"/>
  <c r="Z243" i="22"/>
  <c r="AA243" i="22" s="1"/>
  <c r="AG242" i="22"/>
  <c r="Z242" i="22"/>
  <c r="AA242" i="22" s="1"/>
  <c r="AG241" i="22"/>
  <c r="Z241" i="22"/>
  <c r="AA241" i="22" s="1"/>
  <c r="AG246" i="22"/>
  <c r="Z246" i="22"/>
  <c r="AA246" i="22" s="1"/>
  <c r="W246" i="22"/>
  <c r="AG245" i="22"/>
  <c r="Z245" i="22"/>
  <c r="AA245" i="22" s="1"/>
  <c r="W245" i="22"/>
  <c r="AG244" i="22"/>
  <c r="Z244" i="22"/>
  <c r="AA244" i="22" s="1"/>
  <c r="W244" i="22"/>
  <c r="AG248" i="22"/>
  <c r="Z248" i="22"/>
  <c r="AA248" i="22" s="1"/>
  <c r="AG247" i="22"/>
  <c r="Z247" i="22"/>
  <c r="AA247" i="22" s="1"/>
  <c r="AG202" i="28" l="1"/>
  <c r="Z202" i="28" l="1"/>
  <c r="AA202" i="28" s="1"/>
  <c r="Z254" i="22" l="1"/>
  <c r="AA254" i="22" s="1"/>
  <c r="AE254" i="22" l="1"/>
  <c r="AG203" i="28" l="1"/>
  <c r="Z203" i="28" l="1"/>
  <c r="AA203" i="28" s="1"/>
  <c r="AG204" i="28"/>
  <c r="Z204" i="28" l="1"/>
  <c r="AA204" i="28" s="1"/>
  <c r="AG205" i="28"/>
  <c r="Z205" i="28" l="1"/>
  <c r="AA205" i="28" s="1"/>
  <c r="AG249" i="22" l="1"/>
  <c r="Z249" i="22" l="1"/>
  <c r="AA249" i="22" s="1"/>
  <c r="K22" i="21" l="1"/>
  <c r="N22" i="21" l="1"/>
  <c r="L22" i="21"/>
  <c r="AG250" i="22" l="1"/>
  <c r="Z250" i="22" l="1"/>
  <c r="AA250" i="22" l="1"/>
  <c r="AG251" i="22" l="1"/>
  <c r="Z251" i="22" l="1"/>
  <c r="AA251" i="22" l="1"/>
  <c r="AG206" i="28" l="1"/>
  <c r="Z206" i="28" l="1"/>
  <c r="AA206" i="28" s="1"/>
  <c r="AG207" i="28" l="1"/>
  <c r="Z207" i="28" l="1"/>
  <c r="AA207" i="28" s="1"/>
  <c r="AG253" i="22" l="1"/>
  <c r="Z253" i="22" l="1"/>
  <c r="AA253" i="22" s="1"/>
  <c r="AG258" i="22" l="1"/>
  <c r="Z258" i="22"/>
  <c r="AA258" i="22" s="1"/>
  <c r="W258" i="22"/>
  <c r="AG252" i="22" l="1"/>
  <c r="W252" i="22" l="1"/>
  <c r="Z252" i="22"/>
  <c r="AA252" i="22" s="1"/>
  <c r="AG260" i="22" l="1"/>
  <c r="Z260" i="22"/>
  <c r="AA260" i="22" s="1"/>
  <c r="W260" i="22"/>
  <c r="AG259" i="22"/>
  <c r="Z259" i="22"/>
  <c r="W259" i="22"/>
  <c r="AG261" i="22"/>
  <c r="Z261" i="22"/>
  <c r="AA261" i="22" s="1"/>
  <c r="W261" i="22"/>
  <c r="AA259" i="22" l="1"/>
  <c r="AG265" i="22" l="1"/>
  <c r="Z265" i="22" l="1"/>
  <c r="W265" i="22"/>
  <c r="AA265" i="22" l="1"/>
  <c r="AG263" i="22"/>
  <c r="Z263" i="22" l="1"/>
  <c r="W263" i="22"/>
  <c r="AA263" i="22" l="1"/>
  <c r="AG272" i="22"/>
  <c r="Z272" i="22"/>
  <c r="AA272" i="22" s="1"/>
  <c r="W272" i="22"/>
  <c r="AG271" i="22"/>
  <c r="Z271" i="22"/>
  <c r="AA271" i="22" s="1"/>
  <c r="W271" i="22"/>
  <c r="AG270" i="22"/>
  <c r="W270" i="22"/>
  <c r="AG269" i="22"/>
  <c r="Z269" i="22"/>
  <c r="AA269" i="22" s="1"/>
  <c r="W269" i="22"/>
  <c r="AG268" i="22"/>
  <c r="Z268" i="22"/>
  <c r="AA268" i="22" s="1"/>
  <c r="W268" i="22"/>
  <c r="Z270" i="22" l="1"/>
  <c r="AA270" i="22" s="1"/>
  <c r="AG26" i="22" l="1"/>
  <c r="X26" i="22"/>
  <c r="Z26" i="22" l="1"/>
  <c r="AA26" i="22" l="1"/>
  <c r="AG208" i="28" l="1"/>
  <c r="Z208" i="28" l="1"/>
  <c r="AA208" i="28" s="1"/>
  <c r="AG209" i="28"/>
  <c r="Z209" i="28" l="1"/>
  <c r="AA209" i="28" s="1"/>
  <c r="AG264" i="22" l="1"/>
  <c r="Z264" i="22" l="1"/>
  <c r="W264" i="22"/>
  <c r="AA264" i="22" l="1"/>
  <c r="AG277" i="22" l="1"/>
  <c r="Z277" i="22" l="1"/>
  <c r="W277" i="22"/>
  <c r="AG278" i="22"/>
  <c r="AA277" i="22" l="1"/>
  <c r="Z278" i="22"/>
  <c r="AA278" i="22" s="1"/>
  <c r="W278" i="22"/>
  <c r="AG282" i="22"/>
  <c r="Z282" i="22"/>
  <c r="AA282" i="22" s="1"/>
  <c r="W282" i="22"/>
  <c r="AG281" i="22"/>
  <c r="Z281" i="22"/>
  <c r="AA281" i="22" s="1"/>
  <c r="W281" i="22"/>
  <c r="AG283" i="22"/>
  <c r="Z283" i="22"/>
  <c r="AA283" i="22" s="1"/>
  <c r="W283" i="22"/>
  <c r="AG27" i="22" l="1"/>
  <c r="X27" i="22"/>
  <c r="Z27" i="22" l="1"/>
  <c r="AG284" i="22"/>
  <c r="Z284" i="22"/>
  <c r="AA284" i="22" s="1"/>
  <c r="W284" i="22"/>
  <c r="AA27" i="22" l="1"/>
  <c r="AG287" i="22" l="1"/>
  <c r="Z287" i="22"/>
  <c r="AA287" i="22" s="1"/>
  <c r="W287" i="22"/>
  <c r="AG286" i="22"/>
  <c r="Z286" i="22"/>
  <c r="AA286" i="22" s="1"/>
  <c r="W286" i="22"/>
  <c r="AG285" i="22"/>
  <c r="Z285" i="22"/>
  <c r="W285" i="22"/>
  <c r="AG289" i="22"/>
  <c r="AA285" i="22" l="1"/>
  <c r="Z289" i="22"/>
  <c r="AA289" i="22" s="1"/>
  <c r="W289" i="22"/>
  <c r="AG288" i="22"/>
  <c r="Z288" i="22" l="1"/>
  <c r="W288" i="22"/>
  <c r="AA288" i="22" l="1"/>
  <c r="X298" i="22" l="1"/>
  <c r="X297" i="22"/>
  <c r="X296" i="22"/>
  <c r="X295" i="22"/>
  <c r="AG266" i="22"/>
  <c r="X319" i="22" l="1"/>
  <c r="Z266" i="22"/>
  <c r="W266" i="22"/>
  <c r="AA266" i="22" l="1"/>
  <c r="AG210" i="28" l="1"/>
  <c r="Z210" i="28" l="1"/>
  <c r="AA210" i="28" s="1"/>
  <c r="AG28" i="22" l="1"/>
  <c r="X28" i="22"/>
  <c r="Z28" i="22" l="1"/>
  <c r="AG299" i="22"/>
  <c r="Z299" i="22"/>
  <c r="AA299" i="22" s="1"/>
  <c r="W299" i="22"/>
  <c r="AA28" i="22" l="1"/>
  <c r="AG262" i="22" l="1"/>
  <c r="AG280" i="22"/>
  <c r="AG279" i="22"/>
  <c r="AG276" i="22"/>
  <c r="AG275" i="22"/>
  <c r="AG274" i="22"/>
  <c r="AG273" i="22"/>
  <c r="AG298" i="22"/>
  <c r="AG297" i="22"/>
  <c r="AG296" i="22"/>
  <c r="AG295" i="22"/>
  <c r="AG294" i="22"/>
  <c r="AG293" i="22"/>
  <c r="AG292" i="22"/>
  <c r="AG291" i="22"/>
  <c r="AG290" i="22"/>
  <c r="AG267" i="22"/>
  <c r="AG29" i="22"/>
  <c r="X29" i="22"/>
  <c r="X30" i="22" l="1"/>
  <c r="AD320" i="22"/>
  <c r="W295" i="22"/>
  <c r="Z295" i="22"/>
  <c r="AA295" i="22" s="1"/>
  <c r="W291" i="22"/>
  <c r="Z291" i="22"/>
  <c r="AA291" i="22" s="1"/>
  <c r="W297" i="22"/>
  <c r="Z297" i="22"/>
  <c r="AA297" i="22" s="1"/>
  <c r="Z276" i="22"/>
  <c r="AA276" i="22" s="1"/>
  <c r="W276" i="22"/>
  <c r="W292" i="22"/>
  <c r="Z292" i="22"/>
  <c r="AA292" i="22" s="1"/>
  <c r="Z298" i="22"/>
  <c r="AA298" i="22" s="1"/>
  <c r="W298" i="22"/>
  <c r="W262" i="22"/>
  <c r="Z262" i="22"/>
  <c r="W293" i="22"/>
  <c r="Z293" i="22"/>
  <c r="AA293" i="22" s="1"/>
  <c r="W279" i="22"/>
  <c r="Z279" i="22"/>
  <c r="Z29" i="22"/>
  <c r="W267" i="22"/>
  <c r="Z267" i="22"/>
  <c r="Z294" i="22"/>
  <c r="AA294" i="22" s="1"/>
  <c r="W294" i="22"/>
  <c r="W273" i="22"/>
  <c r="Z273" i="22"/>
  <c r="W280" i="22"/>
  <c r="Z280" i="22"/>
  <c r="AA280" i="22" s="1"/>
  <c r="W274" i="22"/>
  <c r="Z274" i="22"/>
  <c r="AA274" i="22" s="1"/>
  <c r="Z290" i="22"/>
  <c r="W290" i="22"/>
  <c r="Z296" i="22"/>
  <c r="AA296" i="22" s="1"/>
  <c r="W296" i="22"/>
  <c r="Z275" i="22"/>
  <c r="AA275" i="22" s="1"/>
  <c r="W275" i="22"/>
  <c r="Z30" i="22" l="1"/>
  <c r="AD30" i="22"/>
  <c r="AA262" i="22"/>
  <c r="AA273" i="22"/>
  <c r="AA279" i="22"/>
  <c r="AA29" i="22"/>
  <c r="AA290" i="22"/>
  <c r="AA267" i="22"/>
  <c r="AE30" i="22" l="1"/>
  <c r="AA30" i="22"/>
  <c r="AG318" i="22" l="1"/>
  <c r="Z318" i="22"/>
  <c r="W318" i="22"/>
  <c r="AG317" i="22"/>
  <c r="Z317" i="22"/>
  <c r="AA317" i="22" s="1"/>
  <c r="W317" i="22"/>
  <c r="AG316" i="22"/>
  <c r="Z316" i="22"/>
  <c r="AA316" i="22" s="1"/>
  <c r="W316" i="22"/>
  <c r="AG315" i="22"/>
  <c r="Z315" i="22"/>
  <c r="AA315" i="22" s="1"/>
  <c r="W315" i="22"/>
  <c r="AG314" i="22"/>
  <c r="Z314" i="22"/>
  <c r="AA314" i="22" s="1"/>
  <c r="W314" i="22"/>
  <c r="AG313" i="22"/>
  <c r="Z313" i="22"/>
  <c r="AA313" i="22" s="1"/>
  <c r="W313" i="22"/>
  <c r="AG312" i="22"/>
  <c r="Z312" i="22"/>
  <c r="AA312" i="22" s="1"/>
  <c r="W312" i="22"/>
  <c r="AG311" i="22"/>
  <c r="Z311" i="22"/>
  <c r="AA311" i="22" s="1"/>
  <c r="W311" i="22"/>
  <c r="AG310" i="22"/>
  <c r="Z310" i="22"/>
  <c r="AA310" i="22" s="1"/>
  <c r="W310" i="22"/>
  <c r="AG309" i="22"/>
  <c r="Z309" i="22"/>
  <c r="AA309" i="22" s="1"/>
  <c r="W309" i="22"/>
  <c r="AG308" i="22"/>
  <c r="Z308" i="22"/>
  <c r="AA308" i="22" s="1"/>
  <c r="W308" i="22"/>
  <c r="AG307" i="22"/>
  <c r="Z307" i="22"/>
  <c r="AA307" i="22" s="1"/>
  <c r="W307" i="22"/>
  <c r="AG306" i="22"/>
  <c r="Z306" i="22"/>
  <c r="AA306" i="22" s="1"/>
  <c r="W306" i="22"/>
  <c r="AG305" i="22"/>
  <c r="Z305" i="22"/>
  <c r="AA305" i="22" s="1"/>
  <c r="W305" i="22"/>
  <c r="AG304" i="22"/>
  <c r="Z304" i="22"/>
  <c r="AA304" i="22" s="1"/>
  <c r="W304" i="22"/>
  <c r="AG303" i="22"/>
  <c r="Z303" i="22"/>
  <c r="AA303" i="22" s="1"/>
  <c r="W303" i="22"/>
  <c r="AG302" i="22"/>
  <c r="Z302" i="22"/>
  <c r="AA302" i="22" s="1"/>
  <c r="W302" i="22"/>
  <c r="AG301" i="22"/>
  <c r="Z301" i="22"/>
  <c r="AA301" i="22" s="1"/>
  <c r="W301" i="22"/>
  <c r="AG300" i="22"/>
  <c r="Z300" i="22"/>
  <c r="W300" i="22"/>
  <c r="Z319" i="22" l="1"/>
  <c r="AA319" i="22" s="1"/>
  <c r="AA318" i="22"/>
  <c r="AD319" i="22"/>
  <c r="AA300" i="22"/>
  <c r="AE319" i="22" l="1"/>
  <c r="K23" i="21" l="1"/>
  <c r="M23" i="21"/>
  <c r="N23" i="21" l="1"/>
  <c r="L23" i="21"/>
  <c r="AG348" i="22" l="1"/>
  <c r="Z348" i="22"/>
  <c r="AA348" i="22" s="1"/>
  <c r="W348" i="22"/>
  <c r="AG347" i="22"/>
  <c r="Z347" i="22"/>
  <c r="AA347" i="22" s="1"/>
  <c r="W347" i="22"/>
  <c r="AG346" i="22"/>
  <c r="Z346" i="22"/>
  <c r="AA346" i="22" s="1"/>
  <c r="W346" i="22"/>
  <c r="AG345" i="22"/>
  <c r="Z345" i="22"/>
  <c r="AA345" i="22" s="1"/>
  <c r="W345" i="22"/>
  <c r="AG344" i="22"/>
  <c r="Z344" i="22"/>
  <c r="AA344" i="22" s="1"/>
  <c r="W344" i="22"/>
  <c r="AG343" i="22"/>
  <c r="X343" i="22"/>
  <c r="W343" i="22" s="1"/>
  <c r="AG342" i="22"/>
  <c r="X342" i="22"/>
  <c r="AG341" i="22"/>
  <c r="Z341" i="22"/>
  <c r="AA341" i="22" s="1"/>
  <c r="W341" i="22"/>
  <c r="AG340" i="22"/>
  <c r="Z340" i="22"/>
  <c r="AA340" i="22" s="1"/>
  <c r="W340" i="22"/>
  <c r="AG339" i="22"/>
  <c r="Z339" i="22"/>
  <c r="AA339" i="22" s="1"/>
  <c r="W339" i="22"/>
  <c r="AG338" i="22"/>
  <c r="Z338" i="22"/>
  <c r="AA338" i="22" s="1"/>
  <c r="W338" i="22"/>
  <c r="AG337" i="22"/>
  <c r="Z337" i="22"/>
  <c r="AA337" i="22" s="1"/>
  <c r="W337" i="22"/>
  <c r="AG336" i="22"/>
  <c r="Z336" i="22"/>
  <c r="AA336" i="22" s="1"/>
  <c r="W336" i="22"/>
  <c r="AG335" i="22"/>
  <c r="Z335" i="22"/>
  <c r="AA335" i="22" s="1"/>
  <c r="W335" i="22"/>
  <c r="AG334" i="22"/>
  <c r="Z334" i="22"/>
  <c r="AA334" i="22" s="1"/>
  <c r="W334" i="22"/>
  <c r="AG333" i="22"/>
  <c r="Z333" i="22"/>
  <c r="AA333" i="22" s="1"/>
  <c r="W333" i="22"/>
  <c r="AG332" i="22"/>
  <c r="Z332" i="22"/>
  <c r="AA332" i="22" s="1"/>
  <c r="W332" i="22"/>
  <c r="AG331" i="22"/>
  <c r="Z331" i="22"/>
  <c r="AA331" i="22" s="1"/>
  <c r="W331" i="22"/>
  <c r="AG330" i="22"/>
  <c r="Z330" i="22"/>
  <c r="AA330" i="22" s="1"/>
  <c r="W330" i="22"/>
  <c r="AG329" i="22"/>
  <c r="Z329" i="22"/>
  <c r="AA329" i="22" s="1"/>
  <c r="W329" i="22"/>
  <c r="AG328" i="22"/>
  <c r="Z328" i="22"/>
  <c r="AA328" i="22" s="1"/>
  <c r="W328" i="22"/>
  <c r="AG327" i="22"/>
  <c r="Z327" i="22"/>
  <c r="AA327" i="22" s="1"/>
  <c r="W327" i="22"/>
  <c r="AG326" i="22"/>
  <c r="Z326" i="22"/>
  <c r="AA326" i="22" s="1"/>
  <c r="W326" i="22"/>
  <c r="AG325" i="22"/>
  <c r="Z325" i="22"/>
  <c r="AA325" i="22" s="1"/>
  <c r="W325" i="22"/>
  <c r="AG324" i="22"/>
  <c r="Z324" i="22"/>
  <c r="AA324" i="22" s="1"/>
  <c r="W324" i="22"/>
  <c r="AG323" i="22"/>
  <c r="Z323" i="22"/>
  <c r="AA323" i="22" s="1"/>
  <c r="W323" i="22"/>
  <c r="Z343" i="22" l="1"/>
  <c r="AA343" i="22" s="1"/>
  <c r="X349" i="22"/>
  <c r="Z342" i="22"/>
  <c r="AA342" i="22" s="1"/>
  <c r="W342" i="22"/>
  <c r="AD350" i="22" l="1"/>
  <c r="AD349" i="22"/>
  <c r="Z349" i="22"/>
  <c r="AE349" i="22" l="1"/>
  <c r="AA349" i="22"/>
  <c r="AG211" i="28" l="1"/>
  <c r="Z211" i="28" l="1"/>
  <c r="AA211" i="28" s="1"/>
  <c r="AG217" i="28" l="1"/>
  <c r="M25" i="21" l="1"/>
  <c r="M26" i="21"/>
  <c r="M27" i="21"/>
  <c r="M24" i="21"/>
  <c r="M28" i="21" l="1"/>
  <c r="AG212" i="28"/>
  <c r="Z217" i="28" l="1"/>
  <c r="AA217" i="28" s="1"/>
  <c r="Z212" i="28"/>
  <c r="AA212" i="28" s="1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G213" i="28" l="1"/>
  <c r="Z213" i="28" l="1"/>
  <c r="AA213" i="28" s="1"/>
  <c r="AG214" i="28"/>
  <c r="Z214" i="28" l="1"/>
  <c r="AA214" i="28" s="1"/>
  <c r="AG215" i="28" l="1"/>
  <c r="Z215" i="28" l="1"/>
  <c r="AA215" i="28" s="1"/>
  <c r="AG216" i="28" l="1"/>
  <c r="Z216" i="28" l="1"/>
  <c r="AA216" i="28" s="1"/>
  <c r="AG218" i="28" l="1"/>
  <c r="Z218" i="28" l="1"/>
  <c r="AA218" i="28" s="1"/>
  <c r="AG219" i="28" l="1"/>
  <c r="Z219" i="28" l="1"/>
  <c r="AA219" i="28" s="1"/>
  <c r="X370" i="22" l="1"/>
  <c r="AG369" i="22"/>
  <c r="Z369" i="22"/>
  <c r="AA369" i="22" s="1"/>
  <c r="W369" i="22"/>
  <c r="AG368" i="22"/>
  <c r="Z368" i="22"/>
  <c r="AA368" i="22" s="1"/>
  <c r="W368" i="22"/>
  <c r="AG367" i="22"/>
  <c r="Z367" i="22"/>
  <c r="AA367" i="22" s="1"/>
  <c r="W367" i="22"/>
  <c r="AG366" i="22"/>
  <c r="Z366" i="22"/>
  <c r="AA366" i="22" s="1"/>
  <c r="W366" i="22"/>
  <c r="AG365" i="22"/>
  <c r="Z365" i="22"/>
  <c r="AA365" i="22" s="1"/>
  <c r="W365" i="22"/>
  <c r="AG364" i="22"/>
  <c r="Z364" i="22"/>
  <c r="AA364" i="22" s="1"/>
  <c r="W364" i="22"/>
  <c r="AG363" i="22"/>
  <c r="Z363" i="22"/>
  <c r="AA363" i="22" s="1"/>
  <c r="W363" i="22"/>
  <c r="AG362" i="22"/>
  <c r="Z362" i="22"/>
  <c r="AA362" i="22" s="1"/>
  <c r="W362" i="22"/>
  <c r="AG361" i="22"/>
  <c r="Z361" i="22"/>
  <c r="AA361" i="22" s="1"/>
  <c r="W361" i="22"/>
  <c r="AG360" i="22"/>
  <c r="Z360" i="22"/>
  <c r="AA360" i="22" s="1"/>
  <c r="W360" i="22"/>
  <c r="AG359" i="22"/>
  <c r="Z359" i="22"/>
  <c r="AA359" i="22" s="1"/>
  <c r="W359" i="22"/>
  <c r="AG358" i="22"/>
  <c r="Z358" i="22"/>
  <c r="AA358" i="22" s="1"/>
  <c r="W358" i="22"/>
  <c r="AG357" i="22"/>
  <c r="Z357" i="22"/>
  <c r="AA357" i="22" s="1"/>
  <c r="W357" i="22"/>
  <c r="AG356" i="22"/>
  <c r="Z356" i="22"/>
  <c r="AA356" i="22" s="1"/>
  <c r="W356" i="22"/>
  <c r="AG355" i="22"/>
  <c r="Z355" i="22"/>
  <c r="AA355" i="22" s="1"/>
  <c r="W355" i="22"/>
  <c r="AG354" i="22"/>
  <c r="Z354" i="22"/>
  <c r="AA354" i="22" s="1"/>
  <c r="W354" i="22"/>
  <c r="AG353" i="22"/>
  <c r="Z353" i="22"/>
  <c r="AA353" i="22" s="1"/>
  <c r="W353" i="22"/>
  <c r="Z370" i="22" l="1"/>
  <c r="AD370" i="22"/>
  <c r="AD371" i="22" l="1"/>
  <c r="AE370" i="22"/>
  <c r="AA370" i="22"/>
  <c r="AG220" i="28" l="1"/>
  <c r="Z220" i="28" l="1"/>
  <c r="AA220" i="28" s="1"/>
  <c r="X395" i="22" l="1"/>
  <c r="AG394" i="22"/>
  <c r="Z394" i="22"/>
  <c r="AA394" i="22" s="1"/>
  <c r="W394" i="22"/>
  <c r="AG393" i="22"/>
  <c r="Z393" i="22"/>
  <c r="AA393" i="22" s="1"/>
  <c r="W393" i="22"/>
  <c r="AG392" i="22"/>
  <c r="Z392" i="22"/>
  <c r="AA392" i="22" s="1"/>
  <c r="W392" i="22"/>
  <c r="AG391" i="22"/>
  <c r="Z391" i="22"/>
  <c r="AA391" i="22" s="1"/>
  <c r="W391" i="22"/>
  <c r="AG390" i="22"/>
  <c r="Z390" i="22"/>
  <c r="AA390" i="22" s="1"/>
  <c r="W390" i="22"/>
  <c r="AG389" i="22"/>
  <c r="Z389" i="22"/>
  <c r="AA389" i="22" s="1"/>
  <c r="W389" i="22"/>
  <c r="AG388" i="22"/>
  <c r="Z388" i="22"/>
  <c r="AA388" i="22" s="1"/>
  <c r="W388" i="22"/>
  <c r="AG387" i="22"/>
  <c r="Z387" i="22"/>
  <c r="AA387" i="22" s="1"/>
  <c r="W387" i="22"/>
  <c r="AG386" i="22"/>
  <c r="Z386" i="22"/>
  <c r="AA386" i="22" s="1"/>
  <c r="W386" i="22"/>
  <c r="AG385" i="22"/>
  <c r="Z385" i="22"/>
  <c r="AA385" i="22" s="1"/>
  <c r="W385" i="22"/>
  <c r="AG384" i="22"/>
  <c r="Z384" i="22"/>
  <c r="AA384" i="22" s="1"/>
  <c r="W384" i="22"/>
  <c r="AG383" i="22"/>
  <c r="Z383" i="22"/>
  <c r="AA383" i="22" s="1"/>
  <c r="W383" i="22"/>
  <c r="AG382" i="22"/>
  <c r="Z382" i="22"/>
  <c r="AA382" i="22" s="1"/>
  <c r="W382" i="22"/>
  <c r="AG381" i="22"/>
  <c r="Z381" i="22"/>
  <c r="AA381" i="22" s="1"/>
  <c r="W381" i="22"/>
  <c r="AG380" i="22"/>
  <c r="Z380" i="22"/>
  <c r="AA380" i="22" s="1"/>
  <c r="W380" i="22"/>
  <c r="AG379" i="22"/>
  <c r="Z379" i="22"/>
  <c r="AA379" i="22" s="1"/>
  <c r="W379" i="22"/>
  <c r="AG378" i="22"/>
  <c r="Z378" i="22"/>
  <c r="AA378" i="22" s="1"/>
  <c r="W378" i="22"/>
  <c r="AG377" i="22"/>
  <c r="Z377" i="22"/>
  <c r="AA377" i="22" s="1"/>
  <c r="W377" i="22"/>
  <c r="AG376" i="22"/>
  <c r="Z376" i="22"/>
  <c r="AA376" i="22" s="1"/>
  <c r="W376" i="22"/>
  <c r="AG375" i="22"/>
  <c r="Z375" i="22"/>
  <c r="AA375" i="22" s="1"/>
  <c r="W375" i="22"/>
  <c r="AG374" i="22"/>
  <c r="Z374" i="22"/>
  <c r="AA374" i="22" s="1"/>
  <c r="W374" i="22"/>
  <c r="AD395" i="22" l="1"/>
  <c r="Z395" i="22"/>
  <c r="AA395" i="22" s="1"/>
  <c r="AE395" i="22" l="1"/>
  <c r="AG221" i="28" l="1"/>
  <c r="Z221" i="28" l="1"/>
  <c r="AA221" i="28" s="1"/>
  <c r="AG222" i="28"/>
  <c r="Z222" i="28" l="1"/>
  <c r="AA222" i="28" s="1"/>
  <c r="AG223" i="28"/>
  <c r="Z223" i="28" l="1"/>
  <c r="AA223" i="28" s="1"/>
  <c r="AG224" i="28" l="1"/>
  <c r="Z224" i="28" l="1"/>
  <c r="AA224" i="28" s="1"/>
  <c r="AG226" i="28"/>
  <c r="Z226" i="28" l="1"/>
  <c r="AA226" i="28" s="1"/>
  <c r="AG225" i="28" l="1"/>
  <c r="Z225" i="28" l="1"/>
  <c r="AA225" i="28" s="1"/>
  <c r="AG227" i="28" l="1"/>
  <c r="Z227" i="28" l="1"/>
  <c r="AA227" i="28" s="1"/>
  <c r="AG229" i="28" l="1"/>
  <c r="Z229" i="28" l="1"/>
  <c r="AA229" i="28" s="1"/>
  <c r="AG228" i="28" l="1"/>
  <c r="Z228" i="28" l="1"/>
  <c r="AA228" i="28" s="1"/>
  <c r="AG230" i="28" l="1"/>
  <c r="Z230" i="28" l="1"/>
  <c r="AA230" i="28" s="1"/>
  <c r="AG231" i="28" l="1"/>
  <c r="Z231" i="28" l="1"/>
  <c r="AA231" i="28" s="1"/>
  <c r="AG232" i="28" l="1"/>
  <c r="Z232" i="28" l="1"/>
  <c r="AA232" i="28" s="1"/>
  <c r="AG233" i="28"/>
  <c r="Z233" i="28" l="1"/>
  <c r="AA233" i="28" s="1"/>
  <c r="AG234" i="28"/>
  <c r="Z234" i="28" l="1"/>
  <c r="AA234" i="28" s="1"/>
  <c r="AG235" i="28"/>
  <c r="Z235" i="28" l="1"/>
  <c r="AA235" i="28" s="1"/>
  <c r="K27" i="21" l="1"/>
  <c r="K28" i="21" s="1"/>
  <c r="L27" i="21" l="1"/>
  <c r="N27" i="21"/>
  <c r="N28" i="21" s="1"/>
  <c r="L28" i="21" l="1"/>
  <c r="X401" i="22" l="1"/>
  <c r="AG400" i="22"/>
  <c r="Z400" i="22"/>
  <c r="AA400" i="22" s="1"/>
  <c r="W400" i="22"/>
  <c r="AG399" i="22"/>
  <c r="Z399" i="22"/>
  <c r="AA399" i="22" s="1"/>
  <c r="W399" i="22"/>
  <c r="AG398" i="22"/>
  <c r="Z398" i="22"/>
  <c r="AA398" i="22" s="1"/>
  <c r="W398" i="22"/>
  <c r="AD401" i="22" l="1"/>
  <c r="Z401" i="22"/>
  <c r="AA401" i="22" s="1"/>
  <c r="AE401" i="22" l="1"/>
  <c r="Z246" i="28" l="1"/>
  <c r="AA246" i="28" s="1"/>
  <c r="AG246" i="28"/>
  <c r="AG236" i="28" l="1"/>
  <c r="Z236" i="28" l="1"/>
  <c r="AA236" i="28" s="1"/>
  <c r="AG237" i="28" l="1"/>
  <c r="Z237" i="28" l="1"/>
  <c r="AA237" i="28" s="1"/>
  <c r="AG238" i="28" l="1"/>
  <c r="Z238" i="28" l="1"/>
  <c r="AA238" i="28" s="1"/>
  <c r="AG239" i="28" l="1"/>
  <c r="Z239" i="28" l="1"/>
  <c r="AA239" i="28" s="1"/>
  <c r="AG242" i="28" l="1"/>
  <c r="Z242" i="28" l="1"/>
  <c r="AA242" i="28" s="1"/>
  <c r="AG241" i="28" l="1"/>
  <c r="Z241" i="28" l="1"/>
  <c r="AA241" i="28" s="1"/>
  <c r="AG240" i="28"/>
  <c r="Z240" i="28" l="1"/>
  <c r="AA240" i="28" s="1"/>
  <c r="AG247" i="28" l="1"/>
  <c r="Z247" i="28" l="1"/>
  <c r="AA247" i="28" s="1"/>
  <c r="AG243" i="28" l="1"/>
  <c r="Z243" i="28" l="1"/>
  <c r="AA243" i="28" s="1"/>
  <c r="AG251" i="28" l="1"/>
  <c r="Z251" i="28" l="1"/>
  <c r="AA251" i="28" s="1"/>
  <c r="AG245" i="28" l="1"/>
  <c r="Z245" i="28" l="1"/>
  <c r="AA245" i="28" s="1"/>
  <c r="AG244" i="28"/>
  <c r="Z244" i="28" l="1"/>
  <c r="AA244" i="28" s="1"/>
  <c r="AG248" i="28" l="1"/>
  <c r="Z248" i="28" l="1"/>
  <c r="AA248" i="28" s="1"/>
  <c r="AG249" i="28"/>
  <c r="Z249" i="28" l="1"/>
  <c r="AA249" i="28" s="1"/>
  <c r="AG250" i="28"/>
  <c r="Z250" i="28" l="1"/>
  <c r="AA250" i="28" s="1"/>
  <c r="AG252" i="28"/>
  <c r="Z252" i="28" l="1"/>
  <c r="AA252" i="28" s="1"/>
  <c r="AG253" i="28"/>
  <c r="Z253" i="28" l="1"/>
  <c r="AA253" i="28" s="1"/>
  <c r="AG254" i="28"/>
  <c r="Z254" i="28" l="1"/>
  <c r="AA254" i="28" s="1"/>
  <c r="AG256" i="28" l="1"/>
  <c r="Z256" i="28" l="1"/>
  <c r="AA256" i="28" s="1"/>
  <c r="AG255" i="28" l="1"/>
  <c r="Z255" i="28" l="1"/>
  <c r="AA255" i="28" s="1"/>
  <c r="AG258" i="28" l="1"/>
  <c r="Z258" i="28" l="1"/>
  <c r="AA258" i="28" s="1"/>
  <c r="AG257" i="28" l="1"/>
  <c r="Z257" i="28" l="1"/>
  <c r="AA257" i="28" s="1"/>
  <c r="AG262" i="28" l="1"/>
  <c r="Z262" i="28" l="1"/>
  <c r="AA262" i="28" s="1"/>
  <c r="AG260" i="28" l="1"/>
  <c r="Z260" i="28" l="1"/>
  <c r="AA260" i="28" s="1"/>
  <c r="AG259" i="28" l="1"/>
  <c r="Z259" i="28" l="1"/>
  <c r="AA259" i="28" s="1"/>
  <c r="AG264" i="28" l="1"/>
  <c r="Z264" i="28" l="1"/>
  <c r="AA264" i="28" s="1"/>
  <c r="AG261" i="28" l="1"/>
  <c r="Z261" i="28" l="1"/>
  <c r="AA261" i="28" s="1"/>
  <c r="AG263" i="28" l="1"/>
  <c r="Z263" i="28" l="1"/>
  <c r="AA263" i="28" s="1"/>
  <c r="AG265" i="28" l="1"/>
  <c r="Z265" i="28" l="1"/>
  <c r="AA265" i="28" s="1"/>
  <c r="AG266" i="28" l="1"/>
  <c r="Z266" i="28" l="1"/>
  <c r="AA266" i="28" s="1"/>
  <c r="AG267" i="28"/>
  <c r="Z267" i="28" l="1"/>
  <c r="AA267" i="28" s="1"/>
  <c r="AG268" i="28" l="1"/>
  <c r="Z268" i="28" l="1"/>
  <c r="AA268" i="28" s="1"/>
  <c r="AG269" i="28" l="1"/>
  <c r="Z269" i="28" l="1"/>
  <c r="AA269" i="28" s="1"/>
  <c r="AG270" i="28" l="1"/>
  <c r="Z270" i="28" l="1"/>
  <c r="AA270" i="28" s="1"/>
  <c r="AG271" i="28"/>
  <c r="Z271" i="28" l="1"/>
  <c r="AA271" i="28" s="1"/>
  <c r="AG272" i="28"/>
  <c r="Z272" i="28" l="1"/>
  <c r="AA272" i="28" s="1"/>
  <c r="AG273" i="28"/>
  <c r="Z273" i="28" l="1"/>
  <c r="AA273" i="28" s="1"/>
  <c r="Z279" i="28" l="1"/>
  <c r="AA279" i="28" s="1"/>
  <c r="AG279" i="28"/>
  <c r="AG274" i="28" l="1"/>
  <c r="Z274" i="28" l="1"/>
  <c r="AA274" i="28" s="1"/>
  <c r="AG275" i="28" l="1"/>
  <c r="Z275" i="28" l="1"/>
  <c r="AA275" i="28" s="1"/>
  <c r="AG276" i="28" l="1"/>
  <c r="Z276" i="28" l="1"/>
  <c r="AA276" i="28" s="1"/>
  <c r="AG277" i="28" l="1"/>
  <c r="Z277" i="28" l="1"/>
  <c r="AA277" i="28" s="1"/>
  <c r="AG278" i="28" l="1"/>
  <c r="Z278" i="28" l="1"/>
  <c r="AA278" i="28" s="1"/>
  <c r="AG280" i="28" l="1"/>
  <c r="Z280" i="28" l="1"/>
  <c r="AA280" i="28" s="1"/>
  <c r="AG281" i="28" l="1"/>
  <c r="Z281" i="28" l="1"/>
  <c r="AA281" i="28" s="1"/>
  <c r="AG282" i="28"/>
  <c r="Z282" i="28" l="1"/>
  <c r="AA282" i="28" s="1"/>
  <c r="AG283" i="28" l="1"/>
  <c r="Z283" i="28" l="1"/>
  <c r="AA283" i="28" s="1"/>
  <c r="AG284" i="28" l="1"/>
  <c r="Z284" i="28" l="1"/>
  <c r="AA284" i="28" s="1"/>
  <c r="AG286" i="28"/>
  <c r="Z286" i="28" l="1"/>
  <c r="AA286" i="28" s="1"/>
  <c r="AG285" i="28" l="1"/>
  <c r="Z285" i="28" l="1"/>
  <c r="AA285" i="28" s="1"/>
  <c r="AG287" i="28" l="1"/>
  <c r="Z287" i="28" l="1"/>
  <c r="AA287" i="28" s="1"/>
  <c r="AG288" i="28" l="1"/>
  <c r="Z288" i="28" l="1"/>
  <c r="AA288" i="28" s="1"/>
  <c r="AG289" i="28" l="1"/>
  <c r="Z289" i="28" l="1"/>
  <c r="AA289" i="28" s="1"/>
  <c r="AG290" i="28" l="1"/>
  <c r="Z290" i="28" l="1"/>
  <c r="AA290" i="28" s="1"/>
  <c r="AG291" i="28" l="1"/>
  <c r="Z291" i="28" l="1"/>
  <c r="AA291" i="28" s="1"/>
  <c r="AG292" i="28" l="1"/>
  <c r="Z292" i="28" l="1"/>
  <c r="AA292" i="28" s="1"/>
  <c r="AG295" i="28" l="1"/>
  <c r="Z295" i="28" l="1"/>
  <c r="AA295" i="28" s="1"/>
  <c r="AG296" i="28" l="1"/>
  <c r="Z296" i="28" l="1"/>
  <c r="AA296" i="28" s="1"/>
  <c r="AG293" i="28"/>
  <c r="AG294" i="28"/>
  <c r="Z293" i="28" l="1"/>
  <c r="AA293" i="28" s="1"/>
  <c r="Z294" i="28"/>
  <c r="AA294" i="28" s="1"/>
  <c r="AG300" i="28" l="1"/>
  <c r="Z300" i="28" l="1"/>
  <c r="AA300" i="28" s="1"/>
  <c r="AG297" i="28" l="1"/>
  <c r="Z297" i="28" l="1"/>
  <c r="AA297" i="28" s="1"/>
  <c r="AG298" i="28"/>
  <c r="Z298" i="28" l="1"/>
  <c r="AA298" i="28" s="1"/>
  <c r="AG299" i="28" l="1"/>
  <c r="Z299" i="28" l="1"/>
  <c r="AA299" i="28" s="1"/>
  <c r="AG305" i="28" l="1"/>
  <c r="Z305" i="28"/>
  <c r="AA305" i="28" s="1"/>
  <c r="AG304" i="28"/>
  <c r="Z304" i="28"/>
  <c r="AA304" i="28" s="1"/>
  <c r="AG303" i="28"/>
  <c r="Z303" i="28"/>
  <c r="AA303" i="28" s="1"/>
  <c r="AG301" i="28" l="1"/>
  <c r="Z301" i="28" l="1"/>
  <c r="AA301" i="28" s="1"/>
  <c r="AG302" i="28" l="1"/>
  <c r="Z302" i="28" l="1"/>
  <c r="AA302" i="28" s="1"/>
  <c r="AG306" i="28" l="1"/>
  <c r="Z306" i="28" l="1"/>
  <c r="AA306" i="28" s="1"/>
  <c r="AG307" i="28" l="1"/>
  <c r="Z307" i="28" l="1"/>
  <c r="AA307" i="28" s="1"/>
  <c r="AG309" i="28"/>
  <c r="Z309" i="28" l="1"/>
  <c r="AA309" i="28" s="1"/>
  <c r="AG308" i="28" l="1"/>
  <c r="Z308" i="28" l="1"/>
  <c r="AA308" i="28" s="1"/>
  <c r="AG310" i="28" l="1"/>
  <c r="Z310" i="28" l="1"/>
  <c r="AA310" i="28" s="1"/>
  <c r="AG311" i="28" l="1"/>
  <c r="Z311" i="28" l="1"/>
  <c r="AA311" i="28" s="1"/>
  <c r="AG313" i="28" l="1"/>
  <c r="Z313" i="28" l="1"/>
  <c r="AA313" i="28" s="1"/>
  <c r="AG312" i="28" l="1"/>
  <c r="Z312" i="28" l="1"/>
  <c r="AA312" i="28" s="1"/>
  <c r="AG314" i="28" l="1"/>
  <c r="AG315" i="28"/>
  <c r="AG316" i="28"/>
  <c r="Z314" i="28" l="1"/>
  <c r="AA314" i="28" s="1"/>
  <c r="Z315" i="28"/>
  <c r="AA315" i="28" s="1"/>
  <c r="Z316" i="28"/>
  <c r="AA316" i="28" s="1"/>
  <c r="AG317" i="28" l="1"/>
  <c r="Z317" i="28" l="1"/>
  <c r="AA317" i="28" s="1"/>
  <c r="AG318" i="28" l="1"/>
  <c r="Z318" i="28" l="1"/>
  <c r="AA318" i="28" s="1"/>
  <c r="AG319" i="28" l="1"/>
  <c r="Z319" i="28" l="1"/>
  <c r="AA319" i="28" s="1"/>
  <c r="Z320" i="28" l="1"/>
  <c r="AA320" i="28" s="1"/>
  <c r="AG320" i="28"/>
  <c r="AG321" i="28" l="1"/>
  <c r="Z321" i="28" l="1"/>
  <c r="AA321" i="28" s="1"/>
  <c r="AG322" i="28"/>
  <c r="Z322" i="28" l="1"/>
  <c r="AA322" i="28" s="1"/>
  <c r="AG323" i="28"/>
  <c r="Z323" i="28" l="1"/>
  <c r="AA323" i="28" s="1"/>
  <c r="AG324" i="28" l="1"/>
  <c r="Z324" i="28" l="1"/>
  <c r="AA324" i="28" s="1"/>
  <c r="AG325" i="28"/>
  <c r="Z325" i="28" l="1"/>
  <c r="AA325" i="28" s="1"/>
  <c r="AG326" i="28" l="1"/>
  <c r="Z326" i="28" l="1"/>
  <c r="AA326" i="28" s="1"/>
  <c r="X415" i="22" l="1"/>
  <c r="Z415" i="22" l="1"/>
  <c r="AA415" i="22" s="1"/>
  <c r="AG405" i="22" l="1"/>
  <c r="Z405" i="22" l="1"/>
  <c r="AA405" i="22" s="1"/>
  <c r="W405" i="22"/>
  <c r="AG404" i="22" l="1"/>
  <c r="Z404" i="22" l="1"/>
  <c r="AA404" i="22" s="1"/>
  <c r="W404" i="22"/>
  <c r="AG414" i="22"/>
  <c r="Z414" i="22" l="1"/>
  <c r="AA414" i="22" s="1"/>
  <c r="W414" i="22"/>
  <c r="AG327" i="28" l="1"/>
  <c r="Z327" i="28" l="1"/>
  <c r="AA327" i="28" s="1"/>
  <c r="Z565" i="22" l="1"/>
  <c r="W565" i="22"/>
  <c r="AG564" i="22"/>
  <c r="Z564" i="22" l="1"/>
  <c r="AA564" i="22" s="1"/>
  <c r="W564" i="22" l="1"/>
  <c r="AG563" i="22" l="1"/>
  <c r="Z563" i="22"/>
  <c r="AA563" i="22" l="1"/>
  <c r="W563" i="22"/>
  <c r="AG562" i="22"/>
  <c r="Z562" i="22"/>
  <c r="W562" i="22"/>
  <c r="AG561" i="22"/>
  <c r="AA562" i="22" l="1"/>
  <c r="Z561" i="22"/>
  <c r="AA561" i="22" s="1"/>
  <c r="W561" i="22" l="1"/>
  <c r="AG560" i="22"/>
  <c r="Z560" i="22" l="1"/>
  <c r="AA560" i="22" s="1"/>
  <c r="W560" i="22"/>
  <c r="AG559" i="22"/>
  <c r="Z559" i="22" l="1"/>
  <c r="Z566" i="22" s="1"/>
  <c r="AA565" i="22" s="1"/>
  <c r="W559" i="22"/>
  <c r="AA559" i="22" l="1"/>
  <c r="X557" i="22" l="1"/>
  <c r="AG556" i="22"/>
  <c r="Z556" i="22" l="1"/>
  <c r="AA556" i="22" s="1"/>
  <c r="W556" i="22"/>
  <c r="AG555" i="22"/>
  <c r="Z555" i="22" l="1"/>
  <c r="AA555" i="22" s="1"/>
  <c r="W555" i="22"/>
  <c r="AG554" i="22"/>
  <c r="Z554" i="22"/>
  <c r="AA554" i="22" s="1"/>
  <c r="W554" i="22"/>
  <c r="AG553" i="22"/>
  <c r="Z553" i="22"/>
  <c r="W553" i="22"/>
  <c r="AG552" i="22"/>
  <c r="AA553" i="22" l="1"/>
  <c r="Z552" i="22"/>
  <c r="AA552" i="22" s="1"/>
  <c r="W552" i="22"/>
  <c r="AG551" i="22"/>
  <c r="Z551" i="22"/>
  <c r="AA551" i="22" s="1"/>
  <c r="W551" i="22"/>
  <c r="AG550" i="22"/>
  <c r="Z550" i="22"/>
  <c r="W550" i="22"/>
  <c r="X548" i="22"/>
  <c r="AG547" i="22"/>
  <c r="Z547" i="22"/>
  <c r="AA547" i="22" s="1"/>
  <c r="W547" i="22"/>
  <c r="AG546" i="22"/>
  <c r="AA550" i="22" l="1"/>
  <c r="Z557" i="22"/>
  <c r="Z546" i="22"/>
  <c r="AA546" i="22" s="1"/>
  <c r="W546" i="22"/>
  <c r="AG545" i="22"/>
  <c r="AA557" i="22" l="1"/>
  <c r="Z545" i="22"/>
  <c r="AA545" i="22" s="1"/>
  <c r="W545" i="22"/>
  <c r="X543" i="22" l="1"/>
  <c r="AG542" i="22"/>
  <c r="Z542" i="22" l="1"/>
  <c r="AA542" i="22" s="1"/>
  <c r="W542" i="22"/>
  <c r="AG541" i="22"/>
  <c r="Z541" i="22" l="1"/>
  <c r="W541" i="22"/>
  <c r="X539" i="22"/>
  <c r="AG538" i="22"/>
  <c r="Z538" i="22"/>
  <c r="W538" i="22"/>
  <c r="AG537" i="22"/>
  <c r="Z537" i="22"/>
  <c r="AA537" i="22" s="1"/>
  <c r="W537" i="22"/>
  <c r="AG536" i="22"/>
  <c r="Z543" i="22" l="1"/>
  <c r="AA543" i="22" s="1"/>
  <c r="AA541" i="22"/>
  <c r="AA538" i="22"/>
  <c r="Z536" i="22"/>
  <c r="AA536" i="22" s="1"/>
  <c r="W536" i="22"/>
  <c r="AG535" i="22" l="1"/>
  <c r="Z535" i="22" l="1"/>
  <c r="AA535" i="22" s="1"/>
  <c r="W535" i="22"/>
  <c r="AG534" i="22"/>
  <c r="Z534" i="22" l="1"/>
  <c r="AA534" i="22" s="1"/>
  <c r="W534" i="22"/>
  <c r="AG533" i="22" l="1"/>
  <c r="Z533" i="22" l="1"/>
  <c r="AA533" i="22" s="1"/>
  <c r="W533" i="22"/>
  <c r="AG532" i="22"/>
  <c r="Z532" i="22" l="1"/>
  <c r="AA532" i="22" s="1"/>
  <c r="W532" i="22"/>
  <c r="AG531" i="22" l="1"/>
  <c r="W531" i="22" l="1"/>
  <c r="AG530" i="22" l="1"/>
  <c r="Z530" i="22" l="1"/>
  <c r="AA530" i="22" s="1"/>
  <c r="W530" i="22"/>
  <c r="AG529" i="22" l="1"/>
  <c r="Z529" i="22" l="1"/>
  <c r="AA529" i="22" s="1"/>
  <c r="W529" i="22"/>
  <c r="X527" i="22" l="1"/>
  <c r="AG526" i="22"/>
  <c r="Z526" i="22" l="1"/>
  <c r="AA526" i="22" s="1"/>
  <c r="W526" i="22"/>
  <c r="AG525" i="22"/>
  <c r="Z525" i="22" l="1"/>
  <c r="AA525" i="22" s="1"/>
  <c r="W525" i="22"/>
  <c r="AG524" i="22"/>
  <c r="Z524" i="22" l="1"/>
  <c r="AA524" i="22" s="1"/>
  <c r="W524" i="22"/>
  <c r="AG523" i="22"/>
  <c r="Z523" i="22" l="1"/>
  <c r="AA523" i="22" s="1"/>
  <c r="W523" i="22"/>
  <c r="AG522" i="22"/>
  <c r="Z522" i="22" l="1"/>
  <c r="AA522" i="22" s="1"/>
  <c r="W522" i="22"/>
  <c r="AG521" i="22"/>
  <c r="Z521" i="22"/>
  <c r="AA521" i="22" s="1"/>
  <c r="W521" i="22"/>
  <c r="AG520" i="22"/>
  <c r="Z520" i="22" l="1"/>
  <c r="AA520" i="22" s="1"/>
  <c r="W520" i="22"/>
  <c r="AG519" i="22"/>
  <c r="Z519" i="22" l="1"/>
  <c r="AA519" i="22" s="1"/>
  <c r="W519" i="22"/>
  <c r="AG518" i="22"/>
  <c r="Z518" i="22" l="1"/>
  <c r="AA518" i="22" s="1"/>
  <c r="W518" i="22"/>
  <c r="AG517" i="22"/>
  <c r="Z517" i="22" l="1"/>
  <c r="AA517" i="22" s="1"/>
  <c r="W517" i="22"/>
  <c r="X515" i="22" l="1"/>
  <c r="AG514" i="22"/>
  <c r="Z515" i="22" l="1"/>
  <c r="AA515" i="22" s="1"/>
  <c r="Z514" i="22"/>
  <c r="AA514" i="22" s="1"/>
  <c r="W514" i="22"/>
  <c r="AG513" i="22"/>
  <c r="Z513" i="22" l="1"/>
  <c r="AA513" i="22" s="1"/>
  <c r="W513" i="22"/>
  <c r="AG512" i="22"/>
  <c r="Z512" i="22" l="1"/>
  <c r="AA512" i="22" s="1"/>
  <c r="W512" i="22"/>
  <c r="AG511" i="22"/>
  <c r="Z511" i="22" l="1"/>
  <c r="AA511" i="22" s="1"/>
  <c r="W511" i="22"/>
  <c r="AG510" i="22" l="1"/>
  <c r="Z510" i="22" l="1"/>
  <c r="AA510" i="22" s="1"/>
  <c r="W510" i="22"/>
  <c r="AG509" i="22" l="1"/>
  <c r="Z509" i="22" l="1"/>
  <c r="AA509" i="22" s="1"/>
  <c r="W509" i="22"/>
  <c r="X507" i="22" l="1"/>
  <c r="AG506" i="22"/>
  <c r="Z506" i="22" l="1"/>
  <c r="AA506" i="22" s="1"/>
  <c r="W506" i="22"/>
  <c r="AG505" i="22"/>
  <c r="Z505" i="22" l="1"/>
  <c r="AA505" i="22" s="1"/>
  <c r="W505" i="22"/>
  <c r="AG504" i="22"/>
  <c r="Z504" i="22" l="1"/>
  <c r="AA504" i="22" s="1"/>
  <c r="W504" i="22"/>
  <c r="AG503" i="22"/>
  <c r="Z503" i="22" l="1"/>
  <c r="AA503" i="22" s="1"/>
  <c r="W503" i="22"/>
  <c r="AG502" i="22"/>
  <c r="Z502" i="22" l="1"/>
  <c r="AA502" i="22" s="1"/>
  <c r="W502" i="22"/>
  <c r="AG501" i="22"/>
  <c r="Z501" i="22" l="1"/>
  <c r="AA501" i="22" s="1"/>
  <c r="W501" i="22"/>
  <c r="X499" i="22" l="1"/>
  <c r="AG498" i="22"/>
  <c r="Z498" i="22" l="1"/>
  <c r="AA498" i="22" s="1"/>
  <c r="W498" i="22"/>
  <c r="AG497" i="22"/>
  <c r="Z497" i="22" l="1"/>
  <c r="AA497" i="22" s="1"/>
  <c r="W497" i="22"/>
  <c r="AG496" i="22" l="1"/>
  <c r="Z496" i="22" l="1"/>
  <c r="AA496" i="22" s="1"/>
  <c r="W496" i="22"/>
  <c r="X494" i="22" l="1"/>
  <c r="Z494" i="22" s="1"/>
  <c r="AA494" i="22" s="1"/>
  <c r="AG493" i="22"/>
  <c r="Z493" i="22" l="1"/>
  <c r="AA493" i="22" s="1"/>
  <c r="W493" i="22"/>
  <c r="AG492" i="22" l="1"/>
  <c r="Z492" i="22" l="1"/>
  <c r="AA492" i="22" s="1"/>
  <c r="W492" i="22"/>
  <c r="AG491" i="22"/>
  <c r="Z491" i="22" l="1"/>
  <c r="AA491" i="22" s="1"/>
  <c r="W491" i="22"/>
  <c r="AG490" i="22"/>
  <c r="Z490" i="22" l="1"/>
  <c r="AA490" i="22" s="1"/>
  <c r="W490" i="22"/>
  <c r="AG489" i="22" l="1"/>
  <c r="Z489" i="22" l="1"/>
  <c r="AA489" i="22" s="1"/>
  <c r="W489" i="22"/>
  <c r="X487" i="22" l="1"/>
  <c r="AG486" i="22"/>
  <c r="Z487" i="22" l="1"/>
  <c r="AA487" i="22" s="1"/>
  <c r="Z486" i="22"/>
  <c r="AA486" i="22" s="1"/>
  <c r="AG485" i="22"/>
  <c r="Z485" i="22"/>
  <c r="AA485" i="22" s="1"/>
  <c r="AG484" i="22"/>
  <c r="Z484" i="22"/>
  <c r="AA484" i="22" s="1"/>
  <c r="AG483" i="22"/>
  <c r="Z483" i="22"/>
  <c r="AG482" i="22"/>
  <c r="Z482" i="22"/>
  <c r="X480" i="22"/>
  <c r="AA483" i="22" l="1"/>
  <c r="AA482" i="22"/>
  <c r="AG479" i="22"/>
  <c r="Z479" i="22" l="1"/>
  <c r="AA479" i="22" s="1"/>
  <c r="W479" i="22"/>
  <c r="AG478" i="22" l="1"/>
  <c r="Z478" i="22" l="1"/>
  <c r="AA478" i="22" s="1"/>
  <c r="W478" i="22"/>
  <c r="X476" i="22" l="1"/>
  <c r="AG475" i="22"/>
  <c r="Z475" i="22" l="1"/>
  <c r="AA475" i="22" s="1"/>
  <c r="W475" i="22"/>
  <c r="AG474" i="22"/>
  <c r="Z474" i="22"/>
  <c r="W474" i="22"/>
  <c r="AG473" i="22"/>
  <c r="AA474" i="22" l="1"/>
  <c r="Z473" i="22"/>
  <c r="AA473" i="22" s="1"/>
  <c r="W473" i="22"/>
  <c r="AG472" i="22"/>
  <c r="Z472" i="22" l="1"/>
  <c r="AA472" i="22" s="1"/>
  <c r="W472" i="22"/>
  <c r="X470" i="22"/>
  <c r="AG469" i="22"/>
  <c r="Z470" i="22" l="1"/>
  <c r="AA470" i="22" s="1"/>
  <c r="Z469" i="22"/>
  <c r="AA469" i="22" s="1"/>
  <c r="W469" i="22"/>
  <c r="AG468" i="22"/>
  <c r="Z468" i="22"/>
  <c r="W468" i="22"/>
  <c r="AA468" i="22" l="1"/>
  <c r="X466" i="22"/>
  <c r="AG465" i="22"/>
  <c r="Z465" i="22" l="1"/>
  <c r="AA465" i="22" s="1"/>
  <c r="W465" i="22"/>
  <c r="AG464" i="22"/>
  <c r="Z464" i="22" l="1"/>
  <c r="AA464" i="22" s="1"/>
  <c r="W464" i="22"/>
  <c r="AG463" i="22"/>
  <c r="Z463" i="22" l="1"/>
  <c r="AA463" i="22" s="1"/>
  <c r="W463" i="22"/>
  <c r="AG462" i="22"/>
  <c r="Z462" i="22" l="1"/>
  <c r="AA462" i="22" s="1"/>
  <c r="W462" i="22"/>
  <c r="X460" i="22"/>
  <c r="AG459" i="22"/>
  <c r="Z460" i="22" l="1"/>
  <c r="AA460" i="22" s="1"/>
  <c r="Z459" i="22"/>
  <c r="AA459" i="22" s="1"/>
  <c r="W459" i="22"/>
  <c r="AG458" i="22"/>
  <c r="Z458" i="22"/>
  <c r="W458" i="22"/>
  <c r="AG455" i="22"/>
  <c r="AA458" i="22" l="1"/>
  <c r="Z455" i="22"/>
  <c r="AA455" i="22" s="1"/>
  <c r="W455" i="22"/>
  <c r="X453" i="22" l="1"/>
  <c r="AG452" i="22"/>
  <c r="Z452" i="22" l="1"/>
  <c r="AA452" i="22" s="1"/>
  <c r="W452" i="22"/>
  <c r="AG451" i="22" l="1"/>
  <c r="Z451" i="22" l="1"/>
  <c r="AA451" i="22" s="1"/>
  <c r="W451" i="22"/>
  <c r="AG450" i="22"/>
  <c r="Z450" i="22" l="1"/>
  <c r="AA450" i="22" s="1"/>
  <c r="W450" i="22"/>
  <c r="AG449" i="22"/>
  <c r="Z449" i="22" l="1"/>
  <c r="AA449" i="22" s="1"/>
  <c r="W449" i="22"/>
  <c r="AG446" i="22" l="1"/>
  <c r="Z446" i="22" l="1"/>
  <c r="AA446" i="22" s="1"/>
  <c r="W446" i="22"/>
  <c r="AG445" i="22"/>
  <c r="Z445" i="22"/>
  <c r="W445" i="22"/>
  <c r="AA445" i="22" l="1"/>
  <c r="AG444" i="22"/>
  <c r="Z444" i="22"/>
  <c r="W444" i="22"/>
  <c r="AG443" i="22"/>
  <c r="AA444" i="22" l="1"/>
  <c r="X443" i="22"/>
  <c r="AG442" i="22"/>
  <c r="Z442" i="22"/>
  <c r="W442" i="22"/>
  <c r="AG439" i="22"/>
  <c r="AA442" i="22" l="1"/>
  <c r="X447" i="22"/>
  <c r="Z443" i="22"/>
  <c r="AA443" i="22" s="1"/>
  <c r="W443" i="22"/>
  <c r="X439" i="22"/>
  <c r="Z439" i="22" l="1"/>
  <c r="AA439" i="22" s="1"/>
  <c r="W439" i="22"/>
  <c r="AG438" i="22"/>
  <c r="Z438" i="22"/>
  <c r="W438" i="22"/>
  <c r="AG437" i="22"/>
  <c r="AA438" i="22" l="1"/>
  <c r="Z437" i="22"/>
  <c r="AA437" i="22" s="1"/>
  <c r="W437" i="22"/>
  <c r="AG436" i="22"/>
  <c r="X436" i="22" l="1"/>
  <c r="Z436" i="22" l="1"/>
  <c r="AA436" i="22" s="1"/>
  <c r="W436" i="22"/>
  <c r="AG435" i="22"/>
  <c r="X435" i="22"/>
  <c r="X440" i="22" s="1"/>
  <c r="Z440" i="22" l="1"/>
  <c r="AA440" i="22" s="1"/>
  <c r="W435" i="22"/>
  <c r="X433" i="22"/>
  <c r="AG432" i="22"/>
  <c r="Z433" i="22" l="1"/>
  <c r="AA433" i="22" s="1"/>
  <c r="Z432" i="22"/>
  <c r="AA432" i="22" s="1"/>
  <c r="W432" i="22"/>
  <c r="AG431" i="22"/>
  <c r="Z431" i="22" l="1"/>
  <c r="AA431" i="22" s="1"/>
  <c r="W431" i="22"/>
  <c r="AG430" i="22"/>
  <c r="Z430" i="22"/>
  <c r="W430" i="22"/>
  <c r="AA430" i="22" l="1"/>
  <c r="AG429" i="22"/>
  <c r="Z429" i="22" l="1"/>
  <c r="AA429" i="22" s="1"/>
  <c r="W429" i="22"/>
  <c r="X427" i="22"/>
  <c r="AG426" i="22"/>
  <c r="Z426" i="22" l="1"/>
  <c r="AA426" i="22" s="1"/>
  <c r="W426" i="22"/>
  <c r="AG425" i="22"/>
  <c r="Z425" i="22"/>
  <c r="AA425" i="22" s="1"/>
  <c r="W425" i="22"/>
  <c r="AG424" i="22"/>
  <c r="Z424" i="22" l="1"/>
  <c r="AA424" i="22" s="1"/>
  <c r="W424" i="22"/>
  <c r="AG421" i="22"/>
  <c r="Z421" i="22"/>
  <c r="W421" i="22"/>
  <c r="AG418" i="22"/>
  <c r="Z418" i="22"/>
  <c r="AA418" i="22" s="1"/>
  <c r="W418" i="22"/>
  <c r="AA421" i="22" l="1"/>
  <c r="AG411" i="22" l="1"/>
  <c r="AG410" i="22" l="1"/>
  <c r="W411" i="22" l="1"/>
  <c r="Z411" i="22"/>
  <c r="AA411" i="22" s="1"/>
  <c r="W410" i="22" l="1"/>
  <c r="Z410" i="22"/>
  <c r="AA410" i="22" s="1"/>
  <c r="AG409" i="22"/>
  <c r="Z409" i="22" l="1"/>
  <c r="AA409" i="22" s="1"/>
  <c r="W409" i="22"/>
  <c r="AG408" i="22"/>
  <c r="X412" i="22" l="1"/>
  <c r="Z412" i="22" s="1"/>
  <c r="AA412" i="22" s="1"/>
  <c r="Z408" i="22"/>
  <c r="AA408" i="22" s="1"/>
  <c r="W408" i="22"/>
  <c r="AG342" i="28" l="1"/>
  <c r="Z342" i="28" l="1"/>
  <c r="AA342" i="28" s="1"/>
  <c r="AG341" i="28"/>
  <c r="Z341" i="28" l="1"/>
  <c r="AA341" i="28" s="1"/>
  <c r="AG340" i="28"/>
  <c r="Z340" i="28"/>
  <c r="AA340" i="28" l="1"/>
  <c r="AG339" i="28" l="1"/>
  <c r="Z339" i="28"/>
  <c r="AG338" i="28"/>
  <c r="Z338" i="28"/>
  <c r="AA338" i="28" l="1"/>
  <c r="AA339" i="28"/>
  <c r="AG337" i="28"/>
  <c r="Z337" i="28"/>
  <c r="AA337" i="28" l="1"/>
  <c r="AG336" i="28"/>
  <c r="Z336" i="28" l="1"/>
  <c r="AA336" i="28" s="1"/>
  <c r="AG335" i="28" l="1"/>
  <c r="Z335" i="28" l="1"/>
  <c r="AA335" i="28" s="1"/>
  <c r="AG334" i="28"/>
  <c r="AG333" i="28" l="1"/>
  <c r="Z334" i="28" l="1"/>
  <c r="AA334" i="28" s="1"/>
  <c r="Z333" i="28" l="1"/>
  <c r="AA333" i="28" s="1"/>
  <c r="AG332" i="28"/>
  <c r="AG331" i="28" l="1"/>
  <c r="Z332" i="28" l="1"/>
  <c r="AA332" i="28" s="1"/>
  <c r="AG330" i="28"/>
  <c r="Z331" i="28" l="1"/>
  <c r="AA331" i="28" s="1"/>
  <c r="AG329" i="28"/>
  <c r="Z330" i="28" l="1"/>
  <c r="AA330" i="28" s="1"/>
  <c r="Z329" i="28" l="1"/>
  <c r="AA329" i="28" s="1"/>
  <c r="AG328" i="28"/>
  <c r="Z328" i="28" l="1"/>
  <c r="AA328" i="28" s="1"/>
  <c r="Z427" i="22" l="1"/>
  <c r="AA427" i="22" s="1"/>
  <c r="Z435" i="22"/>
  <c r="AA435" i="22" s="1"/>
  <c r="Z447" i="22"/>
  <c r="AA447" i="22" s="1"/>
  <c r="Z453" i="22"/>
  <c r="AA453" i="22" s="1"/>
  <c r="Z466" i="22"/>
  <c r="AA466" i="22" s="1"/>
  <c r="Z476" i="22"/>
  <c r="AA476" i="22" s="1"/>
  <c r="Z480" i="22"/>
  <c r="AA480" i="22" s="1"/>
  <c r="Z499" i="22"/>
  <c r="AA499" i="22" s="1"/>
  <c r="Z507" i="22"/>
  <c r="AA507" i="22" s="1"/>
  <c r="Z527" i="22"/>
  <c r="AA527" i="22" s="1"/>
  <c r="Z531" i="22"/>
  <c r="AA531" i="22" s="1"/>
  <c r="Z539" i="22"/>
  <c r="AA539" i="22" s="1"/>
  <c r="Z548" i="22"/>
  <c r="AA548" i="22" s="1"/>
  <c r="Z20" i="74"/>
  <c r="AD20" i="74"/>
  <c r="AE20" i="74" l="1"/>
  <c r="AA20" i="74"/>
</calcChain>
</file>

<file path=xl/sharedStrings.xml><?xml version="1.0" encoding="utf-8"?>
<sst xmlns="http://schemas.openxmlformats.org/spreadsheetml/2006/main" count="24793" uniqueCount="6760">
  <si>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</si>
  <si>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</si>
  <si>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</si>
  <si>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</si>
  <si>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</si>
  <si>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</si>
  <si>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</si>
  <si>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</si>
  <si>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</si>
  <si>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</si>
  <si>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</si>
  <si>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</si>
  <si>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</si>
  <si>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</si>
  <si>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</si>
  <si>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</si>
  <si>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</si>
  <si>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</si>
  <si>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</si>
  <si>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</si>
  <si>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</si>
  <si>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</si>
  <si>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</si>
  <si>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</si>
  <si>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</si>
  <si>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</si>
  <si>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</si>
  <si>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</si>
  <si>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</si>
  <si>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</si>
  <si>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</si>
  <si>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</si>
  <si>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</si>
  <si>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</si>
  <si>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</si>
  <si>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</si>
  <si>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</si>
  <si>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</si>
  <si>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</si>
  <si>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</si>
  <si>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</si>
  <si>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</si>
  <si>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</si>
  <si>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</si>
  <si>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</si>
  <si>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</si>
  <si>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</si>
  <si>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</si>
  <si>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</si>
  <si>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</si>
  <si>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</si>
  <si>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</si>
  <si>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</si>
  <si>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</si>
  <si>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</si>
  <si>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</si>
  <si>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</si>
  <si>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</si>
  <si>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</si>
  <si>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</si>
  <si>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</si>
  <si>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</si>
  <si>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</si>
  <si>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</si>
  <si>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</si>
  <si>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</si>
  <si>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</si>
  <si>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</si>
  <si>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</si>
  <si>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</si>
  <si>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</si>
  <si>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</si>
  <si>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</si>
  <si>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</si>
  <si>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</si>
  <si>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</si>
  <si>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</si>
  <si>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</si>
  <si>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</si>
  <si>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</si>
  <si>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</si>
  <si>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</si>
  <si>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</si>
  <si>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</si>
  <si>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</si>
  <si>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</si>
  <si>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</si>
  <si>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</si>
  <si>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</si>
  <si>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</si>
  <si>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</si>
  <si>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</si>
  <si>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</si>
  <si>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</si>
  <si>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</si>
  <si>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</si>
  <si>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</si>
  <si>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</si>
  <si>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</si>
  <si>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</si>
  <si>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</si>
  <si>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</si>
  <si>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</si>
  <si>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</si>
  <si>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</si>
  <si>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</si>
  <si>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</si>
  <si>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</si>
  <si>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</si>
  <si>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</si>
  <si>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</si>
  <si>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</si>
  <si>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</si>
  <si>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</si>
  <si>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</si>
  <si>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</si>
  <si>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</si>
  <si>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</si>
  <si>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</si>
  <si>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</si>
  <si>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</si>
  <si>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</si>
  <si>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</si>
  <si>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</si>
  <si>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</si>
  <si>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</si>
  <si>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</si>
  <si>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</si>
  <si>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</si>
  <si>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</si>
  <si>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</si>
  <si>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</si>
  <si>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</si>
  <si>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</si>
  <si>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</si>
  <si>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</si>
  <si>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</si>
  <si>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</si>
  <si>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</si>
  <si>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</si>
  <si>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</si>
  <si>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</si>
  <si>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</si>
  <si>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</si>
  <si>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</si>
  <si>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</si>
  <si>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</si>
  <si>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</si>
  <si>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</si>
  <si>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</si>
  <si>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</si>
  <si>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</si>
  <si>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</si>
  <si>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</si>
  <si>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</si>
  <si>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</si>
  <si>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</si>
  <si>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</si>
  <si>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</si>
  <si>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</si>
  <si>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</si>
  <si>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</si>
  <si>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</si>
  <si>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</si>
  <si>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</si>
  <si>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</si>
  <si>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</si>
  <si>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</si>
  <si>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</si>
  <si>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</si>
  <si>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</si>
  <si>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</si>
  <si>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</si>
  <si>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</si>
  <si>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</si>
  <si>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</si>
  <si>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</si>
  <si>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</si>
  <si>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</si>
  <si>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</si>
  <si>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</si>
  <si>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</si>
  <si>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</si>
  <si>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</si>
  <si>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</si>
  <si>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</si>
  <si>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</si>
  <si>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</si>
  <si>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</si>
  <si>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</si>
  <si>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</si>
  <si>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</si>
  <si>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</si>
  <si>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</si>
  <si>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</si>
  <si>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</si>
  <si>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</si>
  <si>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</si>
  <si>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</si>
  <si>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</si>
  <si>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</si>
  <si>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</si>
  <si>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</si>
  <si>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</si>
  <si>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</si>
  <si>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</si>
  <si>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</si>
  <si>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</si>
  <si>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</si>
  <si>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</si>
  <si>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</si>
  <si>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</si>
  <si>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</si>
  <si>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</si>
  <si>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</si>
  <si>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</si>
  <si>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</si>
  <si>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</si>
  <si>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</si>
  <si>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</si>
  <si>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</si>
  <si>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</si>
  <si>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</si>
  <si>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</si>
  <si>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</si>
  <si>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</si>
  <si>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</si>
  <si>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</si>
  <si>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</si>
  <si>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</si>
  <si>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</si>
  <si>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</si>
  <si>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</si>
  <si>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</si>
  <si>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</si>
  <si>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</si>
  <si>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</si>
  <si>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</si>
  <si>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</si>
  <si>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</si>
  <si>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</si>
  <si>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</si>
  <si>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</si>
  <si>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</si>
  <si>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</si>
  <si>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</si>
  <si>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</si>
  <si>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</si>
  <si>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</si>
  <si>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</si>
  <si>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</si>
  <si>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</si>
  <si>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</si>
  <si>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</si>
  <si>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</si>
  <si>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</si>
  <si>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</si>
  <si>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</si>
  <si>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</si>
  <si>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</si>
  <si>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</si>
  <si>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</si>
  <si>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</si>
  <si>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</si>
  <si>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</si>
  <si>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</si>
  <si>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</si>
  <si>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</si>
  <si>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</si>
  <si>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</si>
  <si>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</si>
  <si>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</si>
  <si>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</si>
  <si>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</si>
  <si>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</si>
  <si>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</si>
  <si>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</si>
  <si>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</si>
  <si>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</si>
  <si>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</si>
  <si>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</si>
  <si>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</si>
  <si>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</si>
  <si>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</si>
  <si>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</si>
  <si>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</si>
  <si>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</si>
  <si>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</si>
  <si>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</si>
  <si>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</si>
  <si>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</si>
  <si>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</si>
  <si>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</si>
  <si>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</si>
  <si>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</si>
  <si>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</si>
  <si>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</si>
  <si>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</si>
  <si>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</si>
  <si>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</si>
  <si>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</si>
  <si>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</si>
  <si>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</si>
  <si>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</si>
  <si>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</si>
  <si>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</si>
  <si>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</si>
  <si>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</si>
  <si>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</si>
  <si>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</si>
  <si>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</si>
  <si>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</si>
  <si>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</si>
  <si>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</si>
  <si>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</si>
  <si>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</si>
  <si>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</si>
  <si>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</si>
  <si>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</si>
  <si>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</si>
  <si>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</si>
  <si>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</si>
  <si>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</si>
  <si>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</si>
  <si>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</si>
  <si>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</si>
  <si>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</si>
  <si>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</si>
  <si>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</si>
  <si>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</si>
  <si>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</si>
  <si>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</si>
  <si>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</si>
  <si>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</si>
  <si>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</si>
  <si>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</si>
  <si>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</si>
  <si>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</si>
  <si>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</si>
  <si>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</si>
  <si>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</si>
  <si>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</si>
  <si>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</si>
  <si>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</si>
  <si>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</si>
  <si>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</si>
  <si>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</si>
  <si>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</si>
  <si>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</si>
  <si>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</si>
  <si>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</si>
  <si>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</si>
  <si>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</si>
  <si>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</si>
  <si>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</si>
  <si>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</si>
  <si>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</si>
  <si>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</si>
  <si>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</si>
  <si>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</si>
  <si>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</si>
  <si>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</si>
  <si>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</si>
  <si>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</si>
  <si>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</si>
  <si>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</si>
  <si>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</si>
  <si>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</si>
  <si>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</si>
  <si>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</si>
  <si>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</si>
  <si>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</si>
  <si>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</si>
  <si>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</si>
  <si>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</si>
  <si>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</si>
  <si>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</si>
  <si>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</si>
  <si>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</si>
  <si>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</si>
  <si>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</si>
  <si>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</si>
  <si>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</si>
  <si>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</si>
  <si>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</si>
  <si>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</si>
  <si>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</si>
  <si>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</si>
  <si>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</si>
  <si>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</si>
  <si>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</si>
  <si>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</si>
  <si>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</si>
  <si>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</si>
  <si>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</si>
  <si>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</si>
  <si>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</si>
  <si>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</si>
  <si>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</si>
  <si>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</si>
  <si>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</si>
  <si>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</si>
  <si>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</si>
  <si>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</si>
  <si>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</si>
  <si>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</si>
  <si>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</si>
  <si>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</si>
  <si>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</si>
  <si>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</si>
  <si>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</si>
  <si>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</si>
  <si>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</si>
  <si>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</si>
  <si>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</si>
  <si>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</si>
  <si>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</si>
  <si>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</si>
  <si>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</si>
  <si>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</si>
  <si>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</si>
  <si>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</si>
  <si>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</si>
  <si>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</si>
  <si>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</si>
  <si>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</si>
  <si>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</si>
  <si>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</si>
  <si>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</si>
  <si>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</si>
  <si>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</si>
  <si>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</si>
  <si>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</si>
  <si>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</si>
  <si>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</si>
  <si>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</si>
  <si>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</si>
  <si>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</si>
  <si>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</si>
  <si>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</si>
  <si>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</si>
  <si>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</si>
  <si>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</si>
  <si>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</si>
  <si>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</si>
  <si>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</si>
  <si>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</si>
  <si>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</si>
  <si>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</si>
  <si>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</si>
  <si>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</si>
  <si>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</si>
  <si>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</si>
  <si>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</si>
  <si>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</si>
  <si>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</si>
  <si>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</si>
  <si>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</si>
  <si>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</si>
  <si>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</si>
  <si>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</si>
  <si>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</si>
  <si>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</si>
  <si>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</si>
  <si>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</si>
  <si>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</si>
  <si>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</si>
  <si>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</si>
  <si>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</si>
  <si>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</si>
  <si>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</si>
  <si>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</si>
  <si>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</si>
  <si>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</si>
  <si>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</si>
  <si>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</si>
  <si>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</si>
  <si>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</si>
  <si>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</si>
  <si>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</si>
  <si>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</si>
  <si>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</si>
  <si>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</si>
  <si>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</si>
  <si>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</si>
  <si>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</si>
  <si>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</si>
  <si>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</si>
  <si>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</si>
  <si>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</si>
  <si>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</si>
  <si>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</si>
  <si>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</si>
  <si>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</si>
  <si>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</si>
  <si>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</si>
  <si>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</si>
  <si>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</si>
  <si>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</si>
  <si>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</si>
  <si>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</si>
  <si>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</si>
  <si>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</si>
  <si>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</si>
  <si>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</si>
  <si>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</si>
  <si>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</si>
  <si>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</si>
  <si>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</si>
  <si>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</si>
  <si>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</si>
  <si>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</si>
  <si>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</si>
  <si>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</si>
  <si>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</si>
  <si>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</si>
  <si>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</si>
  <si>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</si>
  <si>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</si>
  <si>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</si>
  <si>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</si>
  <si>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</si>
  <si>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</si>
  <si>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</si>
  <si>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</si>
  <si>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</si>
  <si>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</si>
  <si>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</si>
  <si>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</si>
  <si>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</si>
  <si>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</si>
  <si>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</si>
  <si>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</si>
  <si>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</si>
  <si>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</si>
  <si>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</si>
  <si>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</si>
  <si>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</si>
  <si>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</si>
  <si>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</si>
  <si>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</si>
  <si>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</si>
  <si>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</si>
  <si>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</si>
  <si>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</si>
  <si>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</si>
  <si>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</si>
  <si>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</si>
  <si>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</si>
  <si>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</si>
  <si>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</si>
  <si>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</si>
  <si>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</si>
  <si>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</si>
  <si>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</si>
  <si>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</si>
  <si>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</si>
  <si>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</si>
  <si>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</si>
  <si>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</si>
  <si>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</si>
  <si>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</si>
  <si>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</si>
  <si>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</si>
  <si>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</si>
  <si>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</si>
  <si>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</si>
  <si>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</si>
  <si>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</si>
  <si>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</si>
  <si>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</si>
  <si>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</si>
  <si>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</si>
  <si>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</si>
  <si>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</si>
  <si>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</si>
  <si>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</si>
  <si>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</si>
  <si>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</si>
  <si>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</si>
  <si>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</si>
  <si>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</si>
  <si>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</si>
  <si>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</si>
  <si>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</si>
  <si>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</si>
  <si>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</si>
  <si>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</si>
  <si>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</si>
  <si>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</si>
  <si>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</si>
  <si>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</si>
  <si>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</si>
  <si>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</si>
  <si>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</si>
  <si>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</si>
  <si>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</si>
  <si>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</si>
  <si>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</si>
  <si>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</si>
  <si>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</si>
  <si>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</si>
  <si>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</si>
  <si>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</si>
  <si>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</si>
  <si>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</si>
  <si>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</si>
  <si>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</si>
  <si>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</si>
  <si>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</si>
  <si>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</si>
  <si>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</si>
  <si>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</si>
  <si>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</si>
  <si>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</si>
  <si>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</si>
  <si>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</si>
  <si>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</si>
  <si>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</si>
  <si>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</si>
  <si>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</si>
  <si>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</si>
  <si>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</si>
  <si>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</si>
  <si>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</si>
  <si>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</si>
  <si>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</si>
  <si>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</si>
  <si>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</si>
  <si>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</si>
  <si>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</si>
  <si>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</si>
  <si>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</si>
  <si>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</si>
  <si>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</si>
  <si>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</si>
  <si>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</si>
  <si>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</si>
  <si>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</si>
  <si>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</si>
  <si>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</si>
  <si>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</si>
  <si>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</si>
  <si>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</si>
  <si>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</si>
  <si>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</si>
  <si>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</si>
  <si>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</si>
  <si>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</si>
  <si>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</si>
  <si>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</si>
  <si>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</si>
  <si>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</si>
  <si>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</si>
  <si>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</si>
  <si>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</si>
  <si>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</si>
  <si>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</si>
  <si>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</si>
  <si>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</si>
  <si>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</si>
  <si>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</si>
  <si>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</si>
  <si>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</si>
  <si>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</si>
  <si>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</si>
  <si>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</si>
  <si>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</si>
  <si>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</si>
  <si>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</si>
  <si>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</si>
  <si>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</si>
  <si>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</si>
  <si>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</si>
  <si>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</si>
  <si>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</si>
  <si>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</si>
  <si>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</si>
  <si>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</si>
  <si>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</si>
  <si>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</si>
  <si>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</si>
  <si>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</si>
  <si>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</si>
  <si>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</si>
  <si>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</si>
  <si>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</si>
  <si>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</si>
  <si>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</si>
  <si>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</si>
  <si>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</si>
  <si>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</si>
  <si>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</si>
  <si>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</si>
  <si>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</si>
  <si>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</si>
  <si>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</si>
  <si>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</si>
  <si>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</si>
  <si>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</si>
  <si>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</si>
  <si>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</si>
  <si>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</si>
  <si>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</si>
  <si>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</si>
  <si>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</si>
  <si>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</si>
  <si>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</si>
  <si>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</si>
  <si>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</si>
  <si>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</si>
  <si>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</si>
  <si>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</si>
  <si>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</si>
  <si>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</si>
  <si>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</si>
  <si>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</si>
  <si>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</si>
  <si>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</si>
  <si>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</si>
  <si>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</si>
  <si>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</si>
  <si>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</si>
  <si>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</si>
  <si>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</si>
  <si>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</si>
  <si>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</si>
  <si>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</si>
  <si>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</si>
  <si>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</si>
  <si>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</si>
  <si>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</si>
  <si>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</si>
  <si>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</si>
  <si>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</si>
  <si>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</si>
  <si>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</si>
  <si>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</si>
  <si>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</si>
  <si>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</si>
  <si>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</si>
  <si>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</si>
  <si>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</si>
  <si>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</si>
  <si>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</si>
  <si>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</si>
  <si>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</si>
  <si>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</si>
  <si>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</si>
  <si>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</si>
  <si>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</si>
  <si>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</si>
  <si>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</si>
  <si>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</si>
  <si>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</si>
  <si>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</si>
  <si>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</si>
  <si>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</si>
  <si>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</si>
  <si>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</si>
  <si>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</si>
  <si>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</si>
  <si>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</si>
  <si>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</si>
  <si>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</si>
  <si>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</si>
  <si>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</si>
  <si>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</si>
  <si>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</si>
  <si>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</si>
  <si>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</si>
  <si>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</si>
  <si>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</si>
  <si>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</si>
  <si>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</si>
  <si>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</si>
  <si>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</si>
  <si>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</si>
  <si>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</si>
  <si>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</si>
  <si>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</si>
  <si>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</si>
  <si>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</si>
  <si>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</si>
  <si>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</si>
  <si>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</si>
  <si>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</si>
  <si>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</si>
  <si>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</si>
  <si>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</si>
  <si>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</si>
  <si>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</si>
  <si>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</si>
  <si>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</si>
  <si>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</si>
  <si>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</si>
  <si>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</si>
  <si>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</si>
  <si>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</si>
  <si>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</si>
  <si>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</si>
  <si>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</si>
  <si>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</si>
  <si>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</si>
  <si>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</si>
  <si>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</si>
  <si>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</si>
  <si>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</si>
  <si>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</si>
  <si>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</si>
  <si>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</si>
  <si>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</si>
  <si>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</si>
  <si>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</si>
  <si>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</si>
  <si>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</si>
  <si>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</si>
  <si>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</si>
  <si>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</si>
  <si>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</si>
  <si>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</si>
  <si>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</si>
  <si>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</si>
  <si>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</si>
  <si>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</si>
  <si>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</si>
  <si>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</si>
  <si>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</si>
  <si>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</si>
  <si>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</si>
  <si>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</si>
  <si>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</si>
  <si>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</si>
  <si>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</si>
  <si>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</si>
  <si>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</si>
  <si>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</si>
  <si>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</si>
  <si>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</si>
  <si>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</si>
  <si>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</si>
  <si>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</si>
  <si>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</si>
  <si>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</si>
  <si>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</si>
  <si>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</si>
  <si>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</si>
  <si>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</si>
  <si>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</si>
  <si>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</si>
  <si>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</si>
  <si>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</si>
  <si>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</si>
  <si>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</si>
  <si>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</si>
  <si>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</si>
  <si>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</si>
  <si>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</si>
  <si>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</si>
  <si>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</si>
  <si>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</si>
  <si>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</si>
  <si>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</si>
  <si>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</si>
  <si>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</si>
  <si>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</si>
  <si>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</si>
  <si>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</si>
  <si>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</si>
  <si>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</si>
  <si>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</si>
  <si>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</si>
  <si>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</si>
  <si>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</si>
  <si>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</si>
  <si>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</si>
  <si>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</si>
  <si>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</si>
  <si>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</si>
  <si>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</si>
  <si>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</si>
  <si>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</si>
  <si>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</si>
  <si>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</si>
  <si>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</si>
  <si>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</si>
  <si>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</si>
  <si>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</si>
  <si>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</si>
  <si>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</si>
  <si>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</si>
  <si>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</si>
  <si>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</si>
  <si>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</si>
  <si>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</si>
  <si>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</si>
  <si>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</si>
  <si>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</si>
  <si>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</si>
  <si>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</si>
  <si>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</si>
  <si>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</si>
  <si>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</si>
  <si>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</si>
  <si>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</si>
  <si>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</si>
  <si>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</si>
  <si>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</si>
  <si>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</si>
  <si>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</si>
  <si>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</si>
  <si>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</si>
  <si>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</si>
  <si>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</si>
  <si>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</si>
  <si>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</si>
  <si>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</si>
  <si>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</si>
  <si>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</si>
  <si>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</si>
  <si>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</si>
  <si>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</si>
  <si>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</si>
  <si>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</si>
  <si>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</si>
  <si>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</si>
  <si>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</si>
  <si>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</si>
  <si>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</si>
  <si>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</si>
  <si>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</si>
  <si>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</si>
  <si>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</si>
  <si>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</si>
  <si>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</si>
  <si>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</si>
  <si>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</si>
  <si>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</si>
  <si>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</si>
  <si>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</si>
  <si>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</si>
  <si>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</si>
  <si>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</si>
  <si>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</si>
  <si>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</si>
  <si>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</si>
  <si>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</si>
  <si>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</si>
  <si>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</si>
  <si>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</si>
  <si>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</si>
  <si>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</si>
  <si>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</si>
  <si>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</si>
  <si>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</si>
  <si>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</si>
  <si>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</si>
  <si>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</si>
  <si>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</si>
  <si>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</si>
  <si>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</si>
  <si>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</si>
  <si>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</si>
  <si>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</si>
  <si>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</si>
  <si>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</si>
  <si>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</si>
  <si>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</si>
  <si>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</si>
  <si>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</si>
  <si>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</si>
  <si>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</si>
  <si>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</si>
  <si>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</si>
  <si>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</si>
  <si>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</si>
  <si>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</si>
  <si>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</si>
  <si>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</si>
  <si>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</si>
  <si>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</si>
  <si>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</si>
  <si>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</si>
  <si>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</si>
  <si>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</si>
  <si>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</si>
  <si>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</si>
  <si>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</si>
  <si>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</si>
  <si>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</si>
  <si>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</si>
  <si>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</si>
  <si>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</si>
  <si>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</si>
  <si>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</si>
  <si>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</si>
  <si>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</si>
  <si>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</si>
  <si>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</si>
  <si>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</si>
  <si>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</si>
  <si>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</si>
  <si>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</si>
  <si>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</si>
  <si>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</si>
  <si>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</si>
  <si>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</si>
  <si>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</si>
  <si>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</si>
  <si>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</si>
  <si>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</si>
  <si>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</si>
  <si>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</si>
  <si>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</si>
  <si>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</si>
  <si>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</si>
  <si>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</si>
  <si>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</si>
  <si>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</si>
  <si>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</si>
  <si>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</si>
  <si>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</si>
  <si>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</si>
  <si>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</si>
  <si>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</si>
  <si>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</si>
  <si>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</si>
  <si>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</si>
  <si>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</si>
  <si>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</si>
  <si>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</si>
  <si>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</si>
  <si>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</si>
  <si>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</si>
  <si>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</si>
  <si>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</si>
  <si>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</si>
  <si>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</si>
  <si>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</si>
  <si>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</si>
  <si>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</si>
  <si>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</si>
  <si>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</si>
  <si>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</si>
  <si>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</si>
  <si>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</si>
  <si>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</si>
  <si>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</si>
  <si>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</si>
  <si>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</si>
  <si>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</si>
  <si>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</si>
  <si>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</si>
  <si>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</si>
  <si>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</si>
  <si>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</si>
  <si>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</si>
  <si>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</si>
  <si>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</si>
  <si>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</si>
  <si>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</si>
  <si>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</si>
  <si>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</si>
  <si>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</si>
  <si>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</si>
  <si>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</si>
  <si>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</si>
  <si>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</si>
  <si>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</si>
  <si>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</si>
  <si>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</si>
  <si>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</si>
  <si>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</si>
  <si>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</si>
  <si>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</si>
  <si>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</si>
  <si>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</si>
  <si>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</si>
  <si>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</si>
  <si>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</si>
  <si>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</si>
  <si>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</si>
  <si>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</si>
  <si>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</si>
  <si>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</si>
  <si>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</si>
  <si>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</si>
  <si>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</si>
  <si>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</si>
  <si>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</si>
  <si>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</si>
  <si>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</si>
  <si>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</si>
  <si>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</si>
  <si>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</si>
  <si>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</si>
  <si>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</si>
  <si>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</si>
  <si>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</si>
  <si>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</si>
  <si>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</si>
  <si>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</si>
  <si>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</si>
  <si>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</si>
  <si>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</si>
  <si>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</si>
  <si>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</si>
  <si>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</si>
  <si>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</si>
  <si>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</si>
  <si>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</si>
  <si>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</si>
  <si>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</si>
  <si>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</si>
  <si>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</si>
  <si>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</si>
  <si>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</si>
  <si>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</si>
  <si>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</si>
  <si>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</si>
  <si>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</si>
  <si>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</si>
  <si>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</si>
  <si>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</si>
  <si>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</si>
  <si>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</si>
  <si>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</si>
  <si>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</si>
  <si>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</si>
  <si>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</si>
  <si>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</si>
  <si>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</si>
  <si>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</si>
  <si>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</si>
  <si>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</si>
  <si>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</si>
  <si>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</si>
  <si>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</si>
  <si>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</si>
  <si>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</si>
  <si>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</si>
  <si>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</si>
  <si>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</si>
  <si>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</si>
  <si>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</si>
  <si>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</si>
  <si>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</si>
  <si>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</si>
  <si>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</si>
  <si>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</si>
  <si>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</si>
  <si>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</si>
  <si>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</si>
  <si>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</si>
  <si>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</si>
  <si>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</si>
  <si>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</si>
  <si>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</si>
  <si>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</si>
  <si>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</si>
  <si>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</si>
  <si>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</si>
  <si>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</si>
  <si>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</si>
  <si>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</si>
  <si>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</si>
  <si>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</si>
  <si>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</si>
  <si>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</si>
  <si>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</si>
  <si>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</si>
  <si>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</si>
  <si>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</si>
  <si>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</si>
  <si>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</si>
  <si>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</si>
  <si>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</si>
  <si>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</si>
  <si>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</si>
  <si>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</si>
  <si>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</si>
  <si>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</si>
  <si>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</si>
  <si>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</si>
  <si>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</si>
  <si>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</si>
  <si>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</si>
  <si>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</si>
  <si>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</si>
  <si>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</si>
  <si>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</si>
  <si>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</si>
  <si>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</si>
  <si>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</si>
  <si>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</si>
  <si>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</si>
  <si>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</si>
  <si>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</si>
  <si>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</si>
  <si>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</si>
  <si>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</si>
  <si>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</si>
  <si>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</si>
  <si>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</si>
  <si>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</si>
  <si>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</si>
  <si>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</si>
  <si>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</si>
  <si>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</si>
  <si>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</si>
  <si>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</si>
  <si>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</si>
  <si>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</si>
  <si>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</si>
  <si>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</si>
  <si>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</si>
  <si>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</si>
  <si>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</si>
  <si>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</si>
  <si>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</si>
  <si>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</si>
  <si>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</si>
  <si>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</si>
  <si>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</si>
  <si>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</si>
  <si>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</si>
  <si>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</si>
  <si>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</si>
  <si>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</si>
  <si>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</si>
  <si>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</si>
  <si>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</si>
  <si>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</si>
  <si>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</si>
  <si>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</si>
  <si>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</si>
  <si>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</si>
  <si>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</si>
  <si>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</si>
  <si>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</si>
  <si>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</si>
  <si>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</si>
  <si>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</si>
  <si>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</si>
  <si>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</si>
  <si>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</si>
  <si>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</si>
  <si>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</si>
  <si>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</si>
  <si>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</si>
  <si>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</si>
  <si>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</si>
  <si>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</si>
  <si>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</si>
  <si>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</si>
  <si>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</si>
  <si>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</si>
  <si>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</si>
  <si>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</si>
  <si>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</si>
  <si>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</si>
  <si>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</si>
  <si>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</si>
  <si>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</si>
  <si>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</si>
  <si>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</si>
  <si>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</si>
  <si>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</si>
  <si>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</si>
  <si>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</si>
  <si>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</si>
  <si>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</si>
  <si>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</si>
  <si>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</si>
  <si>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</si>
  <si>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</si>
  <si>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</si>
  <si>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</si>
  <si>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</si>
  <si>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</si>
  <si>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</si>
  <si>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</si>
  <si>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</si>
  <si>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</si>
  <si>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</si>
  <si>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</si>
  <si>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</si>
  <si>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</si>
  <si>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</si>
  <si>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</si>
  <si>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</si>
  <si>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</si>
  <si>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</si>
  <si>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</si>
  <si>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</si>
  <si>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</si>
  <si>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</si>
  <si>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</si>
  <si>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</si>
  <si>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</si>
  <si>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</si>
  <si>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</si>
  <si>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</si>
  <si>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</si>
  <si>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</si>
  <si>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</si>
  <si>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</si>
  <si>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</si>
  <si>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</si>
  <si>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</si>
  <si>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</si>
  <si>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</si>
  <si>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</si>
  <si>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</si>
  <si>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</si>
  <si>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</si>
  <si>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</si>
  <si>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</si>
  <si>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</si>
  <si>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</si>
  <si>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</si>
  <si>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</si>
  <si>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</si>
  <si>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</si>
  <si>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</si>
  <si>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</si>
  <si>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</si>
  <si>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</si>
  <si>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</si>
  <si>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</si>
  <si>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</si>
  <si>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</si>
  <si>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</si>
  <si>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</si>
  <si>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</si>
  <si>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</si>
  <si>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</si>
  <si>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</si>
  <si>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</si>
  <si>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</si>
  <si>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</si>
  <si>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</si>
  <si>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</si>
  <si>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</si>
  <si>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</si>
  <si>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</si>
  <si>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</si>
  <si>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</si>
  <si>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</si>
  <si>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</si>
  <si>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</si>
  <si>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</si>
  <si>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</si>
  <si>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</si>
  <si>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</si>
  <si>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</si>
  <si>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</si>
  <si>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</si>
  <si>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</si>
  <si>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</si>
  <si>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</si>
  <si>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</si>
  <si>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</si>
  <si>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</si>
  <si>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</si>
  <si>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</si>
  <si>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</si>
  <si>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</si>
  <si>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</si>
  <si>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</si>
  <si>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</si>
  <si>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</si>
  <si>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</si>
  <si>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</si>
  <si>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</si>
  <si>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</si>
  <si>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</si>
  <si>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</si>
  <si>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</si>
  <si>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</si>
  <si>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</si>
  <si>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</si>
  <si>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</si>
  <si>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</si>
  <si>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</si>
  <si>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</si>
  <si>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</si>
  <si>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</si>
  <si>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</si>
  <si>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</si>
  <si>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</si>
  <si>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</si>
  <si>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</si>
  <si>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</si>
  <si>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</si>
  <si>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</si>
  <si>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</si>
  <si>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</si>
  <si>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</si>
  <si>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</si>
  <si>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</si>
  <si>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</si>
  <si>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</si>
  <si>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</si>
  <si>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</si>
  <si>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</si>
  <si>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</si>
  <si>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</si>
  <si>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</si>
  <si>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</si>
  <si>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</si>
  <si>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</si>
  <si>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</si>
  <si>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</si>
  <si>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</si>
  <si>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</si>
  <si>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</si>
  <si>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</si>
  <si>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</si>
  <si>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</si>
  <si>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</si>
  <si>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</si>
  <si>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</si>
  <si>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</si>
  <si>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</si>
  <si>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</si>
  <si>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</si>
  <si>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</si>
  <si>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</si>
  <si>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</si>
  <si>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</si>
  <si>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</si>
  <si>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</si>
  <si>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</si>
  <si>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</si>
  <si>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</si>
  <si>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</si>
  <si>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</si>
  <si>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</si>
  <si>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</si>
  <si>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</si>
  <si>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</si>
  <si>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</si>
  <si>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</si>
  <si>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</si>
  <si>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</si>
  <si>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</si>
  <si>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</si>
  <si>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</si>
  <si>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</si>
  <si>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</si>
  <si>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</si>
  <si>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</si>
  <si>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</si>
  <si>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</si>
  <si>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</si>
  <si>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</si>
  <si>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</si>
  <si>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</si>
  <si>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</si>
  <si>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</si>
  <si>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</si>
  <si>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</si>
  <si>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</si>
  <si>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</si>
  <si>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</si>
  <si>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</si>
  <si>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</si>
  <si>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</si>
  <si>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</si>
  <si>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</si>
  <si>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</si>
  <si>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</si>
  <si>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</si>
  <si>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</si>
  <si>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</si>
  <si>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</si>
  <si>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</si>
  <si>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</si>
  <si>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</si>
  <si>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</si>
  <si>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</si>
  <si>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</si>
  <si>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3.39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</si>
  <si>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</si>
  <si>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</si>
  <si>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</si>
  <si>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</si>
  <si>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</si>
  <si>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</si>
  <si>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</si>
  <si>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</si>
  <si>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</si>
  <si>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</si>
  <si>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</si>
  <si>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元珠</t>
    <phoneticPr fontId="1" type="noConversion"/>
  </si>
  <si>
    <t>2.55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</si>
  <si>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</si>
  <si>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</si>
  <si>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</si>
  <si>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</si>
  <si>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</si>
  <si>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</si>
  <si>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</si>
  <si>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</si>
  <si>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</si>
  <si>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</si>
  <si>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</si>
  <si>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</si>
  <si>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</si>
  <si>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</si>
  <si>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</si>
  <si>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</si>
  <si>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</si>
  <si>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</si>
  <si>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</si>
  <si>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</si>
  <si>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</si>
  <si>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</si>
  <si>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</si>
  <si>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</si>
  <si>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</si>
  <si>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</si>
  <si>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</si>
  <si>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</si>
  <si>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</si>
  <si>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</si>
  <si>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</si>
  <si>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</si>
  <si>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</si>
  <si>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</si>
  <si>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</si>
  <si>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</si>
  <si>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</si>
  <si>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</si>
  <si>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</si>
  <si>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</si>
  <si>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</si>
  <si>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</si>
  <si>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</si>
  <si>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</si>
  <si>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</si>
  <si>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</si>
  <si>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</si>
  <si>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</si>
  <si>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</si>
  <si>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</si>
  <si>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</si>
  <si>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</si>
  <si>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</si>
  <si>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</si>
  <si>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</si>
  <si>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</si>
  <si>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</si>
  <si>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</si>
  <si>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</si>
  <si>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</si>
  <si>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</si>
  <si>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</si>
  <si>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</si>
  <si>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</si>
  <si>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</si>
  <si>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</si>
  <si>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</si>
  <si>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</si>
  <si>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</si>
  <si>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</si>
  <si>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</si>
  <si>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</si>
  <si>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3.57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</si>
  <si>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</si>
  <si>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</si>
  <si>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</si>
  <si>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</si>
  <si>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</si>
  <si>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</si>
  <si>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</si>
  <si>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</si>
  <si>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</si>
  <si>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-4.59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</si>
  <si>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</si>
  <si>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</si>
  <si>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</si>
  <si>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</si>
  <si>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</si>
  <si>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</si>
  <si>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</si>
  <si>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</si>
  <si>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</si>
  <si>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</si>
  <si>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</si>
  <si>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</si>
  <si>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</si>
  <si>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</si>
  <si>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</si>
  <si>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</si>
  <si>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</si>
  <si>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</si>
  <si>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</si>
  <si>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</si>
  <si>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</si>
  <si>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</si>
  <si>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</si>
  <si>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</si>
  <si>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</si>
  <si>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</si>
  <si>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</si>
  <si>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</si>
  <si>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</si>
  <si>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</si>
  <si>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</si>
  <si>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</si>
  <si>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</si>
  <si>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</si>
  <si>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</si>
  <si>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</si>
  <si>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</si>
  <si>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</si>
  <si>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</si>
  <si>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</si>
  <si>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</si>
  <si>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</si>
  <si>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</si>
  <si>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</si>
  <si>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</si>
  <si>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</si>
  <si>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</si>
  <si>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</si>
  <si>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</si>
  <si>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</si>
  <si>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</si>
  <si>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</si>
  <si>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</si>
  <si>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</si>
  <si>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</si>
  <si>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</si>
  <si>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</si>
  <si>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</si>
  <si>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3.44</t>
    <phoneticPr fontId="1" type="noConversion"/>
  </si>
  <si>
    <t>2.89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</si>
  <si>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</si>
  <si>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</si>
  <si>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</si>
  <si>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</si>
  <si>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</si>
  <si>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</si>
  <si>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</si>
  <si>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</si>
  <si>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</si>
  <si>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</si>
  <si>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</si>
  <si>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110</t>
    <phoneticPr fontId="1" type="noConversion"/>
  </si>
  <si>
    <t>13.6</t>
    <phoneticPr fontId="1" type="noConversion"/>
  </si>
  <si>
    <t>54.6</t>
    <phoneticPr fontId="1" type="noConversion"/>
  </si>
  <si>
    <t>42.9</t>
    <phoneticPr fontId="1" type="noConversion"/>
  </si>
  <si>
    <t>13.4</t>
    <phoneticPr fontId="1" type="noConversion"/>
  </si>
  <si>
    <t>24.8</t>
    <phoneticPr fontId="1" type="noConversion"/>
  </si>
  <si>
    <t>4.24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</si>
  <si>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</si>
  <si>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</si>
  <si>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</si>
  <si>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</si>
  <si>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</si>
  <si>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</si>
  <si>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</si>
  <si>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17.5</t>
    <phoneticPr fontId="1" type="noConversion"/>
  </si>
  <si>
    <t>12.4</t>
    <phoneticPr fontId="1" type="noConversion"/>
  </si>
  <si>
    <t>3.13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</si>
  <si>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</si>
  <si>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</si>
  <si>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</si>
  <si>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</si>
  <si>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37.5</t>
    <phoneticPr fontId="1" type="noConversion"/>
  </si>
  <si>
    <t>資本</t>
    <phoneticPr fontId="1" type="noConversion"/>
  </si>
  <si>
    <t>1.52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</si>
  <si>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</si>
  <si>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</si>
  <si>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</si>
  <si>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鈺太</t>
    <phoneticPr fontId="1" type="noConversion"/>
  </si>
  <si>
    <t>雍智科技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</si>
  <si>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</si>
  <si>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</si>
  <si>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</si>
  <si>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</si>
  <si>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</si>
  <si>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</si>
  <si>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</si>
  <si>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</si>
  <si>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禾聯碩</t>
    <phoneticPr fontId="1" type="noConversion"/>
  </si>
  <si>
    <t>4.74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</si>
  <si>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</si>
  <si>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</si>
  <si>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</si>
  <si>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3.64</t>
    <phoneticPr fontId="1" type="noConversion"/>
  </si>
  <si>
    <t>1.4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</si>
  <si>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</si>
  <si>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</si>
  <si>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</si>
  <si>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</si>
  <si>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3.19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</si>
  <si>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</si>
  <si>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</si>
  <si>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</si>
  <si>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</si>
  <si>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</si>
  <si>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</si>
  <si>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</si>
  <si>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</si>
  <si>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</si>
  <si>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</si>
  <si>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</si>
  <si>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</si>
  <si>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</si>
  <si>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</si>
  <si>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</si>
  <si>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</si>
  <si>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</si>
  <si>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</si>
  <si>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</si>
  <si>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</si>
  <si>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</si>
  <si>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</si>
  <si>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</si>
  <si>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</si>
  <si>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</si>
  <si>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</si>
  <si>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</si>
  <si>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</si>
  <si>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</si>
  <si>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</si>
  <si>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</si>
  <si>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</si>
  <si>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</si>
  <si>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</si>
  <si>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</si>
  <si>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</si>
  <si>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</si>
  <si>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</si>
  <si>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</si>
  <si>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</si>
  <si>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</si>
  <si>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</si>
  <si>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</si>
  <si>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</si>
  <si>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</si>
  <si>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</si>
  <si>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</si>
  <si>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</si>
  <si>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</si>
  <si>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</si>
  <si>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</si>
  <si>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</si>
  <si>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</si>
  <si>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</si>
  <si>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</si>
  <si>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</si>
  <si>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</si>
  <si>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</si>
  <si>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</si>
  <si>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</si>
  <si>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</si>
  <si>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</si>
  <si>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</si>
  <si>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</si>
  <si>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</si>
  <si>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</si>
  <si>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</si>
  <si>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</si>
  <si>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</si>
  <si>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</si>
  <si>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</si>
  <si>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</si>
  <si>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</si>
  <si>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</si>
  <si>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</si>
  <si>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</si>
  <si>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</si>
  <si>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</si>
  <si>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</si>
  <si>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</si>
  <si>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</si>
  <si>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</si>
  <si>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</si>
  <si>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</si>
  <si>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</si>
  <si>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</si>
  <si>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</si>
  <si>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</si>
  <si>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</si>
  <si>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1月20年</t>
    <phoneticPr fontId="1" type="noConversion"/>
  </si>
  <si>
    <t>-2.9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</si>
  <si>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</si>
  <si>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</si>
  <si>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</si>
  <si>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</si>
  <si>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勤崴國際</t>
    <phoneticPr fontId="1" type="noConversion"/>
  </si>
  <si>
    <t>圖資中華電旗下</t>
    <phoneticPr fontId="1" type="noConversion"/>
  </si>
  <si>
    <t>晶圓代工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</si>
  <si>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</si>
  <si>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</si>
  <si>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</si>
  <si>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</si>
  <si>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</si>
  <si>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</si>
  <si>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</si>
  <si>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</si>
  <si>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</si>
  <si>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</si>
  <si>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</si>
  <si>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</si>
  <si>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</si>
  <si>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</si>
  <si>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</si>
  <si>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</si>
  <si>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</si>
  <si>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</si>
  <si>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</si>
  <si>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</si>
  <si>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</si>
  <si>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</si>
  <si>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</si>
  <si>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</si>
  <si>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</si>
  <si>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</si>
  <si>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</si>
  <si>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</si>
  <si>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</si>
  <si>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</si>
  <si>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</si>
  <si>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</si>
  <si>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</si>
  <si>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</si>
  <si>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</si>
  <si>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</si>
  <si>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</si>
  <si>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</si>
  <si>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</si>
  <si>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</si>
  <si>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</si>
  <si>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</si>
  <si>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</si>
  <si>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</si>
  <si>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</si>
  <si>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</si>
  <si>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</si>
  <si>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</si>
  <si>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</si>
  <si>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</si>
  <si>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</si>
  <si>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</si>
  <si>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</si>
  <si>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</si>
  <si>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</si>
  <si>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</si>
  <si>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</si>
  <si>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</si>
  <si>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</si>
  <si>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</si>
  <si>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</si>
  <si>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-29.95</t>
    <phoneticPr fontId="1" type="noConversion"/>
  </si>
  <si>
    <t>-0.64</t>
    <phoneticPr fontId="1" type="noConversion"/>
  </si>
  <si>
    <t>-29.11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</si>
  <si>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</si>
  <si>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</si>
  <si>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</si>
  <si>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</si>
  <si>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</si>
  <si>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</si>
  <si>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</si>
  <si>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</si>
  <si>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</si>
  <si>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14.88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</si>
  <si>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</si>
  <si>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</si>
  <si>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</si>
  <si>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</si>
  <si>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</si>
  <si>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</si>
  <si>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</si>
  <si>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</si>
  <si>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</si>
  <si>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</si>
  <si>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</si>
  <si>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</si>
  <si>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</si>
  <si>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</si>
  <si>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</si>
  <si>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</si>
  <si>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</si>
  <si>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</si>
  <si>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</si>
  <si>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</si>
  <si>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</si>
  <si>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</si>
  <si>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</si>
  <si>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</si>
  <si>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</si>
  <si>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</si>
  <si>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</si>
  <si>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</si>
  <si>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</si>
  <si>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</si>
  <si>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</si>
  <si>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</si>
  <si>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</si>
  <si>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</si>
  <si>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</si>
  <si>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</si>
  <si>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</si>
  <si>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</si>
  <si>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</si>
  <si>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</si>
  <si>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</si>
  <si>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</si>
  <si>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</si>
  <si>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</si>
  <si>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</si>
  <si>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</si>
  <si>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</si>
  <si>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</si>
  <si>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</si>
  <si>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</si>
  <si>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</si>
  <si>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</si>
  <si>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</si>
  <si>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</si>
  <si>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</si>
  <si>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</si>
  <si>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</si>
  <si>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</si>
  <si>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</si>
  <si>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</si>
  <si>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</si>
  <si>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</si>
  <si>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</si>
  <si>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</si>
  <si>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</si>
  <si>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</si>
  <si>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</si>
  <si>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</si>
  <si>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</si>
  <si>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</si>
  <si>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</si>
  <si>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</si>
  <si>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航空器修護</t>
    <phoneticPr fontId="1" type="noConversion"/>
  </si>
  <si>
    <t>氣壓零組件</t>
    <phoneticPr fontId="1" type="noConversion"/>
  </si>
  <si>
    <t>11.4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</si>
  <si>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</si>
  <si>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</si>
  <si>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</si>
  <si>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</si>
  <si>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</si>
  <si>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</si>
  <si>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</si>
  <si>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</si>
  <si>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</si>
  <si>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</si>
  <si>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</si>
  <si>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</si>
  <si>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</si>
  <si>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</si>
  <si>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</si>
  <si>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</si>
  <si>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</si>
  <si>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</si>
  <si>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</si>
  <si>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</si>
  <si>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</si>
  <si>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</si>
  <si>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</si>
  <si>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</si>
  <si>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</si>
  <si>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</si>
  <si>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</si>
  <si>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</si>
  <si>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</si>
  <si>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</si>
  <si>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</si>
  <si>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</si>
  <si>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</si>
  <si>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</si>
  <si>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</si>
  <si>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</si>
  <si>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</si>
  <si>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</si>
  <si>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</si>
  <si>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</si>
  <si>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</si>
  <si>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</si>
  <si>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</si>
  <si>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</si>
  <si>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</si>
  <si>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</si>
  <si>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</si>
  <si>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</si>
  <si>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</si>
  <si>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</si>
  <si>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</si>
  <si>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</si>
  <si>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</si>
  <si>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</si>
  <si>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</si>
  <si>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亞洲藏壽司</t>
    <phoneticPr fontId="1" type="noConversion"/>
  </si>
  <si>
    <t>迴轉壽司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</si>
  <si>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</si>
  <si>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</si>
  <si>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</si>
  <si>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</si>
  <si>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</si>
  <si>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</si>
  <si>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</si>
  <si>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遊戲智冠旗下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</si>
  <si>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</si>
  <si>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</si>
  <si>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</si>
  <si>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</si>
  <si>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</si>
  <si>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</si>
  <si>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</si>
  <si>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</si>
  <si>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</si>
  <si>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</si>
  <si>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</si>
  <si>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</si>
  <si>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</si>
  <si>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</si>
  <si>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</si>
  <si>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</si>
  <si>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</si>
  <si>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</si>
  <si>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</si>
  <si>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</si>
  <si>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</si>
  <si>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</si>
  <si>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</si>
  <si>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</si>
  <si>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</si>
  <si>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</si>
  <si>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</si>
  <si>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</si>
  <si>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</si>
  <si>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</si>
  <si>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</si>
  <si>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</si>
  <si>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</si>
  <si>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</si>
  <si>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</si>
  <si>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</si>
  <si>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</si>
  <si>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</si>
  <si>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</si>
  <si>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</si>
  <si>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</si>
  <si>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</si>
  <si>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</si>
  <si>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</si>
  <si>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</si>
  <si>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</si>
  <si>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</si>
  <si>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</si>
  <si>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</si>
  <si>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</si>
  <si>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</si>
  <si>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</si>
  <si>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</si>
  <si>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</si>
  <si>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</si>
  <si>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</si>
  <si>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</si>
  <si>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</si>
  <si>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</si>
  <si>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</si>
  <si>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</si>
  <si>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</si>
  <si>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</si>
  <si>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</si>
  <si>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</si>
  <si>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</si>
  <si>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</si>
  <si>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</si>
  <si>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</si>
  <si>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</si>
  <si>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</si>
  <si>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</si>
  <si>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</si>
  <si>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</si>
  <si>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</si>
  <si>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</si>
  <si>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</si>
  <si>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</si>
  <si>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</si>
  <si>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</si>
  <si>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</si>
  <si>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</si>
  <si>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</si>
  <si>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</si>
  <si>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</si>
  <si>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</si>
  <si>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家飾鑄件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</si>
  <si>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</si>
  <si>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</si>
  <si>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</si>
  <si>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</si>
  <si>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</si>
  <si>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</si>
  <si>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</si>
  <si>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</si>
  <si>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</si>
  <si>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</si>
  <si>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</si>
  <si>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</si>
  <si>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</si>
  <si>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</si>
  <si>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</si>
  <si>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</si>
  <si>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</si>
  <si>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</si>
  <si>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</si>
  <si>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</si>
  <si>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</si>
  <si>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</si>
  <si>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</si>
  <si>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</si>
  <si>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</si>
  <si>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</si>
  <si>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</si>
  <si>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</si>
  <si>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</si>
  <si>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</si>
  <si>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</si>
  <si>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</si>
  <si>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</si>
  <si>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</si>
  <si>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威鋒電子</t>
    <phoneticPr fontId="1" type="noConversion"/>
  </si>
  <si>
    <t>USB晶片威盛旗下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</si>
  <si>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</si>
  <si>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</si>
  <si>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</si>
  <si>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</si>
  <si>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</si>
  <si>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</si>
  <si>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</si>
  <si>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</si>
  <si>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</si>
  <si>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</si>
  <si>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</si>
  <si>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</si>
  <si>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</si>
  <si>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</si>
  <si>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</si>
  <si>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</si>
  <si>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</si>
  <si>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</si>
  <si>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</si>
  <si>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</si>
  <si>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</si>
  <si>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</si>
  <si>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</si>
  <si>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</si>
  <si>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</si>
  <si>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</si>
  <si>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</si>
  <si>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</si>
  <si>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</si>
  <si>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</si>
  <si>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</si>
  <si>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</si>
  <si>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</si>
  <si>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</si>
  <si>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</si>
  <si>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</si>
  <si>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</si>
  <si>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</si>
  <si>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</si>
  <si>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</si>
  <si>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</si>
  <si>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</si>
  <si>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</si>
  <si>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</si>
  <si>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</si>
  <si>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</si>
  <si>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</si>
  <si>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</si>
  <si>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</si>
  <si>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</si>
  <si>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</si>
  <si>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</si>
  <si>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</si>
  <si>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</si>
  <si>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</si>
  <si>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</si>
  <si>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</si>
  <si>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</si>
  <si>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</si>
  <si>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</si>
  <si>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</si>
  <si>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</si>
  <si>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</si>
  <si>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</si>
  <si>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</si>
  <si>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</si>
  <si>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</si>
  <si>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</si>
  <si>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</si>
  <si>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</si>
  <si>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</si>
  <si>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</si>
  <si>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</si>
  <si>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</si>
  <si>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</si>
  <si>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</si>
  <si>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</si>
  <si>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</si>
  <si>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</si>
  <si>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</si>
  <si>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</si>
  <si>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</si>
  <si>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</si>
  <si>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</si>
  <si>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</si>
  <si>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</si>
  <si>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</si>
  <si>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</si>
  <si>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</si>
  <si>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</si>
  <si>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</si>
  <si>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</si>
  <si>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</si>
  <si>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</si>
  <si>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</si>
  <si>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</si>
  <si>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</si>
  <si>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</si>
  <si>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</si>
  <si>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</si>
  <si>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</si>
  <si>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</si>
  <si>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</si>
  <si>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</si>
  <si>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</si>
  <si>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</si>
  <si>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</si>
  <si>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</si>
  <si>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</si>
  <si>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</si>
  <si>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</si>
  <si>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</si>
  <si>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</si>
  <si>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</si>
  <si>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</si>
  <si>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</si>
  <si>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</si>
  <si>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</si>
  <si>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</si>
  <si>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</si>
  <si>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</si>
  <si>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</si>
  <si>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</si>
  <si>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</si>
  <si>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</si>
  <si>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</si>
  <si>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</si>
  <si>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</si>
  <si>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</si>
  <si>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</si>
  <si>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</si>
  <si>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</si>
  <si>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</si>
  <si>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</si>
  <si>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</si>
  <si>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</si>
  <si>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</si>
  <si>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</si>
  <si>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</si>
  <si>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</si>
  <si>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</si>
  <si>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</si>
  <si>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</si>
  <si>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</si>
  <si>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</si>
  <si>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</si>
  <si>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</si>
  <si>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</si>
  <si>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</si>
  <si>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</si>
  <si>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</si>
  <si>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</si>
  <si>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</si>
  <si>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</si>
  <si>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</si>
  <si>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</si>
  <si>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</si>
  <si>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</si>
  <si>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</si>
  <si>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</si>
  <si>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</si>
  <si>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</si>
  <si>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</si>
  <si>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</si>
  <si>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</si>
  <si>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</si>
  <si>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</si>
  <si>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</si>
  <si>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</si>
  <si>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</si>
  <si>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</si>
  <si>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</si>
  <si>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</si>
  <si>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</si>
  <si>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</si>
  <si>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</si>
  <si>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</si>
  <si>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</si>
  <si>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</si>
  <si>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</si>
  <si>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</si>
  <si>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</si>
  <si>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</si>
  <si>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</si>
  <si>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</si>
  <si>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</si>
  <si>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</si>
  <si>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</si>
  <si>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</si>
  <si>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</si>
  <si>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</si>
  <si>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</si>
  <si>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</si>
  <si>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</si>
  <si>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</si>
  <si>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</si>
  <si>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</si>
  <si>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</si>
  <si>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</si>
  <si>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</si>
  <si>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</si>
  <si>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</si>
  <si>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</si>
  <si>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</si>
  <si>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</si>
  <si>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</si>
  <si>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</si>
  <si>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</si>
  <si>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</si>
  <si>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</si>
  <si>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</si>
  <si>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</si>
  <si>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</si>
  <si>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</si>
  <si>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</si>
  <si>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</si>
  <si>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</si>
  <si>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</si>
  <si>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</si>
  <si>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</si>
  <si>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</si>
  <si>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</si>
  <si>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</si>
  <si>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</si>
  <si>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</si>
  <si>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</si>
  <si>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</si>
  <si>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</si>
  <si>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</si>
  <si>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</si>
  <si>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</si>
  <si>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</si>
  <si>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</si>
  <si>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</si>
  <si>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</si>
  <si>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</si>
  <si>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</si>
  <si>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</si>
  <si>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</si>
  <si>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</si>
  <si>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</si>
  <si>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</si>
  <si>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</si>
  <si>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</si>
  <si>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</si>
  <si>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</si>
  <si>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</si>
  <si>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</si>
  <si>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</si>
  <si>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</si>
  <si>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</si>
  <si>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</si>
  <si>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</si>
  <si>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</si>
  <si>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</si>
  <si>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</si>
  <si>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</si>
  <si>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</si>
  <si>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</si>
  <si>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</si>
  <si>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</si>
  <si>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</si>
  <si>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</si>
  <si>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</si>
  <si>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</si>
  <si>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</si>
  <si>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</si>
  <si>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</si>
  <si>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</si>
  <si>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</si>
  <si>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</si>
  <si>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</si>
  <si>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</si>
  <si>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</si>
  <si>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</si>
  <si>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</si>
  <si>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</si>
  <si>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</si>
  <si>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</si>
  <si>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</si>
  <si>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</si>
  <si>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</si>
  <si>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</si>
  <si>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</si>
  <si>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</si>
  <si>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</si>
  <si>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</si>
  <si>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</si>
  <si>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</si>
  <si>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</si>
  <si>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</si>
  <si>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</si>
  <si>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</si>
  <si>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</si>
  <si>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</si>
  <si>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</si>
  <si>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</si>
  <si>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</si>
  <si>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</si>
  <si>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</si>
  <si>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</si>
  <si>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</si>
  <si>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</si>
  <si>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</si>
  <si>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</si>
  <si>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</si>
  <si>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</si>
  <si>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</si>
  <si>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</si>
  <si>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</si>
  <si>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</si>
  <si>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</si>
  <si>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</si>
  <si>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</si>
  <si>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</si>
  <si>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</si>
  <si>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</si>
  <si>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</si>
  <si>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</si>
  <si>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</si>
  <si>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</si>
  <si>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</si>
  <si>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</si>
  <si>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</si>
  <si>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</si>
  <si>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</si>
  <si>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</si>
  <si>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</si>
  <si>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</si>
  <si>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</si>
  <si>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</si>
  <si>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</si>
  <si>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</si>
  <si>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</si>
  <si>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</si>
  <si>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</si>
  <si>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</si>
  <si>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</si>
  <si>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</si>
  <si>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</si>
  <si>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</si>
  <si>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</si>
  <si>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</si>
  <si>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</si>
  <si>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</si>
  <si>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</si>
  <si>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</si>
  <si>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</si>
  <si>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</si>
  <si>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</si>
  <si>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</si>
  <si>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</si>
  <si>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</si>
  <si>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</si>
  <si>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</si>
  <si>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</si>
  <si>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</si>
  <si>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</si>
  <si>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</si>
  <si>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</si>
  <si>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</si>
  <si>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</si>
  <si>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</si>
  <si>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</si>
  <si>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</si>
  <si>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</si>
  <si>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</si>
  <si>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</si>
  <si>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</si>
  <si>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</si>
  <si>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</si>
  <si>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</si>
  <si>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</si>
  <si>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</si>
  <si>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</si>
  <si>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</si>
  <si>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</si>
  <si>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</si>
  <si>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</si>
  <si>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</si>
  <si>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</si>
  <si>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</si>
  <si>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</si>
  <si>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</si>
  <si>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</si>
  <si>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</si>
  <si>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</si>
  <si>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</si>
  <si>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</si>
  <si>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</si>
  <si>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</si>
  <si>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</si>
  <si>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</si>
  <si>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</si>
  <si>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</si>
  <si>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</si>
  <si>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</si>
  <si>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</si>
  <si>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</si>
  <si>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</si>
  <si>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</si>
  <si>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</si>
  <si>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</si>
  <si>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</si>
  <si>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</si>
  <si>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</si>
  <si>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</si>
  <si>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</si>
  <si>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</si>
  <si>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</si>
  <si>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</si>
  <si>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</si>
  <si>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</si>
  <si>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</si>
  <si>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</si>
  <si>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</si>
  <si>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</si>
  <si>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</si>
  <si>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</si>
  <si>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</si>
  <si>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</si>
  <si>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</si>
  <si>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</si>
  <si>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</si>
  <si>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</si>
  <si>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</si>
  <si>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</si>
  <si>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</si>
  <si>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</si>
  <si>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</si>
  <si>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</si>
  <si>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</si>
  <si>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</si>
  <si>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</si>
  <si>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</si>
  <si>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</si>
  <si>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</si>
  <si>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</si>
  <si>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</si>
  <si>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</si>
  <si>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</si>
  <si>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</si>
  <si>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</si>
  <si>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</si>
  <si>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</si>
  <si>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</si>
  <si>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</si>
  <si>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</si>
  <si>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</si>
  <si>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</si>
  <si>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</si>
  <si>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</si>
  <si>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</si>
  <si>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</si>
  <si>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</si>
  <si>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</si>
  <si>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</si>
  <si>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</si>
  <si>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</si>
  <si>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</si>
  <si>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</si>
  <si>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</si>
  <si>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</si>
  <si>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</si>
  <si>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</si>
  <si>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</si>
  <si>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</si>
  <si>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</si>
  <si>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</si>
  <si>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</si>
  <si>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</si>
  <si>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</si>
  <si>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</si>
  <si>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</si>
  <si>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</si>
  <si>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</si>
  <si>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</si>
  <si>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</si>
  <si>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</si>
  <si>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</si>
  <si>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</si>
  <si>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</si>
  <si>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</si>
  <si>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</si>
  <si>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</si>
  <si>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</si>
  <si>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</si>
  <si>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</si>
  <si>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</si>
  <si>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</si>
  <si>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</si>
  <si>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</si>
  <si>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</si>
  <si>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</si>
  <si>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</si>
  <si>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</si>
  <si>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</si>
  <si>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</si>
  <si>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</si>
  <si>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</si>
  <si>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</si>
  <si>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</si>
  <si>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</si>
  <si>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</si>
  <si>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</si>
  <si>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</si>
  <si>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</si>
  <si>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</si>
  <si>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</si>
  <si>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</si>
  <si>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</si>
  <si>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</si>
  <si>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</si>
  <si>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</si>
  <si>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</si>
  <si>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</si>
  <si>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</si>
  <si>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</si>
  <si>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</si>
  <si>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</si>
  <si>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</si>
  <si>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</si>
  <si>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</si>
  <si>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</si>
  <si>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</si>
  <si>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</si>
  <si>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</si>
  <si>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</si>
  <si>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</si>
  <si>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</si>
  <si>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</si>
  <si>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</si>
  <si>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</si>
  <si>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</si>
  <si>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</si>
  <si>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</si>
  <si>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</si>
  <si>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</si>
  <si>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</si>
  <si>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</si>
  <si>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</si>
  <si>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</si>
  <si>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</si>
  <si>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</si>
  <si>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</si>
  <si>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</si>
  <si>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</si>
  <si>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</si>
  <si>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</si>
  <si>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</si>
  <si>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</si>
  <si>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</si>
  <si>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</si>
  <si>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</si>
  <si>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</si>
  <si>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</si>
  <si>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</si>
  <si>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</si>
  <si>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</si>
  <si>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</si>
  <si>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</si>
  <si>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</si>
  <si>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</si>
  <si>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</si>
  <si>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</si>
  <si>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</si>
  <si>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</si>
  <si>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</si>
  <si>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</si>
  <si>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</si>
  <si>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</si>
  <si>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</si>
  <si>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</si>
  <si>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</si>
  <si>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</si>
  <si>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</si>
  <si>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</si>
  <si>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</si>
  <si>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</si>
  <si>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</si>
  <si>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</si>
  <si>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</si>
  <si>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</si>
  <si>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</si>
  <si>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</si>
  <si>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</si>
  <si>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</si>
  <si>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</si>
  <si>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</si>
  <si>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</si>
  <si>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</si>
  <si>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</si>
  <si>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</si>
  <si>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</si>
  <si>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</si>
  <si>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</si>
  <si>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</si>
  <si>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</si>
  <si>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</si>
  <si>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</si>
  <si>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</si>
  <si>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</si>
  <si>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</si>
  <si>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</si>
  <si>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</si>
  <si>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</si>
  <si>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</si>
  <si>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</si>
  <si>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</si>
  <si>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</si>
  <si>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</si>
  <si>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</si>
  <si>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</si>
  <si>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</si>
  <si>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</si>
  <si>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</si>
  <si>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</si>
  <si>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</si>
  <si>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</si>
  <si>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</si>
  <si>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</si>
  <si>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</si>
  <si>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</si>
  <si>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</si>
  <si>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</si>
  <si>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</si>
  <si>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</si>
  <si>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</si>
  <si>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</si>
  <si>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</si>
  <si>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</si>
  <si>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</si>
  <si>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</si>
  <si>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</si>
  <si>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</si>
  <si>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</si>
  <si>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</si>
  <si>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</si>
  <si>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</si>
  <si>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</si>
  <si>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</si>
  <si>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</si>
  <si>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</si>
  <si>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</si>
  <si>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</si>
  <si>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</si>
  <si>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</si>
  <si>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</si>
  <si>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</si>
  <si>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</si>
  <si>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</si>
  <si>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</si>
  <si>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</si>
  <si>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</si>
  <si>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</si>
  <si>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</si>
  <si>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</si>
  <si>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</si>
  <si>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</si>
  <si>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</si>
  <si>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</si>
  <si>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</si>
  <si>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</si>
  <si>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</si>
  <si>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</si>
  <si>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</si>
  <si>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</si>
  <si>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</si>
  <si>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</si>
  <si>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</si>
  <si>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</si>
  <si>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</si>
  <si>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</si>
  <si>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</si>
  <si>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</si>
  <si>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</si>
  <si>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</si>
  <si>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</si>
  <si>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</si>
  <si>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</si>
  <si>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</si>
  <si>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</si>
  <si>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</si>
  <si>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</si>
  <si>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</si>
  <si>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</si>
  <si>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</si>
  <si>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</si>
  <si>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</si>
  <si>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</si>
  <si>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</si>
  <si>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</si>
  <si>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</si>
  <si>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</si>
  <si>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</si>
  <si>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</si>
  <si>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</si>
  <si>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</si>
  <si>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</si>
  <si>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</si>
  <si>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</si>
  <si>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</si>
  <si>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</si>
  <si>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</si>
  <si>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</si>
  <si>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</si>
  <si>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</si>
  <si>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</si>
  <si>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</si>
  <si>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</si>
  <si>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</si>
  <si>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</si>
  <si>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</si>
  <si>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</si>
  <si>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</si>
  <si>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</si>
  <si>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</si>
  <si>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</si>
  <si>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</si>
  <si>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</si>
  <si>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</si>
  <si>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</si>
  <si>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</si>
  <si>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</si>
  <si>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</si>
  <si>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</si>
  <si>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</si>
  <si>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</si>
  <si>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</si>
  <si>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</si>
  <si>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</si>
  <si>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</si>
  <si>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</si>
  <si>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</si>
  <si>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</si>
  <si>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</si>
  <si>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</si>
  <si>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</si>
  <si>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</si>
  <si>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</si>
  <si>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</si>
  <si>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</si>
  <si>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</si>
  <si>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</si>
  <si>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</si>
  <si>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</si>
  <si>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</si>
  <si>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</si>
  <si>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</si>
  <si>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</si>
  <si>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</si>
  <si>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</si>
  <si>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</si>
  <si>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</si>
  <si>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</si>
  <si>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</si>
  <si>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</si>
  <si>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</si>
  <si>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</si>
  <si>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</si>
  <si>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</si>
  <si>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</si>
  <si>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</si>
  <si>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</si>
  <si>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</si>
  <si>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</si>
  <si>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</si>
  <si>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</si>
  <si>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</si>
  <si>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</si>
  <si>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</si>
  <si>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</si>
  <si>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</si>
  <si>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</si>
  <si>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</si>
  <si>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</si>
  <si>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</si>
  <si>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</si>
  <si>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</si>
  <si>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</si>
  <si>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</si>
  <si>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</si>
  <si>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</si>
  <si>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</si>
  <si>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</si>
  <si>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</si>
  <si>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</si>
  <si>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</si>
  <si>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</si>
  <si>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</si>
  <si>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</si>
  <si>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</si>
  <si>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</si>
  <si>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</si>
  <si>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</si>
  <si>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</si>
  <si>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</si>
  <si>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</si>
  <si>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</si>
  <si>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</si>
  <si>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</si>
  <si>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</si>
  <si>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44.47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</si>
  <si>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</si>
  <si>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</si>
  <si>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</si>
  <si>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</si>
  <si>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</si>
  <si>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</si>
  <si>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</si>
  <si>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</si>
  <si>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</si>
  <si>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</si>
  <si>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</si>
  <si>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</si>
  <si>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</si>
  <si>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</si>
  <si>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</si>
  <si>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</si>
  <si>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</si>
  <si>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</si>
  <si>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</si>
  <si>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</si>
  <si>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</si>
  <si>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</si>
  <si>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</si>
  <si>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</si>
  <si>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</si>
  <si>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</si>
  <si>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</si>
  <si>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</si>
  <si>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</si>
  <si>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</si>
  <si>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</si>
  <si>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</si>
  <si>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3.08</t>
    <phoneticPr fontId="1" type="noConversion"/>
  </si>
  <si>
    <t>10.9</t>
    <phoneticPr fontId="1" type="noConversion"/>
  </si>
  <si>
    <t>新盛力</t>
    <phoneticPr fontId="1" type="noConversion"/>
  </si>
  <si>
    <t>鋰電池模組</t>
    <phoneticPr fontId="1" type="noConversion"/>
  </si>
  <si>
    <t>POS刷卡機</t>
    <phoneticPr fontId="1" type="noConversion"/>
  </si>
  <si>
    <t>4.45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</si>
  <si>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</si>
  <si>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</si>
  <si>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</si>
  <si>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</si>
  <si>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</si>
  <si>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</si>
  <si>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</si>
  <si>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</si>
  <si>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</si>
  <si>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</si>
  <si>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</si>
  <si>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</si>
  <si>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</si>
  <si>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</si>
  <si>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</si>
  <si>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</si>
  <si>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</si>
  <si>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</si>
  <si>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</si>
  <si>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</si>
  <si>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</si>
  <si>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</si>
  <si>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</si>
  <si>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</si>
  <si>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</si>
  <si>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</si>
  <si>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</si>
  <si>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</si>
  <si>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</si>
  <si>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</si>
  <si>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</si>
  <si>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</si>
  <si>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大宗物資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</si>
  <si>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</si>
  <si>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</si>
  <si>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</si>
  <si>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三地開發</t>
    <phoneticPr fontId="1" type="noConversion"/>
  </si>
  <si>
    <t>153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</si>
  <si>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</si>
  <si>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</si>
  <si>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</si>
  <si>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</si>
  <si>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</si>
  <si>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</si>
  <si>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</si>
  <si>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</si>
  <si>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</si>
  <si>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</si>
  <si>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</si>
  <si>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</si>
  <si>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</si>
  <si>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</si>
  <si>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</si>
  <si>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</si>
  <si>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</si>
  <si>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</si>
  <si>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</si>
  <si>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</si>
  <si>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</si>
  <si>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</si>
  <si>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</si>
  <si>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</si>
  <si>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</si>
  <si>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</si>
  <si>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</si>
  <si>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</si>
  <si>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</si>
  <si>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</si>
  <si>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</si>
  <si>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</si>
  <si>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</si>
  <si>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</si>
  <si>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</si>
  <si>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</si>
  <si>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</si>
  <si>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</si>
  <si>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</si>
  <si>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</si>
  <si>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</si>
  <si>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</si>
  <si>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</si>
  <si>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</si>
  <si>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</si>
  <si>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</si>
  <si>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</si>
  <si>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</si>
  <si>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</si>
  <si>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</si>
  <si>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</si>
  <si>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</si>
  <si>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</si>
  <si>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</si>
  <si>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</si>
  <si>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</si>
  <si>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</si>
  <si>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</si>
  <si>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</si>
  <si>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</si>
  <si>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</si>
  <si>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</si>
  <si>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</si>
  <si>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</si>
  <si>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</si>
  <si>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</si>
  <si>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</si>
  <si>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</si>
  <si>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</si>
  <si>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</si>
  <si>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</si>
  <si>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</si>
  <si>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</si>
  <si>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</si>
  <si>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</si>
  <si>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</si>
  <si>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</si>
  <si>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</si>
  <si>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</si>
  <si>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</si>
  <si>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</si>
  <si>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</si>
  <si>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</si>
  <si>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</si>
  <si>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</si>
  <si>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</si>
  <si>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</si>
  <si>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</si>
  <si>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</si>
  <si>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</si>
  <si>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</si>
  <si>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</si>
  <si>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</si>
  <si>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</si>
  <si>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</si>
  <si>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</si>
  <si>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</si>
  <si>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</si>
  <si>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</si>
  <si>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</si>
  <si>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</si>
  <si>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</si>
  <si>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</si>
  <si>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</si>
  <si>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</si>
  <si>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</si>
  <si>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</si>
  <si>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</si>
  <si>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</si>
  <si>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</si>
  <si>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</si>
  <si>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</si>
  <si>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</si>
  <si>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</si>
  <si>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</si>
  <si>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</si>
  <si>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</si>
  <si>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</si>
  <si>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</si>
  <si>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</si>
  <si>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</si>
  <si>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</si>
  <si>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</si>
  <si>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</si>
  <si>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</si>
  <si>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</si>
  <si>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</si>
  <si>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</si>
  <si>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</si>
  <si>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</si>
  <si>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</si>
  <si>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</si>
  <si>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</si>
  <si>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</si>
  <si>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</si>
  <si>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</si>
  <si>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</si>
  <si>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</si>
  <si>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</si>
  <si>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</si>
  <si>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</si>
  <si>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</si>
  <si>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</si>
  <si>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</si>
  <si>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</si>
  <si>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</si>
  <si>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</si>
  <si>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</si>
  <si>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</si>
  <si>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</si>
  <si>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</si>
  <si>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</si>
  <si>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</si>
  <si>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</si>
  <si>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</si>
  <si>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</si>
  <si>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</si>
  <si>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</si>
  <si>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</si>
  <si>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</si>
  <si>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</si>
  <si>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</si>
  <si>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</si>
  <si>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</si>
  <si>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</si>
  <si>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</si>
  <si>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</si>
  <si>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</si>
  <si>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</si>
  <si>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</si>
  <si>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</si>
  <si>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</si>
  <si>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</si>
  <si>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</si>
  <si>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</si>
  <si>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</si>
  <si>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</si>
  <si>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</si>
  <si>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</si>
  <si>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</si>
  <si>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</si>
  <si>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</si>
  <si>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</si>
  <si>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</si>
  <si>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</si>
  <si>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</si>
  <si>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</si>
  <si>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</si>
  <si>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</si>
  <si>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</si>
  <si>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</si>
  <si>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</si>
  <si>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</si>
  <si>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</si>
  <si>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</si>
  <si>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</si>
  <si>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</si>
  <si>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</si>
  <si>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</si>
  <si>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</si>
  <si>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</si>
  <si>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</si>
  <si>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</si>
  <si>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</si>
  <si>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</si>
  <si>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</si>
  <si>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</si>
  <si>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</si>
  <si>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</si>
  <si>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</si>
  <si>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</si>
  <si>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</si>
  <si>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</si>
  <si>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</si>
  <si>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</si>
  <si>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</si>
  <si>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</si>
  <si>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</si>
  <si>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</si>
  <si>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</si>
  <si>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</si>
  <si>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</si>
  <si>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</si>
  <si>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</si>
  <si>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</si>
  <si>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</si>
  <si>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</si>
  <si>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</si>
  <si>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</si>
  <si>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</si>
  <si>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</si>
  <si>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</si>
  <si>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</si>
  <si>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</si>
  <si>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</si>
  <si>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</si>
  <si>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</si>
  <si>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</si>
  <si>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</si>
  <si>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</si>
  <si>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</si>
  <si>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</si>
  <si>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</si>
  <si>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</si>
  <si>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</si>
  <si>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</si>
  <si>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</si>
  <si>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</si>
  <si>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</si>
  <si>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</si>
  <si>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</si>
  <si>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</si>
  <si>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</si>
  <si>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</si>
  <si>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</si>
  <si>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</si>
  <si>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</si>
  <si>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</si>
  <si>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</si>
  <si>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</si>
  <si>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</si>
  <si>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</si>
  <si>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</si>
  <si>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</si>
  <si>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</si>
  <si>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</si>
  <si>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39.2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</si>
  <si>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</si>
  <si>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</si>
  <si>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</si>
  <si>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</si>
  <si>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</si>
  <si>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</si>
  <si>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</si>
  <si>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</si>
  <si>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</si>
  <si>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</si>
  <si>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</si>
  <si>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</si>
  <si>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</si>
  <si>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</si>
  <si>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</si>
  <si>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</si>
  <si>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</si>
  <si>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</si>
  <si>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</si>
  <si>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</si>
  <si>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</si>
  <si>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</si>
  <si>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</si>
  <si>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</si>
  <si>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</si>
  <si>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</si>
  <si>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</si>
  <si>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</si>
  <si>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</si>
  <si>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</si>
  <si>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</si>
  <si>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</si>
  <si>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</si>
  <si>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</si>
  <si>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</si>
  <si>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</si>
  <si>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</si>
  <si>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</si>
  <si>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</si>
  <si>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</si>
  <si>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</si>
  <si>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</si>
  <si>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</si>
  <si>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</si>
  <si>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</si>
  <si>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</si>
  <si>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</si>
  <si>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</si>
  <si>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</si>
  <si>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</si>
  <si>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</si>
  <si>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</si>
  <si>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</si>
  <si>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</si>
  <si>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</si>
  <si>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</si>
  <si>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</si>
  <si>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</si>
  <si>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</si>
  <si>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</si>
  <si>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</si>
  <si>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</si>
  <si>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</si>
  <si>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</si>
  <si>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</si>
  <si>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</si>
  <si>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</si>
  <si>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</si>
  <si>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</si>
  <si>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</si>
  <si>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</si>
  <si>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</si>
  <si>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</si>
  <si>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</si>
  <si>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</si>
  <si>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</si>
  <si>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</si>
  <si>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</si>
  <si>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</si>
  <si>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</si>
  <si>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</si>
  <si>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</si>
  <si>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</si>
  <si>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</si>
  <si>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</si>
  <si>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</si>
  <si>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</si>
  <si>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</si>
  <si>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</si>
  <si>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</si>
  <si>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</si>
  <si>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</si>
  <si>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</si>
  <si>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</si>
  <si>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</si>
  <si>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</si>
  <si>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</si>
  <si>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</si>
  <si>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</si>
  <si>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</si>
  <si>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</si>
  <si>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</si>
  <si>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</si>
  <si>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</si>
  <si>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</si>
  <si>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19.24</t>
    <phoneticPr fontId="1" type="noConversion"/>
  </si>
  <si>
    <t>22.77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</si>
  <si>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</si>
  <si>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</si>
  <si>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</si>
  <si>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</si>
  <si>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</si>
  <si>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</si>
  <si>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</si>
  <si>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</si>
  <si>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</si>
  <si>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</si>
  <si>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</si>
  <si>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</si>
  <si>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</si>
  <si>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</si>
  <si>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</si>
  <si>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</si>
  <si>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餐飲用品貿易商</t>
    <phoneticPr fontId="1" type="noConversion"/>
  </si>
  <si>
    <t>-2.50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</si>
  <si>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</si>
  <si>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</si>
  <si>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</si>
  <si>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</si>
  <si>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</si>
  <si>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</si>
  <si>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</si>
  <si>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</si>
  <si>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</si>
  <si>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</si>
  <si>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</si>
  <si>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</si>
  <si>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</si>
  <si>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</si>
  <si>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</si>
  <si>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</si>
  <si>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</si>
  <si>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</si>
  <si>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</si>
  <si>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</si>
  <si>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</si>
  <si>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</si>
  <si>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</si>
  <si>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</si>
  <si>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</si>
  <si>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</si>
  <si>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</si>
  <si>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</si>
  <si>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</si>
  <si>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</si>
  <si>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</si>
  <si>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成衣代工Wal-mart</t>
    <phoneticPr fontId="1" type="noConversion"/>
  </si>
  <si>
    <t>永豐實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</si>
  <si>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</si>
  <si>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</si>
  <si>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</si>
  <si>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</si>
  <si>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</si>
  <si>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</si>
  <si>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</si>
  <si>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</si>
  <si>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</si>
  <si>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</si>
  <si>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</si>
  <si>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</si>
  <si>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</si>
  <si>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</si>
  <si>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</si>
  <si>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</si>
  <si>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</si>
  <si>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</si>
  <si>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</si>
  <si>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</si>
  <si>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</si>
  <si>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</si>
  <si>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</si>
  <si>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</si>
  <si>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</si>
  <si>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</si>
  <si>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9.47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</si>
  <si>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</si>
  <si>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</si>
  <si>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</si>
  <si>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</si>
  <si>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</si>
  <si>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</si>
  <si>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</si>
  <si>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</si>
  <si>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</si>
  <si>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</si>
  <si>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</si>
  <si>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</si>
  <si>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</si>
  <si>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</si>
  <si>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</si>
  <si>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</si>
  <si>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</si>
  <si>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</si>
  <si>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</si>
  <si>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</si>
  <si>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</si>
  <si>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10月21年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</si>
  <si>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</si>
  <si>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</si>
  <si>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</si>
  <si>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功率放大器</t>
    <phoneticPr fontId="1" type="noConversion"/>
  </si>
  <si>
    <t>彈性紗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</si>
  <si>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</si>
  <si>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</si>
  <si>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</si>
  <si>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</si>
  <si>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</si>
  <si>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</si>
  <si>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</si>
  <si>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</si>
  <si>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</si>
  <si>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</si>
  <si>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</si>
  <si>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</si>
  <si>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</si>
  <si>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</si>
  <si>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</si>
  <si>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</si>
  <si>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</si>
  <si>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</si>
  <si>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</si>
  <si>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</si>
  <si>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醫美醫藥採購</t>
    <phoneticPr fontId="1" type="noConversion"/>
  </si>
  <si>
    <t>142.6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</si>
  <si>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</si>
  <si>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</si>
  <si>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</si>
  <si>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</si>
  <si>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</si>
  <si>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</si>
  <si>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</si>
  <si>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</si>
  <si>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</si>
  <si>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</si>
  <si>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力積電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</si>
  <si>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</si>
  <si>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</si>
  <si>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</si>
  <si>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</si>
  <si>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</si>
  <si>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</si>
  <si>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</si>
  <si>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</si>
  <si>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</si>
  <si>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</si>
  <si>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</si>
  <si>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</si>
  <si>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</si>
  <si>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</si>
  <si>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</si>
  <si>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飯店日月潭溫泉</t>
    <phoneticPr fontId="1" type="noConversion"/>
  </si>
  <si>
    <t>準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</si>
  <si>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</si>
  <si>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</si>
  <si>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</si>
  <si>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52.17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</si>
  <si>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</si>
  <si>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</si>
  <si>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</si>
  <si>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</si>
  <si>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大戶增減1%用星星</t>
    <phoneticPr fontId="1" type="noConversion"/>
  </si>
  <si>
    <t>借券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</si>
  <si>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</si>
  <si>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</si>
  <si>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</si>
  <si>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</si>
  <si>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</si>
  <si>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</si>
  <si>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</si>
  <si>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</si>
  <si>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</si>
  <si>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</si>
  <si>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</si>
  <si>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</si>
  <si>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</si>
  <si>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</si>
  <si>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</si>
  <si>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</si>
  <si>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</si>
  <si>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</si>
  <si>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</si>
  <si>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</si>
  <si>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</si>
  <si>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</si>
  <si>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</si>
  <si>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</si>
  <si>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</si>
  <si>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</si>
  <si>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</si>
  <si>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</si>
  <si>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</si>
  <si>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</si>
  <si>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</si>
  <si>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</si>
  <si>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</si>
  <si>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</si>
  <si>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</si>
  <si>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</si>
  <si>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</si>
  <si>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</si>
  <si>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</si>
  <si>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</si>
  <si>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</si>
  <si>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</si>
  <si>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</si>
  <si>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</si>
  <si>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</si>
  <si>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</si>
  <si>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</si>
  <si>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</si>
  <si>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</si>
  <si>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</si>
  <si>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</si>
  <si>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</si>
  <si>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</si>
  <si>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</si>
  <si>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</si>
  <si>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</si>
  <si>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</si>
  <si>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</si>
  <si>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</si>
  <si>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</si>
  <si>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</si>
  <si>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</si>
  <si>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</si>
  <si>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</si>
  <si>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</si>
  <si>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</si>
  <si>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</si>
  <si>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</si>
  <si>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</si>
  <si>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</si>
  <si>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</si>
  <si>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</si>
  <si>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</si>
  <si>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</si>
  <si>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</si>
  <si>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</si>
  <si>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</si>
  <si>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</si>
  <si>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</si>
  <si>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</si>
  <si>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</si>
  <si>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</si>
  <si>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</si>
  <si>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</si>
  <si>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</si>
  <si>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</si>
  <si>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</si>
  <si>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</si>
  <si>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</si>
  <si>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</si>
  <si>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</si>
  <si>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</si>
  <si>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</si>
  <si>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</si>
  <si>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</si>
  <si>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</si>
  <si>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</si>
  <si>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</si>
  <si>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</si>
  <si>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</si>
  <si>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</si>
  <si>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</si>
  <si>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</si>
  <si>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</si>
  <si>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</si>
  <si>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</si>
  <si>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</si>
  <si>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</si>
  <si>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</si>
  <si>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</si>
  <si>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</si>
  <si>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</si>
  <si>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</si>
  <si>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</si>
  <si>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</si>
  <si>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</si>
  <si>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</si>
  <si>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</si>
  <si>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</si>
  <si>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</si>
  <si>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</si>
  <si>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</si>
  <si>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</si>
  <si>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</si>
  <si>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</si>
  <si>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</si>
  <si>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</si>
  <si>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</si>
  <si>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</si>
  <si>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</si>
  <si>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</si>
  <si>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</si>
  <si>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</si>
  <si>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</si>
  <si>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</si>
  <si>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</si>
  <si>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</si>
  <si>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</si>
  <si>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</si>
  <si>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</si>
  <si>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</si>
  <si>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</si>
  <si>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</si>
  <si>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</si>
  <si>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</si>
  <si>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</si>
  <si>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</si>
  <si>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</si>
  <si>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</si>
  <si>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</si>
  <si>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</si>
  <si>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</si>
  <si>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</si>
  <si>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</si>
  <si>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</si>
  <si>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</si>
  <si>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</si>
  <si>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</si>
  <si>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</si>
  <si>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</si>
  <si>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</si>
  <si>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</si>
  <si>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</si>
  <si>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</si>
  <si>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</si>
  <si>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</si>
  <si>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</si>
  <si>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</si>
  <si>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</si>
  <si>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</si>
  <si>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</si>
  <si>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</si>
  <si>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</si>
  <si>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</si>
  <si>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</si>
  <si>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</si>
  <si>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</si>
  <si>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</si>
  <si>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</si>
  <si>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</si>
  <si>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</si>
  <si>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</si>
  <si>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</si>
  <si>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</si>
  <si>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</si>
  <si>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</si>
  <si>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</si>
  <si>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</si>
  <si>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</si>
  <si>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</si>
  <si>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</si>
  <si>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</si>
  <si>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</si>
  <si>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</si>
  <si>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</si>
  <si>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</si>
  <si>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</si>
  <si>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</si>
  <si>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</si>
  <si>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</si>
  <si>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</si>
  <si>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</si>
  <si>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</si>
  <si>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</si>
  <si>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</si>
  <si>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</si>
  <si>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</si>
  <si>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</si>
  <si>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</si>
  <si>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</si>
  <si>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</si>
  <si>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</si>
  <si>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</si>
  <si>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</si>
  <si>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</si>
  <si>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</si>
  <si>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</si>
  <si>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</si>
  <si>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</si>
  <si>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</si>
  <si>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</si>
  <si>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</si>
  <si>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</si>
  <si>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</si>
  <si>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</si>
  <si>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</si>
  <si>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</si>
  <si>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</si>
  <si>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</si>
  <si>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</si>
  <si>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</si>
  <si>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</si>
  <si>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</si>
  <si>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</si>
  <si>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</si>
  <si>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</si>
  <si>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</si>
  <si>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</si>
  <si>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</si>
  <si>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</si>
  <si>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</si>
  <si>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</si>
  <si>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</si>
  <si>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</si>
  <si>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</si>
  <si>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</si>
  <si>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</si>
  <si>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</si>
  <si>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</si>
  <si>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</si>
  <si>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</si>
  <si>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</si>
  <si>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</si>
  <si>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</si>
  <si>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</si>
  <si>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</si>
  <si>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</si>
  <si>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</si>
  <si>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</si>
  <si>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</si>
  <si>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</si>
  <si>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</si>
  <si>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</si>
  <si>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</si>
  <si>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</si>
  <si>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</si>
  <si>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</si>
  <si>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</si>
  <si>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</si>
  <si>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</si>
  <si>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</si>
  <si>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</si>
  <si>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</si>
  <si>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</si>
  <si>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</si>
  <si>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</si>
  <si>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</si>
  <si>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</si>
  <si>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</si>
  <si>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</si>
  <si>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</si>
  <si>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</si>
  <si>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</si>
  <si>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</si>
  <si>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</si>
  <si>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</si>
  <si>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</si>
  <si>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</si>
  <si>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</si>
  <si>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</si>
  <si>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</si>
  <si>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</si>
  <si>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</si>
  <si>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</si>
  <si>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</si>
  <si>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</si>
  <si>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</si>
  <si>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</si>
  <si>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</si>
  <si>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</si>
  <si>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</si>
  <si>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</si>
  <si>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</si>
  <si>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</si>
  <si>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</si>
  <si>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</si>
  <si>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</si>
  <si>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</si>
  <si>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</si>
  <si>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</si>
  <si>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</si>
  <si>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</si>
  <si>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</si>
  <si>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</si>
  <si>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</si>
  <si>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</si>
  <si>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</si>
  <si>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</si>
  <si>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</si>
  <si>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</si>
  <si>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</si>
  <si>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</si>
  <si>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</si>
  <si>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</si>
  <si>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</si>
  <si>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</si>
  <si>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</si>
  <si>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</si>
  <si>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</si>
  <si>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</si>
  <si>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</si>
  <si>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</si>
  <si>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</si>
  <si>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</si>
  <si>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</si>
  <si>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</si>
  <si>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</si>
  <si>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</si>
  <si>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</si>
  <si>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</si>
  <si>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</si>
  <si>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</si>
  <si>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</si>
  <si>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</si>
  <si>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</si>
  <si>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</si>
  <si>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</si>
  <si>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</si>
  <si>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</si>
  <si>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</si>
  <si>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</si>
  <si>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</si>
  <si>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</si>
  <si>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</si>
  <si>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</si>
  <si>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</si>
  <si>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</si>
  <si>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</si>
  <si>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</si>
  <si>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</si>
  <si>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</si>
  <si>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</si>
  <si>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</si>
  <si>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</si>
  <si>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</si>
  <si>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</si>
  <si>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</si>
  <si>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</si>
  <si>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</si>
  <si>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</si>
  <si>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</si>
  <si>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</si>
  <si>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</si>
  <si>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</si>
  <si>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</si>
  <si>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</si>
  <si>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</si>
  <si>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</si>
  <si>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</si>
  <si>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</si>
  <si>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</si>
  <si>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</si>
  <si>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</si>
  <si>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</si>
  <si>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</si>
  <si>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</si>
  <si>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</si>
  <si>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</si>
  <si>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</si>
  <si>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</si>
  <si>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</si>
  <si>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</si>
  <si>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</si>
  <si>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</si>
  <si>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</si>
  <si>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</si>
  <si>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</si>
  <si>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</si>
  <si>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</si>
  <si>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</si>
  <si>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</si>
  <si>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</si>
  <si>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</si>
  <si>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</si>
  <si>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</si>
  <si>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</si>
  <si>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</si>
  <si>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</si>
  <si>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</si>
  <si>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</si>
  <si>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</si>
  <si>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</si>
  <si>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</si>
  <si>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</si>
  <si>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</si>
  <si>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</si>
  <si>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</si>
  <si>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</si>
  <si>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</si>
  <si>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</si>
  <si>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</si>
  <si>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</si>
  <si>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</si>
  <si>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</si>
  <si>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</si>
  <si>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</si>
  <si>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</si>
  <si>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</si>
  <si>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</si>
  <si>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</si>
  <si>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</si>
  <si>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</si>
  <si>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</si>
  <si>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</si>
  <si>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</si>
  <si>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</si>
  <si>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</si>
  <si>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</si>
  <si>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</si>
  <si>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</si>
  <si>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</si>
  <si>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</si>
  <si>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</si>
  <si>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</si>
  <si>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</si>
  <si>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</si>
  <si>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</si>
  <si>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</si>
  <si>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</si>
  <si>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</si>
  <si>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</si>
  <si>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</si>
  <si>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</si>
  <si>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</si>
  <si>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</si>
  <si>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</si>
  <si>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</si>
  <si>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</si>
  <si>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</si>
  <si>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</si>
  <si>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</si>
  <si>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</si>
  <si>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</si>
  <si>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</si>
  <si>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</si>
  <si>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</si>
  <si>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</si>
  <si>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</si>
  <si>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</si>
  <si>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</si>
  <si>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</si>
  <si>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</si>
  <si>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</si>
  <si>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</si>
  <si>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</si>
  <si>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</si>
  <si>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</si>
  <si>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</si>
  <si>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</si>
  <si>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</si>
  <si>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</si>
  <si>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</si>
  <si>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</si>
  <si>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</si>
  <si>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</si>
  <si>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</si>
  <si>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</si>
  <si>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</si>
  <si>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</si>
  <si>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</si>
  <si>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</si>
  <si>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</si>
  <si>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</si>
  <si>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</si>
  <si>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</si>
  <si>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</si>
  <si>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</si>
  <si>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</si>
  <si>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</si>
  <si>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</si>
  <si>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</si>
  <si>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</si>
  <si>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</si>
  <si>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</si>
  <si>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</si>
  <si>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</si>
  <si>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</si>
  <si>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</si>
  <si>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</si>
  <si>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</si>
  <si>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</si>
  <si>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</si>
  <si>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</si>
  <si>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</si>
  <si>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</si>
  <si>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</si>
  <si>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</si>
  <si>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</si>
  <si>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</si>
  <si>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</si>
  <si>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</si>
  <si>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</si>
  <si>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</si>
  <si>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</si>
  <si>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</si>
  <si>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</si>
  <si>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</si>
  <si>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</si>
  <si>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</si>
  <si>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</si>
  <si>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</si>
  <si>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</si>
  <si>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</si>
  <si>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</si>
  <si>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</si>
  <si>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</si>
  <si>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</si>
  <si>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</si>
  <si>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</si>
  <si>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</si>
  <si>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</si>
  <si>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</si>
  <si>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</si>
  <si>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</si>
  <si>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</si>
  <si>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</si>
  <si>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</si>
  <si>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</si>
  <si>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</si>
  <si>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</si>
  <si>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</si>
  <si>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</si>
  <si>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</si>
  <si>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</si>
  <si>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</si>
  <si>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</si>
  <si>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</si>
  <si>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</si>
  <si>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</si>
  <si>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</si>
  <si>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</si>
  <si>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</si>
  <si>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</si>
  <si>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</si>
  <si>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</si>
  <si>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</si>
  <si>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</si>
  <si>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</si>
  <si>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</si>
  <si>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</si>
  <si>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</si>
  <si>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</si>
  <si>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</si>
  <si>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</si>
  <si>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</si>
  <si>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</si>
  <si>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</si>
  <si>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</si>
  <si>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</si>
  <si>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</si>
  <si>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</si>
  <si>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</si>
  <si>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</si>
  <si>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</si>
  <si>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</si>
  <si>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</si>
  <si>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</si>
  <si>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</si>
  <si>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</si>
  <si>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</si>
  <si>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</si>
  <si>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</si>
  <si>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</si>
  <si>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</si>
  <si>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</si>
  <si>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</si>
  <si>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</si>
  <si>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</si>
  <si>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</si>
  <si>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</si>
  <si>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</si>
  <si>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</si>
  <si>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</si>
  <si>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</si>
  <si>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</si>
  <si>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</si>
  <si>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</si>
  <si>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</si>
  <si>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</si>
  <si>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</si>
  <si>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</si>
  <si>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</si>
  <si>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</si>
  <si>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</si>
  <si>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</si>
  <si>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</si>
  <si>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</si>
  <si>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</si>
  <si>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</si>
  <si>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</si>
  <si>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</si>
  <si>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</si>
  <si>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</si>
  <si>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</si>
  <si>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</si>
  <si>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</si>
  <si>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</si>
  <si>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</si>
  <si>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</si>
  <si>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</si>
  <si>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</si>
  <si>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</si>
  <si>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</si>
  <si>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</si>
  <si>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</si>
  <si>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</si>
  <si>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</si>
  <si>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</si>
  <si>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</si>
  <si>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</si>
  <si>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</si>
  <si>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</si>
  <si>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</si>
  <si>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</si>
  <si>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</si>
  <si>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</si>
  <si>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</si>
  <si>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</si>
  <si>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</si>
  <si>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</si>
  <si>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</si>
  <si>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</si>
  <si>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</si>
  <si>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</si>
  <si>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</si>
  <si>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</si>
  <si>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</si>
  <si>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</si>
  <si>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</si>
  <si>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</si>
  <si>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</si>
  <si>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</si>
  <si>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</si>
  <si>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</si>
  <si>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</si>
  <si>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</si>
  <si>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</si>
  <si>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</si>
  <si>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</si>
  <si>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</si>
  <si>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</si>
  <si>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</si>
  <si>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</si>
  <si>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</si>
  <si>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</si>
  <si>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</si>
  <si>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</si>
  <si>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</si>
  <si>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</si>
  <si>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</si>
  <si>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</si>
  <si>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</si>
  <si>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</si>
  <si>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</si>
  <si>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</si>
  <si>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</si>
  <si>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</si>
  <si>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</si>
  <si>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</si>
  <si>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</si>
  <si>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</si>
  <si>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</si>
  <si>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</si>
  <si>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</si>
  <si>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</si>
  <si>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</si>
  <si>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</si>
  <si>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</si>
  <si>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</si>
  <si>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</si>
  <si>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</si>
  <si>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</si>
  <si>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</si>
  <si>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</si>
  <si>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</si>
  <si>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</si>
  <si>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</si>
  <si>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</si>
  <si>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</si>
  <si>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</si>
  <si>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</si>
  <si>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</si>
  <si>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</si>
  <si>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</si>
  <si>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</si>
  <si>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</si>
  <si>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</si>
  <si>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</si>
  <si>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</si>
  <si>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</si>
  <si>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</si>
  <si>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</si>
  <si>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</si>
  <si>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</si>
  <si>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</si>
  <si>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</si>
  <si>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</si>
  <si>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</si>
  <si>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</si>
  <si>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</si>
  <si>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</si>
  <si>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</si>
  <si>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</si>
  <si>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</si>
  <si>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</si>
  <si>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</si>
  <si>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</si>
  <si>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</si>
  <si>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</si>
  <si>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</si>
  <si>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</si>
  <si>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</si>
  <si>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</si>
  <si>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</si>
  <si>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</si>
  <si>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</si>
  <si>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</si>
  <si>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</si>
  <si>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</si>
  <si>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</si>
  <si>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</si>
  <si>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</si>
  <si>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</si>
  <si>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</si>
  <si>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</si>
  <si>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</si>
  <si>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</si>
  <si>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</si>
  <si>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</si>
  <si>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</si>
  <si>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</si>
  <si>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</si>
  <si>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</si>
  <si>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</si>
  <si>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</si>
  <si>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</si>
  <si>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</si>
  <si>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</si>
  <si>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</si>
  <si>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</si>
  <si>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</si>
  <si>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</si>
  <si>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</si>
  <si>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</si>
  <si>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</si>
  <si>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</si>
  <si>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</si>
  <si>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</si>
  <si>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</si>
  <si>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</si>
  <si>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</si>
  <si>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</si>
  <si>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</si>
  <si>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</si>
  <si>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</si>
  <si>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</si>
  <si>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</si>
  <si>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</si>
  <si>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</si>
  <si>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</si>
  <si>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</si>
  <si>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</si>
  <si>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</si>
  <si>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</si>
  <si>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</si>
  <si>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</si>
  <si>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</si>
  <si>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</si>
  <si>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</si>
  <si>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</si>
  <si>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</si>
  <si>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</si>
  <si>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</si>
  <si>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</si>
  <si>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</si>
  <si>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</si>
  <si>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</si>
  <si>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</si>
  <si>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</si>
  <si>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</si>
  <si>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</si>
  <si>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</si>
  <si>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</si>
  <si>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</si>
  <si>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</si>
  <si>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</si>
  <si>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</si>
  <si>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</si>
  <si>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</si>
  <si>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</si>
  <si>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</si>
  <si>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</si>
  <si>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</si>
  <si>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</si>
  <si>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</si>
  <si>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</si>
  <si>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</si>
  <si>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</si>
  <si>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</si>
  <si>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</si>
  <si>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</si>
  <si>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</si>
  <si>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</si>
  <si>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</si>
  <si>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</si>
  <si>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</si>
  <si>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</si>
  <si>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</si>
  <si>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</si>
  <si>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</si>
  <si>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</si>
  <si>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</si>
  <si>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</si>
  <si>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</si>
  <si>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</si>
  <si>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</si>
  <si>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</si>
  <si>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</si>
  <si>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</si>
  <si>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</si>
  <si>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</si>
  <si>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</si>
  <si>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</si>
  <si>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</si>
  <si>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</si>
  <si>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</si>
  <si>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</si>
  <si>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</si>
  <si>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</si>
  <si>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</si>
  <si>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</si>
  <si>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</si>
  <si>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</si>
  <si>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</si>
  <si>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</si>
  <si>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</si>
  <si>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</si>
  <si>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</si>
  <si>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</si>
  <si>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</si>
  <si>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</si>
  <si>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</si>
  <si>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</si>
  <si>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</si>
  <si>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</si>
  <si>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</si>
  <si>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</si>
  <si>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</si>
  <si>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</si>
  <si>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</si>
  <si>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</si>
  <si>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</si>
  <si>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</si>
  <si>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</si>
  <si>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</si>
  <si>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</si>
  <si>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</si>
  <si>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</si>
  <si>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</si>
  <si>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</si>
  <si>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</si>
  <si>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</si>
  <si>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</si>
  <si>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</si>
  <si>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</si>
  <si>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</si>
  <si>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</si>
  <si>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</si>
  <si>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</si>
  <si>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</si>
  <si>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</si>
  <si>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</si>
  <si>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</si>
  <si>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</si>
  <si>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</si>
  <si>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</si>
  <si>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</si>
  <si>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</si>
  <si>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</si>
  <si>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</si>
  <si>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</si>
  <si>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</si>
  <si>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</si>
  <si>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</si>
  <si>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</si>
  <si>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</si>
  <si>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</si>
  <si>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</si>
  <si>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</si>
  <si>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</si>
  <si>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</si>
  <si>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</si>
  <si>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</si>
  <si>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</si>
  <si>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</si>
  <si>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</si>
  <si>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</si>
  <si>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</si>
  <si>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</si>
  <si>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</si>
  <si>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</si>
  <si>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</si>
  <si>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</si>
  <si>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</si>
  <si>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</si>
  <si>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</si>
  <si>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</si>
  <si>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</si>
  <si>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</si>
  <si>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</si>
  <si>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</si>
  <si>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</si>
  <si>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</si>
  <si>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</si>
  <si>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</si>
  <si>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</si>
  <si>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</si>
  <si>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</si>
  <si>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</si>
  <si>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</si>
  <si>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</si>
  <si>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</si>
  <si>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</si>
  <si>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</si>
  <si>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</si>
  <si>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</si>
  <si>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</si>
  <si>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</si>
  <si>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</si>
  <si>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</si>
  <si>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</si>
  <si>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</si>
  <si>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</si>
  <si>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</si>
  <si>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</si>
  <si>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</si>
  <si>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</si>
  <si>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</si>
  <si>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</si>
  <si>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</si>
  <si>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</si>
  <si>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</si>
  <si>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</si>
  <si>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</si>
  <si>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</si>
  <si>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</si>
  <si>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</si>
  <si>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</si>
  <si>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</si>
  <si>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</si>
  <si>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</si>
  <si>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</si>
  <si>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</si>
  <si>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</si>
  <si>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</si>
  <si>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</si>
  <si>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</si>
  <si>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</si>
  <si>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</si>
  <si>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</si>
  <si>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</si>
  <si>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</si>
  <si>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</si>
  <si>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</si>
  <si>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</si>
  <si>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</si>
  <si>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</si>
  <si>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</si>
  <si>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</si>
  <si>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</si>
  <si>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</si>
  <si>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</si>
  <si>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</si>
  <si>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</si>
  <si>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</si>
  <si>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</si>
  <si>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</si>
  <si>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</si>
  <si>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</si>
  <si>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</si>
  <si>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</si>
  <si>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</si>
  <si>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</si>
  <si>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</si>
  <si>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</si>
  <si>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</si>
  <si>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</si>
  <si>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</si>
  <si>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</si>
  <si>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</si>
  <si>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</si>
  <si>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</si>
  <si>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</si>
  <si>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</si>
  <si>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</si>
  <si>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</si>
  <si>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</si>
  <si>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</si>
  <si>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</si>
  <si>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</si>
  <si>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</si>
  <si>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</si>
  <si>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</si>
  <si>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</si>
  <si>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</si>
  <si>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</si>
  <si>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</si>
  <si>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</si>
  <si>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</si>
  <si>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</si>
  <si>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</si>
  <si>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</si>
  <si>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</si>
  <si>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</si>
  <si>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</si>
  <si>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</si>
  <si>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</si>
  <si>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</si>
  <si>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</si>
  <si>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</si>
  <si>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</si>
  <si>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</si>
  <si>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</si>
  <si>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</si>
  <si>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</si>
  <si>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</si>
  <si>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</si>
  <si>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</si>
  <si>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</si>
  <si>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</si>
  <si>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</si>
  <si>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</si>
  <si>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</si>
  <si>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</si>
  <si>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</si>
  <si>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</si>
  <si>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</si>
  <si>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</si>
  <si>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</si>
  <si>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</si>
  <si>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</si>
  <si>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</si>
  <si>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</si>
  <si>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</si>
  <si>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</si>
  <si>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</si>
  <si>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</si>
  <si>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</si>
  <si>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</si>
  <si>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</si>
  <si>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</si>
  <si>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</si>
  <si>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</si>
  <si>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</si>
  <si>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</si>
  <si>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</si>
  <si>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</si>
  <si>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</si>
  <si>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</si>
  <si>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</si>
  <si>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</si>
  <si>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</si>
  <si>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</si>
  <si>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</si>
  <si>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</si>
  <si>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</si>
  <si>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</si>
  <si>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</si>
  <si>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</si>
  <si>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</si>
  <si>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</si>
  <si>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</si>
  <si>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</si>
  <si>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</si>
  <si>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</si>
  <si>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</si>
  <si>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</si>
  <si>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</si>
  <si>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</si>
  <si>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</si>
  <si>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</si>
  <si>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</si>
  <si>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</si>
  <si>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</si>
  <si>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</si>
  <si>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</si>
  <si>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</si>
  <si>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</si>
  <si>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</si>
  <si>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</si>
  <si>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</si>
  <si>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</si>
  <si>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</si>
  <si>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</si>
  <si>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</si>
  <si>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</si>
  <si>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</si>
  <si>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</si>
  <si>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</si>
  <si>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</si>
  <si>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</si>
  <si>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</si>
  <si>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</si>
  <si>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</si>
  <si>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</si>
  <si>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</si>
  <si>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</si>
  <si>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</si>
  <si>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</si>
  <si>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</si>
  <si>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</si>
  <si>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</si>
  <si>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</si>
  <si>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</si>
  <si>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</si>
  <si>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</si>
  <si>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</si>
  <si>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</si>
  <si>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</si>
  <si>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</si>
  <si>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</si>
  <si>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</si>
  <si>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</si>
  <si>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</si>
  <si>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</si>
  <si>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</si>
  <si>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弘凱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</si>
  <si>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</si>
  <si>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</si>
  <si>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</si>
  <si>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</si>
  <si>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</si>
  <si>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</si>
  <si>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</si>
  <si>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</si>
  <si>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</si>
  <si>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</si>
  <si>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</si>
  <si>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</si>
  <si>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</si>
  <si>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</si>
  <si>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</si>
  <si>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券資比增減5%用圓圈7</t>
    <phoneticPr fontId="1" type="noConversion"/>
  </si>
  <si>
    <t>生醫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</si>
  <si>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</si>
  <si>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</si>
  <si>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</si>
  <si>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</si>
  <si>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</si>
  <si>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借</t>
    <phoneticPr fontId="1" type="noConversion"/>
  </si>
  <si>
    <t>內部人增減0.5%用正四方形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</si>
  <si>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</si>
  <si>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</si>
  <si>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</si>
  <si>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</si>
  <si>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</si>
  <si>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</si>
  <si>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</si>
  <si>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</si>
  <si>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</si>
  <si>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</si>
  <si>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</si>
  <si>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</si>
  <si>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</si>
  <si>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</si>
  <si>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</si>
  <si>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廣閎科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</si>
  <si>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</si>
  <si>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</si>
  <si>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</si>
  <si>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四</t>
    <phoneticPr fontId="1" type="noConversion"/>
  </si>
  <si>
    <t>8.7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</si>
  <si>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</si>
  <si>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</si>
  <si>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</si>
  <si>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</si>
  <si>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</si>
  <si>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</si>
  <si>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</si>
  <si>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</si>
  <si>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</si>
  <si>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</si>
  <si>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</si>
  <si>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</si>
  <si>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</si>
  <si>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</si>
  <si>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</si>
  <si>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</si>
  <si>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</si>
  <si>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</si>
  <si>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</si>
  <si>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</si>
  <si>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</si>
  <si>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</si>
  <si>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</si>
  <si>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</si>
  <si>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</si>
  <si>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</si>
  <si>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</si>
  <si>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</si>
  <si>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</si>
  <si>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</si>
  <si>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</si>
  <si>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</si>
  <si>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</si>
  <si>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</si>
  <si>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</si>
  <si>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</si>
  <si>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</si>
  <si>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</si>
  <si>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</si>
  <si>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</si>
  <si>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</si>
  <si>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</si>
  <si>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</si>
  <si>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</si>
  <si>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</si>
  <si>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</si>
  <si>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</si>
  <si>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</si>
  <si>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</si>
  <si>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</si>
  <si>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</si>
  <si>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</si>
  <si>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</si>
  <si>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</si>
  <si>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</si>
  <si>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</si>
  <si>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</si>
  <si>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</si>
  <si>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</si>
  <si>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</si>
  <si>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</si>
  <si>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</si>
  <si>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</si>
  <si>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</si>
  <si>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</si>
  <si>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</si>
  <si>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</si>
  <si>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</si>
  <si>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</si>
  <si>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</si>
  <si>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</si>
  <si>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</si>
  <si>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</si>
  <si>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</si>
  <si>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</si>
  <si>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</si>
  <si>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</si>
  <si>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</si>
  <si>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</si>
  <si>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</si>
  <si>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</si>
  <si>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</si>
  <si>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</si>
  <si>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</si>
  <si>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</si>
  <si>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</si>
  <si>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</si>
  <si>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</si>
  <si>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</si>
  <si>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</si>
  <si>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</si>
  <si>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</si>
  <si>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</si>
  <si>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</si>
  <si>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</si>
  <si>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</si>
  <si>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</si>
  <si>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</si>
  <si>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</si>
  <si>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</si>
  <si>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</si>
  <si>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</si>
  <si>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</si>
  <si>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</si>
  <si>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</si>
  <si>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</si>
  <si>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</si>
  <si>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</si>
  <si>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</si>
  <si>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</si>
  <si>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</si>
  <si>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</si>
  <si>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</si>
  <si>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</si>
  <si>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</si>
  <si>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</si>
  <si>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</si>
  <si>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</si>
  <si>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</si>
  <si>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</si>
  <si>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</si>
  <si>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</si>
  <si>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</si>
  <si>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</si>
  <si>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</si>
  <si>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</si>
  <si>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</si>
  <si>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</si>
  <si>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</si>
  <si>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</si>
  <si>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</si>
  <si>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</si>
  <si>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</si>
  <si>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</si>
  <si>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</si>
  <si>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</si>
  <si>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</si>
  <si>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</si>
  <si>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</si>
  <si>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</si>
  <si>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</si>
  <si>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</si>
  <si>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</si>
  <si>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</si>
  <si>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</si>
  <si>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</si>
  <si>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</si>
  <si>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</si>
  <si>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</si>
  <si>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</si>
  <si>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</si>
  <si>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</si>
  <si>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</si>
  <si>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</si>
  <si>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</si>
  <si>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</si>
  <si>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</si>
  <si>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</si>
  <si>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</si>
  <si>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</si>
  <si>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</si>
  <si>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</si>
  <si>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</si>
  <si>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</si>
  <si>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</si>
  <si>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</si>
  <si>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</si>
  <si>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</si>
  <si>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</si>
  <si>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</si>
  <si>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</si>
  <si>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</si>
  <si>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</si>
  <si>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</si>
  <si>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</si>
  <si>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</si>
  <si>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</si>
  <si>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</si>
  <si>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</si>
  <si>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</si>
  <si>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</si>
  <si>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</si>
  <si>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</si>
  <si>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</si>
  <si>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</si>
  <si>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</si>
  <si>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</si>
  <si>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</si>
  <si>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</si>
  <si>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</si>
  <si>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</si>
  <si>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</si>
  <si>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</si>
  <si>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</si>
  <si>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</si>
  <si>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</si>
  <si>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</si>
  <si>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</si>
  <si>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</si>
  <si>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</si>
  <si>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</si>
  <si>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</si>
  <si>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</si>
  <si>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</si>
  <si>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</si>
  <si>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</si>
  <si>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</si>
  <si>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</si>
  <si>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</si>
  <si>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</si>
  <si>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</si>
  <si>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</si>
  <si>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</si>
  <si>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</si>
  <si>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</si>
  <si>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</si>
  <si>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</si>
  <si>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</si>
  <si>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</si>
  <si>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</si>
  <si>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</si>
  <si>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</si>
  <si>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</si>
  <si>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</si>
  <si>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</si>
  <si>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</si>
  <si>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</si>
  <si>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</si>
  <si>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</si>
  <si>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</si>
  <si>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</si>
  <si>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</si>
  <si>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</si>
  <si>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</si>
  <si>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</si>
  <si>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</si>
  <si>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</si>
  <si>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</si>
  <si>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</si>
  <si>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</si>
  <si>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</si>
  <si>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</si>
  <si>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</si>
  <si>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</si>
  <si>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</si>
  <si>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</si>
  <si>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</si>
  <si>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</si>
  <si>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</si>
  <si>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</si>
  <si>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</si>
  <si>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</si>
  <si>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</si>
  <si>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</si>
  <si>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</si>
  <si>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</si>
  <si>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</si>
  <si>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</si>
  <si>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</si>
  <si>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</si>
  <si>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</si>
  <si>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</si>
  <si>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</si>
  <si>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</si>
  <si>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</si>
  <si>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</si>
  <si>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</si>
  <si>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</si>
  <si>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</si>
  <si>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</si>
  <si>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</si>
  <si>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</si>
  <si>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</si>
  <si>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</si>
  <si>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</si>
  <si>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</si>
  <si>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</si>
  <si>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</si>
  <si>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</si>
  <si>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</si>
  <si>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</si>
  <si>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</si>
  <si>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</si>
  <si>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</si>
  <si>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</si>
  <si>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</si>
  <si>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</si>
  <si>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</si>
  <si>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</si>
  <si>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</si>
  <si>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</si>
  <si>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</si>
  <si>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</si>
  <si>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</si>
  <si>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</si>
  <si>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</si>
  <si>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</si>
  <si>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</si>
  <si>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</si>
  <si>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</si>
  <si>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</si>
  <si>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</si>
  <si>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</si>
  <si>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</si>
  <si>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</si>
  <si>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</si>
  <si>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</si>
  <si>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</si>
  <si>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</si>
  <si>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</si>
  <si>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</si>
  <si>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</si>
  <si>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</si>
  <si>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</si>
  <si>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</si>
  <si>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</si>
  <si>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</si>
  <si>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</si>
  <si>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</si>
  <si>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</si>
  <si>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</si>
  <si>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</si>
  <si>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</si>
  <si>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</si>
  <si>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</si>
  <si>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</si>
  <si>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</si>
  <si>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</si>
  <si>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</si>
  <si>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</si>
  <si>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</si>
  <si>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</si>
  <si>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</si>
  <si>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</si>
  <si>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</si>
  <si>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</si>
  <si>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</si>
  <si>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</si>
  <si>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</si>
  <si>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</si>
  <si>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</si>
  <si>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</si>
  <si>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</si>
  <si>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</si>
  <si>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</si>
  <si>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</si>
  <si>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</si>
  <si>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</si>
  <si>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</si>
  <si>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</si>
  <si>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</si>
  <si>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</si>
  <si>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</si>
  <si>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</si>
  <si>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</si>
  <si>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</si>
  <si>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</si>
  <si>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</si>
  <si>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</si>
  <si>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</si>
  <si>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</si>
  <si>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</si>
  <si>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</si>
  <si>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</si>
  <si>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</si>
  <si>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</si>
  <si>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</si>
  <si>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</si>
  <si>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</si>
  <si>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</si>
  <si>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</si>
  <si>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</si>
  <si>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</si>
  <si>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</si>
  <si>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</si>
  <si>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</si>
  <si>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</si>
  <si>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</si>
  <si>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</si>
  <si>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</si>
  <si>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</si>
  <si>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</si>
  <si>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</si>
  <si>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</si>
  <si>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</si>
  <si>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</si>
  <si>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</si>
  <si>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</si>
  <si>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</si>
  <si>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</si>
  <si>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</si>
  <si>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</si>
  <si>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</si>
  <si>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</si>
  <si>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</si>
  <si>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</si>
  <si>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</si>
  <si>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</si>
  <si>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</si>
  <si>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</si>
  <si>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</si>
  <si>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</si>
  <si>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</si>
  <si>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</si>
  <si>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</si>
  <si>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</si>
  <si>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</si>
  <si>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</si>
  <si>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</si>
  <si>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</si>
  <si>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</si>
  <si>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</si>
  <si>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</si>
  <si>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</si>
  <si>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</si>
  <si>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</si>
  <si>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</si>
  <si>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</si>
  <si>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</si>
  <si>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</si>
  <si>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</si>
  <si>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</si>
  <si>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</si>
  <si>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</si>
  <si>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</si>
  <si>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</si>
  <si>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</si>
  <si>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</si>
  <si>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</si>
  <si>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</si>
  <si>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</si>
  <si>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</si>
  <si>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</si>
  <si>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</si>
  <si>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</si>
  <si>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</si>
  <si>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</si>
  <si>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</si>
  <si>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</si>
  <si>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</si>
  <si>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</si>
  <si>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</si>
  <si>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</si>
  <si>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</si>
  <si>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</si>
  <si>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</si>
  <si>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</si>
  <si>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</si>
  <si>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</si>
  <si>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</si>
  <si>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</si>
  <si>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</si>
  <si>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</si>
  <si>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</si>
  <si>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</si>
  <si>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</si>
  <si>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</si>
  <si>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</si>
  <si>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</si>
  <si>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</si>
  <si>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</si>
  <si>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</si>
  <si>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</si>
  <si>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</si>
  <si>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</si>
  <si>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</si>
  <si>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</si>
  <si>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</si>
  <si>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</si>
  <si>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</si>
  <si>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</si>
  <si>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</si>
  <si>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</si>
  <si>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</si>
  <si>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</si>
  <si>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</si>
  <si>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</si>
  <si>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</si>
  <si>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</si>
  <si>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</si>
  <si>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</si>
  <si>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</si>
  <si>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</si>
  <si>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</si>
  <si>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</si>
  <si>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</si>
  <si>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</si>
  <si>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</si>
  <si>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</si>
  <si>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</si>
  <si>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</si>
  <si>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</si>
  <si>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</si>
  <si>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</si>
  <si>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</si>
  <si>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</si>
  <si>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</si>
  <si>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</si>
  <si>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</si>
  <si>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</si>
  <si>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</si>
  <si>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</si>
  <si>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</si>
  <si>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</si>
  <si>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</si>
  <si>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</si>
  <si>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</si>
  <si>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</si>
  <si>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</si>
  <si>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</si>
  <si>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</si>
  <si>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</si>
  <si>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</si>
  <si>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</si>
  <si>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</si>
  <si>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</si>
  <si>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</si>
  <si>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</si>
  <si>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</si>
  <si>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</si>
  <si>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</si>
  <si>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</si>
  <si>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</si>
  <si>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</si>
  <si>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</si>
  <si>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</si>
  <si>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</si>
  <si>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</si>
  <si>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</si>
  <si>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</si>
  <si>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</si>
  <si>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</si>
  <si>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</si>
  <si>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</si>
  <si>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</si>
  <si>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</si>
  <si>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</si>
  <si>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</si>
  <si>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</si>
  <si>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</si>
  <si>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</si>
  <si>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</si>
  <si>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</si>
  <si>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</si>
  <si>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</si>
  <si>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</si>
  <si>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</si>
  <si>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</si>
  <si>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</si>
  <si>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</si>
  <si>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</si>
  <si>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</si>
  <si>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</si>
  <si>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</si>
  <si>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</si>
  <si>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</si>
  <si>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</si>
  <si>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</si>
  <si>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</si>
  <si>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</si>
  <si>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</si>
  <si>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</si>
  <si>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</si>
  <si>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</si>
  <si>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</si>
  <si>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</si>
  <si>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</si>
  <si>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</si>
  <si>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</si>
  <si>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</si>
  <si>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</si>
  <si>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</si>
  <si>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</si>
  <si>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</si>
  <si>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</si>
  <si>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</si>
  <si>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</si>
  <si>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</si>
  <si>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</si>
  <si>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</si>
  <si>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</si>
  <si>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</si>
  <si>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</si>
  <si>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</si>
  <si>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</si>
  <si>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</si>
  <si>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</si>
  <si>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</si>
  <si>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</si>
  <si>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</si>
  <si>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</si>
  <si>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</si>
  <si>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</si>
  <si>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</si>
  <si>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</si>
  <si>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</si>
  <si>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</si>
  <si>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</si>
  <si>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</si>
  <si>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</si>
  <si>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</si>
  <si>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</si>
  <si>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</si>
  <si>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</si>
  <si>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</si>
  <si>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</si>
  <si>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</si>
  <si>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</si>
  <si>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</si>
  <si>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</si>
  <si>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</si>
  <si>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</si>
  <si>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</si>
  <si>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</si>
  <si>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</si>
  <si>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</si>
  <si>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</si>
  <si>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</si>
  <si>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</si>
  <si>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</si>
  <si>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</si>
  <si>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</si>
  <si>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</si>
  <si>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</si>
  <si>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</si>
  <si>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</si>
  <si>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</si>
  <si>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</si>
  <si>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</si>
  <si>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</si>
  <si>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</si>
  <si>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</si>
  <si>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</si>
  <si>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</si>
  <si>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</si>
  <si>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</si>
  <si>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</si>
  <si>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</si>
  <si>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</si>
  <si>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</si>
  <si>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</si>
  <si>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</si>
  <si>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</si>
  <si>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</si>
  <si>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</si>
  <si>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</si>
  <si>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</si>
  <si>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</si>
  <si>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</si>
  <si>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</si>
  <si>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</si>
  <si>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</si>
  <si>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</si>
  <si>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</si>
  <si>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</si>
  <si>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</si>
  <si>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</si>
  <si>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</si>
  <si>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</si>
  <si>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</si>
  <si>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</si>
  <si>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</si>
  <si>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</si>
  <si>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</si>
  <si>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</si>
  <si>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</si>
  <si>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</si>
  <si>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</si>
  <si>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</si>
  <si>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</si>
  <si>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</si>
  <si>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</si>
  <si>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</si>
  <si>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</si>
  <si>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</si>
  <si>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</si>
  <si>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</si>
  <si>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</si>
  <si>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</si>
  <si>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</si>
  <si>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</si>
  <si>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</si>
  <si>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</si>
  <si>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</si>
  <si>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</si>
  <si>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</si>
  <si>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</si>
  <si>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</si>
  <si>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</si>
  <si>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</si>
  <si>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</si>
  <si>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</si>
  <si>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</si>
  <si>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</si>
  <si>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</si>
  <si>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</si>
  <si>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</si>
  <si>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</si>
  <si>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</si>
  <si>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</si>
  <si>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</si>
  <si>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</si>
  <si>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</si>
  <si>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</si>
  <si>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</si>
  <si>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</si>
  <si>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</si>
  <si>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</si>
  <si>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</si>
  <si>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</si>
  <si>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</si>
  <si>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</si>
  <si>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</si>
  <si>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</si>
  <si>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</si>
  <si>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</si>
  <si>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</si>
  <si>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</si>
  <si>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</si>
  <si>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</si>
  <si>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</si>
  <si>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</si>
  <si>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</si>
  <si>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</si>
  <si>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</si>
  <si>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</si>
  <si>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</si>
  <si>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</si>
  <si>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</si>
  <si>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</si>
  <si>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</si>
  <si>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</si>
  <si>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</si>
  <si>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</si>
  <si>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</si>
  <si>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</si>
  <si>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</si>
  <si>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</si>
  <si>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</si>
  <si>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</si>
  <si>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</si>
  <si>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</si>
  <si>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</si>
  <si>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</si>
  <si>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</si>
  <si>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</si>
  <si>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</si>
  <si>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</si>
  <si>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</si>
  <si>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</si>
  <si>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</si>
  <si>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</si>
  <si>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</si>
  <si>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</si>
  <si>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</si>
  <si>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</si>
  <si>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</si>
  <si>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</si>
  <si>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</si>
  <si>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</si>
  <si>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</si>
  <si>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</si>
  <si>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</si>
  <si>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</si>
  <si>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</si>
  <si>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</si>
  <si>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</si>
  <si>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</si>
  <si>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</si>
  <si>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</si>
  <si>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</si>
  <si>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</si>
  <si>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</si>
  <si>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</si>
  <si>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</si>
  <si>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</si>
  <si>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</si>
  <si>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</si>
  <si>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</si>
  <si>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</si>
  <si>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</si>
  <si>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</si>
  <si>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</si>
  <si>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</si>
  <si>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</si>
  <si>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</si>
  <si>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</si>
  <si>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</si>
  <si>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</si>
  <si>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</si>
  <si>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</si>
  <si>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</si>
  <si>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</si>
  <si>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</si>
  <si>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</si>
  <si>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</si>
  <si>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</si>
  <si>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</si>
  <si>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</si>
  <si>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</si>
  <si>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</si>
  <si>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</si>
  <si>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</si>
  <si>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</si>
  <si>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</si>
  <si>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</si>
  <si>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</si>
  <si>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</si>
  <si>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</si>
  <si>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</si>
  <si>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</si>
  <si>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</si>
  <si>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</si>
  <si>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</si>
  <si>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</si>
  <si>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</si>
  <si>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</si>
  <si>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</si>
  <si>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</si>
  <si>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</si>
  <si>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</si>
  <si>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</si>
  <si>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</si>
  <si>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</si>
  <si>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</si>
  <si>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</si>
  <si>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</si>
  <si>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</si>
  <si>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</si>
  <si>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</si>
  <si>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</si>
  <si>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</si>
  <si>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</si>
  <si>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</si>
  <si>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</si>
  <si>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</si>
  <si>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</si>
  <si>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</si>
  <si>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</si>
  <si>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</si>
  <si>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</si>
  <si>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</si>
  <si>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</si>
  <si>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</si>
  <si>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</si>
  <si>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</si>
  <si>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</si>
  <si>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</si>
  <si>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</si>
  <si>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</si>
  <si>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</si>
  <si>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</si>
  <si>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</si>
  <si>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</si>
  <si>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</si>
  <si>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</si>
  <si>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</si>
  <si>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</si>
  <si>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</si>
  <si>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</si>
  <si>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</si>
  <si>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</si>
  <si>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</si>
  <si>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</si>
  <si>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</si>
  <si>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</si>
  <si>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</si>
  <si>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</si>
  <si>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</si>
  <si>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</si>
  <si>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</si>
  <si>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</si>
  <si>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</si>
  <si>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</si>
  <si>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</si>
  <si>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</si>
  <si>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</si>
  <si>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</si>
  <si>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</si>
  <si>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</si>
  <si>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</si>
  <si>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</si>
  <si>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</si>
  <si>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</si>
  <si>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</si>
  <si>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</si>
  <si>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</si>
  <si>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</si>
  <si>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</si>
  <si>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</si>
  <si>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</si>
  <si>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</si>
  <si>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</si>
  <si>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</si>
  <si>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</si>
  <si>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</si>
  <si>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</si>
  <si>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</si>
  <si>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</si>
  <si>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</si>
  <si>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</si>
  <si>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</si>
  <si>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</si>
  <si>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</si>
  <si>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</si>
  <si>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</si>
  <si>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</si>
  <si>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</si>
  <si>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</si>
  <si>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</si>
  <si>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</si>
  <si>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</si>
  <si>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</si>
  <si>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</si>
  <si>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</si>
  <si>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</si>
  <si>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</si>
  <si>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</si>
  <si>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</si>
  <si>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</si>
  <si>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</si>
  <si>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</si>
  <si>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</si>
  <si>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</si>
  <si>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</si>
  <si>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</si>
  <si>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</si>
  <si>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</si>
  <si>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</si>
  <si>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</si>
  <si>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</si>
  <si>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</si>
  <si>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</si>
  <si>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</si>
  <si>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</si>
  <si>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</si>
  <si>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</si>
  <si>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</si>
  <si>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</si>
  <si>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</si>
  <si>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</si>
  <si>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</si>
  <si>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</si>
  <si>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</si>
  <si>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</si>
  <si>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</si>
  <si>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</si>
  <si>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</si>
  <si>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</si>
  <si>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</si>
  <si>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</si>
  <si>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</si>
  <si>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</si>
  <si>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</si>
  <si>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</si>
  <si>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</si>
  <si>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</si>
  <si>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</si>
  <si>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</si>
  <si>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</si>
  <si>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</si>
  <si>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</si>
  <si>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</si>
  <si>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</si>
  <si>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</si>
  <si>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</si>
  <si>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</si>
  <si>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</si>
  <si>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</si>
  <si>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</si>
  <si>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</si>
  <si>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</si>
  <si>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</si>
  <si>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</si>
  <si>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</si>
  <si>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</si>
  <si>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</si>
  <si>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</si>
  <si>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</si>
  <si>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</si>
  <si>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</si>
  <si>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</si>
  <si>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</si>
  <si>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</si>
  <si>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</si>
  <si>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</si>
  <si>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</si>
  <si>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</si>
  <si>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</si>
  <si>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</si>
  <si>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</si>
  <si>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</si>
  <si>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</si>
  <si>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</si>
  <si>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</si>
  <si>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</si>
  <si>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</si>
  <si>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</si>
  <si>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</si>
  <si>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</si>
  <si>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</si>
  <si>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</si>
  <si>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</si>
  <si>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</si>
  <si>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</si>
  <si>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</si>
  <si>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</si>
  <si>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</si>
  <si>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</si>
  <si>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</si>
  <si>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</si>
  <si>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</si>
  <si>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</si>
  <si>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</si>
  <si>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</si>
  <si>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</si>
  <si>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</si>
  <si>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</si>
  <si>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</si>
  <si>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</si>
  <si>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</si>
  <si>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</si>
  <si>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</si>
  <si>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</si>
  <si>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</si>
  <si>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</si>
  <si>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</si>
  <si>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</si>
  <si>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</si>
  <si>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</si>
  <si>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</si>
  <si>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</si>
  <si>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</si>
  <si>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</si>
  <si>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</si>
  <si>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</si>
  <si>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</si>
  <si>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</si>
  <si>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</si>
  <si>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</si>
  <si>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</si>
  <si>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</si>
  <si>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</si>
  <si>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</si>
  <si>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</si>
  <si>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</si>
  <si>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</si>
  <si>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</si>
  <si>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</si>
  <si>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</si>
  <si>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</si>
  <si>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</si>
  <si>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</si>
  <si>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</si>
  <si>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</si>
  <si>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</si>
  <si>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</si>
  <si>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</si>
  <si>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</si>
  <si>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</si>
  <si>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</si>
  <si>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</si>
  <si>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</si>
  <si>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</si>
  <si>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</si>
  <si>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</si>
  <si>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</si>
  <si>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</si>
  <si>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</si>
  <si>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</si>
  <si>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</si>
  <si>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</si>
  <si>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</si>
  <si>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</si>
  <si>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</si>
  <si>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</si>
  <si>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</si>
  <si>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</si>
  <si>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</si>
  <si>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</si>
  <si>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</si>
  <si>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</si>
  <si>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</si>
  <si>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</si>
  <si>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</si>
  <si>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</si>
  <si>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</si>
  <si>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</si>
  <si>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</si>
  <si>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</si>
  <si>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</si>
  <si>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</si>
  <si>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</si>
  <si>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</si>
  <si>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</si>
  <si>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</si>
  <si>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</si>
  <si>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</si>
  <si>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</si>
  <si>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</si>
  <si>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</si>
  <si>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</si>
  <si>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</si>
  <si>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</si>
  <si>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</si>
  <si>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</si>
  <si>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</si>
  <si>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</si>
  <si>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</si>
  <si>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</si>
  <si>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</si>
  <si>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</si>
  <si>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</si>
  <si>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</si>
  <si>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</si>
  <si>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</si>
  <si>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</si>
  <si>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</si>
  <si>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</si>
  <si>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</si>
  <si>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</si>
  <si>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</si>
  <si>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</si>
  <si>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</si>
  <si>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</si>
  <si>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</si>
  <si>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</si>
  <si>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</si>
  <si>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</si>
  <si>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</si>
  <si>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</si>
  <si>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</si>
  <si>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</si>
  <si>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</si>
  <si>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</si>
  <si>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</si>
  <si>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</si>
  <si>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</si>
  <si>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</si>
  <si>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</si>
  <si>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</si>
  <si>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</si>
  <si>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</si>
  <si>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</si>
  <si>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</si>
  <si>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</si>
  <si>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</si>
  <si>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</si>
  <si>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</si>
  <si>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</si>
  <si>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</si>
  <si>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</si>
  <si>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</si>
  <si>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</si>
  <si>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</si>
  <si>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</si>
  <si>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</si>
  <si>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</si>
  <si>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</si>
  <si>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</si>
  <si>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</si>
  <si>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</si>
  <si>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</si>
  <si>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</si>
  <si>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</si>
  <si>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</si>
  <si>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</si>
  <si>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</si>
  <si>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</si>
  <si>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</si>
  <si>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</si>
  <si>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</si>
  <si>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</si>
  <si>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</si>
  <si>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</si>
  <si>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</si>
  <si>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</si>
  <si>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</si>
  <si>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</si>
  <si>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</si>
  <si>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</si>
  <si>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</si>
  <si>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</si>
  <si>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</si>
  <si>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</si>
  <si>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</si>
  <si>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</si>
  <si>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</si>
  <si>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</si>
  <si>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</si>
  <si>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</si>
  <si>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</si>
  <si>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</si>
  <si>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</si>
  <si>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</si>
  <si>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</si>
  <si>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</si>
  <si>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</si>
  <si>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</si>
  <si>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</si>
  <si>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</si>
  <si>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</si>
  <si>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</si>
  <si>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</si>
  <si>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</si>
  <si>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</si>
  <si>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</si>
  <si>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</si>
  <si>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</si>
  <si>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</si>
  <si>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</si>
  <si>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</si>
  <si>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</si>
  <si>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</si>
  <si>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</si>
  <si>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</si>
  <si>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</si>
  <si>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</si>
  <si>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</si>
  <si>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</si>
  <si>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</si>
  <si>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</si>
  <si>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</si>
  <si>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</si>
  <si>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</si>
  <si>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</si>
  <si>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</si>
  <si>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</si>
  <si>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</si>
  <si>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</si>
  <si>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</si>
  <si>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</si>
  <si>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</si>
  <si>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</si>
  <si>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</si>
  <si>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</si>
  <si>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</si>
  <si>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</si>
  <si>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</si>
  <si>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</si>
  <si>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</si>
  <si>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</si>
  <si>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</si>
  <si>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</si>
  <si>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</si>
  <si>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</si>
  <si>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</si>
  <si>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</si>
  <si>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</si>
  <si>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</si>
  <si>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</si>
  <si>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</si>
  <si>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</si>
  <si>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</si>
  <si>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</si>
  <si>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</si>
  <si>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</si>
  <si>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</si>
  <si>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</si>
  <si>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</si>
  <si>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</si>
  <si>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</si>
  <si>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</si>
  <si>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</si>
  <si>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</si>
  <si>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</si>
  <si>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</si>
  <si>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</si>
  <si>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</si>
  <si>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</si>
  <si>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</si>
  <si>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</si>
  <si>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</si>
  <si>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</si>
  <si>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</si>
  <si>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</si>
  <si>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</si>
  <si>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</si>
  <si>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</si>
  <si>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</si>
  <si>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</si>
  <si>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</si>
  <si>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</si>
  <si>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</si>
  <si>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</si>
  <si>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</si>
  <si>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</si>
  <si>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</si>
  <si>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</si>
  <si>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</si>
  <si>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</si>
  <si>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</si>
  <si>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</si>
  <si>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</si>
  <si>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</si>
  <si>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</si>
  <si>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</si>
  <si>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</si>
  <si>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</si>
  <si>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</si>
  <si>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</si>
  <si>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</si>
  <si>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</si>
  <si>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</si>
  <si>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</si>
  <si>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</si>
  <si>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</si>
  <si>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</si>
  <si>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</si>
  <si>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</si>
  <si>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</si>
  <si>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</si>
  <si>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</si>
  <si>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</si>
  <si>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</si>
  <si>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</si>
  <si>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</si>
  <si>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</si>
  <si>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</si>
  <si>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</si>
  <si>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</si>
  <si>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</si>
  <si>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</si>
  <si>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</si>
  <si>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</si>
  <si>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</si>
  <si>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</si>
  <si>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</si>
  <si>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</si>
  <si>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</si>
  <si>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</si>
  <si>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</si>
  <si>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</si>
  <si>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</si>
  <si>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</si>
  <si>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</si>
  <si>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</si>
  <si>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</si>
  <si>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</si>
  <si>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</si>
  <si>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</si>
  <si>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</si>
  <si>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</si>
  <si>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</si>
  <si>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</si>
  <si>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</si>
  <si>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</si>
  <si>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</si>
  <si>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</si>
  <si>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</si>
  <si>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</si>
  <si>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</si>
  <si>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</si>
  <si>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</si>
  <si>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</si>
  <si>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</si>
  <si>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</si>
  <si>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</si>
  <si>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</si>
  <si>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</si>
  <si>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</si>
  <si>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</si>
  <si>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</si>
  <si>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</si>
  <si>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</si>
  <si>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</si>
  <si>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</si>
  <si>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</si>
  <si>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</si>
  <si>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</si>
  <si>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</si>
  <si>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</si>
  <si>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</si>
  <si>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</si>
  <si>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</si>
  <si>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</si>
  <si>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</si>
  <si>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</si>
  <si>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</si>
  <si>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</si>
  <si>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</si>
  <si>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</si>
  <si>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</si>
  <si>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</si>
  <si>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</si>
  <si>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</si>
  <si>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</si>
  <si>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</si>
  <si>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</si>
  <si>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19.44</t>
    <phoneticPr fontId="1" type="noConversion"/>
  </si>
  <si>
    <t>借券融券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</si>
  <si>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</si>
  <si>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</si>
  <si>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</si>
  <si>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</si>
  <si>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</si>
  <si>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</si>
  <si>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</si>
  <si>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</si>
  <si>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</si>
  <si>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</si>
  <si>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</si>
  <si>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</si>
  <si>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</si>
  <si>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</si>
  <si>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</si>
  <si>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</si>
  <si>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</si>
  <si>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</si>
  <si>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</si>
  <si>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</si>
  <si>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</si>
  <si>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</si>
  <si>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</si>
  <si>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</si>
  <si>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</si>
  <si>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借券增減0.1%用圓圈9</t>
    <phoneticPr fontId="1" type="noConversion"/>
  </si>
  <si>
    <t>融外增減0.5%</t>
    <phoneticPr fontId="1" type="noConversion"/>
  </si>
  <si>
    <t>自投增減0.15%</t>
    <phoneticPr fontId="1" type="noConversion"/>
  </si>
  <si>
    <t>跌幅</t>
    <phoneticPr fontId="1" type="noConversion"/>
  </si>
  <si>
    <t>融自</t>
    <phoneticPr fontId="1" type="noConversion"/>
  </si>
  <si>
    <t>自投</t>
    <phoneticPr fontId="1" type="noConversion"/>
  </si>
  <si>
    <t>晶呈科技</t>
    <phoneticPr fontId="1" type="noConversion"/>
  </si>
  <si>
    <t>特殊氣體半導體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</si>
  <si>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</si>
  <si>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</si>
  <si>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</si>
  <si>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</si>
  <si>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</si>
  <si>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</si>
  <si>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</si>
  <si>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</si>
  <si>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</si>
  <si>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</si>
  <si>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</si>
  <si>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</si>
  <si>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</si>
  <si>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</si>
  <si>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</si>
  <si>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</si>
  <si>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</si>
  <si>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</si>
  <si>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</si>
  <si>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</si>
  <si>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</si>
  <si>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</si>
  <si>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</si>
  <si>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</si>
  <si>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</si>
  <si>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</si>
  <si>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30權值</t>
    <phoneticPr fontId="1" type="noConversion"/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</si>
  <si>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</si>
  <si>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</si>
  <si>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</si>
  <si>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</si>
  <si>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</si>
  <si>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外投</t>
    <phoneticPr fontId="1" type="noConversion"/>
  </si>
  <si>
    <t>外借</t>
    <phoneticPr fontId="1" type="noConversion"/>
  </si>
  <si>
    <t>均張在百張以下不要考慮</t>
    <phoneticPr fontId="1" type="noConversion"/>
  </si>
  <si>
    <t>總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</si>
  <si>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</si>
  <si>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</si>
  <si>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</si>
  <si>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</si>
  <si>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</si>
  <si>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</si>
  <si>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</si>
  <si>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</si>
  <si>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2022年4月15日止</t>
    <phoneticPr fontId="1" type="noConversion"/>
  </si>
  <si>
    <t>當沖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</si>
  <si>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</si>
  <si>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</si>
  <si>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</si>
  <si>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</si>
  <si>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</si>
  <si>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</si>
  <si>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清潔服務</t>
    <phoneticPr fontId="1" type="noConversion"/>
  </si>
  <si>
    <t>4月22年</t>
    <phoneticPr fontId="1" type="noConversion"/>
  </si>
  <si>
    <t>外自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</si>
  <si>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</si>
  <si>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</si>
  <si>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</si>
  <si>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</si>
  <si>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</si>
  <si>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</si>
  <si>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比紅色</t>
    <phoneticPr fontId="1" type="noConversion"/>
  </si>
  <si>
    <t>連藍色</t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</si>
  <si>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</si>
  <si>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</si>
  <si>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</si>
  <si>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</si>
  <si>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</si>
  <si>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</si>
  <si>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</si>
  <si>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</si>
  <si>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</si>
  <si>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</si>
  <si>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</si>
  <si>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</si>
  <si>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</si>
  <si>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</si>
  <si>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</si>
  <si>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</si>
  <si>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</si>
  <si>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</si>
  <si>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</si>
  <si>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</si>
  <si>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</si>
  <si>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3.28</t>
    <phoneticPr fontId="1" type="noConversion"/>
  </si>
  <si>
    <t>外券</t>
    <phoneticPr fontId="1" type="noConversion"/>
  </si>
  <si>
    <t>外同</t>
    <phoneticPr fontId="1" type="noConversion"/>
  </si>
  <si>
    <t>11.43</t>
    <phoneticPr fontId="1" type="noConversion"/>
  </si>
  <si>
    <t>19.82</t>
    <phoneticPr fontId="1" type="noConversion"/>
  </si>
  <si>
    <t>融借</t>
    <phoneticPr fontId="1" type="noConversion"/>
  </si>
  <si>
    <t>農科</t>
    <phoneticPr fontId="1" type="noConversion"/>
  </si>
  <si>
    <t>0.88</t>
    <phoneticPr fontId="1" type="noConversion"/>
  </si>
  <si>
    <t>台灣精銳</t>
    <phoneticPr fontId="1" type="noConversion"/>
  </si>
  <si>
    <t>和淞</t>
    <phoneticPr fontId="1" type="noConversion"/>
  </si>
  <si>
    <t>廠房工程國化轉投資</t>
    <phoneticPr fontId="1" type="noConversion"/>
  </si>
  <si>
    <t>齒輪減速機</t>
    <phoneticPr fontId="1" type="noConversion"/>
  </si>
  <si>
    <t>家俱</t>
    <phoneticPr fontId="1" type="noConversion"/>
  </si>
  <si>
    <t>昨量</t>
    <phoneticPr fontId="1" type="noConversion"/>
  </si>
  <si>
    <t>漲跌</t>
    <phoneticPr fontId="1" type="noConversion"/>
  </si>
  <si>
    <t>來頡</t>
    <phoneticPr fontId="1" type="noConversion"/>
  </si>
  <si>
    <t>電源管理IC</t>
    <phoneticPr fontId="1" type="noConversion"/>
  </si>
  <si>
    <t>6.27</t>
    <phoneticPr fontId="1" type="noConversion"/>
  </si>
  <si>
    <t>4.48</t>
    <phoneticPr fontId="1" type="noConversion"/>
  </si>
  <si>
    <t>投信持股比例</t>
    <phoneticPr fontId="1" type="noConversion"/>
  </si>
  <si>
    <t>外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</si>
  <si>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</si>
  <si>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</si>
  <si>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</si>
  <si>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</si>
  <si>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</si>
  <si>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</si>
  <si>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</si>
  <si>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</si>
  <si>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</si>
  <si>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</si>
  <si>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</si>
  <si>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</si>
  <si>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</si>
  <si>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</si>
  <si>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</si>
  <si>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</si>
  <si>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</si>
  <si>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</si>
  <si>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</si>
  <si>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</si>
  <si>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</si>
  <si>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</si>
  <si>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</si>
  <si>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</si>
  <si>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</si>
  <si>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</si>
  <si>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</si>
  <si>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</si>
  <si>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</si>
  <si>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</si>
  <si>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</si>
  <si>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</si>
  <si>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</si>
  <si>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</si>
  <si>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</si>
  <si>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</si>
  <si>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</si>
  <si>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</si>
  <si>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</si>
  <si>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</si>
  <si>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</si>
  <si>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</si>
  <si>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</si>
  <si>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</si>
  <si>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</si>
  <si>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</si>
  <si>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</si>
  <si>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</si>
  <si>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</si>
  <si>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</si>
  <si>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</si>
  <si>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</si>
  <si>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</si>
  <si>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</si>
  <si>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</si>
  <si>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</si>
  <si>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</si>
  <si>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</si>
  <si>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</si>
  <si>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</si>
  <si>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</si>
  <si>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</si>
  <si>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</si>
  <si>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</si>
  <si>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</si>
  <si>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</si>
  <si>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</si>
  <si>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</si>
  <si>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</si>
  <si>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</si>
  <si>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</si>
  <si>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</si>
  <si>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</si>
  <si>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</si>
  <si>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</si>
  <si>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</si>
  <si>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</si>
  <si>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</si>
  <si>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</si>
  <si>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</si>
  <si>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</si>
  <si>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</si>
  <si>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</si>
  <si>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</si>
  <si>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化工</t>
    <phoneticPr fontId="1" type="noConversion"/>
  </si>
  <si>
    <t>2.35</t>
    <phoneticPr fontId="1" type="noConversion"/>
  </si>
  <si>
    <t>投借</t>
    <phoneticPr fontId="1" type="noConversion"/>
  </si>
  <si>
    <t>自借</t>
    <phoneticPr fontId="1" type="noConversion"/>
  </si>
  <si>
    <t>券</t>
    <phoneticPr fontId="1" type="noConversion"/>
  </si>
  <si>
    <t>借融還劵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</si>
  <si>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</si>
  <si>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</si>
  <si>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</si>
  <si>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</si>
  <si>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</si>
  <si>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</si>
  <si>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</si>
  <si>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</si>
  <si>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</si>
  <si>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</si>
  <si>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百分比</t>
    <phoneticPr fontId="1" type="noConversion"/>
  </si>
  <si>
    <t>量增減%</t>
    <phoneticPr fontId="1" type="noConversion"/>
  </si>
  <si>
    <t>2022年5月</t>
    <phoneticPr fontId="1" type="noConversion"/>
  </si>
  <si>
    <t>外</t>
    <phoneticPr fontId="1" type="noConversion"/>
  </si>
  <si>
    <t>3自</t>
    <phoneticPr fontId="1" type="noConversion"/>
  </si>
  <si>
    <t>融</t>
    <phoneticPr fontId="1" type="noConversion"/>
  </si>
  <si>
    <t>融資買</t>
    <phoneticPr fontId="1" type="noConversion"/>
  </si>
  <si>
    <t>外資買</t>
    <phoneticPr fontId="1" type="noConversion"/>
  </si>
  <si>
    <t>自營買</t>
    <phoneticPr fontId="1" type="noConversion"/>
  </si>
  <si>
    <t>投信買</t>
    <phoneticPr fontId="1" type="noConversion"/>
  </si>
  <si>
    <t>借劵回補</t>
    <phoneticPr fontId="1" type="noConversion"/>
  </si>
  <si>
    <t>融資賣</t>
    <phoneticPr fontId="1" type="noConversion"/>
  </si>
  <si>
    <t>外資賣</t>
    <phoneticPr fontId="1" type="noConversion"/>
  </si>
  <si>
    <t>自營賣</t>
    <phoneticPr fontId="1" type="noConversion"/>
  </si>
  <si>
    <t>投信賣</t>
    <phoneticPr fontId="1" type="noConversion"/>
  </si>
  <si>
    <t>借劵增加</t>
    <phoneticPr fontId="1" type="noConversion"/>
  </si>
  <si>
    <t>買2</t>
    <phoneticPr fontId="1" type="noConversion"/>
  </si>
  <si>
    <t>賣2</t>
    <phoneticPr fontId="1" type="noConversion"/>
  </si>
  <si>
    <t>融資連買</t>
    <phoneticPr fontId="1" type="noConversion"/>
  </si>
  <si>
    <t>外資連買</t>
    <phoneticPr fontId="1" type="noConversion"/>
  </si>
  <si>
    <t>自營連買</t>
    <phoneticPr fontId="1" type="noConversion"/>
  </si>
  <si>
    <t>投信連買</t>
    <phoneticPr fontId="1" type="noConversion"/>
  </si>
  <si>
    <t>借券連賣</t>
    <phoneticPr fontId="1" type="noConversion"/>
  </si>
  <si>
    <t>融券連賣</t>
    <phoneticPr fontId="1" type="noConversion"/>
  </si>
  <si>
    <t>融資連賣</t>
    <phoneticPr fontId="1" type="noConversion"/>
  </si>
  <si>
    <t>外資連賣</t>
    <phoneticPr fontId="1" type="noConversion"/>
  </si>
  <si>
    <t>自營連賣</t>
    <phoneticPr fontId="1" type="noConversion"/>
  </si>
  <si>
    <t>投信連賣</t>
    <phoneticPr fontId="1" type="noConversion"/>
  </si>
  <si>
    <t>借券連買</t>
    <phoneticPr fontId="1" type="noConversion"/>
  </si>
  <si>
    <t>融券連買</t>
    <phoneticPr fontId="1" type="noConversion"/>
  </si>
  <si>
    <t>越峰</t>
  </si>
  <si>
    <t>買總</t>
    <phoneticPr fontId="1" type="noConversion"/>
  </si>
  <si>
    <t>賣總</t>
    <phoneticPr fontId="1" type="noConversion"/>
  </si>
  <si>
    <t>融外</t>
    <phoneticPr fontId="1" type="noConversion"/>
  </si>
  <si>
    <t>投信沒有持股的股票不要買</t>
    <phoneticPr fontId="1" type="noConversion"/>
  </si>
  <si>
    <t>跌10%</t>
    <phoneticPr fontId="1" type="noConversion"/>
  </si>
  <si>
    <t>周KD</t>
    <phoneticPr fontId="1" type="noConversion"/>
  </si>
  <si>
    <t>56.8</t>
    <phoneticPr fontId="1" type="noConversion"/>
  </si>
  <si>
    <t>自投</t>
  </si>
  <si>
    <t>6同</t>
    <phoneticPr fontId="1" type="noConversion"/>
  </si>
  <si>
    <t>投同</t>
    <phoneticPr fontId="1" type="noConversion"/>
  </si>
  <si>
    <t>投借同</t>
    <phoneticPr fontId="1" type="noConversion"/>
  </si>
  <si>
    <t>外</t>
  </si>
  <si>
    <t>自</t>
  </si>
  <si>
    <t>金麗科</t>
  </si>
  <si>
    <t>長聖</t>
  </si>
  <si>
    <t>6自</t>
    <phoneticPr fontId="1" type="noConversion"/>
  </si>
  <si>
    <t>6投</t>
  </si>
  <si>
    <t>6自</t>
  </si>
  <si>
    <t>投</t>
  </si>
  <si>
    <t>7投</t>
  </si>
  <si>
    <t>外投</t>
  </si>
  <si>
    <t>外借</t>
  </si>
  <si>
    <t>5自</t>
  </si>
  <si>
    <t>3融</t>
  </si>
  <si>
    <t>融</t>
  </si>
  <si>
    <t>4/20排行前100名加碼（融融、外外、自自、投投加碼）</t>
    <phoneticPr fontId="1" type="noConversion"/>
  </si>
  <si>
    <t>FITXN*1</t>
    <phoneticPr fontId="1" type="noConversion"/>
  </si>
  <si>
    <t>台指期</t>
    <phoneticPr fontId="1" type="noConversion"/>
  </si>
  <si>
    <t>賬戶2</t>
    <phoneticPr fontId="1" type="noConversion"/>
  </si>
  <si>
    <t>大飲</t>
  </si>
  <si>
    <t>富林-KY</t>
  </si>
  <si>
    <t>宏洲</t>
  </si>
  <si>
    <t>東華</t>
  </si>
  <si>
    <t>大魯閣</t>
  </si>
  <si>
    <t>中福</t>
  </si>
  <si>
    <t>大東</t>
  </si>
  <si>
    <t>昶和</t>
  </si>
  <si>
    <t>首利</t>
  </si>
  <si>
    <t>三洋實業</t>
  </si>
  <si>
    <t>正道</t>
  </si>
  <si>
    <t>瑞利</t>
  </si>
  <si>
    <t>正峰</t>
  </si>
  <si>
    <t>億泰</t>
  </si>
  <si>
    <t>合世</t>
  </si>
  <si>
    <t>易威</t>
  </si>
  <si>
    <t>寶徠</t>
  </si>
  <si>
    <t>聚亨</t>
  </si>
  <si>
    <t>千興</t>
  </si>
  <si>
    <t>嘉鋼</t>
  </si>
  <si>
    <t>裕日車</t>
  </si>
  <si>
    <t>台揚</t>
  </si>
  <si>
    <t>東訊</t>
  </si>
  <si>
    <t>錸德</t>
  </si>
  <si>
    <t>倫飛</t>
  </si>
  <si>
    <t>虹光</t>
  </si>
  <si>
    <t>隴華</t>
  </si>
  <si>
    <t>銘旺科</t>
  </si>
  <si>
    <t>翔耀</t>
  </si>
  <si>
    <t>昶虹</t>
  </si>
  <si>
    <t>兆勁</t>
  </si>
  <si>
    <t>新建</t>
  </si>
  <si>
    <t>皇昌</t>
  </si>
  <si>
    <t>亞航</t>
  </si>
  <si>
    <t>晶悅</t>
  </si>
  <si>
    <t>燦星旅</t>
  </si>
  <si>
    <t>富驛-KY</t>
  </si>
  <si>
    <t>瓦城</t>
  </si>
  <si>
    <t>易飛網</t>
  </si>
  <si>
    <t>寒舍</t>
  </si>
  <si>
    <t>天蔥</t>
  </si>
  <si>
    <t>五福</t>
  </si>
  <si>
    <t>豆府</t>
  </si>
  <si>
    <t>揚秦</t>
  </si>
  <si>
    <t>鼎固-KY</t>
  </si>
  <si>
    <t>東凌-KY</t>
  </si>
  <si>
    <t>集雅社</t>
  </si>
  <si>
    <t>三商家購</t>
  </si>
  <si>
    <t>振宇五金</t>
  </si>
  <si>
    <t>今皓</t>
  </si>
  <si>
    <t>同開</t>
  </si>
  <si>
    <t>科風</t>
  </si>
  <si>
    <t>建碁</t>
  </si>
  <si>
    <t>喬鼎</t>
  </si>
  <si>
    <t>立德</t>
  </si>
  <si>
    <t>泰偉</t>
  </si>
  <si>
    <t>全域</t>
  </si>
  <si>
    <t>天方能源</t>
  </si>
  <si>
    <t>新零售</t>
  </si>
  <si>
    <t>億杰</t>
  </si>
  <si>
    <t>及成</t>
  </si>
  <si>
    <t>寶島極</t>
  </si>
  <si>
    <t>弘塑</t>
  </si>
  <si>
    <t>正達</t>
  </si>
  <si>
    <t>基亞</t>
  </si>
  <si>
    <t>和進</t>
  </si>
  <si>
    <t>晟鈦</t>
  </si>
  <si>
    <t>鑫創</t>
  </si>
  <si>
    <t>點晶</t>
  </si>
  <si>
    <t>聯德</t>
  </si>
  <si>
    <t>斐成</t>
  </si>
  <si>
    <t>同泰</t>
  </si>
  <si>
    <t>新世紀</t>
  </si>
  <si>
    <t>台興</t>
  </si>
  <si>
    <t>進泰電子</t>
  </si>
  <si>
    <t>誠研</t>
  </si>
  <si>
    <t>御頂</t>
  </si>
  <si>
    <t>迎輝</t>
  </si>
  <si>
    <t>誠創</t>
  </si>
  <si>
    <t>其陽</t>
  </si>
  <si>
    <t>大塚</t>
  </si>
  <si>
    <t>聯合再生</t>
  </si>
  <si>
    <t>力銘</t>
  </si>
  <si>
    <t>地心引力</t>
  </si>
  <si>
    <t>研勤</t>
  </si>
  <si>
    <t>駿熠電</t>
  </si>
  <si>
    <t>安瑞-KY</t>
  </si>
  <si>
    <t>亞太電</t>
  </si>
  <si>
    <t>榮昌</t>
  </si>
  <si>
    <t>達能</t>
  </si>
  <si>
    <t>連展投控</t>
  </si>
  <si>
    <t>新晶投控</t>
  </si>
  <si>
    <t>天良</t>
  </si>
  <si>
    <t>晶宇</t>
  </si>
  <si>
    <t>樂威科-KY</t>
  </si>
  <si>
    <t>創源</t>
  </si>
  <si>
    <t>福永生技</t>
  </si>
  <si>
    <t>安克</t>
  </si>
  <si>
    <t>杏國</t>
  </si>
  <si>
    <t>欣大健康</t>
  </si>
  <si>
    <t>勝昱</t>
  </si>
  <si>
    <t>福大</t>
  </si>
  <si>
    <t>飛寶企業</t>
  </si>
  <si>
    <t>元勝</t>
  </si>
  <si>
    <t>宜新實業</t>
  </si>
  <si>
    <t>宏易</t>
  </si>
  <si>
    <t>橙的</t>
  </si>
  <si>
    <t>唐鋒</t>
  </si>
  <si>
    <t>南璋</t>
  </si>
  <si>
    <t>永昕</t>
  </si>
  <si>
    <t>熒茂</t>
  </si>
  <si>
    <t>合一</t>
  </si>
  <si>
    <t>國碳科</t>
  </si>
  <si>
    <t>誠泰科技</t>
  </si>
  <si>
    <t>上品</t>
  </si>
  <si>
    <t>昇華</t>
  </si>
  <si>
    <t>聯光通</t>
  </si>
  <si>
    <t>德英</t>
  </si>
  <si>
    <t>欣厚-KY</t>
  </si>
  <si>
    <t>太極</t>
  </si>
  <si>
    <t>兆遠</t>
  </si>
  <si>
    <t>辣椒</t>
  </si>
  <si>
    <t>牧東</t>
  </si>
  <si>
    <t>科誠</t>
  </si>
  <si>
    <t>中茂</t>
  </si>
  <si>
    <t>新鼎</t>
  </si>
  <si>
    <t>寶碩</t>
  </si>
  <si>
    <t>全訊</t>
  </si>
  <si>
    <t>立凱-KY</t>
  </si>
  <si>
    <t>達輝-KY</t>
  </si>
  <si>
    <t>尚凡</t>
  </si>
  <si>
    <t>寶得利</t>
  </si>
  <si>
    <t>太欣</t>
  </si>
  <si>
    <t>系統電</t>
  </si>
  <si>
    <t>天剛</t>
  </si>
  <si>
    <t>世紀</t>
  </si>
  <si>
    <t>士開</t>
  </si>
  <si>
    <t>建榮</t>
  </si>
  <si>
    <t>立衛</t>
  </si>
  <si>
    <t>天揚</t>
  </si>
  <si>
    <t>系通</t>
  </si>
  <si>
    <t>佳總</t>
  </si>
  <si>
    <t>力麗店</t>
  </si>
  <si>
    <t>合正</t>
  </si>
  <si>
    <t>金利</t>
  </si>
  <si>
    <t>昇益</t>
  </si>
  <si>
    <t>凱鈺</t>
  </si>
  <si>
    <t>德宏</t>
  </si>
  <si>
    <t>慧友</t>
  </si>
  <si>
    <t>松普</t>
  </si>
  <si>
    <t>鉅陞</t>
  </si>
  <si>
    <t>劍湖山</t>
  </si>
  <si>
    <t>亞都</t>
  </si>
  <si>
    <t>台名</t>
  </si>
  <si>
    <t>寬魚國際</t>
  </si>
  <si>
    <t>合邦</t>
  </si>
  <si>
    <t>亞元</t>
  </si>
  <si>
    <t>星寶國際</t>
  </si>
  <si>
    <t>友勁</t>
  </si>
  <si>
    <t>得利影</t>
  </si>
  <si>
    <t>百一</t>
  </si>
  <si>
    <t>久正</t>
  </si>
  <si>
    <t>昱泉</t>
  </si>
  <si>
    <t>凌泰</t>
  </si>
  <si>
    <t>天品</t>
  </si>
  <si>
    <t>上揚</t>
  </si>
  <si>
    <t>天瀚</t>
  </si>
  <si>
    <t>全譜</t>
  </si>
  <si>
    <t>康呈</t>
  </si>
  <si>
    <t>易通展</t>
  </si>
  <si>
    <t>立康</t>
  </si>
  <si>
    <t>茂迪</t>
  </si>
  <si>
    <t>淇譽電</t>
  </si>
  <si>
    <t>百徽</t>
  </si>
  <si>
    <t>富裔</t>
  </si>
  <si>
    <t>元隆</t>
  </si>
  <si>
    <t>華上</t>
  </si>
  <si>
    <t>沛亨</t>
  </si>
  <si>
    <t>通訊-KY</t>
  </si>
  <si>
    <t>京晨科</t>
  </si>
  <si>
    <t>光麗-KY</t>
  </si>
  <si>
    <t>藥華藥</t>
  </si>
  <si>
    <t>弘煜科</t>
  </si>
  <si>
    <t>生華科</t>
  </si>
  <si>
    <t>啟發電</t>
  </si>
  <si>
    <t>明達醫</t>
  </si>
  <si>
    <t>順藥</t>
  </si>
  <si>
    <t>泰福-KY</t>
  </si>
  <si>
    <t>高端疫苗</t>
  </si>
  <si>
    <t>勝品</t>
  </si>
  <si>
    <t>欣普羅</t>
  </si>
  <si>
    <t>宏觀</t>
  </si>
  <si>
    <t>醫揚</t>
  </si>
  <si>
    <t>逸達</t>
  </si>
  <si>
    <t>東典光電</t>
  </si>
  <si>
    <t>台康生技</t>
  </si>
  <si>
    <t>普鴻</t>
  </si>
  <si>
    <t>台灣銘板</t>
  </si>
  <si>
    <t>慧智</t>
  </si>
  <si>
    <t>特昇-KY</t>
  </si>
  <si>
    <t>萬年清</t>
  </si>
  <si>
    <t>泰金-KY</t>
  </si>
  <si>
    <t>均華</t>
  </si>
  <si>
    <t>台生材</t>
  </si>
  <si>
    <t>威健生技</t>
  </si>
  <si>
    <t>樂斯科</t>
  </si>
  <si>
    <t>鑫創電子</t>
  </si>
  <si>
    <t>雍智科技</t>
  </si>
  <si>
    <t>安格</t>
  </si>
  <si>
    <t>安碁資訊</t>
  </si>
  <si>
    <t>東捷資訊</t>
  </si>
  <si>
    <t>軒郁</t>
  </si>
  <si>
    <t>應廣</t>
  </si>
  <si>
    <t>亞泰金屬</t>
  </si>
  <si>
    <t>上洋</t>
  </si>
  <si>
    <t>博晟生醫</t>
  </si>
  <si>
    <t>亨泰光</t>
  </si>
  <si>
    <t>智聯服務</t>
  </si>
  <si>
    <t>叡揚</t>
  </si>
  <si>
    <t>穩得</t>
  </si>
  <si>
    <t>達亞</t>
  </si>
  <si>
    <t>台微醫</t>
  </si>
  <si>
    <t>力積電</t>
  </si>
  <si>
    <t>詠業</t>
  </si>
  <si>
    <t>森崴能源</t>
  </si>
  <si>
    <t>邑錡</t>
  </si>
  <si>
    <t>意德士</t>
  </si>
  <si>
    <t>雷虎</t>
  </si>
  <si>
    <t>長園科</t>
  </si>
  <si>
    <t>凱碩</t>
  </si>
  <si>
    <t>志旭</t>
  </si>
  <si>
    <t>全達</t>
  </si>
  <si>
    <t>洛碁</t>
  </si>
  <si>
    <t>永利聯合</t>
  </si>
  <si>
    <t>巨虹</t>
  </si>
  <si>
    <t>華鎂鑫</t>
  </si>
  <si>
    <t>建暐</t>
  </si>
  <si>
    <t>保銳</t>
  </si>
  <si>
    <t>華冠</t>
  </si>
  <si>
    <t>智捷</t>
  </si>
  <si>
    <t>商丞</t>
  </si>
  <si>
    <t>生展</t>
  </si>
  <si>
    <t>尚茂</t>
  </si>
  <si>
    <t>商之器</t>
  </si>
  <si>
    <t>實威</t>
  </si>
  <si>
    <t>旭源</t>
  </si>
  <si>
    <t>保綠-KY</t>
  </si>
  <si>
    <t>大拓-KY</t>
  </si>
  <si>
    <t>夠麻吉</t>
  </si>
  <si>
    <t>沈氏</t>
  </si>
  <si>
    <t>愛地雅</t>
  </si>
  <si>
    <t>邦泰</t>
  </si>
  <si>
    <t>合騏</t>
  </si>
  <si>
    <t>新天地</t>
  </si>
  <si>
    <t>偉聯</t>
  </si>
  <si>
    <t>中視</t>
  </si>
  <si>
    <t>秋雨</t>
  </si>
  <si>
    <t>琉園</t>
  </si>
  <si>
    <t>萬國通</t>
  </si>
  <si>
    <t>股本</t>
    <phoneticPr fontId="1" type="noConversion"/>
  </si>
  <si>
    <t>稅後淨利成長率</t>
    <phoneticPr fontId="1" type="noConversion"/>
  </si>
  <si>
    <t>營業利益成長率</t>
    <phoneticPr fontId="1" type="noConversion"/>
  </si>
  <si>
    <t>營收年增率</t>
    <phoneticPr fontId="1" type="noConversion"/>
  </si>
  <si>
    <t>營收期增率</t>
    <phoneticPr fontId="1" type="noConversion"/>
  </si>
  <si>
    <t>現金+股票股利</t>
  </si>
  <si>
    <t>盈餘(4)</t>
    <phoneticPr fontId="1" type="noConversion"/>
  </si>
  <si>
    <t>9借</t>
    <phoneticPr fontId="1" type="noConversion"/>
  </si>
  <si>
    <t>周k</t>
    <phoneticPr fontId="1" type="noConversion"/>
  </si>
  <si>
    <t>無</t>
    <phoneticPr fontId="1" type="noConversion"/>
  </si>
  <si>
    <t>主</t>
    <phoneticPr fontId="1" type="noConversion"/>
  </si>
  <si>
    <t>0.6</t>
    <phoneticPr fontId="1" type="noConversion"/>
  </si>
  <si>
    <t>4券</t>
    <phoneticPr fontId="1" type="noConversion"/>
  </si>
  <si>
    <t>9外</t>
    <phoneticPr fontId="1" type="noConversion"/>
  </si>
  <si>
    <t>6投</t>
    <phoneticPr fontId="1" type="noConversion"/>
  </si>
  <si>
    <t>6借</t>
    <phoneticPr fontId="1" type="noConversion"/>
  </si>
  <si>
    <t>2.6</t>
    <phoneticPr fontId="1" type="noConversion"/>
  </si>
  <si>
    <t>1.5</t>
    <phoneticPr fontId="1" type="noConversion"/>
  </si>
  <si>
    <t>2.3</t>
    <phoneticPr fontId="1" type="noConversion"/>
  </si>
  <si>
    <t>0.7</t>
    <phoneticPr fontId="1" type="noConversion"/>
  </si>
  <si>
    <t>0.75</t>
    <phoneticPr fontId="1" type="noConversion"/>
  </si>
  <si>
    <t>0.58</t>
    <phoneticPr fontId="1" type="noConversion"/>
  </si>
  <si>
    <t>6.25</t>
    <phoneticPr fontId="1" type="noConversion"/>
  </si>
  <si>
    <t>鈺鎧</t>
    <phoneticPr fontId="1" type="noConversion"/>
  </si>
  <si>
    <t>電感</t>
    <phoneticPr fontId="1" type="noConversion"/>
  </si>
  <si>
    <t>鼎基</t>
    <phoneticPr fontId="1" type="noConversion"/>
  </si>
  <si>
    <t>TPU</t>
    <phoneticPr fontId="1" type="noConversion"/>
  </si>
  <si>
    <t>月均量</t>
    <phoneticPr fontId="1" type="noConversion"/>
  </si>
  <si>
    <t>爆均量</t>
    <phoneticPr fontId="1" type="noConversion"/>
  </si>
  <si>
    <t>主力本比買</t>
    <phoneticPr fontId="1" type="noConversion"/>
  </si>
  <si>
    <t>主力本比賣</t>
    <phoneticPr fontId="1" type="noConversion"/>
  </si>
  <si>
    <t>主力連買</t>
    <phoneticPr fontId="1" type="noConversion"/>
  </si>
  <si>
    <t>主力連賣</t>
    <phoneticPr fontId="1" type="noConversion"/>
  </si>
  <si>
    <t>9融借</t>
    <phoneticPr fontId="1" type="noConversion"/>
  </si>
  <si>
    <t>5融</t>
    <phoneticPr fontId="1" type="noConversion"/>
  </si>
  <si>
    <t>32融</t>
    <phoneticPr fontId="1" type="noConversion"/>
  </si>
  <si>
    <t>4融主</t>
    <phoneticPr fontId="1" type="noConversion"/>
  </si>
  <si>
    <t>492外</t>
    <phoneticPr fontId="1" type="noConversion"/>
  </si>
  <si>
    <t>3融</t>
    <phoneticPr fontId="1" type="noConversion"/>
  </si>
  <si>
    <t>4主</t>
    <phoneticPr fontId="1" type="noConversion"/>
  </si>
  <si>
    <t>2借</t>
    <phoneticPr fontId="1" type="noConversion"/>
  </si>
  <si>
    <t>45外</t>
    <phoneticPr fontId="1" type="noConversion"/>
  </si>
  <si>
    <t>42外</t>
    <phoneticPr fontId="1" type="noConversion"/>
  </si>
  <si>
    <t>外主</t>
    <phoneticPr fontId="1" type="noConversion"/>
  </si>
  <si>
    <t>9自借</t>
    <phoneticPr fontId="1" type="noConversion"/>
  </si>
  <si>
    <t>52自</t>
    <phoneticPr fontId="1" type="noConversion"/>
  </si>
  <si>
    <t>352自</t>
    <phoneticPr fontId="1" type="noConversion"/>
  </si>
  <si>
    <t>2主</t>
    <phoneticPr fontId="1" type="noConversion"/>
  </si>
  <si>
    <t>42借</t>
    <phoneticPr fontId="1" type="noConversion"/>
  </si>
  <si>
    <t>9融</t>
    <phoneticPr fontId="1" type="noConversion"/>
  </si>
  <si>
    <t>342主</t>
    <phoneticPr fontId="1" type="noConversion"/>
  </si>
  <si>
    <t>融主</t>
    <phoneticPr fontId="1" type="noConversion"/>
  </si>
  <si>
    <t>外投主</t>
    <phoneticPr fontId="1" type="noConversion"/>
  </si>
  <si>
    <t>投主</t>
    <phoneticPr fontId="1" type="noConversion"/>
  </si>
  <si>
    <t>自投主</t>
    <phoneticPr fontId="1" type="noConversion"/>
  </si>
  <si>
    <t>融外借</t>
    <phoneticPr fontId="1" type="noConversion"/>
  </si>
  <si>
    <t>券主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</si>
</sst>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1"/>
      <color rgb="FF00B0F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</font>
    <font>
      <b/>
      <sz val="11"/>
      <color rgb="FF000000"/>
      <name val="新細明體"/>
      <family val="1"/>
      <charset val="136"/>
    </font>
    <font>
      <b/>
      <sz val="12"/>
      <color rgb="FFFFC000"/>
      <name val="新細明體"/>
      <family val="1"/>
      <charset val="136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38" fillId="0" borderId="0" applyFont="0" applyFill="0" applyBorder="0" applyAlignment="0" applyProtection="0">
      <alignment vertical="center"/>
    </xf>
    <xf numFmtId="43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</cellStyleXfs>
  <cellXfs count="417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78" fontId="11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39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3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40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1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2" fillId="0" borderId="0" xfId="1" applyNumberFormat="1" applyFont="1" applyAlignment="1" applyProtection="1">
      <alignment horizontal="left" vertical="center"/>
    </xf>
    <xf numFmtId="49" fontId="43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Alignment="1">
      <alignment horizontal="left" vertical="center"/>
    </xf>
    <xf numFmtId="176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vertical="center"/>
    </xf>
    <xf numFmtId="177" fontId="44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78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7" fontId="46" fillId="0" borderId="0" xfId="0" applyNumberFormat="1" applyFont="1" applyAlignment="1">
      <alignment horizontal="center" vertical="center"/>
    </xf>
    <xf numFmtId="177" fontId="46" fillId="0" borderId="0" xfId="0" applyNumberFormat="1" applyFont="1" applyAlignment="1">
      <alignment horizontal="right" vertical="center"/>
    </xf>
    <xf numFmtId="177" fontId="46" fillId="0" borderId="0" xfId="0" applyNumberFormat="1" applyFont="1" applyAlignment="1">
      <alignment horizontal="left" vertical="center"/>
    </xf>
    <xf numFmtId="177" fontId="47" fillId="0" borderId="0" xfId="0" applyNumberFormat="1" applyFont="1">
      <alignment vertical="center"/>
    </xf>
    <xf numFmtId="0" fontId="47" fillId="0" borderId="0" xfId="0" applyFont="1">
      <alignment vertical="center"/>
    </xf>
    <xf numFmtId="178" fontId="46" fillId="0" borderId="0" xfId="0" applyNumberFormat="1" applyFont="1" applyAlignment="1">
      <alignment horizontal="center" vertical="center"/>
    </xf>
    <xf numFmtId="178" fontId="46" fillId="0" borderId="0" xfId="0" applyNumberFormat="1" applyFont="1" applyAlignment="1">
      <alignment horizontal="right" vertical="center"/>
    </xf>
    <xf numFmtId="178" fontId="47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0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77" fontId="1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7" fillId="0" borderId="0" xfId="0" applyNumberFormat="1" applyFont="1" applyAlignment="1">
      <alignment horizontal="left" vertical="center"/>
    </xf>
    <xf numFmtId="0" fontId="40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0" fontId="9" fillId="0" borderId="0" xfId="0" applyNumberFormat="1" applyFont="1" applyFill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176" fontId="30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178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78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48" fillId="0" borderId="0" xfId="0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48" fillId="0" borderId="0" xfId="0" applyNumberFormat="1" applyFont="1" applyAlignment="1">
      <alignment horizontal="center" vertical="center"/>
    </xf>
    <xf numFmtId="0" fontId="44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7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center" vertical="center"/>
    </xf>
    <xf numFmtId="178" fontId="49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178" fontId="37" fillId="0" borderId="0" xfId="0" applyNumberFormat="1" applyFont="1" applyAlignment="1">
      <alignment horizontal="center" vertical="center"/>
    </xf>
    <xf numFmtId="178" fontId="15" fillId="0" borderId="0" xfId="0" applyNumberFormat="1" applyFont="1" applyAlignment="1">
      <alignment vertical="center"/>
    </xf>
    <xf numFmtId="178" fontId="18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center" vertical="center"/>
    </xf>
    <xf numFmtId="176" fontId="11" fillId="0" borderId="0" xfId="0" applyNumberFormat="1" applyFont="1" applyFill="1" applyAlignment="1">
      <alignment horizontal="right" vertical="center"/>
    </xf>
    <xf numFmtId="176" fontId="3" fillId="0" borderId="0" xfId="0" applyNumberFormat="1" applyFont="1" applyAlignment="1">
      <alignment horizontal="right" vertical="center"/>
    </xf>
    <xf numFmtId="0" fontId="27" fillId="0" borderId="0" xfId="0" applyNumberFormat="1" applyFont="1">
      <alignment vertical="center"/>
    </xf>
    <xf numFmtId="176" fontId="3" fillId="0" borderId="0" xfId="0" applyNumberFormat="1" applyFont="1" applyAlignment="1">
      <alignment vertical="center"/>
    </xf>
    <xf numFmtId="176" fontId="3" fillId="0" borderId="0" xfId="0" applyNumberFormat="1" applyFont="1">
      <alignment vertical="center"/>
    </xf>
    <xf numFmtId="176" fontId="3" fillId="0" borderId="0" xfId="0" applyNumberFormat="1" applyFont="1" applyAlignment="1">
      <alignment horizontal="left" vertical="center"/>
    </xf>
    <xf numFmtId="176" fontId="12" fillId="0" borderId="0" xfId="0" applyNumberFormat="1" applyFont="1" applyAlignment="1">
      <alignment horizontal="center" vertical="center"/>
    </xf>
    <xf numFmtId="176" fontId="10" fillId="0" borderId="0" xfId="0" applyNumberFormat="1" applyFont="1" applyAlignment="1">
      <alignment horizontal="center" vertical="center"/>
    </xf>
    <xf numFmtId="0" fontId="37" fillId="0" borderId="0" xfId="0" applyNumberFormat="1" applyFont="1" applyAlignment="1">
      <alignment horizontal="left" vertical="center"/>
    </xf>
    <xf numFmtId="177" fontId="7" fillId="0" borderId="0" xfId="0" applyNumberFormat="1" applyFont="1">
      <alignment vertical="center"/>
    </xf>
    <xf numFmtId="0" fontId="10" fillId="0" borderId="0" xfId="0" applyNumberFormat="1" applyFont="1" applyAlignment="1">
      <alignment horizontal="right" vertical="center"/>
    </xf>
    <xf numFmtId="0" fontId="10" fillId="0" borderId="0" xfId="0" applyNumberFormat="1" applyFont="1">
      <alignment vertic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10" fillId="0" borderId="0" xfId="0" applyNumberFormat="1" applyFont="1" applyAlignment="1">
      <alignment horizontal="left" vertical="center"/>
    </xf>
    <xf numFmtId="0" fontId="10" fillId="0" borderId="0" xfId="0" applyFont="1" applyFill="1">
      <alignment vertical="center"/>
    </xf>
    <xf numFmtId="178" fontId="10" fillId="0" borderId="0" xfId="0" applyNumberFormat="1" applyFont="1" applyAlignment="1">
      <alignment horizontal="right" vertical="center"/>
    </xf>
    <xf numFmtId="0" fontId="10" fillId="0" borderId="0" xfId="0" applyFont="1" applyAlignment="1">
      <alignment horizontal="left" vertical="center"/>
    </xf>
    <xf numFmtId="178" fontId="10" fillId="0" borderId="0" xfId="0" applyNumberFormat="1" applyFont="1" applyAlignment="1">
      <alignment horizontal="center" vertical="center"/>
    </xf>
    <xf numFmtId="0" fontId="36" fillId="0" borderId="0" xfId="0" applyNumberFormat="1" applyFont="1">
      <alignment vertical="center"/>
    </xf>
    <xf numFmtId="0" fontId="3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14" fontId="13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2" fillId="0" borderId="0" xfId="0" applyNumberFormat="1" applyFont="1" applyAlignment="1">
      <alignment horizontal="center" vertical="center"/>
    </xf>
    <xf numFmtId="49" fontId="52" fillId="0" borderId="0" xfId="0" applyNumberFormat="1" applyFont="1" applyAlignment="1">
      <alignment horizontal="center"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205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color rgb="FFFF00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b/>
        <i val="0"/>
        <color rgb="FF7030A0"/>
      </font>
    </dxf>
    <dxf>
      <font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0.99009900990099009</v>
        <stp/>
        <stp>5347</stp>
        <stp>ChangePercent</stp>
        <tr r="AN33" s="118"/>
      </tp>
      <tp>
        <v>-0.36363636363636365</v>
        <stp/>
        <stp>6477</stp>
        <stp>ChangePercent</stp>
        <tr r="AQ12" s="28"/>
      </tp>
      <tp>
        <v>-2.0689655172413794</v>
        <stp/>
        <stp>2387</stp>
        <stp>ChangePercent</stp>
        <tr r="AQ36" s="28"/>
      </tp>
      <tp>
        <v>-0.96153846153846156</v>
        <stp/>
        <stp>2317</stp>
        <stp>ChangePercent</stp>
        <tr r="AN2" s="118"/>
      </tp>
      <tp>
        <v>2.3465703971119134</v>
        <stp/>
        <stp>2207</stp>
        <stp>ChangePercent</stp>
        <tr r="AN29" s="118"/>
      </tp>
      <tp>
        <v>-2.0785219399538106</v>
        <stp/>
        <stp>3037</stp>
        <stp>ChangePercent</stp>
        <tr r="AN30" s="118"/>
      </tp>
      <tp>
        <v>1.2345679012345678</v>
        <stp/>
        <stp>8936</stp>
        <stp>ChangePercent</stp>
        <tr r="AQ32" s="28"/>
      </tp>
      <tp>
        <v>5.8344640434192669</v>
        <stp/>
        <stp>6446</stp>
        <stp>ChangePercent</stp>
        <tr r="AN38" s="118"/>
      </tp>
      <tp>
        <v>8.3690987124463518</v>
        <stp/>
        <stp>1476</stp>
        <stp>ChangePercent</stp>
        <tr r="AQ29" s="28"/>
      </tp>
      <tp>
        <v>-0.63532401524777637</v>
        <stp/>
        <stp>1326</stp>
        <stp>ChangePercent</stp>
        <tr r="AN11" s="118"/>
      </tp>
      <tp>
        <v>-0.89686098654708524</v>
        <stp/>
        <stp>1216</stp>
        <stp>ChangePercent</stp>
        <tr r="AN28" s="118"/>
      </tp>
      <tp>
        <v>0.39267015706806285</v>
        <stp/>
        <stp>2886</stp>
        <stp>ChangePercent</stp>
        <tr r="AN15" s="118"/>
      </tp>
      <tp>
        <v>-1.1111111111111112</v>
        <stp/>
        <stp>4735</stp>
        <stp>ChangePercent</stp>
        <tr r="AQ37" s="28"/>
      </tp>
      <tp>
        <v>0.11098779134295228</v>
        <stp/>
        <stp>6505</stp>
        <stp>ChangePercent</stp>
        <tr r="AN8" s="118"/>
      </tp>
      <tp>
        <v>-4.1916167664670656</v>
        <stp/>
        <stp>1325</stp>
        <stp>ChangePercent</stp>
        <tr r="AQ16" s="28"/>
      </tp>
      <tp>
        <v>0</v>
        <stp/>
        <stp>2615</stp>
        <stp>ChangePercent</stp>
        <tr r="AN23" s="118"/>
      </tp>
      <tp>
        <v>-1.2121212121212122</v>
        <stp/>
        <stp>2885</stp>
        <stp>ChangePercent</stp>
        <tr r="AN19" s="118"/>
      </tp>
      <tp>
        <v>0.25839793281653745</v>
        <stp/>
        <stp>3105</stp>
        <stp>ChangePercent</stp>
        <tr r="AN36" s="118"/>
      </tp>
      <tp>
        <v>-1.2195121951219512</v>
        <stp/>
        <stp>3015</stp>
        <stp>ChangePercent</stp>
        <tr r="AQ25" s="28"/>
      </tp>
      <tp>
        <v>0.46728971962616822</v>
        <stp/>
        <stp>3045</stp>
        <stp>ChangePercent</stp>
        <tr r="AN26" s="118"/>
      </tp>
      <tp>
        <v>0</v>
        <stp/>
        <stp>3265</stp>
        <stp>ChangePercent</stp>
        <tr r="AQ18" s="28"/>
      </tp>
      <tp>
        <v>-2.8</v>
        <stp/>
        <stp>5274</stp>
        <stp>ChangePercent</stp>
        <tr r="AN35" s="118"/>
      </tp>
      <tp>
        <v>1.0975609756097562</v>
        <stp/>
        <stp>2454</stp>
        <stp>ChangePercent</stp>
        <tr r="AN3" s="118"/>
      </tp>
      <tp>
        <v>0.98846787479406917</v>
        <stp/>
        <stp>2884</stp>
        <stp>ChangePercent</stp>
        <tr r="AN16" s="118"/>
      </tp>
      <tp>
        <v>1.1070110701107012</v>
        <stp/>
        <stp>3374</stp>
        <stp>ChangePercent</stp>
        <tr r="AQ27" s="28"/>
      </tp>
      <tp>
        <v>0.5376344086021505</v>
        <stp/>
        <stp>4743</stp>
        <stp>ChangePercent</stp>
        <tr r="AN40" s="118"/>
      </tp>
      <tp>
        <v>-0.84848484848484851</v>
        <stp/>
        <stp>4163</stp>
        <stp>ChangePercent</stp>
        <tr r="AQ24" s="28"/>
      </tp>
      <tp>
        <v>0</v>
        <stp/>
        <stp>5483</stp>
        <stp>ChangePercent</stp>
        <tr r="AN37" s="118"/>
      </tp>
      <tp>
        <v>-1.25</v>
        <stp/>
        <stp>5223</stp>
        <stp>ChangePercent</stp>
        <tr r="AQ26" s="28"/>
      </tp>
      <tp>
        <v>-4.3969849246231156</v>
        <stp/>
        <stp>6523</stp>
        <stp>ChangePercent</stp>
        <tr r="AQ17" s="28"/>
      </tp>
      <tp>
        <v>0</v>
        <stp/>
        <stp>1303</stp>
        <stp>ChangePercent</stp>
        <tr r="AN10" s="118"/>
      </tp>
      <tp>
        <v>-3.0201342281879193</v>
        <stp/>
        <stp>2603</stp>
        <stp>ChangePercent</stp>
        <tr r="AN22" s="118"/>
      </tp>
      <tp>
        <v>-1.6641452344931922</v>
        <stp/>
        <stp>3713</stp>
        <stp>ChangePercent</stp>
        <tr r="AQ33" s="28"/>
      </tp>
      <tp>
        <v>873.72</v>
        <stp/>
        <stp>$TWTNB</stp>
        <stp>PredictVolume</stp>
        <tr r="AO4" s="28"/>
      </tp>
      <tp>
        <v>-3.7288135593220337</v>
        <stp/>
        <stp>4432</stp>
        <stp>ChangePercent</stp>
        <tr r="AQ30" s="28"/>
      </tp>
      <tp>
        <v>-1.73053152039555</v>
        <stp/>
        <stp>4162</stp>
        <stp>ChangePercent</stp>
        <tr r="AQ19" s="28"/>
      </tp>
      <tp>
        <v>-3.6486486486486487</v>
        <stp/>
        <stp>1732</stp>
        <stp>ChangePercent</stp>
        <tr r="AQ14" s="28"/>
      </tp>
      <tp>
        <v>0.40160642570281124</v>
        <stp/>
        <stp>2412</stp>
        <stp>ChangePercent</stp>
        <tr r="AN25" s="118"/>
      </tp>
      <tp>
        <v>-1.1560693641618498</v>
        <stp/>
        <stp>2002</stp>
        <stp>ChangePercent</stp>
        <tr r="AN27" s="118"/>
      </tp>
      <tp>
        <v>-0.71770334928229662</v>
        <stp/>
        <stp>2382</stp>
        <stp>ChangePercent</stp>
        <tr r="AN7" s="118"/>
      </tp>
      <tp>
        <v>-3.103448275862069</v>
        <stp/>
        <stp>2882</stp>
        <stp>ChangePercent</stp>
        <tr r="AN13" s="118"/>
      </tp>
      <tp>
        <v>0</v>
        <stp/>
        <stp>2892</stp>
        <stp>ChangePercent</stp>
        <tr r="AN18" s="118"/>
      </tp>
      <tp>
        <v>1.1065006915629323</v>
        <stp/>
        <stp>3162</stp>
        <stp>ChangePercent</stp>
        <tr r="AQ35" s="28"/>
      </tp>
      <tp>
        <v>-0.17458535977054496</v>
        <stp/>
        <stp>TXF1</stp>
        <stp>ChangePercent</stp>
        <tr r="AQ1" s="28"/>
      </tp>
      <tp>
        <v>0</v>
        <stp/>
        <stp>5471</stp>
        <stp>ChangePercent</stp>
        <tr r="AQ31" s="28"/>
      </tp>
      <tp>
        <v>-1.3921113689095128</v>
        <stp/>
        <stp>5871</stp>
        <stp>ChangePercent</stp>
        <tr r="AN21" s="118"/>
      </tp>
      <tp>
        <v>-1.4492753623188406</v>
        <stp/>
        <stp>1301</stp>
        <stp>ChangePercent</stp>
        <tr r="AN9" s="118"/>
      </tp>
      <tp>
        <v>-0.83916083916083917</v>
        <stp/>
        <stp>2441</stp>
        <stp>ChangePercent</stp>
        <tr r="AQ22" s="28"/>
      </tp>
      <tp>
        <v>-1.3412816691505216</v>
        <stp/>
        <stp>2881</stp>
        <stp>ChangePercent</stp>
        <tr r="AN12" s="118"/>
      </tp>
      <tp>
        <v>-1.633393829401089</v>
        <stp/>
        <stp>2891</stp>
        <stp>ChangePercent</stp>
        <tr r="AN14" s="118"/>
      </tp>
      <tp>
        <v>0.83857442348008382</v>
        <stp/>
        <stp>3711</stp>
        <stp>ChangePercent</stp>
        <tr r="AN6" s="118"/>
      </tp>
      <tp>
        <v>-0.19083969465648856</v>
        <stp/>
        <stp>5880</stp>
        <stp>ChangePercent</stp>
        <tr r="AN17" s="118"/>
      </tp>
      <tp>
        <v>0.5791505791505791</v>
        <stp/>
        <stp>2330</stp>
        <stp>ChangePercent</stp>
        <tr r="AN1" s="118"/>
        <tr r="AN4" s="118"/>
      </tp>
      <tp>
        <v>0</v>
        <stp/>
        <stp>2880</stp>
        <stp>ChangePercent</stp>
        <tr r="AN20" s="118"/>
      </tp>
      <tp>
        <v>-13</v>
        <stp/>
        <stp>TXF1</stp>
        <stp>VolumeStrength</stp>
        <tr r="AN1" s="28"/>
      </tp>
      <tp>
        <v>9317.56</v>
        <stp/>
        <stp>$TWC100</stp>
        <stp>Price</stp>
        <tr r="T4" s="85"/>
      </tp>
      <tp>
        <v>225.18</v>
        <stp/>
        <stp>$TWOI50</stp>
        <stp>Price</stp>
        <tr r="T5" s="85"/>
      </tp>
      <tp>
        <v>0</v>
        <stp/>
        <stp>8069</stp>
        <stp>ChangePercent</stp>
        <tr r="AN32" s="118"/>
      </tp>
      <tp>
        <v>-1.95822454308094</v>
        <stp/>
        <stp>8299</stp>
        <stp>ChangePercent</stp>
        <tr r="AN39" s="118"/>
      </tp>
      <tp>
        <v>-4</v>
        <stp/>
        <stp>9919</stp>
        <stp>ChangePercent</stp>
        <tr r="AQ13" s="28"/>
      </tp>
      <tp>
        <v>-1.4778325123152709</v>
        <stp/>
        <stp>6179</stp>
        <stp>ChangePercent</stp>
        <tr r="AQ23" s="28"/>
      </tp>
      <tp>
        <v>-2.4390243902439024</v>
        <stp/>
        <stp>1309</stp>
        <stp>ChangePercent</stp>
        <tr r="AQ34" s="28"/>
      </tp>
      <tp>
        <v>-2.7450980392156863</v>
        <stp/>
        <stp>2609</stp>
        <stp>ChangePercent</stp>
        <tr r="AN24" s="118"/>
      </tp>
      <tp>
        <v>-1.214574898785425</v>
        <stp/>
        <stp>3529</stp>
        <stp>ChangePercent</stp>
        <tr r="AN34" s="118"/>
      </tp>
      <tp>
        <v>0.36036036036036034</v>
        <stp/>
        <stp>4128</stp>
        <stp>ChangePercent</stp>
        <tr r="AQ28" s="28"/>
      </tp>
      <tp>
        <v>-1.7216642754662841</v>
        <stp/>
        <stp>4938</stp>
        <stp>ChangePercent</stp>
        <tr r="AQ21" s="28"/>
      </tp>
      <tp>
        <v>-2.4154589371980677</v>
        <stp/>
        <stp>4958</stp>
        <stp>ChangePercent</stp>
        <tr r="AQ20" s="28"/>
      </tp>
      <tp>
        <v>-1.2820512820512822</v>
        <stp/>
        <stp>6558</stp>
        <stp>ChangePercent</stp>
        <tr r="AQ38" s="28"/>
      </tp>
      <tp>
        <v>1.1385199240986716</v>
        <stp/>
        <stp>6488</stp>
        <stp>ChangePercent</stp>
        <tr r="AN31" s="118"/>
      </tp>
      <tp>
        <v>0.62578222778473092</v>
        <stp/>
        <stp>1598</stp>
        <stp>ChangePercent</stp>
        <tr r="AQ39" s="28"/>
      </tp>
      <tp>
        <v>-1.3245033112582782</v>
        <stp/>
        <stp>2308</stp>
        <stp>ChangePercent</stp>
        <tr r="AN5" s="118"/>
      </tp>
      <tp>
        <v>2</v>
        <stp/>
        <stp>6417</stp>
        <stp>PredictVolume</stp>
        <tr r="AJ997" s="57"/>
      </tp>
      <tp>
        <v>4804</v>
        <stp/>
        <stp>6477</stp>
        <stp>PredictVolume</stp>
        <tr r="AM12" s="28"/>
        <tr r="AJ913" s="57"/>
      </tp>
      <tp>
        <v>159</v>
        <stp/>
        <stp>6457</stp>
        <stp>PredictVolume</stp>
        <tr r="AJ651" s="57"/>
      </tp>
      <tp>
        <v>26</v>
        <stp/>
        <stp>6527</stp>
        <stp>PredictVolume</stp>
        <tr r="AJ388" s="57"/>
      </tp>
      <tp>
        <v>4</v>
        <stp/>
        <stp>6577</stp>
        <stp>PredictVolume</stp>
        <tr r="AJ794" s="57"/>
      </tp>
      <tp>
        <v>1435</v>
        <stp/>
        <stp>6547</stp>
        <stp>PredictVolume</stp>
        <tr r="AJ391" s="57"/>
      </tp>
      <tp>
        <v>1</v>
        <stp/>
        <stp>6697</stp>
        <stp>PredictVolume</stp>
        <tr r="AJ1299" s="57"/>
      </tp>
      <tp>
        <v>404</v>
        <stp/>
        <stp>6667</stp>
        <stp>PredictVolume</stp>
        <tr r="AJ1762" s="57"/>
      </tp>
      <tp>
        <v>135</v>
        <stp/>
        <stp>6727</stp>
        <stp>PredictVolume</stp>
        <tr r="AJ1202" s="57"/>
      </tp>
      <tp>
        <v>0</v>
        <stp/>
        <stp>6767</stp>
        <stp>PredictVolume</stp>
        <tr r="AJ408" s="57"/>
      </tp>
      <tp>
        <v>5</v>
        <stp/>
        <stp>6747</stp>
        <stp>PredictVolume</stp>
        <tr r="AJ406" s="57"/>
      </tp>
      <tp>
        <v>145</v>
        <stp/>
        <stp>6197</stp>
        <stp>PredictVolume</stp>
        <tr r="AJ1172" s="57"/>
      </tp>
      <tp>
        <v>567</v>
        <stp/>
        <stp>6187</stp>
        <stp>PredictVolume</stp>
        <tr r="AJ1748" s="57"/>
      </tp>
      <tp>
        <v>221</v>
        <stp/>
        <stp>6127</stp>
        <stp>PredictVolume</stp>
        <tr r="AJ1157" s="57"/>
      </tp>
      <tp>
        <v>9</v>
        <stp/>
        <stp>6117</stp>
        <stp>PredictVolume</stp>
        <tr r="AJ776" s="57"/>
      </tp>
      <tp>
        <v>318</v>
        <stp/>
        <stp>6177</stp>
        <stp>PredictVolume</stp>
        <tr r="AJ1506" s="57"/>
      </tp>
      <tp>
        <v>306</v>
        <stp/>
        <stp>6167</stp>
        <stp>PredictVolume</stp>
        <tr r="AJ896" s="57"/>
      </tp>
      <tp>
        <v>1419</v>
        <stp/>
        <stp>6147</stp>
        <stp>PredictVolume</stp>
        <tr r="AJ632" s="57"/>
        <tr r="AJ67" s="114"/>
      </tp>
      <tp>
        <v>34</v>
        <stp/>
        <stp>6287</stp>
        <stp>PredictVolume</stp>
        <tr r="AJ645" s="57"/>
      </tp>
      <tp>
        <v>589</v>
        <stp/>
        <stp>6237</stp>
        <stp>PredictVolume</stp>
        <tr r="AJ639" s="57"/>
      </tp>
      <tp>
        <v>592</v>
        <stp/>
        <stp>6227</stp>
        <stp>PredictVolume</stp>
        <tr r="AJ1251" s="57"/>
      </tp>
      <tp>
        <v>1297</v>
        <stp/>
        <stp>6217</stp>
        <stp>PredictVolume</stp>
        <tr r="AJ1180" s="57"/>
      </tp>
      <tp>
        <v>115</v>
        <stp/>
        <stp>6207</stp>
        <stp>PredictVolume</stp>
        <tr r="AJ1176" s="57"/>
      </tp>
      <tp>
        <v>45</v>
        <stp/>
        <stp>6277</stp>
        <stp>PredictVolume</stp>
        <tr r="AJ790" s="57"/>
      </tp>
      <tp>
        <v>1923</v>
        <stp/>
        <stp>6257</stp>
        <stp>PredictVolume</stp>
        <tr r="AJ642" s="57"/>
        <tr r="AJ56" s="114"/>
      </tp>
      <tp>
        <v>1</v>
        <stp/>
        <stp>6247</stp>
        <stp>PredictVolume</stp>
        <tr r="AJ1753" s="57"/>
      </tp>
      <tp>
        <v>44</v>
        <stp/>
        <stp>6807</stp>
        <stp>PredictVolume</stp>
        <tr r="AJ1364" s="57"/>
      </tp>
      <tp>
        <v>165</v>
        <stp/>
        <stp>4417</stp>
        <stp>PredictVolume</stp>
        <tr r="AJ116" s="57"/>
      </tp>
      <tp>
        <v>0</v>
        <stp/>
        <stp>4527</stp>
        <stp>PredictVolume</stp>
        <tr r="AJ182" s="57"/>
      </tp>
      <tp>
        <v>20</v>
        <stp/>
        <stp>4557</stp>
        <stp>PredictVolume</stp>
        <tr r="AJ523" s="57"/>
      </tp>
      <tp>
        <v>12</v>
        <stp/>
        <stp>4737</stp>
        <stp>PredictVolume</stp>
        <tr r="AJ369" s="57"/>
      </tp>
      <tp>
        <v>470</v>
        <stp/>
        <stp>4707</stp>
        <stp>PredictVolume</stp>
        <tr r="AJ268" s="57"/>
      </tp>
      <tp>
        <v>3</v>
        <stp/>
        <stp>4767</stp>
        <stp>PredictVolume</stp>
        <tr r="AJ282" s="57"/>
      </tp>
      <tp>
        <v>4</v>
        <stp/>
        <stp>4747</stp>
        <stp>PredictVolume</stp>
        <tr r="AJ374" s="57"/>
      </tp>
      <tp>
        <v>144</v>
        <stp/>
        <stp>4137</stp>
        <stp>PredictVolume</stp>
        <tr r="AJ57" s="114"/>
        <tr r="AJ339" s="57"/>
      </tp>
      <tp>
        <v>1936</v>
        <stp/>
        <stp>4127</stp>
        <stp>PredictVolume</stp>
        <tr r="AJ333" s="57"/>
      </tp>
      <tp>
        <v>33</v>
        <stp/>
        <stp>4107</stp>
        <stp>PredictVolume</stp>
        <tr r="AJ322" s="57"/>
      </tp>
      <tp>
        <v>556</v>
        <stp/>
        <stp>4167</stp>
        <stp>PredictVolume</stp>
        <tr r="AJ355" s="57"/>
      </tp>
      <tp>
        <v>1193</v>
        <stp/>
        <stp>4157</stp>
        <stp>PredictVolume</stp>
        <tr r="AJ349" s="57"/>
      </tp>
      <tp>
        <v>580</v>
        <stp/>
        <stp>4147</stp>
        <stp>PredictVolume</stp>
        <tr r="AJ344" s="57"/>
      </tp>
      <tp>
        <v>1456</v>
        <stp/>
        <stp>4207</stp>
        <stp>PredictVolume</stp>
        <tr r="AJ39" s="57"/>
      </tp>
      <tp>
        <v>63</v>
        <stp/>
        <stp>4807</stp>
        <stp>PredictVolume</stp>
        <tr r="AJ1659" s="57"/>
      </tp>
      <tp>
        <v>30</v>
        <stp/>
        <stp>4987</stp>
        <stp>PredictVolume</stp>
        <tr r="AJ764" s="57"/>
      </tp>
      <tp>
        <v>2083</v>
        <stp/>
        <stp>4927</stp>
        <stp>PredictVolume</stp>
        <tr r="AJ1127" s="57"/>
        <tr r="AJ4" s="114"/>
        <tr r="AJ3" s="74"/>
      </tp>
      <tp>
        <v>3</v>
        <stp/>
        <stp>4907</stp>
        <stp>PredictVolume</stp>
        <tr r="AJ1483" s="57"/>
      </tp>
      <tp>
        <v>52</v>
        <stp/>
        <stp>4977</stp>
        <stp>PredictVolume</stp>
        <tr r="AJ72" s="114"/>
        <tr r="AJ977" s="57"/>
      </tp>
      <tp>
        <v>1080</v>
        <stp/>
        <stp>4967</stp>
        <stp>PredictVolume</stp>
        <tr r="AJ606" s="57"/>
      </tp>
      <tp>
        <v>21</v>
        <stp/>
        <stp>5487</stp>
        <stp>PredictVolume</stp>
        <tr r="AJ627" s="57"/>
      </tp>
      <tp>
        <v>290</v>
        <stp/>
        <stp>5457</stp>
        <stp>PredictVolume</stp>
        <tr r="AJ1145" s="57"/>
      </tp>
      <tp>
        <v>1440</v>
        <stp/>
        <stp>5607</stp>
        <stp>PredictVolume</stp>
        <tr r="AJ1541" s="57"/>
      </tp>
      <tp>
        <v>56</v>
        <stp/>
        <stp>5007</stp>
        <stp>PredictVolume</stp>
        <tr r="AJ464" s="57"/>
      </tp>
      <tp>
        <v>11</v>
        <stp/>
        <stp>5287</stp>
        <stp>PredictVolume</stp>
        <tr r="AJ1809" s="57"/>
      </tp>
      <tp>
        <v>322</v>
        <stp/>
        <stp>5227</stp>
        <stp>PredictVolume</stp>
        <tr r="AJ1134" s="57"/>
        <tr r="AJ61" s="28"/>
      </tp>
      <tp>
        <v>3938</v>
        <stp/>
        <stp>5347</stp>
        <stp>PredictVolume</stp>
        <tr r="AK33" s="118"/>
        <tr r="AJ621" s="57"/>
      </tp>
      <tp>
        <v>37</v>
        <stp/>
        <stp>5907</stp>
        <stp>PredictVolume</stp>
        <tr r="AJ1665" s="57"/>
      </tp>
      <tp>
        <v>4628</v>
        <stp/>
        <stp>2497</stp>
        <stp>PredictVolume</stp>
        <tr r="AJ520" s="57"/>
      </tp>
      <tp>
        <v>300</v>
        <stp/>
        <stp>2427</stp>
        <stp>PredictVolume</stp>
        <tr r="AJ1266" s="57"/>
      </tp>
      <tp>
        <v>4288</v>
        <stp/>
        <stp>2417</stp>
        <stp>PredictVolume</stp>
        <tr r="AJ720" s="57"/>
      </tp>
      <tp>
        <v>159</v>
        <stp/>
        <stp>2477</stp>
        <stp>PredictVolume</stp>
        <tr r="AJ1705" s="57"/>
      </tp>
      <tp>
        <v>101</v>
        <stp/>
        <stp>2467</stp>
        <stp>PredictVolume</stp>
        <tr r="AJ1049" s="57"/>
      </tp>
      <tp>
        <v>3314</v>
        <stp/>
        <stp>2457</stp>
        <stp>PredictVolume</stp>
        <tr r="AJ1046" s="57"/>
      </tp>
      <tp>
        <v>55</v>
        <stp/>
        <stp>2597</stp>
        <stp>PredictVolume</stp>
        <tr r="AJ1472" s="57"/>
      </tp>
      <tp>
        <v>2278</v>
        <stp/>
        <stp>2537</stp>
        <stp>PredictVolume</stp>
        <tr r="AJ1461" s="57"/>
      </tp>
      <tp>
        <v>259</v>
        <stp/>
        <stp>2527</stp>
        <stp>PredictVolume</stp>
        <tr r="AJ1455" s="57"/>
      </tp>
      <tp>
        <v>978</v>
        <stp/>
        <stp>2547</stp>
        <stp>PredictVolume</stp>
        <tr r="AJ1469" s="57"/>
      </tp>
      <tp>
        <v>30489</v>
        <stp/>
        <stp>2637</stp>
        <stp>PredictVolume</stp>
        <tr r="AJ1534" s="57"/>
      </tp>
      <tp>
        <v>1952</v>
        <stp/>
        <stp>2617</stp>
        <stp>PredictVolume</stp>
        <tr r="AJ1528" s="57"/>
      </tp>
      <tp>
        <v>11299</v>
        <stp/>
        <stp>2607</stp>
        <stp>PredictVolume</stp>
        <tr r="AJ1520" s="57"/>
      </tp>
      <tp>
        <v>131</v>
        <stp/>
        <stp>2727</stp>
        <stp>PredictVolume</stp>
        <tr r="AJ1562" s="57"/>
      </tp>
      <tp>
        <v>219</v>
        <stp/>
        <stp>2707</stp>
        <stp>PredictVolume</stp>
        <tr r="AJ1554" s="57"/>
      </tp>
      <tp>
        <v>26728</v>
        <stp/>
        <stp>2027</stp>
        <stp>PredictVolume</stp>
        <tr r="AJ448" s="57"/>
      </tp>
      <tp>
        <v>825</v>
        <stp/>
        <stp>2017</stp>
        <stp>PredictVolume</stp>
        <tr r="AJ442" s="57"/>
      </tp>
      <tp>
        <v>915</v>
        <stp/>
        <stp>2007</stp>
        <stp>PredictVolume</stp>
        <tr r="AJ434" s="57"/>
      </tp>
      <tp>
        <v>28</v>
        <stp/>
        <stp>2067</stp>
        <stp>PredictVolume</stp>
        <tr r="AJ163" s="57"/>
      </tp>
      <tp>
        <v>119</v>
        <stp/>
        <stp>2107</stp>
        <stp>PredictVolume</stp>
        <tr r="AJ486" s="57"/>
      </tp>
      <tp>
        <v>156</v>
        <stp/>
        <stp>2227</stp>
        <stp>PredictVolume</stp>
        <tr r="AJ511" s="57"/>
      </tp>
      <tp>
        <v>298</v>
        <stp/>
        <stp>2207</stp>
        <stp>PredictVolume</stp>
        <tr r="AK29" s="118"/>
        <tr r="AJ510" s="57"/>
      </tp>
      <tp>
        <v>22</v>
        <stp/>
        <stp>2247</stp>
        <stp>PredictVolume</stp>
        <tr r="AJ518" s="57"/>
      </tp>
      <tp>
        <v>12</v>
        <stp/>
        <stp>2397</stp>
        <stp>PredictVolume</stp>
        <tr r="AJ717" s="57"/>
      </tp>
      <tp>
        <v>568</v>
        <stp/>
        <stp>2387</stp>
        <stp>PredictVolume</stp>
        <tr r="AM36" s="28"/>
        <tr r="AJ715" s="57"/>
        <tr r="AJ34" s="114"/>
      </tp>
      <tp>
        <v>6080</v>
        <stp/>
        <stp>2337</stp>
        <stp>PredictVolume</stp>
        <tr r="AJ533" s="57"/>
      </tp>
      <tp>
        <v>2192</v>
        <stp/>
        <stp>2327</stp>
        <stp>PredictVolume</stp>
        <tr r="AJ19" s="114"/>
        <tr r="AJ1028" s="57"/>
      </tp>
      <tp>
        <v>19579</v>
        <stp/>
        <stp>2317</stp>
        <stp>PredictVolume</stp>
        <tr r="AK2" s="118"/>
        <tr r="AJ1693" s="57"/>
      </tp>
      <tp>
        <v>4581</v>
        <stp/>
        <stp>2377</stp>
        <stp>PredictVolume</stp>
        <tr r="AJ712" s="57"/>
      </tp>
      <tp>
        <v>607</v>
        <stp/>
        <stp>2367</stp>
        <stp>PredictVolume</stp>
        <tr r="AJ1031" s="57"/>
      </tp>
      <tp>
        <v>2053</v>
        <stp/>
        <stp>2357</stp>
        <stp>PredictVolume</stp>
        <tr r="AJ707" s="57"/>
      </tp>
      <tp>
        <v>6882</v>
        <stp/>
        <stp>2347</stp>
        <stp>PredictVolume</stp>
        <tr r="AJ1228" s="57"/>
      </tp>
      <tp>
        <v>6367</v>
        <stp/>
        <stp>2897</stp>
        <stp>PredictVolume</stp>
        <tr r="AJ1622" s="57"/>
      </tp>
      <tp>
        <v>28469</v>
        <stp/>
        <stp>2887</stp>
        <stp>PredictVolume</stp>
        <tr r="AJ1616" s="57"/>
      </tp>
      <tp>
        <v>3137</v>
        <stp/>
        <stp>2867</stp>
        <stp>PredictVolume</stp>
        <tr r="AJ1608" s="57"/>
      </tp>
      <tp>
        <v>10</v>
        <stp/>
        <stp>2937</stp>
        <stp>PredictVolume</stp>
        <tr r="AJ1654" s="57"/>
      </tp>
      <tp>
        <v>10</v>
        <stp/>
        <stp>2947</stp>
        <stp>PredictVolume</stp>
        <tr r="AJ1657" s="57"/>
      </tp>
      <tp>
        <v>444</v>
        <stp/>
        <stp>3437</stp>
        <stp>PredictVolume</stp>
        <tr r="AJ842" s="57"/>
      </tp>
      <tp>
        <v>25</v>
        <stp/>
        <stp>3597</stp>
        <stp>PredictVolume</stp>
        <tr r="AJ1111" s="57"/>
      </tp>
      <tp>
        <v>262</v>
        <stp/>
        <stp>3587</stp>
        <stp>PredictVolume</stp>
        <tr r="AJ1730" s="57"/>
      </tp>
      <tp>
        <v>282</v>
        <stp/>
        <stp>3537</stp>
        <stp>PredictVolume</stp>
        <tr r="AJ1107" s="57"/>
      </tp>
      <tp>
        <v>1157</v>
        <stp/>
        <stp>3527</stp>
        <stp>PredictVolume</stp>
        <tr r="AJ581" s="57"/>
      </tp>
      <tp>
        <v>35</v>
        <stp/>
        <stp>3577</stp>
        <stp>PredictVolume</stp>
        <tr r="AJ750" s="57"/>
      </tp>
      <tp>
        <v>70</v>
        <stp/>
        <stp>3567</stp>
        <stp>PredictVolume</stp>
        <tr r="AJ589" s="57"/>
      </tp>
      <tp>
        <v>70</v>
        <stp/>
        <stp>3557</stp>
        <stp>PredictVolume</stp>
        <tr r="AJ83" s="114"/>
        <tr r="AJ1325" s="57"/>
      </tp>
      <tp>
        <v>424</v>
        <stp/>
        <stp>3687</stp>
        <stp>PredictVolume</stp>
        <tr r="AJ1807" s="57"/>
      </tp>
      <tp>
        <v>46</v>
        <stp/>
        <stp>3617</stp>
        <stp>PredictVolume</stp>
        <tr r="AJ1731" s="57"/>
      </tp>
      <tp>
        <v>385</v>
        <stp/>
        <stp>3607</stp>
        <stp>PredictVolume</stp>
        <tr r="AJ1113" s="57"/>
      </tp>
      <tp>
        <v>9353</v>
        <stp/>
        <stp>3707</stp>
        <stp>PredictVolume</stp>
        <tr r="AJ598" s="57"/>
      </tp>
      <tp>
        <v>17388</v>
        <stp/>
        <stp>3037</stp>
        <stp>PredictVolume</stp>
        <tr r="AK30" s="118"/>
        <tr r="AJ23" s="114"/>
        <tr r="AJ1064" s="57"/>
      </tp>
      <tp>
        <v>240</v>
        <stp/>
        <stp>3027</stp>
        <stp>PredictVolume</stp>
        <tr r="AJ943" s="57"/>
      </tp>
      <tp>
        <v>7214</v>
        <stp/>
        <stp>3017</stp>
        <stp>PredictVolume</stp>
        <tr r="AJ18" s="114"/>
        <tr r="AJ5" s="74"/>
        <tr r="AJ728" s="57"/>
      </tp>
      <tp>
        <v>0</v>
        <stp/>
        <stp>3067</stp>
        <stp>PredictVolume</stp>
        <tr r="AJ1712" s="57"/>
      </tp>
      <tp>
        <v>39</v>
        <stp/>
        <stp>3057</stp>
        <stp>PredictVolume</stp>
        <tr r="AJ731" s="57"/>
      </tp>
      <tp>
        <v>467</v>
        <stp/>
        <stp>3047</stp>
        <stp>PredictVolume</stp>
        <tr r="AJ945" s="57"/>
      </tp>
      <tp>
        <v>175</v>
        <stp/>
        <stp>3167</stp>
        <stp>PredictVolume</stp>
        <tr r="AJ170" s="57"/>
      </tp>
      <tp>
        <v>31</v>
        <stp/>
        <stp>3147</stp>
        <stp>PredictVolume</stp>
        <tr r="AJ1305" s="57"/>
      </tp>
      <tp>
        <v>28</v>
        <stp/>
        <stp>3297</stp>
        <stp>PredictVolume</stp>
        <tr r="AJ835" s="57"/>
      </tp>
      <tp>
        <v>62</v>
        <stp/>
        <stp>3287</stp>
        <stp>PredictVolume</stp>
        <tr r="AJ739" s="57"/>
      </tp>
      <tp>
        <v>267</v>
        <stp/>
        <stp>3227</stp>
        <stp>PredictVolume</stp>
        <tr r="AJ567" s="57"/>
      </tp>
      <tp>
        <v>916</v>
        <stp/>
        <stp>3217</stp>
        <stp>PredictVolume</stp>
        <tr r="AJ1077" s="57"/>
      </tp>
      <tp>
        <v>1953</v>
        <stp/>
        <stp>3207</stp>
        <stp>PredictVolume</stp>
        <tr r="AJ1076" s="57"/>
      </tp>
      <tp>
        <v>79</v>
        <stp/>
        <stp>3257</stp>
        <stp>PredictVolume</stp>
        <tr r="AJ569" s="57"/>
      </tp>
      <tp>
        <v>2377</v>
        <stp/>
        <stp>3317</stp>
        <stp>PredictVolume</stp>
        <tr r="AJ575" s="57"/>
      </tp>
      <tp>
        <v>68</v>
        <stp/>
        <stp>3357</stp>
        <stp>PredictVolume</stp>
        <tr r="AJ76" s="114"/>
        <tr r="AJ1093" s="57"/>
      </tp>
      <tp>
        <v>541</v>
        <stp/>
        <stp>1437</stp>
        <stp>PredictVolume</stp>
        <tr r="AJ1311" s="57"/>
      </tp>
      <tp>
        <v>112</v>
        <stp/>
        <stp>1417</stp>
        <stp>PredictVolume</stp>
        <tr r="AJ75" s="57"/>
      </tp>
      <tp>
        <v>3104</v>
        <stp/>
        <stp>1477</stp>
        <stp>PredictVolume</stp>
        <tr r="AJ11" s="74"/>
        <tr r="AJ110" s="57"/>
        <tr r="AJ61" s="114"/>
        <tr r="AJ53" s="28"/>
      </tp>
      <tp>
        <v>415</v>
        <stp/>
        <stp>1467</stp>
        <stp>PredictVolume</stp>
        <tr r="AJ102" s="57"/>
      </tp>
      <tp>
        <v>194</v>
        <stp/>
        <stp>1457</stp>
        <stp>PredictVolume</stp>
        <tr r="AJ95" s="57"/>
      </tp>
      <tp>
        <v>926</v>
        <stp/>
        <stp>1447</stp>
        <stp>PredictVolume</stp>
        <tr r="AJ87" s="57"/>
      </tp>
      <tp>
        <v>41</v>
        <stp/>
        <stp>1597</stp>
        <stp>PredictVolume</stp>
        <tr r="AJ159" s="57"/>
      </tp>
      <tp>
        <v>58</v>
        <stp/>
        <stp>1587</stp>
        <stp>PredictVolume</stp>
        <tr r="AJ505" s="57"/>
      </tp>
      <tp>
        <v>110</v>
        <stp/>
        <stp>1537</stp>
        <stp>PredictVolume</stp>
        <tr r="AJ145" s="57"/>
      </tp>
      <tp>
        <v>309</v>
        <stp/>
        <stp>1527</stp>
        <stp>PredictVolume</stp>
        <tr r="AJ138" s="57"/>
      </tp>
      <tp>
        <v>452</v>
        <stp/>
        <stp>1517</stp>
        <stp>PredictVolume</stp>
        <tr r="AJ135" s="57"/>
      </tp>
      <tp t="s">
        <v>商品錯誤</v>
        <stp/>
        <stp>1507</stp>
        <stp>PredictVolume</stp>
        <tr r="AJ131" s="57"/>
      </tp>
      <tp>
        <v>31</v>
        <stp/>
        <stp>1617</stp>
        <stp>PredictVolume</stp>
        <tr r="AJ235" s="57"/>
      </tp>
      <tp>
        <v>138</v>
        <stp/>
        <stp>1737</stp>
        <stp>PredictVolume</stp>
        <tr r="AJ36" s="57"/>
      </tp>
      <tp>
        <v>2082</v>
        <stp/>
        <stp>1727</stp>
        <stp>PredictVolume</stp>
        <tr r="AJ258" s="57"/>
      </tp>
      <tp>
        <v>5651</v>
        <stp/>
        <stp>1717</stp>
        <stp>PredictVolume</stp>
        <tr r="AJ251" s="57"/>
      </tp>
      <tp>
        <v>123</v>
        <stp/>
        <stp>1707</stp>
        <stp>PredictVolume</stp>
        <tr r="AJ49" s="114"/>
        <tr r="AJ293" s="57"/>
      </tp>
      <tp>
        <v>44</v>
        <stp/>
        <stp>1777</stp>
        <stp>PredictVolume</stp>
        <tr r="AJ302" s="57"/>
      </tp>
      <tp>
        <v>641</v>
        <stp/>
        <stp>1227</stp>
        <stp>PredictVolume</stp>
        <tr r="AJ24" s="57"/>
      </tp>
      <tp>
        <v>3759</v>
        <stp/>
        <stp>1217</stp>
        <stp>PredictVolume</stp>
        <tr r="AJ19" s="57"/>
      </tp>
      <tp>
        <v>171</v>
        <stp/>
        <stp>1337</stp>
        <stp>PredictVolume</stp>
        <tr r="AJ59" s="57"/>
      </tp>
      <tp>
        <v>100</v>
        <stp/>
        <stp>1307</stp>
        <stp>PredictVolume</stp>
        <tr r="AJ46" s="57"/>
      </tp>
      <tp>
        <v>115</v>
        <stp/>
        <stp>1817</stp>
        <stp>PredictVolume</stp>
        <tr r="AJ421" s="57"/>
      </tp>
      <tp>
        <v>2020</v>
        <stp/>
        <stp>1907</stp>
        <stp>PredictVolume</stp>
        <tr r="AJ428" s="57"/>
      </tp>
      <tp>
        <v>20</v>
        <stp/>
        <stp>8437</stp>
        <stp>PredictVolume</stp>
        <tr r="AJ1379" s="57"/>
      </tp>
      <tp>
        <v>12</v>
        <stp/>
        <stp>8477</stp>
        <stp>PredictVolume</stp>
        <tr r="AJ1814" s="57"/>
      </tp>
      <tp>
        <v>48</v>
        <stp/>
        <stp>8467</stp>
        <stp>PredictVolume</stp>
        <tr r="AJ1387" s="57"/>
      </tp>
      <tp>
        <v>1481</v>
        <stp/>
        <stp>8097</stp>
        <stp>PredictVolume</stp>
        <tr r="AJ1013" s="57"/>
      </tp>
      <tp>
        <v>837</v>
        <stp/>
        <stp>8087</stp>
        <stp>PredictVolume</stp>
        <tr r="AJ922" s="57"/>
      </tp>
      <tp>
        <v>580</v>
        <stp/>
        <stp>8027</stp>
        <stp>PredictVolume</stp>
        <tr r="AJ215" s="57"/>
      </tp>
      <tp>
        <v>6</v>
        <stp/>
        <stp>8077</stp>
        <stp>PredictVolume</stp>
        <tr r="AJ1587" s="57"/>
      </tp>
      <tp>
        <v>4</v>
        <stp/>
        <stp>8067</stp>
        <stp>PredictVolume</stp>
        <tr r="AJ1257" s="57"/>
      </tp>
      <tp>
        <v>69</v>
        <stp/>
        <stp>8047</stp>
        <stp>PredictVolume</stp>
        <tr r="AJ1769" s="57"/>
      </tp>
      <tp>
        <v>34</v>
        <stp/>
        <stp>8107</stp>
        <stp>PredictVolume</stp>
        <tr r="AJ217" s="57"/>
      </tp>
      <tp>
        <v>83</v>
        <stp/>
        <stp>8147</stp>
        <stp>PredictVolume</stp>
        <tr r="AJ1218" s="57"/>
      </tp>
      <tp>
        <v>86</v>
        <stp/>
        <stp>8277</stp>
        <stp>PredictVolume</stp>
        <tr r="AJ695" s="57"/>
      </tp>
      <tp>
        <v>62</v>
        <stp/>
        <stp>8367</stp>
        <stp>PredictVolume</stp>
        <tr r="AJ1544" s="57"/>
      </tp>
      <tp>
        <v>21</v>
        <stp/>
        <stp>8937</stp>
        <stp>PredictVolume</stp>
        <tr r="AJ1407" s="57"/>
      </tp>
      <tp>
        <v>288</v>
        <stp/>
        <stp>8927</stp>
        <stp>PredictVolume</stp>
        <tr r="AJ1688" s="57"/>
      </tp>
      <tp>
        <v>0</v>
        <stp/>
        <stp>8917</stp>
        <stp>PredictVolume</stp>
        <tr r="AJ1679" s="57"/>
      </tp>
      <tp>
        <v>14</v>
        <stp/>
        <stp>9937</stp>
        <stp>PredictVolume</stp>
        <tr r="AJ1686" s="57"/>
      </tp>
      <tp>
        <v>888</v>
        <stp/>
        <stp>9927</stp>
        <stp>PredictVolume</stp>
        <tr r="AJ1423" s="57"/>
      </tp>
      <tp>
        <v>153</v>
        <stp/>
        <stp>9917</stp>
        <stp>PredictVolume</stp>
        <tr r="AJ1418" s="57"/>
      </tp>
      <tp>
        <v>7670</v>
        <stp/>
        <stp>9907</stp>
        <stp>PredictVolume</stp>
        <tr r="AJ1414" s="57"/>
      </tp>
      <tp>
        <v>13</v>
        <stp/>
        <stp>6496</stp>
        <stp>PredictVolume</stp>
        <tr r="AJ385" s="57"/>
      </tp>
      <tp>
        <v>38</v>
        <stp/>
        <stp>6486</stp>
        <stp>PredictVolume</stp>
        <tr r="AJ1001" s="57"/>
      </tp>
      <tp>
        <v>26</v>
        <stp/>
        <stp>6426</stp>
        <stp>PredictVolume</stp>
        <tr r="AJ998" s="57"/>
      </tp>
      <tp>
        <v>58</v>
        <stp/>
        <stp>6416</stp>
        <stp>PredictVolume</stp>
        <tr r="AJ996" s="57"/>
      </tp>
      <tp>
        <v>2005</v>
        <stp/>
        <stp>6456</stp>
        <stp>PredictVolume</stp>
        <tr r="AJ82" s="114"/>
        <tr r="AJ912" s="57"/>
      </tp>
      <tp>
        <v>3450</v>
        <stp/>
        <stp>6446</stp>
        <stp>PredictVolume</stp>
        <tr r="AK38" s="118"/>
        <tr r="AJ379" s="57"/>
      </tp>
      <tp>
        <v>49</v>
        <stp/>
        <stp>6596</stp>
        <stp>PredictVolume</stp>
        <tr r="AJ1798" s="57"/>
      </tp>
      <tp>
        <v>5</v>
        <stp/>
        <stp>6516</stp>
        <stp>PredictVolume</stp>
        <tr r="AJ1295" s="57"/>
      </tp>
      <tp>
        <v>1382</v>
        <stp/>
        <stp>6506</stp>
        <stp>PredictVolume</stp>
        <tr r="AJ285" s="57"/>
      </tp>
      <tp>
        <v>507</v>
        <stp/>
        <stp>6576</stp>
        <stp>PredictVolume</stp>
        <tr r="AJ394" s="57"/>
      </tp>
      <tp>
        <v>1</v>
        <stp/>
        <stp>6556</stp>
        <stp>PredictVolume</stp>
        <tr r="AJ914" s="57"/>
      </tp>
      <tp>
        <v>80</v>
        <stp/>
        <stp>6616</stp>
        <stp>PredictVolume</stp>
        <tr r="AJ1349" s="57"/>
      </tp>
      <tp>
        <v>18</v>
        <stp/>
        <stp>6666</stp>
        <stp>PredictVolume</stp>
        <tr r="AJ402" s="57"/>
      </tp>
      <tp>
        <v>39</v>
        <stp/>
        <stp>6716</stp>
        <stp>PredictVolume</stp>
        <tr r="AJ674" s="57"/>
      </tp>
      <tp>
        <v>1639</v>
        <stp/>
        <stp>6706</stp>
        <stp>PredictVolume</stp>
        <tr r="AJ917" s="57"/>
      </tp>
      <tp>
        <v>31</v>
        <stp/>
        <stp>6776</stp>
        <stp>PredictVolume</stp>
        <tr r="AJ1255" s="57"/>
      </tp>
      <tp>
        <v>631</v>
        <stp/>
        <stp>6756</stp>
        <stp>PredictVolume</stp>
        <tr r="AJ74" s="114"/>
        <tr r="AJ677" s="57"/>
      </tp>
      <tp>
        <v>4615</v>
        <stp/>
        <stp>6026</stp>
        <stp>PredictVolume</stp>
        <tr r="AJ1635" s="57"/>
      </tp>
      <tp>
        <v>1843</v>
        <stp/>
        <stp>6016</stp>
        <stp>PredictVolume</stp>
        <tr r="AJ1630" s="57"/>
      </tp>
      <tp>
        <v>789</v>
        <stp/>
        <stp>6196</stp>
        <stp>PredictVolume</stp>
        <tr r="AJ1750" s="57"/>
      </tp>
      <tp>
        <v>945</v>
        <stp/>
        <stp>6186</stp>
        <stp>PredictVolume</stp>
        <tr r="AJ1507" s="57"/>
      </tp>
      <tp>
        <v>66</v>
        <stp/>
        <stp>6136</stp>
        <stp>PredictVolume</stp>
        <tr r="AJ983" s="57"/>
      </tp>
      <tp>
        <v>282</v>
        <stp/>
        <stp>6126</stp>
        <stp>PredictVolume</stp>
        <tr r="AJ1156" s="57"/>
      </tp>
      <tp>
        <v>9820</v>
        <stp/>
        <stp>6116</stp>
        <stp>PredictVolume</stp>
        <tr r="AJ892" s="57"/>
      </tp>
      <tp>
        <v>1751</v>
        <stp/>
        <stp>6176</stp>
        <stp>PredictVolume</stp>
        <tr r="AJ17" s="74"/>
        <tr r="AJ89" s="114"/>
        <tr r="AJ898" s="57"/>
      </tp>
      <tp>
        <v>68</v>
        <stp/>
        <stp>6166</stp>
        <stp>PredictVolume</stp>
        <tr r="AJ783" s="57"/>
      </tp>
      <tp>
        <v>121</v>
        <stp/>
        <stp>6156</stp>
        <stp>PredictVolume</stp>
        <tr r="AJ1163" s="57"/>
      </tp>
      <tp>
        <v>83</v>
        <stp/>
        <stp>6146</stp>
        <stp>PredictVolume</stp>
        <tr r="AJ1746" s="57"/>
      </tp>
      <tp>
        <v>8</v>
        <stp/>
        <stp>6236</stp>
        <stp>PredictVolume</stp>
        <tr r="AJ1343" s="57"/>
      </tp>
      <tp>
        <v>555</v>
        <stp/>
        <stp>6226</stp>
        <stp>PredictVolume</stp>
        <tr r="AJ902" s="57"/>
      </tp>
      <tp>
        <v>4016</v>
        <stp/>
        <stp>6216</stp>
        <stp>PredictVolume</stp>
        <tr r="AJ990" s="57"/>
      </tp>
      <tp>
        <v>127</v>
        <stp/>
        <stp>6206</stp>
        <stp>PredictVolume</stp>
        <tr r="AJ785" s="57"/>
      </tp>
      <tp>
        <v>11</v>
        <stp/>
        <stp>6276</stp>
        <stp>PredictVolume</stp>
        <tr r="AJ789" s="57"/>
      </tp>
      <tp>
        <v>308</v>
        <stp/>
        <stp>6266</stp>
        <stp>PredictVolume</stp>
        <tr r="AJ1185" s="57"/>
      </tp>
      <tp>
        <v>22</v>
        <stp/>
        <stp>6246</stp>
        <stp>PredictVolume</stp>
        <tr r="AJ905" s="57"/>
      </tp>
      <tp>
        <v>19</v>
        <stp/>
        <stp>6826</stp>
        <stp>PredictVolume</stp>
        <tr r="AJ1767" s="57"/>
      </tp>
      <tp>
        <v>1019</v>
        <stp/>
        <stp>6806</stp>
        <stp>PredictVolume</stp>
        <tr r="AJ1363" s="57"/>
        <tr r="AJ62" s="28"/>
      </tp>
      <tp>
        <v>5</v>
        <stp/>
        <stp>7556</stp>
        <stp>PredictVolume</stp>
        <tr r="AJ681" s="57"/>
      </tp>
      <tp>
        <v>1073</v>
        <stp/>
        <stp>4426</stp>
        <stp>PredictVolume</stp>
        <tr r="AJ119" s="57"/>
      </tp>
      <tp>
        <v>5</v>
        <stp/>
        <stp>4416</stp>
        <stp>PredictVolume</stp>
        <tr r="AJ1482" s="57"/>
      </tp>
      <tp>
        <v>266</v>
        <stp/>
        <stp>4406</stp>
        <stp>PredictVolume</stp>
        <tr r="AJ113" s="57"/>
      </tp>
      <tp>
        <v>47</v>
        <stp/>
        <stp>4536</stp>
        <stp>PredictVolume</stp>
        <tr r="AJ1328" s="57"/>
      </tp>
      <tp>
        <v>164</v>
        <stp/>
        <stp>4526</stp>
        <stp>PredictVolume</stp>
        <tr r="AJ181" s="57"/>
      </tp>
      <tp>
        <v>27</v>
        <stp/>
        <stp>4506</stp>
        <stp>PredictVolume</stp>
        <tr r="AJ177" s="57"/>
      </tp>
      <tp>
        <v>41</v>
        <stp/>
        <stp>4576</stp>
        <stp>PredictVolume</stp>
        <tr r="AJ206" s="57"/>
      </tp>
      <tp>
        <v>38</v>
        <stp/>
        <stp>4566</stp>
        <stp>PredictVolume</stp>
        <tr r="AJ202" s="57"/>
      </tp>
      <tp>
        <v>0</v>
        <stp/>
        <stp>4556</stp>
        <stp>PredictVolume</stp>
        <tr r="AJ1330" s="57"/>
      </tp>
      <tp>
        <v>14120</v>
        <stp/>
        <stp>4736</stp>
        <stp>PredictVolume</stp>
        <tr r="AJ368" s="57"/>
      </tp>
      <tp>
        <v>201</v>
        <stp/>
        <stp>4726</stp>
        <stp>PredictVolume</stp>
        <tr r="AJ365" s="57"/>
      </tp>
      <tp>
        <v>479</v>
        <stp/>
        <stp>4716</stp>
        <stp>PredictVolume</stp>
        <tr r="AJ271" s="57"/>
      </tp>
      <tp>
        <v>16</v>
        <stp/>
        <stp>4706</stp>
        <stp>PredictVolume</stp>
        <tr r="AJ267" s="57"/>
      </tp>
      <tp>
        <v>32</v>
        <stp/>
        <stp>4766</stp>
        <stp>PredictVolume</stp>
        <tr r="AJ281" s="57"/>
      </tp>
      <tp>
        <v>1904</v>
        <stp/>
        <stp>4746</stp>
        <stp>PredictVolume</stp>
        <tr r="AJ373" s="57"/>
      </tp>
      <tp>
        <v>83</v>
        <stp/>
        <stp>4126</stp>
        <stp>PredictVolume</stp>
        <tr r="AJ332" s="57"/>
      </tp>
      <tp>
        <v>2997</v>
        <stp/>
        <stp>4116</stp>
        <stp>PredictVolume</stp>
        <tr r="AJ327" s="57"/>
      </tp>
      <tp>
        <v>4358</v>
        <stp/>
        <stp>4106</stp>
        <stp>PredictVolume</stp>
        <tr r="AJ321" s="57"/>
      </tp>
      <tp>
        <v>845</v>
        <stp/>
        <stp>4306</stp>
        <stp>PredictVolume</stp>
        <tr r="AJ65" s="57"/>
      </tp>
      <tp>
        <v>2</v>
        <stp/>
        <stp>4806</stp>
        <stp>PredictVolume</stp>
        <tr r="AJ1786" s="57"/>
      </tp>
      <tp>
        <v>441</v>
        <stp/>
        <stp>4916</stp>
        <stp>PredictVolume</stp>
        <tr r="AJ760" s="57"/>
      </tp>
      <tp>
        <v>2131</v>
        <stp/>
        <stp>4906</stp>
        <stp>PredictVolume</stp>
        <tr r="AJ974" s="57"/>
      </tp>
      <tp>
        <v>894</v>
        <stp/>
        <stp>4976</stp>
        <stp>PredictVolume</stp>
        <tr r="AJ876" s="57"/>
      </tp>
      <tp>
        <v>612</v>
        <stp/>
        <stp>4966</stp>
        <stp>PredictVolume</stp>
        <tr r="AJ605" s="57"/>
      </tp>
      <tp>
        <v>317</v>
        <stp/>
        <stp>4956</stp>
        <stp>PredictVolume</stp>
        <tr r="AJ873" s="57"/>
      </tp>
      <tp>
        <v>146</v>
        <stp/>
        <stp>4946</stp>
        <stp>PredictVolume</stp>
        <tr r="AJ1787" s="57"/>
      </tp>
      <tp>
        <v>38</v>
        <stp/>
        <stp>5426</stp>
        <stp>PredictVolume</stp>
        <tr r="AJ771" s="57"/>
      </tp>
      <tp>
        <v>85</v>
        <stp/>
        <stp>5536</stp>
        <stp>PredictVolume</stp>
        <tr r="AJ1744" s="57"/>
      </tp>
      <tp>
        <v>122</v>
        <stp/>
        <stp>5516</stp>
        <stp>PredictVolume</stp>
        <tr r="AJ1493" s="57"/>
      </tp>
      <tp>
        <v>45</v>
        <stp/>
        <stp>5546</stp>
        <stp>PredictVolume</stp>
        <tr r="AJ1504" s="57"/>
      </tp>
      <tp>
        <v>2907</v>
        <stp/>
        <stp>5706</stp>
        <stp>PredictVolume</stp>
        <tr r="AJ1586" s="57"/>
      </tp>
      <tp>
        <v>26</v>
        <stp/>
        <stp>5016</stp>
        <stp>PredictVolume</stp>
        <tr r="AJ470" s="57"/>
      </tp>
      <tp>
        <v>105</v>
        <stp/>
        <stp>5236</stp>
        <stp>PredictVolume</stp>
        <tr r="AJ612" s="57"/>
      </tp>
      <tp>
        <v>7</v>
        <stp/>
        <stp>5206</stp>
        <stp>PredictVolume</stp>
        <tr r="AJ1484" s="57"/>
      </tp>
      <tp>
        <v>4</v>
        <stp/>
        <stp>5276</stp>
        <stp>PredictVolume</stp>
        <tr r="AJ1332" s="57"/>
      </tp>
      <tp>
        <v>50</v>
        <stp/>
        <stp>5386</stp>
        <stp>PredictVolume</stp>
        <tr r="AJ770" s="57"/>
      </tp>
      <tp>
        <v>55</v>
        <stp/>
        <stp>5306</stp>
        <stp>PredictVolume</stp>
        <tr r="AJ1334" s="57"/>
      </tp>
      <tp>
        <v>113</v>
        <stp/>
        <stp>5356</stp>
        <stp>PredictVolume</stp>
        <tr r="AJ769" s="57"/>
      </tp>
      <tp>
        <v>4023</v>
        <stp/>
        <stp>5876</stp>
        <stp>PredictVolume</stp>
        <tr r="AJ1625" s="57"/>
      </tp>
      <tp>
        <v>13</v>
        <stp/>
        <stp>5906</stp>
        <stp>PredictVolume</stp>
        <tr r="AJ1664" s="57"/>
      </tp>
      <tp>
        <v>0</v>
        <stp/>
        <stp>2496</stp>
        <stp>PredictVolume</stp>
        <tr r="AJ1319" s="57"/>
      </tp>
      <tp>
        <v>1018</v>
        <stp/>
        <stp>2486</stp>
        <stp>PredictVolume</stp>
        <tr r="AJ819" s="57"/>
      </tp>
      <tp>
        <v>2603</v>
        <stp/>
        <stp>2436</stp>
        <stp>PredictVolume</stp>
        <tr r="AJ9" s="74"/>
        <tr r="AJ40" s="114"/>
        <tr r="AJ545" s="57"/>
      </tp>
      <tp>
        <v>607</v>
        <stp/>
        <stp>2426</stp>
        <stp>PredictVolume</stp>
        <tr r="AJ816" s="57"/>
      </tp>
      <tp>
        <v>2739</v>
        <stp/>
        <stp>2406</stp>
        <stp>PredictVolume</stp>
        <tr r="AJ814" s="57"/>
      </tp>
      <tp>
        <v>650</v>
        <stp/>
        <stp>2476</stp>
        <stp>PredictVolume</stp>
        <tr r="AJ1051" s="57"/>
      </tp>
      <tp>
        <v>72</v>
        <stp/>
        <stp>2466</stp>
        <stp>PredictVolume</stp>
        <tr r="AJ818" s="57"/>
      </tp>
      <tp>
        <v>51</v>
        <stp/>
        <stp>2596</stp>
        <stp>PredictVolume</stp>
        <tr r="AJ1471" s="57"/>
      </tp>
      <tp>
        <v>274</v>
        <stp/>
        <stp>2536</stp>
        <stp>PredictVolume</stp>
        <tr r="AJ1460" s="57"/>
      </tp>
      <tp>
        <v>292</v>
        <stp/>
        <stp>2516</stp>
        <stp>PredictVolume</stp>
        <tr r="AJ1452" s="57"/>
      </tp>
      <tp>
        <v>249</v>
        <stp/>
        <stp>2506</stp>
        <stp>PredictVolume</stp>
        <tr r="AJ1449" s="57"/>
      </tp>
      <tp>
        <v>89</v>
        <stp/>
        <stp>2546</stp>
        <stp>PredictVolume</stp>
        <tr r="AJ1468" s="57"/>
      </tp>
      <tp>
        <v>1232</v>
        <stp/>
        <stp>2636</stp>
        <stp>PredictVolume</stp>
        <tr r="AJ1533" s="57"/>
      </tp>
      <tp>
        <v>346</v>
        <stp/>
        <stp>2616</stp>
        <stp>PredictVolume</stp>
        <tr r="AJ1677" s="57"/>
      </tp>
      <tp>
        <v>15557</v>
        <stp/>
        <stp>2606</stp>
        <stp>PredictVolume</stp>
        <tr r="AJ1519" s="57"/>
        <tr r="AJ7" s="114"/>
      </tp>
      <tp>
        <v>427</v>
        <stp/>
        <stp>2736</stp>
        <stp>PredictVolume</stp>
        <tr r="AJ1567" s="57"/>
      </tp>
      <tp>
        <v>26</v>
        <stp/>
        <stp>2726</stp>
        <stp>PredictVolume</stp>
        <tr r="AJ1561" s="57"/>
      </tp>
      <tp>
        <v>67</v>
        <stp/>
        <stp>2706</stp>
        <stp>PredictVolume</stp>
        <tr r="AJ1553" s="57"/>
      </tp>
      <tp>
        <v>13</v>
        <stp/>
        <stp>2756</stp>
        <stp>PredictVolume</stp>
        <tr r="AJ1577" s="57"/>
      </tp>
      <tp>
        <v>3814</v>
        <stp/>
        <stp>2006</stp>
        <stp>PredictVolume</stp>
        <tr r="AJ433" s="57"/>
      </tp>
      <tp>
        <v>21</v>
        <stp/>
        <stp>2066</stp>
        <stp>PredictVolume</stp>
        <tr r="AJ162" s="57"/>
      </tp>
      <tp>
        <v>533</v>
        <stp/>
        <stp>2106</stp>
        <stp>PredictVolume</stp>
        <tr r="AJ485" s="57"/>
      </tp>
      <tp>
        <v>22</v>
        <stp/>
        <stp>2236</stp>
        <stp>PredictVolume</stp>
        <tr r="AJ515" s="57"/>
      </tp>
      <tp>
        <v>603</v>
        <stp/>
        <stp>2206</stp>
        <stp>PredictVolume</stp>
        <tr r="AJ509" s="57"/>
      </tp>
      <tp>
        <v>175</v>
        <stp/>
        <stp>2316</stp>
        <stp>PredictVolume</stp>
        <tr r="AJ1027" s="57"/>
      </tp>
      <tp>
        <v>6424</v>
        <stp/>
        <stp>2376</stp>
        <stp>PredictVolume</stp>
        <tr r="AJ711" s="57"/>
      </tp>
      <tp>
        <v>8583</v>
        <stp/>
        <stp>2356</stp>
        <stp>PredictVolume</stp>
        <tr r="AJ706" s="57"/>
      </tp>
      <tp>
        <v>23976</v>
        <stp/>
        <stp>2886</stp>
        <stp>PredictVolume</stp>
        <tr r="AK15" s="118"/>
        <tr r="AJ1615" s="57"/>
      </tp>
      <tp>
        <v>773</v>
        <stp/>
        <stp>2836</stp>
        <stp>PredictVolume</stp>
        <tr r="AJ1600" s="57"/>
      </tp>
      <tp>
        <v>65</v>
        <stp/>
        <stp>2816</stp>
        <stp>PredictVolume</stp>
        <tr r="AJ1596" s="57"/>
      </tp>
      <tp>
        <v>65</v>
        <stp/>
        <stp>2936</stp>
        <stp>PredictVolume</stp>
        <tr r="AJ1653" s="57"/>
      </tp>
      <tp>
        <v>13</v>
        <stp/>
        <stp>2926</stp>
        <stp>PredictVolume</stp>
        <tr r="AJ1779" s="57"/>
      </tp>
      <tp>
        <v>61</v>
        <stp/>
        <stp>2916</stp>
        <stp>PredictVolume</stp>
        <tr r="AJ1651" s="57"/>
      </tp>
      <tp>
        <v>4563</v>
        <stp/>
        <stp>2906</stp>
        <stp>PredictVolume</stp>
        <tr r="AJ1644" s="57"/>
      </tp>
      <tp>
        <v>4</v>
        <stp/>
        <stp>3426</stp>
        <stp>PredictVolume</stp>
        <tr r="AJ174" s="57"/>
      </tp>
      <tp>
        <v>17</v>
        <stp/>
        <stp>3416</stp>
        <stp>PredictVolume</stp>
        <tr r="AJ743" s="57"/>
      </tp>
      <tp>
        <v>1117</v>
        <stp/>
        <stp>3406</stp>
        <stp>PredictVolume</stp>
        <tr r="AJ840" s="57"/>
      </tp>
      <tp>
        <v>1353</v>
        <stp/>
        <stp>3466</stp>
        <stp>PredictVolume</stp>
        <tr r="AJ959" s="57"/>
      </tp>
      <tp>
        <v>3878</v>
        <stp/>
        <stp>3596</stp>
        <stp>PredictVolume</stp>
        <tr r="AJ964" s="57"/>
      </tp>
      <tp>
        <v>9</v>
        <stp/>
        <stp>3536</stp>
        <stp>PredictVolume</stp>
        <tr r="AJ585" s="57"/>
      </tp>
      <tp>
        <v>195</v>
        <stp/>
        <stp>3526</stp>
        <stp>PredictVolume</stp>
        <tr r="AJ100" s="114"/>
        <tr r="AJ1105" s="57"/>
      </tp>
      <tp>
        <v>11</v>
        <stp/>
        <stp>3516</stp>
        <stp>PredictVolume</stp>
        <tr r="AJ849" s="57"/>
      </tp>
      <tp>
        <v>9168</v>
        <stp/>
        <stp>3576</stp>
        <stp>PredictVolume</stp>
        <tr r="AJ854" s="57"/>
      </tp>
      <tp>
        <v>197</v>
        <stp/>
        <stp>3556</stp>
        <stp>PredictVolume</stp>
        <tr r="AJ588" s="57"/>
      </tp>
      <tp>
        <v>177</v>
        <stp/>
        <stp>3546</stp>
        <stp>PredictVolume</stp>
        <tr r="AJ1784" s="57"/>
      </tp>
      <tp>
        <v>724</v>
        <stp/>
        <stp>3686</stp>
        <stp>PredictVolume</stp>
        <tr r="AJ597" s="57"/>
      </tp>
      <tp>
        <v>285</v>
        <stp/>
        <stp>3666</stp>
        <stp>PredictVolume</stp>
        <tr r="AJ860" s="57"/>
      </tp>
      <tp>
        <v>7</v>
        <stp/>
        <stp>3646</stp>
        <stp>PredictVolume</stp>
        <tr r="AJ1118" s="57"/>
      </tp>
      <tp>
        <v>4142</v>
        <stp/>
        <stp>3706</stp>
        <stp>PredictVolume</stp>
        <tr r="AJ757" s="57"/>
      </tp>
      <tp>
        <v>50</v>
        <stp/>
        <stp>3086</stp>
        <stp>PredictVolume</stp>
        <tr r="AJ1782" s="57"/>
      </tp>
      <tp>
        <v>4557</v>
        <stp/>
        <stp>3036</stp>
        <stp>PredictVolume</stp>
        <tr r="AJ21" s="114"/>
        <tr r="AJ1235" s="57"/>
      </tp>
      <tp>
        <v>470</v>
        <stp/>
        <stp>3026</stp>
        <stp>PredictVolume</stp>
        <tr r="AJ1062" s="57"/>
      </tp>
      <tp>
        <v>4366</v>
        <stp/>
        <stp>3016</stp>
        <stp>PredictVolume</stp>
        <tr r="AJ554" s="57"/>
      </tp>
      <tp>
        <v>7747</v>
        <stp/>
        <stp>3006</stp>
        <stp>PredictVolume</stp>
        <tr r="AJ90" s="114"/>
        <tr r="AJ552" s="57"/>
        <tr r="AJ14" s="74"/>
      </tp>
      <tp>
        <v>123</v>
        <stp/>
        <stp>3066</stp>
        <stp>PredictVolume</stp>
        <tr r="AJ831" s="57"/>
      </tp>
      <tp>
        <v>790</v>
        <stp/>
        <stp>3056</stp>
        <stp>PredictVolume</stp>
        <tr r="AJ1476" s="57"/>
      </tp>
      <tp>
        <v>89</v>
        <stp/>
        <stp>3046</stp>
        <stp>PredictVolume</stp>
        <tr r="AJ730" s="57"/>
      </tp>
      <tp>
        <v>414</v>
        <stp/>
        <stp>3176</stp>
        <stp>PredictVolume</stp>
        <tr r="AJ314" s="57"/>
      </tp>
      <tp>
        <v>203</v>
        <stp/>
        <stp>3296</stp>
        <stp>PredictVolume</stp>
        <tr r="AJ1084" s="57"/>
      </tp>
      <tp>
        <v>77</v>
        <stp/>
        <stp>3236</stp>
        <stp>PredictVolume</stp>
        <tr r="AJ1079" s="57"/>
      </tp>
      <tp>
        <v>0</v>
        <stp/>
        <stp>3226</stp>
        <stp>PredictVolume</stp>
        <tr r="AJ172" s="57"/>
      </tp>
      <tp>
        <v>89</v>
        <stp/>
        <stp>3206</stp>
        <stp>PredictVolume</stp>
        <tr r="AJ1075" s="57"/>
      </tp>
      <tp>
        <v>969</v>
        <stp/>
        <stp>3276</stp>
        <stp>PredictVolume</stp>
        <tr r="AJ1080" s="57"/>
      </tp>
      <tp>
        <v>415</v>
        <stp/>
        <stp>3266</stp>
        <stp>PredictVolume</stp>
        <tr r="AJ1478" s="57"/>
      </tp>
      <tp>
        <v>39</v>
        <stp/>
        <stp>3306</stp>
        <stp>PredictVolume</stp>
        <tr r="AJ954" s="57"/>
      </tp>
      <tp>
        <v>152</v>
        <stp/>
        <stp>3376</stp>
        <stp>PredictVolume</stp>
        <tr r="AJ1094" s="57"/>
      </tp>
      <tp>
        <v>1785</v>
        <stp/>
        <stp>3356</stp>
        <stp>PredictVolume</stp>
        <tr r="AJ837" s="57"/>
      </tp>
      <tp>
        <v>227</v>
        <stp/>
        <stp>3346</stp>
        <stp>PredictVolume</stp>
        <tr r="AJ521" s="57"/>
      </tp>
      <tp>
        <v>19</v>
        <stp/>
        <stp>1436</stp>
        <stp>PredictVolume</stp>
        <tr r="AJ1441" s="57"/>
      </tp>
      <tp>
        <v>70</v>
        <stp/>
        <stp>1416</stp>
        <stp>PredictVolume</stp>
        <tr r="AJ1309" s="57"/>
      </tp>
      <tp>
        <v>2519</v>
        <stp/>
        <stp>1476</stp>
        <stp>PredictVolume</stp>
        <tr r="AJ109" s="57"/>
        <tr r="AM29" s="28"/>
      </tp>
      <tp>
        <v>67</v>
        <stp/>
        <stp>1466</stp>
        <stp>PredictVolume</stp>
        <tr r="AJ101" s="57"/>
      </tp>
      <tp>
        <v>19</v>
        <stp/>
        <stp>1456</stp>
        <stp>PredictVolume</stp>
        <tr r="AJ94" s="57"/>
      </tp>
      <tp>
        <v>26</v>
        <stp/>
        <stp>1446</stp>
        <stp>PredictVolume</stp>
        <tr r="AJ86" s="57"/>
      </tp>
      <tp>
        <v>81</v>
        <stp/>
        <stp>1586</stp>
        <stp>PredictVolume</stp>
        <tr r="AJ155" s="57"/>
      </tp>
      <tp>
        <v>392</v>
        <stp/>
        <stp>1536</stp>
        <stp>PredictVolume</stp>
        <tr r="AJ503" s="57"/>
      </tp>
      <tp>
        <v>57</v>
        <stp/>
        <stp>1526</stp>
        <stp>PredictVolume</stp>
        <tr r="AJ137" s="57"/>
      </tp>
      <tp>
        <v>830</v>
        <stp/>
        <stp>1516</stp>
        <stp>PredictVolume</stp>
        <tr r="AJ1312" s="57"/>
      </tp>
      <tp>
        <v>678</v>
        <stp/>
        <stp>1506</stp>
        <stp>PredictVolume</stp>
        <tr r="AJ130" s="57"/>
      </tp>
      <tp>
        <v>59</v>
        <stp/>
        <stp>1626</stp>
        <stp>PredictVolume</stp>
        <tr r="AJ237" s="57"/>
      </tp>
      <tp>
        <v>583</v>
        <stp/>
        <stp>1616</stp>
        <stp>PredictVolume</stp>
        <tr r="AJ234" s="57"/>
      </tp>
      <tp>
        <v>44</v>
        <stp/>
        <stp>1796</stp>
        <stp>PredictVolume</stp>
        <tr r="AJ37" s="57"/>
      </tp>
      <tp>
        <v>32</v>
        <stp/>
        <stp>1786</stp>
        <stp>PredictVolume</stp>
        <tr r="AJ306" s="57"/>
      </tp>
      <tp>
        <v>357</v>
        <stp/>
        <stp>1736</stp>
        <stp>PredictVolume</stp>
        <tr r="AJ298" s="57"/>
      </tp>
      <tp>
        <v>69</v>
        <stp/>
        <stp>1726</stp>
        <stp>PredictVolume</stp>
        <tr r="AJ257" s="57"/>
      </tp>
      <tp>
        <v>30</v>
        <stp/>
        <stp>1776</stp>
        <stp>PredictVolume</stp>
        <tr r="AJ264" s="57"/>
      </tp>
      <tp>
        <v>830</v>
        <stp/>
        <stp>1236</stp>
        <stp>PredictVolume</stp>
        <tr r="AJ31" s="57"/>
      </tp>
      <tp>
        <v>5426</v>
        <stp/>
        <stp>1216</stp>
        <stp>PredictVolume</stp>
        <tr r="AJ18" s="57"/>
        <tr r="AK28" s="118"/>
      </tp>
      <tp>
        <v>210</v>
        <stp/>
        <stp>1256</stp>
        <stp>PredictVolume</stp>
        <tr r="AJ32" s="57"/>
      </tp>
      <tp>
        <v>7</v>
        <stp/>
        <stp>1336</stp>
        <stp>PredictVolume</stp>
        <tr r="AJ1019" s="57"/>
      </tp>
      <tp>
        <v>3252</v>
        <stp/>
        <stp>1326</stp>
        <stp>PredictVolume</stp>
        <tr r="AJ58" s="57"/>
        <tr r="AK11" s="118"/>
      </tp>
      <tp>
        <v>13005</v>
        <stp/>
        <stp>1316</stp>
        <stp>PredictVolume</stp>
        <tr r="AJ1440" s="57"/>
      </tp>
      <tp>
        <v>570</v>
        <stp/>
        <stp>1806</stp>
        <stp>PredictVolume</stp>
        <tr r="AJ418" s="57"/>
      </tp>
      <tp>
        <v>860</v>
        <stp/>
        <stp>1906</stp>
        <stp>PredictVolume</stp>
        <tr r="AJ427" s="57"/>
      </tp>
      <tp>
        <v>700</v>
        <stp/>
        <stp>8436</stp>
        <stp>PredictVolume</stp>
        <tr r="AJ93" s="114"/>
        <tr r="AJ414" s="57"/>
      </tp>
      <tp>
        <v>3</v>
        <stp/>
        <stp>8426</stp>
        <stp>PredictVolume</stp>
        <tr r="AJ1377" s="57"/>
      </tp>
      <tp>
        <v>5</v>
        <stp/>
        <stp>8416</stp>
        <stp>PredictVolume</stp>
        <tr r="AJ1304" s="57"/>
      </tp>
      <tp t="s">
        <v>商品錯誤</v>
        <stp/>
        <stp>8406</stp>
        <stp>PredictVolume</stp>
        <tr r="AJ411" s="57"/>
      </tp>
      <tp>
        <v>63</v>
        <stp/>
        <stp>8476</stp>
        <stp>PredictVolume</stp>
        <tr r="AJ1389" s="57"/>
      </tp>
      <tp>
        <v>128</v>
        <stp/>
        <stp>8466</stp>
        <stp>PredictVolume</stp>
        <tr r="AJ1386" s="57"/>
      </tp>
      <tp>
        <v>284</v>
        <stp/>
        <stp>8446</stp>
        <stp>PredictVolume</stp>
        <tr r="AJ1799" s="57"/>
      </tp>
      <tp>
        <v>209</v>
        <stp/>
        <stp>8096</stp>
        <stp>PredictVolume</stp>
        <tr r="AJ1262" s="57"/>
      </tp>
      <tp>
        <v>1026</v>
        <stp/>
        <stp>8086</stp>
        <stp>PredictVolume</stp>
        <tr r="AJ688" s="57"/>
      </tp>
      <tp>
        <v>708</v>
        <stp/>
        <stp>8016</stp>
        <stp>PredictVolume</stp>
        <tr r="AJ86" s="114"/>
        <tr r="AJ682" s="57"/>
      </tp>
      <tp>
        <v>666</v>
        <stp/>
        <stp>8076</stp>
        <stp>PredictVolume</stp>
        <tr r="AJ800" s="57"/>
      </tp>
      <tp>
        <v>35</v>
        <stp/>
        <stp>8066</stp>
        <stp>PredictVolume</stp>
        <tr r="AJ1668" s="57"/>
      </tp>
      <tp>
        <v>3726</v>
        <stp/>
        <stp>8046</stp>
        <stp>PredictVolume</stp>
        <tr r="AJ1209" s="57"/>
      </tp>
      <tp>
        <v>457</v>
        <stp/>
        <stp>8176</stp>
        <stp>PredictVolume</stp>
        <tr r="AJ1016" s="57"/>
      </tp>
      <tp>
        <v>317</v>
        <stp/>
        <stp>8996</stp>
        <stp>PredictVolume</stp>
        <tr r="AJ221" s="57"/>
      </tp>
      <tp>
        <v>499</v>
        <stp/>
        <stp>8936</stp>
        <stp>PredictVolume</stp>
        <tr r="AM32" s="28"/>
        <tr r="AJ1406" s="57"/>
      </tp>
      <tp>
        <v>300</v>
        <stp/>
        <stp>8926</stp>
        <stp>PredictVolume</stp>
        <tr r="AJ1678" s="57"/>
      </tp>
      <tp>
        <v>497</v>
        <stp/>
        <stp>8916</stp>
        <stp>PredictVolume</stp>
        <tr r="AJ1398" s="57"/>
      </tp>
      <tp>
        <v>2</v>
        <stp/>
        <stp>8906</stp>
        <stp>PredictVolume</stp>
        <tr r="AJ1397" s="57"/>
      </tp>
      <tp>
        <v>5</v>
        <stp/>
        <stp>9926</stp>
        <stp>PredictVolume</stp>
        <tr r="AJ1683" s="57"/>
      </tp>
      <tp>
        <v>120</v>
        <stp/>
        <stp>9906</stp>
        <stp>PredictVolume</stp>
        <tr r="AJ1512" s="57"/>
      </tp>
      <tp>
        <v>163</v>
        <stp/>
        <stp>9946</stp>
        <stp>PredictVolume</stp>
        <tr r="AJ1513" s="57"/>
      </tp>
      <tp>
        <v>722</v>
        <stp/>
        <stp>6485</stp>
        <stp>PredictVolume</stp>
        <tr r="AJ4" s="74"/>
        <tr r="AJ653" s="57"/>
        <tr r="AJ16" s="114"/>
      </tp>
      <tp>
        <v>807</v>
        <stp/>
        <stp>6435</stp>
        <stp>PredictVolume</stp>
        <tr r="AJ649" s="57"/>
      </tp>
      <tp>
        <v>89</v>
        <stp/>
        <stp>6425</stp>
        <stp>PredictVolume</stp>
        <tr r="AJ211" s="57"/>
      </tp>
      <tp>
        <v>732</v>
        <stp/>
        <stp>6415</stp>
        <stp>PredictVolume</stp>
        <tr r="AJ648" s="57"/>
      </tp>
      <tp>
        <v>38</v>
        <stp/>
        <stp>6405</stp>
        <stp>PredictVolume</stp>
        <tr r="AJ908" s="57"/>
      </tp>
      <tp>
        <v>88</v>
        <stp/>
        <stp>6585</stp>
        <stp>PredictVolume</stp>
        <tr r="AJ58" s="28"/>
        <tr r="AJ1347" s="57"/>
      </tp>
      <tp>
        <v>697</v>
        <stp/>
        <stp>6535</stp>
        <stp>PredictVolume</stp>
        <tr r="AJ389" s="57"/>
      </tp>
      <tp>
        <v>285</v>
        <stp/>
        <stp>6525</stp>
        <stp>PredictVolume</stp>
        <tr r="AJ658" s="57"/>
      </tp>
      <tp>
        <v>172</v>
        <stp/>
        <stp>6515</stp>
        <stp>PredictVolume</stp>
        <tr r="AJ657" s="57"/>
      </tp>
      <tp>
        <v>1851</v>
        <stp/>
        <stp>6505</stp>
        <stp>PredictVolume</stp>
        <tr r="AK8" s="118"/>
        <tr r="AJ63" s="114"/>
        <tr r="AJ1687" s="57"/>
      </tp>
      <tp>
        <v>13</v>
        <stp/>
        <stp>6625</stp>
        <stp>PredictVolume</stp>
        <tr r="AJ1351" s="57"/>
      </tp>
      <tp>
        <v>48</v>
        <stp/>
        <stp>6615</stp>
        <stp>PredictVolume</stp>
        <tr r="AJ398" s="57"/>
      </tp>
      <tp>
        <v>53</v>
        <stp/>
        <stp>6605</stp>
        <stp>PredictVolume</stp>
        <tr r="AJ526" s="57"/>
      </tp>
      <tp>
        <v>37</v>
        <stp/>
        <stp>6655</stp>
        <stp>PredictVolume</stp>
        <tr r="AJ1354" s="57"/>
      </tp>
      <tp>
        <v>164</v>
        <stp/>
        <stp>6735</stp>
        <stp>PredictVolume</stp>
        <tr r="AJ1765" s="57"/>
      </tp>
      <tp>
        <v>82</v>
        <stp/>
        <stp>6715</stp>
        <stp>PredictVolume</stp>
        <tr r="AJ1201" s="57"/>
      </tp>
      <tp>
        <v>1156</v>
        <stp/>
        <stp>6015</stp>
        <stp>PredictVolume</stp>
        <tr r="AJ1629" s="57"/>
      </tp>
      <tp>
        <v>5878</v>
        <stp/>
        <stp>6005</stp>
        <stp>PredictVolume</stp>
        <tr r="AJ1628" s="57"/>
      </tp>
      <tp>
        <v>75</v>
        <stp/>
        <stp>6195</stp>
        <stp>PredictVolume</stp>
        <tr r="AJ1666" s="57"/>
      </tp>
      <tp>
        <v>244</v>
        <stp/>
        <stp>6185</stp>
        <stp>PredictVolume</stp>
        <tr r="AJ1169" s="57"/>
      </tp>
      <tp>
        <v>528</v>
        <stp/>
        <stp>6125</stp>
        <stp>PredictVolume</stp>
        <tr r="AJ894" s="57"/>
      </tp>
      <tp>
        <v>147</v>
        <stp/>
        <stp>6115</stp>
        <stp>PredictVolume</stp>
        <tr r="AJ1154" s="57"/>
      </tp>
      <tp>
        <v>319</v>
        <stp/>
        <stp>6175</stp>
        <stp>PredictVolume</stp>
        <tr r="AJ1168" s="57"/>
      </tp>
      <tp>
        <v>285</v>
        <stp/>
        <stp>6165</stp>
        <stp>PredictVolume</stp>
        <tr r="AJ1165" s="57"/>
      </tp>
      <tp>
        <v>404</v>
        <stp/>
        <stp>6155</stp>
        <stp>PredictVolume</stp>
        <tr r="AJ1162" s="57"/>
      </tp>
      <tp>
        <v>4106</v>
        <stp/>
        <stp>6285</stp>
        <stp>PredictVolume</stp>
        <tr r="AJ995" s="57"/>
      </tp>
      <tp>
        <v>30213</v>
        <stp/>
        <stp>6235</stp>
        <stp>PredictVolume</stp>
        <tr r="AJ788" s="57"/>
      </tp>
      <tp>
        <v>17</v>
        <stp/>
        <stp>6225</stp>
        <stp>PredictVolume</stp>
        <tr r="AJ901" s="57"/>
      </tp>
      <tp>
        <v>215</v>
        <stp/>
        <stp>6215</stp>
        <stp>PredictVolume</stp>
        <tr r="AJ1752" s="57"/>
      </tp>
      <tp>
        <v>1866</v>
        <stp/>
        <stp>6205</stp>
        <stp>PredictVolume</stp>
        <tr r="AJ1175" s="57"/>
      </tp>
      <tp>
        <v>198</v>
        <stp/>
        <stp>6275</stp>
        <stp>PredictVolume</stp>
        <tr r="AJ1754" s="57"/>
      </tp>
      <tp>
        <v>370</v>
        <stp/>
        <stp>6265</stp>
        <stp>PredictVolume</stp>
        <tr r="AJ1252" s="57"/>
      </tp>
      <tp>
        <v>862</v>
        <stp/>
        <stp>6245</stp>
        <stp>PredictVolume</stp>
        <tr r="AJ993" s="57"/>
      </tp>
      <tp>
        <v>2</v>
        <stp/>
        <stp>4535</stp>
        <stp>PredictVolume</stp>
        <tr r="AJ188" s="57"/>
      </tp>
      <tp>
        <v>8</v>
        <stp/>
        <stp>4555</stp>
        <stp>PredictVolume</stp>
        <tr r="AJ195" s="57"/>
      </tp>
      <tp>
        <v>396</v>
        <stp/>
        <stp>4545</stp>
        <stp>PredictVolume</stp>
        <tr r="AJ1124" s="57"/>
      </tp>
      <tp>
        <v>89</v>
        <stp/>
        <stp>4735</stp>
        <stp>PredictVolume</stp>
        <tr r="AM37" s="28"/>
        <tr r="AJ367" s="57"/>
      </tp>
      <tp>
        <v>2613</v>
        <stp/>
        <stp>4755</stp>
        <stp>PredictVolume</stp>
        <tr r="AJ35" s="114"/>
        <tr r="AJ278" s="57"/>
      </tp>
      <tp>
        <v>50</v>
        <stp/>
        <stp>4745</stp>
        <stp>PredictVolume</stp>
        <tr r="AJ372" s="57"/>
      </tp>
      <tp>
        <v>677</v>
        <stp/>
        <stp>4105</stp>
        <stp>PredictVolume</stp>
        <tr r="AJ18" s="74"/>
        <tr r="AJ320" s="57"/>
      </tp>
      <tp>
        <v>758</v>
        <stp/>
        <stp>4175</stp>
        <stp>PredictVolume</stp>
        <tr r="AJ359" s="57"/>
      </tp>
      <tp>
        <v>236</v>
        <stp/>
        <stp>4155</stp>
        <stp>PredictVolume</stp>
        <tr r="AJ348" s="57"/>
      </tp>
      <tp>
        <v>17</v>
        <stp/>
        <stp>4205</stp>
        <stp>PredictVolume</stp>
        <tr r="AJ38" s="57"/>
      </tp>
      <tp>
        <v>0</v>
        <stp/>
        <stp>4305</stp>
        <stp>PredictVolume</stp>
        <tr r="AJ64" s="57"/>
      </tp>
      <tp>
        <v>30</v>
        <stp/>
        <stp>4995</stp>
        <stp>PredictVolume</stp>
        <tr r="AJ877" s="57"/>
      </tp>
      <tp>
        <v>137</v>
        <stp/>
        <stp>4935</stp>
        <stp>PredictVolume</stp>
        <tr r="AJ870" s="57"/>
        <tr r="AJ29" s="114"/>
      </tp>
      <tp>
        <v>2495</v>
        <stp/>
        <stp>4915</stp>
        <stp>PredictVolume</stp>
        <tr r="AJ1126" s="57"/>
      </tp>
      <tp>
        <v>144</v>
        <stp/>
        <stp>4945</stp>
        <stp>PredictVolume</stp>
        <tr r="AJ602" s="57"/>
      </tp>
      <tp>
        <v>27896</v>
        <stp/>
        <stp>5425</stp>
        <stp>PredictVolume</stp>
        <tr r="AJ623" s="57"/>
      </tp>
      <tp>
        <v>1835</v>
        <stp/>
        <stp>5475</stp>
        <stp>PredictVolume</stp>
        <tr r="AJ1149" s="57"/>
      </tp>
      <tp>
        <v>97</v>
        <stp/>
        <stp>5465</stp>
        <stp>PredictVolume</stp>
        <tr r="AJ773" s="57"/>
      </tp>
      <tp>
        <v>0</v>
        <stp/>
        <stp>5455</stp>
        <stp>PredictVolume</stp>
        <tr r="AJ1487" s="57"/>
      </tp>
      <tp>
        <v>285</v>
        <stp/>
        <stp>5525</stp>
        <stp>PredictVolume</stp>
        <tr r="AJ1498" s="57"/>
      </tp>
      <tp>
        <v>844</v>
        <stp/>
        <stp>5515</stp>
        <stp>PredictVolume</stp>
        <tr r="AJ1492" s="57"/>
      </tp>
      <tp>
        <v>224</v>
        <stp/>
        <stp>5015</stp>
        <stp>PredictVolume</stp>
        <tr r="AJ469" s="57"/>
      </tp>
      <tp>
        <v>456</v>
        <stp/>
        <stp>5285</stp>
        <stp>PredictVolume</stp>
        <tr r="AJ616" s="57"/>
      </tp>
      <tp>
        <v>1266</v>
        <stp/>
        <stp>5225</stp>
        <stp>PredictVolume</stp>
        <tr r="AJ1739" s="57"/>
      </tp>
      <tp>
        <v>164</v>
        <stp/>
        <stp>5215</stp>
        <stp>PredictVolume</stp>
        <tr r="AJ50" s="114"/>
        <tr r="AJ765" s="57"/>
      </tp>
      <tp>
        <v>0</v>
        <stp/>
        <stp>5205</stp>
        <stp>PredictVolume</stp>
        <tr r="AJ1738" s="57"/>
      </tp>
      <tp>
        <v>106</v>
        <stp/>
        <stp>5245</stp>
        <stp>PredictVolume</stp>
        <tr r="AJ84" s="114"/>
        <tr r="AJ883" s="57"/>
      </tp>
      <tp>
        <v>27</v>
        <stp/>
        <stp>5315</stp>
        <stp>PredictVolume</stp>
        <tr r="AJ886" s="57"/>
      </tp>
      <tp>
        <v>89</v>
        <stp/>
        <stp>5355</stp>
        <stp>PredictVolume</stp>
        <tr r="AJ1142" s="57"/>
      </tp>
      <tp>
        <v>0</v>
        <stp/>
        <stp>5345</stp>
        <stp>PredictVolume</stp>
        <tr r="AJ1141" s="57"/>
      </tp>
      <tp>
        <v>534</v>
        <stp/>
        <stp>5905</stp>
        <stp>PredictVolume</stp>
        <tr r="AJ1663" s="57"/>
      </tp>
      <tp>
        <v>298</v>
        <stp/>
        <stp>2495</stp>
        <stp>PredictVolume</stp>
        <tr r="AJ1708" s="57"/>
      </tp>
      <tp>
        <v>801</v>
        <stp/>
        <stp>2485</stp>
        <stp>PredictVolume</stp>
        <tr r="AJ940" s="57"/>
      </tp>
      <tp>
        <v>1427</v>
        <stp/>
        <stp>2425</stp>
        <stp>PredictVolume</stp>
        <tr r="AJ722" s="57"/>
      </tp>
      <tp>
        <v>196</v>
        <stp/>
        <stp>2415</stp>
        <stp>PredictVolume</stp>
        <tr r="AJ1039" s="57"/>
      </tp>
      <tp>
        <v>1626</v>
        <stp/>
        <stp>2405</stp>
        <stp>PredictVolume</stp>
        <tr r="AJ719" s="57"/>
      </tp>
      <tp>
        <v>1173</v>
        <stp/>
        <stp>2465</stp>
        <stp>PredictVolume</stp>
        <tr r="AJ724" s="57"/>
      </tp>
      <tp>
        <v>1342</v>
        <stp/>
        <stp>2455</stp>
        <stp>PredictVolume</stp>
        <tr r="AJ939" s="57"/>
        <tr r="AJ88" s="114"/>
        <tr r="AJ13" s="74"/>
      </tp>
      <tp>
        <v>315</v>
        <stp/>
        <stp>2535</stp>
        <stp>PredictVolume</stp>
        <tr r="AJ1459" s="57"/>
      </tp>
      <tp>
        <v>4313</v>
        <stp/>
        <stp>2515</stp>
        <stp>PredictVolume</stp>
        <tr r="AJ1823" s="57"/>
      </tp>
      <tp>
        <v>112</v>
        <stp/>
        <stp>2505</stp>
        <stp>PredictVolume</stp>
        <tr r="AJ1448" s="57"/>
      </tp>
      <tp>
        <v>649</v>
        <stp/>
        <stp>2545</stp>
        <stp>PredictVolume</stp>
        <tr r="AJ1467" s="57"/>
      </tp>
      <tp>
        <v>13973</v>
        <stp/>
        <stp>2615</stp>
        <stp>PredictVolume</stp>
        <tr r="AJ1527" s="57"/>
        <tr r="AK23" s="118"/>
      </tp>
      <tp>
        <v>17078</v>
        <stp/>
        <stp>2605</stp>
        <stp>PredictVolume</stp>
        <tr r="AJ1518" s="57"/>
      </tp>
      <tp>
        <v>101</v>
        <stp/>
        <stp>2705</stp>
        <stp>PredictVolume</stp>
        <tr r="AJ1552" s="57"/>
      </tp>
      <tp>
        <v>18</v>
        <stp/>
        <stp>2755</stp>
        <stp>PredictVolume</stp>
        <tr r="AJ1576" s="57"/>
      </tp>
      <tp>
        <v>415</v>
        <stp/>
        <stp>2745</stp>
        <stp>PredictVolume</stp>
        <tr r="AJ1571" s="57"/>
      </tp>
      <tp>
        <v>49</v>
        <stp/>
        <stp>2035</stp>
        <stp>PredictVolume</stp>
        <tr r="AJ456" s="57"/>
      </tp>
      <tp>
        <v>692</v>
        <stp/>
        <stp>2025</stp>
        <stp>PredictVolume</stp>
        <tr r="AJ447" s="57"/>
      </tp>
      <tp>
        <v>382</v>
        <stp/>
        <stp>2015</stp>
        <stp>PredictVolume</stp>
        <tr r="AJ441" s="57"/>
      </tp>
      <tp>
        <v>23</v>
        <stp/>
        <stp>2065</stp>
        <stp>PredictVolume</stp>
        <tr r="AJ460" s="57"/>
      </tp>
      <tp>
        <v>38</v>
        <stp/>
        <stp>2115</stp>
        <stp>PredictVolume</stp>
        <tr r="AJ506" s="57"/>
      </tp>
      <tp>
        <v>2895</v>
        <stp/>
        <stp>2105</stp>
        <stp>PredictVolume</stp>
        <tr r="AJ484" s="57"/>
      </tp>
      <tp>
        <v>4</v>
        <stp/>
        <stp>2235</stp>
        <stp>PredictVolume</stp>
        <tr r="AJ166" s="57"/>
      </tp>
      <tp>
        <v>852</v>
        <stp/>
        <stp>2395</stp>
        <stp>PredictVolume</stp>
        <tr r="AJ716" s="57"/>
      </tp>
      <tp>
        <v>1785</v>
        <stp/>
        <stp>2385</stp>
        <stp>PredictVolume</stp>
        <tr r="AJ1035" s="57"/>
      </tp>
      <tp>
        <v>2050</v>
        <stp/>
        <stp>2305</stp>
        <stp>PredictVolume</stp>
        <tr r="AJ701" s="57"/>
      </tp>
      <tp>
        <v>360</v>
        <stp/>
        <stp>2375</stp>
        <stp>PredictVolume</stp>
        <tr r="AJ1033" s="57"/>
      </tp>
      <tp>
        <v>82</v>
        <stp/>
        <stp>2365</stp>
        <stp>PredictVolume</stp>
        <tr r="AJ710" s="57"/>
      </tp>
      <tp>
        <v>859</v>
        <stp/>
        <stp>2355</stp>
        <stp>PredictVolume</stp>
        <tr r="AJ1030" s="57"/>
      </tp>
      <tp>
        <v>5695</v>
        <stp/>
        <stp>2345</stp>
        <stp>PredictVolume</stp>
        <tr r="AJ54" s="114"/>
        <tr r="AJ933" s="57"/>
      </tp>
      <tp>
        <v>26850</v>
        <stp/>
        <stp>2885</stp>
        <stp>PredictVolume</stp>
        <tr r="AJ1614" s="57"/>
        <tr r="AK19" s="118"/>
      </tp>
      <tp>
        <v>2133</v>
        <stp/>
        <stp>2855</stp>
        <stp>PredictVolume</stp>
        <tr r="AJ1607" s="57"/>
      </tp>
      <tp>
        <v>3347</v>
        <stp/>
        <stp>2845</stp>
        <stp>PredictVolume</stp>
        <tr r="AJ1602" s="57"/>
      </tp>
      <tp>
        <v>11470</v>
        <stp/>
        <stp>2915</stp>
        <stp>PredictVolume</stp>
        <tr r="AJ38" s="114"/>
        <tr r="AJ1650" s="57"/>
      </tp>
      <tp>
        <v>123</v>
        <stp/>
        <stp>2905</stp>
        <stp>PredictVolume</stp>
        <tr r="AJ1643" s="57"/>
      </tp>
      <tp>
        <v>119</v>
        <stp/>
        <stp>2945</stp>
        <stp>PredictVolume</stp>
        <tr r="AJ1656" s="57"/>
      </tp>
      <tp>
        <v>2</v>
        <stp/>
        <stp>3465</stp>
        <stp>PredictVolume</stp>
        <tr r="AJ1098" s="57"/>
      </tp>
      <tp>
        <v>718</v>
        <stp/>
        <stp>3455</stp>
        <stp>PredictVolume</stp>
        <tr r="AJ845" s="57"/>
      </tp>
      <tp>
        <v>19415</v>
        <stp/>
        <stp>3535</stp>
        <stp>PredictVolume</stp>
        <tr r="AJ851" s="57"/>
      </tp>
      <tp>
        <v>964</v>
        <stp/>
        <stp>3515</stp>
        <stp>PredictVolume</stp>
        <tr r="AJ80" s="114"/>
        <tr r="AJ747" s="57"/>
      </tp>
      <tp>
        <v>8</v>
        <stp/>
        <stp>3555</stp>
        <stp>PredictVolume</stp>
        <tr r="AJ587" s="57"/>
      </tp>
      <tp>
        <v>3431</v>
        <stp/>
        <stp>3545</stp>
        <stp>PredictVolume</stp>
        <tr r="AJ586" s="57"/>
      </tp>
      <tp>
        <v>281</v>
        <stp/>
        <stp>3685</stp>
        <stp>PredictVolume</stp>
        <tr r="AJ863" s="57"/>
      </tp>
      <tp>
        <v>66</v>
        <stp/>
        <stp>3625</stp>
        <stp>PredictVolume</stp>
        <tr r="AJ753" s="57"/>
      </tp>
      <tp>
        <v>107</v>
        <stp/>
        <stp>3615</stp>
        <stp>PredictVolume</stp>
        <tr r="AJ856" s="57"/>
      </tp>
      <tp>
        <v>320</v>
        <stp/>
        <stp>3605</stp>
        <stp>PredictVolume</stp>
        <tr r="AJ1112" s="57"/>
      </tp>
      <tp>
        <v>1607</v>
        <stp/>
        <stp>3675</stp>
        <stp>PredictVolume</stp>
        <tr r="AJ595" s="57"/>
      </tp>
      <tp>
        <v>2407</v>
        <stp/>
        <stp>3665</stp>
        <stp>PredictVolume</stp>
        <tr r="AJ1735" s="57"/>
      </tp>
      <tp>
        <v>5280</v>
        <stp/>
        <stp>3645</stp>
        <stp>PredictVolume</stp>
        <tr r="AJ1117" s="57"/>
      </tp>
      <tp>
        <v>189</v>
        <stp/>
        <stp>3705</stp>
        <stp>PredictVolume</stp>
        <tr r="AJ317" s="57"/>
      </tp>
      <tp>
        <v>40</v>
        <stp/>
        <stp>3095</stp>
        <stp>PredictVolume</stp>
        <tr r="AJ948" s="57"/>
      </tp>
      <tp>
        <v>111</v>
        <stp/>
        <stp>3085</stp>
        <stp>PredictVolume</stp>
        <tr r="AJ1806" s="57"/>
      </tp>
      <tp>
        <v>32350</v>
        <stp/>
        <stp>3035</stp>
        <stp>PredictVolume</stp>
        <tr r="AJ556" s="57"/>
      </tp>
      <tp>
        <v>161</v>
        <stp/>
        <stp>3025</stp>
        <stp>PredictVolume</stp>
        <tr r="AJ942" s="57"/>
      </tp>
      <tp>
        <v>87</v>
        <stp/>
        <stp>3015</stp>
        <stp>PredictVolume</stp>
        <tr r="AM25" s="28"/>
        <tr r="AJ1059" s="57"/>
      </tp>
      <tp>
        <v>1380</v>
        <stp/>
        <stp>3005</stp>
        <stp>PredictVolume</stp>
        <tr r="AJ726" s="57"/>
      </tp>
      <tp>
        <v>124</v>
        <stp/>
        <stp>3055</stp>
        <stp>PredictVolume</stp>
        <tr r="AJ1237" s="57"/>
      </tp>
      <tp>
        <v>3324</v>
        <stp/>
        <stp>3045</stp>
        <stp>PredictVolume</stp>
        <tr r="AJ944" s="57"/>
        <tr r="AK26" s="118"/>
      </tp>
      <tp>
        <v>4</v>
        <stp/>
        <stp>3115</stp>
        <stp>PredictVolume</stp>
        <tr r="AJ1072" s="57"/>
      </tp>
      <tp>
        <v>1651</v>
        <stp/>
        <stp>3105</stp>
        <stp>PredictVolume</stp>
        <tr r="AJ561" s="57"/>
        <tr r="AK36" s="118"/>
      </tp>
      <tp>
        <v>3</v>
        <stp/>
        <stp>3285</stp>
        <stp>PredictVolume</stp>
        <tr r="AJ1715" s="57"/>
      </tp>
      <tp>
        <v>65</v>
        <stp/>
        <stp>3205</stp>
        <stp>PredictVolume</stp>
        <tr r="AJ315" s="57"/>
      </tp>
      <tp>
        <v>6846</v>
        <stp/>
        <stp>3265</stp>
        <stp>PredictVolume</stp>
        <tr r="AM18" s="28"/>
        <tr r="AJ573" s="57"/>
      </tp>
      <tp>
        <v>128</v>
        <stp/>
        <stp>3325</stp>
        <stp>PredictVolume</stp>
        <tr r="AJ741" s="57"/>
      </tp>
      <tp>
        <v>14</v>
        <stp/>
        <stp>1435</stp>
        <stp>PredictVolume</stp>
        <tr r="AJ1310" s="57"/>
      </tp>
      <tp>
        <v>34</v>
        <stp/>
        <stp>1475</stp>
        <stp>PredictVolume</stp>
        <tr r="AJ108" s="57"/>
      </tp>
      <tp>
        <v>14</v>
        <stp/>
        <stp>1465</stp>
        <stp>PredictVolume</stp>
        <tr r="AJ100" s="57"/>
      </tp>
      <tp>
        <v>1257</v>
        <stp/>
        <stp>1455</stp>
        <stp>PredictVolume</stp>
        <tr r="AJ93" s="57"/>
      </tp>
      <tp>
        <v>48</v>
        <stp/>
        <stp>1445</stp>
        <stp>PredictVolume</stp>
        <tr r="AJ85" s="57"/>
      </tp>
      <tp>
        <v>21</v>
        <stp/>
        <stp>1595</stp>
        <stp>PredictVolume</stp>
        <tr r="AJ1022" s="57"/>
      </tp>
      <tp>
        <v>10</v>
        <stp/>
        <stp>1535</stp>
        <stp>PredictVolume</stp>
        <tr r="AJ144" s="57"/>
      </tp>
      <tp>
        <v>15</v>
        <stp/>
        <stp>1525</stp>
        <stp>PredictVolume</stp>
        <tr r="AJ501" s="57"/>
      </tp>
      <tp>
        <v>596</v>
        <stp/>
        <stp>1515</stp>
        <stp>PredictVolume</stp>
        <tr r="AJ33" s="114"/>
        <tr r="AJ134" s="57"/>
      </tp>
      <tp>
        <v>85</v>
        <stp/>
        <stp>1565</stp>
        <stp>PredictVolume</stp>
        <tr r="AJ289" s="57"/>
      </tp>
      <tp>
        <v>261</v>
        <stp/>
        <stp>1615</stp>
        <stp>PredictVolume</stp>
        <tr r="AJ233" s="57"/>
      </tp>
      <tp>
        <v>88968</v>
        <stp/>
        <stp>1605</stp>
        <stp>PredictVolume</stp>
        <tr r="AJ227" s="57"/>
      </tp>
      <tp>
        <v>2755</v>
        <stp/>
        <stp>1795</stp>
        <stp>PredictVolume</stp>
        <tr r="AJ309" s="57"/>
      </tp>
      <tp>
        <v>5250</v>
        <stp/>
        <stp>1785</stp>
        <stp>PredictVolume</stp>
        <tr r="AJ1691" s="57"/>
      </tp>
      <tp>
        <v>11</v>
        <stp/>
        <stp>1735</stp>
        <stp>PredictVolume</stp>
        <tr r="AJ261" s="57"/>
      </tp>
      <tp>
        <v>31</v>
        <stp/>
        <stp>1725</stp>
        <stp>PredictVolume</stp>
        <tr r="AJ256" s="57"/>
      </tp>
      <tp>
        <v>54</v>
        <stp/>
        <stp>1235</stp>
        <stp>PredictVolume</stp>
        <tr r="AJ30" s="57"/>
      </tp>
      <tp>
        <v>122</v>
        <stp/>
        <stp>1225</stp>
        <stp>PredictVolume</stp>
        <tr r="AJ23" s="57"/>
      </tp>
      <tp>
        <v>254</v>
        <stp/>
        <stp>1215</stp>
        <stp>PredictVolume</stp>
        <tr r="AJ17" s="57"/>
      </tp>
      <tp>
        <v>1219</v>
        <stp/>
        <stp>1325</stp>
        <stp>PredictVolume</stp>
        <tr r="AJ57" s="57"/>
        <tr r="AM16" s="28"/>
      </tp>
      <tp>
        <v>9</v>
        <stp/>
        <stp>1315</stp>
        <stp>PredictVolume</stp>
        <tr r="AJ53" s="57"/>
      </tp>
      <tp>
        <v>1412</v>
        <stp/>
        <stp>1305</stp>
        <stp>PredictVolume</stp>
        <tr r="AJ45" s="57"/>
      </tp>
      <tp>
        <v>3750</v>
        <stp/>
        <stp>1815</stp>
        <stp>PredictVolume</stp>
        <tr r="AJ1023" s="57"/>
      </tp>
      <tp>
        <v>7</v>
        <stp/>
        <stp>1805</stp>
        <stp>PredictVolume</stp>
        <tr r="AJ1444" s="57"/>
      </tp>
      <tp>
        <v>4487</v>
        <stp/>
        <stp>1905</stp>
        <stp>PredictVolume</stp>
        <tr r="AJ426" s="57"/>
      </tp>
      <tp>
        <v>49</v>
        <stp/>
        <stp>8435</stp>
        <stp>PredictVolume</stp>
        <tr r="AJ1378" s="57"/>
      </tp>
      <tp>
        <v>1314</v>
        <stp/>
        <stp>8415</stp>
        <stp>PredictVolume</stp>
        <tr r="AJ474" s="57"/>
      </tp>
      <tp>
        <v>0</v>
        <stp/>
        <stp>8455</stp>
        <stp>PredictVolume</stp>
        <tr r="AJ1776" s="57"/>
      </tp>
      <tp>
        <v>174</v>
        <stp/>
        <stp>8085</stp>
        <stp>PredictVolume</stp>
        <tr r="AJ1770" s="57"/>
      </tp>
      <tp>
        <v>1435</v>
        <stp/>
        <stp>8105</stp>
        <stp>PredictVolume</stp>
        <tr r="AJ924" s="57"/>
      </tp>
      <tp>
        <v>4709</v>
        <stp/>
        <stp>8155</stp>
        <stp>PredictVolume</stp>
        <tr r="AJ1219" s="57"/>
      </tp>
      <tp>
        <v>1454</v>
        <stp/>
        <stp>8215</stp>
        <stp>PredictVolume</stp>
        <tr r="AJ926" s="57"/>
      </tp>
      <tp>
        <v>788</v>
        <stp/>
        <stp>8255</stp>
        <stp>PredictVolume</stp>
        <tr r="AJ219" s="57"/>
      </tp>
      <tp>
        <v>5</v>
        <stp/>
        <stp>8935</stp>
        <stp>PredictVolume</stp>
        <tr r="AJ1405" s="57"/>
      </tp>
      <tp>
        <v>348</v>
        <stp/>
        <stp>8905</stp>
        <stp>PredictVolume</stp>
        <tr r="AJ1396" s="57"/>
      </tp>
      <tp>
        <v>150</v>
        <stp/>
        <stp>9935</stp>
        <stp>PredictVolume</stp>
        <tr r="AJ1429" s="57"/>
      </tp>
      <tp>
        <v>165</v>
        <stp/>
        <stp>9925</stp>
        <stp>PredictVolume</stp>
        <tr r="AJ1422" s="57"/>
      </tp>
      <tp>
        <v>98</v>
        <stp/>
        <stp>9905</stp>
        <stp>PredictVolume</stp>
        <tr r="AJ1413" s="57"/>
      </tp>
      <tp>
        <v>757</v>
        <stp/>
        <stp>9955</stp>
        <stp>PredictVolume</stp>
        <tr r="AJ1437" s="57"/>
      </tp>
      <tp>
        <v>7741</v>
        <stp/>
        <stp>9945</stp>
        <stp>PredictVolume</stp>
        <tr r="AJ1436" s="57"/>
      </tp>
      <tp>
        <v>19.7</v>
        <stp/>
        <stp>2208</stp>
        <stp>Price</stp>
        <tr r="X1516" s="57"/>
      </tp>
      <tp>
        <v>64.8</v>
        <stp/>
        <stp>2228</stp>
        <stp>Price</stp>
        <tr r="X512" s="57"/>
      </tp>
      <tp>
        <v>94.2</v>
        <stp/>
        <stp>2348</stp>
        <stp>Price</stp>
        <tr r="X1316" s="57"/>
      </tp>
      <tp>
        <v>18.3</v>
        <stp/>
        <stp>2358</stp>
        <stp>Price</stp>
        <tr r="X1317" s="57"/>
      </tp>
      <tp>
        <v>82.2</v>
        <stp/>
        <stp>2368</stp>
        <stp>Price</stp>
        <tr r="X1032" s="57"/>
      </tp>
      <tp>
        <v>223.5</v>
        <stp/>
        <stp>2308</stp>
        <stp>Price</stp>
        <tr r="X5" s="118"/>
        <tr r="X1025" s="57"/>
        <tr r="X102" s="114"/>
      </tp>
      <tp>
        <v>33.9</v>
        <stp/>
        <stp>2328</stp>
        <stp>Price</stp>
        <tr r="X1029" s="57"/>
      </tp>
      <tp>
        <v>80.3</v>
        <stp/>
        <stp>2338</stp>
        <stp>Price</stp>
        <tr r="X534" s="57"/>
      </tp>
      <tp>
        <v>48.2</v>
        <stp/>
        <stp>2388</stp>
        <stp>Price</stp>
        <tr r="X541" s="57"/>
      </tp>
      <tp>
        <v>16.05</v>
        <stp/>
        <stp>2008</stp>
        <stp>Price</stp>
        <tr r="X435" s="57"/>
      </tp>
      <tp>
        <v>33.5</v>
        <stp/>
        <stp>2028</stp>
        <stp>Price</stp>
        <tr r="X449" s="57"/>
      </tp>
      <tp>
        <v>26.05</v>
        <stp/>
        <stp>2038</stp>
        <stp>Price</stp>
        <tr r="X54" s="28"/>
        <tr r="X457" s="57"/>
        <tr r="X19" s="74"/>
      </tp>
      <tp>
        <v>49</v>
        <stp/>
        <stp>2108</stp>
        <stp>Price</stp>
        <tr r="X487" s="57"/>
      </tp>
      <tp>
        <v>42</v>
        <stp/>
        <stp>2608</stp>
        <stp>Price</stp>
        <tr r="X1521" s="57"/>
      </tp>
      <tp>
        <v>34.549999999999997</v>
        <stp/>
        <stp>2618</stp>
        <stp>Price</stp>
        <tr r="X1529" s="57"/>
      </tp>
      <tp>
        <v>39.85</v>
        <stp/>
        <stp>2748</stp>
        <stp>Price</stp>
        <tr r="X1572" s="57"/>
      </tp>
      <tp>
        <v>34.4</v>
        <stp/>
        <stp>2718</stp>
        <stp>Price</stp>
        <tr r="X1556" s="57"/>
      </tp>
      <tp>
        <v>140</v>
        <stp/>
        <stp>2458</stp>
        <stp>Price</stp>
        <tr r="X65" s="114"/>
        <tr r="X550" s="57"/>
        <tr r="X12" s="74"/>
      </tp>
      <tp>
        <v>12.95</v>
        <stp/>
        <stp>2468</stp>
        <stp>Price</stp>
        <tr r="X1268" s="57"/>
      </tp>
      <tp>
        <v>54.3</v>
        <stp/>
        <stp>2478</stp>
        <stp>Price</stp>
        <tr r="X1052" s="57"/>
      </tp>
      <tp>
        <v>65.2</v>
        <stp/>
        <stp>2408</stp>
        <stp>Price</stp>
        <tr r="X22" s="114"/>
        <tr r="X543" s="57"/>
        <tr r="X6" s="74"/>
      </tp>
      <tp>
        <v>129.5</v>
        <stp/>
        <stp>2428</stp>
        <stp>Price</stp>
        <tr r="X1042" s="57"/>
      </tp>
      <tp>
        <v>11.8</v>
        <stp/>
        <stp>2438</stp>
        <stp>Price</stp>
        <tr r="X817" s="57"/>
      </tp>
      <tp>
        <v>25.65</v>
        <stp/>
        <stp>2488</stp>
        <stp>Price</stp>
        <tr r="X1707" s="57"/>
      </tp>
      <tp>
        <v>46.15</v>
        <stp/>
        <stp>2498</stp>
        <stp>Price</stp>
        <tr r="X941" s="57"/>
      </tp>
      <tp>
        <v>91.8</v>
        <stp/>
        <stp>2548</stp>
        <stp>Price</stp>
        <tr r="X1470" s="57"/>
      </tp>
      <tp>
        <v>18.649999999999999</v>
        <stp/>
        <stp>2528</stp>
        <stp>Price</stp>
        <tr r="X1456" s="57"/>
      </tp>
      <tp>
        <v>12.25</v>
        <stp/>
        <stp>2538</stp>
        <stp>Price</stp>
        <tr r="X1462" s="57"/>
      </tp>
      <tp>
        <v>14.75</v>
        <stp/>
        <stp>2838</stp>
        <stp>Price</stp>
        <tr r="X1601" s="57"/>
      </tp>
      <tp>
        <v>9.08</v>
        <stp/>
        <stp>2888</stp>
        <stp>Price</stp>
        <tr r="X1617" s="57"/>
      </tp>
      <tp>
        <v>21.6</v>
        <stp/>
        <stp>2908</stp>
        <stp>Price</stp>
        <tr r="X1645" s="57"/>
      </tp>
      <tp>
        <v>22.3</v>
        <stp/>
        <stp>3268</stp>
        <stp>Price</stp>
        <tr r="X574" s="57"/>
      </tp>
      <tp>
        <v>248</v>
        <stp/>
        <stp>3218</stp>
        <stp>Price</stp>
        <tr r="X316" s="57"/>
      </tp>
      <tp>
        <v>359.5</v>
        <stp/>
        <stp>3228</stp>
        <stp>Price</stp>
        <tr r="X568" s="57"/>
      </tp>
      <tp>
        <v>13.5</v>
        <stp/>
        <stp>3288</stp>
        <stp>Price</stp>
        <tr r="X1081" s="57"/>
      </tp>
      <tp>
        <v>16.05</v>
        <stp/>
        <stp>3308</stp>
        <stp>Price</stp>
        <tr r="X1085" s="57"/>
      </tp>
      <tp>
        <v>42.05</v>
        <stp/>
        <stp>3338</stp>
        <stp>Price</stp>
        <tr r="X1091" s="57"/>
      </tp>
      <tp>
        <v>83.5</v>
        <stp/>
        <stp>3388</stp>
        <stp>Price</stp>
        <tr r="X1095" s="57"/>
      </tp>
      <tp>
        <v>34.5</v>
        <stp/>
        <stp>3048</stp>
        <stp>Price</stp>
        <tr r="X1236" s="57"/>
      </tp>
      <tp>
        <v>10.1</v>
        <stp/>
        <stp>3058</stp>
        <stp>Price</stp>
        <tr r="X1067" s="57"/>
      </tp>
      <tp>
        <v>34.5</v>
        <stp/>
        <stp>3078</stp>
        <stp>Price</stp>
        <tr r="X14" s="114"/>
        <tr r="X1068" s="57"/>
      </tp>
      <tp>
        <v>1615</v>
        <stp/>
        <stp>3008</stp>
        <stp>Price</stp>
        <tr r="X822" s="57"/>
      </tp>
      <tp>
        <v>14.85</v>
        <stp/>
        <stp>3018</stp>
        <stp>Price</stp>
        <tr r="X1709" s="57"/>
      </tp>
      <tp>
        <v>36.9</v>
        <stp/>
        <stp>3028</stp>
        <stp>Price</stp>
        <tr r="X1233" s="57"/>
      </tp>
      <tp>
        <v>18</v>
        <stp/>
        <stp>3038</stp>
        <stp>Price</stp>
        <tr r="X826" s="57"/>
      </tp>
      <tp>
        <v>57.4</v>
        <stp/>
        <stp>3088</stp>
        <stp>Price</stp>
        <tr r="X734" s="57"/>
      </tp>
      <tp>
        <v>54.1</v>
        <stp/>
        <stp>3178</stp>
        <stp>Price</stp>
        <tr r="X171" s="57"/>
      </tp>
      <tp>
        <v>29.5</v>
        <stp/>
        <stp>3118</stp>
        <stp>Price</stp>
        <tr r="X312" s="57"/>
      </tp>
      <tp>
        <v>18.2</v>
        <stp/>
        <stp>3128</stp>
        <stp>Price</stp>
        <tr r="X832" s="57"/>
      </tp>
      <tp>
        <v>150</v>
        <stp/>
        <stp>3138</stp>
        <stp>Price</stp>
        <tr r="X41" s="114"/>
        <tr r="X949" s="57"/>
      </tp>
      <tp>
        <v>15.8</v>
        <stp/>
        <stp>3188</stp>
        <stp>Price</stp>
        <tr r="X1477" s="57"/>
      </tp>
      <tp>
        <v>43.5</v>
        <stp/>
        <stp>3628</stp>
        <stp>Price</stp>
        <tr r="X1732" s="57"/>
      </tp>
      <tp>
        <v>121.5</v>
        <stp/>
        <stp>3708</stp>
        <stp>Price</stp>
        <tr r="X265" s="57"/>
      </tp>
      <tp>
        <v>65</v>
        <stp/>
        <stp>3438</stp>
        <stp>Price</stp>
        <tr r="X579" s="57"/>
      </tp>
      <tp>
        <v>26.05</v>
        <stp/>
        <stp>3498</stp>
        <stp>Price</stp>
        <tr r="X1723" s="57"/>
      </tp>
      <tp>
        <v>63.1</v>
        <stp/>
        <stp>3548</stp>
        <stp>Price</stp>
        <tr r="X1108" s="57"/>
      </tp>
      <tp>
        <v>183.5</v>
        <stp/>
        <stp>3558</stp>
        <stp>Price</stp>
        <tr r="X962" s="57"/>
      </tp>
      <tp>
        <v>32.9</v>
        <stp/>
        <stp>3508</stp>
        <stp>Price</stp>
        <tr r="X1724" s="57"/>
      </tp>
      <tp>
        <v>18.3</v>
        <stp/>
        <stp>3518</stp>
        <stp>Price</stp>
        <tr r="X1725" s="57"/>
      </tp>
      <tp>
        <v>51.7</v>
        <stp/>
        <stp>3528</stp>
        <stp>Price</stp>
        <tr r="X1244" s="57"/>
      </tp>
      <tp>
        <v>105.5</v>
        <stp/>
        <stp>3588</stp>
        <stp>Price</stp>
        <tr r="X592" s="57"/>
      </tp>
      <tp>
        <v>25.05</v>
        <stp/>
        <stp>1258</stp>
        <stp>Price</stp>
        <tr r="X33" s="57"/>
      </tp>
      <tp>
        <v>103.5</v>
        <stp/>
        <stp>1268</stp>
        <stp>Price</stp>
        <tr r="X1548" s="57"/>
      </tp>
      <tp>
        <v>30</v>
        <stp/>
        <stp>1218</stp>
        <stp>Price</stp>
        <tr r="X20" s="57"/>
      </tp>
      <tp>
        <v>28.25</v>
        <stp/>
        <stp>1308</stp>
        <stp>Price</stp>
        <tr r="X47" s="57"/>
        <tr r="X64" s="114"/>
      </tp>
      <tp>
        <v>50.4</v>
        <stp/>
        <stp>1338</stp>
        <stp>Price</stp>
        <tr r="X495" s="57"/>
      </tp>
      <tp>
        <v>11.05</v>
        <stp/>
        <stp>1108</stp>
        <stp>Price</stp>
        <tr r="X8" s="57"/>
      </tp>
      <tp>
        <v>18.600000000000001</v>
        <stp/>
        <stp>1608</stp>
        <stp>Price</stp>
        <tr r="X228" s="57"/>
      </tp>
      <tp>
        <v>12.5</v>
        <stp/>
        <stp>1618</stp>
        <stp>Price</stp>
        <tr r="X236" s="57"/>
      </tp>
      <tp>
        <v>55.2</v>
        <stp/>
        <stp>1708</stp>
        <stp>Price</stp>
        <tr r="X1718" s="57"/>
        <tr r="X244" s="57"/>
      </tp>
      <tp>
        <v>8.02</v>
        <stp/>
        <stp>1718</stp>
        <stp>Price</stp>
        <tr r="X252" s="57"/>
      </tp>
      <tp>
        <v>154</v>
        <stp/>
        <stp>1788</stp>
        <stp>Price</stp>
        <tr r="X307" s="57"/>
      </tp>
      <tp>
        <v>11.6</v>
        <stp/>
        <stp>1468</stp>
        <stp>Price</stp>
        <tr r="X103" s="57"/>
      </tp>
      <tp>
        <v>19.600000000000001</v>
        <stp/>
        <stp>1418</stp>
        <stp>Price</stp>
        <tr r="X76" s="57"/>
      </tp>
      <tp>
        <v>32.5</v>
        <stp/>
        <stp>1438</stp>
        <stp>Price</stp>
        <tr r="X1442" s="57"/>
      </tp>
      <tp>
        <v>135</v>
        <stp/>
        <stp>1558</stp>
        <stp>Price</stp>
        <tr r="X150" s="57"/>
      </tp>
      <tp>
        <v>19.100000000000001</v>
        <stp/>
        <stp>1568</stp>
        <stp>Price</stp>
        <tr r="X504" s="57"/>
      </tp>
      <tp>
        <v>9.11</v>
        <stp/>
        <stp>1528</stp>
        <stp>Price</stp>
        <tr r="X139" s="57"/>
      </tp>
      <tp>
        <v>6.24</v>
        <stp/>
        <stp>1538</stp>
        <stp>Price</stp>
        <tr r="X146" s="57"/>
      </tp>
      <tp>
        <v>40.200000000000003</v>
        <stp/>
        <stp>1598</stp>
        <stp>Price</stp>
        <tr r="X39" s="28"/>
        <tr r="X291" s="57"/>
        <tr r="X118" s="22"/>
        <tr r="X119" s="22"/>
        <tr r="X120" s="22"/>
        <tr r="X121" s="22"/>
      </tp>
      <tp>
        <v>69.900000000000006</v>
        <stp/>
        <stp>1808</stp>
        <stp>Price</stp>
        <tr r="X1445" s="57"/>
      </tp>
      <tp>
        <v>21.95</v>
        <stp/>
        <stp>6248</stp>
        <stp>Price</stp>
        <tr r="X472" s="57"/>
      </tp>
      <tp>
        <v>102</v>
        <stp/>
        <stp>6278</stp>
        <stp>Price</stp>
        <tr r="X906" s="57"/>
      </tp>
      <tp>
        <v>51.2</v>
        <stp/>
        <stp>6208</stp>
        <stp>Price</stp>
        <tr r="X1177" s="57"/>
      </tp>
      <tp>
        <v>20.2</v>
        <stp/>
        <stp>6218</stp>
        <stp>Price</stp>
        <tr r="X991" s="57"/>
      </tp>
      <tp>
        <v>22.15</v>
        <stp/>
        <stp>6228</stp>
        <stp>Price</stp>
        <tr r="X786" s="57"/>
      </tp>
      <tp>
        <v>23.5</v>
        <stp/>
        <stp>6288</stp>
        <stp>Price</stp>
        <tr r="X525" s="57"/>
      </tp>
      <tp>
        <v>12.65</v>
        <stp/>
        <stp>6148</stp>
        <stp>Price</stp>
        <tr r="X1288" s="57"/>
      </tp>
      <tp>
        <v>32.549999999999997</v>
        <stp/>
        <stp>6158</stp>
        <stp>Price</stp>
        <tr r="X1164" s="57"/>
      </tp>
      <tp>
        <v>20.85</v>
        <stp/>
        <stp>6168</stp>
        <stp>Price</stp>
        <tr r="X897" s="57"/>
      </tp>
      <tp>
        <v>19.2</v>
        <stp/>
        <stp>6108</stp>
        <stp>Price</stp>
        <tr r="X1152" s="57"/>
      </tp>
      <tp>
        <v>26.15</v>
        <stp/>
        <stp>6118</stp>
        <stp>Price</stp>
        <tr r="X1248" s="57"/>
      </tp>
      <tp>
        <v>29.25</v>
        <stp/>
        <stp>6128</stp>
        <stp>Price</stp>
        <tr r="X779" s="57"/>
      </tp>
      <tp>
        <v>197.5</v>
        <stp/>
        <stp>6138</stp>
        <stp>Price</stp>
        <tr r="X631" s="57"/>
      </tp>
      <tp>
        <v>38</v>
        <stp/>
        <stp>6188</stp>
        <stp>Price</stp>
        <tr r="X784" s="57"/>
      </tp>
      <tp>
        <v>34.1</v>
        <stp/>
        <stp>6198</stp>
        <stp>Price</stp>
        <tr r="X634" s="57"/>
      </tp>
      <tp>
        <v>37.5</v>
        <stp/>
        <stp>6668</stp>
        <stp>Price</stp>
        <tr r="X916" s="57"/>
      </tp>
      <tp>
        <v>36.75</v>
        <stp/>
        <stp>6698</stp>
        <stp>Price</stp>
        <tr r="X1764" s="57"/>
      </tp>
      <tp>
        <v>70.900000000000006</v>
        <stp/>
        <stp>6768</stp>
        <stp>Price</stp>
        <tr r="X1359" s="57"/>
      </tp>
      <tp>
        <v>180</v>
        <stp/>
        <stp>6728</stp>
        <stp>Price</stp>
        <tr r="X1667" s="57"/>
      </tp>
      <tp>
        <v>105.5</v>
        <stp/>
        <stp>6788</stp>
        <stp>Price</stp>
        <tr r="X73" s="114"/>
        <tr r="X679" s="57"/>
      </tp>
      <tp>
        <v>14.35</v>
        <stp/>
        <stp>6418</stp>
        <stp>Price</stp>
        <tr r="X1194" s="57"/>
      </tp>
      <tp>
        <v>105.5</v>
        <stp/>
        <stp>6438</stp>
        <stp>Price</stp>
        <tr r="X1757" s="57"/>
      </tp>
      <tp>
        <v>533</v>
        <stp/>
        <stp>6488</stp>
        <stp>Price</stp>
        <tr r="X654" s="57"/>
        <tr r="X31" s="118"/>
      </tp>
      <tp>
        <v>88.6</v>
        <stp/>
        <stp>6548</stp>
        <stp>Price</stp>
        <tr r="X662" s="57"/>
      </tp>
      <tp>
        <v>23.1</v>
        <stp/>
        <stp>6558</stp>
        <stp>Price</stp>
        <tr r="X38" s="28"/>
        <tr r="X1759" s="57"/>
        <tr r="X113" s="22"/>
        <tr r="X114" s="22"/>
      </tp>
      <tp>
        <v>155</v>
        <stp/>
        <stp>6568</stp>
        <stp>Price</stp>
        <tr r="X664" s="57"/>
      </tp>
      <tp>
        <v>25.15</v>
        <stp/>
        <stp>6578</stp>
        <stp>Price</stp>
        <tr r="X1817" s="57"/>
      </tp>
      <tp>
        <v>48.9</v>
        <stp/>
        <stp>6508</stp>
        <stp>Price</stp>
        <tr r="X1819" s="57"/>
        <tr r="X9" s="114"/>
      </tp>
      <tp>
        <v>83.7</v>
        <stp/>
        <stp>6538</stp>
        <stp>Price</stp>
        <tr r="X1197" s="57"/>
      </tp>
      <tp>
        <v>40.4</v>
        <stp/>
        <stp>6588</stp>
        <stp>Price</stp>
        <tr r="X1005" s="57"/>
      </tp>
      <tp>
        <v>36.700000000000003</v>
        <stp/>
        <stp>6598</stp>
        <stp>Price</stp>
        <tr r="X396" s="57"/>
      </tp>
      <tp>
        <v>68.599999999999994</v>
        <stp/>
        <stp>4148</stp>
        <stp>Price</stp>
        <tr r="X345" s="57"/>
      </tp>
      <tp>
        <v>26.7</v>
        <stp/>
        <stp>4168</stp>
        <stp>Price</stp>
        <tr r="X356" s="57"/>
      </tp>
      <tp>
        <v>20</v>
        <stp/>
        <stp>4108</stp>
        <stp>Price</stp>
        <tr r="X323" s="57"/>
      </tp>
      <tp>
        <v>55.7</v>
        <stp/>
        <stp>4128</stp>
        <stp>Price</stp>
        <tr r="X28" s="28"/>
        <tr r="X334" s="57"/>
        <tr r="X52" s="22"/>
      </tp>
      <tp>
        <v>55.4</v>
        <stp/>
        <stp>4138</stp>
        <stp>Price</stp>
        <tr r="X340" s="57"/>
      </tp>
      <tp>
        <v>16.95</v>
        <stp/>
        <stp>4188</stp>
        <stp>Price</stp>
        <tr r="X361" s="57"/>
      </tp>
      <tp>
        <v>4.9400000000000004</v>
        <stp/>
        <stp>4198</stp>
        <stp>Price</stp>
        <tr r="X364" s="57"/>
      </tp>
      <tp>
        <v>94.5</v>
        <stp/>
        <stp>4768</stp>
        <stp>Price</stp>
        <tr r="X283" s="57"/>
      </tp>
      <tp>
        <v>103.5</v>
        <stp/>
        <stp>4728</stp>
        <stp>Price</stp>
        <tr r="X366" s="57"/>
      </tp>
      <tp>
        <v>109.5</v>
        <stp/>
        <stp>4438</stp>
        <stp>Price</stp>
        <tr r="X123" s="57"/>
      </tp>
      <tp>
        <v>39.5</v>
        <stp/>
        <stp>4558</stp>
        <stp>Price</stp>
        <tr r="X196" s="57"/>
      </tp>
      <tp>
        <v>64.3</v>
        <stp/>
        <stp>4568</stp>
        <stp>Price</stp>
        <tr r="X203" s="57"/>
      </tp>
      <tp>
        <v>37.1</v>
        <stp/>
        <stp>4528</stp>
        <stp>Price</stp>
        <tr r="X183" s="57"/>
      </tp>
      <tp>
        <v>101</v>
        <stp/>
        <stp>4958</stp>
        <stp>Price</stp>
        <tr r="X20" s="28"/>
        <tr r="X1130" s="57"/>
        <tr r="X33" s="22"/>
        <tr r="X34" s="22"/>
        <tr r="X35" s="22"/>
      </tp>
      <tp>
        <v>213</v>
        <stp/>
        <stp>4968</stp>
        <stp>Price</stp>
        <tr r="X42" s="114"/>
        <tr r="X607" s="57"/>
      </tp>
      <tp>
        <v>34.6</v>
        <stp/>
        <stp>4908</stp>
        <stp>Price</stp>
        <tr r="X975" s="57"/>
      </tp>
      <tp>
        <v>68.5</v>
        <stp/>
        <stp>4938</stp>
        <stp>Price</stp>
        <tr r="X21" s="28"/>
        <tr r="X43" s="22"/>
        <tr r="X763" s="57"/>
      </tp>
      <tp>
        <v>36.700000000000003</v>
        <stp/>
        <stp>5258</stp>
        <stp>Price</stp>
        <tr r="X767" s="57"/>
      </tp>
      <tp>
        <v>222</v>
        <stp/>
        <stp>5278</stp>
        <stp>Price</stp>
        <tr r="X1808" s="57"/>
      </tp>
      <tp>
        <v>25.5</v>
        <stp/>
        <stp>5228</stp>
        <stp>Price</stp>
        <tr r="X1135" s="57"/>
        <tr r="X59" s="28"/>
      </tp>
      <tp>
        <v>149</v>
        <stp/>
        <stp>5288</stp>
        <stp>Price</stp>
        <tr r="X68" s="114"/>
        <tr r="X209" s="57"/>
      </tp>
      <tp>
        <v>9.15</v>
        <stp/>
        <stp>5348</stp>
        <stp>Price</stp>
        <tr r="X979" s="57"/>
      </tp>
      <tp>
        <v>10.199999999999999</v>
        <stp/>
        <stp>5328</stp>
        <stp>Price</stp>
        <tr r="X1139" s="57"/>
      </tp>
      <tp>
        <v>73.5</v>
        <stp/>
        <stp>5388</stp>
        <stp>Price</stp>
        <tr r="X981" s="57"/>
      </tp>
      <tp>
        <v>20.5</v>
        <stp/>
        <stp>5398</stp>
        <stp>Price</stp>
        <tr r="X1335" s="57"/>
      </tp>
      <tp>
        <v>44.8</v>
        <stp/>
        <stp>5608</stp>
        <stp>Price</stp>
        <tr r="X1542" s="57"/>
      </tp>
      <tp>
        <v>31.1</v>
        <stp/>
        <stp>5468</stp>
        <stp>Price</stp>
        <tr r="X624" s="57"/>
      </tp>
      <tp>
        <v>83.2</v>
        <stp/>
        <stp>5478</stp>
        <stp>Price</stp>
        <tr r="X1789" s="57"/>
      </tp>
      <tp>
        <v>13.1</v>
        <stp/>
        <stp>5438</stp>
        <stp>Price</stp>
        <tr r="X772" s="57"/>
      </tp>
      <tp>
        <v>7.79</v>
        <stp/>
        <stp>5488</stp>
        <stp>Price</stp>
        <tr r="X1150" s="57"/>
      </tp>
      <tp>
        <v>10</v>
        <stp/>
        <stp>5498</stp>
        <stp>Price</stp>
        <tr r="X1151" s="57"/>
      </tp>
      <tp>
        <v>67.5</v>
        <stp/>
        <stp>5508</stp>
        <stp>Price</stp>
        <tr r="X1488" s="57"/>
      </tp>
      <tp>
        <v>49.15</v>
        <stp/>
        <stp>5538</stp>
        <stp>Price</stp>
        <tr r="X471" s="57"/>
      </tp>
      <tp>
        <v>48.6</v>
        <stp/>
        <stp>5878</stp>
        <stp>Price</stp>
        <tr r="X1626" s="57"/>
      </tp>
      <tp>
        <v>56.9</v>
        <stp/>
        <stp>8358</stp>
        <stp>Price</stp>
        <tr r="X1225" s="57"/>
      </tp>
      <tp>
        <v>32.75</v>
        <stp/>
        <stp>8048</stp>
        <stp>Price</stp>
        <tr r="X1010" s="57"/>
      </tp>
      <tp>
        <v>27.25</v>
        <stp/>
        <stp>8068</stp>
        <stp>Price</stp>
        <tr r="X1258" s="57"/>
      </tp>
      <tp>
        <v>52.5</v>
        <stp/>
        <stp>8028</stp>
        <stp>Price</stp>
        <tr r="X684" s="57"/>
      </tp>
      <tp>
        <v>36.5</v>
        <stp/>
        <stp>8038</stp>
        <stp>Price</stp>
        <tr r="X1205" s="57"/>
      </tp>
      <tp>
        <v>20.9</v>
        <stp/>
        <stp>8088</stp>
        <stp>Price</stp>
        <tr r="X689" s="57"/>
      </tp>
      <tp>
        <v>169.5</v>
        <stp/>
        <stp>8478</stp>
        <stp>Price</stp>
        <tr r="X1390" s="57"/>
      </tp>
      <tp>
        <v>9.91</v>
        <stp/>
        <stp>8418</stp>
        <stp>Price</stp>
        <tr r="X1372" s="57"/>
      </tp>
      <tp>
        <v>38.4</v>
        <stp/>
        <stp>8438</stp>
        <stp>Price</stp>
        <tr r="X1380" s="57"/>
      </tp>
      <tp>
        <v>16.7</v>
        <stp/>
        <stp>8488</stp>
        <stp>Price</stp>
        <tr r="X1394" s="57"/>
      </tp>
      <tp>
        <v>77.900000000000006</v>
        <stp/>
        <stp>8908</stp>
        <stp>Price</stp>
        <tr r="X1684" s="57"/>
      </tp>
      <tp>
        <v>44.3</v>
        <stp/>
        <stp>8928</stp>
        <stp>Price</stp>
        <tr r="X1401" s="57"/>
      </tp>
      <tp>
        <v>88.9</v>
        <stp/>
        <stp>8938</stp>
        <stp>Price</stp>
        <tr r="X1408" s="57"/>
      </tp>
      <tp>
        <v>115.5</v>
        <stp/>
        <stp>9958</stp>
        <stp>Price</stp>
        <tr r="X476" s="57"/>
      </tp>
      <tp>
        <v>32.9</v>
        <stp/>
        <stp>9908</stp>
        <stp>Price</stp>
        <tr r="X1685" s="57"/>
      </tp>
      <tp>
        <v>42.85</v>
        <stp/>
        <stp>9918</stp>
        <stp>Price</stp>
        <tr r="X1682" s="57"/>
      </tp>
      <tp>
        <v>17.25</v>
        <stp/>
        <stp>9928</stp>
        <stp>Price</stp>
        <tr r="X1424" s="57"/>
      </tp>
      <tp>
        <v>64.7</v>
        <stp/>
        <stp>9938</stp>
        <stp>Price</stp>
        <tr r="X1430" s="57"/>
      </tp>
      <tp>
        <v>373</v>
        <stp/>
        <stp>6494</stp>
        <stp>PredictVolume</stp>
        <tr r="AJ655" s="57"/>
      </tp>
      <tp>
        <v>210</v>
        <stp/>
        <stp>6414</stp>
        <stp>PredictVolume</stp>
        <tr r="AJ99" s="114"/>
        <tr r="AJ791" s="57"/>
      </tp>
      <tp>
        <v>0</v>
        <stp/>
        <stp>6404</stp>
        <stp>PredictVolume</stp>
        <tr r="AJ1294" s="57"/>
      </tp>
      <tp>
        <v>8</v>
        <stp/>
        <stp>6464</stp>
        <stp>PredictVolume</stp>
        <tr r="AJ1344" s="57"/>
      </tp>
      <tp>
        <v>30</v>
        <stp/>
        <stp>6594</stp>
        <stp>PredictVolume</stp>
        <tr r="AJ666" s="57"/>
      </tp>
      <tp>
        <v>178</v>
        <stp/>
        <stp>6514</stp>
        <stp>PredictVolume</stp>
        <tr r="AJ1002" s="57"/>
      </tp>
      <tp>
        <v>85</v>
        <stp/>
        <stp>6504</stp>
        <stp>PredictVolume</stp>
        <tr r="AJ1345" s="57"/>
      </tp>
      <tp>
        <v>7</v>
        <stp/>
        <stp>6574</stp>
        <stp>PredictVolume</stp>
        <tr r="AJ393" s="57"/>
      </tp>
      <tp>
        <v>133</v>
        <stp/>
        <stp>6684</stp>
        <stp>PredictVolume</stp>
        <tr r="AJ672" s="57"/>
      </tp>
      <tp>
        <v>5</v>
        <stp/>
        <stp>6624</stp>
        <stp>PredictVolume</stp>
        <tr r="AJ1350" s="57"/>
      </tp>
      <tp>
        <v>1</v>
        <stp/>
        <stp>6674</stp>
        <stp>PredictVolume</stp>
        <tr r="AJ1006" s="57"/>
      </tp>
      <tp>
        <v>654</v>
        <stp/>
        <stp>6664</stp>
        <stp>PredictVolume</stp>
        <tr r="AJ1199" s="57"/>
      </tp>
      <tp>
        <v>12</v>
        <stp/>
        <stp>6654</stp>
        <stp>PredictVolume</stp>
        <tr r="AJ1761" s="57"/>
      </tp>
      <tp>
        <v>30</v>
        <stp/>
        <stp>6754</stp>
        <stp>PredictVolume</stp>
        <tr r="AJ1358" s="57"/>
      </tp>
      <tp>
        <v>70</v>
        <stp/>
        <stp>6024</stp>
        <stp>PredictVolume</stp>
        <tr r="AJ1634" s="57"/>
      </tp>
      <tp>
        <v>3</v>
        <stp/>
        <stp>6194</stp>
        <stp>PredictVolume</stp>
        <tr r="AJ1171" s="57"/>
      </tp>
      <tp>
        <v>42</v>
        <stp/>
        <stp>6184</stp>
        <stp>PredictVolume</stp>
        <tr r="AJ1341" s="57"/>
      </tp>
      <tp>
        <v>190</v>
        <stp/>
        <stp>6134</stp>
        <stp>PredictVolume</stp>
        <tr r="AJ1159" s="57"/>
      </tp>
      <tp>
        <v>40</v>
        <stp/>
        <stp>6124</stp>
        <stp>PredictVolume</stp>
        <tr r="AJ1155" s="57"/>
      </tp>
      <tp>
        <v>32</v>
        <stp/>
        <stp>6114</stp>
        <stp>PredictVolume</stp>
        <tr r="AJ1153" s="57"/>
      </tp>
      <tp>
        <v>23278</v>
        <stp/>
        <stp>6104</stp>
        <stp>PredictVolume</stp>
        <tr r="AJ629" s="57"/>
      </tp>
      <tp>
        <v>271</v>
        <stp/>
        <stp>6174</stp>
        <stp>PredictVolume</stp>
        <tr r="AJ1167" s="57"/>
      </tp>
      <tp>
        <v>299</v>
        <stp/>
        <stp>6164</stp>
        <stp>PredictVolume</stp>
        <tr r="AJ895" s="57"/>
      </tp>
      <tp>
        <v>18</v>
        <stp/>
        <stp>6154</stp>
        <stp>PredictVolume</stp>
        <tr r="AJ1249" s="57"/>
      </tp>
      <tp>
        <v>6</v>
        <stp/>
        <stp>6144</stp>
        <stp>PredictVolume</stp>
        <tr r="AJ1792" s="57"/>
      </tp>
      <tp>
        <v>13</v>
        <stp/>
        <stp>6294</stp>
        <stp>PredictVolume</stp>
        <tr r="AJ1795" s="57"/>
      </tp>
      <tp>
        <v>206</v>
        <stp/>
        <stp>6284</stp>
        <stp>PredictVolume</stp>
        <tr r="AJ1190" s="57"/>
      </tp>
      <tp>
        <v>147</v>
        <stp/>
        <stp>6234</stp>
        <stp>PredictVolume</stp>
        <tr r="AJ903" s="57"/>
      </tp>
      <tp>
        <v>151</v>
        <stp/>
        <stp>6224</stp>
        <stp>PredictVolume</stp>
        <tr r="AJ51" s="114"/>
        <tr r="AJ1182" s="57"/>
      </tp>
      <tp>
        <v>263</v>
        <stp/>
        <stp>6214</stp>
        <stp>PredictVolume</stp>
        <tr r="AJ1290" s="57"/>
      </tp>
      <tp>
        <v>17</v>
        <stp/>
        <stp>6204</stp>
        <stp>PredictVolume</stp>
        <tr r="AJ1174" s="57"/>
      </tp>
      <tp>
        <v>1128</v>
        <stp/>
        <stp>6274</stp>
        <stp>PredictVolume</stp>
        <tr r="AJ1187" s="57"/>
      </tp>
      <tp>
        <v>22</v>
        <stp/>
        <stp>6264</stp>
        <stp>PredictVolume</stp>
        <tr r="AJ1510" s="57"/>
      </tp>
      <tp>
        <v>1525</v>
        <stp/>
        <stp>6244</stp>
        <stp>PredictVolume</stp>
        <tr r="AJ904" s="57"/>
      </tp>
      <tp>
        <v>484</v>
        <stp/>
        <stp>6804</stp>
        <stp>PredictVolume</stp>
        <tr r="AJ1362" s="57"/>
      </tp>
      <tp>
        <v>2364</v>
        <stp/>
        <stp>4414</stp>
        <stp>PredictVolume</stp>
        <tr r="AJ115" s="57"/>
      </tp>
      <tp>
        <v>558</v>
        <stp/>
        <stp>4534</stp>
        <stp>PredictVolume</stp>
        <tr r="AJ187" s="57"/>
      </tp>
      <tp>
        <v>120</v>
        <stp/>
        <stp>4564</stp>
        <stp>PredictVolume</stp>
        <tr r="AJ201" s="57"/>
      </tp>
      <tp>
        <v>181</v>
        <stp/>
        <stp>4554</stp>
        <stp>PredictVolume</stp>
        <tr r="AJ1736" s="57"/>
      </tp>
      <tp>
        <v>902</v>
        <stp/>
        <stp>4714</stp>
        <stp>PredictVolume</stp>
        <tr r="AJ270" s="57"/>
      </tp>
      <tp>
        <v>37</v>
        <stp/>
        <stp>4764</stp>
        <stp>PredictVolume</stp>
        <tr r="AJ280" s="57"/>
      </tp>
      <tp>
        <v>29</v>
        <stp/>
        <stp>4754</stp>
        <stp>PredictVolume</stp>
        <tr r="AJ277" s="57"/>
      </tp>
      <tp>
        <v>491</v>
        <stp/>
        <stp>4744</stp>
        <stp>PredictVolume</stp>
        <tr r="AJ371" s="57"/>
      </tp>
      <tp>
        <v>625</v>
        <stp/>
        <stp>4114</stp>
        <stp>PredictVolume</stp>
        <tr r="AJ326" s="57"/>
      </tp>
      <tp>
        <v>328</v>
        <stp/>
        <stp>4104</stp>
        <stp>PredictVolume</stp>
        <tr r="AJ319" s="57"/>
      </tp>
      <tp>
        <v>1128</v>
        <stp/>
        <stp>4174</stp>
        <stp>PredictVolume</stp>
        <tr r="AJ358" s="57"/>
      </tp>
      <tp>
        <v>412</v>
        <stp/>
        <stp>4164</stp>
        <stp>PredictVolume</stp>
        <tr r="AJ354" s="57"/>
      </tp>
      <tp>
        <v>130</v>
        <stp/>
        <stp>4154</stp>
        <stp>PredictVolume</stp>
        <tr r="AJ347" s="57"/>
      </tp>
      <tp>
        <v>21</v>
        <stp/>
        <stp>4304</stp>
        <stp>PredictVolume</stp>
        <tr r="AJ63" s="57"/>
      </tp>
      <tp>
        <v>4076</v>
        <stp/>
        <stp>4804</stp>
        <stp>PredictVolume</stp>
        <tr r="AJ1580" s="57"/>
      </tp>
      <tp>
        <v>179</v>
        <stp/>
        <stp>4994</stp>
        <stp>PredictVolume</stp>
        <tr r="AJ1275" s="57"/>
      </tp>
      <tp>
        <v>388</v>
        <stp/>
        <stp>4934</stp>
        <stp>PredictVolume</stp>
        <tr r="AJ869" s="57"/>
      </tp>
      <tp>
        <v>30</v>
        <stp/>
        <stp>4924</stp>
        <stp>PredictVolume</stp>
        <tr r="AJ761" s="57"/>
      </tp>
      <tp>
        <v>7632</v>
        <stp/>
        <stp>4904</stp>
        <stp>PredictVolume</stp>
        <tr r="AJ973" s="57"/>
      </tp>
      <tp>
        <v>139</v>
        <stp/>
        <stp>4974</stp>
        <stp>PredictVolume</stp>
        <tr r="AJ1131" s="57"/>
      </tp>
      <tp>
        <v>181</v>
        <stp/>
        <stp>4944</stp>
        <stp>PredictVolume</stp>
        <tr r="AJ872" s="57"/>
      </tp>
      <tp>
        <v>63</v>
        <stp/>
        <stp>5484</stp>
        <stp>PredictVolume</stp>
        <tr r="AJ891" s="57"/>
      </tp>
      <tp>
        <v>510</v>
        <stp/>
        <stp>5434</stp>
        <stp>PredictVolume</stp>
        <tr r="AJ1246" s="57"/>
      </tp>
      <tp>
        <v>158</v>
        <stp/>
        <stp>5474</stp>
        <stp>PredictVolume</stp>
        <tr r="AJ774" s="57"/>
      </tp>
      <tp>
        <v>40</v>
        <stp/>
        <stp>5464</stp>
        <stp>PredictVolume</stp>
        <tr r="AJ1147" s="57"/>
      </tp>
      <tp>
        <v>354</v>
        <stp/>
        <stp>5534</stp>
        <stp>PredictVolume</stp>
        <tr r="AJ1502" s="57"/>
      </tp>
      <tp>
        <v>53</v>
        <stp/>
        <stp>5514</stp>
        <stp>PredictVolume</stp>
        <tr r="AJ1491" s="57"/>
      </tp>
      <tp>
        <v>7</v>
        <stp/>
        <stp>5604</stp>
        <stp>PredictVolume</stp>
        <tr r="AJ1540" s="57"/>
      </tp>
      <tp>
        <v>1</v>
        <stp/>
        <stp>5704</stp>
        <stp>PredictVolume</stp>
        <tr r="AJ1585" s="57"/>
      </tp>
      <tp>
        <v>3581</v>
        <stp/>
        <stp>5014</stp>
        <stp>PredictVolume</stp>
        <tr r="AJ468" s="57"/>
      </tp>
      <tp>
        <v>19</v>
        <stp/>
        <stp>5284</stp>
        <stp>PredictVolume</stp>
        <tr r="AJ1333" s="57"/>
      </tp>
      <tp>
        <v>82</v>
        <stp/>
        <stp>5234</stp>
        <stp>PredictVolume</stp>
        <tr r="AJ880" s="57"/>
      </tp>
      <tp>
        <v>564</v>
        <stp/>
        <stp>5274</stp>
        <stp>PredictVolume</stp>
        <tr r="AJ615" s="57"/>
        <tr r="AK35" s="118"/>
      </tp>
      <tp>
        <v>23</v>
        <stp/>
        <stp>5244</stp>
        <stp>PredictVolume</stp>
        <tr r="AJ882" s="57"/>
      </tp>
      <tp>
        <v>66</v>
        <stp/>
        <stp>5324</stp>
        <stp>PredictVolume</stp>
        <tr r="AJ1486" s="57"/>
      </tp>
      <tp>
        <v>4</v>
        <stp/>
        <stp>5314</stp>
        <stp>PredictVolume</stp>
        <tr r="AJ619" s="57"/>
      </tp>
      <tp>
        <v>17</v>
        <stp/>
        <stp>5364</stp>
        <stp>PredictVolume</stp>
        <tr r="AJ1582" s="57"/>
      </tp>
      <tp>
        <v>46</v>
        <stp/>
        <stp>5344</stp>
        <stp>PredictVolume</stp>
        <tr r="AJ620" s="57"/>
      </tp>
      <tp>
        <v>332</v>
        <stp/>
        <stp>5864</stp>
        <stp>PredictVolume</stp>
        <tr r="AJ1624" s="57"/>
      </tp>
      <tp>
        <v>190</v>
        <stp/>
        <stp>5904</stp>
        <stp>PredictVolume</stp>
        <tr r="AJ1662" s="57"/>
      </tp>
      <tp>
        <v>16770</v>
        <stp/>
        <stp>2484</stp>
        <stp>PredictVolume</stp>
        <tr r="AJ1054" s="57"/>
      </tp>
      <tp>
        <v>2</v>
        <stp/>
        <stp>2434</stp>
        <stp>PredictVolume</stp>
        <tr r="AJ544" s="57"/>
      </tp>
      <tp>
        <v>0</v>
        <stp/>
        <stp>2424</stp>
        <stp>PredictVolume</stp>
        <tr r="AJ721" s="57"/>
      </tp>
      <tp>
        <v>191</v>
        <stp/>
        <stp>2414</stp>
        <stp>PredictVolume</stp>
        <tr r="AJ1229" s="57"/>
      </tp>
      <tp>
        <v>325</v>
        <stp/>
        <stp>2404</stp>
        <stp>PredictVolume</stp>
        <tr r="AJ1699" s="57"/>
        <tr r="AJ8" s="74"/>
        <tr r="AJ37" s="114"/>
      </tp>
      <tp>
        <v>5272</v>
        <stp/>
        <stp>2474</stp>
        <stp>PredictVolume</stp>
        <tr r="AJ1704" s="57"/>
      </tp>
      <tp>
        <v>91</v>
        <stp/>
        <stp>2464</stp>
        <stp>PredictVolume</stp>
        <tr r="AJ1703" s="57"/>
      </tp>
      <tp>
        <v>3752</v>
        <stp/>
        <stp>2454</stp>
        <stp>PredictVolume</stp>
        <tr r="AJ549" s="57"/>
        <tr r="AK3" s="118"/>
      </tp>
      <tp>
        <v>104</v>
        <stp/>
        <stp>2444</stp>
        <stp>PredictVolume</stp>
        <tr r="AJ937" s="57"/>
      </tp>
      <tp>
        <v>927</v>
        <stp/>
        <stp>2534</stp>
        <stp>PredictVolume</stp>
        <tr r="AJ1458" s="57"/>
      </tp>
      <tp>
        <v>164</v>
        <stp/>
        <stp>2524</stp>
        <stp>PredictVolume</stp>
        <tr r="AJ1454" s="57"/>
      </tp>
      <tp>
        <v>35</v>
        <stp/>
        <stp>2514</stp>
        <stp>PredictVolume</stp>
        <tr r="AJ1320" s="57"/>
      </tp>
      <tp>
        <v>3890</v>
        <stp/>
        <stp>2504</stp>
        <stp>PredictVolume</stp>
        <tr r="AJ1447" s="57"/>
      </tp>
      <tp>
        <v>7027</v>
        <stp/>
        <stp>2634</stp>
        <stp>PredictVolume</stp>
        <tr r="AJ1532" s="57"/>
      </tp>
      <tp>
        <v>3316</v>
        <stp/>
        <stp>2614</stp>
        <stp>PredictVolume</stp>
        <tr r="AJ1640" s="57"/>
      </tp>
      <tp>
        <v>248</v>
        <stp/>
        <stp>2734</stp>
        <stp>PredictVolume</stp>
        <tr r="AJ1566" s="57"/>
      </tp>
      <tp>
        <v>3</v>
        <stp/>
        <stp>2724</stp>
        <stp>PredictVolume</stp>
        <tr r="AJ1560" s="57"/>
      </tp>
      <tp>
        <v>23</v>
        <stp/>
        <stp>2704</stp>
        <stp>PredictVolume</stp>
        <tr r="AJ1551" s="57"/>
      </tp>
      <tp>
        <v>39</v>
        <stp/>
        <stp>2754</stp>
        <stp>PredictVolume</stp>
        <tr r="AJ1575" s="57"/>
      </tp>
      <tp>
        <v>1763</v>
        <stp/>
        <stp>2034</stp>
        <stp>PredictVolume</stp>
        <tr r="AJ455" s="57"/>
      </tp>
      <tp>
        <v>184</v>
        <stp/>
        <stp>2024</stp>
        <stp>PredictVolume</stp>
        <tr r="AJ446" s="57"/>
      </tp>
      <tp>
        <v>10799</v>
        <stp/>
        <stp>2014</stp>
        <stp>PredictVolume</stp>
        <tr r="AJ440" s="57"/>
      </tp>
      <tp>
        <v>290</v>
        <stp/>
        <stp>2064</stp>
        <stp>PredictVolume</stp>
        <tr r="AJ459" s="57"/>
      </tp>
      <tp>
        <v>21</v>
        <stp/>
        <stp>2114</stp>
        <stp>PredictVolume</stp>
        <tr r="AJ489" s="57"/>
      </tp>
      <tp>
        <v>4088</v>
        <stp/>
        <stp>2104</stp>
        <stp>PredictVolume</stp>
        <tr r="AJ483" s="57"/>
      </tp>
      <tp>
        <v>1959</v>
        <stp/>
        <stp>2204</stp>
        <stp>PredictVolume</stp>
        <tr r="AJ508" s="57"/>
      </tp>
      <tp>
        <v>16743</v>
        <stp/>
        <stp>2324</stp>
        <stp>PredictVolume</stp>
        <tr r="AJ702" s="57"/>
      </tp>
      <tp>
        <v>1047</v>
        <stp/>
        <stp>2314</stp>
        <stp>PredictVolume</stp>
        <tr r="AJ930" s="57"/>
      </tp>
      <tp>
        <v>1290</v>
        <stp/>
        <stp>2374</stp>
        <stp>PredictVolume</stp>
        <tr r="AJ812" s="57"/>
      </tp>
      <tp>
        <v>14</v>
        <stp/>
        <stp>2364</stp>
        <stp>PredictVolume</stp>
        <tr r="AJ709" s="57"/>
      </tp>
      <tp>
        <v>3343</v>
        <stp/>
        <stp>2354</stp>
        <stp>PredictVolume</stp>
        <tr r="AJ1694" s="57"/>
      </tp>
      <tp>
        <v>15914</v>
        <stp/>
        <stp>2344</stp>
        <stp>PredictVolume</stp>
        <tr r="AJ536" s="57"/>
      </tp>
      <tp>
        <v>27037</v>
        <stp/>
        <stp>2884</stp>
        <stp>PredictVolume</stp>
        <tr r="AJ1613" s="57"/>
        <tr r="AK16" s="118"/>
      </tp>
      <tp>
        <v>30577</v>
        <stp/>
        <stp>2834</stp>
        <stp>PredictVolume</stp>
        <tr r="AJ1599" s="57"/>
      </tp>
      <tp>
        <v>0</v>
        <stp/>
        <stp>2924</stp>
        <stp>PredictVolume</stp>
        <tr r="AJ1652" s="57"/>
      </tp>
      <tp>
        <v>25</v>
        <stp/>
        <stp>2904</stp>
        <stp>PredictVolume</stp>
        <tr r="AJ1322" s="57"/>
      </tp>
      <tp>
        <v>83</v>
        <stp/>
        <stp>3494</stp>
        <stp>PredictVolume</stp>
        <tr r="AJ746" s="57"/>
      </tp>
      <tp>
        <v>268</v>
        <stp/>
        <stp>3484</stp>
        <stp>PredictVolume</stp>
        <tr r="AJ52" s="114"/>
        <tr r="AJ1099" s="57"/>
      </tp>
      <tp>
        <v>305</v>
        <stp/>
        <stp>3434</stp>
        <stp>PredictVolume</stp>
        <tr r="AJ841" s="57"/>
      </tp>
      <tp>
        <v>262</v>
        <stp/>
        <stp>3454</stp>
        <stp>PredictVolume</stp>
        <tr r="AJ844" s="57"/>
      </tp>
      <tp>
        <v>618</v>
        <stp/>
        <stp>3444</stp>
        <stp>PredictVolume</stp>
        <tr r="AJ1243" s="57"/>
      </tp>
      <tp>
        <v>181</v>
        <stp/>
        <stp>3594</stp>
        <stp>PredictVolume</stp>
        <tr r="AJ751" s="57"/>
      </tp>
      <tp>
        <v>582</v>
        <stp/>
        <stp>3504</stp>
        <stp>PredictVolume</stp>
        <tr r="AJ848" s="57"/>
      </tp>
      <tp>
        <v>134</v>
        <stp/>
        <stp>3564</stp>
        <stp>PredictVolume</stp>
        <tr r="AJ963" s="57"/>
      </tp>
      <tp>
        <v>92</v>
        <stp/>
        <stp>3694</stp>
        <stp>PredictVolume</stp>
        <tr r="AJ970" s="57"/>
      </tp>
      <tp>
        <v>4</v>
        <stp/>
        <stp>3684</stp>
        <stp>PredictVolume</stp>
        <tr r="AJ969" s="57"/>
      </tp>
      <tp>
        <v>10666</v>
        <stp/>
        <stp>3624</stp>
        <stp>PredictVolume</stp>
        <tr r="AJ1115" s="57"/>
      </tp>
      <tp>
        <v>40</v>
        <stp/>
        <stp>3664</stp>
        <stp>PredictVolume</stp>
        <tr r="AJ966" s="57"/>
      </tp>
      <tp>
        <v>4060</v>
        <stp/>
        <stp>3714</stp>
        <stp>PredictVolume</stp>
        <tr r="AJ866" s="57"/>
      </tp>
      <tp>
        <v>5358</v>
        <stp/>
        <stp>3704</stp>
        <stp>PredictVolume</stp>
        <tr r="AJ971" s="57"/>
      </tp>
      <tp>
        <v>467</v>
        <stp/>
        <stp>3094</stp>
        <stp>PredictVolume</stp>
        <tr r="AJ560" s="57"/>
      </tp>
      <tp>
        <v>3829</v>
        <stp/>
        <stp>3034</stp>
        <stp>PredictVolume</stp>
        <tr r="AJ555" s="57"/>
      </tp>
      <tp>
        <v>300</v>
        <stp/>
        <stp>3024</stp>
        <stp>PredictVolume</stp>
        <tr r="AJ824" s="57"/>
      </tp>
      <tp>
        <v>499</v>
        <stp/>
        <stp>3014</stp>
        <stp>PredictVolume</stp>
        <tr r="AJ553" s="57"/>
      </tp>
      <tp>
        <v>61</v>
        <stp/>
        <stp>3004</stp>
        <stp>PredictVolume</stp>
        <tr r="AJ463" s="57"/>
      </tp>
      <tp>
        <v>3</v>
        <stp/>
        <stp>3064</stp>
        <stp>PredictVolume</stp>
        <tr r="AJ1780" s="57"/>
      </tp>
      <tp>
        <v>8</v>
        <stp/>
        <stp>3054</stp>
        <stp>PredictVolume</stp>
        <tr r="AJ558" s="57"/>
      </tp>
      <tp>
        <v>1329</v>
        <stp/>
        <stp>3044</stp>
        <stp>PredictVolume</stp>
        <tr r="AJ1066" s="57"/>
      </tp>
      <tp>
        <v>1633</v>
        <stp/>
        <stp>3114</stp>
        <stp>PredictVolume</stp>
        <tr r="AJ1071" s="57"/>
      </tp>
      <tp>
        <v>31</v>
        <stp/>
        <stp>3164</stp>
        <stp>PredictVolume</stp>
        <tr r="AJ313" s="57"/>
      </tp>
      <tp>
        <v>737</v>
        <stp/>
        <stp>3294</stp>
        <stp>PredictVolume</stp>
        <tr r="AJ1083" s="57"/>
      </tp>
      <tp>
        <v>27</v>
        <stp/>
        <stp>3284</stp>
        <stp>PredictVolume</stp>
        <tr r="AJ1324" s="57"/>
      </tp>
      <tp>
        <v>105</v>
        <stp/>
        <stp>3234</stp>
        <stp>PredictVolume</stp>
        <tr r="AJ953" s="57"/>
      </tp>
      <tp>
        <v>292</v>
        <stp/>
        <stp>3224</stp>
        <stp>PredictVolume</stp>
        <tr r="AJ1239" s="57"/>
      </tp>
      <tp>
        <v>1264</v>
        <stp/>
        <stp>3264</stp>
        <stp>PredictVolume</stp>
        <tr r="AJ572" s="57"/>
      </tp>
      <tp>
        <v>795</v>
        <stp/>
        <stp>3324</stp>
        <stp>PredictVolume</stp>
        <tr r="AJ1719" s="57"/>
      </tp>
      <tp>
        <v>4052</v>
        <stp/>
        <stp>3374</stp>
        <stp>PredictVolume</stp>
        <tr r="AJ55" s="114"/>
        <tr r="AJ577" s="57"/>
        <tr r="AM27" s="28"/>
      </tp>
      <tp>
        <v>1317</v>
        <stp/>
        <stp>3354</stp>
        <stp>PredictVolume</stp>
        <tr r="AJ1092" s="57"/>
      </tp>
      <tp>
        <v>1315</v>
        <stp/>
        <stp>1434</stp>
        <stp>PredictVolume</stp>
        <tr r="AJ79" s="57"/>
      </tp>
      <tp>
        <v>91</v>
        <stp/>
        <stp>1414</stp>
        <stp>PredictVolume</stp>
        <tr r="AJ74" s="57"/>
      </tp>
      <tp>
        <v>292</v>
        <stp/>
        <stp>1474</stp>
        <stp>PredictVolume</stp>
        <tr r="AJ107" s="57"/>
      </tp>
      <tp>
        <v>671</v>
        <stp/>
        <stp>1464</stp>
        <stp>PredictVolume</stp>
        <tr r="AJ99" s="57"/>
      </tp>
      <tp>
        <v>69</v>
        <stp/>
        <stp>1454</stp>
        <stp>PredictVolume</stp>
        <tr r="AJ92" s="57"/>
      </tp>
      <tp>
        <v>3260</v>
        <stp/>
        <stp>1444</stp>
        <stp>PredictVolume</stp>
        <tr r="AJ84" s="57"/>
      </tp>
      <tp>
        <v>32885</v>
        <stp/>
        <stp>1584</stp>
        <stp>PredictVolume</stp>
        <tr r="AJ1313" s="57"/>
      </tp>
      <tp>
        <v>51961</v>
        <stp/>
        <stp>1524</stp>
        <stp>PredictVolume</stp>
        <tr r="AJ500" s="57"/>
      </tp>
      <tp>
        <v>907</v>
        <stp/>
        <stp>1514</stp>
        <stp>PredictVolume</stp>
        <tr r="AJ133" s="57"/>
      </tp>
      <tp>
        <v>3136</v>
        <stp/>
        <stp>1504</stp>
        <stp>PredictVolume</stp>
        <tr r="AJ129" s="57"/>
      </tp>
      <tp>
        <v>52</v>
        <stp/>
        <stp>1614</stp>
        <stp>PredictVolume</stp>
        <tr r="AJ232" s="57"/>
      </tp>
      <tp>
        <v>274</v>
        <stp/>
        <stp>1604</stp>
        <stp>PredictVolume</stp>
        <tr r="AJ226" s="57"/>
      </tp>
      <tp>
        <v>74</v>
        <stp/>
        <stp>1784</stp>
        <stp>PredictVolume</stp>
        <tr r="AJ305" s="57"/>
      </tp>
      <tp>
        <v>1466</v>
        <stp/>
        <stp>1734</stp>
        <stp>PredictVolume</stp>
        <tr r="AJ297" s="57"/>
      </tp>
      <tp>
        <v>1285</v>
        <stp/>
        <stp>1714</stp>
        <stp>PredictVolume</stp>
        <tr r="AJ250" s="57"/>
      </tp>
      <tp>
        <v>2154</v>
        <stp/>
        <stp>1104</stp>
        <stp>PredictVolume</stp>
        <tr r="AJ7" s="57"/>
      </tp>
      <tp>
        <v>74</v>
        <stp/>
        <stp>1234</stp>
        <stp>PredictVolume</stp>
        <tr r="AJ29" s="57"/>
      </tp>
      <tp>
        <v>6</v>
        <stp/>
        <stp>1264</stp>
        <stp>PredictVolume</stp>
        <tr r="AJ34" s="57"/>
      </tp>
      <tp>
        <v>9</v>
        <stp/>
        <stp>1324</stp>
        <stp>PredictVolume</stp>
        <tr r="AJ56" s="57"/>
      </tp>
      <tp>
        <v>12848</v>
        <stp/>
        <stp>1314</stp>
        <stp>PredictVolume</stp>
        <tr r="AJ52" s="57"/>
      </tp>
      <tp>
        <v>7061</v>
        <stp/>
        <stp>1304</stp>
        <stp>PredictVolume</stp>
        <tr r="AJ44" s="57"/>
      </tp>
      <tp>
        <v>2871</v>
        <stp/>
        <stp>1904</stp>
        <stp>PredictVolume</stp>
        <tr r="AJ425" s="57"/>
      </tp>
      <tp>
        <v>25</v>
        <stp/>
        <stp>8424</stp>
        <stp>PredictVolume</stp>
        <tr r="AJ1511" s="57"/>
      </tp>
      <tp>
        <v>154</v>
        <stp/>
        <stp>8404</stp>
        <stp>PredictVolume</stp>
        <tr r="AJ1370" s="57"/>
      </tp>
      <tp>
        <v>380</v>
        <stp/>
        <stp>8464</stp>
        <stp>PredictVolume</stp>
        <tr r="AJ1385" s="57"/>
      </tp>
      <tp>
        <v>397</v>
        <stp/>
        <stp>8454</stp>
        <stp>PredictVolume</stp>
        <tr r="AJ1672" s="57"/>
      </tp>
      <tp>
        <v>4</v>
        <stp/>
        <stp>8444</stp>
        <stp>PredictVolume</stp>
        <tr r="AJ1383" s="57"/>
      </tp>
      <tp>
        <v>262</v>
        <stp/>
        <stp>8084</stp>
        <stp>PredictVolume</stp>
        <tr r="AJ1261" s="57"/>
      </tp>
      <tp>
        <v>893</v>
        <stp/>
        <stp>8034</stp>
        <stp>PredictVolume</stp>
        <tr r="AJ1009" s="57"/>
      </tp>
      <tp>
        <v>196</v>
        <stp/>
        <stp>8024</stp>
        <stp>PredictVolume</stp>
        <tr r="AJ683" s="57"/>
      </tp>
      <tp>
        <v>111</v>
        <stp/>
        <stp>8074</stp>
        <stp>PredictVolume</stp>
        <tr r="AJ1211" s="57"/>
      </tp>
      <tp>
        <v>338</v>
        <stp/>
        <stp>8064</stp>
        <stp>PredictVolume</stp>
        <tr r="AJ920" s="57"/>
      </tp>
      <tp>
        <v>1058</v>
        <stp/>
        <stp>8054</stp>
        <stp>PredictVolume</stp>
        <tr r="AJ686" s="57"/>
      </tp>
      <tp>
        <v>957</v>
        <stp/>
        <stp>8044</stp>
        <stp>PredictVolume</stp>
        <tr r="AJ1812" s="57"/>
      </tp>
      <tp>
        <v>1151</v>
        <stp/>
        <stp>8114</stp>
        <stp>PredictVolume</stp>
        <tr r="AJ801" s="57"/>
      </tp>
      <tp>
        <v>314</v>
        <stp/>
        <stp>8104</stp>
        <stp>PredictVolume</stp>
        <tr r="AJ923" s="57"/>
      </tp>
      <tp>
        <v>136</v>
        <stp/>
        <stp>8284</stp>
        <stp>PredictVolume</stp>
        <tr r="AJ1303" s="57"/>
      </tp>
      <tp>
        <v>92</v>
        <stp/>
        <stp>8234</stp>
        <stp>PredictVolume</stp>
        <tr r="AJ804" s="57"/>
      </tp>
      <tp>
        <v>31</v>
        <stp/>
        <stp>8374</stp>
        <stp>PredictVolume</stp>
        <tr r="AJ220" s="57"/>
      </tp>
      <tp>
        <v>1</v>
        <stp/>
        <stp>8354</stp>
        <stp>PredictVolume</stp>
        <tr r="AJ66" s="57"/>
      </tp>
      <tp>
        <v>326</v>
        <stp/>
        <stp>8924</stp>
        <stp>PredictVolume</stp>
        <tr r="AJ1400" s="57"/>
        <tr r="AJ69" s="114"/>
      </tp>
      <tp>
        <v>316</v>
        <stp/>
        <stp>9934</stp>
        <stp>PredictVolume</stp>
        <tr r="AJ1428" s="57"/>
      </tp>
      <tp>
        <v>178</v>
        <stp/>
        <stp>9924</stp>
        <stp>PredictVolume</stp>
        <tr r="AJ1421" s="57"/>
      </tp>
      <tp>
        <v>800</v>
        <stp/>
        <stp>9914</stp>
        <stp>PredictVolume</stp>
        <tr r="AJ1417" s="57"/>
      </tp>
      <tp>
        <v>7831</v>
        <stp/>
        <stp>9904</stp>
        <stp>PredictVolume</stp>
        <tr r="AJ1412" s="57"/>
      </tp>
      <tp>
        <v>136</v>
        <stp/>
        <stp>9944</stp>
        <stp>PredictVolume</stp>
        <tr r="AJ1435" s="57"/>
      </tp>
      <tp>
        <v>66.599999999999994</v>
        <stp/>
        <stp>2239</stp>
        <stp>Price</stp>
        <tr r="X516" s="57"/>
      </tp>
      <tp>
        <v>8.77</v>
        <stp/>
        <stp>2349</stp>
        <stp>Price</stp>
        <tr r="X811" s="57"/>
      </tp>
      <tp>
        <v>27.1</v>
        <stp/>
        <stp>2359</stp>
        <stp>Price</stp>
        <tr r="X1695" s="57"/>
      </tp>
      <tp>
        <v>20.2</v>
        <stp/>
        <stp>2369</stp>
        <stp>Price</stp>
        <tr r="X539" s="57"/>
      </tp>
      <tp>
        <v>415</v>
        <stp/>
        <stp>2379</stp>
        <stp>Price</stp>
        <tr r="X540" s="57"/>
      </tp>
      <tp>
        <v>19.7</v>
        <stp/>
        <stp>2329</stp>
        <stp>Price</stp>
        <tr r="X531" s="57"/>
      </tp>
      <tp>
        <v>17.100000000000001</v>
        <stp/>
        <stp>2399</stp>
        <stp>Price</stp>
        <tr r="X718" s="57"/>
      </tp>
      <tp>
        <v>235</v>
        <stp/>
        <stp>2049</stp>
        <stp>Price</stp>
        <tr r="X161" s="57"/>
      </tp>
      <tp>
        <v>408.5</v>
        <stp/>
        <stp>2059</stp>
        <stp>Price</stp>
        <tr r="X1024" s="57"/>
      </tp>
      <tp>
        <v>27</v>
        <stp/>
        <stp>2069</stp>
        <stp>Price</stp>
        <tr r="X461" s="57"/>
      </tp>
      <tp>
        <v>32.6</v>
        <stp/>
        <stp>2009</stp>
        <stp>Price</stp>
        <tr r="X436" s="57"/>
      </tp>
      <tp>
        <v>30.7</v>
        <stp/>
        <stp>2029</stp>
        <stp>Price</stp>
        <tr r="X450" s="57"/>
      </tp>
      <tp>
        <v>14.25</v>
        <stp/>
        <stp>2109</stp>
        <stp>Price</stp>
        <tr r="X488" s="57"/>
      </tp>
      <tp>
        <v>124</v>
        <stp/>
        <stp>2609</stp>
        <stp>Price</stp>
        <tr r="X24" s="118"/>
        <tr r="X1522" s="57"/>
        <tr r="X43" s="114"/>
      </tp>
      <tp>
        <v>15.1</v>
        <stp/>
        <stp>2719</stp>
        <stp>Price</stp>
        <tr r="X1557" s="57"/>
      </tp>
      <tp>
        <v>220</v>
        <stp/>
        <stp>2729</stp>
        <stp>Price</stp>
        <tr r="X1563" s="57"/>
      </tp>
      <tp>
        <v>22</v>
        <stp/>
        <stp>2739</stp>
        <stp>Price</stp>
        <tr r="X1568" s="57"/>
      </tp>
      <tp>
        <v>42.95</v>
        <stp/>
        <stp>2449</stp>
        <stp>Price</stp>
        <tr r="X547" s="57"/>
      </tp>
      <tp>
        <v>49.9</v>
        <stp/>
        <stp>2459</stp>
        <stp>Price</stp>
        <tr r="X1231" s="57"/>
      </tp>
      <tp>
        <v>17.100000000000001</v>
        <stp/>
        <stp>2409</stp>
        <stp>Price</stp>
        <tr r="X815" s="57"/>
      </tp>
      <tp>
        <v>18.95</v>
        <stp/>
        <stp>2419</stp>
        <stp>Price</stp>
        <tr r="X935" s="57"/>
      </tp>
      <tp>
        <v>15.95</v>
        <stp/>
        <stp>2429</stp>
        <stp>Price</stp>
        <tr r="X1043" s="57"/>
      </tp>
      <tp>
        <v>80.099999999999994</v>
        <stp/>
        <stp>2439</stp>
        <stp>Price</stp>
        <tr r="X936" s="57"/>
        <tr r="X30" s="114"/>
      </tp>
      <tp>
        <v>12.45</v>
        <stp/>
        <stp>2489</stp>
        <stp>Price</stp>
        <tr r="X820" s="57"/>
      </tp>
      <tp>
        <v>15.1</v>
        <stp/>
        <stp>2509</stp>
        <stp>Price</stp>
        <tr r="X1450" s="57"/>
      </tp>
      <tp>
        <v>32.15</v>
        <stp/>
        <stp>2539</stp>
        <stp>Price</stp>
        <tr r="X1463" s="57"/>
      </tp>
      <tp>
        <v>15.2</v>
        <stp/>
        <stp>2849</stp>
        <stp>Price</stp>
        <tr r="X1603" s="57"/>
      </tp>
      <tp>
        <v>37.700000000000003</v>
        <stp/>
        <stp>2809</stp>
        <stp>Price</stp>
        <tr r="X1594" s="57"/>
      </tp>
      <tp>
        <v>15.6</v>
        <stp/>
        <stp>2889</stp>
        <stp>Price</stp>
        <tr r="X1618" s="57"/>
      </tp>
      <tp>
        <v>25.4</v>
        <stp/>
        <stp>2939</stp>
        <stp>Price</stp>
        <tr r="X1655" s="57"/>
      </tp>
      <tp>
        <v>17.899999999999999</v>
        <stp/>
        <stp>3259</stp>
        <stp>Price</stp>
        <tr r="X570" s="57"/>
      </tp>
      <tp>
        <v>39</v>
        <stp/>
        <stp>3209</stp>
        <stp>Price</stp>
        <tr r="X1238" s="57"/>
      </tp>
      <tp>
        <v>91.2</v>
        <stp/>
        <stp>3219</stp>
        <stp>Price</stp>
        <tr r="X566" s="57"/>
      </tp>
      <tp>
        <v>21.65</v>
        <stp/>
        <stp>3229</stp>
        <stp>Price</stp>
        <tr r="X1078" s="57"/>
      </tp>
      <tp>
        <v>48.3</v>
        <stp/>
        <stp>3289</stp>
        <stp>Price</stp>
        <tr r="X1716" s="57"/>
      </tp>
      <tp>
        <v>19</v>
        <stp/>
        <stp>3349</stp>
        <stp>Price</stp>
        <tr r="X742" s="57"/>
      </tp>
      <tp>
        <v>11.7</v>
        <stp/>
        <stp>3379</stp>
        <stp>Price</stp>
        <tr r="X173" s="57"/>
      </tp>
      <tp>
        <v>15.25</v>
        <stp/>
        <stp>3339</stp>
        <stp>Price</stp>
        <tr r="X836" s="57"/>
      </tp>
      <tp>
        <v>11.1</v>
        <stp/>
        <stp>3049</stp>
        <stp>Price</stp>
        <tr r="X827" s="57"/>
      </tp>
      <tp>
        <v>33.299999999999997</v>
        <stp/>
        <stp>3059</stp>
        <stp>Price</stp>
        <tr r="X830" s="57"/>
      </tp>
      <tp>
        <v>63.2</v>
        <stp/>
        <stp>3019</stp>
        <stp>Price</stp>
        <tr r="X59" s="114"/>
        <tr r="X823" s="57"/>
      </tp>
      <tp>
        <v>41.35</v>
        <stp/>
        <stp>3029</stp>
        <stp>Price</stp>
        <tr r="X1271" s="57"/>
      </tp>
      <tp>
        <v>22.45</v>
        <stp/>
        <stp>3149</stp>
        <stp>Price</stp>
        <tr r="X833" s="57"/>
      </tp>
      <tp>
        <v>163.5</v>
        <stp/>
        <stp>3169</stp>
        <stp>Price</stp>
        <tr r="X564" s="57"/>
      </tp>
      <tp>
        <v>168</v>
        <stp/>
        <stp>3189</stp>
        <stp>Price</stp>
        <tr r="X565" s="57"/>
      </tp>
      <tp>
        <v>50.1</v>
        <stp/>
        <stp>3669</stp>
        <stp>Price</stp>
        <tr r="X861" s="57"/>
      </tp>
      <tp>
        <v>85.7</v>
        <stp/>
        <stp>3679</stp>
        <stp>Price</stp>
        <tr r="X1120" s="57"/>
        <tr r="X12" s="114"/>
      </tp>
      <tp>
        <v>52.5</v>
        <stp/>
        <stp>3609</stp>
        <stp>Price</stp>
        <tr r="X1114" s="57"/>
      </tp>
      <tp>
        <v>38.25</v>
        <stp/>
        <stp>3629</stp>
        <stp>Price</stp>
        <tr r="X1785" s="57"/>
      </tp>
      <tp>
        <v>41.2</v>
        <stp/>
        <stp>3689</stp>
        <stp>Price</stp>
        <tr r="X1121" s="57"/>
      </tp>
      <tp>
        <v>28.7</v>
        <stp/>
        <stp>3709</stp>
        <stp>Price</stp>
        <tr r="X758" s="57"/>
      </tp>
      <tp>
        <v>58.9</v>
        <stp/>
        <stp>3479</stp>
        <stp>Price</stp>
        <tr r="X744" s="57"/>
      </tp>
      <tp>
        <v>16.8</v>
        <stp/>
        <stp>3419</stp>
        <stp>Price</stp>
        <tr r="X958" s="57"/>
      </tp>
      <tp>
        <v>10.5</v>
        <stp/>
        <stp>3489</stp>
        <stp>Price</stp>
        <tr r="X1479" s="57"/>
      </tp>
      <tp>
        <v>17.100000000000001</v>
        <stp/>
        <stp>3499</stp>
        <stp>Price</stp>
        <tr r="X961" s="57"/>
      </tp>
      <tp>
        <v>1220</v>
        <stp/>
        <stp>3529</stp>
        <stp>Price</stp>
        <tr r="X34" s="118"/>
        <tr r="X582" s="57"/>
      </tp>
      <tp>
        <v>67.400000000000006</v>
        <stp/>
        <stp>1259</stp>
        <stp>Price</stp>
        <tr r="X1547" s="57"/>
      </tp>
      <tp>
        <v>23.15</v>
        <stp/>
        <stp>1219</stp>
        <stp>Price</stp>
        <tr r="X21" s="57"/>
      </tp>
      <tp>
        <v>53.2</v>
        <stp/>
        <stp>1229</stp>
        <stp>Price</stp>
        <tr r="X25" s="57"/>
      </tp>
      <tp>
        <v>28</v>
        <stp/>
        <stp>1309</stp>
        <stp>Price</stp>
        <tr r="X34" s="28"/>
        <tr r="X48" s="57"/>
        <tr r="X67" s="22"/>
      </tp>
      <tp>
        <v>32.9</v>
        <stp/>
        <stp>1319</stp>
        <stp>Price</stp>
        <tr r="X494" s="57"/>
      </tp>
      <tp>
        <v>34.950000000000003</v>
        <stp/>
        <stp>1339</stp>
        <stp>Price</stp>
        <tr r="X496" s="57"/>
      </tp>
      <tp>
        <v>19.75</v>
        <stp/>
        <stp>1109</stp>
        <stp>Price</stp>
        <tr r="X9" s="57"/>
      </tp>
      <tp>
        <v>24.35</v>
        <stp/>
        <stp>1609</stp>
        <stp>Price</stp>
        <tr r="X229" s="57"/>
      </tp>
      <tp>
        <v>24.6</v>
        <stp/>
        <stp>1709</stp>
        <stp>Price</stp>
        <tr r="X245" s="57"/>
      </tp>
      <tp>
        <v>23.05</v>
        <stp/>
        <stp>1789</stp>
        <stp>Price</stp>
        <tr r="X308" s="57"/>
      </tp>
      <tp>
        <v>14.25</v>
        <stp/>
        <stp>1799</stp>
        <stp>Price</stp>
        <tr r="X310" s="57"/>
      </tp>
      <tp>
        <v>13.2</v>
        <stp/>
        <stp>1449</stp>
        <stp>Price</stp>
        <tr r="X88" s="57"/>
      </tp>
      <tp>
        <v>9.81</v>
        <stp/>
        <stp>1459</stp>
        <stp>Price</stp>
        <tr r="X96" s="57"/>
      </tp>
      <tp>
        <v>19</v>
        <stp/>
        <stp>1409</stp>
        <stp>Price</stp>
        <tr r="X71" s="57"/>
      </tp>
      <tp>
        <v>41.8</v>
        <stp/>
        <stp>1419</stp>
        <stp>Price</stp>
        <tr r="X77" s="57"/>
      </tp>
      <tp>
        <v>21.8</v>
        <stp/>
        <stp>1439</stp>
        <stp>Price</stp>
        <tr r="X80" s="57"/>
      </tp>
      <tp>
        <v>26.9</v>
        <stp/>
        <stp>1569</stp>
        <stp>Price</stp>
        <tr r="X699" s="57"/>
      </tp>
      <tp>
        <v>34.799999999999997</v>
        <stp/>
        <stp>1519</stp>
        <stp>Price</stp>
        <tr r="X136" s="57"/>
      </tp>
      <tp>
        <v>19.149999999999999</v>
        <stp/>
        <stp>1529</stp>
        <stp>Price</stp>
        <tr r="X140" s="57"/>
      </tp>
      <tp>
        <v>21.9</v>
        <stp/>
        <stp>1539</stp>
        <stp>Price</stp>
        <tr r="X147" s="57"/>
      </tp>
      <tp>
        <v>57.5</v>
        <stp/>
        <stp>1589</stp>
        <stp>Price</stp>
        <tr r="X156" s="57"/>
      </tp>
      <tp>
        <v>48.5</v>
        <stp/>
        <stp>1599</stp>
        <stp>Price</stp>
        <tr r="X160" s="57"/>
      </tp>
      <tp>
        <v>12.35</v>
        <stp/>
        <stp>1809</stp>
        <stp>Price</stp>
        <tr r="X419" s="57"/>
      </tp>
      <tp>
        <v>18.75</v>
        <stp/>
        <stp>1909</stp>
        <stp>Price</stp>
        <tr r="X429" s="57"/>
      </tp>
      <tp>
        <v>33.35</v>
        <stp/>
        <stp>6259</stp>
        <stp>Price</stp>
        <tr r="X1184" s="57"/>
      </tp>
      <tp>
        <v>90.6</v>
        <stp/>
        <stp>6269</stp>
        <stp>Price</stp>
        <tr r="X1186" s="57"/>
      </tp>
      <tp>
        <v>106.5</v>
        <stp/>
        <stp>6279</stp>
        <stp>Price</stp>
        <tr r="X1188" s="57"/>
      </tp>
      <tp>
        <v>27.25</v>
        <stp/>
        <stp>6209</stp>
        <stp>Price</stp>
        <tr r="X899" s="57"/>
      </tp>
      <tp>
        <v>16.100000000000001</v>
        <stp/>
        <stp>6219</stp>
        <stp>Price</stp>
        <tr r="X1509" s="57"/>
      </tp>
      <tp>
        <v>32.049999999999997</v>
        <stp/>
        <stp>6229</stp>
        <stp>Price</stp>
        <tr r="X637" s="57"/>
      </tp>
      <tp>
        <v>93.2</v>
        <stp/>
        <stp>6239</stp>
        <stp>Price</stp>
        <tr r="X66" s="114"/>
        <tr r="X640" s="57"/>
      </tp>
      <tp>
        <v>2.63</v>
        <stp/>
        <stp>6289</stp>
        <stp>Price</stp>
        <tr r="X907" s="57"/>
      </tp>
      <tp>
        <v>19.25</v>
        <stp/>
        <stp>6169</stp>
        <stp>Price</stp>
        <tr r="X1793" s="57"/>
      </tp>
      <tp>
        <v>30</v>
        <stp/>
        <stp>6179</stp>
        <stp>Price</stp>
        <tr r="X23" s="28"/>
        <tr r="X39" s="22"/>
        <tr r="X1340" s="57"/>
      </tp>
      <tp>
        <v>10.199999999999999</v>
        <stp/>
        <stp>6109</stp>
        <stp>Price</stp>
        <tr r="X982" s="57"/>
      </tp>
      <tp>
        <v>28.8</v>
        <stp/>
        <stp>6129</stp>
        <stp>Price</stp>
        <tr r="X630" s="57"/>
      </tp>
      <tp>
        <v>30.8</v>
        <stp/>
        <stp>6139</stp>
        <stp>Price</stp>
        <tr r="X1745" s="57"/>
      </tp>
      <tp>
        <v>41.9</v>
        <stp/>
        <stp>6189</stp>
        <stp>Price</stp>
        <tr r="X1250" s="57"/>
      </tp>
      <tp>
        <v>24.9</v>
        <stp/>
        <stp>6199</stp>
        <stp>Price</stp>
        <tr r="X1342" s="57"/>
      </tp>
      <tp>
        <v>23.2</v>
        <stp/>
        <stp>6649</stp>
        <stp>Price</stp>
        <tr r="X399" s="57"/>
      </tp>
      <tp>
        <v>922</v>
        <stp/>
        <stp>6669</stp>
        <stp>Price</stp>
        <tr r="X797" s="57"/>
      </tp>
      <tp>
        <v>311.5</v>
        <stp/>
        <stp>6679</stp>
        <stp>Price</stp>
        <tr r="X670" s="57"/>
      </tp>
      <tp>
        <v>35</v>
        <stp/>
        <stp>6609</stp>
        <stp>Price</stp>
        <tr r="X213" s="57"/>
      </tp>
      <tp t="s">
        <v>無資料</v>
        <stp/>
        <stp>6629</stp>
        <stp>Price</stp>
        <tr r="X1352" s="57"/>
      </tp>
      <tp>
        <v>452</v>
        <stp/>
        <stp>6719</stp>
        <stp>Price</stp>
        <tr r="X675" s="57"/>
      </tp>
      <tp>
        <v>165</v>
        <stp/>
        <stp>6799</stp>
        <stp>Price</stp>
        <tr r="X63" s="28"/>
        <tr r="X680" s="57"/>
      </tp>
      <tp>
        <v>49.8</v>
        <stp/>
        <stp>6449</stp>
        <stp>Price</stp>
        <tr r="X1196" s="57"/>
      </tp>
      <tp>
        <v>259</v>
        <stp/>
        <stp>6469</stp>
        <stp>Price</stp>
        <tr r="X381" s="57"/>
      </tp>
      <tp>
        <v>1320</v>
        <stp/>
        <stp>6409</stp>
        <stp>Price</stp>
        <tr r="X1756" s="57"/>
      </tp>
      <tp>
        <v>26</v>
        <stp/>
        <stp>6419</stp>
        <stp>Price</stp>
        <tr r="X909" s="57"/>
      </tp>
      <tp>
        <v>68.7</v>
        <stp/>
        <stp>6499</stp>
        <stp>Price</stp>
        <tr r="X386" s="57"/>
      </tp>
      <tp>
        <v>104.5</v>
        <stp/>
        <stp>6569</stp>
        <stp>Price</stp>
        <tr r="X392" s="57"/>
      </tp>
      <tp>
        <v>77.3</v>
        <stp/>
        <stp>6579</stp>
        <stp>Price</stp>
        <tr r="X795" s="57"/>
      </tp>
      <tp>
        <v>44.5</v>
        <stp/>
        <stp>6509</stp>
        <stp>Price</stp>
        <tr r="X286" s="57"/>
      </tp>
      <tp>
        <v>76</v>
        <stp/>
        <stp>6589</stp>
        <stp>Price</stp>
        <tr r="X395" s="57"/>
      </tp>
      <tp>
        <v>75</v>
        <stp/>
        <stp>6829</stp>
        <stp>Price</stp>
        <tr r="X214" s="57"/>
      </tp>
      <tp>
        <v>14.4</v>
        <stp/>
        <stp>4109</stp>
        <stp>Price</stp>
        <tr r="X324" s="57"/>
      </tp>
      <tp>
        <v>82.2</v>
        <stp/>
        <stp>4119</stp>
        <stp>Price</stp>
        <tr r="X328" s="57"/>
      </tp>
      <tp>
        <v>29.1</v>
        <stp/>
        <stp>4129</stp>
        <stp>Price</stp>
        <tr r="X335" s="57"/>
      </tp>
      <tp>
        <v>45.4</v>
        <stp/>
        <stp>4139</stp>
        <stp>Price</stp>
        <tr r="X341" s="57"/>
      </tp>
      <tp t="s">
        <v>無資料</v>
        <stp/>
        <stp>4609</stp>
        <stp>Price</stp>
        <tr r="X239" s="57"/>
      </tp>
      <tp>
        <v>10.85</v>
        <stp/>
        <stp>4729</stp>
        <stp>Price</stp>
        <tr r="X867" s="57"/>
      </tp>
      <tp>
        <v>126.5</v>
        <stp/>
        <stp>4739</stp>
        <stp>Price</stp>
        <tr r="X275" s="57"/>
        <tr r="X24" s="114"/>
        <tr r="X7" s="74"/>
      </tp>
      <tp t="s">
        <v>無資料</v>
        <stp/>
        <stp>4419</stp>
        <stp>Price</stp>
        <tr r="X117" s="57"/>
      </tp>
      <tp>
        <v>39.799999999999997</v>
        <stp/>
        <stp>4429</stp>
        <stp>Price</stp>
        <tr r="X120" s="57"/>
      </tp>
      <tp>
        <v>143</v>
        <stp/>
        <stp>4439</stp>
        <stp>Price</stp>
        <tr r="X124" s="57"/>
      </tp>
      <tp>
        <v>89.4</v>
        <stp/>
        <stp>4549</stp>
        <stp>Price</stp>
        <tr r="X192" s="57"/>
      </tp>
      <tp>
        <v>10.5</v>
        <stp/>
        <stp>4529</stp>
        <stp>Price</stp>
        <tr r="X1327" s="57"/>
      </tp>
      <tp>
        <v>19</v>
        <stp/>
        <stp>4979</stp>
        <stp>Price</stp>
        <tr r="X978" s="57"/>
      </tp>
      <tp>
        <v>17.149999999999999</v>
        <stp/>
        <stp>4909</stp>
        <stp>Price</stp>
        <tr r="X976" s="57"/>
      </tp>
      <tp>
        <v>163.5</v>
        <stp/>
        <stp>4919</stp>
        <stp>Price</stp>
        <tr r="X600" s="57"/>
      </tp>
      <tp>
        <v>20.3</v>
        <stp/>
        <stp>4939</stp>
        <stp>Price</stp>
        <tr r="X1128" s="57"/>
      </tp>
      <tp>
        <v>33.15</v>
        <stp/>
        <stp>4989</stp>
        <stp>Price</stp>
        <tr r="X1132" s="57"/>
      </tp>
      <tp>
        <v>35.6</v>
        <stp/>
        <stp>4999</stp>
        <stp>Price</stp>
        <tr r="X1133" s="57"/>
      </tp>
      <tp>
        <v>1375</v>
        <stp/>
        <stp>5269</stp>
        <stp>Price</stp>
        <tr r="X613" s="57"/>
      </tp>
      <tp>
        <v>75.3</v>
        <stp/>
        <stp>5209</stp>
        <stp>Price</stp>
        <tr r="X1279" s="57"/>
      </tp>
      <tp>
        <v>200.5</v>
        <stp/>
        <stp>5289</stp>
        <stp>Price</stp>
        <tr r="X768" s="57"/>
      </tp>
      <tp>
        <v>180.5</v>
        <stp/>
        <stp>5299</stp>
        <stp>Price</stp>
        <tr r="X617" s="57"/>
      </tp>
      <tp>
        <v>38.85</v>
        <stp/>
        <stp>5309</stp>
        <stp>Price</stp>
        <tr r="X1137" s="57"/>
      </tp>
      <tp>
        <v>30.6</v>
        <stp/>
        <stp>5009</stp>
        <stp>Price</stp>
        <tr r="X465" s="57"/>
      </tp>
      <tp>
        <v>110.5</v>
        <stp/>
        <stp>5609</stp>
        <stp>Price</stp>
        <tr r="X11" s="114"/>
        <tr r="X1543" s="57"/>
      </tp>
      <tp>
        <v>34.6</v>
        <stp/>
        <stp>5469</stp>
        <stp>Price</stp>
        <tr r="X1148" s="57"/>
      </tp>
      <tp>
        <v>46.85</v>
        <stp/>
        <stp>5439</stp>
        <stp>Price</stp>
        <tr r="X1144" s="57"/>
      </tp>
      <tp>
        <v>34.700000000000003</v>
        <stp/>
        <stp>5489</stp>
        <stp>Price</stp>
        <tr r="X1742" s="57"/>
      </tp>
      <tp>
        <v>22.05</v>
        <stp/>
        <stp>5519</stp>
        <stp>Price</stp>
        <tr r="X1494" s="57"/>
      </tp>
      <tp>
        <v>14.5</v>
        <stp/>
        <stp>5529</stp>
        <stp>Price</stp>
        <tr r="X1499" s="57"/>
      </tp>
      <tp>
        <v>21.3</v>
        <stp/>
        <stp>8249</stp>
        <stp>Price</stp>
        <tr r="X1222" s="57"/>
      </tp>
      <tp>
        <v>126</v>
        <stp/>
        <stp>8279</stp>
        <stp>Price</stp>
        <tr r="X409" s="57"/>
      </tp>
      <tp>
        <v>35</v>
        <stp/>
        <stp>8289</stp>
        <stp>Price</stp>
        <tr r="X1223" s="57"/>
      </tp>
      <tp>
        <v>375.5</v>
        <stp/>
        <stp>8299</stp>
        <stp>Price</stp>
        <tr r="X39" s="118"/>
        <tr r="X696" s="57"/>
      </tp>
      <tp>
        <v>57.4</v>
        <stp/>
        <stp>8349</stp>
        <stp>Price</stp>
        <tr r="X473" s="57"/>
      </tp>
      <tp>
        <v>24.7</v>
        <stp/>
        <stp>8049</stp>
        <stp>Price</stp>
        <tr r="X919" s="57"/>
      </tp>
      <tp>
        <v>9.23</v>
        <stp/>
        <stp>8059</stp>
        <stp>Price</stp>
        <tr r="X1011" s="57"/>
      </tp>
      <tp>
        <v>173</v>
        <stp/>
        <stp>8069</stp>
        <stp>Price</stp>
        <tr r="X921" s="57"/>
        <tr r="X32" s="118"/>
      </tp>
      <tp>
        <v>44.9</v>
        <stp/>
        <stp>8039</stp>
        <stp>Price</stp>
        <tr r="X1206" s="57"/>
      </tp>
      <tp>
        <v>23.5</v>
        <stp/>
        <stp>8089</stp>
        <stp>Price</stp>
        <tr r="X1012" s="57"/>
      </tp>
      <tp>
        <v>38.9</v>
        <stp/>
        <stp>8099</stp>
        <stp>Price</stp>
        <tr r="X1302" s="57"/>
      </tp>
      <tp>
        <v>70.900000000000006</v>
        <stp/>
        <stp>8109</stp>
        <stp>Price</stp>
        <tr r="X1216" s="57"/>
      </tp>
      <tp>
        <v>23</v>
        <stp/>
        <stp>8409</stp>
        <stp>Price</stp>
        <tr r="X412" s="57"/>
      </tp>
      <tp>
        <v>10.15</v>
        <stp/>
        <stp>8429</stp>
        <stp>Price</stp>
        <tr r="X1669" s="57"/>
      </tp>
      <tp>
        <v>30.85</v>
        <stp/>
        <stp>8489</stp>
        <stp>Price</stp>
        <tr r="X1801" s="57"/>
      </tp>
      <tp>
        <v>109.5</v>
        <stp/>
        <stp>8499</stp>
        <stp>Price</stp>
        <tr r="X27" s="114"/>
        <tr r="X1395" s="57"/>
      </tp>
      <tp>
        <v>20.6</v>
        <stp/>
        <stp>8929</stp>
        <stp>Price</stp>
        <tr r="X1402" s="57"/>
      </tp>
      <tp>
        <v>15.25</v>
        <stp/>
        <stp>9949</stp>
        <stp>Price</stp>
        <tr r="X1803" s="57"/>
      </tp>
      <tp>
        <v>21.6</v>
        <stp/>
        <stp>9919</stp>
        <stp>Price</stp>
        <tr r="X13" s="28"/>
        <tr r="X1419" s="57"/>
      </tp>
      <tp>
        <v>8.94</v>
        <stp/>
        <stp>9929</stp>
        <stp>Price</stp>
        <tr r="X1425" s="57"/>
      </tp>
      <tp>
        <v>74.2</v>
        <stp/>
        <stp>9939</stp>
        <stp>Price</stp>
        <tr r="X1431" s="57"/>
      </tp>
      <tp>
        <v>33066</v>
        <stp/>
        <stp>6443</stp>
        <stp>PredictVolume</stp>
        <tr r="AJ911" s="57"/>
      </tp>
      <tp>
        <v>7</v>
        <stp/>
        <stp>6593</stp>
        <stp>PredictVolume</stp>
        <tr r="AJ1297" s="57"/>
      </tp>
      <tp>
        <v>815</v>
        <stp/>
        <stp>6533</stp>
        <stp>PredictVolume</stp>
        <tr r="AJ661" s="57"/>
      </tp>
      <tp>
        <v>200</v>
        <stp/>
        <stp>6523</stp>
        <stp>PredictVolume</stp>
        <tr r="AM17" s="28"/>
        <tr r="AJ387" s="57"/>
      </tp>
      <tp>
        <v>55</v>
        <stp/>
        <stp>6573</stp>
        <stp>PredictVolume</stp>
        <tr r="AJ665" s="57"/>
      </tp>
      <tp>
        <v>95</v>
        <stp/>
        <stp>6693</stp>
        <stp>PredictVolume</stp>
        <tr r="AJ673" s="57"/>
      </tp>
      <tp>
        <v>39</v>
        <stp/>
        <stp>6683</stp>
        <stp>PredictVolume</stp>
        <tr r="AJ671" s="57"/>
      </tp>
      <tp>
        <v>13</v>
        <stp/>
        <stp>6613</stp>
        <stp>PredictVolume</stp>
        <tr r="AJ1760" s="57"/>
      </tp>
      <tp>
        <v>437</v>
        <stp/>
        <stp>6603</stp>
        <stp>PredictVolume</stp>
        <tr r="AJ212" s="57"/>
      </tp>
      <tp>
        <v>120</v>
        <stp/>
        <stp>6643</stp>
        <stp>PredictVolume</stp>
        <tr r="AJ668" s="57"/>
        <tr r="AJ48" s="114"/>
      </tp>
      <tp>
        <v>30</v>
        <stp/>
        <stp>6733</stp>
        <stp>PredictVolume</stp>
        <tr r="AJ405" s="57"/>
      </tp>
      <tp>
        <v>18</v>
        <stp/>
        <stp>6703</stp>
        <stp>PredictVolume</stp>
        <tr r="AJ403" s="57"/>
      </tp>
      <tp>
        <v>32</v>
        <stp/>
        <stp>6763</stp>
        <stp>PredictVolume</stp>
        <tr r="AJ1811" s="57"/>
      </tp>
      <tp>
        <v>260</v>
        <stp/>
        <stp>6743</stp>
        <stp>PredictVolume</stp>
        <tr r="AJ1766" s="57"/>
      </tp>
      <tp>
        <v>63</v>
        <stp/>
        <stp>6023</stp>
        <stp>PredictVolume</stp>
        <tr r="AJ1633" s="57"/>
      </tp>
      <tp>
        <v>49</v>
        <stp/>
        <stp>6183</stp>
        <stp>PredictVolume</stp>
        <tr r="AJ1289" s="57"/>
      </tp>
      <tp>
        <v>157</v>
        <stp/>
        <stp>6133</stp>
        <stp>PredictVolume</stp>
        <tr r="AJ1158" s="57"/>
      </tp>
      <tp>
        <v>28</v>
        <stp/>
        <stp>6123</stp>
        <stp>PredictVolume</stp>
        <tr r="AJ778" s="57"/>
      </tp>
      <tp>
        <v>3764</v>
        <stp/>
        <stp>6113</stp>
        <stp>PredictVolume</stp>
        <tr r="AJ1247" s="57"/>
      </tp>
      <tp>
        <v>0</v>
        <stp/>
        <stp>6103</stp>
        <stp>PredictVolume</stp>
        <tr r="AJ628" s="57"/>
      </tp>
      <tp>
        <v>220</v>
        <stp/>
        <stp>6173</stp>
        <stp>PredictVolume</stp>
        <tr r="AJ1166" s="57"/>
      </tp>
      <tp>
        <v>531</v>
        <stp/>
        <stp>6163</stp>
        <stp>PredictVolume</stp>
        <tr r="AJ987" s="57"/>
      </tp>
      <tp>
        <v>1020</v>
        <stp/>
        <stp>6153</stp>
        <stp>PredictVolume</stp>
        <tr r="AJ1161" s="57"/>
      </tp>
      <tp>
        <v>217</v>
        <stp/>
        <stp>6143</stp>
        <stp>PredictVolume</stp>
        <tr r="AJ985" s="57"/>
      </tp>
      <tp>
        <v>249</v>
        <stp/>
        <stp>6283</stp>
        <stp>PredictVolume</stp>
        <tr r="AJ1755" s="57"/>
      </tp>
      <tp>
        <v>488</v>
        <stp/>
        <stp>6233</stp>
        <stp>PredictVolume</stp>
        <tr r="AJ638" s="57"/>
      </tp>
      <tp>
        <v>856</v>
        <stp/>
        <stp>6223</stp>
        <stp>PredictVolume</stp>
        <tr r="AJ636" s="57"/>
      </tp>
      <tp>
        <v>286</v>
        <stp/>
        <stp>6213</stp>
        <stp>PredictVolume</stp>
        <tr r="AJ81" s="114"/>
        <tr r="AJ1179" s="57"/>
      </tp>
      <tp>
        <v>45</v>
        <stp/>
        <stp>6203</stp>
        <stp>PredictVolume</stp>
        <tr r="AJ1173" s="57"/>
      </tp>
      <tp>
        <v>15</v>
        <stp/>
        <stp>6263</stp>
        <stp>PredictVolume</stp>
        <tr r="AJ994" s="57"/>
      </tp>
      <tp>
        <v>274</v>
        <stp/>
        <stp>6243</stp>
        <stp>PredictVolume</stp>
        <tr r="AJ641" s="57"/>
      </tp>
      <tp>
        <v>24</v>
        <stp/>
        <stp>6803</stp>
        <stp>PredictVolume</stp>
        <tr r="AJ1361" s="57"/>
      </tp>
      <tp>
        <v>411</v>
        <stp/>
        <stp>4433</stp>
        <stp>PredictVolume</stp>
        <tr r="AJ122" s="57"/>
      </tp>
      <tp>
        <v>311</v>
        <stp/>
        <stp>4413</stp>
        <stp>PredictVolume</stp>
        <tr r="AJ114" s="57"/>
      </tp>
      <tp>
        <v>258</v>
        <stp/>
        <stp>4583</stp>
        <stp>PredictVolume</stp>
        <tr r="AJ208" s="57"/>
        <tr r="AJ64" s="28"/>
      </tp>
      <tp>
        <v>80</v>
        <stp/>
        <stp>4533</stp>
        <stp>PredictVolume</stp>
        <tr r="AJ186" s="57"/>
      </tp>
      <tp>
        <v>3</v>
        <stp/>
        <stp>4523</stp>
        <stp>PredictVolume</stp>
        <tr r="AJ180" s="57"/>
      </tp>
      <tp>
        <v>1240</v>
        <stp/>
        <stp>4513</stp>
        <stp>PredictVolume</stp>
        <tr r="AJ179" s="57"/>
      </tp>
      <tp>
        <v>399</v>
        <stp/>
        <stp>4503</stp>
        <stp>PredictVolume</stp>
        <tr r="AJ176" s="57"/>
      </tp>
      <tp>
        <v>1669</v>
        <stp/>
        <stp>4563</stp>
        <stp>PredictVolume</stp>
        <tr r="AJ200" s="57"/>
      </tp>
      <tp>
        <v>30</v>
        <stp/>
        <stp>4543</stp>
        <stp>PredictVolume</stp>
        <tr r="AJ191" s="57"/>
      </tp>
      <tp>
        <v>231</v>
        <stp/>
        <stp>4763</stp>
        <stp>PredictVolume</stp>
        <tr r="AJ279" s="57"/>
      </tp>
      <tp>
        <v>1441</v>
        <stp/>
        <stp>4743</stp>
        <stp>PredictVolume</stp>
        <tr r="AK40" s="118"/>
        <tr r="AJ370" s="57"/>
      </tp>
      <tp>
        <v>70</v>
        <stp/>
        <stp>4183</stp>
        <stp>PredictVolume</stp>
        <tr r="AJ360" s="57"/>
      </tp>
      <tp>
        <v>22653</v>
        <stp/>
        <stp>4133</stp>
        <stp>PredictVolume</stp>
        <tr r="AJ338" s="57"/>
      </tp>
      <tp>
        <v>836</v>
        <stp/>
        <stp>4123</stp>
        <stp>PredictVolume</stp>
        <tr r="AJ331" s="57"/>
      </tp>
      <tp>
        <v>119</v>
        <stp/>
        <stp>4113</stp>
        <stp>PredictVolume</stp>
        <tr r="AJ1481" s="57"/>
      </tp>
      <tp>
        <v>232</v>
        <stp/>
        <stp>4173</stp>
        <stp>PredictVolume</stp>
        <tr r="AJ357" s="57"/>
      </tp>
      <tp>
        <v>32</v>
        <stp/>
        <stp>4163</stp>
        <stp>PredictVolume</stp>
        <tr r="AM24" s="28"/>
        <tr r="AJ353" s="57"/>
      </tp>
      <tp>
        <v>984</v>
        <stp/>
        <stp>4153</stp>
        <stp>PredictVolume</stp>
        <tr r="AJ346" s="57"/>
      </tp>
      <tp>
        <v>7434</v>
        <stp/>
        <stp>4303</stp>
        <stp>PredictVolume</stp>
        <tr r="AJ62" s="57"/>
      </tp>
      <tp>
        <v>66</v>
        <stp/>
        <stp>4933</stp>
        <stp>PredictVolume</stp>
        <tr r="AJ868" s="57"/>
      </tp>
      <tp>
        <v>218</v>
        <stp/>
        <stp>4923</stp>
        <stp>PredictVolume</stp>
        <tr r="AJ601" s="57"/>
      </tp>
      <tp>
        <v>73</v>
        <stp/>
        <stp>4903</stp>
        <stp>PredictVolume</stp>
        <tr r="AJ972" s="57"/>
      </tp>
      <tp>
        <v>55</v>
        <stp/>
        <stp>4973</stp>
        <stp>PredictVolume</stp>
        <tr r="AJ609" s="57"/>
      </tp>
      <tp>
        <v>177</v>
        <stp/>
        <stp>4953</stp>
        <stp>PredictVolume</stp>
        <tr r="AJ1274" s="57"/>
      </tp>
      <tp>
        <v>516</v>
        <stp/>
        <stp>4943</stp>
        <stp>PredictVolume</stp>
        <tr r="AJ1129" s="57"/>
      </tp>
      <tp>
        <v>12</v>
        <stp/>
        <stp>5493</stp>
        <stp>PredictVolume</stp>
        <tr r="AJ1743" s="57"/>
      </tp>
      <tp>
        <v>6066</v>
        <stp/>
        <stp>5483</stp>
        <stp>PredictVolume</stp>
        <tr r="AK37" s="118"/>
        <tr r="AJ626" s="57"/>
      </tp>
      <tp>
        <v>15</v>
        <stp/>
        <stp>5403</stp>
        <stp>PredictVolume</stp>
        <tr r="AJ1284" s="57"/>
      </tp>
      <tp>
        <v>105</v>
        <stp/>
        <stp>5443</stp>
        <stp>PredictVolume</stp>
        <tr r="AJ890" s="57"/>
      </tp>
      <tp>
        <v>230</v>
        <stp/>
        <stp>5533</stp>
        <stp>PredictVolume</stp>
        <tr r="AJ1501" s="57"/>
      </tp>
      <tp>
        <v>60</v>
        <stp/>
        <stp>5523</stp>
        <stp>PredictVolume</stp>
        <tr r="AJ1497" s="57"/>
      </tp>
      <tp>
        <v>5</v>
        <stp/>
        <stp>5543</stp>
        <stp>PredictVolume</stp>
        <tr r="AJ1503" s="57"/>
      </tp>
      <tp>
        <v>810</v>
        <stp/>
        <stp>5603</stp>
        <stp>PredictVolume</stp>
        <tr r="AJ1539" s="57"/>
      </tp>
      <tp>
        <v>0</v>
        <stp/>
        <stp>5703</stp>
        <stp>PredictVolume</stp>
        <tr r="AJ1584" s="57"/>
      </tp>
      <tp>
        <v>64</v>
        <stp/>
        <stp>5013</stp>
        <stp>PredictVolume</stp>
        <tr r="AJ467" s="57"/>
      </tp>
      <tp>
        <v>32</v>
        <stp/>
        <stp>5283</stp>
        <stp>PredictVolume</stp>
        <tr r="AJ241" s="57"/>
      </tp>
      <tp>
        <v>33</v>
        <stp/>
        <stp>5223</stp>
        <stp>PredictVolume</stp>
        <tr r="AM26" s="28"/>
        <tr r="AJ766" s="57"/>
      </tp>
      <tp>
        <v>154</v>
        <stp/>
        <stp>5213</stp>
        <stp>PredictVolume</stp>
        <tr r="AJ1485" s="57"/>
      </tp>
      <tp>
        <v>128</v>
        <stp/>
        <stp>5203</stp>
        <stp>PredictVolume</stp>
        <tr r="AJ1278" s="57"/>
      </tp>
      <tp>
        <v>126</v>
        <stp/>
        <stp>5263</stp>
        <stp>PredictVolume</stp>
        <tr r="AJ1788" s="57"/>
      </tp>
      <tp>
        <v>458</v>
        <stp/>
        <stp>5243</stp>
        <stp>PredictVolume</stp>
        <tr r="AJ881" s="57"/>
      </tp>
      <tp>
        <v>13</v>
        <stp/>
        <stp>5383</stp>
        <stp>PredictVolume</stp>
        <tr r="AJ1740" s="57"/>
      </tp>
      <tp>
        <v>14</v>
        <stp/>
        <stp>5353</stp>
        <stp>PredictVolume</stp>
        <tr r="AJ980" s="57"/>
      </tp>
      <tp>
        <v>35</v>
        <stp/>
        <stp>5903</stp>
        <stp>PredictVolume</stp>
        <tr r="AJ1661" s="57"/>
      </tp>
      <tp>
        <v>134</v>
        <stp/>
        <stp>2493</stp>
        <stp>PredictVolume</stp>
        <tr r="AJ1056" s="57"/>
      </tp>
      <tp>
        <v>153</v>
        <stp/>
        <stp>2483</stp>
        <stp>PredictVolume</stp>
        <tr r="AJ1053" s="57"/>
      </tp>
      <tp>
        <v>32</v>
        <stp/>
        <stp>2433</stp>
        <stp>PredictVolume</stp>
        <tr r="AJ1701" s="57"/>
      </tp>
      <tp>
        <v>372</v>
        <stp/>
        <stp>2423</stp>
        <stp>PredictVolume</stp>
        <tr r="AJ1700" s="57"/>
      </tp>
      <tp>
        <v>159</v>
        <stp/>
        <stp>2413</stp>
        <stp>PredictVolume</stp>
        <tr r="AJ1038" s="57"/>
      </tp>
      <tp>
        <v>112</v>
        <stp/>
        <stp>2453</stp>
        <stp>PredictVolume</stp>
        <tr r="AJ1267" s="57"/>
      </tp>
      <tp>
        <v>233</v>
        <stp/>
        <stp>2443</stp>
        <stp>PredictVolume</stp>
        <tr r="AJ1318" s="57"/>
      </tp>
      <tp>
        <v>251</v>
        <stp/>
        <stp>2543</stp>
        <stp>PredictVolume</stp>
        <tr r="AJ1466" s="57"/>
      </tp>
      <tp>
        <v>4273</v>
        <stp/>
        <stp>2633</stp>
        <stp>PredictVolume</stp>
        <tr r="AJ1531" s="57"/>
      </tp>
      <tp>
        <v>1924</v>
        <stp/>
        <stp>2613</stp>
        <stp>PredictVolume</stp>
        <tr r="AJ1526" s="57"/>
      </tp>
      <tp>
        <v>81685</v>
        <stp/>
        <stp>2603</stp>
        <stp>PredictVolume</stp>
        <tr r="AJ1517" s="57"/>
        <tr r="AK22" s="118"/>
        <tr r="AJ44" s="114"/>
      </tp>
      <tp>
        <v>81</v>
        <stp/>
        <stp>2643</stp>
        <stp>PredictVolume</stp>
        <tr r="AJ1537" s="57"/>
      </tp>
      <tp>
        <v>388</v>
        <stp/>
        <stp>2723</stp>
        <stp>PredictVolume</stp>
        <tr r="AJ1559" s="57"/>
      </tp>
      <tp>
        <v>303</v>
        <stp/>
        <stp>2753</stp>
        <stp>PredictVolume</stp>
        <tr r="AJ1574" s="57"/>
      </tp>
      <tp>
        <v>8987</v>
        <stp/>
        <stp>2743</stp>
        <stp>PredictVolume</stp>
        <tr r="AJ1570" s="57"/>
      </tp>
      <tp>
        <v>311</v>
        <stp/>
        <stp>2033</stp>
        <stp>PredictVolume</stp>
        <tr r="AJ454" s="57"/>
      </tp>
      <tp>
        <v>3857</v>
        <stp/>
        <stp>2023</stp>
        <stp>PredictVolume</stp>
        <tr r="AJ445" s="57"/>
      </tp>
      <tp>
        <v>783</v>
        <stp/>
        <stp>2013</stp>
        <stp>PredictVolume</stp>
        <tr r="AJ439" s="57"/>
      </tp>
      <tp>
        <v>77</v>
        <stp/>
        <stp>2063</stp>
        <stp>PredictVolume</stp>
        <tr r="AJ458" s="57"/>
      </tp>
      <tp>
        <v>2915</v>
        <stp/>
        <stp>2103</stp>
        <stp>PredictVolume</stp>
        <tr r="AJ482" s="57"/>
      </tp>
      <tp>
        <v>757</v>
        <stp/>
        <stp>2233</stp>
        <stp>PredictVolume</stp>
        <tr r="AJ514" s="57"/>
      </tp>
      <tp>
        <v>227</v>
        <stp/>
        <stp>2243</stp>
        <stp>PredictVolume</stp>
        <tr r="AJ517" s="57"/>
      </tp>
      <tp>
        <v>1317</v>
        <stp/>
        <stp>2393</stp>
        <stp>PredictVolume</stp>
        <tr r="AJ32" s="114"/>
        <tr r="AJ813" s="57"/>
      </tp>
      <tp>
        <v>1715</v>
        <stp/>
        <stp>2383</stp>
        <stp>PredictVolume</stp>
        <tr r="AJ1034" s="57"/>
        <tr r="AJ71" s="114"/>
      </tp>
      <tp>
        <v>2525</v>
        <stp/>
        <stp>2323</stp>
        <stp>PredictVolume</stp>
        <tr r="AJ809" s="57"/>
      </tp>
      <tp>
        <v>16486</v>
        <stp/>
        <stp>2313</stp>
        <stp>PredictVolume</stp>
        <tr r="AJ1026" s="57"/>
      </tp>
      <tp>
        <v>78468</v>
        <stp/>
        <stp>2303</stp>
        <stp>PredictVolume</stp>
        <tr r="AJ530" s="57"/>
        <tr r="AK4" s="118"/>
      </tp>
      <tp>
        <v>111</v>
        <stp/>
        <stp>2373</stp>
        <stp>PredictVolume</stp>
        <tr r="AJ1697" s="57"/>
      </tp>
      <tp>
        <v>1684</v>
        <stp/>
        <stp>2363</stp>
        <stp>PredictVolume</stp>
        <tr r="AJ538" s="57"/>
      </tp>
      <tp>
        <v>14293</v>
        <stp/>
        <stp>2353</stp>
        <stp>PredictVolume</stp>
        <tr r="AJ705" s="57"/>
      </tp>
      <tp>
        <v>48283</v>
        <stp/>
        <stp>2883</stp>
        <stp>PredictVolume</stp>
        <tr r="AJ1612" s="57"/>
      </tp>
      <tp>
        <v>34</v>
        <stp/>
        <stp>2923</stp>
        <stp>PredictVolume</stp>
        <tr r="AJ1474" s="57"/>
      </tp>
      <tp>
        <v>848</v>
        <stp/>
        <stp>2913</stp>
        <stp>PredictVolume</stp>
        <tr r="AJ1649" s="57"/>
      </tp>
      <tp>
        <v>243</v>
        <stp/>
        <stp>2903</stp>
        <stp>PredictVolume</stp>
        <tr r="AJ1642" s="57"/>
      </tp>
      <tp>
        <v>368</v>
        <stp/>
        <stp>3483</stp>
        <stp>PredictVolume</stp>
        <tr r="AJ745" s="57"/>
      </tp>
      <tp>
        <v>561</v>
        <stp/>
        <stp>3413</stp>
        <stp>PredictVolume</stp>
        <tr r="AJ578" s="57"/>
      </tp>
      <tp>
        <v>3828</v>
        <stp/>
        <stp>3443</stp>
        <stp>PredictVolume</stp>
        <tr r="AJ580" s="57"/>
      </tp>
      <tp>
        <v>35</v>
        <stp/>
        <stp>3593</stp>
        <stp>PredictVolume</stp>
        <tr r="AJ1110" s="57"/>
      </tp>
      <tp>
        <v>664</v>
        <stp/>
        <stp>3583</stp>
        <stp>PredictVolume</stp>
        <tr r="AJ591" s="57"/>
      </tp>
      <tp>
        <v>711</v>
        <stp/>
        <stp>3533</stp>
        <stp>PredictVolume</stp>
        <tr r="AJ1106" s="57"/>
      </tp>
      <tp>
        <v>29</v>
        <stp/>
        <stp>3563</stp>
        <stp>PredictVolume</stp>
        <tr r="AJ853" s="57"/>
        <tr r="AJ75" s="114"/>
      </tp>
      <tp>
        <v>10</v>
        <stp/>
        <stp>3543</stp>
        <stp>PredictVolume</stp>
        <tr r="AJ852" s="57"/>
      </tp>
      <tp>
        <v>37</v>
        <stp/>
        <stp>3693</stp>
        <stp>PredictVolume</stp>
        <tr r="AJ755" s="57"/>
      </tp>
      <tp>
        <v>75</v>
        <stp/>
        <stp>3623</stp>
        <stp>PredictVolume</stp>
        <tr r="AJ858" s="57"/>
      </tp>
      <tp>
        <v>1007</v>
        <stp/>
        <stp>3673</stp>
        <stp>PredictVolume</stp>
        <tr r="AJ862" s="57"/>
      </tp>
      <tp>
        <v>107</v>
        <stp/>
        <stp>3663</stp>
        <stp>PredictVolume</stp>
        <tr r="AJ1734" s="57"/>
      </tp>
      <tp>
        <v>317</v>
        <stp/>
        <stp>3653</stp>
        <stp>PredictVolume</stp>
        <tr r="AJ1119" s="57"/>
      </tp>
      <tp>
        <v>53</v>
        <stp/>
        <stp>3713</stp>
        <stp>PredictVolume</stp>
        <tr r="AM33" s="28"/>
        <tr r="AJ865" s="57"/>
      </tp>
      <tp>
        <v>9735</v>
        <stp/>
        <stp>3703</stp>
        <stp>PredictVolume</stp>
        <tr r="AJ1480" s="57"/>
      </tp>
      <tp>
        <v>1681</v>
        <stp/>
        <stp>3093</stp>
        <stp>PredictVolume</stp>
        <tr r="AJ1713" s="57"/>
      </tp>
      <tp>
        <v>208</v>
        <stp/>
        <stp>3083</stp>
        <stp>PredictVolume</stp>
        <tr r="AJ1781" s="57"/>
      </tp>
      <tp>
        <v>2000</v>
        <stp/>
        <stp>3033</stp>
        <stp>PredictVolume</stp>
        <tr r="AJ1234" s="57"/>
      </tp>
      <tp>
        <v>546</v>
        <stp/>
        <stp>3023</stp>
        <stp>PredictVolume</stp>
        <tr r="AJ1061" s="57"/>
      </tp>
      <tp>
        <v>89</v>
        <stp/>
        <stp>3013</stp>
        <stp>PredictVolume</stp>
        <tr r="AJ727" s="57"/>
      </tp>
      <tp>
        <v>447</v>
        <stp/>
        <stp>3003</stp>
        <stp>PredictVolume</stp>
        <tr r="AJ1057" s="57"/>
      </tp>
      <tp>
        <v>11</v>
        <stp/>
        <stp>3073</stp>
        <stp>PredictVolume</stp>
        <tr r="AJ559" s="57"/>
      </tp>
      <tp>
        <v>86</v>
        <stp/>
        <stp>3043</stp>
        <stp>PredictVolume</stp>
        <tr r="AJ1711" s="57"/>
      </tp>
      <tp>
        <v>2089</v>
        <stp/>
        <stp>3163</stp>
        <stp>PredictVolume</stp>
        <tr r="AJ951" s="57"/>
      </tp>
      <tp>
        <v>270</v>
        <stp/>
        <stp>3293</stp>
        <stp>PredictVolume</stp>
        <tr r="AJ1783" s="57"/>
      </tp>
      <tp>
        <v>46</v>
        <stp/>
        <stp>3213</stp>
        <stp>PredictVolume</stp>
        <tr r="AJ31" s="114"/>
        <tr r="AJ736" s="57"/>
      </tp>
      <tp>
        <v>56</v>
        <stp/>
        <stp>3383</stp>
        <stp>PredictVolume</stp>
        <tr r="AJ839" s="57"/>
      </tp>
      <tp>
        <v>137</v>
        <stp/>
        <stp>3323</stp>
        <stp>PredictVolume</stp>
        <tr r="AJ740" s="57"/>
      </tp>
      <tp>
        <v>1004</v>
        <stp/>
        <stp>3313</stp>
        <stp>PredictVolume</stp>
        <tr r="AJ1087" s="57"/>
      </tp>
      <tp>
        <v>234</v>
        <stp/>
        <stp>3303</stp>
        <stp>PredictVolume</stp>
        <tr r="AJ1717" s="57"/>
      </tp>
      <tp>
        <v>171</v>
        <stp/>
        <stp>3373</stp>
        <stp>PredictVolume</stp>
        <tr r="AJ1720" s="57"/>
      </tp>
      <tp>
        <v>102</v>
        <stp/>
        <stp>3363</stp>
        <stp>PredictVolume</stp>
        <tr r="AJ956" s="57"/>
      </tp>
      <tp>
        <v>95</v>
        <stp/>
        <stp>1423</stp>
        <stp>PredictVolume</stp>
        <tr r="AJ78" s="57"/>
      </tp>
      <tp>
        <v>213</v>
        <stp/>
        <stp>1413</stp>
        <stp>PredictVolume</stp>
        <tr r="AJ73" s="57"/>
      </tp>
      <tp>
        <v>799</v>
        <stp/>
        <stp>1473</stp>
        <stp>PredictVolume</stp>
        <tr r="AJ106" s="57"/>
      </tp>
      <tp>
        <v>90</v>
        <stp/>
        <stp>1463</stp>
        <stp>PredictVolume</stp>
        <tr r="AJ98" s="57"/>
      </tp>
      <tp>
        <v>540</v>
        <stp/>
        <stp>1453</stp>
        <stp>PredictVolume</stp>
        <tr r="AJ91" s="57"/>
      </tp>
      <tp>
        <v>357</v>
        <stp/>
        <stp>1443</stp>
        <stp>PredictVolume</stp>
        <tr r="AJ83" s="57"/>
      </tp>
      <tp>
        <v>28</v>
        <stp/>
        <stp>1593</stp>
        <stp>PredictVolume</stp>
        <tr r="AJ290" s="57"/>
      </tp>
      <tp>
        <v>0</v>
        <stp/>
        <stp>1583</stp>
        <stp>PredictVolume</stp>
        <tr r="AJ154" s="57"/>
      </tp>
      <tp>
        <v>941</v>
        <stp/>
        <stp>1533</stp>
        <stp>PredictVolume</stp>
        <tr r="AJ502" s="57"/>
      </tp>
      <tp>
        <v>7325</v>
        <stp/>
        <stp>1513</stp>
        <stp>PredictVolume</stp>
        <tr r="AJ132" s="57"/>
      </tp>
      <tp>
        <v>208</v>
        <stp/>
        <stp>1503</stp>
        <stp>PredictVolume</stp>
        <tr r="AJ128" s="57"/>
      </tp>
      <tp>
        <v>1943</v>
        <stp/>
        <stp>1603</stp>
        <stp>PredictVolume</stp>
        <tr r="AJ225" s="57"/>
      </tp>
      <tp>
        <v>122</v>
        <stp/>
        <stp>1783</stp>
        <stp>PredictVolume</stp>
        <tr r="AJ304" s="57"/>
      </tp>
      <tp>
        <v>1661</v>
        <stp/>
        <stp>1733</stp>
        <stp>PredictVolume</stp>
        <tr r="AJ296" s="57"/>
      </tp>
      <tp>
        <v>1773</v>
        <stp/>
        <stp>1723</stp>
        <stp>PredictVolume</stp>
        <tr r="AJ255" s="57"/>
      </tp>
      <tp>
        <v>40</v>
        <stp/>
        <stp>1713</stp>
        <stp>PredictVolume</stp>
        <tr r="AJ249" s="57"/>
      </tp>
      <tp>
        <v>196</v>
        <stp/>
        <stp>1773</stp>
        <stp>PredictVolume</stp>
        <tr r="AJ263" s="57"/>
      </tp>
      <tp>
        <v>906</v>
        <stp/>
        <stp>1103</stp>
        <stp>PredictVolume</stp>
        <tr r="AJ6" s="57"/>
      </tp>
      <tp>
        <v>5</v>
        <stp/>
        <stp>1233</stp>
        <stp>PredictVolume</stp>
        <tr r="AJ28" s="57"/>
      </tp>
      <tp>
        <v>0</v>
        <stp/>
        <stp>1213</stp>
        <stp>PredictVolume</stp>
        <tr r="AJ16" s="57"/>
      </tp>
      <tp>
        <v>66</v>
        <stp/>
        <stp>1203</stp>
        <stp>PredictVolume</stp>
        <tr r="AJ14" s="57"/>
      </tp>
      <tp>
        <v>78</v>
        <stp/>
        <stp>1323</stp>
        <stp>PredictVolume</stp>
        <tr r="AJ55" s="57"/>
      </tp>
      <tp>
        <v>3532</v>
        <stp/>
        <stp>1313</stp>
        <stp>PredictVolume</stp>
        <tr r="AJ51" s="57"/>
      </tp>
      <tp>
        <v>7595</v>
        <stp/>
        <stp>1303</stp>
        <stp>PredictVolume</stp>
        <tr r="AJ43" s="57"/>
        <tr r="AK10" s="118"/>
      </tp>
      <tp>
        <v>43</v>
        <stp/>
        <stp>1813</stp>
        <stp>PredictVolume</stp>
        <tr r="AJ311" s="57"/>
      </tp>
      <tp>
        <v>67</v>
        <stp/>
        <stp>1903</stp>
        <stp>PredictVolume</stp>
        <tr r="AJ424" s="57"/>
      </tp>
      <tp>
        <v>435</v>
        <stp/>
        <stp>8433</stp>
        <stp>PredictVolume</stp>
        <tr r="AJ1670" s="57"/>
      </tp>
      <tp>
        <v>7</v>
        <stp/>
        <stp>8423</stp>
        <stp>PredictVolume</stp>
        <tr r="AJ1376" s="57"/>
      </tp>
      <tp>
        <v>708</v>
        <stp/>
        <stp>8403</stp>
        <stp>PredictVolume</stp>
        <tr r="AJ410" s="57"/>
      </tp>
      <tp>
        <v>23</v>
        <stp/>
        <stp>8473</stp>
        <stp>PredictVolume</stp>
        <tr r="AJ1388" s="57"/>
      </tp>
      <tp>
        <v>554</v>
        <stp/>
        <stp>8463</stp>
        <stp>PredictVolume</stp>
        <tr r="AJ1384" s="57"/>
      </tp>
      <tp>
        <v>4</v>
        <stp/>
        <stp>8443</stp>
        <stp>PredictVolume</stp>
        <tr r="AJ1671" s="57"/>
      </tp>
      <tp>
        <v>28</v>
        <stp/>
        <stp>8093</stp>
        <stp>PredictVolume</stp>
        <tr r="AJ1214" s="57"/>
      </tp>
      <tp>
        <v>54</v>
        <stp/>
        <stp>8083</stp>
        <stp>PredictVolume</stp>
        <tr r="AJ216" s="57"/>
      </tp>
      <tp>
        <v>1718</v>
        <stp/>
        <stp>8033</stp>
        <stp>PredictVolume</stp>
        <tr r="AJ1365" s="57"/>
      </tp>
      <tp>
        <v>68</v>
        <stp/>
        <stp>8043</stp>
        <stp>PredictVolume</stp>
        <tr r="AJ1208" s="57"/>
      </tp>
      <tp>
        <v>5984</v>
        <stp/>
        <stp>8183</stp>
        <stp>PredictVolume</stp>
        <tr r="AJ1772" s="57"/>
      </tp>
      <tp>
        <v>342</v>
        <stp/>
        <stp>8103</stp>
        <stp>PredictVolume</stp>
        <tr r="AJ1215" s="57"/>
      </tp>
      <tp>
        <v>1788</v>
        <stp/>
        <stp>8163</stp>
        <stp>PredictVolume</stp>
        <tr r="AJ802" s="57"/>
      </tp>
      <tp>
        <v>3318</v>
        <stp/>
        <stp>8213</stp>
        <stp>PredictVolume</stp>
        <tr r="AJ1221" s="57"/>
      </tp>
      <tp>
        <v>840</v>
        <stp/>
        <stp>8383</stp>
        <stp>PredictVolume</stp>
        <tr r="AJ1774" s="57"/>
      </tp>
      <tp>
        <v>282</v>
        <stp/>
        <stp>8933</stp>
        <stp>PredictVolume</stp>
        <tr r="AJ1404" s="57"/>
      </tp>
      <tp>
        <v>39</v>
        <stp/>
        <stp>8923</stp>
        <stp>PredictVolume</stp>
        <tr r="AJ1802" s="57"/>
      </tp>
      <tp>
        <v>1591</v>
        <stp/>
        <stp>9933</stp>
        <stp>PredictVolume</stp>
        <tr r="AJ1427" s="57"/>
      </tp>
      <tp>
        <v>74</v>
        <stp/>
        <stp>9943</stp>
        <stp>PredictVolume</stp>
        <tr r="AJ1590" s="57"/>
      </tp>
      <tp>
        <v>-0.94335667529971101</v>
        <stp/>
        <stp>$TWTNB</stp>
        <stp>ChangePercent</stp>
        <tr r="AQ4" s="28"/>
      </tp>
      <tp>
        <v>366</v>
        <stp/>
        <stp>6492</stp>
        <stp>PredictVolume</stp>
        <tr r="AJ384" s="57"/>
      </tp>
      <tp>
        <v>6</v>
        <stp/>
        <stp>6482</stp>
        <stp>PredictVolume</stp>
        <tr r="AJ1796" s="57"/>
      </tp>
      <tp>
        <v>29</v>
        <stp/>
        <stp>6432</stp>
        <stp>PredictVolume</stp>
        <tr r="AJ1195" s="57"/>
      </tp>
      <tp>
        <v>132</v>
        <stp/>
        <stp>6412</stp>
        <stp>PredictVolume</stp>
        <tr r="AJ1193" s="57"/>
      </tp>
      <tp>
        <v>640</v>
        <stp/>
        <stp>6472</stp>
        <stp>PredictVolume</stp>
        <tr r="AJ382" s="57"/>
      </tp>
      <tp>
        <v>321</v>
        <stp/>
        <stp>6462</stp>
        <stp>PredictVolume</stp>
        <tr r="AJ652" s="57"/>
        <tr r="AJ58" s="114"/>
      </tp>
      <tp>
        <v>31</v>
        <stp/>
        <stp>6442</stp>
        <stp>PredictVolume</stp>
        <tr r="AJ999" s="57"/>
      </tp>
      <tp>
        <v>1340</v>
        <stp/>
        <stp>6592</stp>
        <stp>PredictVolume</stp>
        <tr r="AJ1348" s="57"/>
      </tp>
      <tp>
        <v>172</v>
        <stp/>
        <stp>6582</stp>
        <stp>PredictVolume</stp>
        <tr r="AJ78" s="114"/>
        <tr r="AJ491" s="57"/>
      </tp>
      <tp>
        <v>16</v>
        <stp/>
        <stp>6532</stp>
        <stp>PredictVolume</stp>
        <tr r="AJ660" s="57"/>
      </tp>
      <tp>
        <v>85</v>
        <stp/>
        <stp>6512</stp>
        <stp>PredictVolume</stp>
        <tr r="AJ1758" s="57"/>
      </tp>
      <tp>
        <v>34</v>
        <stp/>
        <stp>6552</stp>
        <stp>PredictVolume</stp>
        <tr r="AJ663" s="57"/>
      </tp>
      <tp>
        <v>3</v>
        <stp/>
        <stp>6542</stp>
        <stp>PredictVolume</stp>
        <tr r="AJ1797" s="57"/>
      </tp>
      <tp>
        <v>24</v>
        <stp/>
        <stp>6612</stp>
        <stp>PredictVolume</stp>
        <tr r="AJ397" s="57"/>
      </tp>
      <tp>
        <v>159</v>
        <stp/>
        <stp>6672</stp>
        <stp>PredictVolume</stp>
        <tr r="AJ1200" s="57"/>
        <tr r="AJ47" s="114"/>
      </tp>
      <tp>
        <v>23</v>
        <stp/>
        <stp>6662</stp>
        <stp>PredictVolume</stp>
        <tr r="AJ401" s="57"/>
      </tp>
      <tp>
        <v>22</v>
        <stp/>
        <stp>6642</stp>
        <stp>PredictVolume</stp>
        <tr r="AJ1198" s="57"/>
      </tp>
      <tp>
        <v>171</v>
        <stp/>
        <stp>6792</stp>
        <stp>PredictVolume</stp>
        <tr r="AJ1007" s="57"/>
      </tp>
      <tp>
        <v>346</v>
        <stp/>
        <stp>6732</stp>
        <stp>PredictVolume</stp>
        <tr r="AJ36" s="114"/>
        <tr r="AJ676" s="57"/>
      </tp>
      <tp>
        <v>623</v>
        <stp/>
        <stp>6712</stp>
        <stp>PredictVolume</stp>
        <tr r="AJ404" s="57"/>
      </tp>
      <tp>
        <v>1</v>
        <stp/>
        <stp>6762</stp>
        <stp>PredictVolume</stp>
        <tr r="AJ407" s="57"/>
      </tp>
      <tp>
        <v>6</v>
        <stp/>
        <stp>6752</stp>
        <stp>PredictVolume</stp>
        <tr r="AJ1301" s="57"/>
      </tp>
      <tp>
        <v>245</v>
        <stp/>
        <stp>6192</stp>
        <stp>PredictVolume</stp>
        <tr r="AJ1749" s="57"/>
      </tp>
      <tp>
        <v>13988</v>
        <stp/>
        <stp>6182</stp>
        <stp>PredictVolume</stp>
        <tr r="AJ633" s="57"/>
      </tp>
      <tp>
        <v>2159</v>
        <stp/>
        <stp>6122</stp>
        <stp>PredictVolume</stp>
        <tr r="AJ210" s="57"/>
      </tp>
      <tp>
        <v>140</v>
        <stp/>
        <stp>6112</stp>
        <stp>PredictVolume</stp>
        <tr r="AJ1286" s="57"/>
      </tp>
      <tp>
        <v>182</v>
        <stp/>
        <stp>6152</stp>
        <stp>PredictVolume</stp>
        <tr r="AJ986" s="57"/>
      </tp>
      <tp>
        <v>125</v>
        <stp/>
        <stp>6142</stp>
        <stp>PredictVolume</stp>
        <tr r="AJ984" s="57"/>
      </tp>
      <tp>
        <v>66</v>
        <stp/>
        <stp>6292</stp>
        <stp>PredictVolume</stp>
        <tr r="AJ1192" s="57"/>
      </tp>
      <tp>
        <v>2873</v>
        <stp/>
        <stp>6282</stp>
        <stp>PredictVolume</stp>
        <tr r="AJ1189" s="57"/>
      </tp>
      <tp>
        <v>53</v>
        <stp/>
        <stp>6222</stp>
        <stp>PredictVolume</stp>
        <tr r="AJ900" s="57"/>
      </tp>
      <tp>
        <v>6</v>
        <stp/>
        <stp>6212</stp>
        <stp>PredictVolume</stp>
        <tr r="AJ1508" s="57"/>
      </tp>
      <tp>
        <v>987</v>
        <stp/>
        <stp>6202</stp>
        <stp>PredictVolume</stp>
        <tr r="AJ635" s="57"/>
      </tp>
      <tp>
        <v>589</v>
        <stp/>
        <stp>6242</stp>
        <stp>PredictVolume</stp>
        <tr r="AJ378" s="57"/>
      </tp>
      <tp>
        <v>7</v>
        <stp/>
        <stp>7402</stp>
        <stp>PredictVolume</stp>
        <tr r="AJ918" s="57"/>
      </tp>
      <tp>
        <v>95</v>
        <stp/>
        <stp>4432</stp>
        <stp>PredictVolume</stp>
        <tr r="AM30" s="28"/>
        <tr r="AJ121" s="57"/>
      </tp>
      <tp>
        <v>132</v>
        <stp/>
        <stp>4402</stp>
        <stp>PredictVolume</stp>
        <tr r="AJ112" s="57"/>
      </tp>
      <tp>
        <v>356</v>
        <stp/>
        <stp>4532</stp>
        <stp>PredictVolume</stp>
        <tr r="AJ185" s="57"/>
      </tp>
      <tp>
        <v>10</v>
        <stp/>
        <stp>4502</stp>
        <stp>PredictVolume</stp>
        <tr r="AJ175" s="57"/>
      </tp>
      <tp>
        <v>106</v>
        <stp/>
        <stp>4572</stp>
        <stp>PredictVolume</stp>
        <tr r="AJ205" s="57"/>
      </tp>
      <tp>
        <v>61</v>
        <stp/>
        <stp>4562</stp>
        <stp>PredictVolume</stp>
        <tr r="AJ199" s="57"/>
      </tp>
      <tp>
        <v>27</v>
        <stp/>
        <stp>4552</stp>
        <stp>PredictVolume</stp>
        <tr r="AJ194" s="57"/>
      </tp>
      <tp>
        <v>14</v>
        <stp/>
        <stp>4542</stp>
        <stp>PredictVolume</stp>
        <tr r="AJ1123" s="57"/>
      </tp>
      <tp>
        <v>119</v>
        <stp/>
        <stp>4722</stp>
        <stp>PredictVolume</stp>
        <tr r="AJ274" s="57"/>
      </tp>
      <tp>
        <v>761</v>
        <stp/>
        <stp>4702</stp>
        <stp>PredictVolume</stp>
        <tr r="AJ266" s="57"/>
      </tp>
      <tp>
        <v>61</v>
        <stp/>
        <stp>4192</stp>
        <stp>PredictVolume</stp>
        <tr r="AJ363" s="57"/>
      </tp>
      <tp>
        <v>1211</v>
        <stp/>
        <stp>4102</stp>
        <stp>PredictVolume</stp>
        <tr r="AJ318" s="57"/>
      </tp>
      <tp>
        <v>3139</v>
        <stp/>
        <stp>4162</stp>
        <stp>PredictVolume</stp>
        <tr r="AM19" s="28"/>
        <tr r="AJ352" s="57"/>
      </tp>
      <tp>
        <v>2622</v>
        <stp/>
        <stp>4142</stp>
        <stp>PredictVolume</stp>
        <tr r="AJ343" s="57"/>
      </tp>
      <tp>
        <v>179</v>
        <stp/>
        <stp>4912</stp>
        <stp>PredictVolume</stp>
        <tr r="AJ1125" s="57"/>
      </tp>
      <tp>
        <v>13</v>
        <stp/>
        <stp>4972</stp>
        <stp>PredictVolume</stp>
        <tr r="AJ875" s="57"/>
      </tp>
      <tp>
        <v>3174</v>
        <stp/>
        <stp>4952</stp>
        <stp>PredictVolume</stp>
        <tr r="AJ603" s="57"/>
      </tp>
      <tp>
        <v>363</v>
        <stp/>
        <stp>4942</stp>
        <stp>PredictVolume</stp>
        <tr r="AJ85" s="114"/>
        <tr r="AJ871" s="57"/>
      </tp>
      <tp>
        <v>7</v>
        <stp/>
        <stp>5432</stp>
        <stp>PredictVolume</stp>
        <tr r="AJ889" s="57"/>
      </tp>
      <tp>
        <v>323</v>
        <stp/>
        <stp>5452</stp>
        <stp>PredictVolume</stp>
        <tr r="AJ1741" s="57"/>
      </tp>
      <tp>
        <v>648</v>
        <stp/>
        <stp>5522</stp>
        <stp>PredictVolume</stp>
        <tr r="AJ1824" s="57"/>
      </tp>
      <tp>
        <v>424</v>
        <stp/>
        <stp>5512</stp>
        <stp>PredictVolume</stp>
        <tr r="AJ1490" s="57"/>
      </tp>
      <tp>
        <v>16</v>
        <stp/>
        <stp>5102</stp>
        <stp>PredictVolume</stp>
        <tr r="AJ490" s="57"/>
      </tp>
      <tp>
        <v>175</v>
        <stp/>
        <stp>5222</stp>
        <stp>PredictVolume</stp>
        <tr r="AJ611" s="57"/>
      </tp>
      <tp>
        <v>53</v>
        <stp/>
        <stp>5212</stp>
        <stp>PredictVolume</stp>
        <tr r="AJ1282" s="57"/>
      </tp>
      <tp>
        <v>12</v>
        <stp/>
        <stp>5202</stp>
        <stp>PredictVolume</stp>
        <tr r="AJ1277" s="57"/>
      </tp>
      <tp>
        <v>1036</v>
        <stp/>
        <stp>5272</stp>
        <stp>PredictVolume</stp>
        <tr r="AJ614" s="57"/>
      </tp>
      <tp>
        <v>93</v>
        <stp/>
        <stp>5392</stp>
        <stp>PredictVolume</stp>
        <tr r="AJ888" s="57"/>
      </tp>
      <tp>
        <v>27</v>
        <stp/>
        <stp>5312</stp>
        <stp>PredictVolume</stp>
        <tr r="AJ376" s="57"/>
      </tp>
      <tp>
        <v>122</v>
        <stp/>
        <stp>5302</stp>
        <stp>PredictVolume</stp>
        <tr r="AJ618" s="57"/>
      </tp>
      <tp>
        <v>199</v>
        <stp/>
        <stp>5902</stp>
        <stp>PredictVolume</stp>
        <tr r="AJ1660" s="57"/>
      </tp>
      <tp>
        <v>3172</v>
        <stp/>
        <stp>2492</stp>
        <stp>PredictVolume</stp>
        <tr r="AJ1055" s="57"/>
      </tp>
      <tp>
        <v>1502</v>
        <stp/>
        <stp>2482</stp>
        <stp>PredictVolume</stp>
        <tr r="AJ1706" s="57"/>
      </tp>
      <tp>
        <v>7296</v>
        <stp/>
        <stp>2412</stp>
        <stp>PredictVolume</stp>
        <tr r="AJ934" s="57"/>
        <tr r="AK25" s="118"/>
      </tp>
      <tp>
        <v>409</v>
        <stp/>
        <stp>2402</stp>
        <stp>PredictVolume</stp>
        <tr r="AJ1037" s="57"/>
      </tp>
      <tp>
        <v>522</v>
        <stp/>
        <stp>2472</stp>
        <stp>PredictVolume</stp>
        <tr r="AJ1050" s="57"/>
      </tp>
      <tp>
        <v>461</v>
        <stp/>
        <stp>2462</stp>
        <stp>PredictVolume</stp>
        <tr r="AJ1048" s="57"/>
      </tp>
      <tp>
        <v>2175</v>
        <stp/>
        <stp>2442</stp>
        <stp>PredictVolume</stp>
        <tr r="AJ723" s="57"/>
      </tp>
      <tp>
        <v>3348</v>
        <stp/>
        <stp>2542</stp>
        <stp>PredictVolume</stp>
        <tr r="AJ1465" s="57"/>
      </tp>
      <tp>
        <v>1068</v>
        <stp/>
        <stp>2612</stp>
        <stp>PredictVolume</stp>
        <tr r="AJ1525" s="57"/>
      </tp>
      <tp>
        <v>1261</v>
        <stp/>
        <stp>2642</stp>
        <stp>PredictVolume</stp>
        <tr r="AJ1536" s="57"/>
      </tp>
      <tp>
        <v>22</v>
        <stp/>
        <stp>2732</stp>
        <stp>PredictVolume</stp>
        <tr r="AJ1565" s="57"/>
      </tp>
      <tp>
        <v>22</v>
        <stp/>
        <stp>2722</stp>
        <stp>PredictVolume</stp>
        <tr r="AJ1558" s="57"/>
      </tp>
      <tp>
        <v>22</v>
        <stp/>
        <stp>2712</stp>
        <stp>PredictVolume</stp>
        <tr r="AJ1555" s="57"/>
      </tp>
      <tp>
        <v>603</v>
        <stp/>
        <stp>2702</stp>
        <stp>PredictVolume</stp>
        <tr r="AJ1550" s="57"/>
      </tp>
      <tp>
        <v>1</v>
        <stp/>
        <stp>2752</stp>
        <stp>PredictVolume</stp>
        <tr r="AJ1573" s="57"/>
      </tp>
      <tp>
        <v>1197</v>
        <stp/>
        <stp>2032</stp>
        <stp>PredictVolume</stp>
        <tr r="AJ453" s="57"/>
      </tp>
      <tp>
        <v>781</v>
        <stp/>
        <stp>2022</stp>
        <stp>PredictVolume</stp>
        <tr r="AJ444" s="57"/>
      </tp>
      <tp>
        <v>238</v>
        <stp/>
        <stp>2012</stp>
        <stp>PredictVolume</stp>
        <tr r="AJ438" s="57"/>
      </tp>
      <tp>
        <v>37116</v>
        <stp/>
        <stp>2002</stp>
        <stp>PredictVolume</stp>
        <tr r="AJ432" s="57"/>
        <tr r="AK27" s="118"/>
      </tp>
      <tp>
        <v>148</v>
        <stp/>
        <stp>2062</stp>
        <stp>PredictVolume</stp>
        <tr r="AJ1314" s="57"/>
      </tp>
      <tp>
        <v>2461</v>
        <stp/>
        <stp>2102</stp>
        <stp>PredictVolume</stp>
        <tr r="AJ481" s="57"/>
      </tp>
      <tp>
        <v>310</v>
        <stp/>
        <stp>2392</stp>
        <stp>PredictVolume</stp>
        <tr r="AJ1036" s="57"/>
      </tp>
      <tp>
        <v>6073</v>
        <stp/>
        <stp>2382</stp>
        <stp>PredictVolume</stp>
        <tr r="AK7" s="118"/>
        <tr r="AJ714" s="57"/>
      </tp>
      <tp>
        <v>815</v>
        <stp/>
        <stp>2332</stp>
        <stp>PredictVolume</stp>
        <tr r="AJ932" s="57"/>
      </tp>
      <tp>
        <v>5827</v>
        <stp/>
        <stp>2312</stp>
        <stp>PredictVolume</stp>
        <tr r="AJ1692" s="57"/>
      </tp>
      <tp>
        <v>1702</v>
        <stp/>
        <stp>2302</stp>
        <stp>PredictVolume</stp>
        <tr r="AJ529" s="57"/>
      </tp>
      <tp>
        <v>938</v>
        <stp/>
        <stp>2362</stp>
        <stp>PredictVolume</stp>
        <tr r="AJ708" s="57"/>
      </tp>
      <tp>
        <v>8791</v>
        <stp/>
        <stp>2352</stp>
        <stp>PredictVolume</stp>
        <tr r="AJ704" s="57"/>
      </tp>
      <tp>
        <v>3558</v>
        <stp/>
        <stp>2342</stp>
        <stp>PredictVolume</stp>
        <tr r="AJ535" s="57"/>
      </tp>
      <tp>
        <v>17270</v>
        <stp/>
        <stp>2892</stp>
        <stp>PredictVolume</stp>
        <tr r="AK18" s="118"/>
        <tr r="AJ1621" s="57"/>
      </tp>
      <tp>
        <v>38131</v>
        <stp/>
        <stp>2882</stp>
        <stp>PredictVolume</stp>
        <tr r="AJ1611" s="57"/>
        <tr r="AK13" s="118"/>
      </tp>
      <tp>
        <v>126</v>
        <stp/>
        <stp>2832</stp>
        <stp>PredictVolume</stp>
        <tr r="AJ1598" s="57"/>
      </tp>
      <tp>
        <v>4416</v>
        <stp/>
        <stp>2812</stp>
        <stp>PredictVolume</stp>
        <tr r="AJ1595" s="57"/>
      </tp>
      <tp>
        <v>535</v>
        <stp/>
        <stp>2852</stp>
        <stp>PredictVolume</stp>
        <tr r="AJ1606" s="57"/>
      </tp>
      <tp>
        <v>1083</v>
        <stp/>
        <stp>2912</stp>
        <stp>PredictVolume</stp>
        <tr r="AJ1648" s="57"/>
      </tp>
      <tp>
        <v>59</v>
        <stp/>
        <stp>3492</stp>
        <stp>PredictVolume</stp>
        <tr r="AJ1100" s="57"/>
      </tp>
      <tp>
        <v>64</v>
        <stp/>
        <stp>3432</stp>
        <stp>PredictVolume</stp>
        <tr r="AJ1097" s="57"/>
      </tp>
      <tp>
        <v>132</v>
        <stp/>
        <stp>3402</stp>
        <stp>PredictVolume</stp>
        <tr r="AJ1721" s="57"/>
      </tp>
      <tp>
        <v>656</v>
        <stp/>
        <stp>3592</stp>
        <stp>PredictVolume</stp>
        <tr r="AJ593" s="57"/>
      </tp>
      <tp>
        <v>16492</v>
        <stp/>
        <stp>3532</stp>
        <stp>PredictVolume</stp>
        <tr r="AJ584" s="57"/>
      </tp>
      <tp>
        <v>447</v>
        <stp/>
        <stp>3522</stp>
        <stp>PredictVolume</stp>
        <tr r="AJ1579" s="57"/>
      </tp>
      <tp>
        <v>68</v>
        <stp/>
        <stp>3512</stp>
        <stp>PredictVolume</stp>
        <tr r="AJ1103" s="57"/>
      </tp>
      <tp>
        <v>1424</v>
        <stp/>
        <stp>3552</stp>
        <stp>PredictVolume</stp>
        <tr r="AJ1728" s="57"/>
      </tp>
      <tp>
        <v>3900</v>
        <stp/>
        <stp>3682</stp>
        <stp>PredictVolume</stp>
        <tr r="AJ968" s="57"/>
      </tp>
      <tp>
        <v>0</v>
        <stp/>
        <stp>3632</stp>
        <stp>PredictVolume</stp>
        <tr r="AJ965" s="57"/>
      </tp>
      <tp>
        <v>206</v>
        <stp/>
        <stp>3622</stp>
        <stp>PredictVolume</stp>
        <tr r="AJ857" s="57"/>
      </tp>
      <tp>
        <v>188</v>
        <stp/>
        <stp>3672</stp>
        <stp>PredictVolume</stp>
        <tr r="AJ967" s="57"/>
      </tp>
      <tp>
        <v>7</v>
        <stp/>
        <stp>3652</stp>
        <stp>PredictVolume</stp>
        <tr r="AJ754" s="57"/>
      </tp>
      <tp>
        <v>20</v>
        <stp/>
        <stp>3642</stp>
        <stp>PredictVolume</stp>
        <tr r="AJ1733" s="57"/>
      </tp>
      <tp>
        <v>859</v>
        <stp/>
        <stp>3712</stp>
        <stp>PredictVolume</stp>
        <tr r="AJ759" s="57"/>
      </tp>
      <tp>
        <v>5200</v>
        <stp/>
        <stp>3702</stp>
        <stp>PredictVolume</stp>
        <tr r="AJ1245" s="57"/>
      </tp>
      <tp>
        <v>3870</v>
        <stp/>
        <stp>3092</stp>
        <stp>PredictVolume</stp>
        <tr r="AJ1070" s="57"/>
      </tp>
      <tp>
        <v>46</v>
        <stp/>
        <stp>3032</stp>
        <stp>PredictVolume</stp>
        <tr r="AJ1063" s="57"/>
      </tp>
      <tp>
        <v>71</v>
        <stp/>
        <stp>3022</stp>
        <stp>PredictVolume</stp>
        <tr r="AJ729" s="57"/>
      </tp>
      <tp>
        <v>28</v>
        <stp/>
        <stp>3002</stp>
        <stp>PredictVolume</stp>
        <tr r="AJ725" s="57"/>
      </tp>
      <tp>
        <v>2226</v>
        <stp/>
        <stp>3062</stp>
        <stp>PredictVolume</stp>
        <tr r="AJ946" s="57"/>
      </tp>
      <tp>
        <v>107</v>
        <stp/>
        <stp>3052</stp>
        <stp>PredictVolume</stp>
        <tr r="AJ1475" s="57"/>
      </tp>
      <tp>
        <v>715</v>
        <stp/>
        <stp>3042</stp>
        <stp>PredictVolume</stp>
        <tr r="AJ1065" s="57"/>
      </tp>
      <tp>
        <v>883</v>
        <stp/>
        <stp>3122</stp>
        <stp>PredictVolume</stp>
        <tr r="AJ562" s="57"/>
      </tp>
      <tp>
        <v>57</v>
        <stp/>
        <stp>3162</stp>
        <stp>PredictVolume</stp>
        <tr r="AJ169" s="57"/>
        <tr r="AM35" s="28"/>
      </tp>
      <tp>
        <v>69</v>
        <stp/>
        <stp>3152</stp>
        <stp>PredictVolume</stp>
        <tr r="AJ26" s="114"/>
        <tr r="AJ950" s="57"/>
      </tp>
      <tp>
        <v>916</v>
        <stp/>
        <stp>3232</stp>
        <stp>PredictVolume</stp>
        <tr r="AJ1240" s="57"/>
      </tp>
      <tp>
        <v>449</v>
        <stp/>
        <stp>3202</stp>
        <stp>PredictVolume</stp>
        <tr r="AJ1074" s="57"/>
      </tp>
      <tp>
        <v>53</v>
        <stp/>
        <stp>3272</stp>
        <stp>PredictVolume</stp>
        <tr r="AJ738" s="57"/>
      </tp>
      <tp>
        <v>33</v>
        <stp/>
        <stp>3252</stp>
        <stp>PredictVolume</stp>
        <tr r="AJ1578" s="57"/>
      </tp>
      <tp>
        <v>5</v>
        <stp/>
        <stp>3332</stp>
        <stp>PredictVolume</stp>
        <tr r="AJ1090" s="57"/>
      </tp>
      <tp>
        <v>2078</v>
        <stp/>
        <stp>3322</stp>
        <stp>PredictVolume</stp>
        <tr r="AJ1089" s="57"/>
      </tp>
      <tp>
        <v>1829</v>
        <stp/>
        <stp>3312</stp>
        <stp>PredictVolume</stp>
        <tr r="AJ1241" s="57"/>
      </tp>
      <tp>
        <v>125</v>
        <stp/>
        <stp>3372</stp>
        <stp>PredictVolume</stp>
        <tr r="AJ576" s="57"/>
      </tp>
      <tp>
        <v>170</v>
        <stp/>
        <stp>3362</stp>
        <stp>PredictVolume</stp>
        <tr r="AJ838" s="57"/>
      </tp>
      <tp>
        <v>186</v>
        <stp/>
        <stp>1432</stp>
        <stp>PredictVolume</stp>
        <tr r="AJ1638" s="57"/>
      </tp>
      <tp>
        <v>6805</v>
        <stp/>
        <stp>1402</stp>
        <stp>PredictVolume</stp>
        <tr r="AJ70" s="57"/>
      </tp>
      <tp>
        <v>8</v>
        <stp/>
        <stp>1472</stp>
        <stp>PredictVolume</stp>
        <tr r="AJ105" s="57"/>
      </tp>
      <tp>
        <v>273</v>
        <stp/>
        <stp>1452</stp>
        <stp>PredictVolume</stp>
        <tr r="AJ90" s="57"/>
      </tp>
      <tp>
        <v>223</v>
        <stp/>
        <stp>1442</stp>
        <stp>PredictVolume</stp>
        <tr r="AJ1443" s="57"/>
      </tp>
      <tp>
        <v>170</v>
        <stp/>
        <stp>1582</stp>
        <stp>PredictVolume</stp>
        <tr r="AJ28" s="114"/>
        <tr r="AJ1021" s="57"/>
      </tp>
      <tp>
        <v>178</v>
        <stp/>
        <stp>1532</stp>
        <stp>PredictVolume</stp>
        <tr r="AJ143" s="57"/>
      </tp>
      <tp>
        <v>1374</v>
        <stp/>
        <stp>1522</stp>
        <stp>PredictVolume</stp>
        <tr r="AJ499" s="57"/>
      </tp>
      <tp>
        <v>116</v>
        <stp/>
        <stp>1512</stp>
        <stp>PredictVolume</stp>
        <tr r="AJ497" s="57"/>
      </tp>
      <tp>
        <v>5786</v>
        <stp/>
        <stp>1612</stp>
        <stp>PredictVolume</stp>
        <tr r="AJ231" s="57"/>
      </tp>
      <tp>
        <v>2770</v>
        <stp/>
        <stp>1732</stp>
        <stp>PredictVolume</stp>
        <tr r="AM14" s="28"/>
        <tr r="AJ260" s="57"/>
      </tp>
      <tp>
        <v>9218</v>
        <stp/>
        <stp>1722</stp>
        <stp>PredictVolume</stp>
        <tr r="AJ254" s="57"/>
      </tp>
      <tp>
        <v>4488</v>
        <stp/>
        <stp>1712</stp>
        <stp>PredictVolume</stp>
        <tr r="AJ248" s="57"/>
      </tp>
      <tp>
        <v>276</v>
        <stp/>
        <stp>1702</stp>
        <stp>PredictVolume</stp>
        <tr r="AJ35" s="57"/>
      </tp>
      <tp>
        <v>1540</v>
        <stp/>
        <stp>1762</stp>
        <stp>PredictVolume</stp>
        <tr r="AJ301" s="57"/>
      </tp>
      <tp>
        <v>70</v>
        <stp/>
        <stp>1752</stp>
        <stp>PredictVolume</stp>
        <tr r="AJ299" s="57"/>
      </tp>
      <tp>
        <v>28</v>
        <stp/>
        <stp>1742</stp>
        <stp>PredictVolume</stp>
        <tr r="AJ262" s="57"/>
      </tp>
      <tp>
        <v>5340</v>
        <stp/>
        <stp>1102</stp>
        <stp>PredictVolume</stp>
        <tr r="AJ5" s="57"/>
      </tp>
      <tp>
        <v>67</v>
        <stp/>
        <stp>1232</stp>
        <stp>PredictVolume</stp>
        <tr r="AJ27" s="57"/>
      </tp>
      <tp>
        <v>3702</v>
        <stp/>
        <stp>1312</stp>
        <stp>PredictVolume</stp>
        <tr r="AJ50" s="57"/>
      </tp>
      <tp>
        <v>161</v>
        <stp/>
        <stp>1342</stp>
        <stp>PredictVolume</stp>
        <tr r="AJ1308" s="57"/>
      </tp>
      <tp>
        <v>4823</v>
        <stp/>
        <stp>1802</stp>
        <stp>PredictVolume</stp>
        <tr r="AJ417" s="57"/>
      </tp>
      <tp>
        <v>43</v>
        <stp/>
        <stp>8482</stp>
        <stp>PredictVolume</stp>
        <tr r="AJ1393" s="57"/>
      </tp>
      <tp>
        <v>27</v>
        <stp/>
        <stp>8432</stp>
        <stp>PredictVolume</stp>
        <tr r="AJ413" s="57"/>
      </tp>
      <tp>
        <v>197</v>
        <stp/>
        <stp>8422</stp>
        <stp>PredictVolume</stp>
        <tr r="AJ1375" s="57"/>
      </tp>
      <tp>
        <v>3</v>
        <stp/>
        <stp>8472</stp>
        <stp>PredictVolume</stp>
        <tr r="AJ1813" s="57"/>
      </tp>
      <tp>
        <v>40</v>
        <stp/>
        <stp>8462</stp>
        <stp>PredictVolume</stp>
        <tr r="AJ1588" s="57"/>
      </tp>
      <tp>
        <v>44</v>
        <stp/>
        <stp>8442</stp>
        <stp>PredictVolume</stp>
        <tr r="AJ1382" s="57"/>
      </tp>
      <tp>
        <v>9</v>
        <stp/>
        <stp>8092</stp>
        <stp>PredictVolume</stp>
        <tr r="AJ1771" s="57"/>
      </tp>
      <tp>
        <v>17</v>
        <stp/>
        <stp>8032</stp>
        <stp>PredictVolume</stp>
        <tr r="AJ1256" s="57"/>
      </tp>
      <tp>
        <v>12</v>
        <stp/>
        <stp>8072</stp>
        <stp>PredictVolume</stp>
        <tr r="AJ1260" s="57"/>
      </tp>
      <tp>
        <v>6</v>
        <stp/>
        <stp>8042</stp>
        <stp>PredictVolume</stp>
        <tr r="AJ1207" s="57"/>
      </tp>
      <tp>
        <v>163</v>
        <stp/>
        <stp>8182</stp>
        <stp>PredictVolume</stp>
        <tr r="AJ60" s="114"/>
        <tr r="AJ1220" s="57"/>
      </tp>
      <tp>
        <v>1757</v>
        <stp/>
        <stp>8112</stp>
        <stp>PredictVolume</stp>
        <tr r="AJ1263" s="57"/>
      </tp>
      <tp>
        <v>59</v>
        <stp/>
        <stp>8222</stp>
        <stp>PredictVolume</stp>
        <tr r="AJ218" s="57"/>
      </tp>
      <tp>
        <v>42</v>
        <stp/>
        <stp>8342</stp>
        <stp>PredictVolume</stp>
        <tr r="AJ1367" s="57"/>
      </tp>
      <tp>
        <v>15</v>
        <stp/>
        <stp>8932</stp>
        <stp>PredictVolume</stp>
        <tr r="AJ1403" s="57"/>
      </tp>
      <tp>
        <v>129</v>
        <stp/>
        <stp>8942</stp>
        <stp>PredictVolume</stp>
        <tr r="AJ1409" s="57"/>
      </tp>
      <tp>
        <v>1553</v>
        <stp/>
        <stp>9802</stp>
        <stp>PredictVolume</stp>
        <tr r="AJ1410" s="57"/>
      </tp>
      <tp>
        <v>29</v>
        <stp/>
        <stp>9912</stp>
        <stp>PredictVolume</stp>
        <tr r="AJ806" s="57"/>
      </tp>
      <tp>
        <v>225</v>
        <stp/>
        <stp>9902</stp>
        <stp>PredictVolume</stp>
        <tr r="AJ1411" s="57"/>
      </tp>
      <tp>
        <v>957</v>
        <stp/>
        <stp>9962</stp>
        <stp>PredictVolume</stp>
        <tr r="AJ477" s="57"/>
      </tp>
      <tp>
        <v>164</v>
        <stp/>
        <stp>9942</stp>
        <stp>PredictVolume</stp>
        <tr r="AJ1434" s="57"/>
      </tp>
      <tp>
        <v>187356</v>
        <stp/>
        <stp>TXF1</stp>
        <stp>PredictVolume</stp>
        <tr r="AO1" s="28"/>
      </tp>
      <tp>
        <v>176</v>
        <stp/>
        <stp>6491</stp>
        <stp>PredictVolume</stp>
        <tr r="AJ383" s="57"/>
      </tp>
      <tp>
        <v>0</v>
        <stp/>
        <stp>6431</stp>
        <stp>PredictVolume</stp>
        <tr r="AJ910" s="57"/>
      </tp>
      <tp>
        <v>6276</v>
        <stp/>
        <stp>6411</stp>
        <stp>PredictVolume</stp>
        <tr r="AJ647" s="57"/>
      </tp>
      <tp>
        <v>6711</v>
        <stp/>
        <stp>6461</stp>
        <stp>PredictVolume</stp>
        <tr r="AJ380" s="57"/>
      </tp>
      <tp>
        <v>545</v>
        <stp/>
        <stp>6451</stp>
        <stp>PredictVolume</stp>
        <tr r="AJ650" s="57"/>
      </tp>
      <tp>
        <v>249</v>
        <stp/>
        <stp>6441</stp>
        <stp>PredictVolume</stp>
        <tr r="AJ792" s="57"/>
      </tp>
      <tp>
        <v>414</v>
        <stp/>
        <stp>6591</stp>
        <stp>PredictVolume</stp>
        <tr r="AJ796" s="57"/>
      </tp>
      <tp>
        <v>605</v>
        <stp/>
        <stp>6581</stp>
        <stp>PredictVolume</stp>
        <tr r="AJ1346" s="57"/>
      </tp>
      <tp>
        <v>2778</v>
        <stp/>
        <stp>6531</stp>
        <stp>PredictVolume</stp>
        <tr r="AJ101" s="114"/>
        <tr r="AJ659" s="57"/>
        <tr r="AJ16" s="74"/>
        <tr r="AJ51" s="28"/>
      </tp>
      <tp>
        <v>22</v>
        <stp/>
        <stp>6561</stp>
        <stp>PredictVolume</stp>
        <tr r="AJ1004" s="57"/>
      </tp>
      <tp>
        <v>2153</v>
        <stp/>
        <stp>6541</stp>
        <stp>PredictVolume</stp>
        <tr r="AJ390" s="57"/>
      </tp>
      <tp>
        <v>16</v>
        <stp/>
        <stp>6691</stp>
        <stp>PredictVolume</stp>
        <tr r="AJ1763" s="57"/>
      </tp>
      <tp>
        <v>53</v>
        <stp/>
        <stp>6671</stp>
        <stp>PredictVolume</stp>
        <tr r="AJ1356" s="57"/>
      </tp>
      <tp>
        <v>3</v>
        <stp/>
        <stp>6661</stp>
        <stp>PredictVolume</stp>
        <tr r="AJ400" s="57"/>
      </tp>
      <tp>
        <v>10</v>
        <stp/>
        <stp>6651</stp>
        <stp>PredictVolume</stp>
        <tr r="AJ669" s="57"/>
        <tr r="AJ39" s="114"/>
      </tp>
      <tp>
        <v>12</v>
        <stp/>
        <stp>6641</stp>
        <stp>PredictVolume</stp>
        <tr r="AJ1353" s="57"/>
      </tp>
      <tp>
        <v>1475</v>
        <stp/>
        <stp>6781</stp>
        <stp>PredictVolume</stp>
        <tr r="AJ17" s="114"/>
        <tr r="AJ1204" s="57"/>
      </tp>
      <tp>
        <v>75</v>
        <stp/>
        <stp>6721</stp>
        <stp>PredictVolume</stp>
        <tr r="AJ1357" s="57"/>
      </tp>
      <tp>
        <v>24</v>
        <stp/>
        <stp>6761</stp>
        <stp>PredictVolume</stp>
        <tr r="AJ1203" s="57"/>
      </tp>
      <tp>
        <v>92</v>
        <stp/>
        <stp>6751</stp>
        <stp>PredictVolume</stp>
        <tr r="AJ1300" s="57"/>
      </tp>
      <tp>
        <v>147</v>
        <stp/>
        <stp>6741</stp>
        <stp>PredictVolume</stp>
        <tr r="AJ1810" s="57"/>
      </tp>
      <tp>
        <v>28</v>
        <stp/>
        <stp>6021</stp>
        <stp>PredictVolume</stp>
        <tr r="AJ1632" s="57"/>
      </tp>
      <tp>
        <v>1898</v>
        <stp/>
        <stp>6191</stp>
        <stp>PredictVolume</stp>
        <tr r="AJ1170" s="57"/>
      </tp>
      <tp>
        <v>378</v>
        <stp/>
        <stp>6121</stp>
        <stp>PredictVolume</stp>
        <tr r="AJ777" s="57"/>
        <tr r="AJ98" s="114"/>
      </tp>
      <tp>
        <v>1185</v>
        <stp/>
        <stp>6111</stp>
        <stp>PredictVolume</stp>
        <tr r="AJ1791" s="57"/>
      </tp>
      <tp>
        <v>23</v>
        <stp/>
        <stp>6101</stp>
        <stp>PredictVolume</stp>
        <tr r="AJ1790" s="57"/>
      </tp>
      <tp>
        <v>10</v>
        <stp/>
        <stp>6171</stp>
        <stp>PredictVolume</stp>
        <tr r="AJ1505" s="57"/>
      </tp>
      <tp>
        <v>308</v>
        <stp/>
        <stp>6161</stp>
        <stp>PredictVolume</stp>
        <tr r="AJ782" s="57"/>
      </tp>
      <tp>
        <v>29</v>
        <stp/>
        <stp>6151</stp>
        <stp>PredictVolume</stp>
        <tr r="AJ1747" s="57"/>
      </tp>
      <tp>
        <v>54</v>
        <stp/>
        <stp>6141</stp>
        <stp>PredictVolume</stp>
        <tr r="AJ1160" s="57"/>
      </tp>
      <tp>
        <v>18</v>
        <stp/>
        <stp>6291</stp>
        <stp>PredictVolume</stp>
        <tr r="AJ646" s="57"/>
      </tp>
      <tp>
        <v>12</v>
        <stp/>
        <stp>6281</stp>
        <stp>PredictVolume</stp>
        <tr r="AJ1254" s="57"/>
      </tp>
      <tp>
        <v>901</v>
        <stp/>
        <stp>6231</stp>
        <stp>PredictVolume</stp>
        <tr r="AJ1292" s="57"/>
      </tp>
      <tp>
        <v>3</v>
        <stp/>
        <stp>6221</stp>
        <stp>PredictVolume</stp>
        <tr r="AJ1291" s="57"/>
      </tp>
      <tp>
        <v>23</v>
        <stp/>
        <stp>6201</stp>
        <stp>PredictVolume</stp>
        <tr r="AJ1751" s="57"/>
      </tp>
      <tp>
        <v>1124</v>
        <stp/>
        <stp>6271</stp>
        <stp>PredictVolume</stp>
        <tr r="AJ644" s="57"/>
      </tp>
      <tp>
        <v>319</v>
        <stp/>
        <stp>6261</stp>
        <stp>PredictVolume</stp>
        <tr r="AJ643" s="57"/>
      </tp>
      <tp>
        <v>1824</v>
        <stp/>
        <stp>6251</stp>
        <stp>PredictVolume</stp>
        <tr r="AJ1183" s="57"/>
      </tp>
      <tp>
        <v>408</v>
        <stp/>
        <stp>6241</stp>
        <stp>PredictVolume</stp>
        <tr r="AJ992" s="57"/>
      </tp>
      <tp>
        <v>24</v>
        <stp/>
        <stp>4401</stp>
        <stp>PredictVolume</stp>
        <tr r="AJ111" s="57"/>
      </tp>
      <tp>
        <v>10</v>
        <stp/>
        <stp>4581</stp>
        <stp>PredictVolume</stp>
        <tr r="AJ524" s="57"/>
      </tp>
      <tp>
        <v>21</v>
        <stp/>
        <stp>4571</stp>
        <stp>PredictVolume</stp>
        <tr r="AJ204" s="57"/>
      </tp>
      <tp>
        <v>14</v>
        <stp/>
        <stp>4561</stp>
        <stp>PredictVolume</stp>
        <tr r="AJ198" s="57"/>
      </tp>
      <tp>
        <v>173</v>
        <stp/>
        <stp>4551</stp>
        <stp>PredictVolume</stp>
        <tr r="AJ522" s="57"/>
      </tp>
      <tp>
        <v>30</v>
        <stp/>
        <stp>4541</stp>
        <stp>PredictVolume</stp>
        <tr r="AJ1329" s="57"/>
      </tp>
      <tp>
        <v>1389</v>
        <stp/>
        <stp>4721</stp>
        <stp>PredictVolume</stp>
        <tr r="AJ273" s="57"/>
      </tp>
      <tp>
        <v>165</v>
        <stp/>
        <stp>4711</stp>
        <stp>PredictVolume</stp>
        <tr r="AJ269" s="57"/>
      </tp>
      <tp>
        <v>4</v>
        <stp/>
        <stp>4741</stp>
        <stp>PredictVolume</stp>
        <tr r="AJ276" s="57"/>
      </tp>
      <tp>
        <v>3</v>
        <stp/>
        <stp>4131</stp>
        <stp>PredictVolume</stp>
        <tr r="AJ337" s="57"/>
      </tp>
      <tp>
        <v>8834</v>
        <stp/>
        <stp>4121</stp>
        <stp>PredictVolume</stp>
        <tr r="AJ330" s="57"/>
      </tp>
      <tp>
        <v>88</v>
        <stp/>
        <stp>4111</stp>
        <stp>PredictVolume</stp>
        <tr r="AJ325" s="57"/>
      </tp>
      <tp>
        <v>29806</v>
        <stp/>
        <stp>4171</stp>
        <stp>PredictVolume</stp>
        <tr r="AJ1820" s="57"/>
      </tp>
      <tp>
        <v>24</v>
        <stp/>
        <stp>4161</stp>
        <stp>PredictVolume</stp>
        <tr r="AJ351" s="57"/>
      </tp>
      <tp t="s">
        <v>商品錯誤</v>
        <stp/>
        <stp>4141</stp>
        <stp>PredictVolume</stp>
        <tr r="AJ342" s="57"/>
      </tp>
      <tp>
        <v>60</v>
        <stp/>
        <stp>4991</stp>
        <stp>PredictVolume</stp>
        <tr r="AJ610" s="57"/>
      </tp>
      <tp>
        <v>8696</v>
        <stp/>
        <stp>4931</stp>
        <stp>PredictVolume</stp>
        <tr r="AJ762" s="57"/>
      </tp>
      <tp>
        <v>18</v>
        <stp/>
        <stp>4911</stp>
        <stp>PredictVolume</stp>
        <tr r="AJ375" s="57"/>
      </tp>
      <tp>
        <v>83</v>
        <stp/>
        <stp>4971</stp>
        <stp>PredictVolume</stp>
        <tr r="AJ608" s="57"/>
      </tp>
      <tp>
        <v>1409</v>
        <stp/>
        <stp>4961</stp>
        <stp>PredictVolume</stp>
        <tr r="AJ604" s="57"/>
      </tp>
      <tp>
        <v>52</v>
        <stp/>
        <stp>5481</stp>
        <stp>PredictVolume</stp>
        <tr r="AJ1337" s="57"/>
      </tp>
      <tp>
        <v>360</v>
        <stp/>
        <stp>5471</stp>
        <stp>PredictVolume</stp>
        <tr r="AJ625" s="57"/>
        <tr r="AM31" s="28"/>
      </tp>
      <tp>
        <v>600</v>
        <stp/>
        <stp>5531</stp>
        <stp>PredictVolume</stp>
        <tr r="AJ1500" s="57"/>
      </tp>
      <tp>
        <v>676</v>
        <stp/>
        <stp>5521</stp>
        <stp>PredictVolume</stp>
        <tr r="AJ1496" s="57"/>
      </tp>
      <tp>
        <v>5</v>
        <stp/>
        <stp>5511</stp>
        <stp>PredictVolume</stp>
        <tr r="AJ1489" s="57"/>
      </tp>
      <tp>
        <v>4</v>
        <stp/>
        <stp>5601</stp>
        <stp>PredictVolume</stp>
        <tr r="AJ1538" s="57"/>
      </tp>
      <tp>
        <v>23</v>
        <stp/>
        <stp>5701</stp>
        <stp>PredictVolume</stp>
        <tr r="AJ1583" s="57"/>
      </tp>
      <tp>
        <v>891</v>
        <stp/>
        <stp>5011</stp>
        <stp>PredictVolume</stp>
        <tr r="AJ466" s="57"/>
      </tp>
      <tp>
        <v>79</v>
        <stp/>
        <stp>5291</stp>
        <stp>PredictVolume</stp>
        <tr r="AJ1136" s="57"/>
      </tp>
      <tp>
        <v>0</v>
        <stp/>
        <stp>5281</stp>
        <stp>PredictVolume</stp>
        <tr r="AJ885" s="57"/>
      </tp>
      <tp>
        <v>32</v>
        <stp/>
        <stp>5211</stp>
        <stp>PredictVolume</stp>
        <tr r="AJ1281" s="57"/>
      </tp>
      <tp>
        <v>51</v>
        <stp/>
        <stp>5201</stp>
        <stp>PredictVolume</stp>
        <tr r="AJ1276" s="57"/>
      </tp>
      <tp>
        <v>368</v>
        <stp/>
        <stp>5251</stp>
        <stp>PredictVolume</stp>
        <tr r="AJ884" s="57"/>
      </tp>
      <tp>
        <v>12</v>
        <stp/>
        <stp>5381</stp>
        <stp>PredictVolume</stp>
        <tr r="AJ1143" s="57"/>
      </tp>
      <tp>
        <v>526</v>
        <stp/>
        <stp>5321</stp>
        <stp>PredictVolume</stp>
        <tr r="AJ1138" s="57"/>
      </tp>
      <tp>
        <v>87</v>
        <stp/>
        <stp>5301</stp>
        <stp>PredictVolume</stp>
        <tr r="AJ1581" s="57"/>
      </tp>
      <tp>
        <v>1664</v>
        <stp/>
        <stp>5371</stp>
        <stp>PredictVolume</stp>
        <tr r="AJ887" s="57"/>
      </tp>
      <tp>
        <v>11692</v>
        <stp/>
        <stp>5351</stp>
        <stp>PredictVolume</stp>
        <tr r="AJ622" s="57"/>
      </tp>
      <tp>
        <v>6743</v>
        <stp/>
        <stp>5871</stp>
        <stp>PredictVolume</stp>
        <tr r="AJ1339" s="57"/>
        <tr r="AK21" s="118"/>
      </tp>
      <tp>
        <v>42</v>
        <stp/>
        <stp>2491</stp>
        <stp>PredictVolume</stp>
        <tr r="AJ821" s="57"/>
      </tp>
      <tp>
        <v>17107</v>
        <stp/>
        <stp>2481</stp>
        <stp>PredictVolume</stp>
        <tr r="AJ551" s="57"/>
      </tp>
      <tp>
        <v>104</v>
        <stp/>
        <stp>2431</stp>
        <stp>PredictVolume</stp>
        <tr r="AJ1044" s="57"/>
      </tp>
      <tp>
        <v>929</v>
        <stp/>
        <stp>2421</stp>
        <stp>PredictVolume</stp>
        <tr r="AJ1041" s="57"/>
      </tp>
      <tp>
        <v>5131</v>
        <stp/>
        <stp>2401</stp>
        <stp>PredictVolume</stp>
        <tr r="AJ542" s="57"/>
      </tp>
      <tp>
        <v>42</v>
        <stp/>
        <stp>2471</stp>
        <stp>PredictVolume</stp>
        <tr r="AJ1269" s="57"/>
      </tp>
      <tp>
        <v>337</v>
        <stp/>
        <stp>2461</stp>
        <stp>PredictVolume</stp>
        <tr r="AJ1702" s="57"/>
      </tp>
      <tp>
        <v>507</v>
        <stp/>
        <stp>2451</stp>
        <stp>PredictVolume</stp>
        <tr r="AJ548" s="57"/>
      </tp>
      <tp>
        <v>620</v>
        <stp/>
        <stp>2441</stp>
        <stp>PredictVolume</stp>
        <tr r="AJ546" s="57"/>
        <tr r="AJ10" s="74"/>
        <tr r="AM22" s="28"/>
        <tr r="AJ45" s="114"/>
      </tp>
      <tp>
        <v>471</v>
        <stp/>
        <stp>2511</stp>
        <stp>PredictVolume</stp>
        <tr r="AJ1451" s="57"/>
      </tp>
      <tp>
        <v>395</v>
        <stp/>
        <stp>2501</stp>
        <stp>PredictVolume</stp>
        <tr r="AJ1446" s="57"/>
      </tp>
      <tp>
        <v>1616</v>
        <stp/>
        <stp>2611</stp>
        <stp>PredictVolume</stp>
        <tr r="AJ1524" s="57"/>
      </tp>
      <tp>
        <v>5292</v>
        <stp/>
        <stp>2601</stp>
        <stp>PredictVolume</stp>
        <tr r="AJ1639" s="57"/>
      </tp>
      <tp>
        <v>8836</v>
        <stp/>
        <stp>2641</stp>
        <stp>PredictVolume</stp>
        <tr r="AJ1535" s="57"/>
      </tp>
      <tp>
        <v>693</v>
        <stp/>
        <stp>2731</stp>
        <stp>PredictVolume</stp>
        <tr r="AJ1564" s="57"/>
      </tp>
      <tp>
        <v>192</v>
        <stp/>
        <stp>2701</stp>
        <stp>PredictVolume</stp>
        <tr r="AJ1549" s="57"/>
      </tp>
      <tp>
        <v>12564</v>
        <stp/>
        <stp>2031</stp>
        <stp>PredictVolume</stp>
        <tr r="AJ70" s="114"/>
        <tr r="AJ452" s="57"/>
      </tp>
      <tp>
        <v>38</v>
        <stp/>
        <stp>2061</stp>
        <stp>PredictVolume</stp>
        <tr r="AJ238" s="57"/>
      </tp>
      <tp>
        <v>902</v>
        <stp/>
        <stp>2101</stp>
        <stp>PredictVolume</stp>
        <tr r="AJ480" s="57"/>
      </tp>
      <tp>
        <v>71</v>
        <stp/>
        <stp>2231</stp>
        <stp>PredictVolume</stp>
        <tr r="AJ513" s="57"/>
      </tp>
      <tp>
        <v>186</v>
        <stp/>
        <stp>2221</stp>
        <stp>PredictVolume</stp>
        <tr r="AJ1315" s="57"/>
      </tp>
      <tp>
        <v>1165</v>
        <stp/>
        <stp>2211</stp>
        <stp>PredictVolume</stp>
        <tr r="AJ462" s="57"/>
      </tp>
      <tp>
        <v>2000</v>
        <stp/>
        <stp>2201</stp>
        <stp>PredictVolume</stp>
        <tr r="AJ507" s="57"/>
      </tp>
      <tp>
        <v>104</v>
        <stp/>
        <stp>2241</stp>
        <stp>PredictVolume</stp>
        <tr r="AJ167" s="57"/>
      </tp>
      <tp>
        <v>541</v>
        <stp/>
        <stp>2331</stp>
        <stp>PredictVolume</stp>
        <tr r="AJ703" s="57"/>
      </tp>
      <tp>
        <v>1</v>
        <stp/>
        <stp>2321</stp>
        <stp>PredictVolume</stp>
        <tr r="AJ931" s="57"/>
      </tp>
      <tp>
        <v>5096</v>
        <stp/>
        <stp>2301</stp>
        <stp>PredictVolume</stp>
        <tr r="AJ700" s="57"/>
      </tp>
      <tp>
        <v>17127</v>
        <stp/>
        <stp>2371</stp>
        <stp>PredictVolume</stp>
        <tr r="AJ168" s="57"/>
      </tp>
      <tp>
        <v>930</v>
        <stp/>
        <stp>2351</stp>
        <stp>PredictVolume</stp>
        <tr r="AJ95" s="114"/>
        <tr r="AJ537" s="57"/>
      </tp>
      <tp>
        <v>40203</v>
        <stp/>
        <stp>2891</stp>
        <stp>PredictVolume</stp>
        <tr r="AK14" s="118"/>
        <tr r="AJ1620" s="57"/>
      </tp>
      <tp>
        <v>30402</v>
        <stp/>
        <stp>2881</stp>
        <stp>PredictVolume</stp>
        <tr r="AK12" s="118"/>
        <tr r="AJ8" s="114"/>
        <tr r="AJ1610" s="57"/>
      </tp>
      <tp>
        <v>11808</v>
        <stp/>
        <stp>2801</stp>
        <stp>PredictVolume</stp>
        <tr r="AJ1593" s="57"/>
      </tp>
      <tp>
        <v>511</v>
        <stp/>
        <stp>2851</stp>
        <stp>PredictVolume</stp>
        <tr r="AJ1605" s="57"/>
      </tp>
      <tp t="s">
        <v>商品錯誤</v>
        <stp/>
        <stp>2841</stp>
        <stp>PredictVolume</stp>
        <tr r="AJ1473" s="57"/>
      </tp>
      <tp>
        <v>102</v>
        <stp/>
        <stp>2911</stp>
        <stp>PredictVolume</stp>
        <tr r="AJ1647" s="57"/>
      </tp>
      <tp>
        <v>136</v>
        <stp/>
        <stp>2901</stp>
        <stp>PredictVolume</stp>
        <tr r="AJ1641" s="57"/>
      </tp>
      <tp>
        <v>1651</v>
        <stp/>
        <stp>3491</stp>
        <stp>PredictVolume</stp>
        <tr r="AJ960" s="57"/>
        <tr r="AJ94" s="114"/>
        <tr r="AJ15" s="74"/>
        <tr r="AJ50" s="28"/>
      </tp>
      <tp>
        <v>71727</v>
        <stp/>
        <stp>3481</stp>
        <stp>PredictVolume</stp>
        <tr r="AJ846" s="57"/>
      </tp>
      <tp>
        <v>166</v>
        <stp/>
        <stp>3441</stp>
        <stp>PredictVolume</stp>
        <tr r="AJ843" s="57"/>
      </tp>
      <tp>
        <v>182</v>
        <stp/>
        <stp>3591</stp>
        <stp>PredictVolume</stp>
        <tr r="AJ855" s="57"/>
      </tp>
      <tp>
        <v>38</v>
        <stp/>
        <stp>3581</stp>
        <stp>PredictVolume</stp>
        <tr r="AJ590" s="57"/>
      </tp>
      <tp>
        <v>0</v>
        <stp/>
        <stp>3531</stp>
        <stp>PredictVolume</stp>
        <tr r="AJ850" s="57"/>
      </tp>
      <tp>
        <v>24</v>
        <stp/>
        <stp>3521</stp>
        <stp>PredictVolume</stp>
        <tr r="AJ748" s="57"/>
      </tp>
      <tp>
        <v>426</v>
        <stp/>
        <stp>3511</stp>
        <stp>PredictVolume</stp>
        <tr r="AJ1102" s="57"/>
      </tp>
      <tp>
        <v>93</v>
        <stp/>
        <stp>3501</stp>
        <stp>PredictVolume</stp>
        <tr r="AJ1101" s="57"/>
      </tp>
      <tp>
        <v>448</v>
        <stp/>
        <stp>3551</stp>
        <stp>PredictVolume</stp>
        <tr r="AJ1727" s="57"/>
      </tp>
      <tp>
        <v>172</v>
        <stp/>
        <stp>3541</stp>
        <stp>PredictVolume</stp>
        <tr r="AJ1726" s="57"/>
      </tp>
      <tp>
        <v>155</v>
        <stp/>
        <stp>3691</stp>
        <stp>PredictVolume</stp>
        <tr r="AJ864" s="57"/>
      </tp>
      <tp>
        <v>64</v>
        <stp/>
        <stp>3631</stp>
        <stp>PredictVolume</stp>
        <tr r="AJ1116" s="57"/>
      </tp>
      <tp>
        <v>281</v>
        <stp/>
        <stp>3611</stp>
        <stp>PredictVolume</stp>
        <tr r="AJ752" s="57"/>
        <tr r="AJ10" s="114"/>
      </tp>
      <tp>
        <v>3400</v>
        <stp/>
        <stp>3661</stp>
        <stp>PredictVolume</stp>
        <tr r="AJ594" s="57"/>
      </tp>
      <tp>
        <v>6437</v>
        <stp/>
        <stp>3711</stp>
        <stp>PredictVolume</stp>
        <tr r="AJ20" s="114"/>
        <tr r="AJ599" s="57"/>
        <tr r="AK6" s="118"/>
      </tp>
      <tp>
        <v>1920</v>
        <stp/>
        <stp>3701</stp>
        <stp>PredictVolume</stp>
        <tr r="AJ756" s="57"/>
      </tp>
      <tp>
        <v>89</v>
        <stp/>
        <stp>3081</stp>
        <stp>PredictVolume</stp>
        <tr r="AJ947" s="57"/>
      </tp>
      <tp>
        <v>56</v>
        <stp/>
        <stp>3031</stp>
        <stp>PredictVolume</stp>
        <tr r="AJ825" s="57"/>
      </tp>
      <tp>
        <v>64</v>
        <stp/>
        <stp>3021</stp>
        <stp>PredictVolume</stp>
        <tr r="AJ1060" s="57"/>
      </tp>
      <tp>
        <v>5121</v>
        <stp/>
        <stp>3011</stp>
        <stp>PredictVolume</stp>
        <tr r="AJ1058" s="57"/>
      </tp>
      <tp>
        <v>447</v>
        <stp/>
        <stp>3071</stp>
        <stp>PredictVolume</stp>
        <tr r="AJ733" s="57"/>
      </tp>
      <tp>
        <v>861</v>
        <stp/>
        <stp>3051</stp>
        <stp>PredictVolume</stp>
        <tr r="AJ829" s="57"/>
      </tp>
      <tp>
        <v>1124</v>
        <stp/>
        <stp>3041</stp>
        <stp>PredictVolume</stp>
        <tr r="AJ557" s="57"/>
      </tp>
      <tp>
        <v>36</v>
        <stp/>
        <stp>3191</stp>
        <stp>PredictVolume</stp>
        <tr r="AJ1073" s="57"/>
      </tp>
      <tp>
        <v>20</v>
        <stp/>
        <stp>3131</stp>
        <stp>PredictVolume</stp>
        <tr r="AJ1714" s="57"/>
      </tp>
      <tp>
        <v>15</v>
        <stp/>
        <stp>3171</stp>
        <stp>PredictVolume</stp>
        <tr r="AJ1658" s="57"/>
      </tp>
      <tp>
        <v>28602</v>
        <stp/>
        <stp>3141</stp>
        <stp>PredictVolume</stp>
        <tr r="AJ563" s="57"/>
      </tp>
      <tp>
        <v>7290</v>
        <stp/>
        <stp>3231</stp>
        <stp>PredictVolume</stp>
        <tr r="AJ737" s="57"/>
      </tp>
      <tp>
        <v>2324</v>
        <stp/>
        <stp>3221</stp>
        <stp>PredictVolume</stp>
        <tr r="AJ952" s="57"/>
      </tp>
      <tp>
        <v>534</v>
        <stp/>
        <stp>3211</stp>
        <stp>PredictVolume</stp>
        <tr r="AJ735" s="57"/>
      </tp>
      <tp>
        <v>65</v>
        <stp/>
        <stp>3321</stp>
        <stp>PredictVolume</stp>
        <tr r="AJ1088" s="57"/>
      </tp>
      <tp>
        <v>44</v>
        <stp/>
        <stp>3311</stp>
        <stp>PredictVolume</stp>
        <tr r="AJ955" s="57"/>
      </tp>
      <tp>
        <v>112</v>
        <stp/>
        <stp>1471</stp>
        <stp>PredictVolume</stp>
        <tr r="AJ1020" s="57"/>
      </tp>
      <tp>
        <v>779</v>
        <stp/>
        <stp>1451</stp>
        <stp>PredictVolume</stp>
        <tr r="AJ89" s="57"/>
      </tp>
      <tp>
        <v>40</v>
        <stp/>
        <stp>1441</stp>
        <stp>PredictVolume</stp>
        <tr r="AJ82" s="57"/>
      </tp>
      <tp>
        <v>724</v>
        <stp/>
        <stp>1591</stp>
        <stp>PredictVolume</stp>
        <tr r="AJ158" s="57"/>
      </tp>
      <tp>
        <v>266</v>
        <stp/>
        <stp>1531</stp>
        <stp>PredictVolume</stp>
        <tr r="AJ142" s="57"/>
      </tp>
      <tp>
        <v>17</v>
        <stp/>
        <stp>1521</stp>
        <stp>PredictVolume</stp>
        <tr r="AJ498" s="57"/>
      </tp>
      <tp>
        <v>57</v>
        <stp/>
        <stp>1541</stp>
        <stp>PredictVolume</stp>
        <tr r="AJ149" s="57"/>
      </tp>
      <tp>
        <v>3069</v>
        <stp/>
        <stp>1611</stp>
        <stp>PredictVolume</stp>
        <tr r="AJ230" s="57"/>
      </tp>
      <tp>
        <v>63</v>
        <stp/>
        <stp>1781</stp>
        <stp>PredictVolume</stp>
        <tr r="AJ303" s="57"/>
      </tp>
      <tp>
        <v>349</v>
        <stp/>
        <stp>1731</stp>
        <stp>PredictVolume</stp>
        <tr r="AJ295" s="57"/>
      </tp>
      <tp>
        <v>4479</v>
        <stp/>
        <stp>1721</stp>
        <stp>PredictVolume</stp>
        <tr r="AJ253" s="57"/>
      </tp>
      <tp>
        <v>1996</v>
        <stp/>
        <stp>1711</stp>
        <stp>PredictVolume</stp>
        <tr r="AJ247" s="57"/>
      </tp>
      <tp>
        <v>4460</v>
        <stp/>
        <stp>1701</stp>
        <stp>PredictVolume</stp>
        <tr r="AJ292" s="57"/>
      </tp>
      <tp>
        <v>33230</v>
        <stp/>
        <stp>1101</stp>
        <stp>PredictVolume</stp>
        <tr r="AJ4" s="57"/>
      </tp>
      <tp>
        <v>312</v>
        <stp/>
        <stp>1231</stp>
        <stp>PredictVolume</stp>
        <tr r="AJ26" s="57"/>
      </tp>
      <tp>
        <v>1478</v>
        <stp/>
        <stp>1201</stp>
        <stp>PredictVolume</stp>
        <tr r="AJ13" s="57"/>
      </tp>
      <tp>
        <v>402</v>
        <stp/>
        <stp>1321</stp>
        <stp>PredictVolume</stp>
        <tr r="AJ54" s="57"/>
      </tp>
      <tp>
        <v>6156</v>
        <stp/>
        <stp>1301</stp>
        <stp>PredictVolume</stp>
        <tr r="AK9" s="118"/>
        <tr r="AJ42" s="57"/>
      </tp>
      <tp>
        <v>6</v>
        <stp/>
        <stp>1341</stp>
        <stp>PredictVolume</stp>
        <tr r="AJ61" s="57"/>
      </tp>
      <tp>
        <v>12</v>
        <stp/>
        <stp>8481</stp>
        <stp>PredictVolume</stp>
        <tr r="AJ77" s="114"/>
        <tr r="AJ1392" s="57"/>
      </tp>
      <tp>
        <v>319</v>
        <stp/>
        <stp>8431</stp>
        <stp>PredictVolume</stp>
        <tr r="AJ1775" s="57"/>
      </tp>
      <tp>
        <v>446</v>
        <stp/>
        <stp>8421</stp>
        <stp>PredictVolume</stp>
        <tr r="AJ1374" s="57"/>
      </tp>
      <tp>
        <v>31</v>
        <stp/>
        <stp>8411</stp>
        <stp>PredictVolume</stp>
        <tr r="AJ1371" s="57"/>
      </tp>
      <tp>
        <v>153</v>
        <stp/>
        <stp>8401</stp>
        <stp>PredictVolume</stp>
        <tr r="AJ1369" s="57"/>
      </tp>
      <tp>
        <v>305</v>
        <stp/>
        <stp>8091</stp>
        <stp>PredictVolume</stp>
        <tr r="AJ1213" s="57"/>
      </tp>
      <tp>
        <v>407</v>
        <stp/>
        <stp>8081</stp>
        <stp>PredictVolume</stp>
        <tr r="AJ687" s="57"/>
        <tr r="AJ25" s="114"/>
      </tp>
      <tp>
        <v>328</v>
        <stp/>
        <stp>8021</stp>
        <stp>PredictVolume</stp>
        <tr r="AJ1768" s="57"/>
      </tp>
      <tp>
        <v>225</v>
        <stp/>
        <stp>8011</stp>
        <stp>PredictVolume</stp>
        <tr r="AJ1008" s="57"/>
      </tp>
      <tp>
        <v>5931</v>
        <stp/>
        <stp>8071</stp>
        <stp>PredictVolume</stp>
        <tr r="AJ1210" s="57"/>
      </tp>
      <tp>
        <v>197</v>
        <stp/>
        <stp>8131</stp>
        <stp>PredictVolume</stp>
        <tr r="AJ691" s="57"/>
      </tp>
      <tp>
        <v>655</v>
        <stp/>
        <stp>8121</stp>
        <stp>PredictVolume</stp>
        <tr r="AJ1217" s="57"/>
      </tp>
      <tp>
        <v>340</v>
        <stp/>
        <stp>8111</stp>
        <stp>PredictVolume</stp>
        <tr r="AJ925" s="57"/>
      </tp>
      <tp>
        <v>176</v>
        <stp/>
        <stp>8101</stp>
        <stp>PredictVolume</stp>
        <tr r="AJ1014" s="57"/>
      </tp>
      <tp>
        <v>335</v>
        <stp/>
        <stp>8171</stp>
        <stp>PredictVolume</stp>
        <tr r="AJ1015" s="57"/>
      </tp>
      <tp>
        <v>0</v>
        <stp/>
        <stp>8291</stp>
        <stp>PredictVolume</stp>
        <tr r="AJ1224" s="57"/>
      </tp>
      <tp>
        <v>977</v>
        <stp/>
        <stp>8201</stp>
        <stp>PredictVolume</stp>
        <tr r="AJ1773" s="57"/>
      </tp>
      <tp>
        <v>229</v>
        <stp/>
        <stp>8271</stp>
        <stp>PredictVolume</stp>
        <tr r="AJ694" s="57"/>
      </tp>
      <tp>
        <v>3411</v>
        <stp/>
        <stp>8261</stp>
        <stp>PredictVolume</stp>
        <tr r="AJ693" s="57"/>
      </tp>
      <tp>
        <v>164</v>
        <stp/>
        <stp>8341</stp>
        <stp>PredictVolume</stp>
        <tr r="AJ1366" s="57"/>
      </tp>
      <tp>
        <v>17</v>
        <stp/>
        <stp>8931</stp>
        <stp>PredictVolume</stp>
        <tr r="AJ1681" s="57"/>
      </tp>
      <tp>
        <v>1</v>
        <stp/>
        <stp>8921</stp>
        <stp>PredictVolume</stp>
        <tr r="AJ1399" s="57"/>
      </tp>
      <tp>
        <v>21</v>
        <stp/>
        <stp>8941</stp>
        <stp>PredictVolume</stp>
        <tr r="AJ1673" s="57"/>
      </tp>
      <tp>
        <v>1</v>
        <stp/>
        <stp>9931</stp>
        <stp>PredictVolume</stp>
        <tr r="AJ1680" s="57"/>
      </tp>
      <tp>
        <v>2485</v>
        <stp/>
        <stp>9921</stp>
        <stp>PredictVolume</stp>
        <tr r="AJ1420" s="57"/>
      </tp>
      <tp>
        <v>182</v>
        <stp/>
        <stp>9911</stp>
        <stp>PredictVolume</stp>
        <tr r="AJ1416" s="57"/>
      </tp>
      <tp>
        <v>94</v>
        <stp/>
        <stp>9951</stp>
        <stp>PredictVolume</stp>
        <tr r="AJ222" s="57"/>
        <tr r="AJ97" s="114"/>
      </tp>
      <tp>
        <v>1137</v>
        <stp/>
        <stp>9941</stp>
        <stp>PredictVolume</stp>
        <tr r="AJ1433" s="57"/>
      </tp>
      <tp>
        <v>11238</v>
        <stp/>
        <stp>6470</stp>
        <stp>PredictVolume</stp>
        <tr r="AJ1000" s="57"/>
      </tp>
      <tp>
        <v>1</v>
        <stp/>
        <stp>6590</stp>
        <stp>PredictVolume</stp>
        <tr r="AJ1296" s="57"/>
      </tp>
      <tp>
        <v>122</v>
        <stp/>
        <stp>6530</stp>
        <stp>PredictVolume</stp>
        <tr r="AJ1003" s="57"/>
      </tp>
      <tp>
        <v>79</v>
        <stp/>
        <stp>6510</stp>
        <stp>PredictVolume</stp>
        <tr r="AJ79" s="114"/>
        <tr r="AJ656" s="57"/>
      </tp>
      <tp>
        <v>41</v>
        <stp/>
        <stp>6570</stp>
        <stp>PredictVolume</stp>
        <tr r="AJ793" s="57"/>
      </tp>
      <tp>
        <v>99</v>
        <stp/>
        <stp>6560</stp>
        <stp>PredictVolume</stp>
        <tr r="AJ915" s="57"/>
      </tp>
      <tp>
        <v>9</v>
        <stp/>
        <stp>6690</stp>
        <stp>PredictVolume</stp>
        <tr r="AJ1298" s="57"/>
      </tp>
      <tp>
        <v>2</v>
        <stp/>
        <stp>6680</stp>
        <stp>PredictVolume</stp>
        <tr r="AJ798" s="57"/>
      </tp>
      <tp>
        <v>259</v>
        <stp/>
        <stp>6670</stp>
        <stp>PredictVolume</stp>
        <tr r="AJ1355" s="57"/>
      </tp>
      <tp>
        <v>20</v>
        <stp/>
        <stp>6640</stp>
        <stp>PredictVolume</stp>
        <tr r="AJ667" s="57"/>
      </tp>
      <tp>
        <v>321</v>
        <stp/>
        <stp>6790</stp>
        <stp>PredictVolume</stp>
        <tr r="AJ1360" s="57"/>
        <tr r="AJ53" s="114"/>
      </tp>
      <tp>
        <v>25292</v>
        <stp/>
        <stp>6770</stp>
        <stp>PredictVolume</stp>
        <tr r="AJ678" s="57"/>
      </tp>
      <tp>
        <v>12</v>
        <stp/>
        <stp>6020</stp>
        <stp>PredictVolume</stp>
        <tr r="AJ1631" s="57"/>
      </tp>
      <tp>
        <v>3843</v>
        <stp/>
        <stp>6190</stp>
        <stp>PredictVolume</stp>
        <tr r="AJ989" s="57"/>
      </tp>
      <tp>
        <v>444</v>
        <stp/>
        <stp>6180</stp>
        <stp>PredictVolume</stp>
        <tr r="AJ1794" s="57"/>
      </tp>
      <tp>
        <v>60</v>
        <stp/>
        <stp>6130</stp>
        <stp>PredictVolume</stp>
        <tr r="AJ377" s="57"/>
      </tp>
      <tp>
        <v>874</v>
        <stp/>
        <stp>6120</stp>
        <stp>PredictVolume</stp>
        <tr r="AJ893" s="57"/>
      </tp>
      <tp>
        <v>285</v>
        <stp/>
        <stp>6170</stp>
        <stp>PredictVolume</stp>
        <tr r="AJ988" s="57"/>
      </tp>
      <tp>
        <v>21</v>
        <stp/>
        <stp>6160</stp>
        <stp>PredictVolume</stp>
        <tr r="AJ781" s="57"/>
      </tp>
      <tp>
        <v>2049</v>
        <stp/>
        <stp>6150</stp>
        <stp>PredictVolume</stp>
        <tr r="AJ46" s="114"/>
        <tr r="AJ780" s="57"/>
      </tp>
      <tp>
        <v>14</v>
        <stp/>
        <stp>6140</stp>
        <stp>PredictVolume</stp>
        <tr r="AJ1287" s="57"/>
      </tp>
      <tp>
        <v>699</v>
        <stp/>
        <stp>6290</stp>
        <stp>PredictVolume</stp>
        <tr r="AJ1191" s="57"/>
      </tp>
      <tp>
        <v>146</v>
        <stp/>
        <stp>6230</stp>
        <stp>PredictVolume</stp>
        <tr r="AJ787" s="57"/>
      </tp>
      <tp>
        <v>398</v>
        <stp/>
        <stp>6220</stp>
        <stp>PredictVolume</stp>
        <tr r="AJ1181" s="57"/>
      </tp>
      <tp>
        <v>18</v>
        <stp/>
        <stp>6210</stp>
        <stp>PredictVolume</stp>
        <tr r="AJ1178" s="57"/>
      </tp>
      <tp>
        <v>148</v>
        <stp/>
        <stp>6270</stp>
        <stp>PredictVolume</stp>
        <tr r="AJ1253" s="57"/>
      </tp>
      <tp>
        <v>17</v>
        <stp/>
        <stp>6240</stp>
        <stp>PredictVolume</stp>
        <tr r="AJ1293" s="57"/>
      </tp>
      <tp>
        <v>2</v>
        <stp/>
        <stp>4430</stp>
        <stp>PredictVolume</stp>
        <tr r="AJ1326" s="57"/>
      </tp>
      <tp>
        <v>29</v>
        <stp/>
        <stp>4420</stp>
        <stp>PredictVolume</stp>
        <tr r="AJ118" s="57"/>
      </tp>
      <tp>
        <v>489</v>
        <stp/>
        <stp>4440</stp>
        <stp>PredictVolume</stp>
        <tr r="AJ125" s="57"/>
      </tp>
      <tp>
        <v>120</v>
        <stp/>
        <stp>4580</stp>
        <stp>PredictVolume</stp>
        <tr r="AJ207" s="57"/>
      </tp>
      <tp>
        <v>5</v>
        <stp/>
        <stp>4530</stp>
        <stp>PredictVolume</stp>
        <tr r="AJ184" s="57"/>
      </tp>
      <tp>
        <v>32</v>
        <stp/>
        <stp>4510</stp>
        <stp>PredictVolume</stp>
        <tr r="AJ178" s="57"/>
      </tp>
      <tp>
        <v>88</v>
        <stp/>
        <stp>4560</stp>
        <stp>PredictVolume</stp>
        <tr r="AJ197" s="57"/>
      </tp>
      <tp>
        <v>13</v>
        <stp/>
        <stp>4550</stp>
        <stp>PredictVolume</stp>
        <tr r="AJ193" s="57"/>
      </tp>
      <tp>
        <v>92</v>
        <stp/>
        <stp>4540</stp>
        <stp>PredictVolume</stp>
        <tr r="AJ190" s="57"/>
      </tp>
      <tp>
        <v>268</v>
        <stp/>
        <stp>4720</stp>
        <stp>PredictVolume</stp>
        <tr r="AJ272" s="57"/>
      </tp>
      <tp>
        <v>242</v>
        <stp/>
        <stp>4770</stp>
        <stp>PredictVolume</stp>
        <tr r="AJ284" s="57"/>
      </tp>
      <tp>
        <v>39</v>
        <stp/>
        <stp>4760</stp>
        <stp>PredictVolume</stp>
        <tr r="AJ1737" s="57"/>
      </tp>
      <tp>
        <v>15</v>
        <stp/>
        <stp>4190</stp>
        <stp>PredictVolume</stp>
        <tr r="AJ96" s="114"/>
        <tr r="AJ362" s="57"/>
      </tp>
      <tp>
        <v>340</v>
        <stp/>
        <stp>4130</stp>
        <stp>PredictVolume</stp>
        <tr r="AJ336" s="57"/>
      </tp>
      <tp>
        <v>18</v>
        <stp/>
        <stp>4120</stp>
        <stp>PredictVolume</stp>
        <tr r="AJ329" s="57"/>
      </tp>
      <tp>
        <v>27</v>
        <stp/>
        <stp>4160</stp>
        <stp>PredictVolume</stp>
        <tr r="AJ350" s="57"/>
      </tp>
      <tp>
        <v>196</v>
        <stp/>
        <stp>4930</stp>
        <stp>PredictVolume</stp>
        <tr r="AJ240" s="57"/>
      </tp>
      <tp>
        <v>6289</v>
        <stp/>
        <stp>4960</stp>
        <stp>PredictVolume</stp>
        <tr r="AJ874" s="57"/>
      </tp>
      <tp>
        <v>825</v>
        <stp/>
        <stp>4950</stp>
        <stp>PredictVolume</stp>
        <tr r="AJ1331" s="57"/>
      </tp>
      <tp>
        <v>53</v>
        <stp/>
        <stp>5490</stp>
        <stp>PredictVolume</stp>
        <tr r="AJ775" s="57"/>
      </tp>
      <tp>
        <v>141</v>
        <stp/>
        <stp>5410</stp>
        <stp>PredictVolume</stp>
        <tr r="AJ1285" s="57"/>
      </tp>
      <tp>
        <v>86</v>
        <stp/>
        <stp>5460</stp>
        <stp>PredictVolume</stp>
        <tr r="AJ1146" s="57"/>
      </tp>
      <tp>
        <v>24</v>
        <stp/>
        <stp>5450</stp>
        <stp>PredictVolume</stp>
        <tr r="AJ1336" s="57"/>
      </tp>
      <tp>
        <v>1627</v>
        <stp/>
        <stp>5530</stp>
        <stp>PredictVolume</stp>
        <tr r="AJ1338" s="57"/>
      </tp>
      <tp>
        <v>31</v>
        <stp/>
        <stp>5520</stp>
        <stp>PredictVolume</stp>
        <tr r="AJ1495" s="57"/>
      </tp>
      <tp>
        <v>35</v>
        <stp/>
        <stp>5230</stp>
        <stp>PredictVolume</stp>
        <tr r="AJ879" s="57"/>
      </tp>
      <tp>
        <v>16</v>
        <stp/>
        <stp>5220</stp>
        <stp>PredictVolume</stp>
        <tr r="AJ878" s="57"/>
      </tp>
      <tp>
        <v>1155</v>
        <stp/>
        <stp>5210</stp>
        <stp>PredictVolume</stp>
        <tr r="AJ1280" s="57"/>
      </tp>
      <tp>
        <v>12</v>
        <stp/>
        <stp>5310</stp>
        <stp>PredictVolume</stp>
        <tr r="AJ1283" s="57"/>
      </tp>
      <tp>
        <v>12</v>
        <stp/>
        <stp>5340</stp>
        <stp>PredictVolume</stp>
        <tr r="AJ1140" s="57"/>
      </tp>
      <tp>
        <v>14494</v>
        <stp/>
        <stp>5880</stp>
        <stp>PredictVolume</stp>
        <tr r="AJ1627" s="57"/>
        <tr r="AK17" s="118"/>
      </tp>
      <tp>
        <v>564</v>
        <stp/>
        <stp>5820</stp>
        <stp>PredictVolume</stp>
        <tr r="AJ1623" s="57"/>
      </tp>
      <tp>
        <v>136</v>
        <stp/>
        <stp>2480</stp>
        <stp>PredictVolume</stp>
        <tr r="AJ1270" s="57"/>
      </tp>
      <tp>
        <v>184</v>
        <stp/>
        <stp>2430</stp>
        <stp>PredictVolume</stp>
        <tr r="AJ1230" s="57"/>
        <tr r="AJ6" s="114"/>
      </tp>
      <tp>
        <v>84</v>
        <stp/>
        <stp>2420</stp>
        <stp>PredictVolume</stp>
        <tr r="AJ1040" s="57"/>
      </tp>
      <tp>
        <v>235</v>
        <stp/>
        <stp>2460</stp>
        <stp>PredictVolume</stp>
        <tr r="AJ1047" s="57"/>
      </tp>
      <tp>
        <v>135</v>
        <stp/>
        <stp>2450</stp>
        <stp>PredictVolume</stp>
        <tr r="AJ938" s="57"/>
      </tp>
      <tp>
        <v>106</v>
        <stp/>
        <stp>2440</stp>
        <stp>PredictVolume</stp>
        <tr r="AJ1045" s="57"/>
      </tp>
      <tp>
        <v>418</v>
        <stp/>
        <stp>2530</stp>
        <stp>PredictVolume</stp>
        <tr r="AJ1457" s="57"/>
      </tp>
      <tp>
        <v>777</v>
        <stp/>
        <stp>2520</stp>
        <stp>PredictVolume</stp>
        <tr r="AJ1453" s="57"/>
      </tp>
      <tp>
        <v>92</v>
        <stp/>
        <stp>2540</stp>
        <stp>PredictVolume</stp>
        <tr r="AJ1464" s="57"/>
      </tp>
      <tp>
        <v>68</v>
        <stp/>
        <stp>2630</stp>
        <stp>PredictVolume</stp>
        <tr r="AJ1530" s="57"/>
      </tp>
      <tp>
        <v>80154</v>
        <stp/>
        <stp>2610</stp>
        <stp>PredictVolume</stp>
        <tr r="AJ1523" s="57"/>
      </tp>
      <tp>
        <v>0</v>
        <stp/>
        <stp>2640</stp>
        <stp>PredictVolume</stp>
        <tr r="AJ1321" s="57"/>
      </tp>
      <tp>
        <v>0</v>
        <stp/>
        <stp>2740</stp>
        <stp>PredictVolume</stp>
        <tr r="AJ1569" s="57"/>
      </tp>
      <tp>
        <v>4521</v>
        <stp/>
        <stp>2030</stp>
        <stp>PredictVolume</stp>
        <tr r="AJ451" s="57"/>
      </tp>
      <tp>
        <v>1073</v>
        <stp/>
        <stp>2020</stp>
        <stp>PredictVolume</stp>
        <tr r="AJ443" s="57"/>
      </tp>
      <tp>
        <v>2163</v>
        <stp/>
        <stp>2010</stp>
        <stp>PredictVolume</stp>
        <tr r="AJ437" s="57"/>
      </tp>
      <tp>
        <v>7</v>
        <stp/>
        <stp>2070</stp>
        <stp>PredictVolume</stp>
        <tr r="AJ164" s="57"/>
      </tp>
      <tp>
        <v>164</v>
        <stp/>
        <stp>2230</stp>
        <stp>PredictVolume</stp>
        <tr r="AJ165" s="57"/>
      </tp>
      <tp>
        <v>13</v>
        <stp/>
        <stp>2250</stp>
        <stp>PredictVolume</stp>
        <tr r="AJ519" s="57"/>
      </tp>
      <tp>
        <v>2842</v>
        <stp/>
        <stp>2390</stp>
        <stp>PredictVolume</stp>
        <tr r="AJ1698" s="57"/>
      </tp>
      <tp>
        <v>344</v>
        <stp/>
        <stp>2380</stp>
        <stp>PredictVolume</stp>
        <tr r="AJ713" s="57"/>
      </tp>
      <tp>
        <v>27050</v>
        <stp/>
        <stp>2330</stp>
        <stp>PredictVolume</stp>
        <tr r="AJ532" s="57"/>
        <tr r="AK1" s="118"/>
      </tp>
      <tp>
        <v>1482</v>
        <stp/>
        <stp>2360</stp>
        <stp>PredictVolume</stp>
        <tr r="AJ62" s="114"/>
        <tr r="AJ1696" s="57"/>
      </tp>
      <tp>
        <v>1974</v>
        <stp/>
        <stp>2340</stp>
        <stp>PredictVolume</stp>
        <tr r="AJ810" s="57"/>
      </tp>
      <tp>
        <v>18018</v>
        <stp/>
        <stp>2890</stp>
        <stp>PredictVolume</stp>
        <tr r="AJ1619" s="57"/>
      </tp>
      <tp>
        <v>10174</v>
        <stp/>
        <stp>2880</stp>
        <stp>PredictVolume</stp>
        <tr r="AJ1609" s="57"/>
        <tr r="AK20" s="118"/>
      </tp>
      <tp>
        <v>913</v>
        <stp/>
        <stp>2820</stp>
        <stp>PredictVolume</stp>
        <tr r="AJ1597" s="57"/>
      </tp>
      <tp>
        <v>274</v>
        <stp/>
        <stp>2850</stp>
        <stp>PredictVolume</stp>
        <tr r="AJ1604" s="57"/>
      </tp>
      <tp>
        <v>5</v>
        <stp/>
        <stp>2910</stp>
        <stp>PredictVolume</stp>
        <tr r="AJ1646" s="57"/>
      </tp>
      <tp>
        <v>164</v>
        <stp/>
        <stp>3490</stp>
        <stp>PredictVolume</stp>
        <tr r="AJ847" s="57"/>
      </tp>
      <tp>
        <v>107</v>
        <stp/>
        <stp>3450</stp>
        <stp>PredictVolume</stp>
        <tr r="AJ1722" s="57"/>
      </tp>
      <tp>
        <v>368</v>
        <stp/>
        <stp>3580</stp>
        <stp>PredictVolume</stp>
        <tr r="AJ1729" s="57"/>
      </tp>
      <tp>
        <v>183</v>
        <stp/>
        <stp>3530</stp>
        <stp>PredictVolume</stp>
        <tr r="AJ583" s="57"/>
      </tp>
      <tp>
        <v>71</v>
        <stp/>
        <stp>3520</stp>
        <stp>PredictVolume</stp>
        <tr r="AJ1104" s="57"/>
      </tp>
      <tp>
        <v>70</v>
        <stp/>
        <stp>3570</stp>
        <stp>PredictVolume</stp>
        <tr r="AJ1273" s="57"/>
      </tp>
      <tp>
        <v>158</v>
        <stp/>
        <stp>3550</stp>
        <stp>PredictVolume</stp>
        <tr r="AJ1109" s="57"/>
      </tp>
      <tp>
        <v>58</v>
        <stp/>
        <stp>3540</stp>
        <stp>PredictVolume</stp>
        <tr r="AJ749" s="57"/>
      </tp>
      <tp>
        <v>326</v>
        <stp/>
        <stp>3680</stp>
        <stp>PredictVolume</stp>
        <tr r="AJ596" s="57"/>
      </tp>
      <tp>
        <v>150</v>
        <stp/>
        <stp>3630</stp>
        <stp>PredictVolume</stp>
        <tr r="AJ859" s="57"/>
      </tp>
      <tp>
        <v>1524</v>
        <stp/>
        <stp>3710</stp>
        <stp>PredictVolume</stp>
        <tr r="AJ1122" s="57"/>
      </tp>
      <tp>
        <v>143</v>
        <stp/>
        <stp>3090</stp>
        <stp>PredictVolume</stp>
        <tr r="AJ1069" s="57"/>
      </tp>
      <tp>
        <v>550</v>
        <stp/>
        <stp>3030</stp>
        <stp>PredictVolume</stp>
        <tr r="AJ1710" s="57"/>
      </tp>
      <tp>
        <v>660</v>
        <stp/>
        <stp>3010</stp>
        <stp>PredictVolume</stp>
        <tr r="AJ1232" s="57"/>
      </tp>
      <tp>
        <v>205</v>
        <stp/>
        <stp>3060</stp>
        <stp>PredictVolume</stp>
        <tr r="AJ732" s="57"/>
      </tp>
      <tp>
        <v>2647</v>
        <stp/>
        <stp>3050</stp>
        <stp>PredictVolume</stp>
        <tr r="AJ828" s="57"/>
      </tp>
      <tp>
        <v>22</v>
        <stp/>
        <stp>3040</stp>
        <stp>PredictVolume</stp>
        <tr r="AJ1323" s="57"/>
      </tp>
      <tp>
        <v>119</v>
        <stp/>
        <stp>3130</stp>
        <stp>PredictVolume</stp>
        <tr r="AJ1272" s="57"/>
      </tp>
      <tp>
        <v>124</v>
        <stp/>
        <stp>3290</stp>
        <stp>PredictVolume</stp>
        <tr r="AJ1082" s="57"/>
      </tp>
      <tp>
        <v>75</v>
        <stp/>
        <stp>3230</stp>
        <stp>PredictVolume</stp>
        <tr r="AJ834" s="57"/>
      </tp>
      <tp>
        <v>974</v>
        <stp/>
        <stp>3260</stp>
        <stp>PredictVolume</stp>
        <tr r="AJ571" s="57"/>
      </tp>
      <tp>
        <v>272</v>
        <stp/>
        <stp>3390</stp>
        <stp>PredictVolume</stp>
        <tr r="AJ1096" s="57"/>
      </tp>
      <tp>
        <v>870</v>
        <stp/>
        <stp>3380</stp>
        <stp>PredictVolume</stp>
        <tr r="AJ957" s="57"/>
      </tp>
      <tp>
        <v>9</v>
        <stp/>
        <stp>3310</stp>
        <stp>PredictVolume</stp>
        <tr r="AJ1086" s="57"/>
      </tp>
      <tp>
        <v>1233</v>
        <stp/>
        <stp>3360</stp>
        <stp>PredictVolume</stp>
        <tr r="AJ1242" s="57"/>
      </tp>
      <tp>
        <v>36</v>
        <stp/>
        <stp>1410</stp>
        <stp>PredictVolume</stp>
        <tr r="AJ72" s="57"/>
      </tp>
      <tp>
        <v>275</v>
        <stp/>
        <stp>1470</stp>
        <stp>PredictVolume</stp>
        <tr r="AJ104" s="57"/>
      </tp>
      <tp>
        <v>1253</v>
        <stp/>
        <stp>1460</stp>
        <stp>PredictVolume</stp>
        <tr r="AJ97" s="57"/>
      </tp>
      <tp>
        <v>2396</v>
        <stp/>
        <stp>1440</stp>
        <stp>PredictVolume</stp>
        <tr r="AJ81" s="57"/>
      </tp>
      <tp>
        <v>553</v>
        <stp/>
        <stp>1590</stp>
        <stp>PredictVolume</stp>
        <tr r="AJ157" s="57"/>
        <tr r="AJ92" s="114"/>
      </tp>
      <tp>
        <v>236</v>
        <stp/>
        <stp>1580</stp>
        <stp>PredictVolume</stp>
        <tr r="AJ153" s="57"/>
      </tp>
      <tp>
        <v>6</v>
        <stp/>
        <stp>1530</stp>
        <stp>PredictVolume</stp>
        <tr r="AJ141" s="57"/>
      </tp>
      <tp>
        <v>159</v>
        <stp/>
        <stp>1570</stp>
        <stp>PredictVolume</stp>
        <tr r="AJ152" s="57"/>
      </tp>
      <tp>
        <v>7945</v>
        <stp/>
        <stp>1560</stp>
        <stp>PredictVolume</stp>
        <tr r="AJ151" s="57"/>
      </tp>
      <tp>
        <v>167</v>
        <stp/>
        <stp>1540</stp>
        <stp>PredictVolume</stp>
        <tr r="AJ148" s="57"/>
      </tp>
      <tp>
        <v>28</v>
        <stp/>
        <stp>1730</stp>
        <stp>PredictVolume</stp>
        <tr r="AJ259" s="57"/>
      </tp>
      <tp>
        <v>583</v>
        <stp/>
        <stp>1720</stp>
        <stp>PredictVolume</stp>
        <tr r="AJ294" s="57"/>
      </tp>
      <tp>
        <v>1441</v>
        <stp/>
        <stp>1710</stp>
        <stp>PredictVolume</stp>
        <tr r="AJ246" s="57"/>
      </tp>
      <tp>
        <v>18113</v>
        <stp/>
        <stp>1760</stp>
        <stp>PredictVolume</stp>
        <tr r="AJ300" s="57"/>
      </tp>
      <tp>
        <v>111</v>
        <stp/>
        <stp>1110</stp>
        <stp>PredictVolume</stp>
        <tr r="AJ10" s="57"/>
      </tp>
      <tp>
        <v>2483</v>
        <stp/>
        <stp>1220</stp>
        <stp>PredictVolume</stp>
        <tr r="AJ22" s="57"/>
      </tp>
      <tp>
        <v>2996</v>
        <stp/>
        <stp>1210</stp>
        <stp>PredictVolume</stp>
        <tr r="AJ15" s="57"/>
      </tp>
      <tp>
        <v>509</v>
        <stp/>
        <stp>1240</stp>
        <stp>PredictVolume</stp>
        <tr r="AJ1818" s="57"/>
      </tp>
      <tp>
        <v>574</v>
        <stp/>
        <stp>1310</stp>
        <stp>PredictVolume</stp>
        <tr r="AJ49" s="57"/>
      </tp>
      <tp>
        <v>54</v>
        <stp/>
        <stp>1340</stp>
        <stp>PredictVolume</stp>
        <tr r="AJ60" s="57"/>
      </tp>
      <tp>
        <v>5611</v>
        <stp/>
        <stp>1810</stp>
        <stp>PredictVolume</stp>
        <tr r="AJ420" s="57"/>
      </tp>
      <tp>
        <v>12</v>
        <stp/>
        <stp>8480</stp>
        <stp>PredictVolume</stp>
        <tr r="AJ1391" s="57"/>
      </tp>
      <tp>
        <v>404</v>
        <stp/>
        <stp>8420</stp>
        <stp>PredictVolume</stp>
        <tr r="AJ1373" s="57"/>
      </tp>
      <tp>
        <v>9</v>
        <stp/>
        <stp>8410</stp>
        <stp>PredictVolume</stp>
        <tr r="AJ805" s="57"/>
      </tp>
      <tp>
        <v>73</v>
        <stp/>
        <stp>8450</stp>
        <stp>PredictVolume</stp>
        <tr r="AJ1800" s="57"/>
      </tp>
      <tp>
        <v>4812</v>
        <stp/>
        <stp>8440</stp>
        <stp>PredictVolume</stp>
        <tr r="AJ1381" s="57"/>
      </tp>
      <tp>
        <v>40</v>
        <stp/>
        <stp>8080</stp>
        <stp>PredictVolume</stp>
        <tr r="AJ1212" s="57"/>
      </tp>
      <tp>
        <v>1481</v>
        <stp/>
        <stp>8070</stp>
        <stp>PredictVolume</stp>
        <tr r="AJ1259" s="57"/>
      </tp>
      <tp>
        <v>2092</v>
        <stp/>
        <stp>8050</stp>
        <stp>PredictVolume</stp>
        <tr r="AJ799" s="57"/>
      </tp>
      <tp>
        <v>396</v>
        <stp/>
        <stp>8040</stp>
        <stp>PredictVolume</stp>
        <tr r="AJ685" s="57"/>
      </tp>
      <tp>
        <v>698</v>
        <stp/>
        <stp>8110</stp>
        <stp>PredictVolume</stp>
        <tr r="AJ690" s="57"/>
      </tp>
      <tp>
        <v>3370</v>
        <stp/>
        <stp>8150</stp>
        <stp>PredictVolume</stp>
        <tr r="AJ692" s="57"/>
        <tr r="AJ87" s="114"/>
      </tp>
      <tp>
        <v>177</v>
        <stp/>
        <stp>8210</stp>
        <stp>PredictVolume</stp>
        <tr r="AJ803" s="57"/>
      </tp>
      <tp>
        <v>35</v>
        <stp/>
        <stp>8240</stp>
        <stp>PredictVolume</stp>
        <tr r="AJ927" s="57"/>
      </tp>
      <tp>
        <v>657</v>
        <stp/>
        <stp>8390</stp>
        <stp>PredictVolume</stp>
        <tr r="AJ1368" s="57"/>
      </tp>
      <tp>
        <v>457</v>
        <stp/>
        <stp>8930</stp>
        <stp>PredictVolume</stp>
        <tr r="AJ475" s="57"/>
      </tp>
      <tp>
        <v>18</v>
        <stp/>
        <stp>8940</stp>
        <stp>PredictVolume</stp>
        <tr r="AJ1589" s="57"/>
      </tp>
      <tp>
        <v>75</v>
        <stp/>
        <stp>9930</stp>
        <stp>PredictVolume</stp>
        <tr r="AJ1426" s="57"/>
      </tp>
      <tp>
        <v>931</v>
        <stp/>
        <stp>9910</stp>
        <stp>PredictVolume</stp>
        <tr r="AJ91" s="114"/>
        <tr r="AJ1415" s="57"/>
      </tp>
      <tp>
        <v>6</v>
        <stp/>
        <stp>9960</stp>
        <stp>PredictVolume</stp>
        <tr r="AJ1674" s="57"/>
      </tp>
      <tp>
        <v>58</v>
        <stp/>
        <stp>9950</stp>
        <stp>PredictVolume</stp>
        <tr r="AJ67" s="57"/>
      </tp>
      <tp>
        <v>286</v>
        <stp/>
        <stp>9940</stp>
        <stp>PredictVolume</stp>
        <tr r="AJ1432" s="57"/>
      </tp>
      <tp>
        <v>38.700000000000003</v>
        <stp/>
        <stp>2342</stp>
        <stp>Price</stp>
        <tr r="X535" s="57"/>
      </tp>
      <tp>
        <v>27.85</v>
        <stp/>
        <stp>2352</stp>
        <stp>Price</stp>
        <tr r="X704" s="57"/>
      </tp>
      <tp>
        <v>31.55</v>
        <stp/>
        <stp>2362</stp>
        <stp>Price</stp>
        <tr r="X708" s="57"/>
      </tp>
      <tp>
        <v>16.100000000000001</v>
        <stp/>
        <stp>2302</stp>
        <stp>Price</stp>
        <tr r="X529" s="57"/>
      </tp>
      <tp>
        <v>13.4</v>
        <stp/>
        <stp>2312</stp>
        <stp>Price</stp>
        <tr r="X1692" s="57"/>
      </tp>
      <tp>
        <v>15.5</v>
        <stp/>
        <stp>2332</stp>
        <stp>Price</stp>
        <tr r="X932" s="57"/>
      </tp>
      <tp>
        <v>83</v>
        <stp/>
        <stp>2382</stp>
        <stp>Price</stp>
        <tr r="X714" s="57"/>
        <tr r="X7" s="118"/>
      </tp>
      <tp>
        <v>33.299999999999997</v>
        <stp/>
        <stp>2392</stp>
        <stp>Price</stp>
        <tr r="X1036" s="57"/>
      </tp>
      <tp>
        <v>25.25</v>
        <stp/>
        <stp>2062</stp>
        <stp>Price</stp>
        <tr r="X1314" s="57"/>
      </tp>
      <tp>
        <v>34.200000000000003</v>
        <stp/>
        <stp>2002</stp>
        <stp>Price</stp>
        <tr r="X27" s="118"/>
        <tr r="X432" s="57"/>
      </tp>
      <tp>
        <v>28.5</v>
        <stp/>
        <stp>2012</stp>
        <stp>Price</stp>
        <tr r="X438" s="57"/>
      </tp>
      <tp>
        <v>10.15</v>
        <stp/>
        <stp>2022</stp>
        <stp>Price</stp>
        <tr r="X444" s="57"/>
      </tp>
      <tp>
        <v>26.25</v>
        <stp/>
        <stp>2032</stp>
        <stp>Price</stp>
        <tr r="X453" s="57"/>
      </tp>
      <tp>
        <v>23</v>
        <stp/>
        <stp>2102</stp>
        <stp>Price</stp>
        <tr r="X481" s="57"/>
      </tp>
      <tp>
        <v>71.8</v>
        <stp/>
        <stp>2642</stp>
        <stp>Price</stp>
        <tr r="X1536" s="57"/>
      </tp>
      <tp>
        <v>50.6</v>
        <stp/>
        <stp>2612</stp>
        <stp>Price</stp>
        <tr r="X1525" s="57"/>
      </tp>
      <tp>
        <v>148</v>
        <stp/>
        <stp>2752</stp>
        <stp>Price</stp>
        <tr r="X1573" s="57"/>
      </tp>
      <tp>
        <v>25.6</v>
        <stp/>
        <stp>2702</stp>
        <stp>Price</stp>
        <tr r="X1550" s="57"/>
      </tp>
      <tp>
        <v>33.1</v>
        <stp/>
        <stp>2712</stp>
        <stp>Price</stp>
        <tr r="X1555" s="57"/>
      </tp>
      <tp>
        <v>30</v>
        <stp/>
        <stp>2722</stp>
        <stp>Price</stp>
        <tr r="X1558" s="57"/>
      </tp>
      <tp>
        <v>96</v>
        <stp/>
        <stp>2732</stp>
        <stp>Price</stp>
        <tr r="X1565" s="57"/>
      </tp>
      <tp>
        <v>13.25</v>
        <stp/>
        <stp>2442</stp>
        <stp>Price</stp>
        <tr r="X723" s="57"/>
      </tp>
      <tp>
        <v>26.5</v>
        <stp/>
        <stp>2462</stp>
        <stp>Price</stp>
        <tr r="X1048" s="57"/>
      </tp>
      <tp>
        <v>59.5</v>
        <stp/>
        <stp>2472</stp>
        <stp>Price</stp>
        <tr r="X1050" s="57"/>
      </tp>
      <tp>
        <v>15.1</v>
        <stp/>
        <stp>2402</stp>
        <stp>Price</stp>
        <tr r="X1037" s="57"/>
      </tp>
      <tp>
        <v>125</v>
        <stp/>
        <stp>2412</stp>
        <stp>Price</stp>
        <tr r="X934" s="57"/>
        <tr r="X25" s="118"/>
      </tp>
      <tp>
        <v>13.6</v>
        <stp/>
        <stp>2482</stp>
        <stp>Price</stp>
        <tr r="X1706" s="57"/>
      </tp>
      <tp>
        <v>107</v>
        <stp/>
        <stp>2492</stp>
        <stp>Price</stp>
        <tr r="X1055" s="57"/>
      </tp>
      <tp>
        <v>46.25</v>
        <stp/>
        <stp>2542</stp>
        <stp>Price</stp>
        <tr r="X1465" s="57"/>
      </tp>
      <tp>
        <v>15.4</v>
        <stp/>
        <stp>2852</stp>
        <stp>Price</stp>
        <tr r="X1606" s="57"/>
      </tp>
      <tp>
        <v>13.85</v>
        <stp/>
        <stp>2812</stp>
        <stp>Price</stp>
        <tr r="X1595" s="57"/>
      </tp>
      <tp>
        <v>19.350000000000001</v>
        <stp/>
        <stp>2832</stp>
        <stp>Price</stp>
        <tr r="X1598" s="57"/>
      </tp>
      <tp>
        <v>56.2</v>
        <stp/>
        <stp>2882</stp>
        <stp>Price</stp>
        <tr r="X13" s="118"/>
        <tr r="X1611" s="57"/>
      </tp>
      <tp>
        <v>26.35</v>
        <stp/>
        <stp>2892</stp>
        <stp>Price</stp>
        <tr r="X1621" s="57"/>
        <tr r="X18" s="118"/>
      </tp>
      <tp>
        <v>264.5</v>
        <stp/>
        <stp>2912</stp>
        <stp>Price</stp>
        <tr r="X1648" s="57"/>
      </tp>
      <tp>
        <v>16.649999999999999</v>
        <stp/>
        <stp>3252</stp>
        <stp>Price</stp>
        <tr r="X1578" s="57"/>
      </tp>
      <tp>
        <v>25.25</v>
        <stp/>
        <stp>3272</stp>
        <stp>Price</stp>
        <tr r="X738" s="57"/>
      </tp>
      <tp>
        <v>13.5</v>
        <stp/>
        <stp>3202</stp>
        <stp>Price</stp>
        <tr r="X1074" s="57"/>
      </tp>
      <tp>
        <v>34.65</v>
        <stp/>
        <stp>3232</stp>
        <stp>Price</stp>
        <tr r="X1240" s="57"/>
      </tp>
      <tp>
        <v>55.1</v>
        <stp/>
        <stp>3362</stp>
        <stp>Price</stp>
        <tr r="X838" s="57"/>
      </tp>
      <tp>
        <v>15.6</v>
        <stp/>
        <stp>3372</stp>
        <stp>Price</stp>
        <tr r="X576" s="57"/>
      </tp>
      <tp>
        <v>24.1</v>
        <stp/>
        <stp>3312</stp>
        <stp>Price</stp>
        <tr r="X1241" s="57"/>
      </tp>
      <tp>
        <v>21.45</v>
        <stp/>
        <stp>3322</stp>
        <stp>Price</stp>
        <tr r="X1089" s="57"/>
      </tp>
      <tp>
        <v>41.4</v>
        <stp/>
        <stp>3332</stp>
        <stp>Price</stp>
        <tr r="X1090" s="57"/>
      </tp>
      <tp>
        <v>89.3</v>
        <stp/>
        <stp>3042</stp>
        <stp>Price</stp>
        <tr r="X1065" s="57"/>
      </tp>
      <tp>
        <v>10</v>
        <stp/>
        <stp>3052</stp>
        <stp>Price</stp>
        <tr r="X1475" s="57"/>
      </tp>
      <tp>
        <v>21.35</v>
        <stp/>
        <stp>3062</stp>
        <stp>Price</stp>
        <tr r="X946" s="57"/>
      </tp>
      <tp>
        <v>11.6</v>
        <stp/>
        <stp>3002</stp>
        <stp>Price</stp>
        <tr r="X725" s="57"/>
      </tp>
      <tp>
        <v>44.25</v>
        <stp/>
        <stp>3022</stp>
        <stp>Price</stp>
        <tr r="X729" s="57"/>
      </tp>
      <tp>
        <v>28.6</v>
        <stp/>
        <stp>3032</stp>
        <stp>Price</stp>
        <tr r="X1063" s="57"/>
      </tp>
      <tp>
        <v>53.1</v>
        <stp/>
        <stp>3092</stp>
        <stp>Price</stp>
        <tr r="X1070" s="57"/>
      </tp>
      <tp>
        <v>226</v>
        <stp/>
        <stp>3152</stp>
        <stp>Price</stp>
        <tr r="X26" s="114"/>
        <tr r="X950" s="57"/>
      </tp>
      <tp>
        <v>36.549999999999997</v>
        <stp/>
        <stp>3162</stp>
        <stp>Price</stp>
        <tr r="X35" s="28"/>
        <tr r="X82" s="22"/>
        <tr r="X169" s="57"/>
      </tp>
      <tp>
        <v>49.2</v>
        <stp/>
        <stp>3122</stp>
        <stp>Price</stp>
        <tr r="X562" s="57"/>
      </tp>
      <tp>
        <v>8.43</v>
        <stp/>
        <stp>3642</stp>
        <stp>Price</stp>
        <tr r="X1733" s="57"/>
      </tp>
      <tp>
        <v>20.399999999999999</v>
        <stp/>
        <stp>3652</stp>
        <stp>Price</stp>
        <tr r="X754" s="57"/>
      </tp>
      <tp>
        <v>34.450000000000003</v>
        <stp/>
        <stp>3672</stp>
        <stp>Price</stp>
        <tr r="X967" s="57"/>
      </tp>
      <tp>
        <v>30.9</v>
        <stp/>
        <stp>3622</stp>
        <stp>Price</stp>
        <tr r="X857" s="57"/>
      </tp>
      <tp t="s">
        <v>無資料</v>
        <stp/>
        <stp>3632</stp>
        <stp>Price</stp>
        <tr r="X965" s="57"/>
      </tp>
      <tp>
        <v>7.24</v>
        <stp/>
        <stp>3682</stp>
        <stp>Price</stp>
        <tr r="X968" s="57"/>
      </tp>
      <tp>
        <v>52.8</v>
        <stp/>
        <stp>3702</stp>
        <stp>Price</stp>
        <tr r="X1245" s="57"/>
      </tp>
      <tp>
        <v>30.1</v>
        <stp/>
        <stp>3712</stp>
        <stp>Price</stp>
        <tr r="X759" s="57"/>
      </tp>
      <tp>
        <v>46.4</v>
        <stp/>
        <stp>3402</stp>
        <stp>Price</stp>
        <tr r="X1721" s="57"/>
      </tp>
      <tp>
        <v>13.4</v>
        <stp/>
        <stp>3432</stp>
        <stp>Price</stp>
        <tr r="X1097" s="57"/>
      </tp>
      <tp>
        <v>17.850000000000001</v>
        <stp/>
        <stp>3492</stp>
        <stp>Price</stp>
        <tr r="X1100" s="57"/>
      </tp>
      <tp>
        <v>148</v>
        <stp/>
        <stp>3552</stp>
        <stp>Price</stp>
        <tr r="X1728" s="57"/>
      </tp>
      <tp>
        <v>32.85</v>
        <stp/>
        <stp>3512</stp>
        <stp>Price</stp>
        <tr r="X1103" s="57"/>
      </tp>
      <tp>
        <v>10.7</v>
        <stp/>
        <stp>3522</stp>
        <stp>Price</stp>
        <tr r="X1579" s="57"/>
      </tp>
      <tp>
        <v>218</v>
        <stp/>
        <stp>3532</stp>
        <stp>Price</stp>
        <tr r="X584" s="57"/>
      </tp>
      <tp>
        <v>496</v>
        <stp/>
        <stp>3592</stp>
        <stp>Price</stp>
        <tr r="X593" s="57"/>
      </tp>
      <tp>
        <v>152</v>
        <stp/>
        <stp>1232</stp>
        <stp>Price</stp>
        <tr r="X27" s="57"/>
      </tp>
      <tp>
        <v>68.400000000000006</v>
        <stp/>
        <stp>1342</stp>
        <stp>Price</stp>
        <tr r="X1308" s="57"/>
      </tp>
      <tp>
        <v>24.2</v>
        <stp/>
        <stp>1312</stp>
        <stp>Price</stp>
        <tr r="X50" s="57"/>
      </tp>
      <tp>
        <v>45.3</v>
        <stp/>
        <stp>1102</stp>
        <stp>Price</stp>
        <tr r="X5" s="57"/>
      </tp>
      <tp>
        <v>23.2</v>
        <stp/>
        <stp>1612</stp>
        <stp>Price</stp>
        <tr r="X231" s="57"/>
      </tp>
      <tp>
        <v>20.95</v>
        <stp/>
        <stp>1742</stp>
        <stp>Price</stp>
        <tr r="X262" s="57"/>
      </tp>
      <tp>
        <v>36.450000000000003</v>
        <stp/>
        <stp>1752</stp>
        <stp>Price</stp>
        <tr r="X299" s="57"/>
      </tp>
      <tp>
        <v>59.1</v>
        <stp/>
        <stp>1762</stp>
        <stp>Price</stp>
        <tr r="X301" s="57"/>
      </tp>
      <tp>
        <v>46.15</v>
        <stp/>
        <stp>1702</stp>
        <stp>Price</stp>
        <tr r="X35" s="57"/>
      </tp>
      <tp>
        <v>32.15</v>
        <stp/>
        <stp>1712</stp>
        <stp>Price</stp>
        <tr r="X248" s="57"/>
      </tp>
      <tp>
        <v>71.099999999999994</v>
        <stp/>
        <stp>1722</stp>
        <stp>Price</stp>
        <tr r="X254" s="57"/>
      </tp>
      <tp>
        <v>35.65</v>
        <stp/>
        <stp>1732</stp>
        <stp>Price</stp>
        <tr r="X260" s="57"/>
        <tr r="X14" s="28"/>
      </tp>
      <tp>
        <v>22.3</v>
        <stp/>
        <stp>1442</stp>
        <stp>Price</stp>
        <tr r="X1443" s="57"/>
      </tp>
      <tp>
        <v>21.55</v>
        <stp/>
        <stp>1452</stp>
        <stp>Price</stp>
        <tr r="X90" s="57"/>
      </tp>
      <tp>
        <v>23.5</v>
        <stp/>
        <stp>1472</stp>
        <stp>Price</stp>
        <tr r="X105" s="57"/>
      </tp>
      <tp>
        <v>30.15</v>
        <stp/>
        <stp>1402</stp>
        <stp>Price</stp>
        <tr r="X70" s="57"/>
      </tp>
      <tp>
        <v>10.4</v>
        <stp/>
        <stp>1432</stp>
        <stp>Price</stp>
        <tr r="X1638" s="57"/>
      </tp>
      <tp>
        <v>3.2</v>
        <stp/>
        <stp>1512</stp>
        <stp>Price</stp>
        <tr r="X497" s="57"/>
      </tp>
      <tp>
        <v>20</v>
        <stp/>
        <stp>1522</stp>
        <stp>Price</stp>
        <tr r="X499" s="57"/>
      </tp>
      <tp>
        <v>31.4</v>
        <stp/>
        <stp>1532</stp>
        <stp>Price</stp>
        <tr r="X143" s="57"/>
      </tp>
      <tp>
        <v>68.5</v>
        <stp/>
        <stp>1582</stp>
        <stp>Price</stp>
        <tr r="X28" s="114"/>
        <tr r="X1021" s="57"/>
      </tp>
      <tp>
        <v>20.65</v>
        <stp/>
        <stp>1802</stp>
        <stp>Price</stp>
        <tr r="X417" s="57"/>
      </tp>
      <tp>
        <v>63.3</v>
        <stp/>
        <stp>6242</stp>
        <stp>Price</stp>
        <tr r="X378" s="57"/>
      </tp>
      <tp>
        <v>95.2</v>
        <stp/>
        <stp>6202</stp>
        <stp>Price</stp>
        <tr r="X635" s="57"/>
      </tp>
      <tp>
        <v>54</v>
        <stp/>
        <stp>6212</stp>
        <stp>Price</stp>
        <tr r="X1508" s="57"/>
      </tp>
      <tp>
        <v>27.25</v>
        <stp/>
        <stp>6282</stp>
        <stp>Price</stp>
        <tr r="X1189" s="57"/>
      </tp>
      <tp>
        <v>46.8</v>
        <stp/>
        <stp>6292</stp>
        <stp>Price</stp>
        <tr r="X1192" s="57"/>
      </tp>
      <tp>
        <v>8.92</v>
        <stp/>
        <stp>6142</stp>
        <stp>Price</stp>
        <tr r="X984" s="57"/>
      </tp>
      <tp>
        <v>8.66</v>
        <stp/>
        <stp>6152</stp>
        <stp>Price</stp>
        <tr r="X986" s="57"/>
      </tp>
      <tp>
        <v>35.299999999999997</v>
        <stp/>
        <stp>6112</stp>
        <stp>Price</stp>
        <tr r="X1286" s="57"/>
      </tp>
      <tp>
        <v>16.45</v>
        <stp/>
        <stp>6122</stp>
        <stp>Price</stp>
        <tr r="X210" s="57"/>
      </tp>
      <tp>
        <v>56.9</v>
        <stp/>
        <stp>6182</stp>
        <stp>Price</stp>
        <tr r="X633" s="57"/>
      </tp>
      <tp>
        <v>69.8</v>
        <stp/>
        <stp>6192</stp>
        <stp>Price</stp>
        <tr r="X1749" s="57"/>
      </tp>
      <tp>
        <v>64.900000000000006</v>
        <stp/>
        <stp>6642</stp>
        <stp>Price</stp>
        <tr r="X1198" s="57"/>
      </tp>
      <tp>
        <v>90.5</v>
        <stp/>
        <stp>6672</stp>
        <stp>Price</stp>
        <tr r="X47" s="114"/>
        <tr r="X1200" s="57"/>
      </tp>
      <tp>
        <v>75.599999999999994</v>
        <stp/>
        <stp>6612</stp>
        <stp>Price</stp>
        <tr r="X397" s="57"/>
      </tp>
      <tp>
        <v>53.2</v>
        <stp/>
        <stp>6752</stp>
        <stp>Price</stp>
        <tr r="X1301" s="57"/>
      </tp>
      <tp>
        <v>260</v>
        <stp/>
        <stp>6762</stp>
        <stp>Price</stp>
        <tr r="X407" s="57"/>
      </tp>
      <tp>
        <v>198.5</v>
        <stp/>
        <stp>6712</stp>
        <stp>Price</stp>
        <tr r="X404" s="57"/>
      </tp>
      <tp>
        <v>301.5</v>
        <stp/>
        <stp>6732</stp>
        <stp>Price</stp>
        <tr r="X36" s="114"/>
        <tr r="X676" s="57"/>
      </tp>
      <tp>
        <v>101.5</v>
        <stp/>
        <stp>6792</stp>
        <stp>Price</stp>
        <tr r="X1007" s="57"/>
      </tp>
      <tp>
        <v>36.4</v>
        <stp/>
        <stp>6442</stp>
        <stp>Price</stp>
        <tr r="X999" s="57"/>
      </tp>
      <tp>
        <v>114</v>
        <stp/>
        <stp>6462</stp>
        <stp>Price</stp>
        <tr r="X58" s="114"/>
        <tr r="X652" s="57"/>
      </tp>
      <tp>
        <v>160.5</v>
        <stp/>
        <stp>6472</stp>
        <stp>Price</stp>
        <tr r="X382" s="57"/>
      </tp>
      <tp>
        <v>68.400000000000006</v>
        <stp/>
        <stp>6412</stp>
        <stp>Price</stp>
        <tr r="X1193" s="57"/>
      </tp>
      <tp>
        <v>34.799999999999997</v>
        <stp/>
        <stp>6432</stp>
        <stp>Price</stp>
        <tr r="X1195" s="57"/>
      </tp>
      <tp>
        <v>42.45</v>
        <stp/>
        <stp>6482</stp>
        <stp>Price</stp>
        <tr r="X1796" s="57"/>
      </tp>
      <tp>
        <v>82.3</v>
        <stp/>
        <stp>6492</stp>
        <stp>Price</stp>
        <tr r="X384" s="57"/>
      </tp>
      <tp>
        <v>43</v>
        <stp/>
        <stp>6542</stp>
        <stp>Price</stp>
        <tr r="X1797" s="57"/>
      </tp>
      <tp>
        <v>44.85</v>
        <stp/>
        <stp>6552</stp>
        <stp>Price</stp>
        <tr r="X663" s="57"/>
      </tp>
      <tp>
        <v>17.850000000000001</v>
        <stp/>
        <stp>6512</stp>
        <stp>Price</stp>
        <tr r="X1758" s="57"/>
      </tp>
      <tp>
        <v>45.65</v>
        <stp/>
        <stp>6532</stp>
        <stp>Price</stp>
        <tr r="X660" s="57"/>
      </tp>
      <tp>
        <v>97.1</v>
        <stp/>
        <stp>6582</stp>
        <stp>Price</stp>
        <tr r="X491" s="57"/>
        <tr r="X78" s="114"/>
      </tp>
      <tp>
        <v>99.8</v>
        <stp/>
        <stp>6592</stp>
        <stp>Price</stp>
        <tr r="X1348" s="57"/>
      </tp>
      <tp>
        <v>48</v>
        <stp/>
        <stp>7402</stp>
        <stp>Price</stp>
        <tr r="X918" s="57"/>
      </tp>
      <tp>
        <v>37</v>
        <stp/>
        <stp>4142</stp>
        <stp>Price</stp>
        <tr r="X343" s="57"/>
      </tp>
      <tp>
        <v>79.5</v>
        <stp/>
        <stp>4162</stp>
        <stp>Price</stp>
        <tr r="X19" s="28"/>
        <tr r="X352" s="57"/>
      </tp>
      <tp>
        <v>20.7</v>
        <stp/>
        <stp>4102</stp>
        <stp>Price</stp>
        <tr r="X318" s="57"/>
      </tp>
      <tp>
        <v>34.4</v>
        <stp/>
        <stp>4192</stp>
        <stp>Price</stp>
        <tr r="X363" s="57"/>
      </tp>
      <tp>
        <v>15.35</v>
        <stp/>
        <stp>4702</stp>
        <stp>Price</stp>
        <tr r="X266" s="57"/>
      </tp>
      <tp>
        <v>40.049999999999997</v>
        <stp/>
        <stp>4722</stp>
        <stp>Price</stp>
        <tr r="X274" s="57"/>
      </tp>
      <tp>
        <v>8.06</v>
        <stp/>
        <stp>4402</stp>
        <stp>Price</stp>
        <tr r="X112" s="57"/>
      </tp>
      <tp>
        <v>14.2</v>
        <stp/>
        <stp>4432</stp>
        <stp>Price</stp>
        <tr r="X98" s="22"/>
        <tr r="X93" s="22"/>
        <tr r="X94" s="22"/>
        <tr r="X95" s="22"/>
        <tr r="X96" s="22"/>
        <tr r="X97" s="22"/>
        <tr r="X99" s="22"/>
        <tr r="X92" s="22"/>
        <tr r="X121" s="57"/>
        <tr r="X30" s="28"/>
      </tp>
      <tp>
        <v>27</v>
        <stp/>
        <stp>4542</stp>
        <stp>Price</stp>
        <tr r="X1123" s="57"/>
      </tp>
      <tp>
        <v>28.6</v>
        <stp/>
        <stp>4552</stp>
        <stp>Price</stp>
        <tr r="X194" s="57"/>
      </tp>
      <tp>
        <v>15.35</v>
        <stp/>
        <stp>4562</stp>
        <stp>Price</stp>
        <tr r="X199" s="57"/>
      </tp>
      <tp>
        <v>106.5</v>
        <stp/>
        <stp>4572</stp>
        <stp>Price</stp>
        <tr r="X205" s="57"/>
      </tp>
      <tp>
        <v>36.9</v>
        <stp/>
        <stp>4502</stp>
        <stp>Price</stp>
        <tr r="X175" s="57"/>
      </tp>
      <tp>
        <v>17.05</v>
        <stp/>
        <stp>4532</stp>
        <stp>Price</stp>
        <tr r="X185" s="57"/>
      </tp>
      <tp>
        <v>43.4</v>
        <stp/>
        <stp>4942</stp>
        <stp>Price</stp>
        <tr r="X85" s="114"/>
        <tr r="X871" s="57"/>
      </tp>
      <tp>
        <v>77.400000000000006</v>
        <stp/>
        <stp>4952</stp>
        <stp>Price</stp>
        <tr r="X603" s="57"/>
      </tp>
      <tp>
        <v>32.1</v>
        <stp/>
        <stp>4972</stp>
        <stp>Price</stp>
        <tr r="X875" s="57"/>
      </tp>
      <tp>
        <v>101</v>
        <stp/>
        <stp>4912</stp>
        <stp>Price</stp>
        <tr r="X1125" s="57"/>
      </tp>
      <tp>
        <v>32.700000000000003</v>
        <stp/>
        <stp>5272</stp>
        <stp>Price</stp>
        <tr r="X614" s="57"/>
      </tp>
      <tp>
        <v>18</v>
        <stp/>
        <stp>5202</stp>
        <stp>Price</stp>
        <tr r="X1277" s="57"/>
      </tp>
      <tp>
        <v>46.25</v>
        <stp/>
        <stp>5212</stp>
        <stp>Price</stp>
        <tr r="X1282" s="57"/>
      </tp>
      <tp>
        <v>121.5</v>
        <stp/>
        <stp>5222</stp>
        <stp>Price</stp>
        <tr r="X611" s="57"/>
      </tp>
      <tp>
        <v>10.199999999999999</v>
        <stp/>
        <stp>5302</stp>
        <stp>Price</stp>
        <tr r="X618" s="57"/>
      </tp>
      <tp>
        <v>62</v>
        <stp/>
        <stp>5312</stp>
        <stp>Price</stp>
        <tr r="X376" s="57"/>
      </tp>
      <tp>
        <v>20.95</v>
        <stp/>
        <stp>5392</stp>
        <stp>Price</stp>
        <tr r="X888" s="57"/>
      </tp>
      <tp>
        <v>24.65</v>
        <stp/>
        <stp>5102</stp>
        <stp>Price</stp>
        <tr r="X490" s="57"/>
      </tp>
      <tp>
        <v>16.5</v>
        <stp/>
        <stp>5452</stp>
        <stp>Price</stp>
        <tr r="X1741" s="57"/>
      </tp>
      <tp>
        <v>39.35</v>
        <stp/>
        <stp>5432</stp>
        <stp>Price</stp>
        <tr r="X889" s="57"/>
      </tp>
      <tp>
        <v>8.9</v>
        <stp/>
        <stp>5512</stp>
        <stp>Price</stp>
        <tr r="X1490" s="57"/>
      </tp>
      <tp>
        <v>64.3</v>
        <stp/>
        <stp>5522</stp>
        <stp>Price</stp>
        <tr r="X1824" s="57"/>
      </tp>
      <tp>
        <v>27.9</v>
        <stp/>
        <stp>5902</stp>
        <stp>Price</stp>
        <tr r="X1660" s="57"/>
      </tp>
      <tp>
        <v>14.4</v>
        <stp/>
        <stp>8222</stp>
        <stp>Price</stp>
        <tr r="X218" s="57"/>
      </tp>
      <tp>
        <v>52.6</v>
        <stp/>
        <stp>8342</stp>
        <stp>Price</stp>
        <tr r="X1367" s="57"/>
      </tp>
      <tp>
        <v>38.5</v>
        <stp/>
        <stp>8042</stp>
        <stp>Price</stp>
        <tr r="X1207" s="57"/>
      </tp>
      <tp>
        <v>23.5</v>
        <stp/>
        <stp>8072</stp>
        <stp>Price</stp>
        <tr r="X1260" s="57"/>
      </tp>
      <tp>
        <v>28.35</v>
        <stp/>
        <stp>8032</stp>
        <stp>Price</stp>
        <tr r="X1256" s="57"/>
      </tp>
      <tp>
        <v>10.050000000000001</v>
        <stp/>
        <stp>8092</stp>
        <stp>Price</stp>
        <tr r="X1771" s="57"/>
      </tp>
      <tp>
        <v>46.6</v>
        <stp/>
        <stp>8112</stp>
        <stp>Price</stp>
        <tr r="X1263" s="57"/>
      </tp>
      <tp>
        <v>41.95</v>
        <stp/>
        <stp>8182</stp>
        <stp>Price</stp>
        <tr r="X1220" s="57"/>
        <tr r="X60" s="114"/>
      </tp>
      <tp>
        <v>54</v>
        <stp/>
        <stp>8442</stp>
        <stp>Price</stp>
        <tr r="X1382" s="57"/>
      </tp>
      <tp>
        <v>111</v>
        <stp/>
        <stp>8462</stp>
        <stp>Price</stp>
        <tr r="X1588" s="57"/>
      </tp>
      <tp>
        <v>45</v>
        <stp/>
        <stp>8472</stp>
        <stp>Price</stp>
        <tr r="X1813" s="57"/>
      </tp>
      <tp>
        <v>193</v>
        <stp/>
        <stp>8422</stp>
        <stp>Price</stp>
        <tr r="X1375" s="57"/>
      </tp>
      <tp>
        <v>42.1</v>
        <stp/>
        <stp>8432</stp>
        <stp>Price</stp>
        <tr r="X413" s="57"/>
      </tp>
      <tp>
        <v>70.7</v>
        <stp/>
        <stp>8482</stp>
        <stp>Price</stp>
        <tr r="X1393" s="57"/>
      </tp>
      <tp>
        <v>65.8</v>
        <stp/>
        <stp>8942</stp>
        <stp>Price</stp>
        <tr r="X1409" s="57"/>
      </tp>
      <tp>
        <v>26.35</v>
        <stp/>
        <stp>8932</stp>
        <stp>Price</stp>
        <tr r="X1403" s="57"/>
      </tp>
      <tp>
        <v>145.5</v>
        <stp/>
        <stp>9802</stp>
        <stp>Price</stp>
        <tr r="X1410" s="57"/>
      </tp>
      <tp>
        <v>83.6</v>
        <stp/>
        <stp>9942</stp>
        <stp>Price</stp>
        <tr r="X1434" s="57"/>
      </tp>
      <tp>
        <v>17.399999999999999</v>
        <stp/>
        <stp>9962</stp>
        <stp>Price</stp>
        <tr r="X477" s="57"/>
      </tp>
      <tp>
        <v>11.3</v>
        <stp/>
        <stp>9902</stp>
        <stp>Price</stp>
        <tr r="X1411" s="57"/>
      </tp>
      <tp>
        <v>9</v>
        <stp/>
        <stp>9912</stp>
        <stp>Price</stp>
        <tr r="X806" s="57"/>
      </tp>
      <tp>
        <v>2</v>
        <stp/>
        <stp>$TWO22</stp>
        <stp>VolumeStrength</stp>
        <tr r="AN9" s="28"/>
      </tp>
      <tp>
        <v>22</v>
        <stp/>
        <stp>$TWO13</stp>
        <stp>VolumeStrength</stp>
        <tr r="AN8" s="28"/>
      </tp>
      <tp>
        <v>38</v>
        <stp/>
        <stp>$TWT22</stp>
        <stp>VolumeStrength</stp>
        <tr r="AN7" s="28"/>
      </tp>
      <tp>
        <v>-18</v>
        <stp/>
        <stp>$TWT13</stp>
        <stp>VolumeStrength</stp>
        <tr r="AN6" s="28"/>
      </tp>
      <tp>
        <v>-32</v>
        <stp/>
        <stp>$TWT17</stp>
        <stp>VolumeStrength</stp>
        <tr r="AN5" s="28"/>
      </tp>
      <tp>
        <v>-18</v>
        <stp/>
        <stp>$TWTNB</stp>
        <stp>VolumeStrength</stp>
        <tr r="AN4" s="28"/>
      </tp>
      <tp>
        <v>15.7</v>
        <stp/>
        <stp>2243</stp>
        <stp>Price</stp>
        <tr r="X517" s="57"/>
      </tp>
      <tp>
        <v>103</v>
        <stp/>
        <stp>2233</stp>
        <stp>Price</stp>
        <tr r="X514" s="57"/>
      </tp>
      <tp>
        <v>28.05</v>
        <stp/>
        <stp>2353</stp>
        <stp>Price</stp>
        <tr r="X705" s="57"/>
      </tp>
      <tp>
        <v>22.55</v>
        <stp/>
        <stp>2363</stp>
        <stp>Price</stp>
        <tr r="X538" s="57"/>
      </tp>
      <tp>
        <v>87.5</v>
        <stp/>
        <stp>2373</stp>
        <stp>Price</stp>
        <tr r="X1697" s="57"/>
      </tp>
      <tp>
        <v>48.65</v>
        <stp/>
        <stp>2303</stp>
        <stp>Price</stp>
        <tr r="X4" s="118"/>
        <tr r="X530" s="57"/>
      </tp>
      <tp>
        <v>42.35</v>
        <stp/>
        <stp>2313</stp>
        <stp>Price</stp>
        <tr r="X1026" s="57"/>
      </tp>
      <tp>
        <v>8.9</v>
        <stp/>
        <stp>2323</stp>
        <stp>Price</stp>
        <tr r="X809" s="57"/>
      </tp>
      <tp>
        <v>210.5</v>
        <stp/>
        <stp>2383</stp>
        <stp>Price</stp>
        <tr r="X71" s="114"/>
        <tr r="X1034" s="57"/>
      </tp>
      <tp>
        <v>42.15</v>
        <stp/>
        <stp>2393</stp>
        <stp>Price</stp>
        <tr r="X813" s="57"/>
        <tr r="X32" s="114"/>
      </tp>
      <tp>
        <v>35.200000000000003</v>
        <stp/>
        <stp>2063</stp>
        <stp>Price</stp>
        <tr r="X458" s="57"/>
      </tp>
      <tp>
        <v>52.5</v>
        <stp/>
        <stp>2013</stp>
        <stp>Price</stp>
        <tr r="X439" s="57"/>
      </tp>
      <tp>
        <v>19.55</v>
        <stp/>
        <stp>2023</stp>
        <stp>Price</stp>
        <tr r="X445" s="57"/>
      </tp>
      <tp>
        <v>19.55</v>
        <stp/>
        <stp>2033</stp>
        <stp>Price</stp>
        <tr r="X454" s="57"/>
      </tp>
      <tp>
        <v>29</v>
        <stp/>
        <stp>2103</stp>
        <stp>Price</stp>
        <tr r="X482" s="57"/>
      </tp>
      <tp>
        <v>73.099999999999994</v>
        <stp/>
        <stp>2643</stp>
        <stp>Price</stp>
        <tr r="X1537" s="57"/>
      </tp>
      <tp>
        <v>144.5</v>
        <stp/>
        <stp>2603</stp>
        <stp>Price</stp>
        <tr r="X22" s="118"/>
        <tr r="X44" s="114"/>
        <tr r="X1517" s="57"/>
      </tp>
      <tp>
        <v>36.950000000000003</v>
        <stp/>
        <stp>2613</stp>
        <stp>Price</stp>
        <tr r="X1526" s="57"/>
      </tp>
      <tp>
        <v>26.95</v>
        <stp/>
        <stp>2633</stp>
        <stp>Price</stp>
        <tr r="X1531" s="57"/>
      </tp>
      <tp>
        <v>67.8</v>
        <stp/>
        <stp>2743</stp>
        <stp>Price</stp>
        <tr r="X1570" s="57"/>
      </tp>
      <tp>
        <v>137</v>
        <stp/>
        <stp>2753</stp>
        <stp>Price</stp>
        <tr r="X1574" s="57"/>
      </tp>
      <tp>
        <v>89.9</v>
        <stp/>
        <stp>2723</stp>
        <stp>Price</stp>
        <tr r="X1559" s="57"/>
      </tp>
      <tp>
        <v>3.46</v>
        <stp/>
        <stp>2443</stp>
        <stp>Price</stp>
        <tr r="X1318" s="57"/>
      </tp>
      <tp>
        <v>26.65</v>
        <stp/>
        <stp>2453</stp>
        <stp>Price</stp>
        <tr r="X1267" s="57"/>
      </tp>
      <tp>
        <v>18.95</v>
        <stp/>
        <stp>2413</stp>
        <stp>Price</stp>
        <tr r="X1038" s="57"/>
      </tp>
      <tp>
        <v>27.9</v>
        <stp/>
        <stp>2423</stp>
        <stp>Price</stp>
        <tr r="X1700" s="57"/>
      </tp>
      <tp>
        <v>51</v>
        <stp/>
        <stp>2433</stp>
        <stp>Price</stp>
        <tr r="X1701" s="57"/>
      </tp>
      <tp>
        <v>23</v>
        <stp/>
        <stp>2483</stp>
        <stp>Price</stp>
        <tr r="X1053" s="57"/>
      </tp>
      <tp>
        <v>40.25</v>
        <stp/>
        <stp>2493</stp>
        <stp>Price</stp>
        <tr r="X1056" s="57"/>
      </tp>
      <tp>
        <v>8.01</v>
        <stp/>
        <stp>2543</stp>
        <stp>Price</stp>
        <tr r="X1466" s="57"/>
      </tp>
      <tp>
        <v>16.399999999999999</v>
        <stp/>
        <stp>2883</stp>
        <stp>Price</stp>
        <tr r="X1612" s="57"/>
      </tp>
      <tp>
        <v>20.399999999999999</v>
        <stp/>
        <stp>2903</stp>
        <stp>Price</stp>
        <tr r="X1642" s="57"/>
      </tp>
      <tp>
        <v>18.149999999999999</v>
        <stp/>
        <stp>2913</stp>
        <stp>Price</stp>
        <tr r="X1649" s="57"/>
      </tp>
      <tp>
        <v>24.35</v>
        <stp/>
        <stp>2923</stp>
        <stp>Price</stp>
        <tr r="X1474" s="57"/>
      </tp>
      <tp>
        <v>50.1</v>
        <stp/>
        <stp>3213</stp>
        <stp>Price</stp>
        <tr r="X31" s="114"/>
        <tr r="X736" s="57"/>
      </tp>
      <tp>
        <v>718</v>
        <stp/>
        <stp>3293</stp>
        <stp>Price</stp>
        <tr r="X1783" s="57"/>
      </tp>
      <tp>
        <v>25.7</v>
        <stp/>
        <stp>3363</stp>
        <stp>Price</stp>
        <tr r="X956" s="57"/>
      </tp>
      <tp>
        <v>28.5</v>
        <stp/>
        <stp>3373</stp>
        <stp>Price</stp>
        <tr r="X1720" s="57"/>
      </tp>
      <tp>
        <v>26.65</v>
        <stp/>
        <stp>3303</stp>
        <stp>Price</stp>
        <tr r="X1717" s="57"/>
      </tp>
      <tp>
        <v>13.35</v>
        <stp/>
        <stp>3313</stp>
        <stp>Price</stp>
        <tr r="X1087" s="57"/>
      </tp>
      <tp>
        <v>34.85</v>
        <stp/>
        <stp>3323</stp>
        <stp>Price</stp>
        <tr r="X740" s="57"/>
      </tp>
      <tp>
        <v>6.46</v>
        <stp/>
        <stp>3383</stp>
        <stp>Price</stp>
        <tr r="X839" s="57"/>
      </tp>
      <tp>
        <v>4.25</v>
        <stp/>
        <stp>3043</stp>
        <stp>Price</stp>
        <tr r="X1711" s="57"/>
      </tp>
      <tp>
        <v>23.3</v>
        <stp/>
        <stp>3073</stp>
        <stp>Price</stp>
        <tr r="X559" s="57"/>
      </tp>
      <tp>
        <v>69.599999999999994</v>
        <stp/>
        <stp>3003</stp>
        <stp>Price</stp>
        <tr r="X1057" s="57"/>
      </tp>
      <tp>
        <v>13.4</v>
        <stp/>
        <stp>3013</stp>
        <stp>Price</stp>
        <tr r="X727" s="57"/>
      </tp>
      <tp>
        <v>248</v>
        <stp/>
        <stp>3023</stp>
        <stp>Price</stp>
        <tr r="X1061" s="57"/>
      </tp>
      <tp>
        <v>29.95</v>
        <stp/>
        <stp>3033</stp>
        <stp>Price</stp>
        <tr r="X1234" s="57"/>
      </tp>
      <tp>
        <v>45.85</v>
        <stp/>
        <stp>3083</stp>
        <stp>Price</stp>
        <tr r="X1781" s="57"/>
      </tp>
      <tp>
        <v>97.1</v>
        <stp/>
        <stp>3093</stp>
        <stp>Price</stp>
        <tr r="X1713" s="57"/>
      </tp>
      <tp>
        <v>47.95</v>
        <stp/>
        <stp>3163</stp>
        <stp>Price</stp>
        <tr r="X951" s="57"/>
      </tp>
      <tp>
        <v>374.5</v>
        <stp/>
        <stp>3653</stp>
        <stp>Price</stp>
        <tr r="X1119" s="57"/>
      </tp>
      <tp>
        <v>25.4</v>
        <stp/>
        <stp>3663</stp>
        <stp>Price</stp>
        <tr r="X1734" s="57"/>
      </tp>
      <tp>
        <v>31.75</v>
        <stp/>
        <stp>3673</stp>
        <stp>Price</stp>
        <tr r="X862" s="57"/>
      </tp>
      <tp>
        <v>18.05</v>
        <stp/>
        <stp>3623</stp>
        <stp>Price</stp>
        <tr r="X858" s="57"/>
      </tp>
      <tp>
        <v>48.4</v>
        <stp/>
        <stp>3693</stp>
        <stp>Price</stp>
        <tr r="X755" s="57"/>
      </tp>
      <tp>
        <v>29.35</v>
        <stp/>
        <stp>3703</stp>
        <stp>Price</stp>
        <tr r="X1480" s="57"/>
      </tp>
      <tp>
        <v>32.5</v>
        <stp/>
        <stp>3713</stp>
        <stp>Price</stp>
        <tr r="X87" s="22"/>
        <tr r="X33" s="28"/>
        <tr r="X86" s="22"/>
        <tr r="X865" s="57"/>
      </tp>
      <tp>
        <v>499</v>
        <stp/>
        <stp>3443</stp>
        <stp>Price</stp>
        <tr r="X580" s="57"/>
      </tp>
      <tp>
        <v>212</v>
        <stp/>
        <stp>3413</stp>
        <stp>Price</stp>
        <tr r="X578" s="57"/>
      </tp>
      <tp>
        <v>70.8</v>
        <stp/>
        <stp>3483</stp>
        <stp>Price</stp>
        <tr r="X745" s="57"/>
      </tp>
      <tp>
        <v>22.65</v>
        <stp/>
        <stp>3543</stp>
        <stp>Price</stp>
        <tr r="X852" s="57"/>
      </tp>
      <tp>
        <v>177</v>
        <stp/>
        <stp>3563</stp>
        <stp>Price</stp>
        <tr r="X75" s="114"/>
        <tr r="X853" s="57"/>
      </tp>
      <tp>
        <v>751</v>
        <stp/>
        <stp>3533</stp>
        <stp>Price</stp>
        <tr r="X1106" s="57"/>
      </tp>
      <tp>
        <v>80.900000000000006</v>
        <stp/>
        <stp>3583</stp>
        <stp>Price</stp>
        <tr r="X591" s="57"/>
      </tp>
      <tp>
        <v>14.85</v>
        <stp/>
        <stp>3593</stp>
        <stp>Price</stp>
        <tr r="X1110" s="57"/>
      </tp>
      <tp>
        <v>32.6</v>
        <stp/>
        <stp>1203</stp>
        <stp>Price</stp>
        <tr r="X14" s="57"/>
      </tp>
      <tp t="s">
        <v>無資料</v>
        <stp/>
        <stp>1213</stp>
        <stp>Price</stp>
        <tr r="X16" s="57"/>
      </tp>
      <tp>
        <v>32.549999999999997</v>
        <stp/>
        <stp>1233</stp>
        <stp>Price</stp>
        <tr r="X28" s="57"/>
      </tp>
      <tp>
        <v>84.4</v>
        <stp/>
        <stp>1303</stp>
        <stp>Price</stp>
        <tr r="X43" s="57"/>
        <tr r="X10" s="118"/>
      </tp>
      <tp>
        <v>15.7</v>
        <stp/>
        <stp>1313</stp>
        <stp>Price</stp>
        <tr r="X51" s="57"/>
      </tp>
      <tp>
        <v>34.85</v>
        <stp/>
        <stp>1323</stp>
        <stp>Price</stp>
        <tr r="X55" s="57"/>
      </tp>
      <tp>
        <v>18.55</v>
        <stp/>
        <stp>1103</stp>
        <stp>Price</stp>
        <tr r="X6" s="57"/>
      </tp>
      <tp>
        <v>30.55</v>
        <stp/>
        <stp>1603</stp>
        <stp>Price</stp>
        <tr r="X225" s="57"/>
      </tp>
      <tp>
        <v>194.5</v>
        <stp/>
        <stp>1773</stp>
        <stp>Price</stp>
        <tr r="X263" s="57"/>
      </tp>
      <tp>
        <v>23.35</v>
        <stp/>
        <stp>1713</stp>
        <stp>Price</stp>
        <tr r="X249" s="57"/>
      </tp>
      <tp>
        <v>122</v>
        <stp/>
        <stp>1723</stp>
        <stp>Price</stp>
        <tr r="X255" s="57"/>
      </tp>
      <tp>
        <v>26.55</v>
        <stp/>
        <stp>1733</stp>
        <stp>Price</stp>
        <tr r="X296" s="57"/>
      </tp>
      <tp>
        <v>36</v>
        <stp/>
        <stp>1783</stp>
        <stp>Price</stp>
        <tr r="X304" s="57"/>
      </tp>
      <tp>
        <v>16.2</v>
        <stp/>
        <stp>1443</stp>
        <stp>Price</stp>
        <tr r="X83" s="57"/>
      </tp>
      <tp>
        <v>22.1</v>
        <stp/>
        <stp>1453</stp>
        <stp>Price</stp>
        <tr r="X91" s="57"/>
      </tp>
      <tp>
        <v>13.4</v>
        <stp/>
        <stp>1463</stp>
        <stp>Price</stp>
        <tr r="X98" s="57"/>
      </tp>
      <tp>
        <v>18.899999999999999</v>
        <stp/>
        <stp>1473</stp>
        <stp>Price</stp>
        <tr r="X106" s="57"/>
      </tp>
      <tp>
        <v>10</v>
        <stp/>
        <stp>1413</stp>
        <stp>Price</stp>
        <tr r="X73" s="57"/>
      </tp>
      <tp>
        <v>19.399999999999999</v>
        <stp/>
        <stp>1423</stp>
        <stp>Price</stp>
        <tr r="X78" s="57"/>
      </tp>
      <tp>
        <v>54.7</v>
        <stp/>
        <stp>1503</stp>
        <stp>Price</stp>
        <tr r="X128" s="57"/>
      </tp>
      <tp>
        <v>48.05</v>
        <stp/>
        <stp>1513</stp>
        <stp>Price</stp>
        <tr r="X132" s="57"/>
      </tp>
      <tp>
        <v>57.2</v>
        <stp/>
        <stp>1533</stp>
        <stp>Price</stp>
        <tr r="X502" s="57"/>
      </tp>
      <tp t="s">
        <v>無資料</v>
        <stp/>
        <stp>1583</stp>
        <stp>Price</stp>
        <tr r="X154" s="57"/>
      </tp>
      <tp>
        <v>65.5</v>
        <stp/>
        <stp>1593</stp>
        <stp>Price</stp>
        <tr r="X290" s="57"/>
      </tp>
      <tp>
        <v>19.05</v>
        <stp/>
        <stp>1813</stp>
        <stp>Price</stp>
        <tr r="X311" s="57"/>
      </tp>
      <tp>
        <v>55.1</v>
        <stp/>
        <stp>1903</stp>
        <stp>Price</stp>
        <tr r="X424" s="57"/>
      </tp>
      <tp>
        <v>39.25</v>
        <stp/>
        <stp>6243</stp>
        <stp>Price</stp>
        <tr r="X641" s="57"/>
      </tp>
      <tp>
        <v>75.5</v>
        <stp/>
        <stp>6263</stp>
        <stp>Price</stp>
        <tr r="X994" s="57"/>
      </tp>
      <tp>
        <v>52.1</v>
        <stp/>
        <stp>6203</stp>
        <stp>Price</stp>
        <tr r="X1173" s="57"/>
      </tp>
      <tp>
        <v>100</v>
        <stp/>
        <stp>6213</stp>
        <stp>Price</stp>
        <tr r="X81" s="114"/>
        <tr r="X1179" s="57"/>
      </tp>
      <tp>
        <v>93.5</v>
        <stp/>
        <stp>6223</stp>
        <stp>Price</stp>
        <tr r="X636" s="57"/>
      </tp>
      <tp>
        <v>22.3</v>
        <stp/>
        <stp>6233</stp>
        <stp>Price</stp>
        <tr r="X638" s="57"/>
      </tp>
      <tp>
        <v>30</v>
        <stp/>
        <stp>6283</stp>
        <stp>Price</stp>
        <tr r="X1755" s="57"/>
      </tp>
      <tp>
        <v>48.5</v>
        <stp/>
        <stp>6023</stp>
        <stp>Price</stp>
        <tr r="X1633" s="57"/>
      </tp>
      <tp>
        <v>49.55</v>
        <stp/>
        <stp>6143</stp>
        <stp>Price</stp>
        <tr r="X985" s="57"/>
      </tp>
      <tp>
        <v>19.899999999999999</v>
        <stp/>
        <stp>6153</stp>
        <stp>Price</stp>
        <tr r="X1161" s="57"/>
      </tp>
      <tp>
        <v>16</v>
        <stp/>
        <stp>6163</stp>
        <stp>Price</stp>
        <tr r="X987" s="57"/>
      </tp>
      <tp>
        <v>47.5</v>
        <stp/>
        <stp>6173</stp>
        <stp>Price</stp>
        <tr r="X1166" s="57"/>
      </tp>
      <tp t="s">
        <v>無資料</v>
        <stp/>
        <stp>6103</stp>
        <stp>Price</stp>
        <tr r="X628" s="57"/>
      </tp>
      <tp>
        <v>18.95</v>
        <stp/>
        <stp>6113</stp>
        <stp>Price</stp>
        <tr r="X1247" s="57"/>
      </tp>
      <tp>
        <v>53.6</v>
        <stp/>
        <stp>6123</stp>
        <stp>Price</stp>
        <tr r="X778" s="57"/>
      </tp>
      <tp>
        <v>8.49</v>
        <stp/>
        <stp>6133</stp>
        <stp>Price</stp>
        <tr r="X1158" s="57"/>
      </tp>
      <tp>
        <v>53.6</v>
        <stp/>
        <stp>6183</stp>
        <stp>Price</stp>
        <tr r="X1289" s="57"/>
      </tp>
      <tp>
        <v>278</v>
        <stp/>
        <stp>6643</stp>
        <stp>Price</stp>
        <tr r="X48" s="114"/>
        <tr r="X668" s="57"/>
      </tp>
      <tp>
        <v>17.5</v>
        <stp/>
        <stp>6603</stp>
        <stp>Price</stp>
        <tr r="X212" s="57"/>
      </tp>
      <tp>
        <v>165</v>
        <stp/>
        <stp>6613</stp>
        <stp>Price</stp>
        <tr r="X1760" s="57"/>
      </tp>
      <tp>
        <v>220</v>
        <stp/>
        <stp>6683</stp>
        <stp>Price</stp>
        <tr r="X671" s="57"/>
      </tp>
      <tp>
        <v>79</v>
        <stp/>
        <stp>6693</stp>
        <stp>Price</stp>
        <tr r="X673" s="57"/>
      </tp>
      <tp>
        <v>41.55</v>
        <stp/>
        <stp>6743</stp>
        <stp>Price</stp>
        <tr r="X1766" s="57"/>
      </tp>
      <tp>
        <v>503</v>
        <stp/>
        <stp>6763</stp>
        <stp>Price</stp>
        <tr r="X1811" s="57"/>
      </tp>
      <tp>
        <v>101</v>
        <stp/>
        <stp>6703</stp>
        <stp>Price</stp>
        <tr r="X403" s="57"/>
      </tp>
      <tp>
        <v>24.85</v>
        <stp/>
        <stp>6733</stp>
        <stp>Price</stp>
        <tr r="X405" s="57"/>
      </tp>
      <tp>
        <v>37</v>
        <stp/>
        <stp>6443</stp>
        <stp>Price</stp>
        <tr r="X911" s="57"/>
      </tp>
      <tp>
        <v>15.9</v>
        <stp/>
        <stp>6573</stp>
        <stp>Price</stp>
        <tr r="X665" s="57"/>
      </tp>
      <tp>
        <v>76.099999999999994</v>
        <stp/>
        <stp>6523</stp>
        <stp>Price</stp>
        <tr r="X17" s="28"/>
        <tr r="X19" s="22"/>
        <tr r="X20" s="22"/>
        <tr r="X21" s="22"/>
        <tr r="X22" s="22"/>
        <tr r="X387" s="57"/>
      </tp>
      <tp>
        <v>329</v>
        <stp/>
        <stp>6533</stp>
        <stp>Price</stp>
        <tr r="X661" s="57"/>
      </tp>
      <tp>
        <v>34.799999999999997</v>
        <stp/>
        <stp>6593</stp>
        <stp>Price</stp>
        <tr r="X1296" s="57"/>
        <tr r="X1297" s="57"/>
      </tp>
      <tp>
        <v>241</v>
        <stp/>
        <stp>6803</stp>
        <stp>Price</stp>
        <tr r="X1361" s="57"/>
      </tp>
      <tp>
        <v>27.1</v>
        <stp/>
        <stp>4303</stp>
        <stp>Price</stp>
        <tr r="X62" s="57"/>
      </tp>
      <tp>
        <v>28.65</v>
        <stp/>
        <stp>4153</stp>
        <stp>Price</stp>
        <tr r="X346" s="57"/>
      </tp>
      <tp>
        <v>81.8</v>
        <stp/>
        <stp>4163</stp>
        <stp>Price</stp>
        <tr r="X24" s="28"/>
        <tr r="X353" s="57"/>
        <tr r="X47" s="22"/>
        <tr r="X48" s="22"/>
      </tp>
      <tp>
        <v>17.5</v>
        <stp/>
        <stp>4173</stp>
        <stp>Price</stp>
        <tr r="X357" s="57"/>
      </tp>
      <tp>
        <v>13.25</v>
        <stp/>
        <stp>4113</stp>
        <stp>Price</stp>
        <tr r="X1481" s="57"/>
      </tp>
      <tp>
        <v>59.9</v>
        <stp/>
        <stp>4123</stp>
        <stp>Price</stp>
        <tr r="X331" s="57"/>
      </tp>
      <tp>
        <v>48.8</v>
        <stp/>
        <stp>4133</stp>
        <stp>Price</stp>
        <tr r="X338" s="57"/>
      </tp>
      <tp>
        <v>19.5</v>
        <stp/>
        <stp>4183</stp>
        <stp>Price</stp>
        <tr r="X360" s="57"/>
      </tp>
      <tp>
        <v>187</v>
        <stp/>
        <stp>4743</stp>
        <stp>Price</stp>
        <tr r="X40" s="118"/>
        <tr r="X370" s="57"/>
      </tp>
      <tp>
        <v>98.7</v>
        <stp/>
        <stp>4763</stp>
        <stp>Price</stp>
        <tr r="X279" s="57"/>
      </tp>
      <tp>
        <v>14.35</v>
        <stp/>
        <stp>4413</stp>
        <stp>Price</stp>
        <tr r="X114" s="57"/>
      </tp>
      <tp>
        <v>29.5</v>
        <stp/>
        <stp>4433</stp>
        <stp>Price</stp>
        <tr r="X122" s="57"/>
      </tp>
      <tp>
        <v>17.45</v>
        <stp/>
        <stp>4543</stp>
        <stp>Price</stp>
        <tr r="X191" s="57"/>
      </tp>
      <tp>
        <v>33.799999999999997</v>
        <stp/>
        <stp>4563</stp>
        <stp>Price</stp>
        <tr r="X200" s="57"/>
      </tp>
      <tp>
        <v>24</v>
        <stp/>
        <stp>4503</stp>
        <stp>Price</stp>
        <tr r="X176" s="57"/>
      </tp>
      <tp>
        <v>18.2</v>
        <stp/>
        <stp>4513</stp>
        <stp>Price</stp>
        <tr r="X179" s="57"/>
      </tp>
      <tp>
        <v>26.05</v>
        <stp/>
        <stp>4523</stp>
        <stp>Price</stp>
        <tr r="X180" s="57"/>
      </tp>
      <tp>
        <v>11.4</v>
        <stp/>
        <stp>4533</stp>
        <stp>Price</stp>
        <tr r="X186" s="57"/>
      </tp>
      <tp>
        <v>208</v>
        <stp/>
        <stp>4583</stp>
        <stp>Price</stp>
        <tr r="X208" s="57"/>
        <tr r="X64" s="28"/>
      </tp>
      <tp>
        <v>19.5</v>
        <stp/>
        <stp>4943</stp>
        <stp>Price</stp>
        <tr r="X1129" s="57"/>
      </tp>
      <tp>
        <v>83.5</v>
        <stp/>
        <stp>4953</stp>
        <stp>Price</stp>
        <tr r="X1274" s="57"/>
      </tp>
      <tp>
        <v>21.1</v>
        <stp/>
        <stp>4973</stp>
        <stp>Price</stp>
        <tr r="X609" s="57"/>
      </tp>
      <tp>
        <v>10.35</v>
        <stp/>
        <stp>4903</stp>
        <stp>Price</stp>
        <tr r="X972" s="57"/>
      </tp>
      <tp>
        <v>72.3</v>
        <stp/>
        <stp>4923</stp>
        <stp>Price</stp>
        <tr r="X601" s="57"/>
      </tp>
      <tp>
        <v>38.65</v>
        <stp/>
        <stp>4933</stp>
        <stp>Price</stp>
        <tr r="X868" s="57"/>
      </tp>
      <tp>
        <v>57.9</v>
        <stp/>
        <stp>5243</stp>
        <stp>Price</stp>
        <tr r="X881" s="57"/>
      </tp>
      <tp>
        <v>110</v>
        <stp/>
        <stp>5263</stp>
        <stp>Price</stp>
        <tr r="X1788" s="57"/>
      </tp>
      <tp>
        <v>83.7</v>
        <stp/>
        <stp>5203</stp>
        <stp>Price</stp>
        <tr r="X1278" s="57"/>
      </tp>
      <tp>
        <v>23.65</v>
        <stp/>
        <stp>5213</stp>
        <stp>Price</stp>
        <tr r="X1485" s="57"/>
      </tp>
      <tp>
        <v>47.4</v>
        <stp/>
        <stp>5223</stp>
        <stp>Price</stp>
        <tr r="X26" s="28"/>
        <tr r="X59" s="22"/>
        <tr r="X57" s="22"/>
        <tr r="X58" s="22"/>
        <tr r="X56" s="22"/>
        <tr r="X766" s="57"/>
      </tp>
      <tp>
        <v>115.5</v>
        <stp/>
        <stp>5283</stp>
        <stp>Price</stp>
        <tr r="X241" s="57"/>
      </tp>
      <tp>
        <v>19.3</v>
        <stp/>
        <stp>5353</stp>
        <stp>Price</stp>
        <tr r="X980" s="57"/>
      </tp>
      <tp>
        <v>31.25</v>
        <stp/>
        <stp>5383</stp>
        <stp>Price</stp>
        <tr r="X1740" s="57"/>
      </tp>
      <tp>
        <v>34.950000000000003</v>
        <stp/>
        <stp>5013</stp>
        <stp>Price</stp>
        <tr r="X467" s="57"/>
      </tp>
      <tp>
        <v>47.9</v>
        <stp/>
        <stp>5603</stp>
        <stp>Price</stp>
        <tr r="X1539" s="57"/>
      </tp>
      <tp t="s">
        <v>無資料</v>
        <stp/>
        <stp>5703</stp>
        <stp>Price</stp>
        <tr r="X1584" s="57"/>
      </tp>
      <tp>
        <v>28.5</v>
        <stp/>
        <stp>5443</stp>
        <stp>Price</stp>
        <tr r="X890" s="57"/>
      </tp>
      <tp>
        <v>70.7</v>
        <stp/>
        <stp>5403</stp>
        <stp>Price</stp>
        <tr r="X1284" s="57"/>
      </tp>
      <tp>
        <v>155</v>
        <stp/>
        <stp>5483</stp>
        <stp>Price</stp>
        <tr r="X37" s="118"/>
        <tr r="X626" s="57"/>
      </tp>
      <tp>
        <v>50.3</v>
        <stp/>
        <stp>5493</stp>
        <stp>Price</stp>
        <tr r="X1743" s="57"/>
      </tp>
      <tp>
        <v>60</v>
        <stp/>
        <stp>5543</stp>
        <stp>Price</stp>
        <tr r="X1503" s="57"/>
      </tp>
      <tp>
        <v>25.15</v>
        <stp/>
        <stp>5523</stp>
        <stp>Price</stp>
        <tr r="X1497" s="57"/>
      </tp>
      <tp>
        <v>18.899999999999999</v>
        <stp/>
        <stp>5533</stp>
        <stp>Price</stp>
        <tr r="X1501" s="57"/>
      </tp>
      <tp>
        <v>190.5</v>
        <stp/>
        <stp>5903</stp>
        <stp>Price</stp>
        <tr r="X1661" s="57"/>
      </tp>
      <tp>
        <v>50.8</v>
        <stp/>
        <stp>8213</stp>
        <stp>Price</stp>
        <tr r="X1221" s="57"/>
      </tp>
      <tp>
        <v>39.85</v>
        <stp/>
        <stp>8383</stp>
        <stp>Price</stp>
        <tr r="X1774" s="57"/>
      </tp>
      <tp>
        <v>23.9</v>
        <stp/>
        <stp>8043</stp>
        <stp>Price</stp>
        <tr r="X1208" s="57"/>
      </tp>
      <tp>
        <v>18</v>
        <stp/>
        <stp>8033</stp>
        <stp>Price</stp>
        <tr r="X1365" s="57"/>
      </tp>
      <tp>
        <v>174</v>
        <stp/>
        <stp>8083</stp>
        <stp>Price</stp>
        <tr r="X216" s="57"/>
      </tp>
      <tp>
        <v>7.7</v>
        <stp/>
        <stp>8093</stp>
        <stp>Price</stp>
        <tr r="X1214" s="57"/>
      </tp>
      <tp>
        <v>42.5</v>
        <stp/>
        <stp>8163</stp>
        <stp>Price</stp>
        <tr r="X802" s="57"/>
      </tp>
      <tp>
        <v>38.700000000000003</v>
        <stp/>
        <stp>8103</stp>
        <stp>Price</stp>
        <tr r="X1215" s="57"/>
      </tp>
      <tp>
        <v>55</v>
        <stp/>
        <stp>8183</stp>
        <stp>Price</stp>
        <tr r="X1772" s="57"/>
      </tp>
      <tp>
        <v>11.4</v>
        <stp/>
        <stp>8443</stp>
        <stp>Price</stp>
        <tr r="X1671" s="57"/>
      </tp>
      <tp>
        <v>31.6</v>
        <stp/>
        <stp>8463</stp>
        <stp>Price</stp>
        <tr r="X1384" s="57"/>
      </tp>
      <tp>
        <v>30.1</v>
        <stp/>
        <stp>8473</stp>
        <stp>Price</stp>
        <tr r="X1388" s="57"/>
      </tp>
      <tp>
        <v>28.6</v>
        <stp/>
        <stp>8403</stp>
        <stp>Price</stp>
        <tr r="X410" s="57"/>
      </tp>
      <tp>
        <v>18.3</v>
        <stp/>
        <stp>8423</stp>
        <stp>Price</stp>
        <tr r="X1376" s="57"/>
      </tp>
      <tp>
        <v>48.55</v>
        <stp/>
        <stp>8433</stp>
        <stp>Price</stp>
        <tr r="X1670" s="57"/>
      </tp>
      <tp>
        <v>21.45</v>
        <stp/>
        <stp>8923</stp>
        <stp>Price</stp>
        <tr r="X1802" s="57"/>
      </tp>
      <tp>
        <v>12</v>
        <stp/>
        <stp>8933</stp>
        <stp>Price</stp>
        <tr r="X1404" s="57"/>
      </tp>
      <tp>
        <v>54.1</v>
        <stp/>
        <stp>9943</stp>
        <stp>Price</stp>
        <tr r="X1590" s="57"/>
      </tp>
      <tp>
        <v>47.6</v>
        <stp/>
        <stp>9933</stp>
        <stp>Price</stp>
        <tr r="X1427" s="57"/>
      </tp>
      <tp>
        <v>13493.44</v>
        <stp/>
        <stp>$TWMC</stp>
        <stp>Price</stp>
        <tr r="T3" s="85"/>
      </tp>
      <tp>
        <v>88.1</v>
        <stp/>
        <stp>2250</stp>
        <stp>Price</stp>
        <tr r="X519" s="57"/>
      </tp>
      <tp>
        <v>17.100000000000001</v>
        <stp/>
        <stp>2230</stp>
        <stp>Price</stp>
        <tr r="X165" s="57"/>
      </tp>
      <tp>
        <v>40.85</v>
        <stp/>
        <stp>2340</stp>
        <stp>Price</stp>
        <tr r="X810" s="57"/>
      </tp>
      <tp>
        <v>152</v>
        <stp/>
        <stp>2360</stp>
        <stp>Price</stp>
        <tr r="X1696" s="57"/>
        <tr r="X62" s="114"/>
      </tp>
      <tp>
        <v>521</v>
        <stp/>
        <stp>2330</stp>
        <stp>Price</stp>
        <tr r="X532" s="57"/>
        <tr r="X1" s="118"/>
      </tp>
      <tp>
        <v>9.92</v>
        <stp/>
        <stp>2380</stp>
        <stp>Price</stp>
        <tr r="X713" s="57"/>
      </tp>
      <tp>
        <v>19.05</v>
        <stp/>
        <stp>2390</stp>
        <stp>Price</stp>
        <tr r="X1698" s="57"/>
      </tp>
      <tp>
        <v>32.950000000000003</v>
        <stp/>
        <stp>2070</stp>
        <stp>Price</stp>
        <tr r="X164" s="57"/>
      </tp>
      <tp>
        <v>19</v>
        <stp/>
        <stp>2010</stp>
        <stp>Price</stp>
        <tr r="X437" s="57"/>
      </tp>
      <tp>
        <v>30.9</v>
        <stp/>
        <stp>2020</stp>
        <stp>Price</stp>
        <tr r="X443" s="57"/>
      </tp>
      <tp>
        <v>29.6</v>
        <stp/>
        <stp>2030</stp>
        <stp>Price</stp>
        <tr r="X451" s="57"/>
      </tp>
      <tp t="s">
        <v>無資料</v>
        <stp/>
        <stp>2640</stp>
        <stp>Price</stp>
        <tr r="X1321" s="57"/>
      </tp>
      <tp>
        <v>27.1</v>
        <stp/>
        <stp>2610</stp>
        <stp>Price</stp>
        <tr r="X1523" s="57"/>
      </tp>
      <tp>
        <v>17.899999999999999</v>
        <stp/>
        <stp>2630</stp>
        <stp>Price</stp>
        <tr r="X1530" s="57"/>
      </tp>
      <tp t="s">
        <v>無資料</v>
        <stp/>
        <stp>2740</stp>
        <stp>Price</stp>
        <tr r="X1569" s="57"/>
      </tp>
      <tp>
        <v>13.1</v>
        <stp/>
        <stp>2440</stp>
        <stp>Price</stp>
        <tr r="X1045" s="57"/>
      </tp>
      <tp>
        <v>32.75</v>
        <stp/>
        <stp>2450</stp>
        <stp>Price</stp>
        <tr r="X938" s="57"/>
      </tp>
      <tp>
        <v>21.4</v>
        <stp/>
        <stp>2460</stp>
        <stp>Price</stp>
        <tr r="X1047" s="57"/>
      </tp>
      <tp>
        <v>42.35</v>
        <stp/>
        <stp>2420</stp>
        <stp>Price</stp>
        <tr r="X1040" s="57"/>
      </tp>
      <tp>
        <v>36.15</v>
        <stp/>
        <stp>2430</stp>
        <stp>Price</stp>
        <tr r="X1230" s="57"/>
        <tr r="X6" s="114"/>
      </tp>
      <tp>
        <v>90.1</v>
        <stp/>
        <stp>2480</stp>
        <stp>Price</stp>
        <tr r="X1270" s="57"/>
      </tp>
      <tp>
        <v>112.5</v>
        <stp/>
        <stp>2540</stp>
        <stp>Price</stp>
        <tr r="X1464" s="57"/>
      </tp>
      <tp>
        <v>34.049999999999997</v>
        <stp/>
        <stp>2520</stp>
        <stp>Price</stp>
        <tr r="X1453" s="57"/>
      </tp>
      <tp>
        <v>14.45</v>
        <stp/>
        <stp>2530</stp>
        <stp>Price</stp>
        <tr r="X1457" s="57"/>
      </tp>
      <tp>
        <v>51.7</v>
        <stp/>
        <stp>2850</stp>
        <stp>Price</stp>
        <tr r="X1604" s="57"/>
      </tp>
      <tp>
        <v>16.75</v>
        <stp/>
        <stp>2820</stp>
        <stp>Price</stp>
        <tr r="X1597" s="57"/>
      </tp>
      <tp>
        <v>22.35</v>
        <stp/>
        <stp>2880</stp>
        <stp>Price</stp>
        <tr r="X20" s="118"/>
        <tr r="X1609" s="57"/>
      </tp>
      <tp>
        <v>17.350000000000001</v>
        <stp/>
        <stp>2890</stp>
        <stp>Price</stp>
        <tr r="X1619" s="57"/>
      </tp>
      <tp>
        <v>33.549999999999997</v>
        <stp/>
        <stp>2910</stp>
        <stp>Price</stp>
        <tr r="X1646" s="57"/>
      </tp>
      <tp>
        <v>70.7</v>
        <stp/>
        <stp>3260</stp>
        <stp>Price</stp>
        <tr r="X571" s="57"/>
      </tp>
      <tp>
        <v>17.600000000000001</v>
        <stp/>
        <stp>3230</stp>
        <stp>Price</stp>
        <tr r="X834" s="57"/>
      </tp>
      <tp>
        <v>19.350000000000001</v>
        <stp/>
        <stp>3290</stp>
        <stp>Price</stp>
        <tr r="X1082" s="57"/>
      </tp>
      <tp>
        <v>15.7</v>
        <stp/>
        <stp>3360</stp>
        <stp>Price</stp>
        <tr r="X1242" s="57"/>
      </tp>
      <tp>
        <v>38.049999999999997</v>
        <stp/>
        <stp>3310</stp>
        <stp>Price</stp>
        <tr r="X1086" s="57"/>
      </tp>
      <tp>
        <v>26.4</v>
        <stp/>
        <stp>3380</stp>
        <stp>Price</stp>
        <tr r="X957" s="57"/>
      </tp>
      <tp>
        <v>17.5</v>
        <stp/>
        <stp>3390</stp>
        <stp>Price</stp>
        <tr r="X1096" s="57"/>
      </tp>
      <tp>
        <v>33.9</v>
        <stp/>
        <stp>3040</stp>
        <stp>Price</stp>
        <tr r="X1323" s="57"/>
      </tp>
      <tp>
        <v>18.25</v>
        <stp/>
        <stp>3050</stp>
        <stp>Price</stp>
        <tr r="X828" s="57"/>
      </tp>
      <tp>
        <v>19.899999999999999</v>
        <stp/>
        <stp>3060</stp>
        <stp>Price</stp>
        <tr r="X732" s="57"/>
      </tp>
      <tp>
        <v>99.5</v>
        <stp/>
        <stp>3010</stp>
        <stp>Price</stp>
        <tr r="X1232" s="57"/>
      </tp>
      <tp>
        <v>63.6</v>
        <stp/>
        <stp>3030</stp>
        <stp>Price</stp>
        <tr r="X1710" s="57"/>
      </tp>
      <tp>
        <v>53.3</v>
        <stp/>
        <stp>3090</stp>
        <stp>Price</stp>
        <tr r="X1069" s="57"/>
      </tp>
      <tp>
        <v>198.5</v>
        <stp/>
        <stp>3130</stp>
        <stp>Price</stp>
        <tr r="X1272" s="57"/>
      </tp>
      <tp>
        <v>27.9</v>
        <stp/>
        <stp>3630</stp>
        <stp>Price</stp>
        <tr r="X859" s="57"/>
      </tp>
      <tp>
        <v>211</v>
        <stp/>
        <stp>3680</stp>
        <stp>Price</stp>
        <tr r="X596" s="57"/>
      </tp>
      <tp>
        <v>11.5</v>
        <stp/>
        <stp>3710</stp>
        <stp>Price</stp>
        <tr r="X1122" s="57"/>
      </tp>
      <tp>
        <v>42.3</v>
        <stp/>
        <stp>3450</stp>
        <stp>Price</stp>
        <tr r="X1722" s="57"/>
      </tp>
      <tp>
        <v>26.5</v>
        <stp/>
        <stp>3490</stp>
        <stp>Price</stp>
        <tr r="X847" s="57"/>
      </tp>
      <tp>
        <v>28.8</v>
        <stp/>
        <stp>3540</stp>
        <stp>Price</stp>
        <tr r="X749" s="57"/>
      </tp>
      <tp>
        <v>14.15</v>
        <stp/>
        <stp>3550</stp>
        <stp>Price</stp>
        <tr r="X1109" s="57"/>
      </tp>
      <tp>
        <v>85.3</v>
        <stp/>
        <stp>3570</stp>
        <stp>Price</stp>
        <tr r="X1273" s="57"/>
      </tp>
      <tp>
        <v>13.3</v>
        <stp/>
        <stp>3520</stp>
        <stp>Price</stp>
        <tr r="X1104" s="57"/>
      </tp>
      <tp>
        <v>121.5</v>
        <stp/>
        <stp>3530</stp>
        <stp>Price</stp>
        <tr r="X583" s="57"/>
      </tp>
      <tp>
        <v>67.5</v>
        <stp/>
        <stp>3580</stp>
        <stp>Price</stp>
        <tr r="X1729" s="57"/>
      </tp>
      <tp>
        <v>124.2</v>
        <stp/>
        <stp>0050</stp>
        <stp>Price</stp>
        <tr r="X1" s="57"/>
        <tr r="X11" s="28"/>
      </tp>
      <tp>
        <v>51.7</v>
        <stp/>
        <stp>1240</stp>
        <stp>Price</stp>
        <tr r="X1818" s="57"/>
      </tp>
      <tp>
        <v>48.8</v>
        <stp/>
        <stp>1210</stp>
        <stp>Price</stp>
        <tr r="X15" s="57"/>
      </tp>
      <tp>
        <v>18.5</v>
        <stp/>
        <stp>1220</stp>
        <stp>Price</stp>
        <tr r="X22" s="57"/>
      </tp>
      <tp>
        <v>10.1</v>
        <stp/>
        <stp>1340</stp>
        <stp>Price</stp>
        <tr r="X60" s="57"/>
      </tp>
      <tp>
        <v>15.5</v>
        <stp/>
        <stp>1310</stp>
        <stp>Price</stp>
        <tr r="X49" s="57"/>
      </tp>
      <tp>
        <v>19.899999999999999</v>
        <stp/>
        <stp>1110</stp>
        <stp>Price</stp>
        <tr r="X10" s="57"/>
      </tp>
      <tp>
        <v>111.5</v>
        <stp/>
        <stp>1760</stp>
        <stp>Price</stp>
        <tr r="X300" s="57"/>
      </tp>
      <tp>
        <v>18.600000000000001</v>
        <stp/>
        <stp>1710</stp>
        <stp>Price</stp>
        <tr r="X246" s="57"/>
      </tp>
      <tp>
        <v>42.6</v>
        <stp/>
        <stp>1720</stp>
        <stp>Price</stp>
        <tr r="X294" s="57"/>
      </tp>
      <tp>
        <v>58.7</v>
        <stp/>
        <stp>1730</stp>
        <stp>Price</stp>
        <tr r="X259" s="57"/>
      </tp>
      <tp>
        <v>19.149999999999999</v>
        <stp/>
        <stp>1440</stp>
        <stp>Price</stp>
        <tr r="X81" s="57"/>
      </tp>
      <tp>
        <v>7.71</v>
        <stp/>
        <stp>1460</stp>
        <stp>Price</stp>
        <tr r="X97" s="57"/>
      </tp>
      <tp>
        <v>24.2</v>
        <stp/>
        <stp>1470</stp>
        <stp>Price</stp>
        <tr r="X104" s="57"/>
      </tp>
      <tp>
        <v>36.299999999999997</v>
        <stp/>
        <stp>1410</stp>
        <stp>Price</stp>
        <tr r="X72" s="57"/>
      </tp>
      <tp>
        <v>14.75</v>
        <stp/>
        <stp>1540</stp>
        <stp>Price</stp>
        <tr r="X148" s="57"/>
      </tp>
      <tp>
        <v>130.5</v>
        <stp/>
        <stp>1560</stp>
        <stp>Price</stp>
        <tr r="X151" s="57"/>
      </tp>
      <tp>
        <v>17.7</v>
        <stp/>
        <stp>1570</stp>
        <stp>Price</stp>
        <tr r="X152" s="57"/>
      </tp>
      <tp>
        <v>29.95</v>
        <stp/>
        <stp>1530</stp>
        <stp>Price</stp>
        <tr r="X141" s="57"/>
      </tp>
      <tp>
        <v>100</v>
        <stp/>
        <stp>1580</stp>
        <stp>Price</stp>
        <tr r="X153" s="57"/>
      </tp>
      <tp>
        <v>827</v>
        <stp/>
        <stp>1590</stp>
        <stp>Price</stp>
        <tr r="X92" s="114"/>
        <tr r="X157" s="57"/>
      </tp>
      <tp>
        <v>12.4</v>
        <stp/>
        <stp>1810</stp>
        <stp>Price</stp>
        <tr r="X420" s="57"/>
      </tp>
      <tp>
        <v>19.899999999999999</v>
        <stp/>
        <stp>6240</stp>
        <stp>Price</stp>
        <tr r="X1293" s="57"/>
      </tp>
      <tp>
        <v>24.5</v>
        <stp/>
        <stp>6270</stp>
        <stp>Price</stp>
        <tr r="X1253" s="57"/>
      </tp>
      <tp>
        <v>41.5</v>
        <stp/>
        <stp>6210</stp>
        <stp>Price</stp>
        <tr r="X1178" s="57"/>
      </tp>
      <tp>
        <v>22.35</v>
        <stp/>
        <stp>6220</stp>
        <stp>Price</stp>
        <tr r="X1181" s="57"/>
      </tp>
      <tp>
        <v>111</v>
        <stp/>
        <stp>6230</stp>
        <stp>Price</stp>
        <tr r="X787" s="57"/>
      </tp>
      <tp>
        <v>50.8</v>
        <stp/>
        <stp>6290</stp>
        <stp>Price</stp>
        <tr r="X1191" s="57"/>
      </tp>
      <tp>
        <v>19.55</v>
        <stp/>
        <stp>6020</stp>
        <stp>Price</stp>
        <tr r="X1631" s="57"/>
      </tp>
      <tp>
        <v>16.399999999999999</v>
        <stp/>
        <stp>6140</stp>
        <stp>Price</stp>
        <tr r="X1287" s="57"/>
      </tp>
      <tp>
        <v>101</v>
        <stp/>
        <stp>6150</stp>
        <stp>Price</stp>
        <tr r="X46" s="114"/>
        <tr r="X780" s="57"/>
      </tp>
      <tp>
        <v>13.75</v>
        <stp/>
        <stp>6160</stp>
        <stp>Price</stp>
        <tr r="X781" s="57"/>
      </tp>
      <tp>
        <v>33.65</v>
        <stp/>
        <stp>6170</stp>
        <stp>Price</stp>
        <tr r="X988" s="57"/>
      </tp>
      <tp>
        <v>10.15</v>
        <stp/>
        <stp>6120</stp>
        <stp>Price</stp>
        <tr r="X893" s="57"/>
      </tp>
      <tp>
        <v>37.549999999999997</v>
        <stp/>
        <stp>6130</stp>
        <stp>Price</stp>
        <tr r="X377" s="57"/>
      </tp>
      <tp>
        <v>66.400000000000006</v>
        <stp/>
        <stp>6180</stp>
        <stp>Price</stp>
        <tr r="X1794" s="57"/>
      </tp>
      <tp>
        <v>36.700000000000003</v>
        <stp/>
        <stp>6190</stp>
        <stp>Price</stp>
        <tr r="X989" s="57"/>
      </tp>
      <tp>
        <v>94.5</v>
        <stp/>
        <stp>6640</stp>
        <stp>Price</stp>
        <tr r="X667" s="57"/>
      </tp>
      <tp>
        <v>207.5</v>
        <stp/>
        <stp>6670</stp>
        <stp>Price</stp>
        <tr r="X1355" s="57"/>
      </tp>
      <tp>
        <v>47.1</v>
        <stp/>
        <stp>6680</stp>
        <stp>Price</stp>
        <tr r="X798" s="57"/>
      </tp>
      <tp>
        <v>115</v>
        <stp/>
        <stp>6690</stp>
        <stp>Price</stp>
        <tr r="X1298" s="57"/>
      </tp>
      <tp>
        <v>54.4</v>
        <stp/>
        <stp>6770</stp>
        <stp>Price</stp>
        <tr r="X678" s="57"/>
      </tp>
      <tp>
        <v>44.2</v>
        <stp/>
        <stp>6790</stp>
        <stp>Price</stp>
        <tr r="X53" s="114"/>
        <tr r="X1360" s="57"/>
      </tp>
      <tp>
        <v>65.5</v>
        <stp/>
        <stp>6470</stp>
        <stp>Price</stp>
        <tr r="X1000" s="57"/>
      </tp>
      <tp>
        <v>63</v>
        <stp/>
        <stp>6560</stp>
        <stp>Price</stp>
        <tr r="X915" s="57"/>
      </tp>
      <tp>
        <v>39.75</v>
        <stp/>
        <stp>6570</stp>
        <stp>Price</stp>
        <tr r="X793" s="57"/>
      </tp>
      <tp>
        <v>474</v>
        <stp/>
        <stp>6510</stp>
        <stp>Price</stp>
        <tr r="X79" s="114"/>
        <tr r="X656" s="57"/>
      </tp>
      <tp>
        <v>21.15</v>
        <stp/>
        <stp>6530</stp>
        <stp>Price</stp>
        <tr r="X1003" s="57"/>
      </tp>
      <tp>
        <v>24.7</v>
        <stp/>
        <stp>4160</stp>
        <stp>Price</stp>
        <tr r="X350" s="57"/>
      </tp>
      <tp>
        <v>34.549999999999997</v>
        <stp/>
        <stp>4120</stp>
        <stp>Price</stp>
        <tr r="X329" s="57"/>
      </tp>
      <tp>
        <v>24.75</v>
        <stp/>
        <stp>4130</stp>
        <stp>Price</stp>
        <tr r="X336" s="57"/>
      </tp>
      <tp>
        <v>68.8</v>
        <stp/>
        <stp>4190</stp>
        <stp>Price</stp>
        <tr r="X96" s="114"/>
        <tr r="X362" s="57"/>
      </tp>
      <tp>
        <v>69.900000000000006</v>
        <stp/>
        <stp>4760</stp>
        <stp>Price</stp>
        <tr r="X1737" s="57"/>
      </tp>
      <tp>
        <v>261.5</v>
        <stp/>
        <stp>4770</stp>
        <stp>Price</stp>
        <tr r="X284" s="57"/>
      </tp>
      <tp>
        <v>14.05</v>
        <stp/>
        <stp>4720</stp>
        <stp>Price</stp>
        <tr r="X272" s="57"/>
      </tp>
      <tp>
        <v>45</v>
        <stp/>
        <stp>4440</stp>
        <stp>Price</stp>
        <tr r="X125" s="57"/>
      </tp>
      <tp>
        <v>31.45</v>
        <stp/>
        <stp>4420</stp>
        <stp>Price</stp>
        <tr r="X118" s="57"/>
      </tp>
      <tp>
        <v>23.65</v>
        <stp/>
        <stp>4430</stp>
        <stp>Price</stp>
        <tr r="X1326" s="57"/>
      </tp>
      <tp>
        <v>39.950000000000003</v>
        <stp/>
        <stp>4540</stp>
        <stp>Price</stp>
        <tr r="X190" s="57"/>
      </tp>
      <tp>
        <v>22.6</v>
        <stp/>
        <stp>4550</stp>
        <stp>Price</stp>
        <tr r="X189" s="57"/>
        <tr r="X193" s="57"/>
      </tp>
      <tp>
        <v>41.6</v>
        <stp/>
        <stp>4560</stp>
        <stp>Price</stp>
        <tr r="X197" s="57"/>
      </tp>
      <tp>
        <v>11.25</v>
        <stp/>
        <stp>4510</stp>
        <stp>Price</stp>
        <tr r="X178" s="57"/>
      </tp>
      <tp>
        <v>7.9</v>
        <stp/>
        <stp>4530</stp>
        <stp>Price</stp>
        <tr r="X184" s="57"/>
      </tp>
      <tp>
        <v>88.2</v>
        <stp/>
        <stp>4580</stp>
        <stp>Price</stp>
        <tr r="X207" s="57"/>
      </tp>
      <tp>
        <v>24.8</v>
        <stp/>
        <stp>4950</stp>
        <stp>Price</stp>
        <tr r="X1331" s="57"/>
      </tp>
      <tp>
        <v>11.15</v>
        <stp/>
        <stp>4960</stp>
        <stp>Price</stp>
        <tr r="X874" s="57"/>
      </tp>
      <tp>
        <v>25.05</v>
        <stp/>
        <stp>4930</stp>
        <stp>Price</stp>
        <tr r="X240" s="57"/>
      </tp>
      <tp>
        <v>19</v>
        <stp/>
        <stp>5210</stp>
        <stp>Price</stp>
        <tr r="X1280" s="57"/>
      </tp>
      <tp>
        <v>35.049999999999997</v>
        <stp/>
        <stp>5220</stp>
        <stp>Price</stp>
        <tr r="X878" s="57"/>
      </tp>
      <tp>
        <v>25.25</v>
        <stp/>
        <stp>5230</stp>
        <stp>Price</stp>
        <tr r="X879" s="57"/>
      </tp>
      <tp>
        <v>27.25</v>
        <stp/>
        <stp>5340</stp>
        <stp>Price</stp>
        <tr r="X1140" s="57"/>
      </tp>
      <tp>
        <v>28.25</v>
        <stp/>
        <stp>5310</stp>
        <stp>Price</stp>
        <tr r="X1283" s="57"/>
      </tp>
      <tp>
        <v>17.5</v>
        <stp/>
        <stp>5450</stp>
        <stp>Price</stp>
        <tr r="X1336" s="57"/>
      </tp>
      <tp>
        <v>11.3</v>
        <stp/>
        <stp>5460</stp>
        <stp>Price</stp>
        <tr r="X1146" s="57"/>
      </tp>
      <tp>
        <v>25.3</v>
        <stp/>
        <stp>5410</stp>
        <stp>Price</stp>
        <tr r="X1285" s="57"/>
      </tp>
      <tp>
        <v>25.2</v>
        <stp/>
        <stp>5490</stp>
        <stp>Price</stp>
        <tr r="X775" s="57"/>
      </tp>
      <tp>
        <v>54.7</v>
        <stp/>
        <stp>5520</stp>
        <stp>Price</stp>
        <tr r="X1495" s="57"/>
      </tp>
      <tp>
        <v>45.9</v>
        <stp/>
        <stp>5530</stp>
        <stp>Price</stp>
        <tr r="X1338" s="57"/>
      </tp>
      <tp>
        <v>12.4</v>
        <stp/>
        <stp>5820</stp>
        <stp>Price</stp>
        <tr r="X1623" s="57"/>
      </tp>
      <tp>
        <v>26.15</v>
        <stp/>
        <stp>5880</stp>
        <stp>Price</stp>
        <tr r="X17" s="118"/>
        <tr r="X1627" s="57"/>
      </tp>
      <tp>
        <v>31.1</v>
        <stp/>
        <stp>8240</stp>
        <stp>Price</stp>
        <tr r="X927" s="57"/>
      </tp>
      <tp>
        <v>65</v>
        <stp/>
        <stp>8210</stp>
        <stp>Price</stp>
        <tr r="X803" s="57"/>
      </tp>
      <tp>
        <v>32.1</v>
        <stp/>
        <stp>8390</stp>
        <stp>Price</stp>
        <tr r="X1368" s="57"/>
      </tp>
      <tp>
        <v>49.05</v>
        <stp/>
        <stp>8040</stp>
        <stp>Price</stp>
        <tr r="X685" s="57"/>
      </tp>
      <tp>
        <v>46.15</v>
        <stp/>
        <stp>8050</stp>
        <stp>Price</stp>
        <tr r="X799" s="57"/>
      </tp>
      <tp>
        <v>35.799999999999997</v>
        <stp/>
        <stp>8070</stp>
        <stp>Price</stp>
        <tr r="X1259" s="57"/>
      </tp>
      <tp>
        <v>11.65</v>
        <stp/>
        <stp>8080</stp>
        <stp>Price</stp>
        <tr r="X1212" s="57"/>
      </tp>
      <tp>
        <v>45.85</v>
        <stp/>
        <stp>8150</stp>
        <stp>Price</stp>
        <tr r="X87" s="114"/>
        <tr r="X692" s="57"/>
      </tp>
      <tp>
        <v>13.75</v>
        <stp/>
        <stp>8110</stp>
        <stp>Price</stp>
        <tr r="X690" s="57"/>
      </tp>
      <tp>
        <v>65.599999999999994</v>
        <stp/>
        <stp>8440</stp>
        <stp>Price</stp>
        <tr r="X1381" s="57"/>
      </tp>
      <tp>
        <v>27.4</v>
        <stp/>
        <stp>8450</stp>
        <stp>Price</stp>
        <tr r="X1800" s="57"/>
      </tp>
      <tp>
        <v>28.8</v>
        <stp/>
        <stp>8410</stp>
        <stp>Price</stp>
        <tr r="X805" s="57"/>
      </tp>
      <tp>
        <v>49.7</v>
        <stp/>
        <stp>8420</stp>
        <stp>Price</stp>
        <tr r="X1373" s="57"/>
      </tp>
      <tp>
        <v>68.5</v>
        <stp/>
        <stp>8480</stp>
        <stp>Price</stp>
        <tr r="X1391" s="57"/>
      </tp>
      <tp>
        <v>13</v>
        <stp/>
        <stp>8940</stp>
        <stp>Price</stp>
        <tr r="X1589" s="57"/>
      </tp>
      <tp>
        <v>15.85</v>
        <stp/>
        <stp>8930</stp>
        <stp>Price</stp>
        <tr r="X475" s="57"/>
      </tp>
      <tp>
        <v>34.049999999999997</v>
        <stp/>
        <stp>9940</stp>
        <stp>Price</stp>
        <tr r="X1432" s="57"/>
      </tp>
      <tp>
        <v>12</v>
        <stp/>
        <stp>9950</stp>
        <stp>Price</stp>
        <tr r="X67" s="57"/>
      </tp>
      <tp>
        <v>25.4</v>
        <stp/>
        <stp>9960</stp>
        <stp>Price</stp>
        <tr r="X1674" s="57"/>
      </tp>
      <tp>
        <v>172</v>
        <stp/>
        <stp>9910</stp>
        <stp>Price</stp>
        <tr r="X1415" s="57"/>
        <tr r="X91" s="114"/>
      </tp>
      <tp>
        <v>47.2</v>
        <stp/>
        <stp>9930</stp>
        <stp>Price</stp>
        <tr r="X1426" s="57"/>
      </tp>
      <tp>
        <v>39.200000000000003</v>
        <stp/>
        <stp>2241</stp>
        <stp>Price</stp>
        <tr r="X167" s="57"/>
      </tp>
      <tp>
        <v>38.65</v>
        <stp/>
        <stp>2201</stp>
        <stp>Price</stp>
        <tr r="X507" s="57"/>
      </tp>
      <tp>
        <v>59.4</v>
        <stp/>
        <stp>2211</stp>
        <stp>Price</stp>
        <tr r="X462" s="57"/>
      </tp>
      <tp>
        <v>37.200000000000003</v>
        <stp/>
        <stp>2221</stp>
        <stp>Price</stp>
        <tr r="X1315" s="57"/>
      </tp>
      <tp>
        <v>139</v>
        <stp/>
        <stp>2231</stp>
        <stp>Price</stp>
        <tr r="X513" s="57"/>
      </tp>
      <tp>
        <v>131.5</v>
        <stp/>
        <stp>2351</stp>
        <stp>Price</stp>
        <tr r="X537" s="57"/>
        <tr r="X95" s="114"/>
      </tp>
      <tp>
        <v>32.799999999999997</v>
        <stp/>
        <stp>2371</stp>
        <stp>Price</stp>
        <tr r="X168" s="57"/>
      </tp>
      <tp>
        <v>63.8</v>
        <stp/>
        <stp>2301</stp>
        <stp>Price</stp>
        <tr r="X700" s="57"/>
      </tp>
      <tp>
        <v>5.8</v>
        <stp/>
        <stp>2321</stp>
        <stp>Price</stp>
        <tr r="X931" s="57"/>
      </tp>
      <tp>
        <v>18.8</v>
        <stp/>
        <stp>2331</stp>
        <stp>Price</stp>
        <tr r="X703" s="57"/>
      </tp>
      <tp>
        <v>18.5</v>
        <stp/>
        <stp>2061</stp>
        <stp>Price</stp>
        <tr r="X238" s="57"/>
      </tp>
      <tp>
        <v>52.4</v>
        <stp/>
        <stp>2031</stp>
        <stp>Price</stp>
        <tr r="X70" s="114"/>
        <tr r="X452" s="57"/>
      </tp>
      <tp>
        <v>39.5</v>
        <stp/>
        <stp>2101</stp>
        <stp>Price</stp>
        <tr r="X480" s="57"/>
      </tp>
      <tp>
        <v>27.6</v>
        <stp/>
        <stp>2641</stp>
        <stp>Price</stp>
        <tr r="X1535" s="57"/>
      </tp>
      <tp>
        <v>10.4</v>
        <stp/>
        <stp>2601</stp>
        <stp>Price</stp>
        <tr r="X1639" s="57"/>
      </tp>
      <tp>
        <v>23.4</v>
        <stp/>
        <stp>2611</stp>
        <stp>Price</stp>
        <tr r="X1524" s="57"/>
      </tp>
      <tp>
        <v>11.8</v>
        <stp/>
        <stp>2701</stp>
        <stp>Price</stp>
        <tr r="X1549" s="57"/>
      </tp>
      <tp>
        <v>97.6</v>
        <stp/>
        <stp>2731</stp>
        <stp>Price</stp>
        <tr r="X1564" s="57"/>
      </tp>
      <tp>
        <v>70.900000000000006</v>
        <stp/>
        <stp>2441</stp>
        <stp>Price</stp>
        <tr r="X45" s="114"/>
        <tr r="X546" s="57"/>
        <tr r="X10" s="74"/>
        <tr r="X22" s="28"/>
        <tr r="X6" s="22"/>
      </tp>
      <tp>
        <v>70.7</v>
        <stp/>
        <stp>2451</stp>
        <stp>Price</stp>
        <tr r="X548" s="57"/>
      </tp>
      <tp>
        <v>20.3</v>
        <stp/>
        <stp>2461</stp>
        <stp>Price</stp>
        <tr r="X1702" s="57"/>
      </tp>
      <tp>
        <v>26.8</v>
        <stp/>
        <stp>2471</stp>
        <stp>Price</stp>
        <tr r="X1269" s="57"/>
      </tp>
      <tp>
        <v>34.6</v>
        <stp/>
        <stp>2401</stp>
        <stp>Price</stp>
        <tr r="X542" s="57"/>
      </tp>
      <tp>
        <v>36.75</v>
        <stp/>
        <stp>2421</stp>
        <stp>Price</stp>
        <tr r="X1041" s="57"/>
      </tp>
      <tp>
        <v>11.2</v>
        <stp/>
        <stp>2431</stp>
        <stp>Price</stp>
        <tr r="X1044" s="57"/>
      </tp>
      <tp>
        <v>77.099999999999994</v>
        <stp/>
        <stp>2481</stp>
        <stp>Price</stp>
        <tr r="X551" s="57"/>
      </tp>
      <tp>
        <v>14.95</v>
        <stp/>
        <stp>2491</stp>
        <stp>Price</stp>
        <tr r="X821" s="57"/>
      </tp>
      <tp>
        <v>17.899999999999999</v>
        <stp/>
        <stp>2501</stp>
        <stp>Price</stp>
        <tr r="X1446" s="57"/>
      </tp>
      <tp>
        <v>11.9</v>
        <stp/>
        <stp>2511</stp>
        <stp>Price</stp>
        <tr r="X1451" s="57"/>
      </tp>
      <tp t="s">
        <v>商品錯誤</v>
        <stp/>
        <stp>2841</stp>
        <stp>Price</stp>
        <tr r="X1473" s="57"/>
      </tp>
      <tp>
        <v>28.25</v>
        <stp/>
        <stp>2851</stp>
        <stp>Price</stp>
        <tr r="X1605" s="57"/>
      </tp>
      <tp>
        <v>17.8</v>
        <stp/>
        <stp>2801</stp>
        <stp>Price</stp>
        <tr r="X1593" s="57"/>
      </tp>
      <tp>
        <v>66.2</v>
        <stp/>
        <stp>2881</stp>
        <stp>Price</stp>
        <tr r="X1610" s="57"/>
        <tr r="X12" s="118"/>
        <tr r="X8" s="114"/>
      </tp>
      <tp>
        <v>27.1</v>
        <stp/>
        <stp>2891</stp>
        <stp>Price</stp>
        <tr r="X1620" s="57"/>
        <tr r="X14" s="118"/>
      </tp>
      <tp>
        <v>23.9</v>
        <stp/>
        <stp>2901</stp>
        <stp>Price</stp>
        <tr r="X1641" s="57"/>
      </tp>
      <tp>
        <v>7</v>
        <stp/>
        <stp>2911</stp>
        <stp>Price</stp>
        <tr r="X1647" s="57"/>
      </tp>
      <tp>
        <v>75.5</v>
        <stp/>
        <stp>3211</stp>
        <stp>Price</stp>
        <tr r="X735" s="57"/>
      </tp>
      <tp>
        <v>34.9</v>
        <stp/>
        <stp>3221</stp>
        <stp>Price</stp>
        <tr r="X952" s="57"/>
      </tp>
      <tp>
        <v>27.3</v>
        <stp/>
        <stp>3231</stp>
        <stp>Price</stp>
        <tr r="X737" s="57"/>
      </tp>
      <tp>
        <v>32.200000000000003</v>
        <stp/>
        <stp>3311</stp>
        <stp>Price</stp>
        <tr r="X955" s="57"/>
      </tp>
      <tp>
        <v>11</v>
        <stp/>
        <stp>3321</stp>
        <stp>Price</stp>
        <tr r="X1088" s="57"/>
      </tp>
      <tp>
        <v>27.55</v>
        <stp/>
        <stp>3041</stp>
        <stp>Price</stp>
        <tr r="X557" s="57"/>
      </tp>
      <tp>
        <v>18.55</v>
        <stp/>
        <stp>3051</stp>
        <stp>Price</stp>
        <tr r="X829" s="57"/>
      </tp>
      <tp>
        <v>25.9</v>
        <stp/>
        <stp>3071</stp>
        <stp>Price</stp>
        <tr r="X733" s="57"/>
      </tp>
      <tp>
        <v>19.5</v>
        <stp/>
        <stp>3011</stp>
        <stp>Price</stp>
        <tr r="X1058" s="57"/>
      </tp>
      <tp>
        <v>20.55</v>
        <stp/>
        <stp>3021</stp>
        <stp>Price</stp>
        <tr r="X1060" s="57"/>
      </tp>
      <tp>
        <v>18.7</v>
        <stp/>
        <stp>3031</stp>
        <stp>Price</stp>
        <tr r="X825" s="57"/>
      </tp>
      <tp>
        <v>139</v>
        <stp/>
        <stp>3081</stp>
        <stp>Price</stp>
        <tr r="X947" s="57"/>
      </tp>
      <tp>
        <v>157</v>
        <stp/>
        <stp>3141</stp>
        <stp>Price</stp>
        <tr r="X563" s="57"/>
      </tp>
      <tp>
        <v>18.850000000000001</v>
        <stp/>
        <stp>3171</stp>
        <stp>Price</stp>
        <tr r="X1658" s="57"/>
      </tp>
      <tp>
        <v>287</v>
        <stp/>
        <stp>3131</stp>
        <stp>Price</stp>
        <tr r="X1714" s="57"/>
      </tp>
      <tp>
        <v>9.6</v>
        <stp/>
        <stp>3191</stp>
        <stp>Price</stp>
        <tr r="X1073" s="57"/>
      </tp>
      <tp>
        <v>922</v>
        <stp/>
        <stp>3661</stp>
        <stp>Price</stp>
        <tr r="X594" s="57"/>
      </tp>
      <tp>
        <v>180.5</v>
        <stp/>
        <stp>3611</stp>
        <stp>Price</stp>
        <tr r="X752" s="57"/>
        <tr r="X10" s="114"/>
      </tp>
      <tp>
        <v>40.25</v>
        <stp/>
        <stp>3631</stp>
        <stp>Price</stp>
        <tr r="X1116" s="57"/>
      </tp>
      <tp>
        <v>137</v>
        <stp/>
        <stp>3691</stp>
        <stp>Price</stp>
        <tr r="X864" s="57"/>
      </tp>
      <tp>
        <v>48.05</v>
        <stp/>
        <stp>3701</stp>
        <stp>Price</stp>
        <tr r="X756" s="57"/>
      </tp>
      <tp>
        <v>96.2</v>
        <stp/>
        <stp>3711</stp>
        <stp>Price</stp>
        <tr r="X6" s="118"/>
        <tr r="X20" s="114"/>
        <tr r="X599" s="57"/>
      </tp>
      <tp>
        <v>29.1</v>
        <stp/>
        <stp>3441</stp>
        <stp>Price</stp>
        <tr r="X843" s="57"/>
      </tp>
      <tp>
        <v>13.4</v>
        <stp/>
        <stp>3481</stp>
        <stp>Price</stp>
        <tr r="X846" s="57"/>
      </tp>
      <tp>
        <v>135</v>
        <stp/>
        <stp>3491</stp>
        <stp>Price</stp>
        <tr r="X960" s="57"/>
        <tr r="X50" s="28"/>
        <tr r="X94" s="114"/>
        <tr r="X15" s="74"/>
      </tp>
      <tp>
        <v>66</v>
        <stp/>
        <stp>3541</stp>
        <stp>Price</stp>
        <tr r="X1726" s="57"/>
      </tp>
      <tp>
        <v>63.3</v>
        <stp/>
        <stp>3551</stp>
        <stp>Price</stp>
        <tr r="X1727" s="57"/>
      </tp>
      <tp>
        <v>41.4</v>
        <stp/>
        <stp>3501</stp>
        <stp>Price</stp>
        <tr r="X1101" s="57"/>
      </tp>
      <tp>
        <v>36.200000000000003</v>
        <stp/>
        <stp>3511</stp>
        <stp>Price</stp>
        <tr r="X1102" s="57"/>
      </tp>
      <tp>
        <v>14.05</v>
        <stp/>
        <stp>3521</stp>
        <stp>Price</stp>
        <tr r="X748" s="57"/>
      </tp>
      <tp t="s">
        <v>無資料</v>
        <stp/>
        <stp>3531</stp>
        <stp>Price</stp>
        <tr r="X850" s="57"/>
      </tp>
      <tp>
        <v>23.75</v>
        <stp/>
        <stp>3581</stp>
        <stp>Price</stp>
        <tr r="X590" s="57"/>
      </tp>
      <tp>
        <v>15.6</v>
        <stp/>
        <stp>3591</stp>
        <stp>Price</stp>
        <tr r="X855" s="57"/>
      </tp>
      <tp>
        <v>21.15</v>
        <stp/>
        <stp>1201</stp>
        <stp>Price</stp>
        <tr r="X13" s="57"/>
      </tp>
      <tp>
        <v>81</v>
        <stp/>
        <stp>1231</stp>
        <stp>Price</stp>
        <tr r="X26" s="57"/>
      </tp>
      <tp>
        <v>73.400000000000006</v>
        <stp/>
        <stp>1341</stp>
        <stp>Price</stp>
        <tr r="X61" s="57"/>
      </tp>
      <tp>
        <v>102</v>
        <stp/>
        <stp>1301</stp>
        <stp>Price</stp>
        <tr r="X9" s="118"/>
        <tr r="X42" s="57"/>
      </tp>
      <tp>
        <v>32</v>
        <stp/>
        <stp>1321</stp>
        <stp>Price</stp>
        <tr r="X54" s="57"/>
      </tp>
      <tp>
        <v>42.65</v>
        <stp/>
        <stp>1101</stp>
        <stp>Price</stp>
        <tr r="X4" s="57"/>
      </tp>
      <tp>
        <v>18.25</v>
        <stp/>
        <stp>1611</stp>
        <stp>Price</stp>
        <tr r="X230" s="57"/>
      </tp>
      <tp>
        <v>23.05</v>
        <stp/>
        <stp>1701</stp>
        <stp>Price</stp>
        <tr r="X292" s="57"/>
      </tp>
      <tp>
        <v>22.95</v>
        <stp/>
        <stp>1711</stp>
        <stp>Price</stp>
        <tr r="X247" s="57"/>
      </tp>
      <tp>
        <v>18.399999999999999</v>
        <stp/>
        <stp>1721</stp>
        <stp>Price</stp>
        <tr r="X253" s="57"/>
      </tp>
      <tp>
        <v>19.100000000000001</v>
        <stp/>
        <stp>1731</stp>
        <stp>Price</stp>
        <tr r="X295" s="57"/>
      </tp>
      <tp>
        <v>14.9</v>
        <stp/>
        <stp>1781</stp>
        <stp>Price</stp>
        <tr r="X303" s="57"/>
      </tp>
      <tp>
        <v>8.17</v>
        <stp/>
        <stp>1441</stp>
        <stp>Price</stp>
        <tr r="X82" s="57"/>
      </tp>
      <tp>
        <v>22.15</v>
        <stp/>
        <stp>1451</stp>
        <stp>Price</stp>
        <tr r="X89" s="57"/>
      </tp>
      <tp>
        <v>6.54</v>
        <stp/>
        <stp>1471</stp>
        <stp>Price</stp>
        <tr r="X1020" s="57"/>
      </tp>
      <tp>
        <v>43.6</v>
        <stp/>
        <stp>1541</stp>
        <stp>Price</stp>
        <tr r="X149" s="57"/>
      </tp>
      <tp>
        <v>34.299999999999997</v>
        <stp/>
        <stp>1521</stp>
        <stp>Price</stp>
        <tr r="X498" s="57"/>
      </tp>
      <tp>
        <v>14.2</v>
        <stp/>
        <stp>1531</stp>
        <stp>Price</stp>
        <tr r="X142" s="57"/>
      </tp>
      <tp>
        <v>22.85</v>
        <stp/>
        <stp>1591</stp>
        <stp>Price</stp>
        <tr r="X158" s="57"/>
      </tp>
      <tp>
        <v>37.549999999999997</v>
        <stp/>
        <stp>6241</stp>
        <stp>Price</stp>
        <tr r="X992" s="57"/>
      </tp>
      <tp>
        <v>21.8</v>
        <stp/>
        <stp>6251</stp>
        <stp>Price</stp>
        <tr r="X1183" s="57"/>
      </tp>
      <tp>
        <v>72</v>
        <stp/>
        <stp>6261</stp>
        <stp>Price</stp>
        <tr r="X643" s="57"/>
      </tp>
      <tp>
        <v>239</v>
        <stp/>
        <stp>6271</stp>
        <stp>Price</stp>
        <tr r="X644" s="57"/>
      </tp>
      <tp>
        <v>42.65</v>
        <stp/>
        <stp>6201</stp>
        <stp>Price</stp>
        <tr r="X1751" s="57"/>
      </tp>
      <tp>
        <v>47</v>
        <stp/>
        <stp>6221</stp>
        <stp>Price</stp>
        <tr r="X1291" s="57"/>
      </tp>
      <tp>
        <v>88.7</v>
        <stp/>
        <stp>6231</stp>
        <stp>Price</stp>
        <tr r="X1292" s="57"/>
      </tp>
      <tp>
        <v>85.5</v>
        <stp/>
        <stp>6281</stp>
        <stp>Price</stp>
        <tr r="X1254" s="57"/>
      </tp>
      <tp>
        <v>69.400000000000006</v>
        <stp/>
        <stp>6291</stp>
        <stp>Price</stp>
        <tr r="X646" s="57"/>
      </tp>
      <tp>
        <v>20</v>
        <stp/>
        <stp>6021</stp>
        <stp>Price</stp>
        <tr r="X1632" s="57"/>
      </tp>
      <tp>
        <v>24.05</v>
        <stp/>
        <stp>6141</stp>
        <stp>Price</stp>
        <tr r="X1160" s="57"/>
      </tp>
      <tp>
        <v>29.7</v>
        <stp/>
        <stp>6151</stp>
        <stp>Price</stp>
        <tr r="X1747" s="57"/>
      </tp>
      <tp>
        <v>31.2</v>
        <stp/>
        <stp>6161</stp>
        <stp>Price</stp>
        <tr r="X782" s="57"/>
      </tp>
      <tp>
        <v>28.9</v>
        <stp/>
        <stp>6171</stp>
        <stp>Price</stp>
        <tr r="X1505" s="57"/>
      </tp>
      <tp>
        <v>22.5</v>
        <stp/>
        <stp>6101</stp>
        <stp>Price</stp>
        <tr r="X1790" s="57"/>
      </tp>
      <tp>
        <v>79.3</v>
        <stp/>
        <stp>6111</stp>
        <stp>Price</stp>
        <tr r="X1791" s="57"/>
      </tp>
      <tp>
        <v>290</v>
        <stp/>
        <stp>6121</stp>
        <stp>Price</stp>
        <tr r="X98" s="114"/>
        <tr r="X777" s="57"/>
      </tp>
      <tp>
        <v>29.6</v>
        <stp/>
        <stp>6191</stp>
        <stp>Price</stp>
        <tr r="X1170" s="57"/>
      </tp>
      <tp>
        <v>61.1</v>
        <stp/>
        <stp>6641</stp>
        <stp>Price</stp>
        <tr r="X1353" s="57"/>
      </tp>
      <tp>
        <v>85.7</v>
        <stp/>
        <stp>6651</stp>
        <stp>Price</stp>
        <tr r="X39" s="114"/>
        <tr r="X669" s="57"/>
      </tp>
      <tp>
        <v>22.2</v>
        <stp/>
        <stp>6661</stp>
        <stp>Price</stp>
        <tr r="X400" s="57"/>
      </tp>
      <tp>
        <v>46.5</v>
        <stp/>
        <stp>6671</stp>
        <stp>Price</stp>
        <tr r="X1356" s="57"/>
      </tp>
      <tp>
        <v>176</v>
        <stp/>
        <stp>6691</stp>
        <stp>Price</stp>
        <tr r="X1763" s="57"/>
      </tp>
      <tp>
        <v>141.5</v>
        <stp/>
        <stp>6741</stp>
        <stp>Price</stp>
        <tr r="X1810" s="57"/>
      </tp>
      <tp>
        <v>40.200000000000003</v>
        <stp/>
        <stp>6751</stp>
        <stp>Price</stp>
        <tr r="X1300" s="57"/>
      </tp>
      <tp>
        <v>100</v>
        <stp/>
        <stp>6761</stp>
        <stp>Price</stp>
        <tr r="X1203" s="57"/>
      </tp>
      <tp>
        <v>52.8</v>
        <stp/>
        <stp>6721</stp>
        <stp>Price</stp>
        <tr r="X1357" s="57"/>
      </tp>
      <tp>
        <v>1010</v>
        <stp/>
        <stp>6781</stp>
        <stp>Price</stp>
        <tr r="X17" s="114"/>
        <tr r="X1204" s="57"/>
      </tp>
      <tp>
        <v>44.9</v>
        <stp/>
        <stp>6441</stp>
        <stp>Price</stp>
        <tr r="X792" s="57"/>
      </tp>
      <tp>
        <v>68.2</v>
        <stp/>
        <stp>6451</stp>
        <stp>Price</stp>
        <tr r="X650" s="57"/>
      </tp>
      <tp>
        <v>21.45</v>
        <stp/>
        <stp>6461</stp>
        <stp>Price</stp>
        <tr r="X380" s="57"/>
      </tp>
      <tp>
        <v>146</v>
        <stp/>
        <stp>6411</stp>
        <stp>Price</stp>
        <tr r="X647" s="57"/>
      </tp>
      <tp t="s">
        <v>無資料</v>
        <stp/>
        <stp>6431</stp>
        <stp>Price</stp>
        <tr r="X910" s="57"/>
      </tp>
      <tp>
        <v>387</v>
        <stp/>
        <stp>6491</stp>
        <stp>Price</stp>
        <tr r="X383" s="57"/>
      </tp>
      <tp>
        <v>58</v>
        <stp/>
        <stp>6541</stp>
        <stp>Price</stp>
        <tr r="X390" s="57"/>
      </tp>
      <tp>
        <v>285</v>
        <stp/>
        <stp>6561</stp>
        <stp>Price</stp>
        <tr r="X1004" s="57"/>
      </tp>
      <tp>
        <v>257.5</v>
        <stp/>
        <stp>6531</stp>
        <stp>Price</stp>
        <tr r="X101" s="114"/>
        <tr r="X659" s="57"/>
        <tr r="X51" s="28"/>
        <tr r="X16" s="74"/>
      </tp>
      <tp>
        <v>84.7</v>
        <stp/>
        <stp>6581</stp>
        <stp>Price</stp>
        <tr r="X1346" s="57"/>
      </tp>
      <tp>
        <v>59.7</v>
        <stp/>
        <stp>6591</stp>
        <stp>Price</stp>
        <tr r="X796" s="57"/>
      </tp>
      <tp t="s">
        <v>商品錯誤</v>
        <stp/>
        <stp>4141</stp>
        <stp>Price</stp>
        <tr r="X342" s="57"/>
      </tp>
      <tp>
        <v>24.8</v>
        <stp/>
        <stp>4161</stp>
        <stp>Price</stp>
        <tr r="X351" s="57"/>
      </tp>
      <tp>
        <v>130.5</v>
        <stp/>
        <stp>4171</stp>
        <stp>Price</stp>
        <tr r="X1820" s="57"/>
      </tp>
      <tp>
        <v>23.3</v>
        <stp/>
        <stp>4111</stp>
        <stp>Price</stp>
        <tr r="X325" s="57"/>
      </tp>
      <tp>
        <v>23</v>
        <stp/>
        <stp>4121</stp>
        <stp>Price</stp>
        <tr r="X330" s="57"/>
      </tp>
      <tp>
        <v>14.15</v>
        <stp/>
        <stp>4131</stp>
        <stp>Price</stp>
        <tr r="X337" s="57"/>
      </tp>
      <tp>
        <v>24.8</v>
        <stp/>
        <stp>4741</stp>
        <stp>Price</stp>
        <tr r="X276" s="57"/>
      </tp>
      <tp>
        <v>16.649999999999999</v>
        <stp/>
        <stp>4711</stp>
        <stp>Price</stp>
        <tr r="X269" s="57"/>
      </tp>
      <tp>
        <v>132</v>
        <stp/>
        <stp>4721</stp>
        <stp>Price</stp>
        <tr r="X273" s="57"/>
      </tp>
      <tp>
        <v>31.25</v>
        <stp/>
        <stp>4401</stp>
        <stp>Price</stp>
        <tr r="X111" s="57"/>
      </tp>
      <tp>
        <v>23.85</v>
        <stp/>
        <stp>4541</stp>
        <stp>Price</stp>
        <tr r="X1329" s="57"/>
      </tp>
      <tp>
        <v>125</v>
        <stp/>
        <stp>4551</stp>
        <stp>Price</stp>
        <tr r="X522" s="57"/>
      </tp>
      <tp>
        <v>26.95</v>
        <stp/>
        <stp>4561</stp>
        <stp>Price</stp>
        <tr r="X198" s="57"/>
      </tp>
      <tp>
        <v>84.9</v>
        <stp/>
        <stp>4571</stp>
        <stp>Price</stp>
        <tr r="X204" s="57"/>
      </tp>
      <tp>
        <v>32.5</v>
        <stp/>
        <stp>4581</stp>
        <stp>Price</stp>
        <tr r="X524" s="57"/>
      </tp>
      <tp>
        <v>177</v>
        <stp/>
        <stp>4961</stp>
        <stp>Price</stp>
        <tr r="X604" s="57"/>
      </tp>
      <tp>
        <v>76.599999999999994</v>
        <stp/>
        <stp>4971</stp>
        <stp>Price</stp>
        <tr r="X608" s="57"/>
      </tp>
      <tp>
        <v>23.7</v>
        <stp/>
        <stp>4911</stp>
        <stp>Price</stp>
        <tr r="X375" s="57"/>
      </tp>
      <tp>
        <v>33.25</v>
        <stp/>
        <stp>4931</stp>
        <stp>Price</stp>
        <tr r="X762" s="57"/>
      </tp>
      <tp>
        <v>36.75</v>
        <stp/>
        <stp>4991</stp>
        <stp>Price</stp>
        <tr r="X610" s="57"/>
      </tp>
      <tp>
        <v>16.850000000000001</v>
        <stp/>
        <stp>5251</stp>
        <stp>Price</stp>
        <tr r="X884" s="57"/>
      </tp>
      <tp>
        <v>27.9</v>
        <stp/>
        <stp>5201</stp>
        <stp>Price</stp>
        <tr r="X1276" s="57"/>
      </tp>
      <tp>
        <v>16.600000000000001</v>
        <stp/>
        <stp>5211</stp>
        <stp>Price</stp>
        <tr r="X1281" s="57"/>
      </tp>
      <tp t="s">
        <v>無資料</v>
        <stp/>
        <stp>5281</stp>
        <stp>Price</stp>
        <tr r="X885" s="57"/>
      </tp>
      <tp>
        <v>37.200000000000003</v>
        <stp/>
        <stp>5291</stp>
        <stp>Price</stp>
        <tr r="X1136" s="57"/>
      </tp>
      <tp>
        <v>59.9</v>
        <stp/>
        <stp>5351</stp>
        <stp>Price</stp>
        <tr r="X622" s="57"/>
      </tp>
      <tp>
        <v>54.6</v>
        <stp/>
        <stp>5371</stp>
        <stp>Price</stp>
        <tr r="X887" s="57"/>
      </tp>
      <tp>
        <v>13.25</v>
        <stp/>
        <stp>5301</stp>
        <stp>Price</stp>
        <tr r="X1581" s="57"/>
      </tp>
      <tp>
        <v>124.5</v>
        <stp/>
        <stp>5321</stp>
        <stp>Price</stp>
        <tr r="X1138" s="57"/>
      </tp>
      <tp>
        <v>6</v>
        <stp/>
        <stp>5381</stp>
        <stp>Price</stp>
        <tr r="X1143" s="57"/>
      </tp>
      <tp>
        <v>35</v>
        <stp/>
        <stp>5011</stp>
        <stp>Price</stp>
        <tr r="X466" s="57"/>
      </tp>
      <tp>
        <v>40.25</v>
        <stp/>
        <stp>5601</stp>
        <stp>Price</stp>
        <tr r="X1538" s="57"/>
      </tp>
      <tp>
        <v>2.92</v>
        <stp/>
        <stp>5701</stp>
        <stp>Price</stp>
        <tr r="X1583" s="57"/>
      </tp>
      <tp>
        <v>75.599999999999994</v>
        <stp/>
        <stp>5471</stp>
        <stp>Price</stp>
        <tr r="X31" s="28"/>
        <tr r="X72" s="22"/>
        <tr r="X71" s="22"/>
        <tr r="X625" s="57"/>
      </tp>
      <tp>
        <v>12.85</v>
        <stp/>
        <stp>5481</stp>
        <stp>Price</stp>
        <tr r="X1337" s="57"/>
      </tp>
      <tp>
        <v>30.3</v>
        <stp/>
        <stp>5511</stp>
        <stp>Price</stp>
        <tr r="X1489" s="57"/>
      </tp>
      <tp>
        <v>7.7</v>
        <stp/>
        <stp>5521</stp>
        <stp>Price</stp>
        <tr r="X1496" s="57"/>
      </tp>
      <tp>
        <v>9.6</v>
        <stp/>
        <stp>5531</stp>
        <stp>Price</stp>
        <tr r="X1500" s="57"/>
      </tp>
      <tp>
        <v>212.5</v>
        <stp/>
        <stp>5871</stp>
        <stp>Price</stp>
        <tr r="X1339" s="57"/>
        <tr r="X21" s="118"/>
      </tp>
      <tp>
        <v>108</v>
        <stp/>
        <stp>8261</stp>
        <stp>Price</stp>
        <tr r="X693" s="57"/>
      </tp>
      <tp>
        <v>41.95</v>
        <stp/>
        <stp>8271</stp>
        <stp>Price</stp>
        <tr r="X694" s="57"/>
      </tp>
      <tp>
        <v>11.6</v>
        <stp/>
        <stp>8201</stp>
        <stp>Price</stp>
        <tr r="X1773" s="57"/>
      </tp>
      <tp t="s">
        <v>無資料</v>
        <stp/>
        <stp>8291</stp>
        <stp>Price</stp>
        <tr r="X1224" s="57"/>
      </tp>
      <tp>
        <v>212</v>
        <stp/>
        <stp>8341</stp>
        <stp>Price</stp>
        <tr r="X1366" s="57"/>
      </tp>
      <tp>
        <v>22.6</v>
        <stp/>
        <stp>8071</stp>
        <stp>Price</stp>
        <tr r="X1210" s="57"/>
      </tp>
      <tp>
        <v>15.2</v>
        <stp/>
        <stp>8011</stp>
        <stp>Price</stp>
        <tr r="X1008" s="57"/>
      </tp>
      <tp>
        <v>32.950000000000003</v>
        <stp/>
        <stp>8021</stp>
        <stp>Price</stp>
        <tr r="X1768" s="57"/>
      </tp>
      <tp>
        <v>203.5</v>
        <stp/>
        <stp>8081</stp>
        <stp>Price</stp>
        <tr r="X25" s="114"/>
        <tr r="X687" s="57"/>
      </tp>
      <tp>
        <v>82.4</v>
        <stp/>
        <stp>8091</stp>
        <stp>Price</stp>
        <tr r="X1213" s="57"/>
      </tp>
      <tp>
        <v>49.35</v>
        <stp/>
        <stp>8171</stp>
        <stp>Price</stp>
        <tr r="X1015" s="57"/>
      </tp>
      <tp>
        <v>2.33</v>
        <stp/>
        <stp>8101</stp>
        <stp>Price</stp>
        <tr r="X1014" s="57"/>
      </tp>
      <tp>
        <v>21.7</v>
        <stp/>
        <stp>8111</stp>
        <stp>Price</stp>
        <tr r="X925" s="57"/>
      </tp>
      <tp>
        <v>29.2</v>
        <stp/>
        <stp>8121</stp>
        <stp>Price</stp>
        <tr r="X1217" s="57"/>
      </tp>
      <tp>
        <v>39.450000000000003</v>
        <stp/>
        <stp>8131</stp>
        <stp>Price</stp>
        <tr r="X691" s="57"/>
      </tp>
      <tp>
        <v>15.85</v>
        <stp/>
        <stp>8401</stp>
        <stp>Price</stp>
        <tr r="X1369" s="57"/>
      </tp>
      <tp>
        <v>16.149999999999999</v>
        <stp/>
        <stp>8411</stp>
        <stp>Price</stp>
        <tr r="X1371" s="57"/>
      </tp>
      <tp>
        <v>15.35</v>
        <stp/>
        <stp>8421</stp>
        <stp>Price</stp>
        <tr r="X1374" s="57"/>
      </tp>
      <tp>
        <v>55.5</v>
        <stp/>
        <stp>8431</stp>
        <stp>Price</stp>
        <tr r="X1775" s="57"/>
      </tp>
      <tp>
        <v>66.599999999999994</v>
        <stp/>
        <stp>8481</stp>
        <stp>Price</stp>
        <tr r="X1392" s="57"/>
        <tr r="X77" s="114"/>
      </tp>
      <tp>
        <v>39.15</v>
        <stp/>
        <stp>8941</stp>
        <stp>Price</stp>
        <tr r="X1673" s="57"/>
      </tp>
      <tp>
        <v>15.35</v>
        <stp/>
        <stp>8921</stp>
        <stp>Price</stp>
        <tr r="X1399" s="57"/>
      </tp>
      <tp>
        <v>31.65</v>
        <stp/>
        <stp>8931</stp>
        <stp>Price</stp>
        <tr r="X1681" s="57"/>
      </tp>
      <tp>
        <v>207</v>
        <stp/>
        <stp>9941</stp>
        <stp>Price</stp>
        <tr r="X1433" s="57"/>
      </tp>
      <tp>
        <v>67.5</v>
        <stp/>
        <stp>9951</stp>
        <stp>Price</stp>
        <tr r="X97" s="114"/>
        <tr r="X222" s="57"/>
      </tp>
      <tp>
        <v>62.5</v>
        <stp/>
        <stp>9911</stp>
        <stp>Price</stp>
        <tr r="X1416" s="57"/>
      </tp>
      <tp>
        <v>227.5</v>
        <stp/>
        <stp>9921</stp>
        <stp>Price</stp>
        <tr r="X1420" s="57"/>
      </tp>
      <tp>
        <v>39.799999999999997</v>
        <stp/>
        <stp>9931</stp>
        <stp>Price</stp>
        <tr r="X1680" s="57"/>
      </tp>
      <tp>
        <v>27.35</v>
        <stp/>
        <stp>2206</stp>
        <stp>Price</stp>
        <tr r="X509" s="57"/>
      </tp>
      <tp>
        <v>25.55</v>
        <stp/>
        <stp>2236</stp>
        <stp>Price</stp>
        <tr r="X515" s="57"/>
      </tp>
      <tp>
        <v>25.8</v>
        <stp/>
        <stp>2356</stp>
        <stp>Price</stp>
        <tr r="X706" s="57"/>
      </tp>
      <tp>
        <v>106</v>
        <stp/>
        <stp>2376</stp>
        <stp>Price</stp>
        <tr r="X711" s="57"/>
      </tp>
      <tp>
        <v>27.85</v>
        <stp/>
        <stp>2316</stp>
        <stp>Price</stp>
        <tr r="X1027" s="57"/>
      </tp>
      <tp>
        <v>60.2</v>
        <stp/>
        <stp>2066</stp>
        <stp>Price</stp>
        <tr r="X162" s="57"/>
      </tp>
      <tp>
        <v>58.2</v>
        <stp/>
        <stp>2006</stp>
        <stp>Price</stp>
        <tr r="X433" s="57"/>
      </tp>
      <tp>
        <v>30.25</v>
        <stp/>
        <stp>2106</stp>
        <stp>Price</stp>
        <tr r="X485" s="57"/>
      </tp>
      <tp>
        <v>62.7</v>
        <stp/>
        <stp>2606</stp>
        <stp>Price</stp>
        <tr r="X1519" s="57"/>
        <tr r="X7" s="114"/>
      </tp>
      <tp>
        <v>36.65</v>
        <stp/>
        <stp>2616</stp>
        <stp>Price</stp>
        <tr r="X1677" s="57"/>
      </tp>
      <tp>
        <v>119</v>
        <stp/>
        <stp>2636</stp>
        <stp>Price</stp>
        <tr r="X1533" s="57"/>
      </tp>
      <tp>
        <v>107</v>
        <stp/>
        <stp>2756</stp>
        <stp>Price</stp>
        <tr r="X1577" s="57"/>
      </tp>
      <tp>
        <v>13.7</v>
        <stp/>
        <stp>2706</stp>
        <stp>Price</stp>
        <tr r="X1553" s="57"/>
      </tp>
      <tp>
        <v>26.05</v>
        <stp/>
        <stp>2726</stp>
        <stp>Price</stp>
        <tr r="X1561" s="57"/>
      </tp>
      <tp>
        <v>17.5</v>
        <stp/>
        <stp>2736</stp>
        <stp>Price</stp>
        <tr r="X1567" s="57"/>
      </tp>
      <tp>
        <v>31.8</v>
        <stp/>
        <stp>2466</stp>
        <stp>Price</stp>
        <tr r="X818" s="57"/>
      </tp>
      <tp>
        <v>46.9</v>
        <stp/>
        <stp>2476</stp>
        <stp>Price</stp>
        <tr r="X1051" s="57"/>
      </tp>
      <tp>
        <v>20</v>
        <stp/>
        <stp>2406</stp>
        <stp>Price</stp>
        <tr r="X814" s="57"/>
      </tp>
      <tp>
        <v>21.15</v>
        <stp/>
        <stp>2426</stp>
        <stp>Price</stp>
        <tr r="X816" s="57"/>
      </tp>
      <tp>
        <v>66.8</v>
        <stp/>
        <stp>2436</stp>
        <stp>Price</stp>
        <tr r="X40" s="114"/>
        <tr r="X545" s="57"/>
        <tr r="X9" s="74"/>
      </tp>
      <tp>
        <v>34.65</v>
        <stp/>
        <stp>2486</stp>
        <stp>Price</stp>
        <tr r="X819" s="57"/>
      </tp>
      <tp t="s">
        <v>無資料</v>
        <stp/>
        <stp>2496</stp>
        <stp>Price</stp>
        <tr r="X1319" s="57"/>
      </tp>
      <tp>
        <v>52.2</v>
        <stp/>
        <stp>2546</stp>
        <stp>Price</stp>
        <tr r="X1468" s="57"/>
      </tp>
      <tp>
        <v>9.58</v>
        <stp/>
        <stp>2506</stp>
        <stp>Price</stp>
        <tr r="X1449" s="57"/>
      </tp>
      <tp>
        <v>5.28</v>
        <stp/>
        <stp>2516</stp>
        <stp>Price</stp>
        <tr r="X1452" s="57"/>
      </tp>
      <tp>
        <v>20.6</v>
        <stp/>
        <stp>2536</stp>
        <stp>Price</stp>
        <tr r="X1460" s="57"/>
      </tp>
      <tp>
        <v>20.3</v>
        <stp/>
        <stp>2596</stp>
        <stp>Price</stp>
        <tr r="X1471" s="57"/>
      </tp>
      <tp>
        <v>18.2</v>
        <stp/>
        <stp>2816</stp>
        <stp>Price</stp>
        <tr r="X1596" s="57"/>
      </tp>
      <tp>
        <v>13.3</v>
        <stp/>
        <stp>2836</stp>
        <stp>Price</stp>
        <tr r="X1600" s="57"/>
      </tp>
      <tp>
        <v>38.35</v>
        <stp/>
        <stp>2886</stp>
        <stp>Price</stp>
        <tr r="X1615" s="57"/>
        <tr r="X15" s="118"/>
      </tp>
      <tp>
        <v>17.149999999999999</v>
        <stp/>
        <stp>2906</stp>
        <stp>Price</stp>
        <tr r="X1644" s="57"/>
      </tp>
      <tp>
        <v>23.1</v>
        <stp/>
        <stp>2916</stp>
        <stp>Price</stp>
        <tr r="X1651" s="57"/>
      </tp>
      <tp>
        <v>54</v>
        <stp/>
        <stp>2926</stp>
        <stp>Price</stp>
        <tr r="X1779" s="57"/>
      </tp>
      <tp>
        <v>39.1</v>
        <stp/>
        <stp>2936</stp>
        <stp>Price</stp>
        <tr r="X1653" s="57"/>
      </tp>
      <tp>
        <v>13.05</v>
        <stp/>
        <stp>3266</stp>
        <stp>Price</stp>
        <tr r="X1478" s="57"/>
      </tp>
      <tp>
        <v>16.95</v>
        <stp/>
        <stp>3276</stp>
        <stp>Price</stp>
        <tr r="X1080" s="57"/>
      </tp>
      <tp>
        <v>27.7</v>
        <stp/>
        <stp>3206</stp>
        <stp>Price</stp>
        <tr r="X1075" s="57"/>
      </tp>
      <tp t="s">
        <v>無資料</v>
        <stp/>
        <stp>3226</stp>
        <stp>Price</stp>
        <tr r="X172" s="57"/>
      </tp>
      <tp>
        <v>21.5</v>
        <stp/>
        <stp>3236</stp>
        <stp>Price</stp>
        <tr r="X1079" s="57"/>
      </tp>
      <tp>
        <v>15.5</v>
        <stp/>
        <stp>3296</stp>
        <stp>Price</stp>
        <tr r="X1084" s="57"/>
      </tp>
      <tp>
        <v>28.55</v>
        <stp/>
        <stp>3346</stp>
        <stp>Price</stp>
        <tr r="X521" s="57"/>
      </tp>
      <tp>
        <v>30.9</v>
        <stp/>
        <stp>3356</stp>
        <stp>Price</stp>
        <tr r="X837" s="57"/>
      </tp>
      <tp>
        <v>83.7</v>
        <stp/>
        <stp>3376</stp>
        <stp>Price</stp>
        <tr r="X1094" s="57"/>
      </tp>
      <tp>
        <v>22.25</v>
        <stp/>
        <stp>3306</stp>
        <stp>Price</stp>
        <tr r="X954" s="57"/>
      </tp>
      <tp>
        <v>28.5</v>
        <stp/>
        <stp>3046</stp>
        <stp>Price</stp>
        <tr r="X730" s="57"/>
      </tp>
      <tp>
        <v>34.6</v>
        <stp/>
        <stp>3056</stp>
        <stp>Price</stp>
        <tr r="X1476" s="57"/>
      </tp>
      <tp>
        <v>30.15</v>
        <stp/>
        <stp>3066</stp>
        <stp>Price</stp>
        <tr r="X831" s="57"/>
      </tp>
      <tp>
        <v>117</v>
        <stp/>
        <stp>3006</stp>
        <stp>Price</stp>
        <tr r="X90" s="114"/>
        <tr r="X14" s="74"/>
        <tr r="X552" s="57"/>
      </tp>
      <tp>
        <v>96</v>
        <stp/>
        <stp>3016</stp>
        <stp>Price</stp>
        <tr r="X554" s="57"/>
      </tp>
      <tp>
        <v>110.5</v>
        <stp/>
        <stp>3026</stp>
        <stp>Price</stp>
        <tr r="X1062" s="57"/>
      </tp>
      <tp>
        <v>68.7</v>
        <stp/>
        <stp>3036</stp>
        <stp>Price</stp>
        <tr r="X21" s="114"/>
        <tr r="X1235" s="57"/>
      </tp>
      <tp>
        <v>104</v>
        <stp/>
        <stp>3086</stp>
        <stp>Price</stp>
        <tr r="X1782" s="57"/>
      </tp>
      <tp>
        <v>48</v>
        <stp/>
        <stp>3176</stp>
        <stp>Price</stp>
        <tr r="X314" s="57"/>
      </tp>
      <tp>
        <v>26.2</v>
        <stp/>
        <stp>3646</stp>
        <stp>Price</stp>
        <tr r="X1118" s="57"/>
      </tp>
      <tp>
        <v>24.85</v>
        <stp/>
        <stp>3666</stp>
        <stp>Price</stp>
        <tr r="X860" s="57"/>
      </tp>
      <tp>
        <v>13.2</v>
        <stp/>
        <stp>3686</stp>
        <stp>Price</stp>
        <tr r="X597" s="57"/>
      </tp>
      <tp>
        <v>26.65</v>
        <stp/>
        <stp>3706</stp>
        <stp>Price</stp>
        <tr r="X757" s="57"/>
      </tp>
      <tp>
        <v>18.25</v>
        <stp/>
        <stp>3466</stp>
        <stp>Price</stp>
        <tr r="X959" s="57"/>
      </tp>
      <tp>
        <v>352</v>
        <stp/>
        <stp>3406</stp>
        <stp>Price</stp>
        <tr r="X840" s="57"/>
      </tp>
      <tp>
        <v>76.599999999999994</v>
        <stp/>
        <stp>3416</stp>
        <stp>Price</stp>
        <tr r="X743" s="57"/>
      </tp>
      <tp>
        <v>37</v>
        <stp/>
        <stp>3426</stp>
        <stp>Price</stp>
        <tr r="X174" s="57"/>
      </tp>
      <tp>
        <v>77.7</v>
        <stp/>
        <stp>3546</stp>
        <stp>Price</stp>
        <tr r="X1784" s="57"/>
      </tp>
      <tp>
        <v>76.8</v>
        <stp/>
        <stp>3556</stp>
        <stp>Price</stp>
        <tr r="X588" s="57"/>
      </tp>
      <tp>
        <v>20.6</v>
        <stp/>
        <stp>3576</stp>
        <stp>Price</stp>
        <tr r="X854" s="57"/>
      </tp>
      <tp>
        <v>15.8</v>
        <stp/>
        <stp>3516</stp>
        <stp>Price</stp>
        <tr r="X849" s="57"/>
      </tp>
      <tp>
        <v>160.5</v>
        <stp/>
        <stp>3526</stp>
        <stp>Price</stp>
        <tr r="X100" s="114"/>
        <tr r="X1105" s="57"/>
      </tp>
      <tp>
        <v>4.8899999999999997</v>
        <stp/>
        <stp>3536</stp>
        <stp>Price</stp>
        <tr r="X585" s="57"/>
      </tp>
      <tp>
        <v>111</v>
        <stp/>
        <stp>3596</stp>
        <stp>Price</stp>
        <tr r="X964" s="57"/>
      </tp>
      <tp>
        <v>260.5</v>
        <stp/>
        <stp>1256</stp>
        <stp>Price</stp>
        <tr r="X32" s="57"/>
      </tp>
      <tp>
        <v>66.3</v>
        <stp/>
        <stp>1216</stp>
        <stp>Price</stp>
        <tr r="X18" s="57"/>
        <tr r="X28" s="118"/>
      </tp>
      <tp>
        <v>27.5</v>
        <stp/>
        <stp>1236</stp>
        <stp>Price</stp>
        <tr r="X31" s="57"/>
      </tp>
      <tp>
        <v>19.850000000000001</v>
        <stp/>
        <stp>1316</stp>
        <stp>Price</stp>
        <tr r="X1440" s="57"/>
      </tp>
      <tp>
        <v>78.2</v>
        <stp/>
        <stp>1326</stp>
        <stp>Price</stp>
        <tr r="X58" s="57"/>
        <tr r="X11" s="118"/>
      </tp>
      <tp>
        <v>18.649999999999999</v>
        <stp/>
        <stp>1336</stp>
        <stp>Price</stp>
        <tr r="X1019" s="57"/>
      </tp>
      <tp>
        <v>9.02</v>
        <stp/>
        <stp>1616</stp>
        <stp>Price</stp>
        <tr r="X234" s="57"/>
      </tp>
      <tp>
        <v>20.25</v>
        <stp/>
        <stp>1626</stp>
        <stp>Price</stp>
        <tr r="X237" s="57"/>
      </tp>
      <tp>
        <v>19.95</v>
        <stp/>
        <stp>1776</stp>
        <stp>Price</stp>
        <tr r="X264" s="57"/>
      </tp>
      <tp>
        <v>71.900000000000006</v>
        <stp/>
        <stp>1726</stp>
        <stp>Price</stp>
        <tr r="X257" s="57"/>
      </tp>
      <tp>
        <v>52.5</v>
        <stp/>
        <stp>1736</stp>
        <stp>Price</stp>
        <tr r="X298" s="57"/>
      </tp>
      <tp>
        <v>42.5</v>
        <stp/>
        <stp>1786</stp>
        <stp>Price</stp>
        <tr r="X306" s="57"/>
      </tp>
      <tp>
        <v>44.5</v>
        <stp/>
        <stp>1796</stp>
        <stp>Price</stp>
        <tr r="X37" s="57"/>
      </tp>
      <tp>
        <v>32.5</v>
        <stp/>
        <stp>1446</stp>
        <stp>Price</stp>
        <tr r="X86" s="57"/>
      </tp>
      <tp>
        <v>19.75</v>
        <stp/>
        <stp>1456</stp>
        <stp>Price</stp>
        <tr r="X94" s="57"/>
      </tp>
      <tp>
        <v>13.95</v>
        <stp/>
        <stp>1466</stp>
        <stp>Price</stp>
        <tr r="X101" s="57"/>
      </tp>
      <tp>
        <v>505</v>
        <stp/>
        <stp>1476</stp>
        <stp>Price</stp>
        <tr r="X29" s="28"/>
        <tr r="X109" s="57"/>
      </tp>
      <tp>
        <v>65.3</v>
        <stp/>
        <stp>1436</stp>
        <stp>Price</stp>
        <tr r="X1441" s="57"/>
      </tp>
      <tp>
        <v>18.05</v>
        <stp/>
        <stp>1506</stp>
        <stp>Price</stp>
        <tr r="X130" s="57"/>
      </tp>
      <tp>
        <v>22.5</v>
        <stp/>
        <stp>1516</stp>
        <stp>Price</stp>
        <tr r="X1309" s="57"/>
        <tr r="X1312" s="57"/>
      </tp>
      <tp>
        <v>46.45</v>
        <stp/>
        <stp>1526</stp>
        <stp>Price</stp>
        <tr r="X137" s="57"/>
      </tp>
      <tp>
        <v>73</v>
        <stp/>
        <stp>1536</stp>
        <stp>Price</stp>
        <tr r="X503" s="57"/>
      </tp>
      <tp>
        <v>38.6</v>
        <stp/>
        <stp>1586</stp>
        <stp>Price</stp>
        <tr r="X155" s="57"/>
      </tp>
      <tp>
        <v>11.05</v>
        <stp/>
        <stp>1806</stp>
        <stp>Price</stp>
        <tr r="X418" s="57"/>
      </tp>
      <tp>
        <v>19.25</v>
        <stp/>
        <stp>1906</stp>
        <stp>Price</stp>
        <tr r="X427" s="57"/>
      </tp>
      <tp>
        <v>13.8</v>
        <stp/>
        <stp>6246</stp>
        <stp>Price</stp>
        <tr r="X905" s="57"/>
        <tr r="X900" s="57"/>
      </tp>
      <tp>
        <v>22.8</v>
        <stp/>
        <stp>6266</stp>
        <stp>Price</stp>
        <tr r="X1185" s="57"/>
      </tp>
      <tp>
        <v>16.5</v>
        <stp/>
        <stp>6276</stp>
        <stp>Price</stp>
        <tr r="X789" s="57"/>
      </tp>
      <tp>
        <v>74.400000000000006</v>
        <stp/>
        <stp>6206</stp>
        <stp>Price</stp>
        <tr r="X785" s="57"/>
      </tp>
      <tp>
        <v>28.45</v>
        <stp/>
        <stp>6216</stp>
        <stp>Price</stp>
        <tr r="X990" s="57"/>
      </tp>
      <tp>
        <v>11.1</v>
        <stp/>
        <stp>6226</stp>
        <stp>Price</stp>
        <tr r="X902" s="57"/>
      </tp>
      <tp>
        <v>19</v>
        <stp/>
        <stp>6236</stp>
        <stp>Price</stp>
        <tr r="X1343" s="57"/>
      </tp>
      <tp>
        <v>13.05</v>
        <stp/>
        <stp>6016</stp>
        <stp>Price</stp>
        <tr r="X1630" s="57"/>
      </tp>
      <tp>
        <v>16.7</v>
        <stp/>
        <stp>6026</stp>
        <stp>Price</stp>
        <tr r="X1635" s="57"/>
      </tp>
      <tp>
        <v>191.5</v>
        <stp/>
        <stp>6146</stp>
        <stp>Price</stp>
        <tr r="X1746" s="57"/>
      </tp>
      <tp>
        <v>17.95</v>
        <stp/>
        <stp>6156</stp>
        <stp>Price</stp>
        <tr r="X1163" s="57"/>
      </tp>
      <tp>
        <v>56.4</v>
        <stp/>
        <stp>6166</stp>
        <stp>Price</stp>
        <tr r="X783" s="57"/>
      </tp>
      <tp>
        <v>100</v>
        <stp/>
        <stp>6176</stp>
        <stp>Price</stp>
        <tr r="X17" s="74"/>
        <tr r="X898" s="57"/>
        <tr r="X89" s="114"/>
      </tp>
      <tp>
        <v>12.25</v>
        <stp/>
        <stp>6116</stp>
        <stp>Price</stp>
        <tr r="X892" s="57"/>
      </tp>
      <tp>
        <v>23.3</v>
        <stp/>
        <stp>6126</stp>
        <stp>Price</stp>
        <tr r="X1156" s="57"/>
      </tp>
      <tp>
        <v>18.45</v>
        <stp/>
        <stp>6136</stp>
        <stp>Price</stp>
        <tr r="X983" s="57"/>
      </tp>
      <tp>
        <v>26.85</v>
        <stp/>
        <stp>6186</stp>
        <stp>Price</stp>
        <tr r="X1507" s="57"/>
      </tp>
      <tp>
        <v>123</v>
        <stp/>
        <stp>6196</stp>
        <stp>Price</stp>
        <tr r="X1750" s="57"/>
      </tp>
      <tp>
        <v>52.5</v>
        <stp/>
        <stp>6666</stp>
        <stp>Price</stp>
        <tr r="X402" s="57"/>
      </tp>
      <tp>
        <v>20.5</v>
        <stp/>
        <stp>6616</stp>
        <stp>Price</stp>
        <tr r="X1349" s="57"/>
      </tp>
      <tp>
        <v>279</v>
        <stp/>
        <stp>6756</stp>
        <stp>Price</stp>
        <tr r="X74" s="114"/>
        <tr r="X677" s="57"/>
      </tp>
      <tp>
        <v>42.3</v>
        <stp/>
        <stp>6776</stp>
        <stp>Price</stp>
        <tr r="X1255" s="57"/>
      </tp>
      <tp>
        <v>152.5</v>
        <stp/>
        <stp>6706</stp>
        <stp>Price</stp>
        <tr r="X917" s="57"/>
      </tp>
      <tp>
        <v>149.5</v>
        <stp/>
        <stp>6716</stp>
        <stp>Price</stp>
        <tr r="X674" s="57"/>
      </tp>
      <tp>
        <v>390</v>
        <stp/>
        <stp>6446</stp>
        <stp>Price</stp>
        <tr r="X38" s="118"/>
        <tr r="X379" s="57"/>
      </tp>
      <tp>
        <v>83.4</v>
        <stp/>
        <stp>6456</stp>
        <stp>Price</stp>
        <tr r="X82" s="114"/>
        <tr r="X912" s="57"/>
      </tp>
      <tp>
        <v>79.2</v>
        <stp/>
        <stp>6416</stp>
        <stp>Price</stp>
        <tr r="X996" s="57"/>
      </tp>
      <tp>
        <v>64.3</v>
        <stp/>
        <stp>6426</stp>
        <stp>Price</stp>
        <tr r="X998" s="57"/>
      </tp>
      <tp>
        <v>72.3</v>
        <stp/>
        <stp>6486</stp>
        <stp>Price</stp>
        <tr r="X1001" s="57"/>
      </tp>
      <tp>
        <v>27.2</v>
        <stp/>
        <stp>6496</stp>
        <stp>Price</stp>
        <tr r="X385" s="57"/>
      </tp>
      <tp>
        <v>61.3</v>
        <stp/>
        <stp>6556</stp>
        <stp>Price</stp>
        <tr r="X914" s="57"/>
      </tp>
      <tp>
        <v>114.5</v>
        <stp/>
        <stp>6576</stp>
        <stp>Price</stp>
        <tr r="X394" s="57"/>
      </tp>
      <tp>
        <v>21.75</v>
        <stp/>
        <stp>6506</stp>
        <stp>Price</stp>
        <tr r="X285" s="57"/>
      </tp>
      <tp>
        <v>87</v>
        <stp/>
        <stp>6516</stp>
        <stp>Price</stp>
        <tr r="X1295" s="57"/>
      </tp>
      <tp>
        <v>44.8</v>
        <stp/>
        <stp>6596</stp>
        <stp>Price</stp>
        <tr r="X1798" s="57"/>
      </tp>
      <tp>
        <v>94.9</v>
        <stp/>
        <stp>6806</stp>
        <stp>Price</stp>
        <tr r="X1363" s="57"/>
        <tr r="X62" s="28"/>
      </tp>
      <tp>
        <v>86.7</v>
        <stp/>
        <stp>6826</stp>
        <stp>Price</stp>
        <tr r="X1767" s="57"/>
      </tp>
      <tp>
        <v>112.5</v>
        <stp/>
        <stp>7556</stp>
        <stp>Price</stp>
        <tr r="X681" s="57"/>
      </tp>
      <tp>
        <v>14.7</v>
        <stp/>
        <stp>4306</stp>
        <stp>Price</stp>
        <tr r="X65" s="57"/>
      </tp>
      <tp>
        <v>28.4</v>
        <stp/>
        <stp>4106</stp>
        <stp>Price</stp>
        <tr r="X321" s="57"/>
      </tp>
      <tp>
        <v>51.4</v>
        <stp/>
        <stp>4116</stp>
        <stp>Price</stp>
        <tr r="X327" s="57"/>
      </tp>
      <tp>
        <v>69.900000000000006</v>
        <stp/>
        <stp>4126</stp>
        <stp>Price</stp>
        <tr r="X332" s="57"/>
      </tp>
      <tp>
        <v>55.3</v>
        <stp/>
        <stp>4746</stp>
        <stp>Price</stp>
        <tr r="X373" s="57"/>
      </tp>
      <tp>
        <v>124.5</v>
        <stp/>
        <stp>4766</stp>
        <stp>Price</stp>
        <tr r="X281" s="57"/>
      </tp>
      <tp>
        <v>17.8</v>
        <stp/>
        <stp>4706</stp>
        <stp>Price</stp>
        <tr r="X267" s="57"/>
      </tp>
      <tp>
        <v>14.7</v>
        <stp/>
        <stp>4716</stp>
        <stp>Price</stp>
        <tr r="X271" s="57"/>
      </tp>
      <tp>
        <v>36.299999999999997</v>
        <stp/>
        <stp>4726</stp>
        <stp>Price</stp>
        <tr r="X365" s="57"/>
      </tp>
      <tp>
        <v>227</v>
        <stp/>
        <stp>4736</stp>
        <stp>Price</stp>
        <tr r="X368" s="57"/>
      </tp>
      <tp>
        <v>10.15</v>
        <stp/>
        <stp>4406</stp>
        <stp>Price</stp>
        <tr r="X113" s="57"/>
      </tp>
      <tp>
        <v>94</v>
        <stp/>
        <stp>4416</stp>
        <stp>Price</stp>
        <tr r="X1482" s="57"/>
      </tp>
      <tp>
        <v>24.35</v>
        <stp/>
        <stp>4426</stp>
        <stp>Price</stp>
        <tr r="X119" s="57"/>
      </tp>
      <tp t="s">
        <v>無資料</v>
        <stp/>
        <stp>4556</stp>
        <stp>Price</stp>
        <tr r="X1330" s="57"/>
      </tp>
      <tp>
        <v>41.7</v>
        <stp/>
        <stp>4566</stp>
        <stp>Price</stp>
        <tr r="X202" s="57"/>
      </tp>
      <tp>
        <v>96.4</v>
        <stp/>
        <stp>4576</stp>
        <stp>Price</stp>
        <tr r="X206" s="57"/>
      </tp>
      <tp>
        <v>68.3</v>
        <stp/>
        <stp>4506</stp>
        <stp>Price</stp>
        <tr r="X177" s="57"/>
      </tp>
      <tp>
        <v>14.6</v>
        <stp/>
        <stp>4526</stp>
        <stp>Price</stp>
        <tr r="X181" s="57"/>
      </tp>
      <tp>
        <v>121</v>
        <stp/>
        <stp>4536</stp>
        <stp>Price</stp>
        <tr r="X1328" s="57"/>
      </tp>
      <tp>
        <v>10</v>
        <stp/>
        <stp>4806</stp>
        <stp>Price</stp>
        <tr r="X1786" s="57"/>
      </tp>
      <tp>
        <v>69.2</v>
        <stp/>
        <stp>4946</stp>
        <stp>Price</stp>
        <tr r="X1787" s="57"/>
      </tp>
      <tp>
        <v>18.8</v>
        <stp/>
        <stp>4956</stp>
        <stp>Price</stp>
        <tr r="X873" s="57"/>
      </tp>
      <tp>
        <v>1455</v>
        <stp/>
        <stp>4966</stp>
        <stp>Price</stp>
        <tr r="X605" s="57"/>
      </tp>
      <tp>
        <v>44.6</v>
        <stp/>
        <stp>4976</stp>
        <stp>Price</stp>
        <tr r="X876" s="57"/>
      </tp>
      <tp>
        <v>28.9</v>
        <stp/>
        <stp>4906</stp>
        <stp>Price</stp>
        <tr r="X974" s="57"/>
      </tp>
      <tp>
        <v>24.1</v>
        <stp/>
        <stp>4916</stp>
        <stp>Price</stp>
        <tr r="X760" s="57"/>
      </tp>
      <tp>
        <v>12.4</v>
        <stp/>
        <stp>5276</stp>
        <stp>Price</stp>
        <tr r="X1332" s="57"/>
      </tp>
      <tp>
        <v>14.15</v>
        <stp/>
        <stp>5206</stp>
        <stp>Price</stp>
        <tr r="X1484" s="57"/>
      </tp>
      <tp>
        <v>115.5</v>
        <stp/>
        <stp>5236</stp>
        <stp>Price</stp>
        <tr r="X612" s="57"/>
      </tp>
      <tp>
        <v>23.6</v>
        <stp/>
        <stp>5356</stp>
        <stp>Price</stp>
        <tr r="X769" s="57"/>
      </tp>
      <tp>
        <v>165.5</v>
        <stp/>
        <stp>5306</stp>
        <stp>Price</stp>
        <tr r="X1334" s="57"/>
      </tp>
      <tp>
        <v>40.1</v>
        <stp/>
        <stp>5386</stp>
        <stp>Price</stp>
        <tr r="X770" s="57"/>
      </tp>
      <tp>
        <v>37.700000000000003</v>
        <stp/>
        <stp>5016</stp>
        <stp>Price</stp>
        <tr r="X470" s="57"/>
      </tp>
      <tp>
        <v>70</v>
        <stp/>
        <stp>5706</stp>
        <stp>Price</stp>
        <tr r="X1586" s="57"/>
      </tp>
      <tp>
        <v>10.3</v>
        <stp/>
        <stp>5426</stp>
        <stp>Price</stp>
        <tr r="X771" s="57"/>
      </tp>
      <tp>
        <v>55</v>
        <stp/>
        <stp>5546</stp>
        <stp>Price</stp>
        <tr r="X1504" s="57"/>
      </tp>
      <tp>
        <v>16.95</v>
        <stp/>
        <stp>5516</stp>
        <stp>Price</stp>
        <tr r="X1493" s="57"/>
      </tp>
      <tp>
        <v>197.5</v>
        <stp/>
        <stp>5536</stp>
        <stp>Price</stp>
        <tr r="X1744" s="57"/>
      </tp>
      <tp>
        <v>46.85</v>
        <stp/>
        <stp>5876</stp>
        <stp>Price</stp>
        <tr r="X1625" s="57"/>
      </tp>
      <tp>
        <v>34.049999999999997</v>
        <stp/>
        <stp>5906</stp>
        <stp>Price</stp>
        <tr r="X1664" s="57"/>
      </tp>
      <tp>
        <v>391</v>
        <stp/>
        <stp>8046</stp>
        <stp>Price</stp>
        <tr r="X1209" s="57"/>
      </tp>
      <tp>
        <v>29</v>
        <stp/>
        <stp>8066</stp>
        <stp>Price</stp>
        <tr r="X1668" s="57"/>
      </tp>
      <tp>
        <v>27.15</v>
        <stp/>
        <stp>8076</stp>
        <stp>Price</stp>
        <tr r="X800" s="57"/>
      </tp>
      <tp>
        <v>243</v>
        <stp/>
        <stp>8016</stp>
        <stp>Price</stp>
        <tr r="X86" s="114"/>
        <tr r="X682" s="57"/>
      </tp>
      <tp>
        <v>83.4</v>
        <stp/>
        <stp>8086</stp>
        <stp>Price</stp>
        <tr r="X688" s="57"/>
      </tp>
      <tp>
        <v>12.5</v>
        <stp/>
        <stp>8096</stp>
        <stp>Price</stp>
        <tr r="X1262" s="57"/>
      </tp>
      <tp>
        <v>10.050000000000001</v>
        <stp/>
        <stp>8176</stp>
        <stp>Price</stp>
        <tr r="X1016" s="57"/>
      </tp>
      <tp>
        <v>73.599999999999994</v>
        <stp/>
        <stp>8446</stp>
        <stp>Price</stp>
        <tr r="X1799" s="57"/>
      </tp>
      <tp>
        <v>41.35</v>
        <stp/>
        <stp>8466</stp>
        <stp>Price</stp>
        <tr r="X1386" s="57"/>
      </tp>
      <tp>
        <v>58.1</v>
        <stp/>
        <stp>8476</stp>
        <stp>Price</stp>
        <tr r="X1389" s="57"/>
      </tp>
      <tp t="s">
        <v>商品錯誤</v>
        <stp/>
        <stp>8406</stp>
        <stp>Price</stp>
        <tr r="X411" s="57"/>
      </tp>
      <tp>
        <v>130</v>
        <stp/>
        <stp>8416</stp>
        <stp>Price</stp>
        <tr r="X1304" s="57"/>
      </tp>
      <tp>
        <v>15.4</v>
        <stp/>
        <stp>8426</stp>
        <stp>Price</stp>
        <tr r="X1377" s="57"/>
      </tp>
      <tp>
        <v>148</v>
        <stp/>
        <stp>8436</stp>
        <stp>Price</stp>
        <tr r="X414" s="57"/>
        <tr r="X93" s="114"/>
      </tp>
      <tp>
        <v>18.600000000000001</v>
        <stp/>
        <stp>8906</stp>
        <stp>Price</stp>
        <tr r="X1397" s="57"/>
      </tp>
      <tp>
        <v>43.25</v>
        <stp/>
        <stp>8916</stp>
        <stp>Price</stp>
        <tr r="X1398" s="57"/>
      </tp>
      <tp>
        <v>37.200000000000003</v>
        <stp/>
        <stp>8926</stp>
        <stp>Price</stp>
        <tr r="X1678" s="57"/>
      </tp>
      <tp>
        <v>20.5</v>
        <stp/>
        <stp>8936</stp>
        <stp>Price</stp>
        <tr r="X32" s="28"/>
        <tr r="X1406" s="57"/>
        <tr r="X76" s="22"/>
        <tr r="X77" s="22"/>
        <tr r="X78" s="22"/>
      </tp>
      <tp>
        <v>52.3</v>
        <stp/>
        <stp>8996</stp>
        <stp>Price</stp>
        <tr r="X221" s="57"/>
      </tp>
      <tp>
        <v>12.1</v>
        <stp/>
        <stp>9946</stp>
        <stp>Price</stp>
        <tr r="X1513" s="57"/>
      </tp>
      <tp>
        <v>57.5</v>
        <stp/>
        <stp>9906</stp>
        <stp>Price</stp>
        <tr r="X1512" s="57"/>
      </tp>
      <tp>
        <v>50.5</v>
        <stp/>
        <stp>9926</stp>
        <stp>Price</stp>
        <tr r="X1683" s="57"/>
      </tp>
      <tp>
        <v>206.5</v>
        <stp/>
        <stp>2247</stp>
        <stp>Price</stp>
        <tr r="X518" s="57"/>
      </tp>
      <tp>
        <v>567</v>
        <stp/>
        <stp>2207</stp>
        <stp>Price</stp>
        <tr r="X510" s="57"/>
        <tr r="X29" s="118"/>
      </tp>
      <tp>
        <v>226</v>
        <stp/>
        <stp>2227</stp>
        <stp>Price</stp>
        <tr r="X511" s="57"/>
      </tp>
      <tp>
        <v>71.099999999999994</v>
        <stp/>
        <stp>2347</stp>
        <stp>Price</stp>
        <tr r="X1228" s="57"/>
      </tp>
      <tp>
        <v>349.5</v>
        <stp/>
        <stp>2357</stp>
        <stp>Price</stp>
        <tr r="X707" s="57"/>
      </tp>
      <tp>
        <v>16.05</v>
        <stp/>
        <stp>2367</stp>
        <stp>Price</stp>
        <tr r="X1031" s="57"/>
      </tp>
      <tp>
        <v>130</v>
        <stp/>
        <stp>2377</stp>
        <stp>Price</stp>
        <tr r="X712" s="57"/>
      </tp>
      <tp>
        <v>103</v>
        <stp/>
        <stp>2317</stp>
        <stp>Price</stp>
        <tr r="X2" s="118"/>
        <tr r="X1693" s="57"/>
      </tp>
      <tp>
        <v>392</v>
        <stp/>
        <stp>2327</stp>
        <stp>Price</stp>
        <tr r="X19" s="114"/>
        <tr r="X1028" s="57"/>
      </tp>
      <tp>
        <v>37.6</v>
        <stp/>
        <stp>2337</stp>
        <stp>Price</stp>
        <tr r="X533" s="57"/>
      </tp>
      <tp>
        <v>35.5</v>
        <stp/>
        <stp>2387</stp>
        <stp>Price</stp>
        <tr r="X36" s="28"/>
        <tr r="X103" s="22"/>
        <tr r="X34" s="114"/>
        <tr r="X715" s="57"/>
      </tp>
      <tp>
        <v>60.1</v>
        <stp/>
        <stp>2397</stp>
        <stp>Price</stp>
        <tr r="X717" s="57"/>
      </tp>
      <tp>
        <v>13.65</v>
        <stp/>
        <stp>2067</stp>
        <stp>Price</stp>
        <tr r="X163" s="57"/>
      </tp>
      <tp>
        <v>14.95</v>
        <stp/>
        <stp>2007</stp>
        <stp>Price</stp>
        <tr r="X434" s="57"/>
      </tp>
      <tp>
        <v>15.6</v>
        <stp/>
        <stp>2017</stp>
        <stp>Price</stp>
        <tr r="X442" s="57"/>
      </tp>
      <tp>
        <v>44.2</v>
        <stp/>
        <stp>2027</stp>
        <stp>Price</stp>
        <tr r="X448" s="57"/>
      </tp>
      <tp>
        <v>21.75</v>
        <stp/>
        <stp>2107</stp>
        <stp>Price</stp>
        <tr r="X486" s="57"/>
      </tp>
      <tp>
        <v>35.799999999999997</v>
        <stp/>
        <stp>2607</stp>
        <stp>Price</stp>
        <tr r="X1520" s="57"/>
      </tp>
      <tp>
        <v>36.049999999999997</v>
        <stp/>
        <stp>2617</stp>
        <stp>Price</stp>
        <tr r="X1528" s="57"/>
      </tp>
      <tp>
        <v>98</v>
        <stp/>
        <stp>2637</stp>
        <stp>Price</stp>
        <tr r="X1534" s="57"/>
      </tp>
      <tp>
        <v>165.5</v>
        <stp/>
        <stp>2707</stp>
        <stp>Price</stp>
        <tr r="X1554" s="57"/>
      </tp>
      <tp>
        <v>104.5</v>
        <stp/>
        <stp>2727</stp>
        <stp>Price</stp>
        <tr r="X1562" s="57"/>
      </tp>
      <tp>
        <v>37.299999999999997</v>
        <stp/>
        <stp>2457</stp>
        <stp>Price</stp>
        <tr r="X1046" s="57"/>
      </tp>
      <tp>
        <v>42.45</v>
        <stp/>
        <stp>2467</stp>
        <stp>Price</stp>
        <tr r="X1049" s="57"/>
      </tp>
      <tp>
        <v>24.8</v>
        <stp/>
        <stp>2477</stp>
        <stp>Price</stp>
        <tr r="X1705" s="57"/>
      </tp>
      <tp>
        <v>26.75</v>
        <stp/>
        <stp>2417</stp>
        <stp>Price</stp>
        <tr r="X720" s="57"/>
      </tp>
      <tp>
        <v>12.2</v>
        <stp/>
        <stp>2427</stp>
        <stp>Price</stp>
        <tr r="X1266" s="57"/>
      </tp>
      <tp>
        <v>74.599999999999994</v>
        <stp/>
        <stp>2497</stp>
        <stp>Price</stp>
        <tr r="X520" s="57"/>
      </tp>
      <tp>
        <v>9.52</v>
        <stp/>
        <stp>2547</stp>
        <stp>Price</stp>
        <tr r="X1469" s="57"/>
      </tp>
      <tp>
        <v>27.05</v>
        <stp/>
        <stp>2527</stp>
        <stp>Price</stp>
        <tr r="X1455" s="57"/>
      </tp>
      <tp>
        <v>10.050000000000001</v>
        <stp/>
        <stp>2537</stp>
        <stp>Price</stp>
        <tr r="X1461" s="57"/>
      </tp>
      <tp>
        <v>121</v>
        <stp/>
        <stp>2597</stp>
        <stp>Price</stp>
        <tr r="X1472" s="57"/>
      </tp>
      <tp>
        <v>7.09</v>
        <stp/>
        <stp>2867</stp>
        <stp>Price</stp>
        <tr r="X1608" s="57"/>
      </tp>
      <tp>
        <v>17.350000000000001</v>
        <stp/>
        <stp>2887</stp>
        <stp>Price</stp>
        <tr r="X1616" s="57"/>
      </tp>
      <tp>
        <v>8.76</v>
        <stp/>
        <stp>2897</stp>
        <stp>Price</stp>
        <tr r="X1622" s="57"/>
      </tp>
      <tp>
        <v>129.5</v>
        <stp/>
        <stp>2947</stp>
        <stp>Price</stp>
        <tr r="X1657" s="57"/>
      </tp>
      <tp>
        <v>37.65</v>
        <stp/>
        <stp>2937</stp>
        <stp>Price</stp>
        <tr r="X1654" s="57"/>
      </tp>
      <tp>
        <v>70.8</v>
        <stp/>
        <stp>3257</stp>
        <stp>Price</stp>
        <tr r="X569" s="57"/>
      </tp>
      <tp>
        <v>26.9</v>
        <stp/>
        <stp>3207</stp>
        <stp>Price</stp>
        <tr r="X1076" s="57"/>
      </tp>
      <tp>
        <v>89.2</v>
        <stp/>
        <stp>3217</stp>
        <stp>Price</stp>
        <tr r="X13" s="114"/>
        <tr r="X1077" s="57"/>
      </tp>
      <tp>
        <v>112</v>
        <stp/>
        <stp>3227</stp>
        <stp>Price</stp>
        <tr r="X567" s="57"/>
      </tp>
      <tp>
        <v>13.35</v>
        <stp/>
        <stp>3287</stp>
        <stp>Price</stp>
        <tr r="X739" s="57"/>
      </tp>
      <tp>
        <v>15.5</v>
        <stp/>
        <stp>3297</stp>
        <stp>Price</stp>
        <tr r="X835" s="57"/>
      </tp>
      <tp>
        <v>104</v>
        <stp/>
        <stp>3357</stp>
        <stp>Price</stp>
        <tr r="X1093" s="57"/>
        <tr r="X76" s="114"/>
      </tp>
      <tp>
        <v>63.1</v>
        <stp/>
        <stp>3317</stp>
        <stp>Price</stp>
        <tr r="X575" s="57"/>
      </tp>
      <tp>
        <v>10.65</v>
        <stp/>
        <stp>3047</stp>
        <stp>Price</stp>
        <tr r="X945" s="57"/>
      </tp>
      <tp>
        <v>12.25</v>
        <stp/>
        <stp>3057</stp>
        <stp>Price</stp>
        <tr r="X731" s="57"/>
      </tp>
      <tp t="s">
        <v>無資料</v>
        <stp/>
        <stp>3067</stp>
        <stp>Price</stp>
        <tr r="X1712" s="57"/>
      </tp>
      <tp>
        <v>103.5</v>
        <stp/>
        <stp>3017</stp>
        <stp>Price</stp>
        <tr r="X728" s="57"/>
        <tr r="X18" s="114"/>
        <tr r="X5" s="74"/>
      </tp>
      <tp>
        <v>17.149999999999999</v>
        <stp/>
        <stp>3027</stp>
        <stp>Price</stp>
        <tr r="X943" s="57"/>
      </tp>
      <tp>
        <v>212</v>
        <stp/>
        <stp>3037</stp>
        <stp>Price</stp>
        <tr r="X30" s="118"/>
        <tr r="X23" s="114"/>
        <tr r="X1064" s="57"/>
      </tp>
      <tp>
        <v>44.7</v>
        <stp/>
        <stp>3147</stp>
        <stp>Price</stp>
        <tr r="X1305" s="57"/>
      </tp>
      <tp>
        <v>55.9</v>
        <stp/>
        <stp>3167</stp>
        <stp>Price</stp>
        <tr r="X170" s="57"/>
      </tp>
      <tp>
        <v>13.05</v>
        <stp/>
        <stp>3607</stp>
        <stp>Price</stp>
        <tr r="X1113" s="57"/>
      </tp>
      <tp>
        <v>62.4</v>
        <stp/>
        <stp>3617</stp>
        <stp>Price</stp>
        <tr r="X1731" s="57"/>
      </tp>
      <tp>
        <v>131.5</v>
        <stp/>
        <stp>3687</stp>
        <stp>Price</stp>
        <tr r="X1807" s="57"/>
      </tp>
      <tp>
        <v>112</v>
        <stp/>
        <stp>3707</stp>
        <stp>Price</stp>
        <tr r="X598" s="57"/>
      </tp>
      <tp>
        <v>20.75</v>
        <stp/>
        <stp>3437</stp>
        <stp>Price</stp>
        <tr r="X842" s="57"/>
      </tp>
      <tp>
        <v>72.599999999999994</v>
        <stp/>
        <stp>3557</stp>
        <stp>Price</stp>
        <tr r="X1325" s="57"/>
        <tr r="X83" s="114"/>
      </tp>
      <tp>
        <v>34.65</v>
        <stp/>
        <stp>3567</stp>
        <stp>Price</stp>
        <tr r="X589" s="57"/>
      </tp>
      <tp>
        <v>79</v>
        <stp/>
        <stp>3577</stp>
        <stp>Price</stp>
        <tr r="X750" s="57"/>
      </tp>
      <tp>
        <v>160</v>
        <stp/>
        <stp>3527</stp>
        <stp>Price</stp>
        <tr r="X581" s="57"/>
      </tp>
      <tp>
        <v>39.15</v>
        <stp/>
        <stp>3537</stp>
        <stp>Price</stp>
        <tr r="X1107" s="57"/>
      </tp>
      <tp>
        <v>120</v>
        <stp/>
        <stp>3587</stp>
        <stp>Price</stp>
        <tr r="X1730" s="57"/>
      </tp>
      <tp>
        <v>25.7</v>
        <stp/>
        <stp>3597</stp>
        <stp>Price</stp>
        <tr r="X1111" s="57"/>
      </tp>
      <tp>
        <v>10.5</v>
        <stp/>
        <stp>1217</stp>
        <stp>Price</stp>
        <tr r="X19" s="57"/>
      </tp>
      <tp>
        <v>47.55</v>
        <stp/>
        <stp>1227</stp>
        <stp>Price</stp>
        <tr r="X24" s="57"/>
      </tp>
      <tp>
        <v>19.95</v>
        <stp/>
        <stp>1307</stp>
        <stp>Price</stp>
        <tr r="X46" s="57"/>
      </tp>
      <tp>
        <v>6.09</v>
        <stp/>
        <stp>1337</stp>
        <stp>Price</stp>
        <tr r="X59" s="57"/>
      </tp>
      <tp>
        <v>16.649999999999999</v>
        <stp/>
        <stp>1617</stp>
        <stp>Price</stp>
        <tr r="X235" s="57"/>
      </tp>
      <tp>
        <v>63.5</v>
        <stp/>
        <stp>1777</stp>
        <stp>Price</stp>
        <tr r="X302" s="57"/>
      </tp>
      <tp>
        <v>141.5</v>
        <stp/>
        <stp>1707</stp>
        <stp>Price</stp>
        <tr r="X293" s="57"/>
        <tr r="X49" s="114"/>
      </tp>
      <tp>
        <v>34.799999999999997</v>
        <stp/>
        <stp>1717</stp>
        <stp>Price</stp>
        <tr r="X251" s="57"/>
      </tp>
      <tp>
        <v>38.049999999999997</v>
        <stp/>
        <stp>1727</stp>
        <stp>Price</stp>
        <tr r="X258" s="57"/>
      </tp>
      <tp>
        <v>33.700000000000003</v>
        <stp/>
        <stp>1737</stp>
        <stp>Price</stp>
        <tr r="X36" s="57"/>
      </tp>
      <tp>
        <v>7.88</v>
        <stp/>
        <stp>1447</stp>
        <stp>Price</stp>
        <tr r="X87" s="57"/>
      </tp>
      <tp>
        <v>18.399999999999999</v>
        <stp/>
        <stp>1457</stp>
        <stp>Price</stp>
        <tr r="X95" s="57"/>
      </tp>
      <tp>
        <v>13.8</v>
        <stp/>
        <stp>1467</stp>
        <stp>Price</stp>
        <tr r="X102" s="57"/>
      </tp>
      <tp>
        <v>160</v>
        <stp/>
        <stp>1477</stp>
        <stp>Price</stp>
        <tr r="X11" s="74"/>
        <tr r="X61" s="114"/>
        <tr r="X110" s="57"/>
        <tr r="X53" s="28"/>
      </tp>
      <tp>
        <v>10.9</v>
        <stp/>
        <stp>1417</stp>
        <stp>Price</stp>
        <tr r="X75" s="57"/>
      </tp>
      <tp>
        <v>25</v>
        <stp/>
        <stp>1437</stp>
        <stp>Price</stp>
        <tr r="X1311" s="57"/>
      </tp>
      <tp t="s">
        <v>商品錯誤</v>
        <stp/>
        <stp>1507</stp>
        <stp>Price</stp>
        <tr r="X131" s="57"/>
      </tp>
      <tp>
        <v>20.05</v>
        <stp/>
        <stp>1517</stp>
        <stp>Price</stp>
        <tr r="X135" s="57"/>
      </tp>
      <tp>
        <v>42.75</v>
        <stp/>
        <stp>1527</stp>
        <stp>Price</stp>
        <tr r="X138" s="57"/>
      </tp>
      <tp>
        <v>136.5</v>
        <stp/>
        <stp>1537</stp>
        <stp>Price</stp>
        <tr r="X145" s="57"/>
      </tp>
      <tp>
        <v>23.35</v>
        <stp/>
        <stp>1587</stp>
        <stp>Price</stp>
        <tr r="X505" s="57"/>
      </tp>
      <tp>
        <v>76.099999999999994</v>
        <stp/>
        <stp>1597</stp>
        <stp>Price</stp>
        <tr r="X159" s="57"/>
      </tp>
      <tp>
        <v>35.15</v>
        <stp/>
        <stp>1817</stp>
        <stp>Price</stp>
        <tr r="X421" s="57"/>
      </tp>
      <tp>
        <v>29.8</v>
        <stp/>
        <stp>1907</stp>
        <stp>Price</stp>
        <tr r="X428" s="57"/>
      </tp>
      <tp>
        <v>10.1</v>
        <stp/>
        <stp>6247</stp>
        <stp>Price</stp>
        <tr r="X1753" s="57"/>
      </tp>
      <tp>
        <v>58.7</v>
        <stp/>
        <stp>6257</stp>
        <stp>Price</stp>
        <tr r="X56" s="114"/>
        <tr r="X642" s="57"/>
      </tp>
      <tp>
        <v>80</v>
        <stp/>
        <stp>6277</stp>
        <stp>Price</stp>
        <tr r="X790" s="57"/>
      </tp>
      <tp>
        <v>29.45</v>
        <stp/>
        <stp>6207</stp>
        <stp>Price</stp>
        <tr r="X1176" s="57"/>
      </tp>
      <tp>
        <v>56.7</v>
        <stp/>
        <stp>6217</stp>
        <stp>Price</stp>
        <tr r="X1180" s="57"/>
      </tp>
      <tp>
        <v>36.9</v>
        <stp/>
        <stp>6227</stp>
        <stp>Price</stp>
        <tr r="X1251" s="57"/>
      </tp>
      <tp>
        <v>53.1</v>
        <stp/>
        <stp>6237</stp>
        <stp>Price</stp>
        <tr r="X639" s="57"/>
      </tp>
      <tp>
        <v>7.85</v>
        <stp/>
        <stp>6287</stp>
        <stp>Price</stp>
        <tr r="X645" s="57"/>
      </tp>
      <tp>
        <v>68</v>
        <stp/>
        <stp>6147</stp>
        <stp>Price</stp>
        <tr r="X67" s="114"/>
        <tr r="X632" s="57"/>
      </tp>
      <tp>
        <v>10.85</v>
        <stp/>
        <stp>6167</stp>
        <stp>Price</stp>
        <tr r="X896" s="57"/>
      </tp>
      <tp>
        <v>30.6</v>
        <stp/>
        <stp>6177</stp>
        <stp>Price</stp>
        <tr r="X1506" s="57"/>
      </tp>
      <tp>
        <v>15.2</v>
        <stp/>
        <stp>6117</stp>
        <stp>Price</stp>
        <tr r="X776" s="57"/>
      </tp>
      <tp>
        <v>21.2</v>
        <stp/>
        <stp>6127</stp>
        <stp>Price</stp>
        <tr r="X1157" s="57"/>
      </tp>
      <tp>
        <v>104</v>
        <stp/>
        <stp>6187</stp>
        <stp>Price</stp>
        <tr r="X1748" s="57"/>
      </tp>
      <tp>
        <v>37.6</v>
        <stp/>
        <stp>6197</stp>
        <stp>Price</stp>
        <tr r="X1172" s="57"/>
      </tp>
      <tp>
        <v>77.3</v>
        <stp/>
        <stp>6667</stp>
        <stp>Price</stp>
        <tr r="X1762" s="57"/>
      </tp>
      <tp>
        <v>38.049999999999997</v>
        <stp/>
        <stp>6697</stp>
        <stp>Price</stp>
        <tr r="X1299" s="57"/>
      </tp>
      <tp>
        <v>232.5</v>
        <stp/>
        <stp>6747</stp>
        <stp>Price</stp>
        <tr r="X406" s="57"/>
      </tp>
      <tp t="s">
        <v>無資料</v>
        <stp/>
        <stp>6767</stp>
        <stp>Price</stp>
        <tr r="X408" s="57"/>
      </tp>
      <tp>
        <v>73.400000000000006</v>
        <stp/>
        <stp>6727</stp>
        <stp>Price</stp>
        <tr r="X1202" s="57"/>
      </tp>
      <tp>
        <v>103</v>
        <stp/>
        <stp>6457</stp>
        <stp>Price</stp>
        <tr r="X651" s="57"/>
      </tp>
      <tp>
        <v>54.8</v>
        <stp/>
        <stp>6477</stp>
        <stp>Price</stp>
        <tr r="X913" s="57"/>
        <tr r="X12" s="28"/>
      </tp>
      <tp>
        <v>74.900000000000006</v>
        <stp/>
        <stp>6417</stp>
        <stp>Price</stp>
        <tr r="X997" s="57"/>
      </tp>
      <tp>
        <v>210.5</v>
        <stp/>
        <stp>6547</stp>
        <stp>Price</stp>
        <tr r="X391" s="57"/>
      </tp>
      <tp>
        <v>63</v>
        <stp/>
        <stp>6577</stp>
        <stp>Price</stp>
        <tr r="X794" s="57"/>
      </tp>
      <tp>
        <v>46.25</v>
        <stp/>
        <stp>6527</stp>
        <stp>Price</stp>
        <tr r="X388" s="57"/>
      </tp>
      <tp>
        <v>34.450000000000003</v>
        <stp/>
        <stp>6807</stp>
        <stp>Price</stp>
        <tr r="X1364" s="57"/>
      </tp>
      <tp>
        <v>15.2</v>
        <stp/>
        <stp>4207</stp>
        <stp>Price</stp>
        <tr r="X39" s="57"/>
      </tp>
      <tp>
        <v>59.8</v>
        <stp/>
        <stp>4147</stp>
        <stp>Price</stp>
        <tr r="X344" s="57"/>
      </tp>
      <tp>
        <v>15.55</v>
        <stp/>
        <stp>4157</stp>
        <stp>Price</stp>
        <tr r="X349" s="57"/>
      </tp>
      <tp>
        <v>16.5</v>
        <stp/>
        <stp>4167</stp>
        <stp>Price</stp>
        <tr r="X355" s="57"/>
      </tp>
      <tp>
        <v>106.5</v>
        <stp/>
        <stp>4107</stp>
        <stp>Price</stp>
        <tr r="X322" s="57"/>
      </tp>
      <tp>
        <v>15.65</v>
        <stp/>
        <stp>4127</stp>
        <stp>Price</stp>
        <tr r="X333" s="57"/>
      </tp>
      <tp>
        <v>182</v>
        <stp/>
        <stp>4137</stp>
        <stp>Price</stp>
        <tr r="X57" s="114"/>
        <tr r="X339" s="57"/>
      </tp>
      <tp>
        <v>34.1</v>
        <stp/>
        <stp>4747</stp>
        <stp>Price</stp>
        <tr r="X374" s="57"/>
      </tp>
      <tp>
        <v>29</v>
        <stp/>
        <stp>4767</stp>
        <stp>Price</stp>
        <tr r="X282" s="57"/>
      </tp>
      <tp>
        <v>12.6</v>
        <stp/>
        <stp>4707</stp>
        <stp>Price</stp>
        <tr r="X268" s="57"/>
      </tp>
      <tp>
        <v>71.2</v>
        <stp/>
        <stp>4737</stp>
        <stp>Price</stp>
        <tr r="X369" s="57"/>
      </tp>
      <tp>
        <v>32.6</v>
        <stp/>
        <stp>4417</stp>
        <stp>Price</stp>
        <tr r="X116" s="57"/>
      </tp>
      <tp>
        <v>77.099999999999994</v>
        <stp/>
        <stp>4557</stp>
        <stp>Price</stp>
        <tr r="X523" s="57"/>
      </tp>
      <tp t="s">
        <v>無資料</v>
        <stp/>
        <stp>4527</stp>
        <stp>Price</stp>
        <tr r="X182" s="57"/>
      </tp>
      <tp>
        <v>25.55</v>
        <stp/>
        <stp>4807</stp>
        <stp>Price</stp>
        <tr r="X1659" s="57"/>
      </tp>
      <tp>
        <v>30.55</v>
        <stp/>
        <stp>4967</stp>
        <stp>Price</stp>
        <tr r="X606" s="57"/>
      </tp>
      <tp>
        <v>77.5</v>
        <stp/>
        <stp>4977</stp>
        <stp>Price</stp>
        <tr r="X72" s="114"/>
        <tr r="X977" s="57"/>
      </tp>
      <tp>
        <v>24.4</v>
        <stp/>
        <stp>4907</stp>
        <stp>Price</stp>
        <tr r="X1483" s="57"/>
      </tp>
      <tp>
        <v>96.2</v>
        <stp/>
        <stp>4927</stp>
        <stp>Price</stp>
        <tr r="X3" s="74"/>
        <tr r="X1127" s="57"/>
        <tr r="X4" s="114"/>
      </tp>
      <tp>
        <v>59.5</v>
        <stp/>
        <stp>4987</stp>
        <stp>Price</stp>
        <tr r="X764" s="57"/>
      </tp>
      <tp>
        <v>60</v>
        <stp/>
        <stp>5227</stp>
        <stp>Price</stp>
        <tr r="X1134" s="57"/>
        <tr r="X61" s="28"/>
      </tp>
      <tp>
        <v>201.5</v>
        <stp/>
        <stp>5287</stp>
        <stp>Price</stp>
        <tr r="X1809" s="57"/>
      </tp>
      <tp>
        <v>102</v>
        <stp/>
        <stp>5347</stp>
        <stp>Price</stp>
        <tr r="X621" s="57"/>
        <tr r="X33" s="118"/>
      </tp>
      <tp>
        <v>55</v>
        <stp/>
        <stp>5007</stp>
        <stp>Price</stp>
        <tr r="X464" s="57"/>
      </tp>
      <tp>
        <v>52.3</v>
        <stp/>
        <stp>5607</stp>
        <stp>Price</stp>
        <tr r="X1541" s="57"/>
      </tp>
      <tp>
        <v>53.1</v>
        <stp/>
        <stp>5457</stp>
        <stp>Price</stp>
        <tr r="X1145" s="57"/>
      </tp>
      <tp>
        <v>30.15</v>
        <stp/>
        <stp>5487</stp>
        <stp>Price</stp>
        <tr r="X627" s="57"/>
      </tp>
      <tp>
        <v>15.9</v>
        <stp/>
        <stp>5907</stp>
        <stp>Price</stp>
        <tr r="X1665" s="57"/>
      </tp>
      <tp>
        <v>9.57</v>
        <stp/>
        <stp>8277</stp>
        <stp>Price</stp>
        <tr r="X695" s="57"/>
      </tp>
      <tp>
        <v>45.8</v>
        <stp/>
        <stp>8367</stp>
        <stp>Price</stp>
        <tr r="X1544" s="57"/>
      </tp>
      <tp>
        <v>14.55</v>
        <stp/>
        <stp>8047</stp>
        <stp>Price</stp>
        <tr r="X1769" s="57"/>
      </tp>
      <tp>
        <v>8.76</v>
        <stp/>
        <stp>8067</stp>
        <stp>Price</stp>
        <tr r="X1257" s="57"/>
      </tp>
      <tp>
        <v>9.4499999999999993</v>
        <stp/>
        <stp>8077</stp>
        <stp>Price</stp>
        <tr r="X1587" s="57"/>
      </tp>
      <tp>
        <v>73.599999999999994</v>
        <stp/>
        <stp>8027</stp>
        <stp>Price</stp>
        <tr r="X215" s="57"/>
      </tp>
      <tp>
        <v>51.9</v>
        <stp/>
        <stp>8087</stp>
        <stp>Price</stp>
        <tr r="X922" s="57"/>
      </tp>
      <tp>
        <v>49.15</v>
        <stp/>
        <stp>8097</stp>
        <stp>Price</stp>
        <tr r="X1013" s="57"/>
      </tp>
      <tp>
        <v>63.6</v>
        <stp/>
        <stp>8147</stp>
        <stp>Price</stp>
        <tr r="X1218" s="57"/>
      </tp>
      <tp>
        <v>17.25</v>
        <stp/>
        <stp>8107</stp>
        <stp>Price</stp>
        <tr r="X217" s="57"/>
      </tp>
      <tp>
        <v>39.35</v>
        <stp/>
        <stp>8467</stp>
        <stp>Price</stp>
        <tr r="X1387" s="57"/>
      </tp>
      <tp>
        <v>26.85</v>
        <stp/>
        <stp>8477</stp>
        <stp>Price</stp>
        <tr r="X1814" s="57"/>
      </tp>
      <tp>
        <v>104</v>
        <stp/>
        <stp>8437</stp>
        <stp>Price</stp>
        <tr r="X1379" s="57"/>
      </tp>
      <tp t="s">
        <v>無資料</v>
        <stp/>
        <stp>8917</stp>
        <stp>Price</stp>
        <tr r="X1679" s="57"/>
      </tp>
      <tp>
        <v>36.6</v>
        <stp/>
        <stp>8927</stp>
        <stp>Price</stp>
        <tr r="X1688" s="57"/>
      </tp>
      <tp>
        <v>13.05</v>
        <stp/>
        <stp>8937</stp>
        <stp>Price</stp>
        <tr r="X1407" s="57"/>
      </tp>
      <tp>
        <v>15.95</v>
        <stp/>
        <stp>9907</stp>
        <stp>Price</stp>
        <tr r="X1414" s="57"/>
      </tp>
      <tp>
        <v>108</v>
        <stp/>
        <stp>9917</stp>
        <stp>Price</stp>
        <tr r="X1418" s="57"/>
      </tp>
      <tp>
        <v>45.85</v>
        <stp/>
        <stp>9927</stp>
        <stp>Price</stp>
        <tr r="X1423" s="57"/>
      </tp>
      <tp>
        <v>48.7</v>
        <stp/>
        <stp>9937</stp>
        <stp>Price</stp>
        <tr r="X1686" s="57"/>
      </tp>
      <tp>
        <v>99</v>
        <stp/>
        <stp>6499</stp>
        <stp>PredictVolume</stp>
        <tr r="AJ386" s="57"/>
      </tp>
      <tp>
        <v>25</v>
        <stp/>
        <stp>6419</stp>
        <stp>PredictVolume</stp>
        <tr r="AJ909" s="57"/>
      </tp>
      <tp>
        <v>118</v>
        <stp/>
        <stp>6409</stp>
        <stp>PredictVolume</stp>
        <tr r="AJ1756" s="57"/>
      </tp>
      <tp>
        <v>1342</v>
        <stp/>
        <stp>6469</stp>
        <stp>PredictVolume</stp>
        <tr r="AJ381" s="57"/>
      </tp>
      <tp>
        <v>26</v>
        <stp/>
        <stp>6449</stp>
        <stp>PredictVolume</stp>
        <tr r="AJ1196" s="57"/>
      </tp>
      <tp>
        <v>603</v>
        <stp/>
        <stp>6589</stp>
        <stp>PredictVolume</stp>
        <tr r="AJ395" s="57"/>
      </tp>
      <tp>
        <v>2013</v>
        <stp/>
        <stp>6509</stp>
        <stp>PredictVolume</stp>
        <tr r="AJ286" s="57"/>
      </tp>
      <tp>
        <v>82</v>
        <stp/>
        <stp>6579</stp>
        <stp>PredictVolume</stp>
        <tr r="AJ795" s="57"/>
      </tp>
      <tp>
        <v>16</v>
        <stp/>
        <stp>6569</stp>
        <stp>PredictVolume</stp>
        <tr r="AJ392" s="57"/>
      </tp>
      <tp>
        <v>0</v>
        <stp/>
        <stp>6629</stp>
        <stp>PredictVolume</stp>
        <tr r="AJ1352" s="57"/>
      </tp>
      <tp>
        <v>1367</v>
        <stp/>
        <stp>6609</stp>
        <stp>PredictVolume</stp>
        <tr r="AJ213" s="57"/>
      </tp>
      <tp>
        <v>440</v>
        <stp/>
        <stp>6679</stp>
        <stp>PredictVolume</stp>
        <tr r="AJ670" s="57"/>
      </tp>
      <tp>
        <v>474</v>
        <stp/>
        <stp>6669</stp>
        <stp>PredictVolume</stp>
        <tr r="AJ797" s="57"/>
      </tp>
      <tp>
        <v>5</v>
        <stp/>
        <stp>6649</stp>
        <stp>PredictVolume</stp>
        <tr r="AJ399" s="57"/>
      </tp>
      <tp>
        <v>206</v>
        <stp/>
        <stp>6799</stp>
        <stp>PredictVolume</stp>
        <tr r="AJ63" s="28"/>
        <tr r="AJ680" s="57"/>
      </tp>
      <tp>
        <v>1003</v>
        <stp/>
        <stp>6719</stp>
        <stp>PredictVolume</stp>
        <tr r="AJ675" s="57"/>
      </tp>
      <tp>
        <v>114</v>
        <stp/>
        <stp>6199</stp>
        <stp>PredictVolume</stp>
        <tr r="AJ1342" s="57"/>
      </tp>
      <tp>
        <v>377</v>
        <stp/>
        <stp>6189</stp>
        <stp>PredictVolume</stp>
        <tr r="AJ1250" s="57"/>
      </tp>
      <tp>
        <v>644</v>
        <stp/>
        <stp>6139</stp>
        <stp>PredictVolume</stp>
        <tr r="AJ1745" s="57"/>
      </tp>
      <tp>
        <v>1103</v>
        <stp/>
        <stp>6129</stp>
        <stp>PredictVolume</stp>
        <tr r="AJ630" s="57"/>
      </tp>
      <tp>
        <v>80</v>
        <stp/>
        <stp>6109</stp>
        <stp>PredictVolume</stp>
        <tr r="AJ982" s="57"/>
      </tp>
      <tp>
        <v>91</v>
        <stp/>
        <stp>6179</stp>
        <stp>PredictVolume</stp>
        <tr r="AM23" s="28"/>
        <tr r="AJ1340" s="57"/>
      </tp>
      <tp>
        <v>13</v>
        <stp/>
        <stp>6169</stp>
        <stp>PredictVolume</stp>
        <tr r="AJ1793" s="57"/>
      </tp>
      <tp>
        <v>16</v>
        <stp/>
        <stp>6289</stp>
        <stp>PredictVolume</stp>
        <tr r="AJ907" s="57"/>
      </tp>
      <tp>
        <v>2356</v>
        <stp/>
        <stp>6239</stp>
        <stp>PredictVolume</stp>
        <tr r="AJ66" s="114"/>
        <tr r="AJ640" s="57"/>
      </tp>
      <tp>
        <v>99</v>
        <stp/>
        <stp>6229</stp>
        <stp>PredictVolume</stp>
        <tr r="AJ637" s="57"/>
      </tp>
      <tp>
        <v>1575</v>
        <stp/>
        <stp>6219</stp>
        <stp>PredictVolume</stp>
        <tr r="AJ1509" s="57"/>
      </tp>
      <tp>
        <v>315</v>
        <stp/>
        <stp>6209</stp>
        <stp>PredictVolume</stp>
        <tr r="AJ899" s="57"/>
      </tp>
      <tp>
        <v>504</v>
        <stp/>
        <stp>6279</stp>
        <stp>PredictVolume</stp>
        <tr r="AJ1188" s="57"/>
      </tp>
      <tp>
        <v>1255</v>
        <stp/>
        <stp>6269</stp>
        <stp>PredictVolume</stp>
        <tr r="AJ1186" s="57"/>
      </tp>
      <tp>
        <v>361</v>
        <stp/>
        <stp>6259</stp>
        <stp>PredictVolume</stp>
        <tr r="AJ1184" s="57"/>
      </tp>
      <tp>
        <v>150</v>
        <stp/>
        <stp>6829</stp>
        <stp>PredictVolume</stp>
        <tr r="AJ214" s="57"/>
      </tp>
      <tp>
        <v>24</v>
        <stp/>
        <stp>4439</stp>
        <stp>PredictVolume</stp>
        <tr r="AJ124" s="57"/>
      </tp>
      <tp>
        <v>31</v>
        <stp/>
        <stp>4429</stp>
        <stp>PredictVolume</stp>
        <tr r="AJ120" s="57"/>
      </tp>
      <tp>
        <v>0</v>
        <stp/>
        <stp>4419</stp>
        <stp>PredictVolume</stp>
        <tr r="AJ117" s="57"/>
      </tp>
      <tp>
        <v>116</v>
        <stp/>
        <stp>4529</stp>
        <stp>PredictVolume</stp>
        <tr r="AJ1327" s="57"/>
      </tp>
      <tp>
        <v>32</v>
        <stp/>
        <stp>4549</stp>
        <stp>PredictVolume</stp>
        <tr r="AJ192" s="57"/>
      </tp>
      <tp>
        <v>0</v>
        <stp/>
        <stp>4609</stp>
        <stp>PredictVolume</stp>
        <tr r="AJ239" s="57"/>
      </tp>
      <tp>
        <v>1686</v>
        <stp/>
        <stp>4739</stp>
        <stp>PredictVolume</stp>
        <tr r="AJ7" s="74"/>
        <tr r="AJ24" s="114"/>
        <tr r="AJ275" s="57"/>
      </tp>
      <tp>
        <v>14</v>
        <stp/>
        <stp>4729</stp>
        <stp>PredictVolume</stp>
        <tr r="AJ867" s="57"/>
      </tp>
      <tp>
        <v>161</v>
        <stp/>
        <stp>4139</stp>
        <stp>PredictVolume</stp>
        <tr r="AJ341" s="57"/>
      </tp>
      <tp>
        <v>46</v>
        <stp/>
        <stp>4129</stp>
        <stp>PredictVolume</stp>
        <tr r="AJ335" s="57"/>
      </tp>
      <tp>
        <v>142</v>
        <stp/>
        <stp>4119</stp>
        <stp>PredictVolume</stp>
        <tr r="AJ328" s="57"/>
      </tp>
      <tp>
        <v>1279</v>
        <stp/>
        <stp>4109</stp>
        <stp>PredictVolume</stp>
        <tr r="AJ324" s="57"/>
      </tp>
      <tp>
        <v>38</v>
        <stp/>
        <stp>4999</stp>
        <stp>PredictVolume</stp>
        <tr r="AJ1133" s="57"/>
      </tp>
      <tp>
        <v>133</v>
        <stp/>
        <stp>4989</stp>
        <stp>PredictVolume</stp>
        <tr r="AJ1132" s="57"/>
      </tp>
      <tp>
        <v>157</v>
        <stp/>
        <stp>4939</stp>
        <stp>PredictVolume</stp>
        <tr r="AJ1128" s="57"/>
      </tp>
      <tp>
        <v>20986</v>
        <stp/>
        <stp>4919</stp>
        <stp>PredictVolume</stp>
        <tr r="AJ600" s="57"/>
      </tp>
      <tp>
        <v>299</v>
        <stp/>
        <stp>4909</stp>
        <stp>PredictVolume</stp>
        <tr r="AJ976" s="57"/>
      </tp>
      <tp>
        <v>240</v>
        <stp/>
        <stp>4979</stp>
        <stp>PredictVolume</stp>
        <tr r="AJ978" s="57"/>
      </tp>
      <tp>
        <v>6</v>
        <stp/>
        <stp>5489</stp>
        <stp>PredictVolume</stp>
        <tr r="AJ1742" s="57"/>
      </tp>
      <tp>
        <v>303</v>
        <stp/>
        <stp>5439</stp>
        <stp>PredictVolume</stp>
        <tr r="AJ1144" s="57"/>
      </tp>
      <tp>
        <v>1138</v>
        <stp/>
        <stp>5469</stp>
        <stp>PredictVolume</stp>
        <tr r="AJ1148" s="57"/>
      </tp>
      <tp>
        <v>81</v>
        <stp/>
        <stp>5529</stp>
        <stp>PredictVolume</stp>
        <tr r="AJ1499" s="57"/>
      </tp>
      <tp>
        <v>300</v>
        <stp/>
        <stp>5519</stp>
        <stp>PredictVolume</stp>
        <tr r="AJ1494" s="57"/>
      </tp>
      <tp>
        <v>2946</v>
        <stp/>
        <stp>5609</stp>
        <stp>PredictVolume</stp>
        <tr r="AJ11" s="114"/>
        <tr r="AJ1543" s="57"/>
      </tp>
      <tp>
        <v>74927</v>
        <stp/>
        <stp>5009</stp>
        <stp>PredictVolume</stp>
        <tr r="AJ465" s="57"/>
      </tp>
      <tp>
        <v>248</v>
        <stp/>
        <stp>5299</stp>
        <stp>PredictVolume</stp>
        <tr r="AJ617" s="57"/>
      </tp>
      <tp>
        <v>300</v>
        <stp/>
        <stp>5289</stp>
        <stp>PredictVolume</stp>
        <tr r="AJ768" s="57"/>
      </tp>
      <tp>
        <v>26</v>
        <stp/>
        <stp>5209</stp>
        <stp>PredictVolume</stp>
        <tr r="AJ1279" s="57"/>
      </tp>
      <tp>
        <v>642</v>
        <stp/>
        <stp>5269</stp>
        <stp>PredictVolume</stp>
        <tr r="AJ613" s="57"/>
      </tp>
      <tp>
        <v>2188</v>
        <stp/>
        <stp>5309</stp>
        <stp>PredictVolume</stp>
        <tr r="AJ1137" s="57"/>
      </tp>
      <tp>
        <v>1632</v>
        <stp/>
        <stp>2489</stp>
        <stp>PredictVolume</stp>
        <tr r="AJ820" s="57"/>
      </tp>
      <tp>
        <v>285</v>
        <stp/>
        <stp>2439</stp>
        <stp>PredictVolume</stp>
        <tr r="AJ30" s="114"/>
        <tr r="AJ936" s="57"/>
      </tp>
      <tp>
        <v>7</v>
        <stp/>
        <stp>2429</stp>
        <stp>PredictVolume</stp>
        <tr r="AJ1043" s="57"/>
      </tp>
      <tp>
        <v>495</v>
        <stp/>
        <stp>2419</stp>
        <stp>PredictVolume</stp>
        <tr r="AJ935" s="57"/>
      </tp>
      <tp>
        <v>34169</v>
        <stp/>
        <stp>2409</stp>
        <stp>PredictVolume</stp>
        <tr r="AJ815" s="57"/>
      </tp>
      <tp>
        <v>137</v>
        <stp/>
        <stp>2459</stp>
        <stp>PredictVolume</stp>
        <tr r="AJ1231" s="57"/>
      </tp>
      <tp>
        <v>8735</v>
        <stp/>
        <stp>2449</stp>
        <stp>PredictVolume</stp>
        <tr r="AJ547" s="57"/>
      </tp>
      <tp>
        <v>166</v>
        <stp/>
        <stp>2539</stp>
        <stp>PredictVolume</stp>
        <tr r="AJ1463" s="57"/>
      </tp>
      <tp>
        <v>75</v>
        <stp/>
        <stp>2509</stp>
        <stp>PredictVolume</stp>
        <tr r="AJ1450" s="57"/>
      </tp>
      <tp>
        <v>39298</v>
        <stp/>
        <stp>2609</stp>
        <stp>PredictVolume</stp>
        <tr r="AK24" s="118"/>
        <tr r="AJ43" s="114"/>
        <tr r="AJ1522" s="57"/>
      </tp>
      <tp>
        <v>39</v>
        <stp/>
        <stp>2739</stp>
        <stp>PredictVolume</stp>
        <tr r="AJ1568" s="57"/>
      </tp>
      <tp>
        <v>6</v>
        <stp/>
        <stp>2729</stp>
        <stp>PredictVolume</stp>
        <tr r="AJ1563" s="57"/>
      </tp>
      <tp>
        <v>9</v>
        <stp/>
        <stp>2719</stp>
        <stp>PredictVolume</stp>
        <tr r="AJ1557" s="57"/>
      </tp>
      <tp>
        <v>1643</v>
        <stp/>
        <stp>2029</stp>
        <stp>PredictVolume</stp>
        <tr r="AJ450" s="57"/>
      </tp>
      <tp>
        <v>2671</v>
        <stp/>
        <stp>2009</stp>
        <stp>PredictVolume</stp>
        <tr r="AJ436" s="57"/>
      </tp>
      <tp>
        <v>1105</v>
        <stp/>
        <stp>2069</stp>
        <stp>PredictVolume</stp>
        <tr r="AJ461" s="57"/>
      </tp>
      <tp>
        <v>166</v>
        <stp/>
        <stp>2059</stp>
        <stp>PredictVolume</stp>
        <tr r="AJ1024" s="57"/>
      </tp>
      <tp>
        <v>2581</v>
        <stp/>
        <stp>2049</stp>
        <stp>PredictVolume</stp>
        <tr r="AJ161" s="57"/>
      </tp>
      <tp>
        <v>128</v>
        <stp/>
        <stp>2109</stp>
        <stp>PredictVolume</stp>
        <tr r="AJ488" s="57"/>
      </tp>
      <tp>
        <v>24</v>
        <stp/>
        <stp>2239</stp>
        <stp>PredictVolume</stp>
        <tr r="AJ516" s="57"/>
      </tp>
      <tp>
        <v>1251</v>
        <stp/>
        <stp>2399</stp>
        <stp>PredictVolume</stp>
        <tr r="AJ718" s="57"/>
      </tp>
      <tp>
        <v>4376</v>
        <stp/>
        <stp>2329</stp>
        <stp>PredictVolume</stp>
        <tr r="AJ531" s="57"/>
      </tp>
      <tp>
        <v>2025</v>
        <stp/>
        <stp>2379</stp>
        <stp>PredictVolume</stp>
        <tr r="AJ540" s="57"/>
      </tp>
      <tp>
        <v>1362</v>
        <stp/>
        <stp>2369</stp>
        <stp>PredictVolume</stp>
        <tr r="AJ539" s="57"/>
      </tp>
      <tp>
        <v>48432</v>
        <stp/>
        <stp>2359</stp>
        <stp>PredictVolume</stp>
        <tr r="AJ1695" s="57"/>
      </tp>
      <tp>
        <v>415</v>
        <stp/>
        <stp>2349</stp>
        <stp>PredictVolume</stp>
        <tr r="AJ811" s="57"/>
      </tp>
      <tp>
        <v>3616</v>
        <stp/>
        <stp>2889</stp>
        <stp>PredictVolume</stp>
        <tr r="AJ1618" s="57"/>
      </tp>
      <tp>
        <v>1920</v>
        <stp/>
        <stp>2809</stp>
        <stp>PredictVolume</stp>
        <tr r="AJ1594" s="57"/>
      </tp>
      <tp>
        <v>232</v>
        <stp/>
        <stp>2849</stp>
        <stp>PredictVolume</stp>
        <tr r="AJ1603" s="57"/>
      </tp>
      <tp>
        <v>23</v>
        <stp/>
        <stp>2939</stp>
        <stp>PredictVolume</stp>
        <tr r="AJ1655" s="57"/>
      </tp>
      <tp>
        <v>192</v>
        <stp/>
        <stp>3499</stp>
        <stp>PredictVolume</stp>
        <tr r="AJ961" s="57"/>
      </tp>
      <tp>
        <v>25</v>
        <stp/>
        <stp>3489</stp>
        <stp>PredictVolume</stp>
        <tr r="AJ1479" s="57"/>
      </tp>
      <tp>
        <v>453</v>
        <stp/>
        <stp>3419</stp>
        <stp>PredictVolume</stp>
        <tr r="AJ958" s="57"/>
      </tp>
      <tp>
        <v>266</v>
        <stp/>
        <stp>3479</stp>
        <stp>PredictVolume</stp>
        <tr r="AJ744" s="57"/>
      </tp>
      <tp>
        <v>1364</v>
        <stp/>
        <stp>3529</stp>
        <stp>PredictVolume</stp>
        <tr r="AJ582" s="57"/>
        <tr r="AK34" s="118"/>
      </tp>
      <tp>
        <v>439</v>
        <stp/>
        <stp>3689</stp>
        <stp>PredictVolume</stp>
        <tr r="AJ1121" s="57"/>
      </tp>
      <tp>
        <v>18</v>
        <stp/>
        <stp>3629</stp>
        <stp>PredictVolume</stp>
        <tr r="AJ1785" s="57"/>
      </tp>
      <tp>
        <v>15</v>
        <stp/>
        <stp>3609</stp>
        <stp>PredictVolume</stp>
        <tr r="AJ1114" s="57"/>
      </tp>
      <tp>
        <v>26</v>
        <stp/>
        <stp>3679</stp>
        <stp>PredictVolume</stp>
        <tr r="AJ1120" s="57"/>
      </tp>
      <tp>
        <v>391</v>
        <stp/>
        <stp>3669</stp>
        <stp>PredictVolume</stp>
        <tr r="AJ861" s="57"/>
      </tp>
      <tp>
        <v>35</v>
        <stp/>
        <stp>3709</stp>
        <stp>PredictVolume</stp>
        <tr r="AJ758" s="57"/>
      </tp>
      <tp>
        <v>158</v>
        <stp/>
        <stp>3029</stp>
        <stp>PredictVolume</stp>
        <tr r="AJ1271" s="57"/>
      </tp>
      <tp>
        <v>1044</v>
        <stp/>
        <stp>3019</stp>
        <stp>PredictVolume</stp>
        <tr r="AJ59" s="114"/>
        <tr r="AJ823" s="57"/>
      </tp>
      <tp>
        <v>9119</v>
        <stp/>
        <stp>3059</stp>
        <stp>PredictVolume</stp>
        <tr r="AJ830" s="57"/>
      </tp>
      <tp>
        <v>1875</v>
        <stp/>
        <stp>3049</stp>
        <stp>PredictVolume</stp>
        <tr r="AJ827" s="57"/>
      </tp>
      <tp>
        <v>7441</v>
        <stp/>
        <stp>3189</stp>
        <stp>PredictVolume</stp>
        <tr r="AJ565" s="57"/>
      </tp>
      <tp>
        <v>11975</v>
        <stp/>
        <stp>3169</stp>
        <stp>PredictVolume</stp>
        <tr r="AJ564" s="57"/>
      </tp>
      <tp>
        <v>593</v>
        <stp/>
        <stp>3149</stp>
        <stp>PredictVolume</stp>
        <tr r="AJ833" s="57"/>
      </tp>
      <tp>
        <v>87</v>
        <stp/>
        <stp>3289</stp>
        <stp>PredictVolume</stp>
        <tr r="AJ1716" s="57"/>
      </tp>
      <tp>
        <v>12</v>
        <stp/>
        <stp>3229</stp>
        <stp>PredictVolume</stp>
        <tr r="AJ1078" s="57"/>
      </tp>
      <tp>
        <v>20</v>
        <stp/>
        <stp>3219</stp>
        <stp>PredictVolume</stp>
        <tr r="AJ566" s="57"/>
      </tp>
      <tp>
        <v>1419</v>
        <stp/>
        <stp>3209</stp>
        <stp>PredictVolume</stp>
        <tr r="AJ1238" s="57"/>
      </tp>
      <tp>
        <v>9</v>
        <stp/>
        <stp>3259</stp>
        <stp>PredictVolume</stp>
        <tr r="AJ570" s="57"/>
      </tp>
      <tp>
        <v>139</v>
        <stp/>
        <stp>3339</stp>
        <stp>PredictVolume</stp>
        <tr r="AJ836" s="57"/>
      </tp>
      <tp>
        <v>294</v>
        <stp/>
        <stp>3379</stp>
        <stp>PredictVolume</stp>
        <tr r="AJ173" s="57"/>
      </tp>
      <tp>
        <v>29</v>
        <stp/>
        <stp>3349</stp>
        <stp>PredictVolume</stp>
        <tr r="AJ742" s="57"/>
      </tp>
      <tp>
        <v>2</v>
        <stp/>
        <stp>1439</stp>
        <stp>PredictVolume</stp>
        <tr r="AJ80" s="57"/>
      </tp>
      <tp>
        <v>30</v>
        <stp/>
        <stp>1419</stp>
        <stp>PredictVolume</stp>
        <tr r="AJ77" s="57"/>
      </tp>
      <tp>
        <v>2697</v>
        <stp/>
        <stp>1409</stp>
        <stp>PredictVolume</stp>
        <tr r="AJ71" s="57"/>
      </tp>
      <tp>
        <v>109</v>
        <stp/>
        <stp>1459</stp>
        <stp>PredictVolume</stp>
        <tr r="AJ96" s="57"/>
      </tp>
      <tp>
        <v>8</v>
        <stp/>
        <stp>1449</stp>
        <stp>PredictVolume</stp>
        <tr r="AJ88" s="57"/>
      </tp>
      <tp>
        <v>309</v>
        <stp/>
        <stp>1599</stp>
        <stp>PredictVolume</stp>
        <tr r="AJ160" s="57"/>
      </tp>
      <tp>
        <v>848</v>
        <stp/>
        <stp>1589</stp>
        <stp>PredictVolume</stp>
        <tr r="AJ156" s="57"/>
      </tp>
      <tp>
        <v>358</v>
        <stp/>
        <stp>1539</stp>
        <stp>PredictVolume</stp>
        <tr r="AJ147" s="57"/>
      </tp>
      <tp>
        <v>815</v>
        <stp/>
        <stp>1529</stp>
        <stp>PredictVolume</stp>
        <tr r="AJ140" s="57"/>
      </tp>
      <tp>
        <v>497</v>
        <stp/>
        <stp>1519</stp>
        <stp>PredictVolume</stp>
        <tr r="AJ136" s="57"/>
      </tp>
      <tp>
        <v>1085</v>
        <stp/>
        <stp>1569</stp>
        <stp>PredictVolume</stp>
        <tr r="AJ699" s="57"/>
      </tp>
      <tp>
        <v>23147</v>
        <stp/>
        <stp>1609</stp>
        <stp>PredictVolume</stp>
        <tr r="AJ229" s="57"/>
      </tp>
      <tp>
        <v>78</v>
        <stp/>
        <stp>1799</stp>
        <stp>PredictVolume</stp>
        <tr r="AJ310" s="57"/>
      </tp>
      <tp>
        <v>517</v>
        <stp/>
        <stp>1789</stp>
        <stp>PredictVolume</stp>
        <tr r="AJ308" s="57"/>
      </tp>
      <tp>
        <v>3863</v>
        <stp/>
        <stp>1709</stp>
        <stp>PredictVolume</stp>
        <tr r="AJ245" s="57"/>
      </tp>
      <tp>
        <v>182</v>
        <stp/>
        <stp>1109</stp>
        <stp>PredictVolume</stp>
        <tr r="AJ9" s="57"/>
      </tp>
      <tp>
        <v>1428</v>
        <stp/>
        <stp>1229</stp>
        <stp>PredictVolume</stp>
        <tr r="AJ25" s="57"/>
      </tp>
      <tp>
        <v>6568</v>
        <stp/>
        <stp>1219</stp>
        <stp>PredictVolume</stp>
        <tr r="AJ21" s="57"/>
      </tp>
      <tp>
        <v>27</v>
        <stp/>
        <stp>1259</stp>
        <stp>PredictVolume</stp>
        <tr r="AJ1547" s="57"/>
      </tp>
      <tp>
        <v>38</v>
        <stp/>
        <stp>1339</stp>
        <stp>PredictVolume</stp>
        <tr r="AJ496" s="57"/>
      </tp>
      <tp>
        <v>906</v>
        <stp/>
        <stp>1319</stp>
        <stp>PredictVolume</stp>
        <tr r="AJ494" s="57"/>
      </tp>
      <tp>
        <v>641</v>
        <stp/>
        <stp>1309</stp>
        <stp>PredictVolume</stp>
        <tr r="AM34" s="28"/>
        <tr r="AJ48" s="57"/>
      </tp>
      <tp>
        <v>247</v>
        <stp/>
        <stp>1809</stp>
        <stp>PredictVolume</stp>
        <tr r="AJ419" s="57"/>
      </tp>
      <tp>
        <v>6114</v>
        <stp/>
        <stp>1909</stp>
        <stp>PredictVolume</stp>
        <tr r="AJ429" s="57"/>
      </tp>
      <tp>
        <v>69</v>
        <stp/>
        <stp>8499</stp>
        <stp>PredictVolume</stp>
        <tr r="AJ27" s="114"/>
        <tr r="AJ1395" s="57"/>
      </tp>
      <tp>
        <v>120</v>
        <stp/>
        <stp>8489</stp>
        <stp>PredictVolume</stp>
        <tr r="AJ1801" s="57"/>
      </tp>
      <tp>
        <v>87</v>
        <stp/>
        <stp>8429</stp>
        <stp>PredictVolume</stp>
        <tr r="AJ1669" s="57"/>
      </tp>
      <tp>
        <v>1624</v>
        <stp/>
        <stp>8409</stp>
        <stp>PredictVolume</stp>
        <tr r="AJ412" s="57"/>
      </tp>
      <tp>
        <v>21</v>
        <stp/>
        <stp>8099</stp>
        <stp>PredictVolume</stp>
        <tr r="AJ1302" s="57"/>
      </tp>
      <tp>
        <v>17</v>
        <stp/>
        <stp>8089</stp>
        <stp>PredictVolume</stp>
        <tr r="AJ1012" s="57"/>
      </tp>
      <tp>
        <v>112</v>
        <stp/>
        <stp>8039</stp>
        <stp>PredictVolume</stp>
        <tr r="AJ1206" s="57"/>
      </tp>
      <tp>
        <v>38801</v>
        <stp/>
        <stp>8069</stp>
        <stp>PredictVolume</stp>
        <tr r="AJ921" s="57"/>
        <tr r="AK32" s="118"/>
      </tp>
      <tp>
        <v>88</v>
        <stp/>
        <stp>8059</stp>
        <stp>PredictVolume</stp>
        <tr r="AJ1011" s="57"/>
      </tp>
      <tp>
        <v>139</v>
        <stp/>
        <stp>8049</stp>
        <stp>PredictVolume</stp>
        <tr r="AJ919" s="57"/>
      </tp>
      <tp>
        <v>7</v>
        <stp/>
        <stp>8109</stp>
        <stp>PredictVolume</stp>
        <tr r="AJ1216" s="57"/>
      </tp>
      <tp>
        <v>1889</v>
        <stp/>
        <stp>8299</stp>
        <stp>PredictVolume</stp>
        <tr r="AJ696" s="57"/>
        <tr r="AK39" s="118"/>
      </tp>
      <tp>
        <v>2566</v>
        <stp/>
        <stp>8289</stp>
        <stp>PredictVolume</stp>
        <tr r="AJ1223" s="57"/>
      </tp>
      <tp>
        <v>49</v>
        <stp/>
        <stp>8279</stp>
        <stp>PredictVolume</stp>
        <tr r="AJ409" s="57"/>
      </tp>
      <tp>
        <v>39</v>
        <stp/>
        <stp>8249</stp>
        <stp>PredictVolume</stp>
        <tr r="AJ1222" s="57"/>
      </tp>
      <tp>
        <v>18</v>
        <stp/>
        <stp>8349</stp>
        <stp>PredictVolume</stp>
        <tr r="AJ473" s="57"/>
      </tp>
      <tp>
        <v>10</v>
        <stp/>
        <stp>8929</stp>
        <stp>PredictVolume</stp>
        <tr r="AJ1402" s="57"/>
      </tp>
      <tp>
        <v>747</v>
        <stp/>
        <stp>9939</stp>
        <stp>PredictVolume</stp>
        <tr r="AJ1431" s="57"/>
      </tp>
      <tp>
        <v>49</v>
        <stp/>
        <stp>9929</stp>
        <stp>PredictVolume</stp>
        <tr r="AJ1425" s="57"/>
      </tp>
      <tp>
        <v>1447</v>
        <stp/>
        <stp>9919</stp>
        <stp>PredictVolume</stp>
        <tr r="AJ1419" s="57"/>
        <tr r="AM13" s="28"/>
      </tp>
      <tp>
        <v>90</v>
        <stp/>
        <stp>9949</stp>
        <stp>PredictVolume</stp>
        <tr r="AJ1803" s="57"/>
      </tp>
      <tp>
        <v>58.9</v>
        <stp/>
        <stp>2204</stp>
        <stp>Price</stp>
        <tr r="X508" s="57"/>
      </tp>
      <tp>
        <v>27.6</v>
        <stp/>
        <stp>2344</stp>
        <stp>Price</stp>
        <tr r="X536" s="57"/>
      </tp>
      <tp>
        <v>61.3</v>
        <stp/>
        <stp>2354</stp>
        <stp>Price</stp>
        <tr r="X1694" s="57"/>
      </tp>
      <tp>
        <v>19.05</v>
        <stp/>
        <stp>2364</stp>
        <stp>Price</stp>
        <tr r="X709" s="57"/>
      </tp>
      <tp>
        <v>23.25</v>
        <stp/>
        <stp>2374</stp>
        <stp>Price</stp>
        <tr r="X812" s="57"/>
      </tp>
      <tp>
        <v>54</v>
        <stp/>
        <stp>2314</stp>
        <stp>Price</stp>
        <tr r="X930" s="57"/>
      </tp>
      <tp>
        <v>23</v>
        <stp/>
        <stp>2324</stp>
        <stp>Price</stp>
        <tr r="X702" s="57"/>
      </tp>
      <tp>
        <v>21.7</v>
        <stp/>
        <stp>2064</stp>
        <stp>Price</stp>
        <tr r="X459" s="57"/>
      </tp>
      <tp>
        <v>33.65</v>
        <stp/>
        <stp>2014</stp>
        <stp>Price</stp>
        <tr r="X440" s="57"/>
      </tp>
      <tp>
        <v>21.6</v>
        <stp/>
        <stp>2024</stp>
        <stp>Price</stp>
        <tr r="X446" s="57"/>
      </tp>
      <tp>
        <v>30.6</v>
        <stp/>
        <stp>2034</stp>
        <stp>Price</stp>
        <tr r="X455" s="57"/>
      </tp>
      <tp>
        <v>21.7</v>
        <stp/>
        <stp>2104</stp>
        <stp>Price</stp>
        <tr r="X483" s="57"/>
      </tp>
      <tp>
        <v>122.5</v>
        <stp/>
        <stp>2114</stp>
        <stp>Price</stp>
        <tr r="X489" s="57"/>
      </tp>
      <tp>
        <v>25.4</v>
        <stp/>
        <stp>2614</stp>
        <stp>Price</stp>
        <tr r="X1640" s="57"/>
      </tp>
      <tp>
        <v>32.9</v>
        <stp/>
        <stp>2634</stp>
        <stp>Price</stp>
        <tr r="X1532" s="57"/>
      </tp>
      <tp>
        <v>70.2</v>
        <stp/>
        <stp>2754</stp>
        <stp>Price</stp>
        <tr r="X1575" s="57"/>
      </tp>
      <tp>
        <v>31.25</v>
        <stp/>
        <stp>2704</stp>
        <stp>Price</stp>
        <tr r="X1551" s="57"/>
      </tp>
      <tp>
        <v>15</v>
        <stp/>
        <stp>2724</stp>
        <stp>Price</stp>
        <tr r="X1560" s="57"/>
      </tp>
      <tp>
        <v>29.9</v>
        <stp/>
        <stp>2734</stp>
        <stp>Price</stp>
        <tr r="X1566" s="57"/>
      </tp>
      <tp>
        <v>11</v>
        <stp/>
        <stp>2444</stp>
        <stp>Price</stp>
        <tr r="X937" s="57"/>
      </tp>
      <tp>
        <v>829</v>
        <stp/>
        <stp>2454</stp>
        <stp>Price</stp>
        <tr r="X3" s="118"/>
        <tr r="X549" s="57"/>
      </tp>
      <tp>
        <v>39.799999999999997</v>
        <stp/>
        <stp>2464</stp>
        <stp>Price</stp>
        <tr r="X1703" s="57"/>
      </tp>
      <tp>
        <v>148.5</v>
        <stp/>
        <stp>2474</stp>
        <stp>Price</stp>
        <tr r="X1704" s="57"/>
      </tp>
      <tp>
        <v>175.5</v>
        <stp/>
        <stp>2404</stp>
        <stp>Price</stp>
        <tr r="X37" s="114"/>
        <tr r="X1699" s="57"/>
        <tr r="X8" s="74"/>
      </tp>
      <tp>
        <v>33.950000000000003</v>
        <stp/>
        <stp>2414</stp>
        <stp>Price</stp>
        <tr r="X1229" s="57"/>
      </tp>
      <tp t="s">
        <v>無資料</v>
        <stp/>
        <stp>2424</stp>
        <stp>Price</stp>
        <tr r="X721" s="57"/>
      </tp>
      <tp>
        <v>34</v>
        <stp/>
        <stp>2434</stp>
        <stp>Price</stp>
        <tr r="X544" s="57"/>
      </tp>
      <tp>
        <v>36.049999999999997</v>
        <stp/>
        <stp>2484</stp>
        <stp>Price</stp>
        <tr r="X1054" s="57"/>
      </tp>
      <tp>
        <v>26.35</v>
        <stp/>
        <stp>2504</stp>
        <stp>Price</stp>
        <tr r="X1447" s="57"/>
      </tp>
      <tp>
        <v>16.899999999999999</v>
        <stp/>
        <stp>2514</stp>
        <stp>Price</stp>
        <tr r="X1320" s="57"/>
      </tp>
      <tp>
        <v>33.450000000000003</v>
        <stp/>
        <stp>2524</stp>
        <stp>Price</stp>
        <tr r="X1454" s="57"/>
      </tp>
      <tp>
        <v>23.95</v>
        <stp/>
        <stp>2534</stp>
        <stp>Price</stp>
        <tr r="X1458" s="57"/>
      </tp>
      <tp>
        <v>11.85</v>
        <stp/>
        <stp>2834</stp>
        <stp>Price</stp>
        <tr r="X1599" s="57"/>
      </tp>
      <tp>
        <v>30.65</v>
        <stp/>
        <stp>2884</stp>
        <stp>Price</stp>
        <tr r="X16" s="118"/>
        <tr r="X1613" s="57"/>
      </tp>
      <tp>
        <v>21.95</v>
        <stp/>
        <stp>2904</stp>
        <stp>Price</stp>
        <tr r="X1322" s="57"/>
      </tp>
      <tp t="s">
        <v>無資料</v>
        <stp/>
        <stp>2924</stp>
        <stp>Price</stp>
        <tr r="X1652" s="57"/>
      </tp>
      <tp>
        <v>44.15</v>
        <stp/>
        <stp>3264</stp>
        <stp>Price</stp>
        <tr r="X572" s="57"/>
      </tp>
      <tp>
        <v>52</v>
        <stp/>
        <stp>3224</stp>
        <stp>Price</stp>
        <tr r="X1239" s="57"/>
      </tp>
      <tp>
        <v>19.649999999999999</v>
        <stp/>
        <stp>3234</stp>
        <stp>Price</stp>
        <tr r="X953" s="57"/>
      </tp>
      <tp>
        <v>13.15</v>
        <stp/>
        <stp>3284</stp>
        <stp>Price</stp>
        <tr r="X1324" s="57"/>
      </tp>
      <tp>
        <v>19.850000000000001</v>
        <stp/>
        <stp>3294</stp>
        <stp>Price</stp>
        <tr r="X1083" s="57"/>
      </tp>
      <tp>
        <v>16.2</v>
        <stp/>
        <stp>3354</stp>
        <stp>Price</stp>
        <tr r="X1092" s="57"/>
      </tp>
      <tp>
        <v>137</v>
        <stp/>
        <stp>3374</stp>
        <stp>Price</stp>
        <tr r="X27" s="28"/>
        <tr r="X577" s="57"/>
        <tr r="X29" s="22"/>
        <tr r="X28" s="22"/>
        <tr r="X27" s="22"/>
        <tr r="X26" s="22"/>
        <tr r="X55" s="114"/>
      </tp>
      <tp>
        <v>163.5</v>
        <stp/>
        <stp>3324</stp>
        <stp>Price</stp>
        <tr r="X1719" s="57"/>
      </tp>
      <tp>
        <v>119</v>
        <stp/>
        <stp>3044</stp>
        <stp>Price</stp>
        <tr r="X1066" s="57"/>
      </tp>
      <tp>
        <v>18.8</v>
        <stp/>
        <stp>3054</stp>
        <stp>Price</stp>
        <tr r="X558" s="57"/>
      </tp>
      <tp>
        <v>11.65</v>
        <stp/>
        <stp>3064</stp>
        <stp>Price</stp>
        <tr r="X1780" s="57"/>
      </tp>
      <tp>
        <v>52.6</v>
        <stp/>
        <stp>3004</stp>
        <stp>Price</stp>
        <tr r="X463" s="57"/>
      </tp>
      <tp>
        <v>95</v>
        <stp/>
        <stp>3014</stp>
        <stp>Price</stp>
        <tr r="X553" s="57"/>
      </tp>
      <tp>
        <v>12</v>
        <stp/>
        <stp>3024</stp>
        <stp>Price</stp>
        <tr r="X824" s="57"/>
      </tp>
      <tp>
        <v>391.5</v>
        <stp/>
        <stp>3034</stp>
        <stp>Price</stp>
        <tr r="X555" s="57"/>
      </tp>
      <tp>
        <v>28.9</v>
        <stp/>
        <stp>3094</stp>
        <stp>Price</stp>
        <tr r="X560" s="57"/>
      </tp>
      <tp>
        <v>26.4</v>
        <stp/>
        <stp>3164</stp>
        <stp>Price</stp>
        <tr r="X313" s="57"/>
      </tp>
      <tp>
        <v>27.6</v>
        <stp/>
        <stp>3114</stp>
        <stp>Price</stp>
        <tr r="X1071" s="57"/>
      </tp>
      <tp>
        <v>8.18</v>
        <stp/>
        <stp>3664</stp>
        <stp>Price</stp>
        <tr r="X966" s="57"/>
      </tp>
      <tp>
        <v>77.5</v>
        <stp/>
        <stp>3624</stp>
        <stp>Price</stp>
        <tr r="X1115" s="57"/>
      </tp>
      <tp>
        <v>48.7</v>
        <stp/>
        <stp>3684</stp>
        <stp>Price</stp>
        <tr r="X969" s="57"/>
      </tp>
      <tp>
        <v>19.149999999999999</v>
        <stp/>
        <stp>3694</stp>
        <stp>Price</stp>
        <tr r="X970" s="57"/>
      </tp>
      <tp>
        <v>26.5</v>
        <stp/>
        <stp>3704</stp>
        <stp>Price</stp>
        <tr r="X971" s="57"/>
      </tp>
      <tp>
        <v>58</v>
        <stp/>
        <stp>3714</stp>
        <stp>Price</stp>
        <tr r="X866" s="57"/>
      </tp>
      <tp>
        <v>54.7</v>
        <stp/>
        <stp>3444</stp>
        <stp>Price</stp>
        <tr r="X1243" s="57"/>
      </tp>
      <tp>
        <v>78.5</v>
        <stp/>
        <stp>3454</stp>
        <stp>Price</stp>
        <tr r="X844" s="57"/>
      </tp>
      <tp>
        <v>34.1</v>
        <stp/>
        <stp>3434</stp>
        <stp>Price</stp>
        <tr r="X841" s="57"/>
      </tp>
      <tp>
        <v>61</v>
        <stp/>
        <stp>3484</stp>
        <stp>Price</stp>
        <tr r="X1099" s="57"/>
        <tr r="X52" s="114"/>
      </tp>
      <tp>
        <v>5.87</v>
        <stp/>
        <stp>3494</stp>
        <stp>Price</stp>
        <tr r="X746" s="57"/>
      </tp>
      <tp>
        <v>27</v>
        <stp/>
        <stp>3564</stp>
        <stp>Price</stp>
        <tr r="X963" s="57"/>
      </tp>
      <tp>
        <v>62</v>
        <stp/>
        <stp>3504</stp>
        <stp>Price</stp>
        <tr r="X848" s="57"/>
      </tp>
      <tp>
        <v>22.75</v>
        <stp/>
        <stp>3594</stp>
        <stp>Price</stp>
        <tr r="X751" s="57"/>
      </tp>
      <tp>
        <v>276</v>
        <stp/>
        <stp>1264</stp>
        <stp>Price</stp>
        <tr r="X34" s="57"/>
      </tp>
      <tp>
        <v>34.9</v>
        <stp/>
        <stp>1234</stp>
        <stp>Price</stp>
        <tr r="X29" s="57"/>
      </tp>
      <tp>
        <v>23.9</v>
        <stp/>
        <stp>1304</stp>
        <stp>Price</stp>
        <tr r="X44" s="57"/>
      </tp>
      <tp>
        <v>11</v>
        <stp/>
        <stp>1314</stp>
        <stp>Price</stp>
        <tr r="X52" s="57"/>
      </tp>
      <tp>
        <v>10.45</v>
        <stp/>
        <stp>1324</stp>
        <stp>Price</stp>
        <tr r="X56" s="57"/>
      </tp>
      <tp>
        <v>20.7</v>
        <stp/>
        <stp>1104</stp>
        <stp>Price</stp>
        <tr r="X7" s="57"/>
      </tp>
      <tp>
        <v>30</v>
        <stp/>
        <stp>1604</stp>
        <stp>Price</stp>
        <tr r="X226" s="57"/>
      </tp>
      <tp>
        <v>36.049999999999997</v>
        <stp/>
        <stp>1614</stp>
        <stp>Price</stp>
        <tr r="X232" s="57"/>
      </tp>
      <tp>
        <v>9.74</v>
        <stp/>
        <stp>1714</stp>
        <stp>Price</stp>
        <tr r="X250" s="57"/>
      </tp>
      <tp>
        <v>27.75</v>
        <stp/>
        <stp>1734</stp>
        <stp>Price</stp>
        <tr r="X297" s="57"/>
      </tp>
      <tp>
        <v>38.549999999999997</v>
        <stp/>
        <stp>1784</stp>
        <stp>Price</stp>
        <tr r="X305" s="57"/>
      </tp>
      <tp>
        <v>10.45</v>
        <stp/>
        <stp>1444</stp>
        <stp>Price</stp>
        <tr r="X84" s="57"/>
      </tp>
      <tp>
        <v>14.4</v>
        <stp/>
        <stp>1454</stp>
        <stp>Price</stp>
        <tr r="X92" s="57"/>
      </tp>
      <tp>
        <v>14.3</v>
        <stp/>
        <stp>1464</stp>
        <stp>Price</stp>
        <tr r="X99" s="57"/>
      </tp>
      <tp>
        <v>12.7</v>
        <stp/>
        <stp>1474</stp>
        <stp>Price</stp>
        <tr r="X107" s="57"/>
      </tp>
      <tp>
        <v>17.149999999999999</v>
        <stp/>
        <stp>1414</stp>
        <stp>Price</stp>
        <tr r="X74" s="57"/>
      </tp>
      <tp>
        <v>26.2</v>
        <stp/>
        <stp>1434</stp>
        <stp>Price</stp>
        <tr r="X79" s="57"/>
      </tp>
      <tp>
        <v>29.7</v>
        <stp/>
        <stp>1504</stp>
        <stp>Price</stp>
        <tr r="X129" s="57"/>
      </tp>
      <tp>
        <v>26.1</v>
        <stp/>
        <stp>1514</stp>
        <stp>Price</stp>
        <tr r="X133" s="57"/>
      </tp>
      <tp>
        <v>13.9</v>
        <stp/>
        <stp>1524</stp>
        <stp>Price</stp>
        <tr r="X500" s="57"/>
      </tp>
      <tp>
        <v>24.85</v>
        <stp/>
        <stp>1584</stp>
        <stp>Price</stp>
        <tr r="X1313" s="57"/>
      </tp>
      <tp>
        <v>31.85</v>
        <stp/>
        <stp>1904</stp>
        <stp>Price</stp>
        <tr r="X425" s="57"/>
      </tp>
      <tp>
        <v>28.9</v>
        <stp/>
        <stp>6244</stp>
        <stp>Price</stp>
        <tr r="X904" s="57"/>
      </tp>
      <tp>
        <v>8.15</v>
        <stp/>
        <stp>6264</stp>
        <stp>Price</stp>
        <tr r="X1510" s="57"/>
      </tp>
      <tp>
        <v>76.599999999999994</v>
        <stp/>
        <stp>6274</stp>
        <stp>Price</stp>
        <tr r="X1187" s="57"/>
      </tp>
      <tp>
        <v>59.9</v>
        <stp/>
        <stp>6204</stp>
        <stp>Price</stp>
        <tr r="X1174" s="57"/>
      </tp>
      <tp>
        <v>77.099999999999994</v>
        <stp/>
        <stp>6214</stp>
        <stp>Price</stp>
        <tr r="X1290" s="57"/>
      </tp>
      <tp>
        <v>84.8</v>
        <stp/>
        <stp>6224</stp>
        <stp>Price</stp>
        <tr r="X1182" s="57"/>
        <tr r="X51" s="114"/>
      </tp>
      <tp>
        <v>20</v>
        <stp/>
        <stp>6234</stp>
        <stp>Price</stp>
        <tr r="X903" s="57"/>
      </tp>
      <tp>
        <v>51.7</v>
        <stp/>
        <stp>6284</stp>
        <stp>Price</stp>
        <tr r="X1190" s="57"/>
      </tp>
      <tp>
        <v>121</v>
        <stp/>
        <stp>6294</stp>
        <stp>Price</stp>
        <tr r="X1795" s="57"/>
      </tp>
      <tp>
        <v>35.35</v>
        <stp/>
        <stp>6024</stp>
        <stp>Price</stp>
        <tr r="X1634" s="57"/>
      </tp>
      <tp>
        <v>15</v>
        <stp/>
        <stp>6144</stp>
        <stp>Price</stp>
        <tr r="X1792" s="57"/>
      </tp>
      <tp>
        <v>17.350000000000001</v>
        <stp/>
        <stp>6154</stp>
        <stp>Price</stp>
        <tr r="X1249" s="57"/>
      </tp>
      <tp>
        <v>12.4</v>
        <stp/>
        <stp>6164</stp>
        <stp>Price</stp>
        <tr r="X895" s="57"/>
      </tp>
      <tp>
        <v>30.85</v>
        <stp/>
        <stp>6174</stp>
        <stp>Price</stp>
        <tr r="X1167" s="57"/>
      </tp>
      <tp>
        <v>194.5</v>
        <stp/>
        <stp>6104</stp>
        <stp>Price</stp>
        <tr r="X629" s="57"/>
      </tp>
      <tp>
        <v>21.45</v>
        <stp/>
        <stp>6114</stp>
        <stp>Price</stp>
        <tr r="X1153" s="57"/>
      </tp>
      <tp>
        <v>25.25</v>
        <stp/>
        <stp>6124</stp>
        <stp>Price</stp>
        <tr r="X1155" s="57"/>
      </tp>
      <tp>
        <v>20.3</v>
        <stp/>
        <stp>6134</stp>
        <stp>Price</stp>
        <tr r="X1159" s="57"/>
      </tp>
      <tp>
        <v>47.35</v>
        <stp/>
        <stp>6184</stp>
        <stp>Price</stp>
        <tr r="X1341" s="57"/>
      </tp>
      <tp>
        <v>22.8</v>
        <stp/>
        <stp>6194</stp>
        <stp>Price</stp>
        <tr r="X1171" s="57"/>
      </tp>
      <tp>
        <v>59.3</v>
        <stp/>
        <stp>6654</stp>
        <stp>Price</stp>
        <tr r="X1761" s="57"/>
      </tp>
      <tp>
        <v>87.9</v>
        <stp/>
        <stp>6664</stp>
        <stp>Price</stp>
        <tr r="X1199" s="57"/>
      </tp>
      <tp>
        <v>28.25</v>
        <stp/>
        <stp>6674</stp>
        <stp>Price</stp>
        <tr r="X1006" s="57"/>
      </tp>
      <tp>
        <v>40.9</v>
        <stp/>
        <stp>6624</stp>
        <stp>Price</stp>
        <tr r="X1350" s="57"/>
      </tp>
      <tp>
        <v>100.5</v>
        <stp/>
        <stp>6684</stp>
        <stp>Price</stp>
        <tr r="X672" s="57"/>
      </tp>
      <tp>
        <v>45.65</v>
        <stp/>
        <stp>6754</stp>
        <stp>Price</stp>
        <tr r="X1358" s="57"/>
      </tp>
      <tp>
        <v>88.5</v>
        <stp/>
        <stp>6464</stp>
        <stp>Price</stp>
        <tr r="X1344" s="57"/>
      </tp>
      <tp t="s">
        <v>無資料</v>
        <stp/>
        <stp>6404</stp>
        <stp>Price</stp>
        <tr r="X1294" s="57"/>
      </tp>
      <tp>
        <v>192.5</v>
        <stp/>
        <stp>6414</stp>
        <stp>Price</stp>
        <tr r="X791" s="57"/>
        <tr r="X99" s="114"/>
      </tp>
      <tp>
        <v>126</v>
        <stp/>
        <stp>6494</stp>
        <stp>Price</stp>
        <tr r="X655" s="57"/>
      </tp>
      <tp>
        <v>49.85</v>
        <stp/>
        <stp>6574</stp>
        <stp>Price</stp>
        <tr r="X393" s="57"/>
      </tp>
      <tp>
        <v>88</v>
        <stp/>
        <stp>6504</stp>
        <stp>Price</stp>
        <tr r="X1345" s="57"/>
      </tp>
      <tp>
        <v>62</v>
        <stp/>
        <stp>6514</stp>
        <stp>Price</stp>
        <tr r="X1002" s="57"/>
      </tp>
      <tp>
        <v>35.700000000000003</v>
        <stp/>
        <stp>6594</stp>
        <stp>Price</stp>
        <tr r="X666" s="57"/>
      </tp>
      <tp>
        <v>58.1</v>
        <stp/>
        <stp>6804</stp>
        <stp>Price</stp>
        <tr r="X1362" s="57"/>
      </tp>
      <tp>
        <v>7.83</v>
        <stp/>
        <stp>4304</stp>
        <stp>Price</stp>
        <tr r="X63" s="57"/>
      </tp>
      <tp>
        <v>43.2</v>
        <stp/>
        <stp>4154</stp>
        <stp>Price</stp>
        <tr r="X347" s="57"/>
      </tp>
      <tp>
        <v>39.5</v>
        <stp/>
        <stp>4164</stp>
        <stp>Price</stp>
        <tr r="X354" s="57"/>
      </tp>
      <tp>
        <v>112.5</v>
        <stp/>
        <stp>4174</stp>
        <stp>Price</stp>
        <tr r="X358" s="57"/>
      </tp>
      <tp>
        <v>67.7</v>
        <stp/>
        <stp>4104</stp>
        <stp>Price</stp>
        <tr r="X319" s="57"/>
      </tp>
      <tp>
        <v>26.4</v>
        <stp/>
        <stp>4114</stp>
        <stp>Price</stp>
        <tr r="X326" s="57"/>
      </tp>
      <tp>
        <v>28.15</v>
        <stp/>
        <stp>4744</stp>
        <stp>Price</stp>
        <tr r="X371" s="57"/>
      </tp>
      <tp>
        <v>38.65</v>
        <stp/>
        <stp>4754</stp>
        <stp>Price</stp>
        <tr r="X277" s="57"/>
      </tp>
      <tp>
        <v>56</v>
        <stp/>
        <stp>4764</stp>
        <stp>Price</stp>
        <tr r="X280" s="57"/>
      </tp>
      <tp>
        <v>13.7</v>
        <stp/>
        <stp>4714</stp>
        <stp>Price</stp>
        <tr r="X270" s="57"/>
      </tp>
      <tp>
        <v>4.63</v>
        <stp/>
        <stp>4414</stp>
        <stp>Price</stp>
        <tr r="X115" s="57"/>
      </tp>
      <tp>
        <v>35.25</v>
        <stp/>
        <stp>4554</stp>
        <stp>Price</stp>
        <tr r="X1736" s="57"/>
      </tp>
      <tp>
        <v>30.05</v>
        <stp/>
        <stp>4564</stp>
        <stp>Price</stp>
        <tr r="X201" s="57"/>
      </tp>
      <tp>
        <v>9.99</v>
        <stp/>
        <stp>4534</stp>
        <stp>Price</stp>
        <tr r="X187" s="57"/>
      </tp>
      <tp>
        <v>14.8</v>
        <stp/>
        <stp>4804</stp>
        <stp>Price</stp>
        <tr r="X1580" s="57"/>
      </tp>
      <tp>
        <v>9.1999999999999993</v>
        <stp/>
        <stp>4944</stp>
        <stp>Price</stp>
        <tr r="X872" s="57"/>
      </tp>
      <tp>
        <v>55.4</v>
        <stp/>
        <stp>4974</stp>
        <stp>Price</stp>
        <tr r="X1131" s="57"/>
      </tp>
      <tp>
        <v>82.1</v>
        <stp/>
        <stp>4904</stp>
        <stp>Price</stp>
        <tr r="X973" s="57"/>
      </tp>
      <tp>
        <v>12.05</v>
        <stp/>
        <stp>4924</stp>
        <stp>Price</stp>
        <tr r="X761" s="57"/>
      </tp>
      <tp>
        <v>22.1</v>
        <stp/>
        <stp>4934</stp>
        <stp>Price</stp>
        <tr r="X869" s="57"/>
      </tp>
      <tp>
        <v>43.55</v>
        <stp/>
        <stp>4994</stp>
        <stp>Price</stp>
        <tr r="X1275" s="57"/>
      </tp>
      <tp>
        <v>35.799999999999997</v>
        <stp/>
        <stp>5244</stp>
        <stp>Price</stp>
        <tr r="X882" s="57"/>
      </tp>
      <tp>
        <v>2430</v>
        <stp/>
        <stp>5274</stp>
        <stp>Price</stp>
        <tr r="X615" s="57"/>
        <tr r="X35" s="118"/>
      </tp>
      <tp>
        <v>96.1</v>
        <stp/>
        <stp>5234</stp>
        <stp>Price</stp>
        <tr r="X880" s="57"/>
      </tp>
      <tp>
        <v>43.45</v>
        <stp/>
        <stp>5284</stp>
        <stp>Price</stp>
        <tr r="X1333" s="57"/>
      </tp>
      <tp>
        <v>18.649999999999999</v>
        <stp/>
        <stp>5344</stp>
        <stp>Price</stp>
        <tr r="X620" s="57"/>
      </tp>
      <tp>
        <v>19.55</v>
        <stp/>
        <stp>5364</stp>
        <stp>Price</stp>
        <tr r="X1582" s="57"/>
      </tp>
      <tp>
        <v>4.6500000000000004</v>
        <stp/>
        <stp>5314</stp>
        <stp>Price</stp>
        <tr r="X619" s="57"/>
      </tp>
      <tp>
        <v>9.39</v>
        <stp/>
        <stp>5324</stp>
        <stp>Price</stp>
        <tr r="X1486" s="57"/>
      </tp>
      <tp>
        <v>19.95</v>
        <stp/>
        <stp>5014</stp>
        <stp>Price</stp>
        <tr r="X468" s="57"/>
      </tp>
      <tp>
        <v>75.400000000000006</v>
        <stp/>
        <stp>5604</stp>
        <stp>Price</stp>
        <tr r="X1540" s="57"/>
      </tp>
      <tp>
        <v>29.5</v>
        <stp/>
        <stp>5704</stp>
        <stp>Price</stp>
        <tr r="X1585" s="57"/>
      </tp>
      <tp>
        <v>21.35</v>
        <stp/>
        <stp>5464</stp>
        <stp>Price</stp>
        <tr r="X1147" s="57"/>
      </tp>
      <tp>
        <v>95.3</v>
        <stp/>
        <stp>5474</stp>
        <stp>Price</stp>
        <tr r="X774" s="57"/>
      </tp>
      <tp>
        <v>159.5</v>
        <stp/>
        <stp>5434</stp>
        <stp>Price</stp>
        <tr r="X1246" s="57"/>
      </tp>
      <tp>
        <v>12.2</v>
        <stp/>
        <stp>5484</stp>
        <stp>Price</stp>
        <tr r="X891" s="57"/>
      </tp>
      <tp>
        <v>20.100000000000001</v>
        <stp/>
        <stp>5514</stp>
        <stp>Price</stp>
        <tr r="X1491" s="57"/>
      </tp>
      <tp>
        <v>71.2</v>
        <stp/>
        <stp>5534</stp>
        <stp>Price</stp>
        <tr r="X1502" s="57"/>
      </tp>
      <tp>
        <v>14.3</v>
        <stp/>
        <stp>5864</stp>
        <stp>Price</stp>
        <tr r="X1624" s="57"/>
      </tp>
      <tp>
        <v>295.5</v>
        <stp/>
        <stp>5904</stp>
        <stp>Price</stp>
        <tr r="X1662" s="57"/>
      </tp>
      <tp>
        <v>23.5</v>
        <stp/>
        <stp>8234</stp>
        <stp>Price</stp>
        <tr r="X804" s="57"/>
      </tp>
      <tp>
        <v>55.8</v>
        <stp/>
        <stp>8284</stp>
        <stp>Price</stp>
        <tr r="X1303" s="57"/>
      </tp>
      <tp>
        <v>14.45</v>
        <stp/>
        <stp>8354</stp>
        <stp>Price</stp>
        <tr r="X66" s="57"/>
      </tp>
      <tp>
        <v>29</v>
        <stp/>
        <stp>8374</stp>
        <stp>Price</stp>
        <tr r="X220" s="57"/>
      </tp>
      <tp>
        <v>71</v>
        <stp/>
        <stp>8044</stp>
        <stp>Price</stp>
        <tr r="X1812" s="57"/>
      </tp>
      <tp>
        <v>43.2</v>
        <stp/>
        <stp>8054</stp>
        <stp>Price</stp>
        <tr r="X686" s="57"/>
      </tp>
      <tp>
        <v>17.95</v>
        <stp/>
        <stp>8064</stp>
        <stp>Price</stp>
        <tr r="X920" s="57"/>
      </tp>
      <tp>
        <v>20.5</v>
        <stp/>
        <stp>8074</stp>
        <stp>Price</stp>
        <tr r="X1211" s="57"/>
      </tp>
      <tp>
        <v>24.8</v>
        <stp/>
        <stp>8024</stp>
        <stp>Price</stp>
        <tr r="X683" s="57"/>
      </tp>
      <tp>
        <v>16.899999999999999</v>
        <stp/>
        <stp>8034</stp>
        <stp>Price</stp>
        <tr r="X1009" s="57"/>
      </tp>
      <tp>
        <v>80.2</v>
        <stp/>
        <stp>8084</stp>
        <stp>Price</stp>
        <tr r="X1261" s="57"/>
      </tp>
      <tp>
        <v>48.45</v>
        <stp/>
        <stp>8104</stp>
        <stp>Price</stp>
        <tr r="X923" s="57"/>
      </tp>
      <tp>
        <v>104</v>
        <stp/>
        <stp>8114</stp>
        <stp>Price</stp>
        <tr r="X801" s="57"/>
      </tp>
      <tp>
        <v>66</v>
        <stp/>
        <stp>8444</stp>
        <stp>Price</stp>
        <tr r="X1383" s="57"/>
      </tp>
      <tp>
        <v>730</v>
        <stp/>
        <stp>8454</stp>
        <stp>Price</stp>
        <tr r="X1672" s="57"/>
      </tp>
      <tp>
        <v>303.5</v>
        <stp/>
        <stp>8464</stp>
        <stp>Price</stp>
        <tr r="X1385" s="57"/>
      </tp>
      <tp>
        <v>34.799999999999997</v>
        <stp/>
        <stp>8404</stp>
        <stp>Price</stp>
        <tr r="X1370" s="57"/>
      </tp>
      <tp>
        <v>136</v>
        <stp/>
        <stp>8924</stp>
        <stp>Price</stp>
        <tr r="X69" s="114"/>
        <tr r="X1400" s="57"/>
      </tp>
      <tp>
        <v>20.65</v>
        <stp/>
        <stp>9944</stp>
        <stp>Price</stp>
        <tr r="X1435" s="57"/>
      </tp>
      <tp>
        <v>29.5</v>
        <stp/>
        <stp>9904</stp>
        <stp>Price</stp>
        <tr r="X1412" s="57"/>
      </tp>
      <tp>
        <v>232.5</v>
        <stp/>
        <stp>9914</stp>
        <stp>Price</stp>
        <tr r="X1417" s="57"/>
      </tp>
      <tp>
        <v>40.799999999999997</v>
        <stp/>
        <stp>9924</stp>
        <stp>Price</stp>
        <tr r="X1421" s="57"/>
      </tp>
      <tp>
        <v>12</v>
        <stp/>
        <stp>9934</stp>
        <stp>Price</stp>
        <tr r="X1428" s="57"/>
      </tp>
      <tp>
        <v>2612</v>
        <stp/>
        <stp>6488</stp>
        <stp>PredictVolume</stp>
        <tr r="AJ654" s="57"/>
        <tr r="AK31" s="118"/>
      </tp>
      <tp>
        <v>255</v>
        <stp/>
        <stp>6438</stp>
        <stp>PredictVolume</stp>
        <tr r="AJ1757" s="57"/>
      </tp>
      <tp>
        <v>46</v>
        <stp/>
        <stp>6418</stp>
        <stp>PredictVolume</stp>
        <tr r="AJ1194" s="57"/>
      </tp>
      <tp>
        <v>7340</v>
        <stp/>
        <stp>6598</stp>
        <stp>PredictVolume</stp>
        <tr r="AJ396" s="57"/>
      </tp>
      <tp>
        <v>4</v>
        <stp/>
        <stp>6588</stp>
        <stp>PredictVolume</stp>
        <tr r="AJ1005" s="57"/>
      </tp>
      <tp>
        <v>668</v>
        <stp/>
        <stp>6538</stp>
        <stp>PredictVolume</stp>
        <tr r="AJ1197" s="57"/>
      </tp>
      <tp>
        <v>15767</v>
        <stp/>
        <stp>6508</stp>
        <stp>PredictVolume</stp>
        <tr r="AJ1819" s="57"/>
        <tr r="AJ9" s="114"/>
      </tp>
      <tp>
        <v>13221</v>
        <stp/>
        <stp>6578</stp>
        <stp>PredictVolume</stp>
        <tr r="AJ1817" s="57"/>
      </tp>
      <tp>
        <v>127</v>
        <stp/>
        <stp>6568</stp>
        <stp>PredictVolume</stp>
        <tr r="AJ664" s="57"/>
      </tp>
      <tp>
        <v>71</v>
        <stp/>
        <stp>6558</stp>
        <stp>PredictVolume</stp>
        <tr r="AM38" s="28"/>
        <tr r="AJ1759" s="57"/>
      </tp>
      <tp>
        <v>252</v>
        <stp/>
        <stp>6548</stp>
        <stp>PredictVolume</stp>
        <tr r="AJ662" s="57"/>
      </tp>
      <tp>
        <v>63</v>
        <stp/>
        <stp>6698</stp>
        <stp>PredictVolume</stp>
        <tr r="AJ1764" s="57"/>
      </tp>
      <tp>
        <v>175</v>
        <stp/>
        <stp>6668</stp>
        <stp>PredictVolume</stp>
        <tr r="AJ916" s="57"/>
      </tp>
      <tp>
        <v>62</v>
        <stp/>
        <stp>6788</stp>
        <stp>PredictVolume</stp>
        <tr r="AJ73" s="114"/>
        <tr r="AJ679" s="57"/>
      </tp>
      <tp>
        <v>119</v>
        <stp/>
        <stp>6728</stp>
        <stp>PredictVolume</stp>
        <tr r="AJ1667" s="57"/>
      </tp>
      <tp>
        <v>6</v>
        <stp/>
        <stp>6768</stp>
        <stp>PredictVolume</stp>
        <tr r="AJ1359" s="57"/>
      </tp>
      <tp>
        <v>1</v>
        <stp/>
        <stp>6198</stp>
        <stp>PredictVolume</stp>
        <tr r="AJ634" s="57"/>
      </tp>
      <tp>
        <v>510</v>
        <stp/>
        <stp>6188</stp>
        <stp>PredictVolume</stp>
        <tr r="AJ784" s="57"/>
      </tp>
      <tp>
        <v>1550</v>
        <stp/>
        <stp>6138</stp>
        <stp>PredictVolume</stp>
        <tr r="AJ631" s="57"/>
      </tp>
      <tp>
        <v>337</v>
        <stp/>
        <stp>6128</stp>
        <stp>PredictVolume</stp>
        <tr r="AJ779" s="57"/>
      </tp>
      <tp>
        <v>586</v>
        <stp/>
        <stp>6118</stp>
        <stp>PredictVolume</stp>
        <tr r="AJ1248" s="57"/>
      </tp>
      <tp>
        <v>257</v>
        <stp/>
        <stp>6108</stp>
        <stp>PredictVolume</stp>
        <tr r="AJ1152" s="57"/>
      </tp>
      <tp>
        <v>384</v>
        <stp/>
        <stp>6168</stp>
        <stp>PredictVolume</stp>
        <tr r="AJ897" s="57"/>
      </tp>
      <tp>
        <v>70</v>
        <stp/>
        <stp>6158</stp>
        <stp>PredictVolume</stp>
        <tr r="AJ1164" s="57"/>
      </tp>
      <tp>
        <v>41</v>
        <stp/>
        <stp>6148</stp>
        <stp>PredictVolume</stp>
        <tr r="AJ1288" s="57"/>
      </tp>
      <tp>
        <v>183</v>
        <stp/>
        <stp>6288</stp>
        <stp>PredictVolume</stp>
        <tr r="AJ525" s="57"/>
      </tp>
      <tp>
        <v>620</v>
        <stp/>
        <stp>6228</stp>
        <stp>PredictVolume</stp>
        <tr r="AJ786" s="57"/>
      </tp>
      <tp>
        <v>35</v>
        <stp/>
        <stp>6218</stp>
        <stp>PredictVolume</stp>
        <tr r="AJ991" s="57"/>
      </tp>
      <tp>
        <v>237</v>
        <stp/>
        <stp>6208</stp>
        <stp>PredictVolume</stp>
        <tr r="AJ1177" s="57"/>
      </tp>
      <tp>
        <v>2296</v>
        <stp/>
        <stp>6278</stp>
        <stp>PredictVolume</stp>
        <tr r="AJ906" s="57"/>
      </tp>
      <tp>
        <v>54</v>
        <stp/>
        <stp>6248</stp>
        <stp>PredictVolume</stp>
        <tr r="AJ472" s="57"/>
      </tp>
      <tp>
        <v>25</v>
        <stp/>
        <stp>4438</stp>
        <stp>PredictVolume</stp>
        <tr r="AJ123" s="57"/>
      </tp>
      <tp>
        <v>0</v>
        <stp/>
        <stp>4538</stp>
        <stp>PredictVolume</stp>
        <tr r="AJ189" s="57"/>
      </tp>
      <tp>
        <v>63</v>
        <stp/>
        <stp>4528</stp>
        <stp>PredictVolume</stp>
        <tr r="AJ183" s="57"/>
      </tp>
      <tp>
        <v>15</v>
        <stp/>
        <stp>4568</stp>
        <stp>PredictVolume</stp>
        <tr r="AJ203" s="57"/>
      </tp>
      <tp>
        <v>31</v>
        <stp/>
        <stp>4558</stp>
        <stp>PredictVolume</stp>
        <tr r="AJ196" s="57"/>
      </tp>
      <tp>
        <v>109</v>
        <stp/>
        <stp>4728</stp>
        <stp>PredictVolume</stp>
        <tr r="AJ366" s="57"/>
      </tp>
      <tp>
        <v>350</v>
        <stp/>
        <stp>4768</stp>
        <stp>PredictVolume</stp>
        <tr r="AJ283" s="57"/>
      </tp>
      <tp>
        <v>8</v>
        <stp/>
        <stp>4198</stp>
        <stp>PredictVolume</stp>
        <tr r="AJ364" s="57"/>
      </tp>
      <tp>
        <v>8</v>
        <stp/>
        <stp>4188</stp>
        <stp>PredictVolume</stp>
        <tr r="AJ361" s="57"/>
      </tp>
      <tp>
        <v>23</v>
        <stp/>
        <stp>4138</stp>
        <stp>PredictVolume</stp>
        <tr r="AJ340" s="57"/>
      </tp>
      <tp>
        <v>1472</v>
        <stp/>
        <stp>4128</stp>
        <stp>PredictVolume</stp>
        <tr r="AM28" s="28"/>
        <tr r="AJ334" s="57"/>
      </tp>
      <tp>
        <v>137</v>
        <stp/>
        <stp>4108</stp>
        <stp>PredictVolume</stp>
        <tr r="AJ323" s="57"/>
      </tp>
      <tp>
        <v>206</v>
        <stp/>
        <stp>4168</stp>
        <stp>PredictVolume</stp>
        <tr r="AJ356" s="57"/>
      </tp>
      <tp>
        <v>2048</v>
        <stp/>
        <stp>4148</stp>
        <stp>PredictVolume</stp>
        <tr r="AJ345" s="57"/>
      </tp>
      <tp>
        <v>4712</v>
        <stp/>
        <stp>4938</stp>
        <stp>PredictVolume</stp>
        <tr r="AM21" s="28"/>
        <tr r="AJ763" s="57"/>
      </tp>
      <tp>
        <v>1546</v>
        <stp/>
        <stp>4908</stp>
        <stp>PredictVolume</stp>
        <tr r="AJ975" s="57"/>
      </tp>
      <tp>
        <v>4198</v>
        <stp/>
        <stp>4968</stp>
        <stp>PredictVolume</stp>
        <tr r="AJ42" s="114"/>
        <tr r="AJ607" s="57"/>
      </tp>
      <tp>
        <v>3766</v>
        <stp/>
        <stp>4958</stp>
        <stp>PredictVolume</stp>
        <tr r="AM20" s="28"/>
        <tr r="AJ1130" s="57"/>
      </tp>
      <tp>
        <v>148</v>
        <stp/>
        <stp>5498</stp>
        <stp>PredictVolume</stp>
        <tr r="AJ1151" s="57"/>
      </tp>
      <tp>
        <v>193</v>
        <stp/>
        <stp>5488</stp>
        <stp>PredictVolume</stp>
        <tr r="AJ1150" s="57"/>
      </tp>
      <tp>
        <v>8</v>
        <stp/>
        <stp>5438</stp>
        <stp>PredictVolume</stp>
        <tr r="AJ772" s="57"/>
      </tp>
      <tp>
        <v>46</v>
        <stp/>
        <stp>5478</stp>
        <stp>PredictVolume</stp>
        <tr r="AJ1789" s="57"/>
      </tp>
      <tp>
        <v>1575</v>
        <stp/>
        <stp>5468</stp>
        <stp>PredictVolume</stp>
        <tr r="AJ624" s="57"/>
      </tp>
      <tp>
        <v>411</v>
        <stp/>
        <stp>5538</stp>
        <stp>PredictVolume</stp>
        <tr r="AJ471" s="57"/>
      </tp>
      <tp>
        <v>214</v>
        <stp/>
        <stp>5508</stp>
        <stp>PredictVolume</stp>
        <tr r="AJ1488" s="57"/>
      </tp>
      <tp>
        <v>9738</v>
        <stp/>
        <stp>5608</stp>
        <stp>PredictVolume</stp>
        <tr r="AJ1542" s="57"/>
      </tp>
      <tp>
        <v>75</v>
        <stp/>
        <stp>5288</stp>
        <stp>PredictVolume</stp>
        <tr r="AJ68" s="114"/>
        <tr r="AJ209" s="57"/>
      </tp>
      <tp>
        <v>32</v>
        <stp/>
        <stp>5228</stp>
        <stp>PredictVolume</stp>
        <tr r="AJ59" s="28"/>
        <tr r="AJ1135" s="57"/>
      </tp>
      <tp>
        <v>52</v>
        <stp/>
        <stp>5278</stp>
        <stp>PredictVolume</stp>
        <tr r="AJ1808" s="57"/>
      </tp>
      <tp>
        <v>3553</v>
        <stp/>
        <stp>5258</stp>
        <stp>PredictVolume</stp>
        <tr r="AJ767" s="57"/>
      </tp>
      <tp>
        <v>41</v>
        <stp/>
        <stp>5398</stp>
        <stp>PredictVolume</stp>
        <tr r="AJ1335" s="57"/>
      </tp>
      <tp>
        <v>3531</v>
        <stp/>
        <stp>5388</stp>
        <stp>PredictVolume</stp>
        <tr r="AJ981" s="57"/>
      </tp>
      <tp>
        <v>282</v>
        <stp/>
        <stp>5328</stp>
        <stp>PredictVolume</stp>
        <tr r="AJ1139" s="57"/>
      </tp>
      <tp>
        <v>9</v>
        <stp/>
        <stp>5348</stp>
        <stp>PredictVolume</stp>
        <tr r="AJ979" s="57"/>
      </tp>
      <tp>
        <v>8</v>
        <stp/>
        <stp>5878</stp>
        <stp>PredictVolume</stp>
        <tr r="AJ1626" s="57"/>
      </tp>
      <tp>
        <v>15462</v>
        <stp/>
        <stp>2498</stp>
        <stp>PredictVolume</stp>
        <tr r="AJ941" s="57"/>
      </tp>
      <tp>
        <v>108</v>
        <stp/>
        <stp>2488</stp>
        <stp>PredictVolume</stp>
        <tr r="AJ1707" s="57"/>
      </tp>
      <tp>
        <v>33</v>
        <stp/>
        <stp>2438</stp>
        <stp>PredictVolume</stp>
        <tr r="AJ817" s="57"/>
      </tp>
      <tp>
        <v>2260</v>
        <stp/>
        <stp>2428</stp>
        <stp>PredictVolume</stp>
        <tr r="AJ1042" s="57"/>
      </tp>
      <tp>
        <v>8012</v>
        <stp/>
        <stp>2408</stp>
        <stp>PredictVolume</stp>
        <tr r="AJ6" s="74"/>
        <tr r="AJ22" s="114"/>
        <tr r="AJ543" s="57"/>
      </tp>
      <tp>
        <v>213</v>
        <stp/>
        <stp>2478</stp>
        <stp>PredictVolume</stp>
        <tr r="AJ1052" s="57"/>
      </tp>
      <tp>
        <v>8</v>
        <stp/>
        <stp>2468</stp>
        <stp>PredictVolume</stp>
        <tr r="AJ1268" s="57"/>
      </tp>
      <tp>
        <v>1284</v>
        <stp/>
        <stp>2458</stp>
        <stp>PredictVolume</stp>
        <tr r="AJ550" s="57"/>
        <tr r="AJ12" s="74"/>
        <tr r="AJ65" s="114"/>
      </tp>
      <tp>
        <v>771</v>
        <stp/>
        <stp>2538</stp>
        <stp>PredictVolume</stp>
        <tr r="AJ1462" s="57"/>
      </tp>
      <tp>
        <v>269</v>
        <stp/>
        <stp>2528</stp>
        <stp>PredictVolume</stp>
        <tr r="AJ1456" s="57"/>
      </tp>
      <tp>
        <v>481</v>
        <stp/>
        <stp>2548</stp>
        <stp>PredictVolume</stp>
        <tr r="AJ1470" s="57"/>
      </tp>
      <tp>
        <v>115894</v>
        <stp/>
        <stp>2618</stp>
        <stp>PredictVolume</stp>
        <tr r="AJ1529" s="57"/>
      </tp>
      <tp>
        <v>660</v>
        <stp/>
        <stp>2608</stp>
        <stp>PredictVolume</stp>
        <tr r="AJ1521" s="57"/>
      </tp>
      <tp>
        <v>91</v>
        <stp/>
        <stp>2718</stp>
        <stp>PredictVolume</stp>
        <tr r="AJ1556" s="57"/>
      </tp>
      <tp>
        <v>16</v>
        <stp/>
        <stp>2748</stp>
        <stp>PredictVolume</stp>
        <tr r="AJ1572" s="57"/>
      </tp>
      <tp>
        <v>696</v>
        <stp/>
        <stp>2038</stp>
        <stp>PredictVolume</stp>
        <tr r="AJ54" s="28"/>
        <tr r="AJ457" s="57"/>
        <tr r="AJ19" s="74"/>
      </tp>
      <tp>
        <v>879</v>
        <stp/>
        <stp>2028</stp>
        <stp>PredictVolume</stp>
        <tr r="AJ449" s="57"/>
      </tp>
      <tp>
        <v>27</v>
        <stp/>
        <stp>2008</stp>
        <stp>PredictVolume</stp>
        <tr r="AJ435" s="57"/>
      </tp>
      <tp>
        <v>1569</v>
        <stp/>
        <stp>2108</stp>
        <stp>PredictVolume</stp>
        <tr r="AJ487" s="57"/>
      </tp>
      <tp>
        <v>33</v>
        <stp/>
        <stp>2228</stp>
        <stp>PredictVolume</stp>
        <tr r="AJ512" s="57"/>
      </tp>
      <tp>
        <v>2884</v>
        <stp/>
        <stp>2208</stp>
        <stp>PredictVolume</stp>
        <tr r="AJ1516" s="57"/>
      </tp>
      <tp>
        <v>1607</v>
        <stp/>
        <stp>2388</stp>
        <stp>PredictVolume</stp>
        <tr r="AJ541" s="57"/>
      </tp>
      <tp>
        <v>12203</v>
        <stp/>
        <stp>2338</stp>
        <stp>PredictVolume</stp>
        <tr r="AJ534" s="57"/>
      </tp>
      <tp>
        <v>989</v>
        <stp/>
        <stp>2328</stp>
        <stp>PredictVolume</stp>
        <tr r="AJ1029" s="57"/>
      </tp>
      <tp>
        <v>4132</v>
        <stp/>
        <stp>2308</stp>
        <stp>PredictVolume</stp>
        <tr r="AK5" s="118"/>
        <tr r="AJ102" s="114"/>
        <tr r="AJ1025" s="57"/>
      </tp>
      <tp>
        <v>12597</v>
        <stp/>
        <stp>2368</stp>
        <stp>PredictVolume</stp>
        <tr r="AJ1032" s="57"/>
      </tp>
      <tp>
        <v>646</v>
        <stp/>
        <stp>2358</stp>
        <stp>PredictVolume</stp>
        <tr r="AJ1317" s="57"/>
      </tp>
      <tp>
        <v>44</v>
        <stp/>
        <stp>2348</stp>
        <stp>PredictVolume</stp>
        <tr r="AJ1316" s="57"/>
      </tp>
      <tp>
        <v>59211</v>
        <stp/>
        <stp>2888</stp>
        <stp>PredictVolume</stp>
        <tr r="AJ1617" s="57"/>
      </tp>
      <tp>
        <v>2384</v>
        <stp/>
        <stp>2838</stp>
        <stp>PredictVolume</stp>
        <tr r="AJ1601" s="57"/>
      </tp>
      <tp>
        <v>166</v>
        <stp/>
        <stp>2908</stp>
        <stp>PredictVolume</stp>
        <tr r="AJ1645" s="57"/>
      </tp>
      <tp>
        <v>50</v>
        <stp/>
        <stp>3498</stp>
        <stp>PredictVolume</stp>
        <tr r="AJ1723" s="57"/>
      </tp>
      <tp>
        <v>109</v>
        <stp/>
        <stp>3438</stp>
        <stp>PredictVolume</stp>
        <tr r="AJ579" s="57"/>
      </tp>
      <tp>
        <v>604</v>
        <stp/>
        <stp>3588</stp>
        <stp>PredictVolume</stp>
        <tr r="AJ592" s="57"/>
      </tp>
      <tp>
        <v>23</v>
        <stp/>
        <stp>3528</stp>
        <stp>PredictVolume</stp>
        <tr r="AJ1244" s="57"/>
      </tp>
      <tp>
        <v>56</v>
        <stp/>
        <stp>3518</stp>
        <stp>PredictVolume</stp>
        <tr r="AJ1725" s="57"/>
      </tp>
      <tp>
        <v>1121</v>
        <stp/>
        <stp>3508</stp>
        <stp>PredictVolume</stp>
        <tr r="AJ1724" s="57"/>
      </tp>
      <tp>
        <v>14658</v>
        <stp/>
        <stp>3558</stp>
        <stp>PredictVolume</stp>
        <tr r="AJ962" s="57"/>
      </tp>
      <tp>
        <v>236</v>
        <stp/>
        <stp>3548</stp>
        <stp>PredictVolume</stp>
        <tr r="AJ1108" s="57"/>
      </tp>
      <tp>
        <v>205</v>
        <stp/>
        <stp>3628</stp>
        <stp>PredictVolume</stp>
        <tr r="AJ1732" s="57"/>
      </tp>
      <tp>
        <v>6023</v>
        <stp/>
        <stp>3708</stp>
        <stp>PredictVolume</stp>
        <tr r="AJ265" s="57"/>
      </tp>
      <tp>
        <v>205</v>
        <stp/>
        <stp>3088</stp>
        <stp>PredictVolume</stp>
        <tr r="AJ734" s="57"/>
      </tp>
      <tp>
        <v>173</v>
        <stp/>
        <stp>3038</stp>
        <stp>PredictVolume</stp>
        <tr r="AJ826" s="57"/>
      </tp>
      <tp>
        <v>404</v>
        <stp/>
        <stp>3028</stp>
        <stp>PredictVolume</stp>
        <tr r="AJ1233" s="57"/>
      </tp>
      <tp>
        <v>744</v>
        <stp/>
        <stp>3018</stp>
        <stp>PredictVolume</stp>
        <tr r="AJ1709" s="57"/>
      </tp>
      <tp>
        <v>476</v>
        <stp/>
        <stp>3008</stp>
        <stp>PredictVolume</stp>
        <tr r="AJ822" s="57"/>
      </tp>
      <tp>
        <v>242</v>
        <stp/>
        <stp>3078</stp>
        <stp>PredictVolume</stp>
        <tr r="AJ1068" s="57"/>
      </tp>
      <tp>
        <v>233</v>
        <stp/>
        <stp>3058</stp>
        <stp>PredictVolume</stp>
        <tr r="AJ1067" s="57"/>
      </tp>
      <tp>
        <v>553</v>
        <stp/>
        <stp>3048</stp>
        <stp>PredictVolume</stp>
        <tr r="AJ1236" s="57"/>
      </tp>
      <tp>
        <v>5</v>
        <stp/>
        <stp>3188</stp>
        <stp>PredictVolume</stp>
        <tr r="AJ1477" s="57"/>
      </tp>
      <tp>
        <v>140</v>
        <stp/>
        <stp>3138</stp>
        <stp>PredictVolume</stp>
        <tr r="AJ41" s="114"/>
        <tr r="AJ949" s="57"/>
      </tp>
      <tp>
        <v>33</v>
        <stp/>
        <stp>3128</stp>
        <stp>PredictVolume</stp>
        <tr r="AJ832" s="57"/>
      </tp>
      <tp>
        <v>48</v>
        <stp/>
        <stp>3118</stp>
        <stp>PredictVolume</stp>
        <tr r="AJ312" s="57"/>
      </tp>
      <tp>
        <v>56</v>
        <stp/>
        <stp>3178</stp>
        <stp>PredictVolume</stp>
        <tr r="AJ171" s="57"/>
      </tp>
      <tp>
        <v>16</v>
        <stp/>
        <stp>3288</stp>
        <stp>PredictVolume</stp>
        <tr r="AJ1081" s="57"/>
      </tp>
      <tp>
        <v>1332</v>
        <stp/>
        <stp>3228</stp>
        <stp>PredictVolume</stp>
        <tr r="AJ568" s="57"/>
      </tp>
      <tp>
        <v>511</v>
        <stp/>
        <stp>3218</stp>
        <stp>PredictVolume</stp>
        <tr r="AJ316" s="57"/>
      </tp>
      <tp>
        <v>5</v>
        <stp/>
        <stp>3268</stp>
        <stp>PredictVolume</stp>
        <tr r="AJ574" s="57"/>
      </tp>
      <tp>
        <v>133</v>
        <stp/>
        <stp>3388</stp>
        <stp>PredictVolume</stp>
        <tr r="AJ1095" s="57"/>
      </tp>
      <tp>
        <v>226</v>
        <stp/>
        <stp>3338</stp>
        <stp>PredictVolume</stp>
        <tr r="AJ1091" s="57"/>
      </tp>
      <tp>
        <v>94</v>
        <stp/>
        <stp>3308</stp>
        <stp>PredictVolume</stp>
        <tr r="AJ1085" s="57"/>
      </tp>
      <tp>
        <v>46</v>
        <stp/>
        <stp>1438</stp>
        <stp>PredictVolume</stp>
        <tr r="AJ1442" s="57"/>
      </tp>
      <tp>
        <v>112</v>
        <stp/>
        <stp>1418</stp>
        <stp>PredictVolume</stp>
        <tr r="AJ76" s="57"/>
      </tp>
      <tp>
        <v>82</v>
        <stp/>
        <stp>1468</stp>
        <stp>PredictVolume</stp>
        <tr r="AJ103" s="57"/>
      </tp>
      <tp>
        <v>236</v>
        <stp/>
        <stp>1598</stp>
        <stp>PredictVolume</stp>
        <tr r="AM39" s="28"/>
        <tr r="AJ291" s="57"/>
      </tp>
      <tp>
        <v>19</v>
        <stp/>
        <stp>1538</stp>
        <stp>PredictVolume</stp>
        <tr r="AJ146" s="57"/>
      </tp>
      <tp>
        <v>145</v>
        <stp/>
        <stp>1528</stp>
        <stp>PredictVolume</stp>
        <tr r="AJ139" s="57"/>
      </tp>
      <tp>
        <v>41</v>
        <stp/>
        <stp>1568</stp>
        <stp>PredictVolume</stp>
        <tr r="AJ504" s="57"/>
      </tp>
      <tp>
        <v>32</v>
        <stp/>
        <stp>1558</stp>
        <stp>PredictVolume</stp>
        <tr r="AJ150" s="57"/>
      </tp>
      <tp>
        <v>393</v>
        <stp/>
        <stp>1618</stp>
        <stp>PredictVolume</stp>
        <tr r="AJ236" s="57"/>
      </tp>
      <tp>
        <v>4416</v>
        <stp/>
        <stp>1608</stp>
        <stp>PredictVolume</stp>
        <tr r="AJ228" s="57"/>
      </tp>
      <tp>
        <v>26</v>
        <stp/>
        <stp>1788</stp>
        <stp>PredictVolume</stp>
        <tr r="AJ307" s="57"/>
      </tp>
      <tp>
        <v>1833</v>
        <stp/>
        <stp>1718</stp>
        <stp>PredictVolume</stp>
        <tr r="AJ252" s="57"/>
      </tp>
      <tp>
        <v>47125</v>
        <stp/>
        <stp>1708</stp>
        <stp>PredictVolume</stp>
        <tr r="AJ244" s="57"/>
        <tr r="AJ1718" s="57"/>
      </tp>
      <tp>
        <v>308</v>
        <stp/>
        <stp>1108</stp>
        <stp>PredictVolume</stp>
        <tr r="AJ8" s="57"/>
      </tp>
      <tp>
        <v>1156</v>
        <stp/>
        <stp>1218</stp>
        <stp>PredictVolume</stp>
        <tr r="AJ20" s="57"/>
      </tp>
      <tp>
        <v>12</v>
        <stp/>
        <stp>1268</stp>
        <stp>PredictVolume</stp>
        <tr r="AJ1548" s="57"/>
      </tp>
      <tp>
        <v>534</v>
        <stp/>
        <stp>1258</stp>
        <stp>PredictVolume</stp>
        <tr r="AJ33" s="57"/>
      </tp>
      <tp>
        <v>165</v>
        <stp/>
        <stp>1338</stp>
        <stp>PredictVolume</stp>
        <tr r="AJ495" s="57"/>
      </tp>
      <tp>
        <v>4886</v>
        <stp/>
        <stp>1308</stp>
        <stp>PredictVolume</stp>
        <tr r="AJ64" s="114"/>
        <tr r="AJ47" s="57"/>
      </tp>
      <tp>
        <v>2327</v>
        <stp/>
        <stp>1808</stp>
        <stp>PredictVolume</stp>
        <tr r="AJ1445" s="57"/>
      </tp>
      <tp>
        <v>1</v>
        <stp/>
        <stp>8488</stp>
        <stp>PredictVolume</stp>
        <tr r="AJ1394" s="57"/>
      </tp>
      <tp>
        <v>72</v>
        <stp/>
        <stp>8438</stp>
        <stp>PredictVolume</stp>
        <tr r="AJ1380" s="57"/>
      </tp>
      <tp>
        <v>26</v>
        <stp/>
        <stp>8418</stp>
        <stp>PredictVolume</stp>
        <tr r="AJ1372" s="57"/>
      </tp>
      <tp>
        <v>5723</v>
        <stp/>
        <stp>8478</stp>
        <stp>PredictVolume</stp>
        <tr r="AJ1390" s="57"/>
      </tp>
      <tp>
        <v>48</v>
        <stp/>
        <stp>8088</stp>
        <stp>PredictVolume</stp>
        <tr r="AJ689" s="57"/>
      </tp>
      <tp>
        <v>325</v>
        <stp/>
        <stp>8038</stp>
        <stp>PredictVolume</stp>
        <tr r="AJ1205" s="57"/>
      </tp>
      <tp>
        <v>1321</v>
        <stp/>
        <stp>8028</stp>
        <stp>PredictVolume</stp>
        <tr r="AJ684" s="57"/>
      </tp>
      <tp>
        <v>17</v>
        <stp/>
        <stp>8068</stp>
        <stp>PredictVolume</stp>
        <tr r="AJ1258" s="57"/>
      </tp>
      <tp>
        <v>28</v>
        <stp/>
        <stp>8048</stp>
        <stp>PredictVolume</stp>
        <tr r="AJ1010" s="57"/>
      </tp>
      <tp>
        <v>2065</v>
        <stp/>
        <stp>8358</stp>
        <stp>PredictVolume</stp>
        <tr r="AJ1225" s="57"/>
      </tp>
      <tp>
        <v>2869</v>
        <stp/>
        <stp>8938</stp>
        <stp>PredictVolume</stp>
        <tr r="AJ1408" s="57"/>
      </tp>
      <tp>
        <v>6304</v>
        <stp/>
        <stp>8928</stp>
        <stp>PredictVolume</stp>
        <tr r="AJ1401" s="57"/>
      </tp>
      <tp>
        <v>16</v>
        <stp/>
        <stp>8908</stp>
        <stp>PredictVolume</stp>
        <tr r="AJ1684" s="57"/>
      </tp>
      <tp>
        <v>525</v>
        <stp/>
        <stp>9938</stp>
        <stp>PredictVolume</stp>
        <tr r="AJ1430" s="57"/>
      </tp>
      <tp>
        <v>1</v>
        <stp/>
        <stp>9928</stp>
        <stp>PredictVolume</stp>
        <tr r="AJ1424" s="57"/>
      </tp>
      <tp>
        <v>8</v>
        <stp/>
        <stp>9918</stp>
        <stp>PredictVolume</stp>
        <tr r="AJ1682" s="57"/>
      </tp>
      <tp>
        <v>111</v>
        <stp/>
        <stp>9908</stp>
        <stp>PredictVolume</stp>
        <tr r="AJ1685" s="57"/>
      </tp>
      <tp>
        <v>3291</v>
        <stp/>
        <stp>9958</stp>
        <stp>PredictVolume</stp>
        <tr r="AJ476" s="57"/>
      </tp>
      <tp>
        <v>37.299999999999997</v>
        <stp/>
        <stp>2235</stp>
        <stp>Price</stp>
        <tr r="X166" s="57"/>
      </tp>
      <tp>
        <v>219</v>
        <stp/>
        <stp>2345</stp>
        <stp>Price</stp>
        <tr r="X54" s="114"/>
        <tr r="X933" s="57"/>
      </tp>
      <tp>
        <v>29.8</v>
        <stp/>
        <stp>2355</stp>
        <stp>Price</stp>
        <tr r="X1030" s="57"/>
      </tp>
      <tp>
        <v>9.9700000000000006</v>
        <stp/>
        <stp>2365</stp>
        <stp>Price</stp>
        <tr r="X710" s="57"/>
      </tp>
      <tp>
        <v>61.6</v>
        <stp/>
        <stp>2375</stp>
        <stp>Price</stp>
        <tr r="X1033" s="57"/>
      </tp>
      <tp>
        <v>10.25</v>
        <stp/>
        <stp>2305</stp>
        <stp>Price</stp>
        <tr r="X701" s="57"/>
      </tp>
      <tp>
        <v>81</v>
        <stp/>
        <stp>2385</stp>
        <stp>Price</stp>
        <tr r="X1035" s="57"/>
      </tp>
      <tp>
        <v>330</v>
        <stp/>
        <stp>2395</stp>
        <stp>Price</stp>
        <tr r="X716" s="57"/>
      </tp>
      <tp>
        <v>46.85</v>
        <stp/>
        <stp>2065</stp>
        <stp>Price</stp>
        <tr r="X460" s="57"/>
      </tp>
      <tp>
        <v>76</v>
        <stp/>
        <stp>2015</stp>
        <stp>Price</stp>
        <tr r="X441" s="57"/>
      </tp>
      <tp>
        <v>5.28</v>
        <stp/>
        <stp>2025</stp>
        <stp>Price</stp>
        <tr r="X447" s="57"/>
      </tp>
      <tp>
        <v>33.25</v>
        <stp/>
        <stp>2035</stp>
        <stp>Price</stp>
        <tr r="X456" s="57"/>
      </tp>
      <tp>
        <v>33</v>
        <stp/>
        <stp>2105</stp>
        <stp>Price</stp>
        <tr r="X484" s="57"/>
      </tp>
      <tp>
        <v>34.75</v>
        <stp/>
        <stp>2115</stp>
        <stp>Price</stp>
        <tr r="X506" s="57"/>
      </tp>
      <tp>
        <v>27.9</v>
        <stp/>
        <stp>2605</stp>
        <stp>Price</stp>
        <tr r="X1518" s="57"/>
      </tp>
      <tp>
        <v>151.5</v>
        <stp/>
        <stp>2615</stp>
        <stp>Price</stp>
        <tr r="X1527" s="57"/>
        <tr r="X23" s="118"/>
      </tp>
      <tp>
        <v>40.5</v>
        <stp/>
        <stp>2745</stp>
        <stp>Price</stp>
        <tr r="X1571" s="57"/>
      </tp>
      <tp>
        <v>62</v>
        <stp/>
        <stp>2755</stp>
        <stp>Price</stp>
        <tr r="X1576" s="57"/>
      </tp>
      <tp>
        <v>16.8</v>
        <stp/>
        <stp>2705</stp>
        <stp>Price</stp>
        <tr r="X1552" s="57"/>
      </tp>
      <tp>
        <v>88.6</v>
        <stp/>
        <stp>2455</stp>
        <stp>Price</stp>
        <tr r="X13" s="74"/>
        <tr r="X88" s="114"/>
        <tr r="X939" s="57"/>
      </tp>
      <tp>
        <v>47.85</v>
        <stp/>
        <stp>2465</stp>
        <stp>Price</stp>
        <tr r="X724" s="57"/>
      </tp>
      <tp>
        <v>12.1</v>
        <stp/>
        <stp>2405</stp>
        <stp>Price</stp>
        <tr r="X719" s="57"/>
      </tp>
      <tp>
        <v>35.35</v>
        <stp/>
        <stp>2415</stp>
        <stp>Price</stp>
        <tr r="X1039" s="57"/>
      </tp>
      <tp>
        <v>31.15</v>
        <stp/>
        <stp>2425</stp>
        <stp>Price</stp>
        <tr r="X722" s="57"/>
      </tp>
      <tp>
        <v>16.399999999999999</v>
        <stp/>
        <stp>2485</stp>
        <stp>Price</stp>
        <tr r="X940" s="57"/>
      </tp>
      <tp>
        <v>14.7</v>
        <stp/>
        <stp>2495</stp>
        <stp>Price</stp>
        <tr r="X1708" s="57"/>
      </tp>
      <tp>
        <v>53.8</v>
        <stp/>
        <stp>2545</stp>
        <stp>Price</stp>
        <tr r="X1467" s="57"/>
      </tp>
      <tp>
        <v>19.850000000000001</v>
        <stp/>
        <stp>2505</stp>
        <stp>Price</stp>
        <tr r="X1448" s="57"/>
      </tp>
      <tp>
        <v>9.06</v>
        <stp/>
        <stp>2515</stp>
        <stp>Price</stp>
        <tr r="X1823" s="57"/>
      </tp>
      <tp>
        <v>31</v>
        <stp/>
        <stp>2535</stp>
        <stp>Price</stp>
        <tr r="X1459" s="57"/>
      </tp>
      <tp>
        <v>11.4</v>
        <stp/>
        <stp>2845</stp>
        <stp>Price</stp>
        <tr r="X1602" s="57"/>
      </tp>
      <tp>
        <v>19.600000000000001</v>
        <stp/>
        <stp>2855</stp>
        <stp>Price</stp>
        <tr r="X1607" s="57"/>
      </tp>
      <tp>
        <v>24.45</v>
        <stp/>
        <stp>2885</stp>
        <stp>Price</stp>
        <tr r="X1614" s="57"/>
        <tr r="X19" s="118"/>
      </tp>
      <tp>
        <v>51</v>
        <stp/>
        <stp>2945</stp>
        <stp>Price</stp>
        <tr r="X1656" s="57"/>
      </tp>
      <tp>
        <v>20.149999999999999</v>
        <stp/>
        <stp>2905</stp>
        <stp>Price</stp>
        <tr r="X1643" s="57"/>
      </tp>
      <tp>
        <v>86.5</v>
        <stp/>
        <stp>2915</stp>
        <stp>Price</stp>
        <tr r="X1650" s="57"/>
        <tr r="X38" s="114"/>
      </tp>
      <tp>
        <v>47</v>
        <stp/>
        <stp>3265</stp>
        <stp>Price</stp>
        <tr r="X18" s="28"/>
        <tr r="X573" s="57"/>
      </tp>
      <tp>
        <v>21.75</v>
        <stp/>
        <stp>3205</stp>
        <stp>Price</stp>
        <tr r="X315" s="57"/>
      </tp>
      <tp>
        <v>20.399999999999999</v>
        <stp/>
        <stp>3285</stp>
        <stp>Price</stp>
        <tr r="X1715" s="57"/>
      </tp>
      <tp>
        <v>13.45</v>
        <stp/>
        <stp>3325</stp>
        <stp>Price</stp>
        <tr r="X741" s="57"/>
      </tp>
      <tp>
        <v>107.5</v>
        <stp/>
        <stp>3045</stp>
        <stp>Price</stp>
        <tr r="X944" s="57"/>
        <tr r="X26" s="118"/>
      </tp>
      <tp>
        <v>26.9</v>
        <stp/>
        <stp>3055</stp>
        <stp>Price</stp>
        <tr r="X1237" s="57"/>
      </tp>
      <tp>
        <v>45.5</v>
        <stp/>
        <stp>3005</stp>
        <stp>Price</stp>
        <tr r="X726" s="57"/>
      </tp>
      <tp>
        <v>40.5</v>
        <stp/>
        <stp>3015</stp>
        <stp>Price</stp>
        <tr r="X25" s="28"/>
        <tr r="X1059" s="57"/>
        <tr r="X63" s="22"/>
      </tp>
      <tp>
        <v>19.100000000000001</v>
        <stp/>
        <stp>3025</stp>
        <stp>Price</stp>
        <tr r="X942" s="57"/>
      </tp>
      <tp>
        <v>257.5</v>
        <stp/>
        <stp>3035</stp>
        <stp>Price</stp>
        <tr r="X556" s="57"/>
      </tp>
      <tp>
        <v>10.7</v>
        <stp/>
        <stp>3085</stp>
        <stp>Price</stp>
        <tr r="X1806" s="57"/>
      </tp>
      <tp>
        <v>2.76</v>
        <stp/>
        <stp>3095</stp>
        <stp>Price</stp>
        <tr r="X948" s="57"/>
      </tp>
      <tp>
        <v>194</v>
        <stp/>
        <stp>3105</stp>
        <stp>Price</stp>
        <tr r="X15" s="114"/>
        <tr r="X561" s="57"/>
        <tr r="X36" s="118"/>
      </tp>
      <tp>
        <v>11.75</v>
        <stp/>
        <stp>3115</stp>
        <stp>Price</stp>
        <tr r="X1072" s="57"/>
      </tp>
      <tp>
        <v>47.45</v>
        <stp/>
        <stp>3645</stp>
        <stp>Price</stp>
        <tr r="X1117" s="57"/>
      </tp>
      <tp>
        <v>313</v>
        <stp/>
        <stp>3665</stp>
        <stp>Price</stp>
        <tr r="X1735" s="57"/>
      </tp>
      <tp>
        <v>300.5</v>
        <stp/>
        <stp>3675</stp>
        <stp>Price</stp>
        <tr r="X595" s="57"/>
      </tp>
      <tp>
        <v>40.75</v>
        <stp/>
        <stp>3605</stp>
        <stp>Price</stp>
        <tr r="X1112" s="57"/>
      </tp>
      <tp>
        <v>18.649999999999999</v>
        <stp/>
        <stp>3615</stp>
        <stp>Price</stp>
        <tr r="X856" s="57"/>
      </tp>
      <tp>
        <v>17.899999999999999</v>
        <stp/>
        <stp>3625</stp>
        <stp>Price</stp>
        <tr r="X753" s="57"/>
      </tp>
      <tp>
        <v>26.4</v>
        <stp/>
        <stp>3685</stp>
        <stp>Price</stp>
        <tr r="X863" s="57"/>
      </tp>
      <tp>
        <v>42.6</v>
        <stp/>
        <stp>3705</stp>
        <stp>Price</stp>
        <tr r="X317" s="57"/>
      </tp>
      <tp>
        <v>83</v>
        <stp/>
        <stp>3455</stp>
        <stp>Price</stp>
        <tr r="X845" s="57"/>
      </tp>
      <tp>
        <v>95.2</v>
        <stp/>
        <stp>3465</stp>
        <stp>Price</stp>
        <tr r="X1098" s="57"/>
      </tp>
      <tp>
        <v>114.5</v>
        <stp/>
        <stp>3545</stp>
        <stp>Price</stp>
        <tr r="X586" s="57"/>
      </tp>
      <tp>
        <v>32.1</v>
        <stp/>
        <stp>3555</stp>
        <stp>Price</stp>
        <tr r="X587" s="57"/>
      </tp>
      <tp>
        <v>155</v>
        <stp/>
        <stp>3515</stp>
        <stp>Price</stp>
        <tr r="X80" s="114"/>
        <tr r="X747" s="57"/>
      </tp>
      <tp>
        <v>24</v>
        <stp/>
        <stp>3535</stp>
        <stp>Price</stp>
        <tr r="X851" s="57"/>
      </tp>
      <tp>
        <v>80.099999999999994</v>
        <stp/>
        <stp>1215</stp>
        <stp>Price</stp>
        <tr r="X17" s="57"/>
      </tp>
      <tp>
        <v>52.6</v>
        <stp/>
        <stp>1225</stp>
        <stp>Price</stp>
        <tr r="X23" s="57"/>
      </tp>
      <tp>
        <v>55.3</v>
        <stp/>
        <stp>1235</stp>
        <stp>Price</stp>
        <tr r="X30" s="57"/>
      </tp>
      <tp>
        <v>30.05</v>
        <stp/>
        <stp>1305</stp>
        <stp>Price</stp>
        <tr r="X45" s="57"/>
      </tp>
      <tp>
        <v>78.7</v>
        <stp/>
        <stp>1315</stp>
        <stp>Price</stp>
        <tr r="X53" s="57"/>
      </tp>
      <tp>
        <v>32</v>
        <stp/>
        <stp>1325</stp>
        <stp>Price</stp>
        <tr r="X14" s="22"/>
        <tr r="X16" s="28"/>
        <tr r="X10" s="22"/>
        <tr r="X11" s="22"/>
        <tr r="X12" s="22"/>
        <tr r="X13" s="22"/>
        <tr r="X15" s="22"/>
        <tr r="X57" s="57"/>
      </tp>
      <tp>
        <v>36.5</v>
        <stp/>
        <stp>1605</stp>
        <stp>Price</stp>
        <tr r="X227" s="57"/>
      </tp>
      <tp>
        <v>33.5</v>
        <stp/>
        <stp>1615</stp>
        <stp>Price</stp>
        <tr r="X233" s="57"/>
      </tp>
      <tp>
        <v>21.55</v>
        <stp/>
        <stp>1725</stp>
        <stp>Price</stp>
        <tr r="X256" s="57"/>
      </tp>
      <tp>
        <v>17.149999999999999</v>
        <stp/>
        <stp>1735</stp>
        <stp>Price</stp>
        <tr r="X261" s="57"/>
      </tp>
      <tp>
        <v>47.35</v>
        <stp/>
        <stp>1785</stp>
        <stp>Price</stp>
        <tr r="X1691" s="57"/>
      </tp>
      <tp>
        <v>115.5</v>
        <stp/>
        <stp>1795</stp>
        <stp>Price</stp>
        <tr r="X309" s="57"/>
      </tp>
      <tp>
        <v>15</v>
        <stp/>
        <stp>1445</stp>
        <stp>Price</stp>
        <tr r="X85" s="57"/>
      </tp>
      <tp>
        <v>12.9</v>
        <stp/>
        <stp>1455</stp>
        <stp>Price</stp>
        <tr r="X93" s="57"/>
      </tp>
      <tp>
        <v>12.45</v>
        <stp/>
        <stp>1465</stp>
        <stp>Price</stp>
        <tr r="X100" s="57"/>
      </tp>
      <tp>
        <v>70.5</v>
        <stp/>
        <stp>1475</stp>
        <stp>Price</stp>
        <tr r="X108" s="57"/>
      </tp>
      <tp>
        <v>47.7</v>
        <stp/>
        <stp>1435</stp>
        <stp>Price</stp>
        <tr r="X1310" s="57"/>
      </tp>
      <tp>
        <v>263.5</v>
        <stp/>
        <stp>1565</stp>
        <stp>Price</stp>
        <tr r="X289" s="57"/>
      </tp>
      <tp>
        <v>37.299999999999997</v>
        <stp/>
        <stp>1515</stp>
        <stp>Price</stp>
        <tr r="X33" s="114"/>
        <tr r="X134" s="57"/>
      </tp>
      <tp>
        <v>56.9</v>
        <stp/>
        <stp>1525</stp>
        <stp>Price</stp>
        <tr r="X501" s="57"/>
      </tp>
      <tp>
        <v>41.5</v>
        <stp/>
        <stp>1535</stp>
        <stp>Price</stp>
        <tr r="X144" s="57"/>
      </tp>
      <tp>
        <v>38</v>
        <stp/>
        <stp>1595</stp>
        <stp>Price</stp>
        <tr r="X1022" s="57"/>
      </tp>
      <tp>
        <v>12.35</v>
        <stp/>
        <stp>1805</stp>
        <stp>Price</stp>
        <tr r="X1444" s="57"/>
      </tp>
      <tp>
        <v>13.95</v>
        <stp/>
        <stp>1815</stp>
        <stp>Price</stp>
        <tr r="X1023" s="57"/>
      </tp>
      <tp>
        <v>19.600000000000001</v>
        <stp/>
        <stp>1905</stp>
        <stp>Price</stp>
        <tr r="X426" s="57"/>
      </tp>
      <tp>
        <v>51.7</v>
        <stp/>
        <stp>6245</stp>
        <stp>Price</stp>
        <tr r="X993" s="57"/>
      </tp>
      <tp>
        <v>10.35</v>
        <stp/>
        <stp>6265</stp>
        <stp>Price</stp>
        <tr r="X1252" s="57"/>
      </tp>
      <tp>
        <v>32.200000000000003</v>
        <stp/>
        <stp>6275</stp>
        <stp>Price</stp>
        <tr r="X1754" s="57"/>
      </tp>
      <tp>
        <v>81.5</v>
        <stp/>
        <stp>6205</stp>
        <stp>Price</stp>
        <tr r="X1175" s="57"/>
      </tp>
      <tp>
        <v>23.3</v>
        <stp/>
        <stp>6215</stp>
        <stp>Price</stp>
        <tr r="X1752" s="57"/>
      </tp>
      <tp>
        <v>11.6</v>
        <stp/>
        <stp>6225</stp>
        <stp>Price</stp>
        <tr r="X901" s="57"/>
      </tp>
      <tp>
        <v>35.950000000000003</v>
        <stp/>
        <stp>6235</stp>
        <stp>Price</stp>
        <tr r="X788" s="57"/>
      </tp>
      <tp>
        <v>62.8</v>
        <stp/>
        <stp>6285</stp>
        <stp>Price</stp>
        <tr r="X995" s="57"/>
      </tp>
      <tp>
        <v>14.85</v>
        <stp/>
        <stp>6005</stp>
        <stp>Price</stp>
        <tr r="X1628" s="57"/>
      </tp>
      <tp>
        <v>15.6</v>
        <stp/>
        <stp>6015</stp>
        <stp>Price</stp>
        <tr r="X1629" s="57"/>
      </tp>
      <tp>
        <v>23.9</v>
        <stp/>
        <stp>6155</stp>
        <stp>Price</stp>
        <tr r="X1162" s="57"/>
      </tp>
      <tp>
        <v>24.8</v>
        <stp/>
        <stp>6165</stp>
        <stp>Price</stp>
        <tr r="X1165" s="57"/>
      </tp>
      <tp>
        <v>34</v>
        <stp/>
        <stp>6175</stp>
        <stp>Price</stp>
        <tr r="X1168" s="57"/>
      </tp>
      <tp>
        <v>42.5</v>
        <stp/>
        <stp>6115</stp>
        <stp>Price</stp>
        <tr r="X1154" s="57"/>
      </tp>
      <tp>
        <v>23.3</v>
        <stp/>
        <stp>6125</stp>
        <stp>Price</stp>
        <tr r="X894" s="57"/>
      </tp>
      <tp>
        <v>12.1</v>
        <stp/>
        <stp>6185</stp>
        <stp>Price</stp>
        <tr r="X1169" s="57"/>
      </tp>
      <tp>
        <v>51.4</v>
        <stp/>
        <stp>6195</stp>
        <stp>Price</stp>
        <tr r="X1666" s="57"/>
      </tp>
      <tp>
        <v>110</v>
        <stp/>
        <stp>6655</stp>
        <stp>Price</stp>
        <tr r="X1354" s="57"/>
      </tp>
      <tp>
        <v>57.3</v>
        <stp/>
        <stp>6605</stp>
        <stp>Price</stp>
        <tr r="X526" s="57"/>
      </tp>
      <tp>
        <v>44.7</v>
        <stp/>
        <stp>6615</stp>
        <stp>Price</stp>
        <tr r="X398" s="57"/>
        <tr r="X401" s="57"/>
      </tp>
      <tp>
        <v>27.2</v>
        <stp/>
        <stp>6625</stp>
        <stp>Price</stp>
        <tr r="X1351" s="57"/>
      </tp>
      <tp>
        <v>102</v>
        <stp/>
        <stp>6715</stp>
        <stp>Price</stp>
        <tr r="X1201" s="57"/>
      </tp>
      <tp>
        <v>83.6</v>
        <stp/>
        <stp>6735</stp>
        <stp>Price</stp>
        <tr r="X1765" s="57"/>
      </tp>
      <tp>
        <v>24.7</v>
        <stp/>
        <stp>6405</stp>
        <stp>Price</stp>
        <tr r="X908" s="57"/>
      </tp>
      <tp>
        <v>2530</v>
        <stp/>
        <stp>6415</stp>
        <stp>Price</stp>
        <tr r="X648" s="57"/>
      </tp>
      <tp>
        <v>24</v>
        <stp/>
        <stp>6425</stp>
        <stp>Price</stp>
        <tr r="X211" s="57"/>
      </tp>
      <tp>
        <v>148.5</v>
        <stp/>
        <stp>6435</stp>
        <stp>Price</stp>
        <tr r="X649" s="57"/>
      </tp>
      <tp>
        <v>115.5</v>
        <stp/>
        <stp>6485</stp>
        <stp>Price</stp>
        <tr r="X4" s="74"/>
        <tr r="X653" s="57"/>
        <tr r="X16" s="114"/>
      </tp>
      <tp>
        <v>90.2</v>
        <stp/>
        <stp>6505</stp>
        <stp>Price</stp>
        <tr r="X8" s="118"/>
        <tr r="X1687" s="57"/>
        <tr r="X63" s="114"/>
      </tp>
      <tp>
        <v>326</v>
        <stp/>
        <stp>6515</stp>
        <stp>Price</stp>
        <tr r="X657" s="57"/>
      </tp>
      <tp>
        <v>79.5</v>
        <stp/>
        <stp>6525</stp>
        <stp>Price</stp>
        <tr r="X658" s="57"/>
      </tp>
      <tp>
        <v>35.049999999999997</v>
        <stp/>
        <stp>6535</stp>
        <stp>Price</stp>
        <tr r="X389" s="57"/>
      </tp>
      <tp>
        <v>69</v>
        <stp/>
        <stp>6585</stp>
        <stp>Price</stp>
        <tr r="X58" s="28"/>
        <tr r="X1347" s="57"/>
      </tp>
      <tp>
        <v>107</v>
        <stp/>
        <stp>4205</stp>
        <stp>Price</stp>
        <tr r="X38" s="57"/>
      </tp>
      <tp t="s">
        <v>無資料</v>
        <stp/>
        <stp>4305</stp>
        <stp>Price</stp>
        <tr r="X64" s="57"/>
      </tp>
      <tp>
        <v>22.8</v>
        <stp/>
        <stp>4155</stp>
        <stp>Price</stp>
        <tr r="X348" s="57"/>
      </tp>
      <tp>
        <v>72.400000000000006</v>
        <stp/>
        <stp>4175</stp>
        <stp>Price</stp>
        <tr r="X359" s="57"/>
      </tp>
      <tp>
        <v>68.099999999999994</v>
        <stp/>
        <stp>4105</stp>
        <stp>Price</stp>
        <tr r="X320" s="57"/>
        <tr r="X18" s="74"/>
      </tp>
      <tp>
        <v>29.85</v>
        <stp/>
        <stp>4745</stp>
        <stp>Price</stp>
        <tr r="X372" s="57"/>
      </tp>
      <tp>
        <v>174.5</v>
        <stp/>
        <stp>4755</stp>
        <stp>Price</stp>
        <tr r="X35" s="114"/>
        <tr r="X278" s="57"/>
      </tp>
      <tp>
        <v>40.049999999999997</v>
        <stp/>
        <stp>4735</stp>
        <stp>Price</stp>
        <tr r="X37" s="28"/>
        <tr r="X367" s="57"/>
        <tr r="X107" s="22"/>
        <tr r="X109" s="22"/>
        <tr r="X108" s="22"/>
      </tp>
      <tp>
        <v>29.65</v>
        <stp/>
        <stp>4545</stp>
        <stp>Price</stp>
        <tr r="X1124" s="57"/>
      </tp>
      <tp>
        <v>55.6</v>
        <stp/>
        <stp>4555</stp>
        <stp>Price</stp>
        <tr r="X195" s="57"/>
      </tp>
      <tp>
        <v>35.299999999999997</v>
        <stp/>
        <stp>4535</stp>
        <stp>Price</stp>
        <tr r="X188" s="57"/>
      </tp>
      <tp>
        <v>72.900000000000006</v>
        <stp/>
        <stp>4945</stp>
        <stp>Price</stp>
        <tr r="X602" s="57"/>
      </tp>
      <tp>
        <v>55.8</v>
        <stp/>
        <stp>4915</stp>
        <stp>Price</stp>
        <tr r="X1126" s="57"/>
      </tp>
      <tp>
        <v>56.4</v>
        <stp/>
        <stp>4935</stp>
        <stp>Price</stp>
        <tr r="X29" s="114"/>
        <tr r="X870" s="57"/>
      </tp>
      <tp>
        <v>40.700000000000003</v>
        <stp/>
        <stp>4995</stp>
        <stp>Price</stp>
        <tr r="X877" s="57"/>
      </tp>
      <tp>
        <v>63.8</v>
        <stp/>
        <stp>5245</stp>
        <stp>Price</stp>
        <tr r="X84" s="114"/>
        <tr r="X883" s="57"/>
      </tp>
      <tp t="s">
        <v>無資料</v>
        <stp/>
        <stp>5205</stp>
        <stp>Price</stp>
        <tr r="X1738" s="57"/>
      </tp>
      <tp>
        <v>51.9</v>
        <stp/>
        <stp>5215</stp>
        <stp>Price</stp>
        <tr r="X765" s="57"/>
        <tr r="X50" s="114"/>
      </tp>
      <tp>
        <v>23.95</v>
        <stp/>
        <stp>5225</stp>
        <stp>Price</stp>
        <tr r="X1739" s="57"/>
      </tp>
      <tp>
        <v>81.099999999999994</v>
        <stp/>
        <stp>5285</stp>
        <stp>Price</stp>
        <tr r="X616" s="57"/>
      </tp>
      <tp t="s">
        <v>無資料</v>
        <stp/>
        <stp>5345</stp>
        <stp>Price</stp>
        <tr r="X1141" s="57"/>
      </tp>
      <tp>
        <v>6.2</v>
        <stp/>
        <stp>5355</stp>
        <stp>Price</stp>
        <tr r="X1142" s="57"/>
      </tp>
      <tp>
        <v>17.649999999999999</v>
        <stp/>
        <stp>5315</stp>
        <stp>Price</stp>
        <tr r="X886" s="57"/>
      </tp>
      <tp>
        <v>45.45</v>
        <stp/>
        <stp>5015</stp>
        <stp>Price</stp>
        <tr r="X469" s="57"/>
      </tp>
      <tp t="s">
        <v>無資料</v>
        <stp/>
        <stp>5455</stp>
        <stp>Price</stp>
        <tr r="X1487" s="57"/>
      </tp>
      <tp>
        <v>14.65</v>
        <stp/>
        <stp>5465</stp>
        <stp>Price</stp>
        <tr r="X773" s="57"/>
      </tp>
      <tp>
        <v>13.45</v>
        <stp/>
        <stp>5475</stp>
        <stp>Price</stp>
        <tr r="X1149" s="57"/>
      </tp>
      <tp>
        <v>85.3</v>
        <stp/>
        <stp>5425</stp>
        <stp>Price</stp>
        <tr r="X623" s="57"/>
      </tp>
      <tp>
        <v>13.85</v>
        <stp/>
        <stp>5515</stp>
        <stp>Price</stp>
        <tr r="X1492" s="57"/>
      </tp>
      <tp>
        <v>25.3</v>
        <stp/>
        <stp>5525</stp>
        <stp>Price</stp>
        <tr r="X1498" s="57"/>
      </tp>
      <tp>
        <v>12.2</v>
        <stp/>
        <stp>5905</stp>
        <stp>Price</stp>
        <tr r="X1663" s="57"/>
      </tp>
      <tp>
        <v>156.5</v>
        <stp/>
        <stp>8255</stp>
        <stp>Price</stp>
        <tr r="X219" s="57"/>
      </tp>
      <tp>
        <v>33.200000000000003</v>
        <stp/>
        <stp>8215</stp>
        <stp>Price</stp>
        <tr r="X926" s="57"/>
      </tp>
      <tp>
        <v>17.5</v>
        <stp/>
        <stp>8085</stp>
        <stp>Price</stp>
        <tr r="X1770" s="57"/>
      </tp>
      <tp>
        <v>167</v>
        <stp/>
        <stp>8155</stp>
        <stp>Price</stp>
        <tr r="X1219" s="57"/>
      </tp>
      <tp>
        <v>10.25</v>
        <stp/>
        <stp>8105</stp>
        <stp>Price</stp>
        <tr r="X924" s="57"/>
      </tp>
      <tp t="s">
        <v>無資料</v>
        <stp/>
        <stp>8455</stp>
        <stp>Price</stp>
        <tr r="X1776" s="57"/>
      </tp>
      <tp>
        <v>35.25</v>
        <stp/>
        <stp>8415</stp>
        <stp>Price</stp>
        <tr r="X474" s="57"/>
      </tp>
      <tp>
        <v>60.5</v>
        <stp/>
        <stp>8435</stp>
        <stp>Price</stp>
        <tr r="X1378" s="57"/>
      </tp>
      <tp>
        <v>23.7</v>
        <stp/>
        <stp>8905</stp>
        <stp>Price</stp>
        <tr r="X1396" s="57"/>
      </tp>
      <tp>
        <v>13.4</v>
        <stp/>
        <stp>8935</stp>
        <stp>Price</stp>
        <tr r="X1405" s="57"/>
      </tp>
      <tp>
        <v>73.400000000000006</v>
        <stp/>
        <stp>9945</stp>
        <stp>Price</stp>
        <tr r="X1436" s="57"/>
      </tp>
      <tp>
        <v>23.15</v>
        <stp/>
        <stp>9955</stp>
        <stp>Price</stp>
        <tr r="X1437" s="57"/>
      </tp>
      <tp>
        <v>26</v>
        <stp/>
        <stp>9905</stp>
        <stp>Price</stp>
        <tr r="X1413" s="57"/>
      </tp>
      <tp>
        <v>39.25</v>
        <stp/>
        <stp>9925</stp>
        <stp>Price</stp>
        <tr r="X1422" s="57"/>
      </tp>
      <tp>
        <v>17.5</v>
        <stp/>
        <stp>9935</stp>
        <stp>Price</stp>
        <tr r="X1429" s="57"/>
      </tp>
      <tp>
        <v>20879.14</v>
        <stp/>
        <stp>$TWIT</stp>
        <stp>Price</stp>
        <tr r="T2" s="85"/>
      </tp>
      <tp>
        <v>2067.34</v>
        <stp/>
        <stp>$TWT</stp>
        <stp>PredictVolume</stp>
        <tr r="AO2" s="28"/>
      </tp>
      <tp>
        <v>16006.25</v>
        <stp/>
        <stp>$TWT</stp>
        <stp>Price</stp>
        <tr r="T9" s="85"/>
      </tp>
      <tp>
        <v>-0.96872535517967917</v>
        <stp/>
        <stp>$TWT17</stp>
        <stp>ChangePercent</stp>
        <tr r="AQ5" s="28"/>
      </tp>
      <tp>
        <v>6.661772303341762E-2</v>
        <stp/>
        <stp>$TWT13</stp>
        <stp>ChangePercent</stp>
        <tr r="AQ6" s="28"/>
      </tp>
      <tp>
        <v>-0.291058931257767</v>
        <stp/>
        <stp>$TWO13</stp>
        <stp>ChangePercent</stp>
        <tr r="AQ8" s="28"/>
      </tp>
      <tp>
        <v>-0.58313632781717883</v>
        <stp/>
        <stp>$TWT22</stp>
        <stp>ChangePercent</stp>
        <tr r="AQ7" s="28"/>
      </tp>
      <tp>
        <v>0.65673742230561749</v>
        <stp/>
        <stp>$TWO22</stp>
        <stp>ChangePercent</stp>
        <tr r="AQ9" s="28"/>
      </tp>
      <tp>
        <v>191.93</v>
        <stp/>
        <stp>$TWO</stp>
        <stp>Price</stp>
        <tr r="T10" s="85"/>
      </tp>
      <tp>
        <v>689.32</v>
        <stp/>
        <stp>$TWO</stp>
        <stp>PredictVolume</stp>
        <tr r="AO3" s="28"/>
      </tp>
      <tp>
        <v>122.27</v>
        <stp/>
        <stp>$TWT17</stp>
        <stp>PredictVolume</stp>
        <tr r="AO5" s="28"/>
      </tp>
      <tp>
        <v>158.02000000000001</v>
        <stp/>
        <stp>$TWOIGI</stp>
        <stp>Price</stp>
        <tr r="T7" s="85"/>
      </tp>
      <tp>
        <v>91.8</v>
        <stp/>
        <stp>$TWO28</stp>
        <stp>Price</stp>
        <tr r="N7" s="85"/>
      </tp>
      <tp>
        <v>162.96</v>
        <stp/>
        <stp>$TWT28</stp>
        <stp>Price</stp>
        <tr r="G7" s="85"/>
      </tp>
      <tp>
        <v>53.77</v>
        <stp/>
        <stp>$TWT08</stp>
        <stp>Price</stp>
        <tr r="G18" s="85"/>
      </tp>
      <tp>
        <v>279.91000000000003</v>
        <stp/>
        <stp>$TWT18</stp>
        <stp>Price</stp>
        <tr r="G26" s="85"/>
      </tp>
      <tp>
        <v>83.99</v>
        <stp/>
        <stp>$TWO29</stp>
        <stp>Price</stp>
        <tr r="N8" s="85"/>
      </tp>
      <tp>
        <v>192.25</v>
        <stp/>
        <stp>$TWT29</stp>
        <stp>Price</stp>
        <tr r="G8" s="85"/>
      </tp>
      <tp>
        <v>346.5</v>
        <stp/>
        <stp>$TWT09</stp>
        <stp>Price</stp>
        <tr r="G19" s="85"/>
      </tp>
      <tp>
        <v>2565.14</v>
        <stp/>
        <stp>$TWT</stp>
        <stp>PriorVolume</stp>
        <tr r="AP2" s="28"/>
      </tp>
      <tp>
        <v>591.51</v>
        <stp/>
        <stp>$TWO</stp>
        <stp>PriorVolume</stp>
        <tr r="AP3" s="28"/>
      </tp>
      <tp>
        <v>448.1</v>
        <stp/>
        <stp>$TWO13</stp>
        <stp>PredictVolume</stp>
        <tr r="AO8" s="28"/>
      </tp>
      <tp>
        <v>1066.1099999999999</v>
        <stp/>
        <stp>$TWT13</stp>
        <stp>PredictVolume</stp>
        <tr r="AO6" s="28"/>
      </tp>
      <tp>
        <v>76.31</v>
        <stp/>
        <stp>$TWO22</stp>
        <stp>PredictVolume</stp>
        <tr r="AO9" s="28"/>
      </tp>
      <tp>
        <v>48.84</v>
        <stp/>
        <stp>$TWT22</stp>
        <stp>PredictVolume</stp>
        <tr r="AO7" s="28"/>
      </tp>
      <tp>
        <v>16</v>
        <stp/>
        <stp>$TWO</stp>
        <stp>VolumeStrength</stp>
        <tr r="AN3" s="28"/>
      </tp>
      <tp>
        <v>-19</v>
        <stp/>
        <stp>$TWT</stp>
        <stp>VolumeStrength</stp>
        <tr r="AN2" s="28"/>
      </tp>
      <tp>
        <v>216539</v>
        <stp/>
        <stp>TXF1</stp>
        <stp>PriorVolume</stp>
        <tr r="AP1" s="28"/>
      </tp>
      <tp>
        <v>171.66</v>
        <stp/>
        <stp>$TWO22</stp>
        <stp>Price</stp>
        <tr r="N20" s="85"/>
      </tp>
      <tp>
        <v>105.09</v>
        <stp/>
        <stp>$TWO32</stp>
        <stp>Price</stp>
        <tr r="N18" s="85"/>
      </tp>
      <tp>
        <v>63.08</v>
        <stp/>
        <stp>$TWT22</stp>
        <stp>Price</stp>
        <tr r="G29" s="85"/>
      </tp>
      <tp>
        <v>1822.74</v>
        <stp/>
        <stp>$TWT02</stp>
        <stp>Price</stp>
        <tr r="G13" s="85"/>
      </tp>
      <tp>
        <v>302.17</v>
        <stp/>
        <stp>$TWT12</stp>
        <stp>Price</stp>
        <tr r="G22" s="85"/>
      </tp>
      <tp>
        <v>-0.21316418841634605</v>
        <stp/>
        <stp>$TWO</stp>
        <stp>ChangePercent</stp>
        <tr r="AQ3" s="28"/>
      </tp>
      <tp>
        <v>117.92</v>
        <stp/>
        <stp>$TWT23</stp>
        <stp>Price</stp>
        <tr r="G30" s="85"/>
      </tp>
      <tp>
        <v>274.29000000000002</v>
        <stp/>
        <stp>$TWT03</stp>
        <stp>Price</stp>
        <tr r="G14" s="85"/>
      </tp>
      <tp>
        <v>366.56</v>
        <stp/>
        <stp>$TWO13</stp>
        <stp>PriorVolume</stp>
        <tr r="AP8" s="28"/>
      </tp>
      <tp>
        <v>74.53</v>
        <stp/>
        <stp>$TWO22</stp>
        <stp>PriorVolume</stp>
        <tr r="AP9" s="28"/>
      </tp>
      <tp>
        <v>119.29</v>
        <stp/>
        <stp>$TWO20</stp>
        <stp>Price</stp>
        <tr r="N19" s="85"/>
      </tp>
      <tp>
        <v>113.03</v>
        <stp/>
        <stp>$TWO30</stp>
        <stp>Price</stp>
        <tr r="N9" s="85"/>
      </tp>
      <tp>
        <v>158.33000000000001</v>
        <stp/>
        <stp>$TWO10</stp>
        <stp>Price</stp>
        <tr r="N13" s="85"/>
      </tp>
      <tp>
        <v>356.68</v>
        <stp/>
        <stp>$TWT20</stp>
        <stp>Price</stp>
        <tr r="G27" s="85"/>
      </tp>
      <tp>
        <v>124.98</v>
        <stp/>
        <stp>$TWT30</stp>
        <stp>Price</stp>
        <tr r="G9" s="85"/>
      </tp>
      <tp>
        <v>160.5</v>
        <stp/>
        <stp>$TWT10</stp>
        <stp>Price</stp>
        <tr r="G20" s="85"/>
      </tp>
      <tp>
        <v>130.72</v>
        <stp/>
        <stp>$TWO21</stp>
        <stp>Price</stp>
        <tr r="N17" s="85"/>
      </tp>
      <tp>
        <v>141.29</v>
        <stp/>
        <stp>$TWO31</stp>
        <stp>Price</stp>
        <tr r="N10" s="85"/>
      </tp>
      <tp>
        <v>143.24</v>
        <stp/>
        <stp>$TWT21</stp>
        <stp>Price</stp>
        <tr r="G28" s="85"/>
      </tp>
      <tp>
        <v>95.26</v>
        <stp/>
        <stp>$TWT31</stp>
        <stp>Price</stp>
        <tr r="G10" s="85"/>
      </tp>
      <tp>
        <v>172.83</v>
        <stp/>
        <stp>$TWT01</stp>
        <stp>Price</stp>
        <tr r="G12" s="85"/>
      </tp>
      <tp>
        <v>246.52</v>
        <stp/>
        <stp>$TWT11</stp>
        <stp>Price</stp>
        <tr r="G21" s="85"/>
      </tp>
      <tp>
        <v>50.21</v>
        <stp/>
        <stp>$TWO26</stp>
        <stp>Price</stp>
        <tr r="N5" s="85"/>
      </tp>
      <tp>
        <v>65.069999999999993</v>
        <stp/>
        <stp>$TWO16</stp>
        <stp>Price</stp>
        <tr r="N16" s="85"/>
      </tp>
      <tp>
        <v>32.619999999999997</v>
        <stp/>
        <stp>$TWT26</stp>
        <stp>Price</stp>
        <tr r="G5" s="85"/>
      </tp>
      <tp>
        <v>93.78</v>
        <stp/>
        <stp>$TWT06</stp>
        <stp>Price</stp>
        <tr r="G17" s="85"/>
      </tp>
      <tp>
        <v>91.49</v>
        <stp/>
        <stp>$TWT16</stp>
        <stp>Price</stp>
        <tr r="G25" s="85"/>
      </tp>
      <tp>
        <v>162.27000000000001</v>
        <stp/>
        <stp>$TWOIHD</stp>
        <stp>Price</stp>
        <tr r="T6" s="85"/>
      </tp>
      <tp>
        <v>75.62</v>
        <stp/>
        <stp>$TWO27</stp>
        <stp>Price</stp>
        <tr r="N6" s="85"/>
      </tp>
      <tp>
        <v>135.63999999999999</v>
        <stp/>
        <stp>$TWT27</stp>
        <stp>Price</stp>
        <tr r="G6" s="85"/>
      </tp>
      <tp>
        <v>106.17</v>
        <stp/>
        <stp>$TWO24</stp>
        <stp>Price</stp>
        <tr r="N3" s="85"/>
      </tp>
      <tp>
        <v>105.83</v>
        <stp/>
        <stp>$TWO04</stp>
        <stp>Price</stp>
        <tr r="N11" s="85"/>
      </tp>
      <tp>
        <v>164.27</v>
        <stp/>
        <stp>$TWO14</stp>
        <stp>Price</stp>
        <tr r="N14" s="85"/>
      </tp>
      <tp>
        <v>359.8</v>
        <stp/>
        <stp>$TWT24</stp>
        <stp>Price</stp>
        <tr r="G3" s="85"/>
      </tp>
      <tp>
        <v>568.95000000000005</v>
        <stp/>
        <stp>$TWT04</stp>
        <stp>Price</stp>
        <tr r="G15" s="85"/>
      </tp>
      <tp>
        <v>363.09</v>
        <stp/>
        <stp>$TWT14</stp>
        <stp>Price</stp>
        <tr r="G23" s="85"/>
      </tp>
      <tp>
        <v>78.209999999999994</v>
        <stp/>
        <stp>$TWO25</stp>
        <stp>Price</stp>
        <tr r="N4" s="85"/>
      </tp>
      <tp>
        <v>147.33000000000001</v>
        <stp/>
        <stp>$TWO05</stp>
        <stp>Price</stp>
        <tr r="N12" s="85"/>
      </tp>
      <tp>
        <v>233.61</v>
        <stp/>
        <stp>$TWO15</stp>
        <stp>Price</stp>
        <tr r="N15" s="85"/>
      </tp>
      <tp>
        <v>130.79</v>
        <stp/>
        <stp>$TWT25</stp>
        <stp>Price</stp>
        <tr r="G4" s="85"/>
      </tp>
      <tp>
        <v>218.61</v>
        <stp/>
        <stp>$TWT05</stp>
        <stp>Price</stp>
        <tr r="G16" s="85"/>
      </tp>
      <tp>
        <v>268.82</v>
        <stp/>
        <stp>$TWT15</stp>
        <stp>Price</stp>
        <tr r="G24" s="85"/>
      </tp>
      <tp>
        <v>1068.28</v>
        <stp/>
        <stp>$TWTNB</stp>
        <stp>PriorVolume</stp>
        <tr r="AP4" s="28"/>
      </tp>
      <tp>
        <v>1310.46</v>
        <stp/>
        <stp>$TWT13</stp>
        <stp>PriorVolume</stp>
        <tr r="AP6" s="28"/>
      </tp>
      <tp>
        <v>182.08</v>
        <stp/>
        <stp>$TWT17</stp>
        <stp>PriorVolume</stp>
        <tr r="AP5" s="28"/>
      </tp>
      <tp>
        <v>35.39</v>
        <stp/>
        <stp>$TWT22</stp>
        <stp>PriorVolume</stp>
        <tr r="AP7" s="28"/>
      </tp>
      <tp>
        <v>-0.34523120217660647</v>
        <stp/>
        <stp>$TWT</stp>
        <stp>ChangePercent</stp>
        <tr r="AQ2" s="28"/>
      </tp>
      <tp>
        <v>36</v>
        <stp/>
        <stp>8936</stp>
        <stp>VolumeStrength</stp>
        <tr r="AP32" s="28"/>
      </tp>
      <tp>
        <v>-6</v>
        <stp/>
        <stp>8299</stp>
        <stp>VolumeStrength</stp>
        <tr r="AM39" s="118"/>
      </tp>
      <tp>
        <v>170</v>
        <stp/>
        <stp>8069</stp>
        <stp>VolumeStrength</stp>
        <tr r="AM32" s="118"/>
      </tp>
      <tp>
        <v>17</v>
        <stp/>
        <stp>9919</stp>
        <stp>VolumeStrength</stp>
        <tr r="AP13" s="28"/>
      </tp>
      <tp>
        <v>-22</v>
        <stp/>
        <stp>4938</stp>
        <stp>VolumeStrength</stp>
        <tr r="AP21" s="28"/>
      </tp>
      <tp>
        <v>26</v>
        <stp/>
        <stp>4958</stp>
        <stp>VolumeStrength</stp>
        <tr r="AP20" s="28"/>
      </tp>
      <tp>
        <v>-25</v>
        <stp/>
        <stp>4128</stp>
        <stp>VolumeStrength</stp>
        <tr r="AP28" s="28"/>
      </tp>
      <tp>
        <v>-5</v>
        <stp/>
        <stp>4162</stp>
        <stp>VolumeStrength</stp>
        <tr r="AP19" s="28"/>
      </tp>
      <tp>
        <v>68</v>
        <stp/>
        <stp>4163</stp>
        <stp>VolumeStrength</stp>
        <tr r="AP24" s="28"/>
      </tp>
      <tp>
        <v>-41</v>
        <stp/>
        <stp>4735</stp>
        <stp>VolumeStrength</stp>
        <tr r="AP37" s="28"/>
      </tp>
      <tp>
        <v>-27</v>
        <stp/>
        <stp>4743</stp>
        <stp>VolumeStrength</stp>
        <tr r="AM40" s="118"/>
      </tp>
      <tp>
        <v>35</v>
        <stp/>
        <stp>4432</stp>
        <stp>VolumeStrength</stp>
        <tr r="AP30" s="28"/>
      </tp>
      <tp>
        <v>-27</v>
        <stp/>
        <stp>5871</stp>
        <stp>VolumeStrength</stp>
        <tr r="AM21" s="118"/>
      </tp>
      <tp>
        <v>-50</v>
        <stp/>
        <stp>5880</stp>
        <stp>VolumeStrength</stp>
        <tr r="AM17" s="118"/>
      </tp>
      <tp>
        <v>-15</v>
        <stp/>
        <stp>5223</stp>
        <stp>VolumeStrength</stp>
        <tr r="AP26" s="28"/>
      </tp>
      <tp>
        <v>32</v>
        <stp/>
        <stp>5274</stp>
        <stp>VolumeStrength</stp>
        <tr r="AM35" s="118"/>
      </tp>
      <tp>
        <v>-48</v>
        <stp/>
        <stp>5347</stp>
        <stp>VolumeStrength</stp>
        <tr r="AM33" s="118"/>
      </tp>
      <tp>
        <v>-62</v>
        <stp/>
        <stp>5471</stp>
        <stp>VolumeStrength</stp>
        <tr r="AP31" s="28"/>
      </tp>
      <tp>
        <v>70</v>
        <stp/>
        <stp>5483</stp>
        <stp>VolumeStrength</stp>
        <tr r="AM37" s="118"/>
      </tp>
      <tp>
        <v>-26</v>
        <stp/>
        <stp>6179</stp>
        <stp>VolumeStrength</stp>
        <tr r="AP23" s="28"/>
      </tp>
      <tp>
        <v>78</v>
        <stp/>
        <stp>6446</stp>
        <stp>VolumeStrength</stp>
        <tr r="AM38" s="118"/>
      </tp>
      <tp>
        <v>59</v>
        <stp/>
        <stp>6477</stp>
        <stp>VolumeStrength</stp>
        <tr r="AP12" s="28"/>
      </tp>
      <tp>
        <v>-14</v>
        <stp/>
        <stp>6488</stp>
        <stp>VolumeStrength</stp>
        <tr r="AM31" s="118"/>
      </tp>
      <tp>
        <v>12</v>
        <stp/>
        <stp>6505</stp>
        <stp>VolumeStrength</stp>
        <tr r="AM8" s="118"/>
      </tp>
      <tp>
        <v>81</v>
        <stp/>
        <stp>6523</stp>
        <stp>VolumeStrength</stp>
        <tr r="AP17" s="28"/>
      </tp>
      <tp>
        <v>-67</v>
        <stp/>
        <stp>6558</stp>
        <stp>VolumeStrength</stp>
        <tr r="AP38" s="28"/>
      </tp>
      <tp>
        <v>-14</v>
        <stp/>
        <stp>1216</stp>
        <stp>VolumeStrength</stp>
        <tr r="AM28" s="118"/>
      </tp>
      <tp>
        <v>-18</v>
        <stp/>
        <stp>1303</stp>
        <stp>VolumeStrength</stp>
        <tr r="AM10" s="118"/>
      </tp>
      <tp>
        <v>-23</v>
        <stp/>
        <stp>1301</stp>
        <stp>VolumeStrength</stp>
        <tr r="AM9" s="118"/>
      </tp>
      <tp>
        <v>-54</v>
        <stp/>
        <stp>1309</stp>
        <stp>VolumeStrength</stp>
        <tr r="AP34" s="28"/>
      </tp>
      <tp>
        <v>-14</v>
        <stp/>
        <stp>1326</stp>
        <stp>VolumeStrength</stp>
        <tr r="AM11" s="118"/>
      </tp>
      <tp>
        <v>-1</v>
        <stp/>
        <stp>1325</stp>
        <stp>VolumeStrength</stp>
        <tr r="AP16" s="28"/>
      </tp>
      <tp>
        <v>-28</v>
        <stp/>
        <stp>1732</stp>
        <stp>VolumeStrength</stp>
        <tr r="AP14" s="28"/>
      </tp>
      <tp>
        <v>22</v>
        <stp/>
        <stp>1476</stp>
        <stp>VolumeStrength</stp>
        <tr r="AP29" s="28"/>
      </tp>
      <tp>
        <v>25</v>
        <stp/>
        <stp>1598</stp>
        <stp>VolumeStrength</stp>
        <tr r="AP39" s="28"/>
      </tp>
      <tp>
        <v>-26</v>
        <stp/>
        <stp>2892</stp>
        <stp>VolumeStrength</stp>
        <tr r="AM18" s="118"/>
      </tp>
      <tp>
        <v>-30</v>
        <stp/>
        <stp>2891</stp>
        <stp>VolumeStrength</stp>
        <tr r="AM14" s="118"/>
      </tp>
      <tp>
        <v>0</v>
        <stp/>
        <stp>2882</stp>
        <stp>VolumeStrength</stp>
        <tr r="AM13" s="118"/>
      </tp>
      <tp>
        <v>-33</v>
        <stp/>
        <stp>2880</stp>
        <stp>VolumeStrength</stp>
        <tr r="AM20" s="118"/>
      </tp>
      <tp>
        <v>-40</v>
        <stp/>
        <stp>2881</stp>
        <stp>VolumeStrength</stp>
        <tr r="AM12" s="118"/>
      </tp>
      <tp>
        <v>-21</v>
        <stp/>
        <stp>2886</stp>
        <stp>VolumeStrength</stp>
        <tr r="AM15" s="118"/>
      </tp>
      <tp>
        <v>-49</v>
        <stp/>
        <stp>2884</stp>
        <stp>VolumeStrength</stp>
        <tr r="AM16" s="118"/>
      </tp>
      <tp>
        <v>-9</v>
        <stp/>
        <stp>2885</stp>
        <stp>VolumeStrength</stp>
        <tr r="AM19" s="118"/>
      </tp>
      <tp>
        <v>35</v>
        <stp/>
        <stp>2207</stp>
        <stp>VolumeStrength</stp>
        <tr r="AM29" s="118"/>
      </tp>
      <tp>
        <v>11</v>
        <stp/>
        <stp>2317</stp>
        <stp>VolumeStrength</stp>
        <tr r="AM2" s="118"/>
      </tp>
      <tp>
        <v>-7</v>
        <stp/>
        <stp>2303</stp>
        <stp>VolumeStrength</stp>
        <tr r="AM4" s="118"/>
      </tp>
      <tp>
        <v>-23</v>
        <stp/>
        <stp>2308</stp>
        <stp>VolumeStrength</stp>
        <tr r="AM5" s="118"/>
      </tp>
      <tp>
        <v>-34</v>
        <stp/>
        <stp>2330</stp>
        <stp>VolumeStrength</stp>
        <tr r="AM1" s="118"/>
      </tp>
      <tp>
        <v>-7</v>
        <stp/>
        <stp>2382</stp>
        <stp>VolumeStrength</stp>
        <tr r="AM7" s="118"/>
      </tp>
      <tp>
        <v>-25</v>
        <stp/>
        <stp>2387</stp>
        <stp>VolumeStrength</stp>
        <tr r="AP36" s="28"/>
      </tp>
      <tp>
        <v>3</v>
        <stp/>
        <stp>2002</stp>
        <stp>VolumeStrength</stp>
        <tr r="AM27" s="118"/>
      </tp>
      <tp>
        <v>-24</v>
        <stp/>
        <stp>2615</stp>
        <stp>VolumeStrength</stp>
        <tr r="AM23" s="118"/>
      </tp>
      <tp>
        <v>-29</v>
        <stp/>
        <stp>2603</stp>
        <stp>VolumeStrength</stp>
        <tr r="AM22" s="118"/>
      </tp>
      <tp>
        <v>-29</v>
        <stp/>
        <stp>2609</stp>
        <stp>VolumeStrength</stp>
        <tr r="AM24" s="118"/>
      </tp>
      <tp>
        <v>-39</v>
        <stp/>
        <stp>2412</stp>
        <stp>VolumeStrength</stp>
        <tr r="AM25" s="118"/>
      </tp>
      <tp>
        <v>-35</v>
        <stp/>
        <stp>2454</stp>
        <stp>VolumeStrength</stp>
        <tr r="AM3" s="118"/>
      </tp>
      <tp>
        <v>-28</v>
        <stp/>
        <stp>2441</stp>
        <stp>VolumeStrength</stp>
        <tr r="AP22" s="28"/>
      </tp>
      <tp>
        <v>-28</v>
        <stp/>
        <stp>3265</stp>
        <stp>VolumeStrength</stp>
        <tr r="AP18" s="28"/>
      </tp>
      <tp>
        <v>105</v>
        <stp/>
        <stp>3374</stp>
        <stp>VolumeStrength</stp>
        <tr r="AP27" s="28"/>
      </tp>
      <tp>
        <v>-25</v>
        <stp/>
        <stp>3015</stp>
        <stp>VolumeStrength</stp>
        <tr r="AP25" s="28"/>
      </tp>
      <tp>
        <v>-36</v>
        <stp/>
        <stp>3037</stp>
        <stp>VolumeStrength</stp>
        <tr r="AM30" s="118"/>
      </tp>
      <tp>
        <v>-38</v>
        <stp/>
        <stp>3045</stp>
        <stp>VolumeStrength</stp>
        <tr r="AM26" s="118"/>
      </tp>
      <tp>
        <v>-33</v>
        <stp/>
        <stp>3105</stp>
        <stp>VolumeStrength</stp>
        <tr r="AM36" s="118"/>
      </tp>
      <tp>
        <v>-38</v>
        <stp/>
        <stp>3162</stp>
        <stp>VolumeStrength</stp>
        <tr r="AP35" s="28"/>
      </tp>
      <tp>
        <v>-69</v>
        <stp/>
        <stp>3713</stp>
        <stp>VolumeStrength</stp>
        <tr r="AP33" s="28"/>
      </tp>
      <tp>
        <v>-14</v>
        <stp/>
        <stp>3711</stp>
        <stp>VolumeStrength</stp>
        <tr r="AM6" s="118"/>
      </tp>
      <tp>
        <v>5</v>
        <stp/>
        <stp>3529</stp>
        <stp>VolumeStrength</stp>
        <tr r="AM34" s="11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0</xdr:row>
          <xdr:rowOff>7620</xdr:rowOff>
        </xdr:from>
        <xdr:to>
          <xdr:col>21</xdr:col>
          <xdr:colOff>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插入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</xdr:colOff>
          <xdr:row>0</xdr:row>
          <xdr:rowOff>22860</xdr:rowOff>
        </xdr:from>
        <xdr:to>
          <xdr:col>18</xdr:col>
          <xdr:colOff>335280</xdr:colOff>
          <xdr:row>0</xdr:row>
          <xdr:rowOff>228600</xdr:rowOff>
        </xdr:to>
        <xdr:sp macro="" textlink="">
          <xdr:nvSpPr>
            <xdr:cNvPr id="16393" name="TextBox1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0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1</xdr:row>
          <xdr:rowOff>7620</xdr:rowOff>
        </xdr:from>
        <xdr:to>
          <xdr:col>8</xdr:col>
          <xdr:colOff>251460</xdr:colOff>
          <xdr:row>2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導入進出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2</xdr:row>
          <xdr:rowOff>7620</xdr:rowOff>
        </xdr:from>
        <xdr:to>
          <xdr:col>14</xdr:col>
          <xdr:colOff>15240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導入融外自投每日總結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7620</xdr:colOff>
          <xdr:row>1</xdr:row>
          <xdr:rowOff>15240</xdr:rowOff>
        </xdr:from>
        <xdr:to>
          <xdr:col>40</xdr:col>
          <xdr:colOff>434340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1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導入總結A&amp;B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220980</xdr:colOff>
          <xdr:row>2</xdr:row>
          <xdr:rowOff>7620</xdr:rowOff>
        </xdr:from>
        <xdr:to>
          <xdr:col>16</xdr:col>
          <xdr:colOff>525780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9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259080</xdr:colOff>
          <xdr:row>2</xdr:row>
          <xdr:rowOff>7620</xdr:rowOff>
        </xdr:from>
        <xdr:to>
          <xdr:col>19</xdr:col>
          <xdr:colOff>541020</xdr:colOff>
          <xdr:row>3</xdr:row>
          <xdr:rowOff>175260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9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導入基本資料B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N5707"/>
  <sheetViews>
    <sheetView tabSelected="1" workbookViewId="0">
      <pane ySplit="1" topLeftCell="A2" activePane="bottomLeft" state="frozen"/>
      <selection pane="bottomLeft" sqref="A1:XFD1"/>
    </sheetView>
  </sheetViews>
  <sheetFormatPr defaultColWidth="9.125" defaultRowHeight="16.2"/>
  <cols>
    <col min="1" max="1" width="7.75" style="347" customWidth="1"/>
    <col min="2" max="5" width="5.75" style="91" customWidth="1"/>
    <col min="6" max="6" width="8.75" style="208" customWidth="1"/>
    <col min="7" max="7" width="6.75" style="19" customWidth="1"/>
    <col min="8" max="8" width="5.75" style="12" customWidth="1"/>
    <col min="9" max="9" width="8.75" style="9" customWidth="1"/>
    <col min="10" max="10" width="5.75" style="1" customWidth="1"/>
    <col min="11" max="11" width="2.75" style="361" customWidth="1"/>
    <col min="12" max="12" width="3.75" style="121" customWidth="1"/>
    <col min="13" max="14" width="3.75" style="234" customWidth="1"/>
    <col min="15" max="15" width="2.75" style="245" customWidth="1"/>
    <col min="16" max="16" width="6.125" style="89" customWidth="1"/>
    <col min="17" max="17" width="6.75" style="73" customWidth="1"/>
    <col min="18" max="18" width="6.75" style="354" customWidth="1"/>
    <col min="19" max="19" width="5.75" style="26" customWidth="1"/>
    <col min="20" max="20" width="7.75" style="327" customWidth="1"/>
    <col min="21" max="21" width="7.75" style="394" customWidth="1"/>
    <col min="22" max="22" width="7.75" style="311" customWidth="1"/>
    <col min="23" max="23" width="7.75" style="215" customWidth="1"/>
    <col min="24" max="24" width="10.75" style="246" customWidth="1"/>
    <col min="25" max="25" width="10.75" style="69" customWidth="1"/>
    <col min="26" max="26" width="9.75" style="58" customWidth="1"/>
    <col min="27" max="27" width="8.75" style="11" customWidth="1"/>
    <col min="28" max="28" width="6.75" style="100" customWidth="1"/>
    <col min="29" max="29" width="5.75" style="382" customWidth="1"/>
    <col min="30" max="30" width="8.75" style="9" customWidth="1"/>
    <col min="31" max="31" width="11.75" style="84" customWidth="1"/>
    <col min="32" max="32" width="11.75" style="83" customWidth="1"/>
    <col min="33" max="33" width="3.75" style="78" customWidth="1"/>
    <col min="34" max="34" width="8.75" style="245" customWidth="1"/>
    <col min="35" max="35" width="7.75" style="224" customWidth="1"/>
    <col min="36" max="36" width="7.75" style="245" customWidth="1"/>
    <col min="37" max="37" width="7.75" style="44" customWidth="1"/>
    <col min="38" max="38" width="2.75" style="279" customWidth="1"/>
    <col min="39" max="39" width="6.75" style="224" customWidth="1"/>
    <col min="40" max="40" width="5.75" style="235" customWidth="1"/>
    <col min="41" max="16384" width="9.125" style="245"/>
  </cols>
  <sheetData>
    <row r="1" spans="1:40" s="410" customFormat="1" ht="18.600000000000001" customHeight="1">
      <c r="A1" s="219"/>
      <c r="B1" s="409"/>
      <c r="C1" s="409"/>
      <c r="D1" s="409"/>
      <c r="E1" s="409"/>
      <c r="F1" s="348"/>
      <c r="G1" s="26"/>
      <c r="H1" s="4"/>
      <c r="I1" s="1"/>
      <c r="J1" s="1"/>
      <c r="K1" s="361"/>
      <c r="L1" s="209"/>
      <c r="M1" s="234"/>
      <c r="N1" s="234"/>
      <c r="P1" s="415">
        <v>2330</v>
      </c>
      <c r="Q1" s="416"/>
      <c r="R1" s="416"/>
      <c r="S1" s="416"/>
      <c r="T1" s="326"/>
      <c r="U1" s="29"/>
      <c r="V1" s="102"/>
      <c r="W1" s="395"/>
      <c r="X1" s="247"/>
      <c r="Y1" s="17"/>
      <c r="Z1" s="14"/>
      <c r="AA1" s="1"/>
      <c r="AB1" s="330"/>
      <c r="AC1" s="382"/>
      <c r="AD1" s="1"/>
      <c r="AE1" s="264"/>
      <c r="AF1" s="411"/>
      <c r="AG1" s="78"/>
      <c r="AI1" s="412"/>
      <c r="AK1" s="258"/>
      <c r="AL1" s="413"/>
      <c r="AM1" s="412"/>
      <c r="AN1" s="414"/>
    </row>
    <row r="2" spans="1:40" ht="17.25" customHeight="1">
      <c r="A2" s="346" t="s">
        <v>1673</v>
      </c>
      <c r="B2" s="90" t="s">
        <v>1572</v>
      </c>
      <c r="C2" s="90" t="s">
        <v>1573</v>
      </c>
      <c r="D2" s="90" t="s">
        <v>1574</v>
      </c>
      <c r="E2" s="90" t="s">
        <v>1575</v>
      </c>
      <c r="F2" s="348" t="s">
        <v>1060</v>
      </c>
      <c r="G2" s="26" t="s">
        <v>3442</v>
      </c>
      <c r="H2" s="55" t="s">
        <v>320</v>
      </c>
      <c r="I2" s="8" t="s">
        <v>6224</v>
      </c>
      <c r="J2" s="8" t="s">
        <v>6221</v>
      </c>
      <c r="K2" s="5" t="s">
        <v>6222</v>
      </c>
      <c r="L2" s="337" t="s">
        <v>6206</v>
      </c>
      <c r="M2" s="338" t="s">
        <v>6207</v>
      </c>
      <c r="N2" s="339" t="s">
        <v>6208</v>
      </c>
      <c r="O2" s="4" t="s">
        <v>6713</v>
      </c>
      <c r="P2" s="89" t="s">
        <v>6285</v>
      </c>
      <c r="Q2" s="293" t="s">
        <v>6284</v>
      </c>
      <c r="R2" s="354" t="s">
        <v>6283</v>
      </c>
      <c r="S2" s="26" t="s">
        <v>6286</v>
      </c>
      <c r="T2" s="321" t="s">
        <v>4716</v>
      </c>
      <c r="U2" s="29" t="s">
        <v>66</v>
      </c>
      <c r="V2" s="102" t="s">
        <v>4731</v>
      </c>
      <c r="W2" s="68" t="s">
        <v>3273</v>
      </c>
      <c r="X2" s="28" t="s">
        <v>2</v>
      </c>
      <c r="Y2" s="17" t="s">
        <v>1399</v>
      </c>
      <c r="Z2" s="14" t="s">
        <v>5</v>
      </c>
      <c r="AA2" s="21" t="s">
        <v>3</v>
      </c>
      <c r="AB2" s="51" t="s">
        <v>6174</v>
      </c>
      <c r="AC2" s="102" t="s">
        <v>6420</v>
      </c>
      <c r="AD2" s="8" t="s">
        <v>6224</v>
      </c>
      <c r="AE2" s="71" t="s">
        <v>1400</v>
      </c>
      <c r="AF2" s="72" t="s">
        <v>1157</v>
      </c>
      <c r="AG2" s="32" t="s">
        <v>1158</v>
      </c>
      <c r="AH2" s="232" t="s">
        <v>4744</v>
      </c>
      <c r="AI2" s="8" t="s">
        <v>6731</v>
      </c>
      <c r="AJ2" s="50" t="s">
        <v>3361</v>
      </c>
      <c r="AK2" s="44" t="s">
        <v>6730</v>
      </c>
      <c r="AM2" s="123"/>
      <c r="AN2" s="234"/>
    </row>
    <row r="3" spans="1:40" ht="17.25" customHeight="1">
      <c r="A3" s="346"/>
      <c r="B3" s="90"/>
      <c r="C3" s="90"/>
      <c r="D3" s="90"/>
      <c r="E3" s="90"/>
      <c r="F3" s="348"/>
      <c r="G3" s="26"/>
      <c r="H3" s="55"/>
      <c r="I3" s="8"/>
      <c r="J3" s="8"/>
      <c r="K3" s="5"/>
      <c r="L3" s="337"/>
      <c r="M3" s="338"/>
      <c r="N3" s="339"/>
      <c r="O3" s="4"/>
      <c r="Q3" s="293"/>
      <c r="T3" s="321"/>
      <c r="U3" s="29"/>
      <c r="V3" s="102"/>
      <c r="W3" s="68"/>
      <c r="X3" s="28"/>
      <c r="Y3" s="17"/>
      <c r="Z3" s="14"/>
      <c r="AA3" s="21"/>
      <c r="AB3" s="51"/>
      <c r="AC3" s="102"/>
      <c r="AD3" s="8"/>
      <c r="AE3" s="71"/>
      <c r="AF3" s="72"/>
      <c r="AG3" s="32"/>
      <c r="AH3" s="232"/>
      <c r="AI3" s="8"/>
      <c r="AJ3" s="50"/>
      <c r="AM3" s="123"/>
      <c r="AN3" s="234"/>
    </row>
    <row r="4" spans="1:40">
      <c r="A4" s="347">
        <v>18.989999999999998</v>
      </c>
      <c r="B4" s="79">
        <v>14</v>
      </c>
      <c r="C4" s="79">
        <v>23</v>
      </c>
      <c r="D4" s="79">
        <v>7</v>
      </c>
      <c r="E4" s="79">
        <v>7</v>
      </c>
      <c r="F4" s="6">
        <v>9.98</v>
      </c>
      <c r="G4" s="80">
        <v>4927</v>
      </c>
      <c r="H4" s="17" t="s">
        <v>308</v>
      </c>
      <c r="I4" s="22" t="s">
        <v>447</v>
      </c>
      <c r="J4" s="8">
        <v>6</v>
      </c>
      <c r="K4" s="5"/>
      <c r="L4" s="156">
        <v>1</v>
      </c>
      <c r="M4" s="340">
        <v>0</v>
      </c>
      <c r="N4" s="240">
        <v>1</v>
      </c>
      <c r="O4" s="248"/>
      <c r="P4" s="365">
        <v>291</v>
      </c>
      <c r="Q4" s="79">
        <v>194</v>
      </c>
      <c r="R4" s="346">
        <v>283</v>
      </c>
      <c r="S4" s="81">
        <v>37</v>
      </c>
      <c r="T4" s="327">
        <v>51</v>
      </c>
      <c r="U4" s="186">
        <v>4</v>
      </c>
      <c r="V4" s="310">
        <f t="shared" ref="V4:V6" si="0">$U4/$X4</f>
        <v>4.1580041580041575E-2</v>
      </c>
      <c r="W4" s="94">
        <v>7.25</v>
      </c>
      <c r="X4" s="36">
        <f>RTD("money.excel",,"4927","Price")</f>
        <v>96.2</v>
      </c>
      <c r="Y4" s="66">
        <v>97.2</v>
      </c>
      <c r="Z4" s="15">
        <f t="shared" ref="Z4:Z6" si="1">X4-Y4</f>
        <v>-1</v>
      </c>
      <c r="AA4" s="3">
        <f t="shared" ref="AA4:AA6" si="2">Z4/Y4</f>
        <v>-1.0288065843621399E-2</v>
      </c>
      <c r="AB4" s="344">
        <v>-29.57</v>
      </c>
      <c r="AC4" s="397">
        <v>41.99</v>
      </c>
      <c r="AD4" s="22" t="s">
        <v>447</v>
      </c>
      <c r="AE4" s="84">
        <v>44691</v>
      </c>
      <c r="AG4" s="33">
        <f t="shared" ref="AG4:AG6" si="3">AF4-AE4</f>
        <v>-44691</v>
      </c>
      <c r="AH4" s="43" t="s">
        <v>1044</v>
      </c>
      <c r="AI4" s="63">
        <f t="shared" ref="AI4:AI6" si="4">AJ4/(A4*10000)</f>
        <v>1.0968931016324382E-2</v>
      </c>
      <c r="AJ4" s="284">
        <f>RTD("money.excel",,$G4,"PredictVolume")</f>
        <v>2083</v>
      </c>
      <c r="AK4" s="399">
        <v>15.88</v>
      </c>
      <c r="AM4" s="239"/>
      <c r="AN4" s="245"/>
    </row>
    <row r="5" spans="1:40">
      <c r="B5" s="79"/>
      <c r="C5" s="79"/>
      <c r="D5" s="79"/>
      <c r="E5" s="79"/>
      <c r="F5" s="6">
        <f>MATCH($G5,'TSE OTC全部'!$G:$G,0)</f>
        <v>532</v>
      </c>
      <c r="G5" s="80">
        <v>2330</v>
      </c>
      <c r="H5" s="17"/>
      <c r="I5" s="22"/>
      <c r="J5" s="8"/>
      <c r="K5" s="5"/>
      <c r="L5" s="156"/>
      <c r="M5" s="340"/>
      <c r="N5" s="240"/>
      <c r="O5" s="248"/>
      <c r="P5" s="365"/>
      <c r="Q5" s="79"/>
      <c r="R5" s="346"/>
      <c r="S5" s="81"/>
      <c r="U5" s="186"/>
      <c r="V5" s="310"/>
      <c r="W5" s="94"/>
      <c r="X5" s="36"/>
      <c r="Y5" s="66"/>
      <c r="Z5" s="15"/>
      <c r="AA5" s="3"/>
      <c r="AB5" s="344"/>
      <c r="AC5" s="397"/>
      <c r="AD5" s="22"/>
      <c r="AG5" s="33"/>
      <c r="AH5" s="43"/>
      <c r="AI5" s="63"/>
      <c r="AJ5" s="284"/>
      <c r="AK5" s="399"/>
      <c r="AM5" s="239"/>
      <c r="AN5" s="245"/>
    </row>
    <row r="6" spans="1:40">
      <c r="A6" s="347">
        <v>16.649999999999999</v>
      </c>
      <c r="B6" s="79">
        <v>2</v>
      </c>
      <c r="C6" s="79">
        <v>-2</v>
      </c>
      <c r="D6" s="79">
        <v>22</v>
      </c>
      <c r="E6" s="79">
        <v>24</v>
      </c>
      <c r="F6" s="6">
        <v>3.6</v>
      </c>
      <c r="G6" s="80">
        <v>2430</v>
      </c>
      <c r="H6" s="5" t="s">
        <v>329</v>
      </c>
      <c r="I6" s="22" t="s">
        <v>89</v>
      </c>
      <c r="J6" s="102" t="s">
        <v>6439</v>
      </c>
      <c r="K6" s="5"/>
      <c r="L6" s="156">
        <v>1</v>
      </c>
      <c r="M6" s="340">
        <v>0</v>
      </c>
      <c r="N6" s="240">
        <v>1</v>
      </c>
      <c r="O6" s="248"/>
      <c r="P6" s="365">
        <v>1058</v>
      </c>
      <c r="Q6" s="79">
        <v>514</v>
      </c>
      <c r="R6" s="346">
        <v>640</v>
      </c>
      <c r="S6" s="81" t="s">
        <v>6289</v>
      </c>
      <c r="T6" s="327">
        <v>536</v>
      </c>
      <c r="U6" s="186">
        <v>3.54</v>
      </c>
      <c r="V6" s="310">
        <f t="shared" si="0"/>
        <v>9.7925311203319501E-2</v>
      </c>
      <c r="W6" s="94">
        <v>3.95</v>
      </c>
      <c r="X6" s="36">
        <f>RTD("money.excel",,"2430","Price")</f>
        <v>36.15</v>
      </c>
      <c r="Y6" s="66">
        <v>35.9</v>
      </c>
      <c r="Z6" s="15">
        <f t="shared" si="1"/>
        <v>0.25</v>
      </c>
      <c r="AA6" s="3">
        <f t="shared" si="2"/>
        <v>6.9637883008356553E-3</v>
      </c>
      <c r="AB6" s="344">
        <v>-30.1</v>
      </c>
      <c r="AC6" s="397">
        <v>14.4</v>
      </c>
      <c r="AD6" s="22" t="s">
        <v>89</v>
      </c>
      <c r="AE6" s="84">
        <v>44691</v>
      </c>
      <c r="AG6" s="33">
        <f t="shared" si="3"/>
        <v>-44691</v>
      </c>
      <c r="AH6" s="117" t="s">
        <v>2873</v>
      </c>
      <c r="AI6" s="63">
        <f t="shared" si="4"/>
        <v>1.1051051051051051E-3</v>
      </c>
      <c r="AJ6" s="284">
        <f>RTD("money.excel",,$G6,"PredictVolume")</f>
        <v>184</v>
      </c>
      <c r="AK6" s="399">
        <v>7.72</v>
      </c>
      <c r="AM6" s="245"/>
      <c r="AN6" s="245"/>
    </row>
    <row r="7" spans="1:40">
      <c r="A7" s="347">
        <v>84.51</v>
      </c>
      <c r="B7" s="79">
        <v>456.97</v>
      </c>
      <c r="C7" s="79">
        <v>649.22</v>
      </c>
      <c r="D7" s="79">
        <v>51.51</v>
      </c>
      <c r="E7" s="79">
        <v>24.15</v>
      </c>
      <c r="F7" s="6">
        <v>27.18</v>
      </c>
      <c r="G7" s="79">
        <v>2606</v>
      </c>
      <c r="H7" s="8" t="s">
        <v>302</v>
      </c>
      <c r="I7" s="22" t="s">
        <v>4619</v>
      </c>
      <c r="J7" s="8">
        <v>6</v>
      </c>
      <c r="K7" s="5"/>
      <c r="L7" s="156">
        <v>1</v>
      </c>
      <c r="M7" s="340">
        <v>0</v>
      </c>
      <c r="N7" s="240">
        <v>1</v>
      </c>
      <c r="O7" s="248"/>
      <c r="P7" s="365">
        <v>629</v>
      </c>
      <c r="Q7" s="79">
        <v>163</v>
      </c>
      <c r="R7" s="346">
        <v>454</v>
      </c>
      <c r="S7" s="81">
        <v>27</v>
      </c>
      <c r="T7" s="327">
        <v>101</v>
      </c>
      <c r="U7" s="186">
        <v>3</v>
      </c>
      <c r="V7" s="310">
        <f t="shared" ref="V7:V16" si="5">$U7/$X7</f>
        <v>4.784688995215311E-2</v>
      </c>
      <c r="W7" s="94">
        <v>6.38</v>
      </c>
      <c r="X7" s="36">
        <f>RTD("money.excel",,"2606","Price")</f>
        <v>62.7</v>
      </c>
      <c r="Y7" s="66">
        <v>66.7</v>
      </c>
      <c r="Z7" s="15">
        <f t="shared" ref="Z7:Z8" si="6">X7-Y7</f>
        <v>-4</v>
      </c>
      <c r="AA7" s="3">
        <f t="shared" ref="AA7:AA8" si="7">Z7/Y7</f>
        <v>-5.9970014992503748E-2</v>
      </c>
      <c r="AB7" s="344">
        <v>-31.54</v>
      </c>
      <c r="AC7" s="384">
        <v>61.45</v>
      </c>
      <c r="AD7" s="22" t="s">
        <v>4619</v>
      </c>
      <c r="AE7" s="84">
        <v>44690</v>
      </c>
      <c r="AG7" s="33">
        <f t="shared" ref="AG7:AG8" si="8">AF7-AE7</f>
        <v>-44690</v>
      </c>
      <c r="AH7" s="117" t="s">
        <v>3267</v>
      </c>
      <c r="AI7" s="63">
        <f t="shared" ref="AI7:AI8" si="9">AJ7/(A7*10000)</f>
        <v>1.8408472370133711E-2</v>
      </c>
      <c r="AJ7" s="284">
        <f>RTD("money.excel",,$G7,"PredictVolume")</f>
        <v>15557</v>
      </c>
      <c r="AK7" s="400">
        <v>28.42</v>
      </c>
      <c r="AM7" s="245"/>
      <c r="AN7" s="245"/>
    </row>
    <row r="8" spans="1:40">
      <c r="A8" s="347">
        <v>1180</v>
      </c>
      <c r="B8" s="79">
        <v>61.85</v>
      </c>
      <c r="C8" s="79">
        <v>0</v>
      </c>
      <c r="D8" s="79">
        <v>-25.13</v>
      </c>
      <c r="E8" s="79">
        <v>-32.01</v>
      </c>
      <c r="F8" s="6">
        <v>0</v>
      </c>
      <c r="G8" s="80">
        <v>2881</v>
      </c>
      <c r="H8" s="18" t="s">
        <v>304</v>
      </c>
      <c r="I8" s="22" t="s">
        <v>68</v>
      </c>
      <c r="J8" s="102" t="s">
        <v>6433</v>
      </c>
      <c r="K8" s="5"/>
      <c r="L8" s="156">
        <v>1</v>
      </c>
      <c r="M8" s="340">
        <v>0</v>
      </c>
      <c r="N8" s="240">
        <v>1</v>
      </c>
      <c r="O8" s="248"/>
      <c r="P8" s="365">
        <v>1286</v>
      </c>
      <c r="Q8" s="79">
        <v>480</v>
      </c>
      <c r="R8" s="346">
        <v>277</v>
      </c>
      <c r="S8" s="81">
        <v>184</v>
      </c>
      <c r="T8" s="327">
        <v>120</v>
      </c>
      <c r="U8" s="6">
        <v>4</v>
      </c>
      <c r="V8" s="310">
        <f t="shared" si="5"/>
        <v>6.0422960725075525E-2</v>
      </c>
      <c r="W8" s="94">
        <v>13.44</v>
      </c>
      <c r="X8" s="36">
        <f>RTD("money.excel",,"2881","Price")</f>
        <v>66.2</v>
      </c>
      <c r="Y8" s="65">
        <v>69.900000000000006</v>
      </c>
      <c r="Z8" s="15">
        <f t="shared" si="6"/>
        <v>-3.7000000000000028</v>
      </c>
      <c r="AA8" s="3">
        <f t="shared" si="7"/>
        <v>-5.2932761087267563E-2</v>
      </c>
      <c r="AB8" s="344">
        <v>-16.8</v>
      </c>
      <c r="AC8" s="384">
        <v>47.57</v>
      </c>
      <c r="AD8" s="22" t="s">
        <v>68</v>
      </c>
      <c r="AE8" s="84">
        <v>44690</v>
      </c>
      <c r="AG8" s="33">
        <f t="shared" si="8"/>
        <v>-44690</v>
      </c>
      <c r="AH8" s="43" t="s">
        <v>2599</v>
      </c>
      <c r="AI8" s="63">
        <f t="shared" si="9"/>
        <v>2.5764406779661018E-3</v>
      </c>
      <c r="AJ8" s="284">
        <f>RTD("money.excel",,$G8,"PredictVolume")</f>
        <v>30402</v>
      </c>
      <c r="AK8" s="400">
        <v>1.38</v>
      </c>
      <c r="AM8" s="245"/>
      <c r="AN8" s="245"/>
    </row>
    <row r="9" spans="1:40">
      <c r="A9" s="347">
        <v>8.57</v>
      </c>
      <c r="B9" s="79">
        <v>73.94</v>
      </c>
      <c r="C9" s="79">
        <v>-17.239999999999998</v>
      </c>
      <c r="D9" s="79">
        <v>90.18</v>
      </c>
      <c r="E9" s="79">
        <v>18.23</v>
      </c>
      <c r="F9" s="6">
        <v>11.57</v>
      </c>
      <c r="G9" s="79">
        <v>6508</v>
      </c>
      <c r="H9" s="8" t="s">
        <v>1038</v>
      </c>
      <c r="I9" s="16" t="s">
        <v>1040</v>
      </c>
      <c r="J9" s="8">
        <v>34</v>
      </c>
      <c r="K9" s="5"/>
      <c r="L9" s="156">
        <v>2</v>
      </c>
      <c r="M9" s="340">
        <v>0</v>
      </c>
      <c r="N9" s="240">
        <v>2</v>
      </c>
      <c r="O9" s="248"/>
      <c r="P9" s="365">
        <v>108</v>
      </c>
      <c r="Q9" s="79">
        <v>859</v>
      </c>
      <c r="R9" s="346">
        <v>1060</v>
      </c>
      <c r="S9" s="81" t="s">
        <v>6289</v>
      </c>
      <c r="T9" s="327">
        <v>777</v>
      </c>
      <c r="U9" s="186">
        <v>3</v>
      </c>
      <c r="V9" s="310">
        <f t="shared" si="5"/>
        <v>6.1349693251533742E-2</v>
      </c>
      <c r="W9" s="94">
        <v>3.85</v>
      </c>
      <c r="X9" s="36">
        <f>RTD("money.excel",,"6508","Price")</f>
        <v>48.9</v>
      </c>
      <c r="Y9" s="66">
        <v>57</v>
      </c>
      <c r="Z9" s="15">
        <f>X9-Y9</f>
        <v>-8.1000000000000014</v>
      </c>
      <c r="AA9" s="3">
        <f>Z9/Y9</f>
        <v>-0.14210526315789476</v>
      </c>
      <c r="AB9" s="344">
        <v>-18.690000000000001</v>
      </c>
      <c r="AC9" s="384">
        <v>68.53</v>
      </c>
      <c r="AD9" s="16" t="s">
        <v>1040</v>
      </c>
      <c r="AE9" s="84">
        <v>44690</v>
      </c>
      <c r="AG9" s="33">
        <f>AF9-AE9</f>
        <v>-44690</v>
      </c>
      <c r="AH9" s="43" t="s">
        <v>2704</v>
      </c>
      <c r="AI9" s="63">
        <f>AJ9/(A9*10000)</f>
        <v>0.18397899649941657</v>
      </c>
      <c r="AJ9" s="284">
        <f>RTD("money.excel",,$G9,"PredictVolume")</f>
        <v>15767</v>
      </c>
      <c r="AK9" s="400">
        <v>84.85</v>
      </c>
      <c r="AM9" s="245"/>
      <c r="AN9" s="245"/>
    </row>
    <row r="10" spans="1:40">
      <c r="A10" s="347">
        <v>4.25</v>
      </c>
      <c r="B10" s="79">
        <v>9.66</v>
      </c>
      <c r="C10" s="79">
        <v>14.49</v>
      </c>
      <c r="D10" s="79">
        <v>32.520000000000003</v>
      </c>
      <c r="E10" s="79">
        <v>13.01</v>
      </c>
      <c r="F10" s="6">
        <v>15.33</v>
      </c>
      <c r="G10" s="80">
        <v>3611</v>
      </c>
      <c r="H10" s="183" t="s">
        <v>1146</v>
      </c>
      <c r="I10" s="16" t="s">
        <v>2212</v>
      </c>
      <c r="J10" s="102" t="s">
        <v>6426</v>
      </c>
      <c r="K10" s="5"/>
      <c r="L10" s="156">
        <v>1</v>
      </c>
      <c r="M10" s="340">
        <v>0</v>
      </c>
      <c r="N10" s="240">
        <v>1</v>
      </c>
      <c r="P10" s="365">
        <v>1111</v>
      </c>
      <c r="Q10" s="79">
        <v>418</v>
      </c>
      <c r="R10" s="346">
        <v>466</v>
      </c>
      <c r="S10" s="81">
        <v>491</v>
      </c>
      <c r="T10" s="327">
        <v>482</v>
      </c>
      <c r="U10" s="186">
        <v>11</v>
      </c>
      <c r="V10" s="310">
        <f t="shared" si="5"/>
        <v>6.0941828254847646E-2</v>
      </c>
      <c r="W10" s="94">
        <v>18.47</v>
      </c>
      <c r="X10" s="36">
        <f>RTD("money.excel",,"3611","Price")</f>
        <v>180.5</v>
      </c>
      <c r="Y10" s="66">
        <v>190.5</v>
      </c>
      <c r="Z10" s="15">
        <f t="shared" ref="Z10:Z11" si="10">X10-Y10</f>
        <v>-10</v>
      </c>
      <c r="AA10" s="3">
        <f t="shared" ref="AA10:AA11" si="11">Z10/Y10</f>
        <v>-5.2493438320209973E-2</v>
      </c>
      <c r="AB10" s="344">
        <v>-22.87</v>
      </c>
      <c r="AC10" s="384">
        <v>15.72</v>
      </c>
      <c r="AD10" s="16" t="s">
        <v>2212</v>
      </c>
      <c r="AE10" s="84">
        <v>44690</v>
      </c>
      <c r="AG10" s="33">
        <f t="shared" ref="AG10:AG11" si="12">AF10-AE10</f>
        <v>-44690</v>
      </c>
      <c r="AH10" s="117" t="s">
        <v>2889</v>
      </c>
      <c r="AI10" s="63">
        <f t="shared" ref="AI10:AI11" si="13">AJ10/(A10*10000)</f>
        <v>6.6117647058823526E-3</v>
      </c>
      <c r="AJ10" s="284">
        <f>RTD("money.excel",,$G10,"PredictVolume")</f>
        <v>281</v>
      </c>
      <c r="AK10" s="400">
        <v>1.02</v>
      </c>
      <c r="AM10" s="245"/>
      <c r="AN10" s="245"/>
    </row>
    <row r="11" spans="1:40">
      <c r="A11" s="347">
        <v>13.61</v>
      </c>
      <c r="B11" s="79">
        <v>114.08</v>
      </c>
      <c r="C11" s="79">
        <v>120.59</v>
      </c>
      <c r="D11" s="79">
        <v>-5</v>
      </c>
      <c r="E11" s="79">
        <v>53.05</v>
      </c>
      <c r="F11" s="6">
        <v>6.9</v>
      </c>
      <c r="G11" s="79">
        <v>5609</v>
      </c>
      <c r="H11" s="8" t="s">
        <v>302</v>
      </c>
      <c r="I11" s="16" t="s">
        <v>864</v>
      </c>
      <c r="J11" s="102" t="s">
        <v>6426</v>
      </c>
      <c r="K11" s="5"/>
      <c r="L11" s="156">
        <v>1</v>
      </c>
      <c r="M11" s="340">
        <v>0</v>
      </c>
      <c r="N11" s="240">
        <v>1</v>
      </c>
      <c r="P11" s="365">
        <v>503</v>
      </c>
      <c r="Q11" s="79">
        <v>714</v>
      </c>
      <c r="R11" s="346">
        <v>304</v>
      </c>
      <c r="S11" s="81">
        <v>260</v>
      </c>
      <c r="T11" s="327">
        <v>417</v>
      </c>
      <c r="U11" s="186">
        <v>10.199999999999999</v>
      </c>
      <c r="V11" s="310">
        <f t="shared" si="5"/>
        <v>9.2307692307692299E-2</v>
      </c>
      <c r="W11" s="94">
        <v>17.63</v>
      </c>
      <c r="X11" s="36">
        <f>RTD("money.excel",,"5609","Price")</f>
        <v>110.5</v>
      </c>
      <c r="Y11" s="66">
        <v>109</v>
      </c>
      <c r="Z11" s="15">
        <f t="shared" si="10"/>
        <v>1.5</v>
      </c>
      <c r="AA11" s="3">
        <f t="shared" si="11"/>
        <v>1.3761467889908258E-2</v>
      </c>
      <c r="AB11" s="344">
        <v>-32.19</v>
      </c>
      <c r="AC11" s="384">
        <v>59.84</v>
      </c>
      <c r="AD11" s="16" t="s">
        <v>864</v>
      </c>
      <c r="AE11" s="84">
        <v>44690</v>
      </c>
      <c r="AG11" s="33">
        <f t="shared" si="12"/>
        <v>-44690</v>
      </c>
      <c r="AH11" s="43" t="s">
        <v>2807</v>
      </c>
      <c r="AI11" s="63">
        <f t="shared" si="13"/>
        <v>2.1645848640705363E-2</v>
      </c>
      <c r="AJ11" s="284">
        <f>RTD("money.excel",,$G11,"PredictVolume")</f>
        <v>2946</v>
      </c>
      <c r="AK11" s="400">
        <v>46.34</v>
      </c>
      <c r="AM11" s="245"/>
      <c r="AN11" s="245"/>
    </row>
    <row r="12" spans="1:40">
      <c r="A12" s="347">
        <v>6.27</v>
      </c>
      <c r="B12" s="79">
        <v>-34</v>
      </c>
      <c r="C12" s="79">
        <v>-62</v>
      </c>
      <c r="D12" s="79">
        <v>42.11</v>
      </c>
      <c r="E12" s="79">
        <v>-14.44</v>
      </c>
      <c r="F12" s="6">
        <v>12.31</v>
      </c>
      <c r="G12" s="79">
        <v>3679</v>
      </c>
      <c r="H12" s="236" t="s">
        <v>308</v>
      </c>
      <c r="I12" s="22" t="s">
        <v>227</v>
      </c>
      <c r="J12" s="102" t="s">
        <v>6426</v>
      </c>
      <c r="K12" s="5"/>
      <c r="L12" s="156">
        <v>1</v>
      </c>
      <c r="M12" s="340">
        <v>0</v>
      </c>
      <c r="N12" s="240">
        <v>1</v>
      </c>
      <c r="O12" s="4"/>
      <c r="P12" s="365">
        <v>1150</v>
      </c>
      <c r="Q12" s="79">
        <v>553</v>
      </c>
      <c r="R12" s="346">
        <v>424</v>
      </c>
      <c r="S12" s="81" t="s">
        <v>6289</v>
      </c>
      <c r="T12" s="327">
        <v>1252</v>
      </c>
      <c r="U12" s="186">
        <v>9</v>
      </c>
      <c r="V12" s="310">
        <f t="shared" si="5"/>
        <v>0.10501750291715285</v>
      </c>
      <c r="W12" s="94">
        <v>8.5</v>
      </c>
      <c r="X12" s="36">
        <f>RTD("money.excel",,"3679","Price")</f>
        <v>85.7</v>
      </c>
      <c r="Y12" s="66">
        <v>87.7</v>
      </c>
      <c r="Z12" s="15">
        <f t="shared" ref="Z12:Z16" si="14">X12-Y12</f>
        <v>-2</v>
      </c>
      <c r="AA12" s="3">
        <f t="shared" ref="AA12:AA16" si="15">Z12/Y12</f>
        <v>-2.2805017103762829E-2</v>
      </c>
      <c r="AB12" s="344">
        <v>-39.93</v>
      </c>
      <c r="AC12" s="384">
        <v>40.71</v>
      </c>
      <c r="AD12" s="22" t="s">
        <v>227</v>
      </c>
      <c r="AE12" s="84">
        <v>44690</v>
      </c>
      <c r="AG12" s="33">
        <v>0</v>
      </c>
      <c r="AH12" s="43" t="s">
        <v>1970</v>
      </c>
      <c r="AI12" s="63">
        <v>6.6985645933014361E-4</v>
      </c>
      <c r="AJ12" s="284">
        <v>42</v>
      </c>
      <c r="AK12" s="400">
        <v>7.79</v>
      </c>
      <c r="AM12" s="245"/>
      <c r="AN12" s="245"/>
    </row>
    <row r="13" spans="1:40">
      <c r="A13" s="347">
        <v>9.01</v>
      </c>
      <c r="B13" s="79">
        <v>4</v>
      </c>
      <c r="C13" s="79">
        <v>0</v>
      </c>
      <c r="D13" s="79">
        <v>19.64</v>
      </c>
      <c r="E13" s="79">
        <v>8</v>
      </c>
      <c r="F13" s="6">
        <v>26.02</v>
      </c>
      <c r="G13" s="80">
        <v>3217</v>
      </c>
      <c r="H13" s="5" t="s">
        <v>308</v>
      </c>
      <c r="I13" s="16" t="s">
        <v>402</v>
      </c>
      <c r="J13" s="102" t="s">
        <v>6426</v>
      </c>
      <c r="K13" s="5"/>
      <c r="L13" s="156">
        <v>1</v>
      </c>
      <c r="M13" s="340">
        <v>0</v>
      </c>
      <c r="N13" s="240">
        <v>1</v>
      </c>
      <c r="P13" s="365">
        <v>440</v>
      </c>
      <c r="Q13" s="79">
        <v>767</v>
      </c>
      <c r="R13" s="346">
        <v>888</v>
      </c>
      <c r="S13" s="81">
        <v>62</v>
      </c>
      <c r="T13" s="327">
        <v>256</v>
      </c>
      <c r="U13" s="186">
        <v>5.6</v>
      </c>
      <c r="V13" s="310">
        <f t="shared" si="5"/>
        <v>6.2780269058295965E-2</v>
      </c>
      <c r="W13" s="94">
        <v>7.11</v>
      </c>
      <c r="X13" s="36">
        <f>RTD("money.excel",,"3217","Price")</f>
        <v>89.2</v>
      </c>
      <c r="Y13" s="66">
        <v>94.6</v>
      </c>
      <c r="Z13" s="15">
        <f t="shared" si="14"/>
        <v>-5.3999999999999915</v>
      </c>
      <c r="AA13" s="3">
        <f t="shared" si="15"/>
        <v>-5.7082452431289551E-2</v>
      </c>
      <c r="AB13" s="344">
        <v>-36.47</v>
      </c>
      <c r="AC13" s="384">
        <v>16.22</v>
      </c>
      <c r="AD13" s="16" t="s">
        <v>402</v>
      </c>
      <c r="AE13" s="84">
        <v>44690</v>
      </c>
      <c r="AG13" s="33">
        <v>0</v>
      </c>
      <c r="AH13" s="43" t="s">
        <v>4553</v>
      </c>
      <c r="AI13" s="63">
        <v>3.2852386237513871E-3</v>
      </c>
      <c r="AJ13" s="284">
        <v>296</v>
      </c>
      <c r="AK13" s="400">
        <v>28.12</v>
      </c>
      <c r="AM13" s="245"/>
      <c r="AN13" s="245"/>
    </row>
    <row r="14" spans="1:40">
      <c r="A14" s="347">
        <v>22.74</v>
      </c>
      <c r="B14" s="79">
        <v>-5</v>
      </c>
      <c r="C14" s="79">
        <v>-2</v>
      </c>
      <c r="D14" s="79">
        <v>16.27</v>
      </c>
      <c r="E14" s="79">
        <v>-32.200000000000003</v>
      </c>
      <c r="F14" s="6">
        <v>12.13</v>
      </c>
      <c r="G14" s="80">
        <v>3078</v>
      </c>
      <c r="H14" s="5" t="s">
        <v>308</v>
      </c>
      <c r="I14" s="16" t="s">
        <v>4537</v>
      </c>
      <c r="J14" s="102" t="s">
        <v>6426</v>
      </c>
      <c r="K14" s="5"/>
      <c r="L14" s="156">
        <v>1</v>
      </c>
      <c r="M14" s="340">
        <v>0</v>
      </c>
      <c r="N14" s="240">
        <v>1</v>
      </c>
      <c r="P14" s="365">
        <v>546</v>
      </c>
      <c r="Q14" s="79">
        <v>238</v>
      </c>
      <c r="R14" s="346">
        <v>1454</v>
      </c>
      <c r="S14" s="81" t="s">
        <v>6289</v>
      </c>
      <c r="T14" s="327">
        <v>638</v>
      </c>
      <c r="U14" s="186">
        <v>3.25</v>
      </c>
      <c r="V14" s="310">
        <f t="shared" si="5"/>
        <v>9.420289855072464E-2</v>
      </c>
      <c r="W14" s="94">
        <v>4.3</v>
      </c>
      <c r="X14" s="36">
        <f>RTD("money.excel",,"3078","Price")</f>
        <v>34.5</v>
      </c>
      <c r="Y14" s="66">
        <v>35.75</v>
      </c>
      <c r="Z14" s="15">
        <f t="shared" si="14"/>
        <v>-1.25</v>
      </c>
      <c r="AA14" s="3">
        <f t="shared" si="15"/>
        <v>-3.4965034965034968E-2</v>
      </c>
      <c r="AB14" s="344">
        <v>-36.659999999999997</v>
      </c>
      <c r="AC14" s="384">
        <v>34.21</v>
      </c>
      <c r="AD14" s="16" t="s">
        <v>4537</v>
      </c>
      <c r="AE14" s="84">
        <v>44690</v>
      </c>
      <c r="AG14" s="33">
        <v>0</v>
      </c>
      <c r="AH14" s="117" t="s">
        <v>2373</v>
      </c>
      <c r="AI14" s="63">
        <v>6.9481090589270018E-4</v>
      </c>
      <c r="AJ14" s="284">
        <v>158</v>
      </c>
      <c r="AK14" s="400">
        <v>24.22</v>
      </c>
      <c r="AM14" s="245"/>
      <c r="AN14" s="245"/>
    </row>
    <row r="15" spans="1:40">
      <c r="A15" s="347">
        <v>42.4</v>
      </c>
      <c r="B15" s="79">
        <v>-19.45</v>
      </c>
      <c r="C15" s="79">
        <v>-17.46</v>
      </c>
      <c r="D15" s="79">
        <v>-2</v>
      </c>
      <c r="E15" s="79">
        <v>-11.03</v>
      </c>
      <c r="F15" s="6">
        <v>24.53</v>
      </c>
      <c r="G15" s="80">
        <v>3105</v>
      </c>
      <c r="H15" s="183" t="s">
        <v>307</v>
      </c>
      <c r="I15" s="16" t="s">
        <v>258</v>
      </c>
      <c r="J15" s="102" t="s">
        <v>6427</v>
      </c>
      <c r="K15" s="5"/>
      <c r="L15" s="156">
        <v>1</v>
      </c>
      <c r="M15" s="340">
        <v>0</v>
      </c>
      <c r="N15" s="240">
        <v>1</v>
      </c>
      <c r="P15" s="365">
        <v>850</v>
      </c>
      <c r="Q15" s="79">
        <v>109</v>
      </c>
      <c r="R15" s="346">
        <v>100</v>
      </c>
      <c r="S15" s="81">
        <v>166</v>
      </c>
      <c r="T15" s="327">
        <v>417</v>
      </c>
      <c r="U15" s="186">
        <v>8</v>
      </c>
      <c r="V15" s="310">
        <f t="shared" si="5"/>
        <v>4.1237113402061855E-2</v>
      </c>
      <c r="W15" s="94">
        <v>12.9</v>
      </c>
      <c r="X15" s="36">
        <f>RTD("money.excel",,"3105","Price")</f>
        <v>194</v>
      </c>
      <c r="Y15" s="66">
        <v>196</v>
      </c>
      <c r="Z15" s="15">
        <f t="shared" si="14"/>
        <v>-2</v>
      </c>
      <c r="AA15" s="3">
        <f t="shared" si="15"/>
        <v>-1.020408163265306E-2</v>
      </c>
      <c r="AB15" s="344">
        <v>-50.62</v>
      </c>
      <c r="AC15" s="384">
        <v>4.5199999999999996</v>
      </c>
      <c r="AD15" s="16" t="s">
        <v>258</v>
      </c>
      <c r="AE15" s="84">
        <v>44690</v>
      </c>
      <c r="AG15" s="33">
        <v>0</v>
      </c>
      <c r="AH15" s="117" t="s">
        <v>2325</v>
      </c>
      <c r="AI15" s="63">
        <v>7.9905660377358485E-3</v>
      </c>
      <c r="AJ15" s="284">
        <v>3388</v>
      </c>
      <c r="AK15" s="400">
        <v>6.32</v>
      </c>
      <c r="AM15" s="245"/>
      <c r="AN15" s="245"/>
    </row>
    <row r="16" spans="1:40">
      <c r="A16" s="142">
        <v>4.4000000000000004</v>
      </c>
      <c r="B16" s="79">
        <v>194</v>
      </c>
      <c r="C16" s="79">
        <v>170</v>
      </c>
      <c r="D16" s="79">
        <v>0</v>
      </c>
      <c r="E16" s="79">
        <v>34.49</v>
      </c>
      <c r="F16" s="6">
        <v>32.71</v>
      </c>
      <c r="G16" s="80">
        <v>6485</v>
      </c>
      <c r="H16" s="18" t="s">
        <v>307</v>
      </c>
      <c r="I16" s="16" t="s">
        <v>232</v>
      </c>
      <c r="J16" s="102" t="s">
        <v>6439</v>
      </c>
      <c r="K16" s="5"/>
      <c r="L16" s="156">
        <v>1</v>
      </c>
      <c r="M16" s="340">
        <v>0</v>
      </c>
      <c r="N16" s="240">
        <v>1</v>
      </c>
      <c r="P16" s="365">
        <v>16</v>
      </c>
      <c r="Q16" s="79">
        <v>124</v>
      </c>
      <c r="R16" s="346">
        <v>805</v>
      </c>
      <c r="S16" s="81">
        <v>418</v>
      </c>
      <c r="T16" s="327">
        <v>69</v>
      </c>
      <c r="U16" s="186">
        <v>5</v>
      </c>
      <c r="V16" s="310">
        <f t="shared" si="5"/>
        <v>4.3290043290043288E-2</v>
      </c>
      <c r="W16" s="94">
        <v>14.29</v>
      </c>
      <c r="X16" s="36">
        <f>RTD("money.excel",,"6485","Price")</f>
        <v>115.5</v>
      </c>
      <c r="Y16" s="66">
        <v>118.5</v>
      </c>
      <c r="Z16" s="15">
        <f t="shared" si="14"/>
        <v>-3</v>
      </c>
      <c r="AA16" s="3">
        <f t="shared" si="15"/>
        <v>-2.5316455696202531E-2</v>
      </c>
      <c r="AB16" s="344">
        <v>-37.43</v>
      </c>
      <c r="AC16" s="384">
        <v>26.12</v>
      </c>
      <c r="AD16" s="16" t="s">
        <v>232</v>
      </c>
      <c r="AE16" s="84">
        <v>44690</v>
      </c>
      <c r="AG16" s="33">
        <f t="shared" ref="AG16" si="16">AF16-AE16</f>
        <v>-44690</v>
      </c>
      <c r="AH16" s="43" t="s">
        <v>2365</v>
      </c>
      <c r="AI16" s="63">
        <f t="shared" ref="AI16" si="17">AJ16/(A16*10000)</f>
        <v>1.6409090909090908E-2</v>
      </c>
      <c r="AJ16" s="284">
        <f>RTD("money.excel",,$G16,"PredictVolume")</f>
        <v>722</v>
      </c>
      <c r="AK16" s="400">
        <v>69.739999999999995</v>
      </c>
      <c r="AM16" s="245"/>
      <c r="AN16" s="245"/>
    </row>
    <row r="17" spans="1:40">
      <c r="A17" s="347">
        <v>8.5399999999999991</v>
      </c>
      <c r="B17" s="79">
        <v>168</v>
      </c>
      <c r="C17" s="79">
        <v>146</v>
      </c>
      <c r="D17" s="79">
        <v>0</v>
      </c>
      <c r="E17" s="79">
        <v>40</v>
      </c>
      <c r="F17" s="79">
        <v>26.21</v>
      </c>
      <c r="G17" s="80">
        <v>6781</v>
      </c>
      <c r="H17" s="5" t="s">
        <v>3389</v>
      </c>
      <c r="I17" s="22" t="s">
        <v>3093</v>
      </c>
      <c r="J17" s="8" t="s">
        <v>6431</v>
      </c>
      <c r="K17" s="5"/>
      <c r="L17" s="156">
        <v>2</v>
      </c>
      <c r="M17" s="340">
        <v>0</v>
      </c>
      <c r="N17" s="240">
        <v>2</v>
      </c>
      <c r="O17" s="248"/>
      <c r="P17" s="365">
        <v>881</v>
      </c>
      <c r="Q17" s="79">
        <v>983</v>
      </c>
      <c r="R17" s="346">
        <v>9</v>
      </c>
      <c r="S17" s="81">
        <v>95</v>
      </c>
      <c r="T17" s="327">
        <v>274</v>
      </c>
      <c r="U17" s="393">
        <v>15</v>
      </c>
      <c r="V17" s="310">
        <f t="shared" ref="V17:V18" si="18">U17/X17</f>
        <v>1.4851485148514851E-2</v>
      </c>
      <c r="W17" s="94">
        <v>30.66</v>
      </c>
      <c r="X17" s="372">
        <f>RTD("money.excel",,"6781","Price")</f>
        <v>1010</v>
      </c>
      <c r="Y17" s="66">
        <v>928</v>
      </c>
      <c r="Z17" s="137">
        <f t="shared" ref="Z17:Z18" si="19">X17-Y17</f>
        <v>82</v>
      </c>
      <c r="AA17" s="3">
        <f t="shared" ref="AA17:AA18" si="20">Z17/Y17</f>
        <v>8.8362068965517238E-2</v>
      </c>
      <c r="AB17" s="344">
        <v>-52.01</v>
      </c>
      <c r="AC17" s="384">
        <v>14.22</v>
      </c>
      <c r="AD17" s="22" t="s">
        <v>3093</v>
      </c>
      <c r="AE17" s="84">
        <v>44687</v>
      </c>
      <c r="AG17" s="33">
        <f t="shared" ref="AG17:AG18" si="21">AF17-AE17</f>
        <v>-44687</v>
      </c>
      <c r="AH17" s="43" t="s">
        <v>3098</v>
      </c>
      <c r="AI17" s="63">
        <f t="shared" ref="AI17:AI18" si="22">AJ17/(A17*10000)</f>
        <v>1.7271662763466044E-2</v>
      </c>
      <c r="AJ17" s="284">
        <f>RTD("money.excel",,$G17,"PredictVolume")</f>
        <v>1475</v>
      </c>
      <c r="AK17" s="400">
        <v>2.2999999999999998</v>
      </c>
      <c r="AM17" s="245"/>
      <c r="AN17" s="245"/>
    </row>
    <row r="18" spans="1:40">
      <c r="A18" s="347">
        <v>35.299999999999997</v>
      </c>
      <c r="B18" s="79">
        <v>60</v>
      </c>
      <c r="C18" s="79">
        <v>47</v>
      </c>
      <c r="D18" s="79">
        <v>3</v>
      </c>
      <c r="E18" s="80">
        <v>-3</v>
      </c>
      <c r="F18" s="79">
        <v>10.199999999999999</v>
      </c>
      <c r="G18" s="80">
        <v>3017</v>
      </c>
      <c r="H18" s="193" t="s">
        <v>1146</v>
      </c>
      <c r="I18" s="22" t="s">
        <v>117</v>
      </c>
      <c r="J18" s="8">
        <v>6</v>
      </c>
      <c r="K18" s="5"/>
      <c r="L18" s="156">
        <v>1</v>
      </c>
      <c r="M18" s="340">
        <v>0</v>
      </c>
      <c r="N18" s="240">
        <v>1</v>
      </c>
      <c r="P18" s="365">
        <v>482</v>
      </c>
      <c r="Q18" s="79">
        <v>384</v>
      </c>
      <c r="R18" s="346">
        <v>126</v>
      </c>
      <c r="S18" s="81">
        <v>7</v>
      </c>
      <c r="T18" s="327">
        <v>48</v>
      </c>
      <c r="U18" s="393">
        <v>4.3</v>
      </c>
      <c r="V18" s="310">
        <f t="shared" si="18"/>
        <v>4.1545893719806763E-2</v>
      </c>
      <c r="W18" s="94">
        <v>8.2100000000000009</v>
      </c>
      <c r="X18" s="36">
        <f>RTD("money.excel",,"3017","Price")</f>
        <v>103.5</v>
      </c>
      <c r="Y18" s="66">
        <v>105.5</v>
      </c>
      <c r="Z18" s="15">
        <f t="shared" si="19"/>
        <v>-2</v>
      </c>
      <c r="AA18" s="3">
        <f t="shared" si="20"/>
        <v>-1.8957345971563982E-2</v>
      </c>
      <c r="AB18" s="344">
        <v>-15.29</v>
      </c>
      <c r="AC18" s="384">
        <v>32.85</v>
      </c>
      <c r="AD18" s="22" t="s">
        <v>117</v>
      </c>
      <c r="AE18" s="84">
        <v>44687</v>
      </c>
      <c r="AG18" s="33">
        <f t="shared" si="21"/>
        <v>-44687</v>
      </c>
      <c r="AH18" s="43" t="s">
        <v>2927</v>
      </c>
      <c r="AI18" s="63">
        <f t="shared" si="22"/>
        <v>2.0436260623229462E-2</v>
      </c>
      <c r="AJ18" s="284">
        <f>RTD("money.excel",,$G18,"PredictVolume")</f>
        <v>7214</v>
      </c>
      <c r="AK18" s="400">
        <v>20.69</v>
      </c>
      <c r="AM18" s="245"/>
      <c r="AN18" s="245"/>
    </row>
    <row r="19" spans="1:40">
      <c r="A19" s="347">
        <v>54.4</v>
      </c>
      <c r="B19" s="79">
        <v>90</v>
      </c>
      <c r="C19" s="79">
        <v>79</v>
      </c>
      <c r="D19" s="79">
        <v>14</v>
      </c>
      <c r="E19" s="79">
        <v>21</v>
      </c>
      <c r="F19" s="79">
        <v>27.29</v>
      </c>
      <c r="G19" s="80">
        <v>2327</v>
      </c>
      <c r="H19" s="193" t="s">
        <v>3389</v>
      </c>
      <c r="I19" s="22" t="s">
        <v>4477</v>
      </c>
      <c r="J19" s="102" t="s">
        <v>6433</v>
      </c>
      <c r="K19" s="5"/>
      <c r="L19" s="156">
        <v>1</v>
      </c>
      <c r="M19" s="340">
        <v>0</v>
      </c>
      <c r="N19" s="240">
        <v>1</v>
      </c>
      <c r="P19" s="365">
        <v>655</v>
      </c>
      <c r="Q19" s="79">
        <v>27</v>
      </c>
      <c r="R19" s="346">
        <v>108</v>
      </c>
      <c r="S19" s="81">
        <v>126</v>
      </c>
      <c r="T19" s="327">
        <v>417</v>
      </c>
      <c r="U19" s="393">
        <v>10</v>
      </c>
      <c r="V19" s="310">
        <f t="shared" ref="V19:V22" si="23">U19/X19</f>
        <v>2.5510204081632654E-2</v>
      </c>
      <c r="W19" s="94">
        <v>46.44</v>
      </c>
      <c r="X19" s="36">
        <f>RTD("money.excel",,"2327","Price")</f>
        <v>392</v>
      </c>
      <c r="Y19" s="66">
        <v>408</v>
      </c>
      <c r="Z19" s="15">
        <f t="shared" ref="Z19:Z22" si="24">X19-Y19</f>
        <v>-16</v>
      </c>
      <c r="AA19" s="3">
        <f t="shared" ref="AA19:AA22" si="25">Z19/Y19</f>
        <v>-3.9215686274509803E-2</v>
      </c>
      <c r="AB19" s="344">
        <v>-32.200000000000003</v>
      </c>
      <c r="AC19" s="384">
        <v>29.29</v>
      </c>
      <c r="AD19" s="22" t="s">
        <v>4477</v>
      </c>
      <c r="AE19" s="84">
        <v>44687</v>
      </c>
      <c r="AG19" s="33">
        <f t="shared" ref="AG19:AG22" si="26">AF19-AE19</f>
        <v>-44687</v>
      </c>
      <c r="AH19" s="117" t="s">
        <v>4478</v>
      </c>
      <c r="AI19" s="63">
        <f t="shared" ref="AI19:AI22" si="27">AJ19/(A19*10000)</f>
        <v>4.0294117647058821E-3</v>
      </c>
      <c r="AJ19" s="284">
        <f>RTD("money.excel",,$G19,"PredictVolume")</f>
        <v>2192</v>
      </c>
      <c r="AK19" s="400">
        <v>15.23</v>
      </c>
      <c r="AM19" s="245"/>
      <c r="AN19" s="245"/>
    </row>
    <row r="20" spans="1:40">
      <c r="A20" s="347">
        <v>435</v>
      </c>
      <c r="B20" s="79">
        <v>125</v>
      </c>
      <c r="C20" s="79">
        <v>78</v>
      </c>
      <c r="D20" s="79">
        <v>18</v>
      </c>
      <c r="E20" s="79">
        <v>23</v>
      </c>
      <c r="F20" s="79">
        <v>10.9</v>
      </c>
      <c r="G20" s="80">
        <v>3711</v>
      </c>
      <c r="H20" s="5" t="s">
        <v>307</v>
      </c>
      <c r="I20" s="22" t="s">
        <v>12</v>
      </c>
      <c r="J20" s="102" t="s">
        <v>6433</v>
      </c>
      <c r="K20" s="5"/>
      <c r="L20" s="156">
        <v>1</v>
      </c>
      <c r="M20" s="340">
        <v>0</v>
      </c>
      <c r="N20" s="240">
        <v>1</v>
      </c>
      <c r="O20" s="248"/>
      <c r="P20" s="365">
        <v>1219</v>
      </c>
      <c r="Q20" s="79">
        <v>494</v>
      </c>
      <c r="R20" s="346">
        <v>16</v>
      </c>
      <c r="S20" s="81">
        <v>154</v>
      </c>
      <c r="T20" s="327">
        <v>128</v>
      </c>
      <c r="U20" s="393">
        <v>7</v>
      </c>
      <c r="V20" s="310">
        <f t="shared" si="23"/>
        <v>7.2765072765072769E-2</v>
      </c>
      <c r="W20" s="94">
        <v>14.83</v>
      </c>
      <c r="X20" s="36">
        <f>RTD("money.excel",,"3711","Price")</f>
        <v>96.2</v>
      </c>
      <c r="Y20" s="66">
        <v>95.8</v>
      </c>
      <c r="Z20" s="15">
        <f t="shared" si="24"/>
        <v>0.40000000000000568</v>
      </c>
      <c r="AA20" s="3">
        <f t="shared" si="25"/>
        <v>4.1753653444677004E-3</v>
      </c>
      <c r="AB20" s="344">
        <v>-26.14</v>
      </c>
      <c r="AC20" s="384">
        <v>42.14</v>
      </c>
      <c r="AD20" s="22" t="s">
        <v>12</v>
      </c>
      <c r="AE20" s="84">
        <v>44687</v>
      </c>
      <c r="AG20" s="33">
        <f t="shared" si="26"/>
        <v>-44687</v>
      </c>
      <c r="AH20" s="117" t="s">
        <v>2390</v>
      </c>
      <c r="AI20" s="63">
        <f t="shared" si="27"/>
        <v>1.4797701149425286E-3</v>
      </c>
      <c r="AJ20" s="284">
        <f>RTD("money.excel",,$G20,"PredictVolume")</f>
        <v>6437</v>
      </c>
      <c r="AK20" s="400">
        <v>2.0699999999999998</v>
      </c>
      <c r="AM20" s="245"/>
      <c r="AN20" s="245"/>
    </row>
    <row r="21" spans="1:40">
      <c r="A21" s="347">
        <v>88.3</v>
      </c>
      <c r="B21" s="79">
        <v>107</v>
      </c>
      <c r="C21" s="79">
        <v>98</v>
      </c>
      <c r="D21" s="79">
        <v>45</v>
      </c>
      <c r="E21" s="79">
        <v>39</v>
      </c>
      <c r="F21" s="79">
        <v>2.36</v>
      </c>
      <c r="G21" s="80">
        <v>3036</v>
      </c>
      <c r="H21" s="5" t="s">
        <v>3219</v>
      </c>
      <c r="I21" s="22" t="s">
        <v>266</v>
      </c>
      <c r="J21" s="102" t="s">
        <v>6434</v>
      </c>
      <c r="K21" s="5"/>
      <c r="L21" s="156">
        <v>2</v>
      </c>
      <c r="M21" s="340">
        <v>0</v>
      </c>
      <c r="N21" s="240">
        <v>2</v>
      </c>
      <c r="P21" s="365">
        <v>1028</v>
      </c>
      <c r="Q21" s="79">
        <v>1118</v>
      </c>
      <c r="R21" s="346">
        <v>267</v>
      </c>
      <c r="S21" s="81">
        <v>263</v>
      </c>
      <c r="T21" s="327">
        <v>224</v>
      </c>
      <c r="U21" s="393">
        <v>5.5</v>
      </c>
      <c r="V21" s="310">
        <f t="shared" si="23"/>
        <v>8.0058224163027658E-2</v>
      </c>
      <c r="W21" s="94">
        <v>10.039999999999999</v>
      </c>
      <c r="X21" s="36">
        <f>RTD("money.excel",,"3036","Price")</f>
        <v>68.7</v>
      </c>
      <c r="Y21" s="66">
        <v>68</v>
      </c>
      <c r="Z21" s="15">
        <f t="shared" si="24"/>
        <v>0.70000000000000284</v>
      </c>
      <c r="AA21" s="3">
        <f t="shared" si="25"/>
        <v>1.0294117647058865E-2</v>
      </c>
      <c r="AB21" s="344">
        <v>-31.09</v>
      </c>
      <c r="AC21" s="384">
        <v>11.79</v>
      </c>
      <c r="AD21" s="22" t="s">
        <v>266</v>
      </c>
      <c r="AE21" s="84">
        <v>44687</v>
      </c>
      <c r="AG21" s="33">
        <f t="shared" si="26"/>
        <v>-44687</v>
      </c>
      <c r="AH21" s="117" t="s">
        <v>2877</v>
      </c>
      <c r="AI21" s="63">
        <f t="shared" si="27"/>
        <v>5.1608154020385049E-3</v>
      </c>
      <c r="AJ21" s="284">
        <f>RTD("money.excel",,$G21,"PredictVolume")</f>
        <v>4557</v>
      </c>
      <c r="AK21" s="400">
        <v>3.63</v>
      </c>
      <c r="AM21" s="245"/>
      <c r="AN21" s="245"/>
    </row>
    <row r="22" spans="1:40">
      <c r="A22" s="347">
        <v>309</v>
      </c>
      <c r="B22" s="79">
        <v>142</v>
      </c>
      <c r="C22" s="79">
        <v>106</v>
      </c>
      <c r="D22" s="80">
        <v>-2</v>
      </c>
      <c r="E22" s="80">
        <v>-10</v>
      </c>
      <c r="F22" s="79">
        <v>31.39</v>
      </c>
      <c r="G22" s="80">
        <v>2408</v>
      </c>
      <c r="H22" s="18" t="s">
        <v>307</v>
      </c>
      <c r="I22" s="22" t="s">
        <v>209</v>
      </c>
      <c r="J22" s="102" t="s">
        <v>6435</v>
      </c>
      <c r="K22" s="5"/>
      <c r="L22" s="156">
        <v>2</v>
      </c>
      <c r="M22" s="340">
        <v>0</v>
      </c>
      <c r="N22" s="240">
        <v>2</v>
      </c>
      <c r="P22" s="365">
        <v>1127</v>
      </c>
      <c r="Q22" s="79">
        <v>274</v>
      </c>
      <c r="R22" s="346">
        <v>315</v>
      </c>
      <c r="S22" s="81">
        <v>113</v>
      </c>
      <c r="T22" s="327">
        <v>57</v>
      </c>
      <c r="U22" s="393">
        <v>3.7</v>
      </c>
      <c r="V22" s="310">
        <f t="shared" si="23"/>
        <v>5.674846625766871E-2</v>
      </c>
      <c r="W22" s="94">
        <v>8.64</v>
      </c>
      <c r="X22" s="36">
        <f>RTD("money.excel",,"2408","Price")</f>
        <v>65.2</v>
      </c>
      <c r="Y22" s="66">
        <v>65.8</v>
      </c>
      <c r="Z22" s="15">
        <f t="shared" si="24"/>
        <v>-0.59999999999999432</v>
      </c>
      <c r="AA22" s="3">
        <f t="shared" si="25"/>
        <v>-9.118541033434565E-3</v>
      </c>
      <c r="AB22" s="344">
        <v>-20.8</v>
      </c>
      <c r="AC22" s="384">
        <v>20.36</v>
      </c>
      <c r="AD22" s="22" t="s">
        <v>209</v>
      </c>
      <c r="AE22" s="84">
        <v>44687</v>
      </c>
      <c r="AG22" s="33">
        <f t="shared" si="26"/>
        <v>-44687</v>
      </c>
      <c r="AH22" s="117" t="s">
        <v>2558</v>
      </c>
      <c r="AI22" s="63">
        <f t="shared" si="27"/>
        <v>2.5928802588996765E-3</v>
      </c>
      <c r="AJ22" s="284">
        <f>RTD("money.excel",,$G22,"PredictVolume")</f>
        <v>8012</v>
      </c>
      <c r="AK22" s="400">
        <v>2.1</v>
      </c>
      <c r="AM22" s="245"/>
      <c r="AN22" s="245"/>
    </row>
    <row r="23" spans="1:40">
      <c r="A23" s="347">
        <v>147</v>
      </c>
      <c r="B23" s="79">
        <v>168</v>
      </c>
      <c r="C23" s="79">
        <v>482</v>
      </c>
      <c r="D23" s="79">
        <v>11</v>
      </c>
      <c r="E23" s="79">
        <v>37</v>
      </c>
      <c r="F23" s="79">
        <v>23.41</v>
      </c>
      <c r="G23" s="80">
        <v>3037</v>
      </c>
      <c r="H23" s="5" t="s">
        <v>3389</v>
      </c>
      <c r="I23" s="22" t="s">
        <v>2917</v>
      </c>
      <c r="J23" s="102" t="s">
        <v>6433</v>
      </c>
      <c r="K23" s="5"/>
      <c r="L23" s="156">
        <v>1</v>
      </c>
      <c r="M23" s="340">
        <v>0</v>
      </c>
      <c r="N23" s="240">
        <v>1</v>
      </c>
      <c r="O23" s="248"/>
      <c r="P23" s="365">
        <v>662</v>
      </c>
      <c r="Q23" s="79">
        <v>192</v>
      </c>
      <c r="R23" s="346">
        <v>118</v>
      </c>
      <c r="S23" s="81">
        <v>25</v>
      </c>
      <c r="T23" s="327">
        <v>84</v>
      </c>
      <c r="U23" s="393">
        <v>3.4</v>
      </c>
      <c r="V23" s="310">
        <f t="shared" ref="V23:V27" si="28">U23/X23</f>
        <v>1.6037735849056604E-2</v>
      </c>
      <c r="W23" s="94">
        <v>11.36</v>
      </c>
      <c r="X23" s="36">
        <f>RTD("money.excel",,"3037","Price")</f>
        <v>212</v>
      </c>
      <c r="Y23" s="66">
        <v>211.5</v>
      </c>
      <c r="Z23" s="15">
        <f t="shared" ref="Z23:Z27" si="29">X23-Y23</f>
        <v>0.5</v>
      </c>
      <c r="AA23" s="3">
        <f t="shared" ref="AA23:AA27" si="30">Z23/Y23</f>
        <v>2.3640661938534278E-3</v>
      </c>
      <c r="AB23" s="344">
        <v>-16.48</v>
      </c>
      <c r="AC23" s="384">
        <v>36.44</v>
      </c>
      <c r="AD23" s="22" t="s">
        <v>2917</v>
      </c>
      <c r="AE23" s="84">
        <v>44687</v>
      </c>
      <c r="AG23" s="33">
        <f t="shared" ref="AG23:AG27" si="31">AF23-AE23</f>
        <v>-44687</v>
      </c>
      <c r="AH23" s="117" t="s">
        <v>4532</v>
      </c>
      <c r="AI23" s="63">
        <f t="shared" ref="AI23:AI27" si="32">AJ23/(A23*10000)</f>
        <v>1.1828571428571428E-2</v>
      </c>
      <c r="AJ23" s="284">
        <f>RTD("money.excel",,$G23,"PredictVolume")</f>
        <v>17388</v>
      </c>
      <c r="AK23" s="400">
        <v>8.89</v>
      </c>
      <c r="AM23" s="245"/>
      <c r="AN23" s="245"/>
    </row>
    <row r="24" spans="1:40">
      <c r="A24" s="347">
        <v>10.7</v>
      </c>
      <c r="B24" s="79">
        <v>170</v>
      </c>
      <c r="C24" s="79">
        <v>170</v>
      </c>
      <c r="D24" s="79">
        <v>43</v>
      </c>
      <c r="E24" s="79">
        <v>62</v>
      </c>
      <c r="F24" s="79">
        <v>7.96</v>
      </c>
      <c r="G24" s="80">
        <v>4739</v>
      </c>
      <c r="H24" s="5" t="s">
        <v>3578</v>
      </c>
      <c r="I24" s="22" t="s">
        <v>171</v>
      </c>
      <c r="J24" s="8">
        <v>4</v>
      </c>
      <c r="K24" s="5"/>
      <c r="L24" s="156">
        <v>1</v>
      </c>
      <c r="M24" s="340">
        <v>0</v>
      </c>
      <c r="N24" s="240">
        <v>1</v>
      </c>
      <c r="P24" s="365">
        <v>66</v>
      </c>
      <c r="Q24" s="79" t="s">
        <v>6289</v>
      </c>
      <c r="R24" s="346">
        <v>978</v>
      </c>
      <c r="S24" s="81">
        <v>110</v>
      </c>
      <c r="T24" s="327">
        <v>78</v>
      </c>
      <c r="U24" s="393">
        <v>3</v>
      </c>
      <c r="V24" s="310">
        <f t="shared" si="28"/>
        <v>2.3715415019762844E-2</v>
      </c>
      <c r="W24" s="94">
        <v>4.7</v>
      </c>
      <c r="X24" s="36">
        <f>RTD("money.excel",,"4739","Price")</f>
        <v>126.5</v>
      </c>
      <c r="Y24" s="66">
        <v>131.5</v>
      </c>
      <c r="Z24" s="15">
        <f t="shared" si="29"/>
        <v>-5</v>
      </c>
      <c r="AA24" s="3">
        <f t="shared" si="30"/>
        <v>-3.8022813688212927E-2</v>
      </c>
      <c r="AB24" s="344">
        <v>-22.95</v>
      </c>
      <c r="AC24" s="384">
        <v>29.06</v>
      </c>
      <c r="AD24" s="22" t="s">
        <v>171</v>
      </c>
      <c r="AE24" s="84">
        <v>44687</v>
      </c>
      <c r="AG24" s="33">
        <f t="shared" si="31"/>
        <v>-44687</v>
      </c>
      <c r="AH24" s="117" t="s">
        <v>2290</v>
      </c>
      <c r="AI24" s="63">
        <f t="shared" si="32"/>
        <v>1.5757009345794392E-2</v>
      </c>
      <c r="AJ24" s="284">
        <f>RTD("money.excel",,$G24,"PredictVolume")</f>
        <v>1686</v>
      </c>
      <c r="AK24" s="400">
        <v>55.56</v>
      </c>
      <c r="AM24" s="245"/>
      <c r="AN24" s="245"/>
    </row>
    <row r="25" spans="1:40">
      <c r="A25" s="347">
        <v>8.6199999999999992</v>
      </c>
      <c r="B25" s="79">
        <v>108</v>
      </c>
      <c r="C25" s="79">
        <v>105</v>
      </c>
      <c r="D25" s="79">
        <v>19</v>
      </c>
      <c r="E25" s="79">
        <v>24</v>
      </c>
      <c r="F25" s="79">
        <v>29.7</v>
      </c>
      <c r="G25" s="80">
        <v>8081</v>
      </c>
      <c r="H25" s="5" t="s">
        <v>307</v>
      </c>
      <c r="I25" s="22" t="s">
        <v>357</v>
      </c>
      <c r="J25" s="102" t="s">
        <v>6436</v>
      </c>
      <c r="K25" s="5"/>
      <c r="L25" s="156">
        <v>2</v>
      </c>
      <c r="M25" s="340">
        <v>0</v>
      </c>
      <c r="N25" s="240">
        <v>2</v>
      </c>
      <c r="P25" s="365">
        <v>588</v>
      </c>
      <c r="Q25" s="79">
        <v>365</v>
      </c>
      <c r="R25" s="346">
        <v>280</v>
      </c>
      <c r="S25" s="81">
        <v>274</v>
      </c>
      <c r="T25" s="327">
        <v>339</v>
      </c>
      <c r="U25" s="393">
        <v>16</v>
      </c>
      <c r="V25" s="310">
        <f t="shared" si="28"/>
        <v>7.8624078624078622E-2</v>
      </c>
      <c r="W25" s="94">
        <v>25.45</v>
      </c>
      <c r="X25" s="36">
        <f>RTD("money.excel",,"8081","Price")</f>
        <v>203.5</v>
      </c>
      <c r="Y25" s="66">
        <v>205</v>
      </c>
      <c r="Z25" s="15">
        <f t="shared" si="29"/>
        <v>-1.5</v>
      </c>
      <c r="AA25" s="3">
        <f t="shared" si="30"/>
        <v>-7.3170731707317077E-3</v>
      </c>
      <c r="AB25" s="344">
        <v>-30.07</v>
      </c>
      <c r="AC25" s="384">
        <v>21.61</v>
      </c>
      <c r="AD25" s="22" t="s">
        <v>357</v>
      </c>
      <c r="AE25" s="84">
        <v>44687</v>
      </c>
      <c r="AG25" s="33">
        <f t="shared" si="31"/>
        <v>-44687</v>
      </c>
      <c r="AH25" s="43" t="s">
        <v>1438</v>
      </c>
      <c r="AI25" s="63">
        <f t="shared" si="32"/>
        <v>4.721577726218098E-3</v>
      </c>
      <c r="AJ25" s="284">
        <f>RTD("money.excel",,$G25,"PredictVolume")</f>
        <v>407</v>
      </c>
      <c r="AK25" s="400">
        <v>8.89</v>
      </c>
      <c r="AM25" s="245"/>
      <c r="AN25" s="245"/>
    </row>
    <row r="26" spans="1:40">
      <c r="A26" s="347">
        <v>6.9</v>
      </c>
      <c r="B26" s="80">
        <v>-71</v>
      </c>
      <c r="C26" s="80">
        <v>-77</v>
      </c>
      <c r="D26" s="80">
        <v>-4</v>
      </c>
      <c r="E26" s="80">
        <v>-52</v>
      </c>
      <c r="F26" s="79">
        <v>20.93</v>
      </c>
      <c r="G26" s="80">
        <v>3152</v>
      </c>
      <c r="H26" s="183" t="s">
        <v>311</v>
      </c>
      <c r="I26" s="16" t="s">
        <v>4350</v>
      </c>
      <c r="J26" s="102" t="s">
        <v>6426</v>
      </c>
      <c r="K26" s="5"/>
      <c r="L26" s="156">
        <v>1</v>
      </c>
      <c r="M26" s="340">
        <v>0</v>
      </c>
      <c r="N26" s="240">
        <v>1</v>
      </c>
      <c r="P26" s="365">
        <v>727</v>
      </c>
      <c r="Q26" s="79">
        <v>221</v>
      </c>
      <c r="R26" s="346">
        <v>318</v>
      </c>
      <c r="S26" s="81">
        <v>295</v>
      </c>
      <c r="T26" s="327">
        <v>802</v>
      </c>
      <c r="U26" s="393">
        <v>8</v>
      </c>
      <c r="V26" s="310">
        <f t="shared" si="28"/>
        <v>3.5398230088495575E-2</v>
      </c>
      <c r="W26" s="94">
        <v>11.93</v>
      </c>
      <c r="X26" s="36">
        <f>RTD("money.excel",,"3152","Price")</f>
        <v>226</v>
      </c>
      <c r="Y26" s="66">
        <v>235</v>
      </c>
      <c r="Z26" s="15">
        <f t="shared" si="29"/>
        <v>-9</v>
      </c>
      <c r="AA26" s="3">
        <f t="shared" si="30"/>
        <v>-3.8297872340425532E-2</v>
      </c>
      <c r="AB26" s="344">
        <v>-55.69</v>
      </c>
      <c r="AC26" s="384">
        <v>23.32</v>
      </c>
      <c r="AD26" s="16" t="s">
        <v>4350</v>
      </c>
      <c r="AE26" s="84">
        <v>44687</v>
      </c>
      <c r="AG26" s="33">
        <f t="shared" si="31"/>
        <v>-44687</v>
      </c>
      <c r="AH26" s="117" t="s">
        <v>4351</v>
      </c>
      <c r="AI26" s="63">
        <f t="shared" si="32"/>
        <v>1E-3</v>
      </c>
      <c r="AJ26" s="284">
        <f>RTD("money.excel",,$G26,"PredictVolume")</f>
        <v>69</v>
      </c>
      <c r="AK26" s="400">
        <v>3.71</v>
      </c>
      <c r="AM26" s="245"/>
      <c r="AN26" s="245"/>
    </row>
    <row r="27" spans="1:40">
      <c r="A27" s="347">
        <v>5.19</v>
      </c>
      <c r="B27" s="79">
        <v>25</v>
      </c>
      <c r="C27" s="79">
        <v>17</v>
      </c>
      <c r="D27" s="80">
        <v>-8</v>
      </c>
      <c r="E27" s="80">
        <v>-5</v>
      </c>
      <c r="F27" s="79">
        <v>38.28</v>
      </c>
      <c r="G27" s="80">
        <v>8499</v>
      </c>
      <c r="H27" s="236" t="s">
        <v>1960</v>
      </c>
      <c r="I27" s="22" t="s">
        <v>4612</v>
      </c>
      <c r="J27" s="102" t="s">
        <v>6426</v>
      </c>
      <c r="K27" s="5"/>
      <c r="L27" s="156">
        <v>1</v>
      </c>
      <c r="M27" s="340">
        <v>0</v>
      </c>
      <c r="N27" s="240">
        <v>1</v>
      </c>
      <c r="P27" s="365">
        <v>776</v>
      </c>
      <c r="Q27" s="79">
        <v>767</v>
      </c>
      <c r="R27" s="346">
        <v>23</v>
      </c>
      <c r="S27" s="81" t="s">
        <v>6289</v>
      </c>
      <c r="T27" s="327">
        <v>1120</v>
      </c>
      <c r="U27" s="393">
        <v>8</v>
      </c>
      <c r="V27" s="310">
        <f t="shared" si="28"/>
        <v>7.3059360730593603E-2</v>
      </c>
      <c r="W27" s="94">
        <v>14.14</v>
      </c>
      <c r="X27" s="36">
        <f>RTD("money.excel",,"8499","Price")</f>
        <v>109.5</v>
      </c>
      <c r="Y27" s="66">
        <v>113</v>
      </c>
      <c r="Z27" s="15">
        <f t="shared" si="29"/>
        <v>-3.5</v>
      </c>
      <c r="AA27" s="3">
        <f t="shared" si="30"/>
        <v>-3.0973451327433628E-2</v>
      </c>
      <c r="AB27" s="344">
        <v>-22.26</v>
      </c>
      <c r="AC27" s="384">
        <v>21.29</v>
      </c>
      <c r="AD27" s="22" t="s">
        <v>4612</v>
      </c>
      <c r="AE27" s="84">
        <v>44687</v>
      </c>
      <c r="AG27" s="33">
        <f t="shared" si="31"/>
        <v>-44687</v>
      </c>
      <c r="AH27" s="119" t="s">
        <v>1881</v>
      </c>
      <c r="AI27" s="63">
        <f t="shared" si="32"/>
        <v>1.3294797687861269E-3</v>
      </c>
      <c r="AJ27" s="284">
        <f>RTD("money.excel",,$G27,"PredictVolume")</f>
        <v>69</v>
      </c>
      <c r="AK27" s="400">
        <v>9.64</v>
      </c>
      <c r="AM27" s="245"/>
      <c r="AN27" s="245"/>
    </row>
    <row r="28" spans="1:40">
      <c r="A28" s="347">
        <v>12.3</v>
      </c>
      <c r="B28" s="80">
        <v>-75</v>
      </c>
      <c r="C28" s="80">
        <v>-74</v>
      </c>
      <c r="D28" s="79">
        <v>48</v>
      </c>
      <c r="E28" s="79">
        <v>20</v>
      </c>
      <c r="F28" s="79">
        <v>3.87</v>
      </c>
      <c r="G28" s="79">
        <v>1582</v>
      </c>
      <c r="H28" s="8" t="s">
        <v>3389</v>
      </c>
      <c r="I28" s="22" t="s">
        <v>4464</v>
      </c>
      <c r="J28" s="102" t="s">
        <v>6426</v>
      </c>
      <c r="K28" s="5"/>
      <c r="L28" s="156">
        <v>1</v>
      </c>
      <c r="M28" s="340">
        <v>0</v>
      </c>
      <c r="N28" s="240">
        <v>1</v>
      </c>
      <c r="P28" s="365">
        <v>895</v>
      </c>
      <c r="Q28" s="79">
        <v>859</v>
      </c>
      <c r="R28" s="346">
        <v>432</v>
      </c>
      <c r="S28" s="81" t="s">
        <v>6289</v>
      </c>
      <c r="T28" s="327">
        <v>978</v>
      </c>
      <c r="U28" s="393">
        <v>5.3</v>
      </c>
      <c r="V28" s="310">
        <f t="shared" ref="V28:V32" si="33">U28/X28</f>
        <v>7.7372262773722625E-2</v>
      </c>
      <c r="W28" s="94">
        <v>1.27</v>
      </c>
      <c r="X28" s="36">
        <f>RTD("money.excel",,"1582","Price")</f>
        <v>68.5</v>
      </c>
      <c r="Y28" s="66">
        <v>69</v>
      </c>
      <c r="Z28" s="15">
        <f t="shared" ref="Z28:Z32" si="34">X28-Y28</f>
        <v>-0.5</v>
      </c>
      <c r="AA28" s="3">
        <f t="shared" ref="AA28:AA32" si="35">Z28/Y28</f>
        <v>-7.246376811594203E-3</v>
      </c>
      <c r="AB28" s="344">
        <v>-16.350000000000001</v>
      </c>
      <c r="AC28" s="384">
        <v>64.239999999999995</v>
      </c>
      <c r="AD28" s="22" t="s">
        <v>4464</v>
      </c>
      <c r="AE28" s="84">
        <v>44687</v>
      </c>
      <c r="AG28" s="33">
        <f t="shared" ref="AG28:AG32" si="36">AF28-AE28</f>
        <v>-44687</v>
      </c>
      <c r="AH28" s="43" t="s">
        <v>4465</v>
      </c>
      <c r="AI28" s="63">
        <f t="shared" ref="AI28:AI32" si="37">AJ28/(A28*10000)</f>
        <v>1.3821138211382114E-3</v>
      </c>
      <c r="AJ28" s="284">
        <f>RTD("money.excel",,$G28,"PredictVolume")</f>
        <v>170</v>
      </c>
      <c r="AK28" s="400">
        <v>9.1199999999999992</v>
      </c>
      <c r="AM28" s="245"/>
      <c r="AN28" s="245"/>
    </row>
    <row r="29" spans="1:40">
      <c r="A29" s="347">
        <v>12.8</v>
      </c>
      <c r="B29" s="80">
        <v>-5</v>
      </c>
      <c r="C29" s="80">
        <v>-15</v>
      </c>
      <c r="D29" s="79">
        <v>47</v>
      </c>
      <c r="E29" s="80">
        <v>-10</v>
      </c>
      <c r="F29" s="79">
        <v>12.21</v>
      </c>
      <c r="G29" s="80">
        <v>4935</v>
      </c>
      <c r="H29" s="5" t="s">
        <v>1878</v>
      </c>
      <c r="I29" s="22" t="s">
        <v>4230</v>
      </c>
      <c r="J29" s="102" t="s">
        <v>6426</v>
      </c>
      <c r="K29" s="5"/>
      <c r="L29" s="156">
        <v>1</v>
      </c>
      <c r="M29" s="340">
        <v>0</v>
      </c>
      <c r="N29" s="240">
        <v>1</v>
      </c>
      <c r="O29" s="248"/>
      <c r="P29" s="365">
        <v>574</v>
      </c>
      <c r="Q29" s="79">
        <v>553</v>
      </c>
      <c r="R29" s="346">
        <v>217</v>
      </c>
      <c r="S29" s="81" t="s">
        <v>6289</v>
      </c>
      <c r="T29" s="327">
        <v>515</v>
      </c>
      <c r="U29" s="393">
        <v>5</v>
      </c>
      <c r="V29" s="310">
        <f t="shared" si="33"/>
        <v>8.8652482269503549E-2</v>
      </c>
      <c r="W29" s="94">
        <v>9.74</v>
      </c>
      <c r="X29" s="36">
        <f>RTD("money.excel",,"4935","Price")</f>
        <v>56.4</v>
      </c>
      <c r="Y29" s="66">
        <v>60</v>
      </c>
      <c r="Z29" s="15">
        <f t="shared" si="34"/>
        <v>-3.6000000000000014</v>
      </c>
      <c r="AA29" s="3">
        <f t="shared" si="35"/>
        <v>-6.0000000000000026E-2</v>
      </c>
      <c r="AB29" s="344">
        <v>-43.7</v>
      </c>
      <c r="AC29" s="384">
        <v>15.76</v>
      </c>
      <c r="AD29" s="22" t="s">
        <v>4230</v>
      </c>
      <c r="AE29" s="84">
        <v>44687</v>
      </c>
      <c r="AG29" s="33">
        <f t="shared" si="36"/>
        <v>-44687</v>
      </c>
      <c r="AH29" s="43" t="s">
        <v>2283</v>
      </c>
      <c r="AI29" s="63">
        <f t="shared" si="37"/>
        <v>1.0703125000000001E-3</v>
      </c>
      <c r="AJ29" s="284">
        <f>RTD("money.excel",,$G29,"PredictVolume")</f>
        <v>137</v>
      </c>
      <c r="AK29" s="400"/>
      <c r="AM29" s="245"/>
      <c r="AN29" s="245"/>
    </row>
    <row r="30" spans="1:40">
      <c r="A30" s="347">
        <v>21.6</v>
      </c>
      <c r="B30" s="79">
        <v>181</v>
      </c>
      <c r="C30" s="79">
        <v>65</v>
      </c>
      <c r="D30" s="80">
        <v>-3</v>
      </c>
      <c r="E30" s="80">
        <v>-25</v>
      </c>
      <c r="F30" s="79">
        <v>-0.44</v>
      </c>
      <c r="G30" s="79">
        <v>2439</v>
      </c>
      <c r="H30" s="236" t="s">
        <v>311</v>
      </c>
      <c r="I30" s="22" t="s">
        <v>211</v>
      </c>
      <c r="J30" s="102" t="s">
        <v>6426</v>
      </c>
      <c r="K30" s="5"/>
      <c r="L30" s="156">
        <v>1</v>
      </c>
      <c r="M30" s="340">
        <v>0</v>
      </c>
      <c r="N30" s="240">
        <v>1</v>
      </c>
      <c r="P30" s="365">
        <v>555</v>
      </c>
      <c r="Q30" s="79">
        <v>17</v>
      </c>
      <c r="R30" s="346">
        <v>480</v>
      </c>
      <c r="S30" s="81">
        <v>491</v>
      </c>
      <c r="T30" s="327">
        <v>618</v>
      </c>
      <c r="U30" s="393">
        <v>4</v>
      </c>
      <c r="V30" s="310">
        <f t="shared" si="33"/>
        <v>4.9937578027465672E-2</v>
      </c>
      <c r="W30" s="94">
        <v>5.83</v>
      </c>
      <c r="X30" s="36">
        <f>RTD("money.excel",,"2439","Price")</f>
        <v>80.099999999999994</v>
      </c>
      <c r="Y30" s="66">
        <v>82.1</v>
      </c>
      <c r="Z30" s="15">
        <f t="shared" si="34"/>
        <v>-2</v>
      </c>
      <c r="AA30" s="3">
        <f t="shared" si="35"/>
        <v>-2.4360535931790502E-2</v>
      </c>
      <c r="AB30" s="344">
        <v>-31.11</v>
      </c>
      <c r="AC30" s="384">
        <v>42.51</v>
      </c>
      <c r="AD30" s="22" t="s">
        <v>211</v>
      </c>
      <c r="AE30" s="84">
        <v>44687</v>
      </c>
      <c r="AG30" s="33">
        <f t="shared" si="36"/>
        <v>-44687</v>
      </c>
      <c r="AH30" s="117" t="s">
        <v>2375</v>
      </c>
      <c r="AI30" s="63">
        <f t="shared" si="37"/>
        <v>1.3194444444444445E-3</v>
      </c>
      <c r="AJ30" s="284">
        <f>RTD("money.excel",,$G30,"PredictVolume")</f>
        <v>285</v>
      </c>
      <c r="AK30" s="400">
        <v>5.27</v>
      </c>
      <c r="AM30" s="245"/>
      <c r="AN30" s="245"/>
    </row>
    <row r="31" spans="1:40">
      <c r="A31" s="347">
        <v>5.87</v>
      </c>
      <c r="B31" s="79">
        <v>95</v>
      </c>
      <c r="C31" s="80">
        <v>-12</v>
      </c>
      <c r="D31" s="79">
        <v>1</v>
      </c>
      <c r="E31" s="80">
        <v>-27</v>
      </c>
      <c r="F31" s="79">
        <v>11.56</v>
      </c>
      <c r="G31" s="80">
        <v>3213</v>
      </c>
      <c r="H31" s="183" t="s">
        <v>1146</v>
      </c>
      <c r="I31" s="16" t="s">
        <v>2204</v>
      </c>
      <c r="J31" s="102" t="s">
        <v>6426</v>
      </c>
      <c r="K31" s="5"/>
      <c r="L31" s="156">
        <v>1</v>
      </c>
      <c r="M31" s="340">
        <v>0</v>
      </c>
      <c r="N31" s="240">
        <v>1</v>
      </c>
      <c r="P31" s="365">
        <v>1193</v>
      </c>
      <c r="Q31" s="79">
        <v>132</v>
      </c>
      <c r="R31" s="346">
        <v>709</v>
      </c>
      <c r="S31" s="81" t="s">
        <v>6289</v>
      </c>
      <c r="T31" s="327">
        <v>932</v>
      </c>
      <c r="U31" s="393">
        <v>3.7</v>
      </c>
      <c r="V31" s="310">
        <f t="shared" si="33"/>
        <v>7.3852295409181631E-2</v>
      </c>
      <c r="W31" s="94">
        <v>10.88</v>
      </c>
      <c r="X31" s="36">
        <f>RTD("money.excel",,"3213","Price")</f>
        <v>50.1</v>
      </c>
      <c r="Y31" s="66">
        <v>50.8</v>
      </c>
      <c r="Z31" s="15">
        <f t="shared" si="34"/>
        <v>-0.69999999999999574</v>
      </c>
      <c r="AA31" s="3">
        <f t="shared" si="35"/>
        <v>-1.3779527559055035E-2</v>
      </c>
      <c r="AB31" s="344">
        <v>-22.42</v>
      </c>
      <c r="AC31" s="384">
        <v>7.47</v>
      </c>
      <c r="AD31" s="16" t="s">
        <v>2204</v>
      </c>
      <c r="AE31" s="84">
        <v>44687</v>
      </c>
      <c r="AG31" s="33">
        <f t="shared" si="36"/>
        <v>-44687</v>
      </c>
      <c r="AH31" s="43" t="s">
        <v>2437</v>
      </c>
      <c r="AI31" s="63">
        <f t="shared" si="37"/>
        <v>7.8364565587734237E-4</v>
      </c>
      <c r="AJ31" s="284">
        <f>RTD("money.excel",,$G31,"PredictVolume")</f>
        <v>46</v>
      </c>
      <c r="AK31" s="400">
        <v>22.01</v>
      </c>
      <c r="AM31" s="245"/>
      <c r="AN31" s="245"/>
    </row>
    <row r="32" spans="1:40">
      <c r="A32" s="347">
        <v>44.3</v>
      </c>
      <c r="B32" s="79">
        <v>59</v>
      </c>
      <c r="C32" s="79">
        <v>78</v>
      </c>
      <c r="D32" s="79">
        <v>26</v>
      </c>
      <c r="E32" s="80">
        <v>-6</v>
      </c>
      <c r="F32" s="79">
        <v>9.65</v>
      </c>
      <c r="G32" s="80">
        <v>2393</v>
      </c>
      <c r="H32" s="5" t="s">
        <v>1878</v>
      </c>
      <c r="I32" s="22" t="s">
        <v>4135</v>
      </c>
      <c r="J32" s="102" t="s">
        <v>6426</v>
      </c>
      <c r="K32" s="5"/>
      <c r="L32" s="156">
        <v>1</v>
      </c>
      <c r="M32" s="340">
        <v>0</v>
      </c>
      <c r="N32" s="240">
        <v>1</v>
      </c>
      <c r="O32" s="248"/>
      <c r="P32" s="365">
        <v>863</v>
      </c>
      <c r="Q32" s="79">
        <v>202</v>
      </c>
      <c r="R32" s="346">
        <v>174</v>
      </c>
      <c r="S32" s="81">
        <v>268</v>
      </c>
      <c r="T32" s="327">
        <v>394</v>
      </c>
      <c r="U32" s="393">
        <v>3.5</v>
      </c>
      <c r="V32" s="310">
        <f t="shared" si="33"/>
        <v>8.3036773428232499E-2</v>
      </c>
      <c r="W32" s="94">
        <v>4.38</v>
      </c>
      <c r="X32" s="36">
        <f>RTD("money.excel",,"2393","Price")</f>
        <v>42.15</v>
      </c>
      <c r="Y32" s="66">
        <v>43.3</v>
      </c>
      <c r="Z32" s="15">
        <f t="shared" si="34"/>
        <v>-1.1499999999999986</v>
      </c>
      <c r="AA32" s="3">
        <f t="shared" si="35"/>
        <v>-2.6558891454965327E-2</v>
      </c>
      <c r="AB32" s="344">
        <v>-35.92</v>
      </c>
      <c r="AC32" s="384">
        <v>11.15</v>
      </c>
      <c r="AD32" s="22" t="s">
        <v>4135</v>
      </c>
      <c r="AE32" s="84">
        <v>44687</v>
      </c>
      <c r="AG32" s="33">
        <f t="shared" si="36"/>
        <v>-44687</v>
      </c>
      <c r="AH32" s="117" t="s">
        <v>4718</v>
      </c>
      <c r="AI32" s="63">
        <f t="shared" si="37"/>
        <v>2.9729119638826186E-3</v>
      </c>
      <c r="AJ32" s="284">
        <f>RTD("money.excel",,$G32,"PredictVolume")</f>
        <v>1317</v>
      </c>
      <c r="AK32" s="400">
        <v>11</v>
      </c>
      <c r="AM32" s="245"/>
      <c r="AN32" s="245"/>
    </row>
    <row r="33" spans="1:40">
      <c r="A33" s="347">
        <v>18.100000000000001</v>
      </c>
      <c r="B33" s="79">
        <v>28</v>
      </c>
      <c r="C33" s="79">
        <v>23</v>
      </c>
      <c r="D33" s="80">
        <v>-5</v>
      </c>
      <c r="E33" s="80">
        <v>-71</v>
      </c>
      <c r="F33" s="79">
        <v>7.76</v>
      </c>
      <c r="G33" s="80">
        <v>1515</v>
      </c>
      <c r="H33" s="5" t="s">
        <v>3356</v>
      </c>
      <c r="I33" s="22" t="s">
        <v>516</v>
      </c>
      <c r="J33" s="102" t="s">
        <v>6426</v>
      </c>
      <c r="K33" s="5"/>
      <c r="L33" s="156">
        <v>1</v>
      </c>
      <c r="M33" s="340">
        <v>0</v>
      </c>
      <c r="N33" s="240">
        <v>1</v>
      </c>
      <c r="P33" s="365">
        <v>494</v>
      </c>
      <c r="Q33" s="79">
        <v>340</v>
      </c>
      <c r="R33" s="346">
        <v>504</v>
      </c>
      <c r="S33" s="81">
        <v>491</v>
      </c>
      <c r="T33" s="327">
        <v>848</v>
      </c>
      <c r="U33" s="393">
        <v>3</v>
      </c>
      <c r="V33" s="310">
        <f t="shared" ref="V33:V34" si="38">U33/X33</f>
        <v>8.0428954423592505E-2</v>
      </c>
      <c r="W33" s="94">
        <v>3.73</v>
      </c>
      <c r="X33" s="36">
        <f>RTD("money.excel",,"1515","Price")</f>
        <v>37.299999999999997</v>
      </c>
      <c r="Y33" s="66">
        <v>39.299999999999997</v>
      </c>
      <c r="Z33" s="15">
        <f t="shared" ref="Z33:Z34" si="39">X33-Y33</f>
        <v>-2</v>
      </c>
      <c r="AA33" s="3">
        <f t="shared" ref="AA33:AA34" si="40">Z33/Y33</f>
        <v>-5.0890585241730284E-2</v>
      </c>
      <c r="AB33" s="344">
        <v>-52.49</v>
      </c>
      <c r="AC33" s="384">
        <v>21.61</v>
      </c>
      <c r="AD33" s="22" t="s">
        <v>516</v>
      </c>
      <c r="AE33" s="84">
        <v>44687</v>
      </c>
      <c r="AG33" s="33">
        <f t="shared" ref="AG33:AG34" si="41">AF33-AE33</f>
        <v>-44687</v>
      </c>
      <c r="AH33" s="43" t="s">
        <v>1975</v>
      </c>
      <c r="AI33" s="63">
        <f t="shared" ref="AI33:AI34" si="42">AJ33/(A33*10000)</f>
        <v>3.292817679558011E-3</v>
      </c>
      <c r="AJ33" s="284">
        <f>RTD("money.excel",,$G33,"PredictVolume")</f>
        <v>596</v>
      </c>
      <c r="AK33" s="400">
        <v>12.73</v>
      </c>
      <c r="AM33" s="245"/>
      <c r="AN33" s="245"/>
    </row>
    <row r="34" spans="1:40">
      <c r="A34" s="347">
        <v>19.5</v>
      </c>
      <c r="B34" s="80">
        <v>-19</v>
      </c>
      <c r="C34" s="80">
        <v>-22</v>
      </c>
      <c r="D34" s="79">
        <v>35</v>
      </c>
      <c r="E34" s="79">
        <v>14</v>
      </c>
      <c r="F34" s="79">
        <v>6.43</v>
      </c>
      <c r="G34" s="80">
        <v>2387</v>
      </c>
      <c r="H34" s="193" t="s">
        <v>1146</v>
      </c>
      <c r="I34" s="22" t="s">
        <v>234</v>
      </c>
      <c r="J34" s="102" t="s">
        <v>6426</v>
      </c>
      <c r="K34" s="5"/>
      <c r="L34" s="156">
        <v>1</v>
      </c>
      <c r="M34" s="340">
        <v>0</v>
      </c>
      <c r="N34" s="240">
        <v>1</v>
      </c>
      <c r="P34" s="365">
        <v>594</v>
      </c>
      <c r="Q34" s="79">
        <v>622</v>
      </c>
      <c r="R34" s="346">
        <v>1035</v>
      </c>
      <c r="S34" s="81">
        <v>152</v>
      </c>
      <c r="T34" s="327">
        <v>733</v>
      </c>
      <c r="U34" s="393">
        <v>3</v>
      </c>
      <c r="V34" s="310">
        <f t="shared" si="38"/>
        <v>8.4507042253521125E-2</v>
      </c>
      <c r="W34" s="94">
        <v>5.31</v>
      </c>
      <c r="X34" s="36">
        <f>RTD("money.excel",,"2387","Price")</f>
        <v>35.5</v>
      </c>
      <c r="Y34" s="66">
        <v>36.5</v>
      </c>
      <c r="Z34" s="15">
        <f t="shared" si="39"/>
        <v>-1</v>
      </c>
      <c r="AA34" s="3">
        <f t="shared" si="40"/>
        <v>-2.7397260273972601E-2</v>
      </c>
      <c r="AB34" s="344">
        <v>-38.35</v>
      </c>
      <c r="AC34" s="384">
        <v>26.54</v>
      </c>
      <c r="AD34" s="22" t="s">
        <v>234</v>
      </c>
      <c r="AE34" s="84">
        <v>44687</v>
      </c>
      <c r="AG34" s="33">
        <f t="shared" si="41"/>
        <v>-44687</v>
      </c>
      <c r="AH34" s="43" t="s">
        <v>2283</v>
      </c>
      <c r="AI34" s="63">
        <f t="shared" si="42"/>
        <v>2.9128205128205126E-3</v>
      </c>
      <c r="AJ34" s="284">
        <f>RTD("money.excel",,$G34,"PredictVolume")</f>
        <v>568</v>
      </c>
      <c r="AK34" s="400">
        <v>19.59</v>
      </c>
      <c r="AM34" s="245"/>
      <c r="AN34" s="245"/>
    </row>
    <row r="35" spans="1:40">
      <c r="A35" s="347">
        <v>10</v>
      </c>
      <c r="B35" s="79">
        <v>68</v>
      </c>
      <c r="C35" s="79">
        <v>53</v>
      </c>
      <c r="D35" s="80">
        <v>-8</v>
      </c>
      <c r="E35" s="79">
        <v>73</v>
      </c>
      <c r="F35" s="79">
        <v>15.09</v>
      </c>
      <c r="G35" s="79">
        <v>4755</v>
      </c>
      <c r="H35" s="8" t="s">
        <v>3578</v>
      </c>
      <c r="I35" s="22" t="s">
        <v>767</v>
      </c>
      <c r="J35" s="102" t="s">
        <v>6427</v>
      </c>
      <c r="K35" s="5"/>
      <c r="L35" s="156">
        <v>1</v>
      </c>
      <c r="M35" s="340">
        <v>0</v>
      </c>
      <c r="N35" s="240">
        <v>1</v>
      </c>
      <c r="P35" s="365">
        <v>596</v>
      </c>
      <c r="Q35" s="79">
        <v>606</v>
      </c>
      <c r="R35" s="346">
        <v>179</v>
      </c>
      <c r="S35" s="81">
        <v>223</v>
      </c>
      <c r="T35" s="327">
        <v>294</v>
      </c>
      <c r="U35" s="393">
        <v>5</v>
      </c>
      <c r="V35" s="310">
        <f t="shared" ref="V35:V37" si="43">U35/X35</f>
        <v>2.865329512893983E-2</v>
      </c>
      <c r="W35" s="94">
        <v>6.69</v>
      </c>
      <c r="X35" s="36">
        <f>RTD("money.excel",,"4755","Price")</f>
        <v>174.5</v>
      </c>
      <c r="Y35" s="66">
        <v>175</v>
      </c>
      <c r="Z35" s="15">
        <f t="shared" ref="Z35:Z37" si="44">X35-Y35</f>
        <v>-0.5</v>
      </c>
      <c r="AA35" s="3">
        <f t="shared" ref="AA35:AA37" si="45">Z35/Y35</f>
        <v>-2.8571428571428571E-3</v>
      </c>
      <c r="AB35" s="344">
        <v>-17.010000000000002</v>
      </c>
      <c r="AC35" s="384">
        <v>55.21</v>
      </c>
      <c r="AD35" s="22" t="s">
        <v>767</v>
      </c>
      <c r="AE35" s="84">
        <v>44687</v>
      </c>
      <c r="AG35" s="33">
        <f t="shared" ref="AG35:AG37" si="46">AF35-AE35</f>
        <v>-44687</v>
      </c>
      <c r="AH35" s="43" t="s">
        <v>3637</v>
      </c>
      <c r="AI35" s="63">
        <f t="shared" ref="AI35:AI37" si="47">AJ35/(A35*10000)</f>
        <v>2.613E-2</v>
      </c>
      <c r="AJ35" s="284">
        <f>RTD("money.excel",,$G35,"PredictVolume")</f>
        <v>2613</v>
      </c>
      <c r="AK35" s="400">
        <v>35.74</v>
      </c>
      <c r="AM35" s="245"/>
      <c r="AN35" s="245"/>
    </row>
    <row r="36" spans="1:40">
      <c r="A36" s="347">
        <v>4.8899999999999997</v>
      </c>
      <c r="B36" s="79">
        <v>14</v>
      </c>
      <c r="C36" s="79">
        <v>10</v>
      </c>
      <c r="D36" s="79">
        <v>22</v>
      </c>
      <c r="E36" s="79">
        <v>10</v>
      </c>
      <c r="F36" s="79">
        <v>28.22</v>
      </c>
      <c r="G36" s="80">
        <v>6732</v>
      </c>
      <c r="H36" s="193" t="s">
        <v>307</v>
      </c>
      <c r="I36" s="16" t="s">
        <v>1918</v>
      </c>
      <c r="J36" s="102" t="s">
        <v>6439</v>
      </c>
      <c r="K36" s="5"/>
      <c r="L36" s="156">
        <v>1</v>
      </c>
      <c r="M36" s="340">
        <v>0</v>
      </c>
      <c r="N36" s="240">
        <v>1</v>
      </c>
      <c r="P36" s="365">
        <v>675</v>
      </c>
      <c r="Q36" s="79">
        <v>1054</v>
      </c>
      <c r="R36" s="346">
        <v>720</v>
      </c>
      <c r="S36" s="81">
        <v>96</v>
      </c>
      <c r="T36" s="327">
        <v>164</v>
      </c>
      <c r="U36" s="393">
        <v>30</v>
      </c>
      <c r="V36" s="310">
        <f t="shared" si="43"/>
        <v>9.950248756218906E-2</v>
      </c>
      <c r="W36" s="94">
        <v>34.86</v>
      </c>
      <c r="X36" s="36">
        <f>RTD("money.excel",,"6732","Price")</f>
        <v>301.5</v>
      </c>
      <c r="Y36" s="66">
        <v>335</v>
      </c>
      <c r="Z36" s="15">
        <f t="shared" si="44"/>
        <v>-33.5</v>
      </c>
      <c r="AA36" s="3">
        <f t="shared" si="45"/>
        <v>-0.1</v>
      </c>
      <c r="AB36" s="344">
        <v>-60.47</v>
      </c>
      <c r="AC36" s="384">
        <v>13.46</v>
      </c>
      <c r="AD36" s="16" t="s">
        <v>1918</v>
      </c>
      <c r="AE36" s="84">
        <v>44687</v>
      </c>
      <c r="AG36" s="33">
        <f t="shared" si="46"/>
        <v>-44687</v>
      </c>
      <c r="AH36" s="43" t="s">
        <v>2540</v>
      </c>
      <c r="AI36" s="63">
        <f t="shared" si="47"/>
        <v>7.075664621676892E-3</v>
      </c>
      <c r="AJ36" s="284">
        <f>RTD("money.excel",,$G36,"PredictVolume")</f>
        <v>346</v>
      </c>
      <c r="AK36" s="400">
        <v>5.18</v>
      </c>
      <c r="AM36" s="245"/>
      <c r="AN36" s="245"/>
    </row>
    <row r="37" spans="1:40">
      <c r="A37" s="347">
        <v>19</v>
      </c>
      <c r="B37" s="80">
        <v>-31</v>
      </c>
      <c r="C37" s="80">
        <v>-32</v>
      </c>
      <c r="D37" s="79">
        <v>10</v>
      </c>
      <c r="E37" s="80">
        <v>-20</v>
      </c>
      <c r="F37" s="79">
        <v>12.26</v>
      </c>
      <c r="G37" s="80">
        <v>2404</v>
      </c>
      <c r="H37" s="5" t="s">
        <v>314</v>
      </c>
      <c r="I37" s="22" t="s">
        <v>494</v>
      </c>
      <c r="J37" s="102" t="s">
        <v>6439</v>
      </c>
      <c r="K37" s="5"/>
      <c r="L37" s="156">
        <v>1</v>
      </c>
      <c r="M37" s="340">
        <v>0</v>
      </c>
      <c r="N37" s="240">
        <v>1</v>
      </c>
      <c r="P37" s="365">
        <v>941</v>
      </c>
      <c r="Q37" s="79">
        <v>22</v>
      </c>
      <c r="R37" s="346">
        <v>244</v>
      </c>
      <c r="S37" s="81">
        <v>136</v>
      </c>
      <c r="T37" s="327">
        <v>80</v>
      </c>
      <c r="U37" s="393">
        <v>13</v>
      </c>
      <c r="V37" s="310">
        <f t="shared" si="43"/>
        <v>7.407407407407407E-2</v>
      </c>
      <c r="W37" s="94">
        <v>14.53</v>
      </c>
      <c r="X37" s="36">
        <f>RTD("money.excel",,"2404","Price")</f>
        <v>175.5</v>
      </c>
      <c r="Y37" s="66">
        <v>178</v>
      </c>
      <c r="Z37" s="15">
        <f t="shared" si="44"/>
        <v>-2.5</v>
      </c>
      <c r="AA37" s="3">
        <f t="shared" si="45"/>
        <v>-1.4044943820224719E-2</v>
      </c>
      <c r="AB37" s="344">
        <v>-25.67</v>
      </c>
      <c r="AC37" s="384">
        <v>41.13</v>
      </c>
      <c r="AD37" s="22" t="s">
        <v>494</v>
      </c>
      <c r="AE37" s="84">
        <v>44687</v>
      </c>
      <c r="AG37" s="33">
        <f t="shared" si="46"/>
        <v>-44687</v>
      </c>
      <c r="AH37" s="43" t="s">
        <v>1445</v>
      </c>
      <c r="AI37" s="63">
        <f t="shared" si="47"/>
        <v>1.7105263157894738E-3</v>
      </c>
      <c r="AJ37" s="284">
        <f>RTD("money.excel",,$G37,"PredictVolume")</f>
        <v>325</v>
      </c>
      <c r="AK37" s="400">
        <v>4.53</v>
      </c>
      <c r="AM37" s="245"/>
      <c r="AN37" s="245"/>
    </row>
    <row r="38" spans="1:40">
      <c r="A38" s="347">
        <v>73.400000000000006</v>
      </c>
      <c r="B38" s="79">
        <v>93</v>
      </c>
      <c r="C38" s="80">
        <v>-26</v>
      </c>
      <c r="D38" s="79">
        <v>25</v>
      </c>
      <c r="E38" s="79">
        <v>6</v>
      </c>
      <c r="F38" s="79">
        <v>1.42</v>
      </c>
      <c r="G38" s="79">
        <v>2915</v>
      </c>
      <c r="H38" s="8" t="s">
        <v>310</v>
      </c>
      <c r="I38" s="22" t="s">
        <v>4668</v>
      </c>
      <c r="J38" s="102" t="s">
        <v>6439</v>
      </c>
      <c r="K38" s="5"/>
      <c r="L38" s="156">
        <v>1</v>
      </c>
      <c r="M38" s="340">
        <v>0</v>
      </c>
      <c r="N38" s="240">
        <v>1</v>
      </c>
      <c r="P38" s="365">
        <v>792</v>
      </c>
      <c r="Q38" s="79">
        <v>25</v>
      </c>
      <c r="R38" s="346">
        <v>523</v>
      </c>
      <c r="S38" s="81">
        <v>439</v>
      </c>
      <c r="T38" s="327">
        <v>151</v>
      </c>
      <c r="U38" s="393">
        <v>5</v>
      </c>
      <c r="V38" s="310">
        <f t="shared" ref="V38:V40" si="48">U38/X38</f>
        <v>5.7803468208092484E-2</v>
      </c>
      <c r="W38" s="94">
        <v>25.42</v>
      </c>
      <c r="X38" s="36">
        <f>RTD("money.excel",,"2915","Price")</f>
        <v>86.5</v>
      </c>
      <c r="Y38" s="66">
        <v>101</v>
      </c>
      <c r="Z38" s="15">
        <f t="shared" ref="Z38:Z40" si="49">X38-Y38</f>
        <v>-14.5</v>
      </c>
      <c r="AA38" s="3">
        <f t="shared" ref="AA38:AA40" si="50">Z38/Y38</f>
        <v>-0.14356435643564355</v>
      </c>
      <c r="AB38" s="344">
        <v>-24.07</v>
      </c>
      <c r="AC38" s="384">
        <v>54.51</v>
      </c>
      <c r="AD38" s="22" t="s">
        <v>4668</v>
      </c>
      <c r="AE38" s="84">
        <v>44687</v>
      </c>
      <c r="AG38" s="33">
        <f t="shared" ref="AG38:AG40" si="51">AF38-AE38</f>
        <v>-44687</v>
      </c>
      <c r="AH38" s="117" t="s">
        <v>2059</v>
      </c>
      <c r="AI38" s="63">
        <f t="shared" ref="AI38:AI40" si="52">AJ38/(A38*10000)</f>
        <v>1.5626702997275203E-2</v>
      </c>
      <c r="AJ38" s="284">
        <f>RTD("money.excel",,$G38,"PredictVolume")</f>
        <v>11470</v>
      </c>
      <c r="AK38" s="400">
        <v>4.41</v>
      </c>
      <c r="AM38" s="245"/>
      <c r="AN38" s="245"/>
    </row>
    <row r="39" spans="1:40">
      <c r="A39" s="347">
        <v>3.3</v>
      </c>
      <c r="B39" s="79">
        <v>112</v>
      </c>
      <c r="C39" s="79">
        <v>94</v>
      </c>
      <c r="D39" s="79">
        <v>28</v>
      </c>
      <c r="E39" s="79">
        <v>29</v>
      </c>
      <c r="F39" s="79">
        <v>19.71</v>
      </c>
      <c r="G39" s="80">
        <v>6651</v>
      </c>
      <c r="H39" s="193" t="s">
        <v>307</v>
      </c>
      <c r="I39" s="16" t="s">
        <v>2337</v>
      </c>
      <c r="J39" s="102" t="s">
        <v>6439</v>
      </c>
      <c r="K39" s="5"/>
      <c r="L39" s="156">
        <v>1</v>
      </c>
      <c r="M39" s="340">
        <v>0</v>
      </c>
      <c r="N39" s="240">
        <v>1</v>
      </c>
      <c r="P39" s="365">
        <v>785</v>
      </c>
      <c r="Q39" s="79" t="s">
        <v>6289</v>
      </c>
      <c r="R39" s="346">
        <v>1300</v>
      </c>
      <c r="S39" s="81" t="s">
        <v>6289</v>
      </c>
      <c r="T39" s="327">
        <v>820</v>
      </c>
      <c r="U39" s="393">
        <v>4.5</v>
      </c>
      <c r="V39" s="310">
        <f t="shared" si="48"/>
        <v>5.2508751458576426E-2</v>
      </c>
      <c r="W39" s="94">
        <v>7.8</v>
      </c>
      <c r="X39" s="36">
        <f>RTD("money.excel",,"6651","Price")</f>
        <v>85.7</v>
      </c>
      <c r="Y39" s="66">
        <v>87.6</v>
      </c>
      <c r="Z39" s="15">
        <f t="shared" si="49"/>
        <v>-1.8999999999999915</v>
      </c>
      <c r="AA39" s="3">
        <f t="shared" si="50"/>
        <v>-2.1689497716894882E-2</v>
      </c>
      <c r="AB39" s="344">
        <v>-42.42</v>
      </c>
      <c r="AC39" s="384">
        <v>24.82</v>
      </c>
      <c r="AD39" s="16" t="s">
        <v>2337</v>
      </c>
      <c r="AE39" s="84">
        <v>44687</v>
      </c>
      <c r="AG39" s="33">
        <f t="shared" si="51"/>
        <v>-44687</v>
      </c>
      <c r="AH39" s="43" t="s">
        <v>2176</v>
      </c>
      <c r="AI39" s="63">
        <f t="shared" si="52"/>
        <v>3.0303030303030303E-4</v>
      </c>
      <c r="AJ39" s="284">
        <f>RTD("money.excel",,$G39,"PredictVolume")</f>
        <v>10</v>
      </c>
      <c r="AK39" s="400">
        <v>18.14</v>
      </c>
      <c r="AM39" s="245"/>
      <c r="AN39" s="245"/>
    </row>
    <row r="40" spans="1:40">
      <c r="A40" s="347">
        <v>17.8</v>
      </c>
      <c r="B40" s="79">
        <v>120</v>
      </c>
      <c r="C40" s="79">
        <v>264</v>
      </c>
      <c r="D40" s="80">
        <v>-28</v>
      </c>
      <c r="E40" s="80">
        <v>-13</v>
      </c>
      <c r="F40" s="79">
        <v>12.77</v>
      </c>
      <c r="G40" s="80">
        <v>2436</v>
      </c>
      <c r="H40" s="18" t="s">
        <v>307</v>
      </c>
      <c r="I40" s="22" t="s">
        <v>112</v>
      </c>
      <c r="J40" s="102" t="s">
        <v>6439</v>
      </c>
      <c r="K40" s="5"/>
      <c r="L40" s="156">
        <v>1</v>
      </c>
      <c r="M40" s="340">
        <v>0</v>
      </c>
      <c r="N40" s="240">
        <v>1</v>
      </c>
      <c r="P40" s="365">
        <v>53</v>
      </c>
      <c r="Q40" s="79">
        <v>378</v>
      </c>
      <c r="R40" s="346">
        <v>764</v>
      </c>
      <c r="S40" s="81">
        <v>345</v>
      </c>
      <c r="T40" s="327">
        <v>97</v>
      </c>
      <c r="U40" s="393">
        <v>3</v>
      </c>
      <c r="V40" s="310">
        <f t="shared" si="48"/>
        <v>4.4910179640718563E-2</v>
      </c>
      <c r="W40" s="94">
        <v>3.94</v>
      </c>
      <c r="X40" s="36">
        <f>RTD("money.excel",,"2436","Price")</f>
        <v>66.8</v>
      </c>
      <c r="Y40" s="66">
        <v>66.2</v>
      </c>
      <c r="Z40" s="15">
        <f t="shared" si="49"/>
        <v>0.59999999999999432</v>
      </c>
      <c r="AA40" s="3">
        <f t="shared" si="50"/>
        <v>9.0634441087612434E-3</v>
      </c>
      <c r="AB40" s="344">
        <v>-37.49</v>
      </c>
      <c r="AC40" s="384">
        <v>21.34</v>
      </c>
      <c r="AD40" s="22" t="s">
        <v>112</v>
      </c>
      <c r="AE40" s="84">
        <v>44687</v>
      </c>
      <c r="AG40" s="33">
        <f t="shared" si="51"/>
        <v>-44687</v>
      </c>
      <c r="AH40" s="43" t="s">
        <v>2194</v>
      </c>
      <c r="AI40" s="63">
        <f t="shared" si="52"/>
        <v>1.4623595505617978E-2</v>
      </c>
      <c r="AJ40" s="284">
        <f>RTD("money.excel",,$G40,"PredictVolume")</f>
        <v>2603</v>
      </c>
      <c r="AK40" s="400">
        <v>49.59</v>
      </c>
      <c r="AM40" s="245"/>
      <c r="AN40" s="245"/>
    </row>
    <row r="41" spans="1:40">
      <c r="A41" s="347">
        <v>4.87</v>
      </c>
      <c r="B41" s="79">
        <v>155</v>
      </c>
      <c r="C41" s="79">
        <v>55</v>
      </c>
      <c r="D41" s="79">
        <v>29</v>
      </c>
      <c r="E41" s="79">
        <v>-1</v>
      </c>
      <c r="F41" s="79">
        <v>10.83</v>
      </c>
      <c r="G41" s="80">
        <v>3138</v>
      </c>
      <c r="H41" s="5" t="s">
        <v>311</v>
      </c>
      <c r="I41" s="22" t="s">
        <v>2111</v>
      </c>
      <c r="J41" s="102" t="s">
        <v>6439</v>
      </c>
      <c r="K41" s="5"/>
      <c r="L41" s="156">
        <v>1</v>
      </c>
      <c r="M41" s="340">
        <v>0</v>
      </c>
      <c r="N41" s="240">
        <v>1</v>
      </c>
      <c r="P41" s="365">
        <v>429</v>
      </c>
      <c r="Q41" s="79">
        <v>622</v>
      </c>
      <c r="R41" s="346">
        <v>1313</v>
      </c>
      <c r="S41" s="81" t="s">
        <v>6289</v>
      </c>
      <c r="T41" s="327">
        <v>890</v>
      </c>
      <c r="U41" s="393">
        <v>3</v>
      </c>
      <c r="V41" s="310">
        <f>U41/X41</f>
        <v>0.02</v>
      </c>
      <c r="W41" s="94">
        <v>5.96</v>
      </c>
      <c r="X41" s="36">
        <f>RTD("money.excel",,"3138","Price")</f>
        <v>150</v>
      </c>
      <c r="Y41" s="66">
        <v>156</v>
      </c>
      <c r="Z41" s="15">
        <f>X41-Y41</f>
        <v>-6</v>
      </c>
      <c r="AA41" s="3">
        <f>Z41/Y41</f>
        <v>-3.8461538461538464E-2</v>
      </c>
      <c r="AB41" s="344">
        <v>-43.64</v>
      </c>
      <c r="AC41" s="384">
        <v>24.09</v>
      </c>
      <c r="AD41" s="22" t="s">
        <v>2111</v>
      </c>
      <c r="AE41" s="84">
        <v>44687</v>
      </c>
      <c r="AG41" s="33">
        <f>AF41-AE41</f>
        <v>-44687</v>
      </c>
      <c r="AH41" s="117" t="s">
        <v>4349</v>
      </c>
      <c r="AI41" s="63">
        <f t="shared" ref="AI41" si="53">AJ41/(A41*10000)</f>
        <v>2.8747433264887062E-3</v>
      </c>
      <c r="AJ41" s="284">
        <f>RTD("money.excel",,$G41,"PredictVolume")</f>
        <v>140</v>
      </c>
      <c r="AK41" s="400">
        <v>14.6</v>
      </c>
      <c r="AM41" s="245"/>
      <c r="AN41" s="245"/>
    </row>
    <row r="42" spans="1:40">
      <c r="A42" s="347">
        <v>8.85</v>
      </c>
      <c r="B42" s="80">
        <v>-98</v>
      </c>
      <c r="C42" s="80">
        <v>-109</v>
      </c>
      <c r="D42" s="79">
        <v>32</v>
      </c>
      <c r="E42" s="80">
        <v>-44</v>
      </c>
      <c r="F42" s="79">
        <v>-3.48</v>
      </c>
      <c r="G42" s="79">
        <v>4968</v>
      </c>
      <c r="H42" s="8" t="s">
        <v>3039</v>
      </c>
      <c r="I42" s="22" t="s">
        <v>350</v>
      </c>
      <c r="J42" s="8" t="s">
        <v>6423</v>
      </c>
      <c r="K42" s="5"/>
      <c r="L42" s="156">
        <v>2</v>
      </c>
      <c r="M42" s="340">
        <v>0</v>
      </c>
      <c r="N42" s="240">
        <v>2</v>
      </c>
      <c r="O42" s="248"/>
      <c r="P42" s="365">
        <v>134</v>
      </c>
      <c r="Q42" s="79">
        <v>99</v>
      </c>
      <c r="R42" s="346">
        <v>171</v>
      </c>
      <c r="S42" s="81">
        <v>100</v>
      </c>
      <c r="T42" s="327">
        <v>283</v>
      </c>
      <c r="U42" s="393">
        <v>3.5</v>
      </c>
      <c r="V42" s="310">
        <f t="shared" ref="V42:V46" si="54">U42/X42</f>
        <v>1.6431924882629109E-2</v>
      </c>
      <c r="W42" s="94">
        <v>2.58</v>
      </c>
      <c r="X42" s="36">
        <f>RTD("money.excel",,"4968","Price")</f>
        <v>213</v>
      </c>
      <c r="Y42" s="66">
        <v>226</v>
      </c>
      <c r="Z42" s="15">
        <f t="shared" ref="Z42:Z46" si="55">X42-Y42</f>
        <v>-13</v>
      </c>
      <c r="AA42" s="3">
        <f t="shared" ref="AA42:AA46" si="56">Z42/Y42</f>
        <v>-5.7522123893805309E-2</v>
      </c>
      <c r="AB42" s="344">
        <v>-60.57</v>
      </c>
      <c r="AC42" s="384">
        <v>63.82</v>
      </c>
      <c r="AD42" s="22" t="s">
        <v>350</v>
      </c>
      <c r="AE42" s="84">
        <v>44686</v>
      </c>
      <c r="AG42" s="33">
        <f t="shared" ref="AG42:AG46" si="57">AF42-AE42</f>
        <v>-44686</v>
      </c>
      <c r="AH42" s="43" t="s">
        <v>2008</v>
      </c>
      <c r="AI42" s="63">
        <f t="shared" ref="AI42:AI46" si="58">AJ42/(A42*10000)</f>
        <v>4.7435028248587571E-2</v>
      </c>
      <c r="AJ42" s="284">
        <f>RTD("money.excel",,$G42,"PredictVolume")</f>
        <v>4198</v>
      </c>
      <c r="AK42" s="399">
        <v>38.880000000000003</v>
      </c>
      <c r="AM42" s="245"/>
      <c r="AN42" s="245"/>
    </row>
    <row r="43" spans="1:40">
      <c r="A43" s="347">
        <v>349</v>
      </c>
      <c r="B43" s="92">
        <v>1258</v>
      </c>
      <c r="C43" s="79">
        <v>945</v>
      </c>
      <c r="D43" s="79">
        <v>13</v>
      </c>
      <c r="E43" s="79">
        <v>80</v>
      </c>
      <c r="F43" s="79">
        <v>60.95</v>
      </c>
      <c r="G43" s="79">
        <v>2609</v>
      </c>
      <c r="H43" s="8" t="s">
        <v>302</v>
      </c>
      <c r="I43" s="22" t="s">
        <v>866</v>
      </c>
      <c r="J43" s="102" t="s">
        <v>6424</v>
      </c>
      <c r="K43" s="5"/>
      <c r="L43" s="156">
        <v>2</v>
      </c>
      <c r="M43" s="340">
        <v>0</v>
      </c>
      <c r="N43" s="240">
        <v>2</v>
      </c>
      <c r="O43" s="248"/>
      <c r="P43" s="365">
        <v>288</v>
      </c>
      <c r="Q43" s="79">
        <v>577</v>
      </c>
      <c r="R43" s="346">
        <v>341</v>
      </c>
      <c r="S43" s="81">
        <v>194</v>
      </c>
      <c r="T43" s="327">
        <v>274</v>
      </c>
      <c r="U43" s="393">
        <v>20</v>
      </c>
      <c r="V43" s="310">
        <f t="shared" si="54"/>
        <v>0.16129032258064516</v>
      </c>
      <c r="W43" s="94">
        <v>49.11</v>
      </c>
      <c r="X43" s="36">
        <f>RTD("money.excel",,"2609","Price")</f>
        <v>124</v>
      </c>
      <c r="Y43" s="66">
        <v>132.5</v>
      </c>
      <c r="Z43" s="15">
        <f t="shared" si="55"/>
        <v>-8.5</v>
      </c>
      <c r="AA43" s="3">
        <f t="shared" si="56"/>
        <v>-6.4150943396226415E-2</v>
      </c>
      <c r="AB43" s="344">
        <v>-44.56</v>
      </c>
      <c r="AC43" s="384">
        <v>61.47</v>
      </c>
      <c r="AD43" s="22" t="s">
        <v>866</v>
      </c>
      <c r="AE43" s="84">
        <v>44686</v>
      </c>
      <c r="AG43" s="33">
        <f t="shared" si="57"/>
        <v>-44686</v>
      </c>
      <c r="AH43" s="43" t="s">
        <v>3266</v>
      </c>
      <c r="AI43" s="63">
        <f t="shared" si="58"/>
        <v>1.1260171919770773E-2</v>
      </c>
      <c r="AJ43" s="284">
        <f>RTD("money.excel",,$G43,"PredictVolume")</f>
        <v>39298</v>
      </c>
      <c r="AK43" s="400">
        <v>23.94</v>
      </c>
      <c r="AM43" s="245"/>
      <c r="AN43" s="245"/>
    </row>
    <row r="44" spans="1:40">
      <c r="A44" s="347">
        <v>529</v>
      </c>
      <c r="B44" s="79">
        <v>814</v>
      </c>
      <c r="C44" s="79">
        <v>721</v>
      </c>
      <c r="D44" s="79">
        <v>6</v>
      </c>
      <c r="E44" s="79">
        <v>83</v>
      </c>
      <c r="F44" s="79">
        <v>58.21</v>
      </c>
      <c r="G44" s="79">
        <v>2603</v>
      </c>
      <c r="H44" s="8" t="s">
        <v>302</v>
      </c>
      <c r="I44" s="22" t="s">
        <v>264</v>
      </c>
      <c r="J44" s="102" t="s">
        <v>6425</v>
      </c>
      <c r="K44" s="5"/>
      <c r="L44" s="156">
        <v>3</v>
      </c>
      <c r="M44" s="340">
        <v>0</v>
      </c>
      <c r="N44" s="240">
        <v>3</v>
      </c>
      <c r="P44" s="365">
        <v>294</v>
      </c>
      <c r="Q44" s="79">
        <v>97</v>
      </c>
      <c r="R44" s="346">
        <v>203</v>
      </c>
      <c r="S44" s="81">
        <v>98</v>
      </c>
      <c r="T44" s="327">
        <v>117</v>
      </c>
      <c r="U44" s="393">
        <v>18</v>
      </c>
      <c r="V44" s="310">
        <f t="shared" si="54"/>
        <v>0.1245674740484429</v>
      </c>
      <c r="W44" s="94">
        <v>45.68</v>
      </c>
      <c r="X44" s="36">
        <f>RTD("money.excel",,"2603","Price")</f>
        <v>144.5</v>
      </c>
      <c r="Y44" s="66">
        <v>155</v>
      </c>
      <c r="Z44" s="15">
        <f t="shared" si="55"/>
        <v>-10.5</v>
      </c>
      <c r="AA44" s="3">
        <f t="shared" si="56"/>
        <v>-6.7741935483870974E-2</v>
      </c>
      <c r="AB44" s="344">
        <v>-34.979999999999997</v>
      </c>
      <c r="AC44" s="384">
        <v>49.12</v>
      </c>
      <c r="AD44" s="22" t="s">
        <v>264</v>
      </c>
      <c r="AE44" s="84">
        <v>44686</v>
      </c>
      <c r="AG44" s="33">
        <f t="shared" si="57"/>
        <v>-44686</v>
      </c>
      <c r="AH44" s="117" t="s">
        <v>3266</v>
      </c>
      <c r="AI44" s="63">
        <f t="shared" si="58"/>
        <v>1.5441398865784498E-2</v>
      </c>
      <c r="AJ44" s="317">
        <f>RTD("money.excel",,$G44,"PredictVolume")</f>
        <v>81685</v>
      </c>
      <c r="AK44" s="400">
        <v>19.28</v>
      </c>
      <c r="AM44" s="245"/>
      <c r="AN44" s="245"/>
    </row>
    <row r="45" spans="1:40">
      <c r="A45" s="347">
        <v>56.8</v>
      </c>
      <c r="B45" s="79">
        <v>25</v>
      </c>
      <c r="C45" s="79">
        <v>22</v>
      </c>
      <c r="D45" s="79">
        <v>23</v>
      </c>
      <c r="E45" s="79">
        <v>6</v>
      </c>
      <c r="F45" s="79">
        <v>29.03</v>
      </c>
      <c r="G45" s="80">
        <v>2441</v>
      </c>
      <c r="H45" s="18" t="s">
        <v>3039</v>
      </c>
      <c r="I45" s="22" t="s">
        <v>275</v>
      </c>
      <c r="J45" s="102" t="s">
        <v>6422</v>
      </c>
      <c r="K45" s="5"/>
      <c r="L45" s="156">
        <v>2</v>
      </c>
      <c r="M45" s="340">
        <v>0</v>
      </c>
      <c r="N45" s="240">
        <v>2</v>
      </c>
      <c r="P45" s="365">
        <v>1171</v>
      </c>
      <c r="Q45" s="79">
        <v>53</v>
      </c>
      <c r="R45" s="346">
        <v>369</v>
      </c>
      <c r="S45" s="81">
        <v>57</v>
      </c>
      <c r="T45" s="327">
        <v>34</v>
      </c>
      <c r="U45" s="393">
        <v>5</v>
      </c>
      <c r="V45" s="310">
        <f t="shared" si="54"/>
        <v>7.0521861777150904E-2</v>
      </c>
      <c r="W45" s="94">
        <v>8.51</v>
      </c>
      <c r="X45" s="36">
        <f>RTD("money.excel",,"2441","Price")</f>
        <v>70.900000000000006</v>
      </c>
      <c r="Y45" s="66">
        <v>71.3</v>
      </c>
      <c r="Z45" s="15">
        <f t="shared" si="55"/>
        <v>-0.39999999999999147</v>
      </c>
      <c r="AA45" s="3">
        <f t="shared" si="56"/>
        <v>-5.6100981767179736E-3</v>
      </c>
      <c r="AB45" s="344">
        <v>-29.15</v>
      </c>
      <c r="AC45" s="384">
        <v>30.68</v>
      </c>
      <c r="AD45" s="22" t="s">
        <v>275</v>
      </c>
      <c r="AE45" s="84">
        <v>44686</v>
      </c>
      <c r="AG45" s="33">
        <f t="shared" si="57"/>
        <v>-44686</v>
      </c>
      <c r="AH45" s="117" t="s">
        <v>3020</v>
      </c>
      <c r="AI45" s="63">
        <f t="shared" si="58"/>
        <v>1.0915492957746479E-3</v>
      </c>
      <c r="AJ45" s="284">
        <f>RTD("money.excel",,$G45,"PredictVolume")</f>
        <v>620</v>
      </c>
      <c r="AK45" s="400">
        <v>5.31</v>
      </c>
      <c r="AM45" s="245"/>
      <c r="AN45" s="245"/>
    </row>
    <row r="46" spans="1:40">
      <c r="A46" s="347">
        <v>4.83</v>
      </c>
      <c r="B46" s="79">
        <v>19</v>
      </c>
      <c r="C46" s="79">
        <v>5</v>
      </c>
      <c r="D46" s="80">
        <v>-10</v>
      </c>
      <c r="E46" s="80">
        <v>-8</v>
      </c>
      <c r="F46" s="79">
        <v>8.94</v>
      </c>
      <c r="G46" s="80">
        <v>6150</v>
      </c>
      <c r="H46" s="5" t="s">
        <v>1146</v>
      </c>
      <c r="I46" s="16" t="s">
        <v>1788</v>
      </c>
      <c r="J46" s="8">
        <v>4</v>
      </c>
      <c r="K46" s="5"/>
      <c r="L46" s="156">
        <v>1</v>
      </c>
      <c r="M46" s="340">
        <v>0</v>
      </c>
      <c r="N46" s="240">
        <v>1</v>
      </c>
      <c r="P46" s="365">
        <v>28</v>
      </c>
      <c r="Q46" s="79">
        <v>30</v>
      </c>
      <c r="R46" s="346">
        <v>503</v>
      </c>
      <c r="S46" s="81" t="s">
        <v>6289</v>
      </c>
      <c r="T46" s="327">
        <v>243</v>
      </c>
      <c r="U46" s="393">
        <v>11</v>
      </c>
      <c r="V46" s="310">
        <f t="shared" si="54"/>
        <v>0.10891089108910891</v>
      </c>
      <c r="W46" s="94">
        <v>24.26</v>
      </c>
      <c r="X46" s="36">
        <f>RTD("money.excel",,"6150","Price")</f>
        <v>101</v>
      </c>
      <c r="Y46" s="66">
        <v>117.5</v>
      </c>
      <c r="Z46" s="15">
        <f t="shared" si="55"/>
        <v>-16.5</v>
      </c>
      <c r="AA46" s="3">
        <f t="shared" si="56"/>
        <v>-0.14042553191489363</v>
      </c>
      <c r="AB46" s="344">
        <v>-43.42</v>
      </c>
      <c r="AC46" s="384">
        <v>15.37</v>
      </c>
      <c r="AD46" s="16" t="s">
        <v>1788</v>
      </c>
      <c r="AE46" s="84">
        <v>44686</v>
      </c>
      <c r="AG46" s="33">
        <f t="shared" si="57"/>
        <v>-44686</v>
      </c>
      <c r="AH46" s="43" t="s">
        <v>2718</v>
      </c>
      <c r="AI46" s="63">
        <f t="shared" si="58"/>
        <v>4.2422360248447206E-2</v>
      </c>
      <c r="AJ46" s="284">
        <f>RTD("money.excel",,$G46,"PredictVolume")</f>
        <v>2049</v>
      </c>
      <c r="AK46" s="400">
        <v>40.659999999999997</v>
      </c>
      <c r="AM46" s="245"/>
      <c r="AN46" s="245"/>
    </row>
    <row r="47" spans="1:40">
      <c r="A47" s="347">
        <v>7.15</v>
      </c>
      <c r="B47" s="79">
        <v>121</v>
      </c>
      <c r="C47" s="79">
        <v>102</v>
      </c>
      <c r="D47" s="79">
        <v>22</v>
      </c>
      <c r="E47" s="79">
        <v>1</v>
      </c>
      <c r="F47" s="79">
        <v>14.04</v>
      </c>
      <c r="G47" s="80">
        <v>6672</v>
      </c>
      <c r="H47" s="8" t="s">
        <v>308</v>
      </c>
      <c r="I47" s="22" t="s">
        <v>1501</v>
      </c>
      <c r="J47" s="102" t="s">
        <v>6426</v>
      </c>
      <c r="K47" s="5"/>
      <c r="L47" s="156">
        <v>1</v>
      </c>
      <c r="M47" s="340">
        <v>0</v>
      </c>
      <c r="N47" s="240">
        <v>1</v>
      </c>
      <c r="P47" s="365">
        <v>205</v>
      </c>
      <c r="Q47" s="79">
        <v>1054</v>
      </c>
      <c r="R47" s="346">
        <v>222</v>
      </c>
      <c r="S47" s="81" t="s">
        <v>6289</v>
      </c>
      <c r="T47" s="327">
        <v>359</v>
      </c>
      <c r="U47" s="393">
        <v>6.6</v>
      </c>
      <c r="V47" s="310">
        <f t="shared" ref="V47:V51" si="59">U47/X47</f>
        <v>7.2928176795580113E-2</v>
      </c>
      <c r="W47" s="94">
        <v>10.7</v>
      </c>
      <c r="X47" s="36">
        <f>RTD("money.excel",,"6672","Price")</f>
        <v>90.5</v>
      </c>
      <c r="Y47" s="66">
        <v>97.1</v>
      </c>
      <c r="Z47" s="15">
        <f t="shared" ref="Z47:Z51" si="60">X47-Y47</f>
        <v>-6.5999999999999943</v>
      </c>
      <c r="AA47" s="3">
        <f t="shared" ref="AA47:AA51" si="61">Z47/Y47</f>
        <v>-6.7971163748712607E-2</v>
      </c>
      <c r="AB47" s="344">
        <v>-50.57</v>
      </c>
      <c r="AC47" s="384">
        <v>21.05</v>
      </c>
      <c r="AD47" s="22" t="s">
        <v>1501</v>
      </c>
      <c r="AE47" s="84">
        <v>44686</v>
      </c>
      <c r="AG47" s="33">
        <f t="shared" ref="AG47:AG51" si="62">AF47-AE47</f>
        <v>-44686</v>
      </c>
      <c r="AH47" s="43" t="s">
        <v>3278</v>
      </c>
      <c r="AI47" s="63">
        <f t="shared" ref="AI47:AI51" si="63">AJ47/(A47*10000)</f>
        <v>2.2237762237762239E-3</v>
      </c>
      <c r="AJ47" s="284">
        <f>RTD("money.excel",,$G47,"PredictVolume")</f>
        <v>159</v>
      </c>
      <c r="AK47" s="400">
        <v>22.15</v>
      </c>
      <c r="AM47" s="245"/>
      <c r="AN47" s="245"/>
    </row>
    <row r="48" spans="1:40">
      <c r="A48" s="347">
        <v>3.16</v>
      </c>
      <c r="B48" s="80">
        <v>-21</v>
      </c>
      <c r="C48" s="80">
        <v>-25</v>
      </c>
      <c r="D48" s="79">
        <v>5</v>
      </c>
      <c r="E48" s="79">
        <v>12</v>
      </c>
      <c r="F48" s="79">
        <v>30.92</v>
      </c>
      <c r="G48" s="80">
        <v>6643</v>
      </c>
      <c r="H48" s="192" t="s">
        <v>3039</v>
      </c>
      <c r="I48" s="16" t="s">
        <v>1599</v>
      </c>
      <c r="J48" s="102" t="s">
        <v>6426</v>
      </c>
      <c r="K48" s="5"/>
      <c r="L48" s="156">
        <v>1</v>
      </c>
      <c r="M48" s="340">
        <v>0</v>
      </c>
      <c r="N48" s="240">
        <v>1</v>
      </c>
      <c r="P48" s="365">
        <v>297</v>
      </c>
      <c r="Q48" s="79">
        <v>901</v>
      </c>
      <c r="R48" s="346">
        <v>549</v>
      </c>
      <c r="S48" s="81" t="s">
        <v>6289</v>
      </c>
      <c r="T48" s="327">
        <v>733</v>
      </c>
      <c r="U48" s="393">
        <v>6.3</v>
      </c>
      <c r="V48" s="310">
        <f t="shared" si="59"/>
        <v>2.2661870503597123E-2</v>
      </c>
      <c r="W48" s="94">
        <v>8.1199999999999992</v>
      </c>
      <c r="X48" s="36">
        <f>RTD("money.excel",,"6643","Price")</f>
        <v>278</v>
      </c>
      <c r="Y48" s="66">
        <v>289</v>
      </c>
      <c r="Z48" s="15">
        <f t="shared" si="60"/>
        <v>-11</v>
      </c>
      <c r="AA48" s="3">
        <f t="shared" si="61"/>
        <v>-3.8062283737024222E-2</v>
      </c>
      <c r="AB48" s="344">
        <v>-40.869999999999997</v>
      </c>
      <c r="AC48" s="384">
        <v>20.22</v>
      </c>
      <c r="AD48" s="16" t="s">
        <v>1599</v>
      </c>
      <c r="AE48" s="84">
        <v>44686</v>
      </c>
      <c r="AG48" s="33">
        <f t="shared" si="62"/>
        <v>-44686</v>
      </c>
      <c r="AH48" s="117" t="s">
        <v>2924</v>
      </c>
      <c r="AI48" s="63">
        <f t="shared" si="63"/>
        <v>3.7974683544303796E-3</v>
      </c>
      <c r="AJ48" s="284">
        <f>RTD("money.excel",,$G48,"PredictVolume")</f>
        <v>120</v>
      </c>
      <c r="AK48" s="400">
        <v>19.48</v>
      </c>
      <c r="AM48" s="245"/>
      <c r="AN48" s="245"/>
    </row>
    <row r="49" spans="1:40">
      <c r="A49" s="347">
        <v>14.8</v>
      </c>
      <c r="B49" s="79">
        <v>2</v>
      </c>
      <c r="C49" s="79">
        <v>0</v>
      </c>
      <c r="D49" s="79">
        <v>79</v>
      </c>
      <c r="E49" s="79">
        <v>5</v>
      </c>
      <c r="F49" s="79">
        <v>23.59</v>
      </c>
      <c r="G49" s="80">
        <v>1707</v>
      </c>
      <c r="H49" s="193" t="s">
        <v>4726</v>
      </c>
      <c r="I49" s="22" t="s">
        <v>3673</v>
      </c>
      <c r="J49" s="102" t="s">
        <v>6426</v>
      </c>
      <c r="K49" s="5"/>
      <c r="L49" s="156">
        <v>1</v>
      </c>
      <c r="M49" s="340">
        <v>0</v>
      </c>
      <c r="N49" s="240">
        <v>1</v>
      </c>
      <c r="P49" s="365">
        <v>1119</v>
      </c>
      <c r="Q49" s="79">
        <v>859</v>
      </c>
      <c r="R49" s="346">
        <v>467</v>
      </c>
      <c r="S49" s="81">
        <v>491</v>
      </c>
      <c r="T49" s="327">
        <v>910</v>
      </c>
      <c r="U49" s="393">
        <v>6.1</v>
      </c>
      <c r="V49" s="310">
        <f t="shared" si="59"/>
        <v>4.3109540636042401E-2</v>
      </c>
      <c r="W49" s="94">
        <v>8.82</v>
      </c>
      <c r="X49" s="36">
        <f>RTD("money.excel",,"1707","Price")</f>
        <v>141.5</v>
      </c>
      <c r="Y49" s="66">
        <v>144.5</v>
      </c>
      <c r="Z49" s="15">
        <f t="shared" si="60"/>
        <v>-3</v>
      </c>
      <c r="AA49" s="3">
        <f t="shared" si="61"/>
        <v>-2.0761245674740483E-2</v>
      </c>
      <c r="AB49" s="344">
        <v>-18.47</v>
      </c>
      <c r="AC49" s="384">
        <v>38.24</v>
      </c>
      <c r="AD49" s="22" t="s">
        <v>3673</v>
      </c>
      <c r="AE49" s="84">
        <v>44686</v>
      </c>
      <c r="AG49" s="33">
        <f t="shared" si="62"/>
        <v>-44686</v>
      </c>
      <c r="AH49" s="117" t="s">
        <v>3674</v>
      </c>
      <c r="AI49" s="63">
        <f t="shared" si="63"/>
        <v>8.3108108108108109E-4</v>
      </c>
      <c r="AJ49" s="284">
        <f>RTD("money.excel",,$G49,"PredictVolume")</f>
        <v>123</v>
      </c>
      <c r="AK49" s="400">
        <v>0.92</v>
      </c>
      <c r="AM49" s="245"/>
      <c r="AN49" s="245"/>
    </row>
    <row r="50" spans="1:40">
      <c r="A50" s="347">
        <v>6.43</v>
      </c>
      <c r="B50" s="80">
        <v>-26</v>
      </c>
      <c r="C50" s="80">
        <v>-29</v>
      </c>
      <c r="D50" s="79">
        <v>30</v>
      </c>
      <c r="E50" s="80">
        <v>-37</v>
      </c>
      <c r="F50" s="79">
        <v>20.62</v>
      </c>
      <c r="G50" s="80">
        <v>5215</v>
      </c>
      <c r="H50" s="193" t="s">
        <v>1146</v>
      </c>
      <c r="I50" s="22" t="s">
        <v>468</v>
      </c>
      <c r="J50" s="102" t="s">
        <v>6426</v>
      </c>
      <c r="K50" s="5"/>
      <c r="L50" s="156">
        <v>1</v>
      </c>
      <c r="M50" s="340">
        <v>0</v>
      </c>
      <c r="N50" s="240">
        <v>1</v>
      </c>
      <c r="P50" s="365">
        <v>484</v>
      </c>
      <c r="Q50" s="79">
        <v>1118</v>
      </c>
      <c r="R50" s="346">
        <v>214</v>
      </c>
      <c r="S50" s="81" t="s">
        <v>6289</v>
      </c>
      <c r="T50" s="327">
        <v>1080</v>
      </c>
      <c r="U50" s="393">
        <v>5</v>
      </c>
      <c r="V50" s="310">
        <f t="shared" si="59"/>
        <v>9.6339113680154145E-2</v>
      </c>
      <c r="W50" s="94">
        <v>8.8000000000000007</v>
      </c>
      <c r="X50" s="36">
        <f>RTD("money.excel",,"5215","Price")</f>
        <v>51.9</v>
      </c>
      <c r="Y50" s="66">
        <v>55</v>
      </c>
      <c r="Z50" s="15">
        <f t="shared" si="60"/>
        <v>-3.1000000000000014</v>
      </c>
      <c r="AA50" s="3">
        <f t="shared" si="61"/>
        <v>-5.6363636363636387E-2</v>
      </c>
      <c r="AB50" s="344">
        <v>-57.49</v>
      </c>
      <c r="AC50" s="384">
        <v>16.27</v>
      </c>
      <c r="AD50" s="22" t="s">
        <v>468</v>
      </c>
      <c r="AE50" s="84">
        <v>44686</v>
      </c>
      <c r="AG50" s="33">
        <f t="shared" si="62"/>
        <v>-44686</v>
      </c>
      <c r="AH50" s="43" t="s">
        <v>2283</v>
      </c>
      <c r="AI50" s="63">
        <f t="shared" si="63"/>
        <v>2.5505443234836705E-3</v>
      </c>
      <c r="AJ50" s="284">
        <f>RTD("money.excel",,$G50,"PredictVolume")</f>
        <v>164</v>
      </c>
      <c r="AK50" s="400">
        <v>6.61</v>
      </c>
      <c r="AM50" s="245"/>
      <c r="AN50" s="245"/>
    </row>
    <row r="51" spans="1:40">
      <c r="A51" s="347">
        <v>8.56</v>
      </c>
      <c r="B51" s="79">
        <v>12</v>
      </c>
      <c r="C51" s="79">
        <v>19</v>
      </c>
      <c r="D51" s="79">
        <v>18</v>
      </c>
      <c r="E51" s="79">
        <v>49</v>
      </c>
      <c r="F51" s="79">
        <v>16.41</v>
      </c>
      <c r="G51" s="80">
        <v>6224</v>
      </c>
      <c r="H51" s="236" t="s">
        <v>3389</v>
      </c>
      <c r="I51" s="22" t="s">
        <v>230</v>
      </c>
      <c r="J51" s="102" t="s">
        <v>6426</v>
      </c>
      <c r="K51" s="5"/>
      <c r="L51" s="156">
        <v>1</v>
      </c>
      <c r="M51" s="340">
        <v>0</v>
      </c>
      <c r="N51" s="240">
        <v>1</v>
      </c>
      <c r="O51" s="248"/>
      <c r="P51" s="365">
        <v>518</v>
      </c>
      <c r="Q51" s="79">
        <v>901</v>
      </c>
      <c r="R51" s="346">
        <v>574</v>
      </c>
      <c r="S51" s="81" t="s">
        <v>6289</v>
      </c>
      <c r="T51" s="327">
        <v>733</v>
      </c>
      <c r="U51" s="393">
        <v>4.25</v>
      </c>
      <c r="V51" s="310">
        <f t="shared" si="59"/>
        <v>5.011792452830189E-2</v>
      </c>
      <c r="W51" s="94">
        <v>6.04</v>
      </c>
      <c r="X51" s="36">
        <f>RTD("money.excel",,"6224","Price")</f>
        <v>84.8</v>
      </c>
      <c r="Y51" s="66">
        <v>89.7</v>
      </c>
      <c r="Z51" s="15">
        <f t="shared" si="60"/>
        <v>-4.9000000000000057</v>
      </c>
      <c r="AA51" s="3">
        <f t="shared" si="61"/>
        <v>-5.4626532887402511E-2</v>
      </c>
      <c r="AB51" s="344">
        <v>-53.14</v>
      </c>
      <c r="AC51" s="384">
        <v>15.49</v>
      </c>
      <c r="AD51" s="22" t="s">
        <v>230</v>
      </c>
      <c r="AE51" s="84">
        <v>44686</v>
      </c>
      <c r="AG51" s="33">
        <f t="shared" si="62"/>
        <v>-44686</v>
      </c>
      <c r="AH51" s="119" t="s">
        <v>3072</v>
      </c>
      <c r="AI51" s="63">
        <f t="shared" si="63"/>
        <v>1.7640186915887849E-3</v>
      </c>
      <c r="AJ51" s="284">
        <f>RTD("money.excel",,$G51,"PredictVolume")</f>
        <v>151</v>
      </c>
      <c r="AK51" s="400">
        <v>15.69</v>
      </c>
      <c r="AM51" s="245"/>
      <c r="AN51" s="245"/>
    </row>
    <row r="52" spans="1:40">
      <c r="A52" s="347">
        <v>6.97</v>
      </c>
      <c r="B52" s="79">
        <v>56</v>
      </c>
      <c r="C52" s="79">
        <v>51</v>
      </c>
      <c r="D52" s="79">
        <v>23</v>
      </c>
      <c r="E52" s="79">
        <v>2</v>
      </c>
      <c r="F52" s="79">
        <v>9.5</v>
      </c>
      <c r="G52" s="80">
        <v>3484</v>
      </c>
      <c r="H52" s="8" t="s">
        <v>308</v>
      </c>
      <c r="I52" s="16" t="s">
        <v>406</v>
      </c>
      <c r="J52" s="102" t="s">
        <v>6426</v>
      </c>
      <c r="K52" s="5"/>
      <c r="L52" s="156">
        <v>1</v>
      </c>
      <c r="M52" s="340">
        <v>0</v>
      </c>
      <c r="N52" s="240">
        <v>1</v>
      </c>
      <c r="P52" s="365">
        <v>390</v>
      </c>
      <c r="Q52" s="79">
        <v>393</v>
      </c>
      <c r="R52" s="346">
        <v>976</v>
      </c>
      <c r="S52" s="81" t="s">
        <v>6289</v>
      </c>
      <c r="T52" s="327">
        <v>733</v>
      </c>
      <c r="U52" s="393">
        <v>4.0999999999999996</v>
      </c>
      <c r="V52" s="310">
        <f t="shared" ref="V52:V53" si="64">U52/X52</f>
        <v>6.7213114754098358E-2</v>
      </c>
      <c r="W52" s="94">
        <v>8.16</v>
      </c>
      <c r="X52" s="36">
        <f>RTD("money.excel",,"3484","Price")</f>
        <v>61</v>
      </c>
      <c r="Y52" s="66">
        <v>66.2</v>
      </c>
      <c r="Z52" s="15">
        <f t="shared" ref="Z52:Z53" si="65">X52-Y52</f>
        <v>-5.2000000000000028</v>
      </c>
      <c r="AA52" s="3">
        <f t="shared" ref="AA52:AA53" si="66">Z52/Y52</f>
        <v>-7.8549848942598227E-2</v>
      </c>
      <c r="AB52" s="344">
        <v>-32.29</v>
      </c>
      <c r="AC52" s="384">
        <v>14.31</v>
      </c>
      <c r="AD52" s="16" t="s">
        <v>406</v>
      </c>
      <c r="AE52" s="84">
        <v>44686</v>
      </c>
      <c r="AG52" s="33">
        <f t="shared" ref="AG52:AG53" si="67">AF52-AE52</f>
        <v>-44686</v>
      </c>
      <c r="AH52" s="43" t="s">
        <v>2894</v>
      </c>
      <c r="AI52" s="63">
        <f t="shared" ref="AI52:AI53" si="68">AJ52/(A52*10000)</f>
        <v>3.8450502152080346E-3</v>
      </c>
      <c r="AJ52" s="284">
        <f>RTD("money.excel",,$G52,"PredictVolume")</f>
        <v>268</v>
      </c>
      <c r="AK52" s="400">
        <v>26.37</v>
      </c>
      <c r="AM52" s="245"/>
      <c r="AN52" s="245"/>
    </row>
    <row r="53" spans="1:40">
      <c r="A53" s="347">
        <v>26.7</v>
      </c>
      <c r="B53" s="80">
        <v>-28</v>
      </c>
      <c r="C53" s="80">
        <v>-19</v>
      </c>
      <c r="D53" s="79">
        <v>13</v>
      </c>
      <c r="E53" s="80">
        <v>-11</v>
      </c>
      <c r="F53" s="79">
        <v>12.51</v>
      </c>
      <c r="G53" s="80">
        <v>6790</v>
      </c>
      <c r="H53" s="8" t="s">
        <v>235</v>
      </c>
      <c r="I53" s="22" t="s">
        <v>3438</v>
      </c>
      <c r="J53" s="102" t="s">
        <v>6426</v>
      </c>
      <c r="K53" s="5"/>
      <c r="L53" s="156">
        <v>1</v>
      </c>
      <c r="M53" s="340">
        <v>0</v>
      </c>
      <c r="N53" s="240">
        <v>1</v>
      </c>
      <c r="P53" s="365">
        <v>1464</v>
      </c>
      <c r="Q53" s="79">
        <v>467</v>
      </c>
      <c r="R53" s="346">
        <v>904</v>
      </c>
      <c r="S53" s="81" t="s">
        <v>6289</v>
      </c>
      <c r="T53" s="327">
        <v>1190</v>
      </c>
      <c r="U53" s="393">
        <v>3</v>
      </c>
      <c r="V53" s="310">
        <f t="shared" si="64"/>
        <v>6.7873303167420809E-2</v>
      </c>
      <c r="W53" s="94">
        <v>4.3099999999999996</v>
      </c>
      <c r="X53" s="36">
        <f>RTD("money.excel",,"6790","Price")</f>
        <v>44.2</v>
      </c>
      <c r="Y53" s="66">
        <v>46.8</v>
      </c>
      <c r="Z53" s="15">
        <f t="shared" si="65"/>
        <v>-2.5999999999999943</v>
      </c>
      <c r="AA53" s="3">
        <f t="shared" si="66"/>
        <v>-5.5555555555555435E-2</v>
      </c>
      <c r="AB53" s="344">
        <v>-40.799999999999997</v>
      </c>
      <c r="AC53" s="384">
        <v>26.01</v>
      </c>
      <c r="AD53" s="22" t="s">
        <v>3438</v>
      </c>
      <c r="AE53" s="84">
        <v>44686</v>
      </c>
      <c r="AG53" s="33">
        <f t="shared" si="67"/>
        <v>-44686</v>
      </c>
      <c r="AH53" s="43" t="s">
        <v>3439</v>
      </c>
      <c r="AI53" s="63">
        <f t="shared" si="68"/>
        <v>1.2022471910112359E-3</v>
      </c>
      <c r="AJ53" s="284">
        <f>RTD("money.excel",,$G53,"PredictVolume")</f>
        <v>321</v>
      </c>
      <c r="AK53" s="400">
        <v>1.65</v>
      </c>
      <c r="AM53" s="245"/>
      <c r="AN53" s="245"/>
    </row>
    <row r="54" spans="1:40">
      <c r="A54" s="347">
        <v>56</v>
      </c>
      <c r="B54" s="80">
        <v>-6</v>
      </c>
      <c r="C54" s="80">
        <v>-15</v>
      </c>
      <c r="D54" s="79">
        <v>81</v>
      </c>
      <c r="E54" s="79">
        <v>30</v>
      </c>
      <c r="F54" s="79">
        <v>9.1300000000000008</v>
      </c>
      <c r="G54" s="80">
        <v>2345</v>
      </c>
      <c r="H54" s="195" t="s">
        <v>311</v>
      </c>
      <c r="I54" s="22" t="s">
        <v>4322</v>
      </c>
      <c r="J54" s="102" t="s">
        <v>6243</v>
      </c>
      <c r="K54" s="5"/>
      <c r="L54" s="156">
        <v>2</v>
      </c>
      <c r="M54" s="340">
        <v>0</v>
      </c>
      <c r="N54" s="240">
        <f t="shared" ref="N54:N56" si="69">L54-M54</f>
        <v>2</v>
      </c>
      <c r="P54" s="365">
        <v>1214</v>
      </c>
      <c r="Q54" s="79">
        <v>109</v>
      </c>
      <c r="R54" s="346">
        <v>30</v>
      </c>
      <c r="S54" s="81">
        <v>168</v>
      </c>
      <c r="T54" s="327">
        <v>195</v>
      </c>
      <c r="U54" s="393">
        <v>6</v>
      </c>
      <c r="V54" s="310">
        <f t="shared" ref="V54:V56" si="70">U54/X54</f>
        <v>2.7397260273972601E-2</v>
      </c>
      <c r="W54" s="94">
        <v>8.44</v>
      </c>
      <c r="X54" s="36">
        <f>RTD("money.excel",,"2345","Price")</f>
        <v>219</v>
      </c>
      <c r="Y54" s="66">
        <v>236</v>
      </c>
      <c r="Z54" s="15">
        <f t="shared" ref="Z54:Z56" si="71">X54-Y54</f>
        <v>-17</v>
      </c>
      <c r="AA54" s="3">
        <f t="shared" ref="AA54:AA56" si="72">Z54/Y54</f>
        <v>-7.2033898305084748E-2</v>
      </c>
      <c r="AB54" s="344">
        <v>-34.32</v>
      </c>
      <c r="AC54" s="384">
        <v>46.95</v>
      </c>
      <c r="AD54" s="22" t="s">
        <v>4322</v>
      </c>
      <c r="AE54" s="84">
        <v>44685</v>
      </c>
      <c r="AG54" s="33">
        <f t="shared" ref="AG54:AG56" si="73">AF54-AE54</f>
        <v>-44685</v>
      </c>
      <c r="AH54" s="117" t="s">
        <v>4323</v>
      </c>
      <c r="AI54" s="63">
        <f t="shared" ref="AI54:AI56" si="74">AJ54/(A54*10000)</f>
        <v>1.0169642857142858E-2</v>
      </c>
      <c r="AJ54" s="284">
        <f>RTD("money.excel",,$G54,"PredictVolume")</f>
        <v>5695</v>
      </c>
      <c r="AK54" s="400">
        <v>1.66</v>
      </c>
      <c r="AM54" s="245"/>
      <c r="AN54" s="245"/>
    </row>
    <row r="55" spans="1:40">
      <c r="A55" s="347">
        <v>27.1</v>
      </c>
      <c r="B55" s="79">
        <v>8</v>
      </c>
      <c r="C55" s="79">
        <v>25</v>
      </c>
      <c r="D55" s="79">
        <v>33</v>
      </c>
      <c r="E55" s="79">
        <v>6</v>
      </c>
      <c r="F55" s="79">
        <v>28.8</v>
      </c>
      <c r="G55" s="79">
        <v>3374</v>
      </c>
      <c r="H55" s="145" t="s">
        <v>307</v>
      </c>
      <c r="I55" s="16" t="s">
        <v>167</v>
      </c>
      <c r="J55" s="102" t="s">
        <v>3545</v>
      </c>
      <c r="K55" s="5"/>
      <c r="L55" s="156">
        <v>1</v>
      </c>
      <c r="M55" s="340">
        <v>0</v>
      </c>
      <c r="N55" s="240">
        <f t="shared" si="69"/>
        <v>1</v>
      </c>
      <c r="P55" s="365">
        <v>299</v>
      </c>
      <c r="Q55" s="79">
        <v>198</v>
      </c>
      <c r="R55" s="346">
        <v>701</v>
      </c>
      <c r="S55" s="81">
        <v>73</v>
      </c>
      <c r="T55" s="327">
        <v>318</v>
      </c>
      <c r="U55" s="393">
        <v>3</v>
      </c>
      <c r="V55" s="310">
        <f t="shared" si="70"/>
        <v>2.1897810218978103E-2</v>
      </c>
      <c r="W55" s="94">
        <v>6.92</v>
      </c>
      <c r="X55" s="36">
        <f>RTD("money.excel",,"3374","Price")</f>
        <v>137</v>
      </c>
      <c r="Y55" s="66">
        <v>139</v>
      </c>
      <c r="Z55" s="15">
        <f t="shared" si="71"/>
        <v>-2</v>
      </c>
      <c r="AA55" s="3">
        <f t="shared" si="72"/>
        <v>-1.4388489208633094E-2</v>
      </c>
      <c r="AB55" s="344">
        <v>-28.83</v>
      </c>
      <c r="AC55" s="384">
        <v>65.16</v>
      </c>
      <c r="AD55" s="16" t="s">
        <v>167</v>
      </c>
      <c r="AE55" s="84">
        <v>44685</v>
      </c>
      <c r="AG55" s="33">
        <f t="shared" si="73"/>
        <v>-44685</v>
      </c>
      <c r="AH55" s="117" t="s">
        <v>2322</v>
      </c>
      <c r="AI55" s="63">
        <f t="shared" si="74"/>
        <v>1.4952029520295203E-2</v>
      </c>
      <c r="AJ55" s="284">
        <f>RTD("money.excel",,$G55,"PredictVolume")</f>
        <v>4052</v>
      </c>
      <c r="AK55" s="400">
        <v>24.49</v>
      </c>
      <c r="AM55" s="245"/>
      <c r="AN55" s="245"/>
    </row>
    <row r="56" spans="1:40">
      <c r="A56" s="347">
        <v>45.3</v>
      </c>
      <c r="B56" s="79">
        <v>57</v>
      </c>
      <c r="C56" s="79">
        <v>46</v>
      </c>
      <c r="D56" s="79">
        <v>20</v>
      </c>
      <c r="E56" s="79">
        <v>44</v>
      </c>
      <c r="F56" s="79">
        <v>21.73</v>
      </c>
      <c r="G56" s="79">
        <v>6257</v>
      </c>
      <c r="H56" s="8" t="s">
        <v>307</v>
      </c>
      <c r="I56" s="22" t="s">
        <v>4062</v>
      </c>
      <c r="J56" s="8" t="s">
        <v>3543</v>
      </c>
      <c r="K56" s="5"/>
      <c r="L56" s="156">
        <v>1</v>
      </c>
      <c r="M56" s="340">
        <v>0</v>
      </c>
      <c r="N56" s="240">
        <f t="shared" si="69"/>
        <v>1</v>
      </c>
      <c r="P56" s="365">
        <v>575</v>
      </c>
      <c r="Q56" s="79" t="s">
        <v>6289</v>
      </c>
      <c r="R56" s="346">
        <v>263</v>
      </c>
      <c r="S56" s="81">
        <v>274</v>
      </c>
      <c r="T56" s="327">
        <v>433</v>
      </c>
      <c r="U56" s="393">
        <v>4.0999999999999996</v>
      </c>
      <c r="V56" s="310">
        <f t="shared" si="70"/>
        <v>6.984667802385007E-2</v>
      </c>
      <c r="W56" s="94">
        <v>6.83</v>
      </c>
      <c r="X56" s="36">
        <f>RTD("money.excel",,"6257","Price")</f>
        <v>58.7</v>
      </c>
      <c r="Y56" s="66">
        <v>59</v>
      </c>
      <c r="Z56" s="15">
        <f t="shared" si="71"/>
        <v>-0.29999999999999716</v>
      </c>
      <c r="AA56" s="3">
        <f t="shared" si="72"/>
        <v>-5.0847457627118163E-3</v>
      </c>
      <c r="AB56" s="344">
        <v>-18.57</v>
      </c>
      <c r="AC56" s="384">
        <v>52.54</v>
      </c>
      <c r="AD56" s="22" t="s">
        <v>4062</v>
      </c>
      <c r="AE56" s="84">
        <v>44685</v>
      </c>
      <c r="AG56" s="33">
        <f t="shared" si="73"/>
        <v>-44685</v>
      </c>
      <c r="AH56" s="43" t="s">
        <v>2806</v>
      </c>
      <c r="AI56" s="63">
        <f t="shared" si="74"/>
        <v>4.2450331125827813E-3</v>
      </c>
      <c r="AJ56" s="284">
        <f>RTD("money.excel",,$G56,"PredictVolume")</f>
        <v>1923</v>
      </c>
      <c r="AK56" s="400">
        <v>13.57</v>
      </c>
      <c r="AM56" s="245"/>
      <c r="AN56" s="245"/>
    </row>
    <row r="57" spans="1:40">
      <c r="A57" s="347">
        <v>7.95</v>
      </c>
      <c r="B57" s="79">
        <v>41</v>
      </c>
      <c r="C57" s="79">
        <v>58</v>
      </c>
      <c r="D57" s="79">
        <v>53</v>
      </c>
      <c r="E57" s="80">
        <v>-1</v>
      </c>
      <c r="F57" s="79">
        <v>33.61</v>
      </c>
      <c r="G57" s="80">
        <v>4137</v>
      </c>
      <c r="H57" s="5" t="s">
        <v>4726</v>
      </c>
      <c r="I57" s="22" t="s">
        <v>3754</v>
      </c>
      <c r="J57" s="102" t="s">
        <v>6387</v>
      </c>
      <c r="K57" s="5"/>
      <c r="L57" s="156">
        <v>1</v>
      </c>
      <c r="M57" s="340">
        <v>0</v>
      </c>
      <c r="N57" s="240">
        <f t="shared" ref="N57:N58" si="75">L57-M57</f>
        <v>1</v>
      </c>
      <c r="P57" s="365">
        <v>1156</v>
      </c>
      <c r="Q57" s="79">
        <v>249</v>
      </c>
      <c r="R57" s="346">
        <v>31</v>
      </c>
      <c r="S57" s="81">
        <v>491</v>
      </c>
      <c r="T57" s="327">
        <v>603</v>
      </c>
      <c r="U57" s="393">
        <v>12</v>
      </c>
      <c r="V57" s="310">
        <f t="shared" ref="V57:V58" si="76">U57/X57</f>
        <v>6.5934065934065936E-2</v>
      </c>
      <c r="W57" s="94">
        <v>17.05</v>
      </c>
      <c r="X57" s="36">
        <f>RTD("money.excel",,"4137","Price")</f>
        <v>182</v>
      </c>
      <c r="Y57" s="66">
        <v>185</v>
      </c>
      <c r="Z57" s="15">
        <f t="shared" ref="Z57:Z58" si="77">X57-Y57</f>
        <v>-3</v>
      </c>
      <c r="AA57" s="3">
        <f t="shared" ref="AA57:AA58" si="78">Z57/Y57</f>
        <v>-1.6216216216216217E-2</v>
      </c>
      <c r="AB57" s="344">
        <v>-30.23</v>
      </c>
      <c r="AC57" s="384">
        <v>12.43</v>
      </c>
      <c r="AD57" s="22" t="s">
        <v>3754</v>
      </c>
      <c r="AE57" s="84">
        <v>44685</v>
      </c>
      <c r="AG57" s="33">
        <f t="shared" ref="AG57:AG58" si="79">AF57-AE57</f>
        <v>-44685</v>
      </c>
      <c r="AH57" s="117" t="s">
        <v>3755</v>
      </c>
      <c r="AI57" s="63">
        <f t="shared" ref="AI57:AI58" si="80">AJ57/(A57*10000)</f>
        <v>1.8113207547169811E-3</v>
      </c>
      <c r="AJ57" s="284">
        <f>RTD("money.excel",,$G57,"PredictVolume")</f>
        <v>144</v>
      </c>
      <c r="AK57" s="400"/>
      <c r="AM57" s="245"/>
      <c r="AN57" s="245"/>
    </row>
    <row r="58" spans="1:40">
      <c r="A58" s="347">
        <v>6.93</v>
      </c>
      <c r="B58" s="80">
        <v>-136</v>
      </c>
      <c r="C58" s="80">
        <v>-135</v>
      </c>
      <c r="D58" s="79">
        <v>80</v>
      </c>
      <c r="E58" s="79">
        <v>9</v>
      </c>
      <c r="F58" s="79">
        <v>-8.73</v>
      </c>
      <c r="G58" s="79">
        <v>6462</v>
      </c>
      <c r="H58" s="183" t="s">
        <v>307</v>
      </c>
      <c r="I58" s="16" t="s">
        <v>220</v>
      </c>
      <c r="J58" s="102" t="s">
        <v>6387</v>
      </c>
      <c r="K58" s="5"/>
      <c r="L58" s="156">
        <v>1</v>
      </c>
      <c r="M58" s="340">
        <v>0</v>
      </c>
      <c r="N58" s="240">
        <f t="shared" si="75"/>
        <v>1</v>
      </c>
      <c r="P58" s="365">
        <v>194</v>
      </c>
      <c r="Q58" s="79">
        <v>69</v>
      </c>
      <c r="R58" s="346">
        <v>328</v>
      </c>
      <c r="S58" s="81" t="s">
        <v>6289</v>
      </c>
      <c r="T58" s="327">
        <v>1002</v>
      </c>
      <c r="U58" s="393">
        <v>10</v>
      </c>
      <c r="V58" s="310">
        <f t="shared" si="76"/>
        <v>8.771929824561403E-2</v>
      </c>
      <c r="W58" s="94">
        <v>-3.11</v>
      </c>
      <c r="X58" s="36">
        <f>RTD("money.excel",,"6462","Price")</f>
        <v>114</v>
      </c>
      <c r="Y58" s="66">
        <v>114.5</v>
      </c>
      <c r="Z58" s="15">
        <f t="shared" si="77"/>
        <v>-0.5</v>
      </c>
      <c r="AA58" s="3">
        <f t="shared" si="78"/>
        <v>-4.3668122270742356E-3</v>
      </c>
      <c r="AB58" s="344">
        <v>-37.049999999999997</v>
      </c>
      <c r="AC58" s="384">
        <v>65.36</v>
      </c>
      <c r="AD58" s="16" t="s">
        <v>220</v>
      </c>
      <c r="AE58" s="84">
        <v>44685</v>
      </c>
      <c r="AG58" s="33">
        <f t="shared" si="79"/>
        <v>-44685</v>
      </c>
      <c r="AH58" s="117" t="s">
        <v>1442</v>
      </c>
      <c r="AI58" s="63">
        <f t="shared" si="80"/>
        <v>4.6320346320346322E-3</v>
      </c>
      <c r="AJ58" s="284">
        <f>RTD("money.excel",,$G58,"PredictVolume")</f>
        <v>321</v>
      </c>
      <c r="AK58" s="400">
        <v>11.43</v>
      </c>
      <c r="AM58" s="245"/>
      <c r="AN58" s="245"/>
    </row>
    <row r="59" spans="1:40">
      <c r="A59" s="347">
        <v>28.1</v>
      </c>
      <c r="B59" s="79">
        <v>208</v>
      </c>
      <c r="C59" s="79">
        <v>128</v>
      </c>
      <c r="D59" s="79">
        <v>58</v>
      </c>
      <c r="E59" s="80">
        <v>-1</v>
      </c>
      <c r="F59" s="79">
        <v>9.75</v>
      </c>
      <c r="G59" s="80">
        <v>3019</v>
      </c>
      <c r="H59" s="193" t="s">
        <v>1878</v>
      </c>
      <c r="I59" s="22" t="s">
        <v>4149</v>
      </c>
      <c r="J59" s="102" t="s">
        <v>6387</v>
      </c>
      <c r="K59" s="5"/>
      <c r="L59" s="156">
        <v>1</v>
      </c>
      <c r="M59" s="340">
        <v>0</v>
      </c>
      <c r="N59" s="240">
        <f t="shared" ref="N59:N60" si="81">L59-M59</f>
        <v>1</v>
      </c>
      <c r="P59" s="365">
        <v>197</v>
      </c>
      <c r="Q59" s="79">
        <v>231</v>
      </c>
      <c r="R59" s="346">
        <v>591</v>
      </c>
      <c r="S59" s="81">
        <v>328</v>
      </c>
      <c r="T59" s="327">
        <v>446</v>
      </c>
      <c r="U59" s="393">
        <v>3.7</v>
      </c>
      <c r="V59" s="310">
        <f t="shared" ref="V59:V60" si="82">U59/X59</f>
        <v>5.8544303797468354E-2</v>
      </c>
      <c r="W59" s="94">
        <v>5.34</v>
      </c>
      <c r="X59" s="36">
        <f>RTD("money.excel",,"3019","Price")</f>
        <v>63.2</v>
      </c>
      <c r="Y59" s="66">
        <v>71.599999999999994</v>
      </c>
      <c r="Z59" s="15">
        <f t="shared" ref="Z59:Z60" si="83">X59-Y59</f>
        <v>-8.3999999999999915</v>
      </c>
      <c r="AA59" s="3">
        <f t="shared" ref="AA59:AA60" si="84">Z59/Y59</f>
        <v>-0.11731843575418983</v>
      </c>
      <c r="AB59" s="344">
        <v>-31.11</v>
      </c>
      <c r="AC59" s="384">
        <v>17.920000000000002</v>
      </c>
      <c r="AD59" s="22" t="s">
        <v>4149</v>
      </c>
      <c r="AE59" s="84">
        <v>44685</v>
      </c>
      <c r="AG59" s="33">
        <f t="shared" ref="AG59:AG60" si="85">AF59-AE59</f>
        <v>-44685</v>
      </c>
      <c r="AH59" s="117" t="s">
        <v>2031</v>
      </c>
      <c r="AI59" s="63">
        <f t="shared" ref="AI59:AI60" si="86">AJ59/(A59*10000)</f>
        <v>3.715302491103203E-3</v>
      </c>
      <c r="AJ59" s="284">
        <f>RTD("money.excel",,$G59,"PredictVolume")</f>
        <v>1044</v>
      </c>
      <c r="AK59" s="400">
        <v>19.21</v>
      </c>
      <c r="AM59" s="245"/>
      <c r="AN59" s="245"/>
    </row>
    <row r="60" spans="1:40">
      <c r="A60" s="347">
        <v>10.7</v>
      </c>
      <c r="B60" s="79">
        <v>128</v>
      </c>
      <c r="C60" s="79">
        <v>104</v>
      </c>
      <c r="D60" s="79">
        <v>13</v>
      </c>
      <c r="E60" s="80">
        <v>-12</v>
      </c>
      <c r="F60" s="79">
        <v>18.23</v>
      </c>
      <c r="G60" s="80">
        <v>8182</v>
      </c>
      <c r="H60" s="5" t="s">
        <v>3389</v>
      </c>
      <c r="I60" s="16" t="s">
        <v>443</v>
      </c>
      <c r="J60" s="102" t="s">
        <v>6387</v>
      </c>
      <c r="K60" s="5"/>
      <c r="L60" s="156">
        <v>1</v>
      </c>
      <c r="M60" s="340">
        <v>0</v>
      </c>
      <c r="N60" s="240">
        <f t="shared" si="81"/>
        <v>1</v>
      </c>
      <c r="P60" s="365">
        <v>399</v>
      </c>
      <c r="Q60" s="79">
        <v>983</v>
      </c>
      <c r="R60" s="346">
        <v>72</v>
      </c>
      <c r="S60" s="81" t="s">
        <v>6289</v>
      </c>
      <c r="T60" s="327">
        <v>688</v>
      </c>
      <c r="U60" s="393">
        <v>3</v>
      </c>
      <c r="V60" s="310">
        <f t="shared" si="82"/>
        <v>7.1513706793802145E-2</v>
      </c>
      <c r="W60" s="94">
        <v>4.76</v>
      </c>
      <c r="X60" s="36">
        <f>RTD("money.excel",,"8182","Price")</f>
        <v>41.95</v>
      </c>
      <c r="Y60" s="66">
        <v>43.35</v>
      </c>
      <c r="Z60" s="15">
        <f t="shared" si="83"/>
        <v>-1.3999999999999986</v>
      </c>
      <c r="AA60" s="3">
        <f t="shared" si="84"/>
        <v>-3.2295271049596272E-2</v>
      </c>
      <c r="AB60" s="344">
        <v>-33.799999999999997</v>
      </c>
      <c r="AC60" s="384">
        <v>19.43</v>
      </c>
      <c r="AD60" s="16" t="s">
        <v>443</v>
      </c>
      <c r="AE60" s="84">
        <v>44685</v>
      </c>
      <c r="AG60" s="33">
        <f t="shared" si="85"/>
        <v>-44685</v>
      </c>
      <c r="AH60" s="43" t="s">
        <v>1407</v>
      </c>
      <c r="AI60" s="63">
        <f t="shared" si="86"/>
        <v>1.5233644859813085E-3</v>
      </c>
      <c r="AJ60" s="284">
        <f>RTD("money.excel",,$G60,"PredictVolume")</f>
        <v>163</v>
      </c>
      <c r="AK60" s="400">
        <v>17.64</v>
      </c>
      <c r="AM60" s="245"/>
      <c r="AN60" s="245"/>
    </row>
    <row r="61" spans="1:40">
      <c r="A61" s="347">
        <v>24.1</v>
      </c>
      <c r="B61" s="79">
        <v>28</v>
      </c>
      <c r="C61" s="79">
        <v>26</v>
      </c>
      <c r="D61" s="80">
        <v>-1</v>
      </c>
      <c r="E61" s="80">
        <v>-2</v>
      </c>
      <c r="F61" s="79">
        <v>11.69</v>
      </c>
      <c r="G61" s="80">
        <v>1477</v>
      </c>
      <c r="H61" s="8" t="s">
        <v>294</v>
      </c>
      <c r="I61" s="22" t="s">
        <v>3590</v>
      </c>
      <c r="J61" s="102" t="s">
        <v>3545</v>
      </c>
      <c r="L61" s="156">
        <v>1</v>
      </c>
      <c r="M61" s="340">
        <v>0</v>
      </c>
      <c r="N61" s="240">
        <f t="shared" ref="N61:N63" si="87">L61-M61</f>
        <v>1</v>
      </c>
      <c r="P61" s="365">
        <v>1085</v>
      </c>
      <c r="Q61" s="79">
        <v>181</v>
      </c>
      <c r="R61" s="346">
        <v>237</v>
      </c>
      <c r="S61" s="81">
        <v>107</v>
      </c>
      <c r="T61" s="327">
        <v>538</v>
      </c>
      <c r="U61" s="393">
        <v>9.5</v>
      </c>
      <c r="V61" s="310">
        <f t="shared" ref="V61:V63" si="88">U61/X61</f>
        <v>5.9374999999999997E-2</v>
      </c>
      <c r="W61" s="94">
        <v>11.25</v>
      </c>
      <c r="X61" s="36">
        <f>RTD("money.excel",,"1477","Price")</f>
        <v>160</v>
      </c>
      <c r="Y61" s="66">
        <v>185</v>
      </c>
      <c r="Z61" s="15">
        <f t="shared" ref="Z61:Z63" si="89">X61-Y61</f>
        <v>-25</v>
      </c>
      <c r="AA61" s="3">
        <f t="shared" ref="AA61:AA63" si="90">Z61/Y61</f>
        <v>-0.13513513513513514</v>
      </c>
      <c r="AB61" s="344">
        <v>-36.68</v>
      </c>
      <c r="AC61" s="384">
        <v>21.16</v>
      </c>
      <c r="AD61" s="22" t="s">
        <v>3590</v>
      </c>
      <c r="AE61" s="84">
        <v>44684</v>
      </c>
      <c r="AG61" s="33">
        <f t="shared" ref="AG61:AG63" si="91">AF61-AE61</f>
        <v>-44684</v>
      </c>
      <c r="AH61" s="117" t="s">
        <v>3333</v>
      </c>
      <c r="AI61" s="63">
        <f t="shared" ref="AI61:AI63" si="92">AJ61/(A61*10000)</f>
        <v>1.2879668049792532E-2</v>
      </c>
      <c r="AJ61" s="284">
        <f>RTD("money.excel",,$G61,"PredictVolume")</f>
        <v>3104</v>
      </c>
      <c r="AK61" s="400">
        <v>3.53</v>
      </c>
      <c r="AM61" s="245"/>
      <c r="AN61" s="245"/>
    </row>
    <row r="62" spans="1:40">
      <c r="A62" s="347">
        <v>42.2</v>
      </c>
      <c r="B62" s="79">
        <v>80</v>
      </c>
      <c r="C62" s="79">
        <v>9</v>
      </c>
      <c r="D62" s="79">
        <v>72</v>
      </c>
      <c r="E62" s="79">
        <v>26</v>
      </c>
      <c r="F62" s="79">
        <v>17.489999999999998</v>
      </c>
      <c r="G62" s="80">
        <v>2360</v>
      </c>
      <c r="H62" s="5" t="s">
        <v>314</v>
      </c>
      <c r="I62" s="22" t="s">
        <v>44</v>
      </c>
      <c r="J62" s="102" t="s">
        <v>3545</v>
      </c>
      <c r="L62" s="156">
        <v>1</v>
      </c>
      <c r="M62" s="340">
        <v>0</v>
      </c>
      <c r="N62" s="240">
        <f t="shared" si="87"/>
        <v>1</v>
      </c>
      <c r="P62" s="365">
        <v>1321</v>
      </c>
      <c r="Q62" s="79">
        <v>739</v>
      </c>
      <c r="R62" s="346">
        <v>29</v>
      </c>
      <c r="S62" s="81">
        <v>236</v>
      </c>
      <c r="T62" s="327">
        <v>249</v>
      </c>
      <c r="U62" s="393">
        <v>7</v>
      </c>
      <c r="V62" s="310">
        <f t="shared" si="88"/>
        <v>4.6052631578947366E-2</v>
      </c>
      <c r="W62" s="94">
        <v>9.9600000000000009</v>
      </c>
      <c r="X62" s="36">
        <f>RTD("money.excel",,"2360","Price")</f>
        <v>152</v>
      </c>
      <c r="Y62" s="66">
        <v>166</v>
      </c>
      <c r="Z62" s="15">
        <f t="shared" si="89"/>
        <v>-14</v>
      </c>
      <c r="AA62" s="3">
        <f t="shared" si="90"/>
        <v>-8.4337349397590355E-2</v>
      </c>
      <c r="AB62" s="344">
        <v>-30.14</v>
      </c>
      <c r="AC62" s="384">
        <v>18.12</v>
      </c>
      <c r="AD62" s="22" t="s">
        <v>44</v>
      </c>
      <c r="AE62" s="84">
        <v>44684</v>
      </c>
      <c r="AG62" s="33">
        <f t="shared" si="91"/>
        <v>-44684</v>
      </c>
      <c r="AH62" s="117" t="s">
        <v>3063</v>
      </c>
      <c r="AI62" s="63">
        <f t="shared" si="92"/>
        <v>3.5118483412322275E-3</v>
      </c>
      <c r="AJ62" s="284">
        <f>RTD("money.excel",,$G62,"PredictVolume")</f>
        <v>1482</v>
      </c>
      <c r="AK62" s="400">
        <v>1.82</v>
      </c>
      <c r="AM62" s="245"/>
      <c r="AN62" s="245"/>
    </row>
    <row r="63" spans="1:40">
      <c r="A63" s="347">
        <v>952</v>
      </c>
      <c r="B63" s="79">
        <v>569</v>
      </c>
      <c r="C63" s="92">
        <v>1892</v>
      </c>
      <c r="D63" s="79">
        <v>31</v>
      </c>
      <c r="E63" s="79">
        <v>47</v>
      </c>
      <c r="F63" s="79">
        <v>8.9</v>
      </c>
      <c r="G63" s="80">
        <v>6505</v>
      </c>
      <c r="H63" s="18" t="s">
        <v>312</v>
      </c>
      <c r="I63" s="22" t="s">
        <v>4671</v>
      </c>
      <c r="J63" s="102" t="s">
        <v>3545</v>
      </c>
      <c r="L63" s="156">
        <v>1</v>
      </c>
      <c r="M63" s="340">
        <v>0</v>
      </c>
      <c r="N63" s="240">
        <f t="shared" si="87"/>
        <v>1</v>
      </c>
      <c r="P63" s="365">
        <v>1439</v>
      </c>
      <c r="Q63" s="79">
        <v>934</v>
      </c>
      <c r="R63" s="346">
        <v>636</v>
      </c>
      <c r="S63" s="81">
        <v>340</v>
      </c>
      <c r="T63" s="327">
        <v>405</v>
      </c>
      <c r="U63" s="390">
        <v>3.8</v>
      </c>
      <c r="V63" s="310">
        <f t="shared" si="88"/>
        <v>4.2128603104212854E-2</v>
      </c>
      <c r="W63" s="94">
        <v>5.19</v>
      </c>
      <c r="X63" s="36">
        <f>RTD("money.excel",,"6505","Price")</f>
        <v>90.2</v>
      </c>
      <c r="Y63" s="65">
        <v>91.3</v>
      </c>
      <c r="Z63" s="15">
        <f t="shared" si="89"/>
        <v>-1.0999999999999943</v>
      </c>
      <c r="AA63" s="3">
        <f t="shared" si="90"/>
        <v>-1.2048192771084276E-2</v>
      </c>
      <c r="AB63" s="344">
        <v>-22.04</v>
      </c>
      <c r="AC63" s="384">
        <v>15.87</v>
      </c>
      <c r="AD63" s="22" t="s">
        <v>4671</v>
      </c>
      <c r="AE63" s="84">
        <v>44684</v>
      </c>
      <c r="AG63" s="33">
        <f t="shared" si="91"/>
        <v>-44684</v>
      </c>
      <c r="AH63" s="43" t="s">
        <v>2596</v>
      </c>
      <c r="AI63" s="63">
        <f t="shared" si="92"/>
        <v>1.9443277310924369E-4</v>
      </c>
      <c r="AJ63" s="284">
        <f>RTD("money.excel",,$G63,"PredictVolume")</f>
        <v>1851</v>
      </c>
      <c r="AK63" s="400">
        <v>0.26</v>
      </c>
      <c r="AM63" s="245"/>
      <c r="AN63" s="245"/>
    </row>
    <row r="64" spans="1:40">
      <c r="A64" s="347">
        <v>59.3</v>
      </c>
      <c r="B64" s="79">
        <v>181</v>
      </c>
      <c r="C64" s="79">
        <v>259</v>
      </c>
      <c r="D64" s="79">
        <v>6</v>
      </c>
      <c r="E64" s="79">
        <v>5</v>
      </c>
      <c r="F64" s="79">
        <v>34.700000000000003</v>
      </c>
      <c r="G64" s="80">
        <v>1308</v>
      </c>
      <c r="H64" s="5" t="s">
        <v>3329</v>
      </c>
      <c r="I64" s="22" t="s">
        <v>109</v>
      </c>
      <c r="J64" s="8" t="s">
        <v>3543</v>
      </c>
      <c r="L64" s="156">
        <v>1</v>
      </c>
      <c r="M64" s="340">
        <v>0</v>
      </c>
      <c r="N64" s="240">
        <f t="shared" ref="N64:N66" si="93">L64-M64</f>
        <v>1</v>
      </c>
      <c r="P64" s="365">
        <v>727</v>
      </c>
      <c r="Q64" s="79">
        <v>437</v>
      </c>
      <c r="R64" s="346">
        <v>661</v>
      </c>
      <c r="S64" s="81">
        <v>122</v>
      </c>
      <c r="T64" s="327">
        <v>256</v>
      </c>
      <c r="U64" s="393">
        <v>3</v>
      </c>
      <c r="V64" s="310">
        <f t="shared" ref="V64:V66" si="94">U64/X64</f>
        <v>0.10619469026548672</v>
      </c>
      <c r="W64" s="94">
        <v>5.28</v>
      </c>
      <c r="X64" s="36">
        <f>RTD("money.excel",,$G64,"Price")</f>
        <v>28.25</v>
      </c>
      <c r="Y64" s="66">
        <v>36.9</v>
      </c>
      <c r="Z64" s="15">
        <f t="shared" ref="Z64:Z66" si="95">X64-Y64</f>
        <v>-8.6499999999999986</v>
      </c>
      <c r="AA64" s="3">
        <f t="shared" ref="AA64:AA66" si="96">Z64/Y64</f>
        <v>-0.23441734417344171</v>
      </c>
      <c r="AB64" s="344">
        <v>-29.94</v>
      </c>
      <c r="AC64" s="384">
        <v>40.950000000000003</v>
      </c>
      <c r="AD64" s="22" t="s">
        <v>109</v>
      </c>
      <c r="AE64" s="84">
        <v>44680</v>
      </c>
      <c r="AG64" s="33">
        <f t="shared" ref="AG64:AG65" si="97">AF64-AE64</f>
        <v>-44680</v>
      </c>
      <c r="AH64" s="117" t="s">
        <v>2753</v>
      </c>
      <c r="AI64" s="63">
        <f t="shared" ref="AI64:AI87" si="98">AJ64/(A64*10000)</f>
        <v>8.2394603709949402E-3</v>
      </c>
      <c r="AJ64" s="284">
        <f>RTD("money.excel",,$G64,"PredictVolume")</f>
        <v>4886</v>
      </c>
      <c r="AK64" s="400">
        <v>30.92</v>
      </c>
      <c r="AL64" s="245"/>
      <c r="AM64" s="245"/>
      <c r="AN64" s="245"/>
    </row>
    <row r="65" spans="1:40">
      <c r="A65" s="347">
        <v>30.3</v>
      </c>
      <c r="B65" s="79">
        <v>57</v>
      </c>
      <c r="C65" s="79">
        <v>34</v>
      </c>
      <c r="D65" s="79">
        <v>47</v>
      </c>
      <c r="E65" s="80">
        <v>-3</v>
      </c>
      <c r="F65" s="79">
        <v>30.91</v>
      </c>
      <c r="G65" s="80">
        <v>2458</v>
      </c>
      <c r="H65" s="5" t="s">
        <v>3039</v>
      </c>
      <c r="I65" s="22" t="s">
        <v>57</v>
      </c>
      <c r="J65" s="102" t="s">
        <v>6249</v>
      </c>
      <c r="L65" s="156">
        <v>2</v>
      </c>
      <c r="M65" s="340">
        <v>0</v>
      </c>
      <c r="N65" s="240">
        <f t="shared" si="93"/>
        <v>2</v>
      </c>
      <c r="P65" s="365">
        <v>752</v>
      </c>
      <c r="Q65" s="79">
        <v>14</v>
      </c>
      <c r="R65" s="346">
        <v>270</v>
      </c>
      <c r="S65" s="81">
        <v>31</v>
      </c>
      <c r="T65" s="327">
        <v>48</v>
      </c>
      <c r="U65" s="393">
        <v>13.5</v>
      </c>
      <c r="V65" s="310">
        <f t="shared" si="94"/>
        <v>9.6428571428571433E-2</v>
      </c>
      <c r="W65" s="94">
        <v>17.57</v>
      </c>
      <c r="X65" s="36">
        <f>RTD("money.excel",,"2458","Price")</f>
        <v>140</v>
      </c>
      <c r="Y65" s="66">
        <v>152.5</v>
      </c>
      <c r="Z65" s="15">
        <f t="shared" si="95"/>
        <v>-12.5</v>
      </c>
      <c r="AA65" s="3">
        <f t="shared" si="96"/>
        <v>-8.1967213114754092E-2</v>
      </c>
      <c r="AB65" s="344">
        <v>-30.47</v>
      </c>
      <c r="AC65" s="384">
        <v>22.27</v>
      </c>
      <c r="AD65" s="22" t="s">
        <v>57</v>
      </c>
      <c r="AE65" s="84">
        <v>44680</v>
      </c>
      <c r="AG65" s="33">
        <f t="shared" si="97"/>
        <v>-44680</v>
      </c>
      <c r="AH65" s="117" t="s">
        <v>2344</v>
      </c>
      <c r="AI65" s="63">
        <f t="shared" si="98"/>
        <v>4.2376237623762379E-3</v>
      </c>
      <c r="AJ65" s="284">
        <f>RTD("money.excel",,$G65,"PredictVolume")</f>
        <v>1284</v>
      </c>
      <c r="AK65" s="400">
        <v>13.7</v>
      </c>
      <c r="AM65" s="245"/>
      <c r="AN65" s="245"/>
    </row>
    <row r="66" spans="1:40">
      <c r="A66" s="347">
        <v>75.900000000000006</v>
      </c>
      <c r="B66" s="79">
        <v>43</v>
      </c>
      <c r="C66" s="79">
        <v>35</v>
      </c>
      <c r="D66" s="79">
        <v>9</v>
      </c>
      <c r="E66" s="79">
        <v>9</v>
      </c>
      <c r="F66" s="79">
        <v>17.329999999999998</v>
      </c>
      <c r="G66" s="80">
        <v>6239</v>
      </c>
      <c r="H66" s="8" t="s">
        <v>3039</v>
      </c>
      <c r="I66" s="22" t="s">
        <v>22</v>
      </c>
      <c r="J66" s="102" t="s">
        <v>3545</v>
      </c>
      <c r="L66" s="156">
        <v>1</v>
      </c>
      <c r="M66" s="340">
        <v>0</v>
      </c>
      <c r="N66" s="240">
        <f t="shared" si="93"/>
        <v>1</v>
      </c>
      <c r="P66" s="365">
        <v>1137</v>
      </c>
      <c r="Q66" s="79">
        <v>84</v>
      </c>
      <c r="R66" s="346">
        <v>89</v>
      </c>
      <c r="S66" s="81">
        <v>104</v>
      </c>
      <c r="T66" s="327">
        <v>124</v>
      </c>
      <c r="U66" s="393">
        <v>6.8</v>
      </c>
      <c r="V66" s="310">
        <f t="shared" si="94"/>
        <v>7.2961373390557929E-2</v>
      </c>
      <c r="W66" s="94">
        <v>11.54</v>
      </c>
      <c r="X66" s="36">
        <f>RTD("money.excel",,"6239","Price")</f>
        <v>93.2</v>
      </c>
      <c r="Y66" s="66">
        <v>94.1</v>
      </c>
      <c r="Z66" s="15">
        <f t="shared" si="95"/>
        <v>-0.89999999999999147</v>
      </c>
      <c r="AA66" s="3">
        <f t="shared" si="96"/>
        <v>-9.564293304994597E-3</v>
      </c>
      <c r="AB66" s="344">
        <v>-19.66</v>
      </c>
      <c r="AC66" s="384">
        <v>29.62</v>
      </c>
      <c r="AD66" s="22" t="s">
        <v>22</v>
      </c>
      <c r="AE66" s="84">
        <v>44680</v>
      </c>
      <c r="AG66" s="33">
        <f t="shared" ref="AG66" si="99">AF66-AE66</f>
        <v>-44680</v>
      </c>
      <c r="AH66" s="117" t="s">
        <v>2298</v>
      </c>
      <c r="AI66" s="63">
        <f t="shared" si="98"/>
        <v>3.1040843214756256E-3</v>
      </c>
      <c r="AJ66" s="284">
        <f>RTD("money.excel",,$G66,"PredictVolume")</f>
        <v>2356</v>
      </c>
      <c r="AK66" s="400">
        <v>10.16</v>
      </c>
      <c r="AM66" s="245"/>
      <c r="AN66" s="245"/>
    </row>
    <row r="67" spans="1:40">
      <c r="A67" s="347">
        <v>73.8</v>
      </c>
      <c r="B67" s="79">
        <v>67</v>
      </c>
      <c r="C67" s="79">
        <v>42</v>
      </c>
      <c r="D67" s="79">
        <v>15</v>
      </c>
      <c r="E67" s="79">
        <v>6</v>
      </c>
      <c r="F67" s="79">
        <v>25.46</v>
      </c>
      <c r="G67" s="80">
        <v>6147</v>
      </c>
      <c r="H67" s="183" t="s">
        <v>3039</v>
      </c>
      <c r="I67" s="166" t="s">
        <v>2915</v>
      </c>
      <c r="J67" s="102" t="s">
        <v>6243</v>
      </c>
      <c r="L67" s="156">
        <v>2</v>
      </c>
      <c r="M67" s="340">
        <v>0</v>
      </c>
      <c r="N67" s="240">
        <f t="shared" ref="N67" si="100">L67-M67</f>
        <v>2</v>
      </c>
      <c r="P67" s="365">
        <v>801</v>
      </c>
      <c r="Q67" s="79">
        <v>294</v>
      </c>
      <c r="R67" s="346">
        <v>243</v>
      </c>
      <c r="S67" s="81">
        <v>89</v>
      </c>
      <c r="T67" s="327">
        <v>133</v>
      </c>
      <c r="U67" s="392">
        <v>6</v>
      </c>
      <c r="V67" s="310">
        <f t="shared" ref="V67" si="101">U67/X67</f>
        <v>8.8235294117647065E-2</v>
      </c>
      <c r="W67" s="94">
        <v>9.1</v>
      </c>
      <c r="X67" s="161">
        <f>RTD("money.excel",,"6147","Price")</f>
        <v>68</v>
      </c>
      <c r="Y67" s="66">
        <v>68.2</v>
      </c>
      <c r="Z67" s="15">
        <f t="shared" ref="Z67" si="102">X67-Y67</f>
        <v>-0.20000000000000284</v>
      </c>
      <c r="AA67" s="3">
        <f t="shared" ref="AA67" si="103">Z67/Y67</f>
        <v>-2.9325513196481355E-3</v>
      </c>
      <c r="AB67" s="344">
        <v>-23.56</v>
      </c>
      <c r="AC67" s="384">
        <v>34.99</v>
      </c>
      <c r="AD67" s="16" t="s">
        <v>2915</v>
      </c>
      <c r="AE67" s="84">
        <v>44680</v>
      </c>
      <c r="AG67" s="33">
        <f t="shared" ref="AG67" si="104">AF67-AE67</f>
        <v>-44680</v>
      </c>
      <c r="AH67" s="117" t="s">
        <v>2291</v>
      </c>
      <c r="AI67" s="63">
        <f t="shared" si="98"/>
        <v>1.9227642276422763E-3</v>
      </c>
      <c r="AJ67" s="284">
        <f>RTD("money.excel",,$G67,"PredictVolume")</f>
        <v>1419</v>
      </c>
      <c r="AK67" s="400">
        <v>13.07</v>
      </c>
      <c r="AM67" s="245"/>
      <c r="AN67" s="245"/>
    </row>
    <row r="68" spans="1:40">
      <c r="A68" s="347">
        <v>6.58</v>
      </c>
      <c r="B68" s="79">
        <v>12</v>
      </c>
      <c r="C68" s="79">
        <v>11</v>
      </c>
      <c r="D68" s="79">
        <v>29</v>
      </c>
      <c r="E68" s="79">
        <v>29</v>
      </c>
      <c r="F68" s="79">
        <v>11.93</v>
      </c>
      <c r="G68" s="80">
        <v>5288</v>
      </c>
      <c r="H68" s="5" t="s">
        <v>295</v>
      </c>
      <c r="I68" s="22" t="s">
        <v>584</v>
      </c>
      <c r="J68" s="102" t="s">
        <v>4720</v>
      </c>
      <c r="L68" s="156">
        <v>1</v>
      </c>
      <c r="M68" s="340">
        <v>0</v>
      </c>
      <c r="N68" s="240">
        <f t="shared" ref="N68" si="105">L68-M68</f>
        <v>1</v>
      </c>
      <c r="P68" s="365">
        <v>596</v>
      </c>
      <c r="Q68" s="79">
        <v>519</v>
      </c>
      <c r="R68" s="346">
        <v>36</v>
      </c>
      <c r="S68" s="81">
        <v>331</v>
      </c>
      <c r="T68" s="327">
        <v>417</v>
      </c>
      <c r="U68" s="393">
        <v>4.5</v>
      </c>
      <c r="V68" s="310">
        <f t="shared" ref="V68" si="106">U68/X68</f>
        <v>3.0201342281879196E-2</v>
      </c>
      <c r="W68" s="94">
        <v>9.5299999999999994</v>
      </c>
      <c r="X68" s="36">
        <f>RTD("money.excel",,"5288","Price")</f>
        <v>149</v>
      </c>
      <c r="Y68" s="66">
        <v>151</v>
      </c>
      <c r="Z68" s="15">
        <f t="shared" ref="Z68" si="107">X68-Y68</f>
        <v>-2</v>
      </c>
      <c r="AA68" s="3">
        <f t="shared" ref="AA68" si="108">Z68/Y68</f>
        <v>-1.3245033112582781E-2</v>
      </c>
      <c r="AB68" s="344">
        <v>-15.54</v>
      </c>
      <c r="AC68" s="384">
        <v>53.36</v>
      </c>
      <c r="AD68" s="22" t="s">
        <v>584</v>
      </c>
      <c r="AE68" s="84">
        <v>44679</v>
      </c>
      <c r="AG68" s="33">
        <f t="shared" ref="AG68" si="109">AF68-AE68</f>
        <v>-44679</v>
      </c>
      <c r="AH68" s="43" t="s">
        <v>2750</v>
      </c>
      <c r="AI68" s="63">
        <f t="shared" si="98"/>
        <v>1.1398176291793312E-3</v>
      </c>
      <c r="AJ68" s="284">
        <f>RTD("money.excel",,$G68,"PredictVolume")</f>
        <v>75</v>
      </c>
      <c r="AK68" s="400">
        <v>2.95</v>
      </c>
      <c r="AM68" s="245"/>
      <c r="AN68" s="245"/>
    </row>
    <row r="69" spans="1:40">
      <c r="A69" s="347">
        <v>8.3800000000000008</v>
      </c>
      <c r="B69" s="79">
        <v>252</v>
      </c>
      <c r="C69" s="79">
        <v>192</v>
      </c>
      <c r="D69" s="79">
        <v>251</v>
      </c>
      <c r="E69" s="79">
        <v>24</v>
      </c>
      <c r="F69" s="79">
        <v>25.36</v>
      </c>
      <c r="G69" s="80">
        <v>8924</v>
      </c>
      <c r="H69" s="5" t="s">
        <v>1960</v>
      </c>
      <c r="I69" s="16" t="s">
        <v>662</v>
      </c>
      <c r="J69" s="102" t="s">
        <v>3544</v>
      </c>
      <c r="L69" s="156">
        <v>1</v>
      </c>
      <c r="M69" s="340">
        <v>0</v>
      </c>
      <c r="N69" s="240">
        <f t="shared" ref="N69:N71" si="110">L69-M69</f>
        <v>1</v>
      </c>
      <c r="P69" s="365">
        <v>462</v>
      </c>
      <c r="Q69" s="79">
        <v>127</v>
      </c>
      <c r="R69" s="346">
        <v>902</v>
      </c>
      <c r="S69" s="81">
        <v>88</v>
      </c>
      <c r="T69" s="327">
        <v>318</v>
      </c>
      <c r="U69" s="393">
        <v>13.7</v>
      </c>
      <c r="V69" s="310">
        <f t="shared" ref="V69:V71" si="111">U69/X69</f>
        <v>0.10073529411764705</v>
      </c>
      <c r="W69" s="94">
        <v>20.149999999999999</v>
      </c>
      <c r="X69" s="36">
        <f>RTD("money.excel",,"8924","Price")</f>
        <v>136</v>
      </c>
      <c r="Y69" s="66">
        <v>143</v>
      </c>
      <c r="Z69" s="15">
        <f t="shared" ref="Z69:Z71" si="112">X69-Y69</f>
        <v>-7</v>
      </c>
      <c r="AA69" s="3">
        <f t="shared" ref="AA69:AA71" si="113">Z69/Y69</f>
        <v>-4.8951048951048952E-2</v>
      </c>
      <c r="AB69" s="344">
        <v>-23.86</v>
      </c>
      <c r="AC69" s="384">
        <v>37.36</v>
      </c>
      <c r="AD69" s="16" t="s">
        <v>662</v>
      </c>
      <c r="AE69" s="84">
        <v>44679</v>
      </c>
      <c r="AG69" s="33">
        <f t="shared" ref="AG69:AG71" si="114">AF69-AE69</f>
        <v>-44679</v>
      </c>
      <c r="AH69" s="43" t="s">
        <v>3060</v>
      </c>
      <c r="AI69" s="63">
        <f t="shared" si="98"/>
        <v>3.8902147971360376E-3</v>
      </c>
      <c r="AJ69" s="284">
        <f>RTD("money.excel",,$G69,"PredictVolume")</f>
        <v>326</v>
      </c>
      <c r="AK69" s="400">
        <v>32.590000000000003</v>
      </c>
      <c r="AM69" s="245"/>
      <c r="AN69" s="245"/>
    </row>
    <row r="70" spans="1:40">
      <c r="A70" s="347">
        <v>32.1</v>
      </c>
      <c r="B70" s="79">
        <v>227</v>
      </c>
      <c r="C70" s="79">
        <v>461</v>
      </c>
      <c r="D70" s="79">
        <v>62</v>
      </c>
      <c r="E70" s="79">
        <v>89</v>
      </c>
      <c r="F70" s="79">
        <v>18.7</v>
      </c>
      <c r="G70" s="79">
        <v>2031</v>
      </c>
      <c r="H70" s="5" t="s">
        <v>3091</v>
      </c>
      <c r="I70" s="22" t="s">
        <v>3947</v>
      </c>
      <c r="J70" s="8" t="s">
        <v>3545</v>
      </c>
      <c r="L70" s="156">
        <v>1</v>
      </c>
      <c r="M70" s="340">
        <v>0</v>
      </c>
      <c r="N70" s="240">
        <f t="shared" si="110"/>
        <v>1</v>
      </c>
      <c r="P70" s="365">
        <v>348</v>
      </c>
      <c r="Q70" s="79">
        <v>332</v>
      </c>
      <c r="R70" s="346">
        <v>471</v>
      </c>
      <c r="S70" s="81">
        <v>77</v>
      </c>
      <c r="T70" s="327">
        <v>433</v>
      </c>
      <c r="U70" s="393">
        <v>4</v>
      </c>
      <c r="V70" s="310">
        <f t="shared" si="111"/>
        <v>7.6335877862595422E-2</v>
      </c>
      <c r="W70" s="94">
        <v>8.66</v>
      </c>
      <c r="X70" s="36">
        <f>RTD("money.excel",,"2031","Price")</f>
        <v>52.4</v>
      </c>
      <c r="Y70" s="66">
        <v>65.2</v>
      </c>
      <c r="Z70" s="15">
        <f t="shared" si="112"/>
        <v>-12.800000000000004</v>
      </c>
      <c r="AA70" s="3">
        <f t="shared" si="113"/>
        <v>-0.19631901840490804</v>
      </c>
      <c r="AB70" s="344">
        <v>-31.29</v>
      </c>
      <c r="AC70" s="384">
        <v>61.64</v>
      </c>
      <c r="AD70" s="22" t="s">
        <v>3947</v>
      </c>
      <c r="AE70" s="84">
        <v>44679</v>
      </c>
      <c r="AG70" s="33">
        <f t="shared" si="114"/>
        <v>-44679</v>
      </c>
      <c r="AH70" s="43" t="s">
        <v>3948</v>
      </c>
      <c r="AI70" s="63">
        <f t="shared" si="98"/>
        <v>3.9140186915887852E-2</v>
      </c>
      <c r="AJ70" s="284">
        <f>RTD("money.excel",,$G70,"PredictVolume")</f>
        <v>12564</v>
      </c>
      <c r="AK70" s="400">
        <v>29.13</v>
      </c>
      <c r="AM70" s="245"/>
      <c r="AN70" s="245"/>
    </row>
    <row r="71" spans="1:40">
      <c r="A71" s="347">
        <v>33.200000000000003</v>
      </c>
      <c r="B71" s="79">
        <v>48</v>
      </c>
      <c r="C71" s="79">
        <v>47</v>
      </c>
      <c r="D71" s="79">
        <v>18</v>
      </c>
      <c r="E71" s="79">
        <v>22</v>
      </c>
      <c r="F71" s="79">
        <v>17.98</v>
      </c>
      <c r="G71" s="80">
        <v>2383</v>
      </c>
      <c r="H71" s="5" t="s">
        <v>308</v>
      </c>
      <c r="I71" s="22" t="s">
        <v>4487</v>
      </c>
      <c r="J71" s="102" t="s">
        <v>3545</v>
      </c>
      <c r="L71" s="156">
        <v>1</v>
      </c>
      <c r="M71" s="340">
        <v>0</v>
      </c>
      <c r="N71" s="240">
        <f t="shared" si="110"/>
        <v>1</v>
      </c>
      <c r="P71" s="365">
        <v>1123</v>
      </c>
      <c r="Q71" s="79">
        <v>1118</v>
      </c>
      <c r="R71" s="346">
        <v>107</v>
      </c>
      <c r="S71" s="81">
        <v>86</v>
      </c>
      <c r="T71" s="327">
        <v>133</v>
      </c>
      <c r="U71" s="393">
        <v>10</v>
      </c>
      <c r="V71" s="310">
        <f t="shared" si="111"/>
        <v>4.7505938242280284E-2</v>
      </c>
      <c r="W71" s="94">
        <v>17.579999999999998</v>
      </c>
      <c r="X71" s="36">
        <f>RTD("money.excel",,"2383","Price")</f>
        <v>210.5</v>
      </c>
      <c r="Y71" s="66">
        <v>237.5</v>
      </c>
      <c r="Z71" s="15">
        <f t="shared" si="112"/>
        <v>-27</v>
      </c>
      <c r="AA71" s="3">
        <f t="shared" si="113"/>
        <v>-0.11368421052631579</v>
      </c>
      <c r="AB71" s="344">
        <v>-21.81</v>
      </c>
      <c r="AC71" s="384">
        <v>21.92</v>
      </c>
      <c r="AD71" s="22" t="s">
        <v>4487</v>
      </c>
      <c r="AE71" s="84">
        <v>44679</v>
      </c>
      <c r="AG71" s="33">
        <f t="shared" si="114"/>
        <v>-44679</v>
      </c>
      <c r="AH71" s="117" t="s">
        <v>3278</v>
      </c>
      <c r="AI71" s="63">
        <f t="shared" si="98"/>
        <v>5.1656626506024093E-3</v>
      </c>
      <c r="AJ71" s="284">
        <f>RTD("money.excel",,$G71,"PredictVolume")</f>
        <v>1715</v>
      </c>
      <c r="AK71" s="400">
        <v>10.39</v>
      </c>
      <c r="AM71" s="245"/>
      <c r="AN71" s="245"/>
    </row>
    <row r="72" spans="1:40">
      <c r="A72" s="347">
        <v>6.87</v>
      </c>
      <c r="B72" s="80">
        <v>-51</v>
      </c>
      <c r="C72" s="80">
        <v>-54</v>
      </c>
      <c r="D72" s="79">
        <v>15</v>
      </c>
      <c r="E72" s="80">
        <v>-18</v>
      </c>
      <c r="F72" s="79">
        <v>8.2100000000000009</v>
      </c>
      <c r="G72" s="79">
        <v>4977</v>
      </c>
      <c r="H72" s="8" t="s">
        <v>311</v>
      </c>
      <c r="I72" s="22" t="s">
        <v>4398</v>
      </c>
      <c r="J72" s="102" t="s">
        <v>4720</v>
      </c>
      <c r="L72" s="156">
        <v>1</v>
      </c>
      <c r="M72" s="340">
        <v>0</v>
      </c>
      <c r="N72" s="240">
        <f t="shared" ref="N72" si="115">L72-M72</f>
        <v>1</v>
      </c>
      <c r="P72" s="365">
        <v>615</v>
      </c>
      <c r="Q72" s="79">
        <v>519</v>
      </c>
      <c r="R72" s="346">
        <v>124</v>
      </c>
      <c r="S72" s="81" t="s">
        <v>6289</v>
      </c>
      <c r="T72" s="327">
        <v>446</v>
      </c>
      <c r="U72" s="393">
        <v>3.2</v>
      </c>
      <c r="V72" s="310">
        <f t="shared" ref="V72" si="116">U72/X72</f>
        <v>4.1290322580645161E-2</v>
      </c>
      <c r="W72" s="94">
        <v>3.88</v>
      </c>
      <c r="X72" s="36">
        <f>RTD("money.excel",,"4977","Price")</f>
        <v>77.5</v>
      </c>
      <c r="Y72" s="66">
        <v>79.599999999999994</v>
      </c>
      <c r="Z72" s="15">
        <f t="shared" ref="Z72" si="117">X72-Y72</f>
        <v>-2.0999999999999943</v>
      </c>
      <c r="AA72" s="3">
        <f t="shared" ref="AA72" si="118">Z72/Y72</f>
        <v>-2.6381909547738624E-2</v>
      </c>
      <c r="AB72" s="344">
        <v>-20.69</v>
      </c>
      <c r="AC72" s="384">
        <v>68.5</v>
      </c>
      <c r="AD72" s="22" t="s">
        <v>4398</v>
      </c>
      <c r="AE72" s="84">
        <v>44678</v>
      </c>
      <c r="AG72" s="33">
        <f t="shared" ref="AG72" si="119">AF72-AE72</f>
        <v>-44678</v>
      </c>
      <c r="AH72" s="119" t="s">
        <v>4357</v>
      </c>
      <c r="AI72" s="63">
        <f t="shared" si="98"/>
        <v>7.5691411935953422E-4</v>
      </c>
      <c r="AJ72" s="284">
        <f>RTD("money.excel",,$G72,"PredictVolume")</f>
        <v>52</v>
      </c>
      <c r="AK72" s="400">
        <v>16.47</v>
      </c>
      <c r="AM72" s="245"/>
      <c r="AN72" s="245"/>
    </row>
    <row r="73" spans="1:40">
      <c r="A73" s="347">
        <v>3.47</v>
      </c>
      <c r="B73" s="79">
        <v>43</v>
      </c>
      <c r="C73" s="79">
        <v>46</v>
      </c>
      <c r="D73" s="79">
        <v>1</v>
      </c>
      <c r="E73" s="79">
        <v>35</v>
      </c>
      <c r="F73" s="79">
        <v>27</v>
      </c>
      <c r="G73" s="80">
        <v>6788</v>
      </c>
      <c r="H73" s="193" t="s">
        <v>3039</v>
      </c>
      <c r="I73" s="16" t="s">
        <v>3440</v>
      </c>
      <c r="J73" s="102" t="s">
        <v>4720</v>
      </c>
      <c r="L73" s="156">
        <v>1</v>
      </c>
      <c r="M73" s="340">
        <v>0</v>
      </c>
      <c r="N73" s="240">
        <f t="shared" ref="N73:N75" si="120">L73-M73</f>
        <v>1</v>
      </c>
      <c r="P73" s="365">
        <v>1059</v>
      </c>
      <c r="Q73" s="79">
        <v>901</v>
      </c>
      <c r="R73" s="346">
        <v>963</v>
      </c>
      <c r="S73" s="81" t="s">
        <v>6289</v>
      </c>
      <c r="T73" s="327">
        <v>1002</v>
      </c>
      <c r="U73" s="393">
        <v>5</v>
      </c>
      <c r="V73" s="310">
        <f t="shared" ref="V73:V75" si="121">U73/X73</f>
        <v>4.7393364928909949E-2</v>
      </c>
      <c r="W73" s="94">
        <v>7.21</v>
      </c>
      <c r="X73" s="36">
        <f>RTD("money.excel",,"6788","Price")</f>
        <v>105.5</v>
      </c>
      <c r="Y73" s="66">
        <v>116</v>
      </c>
      <c r="Z73" s="15">
        <f t="shared" ref="Z73:Z75" si="122">X73-Y73</f>
        <v>-10.5</v>
      </c>
      <c r="AA73" s="3">
        <f t="shared" ref="AA73:AA75" si="123">Z73/Y73</f>
        <v>-9.0517241379310345E-2</v>
      </c>
      <c r="AB73" s="344">
        <v>-60.46</v>
      </c>
      <c r="AC73" s="384">
        <v>4.67</v>
      </c>
      <c r="AD73" s="16" t="s">
        <v>3440</v>
      </c>
      <c r="AE73" s="84">
        <v>44677</v>
      </c>
      <c r="AG73" s="33">
        <f t="shared" ref="AG73:AG75" si="124">AF73-AE73</f>
        <v>-44677</v>
      </c>
      <c r="AH73" s="43" t="s">
        <v>3441</v>
      </c>
      <c r="AI73" s="63">
        <f t="shared" si="98"/>
        <v>1.786743515850144E-3</v>
      </c>
      <c r="AJ73" s="284">
        <f>RTD("money.excel",,$G73,"PredictVolume")</f>
        <v>62</v>
      </c>
      <c r="AK73" s="400">
        <v>7.54</v>
      </c>
      <c r="AM73" s="245"/>
      <c r="AN73" s="245"/>
    </row>
    <row r="74" spans="1:40">
      <c r="A74" s="347">
        <v>6.85</v>
      </c>
      <c r="B74" s="79">
        <v>176</v>
      </c>
      <c r="C74" s="79">
        <v>166</v>
      </c>
      <c r="D74" s="79">
        <v>20</v>
      </c>
      <c r="E74" s="79">
        <v>36</v>
      </c>
      <c r="F74" s="79">
        <v>30.58</v>
      </c>
      <c r="G74" s="80">
        <v>6756</v>
      </c>
      <c r="H74" s="5" t="s">
        <v>3039</v>
      </c>
      <c r="I74" s="22" t="s">
        <v>2133</v>
      </c>
      <c r="J74" s="8" t="s">
        <v>3543</v>
      </c>
      <c r="L74" s="156">
        <v>1</v>
      </c>
      <c r="M74" s="340">
        <v>0</v>
      </c>
      <c r="N74" s="240">
        <f t="shared" si="120"/>
        <v>1</v>
      </c>
      <c r="P74" s="365">
        <v>506</v>
      </c>
      <c r="Q74" s="79">
        <v>934</v>
      </c>
      <c r="R74" s="346">
        <v>765</v>
      </c>
      <c r="S74" s="81">
        <v>316</v>
      </c>
      <c r="T74" s="327">
        <v>164</v>
      </c>
      <c r="U74" s="393">
        <v>10.99</v>
      </c>
      <c r="V74" s="310">
        <f t="shared" si="121"/>
        <v>3.9390681003584227E-2</v>
      </c>
      <c r="W74" s="94">
        <v>13.04</v>
      </c>
      <c r="X74" s="36">
        <f>RTD("money.excel",,"6756","Price")</f>
        <v>279</v>
      </c>
      <c r="Y74" s="66">
        <v>312</v>
      </c>
      <c r="Z74" s="15">
        <f t="shared" si="122"/>
        <v>-33</v>
      </c>
      <c r="AA74" s="3">
        <f t="shared" si="123"/>
        <v>-0.10576923076923077</v>
      </c>
      <c r="AB74" s="344">
        <v>-51.12</v>
      </c>
      <c r="AC74" s="384">
        <v>7.24</v>
      </c>
      <c r="AD74" s="22" t="s">
        <v>2133</v>
      </c>
      <c r="AE74" s="84">
        <v>44677</v>
      </c>
      <c r="AG74" s="33">
        <f t="shared" si="124"/>
        <v>-44677</v>
      </c>
      <c r="AH74" s="43" t="s">
        <v>2134</v>
      </c>
      <c r="AI74" s="63">
        <f t="shared" si="98"/>
        <v>9.2116788321167879E-3</v>
      </c>
      <c r="AJ74" s="284">
        <f>RTD("money.excel",,$G74,"PredictVolume")</f>
        <v>631</v>
      </c>
      <c r="AK74" s="400">
        <v>19.3</v>
      </c>
      <c r="AM74" s="245"/>
      <c r="AN74" s="245"/>
    </row>
    <row r="75" spans="1:40">
      <c r="A75" s="347">
        <v>4.47</v>
      </c>
      <c r="B75" s="79">
        <v>26</v>
      </c>
      <c r="C75" s="79">
        <v>22</v>
      </c>
      <c r="D75" s="80">
        <v>-1</v>
      </c>
      <c r="E75" s="80">
        <v>-27</v>
      </c>
      <c r="F75" s="79">
        <v>38.86</v>
      </c>
      <c r="G75" s="80">
        <v>3563</v>
      </c>
      <c r="H75" s="5" t="s">
        <v>1878</v>
      </c>
      <c r="I75" s="22" t="s">
        <v>179</v>
      </c>
      <c r="J75" s="102" t="s">
        <v>3543</v>
      </c>
      <c r="L75" s="156">
        <v>1</v>
      </c>
      <c r="M75" s="340">
        <v>0</v>
      </c>
      <c r="N75" s="240">
        <f t="shared" si="120"/>
        <v>1</v>
      </c>
      <c r="P75" s="365">
        <v>438</v>
      </c>
      <c r="Q75" s="79">
        <v>84</v>
      </c>
      <c r="R75" s="346">
        <v>537</v>
      </c>
      <c r="S75" s="81" t="s">
        <v>6289</v>
      </c>
      <c r="T75" s="327">
        <v>446</v>
      </c>
      <c r="U75" s="393">
        <v>10</v>
      </c>
      <c r="V75" s="310">
        <f t="shared" si="121"/>
        <v>5.6497175141242938E-2</v>
      </c>
      <c r="W75" s="94">
        <v>18.510000000000002</v>
      </c>
      <c r="X75" s="36">
        <f>RTD("money.excel",,"3563","Price")</f>
        <v>177</v>
      </c>
      <c r="Y75" s="66">
        <v>191</v>
      </c>
      <c r="Z75" s="15">
        <f t="shared" si="122"/>
        <v>-14</v>
      </c>
      <c r="AA75" s="3">
        <f t="shared" si="123"/>
        <v>-7.3298429319371722E-2</v>
      </c>
      <c r="AB75" s="344">
        <v>-36.01</v>
      </c>
      <c r="AC75" s="384">
        <v>5.38</v>
      </c>
      <c r="AD75" s="22" t="s">
        <v>179</v>
      </c>
      <c r="AE75" s="84">
        <v>44677</v>
      </c>
      <c r="AG75" s="33">
        <f t="shared" si="124"/>
        <v>-44677</v>
      </c>
      <c r="AH75" s="119" t="s">
        <v>4200</v>
      </c>
      <c r="AI75" s="63">
        <f t="shared" si="98"/>
        <v>6.4876957494407162E-4</v>
      </c>
      <c r="AJ75" s="284">
        <f>RTD("money.excel",,$G75,"PredictVolume")</f>
        <v>29</v>
      </c>
      <c r="AK75" s="400">
        <v>6.01</v>
      </c>
      <c r="AM75" s="245"/>
      <c r="AN75" s="245"/>
    </row>
    <row r="76" spans="1:40">
      <c r="A76" s="347">
        <v>10.3</v>
      </c>
      <c r="B76" s="79">
        <v>62</v>
      </c>
      <c r="C76" s="79">
        <v>49</v>
      </c>
      <c r="D76" s="79">
        <v>27</v>
      </c>
      <c r="E76" s="79">
        <v>4</v>
      </c>
      <c r="F76" s="79">
        <v>21.58</v>
      </c>
      <c r="G76" s="80">
        <v>3357</v>
      </c>
      <c r="H76" s="5" t="s">
        <v>308</v>
      </c>
      <c r="I76" s="16" t="s">
        <v>3236</v>
      </c>
      <c r="J76" s="102" t="s">
        <v>3543</v>
      </c>
      <c r="L76" s="156">
        <v>1</v>
      </c>
      <c r="M76" s="340">
        <v>0</v>
      </c>
      <c r="N76" s="240">
        <f t="shared" ref="N76:N77" si="125">L76-M76</f>
        <v>1</v>
      </c>
      <c r="P76" s="365">
        <v>1092</v>
      </c>
      <c r="Q76" s="79" t="s">
        <v>6289</v>
      </c>
      <c r="R76" s="346">
        <v>469</v>
      </c>
      <c r="S76" s="81" t="s">
        <v>6289</v>
      </c>
      <c r="T76" s="327">
        <v>758</v>
      </c>
      <c r="U76" s="393">
        <v>7</v>
      </c>
      <c r="V76" s="310">
        <f t="shared" ref="V76:V77" si="126">U76/X76</f>
        <v>6.7307692307692304E-2</v>
      </c>
      <c r="W76" s="94">
        <v>10.07</v>
      </c>
      <c r="X76" s="36">
        <f>RTD("money.excel",,"3357","Price")</f>
        <v>104</v>
      </c>
      <c r="Y76" s="66">
        <v>112</v>
      </c>
      <c r="Z76" s="15">
        <f t="shared" ref="Z76:Z77" si="127">X76-Y76</f>
        <v>-8</v>
      </c>
      <c r="AA76" s="3">
        <f t="shared" ref="AA76:AA77" si="128">Z76/Y76</f>
        <v>-7.1428571428571425E-2</v>
      </c>
      <c r="AB76" s="344">
        <v>-39.840000000000003</v>
      </c>
      <c r="AC76" s="384">
        <v>16.260000000000002</v>
      </c>
      <c r="AD76" s="16" t="s">
        <v>3236</v>
      </c>
      <c r="AE76" s="84">
        <v>44677</v>
      </c>
      <c r="AG76" s="33">
        <f t="shared" ref="AG76:AG77" si="129">AF76-AE76</f>
        <v>-44677</v>
      </c>
      <c r="AH76" s="43" t="s">
        <v>3237</v>
      </c>
      <c r="AI76" s="63">
        <f t="shared" si="98"/>
        <v>6.6019417475728158E-4</v>
      </c>
      <c r="AJ76" s="284">
        <f>RTD("money.excel",,$G76,"PredictVolume")</f>
        <v>68</v>
      </c>
      <c r="AK76" s="400">
        <v>7.68</v>
      </c>
      <c r="AM76" s="245"/>
      <c r="AN76" s="245"/>
    </row>
    <row r="77" spans="1:40">
      <c r="A77" s="347">
        <v>6.66</v>
      </c>
      <c r="B77" s="80">
        <v>-51</v>
      </c>
      <c r="C77" s="79">
        <v>54</v>
      </c>
      <c r="D77" s="79">
        <v>69</v>
      </c>
      <c r="E77" s="79">
        <v>2</v>
      </c>
      <c r="F77" s="79">
        <v>28.05</v>
      </c>
      <c r="G77" s="80">
        <v>8481</v>
      </c>
      <c r="H77" s="5" t="s">
        <v>235</v>
      </c>
      <c r="I77" s="22" t="s">
        <v>693</v>
      </c>
      <c r="J77" s="102" t="s">
        <v>3543</v>
      </c>
      <c r="L77" s="156">
        <v>1</v>
      </c>
      <c r="M77" s="340">
        <v>0</v>
      </c>
      <c r="N77" s="240">
        <f t="shared" si="125"/>
        <v>1</v>
      </c>
      <c r="P77" s="365">
        <v>1318</v>
      </c>
      <c r="Q77" s="79">
        <v>1054</v>
      </c>
      <c r="R77" s="346">
        <v>1377</v>
      </c>
      <c r="S77" s="81" t="s">
        <v>6289</v>
      </c>
      <c r="T77" s="327">
        <v>1326</v>
      </c>
      <c r="U77" s="393">
        <v>6.5</v>
      </c>
      <c r="V77" s="310">
        <f t="shared" si="126"/>
        <v>9.7597597597597605E-2</v>
      </c>
      <c r="W77" s="94">
        <v>12.51</v>
      </c>
      <c r="X77" s="36">
        <f>RTD("money.excel",,"8481","Price")</f>
        <v>66.599999999999994</v>
      </c>
      <c r="Y77" s="66">
        <v>68.5</v>
      </c>
      <c r="Z77" s="15">
        <f t="shared" si="127"/>
        <v>-1.9000000000000057</v>
      </c>
      <c r="AA77" s="3">
        <f t="shared" si="128"/>
        <v>-2.7737226277372344E-2</v>
      </c>
      <c r="AB77" s="344">
        <v>-25.47</v>
      </c>
      <c r="AC77" s="384">
        <v>58.06</v>
      </c>
      <c r="AD77" s="22" t="s">
        <v>693</v>
      </c>
      <c r="AE77" s="84">
        <v>44677</v>
      </c>
      <c r="AG77" s="33">
        <f t="shared" si="129"/>
        <v>-44677</v>
      </c>
      <c r="AH77" s="43" t="s">
        <v>2835</v>
      </c>
      <c r="AI77" s="63">
        <f t="shared" si="98"/>
        <v>1.8018018018018018E-4</v>
      </c>
      <c r="AJ77" s="284">
        <f>RTD("money.excel",,$G77,"PredictVolume")</f>
        <v>12</v>
      </c>
      <c r="AK77" s="400">
        <v>0.65</v>
      </c>
      <c r="AM77" s="245"/>
      <c r="AN77" s="245"/>
    </row>
    <row r="78" spans="1:40">
      <c r="A78" s="347">
        <v>10.6</v>
      </c>
      <c r="B78" s="79">
        <v>95</v>
      </c>
      <c r="C78" s="79">
        <v>98</v>
      </c>
      <c r="D78" s="79">
        <v>61</v>
      </c>
      <c r="E78" s="80">
        <v>-76</v>
      </c>
      <c r="F78" s="79">
        <v>53.5</v>
      </c>
      <c r="G78" s="80">
        <v>6582</v>
      </c>
      <c r="H78" s="8" t="s">
        <v>300</v>
      </c>
      <c r="I78" s="22" t="s">
        <v>4011</v>
      </c>
      <c r="J78" s="102" t="s">
        <v>6264</v>
      </c>
      <c r="L78" s="156">
        <v>2</v>
      </c>
      <c r="M78" s="340">
        <v>0</v>
      </c>
      <c r="N78" s="240">
        <f t="shared" ref="N78:N80" si="130">L78-M78</f>
        <v>2</v>
      </c>
      <c r="P78" s="365">
        <v>962</v>
      </c>
      <c r="Q78" s="79">
        <v>622</v>
      </c>
      <c r="R78" s="346">
        <v>309</v>
      </c>
      <c r="S78" s="81">
        <v>491</v>
      </c>
      <c r="T78" s="327">
        <v>848</v>
      </c>
      <c r="U78" s="393">
        <v>15</v>
      </c>
      <c r="V78" s="312">
        <f t="shared" ref="V78:V80" si="131">U78/X78</f>
        <v>0.15447991761071062</v>
      </c>
      <c r="W78" s="94">
        <v>32.74</v>
      </c>
      <c r="X78" s="36">
        <f>RTD("money.excel",,"6582","Price")</f>
        <v>97.1</v>
      </c>
      <c r="Y78" s="66">
        <v>116</v>
      </c>
      <c r="Z78" s="15">
        <f t="shared" ref="Z78:Z80" si="132">X78-Y78</f>
        <v>-18.900000000000006</v>
      </c>
      <c r="AA78" s="3">
        <f t="shared" ref="AA78:AA80" si="133">Z78/Y78</f>
        <v>-0.16293103448275867</v>
      </c>
      <c r="AB78" s="344">
        <v>-64.11</v>
      </c>
      <c r="AC78" s="384">
        <v>9.85</v>
      </c>
      <c r="AD78" s="22" t="s">
        <v>4011</v>
      </c>
      <c r="AE78" s="84">
        <v>44676</v>
      </c>
      <c r="AG78" s="33">
        <f t="shared" ref="AG78:AG80" si="134">AF78-AE78</f>
        <v>-44676</v>
      </c>
      <c r="AH78" s="43" t="s">
        <v>4012</v>
      </c>
      <c r="AI78" s="63">
        <f t="shared" si="98"/>
        <v>1.6226415094339622E-3</v>
      </c>
      <c r="AJ78" s="284">
        <f>RTD("money.excel",,$G78,"PredictVolume")</f>
        <v>172</v>
      </c>
      <c r="AK78" s="401">
        <v>13.22</v>
      </c>
      <c r="AM78" s="245"/>
      <c r="AN78" s="245"/>
    </row>
    <row r="79" spans="1:40">
      <c r="A79" s="347">
        <v>3.28</v>
      </c>
      <c r="B79" s="80">
        <v>-4</v>
      </c>
      <c r="C79" s="80">
        <v>-8</v>
      </c>
      <c r="D79" s="79">
        <v>27</v>
      </c>
      <c r="E79" s="80">
        <v>-7</v>
      </c>
      <c r="F79" s="79">
        <v>25.49</v>
      </c>
      <c r="G79" s="80">
        <v>6510</v>
      </c>
      <c r="H79" s="193" t="s">
        <v>3039</v>
      </c>
      <c r="I79" s="16" t="s">
        <v>221</v>
      </c>
      <c r="J79" s="102" t="s">
        <v>3543</v>
      </c>
      <c r="L79" s="156">
        <v>1</v>
      </c>
      <c r="M79" s="340">
        <v>0</v>
      </c>
      <c r="N79" s="240">
        <f t="shared" si="130"/>
        <v>1</v>
      </c>
      <c r="P79" s="365">
        <v>413</v>
      </c>
      <c r="Q79" s="79">
        <v>242</v>
      </c>
      <c r="R79" s="346">
        <v>476</v>
      </c>
      <c r="S79" s="81">
        <v>247</v>
      </c>
      <c r="T79" s="327">
        <v>202</v>
      </c>
      <c r="U79" s="393">
        <v>13.6</v>
      </c>
      <c r="V79" s="310">
        <f t="shared" si="131"/>
        <v>2.8691983122362867E-2</v>
      </c>
      <c r="W79" s="94">
        <v>27.2</v>
      </c>
      <c r="X79" s="36">
        <f>RTD("money.excel",,"6510","Price")</f>
        <v>474</v>
      </c>
      <c r="Y79" s="66">
        <v>540</v>
      </c>
      <c r="Z79" s="15">
        <f t="shared" si="132"/>
        <v>-66</v>
      </c>
      <c r="AA79" s="3">
        <f t="shared" si="133"/>
        <v>-0.12222222222222222</v>
      </c>
      <c r="AB79" s="344">
        <v>-31.87</v>
      </c>
      <c r="AC79" s="384">
        <v>11.1</v>
      </c>
      <c r="AD79" s="16" t="s">
        <v>221</v>
      </c>
      <c r="AE79" s="84">
        <v>44676</v>
      </c>
      <c r="AG79" s="33">
        <f t="shared" si="134"/>
        <v>-44676</v>
      </c>
      <c r="AH79" s="117" t="s">
        <v>1443</v>
      </c>
      <c r="AI79" s="63">
        <f t="shared" si="98"/>
        <v>2.4085365853658536E-3</v>
      </c>
      <c r="AJ79" s="284">
        <f>RTD("money.excel",,$G79,"PredictVolume")</f>
        <v>79</v>
      </c>
      <c r="AK79" s="400">
        <v>8.09</v>
      </c>
      <c r="AM79" s="245"/>
      <c r="AN79" s="245"/>
    </row>
    <row r="80" spans="1:40">
      <c r="A80" s="347">
        <v>12.2</v>
      </c>
      <c r="B80" s="79">
        <v>63</v>
      </c>
      <c r="C80" s="79">
        <v>64</v>
      </c>
      <c r="D80" s="79">
        <v>23</v>
      </c>
      <c r="E80" s="80">
        <v>-12</v>
      </c>
      <c r="F80" s="79">
        <v>15.47</v>
      </c>
      <c r="G80" s="80">
        <v>3515</v>
      </c>
      <c r="H80" s="193" t="s">
        <v>1146</v>
      </c>
      <c r="I80" s="22" t="s">
        <v>466</v>
      </c>
      <c r="J80" s="102" t="s">
        <v>3543</v>
      </c>
      <c r="L80" s="156">
        <v>1</v>
      </c>
      <c r="M80" s="340">
        <v>0</v>
      </c>
      <c r="N80" s="240">
        <f t="shared" si="130"/>
        <v>1</v>
      </c>
      <c r="P80" s="365">
        <v>790</v>
      </c>
      <c r="Q80" s="79">
        <v>983</v>
      </c>
      <c r="R80" s="346">
        <v>449</v>
      </c>
      <c r="S80" s="81">
        <v>164</v>
      </c>
      <c r="T80" s="327">
        <v>294</v>
      </c>
      <c r="U80" s="393">
        <v>13</v>
      </c>
      <c r="V80" s="310">
        <f t="shared" si="131"/>
        <v>8.387096774193549E-2</v>
      </c>
      <c r="W80" s="94">
        <v>19.72</v>
      </c>
      <c r="X80" s="36">
        <f>RTD("money.excel",,"3515","Price")</f>
        <v>155</v>
      </c>
      <c r="Y80" s="66">
        <v>168</v>
      </c>
      <c r="Z80" s="15">
        <f t="shared" si="132"/>
        <v>-13</v>
      </c>
      <c r="AA80" s="3">
        <f t="shared" si="133"/>
        <v>-7.7380952380952384E-2</v>
      </c>
      <c r="AB80" s="344">
        <v>-40.89</v>
      </c>
      <c r="AC80" s="384">
        <v>8.25</v>
      </c>
      <c r="AD80" s="22" t="s">
        <v>466</v>
      </c>
      <c r="AE80" s="84">
        <v>44676</v>
      </c>
      <c r="AG80" s="33">
        <f t="shared" si="134"/>
        <v>-44676</v>
      </c>
      <c r="AH80" s="43" t="s">
        <v>2719</v>
      </c>
      <c r="AI80" s="63">
        <f t="shared" si="98"/>
        <v>7.9016393442622943E-3</v>
      </c>
      <c r="AJ80" s="284">
        <f>RTD("money.excel",,$G80,"PredictVolume")</f>
        <v>964</v>
      </c>
      <c r="AK80" s="402">
        <v>12.06</v>
      </c>
      <c r="AM80" s="239"/>
      <c r="AN80" s="245"/>
    </row>
    <row r="81" spans="1:40">
      <c r="A81" s="347">
        <v>38.299999999999997</v>
      </c>
      <c r="B81" s="79">
        <v>17</v>
      </c>
      <c r="C81" s="79">
        <v>18</v>
      </c>
      <c r="D81" s="79">
        <v>14</v>
      </c>
      <c r="E81" s="79">
        <v>0</v>
      </c>
      <c r="F81" s="79">
        <v>11.74</v>
      </c>
      <c r="G81" s="80">
        <v>6213</v>
      </c>
      <c r="H81" s="193" t="s">
        <v>308</v>
      </c>
      <c r="I81" s="22" t="s">
        <v>58</v>
      </c>
      <c r="J81" s="102" t="s">
        <v>3543</v>
      </c>
      <c r="L81" s="156">
        <v>1</v>
      </c>
      <c r="M81" s="340">
        <v>0</v>
      </c>
      <c r="N81" s="240">
        <f t="shared" ref="N81:N84" si="135">L81-M81</f>
        <v>1</v>
      </c>
      <c r="P81" s="365">
        <v>798</v>
      </c>
      <c r="Q81" s="79">
        <v>767</v>
      </c>
      <c r="R81" s="346">
        <v>541</v>
      </c>
      <c r="S81" s="81">
        <v>418</v>
      </c>
      <c r="T81" s="327">
        <v>382</v>
      </c>
      <c r="U81" s="393">
        <v>5</v>
      </c>
      <c r="V81" s="310">
        <f t="shared" ref="V81:V84" si="136">U81/X81</f>
        <v>0.05</v>
      </c>
      <c r="W81" s="94">
        <v>9.2200000000000006</v>
      </c>
      <c r="X81" s="36">
        <f>RTD("money.excel",,"6213","Price")</f>
        <v>100</v>
      </c>
      <c r="Y81" s="66">
        <v>105</v>
      </c>
      <c r="Z81" s="15">
        <f t="shared" ref="Z81:Z83" si="137">X81-Y81</f>
        <v>-5</v>
      </c>
      <c r="AA81" s="3">
        <f t="shared" ref="AA81:AA83" si="138">Z81/Y81</f>
        <v>-4.7619047619047616E-2</v>
      </c>
      <c r="AB81" s="344">
        <v>-37.24</v>
      </c>
      <c r="AC81" s="384">
        <v>16.7</v>
      </c>
      <c r="AD81" s="22" t="s">
        <v>58</v>
      </c>
      <c r="AE81" s="84">
        <v>44676</v>
      </c>
      <c r="AG81" s="33">
        <f t="shared" ref="AG81:AG83" si="139">AF81-AE81</f>
        <v>-44676</v>
      </c>
      <c r="AH81" s="117" t="s">
        <v>3278</v>
      </c>
      <c r="AI81" s="63">
        <f t="shared" si="98"/>
        <v>7.4673629242819842E-4</v>
      </c>
      <c r="AJ81" s="284">
        <f>RTD("money.excel",,$G81,"PredictVolume")</f>
        <v>286</v>
      </c>
      <c r="AK81" s="400">
        <v>8.76</v>
      </c>
      <c r="AM81" s="245"/>
      <c r="AN81" s="245"/>
    </row>
    <row r="82" spans="1:40">
      <c r="A82" s="347">
        <v>33.700000000000003</v>
      </c>
      <c r="B82" s="79">
        <v>16</v>
      </c>
      <c r="C82" s="79">
        <v>47</v>
      </c>
      <c r="D82" s="79">
        <v>36</v>
      </c>
      <c r="E82" s="79">
        <v>20</v>
      </c>
      <c r="F82" s="79">
        <v>2.83</v>
      </c>
      <c r="G82" s="79">
        <v>6456</v>
      </c>
      <c r="H82" s="192" t="s">
        <v>1878</v>
      </c>
      <c r="I82" s="22" t="s">
        <v>4290</v>
      </c>
      <c r="J82" s="102" t="s">
        <v>3543</v>
      </c>
      <c r="L82" s="156">
        <v>1</v>
      </c>
      <c r="M82" s="340">
        <v>0</v>
      </c>
      <c r="N82" s="240">
        <f t="shared" si="135"/>
        <v>1</v>
      </c>
      <c r="P82" s="365">
        <v>644</v>
      </c>
      <c r="Q82" s="79">
        <v>332</v>
      </c>
      <c r="R82" s="346">
        <v>56</v>
      </c>
      <c r="S82" s="81">
        <v>309</v>
      </c>
      <c r="T82" s="327">
        <v>777</v>
      </c>
      <c r="U82" s="393">
        <v>5</v>
      </c>
      <c r="V82" s="310">
        <f t="shared" si="136"/>
        <v>5.9952038369304551E-2</v>
      </c>
      <c r="W82" s="94">
        <v>12.97</v>
      </c>
      <c r="X82" s="36">
        <f>RTD("money.excel",,"6456","Price")</f>
        <v>83.4</v>
      </c>
      <c r="Y82" s="66">
        <v>94.6</v>
      </c>
      <c r="Z82" s="15">
        <f t="shared" si="137"/>
        <v>-11.199999999999989</v>
      </c>
      <c r="AA82" s="3">
        <f t="shared" si="138"/>
        <v>-0.11839323467230432</v>
      </c>
      <c r="AB82" s="344">
        <v>-26.51</v>
      </c>
      <c r="AC82" s="384">
        <v>59.75</v>
      </c>
      <c r="AD82" s="22" t="s">
        <v>4290</v>
      </c>
      <c r="AE82" s="84">
        <v>44676</v>
      </c>
      <c r="AG82" s="33">
        <f t="shared" si="139"/>
        <v>-44676</v>
      </c>
      <c r="AH82" s="117" t="s">
        <v>4291</v>
      </c>
      <c r="AI82" s="63">
        <f t="shared" si="98"/>
        <v>5.949554896142433E-3</v>
      </c>
      <c r="AJ82" s="284">
        <f>RTD("money.excel",,$G82,"PredictVolume")</f>
        <v>2005</v>
      </c>
      <c r="AK82" s="400">
        <v>16.77</v>
      </c>
      <c r="AM82" s="245"/>
      <c r="AN82" s="245"/>
    </row>
    <row r="83" spans="1:40">
      <c r="A83" s="347">
        <v>8.0299999999999994</v>
      </c>
      <c r="B83" s="80">
        <v>-19</v>
      </c>
      <c r="C83" s="80">
        <v>-19</v>
      </c>
      <c r="D83" s="80">
        <v>-6</v>
      </c>
      <c r="E83" s="79">
        <v>29</v>
      </c>
      <c r="F83" s="79">
        <v>11.85</v>
      </c>
      <c r="G83" s="80">
        <v>3557</v>
      </c>
      <c r="H83" s="5" t="s">
        <v>1960</v>
      </c>
      <c r="I83" s="22" t="s">
        <v>445</v>
      </c>
      <c r="J83" s="102" t="s">
        <v>3543</v>
      </c>
      <c r="L83" s="156">
        <v>1</v>
      </c>
      <c r="M83" s="340">
        <v>0</v>
      </c>
      <c r="N83" s="240">
        <f t="shared" si="135"/>
        <v>1</v>
      </c>
      <c r="P83" s="365">
        <v>270</v>
      </c>
      <c r="Q83" s="79" t="s">
        <v>6289</v>
      </c>
      <c r="R83" s="346">
        <v>293</v>
      </c>
      <c r="S83" s="81" t="s">
        <v>6289</v>
      </c>
      <c r="T83" s="327">
        <v>318</v>
      </c>
      <c r="U83" s="393">
        <v>3</v>
      </c>
      <c r="V83" s="310">
        <f t="shared" si="136"/>
        <v>4.1322314049586778E-2</v>
      </c>
      <c r="W83" s="94">
        <v>7.88</v>
      </c>
      <c r="X83" s="36">
        <f>RTD("money.excel",,"3557","Price")</f>
        <v>72.599999999999994</v>
      </c>
      <c r="Y83" s="66">
        <v>73.3</v>
      </c>
      <c r="Z83" s="15">
        <f t="shared" si="137"/>
        <v>-0.70000000000000284</v>
      </c>
      <c r="AA83" s="3">
        <f t="shared" si="138"/>
        <v>-9.549795361528007E-3</v>
      </c>
      <c r="AB83" s="344">
        <v>-17.38</v>
      </c>
      <c r="AC83" s="384">
        <v>33.56</v>
      </c>
      <c r="AD83" s="22" t="s">
        <v>445</v>
      </c>
      <c r="AE83" s="84">
        <v>44676</v>
      </c>
      <c r="AG83" s="33">
        <f t="shared" si="139"/>
        <v>-44676</v>
      </c>
      <c r="AH83" s="43" t="s">
        <v>3404</v>
      </c>
      <c r="AI83" s="63">
        <f t="shared" si="98"/>
        <v>8.7173100871731012E-4</v>
      </c>
      <c r="AJ83" s="284">
        <f>RTD("money.excel",,$G83,"PredictVolume")</f>
        <v>70</v>
      </c>
      <c r="AK83" s="400">
        <v>2.84</v>
      </c>
      <c r="AM83" s="245"/>
      <c r="AN83" s="245"/>
    </row>
    <row r="84" spans="1:40">
      <c r="A84" s="347">
        <v>4.5</v>
      </c>
      <c r="B84" s="79">
        <v>120</v>
      </c>
      <c r="C84" s="79">
        <v>142</v>
      </c>
      <c r="D84" s="79">
        <v>19</v>
      </c>
      <c r="E84" s="80">
        <v>-2</v>
      </c>
      <c r="F84" s="79">
        <v>16.13</v>
      </c>
      <c r="G84" s="80">
        <v>5245</v>
      </c>
      <c r="H84" s="5" t="s">
        <v>1878</v>
      </c>
      <c r="I84" s="16" t="s">
        <v>4251</v>
      </c>
      <c r="J84" s="102" t="s">
        <v>3544</v>
      </c>
      <c r="L84" s="156">
        <v>1</v>
      </c>
      <c r="M84" s="340">
        <v>0</v>
      </c>
      <c r="N84" s="240">
        <f t="shared" si="135"/>
        <v>1</v>
      </c>
      <c r="P84" s="365">
        <v>130</v>
      </c>
      <c r="Q84" s="79">
        <v>210</v>
      </c>
      <c r="R84" s="346">
        <v>366</v>
      </c>
      <c r="S84" s="81">
        <v>334</v>
      </c>
      <c r="T84" s="327">
        <v>462</v>
      </c>
      <c r="U84" s="393">
        <v>4.5</v>
      </c>
      <c r="V84" s="310">
        <f t="shared" si="136"/>
        <v>7.0532915360501575E-2</v>
      </c>
      <c r="W84" s="94">
        <v>4.43</v>
      </c>
      <c r="X84" s="36">
        <f>RTD("money.excel",,"5245","Price")</f>
        <v>63.8</v>
      </c>
      <c r="Y84" s="66">
        <v>66.3</v>
      </c>
      <c r="Z84" s="15">
        <f>X84-Y84</f>
        <v>-2.5</v>
      </c>
      <c r="AA84" s="3">
        <f>Z84/Y84</f>
        <v>-3.7707390648567124E-2</v>
      </c>
      <c r="AB84" s="344">
        <v>-38.450000000000003</v>
      </c>
      <c r="AC84" s="384">
        <v>16.05</v>
      </c>
      <c r="AD84" s="16" t="s">
        <v>4251</v>
      </c>
      <c r="AE84" s="84">
        <v>44676</v>
      </c>
      <c r="AG84" s="33">
        <f>AF84-AE84</f>
        <v>-44676</v>
      </c>
      <c r="AH84" s="160" t="s">
        <v>4252</v>
      </c>
      <c r="AI84" s="63">
        <f t="shared" si="98"/>
        <v>2.3555555555555556E-3</v>
      </c>
      <c r="AJ84" s="284">
        <f>RTD("money.excel",,$G84,"PredictVolume")</f>
        <v>106</v>
      </c>
      <c r="AK84" s="400">
        <v>26.52</v>
      </c>
      <c r="AM84" s="245"/>
      <c r="AN84" s="245"/>
    </row>
    <row r="85" spans="1:40">
      <c r="A85" s="347">
        <v>14.2</v>
      </c>
      <c r="B85" s="79">
        <v>34</v>
      </c>
      <c r="C85" s="79">
        <v>30</v>
      </c>
      <c r="D85" s="79">
        <v>7</v>
      </c>
      <c r="E85" s="79">
        <v>3</v>
      </c>
      <c r="F85" s="79">
        <v>13.48</v>
      </c>
      <c r="G85" s="80">
        <v>4942</v>
      </c>
      <c r="H85" s="8" t="s">
        <v>1878</v>
      </c>
      <c r="I85" s="22" t="s">
        <v>4231</v>
      </c>
      <c r="J85" s="102" t="s">
        <v>3544</v>
      </c>
      <c r="L85" s="156">
        <v>1</v>
      </c>
      <c r="M85" s="340">
        <v>0</v>
      </c>
      <c r="N85" s="240">
        <f t="shared" ref="N85:N88" si="140">L85-M85</f>
        <v>1</v>
      </c>
      <c r="P85" s="365">
        <v>851</v>
      </c>
      <c r="Q85" s="79">
        <v>502</v>
      </c>
      <c r="R85" s="346">
        <v>375</v>
      </c>
      <c r="S85" s="81">
        <v>491</v>
      </c>
      <c r="T85" s="327">
        <v>515</v>
      </c>
      <c r="U85" s="393">
        <v>3</v>
      </c>
      <c r="V85" s="310">
        <f t="shared" ref="V85:V88" si="141">U85/X85</f>
        <v>6.9124423963133647E-2</v>
      </c>
      <c r="W85" s="94">
        <v>6.38</v>
      </c>
      <c r="X85" s="36">
        <f>RTD("money.excel",,"4942","Price")</f>
        <v>43.4</v>
      </c>
      <c r="Y85" s="66">
        <v>46.15</v>
      </c>
      <c r="Z85" s="15">
        <f t="shared" ref="Z85:Z88" si="142">X85-Y85</f>
        <v>-2.75</v>
      </c>
      <c r="AA85" s="3">
        <f t="shared" ref="AA85:AA88" si="143">Z85/Y85</f>
        <v>-5.9588299024918745E-2</v>
      </c>
      <c r="AB85" s="344">
        <v>-16.22</v>
      </c>
      <c r="AC85" s="384">
        <v>27.52</v>
      </c>
      <c r="AD85" s="22" t="s">
        <v>4231</v>
      </c>
      <c r="AE85" s="84">
        <v>44676</v>
      </c>
      <c r="AG85" s="33">
        <f t="shared" ref="AG85:AG88" si="144">AF85-AE85</f>
        <v>-44676</v>
      </c>
      <c r="AH85" s="43" t="s">
        <v>2584</v>
      </c>
      <c r="AI85" s="63">
        <f t="shared" si="98"/>
        <v>2.556338028169014E-3</v>
      </c>
      <c r="AJ85" s="284">
        <f>RTD("money.excel",,$G85,"PredictVolume")</f>
        <v>363</v>
      </c>
      <c r="AK85" s="400">
        <v>5.33</v>
      </c>
      <c r="AM85" s="245"/>
      <c r="AN85" s="245"/>
    </row>
    <row r="86" spans="1:40">
      <c r="A86" s="347">
        <v>12</v>
      </c>
      <c r="B86" s="79">
        <v>226</v>
      </c>
      <c r="C86" s="79">
        <v>242</v>
      </c>
      <c r="D86" s="79">
        <v>2</v>
      </c>
      <c r="E86" s="79">
        <v>20</v>
      </c>
      <c r="F86" s="79">
        <v>36.65</v>
      </c>
      <c r="G86" s="80">
        <v>8016</v>
      </c>
      <c r="H86" s="236" t="s">
        <v>3039</v>
      </c>
      <c r="I86" s="22" t="s">
        <v>4067</v>
      </c>
      <c r="J86" s="8" t="s">
        <v>3545</v>
      </c>
      <c r="L86" s="156">
        <v>1</v>
      </c>
      <c r="M86" s="340">
        <v>0</v>
      </c>
      <c r="N86" s="240">
        <f t="shared" si="140"/>
        <v>1</v>
      </c>
      <c r="P86" s="365">
        <v>201</v>
      </c>
      <c r="Q86" s="79">
        <v>287</v>
      </c>
      <c r="R86" s="346">
        <v>208</v>
      </c>
      <c r="S86" s="81">
        <v>186</v>
      </c>
      <c r="T86" s="327">
        <v>124</v>
      </c>
      <c r="U86" s="393">
        <v>32</v>
      </c>
      <c r="V86" s="310">
        <f t="shared" si="141"/>
        <v>0.13168724279835392</v>
      </c>
      <c r="W86" s="94">
        <v>50.03</v>
      </c>
      <c r="X86" s="36">
        <f>RTD("money.excel",,"8016","Price")</f>
        <v>243</v>
      </c>
      <c r="Y86" s="66">
        <v>258</v>
      </c>
      <c r="Z86" s="15">
        <f t="shared" si="142"/>
        <v>-15</v>
      </c>
      <c r="AA86" s="3">
        <f t="shared" si="143"/>
        <v>-5.8139534883720929E-2</v>
      </c>
      <c r="AB86" s="344">
        <v>-37.090000000000003</v>
      </c>
      <c r="AC86" s="384">
        <v>21.03</v>
      </c>
      <c r="AD86" s="22" t="s">
        <v>4067</v>
      </c>
      <c r="AE86" s="84">
        <v>44676</v>
      </c>
      <c r="AG86" s="33">
        <f t="shared" si="144"/>
        <v>-44676</v>
      </c>
      <c r="AH86" s="117" t="s">
        <v>2775</v>
      </c>
      <c r="AI86" s="63">
        <f t="shared" si="98"/>
        <v>5.8999999999999999E-3</v>
      </c>
      <c r="AJ86" s="284">
        <f>RTD("money.excel",,$G86,"PredictVolume")</f>
        <v>708</v>
      </c>
      <c r="AK86" s="400">
        <v>15.87</v>
      </c>
      <c r="AM86" s="245"/>
      <c r="AN86" s="245"/>
    </row>
    <row r="87" spans="1:40">
      <c r="A87" s="347">
        <v>72.7</v>
      </c>
      <c r="B87" s="79">
        <v>113</v>
      </c>
      <c r="C87" s="79">
        <v>55</v>
      </c>
      <c r="D87" s="79">
        <v>12</v>
      </c>
      <c r="E87" s="79">
        <v>0</v>
      </c>
      <c r="F87" s="79">
        <v>20.3</v>
      </c>
      <c r="G87" s="80">
        <v>8150</v>
      </c>
      <c r="H87" s="5" t="s">
        <v>3039</v>
      </c>
      <c r="I87" s="22" t="s">
        <v>276</v>
      </c>
      <c r="J87" s="8" t="s">
        <v>3545</v>
      </c>
      <c r="L87" s="156">
        <v>1</v>
      </c>
      <c r="M87" s="340">
        <v>0</v>
      </c>
      <c r="N87" s="240">
        <f t="shared" si="140"/>
        <v>1</v>
      </c>
      <c r="P87" s="365">
        <v>811</v>
      </c>
      <c r="Q87" s="79">
        <v>231</v>
      </c>
      <c r="R87" s="346">
        <v>113</v>
      </c>
      <c r="S87" s="81">
        <v>217</v>
      </c>
      <c r="T87" s="327">
        <v>318</v>
      </c>
      <c r="U87" s="393">
        <v>4.3</v>
      </c>
      <c r="V87" s="310">
        <f t="shared" si="141"/>
        <v>9.3784078516902944E-2</v>
      </c>
      <c r="W87" s="94">
        <v>6.96</v>
      </c>
      <c r="X87" s="36">
        <f>RTD("money.excel",,"8150","Price")</f>
        <v>45.85</v>
      </c>
      <c r="Y87" s="66">
        <v>47.8</v>
      </c>
      <c r="Z87" s="15">
        <f t="shared" si="142"/>
        <v>-1.9499999999999957</v>
      </c>
      <c r="AA87" s="3">
        <f t="shared" si="143"/>
        <v>-4.079497907949782E-2</v>
      </c>
      <c r="AB87" s="344">
        <v>-22.85</v>
      </c>
      <c r="AC87" s="384">
        <v>47.02</v>
      </c>
      <c r="AD87" s="22" t="s">
        <v>276</v>
      </c>
      <c r="AE87" s="84">
        <v>44676</v>
      </c>
      <c r="AG87" s="33">
        <f t="shared" si="144"/>
        <v>-44676</v>
      </c>
      <c r="AH87" s="117" t="s">
        <v>2298</v>
      </c>
      <c r="AI87" s="63">
        <f t="shared" si="98"/>
        <v>4.6354883081155436E-3</v>
      </c>
      <c r="AJ87" s="284">
        <f>RTD("money.excel",,$G87,"PredictVolume")</f>
        <v>3370</v>
      </c>
      <c r="AK87" s="400">
        <v>11.26</v>
      </c>
      <c r="AM87" s="245"/>
      <c r="AN87" s="245"/>
    </row>
    <row r="88" spans="1:40">
      <c r="A88" s="347">
        <v>18.399999999999999</v>
      </c>
      <c r="B88" s="79">
        <v>60</v>
      </c>
      <c r="C88" s="79">
        <v>53</v>
      </c>
      <c r="D88" s="79">
        <v>9</v>
      </c>
      <c r="E88" s="80">
        <v>-16</v>
      </c>
      <c r="F88" s="79">
        <v>29.28</v>
      </c>
      <c r="G88" s="80">
        <v>2455</v>
      </c>
      <c r="H88" s="236" t="s">
        <v>4315</v>
      </c>
      <c r="I88" s="22" t="s">
        <v>4333</v>
      </c>
      <c r="J88" s="8" t="s">
        <v>6245</v>
      </c>
      <c r="L88" s="156">
        <v>2</v>
      </c>
      <c r="M88" s="340">
        <v>0</v>
      </c>
      <c r="N88" s="240">
        <f t="shared" si="140"/>
        <v>2</v>
      </c>
      <c r="P88" s="365">
        <v>182</v>
      </c>
      <c r="Q88" s="79">
        <v>82</v>
      </c>
      <c r="R88" s="346">
        <v>191</v>
      </c>
      <c r="S88" s="81">
        <v>209</v>
      </c>
      <c r="T88" s="327">
        <v>76</v>
      </c>
      <c r="U88" s="393">
        <v>4</v>
      </c>
      <c r="V88" s="310">
        <f t="shared" si="141"/>
        <v>4.5146726862302484E-2</v>
      </c>
      <c r="W88" s="94">
        <v>4.62</v>
      </c>
      <c r="X88" s="36">
        <f>RTD("money.excel",,"2455","Price")</f>
        <v>88.6</v>
      </c>
      <c r="Y88" s="66">
        <v>94.8</v>
      </c>
      <c r="Z88" s="15">
        <f t="shared" si="142"/>
        <v>-6.2000000000000028</v>
      </c>
      <c r="AA88" s="3">
        <f t="shared" si="143"/>
        <v>-6.5400843881856574E-2</v>
      </c>
      <c r="AB88" s="344">
        <v>-40.43</v>
      </c>
      <c r="AC88" s="384">
        <v>13.61</v>
      </c>
      <c r="AD88" s="22" t="s">
        <v>4333</v>
      </c>
      <c r="AE88" s="84">
        <v>44676</v>
      </c>
      <c r="AG88" s="33">
        <f t="shared" si="144"/>
        <v>-44676</v>
      </c>
      <c r="AH88" s="117" t="s">
        <v>2325</v>
      </c>
      <c r="AI88" s="63">
        <f t="shared" ref="AI88:AI102" si="145">AJ88/(A88*10000)</f>
        <v>7.2934782608695655E-3</v>
      </c>
      <c r="AJ88" s="284">
        <f>RTD("money.excel",,$G88,"PredictVolume")</f>
        <v>1342</v>
      </c>
      <c r="AK88" s="400">
        <v>10.119999999999999</v>
      </c>
      <c r="AM88" s="245"/>
      <c r="AN88" s="245"/>
    </row>
    <row r="89" spans="1:40">
      <c r="A89" s="347">
        <v>46.5</v>
      </c>
      <c r="B89" s="80">
        <v>-1</v>
      </c>
      <c r="C89" s="80">
        <v>-5</v>
      </c>
      <c r="D89" s="79">
        <v>40</v>
      </c>
      <c r="E89" s="79">
        <v>15</v>
      </c>
      <c r="F89" s="79">
        <v>13.29</v>
      </c>
      <c r="G89" s="79">
        <v>6176</v>
      </c>
      <c r="H89" s="192" t="s">
        <v>1878</v>
      </c>
      <c r="I89" s="22" t="s">
        <v>4272</v>
      </c>
      <c r="J89" s="102" t="s">
        <v>6233</v>
      </c>
      <c r="L89" s="156">
        <v>2</v>
      </c>
      <c r="M89" s="340">
        <v>0</v>
      </c>
      <c r="N89" s="240">
        <f t="shared" ref="N89:N91" si="146">L89-M89</f>
        <v>2</v>
      </c>
      <c r="P89" s="365">
        <v>1072</v>
      </c>
      <c r="Q89" s="79">
        <v>4</v>
      </c>
      <c r="R89" s="346">
        <v>176</v>
      </c>
      <c r="S89" s="81">
        <v>32</v>
      </c>
      <c r="T89" s="327">
        <v>62</v>
      </c>
      <c r="U89" s="393">
        <v>8</v>
      </c>
      <c r="V89" s="310">
        <f t="shared" ref="V89:V91" si="147">U89/X89</f>
        <v>0.08</v>
      </c>
      <c r="W89" s="94">
        <v>11.16</v>
      </c>
      <c r="X89" s="36">
        <f>RTD("money.excel",,"6176","Price")</f>
        <v>100</v>
      </c>
      <c r="Y89" s="66">
        <v>105.5</v>
      </c>
      <c r="Z89" s="15">
        <f t="shared" ref="Z89:Z91" si="148">X89-Y89</f>
        <v>-5.5</v>
      </c>
      <c r="AA89" s="3">
        <f t="shared" ref="AA89:AA91" si="149">Z89/Y89</f>
        <v>-5.2132701421800945E-2</v>
      </c>
      <c r="AB89" s="344">
        <v>-18.39</v>
      </c>
      <c r="AC89" s="384">
        <v>74.14</v>
      </c>
      <c r="AD89" s="22" t="s">
        <v>4272</v>
      </c>
      <c r="AE89" s="84">
        <v>44673</v>
      </c>
      <c r="AG89" s="33">
        <f t="shared" ref="AG89:AG91" si="150">AF89-AE89</f>
        <v>-44673</v>
      </c>
      <c r="AH89" s="117" t="s">
        <v>4195</v>
      </c>
      <c r="AI89" s="63">
        <f t="shared" si="145"/>
        <v>3.7655913978494626E-3</v>
      </c>
      <c r="AJ89" s="284">
        <f>RTD("money.excel",,$G89,"PredictVolume")</f>
        <v>1751</v>
      </c>
      <c r="AK89" s="400">
        <v>3.84</v>
      </c>
      <c r="AM89" s="245"/>
      <c r="AN89" s="245"/>
    </row>
    <row r="90" spans="1:40">
      <c r="A90" s="347">
        <v>28.6</v>
      </c>
      <c r="B90" s="79">
        <v>364</v>
      </c>
      <c r="C90" s="79">
        <v>408</v>
      </c>
      <c r="D90" s="79">
        <v>16</v>
      </c>
      <c r="E90" s="80">
        <v>-4</v>
      </c>
      <c r="F90" s="79">
        <v>24.64</v>
      </c>
      <c r="G90" s="80">
        <v>3006</v>
      </c>
      <c r="H90" s="5" t="s">
        <v>3039</v>
      </c>
      <c r="I90" s="22" t="s">
        <v>95</v>
      </c>
      <c r="J90" s="8" t="s">
        <v>3545</v>
      </c>
      <c r="L90" s="156">
        <v>1</v>
      </c>
      <c r="M90" s="340">
        <v>0</v>
      </c>
      <c r="N90" s="240">
        <f t="shared" si="146"/>
        <v>1</v>
      </c>
      <c r="P90" s="365">
        <v>26</v>
      </c>
      <c r="Q90" s="79">
        <v>1054</v>
      </c>
      <c r="R90" s="346">
        <v>380</v>
      </c>
      <c r="S90" s="81">
        <v>172</v>
      </c>
      <c r="T90" s="327">
        <v>90</v>
      </c>
      <c r="U90" s="393">
        <v>8</v>
      </c>
      <c r="V90" s="310">
        <f t="shared" si="147"/>
        <v>6.8376068376068383E-2</v>
      </c>
      <c r="W90" s="94">
        <v>17.760000000000002</v>
      </c>
      <c r="X90" s="36">
        <f>RTD("money.excel",,"3006","Price")</f>
        <v>117</v>
      </c>
      <c r="Y90" s="66">
        <v>129</v>
      </c>
      <c r="Z90" s="15">
        <f t="shared" si="148"/>
        <v>-12</v>
      </c>
      <c r="AA90" s="3">
        <f t="shared" si="149"/>
        <v>-9.3023255813953487E-2</v>
      </c>
      <c r="AB90" s="344">
        <v>-37.56</v>
      </c>
      <c r="AC90" s="384">
        <v>28.49</v>
      </c>
      <c r="AD90" s="22" t="s">
        <v>95</v>
      </c>
      <c r="AE90" s="84">
        <v>44673</v>
      </c>
      <c r="AG90" s="33">
        <f t="shared" si="150"/>
        <v>-44673</v>
      </c>
      <c r="AH90" s="117" t="s">
        <v>2129</v>
      </c>
      <c r="AI90" s="63">
        <f t="shared" si="145"/>
        <v>2.7087412587412589E-2</v>
      </c>
      <c r="AJ90" s="284">
        <f>RTD("money.excel",,$G90,"PredictVolume")</f>
        <v>7747</v>
      </c>
      <c r="AK90" s="400">
        <v>38.299999999999997</v>
      </c>
      <c r="AM90" s="245"/>
      <c r="AN90" s="245"/>
    </row>
    <row r="91" spans="1:40">
      <c r="A91" s="347">
        <v>88.1</v>
      </c>
      <c r="B91" s="80">
        <v>-7</v>
      </c>
      <c r="C91" s="80">
        <v>-9</v>
      </c>
      <c r="D91" s="79">
        <v>29</v>
      </c>
      <c r="E91" s="79">
        <v>21</v>
      </c>
      <c r="F91" s="79">
        <v>9.06</v>
      </c>
      <c r="G91" s="80">
        <v>9910</v>
      </c>
      <c r="H91" s="8" t="s">
        <v>235</v>
      </c>
      <c r="I91" s="22" t="s">
        <v>4614</v>
      </c>
      <c r="J91" s="102" t="s">
        <v>3545</v>
      </c>
      <c r="L91" s="156">
        <v>1</v>
      </c>
      <c r="M91" s="340">
        <v>0</v>
      </c>
      <c r="N91" s="240">
        <f t="shared" si="146"/>
        <v>1</v>
      </c>
      <c r="P91" s="365">
        <v>1427</v>
      </c>
      <c r="Q91" s="79">
        <v>739</v>
      </c>
      <c r="R91" s="346">
        <v>303</v>
      </c>
      <c r="S91" s="81">
        <v>201</v>
      </c>
      <c r="T91" s="327">
        <v>202</v>
      </c>
      <c r="U91" s="393">
        <v>4.0999999999999996</v>
      </c>
      <c r="V91" s="310">
        <f t="shared" si="147"/>
        <v>2.3837209302325579E-2</v>
      </c>
      <c r="W91" s="94">
        <v>5.15</v>
      </c>
      <c r="X91" s="36">
        <f>RTD("money.excel",,"9910","Price")</f>
        <v>172</v>
      </c>
      <c r="Y91" s="66">
        <v>191.5</v>
      </c>
      <c r="Z91" s="15">
        <f t="shared" si="148"/>
        <v>-19.5</v>
      </c>
      <c r="AA91" s="3">
        <f t="shared" si="149"/>
        <v>-0.10182767624020887</v>
      </c>
      <c r="AB91" s="344">
        <v>-23.97</v>
      </c>
      <c r="AC91" s="384">
        <v>33.44</v>
      </c>
      <c r="AD91" s="22" t="s">
        <v>4614</v>
      </c>
      <c r="AE91" s="84">
        <v>44673</v>
      </c>
      <c r="AG91" s="33">
        <f t="shared" si="150"/>
        <v>-44673</v>
      </c>
      <c r="AH91" s="117" t="s">
        <v>1420</v>
      </c>
      <c r="AI91" s="63">
        <f t="shared" si="145"/>
        <v>1.0567536889897844E-3</v>
      </c>
      <c r="AJ91" s="284">
        <f>RTD("money.excel",,$G91,"PredictVolume")</f>
        <v>931</v>
      </c>
      <c r="AK91" s="400">
        <v>0.38</v>
      </c>
      <c r="AM91" s="245"/>
      <c r="AN91" s="245"/>
    </row>
    <row r="92" spans="1:40">
      <c r="A92" s="347">
        <v>20</v>
      </c>
      <c r="B92" s="79">
        <v>32</v>
      </c>
      <c r="C92" s="79">
        <v>37</v>
      </c>
      <c r="D92" s="79">
        <v>65</v>
      </c>
      <c r="E92" s="79">
        <v>18</v>
      </c>
      <c r="F92" s="79">
        <v>32.35</v>
      </c>
      <c r="G92" s="80">
        <v>1590</v>
      </c>
      <c r="H92" s="193" t="s">
        <v>295</v>
      </c>
      <c r="I92" s="22" t="s">
        <v>127</v>
      </c>
      <c r="J92" s="102" t="s">
        <v>4720</v>
      </c>
      <c r="L92" s="156">
        <v>1</v>
      </c>
      <c r="M92" s="340">
        <v>0</v>
      </c>
      <c r="N92" s="240">
        <f t="shared" ref="N92:N95" si="151">L92-M92</f>
        <v>1</v>
      </c>
      <c r="P92" s="365">
        <v>1267</v>
      </c>
      <c r="Q92" s="79">
        <v>739</v>
      </c>
      <c r="R92" s="346">
        <v>7</v>
      </c>
      <c r="S92" s="81">
        <v>221</v>
      </c>
      <c r="T92" s="327">
        <v>482</v>
      </c>
      <c r="U92" s="393">
        <v>13.31</v>
      </c>
      <c r="V92" s="310">
        <f t="shared" ref="V92:V95" si="152">U92/X92</f>
        <v>1.6094316807738814E-2</v>
      </c>
      <c r="W92" s="94">
        <v>33.979999999999997</v>
      </c>
      <c r="X92" s="372">
        <f>RTD("money.excel",,"1590","Price")</f>
        <v>827</v>
      </c>
      <c r="Y92" s="66">
        <v>854</v>
      </c>
      <c r="Z92" s="137">
        <f t="shared" ref="Z92:Z95" si="153">X92-Y92</f>
        <v>-27</v>
      </c>
      <c r="AA92" s="3">
        <f t="shared" ref="AA92:AA95" si="154">Z92/Y92</f>
        <v>-3.161592505854801E-2</v>
      </c>
      <c r="AB92" s="344">
        <v>-26.69</v>
      </c>
      <c r="AC92" s="384">
        <v>43.97</v>
      </c>
      <c r="AD92" s="22" t="s">
        <v>127</v>
      </c>
      <c r="AE92" s="84">
        <v>44673</v>
      </c>
      <c r="AG92" s="33">
        <f t="shared" ref="AG92:AG95" si="155">AF92-AE92</f>
        <v>-44673</v>
      </c>
      <c r="AH92" s="117" t="s">
        <v>2536</v>
      </c>
      <c r="AI92" s="63">
        <f t="shared" si="145"/>
        <v>2.7650000000000001E-3</v>
      </c>
      <c r="AJ92" s="284">
        <f>RTD("money.excel",,$G92,"PredictVolume")</f>
        <v>553</v>
      </c>
      <c r="AK92" s="400">
        <v>1.63</v>
      </c>
      <c r="AM92" s="245"/>
      <c r="AN92" s="245"/>
    </row>
    <row r="93" spans="1:40">
      <c r="A93" s="347">
        <v>11.8</v>
      </c>
      <c r="B93" s="80">
        <v>-12</v>
      </c>
      <c r="C93" s="80">
        <v>-14</v>
      </c>
      <c r="D93" s="79">
        <v>13</v>
      </c>
      <c r="E93" s="80">
        <v>-32</v>
      </c>
      <c r="F93" s="79">
        <v>20.16</v>
      </c>
      <c r="G93" s="80">
        <v>8436</v>
      </c>
      <c r="H93" s="145" t="s">
        <v>309</v>
      </c>
      <c r="I93" s="16" t="s">
        <v>3874</v>
      </c>
      <c r="J93" s="102" t="s">
        <v>4720</v>
      </c>
      <c r="L93" s="156">
        <v>1</v>
      </c>
      <c r="M93" s="340">
        <v>0</v>
      </c>
      <c r="N93" s="240">
        <f t="shared" si="151"/>
        <v>1</v>
      </c>
      <c r="P93" s="365">
        <v>509</v>
      </c>
      <c r="Q93" s="79">
        <v>217</v>
      </c>
      <c r="R93" s="346">
        <v>168</v>
      </c>
      <c r="S93" s="81">
        <v>284</v>
      </c>
      <c r="T93" s="327">
        <v>560</v>
      </c>
      <c r="U93" s="393">
        <v>8.8800000000000008</v>
      </c>
      <c r="V93" s="310">
        <f t="shared" si="152"/>
        <v>6.0000000000000005E-2</v>
      </c>
      <c r="W93" s="94">
        <v>13.18</v>
      </c>
      <c r="X93" s="36">
        <f>RTD("money.excel",,"8436","Price")</f>
        <v>148</v>
      </c>
      <c r="Y93" s="66">
        <v>176</v>
      </c>
      <c r="Z93" s="15">
        <f t="shared" si="153"/>
        <v>-28</v>
      </c>
      <c r="AA93" s="3">
        <f t="shared" si="154"/>
        <v>-0.15909090909090909</v>
      </c>
      <c r="AB93" s="344">
        <v>-48.86</v>
      </c>
      <c r="AC93" s="384">
        <v>16.07</v>
      </c>
      <c r="AD93" s="16" t="s">
        <v>3874</v>
      </c>
      <c r="AE93" s="84">
        <v>44673</v>
      </c>
      <c r="AG93" s="33">
        <f t="shared" si="155"/>
        <v>-44673</v>
      </c>
      <c r="AH93" s="117" t="s">
        <v>3875</v>
      </c>
      <c r="AI93" s="63">
        <f t="shared" si="145"/>
        <v>5.9322033898305086E-3</v>
      </c>
      <c r="AJ93" s="284">
        <f>RTD("money.excel",,$G93,"PredictVolume")</f>
        <v>700</v>
      </c>
      <c r="AK93" s="400">
        <v>10.15</v>
      </c>
      <c r="AM93" s="245"/>
      <c r="AN93" s="245"/>
    </row>
    <row r="94" spans="1:40">
      <c r="A94" s="347">
        <v>6.22</v>
      </c>
      <c r="B94" s="79">
        <v>80</v>
      </c>
      <c r="C94" s="79">
        <v>24</v>
      </c>
      <c r="D94" s="79">
        <v>60</v>
      </c>
      <c r="E94" s="79">
        <v>29</v>
      </c>
      <c r="F94" s="79">
        <v>12.59</v>
      </c>
      <c r="G94" s="79">
        <v>3491</v>
      </c>
      <c r="H94" s="5" t="s">
        <v>4315</v>
      </c>
      <c r="I94" s="16" t="s">
        <v>4368</v>
      </c>
      <c r="J94" s="8" t="s">
        <v>3543</v>
      </c>
      <c r="L94" s="156">
        <v>1</v>
      </c>
      <c r="M94" s="340">
        <v>0</v>
      </c>
      <c r="N94" s="240">
        <f t="shared" si="151"/>
        <v>1</v>
      </c>
      <c r="P94" s="365">
        <v>104</v>
      </c>
      <c r="Q94" s="79">
        <v>224</v>
      </c>
      <c r="R94" s="346">
        <v>419</v>
      </c>
      <c r="S94" s="81">
        <v>96</v>
      </c>
      <c r="T94" s="327">
        <v>52</v>
      </c>
      <c r="U94" s="393">
        <v>4</v>
      </c>
      <c r="V94" s="310">
        <f t="shared" si="152"/>
        <v>2.9629629629629631E-2</v>
      </c>
      <c r="W94" s="94">
        <v>3.81</v>
      </c>
      <c r="X94" s="36">
        <f>RTD("money.excel",,"3491","Price")</f>
        <v>135</v>
      </c>
      <c r="Y94" s="66">
        <v>169.5</v>
      </c>
      <c r="Z94" s="15">
        <f t="shared" si="153"/>
        <v>-34.5</v>
      </c>
      <c r="AA94" s="3">
        <f t="shared" si="154"/>
        <v>-0.20353982300884957</v>
      </c>
      <c r="AB94" s="344">
        <v>-24.24</v>
      </c>
      <c r="AC94" s="384">
        <v>58.58</v>
      </c>
      <c r="AD94" s="16" t="s">
        <v>4368</v>
      </c>
      <c r="AE94" s="84">
        <v>44673</v>
      </c>
      <c r="AG94" s="33">
        <f t="shared" si="155"/>
        <v>-44673</v>
      </c>
      <c r="AH94" s="117" t="s">
        <v>4369</v>
      </c>
      <c r="AI94" s="63">
        <f t="shared" si="145"/>
        <v>2.6543408360128619E-2</v>
      </c>
      <c r="AJ94" s="284">
        <f>RTD("money.excel",,$G94,"PredictVolume")</f>
        <v>1651</v>
      </c>
      <c r="AK94" s="400">
        <v>37.909999999999997</v>
      </c>
      <c r="AM94" s="245"/>
      <c r="AN94" s="245"/>
    </row>
    <row r="95" spans="1:40">
      <c r="A95" s="347">
        <v>18.2</v>
      </c>
      <c r="B95" s="79">
        <v>126</v>
      </c>
      <c r="C95" s="79">
        <v>103</v>
      </c>
      <c r="D95" s="79">
        <v>18</v>
      </c>
      <c r="E95" s="79">
        <v>11</v>
      </c>
      <c r="F95" s="79">
        <v>10.99</v>
      </c>
      <c r="G95" s="79">
        <v>2351</v>
      </c>
      <c r="H95" s="192" t="s">
        <v>3039</v>
      </c>
      <c r="I95" s="22" t="s">
        <v>61</v>
      </c>
      <c r="J95" s="8" t="s">
        <v>3543</v>
      </c>
      <c r="L95" s="156">
        <v>1</v>
      </c>
      <c r="M95" s="340">
        <v>0</v>
      </c>
      <c r="N95" s="240">
        <f t="shared" si="151"/>
        <v>1</v>
      </c>
      <c r="P95" s="365">
        <v>714</v>
      </c>
      <c r="Q95" s="79">
        <v>693</v>
      </c>
      <c r="R95" s="346">
        <v>298</v>
      </c>
      <c r="S95" s="81">
        <v>21</v>
      </c>
      <c r="T95" s="327">
        <v>117</v>
      </c>
      <c r="U95" s="393">
        <v>3</v>
      </c>
      <c r="V95" s="310">
        <f t="shared" si="152"/>
        <v>2.2813688212927757E-2</v>
      </c>
      <c r="W95" s="94">
        <v>4.68</v>
      </c>
      <c r="X95" s="36">
        <f>RTD("money.excel",,"2351","Price")</f>
        <v>131.5</v>
      </c>
      <c r="Y95" s="66">
        <v>143.5</v>
      </c>
      <c r="Z95" s="15">
        <f t="shared" si="153"/>
        <v>-12</v>
      </c>
      <c r="AA95" s="3">
        <f t="shared" si="154"/>
        <v>-8.3623693379790948E-2</v>
      </c>
      <c r="AB95" s="344">
        <v>-27.25</v>
      </c>
      <c r="AC95" s="384">
        <v>38.29</v>
      </c>
      <c r="AD95" s="22" t="s">
        <v>61</v>
      </c>
      <c r="AE95" s="84">
        <v>44673</v>
      </c>
      <c r="AG95" s="33">
        <f t="shared" si="155"/>
        <v>-44673</v>
      </c>
      <c r="AH95" s="117" t="s">
        <v>3368</v>
      </c>
      <c r="AI95" s="63">
        <f t="shared" si="145"/>
        <v>5.1098901098901098E-3</v>
      </c>
      <c r="AJ95" s="284">
        <f>RTD("money.excel",,$G95,"PredictVolume")</f>
        <v>930</v>
      </c>
      <c r="AK95" s="400">
        <v>16.02</v>
      </c>
      <c r="AM95" s="245"/>
      <c r="AN95" s="245"/>
    </row>
    <row r="96" spans="1:40">
      <c r="A96" s="347">
        <v>6.08</v>
      </c>
      <c r="B96" s="79">
        <v>13</v>
      </c>
      <c r="C96" s="80">
        <v>-14</v>
      </c>
      <c r="D96" s="79">
        <v>19</v>
      </c>
      <c r="E96" s="80">
        <v>-21</v>
      </c>
      <c r="F96" s="79">
        <v>12</v>
      </c>
      <c r="G96" s="80">
        <v>4190</v>
      </c>
      <c r="H96" s="5" t="s">
        <v>6250</v>
      </c>
      <c r="I96" s="22" t="s">
        <v>3794</v>
      </c>
      <c r="J96" s="102" t="s">
        <v>3543</v>
      </c>
      <c r="L96" s="2">
        <v>1</v>
      </c>
      <c r="M96" s="340">
        <v>0</v>
      </c>
      <c r="N96" s="240">
        <f t="shared" ref="N96:N98" si="156">L96-M96</f>
        <v>1</v>
      </c>
      <c r="P96" s="365">
        <v>708</v>
      </c>
      <c r="Q96" s="79">
        <v>622</v>
      </c>
      <c r="R96" s="346">
        <v>40</v>
      </c>
      <c r="S96" s="81" t="s">
        <v>6289</v>
      </c>
      <c r="T96" s="327">
        <v>910</v>
      </c>
      <c r="U96" s="393">
        <v>3.5</v>
      </c>
      <c r="V96" s="310">
        <f>U96/X96</f>
        <v>5.0872093023255814E-2</v>
      </c>
      <c r="W96" s="94">
        <v>4.99</v>
      </c>
      <c r="X96" s="36">
        <f>RTD("money.excel",,"4190","Price")</f>
        <v>68.8</v>
      </c>
      <c r="Y96" s="66">
        <v>69.400000000000006</v>
      </c>
      <c r="Z96" s="15">
        <f>X96-Y96</f>
        <v>-0.60000000000000853</v>
      </c>
      <c r="AA96" s="3">
        <f>Z96/Y96</f>
        <v>-8.6455331412104968E-3</v>
      </c>
      <c r="AB96" s="344">
        <v>-16.97</v>
      </c>
      <c r="AC96" s="384">
        <v>66.92</v>
      </c>
      <c r="AD96" s="22" t="s">
        <v>3794</v>
      </c>
      <c r="AE96" s="84">
        <v>44673</v>
      </c>
      <c r="AG96" s="33">
        <f>AF96-AE96</f>
        <v>-44673</v>
      </c>
      <c r="AH96" s="43" t="s">
        <v>3795</v>
      </c>
      <c r="AI96" s="63">
        <f t="shared" si="145"/>
        <v>2.4671052631578948E-4</v>
      </c>
      <c r="AJ96" s="284">
        <f>RTD("money.excel",,$G96,"PredictVolume")</f>
        <v>15</v>
      </c>
      <c r="AK96" s="400">
        <v>3.27</v>
      </c>
      <c r="AM96" s="245"/>
      <c r="AN96" s="245"/>
    </row>
    <row r="97" spans="1:40">
      <c r="A97" s="347">
        <v>7.49</v>
      </c>
      <c r="B97" s="80">
        <v>-20</v>
      </c>
      <c r="C97" s="80">
        <v>-6</v>
      </c>
      <c r="D97" s="79">
        <v>10</v>
      </c>
      <c r="E97" s="80">
        <v>-16</v>
      </c>
      <c r="F97" s="79">
        <v>10.63</v>
      </c>
      <c r="G97" s="80">
        <v>9951</v>
      </c>
      <c r="H97" s="8" t="s">
        <v>295</v>
      </c>
      <c r="I97" s="16" t="s">
        <v>224</v>
      </c>
      <c r="J97" s="102" t="s">
        <v>3543</v>
      </c>
      <c r="L97" s="156">
        <v>1</v>
      </c>
      <c r="M97" s="340">
        <v>0</v>
      </c>
      <c r="N97" s="240">
        <f t="shared" si="156"/>
        <v>1</v>
      </c>
      <c r="P97" s="365">
        <v>829</v>
      </c>
      <c r="Q97" s="79">
        <v>577</v>
      </c>
      <c r="R97" s="346">
        <v>562</v>
      </c>
      <c r="S97" s="81" t="s">
        <v>6289</v>
      </c>
      <c r="T97" s="327">
        <v>910</v>
      </c>
      <c r="U97" s="393">
        <v>3.3</v>
      </c>
      <c r="V97" s="310">
        <f t="shared" ref="V97:V98" si="157">U97/X97</f>
        <v>4.8888888888888885E-2</v>
      </c>
      <c r="W97" s="94">
        <v>5.33</v>
      </c>
      <c r="X97" s="36">
        <f>RTD("money.excel",,"9951","Price")</f>
        <v>67.5</v>
      </c>
      <c r="Y97" s="66">
        <v>73.099999999999994</v>
      </c>
      <c r="Z97" s="15">
        <f t="shared" ref="Z97:Z98" si="158">X97-Y97</f>
        <v>-5.5999999999999943</v>
      </c>
      <c r="AA97" s="3">
        <f t="shared" ref="AA97:AA98" si="159">Z97/Y97</f>
        <v>-7.6607387140902802E-2</v>
      </c>
      <c r="AB97" s="344">
        <v>-28.54</v>
      </c>
      <c r="AC97" s="384">
        <v>19.18</v>
      </c>
      <c r="AD97" s="16" t="s">
        <v>224</v>
      </c>
      <c r="AE97" s="84">
        <v>44673</v>
      </c>
      <c r="AG97" s="33">
        <f t="shared" ref="AG97:AG98" si="160">AF97-AE97</f>
        <v>-44673</v>
      </c>
      <c r="AH97" s="117" t="s">
        <v>2543</v>
      </c>
      <c r="AI97" s="63">
        <f t="shared" si="145"/>
        <v>1.2550066755674233E-3</v>
      </c>
      <c r="AJ97" s="284">
        <f>RTD("money.excel",,$G97,"PredictVolume")</f>
        <v>94</v>
      </c>
      <c r="AK97" s="400">
        <v>9.49</v>
      </c>
      <c r="AM97" s="245"/>
      <c r="AN97" s="245"/>
    </row>
    <row r="98" spans="1:40">
      <c r="A98" s="347">
        <v>18.5</v>
      </c>
      <c r="B98" s="79">
        <v>39</v>
      </c>
      <c r="C98" s="79">
        <v>39</v>
      </c>
      <c r="D98" s="79">
        <v>12</v>
      </c>
      <c r="E98" s="79">
        <v>3</v>
      </c>
      <c r="F98" s="79">
        <v>9.7200000000000006</v>
      </c>
      <c r="G98" s="80">
        <v>6121</v>
      </c>
      <c r="H98" s="183" t="s">
        <v>1146</v>
      </c>
      <c r="I98" s="16" t="s">
        <v>4091</v>
      </c>
      <c r="J98" s="102" t="s">
        <v>6249</v>
      </c>
      <c r="L98" s="156">
        <v>2</v>
      </c>
      <c r="M98" s="340">
        <v>0</v>
      </c>
      <c r="N98" s="240">
        <f t="shared" si="156"/>
        <v>2</v>
      </c>
      <c r="P98" s="365">
        <v>1001</v>
      </c>
      <c r="Q98" s="79">
        <v>95</v>
      </c>
      <c r="R98" s="346">
        <v>84</v>
      </c>
      <c r="S98" s="81">
        <v>123</v>
      </c>
      <c r="T98" s="327">
        <v>318</v>
      </c>
      <c r="U98" s="393">
        <v>26</v>
      </c>
      <c r="V98" s="310">
        <f t="shared" si="157"/>
        <v>8.9655172413793102E-2</v>
      </c>
      <c r="W98" s="94">
        <v>34.5</v>
      </c>
      <c r="X98" s="36">
        <f>RTD("money.excel",,"6121","Price")</f>
        <v>290</v>
      </c>
      <c r="Y98" s="66">
        <v>303</v>
      </c>
      <c r="Z98" s="15">
        <f t="shared" si="158"/>
        <v>-13</v>
      </c>
      <c r="AA98" s="3">
        <f t="shared" si="159"/>
        <v>-4.2904290429042903E-2</v>
      </c>
      <c r="AB98" s="344">
        <v>-20.13</v>
      </c>
      <c r="AC98" s="384">
        <v>27.16</v>
      </c>
      <c r="AD98" s="16" t="s">
        <v>4091</v>
      </c>
      <c r="AE98" s="84">
        <v>44673</v>
      </c>
      <c r="AG98" s="33">
        <f t="shared" si="160"/>
        <v>-44673</v>
      </c>
      <c r="AH98" s="117" t="s">
        <v>2554</v>
      </c>
      <c r="AI98" s="63">
        <f t="shared" si="145"/>
        <v>2.0432432432432434E-3</v>
      </c>
      <c r="AJ98" s="284">
        <f>RTD("money.excel",,$G98,"PredictVolume")</f>
        <v>378</v>
      </c>
      <c r="AK98" s="400">
        <v>2.2400000000000002</v>
      </c>
      <c r="AM98" s="245"/>
      <c r="AN98" s="245"/>
    </row>
    <row r="99" spans="1:40">
      <c r="A99" s="347">
        <v>10.6</v>
      </c>
      <c r="B99" s="79">
        <v>6</v>
      </c>
      <c r="C99" s="80">
        <v>-13</v>
      </c>
      <c r="D99" s="79">
        <v>41</v>
      </c>
      <c r="E99" s="79">
        <v>16</v>
      </c>
      <c r="F99" s="79">
        <v>3.31</v>
      </c>
      <c r="G99" s="79">
        <v>6414</v>
      </c>
      <c r="H99" s="192" t="s">
        <v>1146</v>
      </c>
      <c r="I99" s="22" t="s">
        <v>213</v>
      </c>
      <c r="J99" s="8" t="s">
        <v>6233</v>
      </c>
      <c r="L99" s="156">
        <v>2</v>
      </c>
      <c r="M99" s="340">
        <v>0</v>
      </c>
      <c r="N99" s="240">
        <f t="shared" ref="N99" si="161">L99-M99</f>
        <v>2</v>
      </c>
      <c r="P99" s="365">
        <v>362</v>
      </c>
      <c r="Q99" s="79">
        <v>480</v>
      </c>
      <c r="R99" s="346">
        <v>467</v>
      </c>
      <c r="S99" s="81">
        <v>254</v>
      </c>
      <c r="T99" s="327">
        <v>133</v>
      </c>
      <c r="U99" s="393">
        <v>7</v>
      </c>
      <c r="V99" s="310">
        <f t="shared" ref="V99" si="162">U99/X99</f>
        <v>3.6363636363636362E-2</v>
      </c>
      <c r="W99" s="94">
        <v>13.92</v>
      </c>
      <c r="X99" s="36">
        <f>RTD("money.excel",,"6414","Price")</f>
        <v>192.5</v>
      </c>
      <c r="Y99" s="66">
        <v>222</v>
      </c>
      <c r="Z99" s="15">
        <f t="shared" ref="Z99" si="163">X99-Y99</f>
        <v>-29.5</v>
      </c>
      <c r="AA99" s="3">
        <f t="shared" ref="AA99" si="164">Z99/Y99</f>
        <v>-0.13288288288288289</v>
      </c>
      <c r="AB99" s="344">
        <v>-20.65</v>
      </c>
      <c r="AC99" s="384">
        <v>53.58</v>
      </c>
      <c r="AD99" s="22" t="s">
        <v>213</v>
      </c>
      <c r="AE99" s="84">
        <v>44672</v>
      </c>
      <c r="AG99" s="33">
        <f t="shared" ref="AG99" si="165">AF99-AE99</f>
        <v>-44672</v>
      </c>
      <c r="AH99" s="117" t="s">
        <v>1506</v>
      </c>
      <c r="AI99" s="63">
        <f t="shared" si="145"/>
        <v>1.9811320754716979E-3</v>
      </c>
      <c r="AJ99" s="284">
        <f>RTD("money.excel",,$G99,"PredictVolume")</f>
        <v>210</v>
      </c>
      <c r="AK99" s="400">
        <v>16.79</v>
      </c>
      <c r="AM99" s="245"/>
      <c r="AN99" s="245"/>
    </row>
    <row r="100" spans="1:40">
      <c r="A100" s="347">
        <v>5.86</v>
      </c>
      <c r="B100" s="79">
        <v>23</v>
      </c>
      <c r="C100" s="79">
        <v>17</v>
      </c>
      <c r="D100" s="79">
        <v>21</v>
      </c>
      <c r="E100" s="80">
        <v>-3</v>
      </c>
      <c r="F100" s="79">
        <v>27.21</v>
      </c>
      <c r="G100" s="80">
        <v>3526</v>
      </c>
      <c r="H100" s="5" t="s">
        <v>308</v>
      </c>
      <c r="I100" s="16" t="s">
        <v>156</v>
      </c>
      <c r="J100" s="8" t="s">
        <v>6245</v>
      </c>
      <c r="L100" s="156">
        <v>1</v>
      </c>
      <c r="M100" s="340">
        <v>0</v>
      </c>
      <c r="N100" s="240">
        <f t="shared" ref="N100" si="166">L100-M100</f>
        <v>1</v>
      </c>
      <c r="P100" s="365">
        <v>528</v>
      </c>
      <c r="Q100" s="79">
        <v>83</v>
      </c>
      <c r="R100" s="346">
        <v>847</v>
      </c>
      <c r="S100" s="81">
        <v>65</v>
      </c>
      <c r="T100" s="327">
        <v>249</v>
      </c>
      <c r="U100" s="393">
        <v>11.16</v>
      </c>
      <c r="V100" s="310">
        <f t="shared" ref="V100" si="167">U100/X100</f>
        <v>6.9532710280373833E-2</v>
      </c>
      <c r="W100" s="94">
        <v>11.23</v>
      </c>
      <c r="X100" s="36">
        <f>RTD("money.excel",,"3526","Price")</f>
        <v>160.5</v>
      </c>
      <c r="Y100" s="66">
        <v>180.5</v>
      </c>
      <c r="Z100" s="15">
        <f t="shared" ref="Z100" si="168">X100-Y100</f>
        <v>-20</v>
      </c>
      <c r="AA100" s="3">
        <f t="shared" ref="AA100" si="169">Z100/Y100</f>
        <v>-0.11080332409972299</v>
      </c>
      <c r="AB100" s="344">
        <v>-21.37</v>
      </c>
      <c r="AC100" s="384">
        <v>32.880000000000003</v>
      </c>
      <c r="AD100" s="16" t="s">
        <v>156</v>
      </c>
      <c r="AE100" s="84">
        <v>44672</v>
      </c>
      <c r="AG100" s="33">
        <f t="shared" ref="AG100" si="170">AF100-AE100</f>
        <v>-44672</v>
      </c>
      <c r="AH100" s="117" t="s">
        <v>1903</v>
      </c>
      <c r="AI100" s="63">
        <f t="shared" si="145"/>
        <v>3.3276450511945392E-3</v>
      </c>
      <c r="AJ100" s="284">
        <f>RTD("money.excel",,$G100,"PredictVolume")</f>
        <v>195</v>
      </c>
      <c r="AK100" s="400">
        <v>19.170000000000002</v>
      </c>
      <c r="AM100" s="245"/>
      <c r="AN100" s="245"/>
    </row>
    <row r="101" spans="1:40">
      <c r="A101" s="347">
        <v>8.07</v>
      </c>
      <c r="B101" s="79">
        <v>146</v>
      </c>
      <c r="C101" s="79">
        <v>356</v>
      </c>
      <c r="D101" s="79">
        <v>5</v>
      </c>
      <c r="E101" s="79">
        <v>2</v>
      </c>
      <c r="F101" s="79">
        <v>35.82</v>
      </c>
      <c r="G101" s="80">
        <v>6531</v>
      </c>
      <c r="H101" s="5" t="s">
        <v>3039</v>
      </c>
      <c r="I101" s="22" t="s">
        <v>354</v>
      </c>
      <c r="J101" s="102" t="s">
        <v>6242</v>
      </c>
      <c r="L101" s="156">
        <v>2</v>
      </c>
      <c r="M101" s="340">
        <v>0</v>
      </c>
      <c r="N101" s="240">
        <f t="shared" ref="N101:N102" si="171">L101-M101</f>
        <v>2</v>
      </c>
      <c r="P101" s="365">
        <v>120</v>
      </c>
      <c r="Q101" s="79">
        <v>337</v>
      </c>
      <c r="R101" s="346">
        <v>335</v>
      </c>
      <c r="S101" s="81">
        <v>278</v>
      </c>
      <c r="T101" s="327">
        <v>84</v>
      </c>
      <c r="U101" s="393">
        <v>6</v>
      </c>
      <c r="V101" s="310">
        <f t="shared" ref="V101:V102" si="172">U101/X101</f>
        <v>2.3300970873786409E-2</v>
      </c>
      <c r="W101" s="94">
        <v>10.94</v>
      </c>
      <c r="X101" s="36">
        <f>RTD("money.excel",,"6531","Price")</f>
        <v>257.5</v>
      </c>
      <c r="Y101" s="66">
        <v>278</v>
      </c>
      <c r="Z101" s="15">
        <f t="shared" ref="Z101:Z102" si="173">X101-Y101</f>
        <v>-20.5</v>
      </c>
      <c r="AA101" s="3">
        <f t="shared" ref="AA101:AA102" si="174">Z101/Y101</f>
        <v>-7.3741007194244604E-2</v>
      </c>
      <c r="AB101" s="344">
        <v>-65.66</v>
      </c>
      <c r="AC101" s="384">
        <v>8.51</v>
      </c>
      <c r="AD101" s="22" t="s">
        <v>354</v>
      </c>
      <c r="AE101" s="84">
        <v>44672</v>
      </c>
      <c r="AG101" s="33">
        <f t="shared" ref="AG101:AG102" si="175">AF101-AE101</f>
        <v>-44672</v>
      </c>
      <c r="AH101" s="43" t="s">
        <v>2129</v>
      </c>
      <c r="AI101" s="63">
        <f t="shared" si="145"/>
        <v>3.4423791821561335E-2</v>
      </c>
      <c r="AJ101" s="284">
        <f>RTD("money.excel",,$G101,"PredictVolume")</f>
        <v>2778</v>
      </c>
      <c r="AK101" s="400">
        <v>30.22</v>
      </c>
      <c r="AM101" s="245"/>
      <c r="AN101" s="245"/>
    </row>
    <row r="102" spans="1:40">
      <c r="A102" s="347">
        <v>259</v>
      </c>
      <c r="B102" s="79">
        <v>4</v>
      </c>
      <c r="C102" s="80">
        <v>-1</v>
      </c>
      <c r="D102" s="79">
        <v>19</v>
      </c>
      <c r="E102" s="79">
        <v>13</v>
      </c>
      <c r="F102" s="79">
        <v>9.9700000000000006</v>
      </c>
      <c r="G102" s="80">
        <v>2308</v>
      </c>
      <c r="H102" s="5" t="s">
        <v>308</v>
      </c>
      <c r="I102" s="22" t="s">
        <v>4471</v>
      </c>
      <c r="J102" s="102" t="s">
        <v>3545</v>
      </c>
      <c r="L102" s="156">
        <v>1</v>
      </c>
      <c r="M102" s="340">
        <v>0</v>
      </c>
      <c r="N102" s="240">
        <f t="shared" si="171"/>
        <v>1</v>
      </c>
      <c r="P102" s="365">
        <v>1321</v>
      </c>
      <c r="Q102" s="79">
        <v>467</v>
      </c>
      <c r="R102" s="346">
        <v>34</v>
      </c>
      <c r="S102" s="81">
        <v>145</v>
      </c>
      <c r="T102" s="327">
        <v>139</v>
      </c>
      <c r="U102" s="393">
        <v>5.5</v>
      </c>
      <c r="V102" s="310">
        <f t="shared" si="172"/>
        <v>2.4608501118568233E-2</v>
      </c>
      <c r="W102" s="94">
        <v>10.32</v>
      </c>
      <c r="X102" s="36">
        <f>RTD("money.excel",,"2308","Price")</f>
        <v>223.5</v>
      </c>
      <c r="Y102" s="66">
        <v>254</v>
      </c>
      <c r="Z102" s="15">
        <f t="shared" si="173"/>
        <v>-30.5</v>
      </c>
      <c r="AA102" s="3">
        <f t="shared" si="174"/>
        <v>-0.12007874015748031</v>
      </c>
      <c r="AB102" s="344">
        <v>-25.07</v>
      </c>
      <c r="AC102" s="384">
        <v>51.52</v>
      </c>
      <c r="AD102" s="22" t="s">
        <v>4471</v>
      </c>
      <c r="AE102" s="84">
        <v>44672</v>
      </c>
      <c r="AG102" s="33">
        <f t="shared" si="175"/>
        <v>-44672</v>
      </c>
      <c r="AH102" s="119" t="s">
        <v>4472</v>
      </c>
      <c r="AI102" s="63">
        <f t="shared" si="145"/>
        <v>1.5953667953667954E-3</v>
      </c>
      <c r="AJ102" s="284">
        <f>RTD("money.excel",,$G102,"PredictVolume")</f>
        <v>4132</v>
      </c>
      <c r="AK102" s="400">
        <v>1.52</v>
      </c>
      <c r="AM102" s="245"/>
      <c r="AN102" s="245"/>
    </row>
    <row r="103" spans="1:40" s="248" customFormat="1">
      <c r="A103" s="91"/>
      <c r="B103" s="79"/>
      <c r="C103" s="79"/>
      <c r="D103" s="79"/>
      <c r="E103" s="79"/>
      <c r="F103" s="79"/>
      <c r="G103" s="41"/>
      <c r="H103" s="8"/>
      <c r="I103" s="153"/>
      <c r="J103" s="1"/>
      <c r="K103" s="361"/>
      <c r="L103" s="163"/>
      <c r="O103" s="245"/>
      <c r="P103" s="365"/>
      <c r="Q103" s="47"/>
      <c r="R103" s="346"/>
      <c r="S103" s="283"/>
      <c r="T103" s="322"/>
      <c r="U103" s="392"/>
      <c r="V103" s="308"/>
      <c r="W103" s="94"/>
      <c r="X103" s="307">
        <f>SUM(X4:X102)</f>
        <v>13811.549999999997</v>
      </c>
      <c r="Y103" s="296">
        <f>SUM(Y4:Y102)</f>
        <v>14573.45</v>
      </c>
      <c r="Z103" s="226">
        <f t="shared" ref="Z103" si="176">X103-Y103</f>
        <v>-761.90000000000327</v>
      </c>
      <c r="AA103" s="158">
        <f t="shared" ref="AA103" si="177">Z103/Y103</f>
        <v>-5.228000233300991E-2</v>
      </c>
      <c r="AB103" s="100"/>
      <c r="AC103" s="382"/>
      <c r="AD103" s="227">
        <f>X103*(0.001425*0.5)+X103*0.003+Y103*(0.001425*0.5)</f>
        <v>61.658962499999987</v>
      </c>
      <c r="AE103" s="6">
        <f>Z103-AD103</f>
        <v>-823.5589625000033</v>
      </c>
      <c r="AF103" s="83"/>
      <c r="AG103" s="33"/>
      <c r="AH103" s="46" t="s">
        <v>6225</v>
      </c>
    </row>
    <row r="104" spans="1:40" ht="17.25" customHeight="1">
      <c r="B104" s="90"/>
      <c r="C104" s="90"/>
      <c r="D104" s="90"/>
      <c r="E104" s="90"/>
      <c r="F104" s="348"/>
      <c r="G104" s="26"/>
      <c r="I104" s="50"/>
      <c r="L104" s="245"/>
      <c r="P104" s="365"/>
      <c r="Q104" s="293"/>
      <c r="R104" s="346"/>
      <c r="V104" s="308"/>
      <c r="W104" s="68"/>
      <c r="X104" s="28"/>
      <c r="Y104" s="17"/>
      <c r="Z104" s="14"/>
      <c r="AA104" s="21"/>
      <c r="AB104" s="351"/>
      <c r="AD104" s="50"/>
      <c r="AE104" s="71"/>
      <c r="AF104" s="72"/>
      <c r="AG104" s="32"/>
      <c r="AH104" s="356"/>
      <c r="AI104" s="156"/>
      <c r="AJ104" s="340"/>
      <c r="AK104" s="239"/>
      <c r="AM104" s="123"/>
      <c r="AN104" s="234"/>
    </row>
    <row r="105" spans="1:40">
      <c r="A105" s="347" t="s">
        <v>1673</v>
      </c>
      <c r="B105" s="90" t="s">
        <v>1572</v>
      </c>
      <c r="C105" s="90" t="s">
        <v>1573</v>
      </c>
      <c r="D105" s="90" t="s">
        <v>1574</v>
      </c>
      <c r="E105" s="90" t="s">
        <v>1575</v>
      </c>
      <c r="F105" s="348" t="s">
        <v>1060</v>
      </c>
      <c r="G105" s="26" t="s">
        <v>3442</v>
      </c>
      <c r="H105" s="55" t="s">
        <v>320</v>
      </c>
      <c r="I105" s="8" t="s">
        <v>6224</v>
      </c>
      <c r="J105" s="8" t="s">
        <v>6221</v>
      </c>
      <c r="K105" s="5" t="s">
        <v>6222</v>
      </c>
      <c r="L105" s="337" t="s">
        <v>6206</v>
      </c>
      <c r="M105" s="338" t="s">
        <v>6207</v>
      </c>
      <c r="N105" s="339" t="s">
        <v>6208</v>
      </c>
      <c r="O105" s="4" t="s">
        <v>6713</v>
      </c>
      <c r="P105" s="89" t="s">
        <v>6285</v>
      </c>
      <c r="Q105" s="293" t="s">
        <v>6284</v>
      </c>
      <c r="R105" s="354" t="s">
        <v>6283</v>
      </c>
      <c r="S105" s="26" t="s">
        <v>6286</v>
      </c>
      <c r="T105" s="321" t="s">
        <v>4716</v>
      </c>
      <c r="U105" s="29" t="s">
        <v>66</v>
      </c>
      <c r="V105" s="308" t="s">
        <v>4731</v>
      </c>
      <c r="W105" s="68" t="s">
        <v>3273</v>
      </c>
      <c r="X105" s="28" t="s">
        <v>2</v>
      </c>
      <c r="Y105" s="17" t="s">
        <v>1399</v>
      </c>
      <c r="Z105" s="14" t="s">
        <v>5</v>
      </c>
      <c r="AA105" s="21" t="s">
        <v>3</v>
      </c>
      <c r="AB105" s="351" t="s">
        <v>6174</v>
      </c>
      <c r="AC105" s="102" t="s">
        <v>6420</v>
      </c>
      <c r="AD105" s="8" t="s">
        <v>6224</v>
      </c>
      <c r="AE105" s="71" t="s">
        <v>1400</v>
      </c>
      <c r="AF105" s="72" t="s">
        <v>1157</v>
      </c>
      <c r="AG105" s="32" t="s">
        <v>1158</v>
      </c>
      <c r="AH105" s="232" t="s">
        <v>4744</v>
      </c>
      <c r="AI105" s="8" t="s">
        <v>6731</v>
      </c>
      <c r="AJ105" s="50" t="s">
        <v>3361</v>
      </c>
      <c r="AK105" s="44" t="s">
        <v>6730</v>
      </c>
      <c r="AM105" s="123"/>
      <c r="AN105" s="234"/>
    </row>
    <row r="106" spans="1:40">
      <c r="B106" s="90"/>
      <c r="C106" s="90"/>
      <c r="D106" s="90"/>
      <c r="E106" s="90"/>
      <c r="F106" s="348"/>
      <c r="G106" s="26"/>
      <c r="H106" s="55"/>
      <c r="I106" s="8"/>
      <c r="J106" s="8"/>
      <c r="K106" s="5"/>
      <c r="L106" s="337"/>
      <c r="M106" s="338"/>
      <c r="N106" s="339"/>
      <c r="O106" s="4"/>
      <c r="Q106" s="293"/>
      <c r="T106" s="321"/>
      <c r="U106" s="29"/>
      <c r="V106" s="308"/>
      <c r="W106" s="68"/>
      <c r="X106" s="28"/>
      <c r="Y106" s="17"/>
      <c r="Z106" s="14"/>
      <c r="AA106" s="21"/>
      <c r="AB106" s="351"/>
      <c r="AC106" s="102"/>
      <c r="AD106" s="8"/>
      <c r="AE106" s="71"/>
      <c r="AF106" s="72"/>
      <c r="AG106" s="32"/>
      <c r="AH106" s="232"/>
      <c r="AI106" s="8"/>
      <c r="AJ106" s="50"/>
      <c r="AM106" s="123"/>
      <c r="AN106" s="234"/>
    </row>
    <row r="107" spans="1:40">
      <c r="A107" s="347">
        <v>60.85</v>
      </c>
      <c r="B107" s="79">
        <v>89</v>
      </c>
      <c r="C107" s="79">
        <v>84</v>
      </c>
      <c r="D107" s="79">
        <v>-1</v>
      </c>
      <c r="E107" s="79">
        <v>11</v>
      </c>
      <c r="F107" s="6">
        <v>36.369999999999997</v>
      </c>
      <c r="G107" s="80">
        <v>3034</v>
      </c>
      <c r="H107" s="8" t="s">
        <v>307</v>
      </c>
      <c r="I107" s="22" t="s">
        <v>4041</v>
      </c>
      <c r="J107" s="102" t="s">
        <v>6433</v>
      </c>
      <c r="K107" s="5"/>
      <c r="L107" s="156">
        <v>1</v>
      </c>
      <c r="M107" s="340">
        <v>1</v>
      </c>
      <c r="N107" s="240">
        <v>0</v>
      </c>
      <c r="P107" s="365">
        <v>745</v>
      </c>
      <c r="Q107" s="79">
        <v>79</v>
      </c>
      <c r="R107" s="346">
        <v>80</v>
      </c>
      <c r="S107" s="81">
        <v>53</v>
      </c>
      <c r="T107" s="327">
        <v>188</v>
      </c>
      <c r="U107" s="186">
        <v>51.5</v>
      </c>
      <c r="V107" s="310">
        <f>$U107/$X107</f>
        <v>0.13411458333333334</v>
      </c>
      <c r="W107" s="94">
        <v>72.510000000000005</v>
      </c>
      <c r="X107" s="36">
        <v>384</v>
      </c>
      <c r="Y107" s="66">
        <v>375</v>
      </c>
      <c r="Z107" s="15">
        <f t="shared" ref="Z107:Z112" si="178">X107-Y107</f>
        <v>9</v>
      </c>
      <c r="AA107" s="63">
        <f t="shared" ref="AA107:AA112" si="179">Z107/Y107</f>
        <v>2.4E-2</v>
      </c>
      <c r="AB107" s="344">
        <v>-35.049999999999997</v>
      </c>
      <c r="AC107" s="397">
        <v>23.08</v>
      </c>
      <c r="AD107" s="22" t="s">
        <v>4041</v>
      </c>
      <c r="AE107" s="84">
        <v>44691</v>
      </c>
      <c r="AF107" s="86">
        <v>44691</v>
      </c>
      <c r="AG107" s="33">
        <f t="shared" ref="AG107:AG112" si="180">AF107-AE107</f>
        <v>0</v>
      </c>
      <c r="AH107" s="117" t="s">
        <v>2560</v>
      </c>
      <c r="AI107" s="63"/>
      <c r="AJ107" s="284"/>
      <c r="AK107" s="399"/>
      <c r="AM107" s="245"/>
      <c r="AN107" s="245"/>
    </row>
    <row r="108" spans="1:40">
      <c r="A108" s="347">
        <v>13.4</v>
      </c>
      <c r="B108" s="79">
        <v>77</v>
      </c>
      <c r="C108" s="79">
        <v>78</v>
      </c>
      <c r="D108" s="79">
        <v>17</v>
      </c>
      <c r="E108" s="79">
        <v>75</v>
      </c>
      <c r="F108" s="6">
        <v>14.02</v>
      </c>
      <c r="G108" s="79">
        <v>3443</v>
      </c>
      <c r="H108" s="192" t="s">
        <v>307</v>
      </c>
      <c r="I108" s="22" t="s">
        <v>49</v>
      </c>
      <c r="J108" s="102" t="s">
        <v>6433</v>
      </c>
      <c r="K108" s="5"/>
      <c r="L108" s="156">
        <v>1</v>
      </c>
      <c r="M108" s="340">
        <v>1</v>
      </c>
      <c r="N108" s="240">
        <v>0</v>
      </c>
      <c r="P108" s="365">
        <v>764</v>
      </c>
      <c r="Q108" s="79">
        <v>43</v>
      </c>
      <c r="R108" s="346">
        <v>134</v>
      </c>
      <c r="S108" s="81">
        <v>49</v>
      </c>
      <c r="T108" s="327">
        <v>73</v>
      </c>
      <c r="U108" s="186">
        <v>7</v>
      </c>
      <c r="V108" s="310">
        <f>$U108/$X108</f>
        <v>1.5086206896551725E-2</v>
      </c>
      <c r="W108" s="94">
        <v>12.67</v>
      </c>
      <c r="X108" s="36">
        <v>464</v>
      </c>
      <c r="Y108" s="66">
        <v>452.5</v>
      </c>
      <c r="Z108" s="15">
        <f t="shared" si="178"/>
        <v>11.5</v>
      </c>
      <c r="AA108" s="63">
        <f t="shared" si="179"/>
        <v>2.541436464088398E-2</v>
      </c>
      <c r="AB108" s="344">
        <v>-29.5</v>
      </c>
      <c r="AC108" s="397">
        <v>50.53</v>
      </c>
      <c r="AD108" s="22" t="s">
        <v>49</v>
      </c>
      <c r="AE108" s="84">
        <v>44691</v>
      </c>
      <c r="AF108" s="86">
        <v>44691</v>
      </c>
      <c r="AG108" s="33">
        <f t="shared" si="180"/>
        <v>0</v>
      </c>
      <c r="AH108" s="117" t="s">
        <v>3315</v>
      </c>
      <c r="AI108" s="63"/>
      <c r="AJ108" s="284"/>
      <c r="AK108" s="399"/>
      <c r="AM108" s="245"/>
      <c r="AN108" s="245"/>
    </row>
    <row r="109" spans="1:40">
      <c r="A109" s="347">
        <v>4.9800000000000004</v>
      </c>
      <c r="B109" s="79">
        <v>-26</v>
      </c>
      <c r="C109" s="79">
        <v>-29</v>
      </c>
      <c r="D109" s="79">
        <v>1</v>
      </c>
      <c r="E109" s="79">
        <v>37</v>
      </c>
      <c r="F109" s="6">
        <v>15.7</v>
      </c>
      <c r="G109" s="80">
        <v>8155</v>
      </c>
      <c r="H109" s="8" t="s">
        <v>308</v>
      </c>
      <c r="I109" s="16" t="s">
        <v>84</v>
      </c>
      <c r="J109" s="8">
        <v>6</v>
      </c>
      <c r="K109" s="5"/>
      <c r="L109" s="156">
        <v>1</v>
      </c>
      <c r="M109" s="340">
        <v>0</v>
      </c>
      <c r="N109" s="240">
        <v>1</v>
      </c>
      <c r="P109" s="365">
        <v>227</v>
      </c>
      <c r="Q109" s="79">
        <v>215</v>
      </c>
      <c r="R109" s="346">
        <v>1113</v>
      </c>
      <c r="S109" s="81">
        <v>1</v>
      </c>
      <c r="T109" s="327">
        <v>32</v>
      </c>
      <c r="U109" s="186">
        <v>6</v>
      </c>
      <c r="V109" s="310">
        <f>$U109/$X109</f>
        <v>3.7974683544303799E-2</v>
      </c>
      <c r="W109" s="94">
        <v>7.85</v>
      </c>
      <c r="X109" s="36">
        <v>158</v>
      </c>
      <c r="Y109" s="66">
        <v>154</v>
      </c>
      <c r="Z109" s="15">
        <f t="shared" si="178"/>
        <v>4</v>
      </c>
      <c r="AA109" s="63">
        <f t="shared" si="179"/>
        <v>2.5974025974025976E-2</v>
      </c>
      <c r="AB109" s="344">
        <v>-29.33</v>
      </c>
      <c r="AC109" s="397">
        <v>22.1</v>
      </c>
      <c r="AD109" s="16" t="s">
        <v>84</v>
      </c>
      <c r="AE109" s="84">
        <v>44691</v>
      </c>
      <c r="AF109" s="86">
        <v>44691</v>
      </c>
      <c r="AG109" s="33">
        <f t="shared" si="180"/>
        <v>0</v>
      </c>
      <c r="AH109" s="117" t="s">
        <v>1049</v>
      </c>
      <c r="AI109" s="63"/>
      <c r="AJ109" s="284"/>
      <c r="AK109" s="399"/>
      <c r="AM109" s="245"/>
      <c r="AN109" s="245"/>
    </row>
    <row r="110" spans="1:40">
      <c r="A110" s="347">
        <v>8</v>
      </c>
      <c r="B110" s="79">
        <v>-19</v>
      </c>
      <c r="C110" s="79">
        <v>-34</v>
      </c>
      <c r="D110" s="79">
        <v>-6</v>
      </c>
      <c r="E110" s="79">
        <v>-34</v>
      </c>
      <c r="F110" s="6">
        <v>28.77</v>
      </c>
      <c r="G110" s="80">
        <v>3257</v>
      </c>
      <c r="H110" s="8" t="s">
        <v>307</v>
      </c>
      <c r="I110" s="22" t="s">
        <v>4047</v>
      </c>
      <c r="J110" s="102" t="s">
        <v>6426</v>
      </c>
      <c r="K110" s="5"/>
      <c r="L110" s="156">
        <v>1</v>
      </c>
      <c r="M110" s="340">
        <v>0</v>
      </c>
      <c r="N110" s="240">
        <v>1</v>
      </c>
      <c r="P110" s="365">
        <v>685</v>
      </c>
      <c r="Q110" s="79">
        <v>140</v>
      </c>
      <c r="R110" s="346">
        <v>667</v>
      </c>
      <c r="S110" s="81" t="s">
        <v>6289</v>
      </c>
      <c r="T110" s="327">
        <v>195</v>
      </c>
      <c r="U110" s="186">
        <v>5</v>
      </c>
      <c r="V110" s="310">
        <f>$U110/$X110</f>
        <v>7.0126227208976155E-2</v>
      </c>
      <c r="W110" s="94">
        <v>4.9400000000000004</v>
      </c>
      <c r="X110" s="36">
        <v>71.3</v>
      </c>
      <c r="Y110" s="66">
        <v>69.7</v>
      </c>
      <c r="Z110" s="15">
        <f t="shared" si="178"/>
        <v>1.5999999999999943</v>
      </c>
      <c r="AA110" s="63">
        <f t="shared" si="179"/>
        <v>2.2955523672883706E-2</v>
      </c>
      <c r="AB110" s="344">
        <v>-23.51</v>
      </c>
      <c r="AC110" s="397">
        <v>41.07</v>
      </c>
      <c r="AD110" s="22" t="s">
        <v>4047</v>
      </c>
      <c r="AE110" s="84">
        <v>44691</v>
      </c>
      <c r="AF110" s="86">
        <v>44691</v>
      </c>
      <c r="AG110" s="33">
        <f t="shared" si="180"/>
        <v>0</v>
      </c>
      <c r="AH110" s="43" t="s">
        <v>1951</v>
      </c>
      <c r="AI110" s="63"/>
      <c r="AJ110" s="284"/>
      <c r="AK110" s="399"/>
      <c r="AM110" s="245"/>
      <c r="AN110" s="245"/>
    </row>
    <row r="111" spans="1:40">
      <c r="A111" s="347">
        <v>122</v>
      </c>
      <c r="B111" s="79">
        <v>43</v>
      </c>
      <c r="C111" s="79">
        <v>42</v>
      </c>
      <c r="D111" s="79">
        <v>2</v>
      </c>
      <c r="E111" s="79">
        <v>22</v>
      </c>
      <c r="F111" s="6">
        <v>19.57</v>
      </c>
      <c r="G111" s="79">
        <v>2449</v>
      </c>
      <c r="H111" s="17" t="s">
        <v>307</v>
      </c>
      <c r="I111" s="22" t="s">
        <v>47</v>
      </c>
      <c r="J111" s="8">
        <v>4</v>
      </c>
      <c r="K111" s="5"/>
      <c r="L111" s="156">
        <v>1</v>
      </c>
      <c r="M111" s="340">
        <v>0</v>
      </c>
      <c r="N111" s="240">
        <v>1</v>
      </c>
      <c r="P111" s="365">
        <v>999</v>
      </c>
      <c r="Q111" s="79">
        <v>8</v>
      </c>
      <c r="R111" s="346">
        <v>149</v>
      </c>
      <c r="S111" s="81">
        <v>56</v>
      </c>
      <c r="T111" s="327">
        <v>40</v>
      </c>
      <c r="U111" s="186">
        <v>3</v>
      </c>
      <c r="V111" s="310">
        <f>$U111/$X111</f>
        <v>7.0588235294117646E-2</v>
      </c>
      <c r="W111" s="94">
        <v>4.2300000000000004</v>
      </c>
      <c r="X111" s="36">
        <v>42.5</v>
      </c>
      <c r="Y111" s="66">
        <v>41.6</v>
      </c>
      <c r="Z111" s="15">
        <f t="shared" si="178"/>
        <v>0.89999999999999858</v>
      </c>
      <c r="AA111" s="63">
        <f t="shared" si="179"/>
        <v>2.1634615384615349E-2</v>
      </c>
      <c r="AB111" s="344">
        <v>-16.54</v>
      </c>
      <c r="AC111" s="397">
        <v>48.96</v>
      </c>
      <c r="AD111" s="22" t="s">
        <v>47</v>
      </c>
      <c r="AE111" s="84">
        <v>44691</v>
      </c>
      <c r="AF111" s="86">
        <v>44691</v>
      </c>
      <c r="AG111" s="33">
        <f t="shared" si="180"/>
        <v>0</v>
      </c>
      <c r="AH111" s="117" t="s">
        <v>2298</v>
      </c>
      <c r="AI111" s="63"/>
      <c r="AJ111" s="284"/>
      <c r="AK111" s="399"/>
      <c r="AM111" s="245"/>
      <c r="AN111" s="245"/>
    </row>
    <row r="112" spans="1:40">
      <c r="A112" s="347">
        <v>7.48</v>
      </c>
      <c r="B112" s="79">
        <v>238</v>
      </c>
      <c r="C112" s="79">
        <v>197</v>
      </c>
      <c r="D112" s="79">
        <v>0</v>
      </c>
      <c r="E112" s="79">
        <v>34</v>
      </c>
      <c r="F112" s="79">
        <v>32.159999999999997</v>
      </c>
      <c r="G112" s="80">
        <v>3141</v>
      </c>
      <c r="H112" s="183" t="s">
        <v>307</v>
      </c>
      <c r="I112" s="16" t="s">
        <v>181</v>
      </c>
      <c r="J112" s="8">
        <v>5</v>
      </c>
      <c r="K112" s="5"/>
      <c r="L112" s="156">
        <v>1</v>
      </c>
      <c r="M112" s="340">
        <v>0</v>
      </c>
      <c r="N112" s="240">
        <v>1</v>
      </c>
      <c r="P112" s="365">
        <v>19</v>
      </c>
      <c r="Q112" s="79">
        <v>168</v>
      </c>
      <c r="R112" s="346">
        <v>686</v>
      </c>
      <c r="S112" s="81">
        <v>198</v>
      </c>
      <c r="T112" s="327">
        <v>12</v>
      </c>
      <c r="U112" s="393">
        <v>4</v>
      </c>
      <c r="V112" s="310">
        <f t="shared" ref="V112:V117" si="181">U112/X112</f>
        <v>2.6936026936026935E-2</v>
      </c>
      <c r="W112" s="94">
        <v>11.99</v>
      </c>
      <c r="X112" s="36">
        <v>148.5</v>
      </c>
      <c r="Y112" s="66">
        <v>144.5</v>
      </c>
      <c r="Z112" s="15">
        <f t="shared" si="178"/>
        <v>4</v>
      </c>
      <c r="AA112" s="63">
        <f t="shared" si="179"/>
        <v>2.768166089965398E-2</v>
      </c>
      <c r="AB112" s="344">
        <v>-48.21</v>
      </c>
      <c r="AC112" s="384">
        <v>25.39</v>
      </c>
      <c r="AD112" s="16" t="s">
        <v>181</v>
      </c>
      <c r="AE112" s="84">
        <v>44687</v>
      </c>
      <c r="AF112" s="83">
        <v>44691</v>
      </c>
      <c r="AG112" s="33">
        <f t="shared" si="180"/>
        <v>4</v>
      </c>
      <c r="AH112" s="119" t="s">
        <v>2146</v>
      </c>
      <c r="AI112" s="63"/>
      <c r="AJ112" s="284"/>
      <c r="AK112" s="400"/>
      <c r="AM112" s="245"/>
      <c r="AN112" s="245"/>
    </row>
    <row r="113" spans="1:40">
      <c r="A113" s="347">
        <v>84.4</v>
      </c>
      <c r="B113" s="79">
        <v>112</v>
      </c>
      <c r="C113" s="79">
        <v>117</v>
      </c>
      <c r="D113" s="79">
        <v>19</v>
      </c>
      <c r="E113" s="79">
        <v>0</v>
      </c>
      <c r="F113" s="79">
        <v>9.9</v>
      </c>
      <c r="G113" s="80">
        <v>2377</v>
      </c>
      <c r="H113" s="193" t="s">
        <v>1146</v>
      </c>
      <c r="I113" s="22" t="s">
        <v>3381</v>
      </c>
      <c r="J113" s="102" t="s">
        <v>6422</v>
      </c>
      <c r="K113" s="5"/>
      <c r="L113" s="156">
        <v>2</v>
      </c>
      <c r="M113" s="340">
        <v>0</v>
      </c>
      <c r="N113" s="240">
        <v>2</v>
      </c>
      <c r="P113" s="365">
        <v>1082</v>
      </c>
      <c r="Q113" s="79">
        <v>20</v>
      </c>
      <c r="R113" s="346">
        <v>142</v>
      </c>
      <c r="S113" s="81">
        <v>41</v>
      </c>
      <c r="T113" s="327">
        <v>57</v>
      </c>
      <c r="U113" s="393">
        <v>10.5</v>
      </c>
      <c r="V113" s="310">
        <f t="shared" si="181"/>
        <v>8.3333333333333329E-2</v>
      </c>
      <c r="W113" s="94">
        <v>20.03</v>
      </c>
      <c r="X113" s="36">
        <v>126</v>
      </c>
      <c r="Y113" s="66">
        <v>123.5</v>
      </c>
      <c r="Z113" s="15">
        <f>X113-Y113</f>
        <v>2.5</v>
      </c>
      <c r="AA113" s="63">
        <f>Z113/Y113</f>
        <v>2.0242914979757085E-2</v>
      </c>
      <c r="AB113" s="344">
        <v>-32.26</v>
      </c>
      <c r="AC113" s="384">
        <v>12.39</v>
      </c>
      <c r="AD113" s="22" t="s">
        <v>3381</v>
      </c>
      <c r="AE113" s="84">
        <v>44687</v>
      </c>
      <c r="AF113" s="83">
        <v>44690</v>
      </c>
      <c r="AG113" s="33">
        <f>AF113-AE113</f>
        <v>3</v>
      </c>
      <c r="AH113" s="43" t="s">
        <v>2718</v>
      </c>
      <c r="AI113" s="63"/>
      <c r="AJ113" s="284"/>
      <c r="AK113" s="400"/>
      <c r="AM113" s="245"/>
      <c r="AN113" s="245"/>
    </row>
    <row r="114" spans="1:40">
      <c r="A114" s="347">
        <v>13.4</v>
      </c>
      <c r="B114" s="79">
        <v>77</v>
      </c>
      <c r="C114" s="79">
        <v>78</v>
      </c>
      <c r="D114" s="79">
        <v>17</v>
      </c>
      <c r="E114" s="79">
        <v>75</v>
      </c>
      <c r="F114" s="79">
        <v>14.02</v>
      </c>
      <c r="G114" s="79">
        <v>3443</v>
      </c>
      <c r="H114" s="193" t="s">
        <v>307</v>
      </c>
      <c r="I114" s="22" t="s">
        <v>49</v>
      </c>
      <c r="J114" s="8">
        <v>6</v>
      </c>
      <c r="K114" s="5"/>
      <c r="L114" s="156">
        <v>1</v>
      </c>
      <c r="M114" s="340">
        <v>0</v>
      </c>
      <c r="N114" s="240">
        <v>1</v>
      </c>
      <c r="P114" s="365">
        <v>771</v>
      </c>
      <c r="Q114" s="79">
        <v>42</v>
      </c>
      <c r="R114" s="346">
        <v>134</v>
      </c>
      <c r="S114" s="81">
        <v>50</v>
      </c>
      <c r="T114" s="327">
        <v>73</v>
      </c>
      <c r="U114" s="393">
        <v>7</v>
      </c>
      <c r="V114" s="310">
        <f t="shared" si="181"/>
        <v>1.4492753623188406E-2</v>
      </c>
      <c r="W114" s="94">
        <v>12.67</v>
      </c>
      <c r="X114" s="36">
        <v>483</v>
      </c>
      <c r="Y114" s="66">
        <v>471.5</v>
      </c>
      <c r="Z114" s="15">
        <f>X114-Y114</f>
        <v>11.5</v>
      </c>
      <c r="AA114" s="63">
        <f>Z114/Y114</f>
        <v>2.4390243902439025E-2</v>
      </c>
      <c r="AB114" s="344">
        <v>-26.17</v>
      </c>
      <c r="AC114" s="384">
        <v>45.56</v>
      </c>
      <c r="AD114" s="22" t="s">
        <v>49</v>
      </c>
      <c r="AE114" s="84">
        <v>44687</v>
      </c>
      <c r="AF114" s="86">
        <v>44687</v>
      </c>
      <c r="AG114" s="33">
        <f>AF114-AE114</f>
        <v>0</v>
      </c>
      <c r="AH114" s="117" t="s">
        <v>3315</v>
      </c>
      <c r="AI114" s="63"/>
      <c r="AJ114" s="284"/>
      <c r="AK114" s="400"/>
      <c r="AM114" s="245"/>
      <c r="AN114" s="245"/>
    </row>
    <row r="115" spans="1:40">
      <c r="A115" s="347">
        <v>41.9</v>
      </c>
      <c r="B115" s="79">
        <v>451</v>
      </c>
      <c r="C115" s="79">
        <v>932</v>
      </c>
      <c r="D115" s="79">
        <v>8</v>
      </c>
      <c r="E115" s="80">
        <v>-2</v>
      </c>
      <c r="F115" s="79">
        <v>8.0299999999999994</v>
      </c>
      <c r="G115" s="79">
        <v>4919</v>
      </c>
      <c r="H115" s="8" t="s">
        <v>307</v>
      </c>
      <c r="I115" s="22" t="s">
        <v>118</v>
      </c>
      <c r="J115" s="8" t="s">
        <v>6431</v>
      </c>
      <c r="K115" s="5"/>
      <c r="L115" s="156">
        <v>2</v>
      </c>
      <c r="M115" s="340">
        <v>0</v>
      </c>
      <c r="N115" s="240">
        <v>2</v>
      </c>
      <c r="P115" s="365">
        <v>306</v>
      </c>
      <c r="Q115" s="79">
        <v>235</v>
      </c>
      <c r="R115" s="346">
        <v>573</v>
      </c>
      <c r="S115" s="81">
        <v>18</v>
      </c>
      <c r="T115" s="327">
        <v>44</v>
      </c>
      <c r="U115" s="393">
        <v>5</v>
      </c>
      <c r="V115" s="310">
        <f t="shared" si="181"/>
        <v>2.976190476190476E-2</v>
      </c>
      <c r="W115" s="94">
        <v>9.48</v>
      </c>
      <c r="X115" s="36">
        <v>168</v>
      </c>
      <c r="Y115" s="66">
        <v>164.5</v>
      </c>
      <c r="Z115" s="15">
        <f>X115-Y115</f>
        <v>3.5</v>
      </c>
      <c r="AA115" s="63">
        <f>Z115/Y115</f>
        <v>2.1276595744680851E-2</v>
      </c>
      <c r="AB115" s="344">
        <v>-18.05</v>
      </c>
      <c r="AC115" s="384">
        <v>41.32</v>
      </c>
      <c r="AD115" s="22" t="s">
        <v>118</v>
      </c>
      <c r="AE115" s="84">
        <v>44687</v>
      </c>
      <c r="AF115" s="86">
        <v>44687</v>
      </c>
      <c r="AG115" s="33">
        <f>AF115-AE115</f>
        <v>0</v>
      </c>
      <c r="AH115" s="117" t="s">
        <v>3021</v>
      </c>
      <c r="AI115" s="63"/>
      <c r="AJ115" s="284"/>
      <c r="AK115" s="400"/>
      <c r="AM115" s="245"/>
      <c r="AN115" s="245"/>
    </row>
    <row r="116" spans="1:40">
      <c r="A116" s="347">
        <v>8.1300000000000008</v>
      </c>
      <c r="B116" s="79">
        <v>151</v>
      </c>
      <c r="C116" s="79">
        <v>120</v>
      </c>
      <c r="D116" s="79">
        <v>14</v>
      </c>
      <c r="E116" s="79">
        <v>5</v>
      </c>
      <c r="F116" s="79">
        <v>26.94</v>
      </c>
      <c r="G116" s="80">
        <v>8261</v>
      </c>
      <c r="H116" s="8" t="s">
        <v>3039</v>
      </c>
      <c r="I116" s="22" t="s">
        <v>322</v>
      </c>
      <c r="J116" s="8">
        <v>5</v>
      </c>
      <c r="K116" s="5"/>
      <c r="L116" s="156">
        <v>1</v>
      </c>
      <c r="M116" s="340">
        <v>0</v>
      </c>
      <c r="N116" s="240">
        <v>1</v>
      </c>
      <c r="P116" s="365">
        <v>40</v>
      </c>
      <c r="Q116" s="79">
        <v>114</v>
      </c>
      <c r="R116" s="346">
        <v>407</v>
      </c>
      <c r="S116" s="81">
        <v>491</v>
      </c>
      <c r="T116" s="327">
        <v>151</v>
      </c>
      <c r="U116" s="393">
        <v>6</v>
      </c>
      <c r="V116" s="310">
        <f t="shared" si="181"/>
        <v>5.4545454545454543E-2</v>
      </c>
      <c r="W116" s="94">
        <v>10.15</v>
      </c>
      <c r="X116" s="36">
        <v>110</v>
      </c>
      <c r="Y116" s="66">
        <v>108</v>
      </c>
      <c r="Z116" s="15">
        <f>X116-Y116</f>
        <v>2</v>
      </c>
      <c r="AA116" s="63">
        <f>Z116/Y116</f>
        <v>1.8518518518518517E-2</v>
      </c>
      <c r="AB116" s="344">
        <v>-27.01</v>
      </c>
      <c r="AC116" s="384">
        <v>29.06</v>
      </c>
      <c r="AD116" s="22" t="s">
        <v>322</v>
      </c>
      <c r="AE116" s="84">
        <v>44686</v>
      </c>
      <c r="AF116" s="83">
        <v>44687</v>
      </c>
      <c r="AG116" s="33">
        <f>AF116-AE116</f>
        <v>1</v>
      </c>
      <c r="AH116" s="43" t="s">
        <v>2176</v>
      </c>
      <c r="AI116" s="63"/>
      <c r="AJ116" s="284"/>
      <c r="AK116" s="400"/>
      <c r="AM116" s="245"/>
      <c r="AN116" s="245"/>
    </row>
    <row r="117" spans="1:40">
      <c r="A117" s="347">
        <v>4.9800000000000004</v>
      </c>
      <c r="B117" s="80">
        <v>-26</v>
      </c>
      <c r="C117" s="80">
        <v>-29</v>
      </c>
      <c r="D117" s="79">
        <v>0</v>
      </c>
      <c r="E117" s="79">
        <v>36</v>
      </c>
      <c r="F117" s="79">
        <v>15.7</v>
      </c>
      <c r="G117" s="80">
        <v>8155</v>
      </c>
      <c r="H117" s="5" t="s">
        <v>3389</v>
      </c>
      <c r="I117" s="16" t="s">
        <v>84</v>
      </c>
      <c r="J117" s="8" t="s">
        <v>6437</v>
      </c>
      <c r="K117" s="5"/>
      <c r="L117" s="156">
        <v>2</v>
      </c>
      <c r="M117" s="340">
        <v>0</v>
      </c>
      <c r="N117" s="240">
        <v>2</v>
      </c>
      <c r="P117" s="365">
        <v>224</v>
      </c>
      <c r="Q117" s="79">
        <v>214</v>
      </c>
      <c r="R117" s="346">
        <v>1075</v>
      </c>
      <c r="S117" s="81">
        <v>2</v>
      </c>
      <c r="T117" s="327">
        <v>31</v>
      </c>
      <c r="U117" s="393">
        <v>6</v>
      </c>
      <c r="V117" s="310">
        <f t="shared" si="181"/>
        <v>3.8216560509554139E-2</v>
      </c>
      <c r="W117" s="94">
        <v>7.85</v>
      </c>
      <c r="X117" s="36">
        <v>157</v>
      </c>
      <c r="Y117" s="66">
        <v>154</v>
      </c>
      <c r="Z117" s="15">
        <f>X117-Y117</f>
        <v>3</v>
      </c>
      <c r="AA117" s="63">
        <f>Z117/Y117</f>
        <v>1.948051948051948E-2</v>
      </c>
      <c r="AB117" s="344">
        <v>-27.12</v>
      </c>
      <c r="AC117" s="384">
        <v>25.13</v>
      </c>
      <c r="AD117" s="16" t="s">
        <v>84</v>
      </c>
      <c r="AE117" s="84">
        <v>44687</v>
      </c>
      <c r="AF117" s="86">
        <v>44687</v>
      </c>
      <c r="AG117" s="33">
        <f>AF117-AE117</f>
        <v>0</v>
      </c>
      <c r="AH117" s="117" t="s">
        <v>1049</v>
      </c>
      <c r="AI117" s="63"/>
      <c r="AJ117" s="284"/>
      <c r="AK117" s="400"/>
      <c r="AM117" s="245"/>
      <c r="AN117" s="245"/>
    </row>
    <row r="118" spans="1:40">
      <c r="A118" s="347">
        <v>84.5</v>
      </c>
      <c r="B118" s="79">
        <v>456</v>
      </c>
      <c r="C118" s="79">
        <v>649</v>
      </c>
      <c r="D118" s="79">
        <v>51</v>
      </c>
      <c r="E118" s="79">
        <v>24</v>
      </c>
      <c r="F118" s="79">
        <v>27.18</v>
      </c>
      <c r="G118" s="79">
        <v>2606</v>
      </c>
      <c r="H118" s="8" t="s">
        <v>302</v>
      </c>
      <c r="I118" s="22" t="s">
        <v>4619</v>
      </c>
      <c r="J118" s="102" t="s">
        <v>3545</v>
      </c>
      <c r="L118" s="156">
        <v>1</v>
      </c>
      <c r="M118" s="340">
        <v>0</v>
      </c>
      <c r="N118" s="240">
        <f t="shared" ref="N118" si="182">L118-M118</f>
        <v>1</v>
      </c>
      <c r="P118" s="365">
        <v>629</v>
      </c>
      <c r="Q118" s="79">
        <v>163</v>
      </c>
      <c r="R118" s="346">
        <v>454</v>
      </c>
      <c r="S118" s="81">
        <v>27</v>
      </c>
      <c r="T118" s="327">
        <v>101</v>
      </c>
      <c r="U118" s="393">
        <v>3</v>
      </c>
      <c r="V118" s="310">
        <f t="shared" ref="V118" si="183">U118/X118</f>
        <v>4.5180722891566258E-2</v>
      </c>
      <c r="W118" s="94">
        <v>5.79</v>
      </c>
      <c r="X118" s="36">
        <v>66.400000000000006</v>
      </c>
      <c r="Y118" s="66">
        <v>64.8</v>
      </c>
      <c r="Z118" s="15">
        <f t="shared" ref="Z118" si="184">X118-Y118</f>
        <v>1.6000000000000085</v>
      </c>
      <c r="AA118" s="63">
        <f t="shared" ref="AA118" si="185">Z118/Y118</f>
        <v>2.4691358024691492E-2</v>
      </c>
      <c r="AB118" s="344">
        <v>-33.090000000000003</v>
      </c>
      <c r="AC118" s="384">
        <v>59.4</v>
      </c>
      <c r="AD118" s="22" t="s">
        <v>4619</v>
      </c>
      <c r="AE118" s="84">
        <v>44679</v>
      </c>
      <c r="AF118" s="83">
        <v>44687</v>
      </c>
      <c r="AG118" s="33">
        <f t="shared" ref="AG118" si="186">AF118-AE118</f>
        <v>8</v>
      </c>
      <c r="AH118" s="117" t="s">
        <v>3267</v>
      </c>
      <c r="AI118" s="63"/>
      <c r="AJ118" s="284"/>
      <c r="AK118" s="400"/>
      <c r="AM118" s="245"/>
      <c r="AN118" s="245"/>
    </row>
    <row r="119" spans="1:40">
      <c r="A119" s="347">
        <v>122</v>
      </c>
      <c r="B119" s="79">
        <v>43</v>
      </c>
      <c r="C119" s="79">
        <v>42</v>
      </c>
      <c r="D119" s="79">
        <v>26</v>
      </c>
      <c r="E119" s="79">
        <v>23</v>
      </c>
      <c r="F119" s="79">
        <v>19.57</v>
      </c>
      <c r="G119" s="80">
        <v>2449</v>
      </c>
      <c r="H119" s="18" t="s">
        <v>3039</v>
      </c>
      <c r="I119" s="22" t="s">
        <v>47</v>
      </c>
      <c r="J119" s="102" t="s">
        <v>6248</v>
      </c>
      <c r="L119" s="156">
        <v>3</v>
      </c>
      <c r="M119" s="340">
        <v>0</v>
      </c>
      <c r="N119" s="240">
        <f>L119-M119</f>
        <v>3</v>
      </c>
      <c r="P119" s="365">
        <v>993</v>
      </c>
      <c r="Q119" s="79">
        <v>8</v>
      </c>
      <c r="R119" s="346">
        <v>157</v>
      </c>
      <c r="S119" s="81">
        <v>54</v>
      </c>
      <c r="T119" s="327">
        <v>40</v>
      </c>
      <c r="U119" s="393">
        <v>3</v>
      </c>
      <c r="V119" s="310">
        <f t="shared" ref="V119:V126" si="187">U119/X119</f>
        <v>7.1770334928229665E-2</v>
      </c>
      <c r="W119" s="94">
        <v>4.2300000000000004</v>
      </c>
      <c r="X119" s="36">
        <v>41.8</v>
      </c>
      <c r="Y119" s="66">
        <v>40.799999999999997</v>
      </c>
      <c r="Z119" s="15">
        <f t="shared" ref="Z119:Z126" si="188">X119-Y119</f>
        <v>1</v>
      </c>
      <c r="AA119" s="63">
        <f t="shared" ref="AA119:AA126" si="189">Z119/Y119</f>
        <v>2.4509803921568631E-2</v>
      </c>
      <c r="AB119" s="344">
        <v>-20.14</v>
      </c>
      <c r="AC119" s="384">
        <v>19.16</v>
      </c>
      <c r="AD119" s="22" t="s">
        <v>47</v>
      </c>
      <c r="AE119" s="84">
        <v>44673</v>
      </c>
      <c r="AF119" s="83">
        <v>44687</v>
      </c>
      <c r="AG119" s="33">
        <f t="shared" ref="AG119:AG126" si="190">AF119-AE119</f>
        <v>14</v>
      </c>
      <c r="AH119" s="117" t="s">
        <v>2298</v>
      </c>
      <c r="AI119" s="63"/>
      <c r="AJ119" s="284"/>
      <c r="AK119" s="400"/>
      <c r="AM119" s="245"/>
      <c r="AN119" s="245"/>
    </row>
    <row r="120" spans="1:40">
      <c r="A120" s="347">
        <v>9.18</v>
      </c>
      <c r="B120" s="79">
        <v>81</v>
      </c>
      <c r="C120" s="79">
        <v>87</v>
      </c>
      <c r="D120" s="79">
        <v>5</v>
      </c>
      <c r="E120" s="80">
        <v>-12</v>
      </c>
      <c r="F120" s="79">
        <v>27.55</v>
      </c>
      <c r="G120" s="80">
        <v>6411</v>
      </c>
      <c r="H120" s="183" t="s">
        <v>307</v>
      </c>
      <c r="I120" s="16" t="s">
        <v>251</v>
      </c>
      <c r="J120" s="8" t="s">
        <v>6438</v>
      </c>
      <c r="K120" s="5"/>
      <c r="L120" s="156">
        <v>2</v>
      </c>
      <c r="M120" s="340">
        <v>0</v>
      </c>
      <c r="N120" s="240">
        <v>2</v>
      </c>
      <c r="P120" s="365">
        <v>88</v>
      </c>
      <c r="Q120" s="79">
        <v>519</v>
      </c>
      <c r="R120" s="346">
        <v>346</v>
      </c>
      <c r="S120" s="81">
        <v>297</v>
      </c>
      <c r="T120" s="327">
        <v>13</v>
      </c>
      <c r="U120" s="393">
        <v>7.22</v>
      </c>
      <c r="V120" s="310">
        <f t="shared" si="187"/>
        <v>4.8456375838926175E-2</v>
      </c>
      <c r="W120" s="94">
        <v>10.33</v>
      </c>
      <c r="X120" s="36">
        <v>149</v>
      </c>
      <c r="Y120" s="66">
        <v>145.5</v>
      </c>
      <c r="Z120" s="15">
        <f t="shared" si="188"/>
        <v>3.5</v>
      </c>
      <c r="AA120" s="63">
        <f t="shared" si="189"/>
        <v>2.4054982817869417E-2</v>
      </c>
      <c r="AB120" s="344">
        <v>-50.33</v>
      </c>
      <c r="AC120" s="384">
        <v>19.149999999999999</v>
      </c>
      <c r="AD120" s="16" t="s">
        <v>251</v>
      </c>
      <c r="AE120" s="84">
        <v>44687</v>
      </c>
      <c r="AF120" s="86">
        <v>44687</v>
      </c>
      <c r="AG120" s="33">
        <f t="shared" si="190"/>
        <v>0</v>
      </c>
      <c r="AH120" s="43" t="s">
        <v>2148</v>
      </c>
      <c r="AI120" s="63"/>
      <c r="AJ120" s="284"/>
      <c r="AK120" s="400"/>
      <c r="AM120" s="245"/>
      <c r="AN120" s="245"/>
    </row>
    <row r="121" spans="1:40">
      <c r="A121" s="347">
        <v>17.8</v>
      </c>
      <c r="B121" s="79">
        <v>89</v>
      </c>
      <c r="C121" s="79">
        <v>52</v>
      </c>
      <c r="D121" s="79">
        <v>16</v>
      </c>
      <c r="E121" s="79">
        <v>7</v>
      </c>
      <c r="F121" s="79">
        <v>24.59</v>
      </c>
      <c r="G121" s="80">
        <v>6271</v>
      </c>
      <c r="H121" s="5" t="s">
        <v>307</v>
      </c>
      <c r="I121" s="22" t="s">
        <v>55</v>
      </c>
      <c r="J121" s="102" t="s">
        <v>6427</v>
      </c>
      <c r="K121" s="5"/>
      <c r="L121" s="156">
        <v>1</v>
      </c>
      <c r="M121" s="340">
        <v>0</v>
      </c>
      <c r="N121" s="240">
        <v>1</v>
      </c>
      <c r="P121" s="365">
        <v>636</v>
      </c>
      <c r="Q121" s="79">
        <v>136</v>
      </c>
      <c r="R121" s="346">
        <v>117</v>
      </c>
      <c r="S121" s="81">
        <v>11</v>
      </c>
      <c r="T121" s="327">
        <v>44</v>
      </c>
      <c r="U121" s="393">
        <v>9</v>
      </c>
      <c r="V121" s="310">
        <f t="shared" si="187"/>
        <v>3.7499999999999999E-2</v>
      </c>
      <c r="W121" s="94">
        <v>17.89</v>
      </c>
      <c r="X121" s="36">
        <v>240</v>
      </c>
      <c r="Y121" s="66">
        <v>235</v>
      </c>
      <c r="Z121" s="15">
        <f t="shared" si="188"/>
        <v>5</v>
      </c>
      <c r="AA121" s="63">
        <f t="shared" si="189"/>
        <v>2.1276595744680851E-2</v>
      </c>
      <c r="AB121" s="344">
        <v>-25.35</v>
      </c>
      <c r="AC121" s="384">
        <v>24.89</v>
      </c>
      <c r="AD121" s="22" t="s">
        <v>55</v>
      </c>
      <c r="AE121" s="84">
        <v>44687</v>
      </c>
      <c r="AF121" s="86">
        <v>44687</v>
      </c>
      <c r="AG121" s="33">
        <f t="shared" si="190"/>
        <v>0</v>
      </c>
      <c r="AH121" s="117" t="s">
        <v>2296</v>
      </c>
      <c r="AI121" s="63"/>
      <c r="AJ121" s="284"/>
      <c r="AK121" s="400"/>
      <c r="AM121" s="245"/>
      <c r="AN121" s="245"/>
    </row>
    <row r="122" spans="1:40">
      <c r="A122" s="347">
        <v>5.81</v>
      </c>
      <c r="B122" s="80">
        <v>-29</v>
      </c>
      <c r="C122" s="80">
        <v>-29</v>
      </c>
      <c r="D122" s="79">
        <v>72</v>
      </c>
      <c r="E122" s="79">
        <v>45</v>
      </c>
      <c r="F122" s="79">
        <v>12.97</v>
      </c>
      <c r="G122" s="80">
        <v>4763</v>
      </c>
      <c r="H122" s="5" t="s">
        <v>755</v>
      </c>
      <c r="I122" s="22" t="s">
        <v>3638</v>
      </c>
      <c r="J122" s="102" t="s">
        <v>4720</v>
      </c>
      <c r="L122" s="156">
        <v>1</v>
      </c>
      <c r="M122" s="340">
        <v>0</v>
      </c>
      <c r="N122" s="240">
        <f>L122-M122</f>
        <v>1</v>
      </c>
      <c r="P122" s="365">
        <v>530</v>
      </c>
      <c r="Q122" s="79">
        <v>1054</v>
      </c>
      <c r="R122" s="346">
        <v>32</v>
      </c>
      <c r="S122" s="81" t="s">
        <v>6289</v>
      </c>
      <c r="T122" s="327">
        <v>848</v>
      </c>
      <c r="U122" s="393">
        <v>5.5</v>
      </c>
      <c r="V122" s="310">
        <f t="shared" si="187"/>
        <v>5.6352459016393443E-2</v>
      </c>
      <c r="W122" s="94">
        <v>6.43</v>
      </c>
      <c r="X122" s="36">
        <v>97.6</v>
      </c>
      <c r="Y122" s="66">
        <v>96</v>
      </c>
      <c r="Z122" s="15">
        <f t="shared" si="188"/>
        <v>1.5999999999999943</v>
      </c>
      <c r="AA122" s="63">
        <f t="shared" si="189"/>
        <v>1.6666666666666607E-2</v>
      </c>
      <c r="AB122" s="344">
        <v>-18.809999999999999</v>
      </c>
      <c r="AC122" s="384">
        <v>36.79</v>
      </c>
      <c r="AD122" s="22" t="s">
        <v>3638</v>
      </c>
      <c r="AE122" s="84">
        <v>44684</v>
      </c>
      <c r="AF122" s="83">
        <v>44687</v>
      </c>
      <c r="AG122" s="33">
        <f t="shared" si="190"/>
        <v>3</v>
      </c>
      <c r="AH122" s="43" t="s">
        <v>3639</v>
      </c>
      <c r="AI122" s="63"/>
      <c r="AJ122" s="284"/>
      <c r="AK122" s="400"/>
      <c r="AM122" s="245"/>
      <c r="AN122" s="245"/>
    </row>
    <row r="123" spans="1:40">
      <c r="A123" s="347">
        <v>4.72</v>
      </c>
      <c r="B123" s="79">
        <v>121</v>
      </c>
      <c r="C123" s="79">
        <v>135</v>
      </c>
      <c r="D123" s="79">
        <v>28</v>
      </c>
      <c r="E123" s="79">
        <v>5</v>
      </c>
      <c r="F123" s="79">
        <v>19.690000000000001</v>
      </c>
      <c r="G123" s="80">
        <v>3438</v>
      </c>
      <c r="H123" s="183" t="s">
        <v>307</v>
      </c>
      <c r="I123" s="16" t="s">
        <v>362</v>
      </c>
      <c r="J123" s="102" t="s">
        <v>6439</v>
      </c>
      <c r="K123" s="5"/>
      <c r="L123" s="156">
        <v>1</v>
      </c>
      <c r="M123" s="340">
        <v>0</v>
      </c>
      <c r="N123" s="240">
        <v>1</v>
      </c>
      <c r="P123" s="365">
        <v>357</v>
      </c>
      <c r="Q123" s="79">
        <v>30</v>
      </c>
      <c r="R123" s="346">
        <v>1034</v>
      </c>
      <c r="S123" s="81" t="s">
        <v>6289</v>
      </c>
      <c r="T123" s="327">
        <v>848</v>
      </c>
      <c r="U123" s="393">
        <v>3.6</v>
      </c>
      <c r="V123" s="310">
        <f t="shared" si="187"/>
        <v>5.4135338345864661E-2</v>
      </c>
      <c r="W123" s="94">
        <v>5.14</v>
      </c>
      <c r="X123" s="36">
        <v>66.5</v>
      </c>
      <c r="Y123" s="66">
        <v>65.900000000000006</v>
      </c>
      <c r="Z123" s="15">
        <f t="shared" si="188"/>
        <v>0.59999999999999432</v>
      </c>
      <c r="AA123" s="63">
        <f t="shared" si="189"/>
        <v>9.1047040971167573E-3</v>
      </c>
      <c r="AB123" s="344">
        <v>-43.68</v>
      </c>
      <c r="AC123" s="384">
        <v>24.31</v>
      </c>
      <c r="AD123" s="16" t="s">
        <v>362</v>
      </c>
      <c r="AE123" s="84">
        <v>44687</v>
      </c>
      <c r="AF123" s="86">
        <v>44687</v>
      </c>
      <c r="AG123" s="33">
        <f t="shared" si="190"/>
        <v>0</v>
      </c>
      <c r="AH123" s="43" t="s">
        <v>1438</v>
      </c>
      <c r="AI123" s="63"/>
      <c r="AJ123" s="284"/>
      <c r="AK123" s="400"/>
      <c r="AM123" s="245"/>
      <c r="AN123" s="245"/>
    </row>
    <row r="124" spans="1:40">
      <c r="A124" s="347">
        <v>38.200000000000003</v>
      </c>
      <c r="B124" s="79">
        <v>119</v>
      </c>
      <c r="C124" s="79">
        <v>130</v>
      </c>
      <c r="D124" s="79">
        <v>17</v>
      </c>
      <c r="E124" s="79">
        <v>11</v>
      </c>
      <c r="F124" s="79">
        <v>16.52</v>
      </c>
      <c r="G124" s="80">
        <v>2481</v>
      </c>
      <c r="H124" s="5" t="s">
        <v>307</v>
      </c>
      <c r="I124" s="22" t="s">
        <v>183</v>
      </c>
      <c r="J124" s="8" t="s">
        <v>6432</v>
      </c>
      <c r="K124" s="5"/>
      <c r="L124" s="156">
        <v>2</v>
      </c>
      <c r="M124" s="340">
        <v>0</v>
      </c>
      <c r="N124" s="240">
        <v>2</v>
      </c>
      <c r="P124" s="365">
        <v>163</v>
      </c>
      <c r="Q124" s="79">
        <v>424</v>
      </c>
      <c r="R124" s="346">
        <v>400</v>
      </c>
      <c r="S124" s="81">
        <v>158</v>
      </c>
      <c r="T124" s="327">
        <v>66</v>
      </c>
      <c r="U124" s="393">
        <v>3</v>
      </c>
      <c r="V124" s="310">
        <f t="shared" si="187"/>
        <v>3.7037037037037035E-2</v>
      </c>
      <c r="W124" s="94">
        <v>5.77</v>
      </c>
      <c r="X124" s="36">
        <v>81</v>
      </c>
      <c r="Y124" s="66">
        <v>79.2</v>
      </c>
      <c r="Z124" s="15">
        <f t="shared" si="188"/>
        <v>1.7999999999999972</v>
      </c>
      <c r="AA124" s="63">
        <f t="shared" si="189"/>
        <v>2.272727272727269E-2</v>
      </c>
      <c r="AB124" s="344">
        <v>-34.880000000000003</v>
      </c>
      <c r="AC124" s="384">
        <v>21.92</v>
      </c>
      <c r="AD124" s="22" t="s">
        <v>183</v>
      </c>
      <c r="AE124" s="84">
        <v>44687</v>
      </c>
      <c r="AF124" s="86">
        <v>44687</v>
      </c>
      <c r="AG124" s="33">
        <f t="shared" si="190"/>
        <v>0</v>
      </c>
      <c r="AH124" s="119" t="s">
        <v>2185</v>
      </c>
      <c r="AI124" s="63"/>
      <c r="AJ124" s="284"/>
      <c r="AK124" s="400"/>
      <c r="AM124" s="245"/>
      <c r="AN124" s="245"/>
    </row>
    <row r="125" spans="1:40">
      <c r="A125" s="347">
        <v>25.2</v>
      </c>
      <c r="B125" s="79">
        <v>181</v>
      </c>
      <c r="C125" s="79">
        <v>158</v>
      </c>
      <c r="D125" s="80">
        <v>-5</v>
      </c>
      <c r="E125" s="79">
        <v>1</v>
      </c>
      <c r="F125" s="79">
        <v>21.4</v>
      </c>
      <c r="G125" s="80">
        <v>8358</v>
      </c>
      <c r="H125" s="5" t="s">
        <v>3389</v>
      </c>
      <c r="I125" s="16" t="s">
        <v>222</v>
      </c>
      <c r="J125" s="102" t="s">
        <v>6427</v>
      </c>
      <c r="K125" s="5"/>
      <c r="L125" s="156">
        <v>1</v>
      </c>
      <c r="M125" s="340">
        <v>0</v>
      </c>
      <c r="N125" s="240">
        <v>1</v>
      </c>
      <c r="P125" s="365">
        <v>308</v>
      </c>
      <c r="Q125" s="79">
        <v>314</v>
      </c>
      <c r="R125" s="346">
        <v>636</v>
      </c>
      <c r="S125" s="81">
        <v>36</v>
      </c>
      <c r="T125" s="327">
        <v>256</v>
      </c>
      <c r="U125" s="393">
        <v>4.2</v>
      </c>
      <c r="V125" s="310">
        <f t="shared" si="187"/>
        <v>6.965174129353234E-2</v>
      </c>
      <c r="W125" s="94">
        <v>6.03</v>
      </c>
      <c r="X125" s="36">
        <v>60.3</v>
      </c>
      <c r="Y125" s="66">
        <v>58.9</v>
      </c>
      <c r="Z125" s="15">
        <f t="shared" si="188"/>
        <v>1.3999999999999986</v>
      </c>
      <c r="AA125" s="63">
        <f t="shared" si="189"/>
        <v>2.3769100169779265E-2</v>
      </c>
      <c r="AB125" s="344">
        <v>-34.770000000000003</v>
      </c>
      <c r="AC125" s="384">
        <v>17.39</v>
      </c>
      <c r="AD125" s="16" t="s">
        <v>222</v>
      </c>
      <c r="AE125" s="84">
        <v>44687</v>
      </c>
      <c r="AF125" s="86">
        <v>44687</v>
      </c>
      <c r="AG125" s="33">
        <f t="shared" si="190"/>
        <v>0</v>
      </c>
      <c r="AH125" s="117" t="s">
        <v>2431</v>
      </c>
      <c r="AI125" s="63"/>
      <c r="AJ125" s="284"/>
      <c r="AK125" s="400"/>
      <c r="AM125" s="245"/>
      <c r="AN125" s="245"/>
    </row>
    <row r="126" spans="1:40">
      <c r="A126" s="347">
        <v>4.4000000000000004</v>
      </c>
      <c r="B126" s="79">
        <v>194</v>
      </c>
      <c r="C126" s="79">
        <v>170</v>
      </c>
      <c r="D126" s="79">
        <v>6</v>
      </c>
      <c r="E126" s="79">
        <v>47</v>
      </c>
      <c r="F126" s="79">
        <v>32.71</v>
      </c>
      <c r="G126" s="80">
        <v>6485</v>
      </c>
      <c r="H126" s="18" t="s">
        <v>307</v>
      </c>
      <c r="I126" s="16" t="s">
        <v>232</v>
      </c>
      <c r="J126" s="102" t="s">
        <v>6439</v>
      </c>
      <c r="K126" s="5"/>
      <c r="L126" s="156">
        <v>1</v>
      </c>
      <c r="M126" s="340">
        <v>0</v>
      </c>
      <c r="N126" s="240">
        <v>1</v>
      </c>
      <c r="P126" s="365">
        <v>16</v>
      </c>
      <c r="Q126" s="79">
        <v>124</v>
      </c>
      <c r="R126" s="346">
        <v>805</v>
      </c>
      <c r="S126" s="81">
        <v>418</v>
      </c>
      <c r="T126" s="327">
        <v>69</v>
      </c>
      <c r="U126" s="393">
        <v>5</v>
      </c>
      <c r="V126" s="310">
        <f t="shared" si="187"/>
        <v>4.1841004184100417E-2</v>
      </c>
      <c r="W126" s="94">
        <v>14.29</v>
      </c>
      <c r="X126" s="36">
        <v>119.5</v>
      </c>
      <c r="Y126" s="66">
        <v>117</v>
      </c>
      <c r="Z126" s="15">
        <f t="shared" si="188"/>
        <v>2.5</v>
      </c>
      <c r="AA126" s="63">
        <f t="shared" si="189"/>
        <v>2.1367521367521368E-2</v>
      </c>
      <c r="AB126" s="344">
        <v>-36.39</v>
      </c>
      <c r="AC126" s="384">
        <v>27.49</v>
      </c>
      <c r="AD126" s="16" t="s">
        <v>232</v>
      </c>
      <c r="AE126" s="84">
        <v>44687</v>
      </c>
      <c r="AF126" s="86">
        <v>44687</v>
      </c>
      <c r="AG126" s="33">
        <f t="shared" si="190"/>
        <v>0</v>
      </c>
      <c r="AH126" s="43" t="s">
        <v>2365</v>
      </c>
      <c r="AI126" s="63"/>
      <c r="AJ126" s="284"/>
      <c r="AK126" s="400"/>
      <c r="AM126" s="245"/>
      <c r="AN126" s="245"/>
    </row>
    <row r="127" spans="1:40">
      <c r="A127" s="347">
        <v>41.9</v>
      </c>
      <c r="B127" s="79">
        <v>451</v>
      </c>
      <c r="C127" s="79">
        <v>932</v>
      </c>
      <c r="D127" s="79">
        <v>8</v>
      </c>
      <c r="E127" s="80">
        <v>-2</v>
      </c>
      <c r="F127" s="79">
        <v>8.0299999999999994</v>
      </c>
      <c r="G127" s="79">
        <v>4919</v>
      </c>
      <c r="H127" s="8" t="s">
        <v>3039</v>
      </c>
      <c r="I127" s="22" t="s">
        <v>118</v>
      </c>
      <c r="J127" s="8" t="s">
        <v>3545</v>
      </c>
      <c r="L127" s="156">
        <v>1</v>
      </c>
      <c r="M127" s="340">
        <v>0</v>
      </c>
      <c r="N127" s="240">
        <f t="shared" ref="N127:N138" si="191">L127-M127</f>
        <v>1</v>
      </c>
      <c r="P127" s="365">
        <v>306</v>
      </c>
      <c r="Q127" s="79">
        <v>235</v>
      </c>
      <c r="R127" s="346">
        <v>573</v>
      </c>
      <c r="S127" s="81">
        <v>18</v>
      </c>
      <c r="T127" s="327">
        <v>44</v>
      </c>
      <c r="U127" s="393">
        <v>5</v>
      </c>
      <c r="V127" s="310">
        <f t="shared" ref="V127:V139" si="192">U127/X127</f>
        <v>2.976190476190476E-2</v>
      </c>
      <c r="W127" s="94">
        <v>7.34</v>
      </c>
      <c r="X127" s="36">
        <v>168</v>
      </c>
      <c r="Y127" s="66">
        <v>161.5</v>
      </c>
      <c r="Z127" s="15">
        <f t="shared" ref="Z127:Z139" si="193">X127-Y127</f>
        <v>6.5</v>
      </c>
      <c r="AA127" s="63">
        <f t="shared" ref="AA127:AA139" si="194">Z127/Y127</f>
        <v>4.0247678018575851E-2</v>
      </c>
      <c r="AB127" s="344">
        <v>-18.78</v>
      </c>
      <c r="AC127" s="384">
        <v>53.03</v>
      </c>
      <c r="AD127" s="22" t="s">
        <v>118</v>
      </c>
      <c r="AE127" s="84">
        <v>44673</v>
      </c>
      <c r="AF127" s="83">
        <v>44686</v>
      </c>
      <c r="AG127" s="33">
        <f t="shared" ref="AG127:AG139" si="195">AF127-AE127</f>
        <v>13</v>
      </c>
      <c r="AH127" s="117" t="s">
        <v>3021</v>
      </c>
      <c r="AI127" s="63"/>
      <c r="AJ127" s="284"/>
      <c r="AK127" s="400"/>
      <c r="AM127" s="245"/>
      <c r="AN127" s="245"/>
    </row>
    <row r="128" spans="1:40">
      <c r="A128" s="347">
        <v>7.48</v>
      </c>
      <c r="B128" s="79">
        <v>238</v>
      </c>
      <c r="C128" s="79">
        <v>197</v>
      </c>
      <c r="D128" s="79">
        <v>11</v>
      </c>
      <c r="E128" s="79">
        <v>35</v>
      </c>
      <c r="F128" s="79">
        <v>32.159999999999997</v>
      </c>
      <c r="G128" s="80">
        <v>3141</v>
      </c>
      <c r="H128" s="145" t="s">
        <v>307</v>
      </c>
      <c r="I128" s="16" t="s">
        <v>181</v>
      </c>
      <c r="J128" s="8" t="s">
        <v>6388</v>
      </c>
      <c r="K128" s="5"/>
      <c r="L128" s="156">
        <v>2</v>
      </c>
      <c r="M128" s="340">
        <v>0</v>
      </c>
      <c r="N128" s="240">
        <f t="shared" si="191"/>
        <v>2</v>
      </c>
      <c r="P128" s="365">
        <v>19</v>
      </c>
      <c r="Q128" s="79">
        <v>168</v>
      </c>
      <c r="R128" s="346">
        <v>686</v>
      </c>
      <c r="S128" s="81">
        <v>198</v>
      </c>
      <c r="T128" s="327">
        <v>12</v>
      </c>
      <c r="U128" s="393">
        <v>4</v>
      </c>
      <c r="V128" s="310">
        <f t="shared" si="192"/>
        <v>2.7027027027027029E-2</v>
      </c>
      <c r="W128" s="94">
        <v>11.99</v>
      </c>
      <c r="X128" s="36">
        <v>148</v>
      </c>
      <c r="Y128" s="66">
        <v>141</v>
      </c>
      <c r="Z128" s="15">
        <f t="shared" si="193"/>
        <v>7</v>
      </c>
      <c r="AA128" s="63">
        <f t="shared" si="194"/>
        <v>4.9645390070921988E-2</v>
      </c>
      <c r="AB128" s="344">
        <v>-51.11</v>
      </c>
      <c r="AC128" s="384">
        <v>21.66</v>
      </c>
      <c r="AD128" s="16" t="s">
        <v>181</v>
      </c>
      <c r="AE128" s="84">
        <v>44685</v>
      </c>
      <c r="AF128" s="83">
        <v>44686</v>
      </c>
      <c r="AG128" s="33">
        <f t="shared" si="195"/>
        <v>1</v>
      </c>
      <c r="AH128" s="119" t="s">
        <v>2146</v>
      </c>
      <c r="AI128" s="63"/>
      <c r="AJ128" s="284"/>
      <c r="AK128" s="400"/>
      <c r="AM128" s="245"/>
      <c r="AN128" s="245"/>
    </row>
    <row r="129" spans="1:40">
      <c r="A129" s="347">
        <v>1386</v>
      </c>
      <c r="B129" s="79">
        <v>34</v>
      </c>
      <c r="C129" s="79">
        <v>34</v>
      </c>
      <c r="D129" s="79">
        <v>11</v>
      </c>
      <c r="E129" s="79">
        <v>15</v>
      </c>
      <c r="F129" s="79">
        <v>2.4900000000000002</v>
      </c>
      <c r="G129" s="80">
        <v>2317</v>
      </c>
      <c r="H129" s="18" t="s">
        <v>314</v>
      </c>
      <c r="I129" s="22" t="s">
        <v>4</v>
      </c>
      <c r="J129" s="102" t="s">
        <v>3545</v>
      </c>
      <c r="L129" s="156">
        <v>1</v>
      </c>
      <c r="M129" s="340">
        <v>0</v>
      </c>
      <c r="N129" s="240">
        <f t="shared" si="191"/>
        <v>1</v>
      </c>
      <c r="P129" s="365">
        <v>1174</v>
      </c>
      <c r="Q129" s="79">
        <v>337</v>
      </c>
      <c r="R129" s="346">
        <v>91</v>
      </c>
      <c r="S129" s="81">
        <v>164</v>
      </c>
      <c r="T129" s="327">
        <v>187</v>
      </c>
      <c r="U129" s="390">
        <v>5.2</v>
      </c>
      <c r="V129" s="310">
        <f t="shared" si="192"/>
        <v>4.9523809523809526E-2</v>
      </c>
      <c r="W129" s="94">
        <v>10.050000000000001</v>
      </c>
      <c r="X129" s="36">
        <v>105</v>
      </c>
      <c r="Y129" s="65">
        <v>102</v>
      </c>
      <c r="Z129" s="15">
        <f t="shared" si="193"/>
        <v>3</v>
      </c>
      <c r="AA129" s="63">
        <f t="shared" si="194"/>
        <v>2.9411764705882353E-2</v>
      </c>
      <c r="AB129" s="344">
        <v>-15.42</v>
      </c>
      <c r="AC129" s="384">
        <v>37.35</v>
      </c>
      <c r="AD129" s="22" t="s">
        <v>4</v>
      </c>
      <c r="AE129" s="84">
        <v>44680</v>
      </c>
      <c r="AF129" s="83">
        <v>44686</v>
      </c>
      <c r="AG129" s="33">
        <f t="shared" si="195"/>
        <v>6</v>
      </c>
      <c r="AH129" s="43" t="s">
        <v>2562</v>
      </c>
      <c r="AI129" s="63"/>
      <c r="AJ129" s="284"/>
      <c r="AK129" s="400"/>
      <c r="AM129" s="245"/>
      <c r="AN129" s="245"/>
    </row>
    <row r="130" spans="1:40">
      <c r="A130" s="347">
        <v>84.4</v>
      </c>
      <c r="B130" s="79">
        <v>112</v>
      </c>
      <c r="C130" s="79">
        <v>117</v>
      </c>
      <c r="D130" s="79">
        <v>19</v>
      </c>
      <c r="E130" s="79">
        <v>0</v>
      </c>
      <c r="F130" s="79">
        <v>9.9</v>
      </c>
      <c r="G130" s="80">
        <v>2377</v>
      </c>
      <c r="H130" s="192" t="s">
        <v>1146</v>
      </c>
      <c r="I130" s="22" t="s">
        <v>3381</v>
      </c>
      <c r="J130" s="102" t="s">
        <v>3545</v>
      </c>
      <c r="L130" s="156">
        <v>1</v>
      </c>
      <c r="M130" s="340">
        <v>0</v>
      </c>
      <c r="N130" s="240">
        <f t="shared" si="191"/>
        <v>1</v>
      </c>
      <c r="P130" s="365">
        <v>1082</v>
      </c>
      <c r="Q130" s="79">
        <v>20</v>
      </c>
      <c r="R130" s="346">
        <v>142</v>
      </c>
      <c r="S130" s="81">
        <v>41</v>
      </c>
      <c r="T130" s="327">
        <v>57</v>
      </c>
      <c r="U130" s="393">
        <v>10.5</v>
      </c>
      <c r="V130" s="310">
        <f t="shared" si="192"/>
        <v>8.2677165354330714E-2</v>
      </c>
      <c r="W130" s="94">
        <v>20.03</v>
      </c>
      <c r="X130" s="36">
        <v>127</v>
      </c>
      <c r="Y130" s="66">
        <v>124</v>
      </c>
      <c r="Z130" s="15">
        <f t="shared" si="193"/>
        <v>3</v>
      </c>
      <c r="AA130" s="63">
        <f t="shared" si="194"/>
        <v>2.4193548387096774E-2</v>
      </c>
      <c r="AB130" s="344">
        <v>-33.869999999999997</v>
      </c>
      <c r="AC130" s="384">
        <v>8.94</v>
      </c>
      <c r="AD130" s="22" t="s">
        <v>3381</v>
      </c>
      <c r="AE130" s="84">
        <v>44672</v>
      </c>
      <c r="AF130" s="83">
        <v>44686</v>
      </c>
      <c r="AG130" s="33">
        <f t="shared" si="195"/>
        <v>14</v>
      </c>
      <c r="AH130" s="43" t="s">
        <v>2718</v>
      </c>
      <c r="AI130" s="63"/>
      <c r="AJ130" s="284"/>
      <c r="AK130" s="400"/>
      <c r="AM130" s="245"/>
      <c r="AN130" s="245"/>
    </row>
    <row r="131" spans="1:40">
      <c r="A131" s="347">
        <v>8.6199999999999992</v>
      </c>
      <c r="B131" s="79">
        <v>108</v>
      </c>
      <c r="C131" s="79">
        <v>105</v>
      </c>
      <c r="D131" s="79">
        <v>19</v>
      </c>
      <c r="E131" s="79">
        <v>24</v>
      </c>
      <c r="F131" s="79">
        <v>29.7</v>
      </c>
      <c r="G131" s="80">
        <v>8081</v>
      </c>
      <c r="H131" s="8" t="s">
        <v>307</v>
      </c>
      <c r="I131" s="22" t="s">
        <v>357</v>
      </c>
      <c r="J131" s="102" t="s">
        <v>6387</v>
      </c>
      <c r="K131" s="5"/>
      <c r="L131" s="156">
        <v>1</v>
      </c>
      <c r="M131" s="340">
        <v>0</v>
      </c>
      <c r="N131" s="240">
        <f t="shared" si="191"/>
        <v>1</v>
      </c>
      <c r="P131" s="365">
        <v>588</v>
      </c>
      <c r="Q131" s="79">
        <v>365</v>
      </c>
      <c r="R131" s="346">
        <v>280</v>
      </c>
      <c r="S131" s="81">
        <v>274</v>
      </c>
      <c r="T131" s="327">
        <v>339</v>
      </c>
      <c r="U131" s="393">
        <v>16</v>
      </c>
      <c r="V131" s="310">
        <f t="shared" si="192"/>
        <v>7.6190476190476197E-2</v>
      </c>
      <c r="W131" s="94">
        <v>25.45</v>
      </c>
      <c r="X131" s="36">
        <v>210</v>
      </c>
      <c r="Y131" s="66">
        <v>204.5</v>
      </c>
      <c r="Z131" s="15">
        <f t="shared" si="193"/>
        <v>5.5</v>
      </c>
      <c r="AA131" s="63">
        <f t="shared" si="194"/>
        <v>2.6894865525672371E-2</v>
      </c>
      <c r="AB131" s="344">
        <v>-33.06</v>
      </c>
      <c r="AC131" s="384">
        <v>16.39</v>
      </c>
      <c r="AD131" s="22" t="s">
        <v>357</v>
      </c>
      <c r="AE131" s="84">
        <v>44685</v>
      </c>
      <c r="AF131" s="83">
        <v>44686</v>
      </c>
      <c r="AG131" s="33">
        <f t="shared" si="195"/>
        <v>1</v>
      </c>
      <c r="AH131" s="43" t="s">
        <v>1438</v>
      </c>
      <c r="AI131" s="63"/>
      <c r="AJ131" s="284"/>
      <c r="AK131" s="400"/>
      <c r="AM131" s="245"/>
      <c r="AN131" s="245"/>
    </row>
    <row r="132" spans="1:40">
      <c r="A132" s="347">
        <v>309</v>
      </c>
      <c r="B132" s="79">
        <v>197</v>
      </c>
      <c r="C132" s="79">
        <v>222</v>
      </c>
      <c r="D132" s="79">
        <v>4</v>
      </c>
      <c r="E132" s="79">
        <v>5</v>
      </c>
      <c r="F132" s="79">
        <v>31.76</v>
      </c>
      <c r="G132" s="80">
        <v>2408</v>
      </c>
      <c r="H132" s="18" t="s">
        <v>3039</v>
      </c>
      <c r="I132" s="22" t="s">
        <v>209</v>
      </c>
      <c r="J132" s="102" t="s">
        <v>3545</v>
      </c>
      <c r="L132" s="156">
        <v>1</v>
      </c>
      <c r="M132" s="340">
        <v>0</v>
      </c>
      <c r="N132" s="240">
        <f t="shared" si="191"/>
        <v>1</v>
      </c>
      <c r="P132" s="365">
        <v>1127</v>
      </c>
      <c r="Q132" s="79">
        <v>274</v>
      </c>
      <c r="R132" s="346">
        <v>315</v>
      </c>
      <c r="S132" s="81">
        <v>113</v>
      </c>
      <c r="T132" s="327">
        <v>57</v>
      </c>
      <c r="U132" s="393">
        <v>3.7</v>
      </c>
      <c r="V132" s="310">
        <f t="shared" si="192"/>
        <v>5.4977711738484404E-2</v>
      </c>
      <c r="W132" s="94">
        <v>7.41</v>
      </c>
      <c r="X132" s="36">
        <v>67.3</v>
      </c>
      <c r="Y132" s="66">
        <v>65.400000000000006</v>
      </c>
      <c r="Z132" s="15">
        <f t="shared" si="193"/>
        <v>1.8999999999999915</v>
      </c>
      <c r="AA132" s="63">
        <f t="shared" si="194"/>
        <v>2.9051987767583966E-2</v>
      </c>
      <c r="AB132" s="344">
        <v>-22.46</v>
      </c>
      <c r="AC132" s="384">
        <v>15.35</v>
      </c>
      <c r="AD132" s="22" t="s">
        <v>209</v>
      </c>
      <c r="AE132" s="84">
        <v>44684</v>
      </c>
      <c r="AF132" s="83">
        <v>44686</v>
      </c>
      <c r="AG132" s="33">
        <f t="shared" si="195"/>
        <v>2</v>
      </c>
      <c r="AH132" s="117" t="s">
        <v>2558</v>
      </c>
      <c r="AI132" s="63"/>
      <c r="AJ132" s="284"/>
      <c r="AK132" s="400"/>
      <c r="AM132" s="245"/>
      <c r="AN132" s="245"/>
    </row>
    <row r="133" spans="1:40">
      <c r="A133" s="347">
        <v>25.2</v>
      </c>
      <c r="B133" s="79">
        <v>181</v>
      </c>
      <c r="C133" s="79">
        <v>158</v>
      </c>
      <c r="D133" s="80">
        <v>-5</v>
      </c>
      <c r="E133" s="79">
        <v>1</v>
      </c>
      <c r="F133" s="79">
        <v>21.4</v>
      </c>
      <c r="G133" s="80">
        <v>8358</v>
      </c>
      <c r="H133" s="5" t="s">
        <v>3389</v>
      </c>
      <c r="I133" s="16" t="s">
        <v>222</v>
      </c>
      <c r="J133" s="102" t="s">
        <v>6387</v>
      </c>
      <c r="K133" s="5"/>
      <c r="L133" s="156">
        <v>1</v>
      </c>
      <c r="M133" s="340">
        <v>0</v>
      </c>
      <c r="N133" s="240">
        <f t="shared" si="191"/>
        <v>1</v>
      </c>
      <c r="P133" s="365">
        <v>308</v>
      </c>
      <c r="Q133" s="79">
        <v>314</v>
      </c>
      <c r="R133" s="346">
        <v>636</v>
      </c>
      <c r="S133" s="81">
        <v>36</v>
      </c>
      <c r="T133" s="327">
        <v>256</v>
      </c>
      <c r="U133" s="393">
        <v>4.2</v>
      </c>
      <c r="V133" s="310">
        <f t="shared" si="192"/>
        <v>6.8403908794788276E-2</v>
      </c>
      <c r="W133" s="94">
        <v>6.03</v>
      </c>
      <c r="X133" s="36">
        <v>61.4</v>
      </c>
      <c r="Y133" s="66">
        <v>59.4</v>
      </c>
      <c r="Z133" s="15">
        <f t="shared" si="193"/>
        <v>2</v>
      </c>
      <c r="AA133" s="63">
        <f t="shared" si="194"/>
        <v>3.3670033670033669E-2</v>
      </c>
      <c r="AB133" s="344">
        <v>-36.92</v>
      </c>
      <c r="AC133" s="384">
        <v>13.5</v>
      </c>
      <c r="AD133" s="16" t="s">
        <v>222</v>
      </c>
      <c r="AE133" s="84">
        <v>44685</v>
      </c>
      <c r="AF133" s="83">
        <v>44686</v>
      </c>
      <c r="AG133" s="33">
        <f t="shared" si="195"/>
        <v>1</v>
      </c>
      <c r="AH133" s="117" t="s">
        <v>2431</v>
      </c>
      <c r="AI133" s="63"/>
      <c r="AJ133" s="284"/>
      <c r="AK133" s="400"/>
      <c r="AM133" s="245"/>
      <c r="AN133" s="245"/>
    </row>
    <row r="134" spans="1:40">
      <c r="A134" s="347">
        <v>21.6</v>
      </c>
      <c r="B134" s="80">
        <v>-2</v>
      </c>
      <c r="C134" s="80">
        <v>-3</v>
      </c>
      <c r="D134" s="79">
        <v>50</v>
      </c>
      <c r="E134" s="80">
        <v>-12</v>
      </c>
      <c r="F134" s="79">
        <v>3.04</v>
      </c>
      <c r="G134" s="80">
        <v>2439</v>
      </c>
      <c r="H134" s="195" t="s">
        <v>311</v>
      </c>
      <c r="I134" s="22" t="s">
        <v>211</v>
      </c>
      <c r="J134" s="102" t="s">
        <v>6265</v>
      </c>
      <c r="L134" s="156">
        <v>2</v>
      </c>
      <c r="M134" s="340">
        <v>0</v>
      </c>
      <c r="N134" s="240">
        <f t="shared" si="191"/>
        <v>2</v>
      </c>
      <c r="P134" s="365">
        <v>555</v>
      </c>
      <c r="Q134" s="79">
        <v>17</v>
      </c>
      <c r="R134" s="346">
        <v>480</v>
      </c>
      <c r="S134" s="81">
        <v>491</v>
      </c>
      <c r="T134" s="327">
        <v>618</v>
      </c>
      <c r="U134" s="393">
        <v>4</v>
      </c>
      <c r="V134" s="310">
        <f t="shared" si="192"/>
        <v>4.7225501770956316E-2</v>
      </c>
      <c r="W134" s="94">
        <v>5.43</v>
      </c>
      <c r="X134" s="36">
        <v>84.7</v>
      </c>
      <c r="Y134" s="66">
        <v>82.5</v>
      </c>
      <c r="Z134" s="15">
        <f t="shared" si="193"/>
        <v>2.2000000000000028</v>
      </c>
      <c r="AA134" s="63">
        <f t="shared" si="194"/>
        <v>2.66666666666667E-2</v>
      </c>
      <c r="AB134" s="344">
        <v>-31.11</v>
      </c>
      <c r="AC134" s="384">
        <v>33.69</v>
      </c>
      <c r="AD134" s="22" t="s">
        <v>211</v>
      </c>
      <c r="AE134" s="84">
        <v>44676</v>
      </c>
      <c r="AF134" s="83">
        <v>44686</v>
      </c>
      <c r="AG134" s="33">
        <f t="shared" si="195"/>
        <v>10</v>
      </c>
      <c r="AH134" s="117" t="s">
        <v>2375</v>
      </c>
      <c r="AI134" s="63"/>
      <c r="AJ134" s="284"/>
      <c r="AK134" s="400"/>
      <c r="AM134" s="245"/>
      <c r="AN134" s="245"/>
    </row>
    <row r="135" spans="1:40">
      <c r="A135" s="347">
        <v>3.3</v>
      </c>
      <c r="B135" s="79">
        <v>112</v>
      </c>
      <c r="C135" s="79">
        <v>94</v>
      </c>
      <c r="D135" s="79">
        <v>28</v>
      </c>
      <c r="E135" s="79">
        <v>29</v>
      </c>
      <c r="F135" s="79">
        <v>19.71</v>
      </c>
      <c r="G135" s="80">
        <v>6651</v>
      </c>
      <c r="H135" s="193" t="s">
        <v>307</v>
      </c>
      <c r="I135" s="16" t="s">
        <v>2337</v>
      </c>
      <c r="J135" s="102" t="s">
        <v>6389</v>
      </c>
      <c r="K135" s="5"/>
      <c r="L135" s="156">
        <v>1</v>
      </c>
      <c r="M135" s="340">
        <v>0</v>
      </c>
      <c r="N135" s="240">
        <f t="shared" si="191"/>
        <v>1</v>
      </c>
      <c r="P135" s="365">
        <v>785</v>
      </c>
      <c r="Q135" s="79" t="s">
        <v>6289</v>
      </c>
      <c r="R135" s="346">
        <v>1300</v>
      </c>
      <c r="S135" s="81" t="s">
        <v>6289</v>
      </c>
      <c r="T135" s="327">
        <v>820</v>
      </c>
      <c r="U135" s="393">
        <v>4.5</v>
      </c>
      <c r="V135" s="310">
        <f t="shared" si="192"/>
        <v>5.0448430493273543E-2</v>
      </c>
      <c r="W135" s="94">
        <v>7.8</v>
      </c>
      <c r="X135" s="36">
        <v>89.2</v>
      </c>
      <c r="Y135" s="66">
        <v>86.3</v>
      </c>
      <c r="Z135" s="15">
        <f t="shared" si="193"/>
        <v>2.9000000000000057</v>
      </c>
      <c r="AA135" s="63">
        <f t="shared" si="194"/>
        <v>3.3603707995365072E-2</v>
      </c>
      <c r="AB135" s="344">
        <v>-46.08</v>
      </c>
      <c r="AC135" s="384">
        <v>16.02</v>
      </c>
      <c r="AD135" s="16" t="s">
        <v>2337</v>
      </c>
      <c r="AE135" s="84">
        <v>44685</v>
      </c>
      <c r="AF135" s="83">
        <v>44686</v>
      </c>
      <c r="AG135" s="33">
        <f t="shared" si="195"/>
        <v>1</v>
      </c>
      <c r="AH135" s="43" t="s">
        <v>2176</v>
      </c>
      <c r="AI135" s="63"/>
      <c r="AJ135" s="284"/>
      <c r="AK135" s="400"/>
      <c r="AM135" s="245"/>
      <c r="AN135" s="245"/>
    </row>
    <row r="136" spans="1:40">
      <c r="A136" s="347">
        <v>24.8</v>
      </c>
      <c r="B136" s="79">
        <v>298</v>
      </c>
      <c r="C136" s="79">
        <v>430</v>
      </c>
      <c r="D136" s="79">
        <v>5</v>
      </c>
      <c r="E136" s="79">
        <v>91</v>
      </c>
      <c r="F136" s="79">
        <v>22.94</v>
      </c>
      <c r="G136" s="80">
        <v>3035</v>
      </c>
      <c r="H136" s="8" t="s">
        <v>307</v>
      </c>
      <c r="I136" s="22" t="s">
        <v>1826</v>
      </c>
      <c r="J136" s="8" t="s">
        <v>3545</v>
      </c>
      <c r="K136" s="5"/>
      <c r="L136" s="156">
        <v>1</v>
      </c>
      <c r="M136" s="340">
        <v>0</v>
      </c>
      <c r="N136" s="240">
        <f t="shared" si="191"/>
        <v>1</v>
      </c>
      <c r="P136" s="365">
        <v>333</v>
      </c>
      <c r="Q136" s="79">
        <v>75</v>
      </c>
      <c r="R136" s="346">
        <v>190</v>
      </c>
      <c r="S136" s="81">
        <v>1</v>
      </c>
      <c r="T136" s="327">
        <v>2</v>
      </c>
      <c r="U136" s="393">
        <v>3.3</v>
      </c>
      <c r="V136" s="310">
        <f t="shared" si="192"/>
        <v>1.206581352833638E-2</v>
      </c>
      <c r="W136" s="94">
        <v>6.66</v>
      </c>
      <c r="X136" s="36">
        <v>273.5</v>
      </c>
      <c r="Y136" s="66">
        <v>267.5</v>
      </c>
      <c r="Z136" s="15">
        <f t="shared" si="193"/>
        <v>6</v>
      </c>
      <c r="AA136" s="63">
        <f t="shared" si="194"/>
        <v>2.2429906542056073E-2</v>
      </c>
      <c r="AB136" s="344">
        <v>-20.21</v>
      </c>
      <c r="AC136" s="384">
        <v>42.89</v>
      </c>
      <c r="AD136" s="22" t="s">
        <v>1826</v>
      </c>
      <c r="AE136" s="84">
        <v>44685</v>
      </c>
      <c r="AF136" s="83">
        <v>44686</v>
      </c>
      <c r="AG136" s="33">
        <f t="shared" si="195"/>
        <v>1</v>
      </c>
      <c r="AH136" s="117" t="s">
        <v>2315</v>
      </c>
      <c r="AI136" s="63"/>
      <c r="AJ136" s="284"/>
      <c r="AK136" s="400"/>
      <c r="AM136" s="245"/>
      <c r="AN136" s="245"/>
    </row>
    <row r="137" spans="1:40">
      <c r="A137" s="347">
        <v>435</v>
      </c>
      <c r="B137" s="79">
        <v>125</v>
      </c>
      <c r="C137" s="79">
        <v>78</v>
      </c>
      <c r="D137" s="79">
        <v>18</v>
      </c>
      <c r="E137" s="79">
        <v>23</v>
      </c>
      <c r="F137" s="79">
        <v>10.9</v>
      </c>
      <c r="G137" s="80">
        <v>3711</v>
      </c>
      <c r="H137" s="8" t="s">
        <v>3039</v>
      </c>
      <c r="I137" s="22" t="s">
        <v>12</v>
      </c>
      <c r="J137" s="102" t="s">
        <v>3545</v>
      </c>
      <c r="L137" s="156">
        <v>1</v>
      </c>
      <c r="M137" s="340">
        <v>0</v>
      </c>
      <c r="N137" s="240">
        <f t="shared" si="191"/>
        <v>1</v>
      </c>
      <c r="P137" s="365">
        <v>1219</v>
      </c>
      <c r="Q137" s="79">
        <v>494</v>
      </c>
      <c r="R137" s="346">
        <v>16</v>
      </c>
      <c r="S137" s="81">
        <v>154</v>
      </c>
      <c r="T137" s="327">
        <v>128</v>
      </c>
      <c r="U137" s="393">
        <v>7</v>
      </c>
      <c r="V137" s="310">
        <f t="shared" si="192"/>
        <v>7.128309572301425E-2</v>
      </c>
      <c r="W137" s="94">
        <v>14.83</v>
      </c>
      <c r="X137" s="36">
        <v>98.2</v>
      </c>
      <c r="Y137" s="66">
        <v>96</v>
      </c>
      <c r="Z137" s="15">
        <f t="shared" si="193"/>
        <v>2.2000000000000028</v>
      </c>
      <c r="AA137" s="63">
        <f t="shared" si="194"/>
        <v>2.2916666666666696E-2</v>
      </c>
      <c r="AB137" s="344">
        <v>-28.39</v>
      </c>
      <c r="AC137" s="384">
        <v>37.4</v>
      </c>
      <c r="AD137" s="22" t="s">
        <v>12</v>
      </c>
      <c r="AE137" s="84">
        <v>44684</v>
      </c>
      <c r="AF137" s="83">
        <v>44686</v>
      </c>
      <c r="AG137" s="33">
        <f t="shared" si="195"/>
        <v>2</v>
      </c>
      <c r="AH137" s="117" t="s">
        <v>2390</v>
      </c>
      <c r="AI137" s="63"/>
      <c r="AJ137" s="284"/>
      <c r="AK137" s="400"/>
      <c r="AM137" s="245"/>
      <c r="AN137" s="245"/>
    </row>
    <row r="138" spans="1:40">
      <c r="A138" s="347">
        <v>3.58</v>
      </c>
      <c r="B138" s="79">
        <v>63</v>
      </c>
      <c r="C138" s="79">
        <v>27</v>
      </c>
      <c r="D138" s="79">
        <v>51</v>
      </c>
      <c r="E138" s="79">
        <v>59</v>
      </c>
      <c r="F138" s="79">
        <v>14.98</v>
      </c>
      <c r="G138" s="80">
        <v>4572</v>
      </c>
      <c r="H138" s="5" t="s">
        <v>3356</v>
      </c>
      <c r="I138" s="22" t="s">
        <v>1692</v>
      </c>
      <c r="J138" s="102" t="s">
        <v>6387</v>
      </c>
      <c r="K138" s="5"/>
      <c r="L138" s="156">
        <v>1</v>
      </c>
      <c r="M138" s="340">
        <v>0</v>
      </c>
      <c r="N138" s="240">
        <f t="shared" si="191"/>
        <v>1</v>
      </c>
      <c r="P138" s="365">
        <v>1025</v>
      </c>
      <c r="Q138" s="79">
        <v>594</v>
      </c>
      <c r="R138" s="346">
        <v>1266</v>
      </c>
      <c r="S138" s="81" t="s">
        <v>6289</v>
      </c>
      <c r="T138" s="327">
        <v>1233</v>
      </c>
      <c r="U138" s="393">
        <v>5</v>
      </c>
      <c r="V138" s="310">
        <f t="shared" si="192"/>
        <v>4.8543689320388349E-2</v>
      </c>
      <c r="W138" s="94">
        <v>1.5</v>
      </c>
      <c r="X138" s="36">
        <v>103</v>
      </c>
      <c r="Y138" s="66">
        <v>100.5</v>
      </c>
      <c r="Z138" s="15">
        <f t="shared" si="193"/>
        <v>2.5</v>
      </c>
      <c r="AA138" s="63">
        <f t="shared" si="194"/>
        <v>2.4875621890547265E-2</v>
      </c>
      <c r="AB138" s="344">
        <v>-20</v>
      </c>
      <c r="AC138" s="384">
        <v>42.78</v>
      </c>
      <c r="AD138" s="22" t="s">
        <v>1692</v>
      </c>
      <c r="AE138" s="84">
        <v>44685</v>
      </c>
      <c r="AF138" s="83">
        <v>44686</v>
      </c>
      <c r="AG138" s="33">
        <f t="shared" si="195"/>
        <v>1</v>
      </c>
      <c r="AH138" s="43" t="s">
        <v>2749</v>
      </c>
      <c r="AI138" s="63"/>
      <c r="AJ138" s="284"/>
      <c r="AK138" s="400"/>
      <c r="AM138" s="245"/>
      <c r="AN138" s="245"/>
    </row>
    <row r="139" spans="1:40">
      <c r="A139" s="347">
        <v>38.200000000000003</v>
      </c>
      <c r="B139" s="79">
        <v>119</v>
      </c>
      <c r="C139" s="79">
        <v>130</v>
      </c>
      <c r="D139" s="79">
        <v>17</v>
      </c>
      <c r="E139" s="79">
        <v>11</v>
      </c>
      <c r="F139" s="79">
        <v>16.52</v>
      </c>
      <c r="G139" s="80">
        <v>2481</v>
      </c>
      <c r="H139" s="8" t="s">
        <v>3039</v>
      </c>
      <c r="I139" s="22" t="s">
        <v>183</v>
      </c>
      <c r="J139" s="102" t="s">
        <v>6427</v>
      </c>
      <c r="K139" s="5"/>
      <c r="L139" s="156">
        <v>1</v>
      </c>
      <c r="M139" s="340">
        <v>0</v>
      </c>
      <c r="N139" s="240">
        <v>1</v>
      </c>
      <c r="P139" s="365">
        <v>163</v>
      </c>
      <c r="Q139" s="79">
        <v>424</v>
      </c>
      <c r="R139" s="346">
        <v>400</v>
      </c>
      <c r="S139" s="81">
        <v>158</v>
      </c>
      <c r="T139" s="327">
        <v>66</v>
      </c>
      <c r="U139" s="393">
        <v>3</v>
      </c>
      <c r="V139" s="310">
        <f t="shared" si="192"/>
        <v>3.6452004860267319E-2</v>
      </c>
      <c r="W139" s="94">
        <v>5.77</v>
      </c>
      <c r="X139" s="36">
        <v>82.3</v>
      </c>
      <c r="Y139" s="66">
        <v>80.400000000000006</v>
      </c>
      <c r="Z139" s="15">
        <f t="shared" si="193"/>
        <v>1.8999999999999915</v>
      </c>
      <c r="AA139" s="63">
        <f t="shared" si="194"/>
        <v>2.3631840796019793E-2</v>
      </c>
      <c r="AB139" s="344">
        <v>-37.119999999999997</v>
      </c>
      <c r="AC139" s="384">
        <v>19.38</v>
      </c>
      <c r="AD139" s="22" t="s">
        <v>183</v>
      </c>
      <c r="AE139" s="84">
        <v>44686</v>
      </c>
      <c r="AF139" s="86">
        <v>44686</v>
      </c>
      <c r="AG139" s="33">
        <f t="shared" si="195"/>
        <v>0</v>
      </c>
      <c r="AH139" s="119" t="s">
        <v>2185</v>
      </c>
      <c r="AI139" s="63"/>
      <c r="AJ139" s="284"/>
      <c r="AK139" s="400"/>
      <c r="AM139" s="245"/>
      <c r="AN139" s="245"/>
    </row>
    <row r="140" spans="1:40">
      <c r="A140" s="347">
        <v>8.1300000000000008</v>
      </c>
      <c r="B140" s="79">
        <v>231</v>
      </c>
      <c r="C140" s="79">
        <v>245</v>
      </c>
      <c r="D140" s="79">
        <v>14</v>
      </c>
      <c r="E140" s="79">
        <v>5</v>
      </c>
      <c r="F140" s="79">
        <v>19.72</v>
      </c>
      <c r="G140" s="80">
        <v>8261</v>
      </c>
      <c r="H140" s="5" t="s">
        <v>3039</v>
      </c>
      <c r="I140" s="22" t="s">
        <v>322</v>
      </c>
      <c r="J140" s="8" t="s">
        <v>3543</v>
      </c>
      <c r="L140" s="156">
        <v>1</v>
      </c>
      <c r="M140" s="340">
        <v>0</v>
      </c>
      <c r="N140" s="240">
        <f t="shared" ref="N140:N146" si="196">L140-M140</f>
        <v>1</v>
      </c>
      <c r="P140" s="365">
        <v>40</v>
      </c>
      <c r="Q140" s="79">
        <v>114</v>
      </c>
      <c r="R140" s="346">
        <v>407</v>
      </c>
      <c r="S140" s="81">
        <v>491</v>
      </c>
      <c r="T140" s="327">
        <v>151</v>
      </c>
      <c r="U140" s="393">
        <v>6</v>
      </c>
      <c r="V140" s="310">
        <f t="shared" ref="V140:V146" si="197">U140/X140</f>
        <v>0.06</v>
      </c>
      <c r="W140" s="94">
        <v>8.0299999999999994</v>
      </c>
      <c r="X140" s="36">
        <v>100</v>
      </c>
      <c r="Y140" s="66">
        <v>90.6</v>
      </c>
      <c r="Z140" s="15">
        <f t="shared" ref="Z140:Z146" si="198">X140-Y140</f>
        <v>9.4000000000000057</v>
      </c>
      <c r="AA140" s="63">
        <f t="shared" ref="AA140:AA146" si="199">Z140/Y140</f>
        <v>0.10375275938189853</v>
      </c>
      <c r="AB140" s="344">
        <v>-34.090000000000003</v>
      </c>
      <c r="AC140" s="384">
        <v>24.26</v>
      </c>
      <c r="AD140" s="22" t="s">
        <v>322</v>
      </c>
      <c r="AE140" s="84">
        <v>44679</v>
      </c>
      <c r="AF140" s="83">
        <v>44685</v>
      </c>
      <c r="AG140" s="33">
        <f t="shared" ref="AG140:AG146" si="200">AF140-AE140</f>
        <v>6</v>
      </c>
      <c r="AH140" s="43" t="s">
        <v>2176</v>
      </c>
      <c r="AI140" s="63"/>
      <c r="AJ140" s="284"/>
      <c r="AK140" s="400"/>
      <c r="AM140" s="245"/>
      <c r="AN140" s="245"/>
    </row>
    <row r="141" spans="1:40">
      <c r="A141" s="347">
        <v>58.6</v>
      </c>
      <c r="B141" s="80">
        <v>-1</v>
      </c>
      <c r="C141" s="79">
        <v>21</v>
      </c>
      <c r="D141" s="79">
        <v>8</v>
      </c>
      <c r="E141" s="79">
        <v>8</v>
      </c>
      <c r="F141" s="79">
        <v>26.26</v>
      </c>
      <c r="G141" s="80">
        <v>5483</v>
      </c>
      <c r="H141" s="183" t="s">
        <v>3039</v>
      </c>
      <c r="I141" s="16" t="s">
        <v>145</v>
      </c>
      <c r="J141" s="102" t="s">
        <v>3544</v>
      </c>
      <c r="L141" s="156">
        <v>1</v>
      </c>
      <c r="M141" s="340">
        <v>0</v>
      </c>
      <c r="N141" s="240">
        <f t="shared" si="196"/>
        <v>1</v>
      </c>
      <c r="P141" s="365">
        <v>623</v>
      </c>
      <c r="Q141" s="79">
        <v>263</v>
      </c>
      <c r="R141" s="346">
        <v>254</v>
      </c>
      <c r="S141" s="81">
        <v>47</v>
      </c>
      <c r="T141" s="327">
        <v>217</v>
      </c>
      <c r="U141" s="393">
        <v>3.5</v>
      </c>
      <c r="V141" s="310">
        <f t="shared" si="197"/>
        <v>2.2508038585209004E-2</v>
      </c>
      <c r="W141" s="94">
        <v>12.22</v>
      </c>
      <c r="X141" s="36">
        <v>155.5</v>
      </c>
      <c r="Y141" s="66">
        <v>150.5</v>
      </c>
      <c r="Z141" s="15">
        <f t="shared" si="198"/>
        <v>5</v>
      </c>
      <c r="AA141" s="63">
        <f t="shared" si="199"/>
        <v>3.3222591362126248E-2</v>
      </c>
      <c r="AB141" s="344">
        <v>-40.56</v>
      </c>
      <c r="AC141" s="384">
        <v>8.4700000000000006</v>
      </c>
      <c r="AD141" s="16" t="s">
        <v>145</v>
      </c>
      <c r="AE141" s="84">
        <v>44677</v>
      </c>
      <c r="AF141" s="83">
        <v>44685</v>
      </c>
      <c r="AG141" s="33">
        <f t="shared" si="200"/>
        <v>8</v>
      </c>
      <c r="AH141" s="117" t="s">
        <v>2351</v>
      </c>
      <c r="AI141" s="63"/>
      <c r="AJ141" s="284"/>
      <c r="AK141" s="400"/>
      <c r="AM141" s="245"/>
      <c r="AN141" s="245"/>
    </row>
    <row r="142" spans="1:40">
      <c r="A142" s="347">
        <v>529</v>
      </c>
      <c r="B142" s="79">
        <v>814</v>
      </c>
      <c r="C142" s="79">
        <v>721</v>
      </c>
      <c r="D142" s="79">
        <v>6</v>
      </c>
      <c r="E142" s="79">
        <v>83</v>
      </c>
      <c r="F142" s="79">
        <v>58.21</v>
      </c>
      <c r="G142" s="79">
        <v>2603</v>
      </c>
      <c r="H142" s="8" t="s">
        <v>302</v>
      </c>
      <c r="I142" s="22" t="s">
        <v>264</v>
      </c>
      <c r="J142" s="102" t="s">
        <v>6244</v>
      </c>
      <c r="L142" s="156">
        <v>3</v>
      </c>
      <c r="M142" s="340">
        <v>0</v>
      </c>
      <c r="N142" s="240">
        <f t="shared" si="196"/>
        <v>3</v>
      </c>
      <c r="P142" s="365">
        <v>294</v>
      </c>
      <c r="Q142" s="79">
        <v>97</v>
      </c>
      <c r="R142" s="346">
        <v>203</v>
      </c>
      <c r="S142" s="81">
        <v>98</v>
      </c>
      <c r="T142" s="327">
        <v>117</v>
      </c>
      <c r="U142" s="393">
        <v>18</v>
      </c>
      <c r="V142" s="310">
        <f t="shared" si="197"/>
        <v>0.12040133779264214</v>
      </c>
      <c r="W142" s="94">
        <v>45.68</v>
      </c>
      <c r="X142" s="36">
        <v>149.5</v>
      </c>
      <c r="Y142" s="66">
        <v>146</v>
      </c>
      <c r="Z142" s="15">
        <f t="shared" si="198"/>
        <v>3.5</v>
      </c>
      <c r="AA142" s="63">
        <f t="shared" si="199"/>
        <v>2.3972602739726026E-2</v>
      </c>
      <c r="AB142" s="344">
        <v>-38.409999999999997</v>
      </c>
      <c r="AC142" s="384">
        <v>41.1</v>
      </c>
      <c r="AD142" s="22" t="s">
        <v>264</v>
      </c>
      <c r="AE142" s="84">
        <v>44672</v>
      </c>
      <c r="AF142" s="83">
        <v>44685</v>
      </c>
      <c r="AG142" s="33">
        <f t="shared" si="200"/>
        <v>13</v>
      </c>
      <c r="AH142" s="117" t="s">
        <v>3266</v>
      </c>
      <c r="AI142" s="63"/>
      <c r="AJ142" s="317"/>
      <c r="AK142" s="400"/>
      <c r="AM142" s="245"/>
      <c r="AN142" s="245"/>
    </row>
    <row r="143" spans="1:40">
      <c r="A143" s="347">
        <v>349</v>
      </c>
      <c r="B143" s="92">
        <v>1258</v>
      </c>
      <c r="C143" s="79">
        <v>945</v>
      </c>
      <c r="D143" s="79">
        <v>13</v>
      </c>
      <c r="E143" s="79">
        <v>80</v>
      </c>
      <c r="F143" s="79">
        <v>60.95</v>
      </c>
      <c r="G143" s="79">
        <v>2609</v>
      </c>
      <c r="H143" s="5" t="s">
        <v>302</v>
      </c>
      <c r="I143" s="22" t="s">
        <v>866</v>
      </c>
      <c r="J143" s="102" t="s">
        <v>6243</v>
      </c>
      <c r="L143" s="156">
        <v>2</v>
      </c>
      <c r="M143" s="340">
        <v>0</v>
      </c>
      <c r="N143" s="240">
        <f t="shared" si="196"/>
        <v>2</v>
      </c>
      <c r="P143" s="365">
        <v>288</v>
      </c>
      <c r="Q143" s="79">
        <v>577</v>
      </c>
      <c r="R143" s="346">
        <v>341</v>
      </c>
      <c r="S143" s="81">
        <v>194</v>
      </c>
      <c r="T143" s="327">
        <v>274</v>
      </c>
      <c r="U143" s="393">
        <v>20</v>
      </c>
      <c r="V143" s="310">
        <f t="shared" si="197"/>
        <v>0.1556420233463035</v>
      </c>
      <c r="W143" s="94">
        <v>49.11</v>
      </c>
      <c r="X143" s="36">
        <v>128.5</v>
      </c>
      <c r="Y143" s="66">
        <v>125.5</v>
      </c>
      <c r="Z143" s="15">
        <f t="shared" si="198"/>
        <v>3</v>
      </c>
      <c r="AA143" s="63">
        <f t="shared" si="199"/>
        <v>2.3904382470119521E-2</v>
      </c>
      <c r="AB143" s="344">
        <v>-47.33</v>
      </c>
      <c r="AC143" s="384">
        <v>58.01</v>
      </c>
      <c r="AD143" s="22" t="s">
        <v>866</v>
      </c>
      <c r="AE143" s="84">
        <v>44672</v>
      </c>
      <c r="AF143" s="83">
        <v>44685</v>
      </c>
      <c r="AG143" s="33">
        <f t="shared" si="200"/>
        <v>13</v>
      </c>
      <c r="AH143" s="43" t="s">
        <v>3266</v>
      </c>
      <c r="AI143" s="63"/>
      <c r="AJ143" s="317"/>
      <c r="AK143" s="400"/>
      <c r="AM143" s="245"/>
      <c r="AN143" s="245"/>
    </row>
    <row r="144" spans="1:40">
      <c r="A144" s="347">
        <v>63.5</v>
      </c>
      <c r="B144" s="79">
        <v>207</v>
      </c>
      <c r="C144" s="79">
        <v>243</v>
      </c>
      <c r="D144" s="79">
        <v>6</v>
      </c>
      <c r="E144" s="79">
        <v>-13</v>
      </c>
      <c r="F144" s="79">
        <v>11.88</v>
      </c>
      <c r="G144" s="80">
        <v>2376</v>
      </c>
      <c r="H144" s="192" t="s">
        <v>1146</v>
      </c>
      <c r="I144" s="22" t="s">
        <v>4078</v>
      </c>
      <c r="J144" s="102" t="s">
        <v>3544</v>
      </c>
      <c r="L144" s="156">
        <v>1</v>
      </c>
      <c r="M144" s="340">
        <v>0</v>
      </c>
      <c r="N144" s="240">
        <f t="shared" si="196"/>
        <v>1</v>
      </c>
      <c r="P144" s="365">
        <v>707</v>
      </c>
      <c r="Q144" s="79">
        <v>7</v>
      </c>
      <c r="R144" s="346">
        <v>279</v>
      </c>
      <c r="S144" s="81">
        <v>38</v>
      </c>
      <c r="T144" s="327">
        <v>62</v>
      </c>
      <c r="U144" s="393">
        <v>12</v>
      </c>
      <c r="V144" s="310">
        <f t="shared" si="197"/>
        <v>0.10714285714285714</v>
      </c>
      <c r="W144" s="94">
        <v>21</v>
      </c>
      <c r="X144" s="36">
        <v>112</v>
      </c>
      <c r="Y144" s="66">
        <v>109.5</v>
      </c>
      <c r="Z144" s="15">
        <f t="shared" si="198"/>
        <v>2.5</v>
      </c>
      <c r="AA144" s="63">
        <f t="shared" si="199"/>
        <v>2.2831050228310501E-2</v>
      </c>
      <c r="AB144" s="344">
        <v>-34.24</v>
      </c>
      <c r="AC144" s="384">
        <v>8.76</v>
      </c>
      <c r="AD144" s="22" t="s">
        <v>4078</v>
      </c>
      <c r="AE144" s="84">
        <v>44684</v>
      </c>
      <c r="AF144" s="83">
        <v>44685</v>
      </c>
      <c r="AG144" s="33">
        <f t="shared" si="200"/>
        <v>1</v>
      </c>
      <c r="AH144" s="43" t="s">
        <v>2718</v>
      </c>
      <c r="AI144" s="63"/>
      <c r="AJ144" s="284"/>
      <c r="AK144" s="400"/>
      <c r="AM144" s="245"/>
      <c r="AN144" s="245"/>
    </row>
    <row r="145" spans="1:40">
      <c r="A145" s="347">
        <v>6.22</v>
      </c>
      <c r="B145" s="79">
        <v>141</v>
      </c>
      <c r="C145" s="79">
        <v>145</v>
      </c>
      <c r="D145" s="79">
        <v>28</v>
      </c>
      <c r="E145" s="79">
        <v>51</v>
      </c>
      <c r="F145" s="79">
        <v>34.74</v>
      </c>
      <c r="G145" s="80">
        <v>3169</v>
      </c>
      <c r="H145" s="183" t="s">
        <v>3039</v>
      </c>
      <c r="I145" s="16" t="s">
        <v>359</v>
      </c>
      <c r="J145" s="8" t="s">
        <v>4720</v>
      </c>
      <c r="L145" s="156">
        <v>1</v>
      </c>
      <c r="M145" s="340">
        <v>0</v>
      </c>
      <c r="N145" s="240">
        <f t="shared" si="196"/>
        <v>1</v>
      </c>
      <c r="P145" s="365">
        <v>17</v>
      </c>
      <c r="Q145" s="79">
        <v>223</v>
      </c>
      <c r="R145" s="346">
        <v>926</v>
      </c>
      <c r="S145" s="81">
        <v>385</v>
      </c>
      <c r="T145" s="327">
        <v>90</v>
      </c>
      <c r="U145" s="393">
        <v>5</v>
      </c>
      <c r="V145" s="310">
        <f t="shared" si="197"/>
        <v>3.1847133757961783E-2</v>
      </c>
      <c r="W145" s="94">
        <v>6.39</v>
      </c>
      <c r="X145" s="36">
        <v>157</v>
      </c>
      <c r="Y145" s="66">
        <v>153.5</v>
      </c>
      <c r="Z145" s="15">
        <f t="shared" si="198"/>
        <v>3.5</v>
      </c>
      <c r="AA145" s="63">
        <f t="shared" si="199"/>
        <v>2.2801302931596091E-2</v>
      </c>
      <c r="AB145" s="344">
        <v>-50.58</v>
      </c>
      <c r="AC145" s="384">
        <v>16.829999999999998</v>
      </c>
      <c r="AD145" s="16" t="s">
        <v>359</v>
      </c>
      <c r="AE145" s="84">
        <v>44680</v>
      </c>
      <c r="AF145" s="83">
        <v>44685</v>
      </c>
      <c r="AG145" s="33">
        <f t="shared" si="200"/>
        <v>5</v>
      </c>
      <c r="AH145" s="43" t="s">
        <v>2893</v>
      </c>
      <c r="AI145" s="63"/>
      <c r="AJ145" s="284"/>
      <c r="AK145" s="400"/>
      <c r="AM145" s="245"/>
      <c r="AN145" s="245"/>
    </row>
    <row r="146" spans="1:40">
      <c r="A146" s="347">
        <v>6.43</v>
      </c>
      <c r="B146" s="80">
        <v>-26</v>
      </c>
      <c r="C146" s="80">
        <v>-29</v>
      </c>
      <c r="D146" s="79">
        <v>30</v>
      </c>
      <c r="E146" s="80">
        <v>-37</v>
      </c>
      <c r="F146" s="79">
        <v>20.62</v>
      </c>
      <c r="G146" s="80">
        <v>5215</v>
      </c>
      <c r="H146" s="193" t="s">
        <v>1146</v>
      </c>
      <c r="I146" s="22" t="s">
        <v>468</v>
      </c>
      <c r="J146" s="102" t="s">
        <v>6387</v>
      </c>
      <c r="K146" s="5"/>
      <c r="L146" s="156">
        <v>1</v>
      </c>
      <c r="M146" s="340">
        <v>0</v>
      </c>
      <c r="N146" s="240">
        <f t="shared" si="196"/>
        <v>1</v>
      </c>
      <c r="P146" s="365">
        <v>484</v>
      </c>
      <c r="Q146" s="79">
        <v>1118</v>
      </c>
      <c r="R146" s="346">
        <v>214</v>
      </c>
      <c r="S146" s="81" t="s">
        <v>6289</v>
      </c>
      <c r="T146" s="327">
        <v>1080</v>
      </c>
      <c r="U146" s="393">
        <v>5</v>
      </c>
      <c r="V146" s="310">
        <f t="shared" si="197"/>
        <v>9.0579710144927536E-2</v>
      </c>
      <c r="W146" s="94">
        <v>8.8000000000000007</v>
      </c>
      <c r="X146" s="36">
        <v>55.2</v>
      </c>
      <c r="Y146" s="66">
        <v>53.8</v>
      </c>
      <c r="Z146" s="15">
        <f t="shared" si="198"/>
        <v>1.4000000000000057</v>
      </c>
      <c r="AA146" s="63">
        <f t="shared" si="199"/>
        <v>2.6022304832713863E-2</v>
      </c>
      <c r="AB146" s="344">
        <v>-57.88</v>
      </c>
      <c r="AC146" s="384">
        <v>15.39</v>
      </c>
      <c r="AD146" s="22" t="s">
        <v>468</v>
      </c>
      <c r="AE146" s="84">
        <v>44685</v>
      </c>
      <c r="AF146" s="86">
        <v>44685</v>
      </c>
      <c r="AG146" s="33">
        <f t="shared" si="200"/>
        <v>0</v>
      </c>
      <c r="AH146" s="43" t="s">
        <v>2283</v>
      </c>
      <c r="AI146" s="63"/>
      <c r="AJ146" s="284"/>
      <c r="AK146" s="400"/>
      <c r="AM146" s="245"/>
      <c r="AN146" s="245"/>
    </row>
    <row r="147" spans="1:40">
      <c r="A147" s="347">
        <v>27.1</v>
      </c>
      <c r="B147" s="79">
        <v>8</v>
      </c>
      <c r="C147" s="79">
        <v>25</v>
      </c>
      <c r="D147" s="79">
        <v>33</v>
      </c>
      <c r="E147" s="79">
        <v>6</v>
      </c>
      <c r="F147" s="79">
        <v>28.8</v>
      </c>
      <c r="G147" s="79">
        <v>3374</v>
      </c>
      <c r="H147" s="145" t="s">
        <v>3039</v>
      </c>
      <c r="I147" s="16" t="s">
        <v>167</v>
      </c>
      <c r="J147" s="8" t="s">
        <v>6245</v>
      </c>
      <c r="L147" s="156">
        <v>2</v>
      </c>
      <c r="M147" s="340">
        <v>0</v>
      </c>
      <c r="N147" s="240">
        <f>L147-M147</f>
        <v>2</v>
      </c>
      <c r="P147" s="365">
        <v>299</v>
      </c>
      <c r="Q147" s="79">
        <v>198</v>
      </c>
      <c r="R147" s="346">
        <v>701</v>
      </c>
      <c r="S147" s="81">
        <v>73</v>
      </c>
      <c r="T147" s="327">
        <v>318</v>
      </c>
      <c r="U147" s="393">
        <v>3</v>
      </c>
      <c r="V147" s="310">
        <f>U147/X147</f>
        <v>2.1201413427561839E-2</v>
      </c>
      <c r="W147" s="94">
        <v>6.92</v>
      </c>
      <c r="X147" s="36">
        <v>141.5</v>
      </c>
      <c r="Y147" s="66">
        <v>137.5</v>
      </c>
      <c r="Z147" s="15">
        <f>X147-Y147</f>
        <v>4</v>
      </c>
      <c r="AA147" s="63">
        <f>Z147/Y147</f>
        <v>2.9090909090909091E-2</v>
      </c>
      <c r="AB147" s="344">
        <v>-29.35</v>
      </c>
      <c r="AC147" s="384">
        <v>58.88</v>
      </c>
      <c r="AD147" s="16" t="s">
        <v>167</v>
      </c>
      <c r="AE147" s="84">
        <v>44679</v>
      </c>
      <c r="AF147" s="83">
        <v>44684</v>
      </c>
      <c r="AG147" s="33">
        <f>AF147-AE147</f>
        <v>5</v>
      </c>
      <c r="AH147" s="117" t="s">
        <v>2322</v>
      </c>
      <c r="AI147" s="63"/>
      <c r="AJ147" s="284"/>
      <c r="AK147" s="400"/>
      <c r="AM147" s="245"/>
      <c r="AN147" s="245"/>
    </row>
    <row r="148" spans="1:40">
      <c r="A148" s="347">
        <v>29.2</v>
      </c>
      <c r="B148" s="79">
        <v>69</v>
      </c>
      <c r="C148" s="79">
        <v>88</v>
      </c>
      <c r="D148" s="79">
        <v>3</v>
      </c>
      <c r="E148" s="79">
        <v>36</v>
      </c>
      <c r="F148" s="79">
        <v>7.15</v>
      </c>
      <c r="G148" s="80">
        <v>6278</v>
      </c>
      <c r="H148" s="5" t="s">
        <v>1878</v>
      </c>
      <c r="I148" s="22" t="s">
        <v>4281</v>
      </c>
      <c r="J148" s="102" t="s">
        <v>3543</v>
      </c>
      <c r="L148" s="156">
        <v>1</v>
      </c>
      <c r="M148" s="340">
        <v>0</v>
      </c>
      <c r="N148" s="240">
        <f>L148-M148</f>
        <v>1</v>
      </c>
      <c r="P148" s="365">
        <v>379</v>
      </c>
      <c r="Q148" s="79">
        <v>273</v>
      </c>
      <c r="R148" s="346">
        <v>359</v>
      </c>
      <c r="S148" s="81">
        <v>142</v>
      </c>
      <c r="T148" s="327">
        <v>101</v>
      </c>
      <c r="U148" s="393">
        <v>6</v>
      </c>
      <c r="V148" s="310">
        <f>U148/X148</f>
        <v>5.6338028169014086E-2</v>
      </c>
      <c r="W148" s="94">
        <v>12.7</v>
      </c>
      <c r="X148" s="36">
        <v>106.5</v>
      </c>
      <c r="Y148" s="66">
        <v>103</v>
      </c>
      <c r="Z148" s="15">
        <f>X148-Y148</f>
        <v>3.5</v>
      </c>
      <c r="AA148" s="63">
        <f>Z148/Y148</f>
        <v>3.3980582524271843E-2</v>
      </c>
      <c r="AB148" s="344">
        <v>-25</v>
      </c>
      <c r="AC148" s="384">
        <v>14.1</v>
      </c>
      <c r="AD148" s="22" t="s">
        <v>4281</v>
      </c>
      <c r="AE148" s="84">
        <v>44676</v>
      </c>
      <c r="AF148" s="83">
        <v>44684</v>
      </c>
      <c r="AG148" s="33">
        <f>AF148-AE148</f>
        <v>8</v>
      </c>
      <c r="AH148" s="43" t="s">
        <v>4282</v>
      </c>
      <c r="AI148" s="63"/>
      <c r="AJ148" s="284"/>
      <c r="AK148" s="400"/>
      <c r="AM148" s="245"/>
      <c r="AN148" s="245"/>
    </row>
    <row r="149" spans="1:40">
      <c r="A149" s="347">
        <v>7.41</v>
      </c>
      <c r="B149" s="79">
        <v>100</v>
      </c>
      <c r="C149" s="79">
        <v>109</v>
      </c>
      <c r="D149" s="79">
        <v>13</v>
      </c>
      <c r="E149" s="79">
        <v>32</v>
      </c>
      <c r="F149" s="79">
        <v>20.53</v>
      </c>
      <c r="G149" s="80">
        <v>6138</v>
      </c>
      <c r="H149" s="183" t="s">
        <v>3039</v>
      </c>
      <c r="I149" s="16" t="s">
        <v>159</v>
      </c>
      <c r="J149" s="102" t="s">
        <v>3544</v>
      </c>
      <c r="L149" s="156">
        <v>1</v>
      </c>
      <c r="M149" s="340">
        <v>0</v>
      </c>
      <c r="N149" s="240">
        <f>L149-M149</f>
        <v>1</v>
      </c>
      <c r="P149" s="365">
        <v>214</v>
      </c>
      <c r="Q149" s="79">
        <v>157</v>
      </c>
      <c r="R149" s="346">
        <v>307</v>
      </c>
      <c r="S149" s="81">
        <v>33</v>
      </c>
      <c r="T149" s="327">
        <v>75</v>
      </c>
      <c r="U149" s="393">
        <v>9.02</v>
      </c>
      <c r="V149" s="310">
        <f>U149/X149</f>
        <v>4.5903307888040708E-2</v>
      </c>
      <c r="W149" s="94">
        <v>12.9</v>
      </c>
      <c r="X149" s="36">
        <v>196.5</v>
      </c>
      <c r="Y149" s="66">
        <v>192</v>
      </c>
      <c r="Z149" s="15">
        <f>X149-Y149</f>
        <v>4.5</v>
      </c>
      <c r="AA149" s="63">
        <f>Z149/Y149</f>
        <v>2.34375E-2</v>
      </c>
      <c r="AB149" s="344">
        <v>-33.57</v>
      </c>
      <c r="AC149" s="384">
        <v>33.85</v>
      </c>
      <c r="AD149" s="16" t="s">
        <v>159</v>
      </c>
      <c r="AE149" s="84">
        <v>44684</v>
      </c>
      <c r="AF149" s="86">
        <v>44684</v>
      </c>
      <c r="AG149" s="33">
        <f>AF149-AE149</f>
        <v>0</v>
      </c>
      <c r="AH149" s="117" t="s">
        <v>3561</v>
      </c>
      <c r="AI149" s="63"/>
      <c r="AJ149" s="284"/>
      <c r="AK149" s="400"/>
      <c r="AM149" s="245"/>
      <c r="AN149" s="245"/>
    </row>
    <row r="150" spans="1:40" s="248" customFormat="1">
      <c r="A150" s="91"/>
      <c r="B150" s="79"/>
      <c r="C150" s="79"/>
      <c r="D150" s="79"/>
      <c r="E150" s="79"/>
      <c r="F150" s="79"/>
      <c r="G150" s="41"/>
      <c r="H150" s="359" t="s">
        <v>6240</v>
      </c>
      <c r="I150" s="358" t="s">
        <v>6241</v>
      </c>
      <c r="J150" s="1"/>
      <c r="K150" s="361"/>
      <c r="L150" s="163"/>
      <c r="O150" s="245"/>
      <c r="P150" s="365"/>
      <c r="Q150" s="47"/>
      <c r="R150" s="346"/>
      <c r="S150" s="283"/>
      <c r="T150" s="322"/>
      <c r="U150" s="392"/>
      <c r="V150" s="308"/>
      <c r="W150" s="94"/>
      <c r="X150" s="307">
        <f>SUM(X107:X149)</f>
        <v>6154.2</v>
      </c>
      <c r="Y150" s="296">
        <f>SUM(Y107:Y149)</f>
        <v>5994.8000000000011</v>
      </c>
      <c r="Z150" s="162">
        <f t="shared" ref="Z150" si="201">X150-Y150</f>
        <v>159.39999999999873</v>
      </c>
      <c r="AA150" s="158">
        <f t="shared" ref="AA150" si="202">Z150/Y150</f>
        <v>2.6589711082938328E-2</v>
      </c>
      <c r="AB150" s="100"/>
      <c r="AC150" s="384"/>
      <c r="AD150" s="227">
        <f>X150*(0.001425*0.5)+X150*0.003+Y150*(0.001425*0.5)</f>
        <v>27.118762500000003</v>
      </c>
      <c r="AE150" s="6">
        <f>Z150-AD150</f>
        <v>132.28123749999872</v>
      </c>
      <c r="AF150" s="301" t="s">
        <v>4708</v>
      </c>
      <c r="AG150" s="33"/>
      <c r="AH150" s="46" t="s">
        <v>6386</v>
      </c>
    </row>
    <row r="151" spans="1:40">
      <c r="B151" s="90"/>
      <c r="C151" s="90"/>
      <c r="D151" s="90"/>
      <c r="E151" s="90"/>
      <c r="F151" s="348"/>
      <c r="G151" s="26"/>
      <c r="H151" s="55"/>
      <c r="I151" s="8"/>
      <c r="J151" s="8"/>
      <c r="L151" s="337"/>
      <c r="M151" s="338"/>
      <c r="N151" s="339"/>
      <c r="P151" s="365"/>
      <c r="Q151" s="47"/>
      <c r="R151" s="346"/>
      <c r="T151" s="321"/>
      <c r="U151" s="29"/>
      <c r="V151" s="308"/>
      <c r="W151" s="68"/>
      <c r="X151" s="28"/>
      <c r="Y151" s="17"/>
      <c r="Z151" s="14"/>
      <c r="AA151" s="21"/>
      <c r="AB151" s="351"/>
      <c r="AC151" s="384"/>
      <c r="AD151" s="8"/>
      <c r="AE151" s="71"/>
      <c r="AF151" s="72"/>
      <c r="AG151" s="32"/>
      <c r="AH151" s="232"/>
      <c r="AI151" s="8"/>
      <c r="AJ151" s="50"/>
      <c r="AM151" s="123"/>
      <c r="AN151" s="234"/>
    </row>
    <row r="152" spans="1:40">
      <c r="A152" s="347">
        <v>3.16</v>
      </c>
      <c r="B152" s="79">
        <v>340</v>
      </c>
      <c r="C152" s="79">
        <v>323</v>
      </c>
      <c r="D152" s="79">
        <v>15</v>
      </c>
      <c r="E152" s="79">
        <v>12</v>
      </c>
      <c r="F152" s="79">
        <v>30.05</v>
      </c>
      <c r="G152" s="80">
        <v>6494</v>
      </c>
      <c r="H152" s="193" t="s">
        <v>3039</v>
      </c>
      <c r="I152" s="16" t="s">
        <v>380</v>
      </c>
      <c r="J152" s="8" t="s">
        <v>3543</v>
      </c>
      <c r="L152" s="156">
        <v>1</v>
      </c>
      <c r="M152" s="340">
        <v>0</v>
      </c>
      <c r="N152" s="240">
        <f t="shared" ref="N152:N158" si="203">L152-M152</f>
        <v>1</v>
      </c>
      <c r="P152" s="365">
        <v>58</v>
      </c>
      <c r="Q152" s="79">
        <v>138</v>
      </c>
      <c r="R152" s="346">
        <v>532</v>
      </c>
      <c r="S152" s="81">
        <v>439</v>
      </c>
      <c r="T152" s="327">
        <v>179</v>
      </c>
      <c r="U152" s="393">
        <v>8</v>
      </c>
      <c r="V152" s="310">
        <f t="shared" ref="V152:V158" si="204">U152/X152</f>
        <v>6.8085106382978725E-2</v>
      </c>
      <c r="W152" s="94">
        <v>17.21</v>
      </c>
      <c r="X152" s="36">
        <v>117.5</v>
      </c>
      <c r="Y152" s="66">
        <v>113.5</v>
      </c>
      <c r="Z152" s="15">
        <f t="shared" ref="Z152:Z158" si="205">X152-Y152</f>
        <v>4</v>
      </c>
      <c r="AA152" s="63">
        <f t="shared" ref="AA152:AA158" si="206">Z152/Y152</f>
        <v>3.5242290748898682E-2</v>
      </c>
      <c r="AB152" s="344">
        <v>-38.19</v>
      </c>
      <c r="AC152" s="384">
        <v>15.24</v>
      </c>
      <c r="AD152" s="16" t="s">
        <v>380</v>
      </c>
      <c r="AE152" s="84">
        <v>44679</v>
      </c>
      <c r="AF152" s="83">
        <v>44680</v>
      </c>
      <c r="AG152" s="33">
        <f t="shared" ref="AG152:AG158" si="207">AF152-AE152</f>
        <v>1</v>
      </c>
      <c r="AH152" s="43" t="s">
        <v>2366</v>
      </c>
      <c r="AI152" s="63"/>
      <c r="AJ152" s="284"/>
      <c r="AK152" s="400"/>
      <c r="AM152" s="245"/>
      <c r="AN152" s="245"/>
    </row>
    <row r="153" spans="1:40">
      <c r="A153" s="347">
        <v>4.4400000000000004</v>
      </c>
      <c r="B153" s="79">
        <v>730</v>
      </c>
      <c r="C153" s="92">
        <v>2520</v>
      </c>
      <c r="D153" s="79">
        <v>44</v>
      </c>
      <c r="E153" s="79">
        <v>22</v>
      </c>
      <c r="F153" s="79">
        <v>18.47</v>
      </c>
      <c r="G153" s="80">
        <v>3527</v>
      </c>
      <c r="H153" s="5" t="s">
        <v>3039</v>
      </c>
      <c r="I153" s="16" t="s">
        <v>326</v>
      </c>
      <c r="J153" s="102" t="s">
        <v>4720</v>
      </c>
      <c r="L153" s="156">
        <v>1</v>
      </c>
      <c r="M153" s="340">
        <v>0</v>
      </c>
      <c r="N153" s="240">
        <f t="shared" si="203"/>
        <v>1</v>
      </c>
      <c r="P153" s="365">
        <v>135</v>
      </c>
      <c r="Q153" s="79">
        <v>378</v>
      </c>
      <c r="R153" s="346">
        <v>603</v>
      </c>
      <c r="S153" s="81">
        <v>195</v>
      </c>
      <c r="T153" s="327">
        <v>139</v>
      </c>
      <c r="U153" s="393">
        <v>8</v>
      </c>
      <c r="V153" s="310">
        <f t="shared" si="204"/>
        <v>5.3333333333333337E-2</v>
      </c>
      <c r="W153" s="94">
        <v>12.69</v>
      </c>
      <c r="X153" s="36">
        <v>150</v>
      </c>
      <c r="Y153" s="66">
        <v>146.5</v>
      </c>
      <c r="Z153" s="15">
        <f t="shared" si="205"/>
        <v>3.5</v>
      </c>
      <c r="AA153" s="63">
        <f t="shared" si="206"/>
        <v>2.3890784982935155E-2</v>
      </c>
      <c r="AB153" s="344">
        <v>-46.06</v>
      </c>
      <c r="AC153" s="384">
        <v>12.63</v>
      </c>
      <c r="AD153" s="16" t="s">
        <v>326</v>
      </c>
      <c r="AE153" s="84">
        <v>44676</v>
      </c>
      <c r="AF153" s="83">
        <v>44680</v>
      </c>
      <c r="AG153" s="33">
        <f t="shared" si="207"/>
        <v>4</v>
      </c>
      <c r="AH153" s="43" t="s">
        <v>2356</v>
      </c>
      <c r="AI153" s="63"/>
      <c r="AJ153" s="284"/>
      <c r="AK153" s="400"/>
      <c r="AM153" s="245"/>
      <c r="AN153" s="245"/>
    </row>
    <row r="154" spans="1:40">
      <c r="A154" s="347">
        <v>56</v>
      </c>
      <c r="B154" s="80">
        <v>-6</v>
      </c>
      <c r="C154" s="80">
        <v>-15</v>
      </c>
      <c r="D154" s="79">
        <v>81</v>
      </c>
      <c r="E154" s="79">
        <v>30</v>
      </c>
      <c r="F154" s="79">
        <v>9.1300000000000008</v>
      </c>
      <c r="G154" s="80">
        <v>2345</v>
      </c>
      <c r="H154" s="236" t="s">
        <v>4315</v>
      </c>
      <c r="I154" s="22" t="s">
        <v>4322</v>
      </c>
      <c r="J154" s="102" t="s">
        <v>3545</v>
      </c>
      <c r="L154" s="156">
        <v>1</v>
      </c>
      <c r="M154" s="340">
        <v>0</v>
      </c>
      <c r="N154" s="240">
        <f t="shared" si="203"/>
        <v>1</v>
      </c>
      <c r="P154" s="365">
        <v>1214</v>
      </c>
      <c r="Q154" s="79">
        <v>109</v>
      </c>
      <c r="R154" s="346">
        <v>30</v>
      </c>
      <c r="S154" s="81">
        <v>168</v>
      </c>
      <c r="T154" s="327">
        <v>195</v>
      </c>
      <c r="U154" s="393">
        <v>6</v>
      </c>
      <c r="V154" s="310">
        <f t="shared" si="204"/>
        <v>2.6726057906458798E-2</v>
      </c>
      <c r="W154" s="94">
        <v>8.44</v>
      </c>
      <c r="X154" s="36">
        <v>224.5</v>
      </c>
      <c r="Y154" s="66">
        <v>219.5</v>
      </c>
      <c r="Z154" s="15">
        <f t="shared" si="205"/>
        <v>5</v>
      </c>
      <c r="AA154" s="63">
        <f t="shared" si="206"/>
        <v>2.2779043280182234E-2</v>
      </c>
      <c r="AB154" s="344">
        <v>-39.119999999999997</v>
      </c>
      <c r="AC154" s="384">
        <v>29.03</v>
      </c>
      <c r="AD154" s="22" t="s">
        <v>4322</v>
      </c>
      <c r="AE154" s="84">
        <v>44679</v>
      </c>
      <c r="AF154" s="83">
        <v>44680</v>
      </c>
      <c r="AG154" s="33">
        <f t="shared" si="207"/>
        <v>1</v>
      </c>
      <c r="AH154" s="117" t="s">
        <v>4323</v>
      </c>
      <c r="AI154" s="63"/>
      <c r="AJ154" s="284"/>
      <c r="AK154" s="400"/>
      <c r="AM154" s="245"/>
      <c r="AN154" s="245"/>
    </row>
    <row r="155" spans="1:40">
      <c r="A155" s="347">
        <v>4.4000000000000004</v>
      </c>
      <c r="B155" s="92">
        <v>1610</v>
      </c>
      <c r="C155" s="92">
        <v>2987</v>
      </c>
      <c r="D155" s="79">
        <v>6</v>
      </c>
      <c r="E155" s="79">
        <v>47</v>
      </c>
      <c r="F155" s="79">
        <v>31.91</v>
      </c>
      <c r="G155" s="80">
        <v>6485</v>
      </c>
      <c r="H155" s="18" t="s">
        <v>3039</v>
      </c>
      <c r="I155" s="16" t="s">
        <v>232</v>
      </c>
      <c r="J155" s="8" t="s">
        <v>3543</v>
      </c>
      <c r="L155" s="156">
        <v>1</v>
      </c>
      <c r="M155" s="340">
        <v>0</v>
      </c>
      <c r="N155" s="240">
        <f t="shared" si="203"/>
        <v>1</v>
      </c>
      <c r="P155" s="365">
        <v>16</v>
      </c>
      <c r="Q155" s="79">
        <v>124</v>
      </c>
      <c r="R155" s="346">
        <v>805</v>
      </c>
      <c r="S155" s="81">
        <v>418</v>
      </c>
      <c r="T155" s="327">
        <v>69</v>
      </c>
      <c r="U155" s="393">
        <v>5</v>
      </c>
      <c r="V155" s="310">
        <f t="shared" si="204"/>
        <v>4.2735042735042736E-2</v>
      </c>
      <c r="W155" s="94">
        <v>12.29</v>
      </c>
      <c r="X155" s="36">
        <v>117</v>
      </c>
      <c r="Y155" s="66">
        <v>114.5</v>
      </c>
      <c r="Z155" s="15">
        <f t="shared" si="205"/>
        <v>2.5</v>
      </c>
      <c r="AA155" s="63">
        <f>Z155/Y155</f>
        <v>2.1834061135371178E-2</v>
      </c>
      <c r="AB155" s="344">
        <v>-40.58</v>
      </c>
      <c r="AC155" s="384">
        <v>25.26</v>
      </c>
      <c r="AD155" s="16" t="s">
        <v>232</v>
      </c>
      <c r="AE155" s="84">
        <v>44679</v>
      </c>
      <c r="AF155" s="83">
        <v>44680</v>
      </c>
      <c r="AG155" s="33">
        <f t="shared" si="207"/>
        <v>1</v>
      </c>
      <c r="AH155" s="43" t="s">
        <v>2365</v>
      </c>
      <c r="AI155" s="63"/>
      <c r="AJ155" s="284"/>
      <c r="AK155" s="400"/>
      <c r="AM155" s="245"/>
      <c r="AN155" s="245"/>
    </row>
    <row r="156" spans="1:40">
      <c r="A156" s="347">
        <v>13.4</v>
      </c>
      <c r="B156" s="80">
        <v>-23</v>
      </c>
      <c r="C156" s="80">
        <v>-27</v>
      </c>
      <c r="D156" s="79">
        <v>43</v>
      </c>
      <c r="E156" s="80">
        <v>-6</v>
      </c>
      <c r="F156" s="79">
        <v>49.29</v>
      </c>
      <c r="G156" s="80">
        <v>3008</v>
      </c>
      <c r="H156" s="17" t="s">
        <v>1878</v>
      </c>
      <c r="I156" s="22" t="s">
        <v>1840</v>
      </c>
      <c r="J156" s="102" t="s">
        <v>3543</v>
      </c>
      <c r="L156" s="156">
        <v>1</v>
      </c>
      <c r="M156" s="340">
        <v>0</v>
      </c>
      <c r="N156" s="240">
        <f t="shared" si="203"/>
        <v>1</v>
      </c>
      <c r="P156" s="365">
        <v>872</v>
      </c>
      <c r="Q156" s="79">
        <v>60</v>
      </c>
      <c r="R156" s="346">
        <v>140</v>
      </c>
      <c r="S156" s="81">
        <v>184</v>
      </c>
      <c r="T156" s="327">
        <v>515</v>
      </c>
      <c r="U156" s="390">
        <v>39</v>
      </c>
      <c r="V156" s="310">
        <f t="shared" si="204"/>
        <v>2.2413793103448276E-2</v>
      </c>
      <c r="W156" s="343">
        <v>139.21</v>
      </c>
      <c r="X156" s="360">
        <v>1740</v>
      </c>
      <c r="Y156" s="65">
        <v>1705</v>
      </c>
      <c r="Z156" s="137">
        <f t="shared" si="205"/>
        <v>35</v>
      </c>
      <c r="AA156" s="63">
        <f t="shared" si="206"/>
        <v>2.0527859237536656E-2</v>
      </c>
      <c r="AB156" s="344">
        <v>-47.37</v>
      </c>
      <c r="AC156" s="384">
        <v>10.08</v>
      </c>
      <c r="AD156" s="22" t="s">
        <v>1840</v>
      </c>
      <c r="AE156" s="84">
        <v>44673</v>
      </c>
      <c r="AF156" s="83">
        <v>44680</v>
      </c>
      <c r="AG156" s="33">
        <f t="shared" si="207"/>
        <v>7</v>
      </c>
      <c r="AH156" s="43" t="s">
        <v>4148</v>
      </c>
      <c r="AI156" s="63"/>
      <c r="AJ156" s="284"/>
      <c r="AK156" s="400"/>
      <c r="AM156" s="245"/>
      <c r="AN156" s="245"/>
    </row>
    <row r="157" spans="1:40">
      <c r="A157" s="347">
        <v>8.57</v>
      </c>
      <c r="B157" s="79">
        <v>73</v>
      </c>
      <c r="C157" s="80">
        <v>-17</v>
      </c>
      <c r="D157" s="79">
        <v>90</v>
      </c>
      <c r="E157" s="79">
        <v>18</v>
      </c>
      <c r="F157" s="79">
        <v>11.57</v>
      </c>
      <c r="G157" s="79">
        <v>6508</v>
      </c>
      <c r="H157" s="5" t="s">
        <v>6269</v>
      </c>
      <c r="I157" s="16" t="s">
        <v>1040</v>
      </c>
      <c r="J157" s="8" t="s">
        <v>6268</v>
      </c>
      <c r="L157" s="156">
        <v>2</v>
      </c>
      <c r="M157" s="340">
        <v>0</v>
      </c>
      <c r="N157" s="240">
        <f t="shared" si="203"/>
        <v>2</v>
      </c>
      <c r="P157" s="365">
        <v>108</v>
      </c>
      <c r="Q157" s="79">
        <v>859</v>
      </c>
      <c r="R157" s="346">
        <v>1060</v>
      </c>
      <c r="S157" s="81" t="s">
        <v>6289</v>
      </c>
      <c r="T157" s="327">
        <v>777</v>
      </c>
      <c r="U157" s="393">
        <v>3</v>
      </c>
      <c r="V157" s="310">
        <f t="shared" si="204"/>
        <v>5.3763440860215055E-2</v>
      </c>
      <c r="W157" s="94">
        <v>3.85</v>
      </c>
      <c r="X157" s="36">
        <v>55.8</v>
      </c>
      <c r="Y157" s="66">
        <v>54.6</v>
      </c>
      <c r="Z157" s="15">
        <f t="shared" si="205"/>
        <v>1.1999999999999957</v>
      </c>
      <c r="AA157" s="63">
        <f t="shared" si="206"/>
        <v>2.19780219780219E-2</v>
      </c>
      <c r="AB157" s="344">
        <v>-21.02</v>
      </c>
      <c r="AC157" s="384">
        <v>70.11</v>
      </c>
      <c r="AD157" s="16" t="s">
        <v>1040</v>
      </c>
      <c r="AE157" s="84">
        <v>44677</v>
      </c>
      <c r="AF157" s="83">
        <v>44680</v>
      </c>
      <c r="AG157" s="33">
        <f t="shared" si="207"/>
        <v>3</v>
      </c>
      <c r="AH157" s="43" t="s">
        <v>2704</v>
      </c>
      <c r="AI157" s="63"/>
      <c r="AJ157" s="284"/>
      <c r="AK157" s="400"/>
      <c r="AM157" s="245"/>
      <c r="AN157" s="245"/>
    </row>
    <row r="158" spans="1:40">
      <c r="A158" s="347">
        <v>4.83</v>
      </c>
      <c r="B158" s="92">
        <v>3611</v>
      </c>
      <c r="C158" s="92">
        <v>3370</v>
      </c>
      <c r="D158" s="80">
        <v>-10</v>
      </c>
      <c r="E158" s="80">
        <v>-8</v>
      </c>
      <c r="F158" s="79">
        <v>15.49</v>
      </c>
      <c r="G158" s="80">
        <v>6150</v>
      </c>
      <c r="H158" s="5" t="s">
        <v>1146</v>
      </c>
      <c r="I158" s="16" t="s">
        <v>1788</v>
      </c>
      <c r="J158" s="8" t="s">
        <v>3544</v>
      </c>
      <c r="L158" s="156">
        <v>1</v>
      </c>
      <c r="M158" s="340">
        <v>0</v>
      </c>
      <c r="N158" s="240">
        <f t="shared" si="203"/>
        <v>1</v>
      </c>
      <c r="P158" s="365">
        <v>28</v>
      </c>
      <c r="Q158" s="79">
        <v>30</v>
      </c>
      <c r="R158" s="346">
        <v>503</v>
      </c>
      <c r="S158" s="81" t="s">
        <v>6289</v>
      </c>
      <c r="T158" s="327">
        <v>243</v>
      </c>
      <c r="U158" s="393">
        <v>11</v>
      </c>
      <c r="V158" s="310">
        <f t="shared" si="204"/>
        <v>9.5238095238095233E-2</v>
      </c>
      <c r="W158" s="94">
        <v>24.26</v>
      </c>
      <c r="X158" s="36">
        <v>115.5</v>
      </c>
      <c r="Y158" s="66">
        <v>112.5</v>
      </c>
      <c r="Z158" s="15">
        <f t="shared" si="205"/>
        <v>3</v>
      </c>
      <c r="AA158" s="63">
        <f t="shared" si="206"/>
        <v>2.6666666666666668E-2</v>
      </c>
      <c r="AB158" s="344">
        <v>-45.91</v>
      </c>
      <c r="AC158" s="384">
        <v>12.63</v>
      </c>
      <c r="AD158" s="16" t="s">
        <v>1788</v>
      </c>
      <c r="AE158" s="84">
        <v>44680</v>
      </c>
      <c r="AF158" s="86">
        <v>44680</v>
      </c>
      <c r="AG158" s="33">
        <f t="shared" si="207"/>
        <v>0</v>
      </c>
      <c r="AH158" s="43" t="s">
        <v>2718</v>
      </c>
      <c r="AI158" s="63"/>
      <c r="AJ158" s="284"/>
      <c r="AK158" s="400"/>
      <c r="AM158" s="245"/>
      <c r="AN158" s="245"/>
    </row>
    <row r="159" spans="1:40">
      <c r="A159" s="347">
        <v>76.3</v>
      </c>
      <c r="B159" s="92">
        <v>7300</v>
      </c>
      <c r="C159" s="79">
        <v>751</v>
      </c>
      <c r="D159" s="79">
        <v>35</v>
      </c>
      <c r="E159" s="79">
        <v>60</v>
      </c>
      <c r="F159" s="79">
        <v>43.08</v>
      </c>
      <c r="G159" s="80">
        <v>2637</v>
      </c>
      <c r="H159" s="5" t="s">
        <v>302</v>
      </c>
      <c r="I159" s="22" t="s">
        <v>872</v>
      </c>
      <c r="J159" s="8" t="s">
        <v>3545</v>
      </c>
      <c r="L159" s="156">
        <v>1</v>
      </c>
      <c r="M159" s="340">
        <v>0</v>
      </c>
      <c r="N159" s="240">
        <f t="shared" ref="N159" si="208">L159-M159</f>
        <v>1</v>
      </c>
      <c r="P159" s="365">
        <v>701</v>
      </c>
      <c r="Q159" s="79">
        <v>184</v>
      </c>
      <c r="R159" s="346">
        <v>245</v>
      </c>
      <c r="S159" s="81">
        <v>77</v>
      </c>
      <c r="T159" s="327">
        <v>164</v>
      </c>
      <c r="U159" s="393">
        <v>5.5</v>
      </c>
      <c r="V159" s="310">
        <f t="shared" ref="V159" si="209">U159/X159</f>
        <v>6.1111111111111109E-2</v>
      </c>
      <c r="W159" s="94">
        <v>11.05</v>
      </c>
      <c r="X159" s="36">
        <v>90</v>
      </c>
      <c r="Y159" s="66">
        <v>87.9</v>
      </c>
      <c r="Z159" s="15">
        <f t="shared" ref="Z159" si="210">X159-Y159</f>
        <v>2.0999999999999943</v>
      </c>
      <c r="AA159" s="63">
        <f t="shared" ref="AA159" si="211">Z159/Y159</f>
        <v>2.3890784982935086E-2</v>
      </c>
      <c r="AB159" s="344">
        <v>-28.93</v>
      </c>
      <c r="AC159" s="384">
        <v>47.56</v>
      </c>
      <c r="AD159" s="22" t="s">
        <v>872</v>
      </c>
      <c r="AE159" s="84">
        <v>44679</v>
      </c>
      <c r="AF159" s="83">
        <v>44680</v>
      </c>
      <c r="AG159" s="33">
        <f t="shared" ref="AG159" si="212">AF159-AE159</f>
        <v>1</v>
      </c>
      <c r="AH159" s="43" t="s">
        <v>2015</v>
      </c>
      <c r="AI159" s="63"/>
      <c r="AJ159" s="284"/>
      <c r="AK159" s="400"/>
      <c r="AM159" s="245"/>
      <c r="AN159" s="245"/>
    </row>
    <row r="160" spans="1:40">
      <c r="A160" s="347">
        <v>10.8</v>
      </c>
      <c r="B160" s="79">
        <v>133</v>
      </c>
      <c r="C160" s="79">
        <v>144</v>
      </c>
      <c r="D160" s="79">
        <v>15</v>
      </c>
      <c r="E160" s="79">
        <v>29</v>
      </c>
      <c r="F160" s="79">
        <v>22.08</v>
      </c>
      <c r="G160" s="80">
        <v>4952</v>
      </c>
      <c r="H160" s="5" t="s">
        <v>3039</v>
      </c>
      <c r="I160" s="22" t="s">
        <v>176</v>
      </c>
      <c r="J160" s="102" t="s">
        <v>3545</v>
      </c>
      <c r="L160" s="156">
        <v>1</v>
      </c>
      <c r="M160" s="340">
        <v>0</v>
      </c>
      <c r="N160" s="240">
        <f>L160-M160</f>
        <v>1</v>
      </c>
      <c r="P160" s="365">
        <v>306</v>
      </c>
      <c r="Q160" s="79">
        <v>553</v>
      </c>
      <c r="R160" s="346">
        <v>688</v>
      </c>
      <c r="S160" s="81">
        <v>403</v>
      </c>
      <c r="T160" s="327">
        <v>560</v>
      </c>
      <c r="U160" s="393">
        <v>5.4</v>
      </c>
      <c r="V160" s="310">
        <f>U160/X160</f>
        <v>7.6813655761024197E-2</v>
      </c>
      <c r="W160" s="94">
        <v>6.05</v>
      </c>
      <c r="X160" s="36">
        <v>70.3</v>
      </c>
      <c r="Y160" s="66">
        <v>68.7</v>
      </c>
      <c r="Z160" s="15">
        <f>X160-Y160</f>
        <v>1.5999999999999943</v>
      </c>
      <c r="AA160" s="63">
        <f>Z160/Y160</f>
        <v>2.3289665211062509E-2</v>
      </c>
      <c r="AB160" s="344">
        <v>-29.51</v>
      </c>
      <c r="AC160" s="384">
        <v>37.229999999999997</v>
      </c>
      <c r="AD160" s="22" t="s">
        <v>176</v>
      </c>
      <c r="AE160" s="84">
        <v>44679</v>
      </c>
      <c r="AF160" s="83">
        <v>44680</v>
      </c>
      <c r="AG160" s="33">
        <f t="shared" ref="AG160:AG168" si="213">AF160-AE160</f>
        <v>1</v>
      </c>
      <c r="AH160" s="117" t="s">
        <v>2105</v>
      </c>
      <c r="AI160" s="63"/>
      <c r="AJ160" s="284"/>
      <c r="AK160" s="400"/>
      <c r="AM160" s="245"/>
      <c r="AN160" s="245"/>
    </row>
    <row r="161" spans="1:40">
      <c r="A161" s="347">
        <v>18.899999999999999</v>
      </c>
      <c r="B161" s="79">
        <v>14</v>
      </c>
      <c r="C161" s="79">
        <v>23</v>
      </c>
      <c r="D161" s="80">
        <v>-1</v>
      </c>
      <c r="E161" s="79">
        <v>22</v>
      </c>
      <c r="F161" s="79">
        <v>9.98</v>
      </c>
      <c r="G161" s="80">
        <v>4927</v>
      </c>
      <c r="H161" s="18" t="s">
        <v>308</v>
      </c>
      <c r="I161" s="22" t="s">
        <v>447</v>
      </c>
      <c r="J161" s="102" t="s">
        <v>3545</v>
      </c>
      <c r="L161" s="156">
        <v>1</v>
      </c>
      <c r="M161" s="340">
        <v>0</v>
      </c>
      <c r="N161" s="240">
        <f>L161-M161</f>
        <v>1</v>
      </c>
      <c r="P161" s="365">
        <v>299</v>
      </c>
      <c r="Q161" s="79">
        <v>198</v>
      </c>
      <c r="R161" s="346">
        <v>274</v>
      </c>
      <c r="S161" s="81">
        <v>48</v>
      </c>
      <c r="T161" s="327">
        <v>52</v>
      </c>
      <c r="U161" s="393">
        <v>4</v>
      </c>
      <c r="V161" s="310">
        <f>U161/X161</f>
        <v>4.1407867494824016E-2</v>
      </c>
      <c r="W161" s="94">
        <v>7.25</v>
      </c>
      <c r="X161" s="36">
        <v>96.6</v>
      </c>
      <c r="Y161" s="66">
        <v>94.4</v>
      </c>
      <c r="Z161" s="15">
        <f>X161-Y161</f>
        <v>2.1999999999999886</v>
      </c>
      <c r="AA161" s="63">
        <f>Z161/Y161</f>
        <v>2.3305084745762591E-2</v>
      </c>
      <c r="AB161" s="344">
        <v>-31.88</v>
      </c>
      <c r="AC161" s="384">
        <v>33.47</v>
      </c>
      <c r="AD161" s="22" t="s">
        <v>447</v>
      </c>
      <c r="AE161" s="84">
        <v>44679</v>
      </c>
      <c r="AF161" s="83">
        <v>44680</v>
      </c>
      <c r="AG161" s="33">
        <f t="shared" si="213"/>
        <v>1</v>
      </c>
      <c r="AH161" s="43" t="s">
        <v>1044</v>
      </c>
      <c r="AI161" s="63"/>
      <c r="AJ161" s="284"/>
      <c r="AK161" s="402"/>
      <c r="AM161" s="239"/>
      <c r="AN161" s="245"/>
    </row>
    <row r="162" spans="1:40">
      <c r="A162" s="347">
        <v>952</v>
      </c>
      <c r="B162" s="79">
        <v>569</v>
      </c>
      <c r="C162" s="92">
        <v>1892</v>
      </c>
      <c r="D162" s="79">
        <v>31</v>
      </c>
      <c r="E162" s="79">
        <v>47</v>
      </c>
      <c r="F162" s="79">
        <v>8.9</v>
      </c>
      <c r="G162" s="80">
        <v>6505</v>
      </c>
      <c r="H162" s="18" t="s">
        <v>312</v>
      </c>
      <c r="I162" s="22" t="s">
        <v>4671</v>
      </c>
      <c r="J162" s="102" t="s">
        <v>3545</v>
      </c>
      <c r="L162" s="156">
        <v>1</v>
      </c>
      <c r="M162" s="340">
        <v>0</v>
      </c>
      <c r="N162" s="240">
        <f>L162-M162</f>
        <v>1</v>
      </c>
      <c r="P162" s="365">
        <v>1439</v>
      </c>
      <c r="Q162" s="79">
        <v>934</v>
      </c>
      <c r="R162" s="346">
        <v>636</v>
      </c>
      <c r="S162" s="81">
        <v>340</v>
      </c>
      <c r="T162" s="327">
        <v>405</v>
      </c>
      <c r="U162" s="390">
        <v>3.8</v>
      </c>
      <c r="V162" s="310">
        <f>U162/X162</f>
        <v>4.1394335511982572E-2</v>
      </c>
      <c r="W162" s="94">
        <v>5.19</v>
      </c>
      <c r="X162" s="36">
        <v>91.8</v>
      </c>
      <c r="Y162" s="65">
        <v>89.8</v>
      </c>
      <c r="Z162" s="15">
        <f>X162-Y162</f>
        <v>2</v>
      </c>
      <c r="AA162" s="63">
        <f>Z162/Y162</f>
        <v>2.2271714922048998E-2</v>
      </c>
      <c r="AB162" s="344">
        <v>-24.09</v>
      </c>
      <c r="AC162" s="384">
        <v>9.9700000000000006</v>
      </c>
      <c r="AD162" s="22" t="s">
        <v>4671</v>
      </c>
      <c r="AE162" s="84">
        <v>44680</v>
      </c>
      <c r="AF162" s="86">
        <v>44680</v>
      </c>
      <c r="AG162" s="33">
        <f t="shared" si="213"/>
        <v>0</v>
      </c>
      <c r="AH162" s="43" t="s">
        <v>2596</v>
      </c>
      <c r="AI162" s="63"/>
      <c r="AJ162" s="284"/>
      <c r="AK162" s="400"/>
      <c r="AM162" s="245"/>
      <c r="AN162" s="245"/>
    </row>
    <row r="163" spans="1:40">
      <c r="A163" s="347">
        <v>49.2</v>
      </c>
      <c r="B163" s="79">
        <v>107</v>
      </c>
      <c r="C163" s="79">
        <v>105</v>
      </c>
      <c r="D163" s="79">
        <v>33</v>
      </c>
      <c r="E163" s="80">
        <v>-44</v>
      </c>
      <c r="F163" s="79">
        <v>42.15</v>
      </c>
      <c r="G163" s="80">
        <v>2108</v>
      </c>
      <c r="H163" s="5" t="s">
        <v>300</v>
      </c>
      <c r="I163" s="22" t="s">
        <v>4004</v>
      </c>
      <c r="J163" s="102" t="s">
        <v>3543</v>
      </c>
      <c r="L163" s="156">
        <v>1</v>
      </c>
      <c r="M163" s="340">
        <v>0</v>
      </c>
      <c r="N163" s="240">
        <f>L163-M163</f>
        <v>1</v>
      </c>
      <c r="P163" s="365">
        <v>836</v>
      </c>
      <c r="Q163" s="79">
        <v>71</v>
      </c>
      <c r="R163" s="346">
        <v>565</v>
      </c>
      <c r="S163" s="81">
        <v>319</v>
      </c>
      <c r="T163" s="327">
        <v>50</v>
      </c>
      <c r="U163" s="393">
        <v>7</v>
      </c>
      <c r="V163" s="310">
        <f>U163/X163</f>
        <v>0.12773722627737227</v>
      </c>
      <c r="W163" s="94">
        <v>14.92</v>
      </c>
      <c r="X163" s="36">
        <v>54.8</v>
      </c>
      <c r="Y163" s="66">
        <v>53.5</v>
      </c>
      <c r="Z163" s="15">
        <f>X163-Y163</f>
        <v>1.2999999999999972</v>
      </c>
      <c r="AA163" s="63">
        <f>Z163/Y163</f>
        <v>2.4299065420560696E-2</v>
      </c>
      <c r="AB163" s="344">
        <v>-70.11</v>
      </c>
      <c r="AC163" s="384">
        <v>4.4800000000000004</v>
      </c>
      <c r="AD163" s="22" t="s">
        <v>4004</v>
      </c>
      <c r="AE163" s="84">
        <v>44679</v>
      </c>
      <c r="AF163" s="83">
        <v>44680</v>
      </c>
      <c r="AG163" s="33">
        <f t="shared" si="213"/>
        <v>1</v>
      </c>
      <c r="AH163" s="43" t="s">
        <v>4005</v>
      </c>
      <c r="AI163" s="63"/>
      <c r="AJ163" s="284"/>
      <c r="AK163" s="400"/>
      <c r="AM163" s="245"/>
      <c r="AN163" s="245"/>
    </row>
    <row r="164" spans="1:40">
      <c r="A164" s="347">
        <v>75.900000000000006</v>
      </c>
      <c r="B164" s="79">
        <v>43</v>
      </c>
      <c r="C164" s="79">
        <v>35</v>
      </c>
      <c r="D164" s="79">
        <v>9</v>
      </c>
      <c r="E164" s="79">
        <v>9</v>
      </c>
      <c r="F164" s="79">
        <v>17.329999999999998</v>
      </c>
      <c r="G164" s="79">
        <v>6239</v>
      </c>
      <c r="H164" s="5" t="s">
        <v>3039</v>
      </c>
      <c r="I164" s="22" t="s">
        <v>22</v>
      </c>
      <c r="J164" s="8" t="s">
        <v>3545</v>
      </c>
      <c r="L164" s="156">
        <v>1</v>
      </c>
      <c r="M164" s="340">
        <v>0</v>
      </c>
      <c r="N164" s="240">
        <f t="shared" ref="N164:N169" si="214">L164-M164</f>
        <v>1</v>
      </c>
      <c r="P164" s="365">
        <v>1137</v>
      </c>
      <c r="Q164" s="79">
        <v>84</v>
      </c>
      <c r="R164" s="346">
        <v>89</v>
      </c>
      <c r="S164" s="81">
        <v>104</v>
      </c>
      <c r="T164" s="327">
        <v>124</v>
      </c>
      <c r="U164" s="393">
        <v>6.8</v>
      </c>
      <c r="V164" s="310">
        <f t="shared" ref="V164:V170" si="215">U164/X164</f>
        <v>7.0833333333333331E-2</v>
      </c>
      <c r="W164" s="94">
        <v>11.54</v>
      </c>
      <c r="X164" s="36">
        <v>96</v>
      </c>
      <c r="Y164" s="66">
        <v>93.2</v>
      </c>
      <c r="Z164" s="15">
        <f t="shared" ref="Z164:Z170" si="216">X164-Y164</f>
        <v>2.7999999999999972</v>
      </c>
      <c r="AA164" s="63">
        <f t="shared" ref="AA164:AA170" si="217">Z164/Y164</f>
        <v>3.0042918454935591E-2</v>
      </c>
      <c r="AB164" s="344">
        <v>-18.97</v>
      </c>
      <c r="AC164" s="384">
        <v>31.93</v>
      </c>
      <c r="AD164" s="22" t="s">
        <v>22</v>
      </c>
      <c r="AE164" s="84">
        <v>44676</v>
      </c>
      <c r="AF164" s="83">
        <v>44679</v>
      </c>
      <c r="AG164" s="33">
        <f t="shared" si="213"/>
        <v>3</v>
      </c>
      <c r="AH164" s="117" t="s">
        <v>2298</v>
      </c>
      <c r="AI164" s="63"/>
      <c r="AJ164" s="284"/>
      <c r="AK164" s="400"/>
      <c r="AM164" s="245"/>
      <c r="AN164" s="245"/>
    </row>
    <row r="165" spans="1:40">
      <c r="A165" s="347">
        <v>59.3</v>
      </c>
      <c r="B165" s="79">
        <v>181</v>
      </c>
      <c r="C165" s="79">
        <v>259</v>
      </c>
      <c r="D165" s="79">
        <v>6</v>
      </c>
      <c r="E165" s="79">
        <v>5</v>
      </c>
      <c r="F165" s="79">
        <v>34.700000000000003</v>
      </c>
      <c r="G165" s="80">
        <v>1308</v>
      </c>
      <c r="H165" s="5" t="s">
        <v>3329</v>
      </c>
      <c r="I165" s="22" t="s">
        <v>109</v>
      </c>
      <c r="J165" s="102" t="s">
        <v>3544</v>
      </c>
      <c r="L165" s="156">
        <v>1</v>
      </c>
      <c r="M165" s="340">
        <v>0</v>
      </c>
      <c r="N165" s="240">
        <f t="shared" si="214"/>
        <v>1</v>
      </c>
      <c r="P165" s="365">
        <v>727</v>
      </c>
      <c r="Q165" s="79">
        <v>437</v>
      </c>
      <c r="R165" s="346">
        <v>661</v>
      </c>
      <c r="S165" s="81">
        <v>122</v>
      </c>
      <c r="T165" s="327">
        <v>256</v>
      </c>
      <c r="U165" s="393">
        <v>3</v>
      </c>
      <c r="V165" s="310">
        <f t="shared" si="215"/>
        <v>8.3333333333333329E-2</v>
      </c>
      <c r="W165" s="94">
        <v>5.28</v>
      </c>
      <c r="X165" s="36">
        <v>36</v>
      </c>
      <c r="Y165" s="66">
        <v>35.15</v>
      </c>
      <c r="Z165" s="15">
        <f t="shared" si="216"/>
        <v>0.85000000000000142</v>
      </c>
      <c r="AA165" s="63">
        <f t="shared" si="217"/>
        <v>2.4182076813655803E-2</v>
      </c>
      <c r="AB165" s="344">
        <v>-31.27</v>
      </c>
      <c r="AC165" s="384">
        <v>34.85</v>
      </c>
      <c r="AD165" s="22" t="s">
        <v>109</v>
      </c>
      <c r="AE165" s="84">
        <v>44678</v>
      </c>
      <c r="AF165" s="83">
        <v>44679</v>
      </c>
      <c r="AG165" s="33">
        <f t="shared" si="213"/>
        <v>1</v>
      </c>
      <c r="AH165" s="117" t="s">
        <v>2753</v>
      </c>
      <c r="AI165" s="63"/>
      <c r="AJ165" s="284"/>
      <c r="AK165" s="400"/>
      <c r="AL165" s="245"/>
      <c r="AM165" s="245"/>
      <c r="AN165" s="245"/>
    </row>
    <row r="166" spans="1:40">
      <c r="A166" s="347">
        <v>4.4400000000000004</v>
      </c>
      <c r="B166" s="79">
        <v>249</v>
      </c>
      <c r="C166" s="79">
        <v>154</v>
      </c>
      <c r="D166" s="79">
        <v>19</v>
      </c>
      <c r="E166" s="79">
        <v>16</v>
      </c>
      <c r="F166" s="79">
        <v>16.510000000000002</v>
      </c>
      <c r="G166" s="79">
        <v>3675</v>
      </c>
      <c r="H166" s="183" t="s">
        <v>3039</v>
      </c>
      <c r="I166" s="16" t="s">
        <v>365</v>
      </c>
      <c r="J166" s="8" t="s">
        <v>3545</v>
      </c>
      <c r="L166" s="156">
        <v>1</v>
      </c>
      <c r="M166" s="340">
        <v>0</v>
      </c>
      <c r="N166" s="240">
        <f t="shared" si="214"/>
        <v>1</v>
      </c>
      <c r="P166" s="365">
        <v>326</v>
      </c>
      <c r="Q166" s="79">
        <v>365</v>
      </c>
      <c r="R166" s="346">
        <v>69</v>
      </c>
      <c r="S166" s="81">
        <v>3</v>
      </c>
      <c r="T166" s="327">
        <v>88</v>
      </c>
      <c r="U166" s="393">
        <v>5</v>
      </c>
      <c r="V166" s="310">
        <f t="shared" si="215"/>
        <v>1.5197568389057751E-2</v>
      </c>
      <c r="W166" s="94">
        <v>7.36</v>
      </c>
      <c r="X166" s="36">
        <v>329</v>
      </c>
      <c r="Y166" s="66">
        <v>322.5</v>
      </c>
      <c r="Z166" s="15">
        <f t="shared" si="216"/>
        <v>6.5</v>
      </c>
      <c r="AA166" s="63">
        <f t="shared" si="217"/>
        <v>2.0155038759689922E-2</v>
      </c>
      <c r="AB166" s="344">
        <v>-15.12</v>
      </c>
      <c r="AC166" s="384">
        <v>55.56</v>
      </c>
      <c r="AD166" s="16" t="s">
        <v>365</v>
      </c>
      <c r="AE166" s="84">
        <v>44677</v>
      </c>
      <c r="AF166" s="83">
        <v>44679</v>
      </c>
      <c r="AG166" s="33">
        <f t="shared" si="213"/>
        <v>2</v>
      </c>
      <c r="AH166" s="43" t="s">
        <v>2940</v>
      </c>
      <c r="AI166" s="63"/>
      <c r="AJ166" s="284"/>
      <c r="AK166" s="400"/>
      <c r="AM166" s="245"/>
      <c r="AN166" s="245"/>
    </row>
    <row r="167" spans="1:40">
      <c r="A167" s="347">
        <v>84.5</v>
      </c>
      <c r="B167" s="79">
        <v>456</v>
      </c>
      <c r="C167" s="79">
        <v>649</v>
      </c>
      <c r="D167" s="79">
        <v>51</v>
      </c>
      <c r="E167" s="79">
        <v>24</v>
      </c>
      <c r="F167" s="79">
        <v>27.18</v>
      </c>
      <c r="G167" s="79">
        <v>2606</v>
      </c>
      <c r="H167" s="8" t="s">
        <v>302</v>
      </c>
      <c r="I167" s="22" t="s">
        <v>4619</v>
      </c>
      <c r="J167" s="102" t="s">
        <v>3545</v>
      </c>
      <c r="L167" s="156">
        <v>1</v>
      </c>
      <c r="M167" s="340">
        <v>0</v>
      </c>
      <c r="N167" s="240">
        <f t="shared" si="214"/>
        <v>1</v>
      </c>
      <c r="P167" s="365">
        <v>629</v>
      </c>
      <c r="Q167" s="79">
        <v>163</v>
      </c>
      <c r="R167" s="346">
        <v>454</v>
      </c>
      <c r="S167" s="81">
        <v>27</v>
      </c>
      <c r="T167" s="327">
        <v>101</v>
      </c>
      <c r="U167" s="393">
        <v>3</v>
      </c>
      <c r="V167" s="310">
        <f t="shared" si="215"/>
        <v>4.7770700636942678E-2</v>
      </c>
      <c r="W167" s="94">
        <v>5.79</v>
      </c>
      <c r="X167" s="36">
        <v>62.8</v>
      </c>
      <c r="Y167" s="66">
        <v>61.3</v>
      </c>
      <c r="Z167" s="15">
        <f t="shared" si="216"/>
        <v>1.5</v>
      </c>
      <c r="AA167" s="63">
        <f t="shared" si="217"/>
        <v>2.4469820554649267E-2</v>
      </c>
      <c r="AB167" s="344">
        <v>-34.85</v>
      </c>
      <c r="AC167" s="384">
        <v>56.21</v>
      </c>
      <c r="AD167" s="22" t="s">
        <v>4619</v>
      </c>
      <c r="AE167" s="84">
        <v>44678</v>
      </c>
      <c r="AF167" s="86">
        <v>44678</v>
      </c>
      <c r="AG167" s="33">
        <f t="shared" si="213"/>
        <v>0</v>
      </c>
      <c r="AH167" s="117" t="s">
        <v>3267</v>
      </c>
      <c r="AI167" s="63"/>
      <c r="AJ167" s="284"/>
      <c r="AK167" s="400"/>
      <c r="AM167" s="245"/>
      <c r="AN167" s="245"/>
    </row>
    <row r="168" spans="1:40">
      <c r="A168" s="347">
        <v>27.1</v>
      </c>
      <c r="B168" s="79">
        <v>8</v>
      </c>
      <c r="C168" s="79">
        <v>25</v>
      </c>
      <c r="D168" s="79">
        <v>33</v>
      </c>
      <c r="E168" s="79">
        <v>6</v>
      </c>
      <c r="F168" s="79">
        <v>28.8</v>
      </c>
      <c r="G168" s="79">
        <v>3374</v>
      </c>
      <c r="H168" s="145" t="s">
        <v>3039</v>
      </c>
      <c r="I168" s="16" t="s">
        <v>167</v>
      </c>
      <c r="J168" s="8" t="s">
        <v>6245</v>
      </c>
      <c r="L168" s="156">
        <v>2</v>
      </c>
      <c r="M168" s="340">
        <v>0</v>
      </c>
      <c r="N168" s="240">
        <f t="shared" si="214"/>
        <v>2</v>
      </c>
      <c r="P168" s="365">
        <v>299</v>
      </c>
      <c r="Q168" s="79">
        <v>198</v>
      </c>
      <c r="R168" s="346">
        <v>701</v>
      </c>
      <c r="S168" s="81">
        <v>73</v>
      </c>
      <c r="T168" s="327">
        <v>318</v>
      </c>
      <c r="U168" s="393">
        <v>3</v>
      </c>
      <c r="V168" s="310">
        <f t="shared" si="215"/>
        <v>2.2988505747126436E-2</v>
      </c>
      <c r="W168" s="94">
        <v>6.92</v>
      </c>
      <c r="X168" s="36">
        <v>130.5</v>
      </c>
      <c r="Y168" s="66">
        <v>127.5</v>
      </c>
      <c r="Z168" s="15">
        <f t="shared" si="216"/>
        <v>3</v>
      </c>
      <c r="AA168" s="63">
        <f t="shared" si="217"/>
        <v>2.3529411764705882E-2</v>
      </c>
      <c r="AB168" s="344">
        <v>-31.69</v>
      </c>
      <c r="AC168" s="384">
        <v>53.42</v>
      </c>
      <c r="AD168" s="16" t="s">
        <v>167</v>
      </c>
      <c r="AE168" s="84">
        <v>44678</v>
      </c>
      <c r="AF168" s="86">
        <v>44678</v>
      </c>
      <c r="AG168" s="33">
        <f t="shared" si="213"/>
        <v>0</v>
      </c>
      <c r="AH168" s="117" t="s">
        <v>2322</v>
      </c>
      <c r="AI168" s="63"/>
      <c r="AJ168" s="284"/>
      <c r="AK168" s="400"/>
      <c r="AM168" s="245"/>
      <c r="AN168" s="245"/>
    </row>
    <row r="169" spans="1:40">
      <c r="A169" s="347">
        <v>7.87</v>
      </c>
      <c r="B169" s="79">
        <v>111</v>
      </c>
      <c r="C169" s="79">
        <v>118</v>
      </c>
      <c r="D169" s="79">
        <v>9</v>
      </c>
      <c r="E169" s="79">
        <v>31</v>
      </c>
      <c r="F169" s="79">
        <v>4.3600000000000003</v>
      </c>
      <c r="G169" s="79">
        <v>6469</v>
      </c>
      <c r="H169" s="5" t="s">
        <v>309</v>
      </c>
      <c r="I169" s="16" t="s">
        <v>3824</v>
      </c>
      <c r="J169" s="102" t="s">
        <v>3545</v>
      </c>
      <c r="L169" s="156">
        <v>1</v>
      </c>
      <c r="M169" s="340">
        <v>0</v>
      </c>
      <c r="N169" s="240">
        <f t="shared" si="214"/>
        <v>1</v>
      </c>
      <c r="P169" s="365">
        <v>641</v>
      </c>
      <c r="Q169" s="79">
        <v>670</v>
      </c>
      <c r="R169" s="346">
        <v>749</v>
      </c>
      <c r="S169" s="81">
        <v>174</v>
      </c>
      <c r="T169" s="327">
        <v>359</v>
      </c>
      <c r="U169" s="393">
        <v>5.14</v>
      </c>
      <c r="V169" s="310">
        <f t="shared" si="215"/>
        <v>1.86231884057971E-2</v>
      </c>
      <c r="W169" s="94">
        <v>6.2</v>
      </c>
      <c r="X169" s="36">
        <v>276</v>
      </c>
      <c r="Y169" s="66">
        <v>270</v>
      </c>
      <c r="Z169" s="15">
        <f t="shared" si="216"/>
        <v>6</v>
      </c>
      <c r="AA169" s="63">
        <f t="shared" si="217"/>
        <v>2.2222222222222223E-2</v>
      </c>
      <c r="AB169" s="344">
        <v>-21.65</v>
      </c>
      <c r="AC169" s="384">
        <v>59.39</v>
      </c>
      <c r="AD169" s="16" t="s">
        <v>3824</v>
      </c>
      <c r="AE169" s="84">
        <v>44678</v>
      </c>
      <c r="AF169" s="86">
        <v>44678</v>
      </c>
      <c r="AG169" s="33">
        <f t="shared" ref="AG169" si="218">AF169-AE169</f>
        <v>0</v>
      </c>
      <c r="AH169" s="43" t="s">
        <v>3825</v>
      </c>
      <c r="AI169" s="63"/>
      <c r="AJ169" s="284"/>
      <c r="AK169" s="400"/>
      <c r="AM169" s="245"/>
      <c r="AN169" s="245"/>
    </row>
    <row r="170" spans="1:40">
      <c r="A170" s="347">
        <v>27.1</v>
      </c>
      <c r="B170" s="79">
        <v>8</v>
      </c>
      <c r="C170" s="79">
        <v>25</v>
      </c>
      <c r="D170" s="79">
        <v>33</v>
      </c>
      <c r="E170" s="79">
        <v>6</v>
      </c>
      <c r="F170" s="79">
        <v>28.8</v>
      </c>
      <c r="G170" s="79">
        <v>3374</v>
      </c>
      <c r="H170" s="145" t="s">
        <v>3039</v>
      </c>
      <c r="I170" s="16" t="s">
        <v>167</v>
      </c>
      <c r="J170" s="8" t="s">
        <v>6245</v>
      </c>
      <c r="L170" s="156">
        <v>2</v>
      </c>
      <c r="M170" s="340">
        <v>0</v>
      </c>
      <c r="N170" s="240">
        <f t="shared" ref="N170:N176" si="219">L170-M170</f>
        <v>2</v>
      </c>
      <c r="P170" s="365">
        <v>299</v>
      </c>
      <c r="Q170" s="79">
        <v>198</v>
      </c>
      <c r="R170" s="346">
        <v>701</v>
      </c>
      <c r="S170" s="81">
        <v>73</v>
      </c>
      <c r="T170" s="327">
        <v>318</v>
      </c>
      <c r="U170" s="393">
        <v>3</v>
      </c>
      <c r="V170" s="310">
        <f t="shared" si="215"/>
        <v>2.1201413427561839E-2</v>
      </c>
      <c r="W170" s="94">
        <v>6.92</v>
      </c>
      <c r="X170" s="36">
        <v>141.5</v>
      </c>
      <c r="Y170" s="66">
        <v>138.5</v>
      </c>
      <c r="Z170" s="15">
        <f t="shared" si="216"/>
        <v>3</v>
      </c>
      <c r="AA170" s="63">
        <f t="shared" si="217"/>
        <v>2.1660649819494584E-2</v>
      </c>
      <c r="AB170" s="344">
        <v>-28.31</v>
      </c>
      <c r="AC170" s="384">
        <v>51.04</v>
      </c>
      <c r="AD170" s="16" t="s">
        <v>167</v>
      </c>
      <c r="AE170" s="84">
        <v>44673</v>
      </c>
      <c r="AF170" s="83">
        <v>44677</v>
      </c>
      <c r="AG170" s="33">
        <f>AF170-AE170</f>
        <v>4</v>
      </c>
      <c r="AH170" s="117" t="s">
        <v>2322</v>
      </c>
      <c r="AI170" s="63"/>
      <c r="AJ170" s="284"/>
      <c r="AK170" s="400"/>
      <c r="AM170" s="245"/>
      <c r="AN170" s="245"/>
    </row>
    <row r="171" spans="1:40">
      <c r="A171" s="347">
        <v>4.04</v>
      </c>
      <c r="B171" s="80">
        <v>-37</v>
      </c>
      <c r="C171" s="80">
        <v>-38</v>
      </c>
      <c r="D171" s="79">
        <v>86</v>
      </c>
      <c r="E171" s="79">
        <v>38</v>
      </c>
      <c r="F171" s="79">
        <v>27.02</v>
      </c>
      <c r="G171" s="79">
        <v>5474</v>
      </c>
      <c r="H171" s="145" t="s">
        <v>1146</v>
      </c>
      <c r="I171" s="16" t="s">
        <v>2228</v>
      </c>
      <c r="J171" s="8" t="s">
        <v>4720</v>
      </c>
      <c r="L171" s="156">
        <v>1</v>
      </c>
      <c r="M171" s="340">
        <v>0</v>
      </c>
      <c r="N171" s="240">
        <f t="shared" si="219"/>
        <v>1</v>
      </c>
      <c r="P171" s="365">
        <v>498</v>
      </c>
      <c r="Q171" s="79">
        <v>606</v>
      </c>
      <c r="R171" s="346">
        <v>913</v>
      </c>
      <c r="S171" s="81" t="s">
        <v>6289</v>
      </c>
      <c r="T171" s="327">
        <v>978</v>
      </c>
      <c r="U171" s="393">
        <v>5</v>
      </c>
      <c r="V171" s="310">
        <f t="shared" ref="V171" si="220">U171/X171</f>
        <v>4.2918454935622317E-2</v>
      </c>
      <c r="W171" s="94">
        <v>10.54</v>
      </c>
      <c r="X171" s="36">
        <v>116.5</v>
      </c>
      <c r="Y171" s="66">
        <v>114.5</v>
      </c>
      <c r="Z171" s="15">
        <f t="shared" ref="Z171" si="221">X171-Y171</f>
        <v>2</v>
      </c>
      <c r="AA171" s="63">
        <f t="shared" ref="AA171" si="222">Z171/Y171</f>
        <v>1.7467248908296942E-2</v>
      </c>
      <c r="AB171" s="344">
        <v>-39.340000000000003</v>
      </c>
      <c r="AC171" s="384">
        <v>45.57</v>
      </c>
      <c r="AD171" s="16" t="s">
        <v>2228</v>
      </c>
      <c r="AE171" s="84">
        <v>44677</v>
      </c>
      <c r="AF171" s="86">
        <v>44677</v>
      </c>
      <c r="AG171" s="33">
        <f t="shared" ref="AG171" si="223">AF171-AE171</f>
        <v>0</v>
      </c>
      <c r="AH171" s="43" t="s">
        <v>2435</v>
      </c>
      <c r="AI171" s="63"/>
      <c r="AJ171" s="284"/>
      <c r="AK171" s="400"/>
      <c r="AM171" s="245"/>
      <c r="AN171" s="245"/>
    </row>
    <row r="172" spans="1:40">
      <c r="A172" s="347">
        <v>4.4400000000000004</v>
      </c>
      <c r="B172" s="79">
        <v>249</v>
      </c>
      <c r="C172" s="79">
        <v>154</v>
      </c>
      <c r="D172" s="79">
        <v>19</v>
      </c>
      <c r="E172" s="79">
        <v>16</v>
      </c>
      <c r="F172" s="79">
        <v>16.510000000000002</v>
      </c>
      <c r="G172" s="79">
        <v>3675</v>
      </c>
      <c r="H172" s="183" t="s">
        <v>3039</v>
      </c>
      <c r="I172" s="16" t="s">
        <v>365</v>
      </c>
      <c r="J172" s="8" t="s">
        <v>3545</v>
      </c>
      <c r="L172" s="156">
        <v>1</v>
      </c>
      <c r="M172" s="340">
        <v>0</v>
      </c>
      <c r="N172" s="240">
        <f t="shared" si="219"/>
        <v>1</v>
      </c>
      <c r="P172" s="365">
        <v>326</v>
      </c>
      <c r="Q172" s="79">
        <v>365</v>
      </c>
      <c r="R172" s="346">
        <v>69</v>
      </c>
      <c r="S172" s="81">
        <v>3</v>
      </c>
      <c r="T172" s="327">
        <v>88</v>
      </c>
      <c r="U172" s="393">
        <v>5</v>
      </c>
      <c r="V172" s="310">
        <f>U172/X172</f>
        <v>1.6611295681063124E-2</v>
      </c>
      <c r="W172" s="94">
        <v>7.36</v>
      </c>
      <c r="X172" s="36">
        <v>301</v>
      </c>
      <c r="Y172" s="66">
        <v>294.5</v>
      </c>
      <c r="Z172" s="15">
        <f>X172-Y172</f>
        <v>6.5</v>
      </c>
      <c r="AA172" s="63">
        <f>Z172/Y172</f>
        <v>2.2071307300509338E-2</v>
      </c>
      <c r="AB172" s="344">
        <v>-16.489999999999998</v>
      </c>
      <c r="AC172" s="384">
        <v>59.28</v>
      </c>
      <c r="AD172" s="16" t="s">
        <v>365</v>
      </c>
      <c r="AE172" s="84">
        <v>44676</v>
      </c>
      <c r="AF172" s="86">
        <v>44676</v>
      </c>
      <c r="AG172" s="33">
        <f>AF172-AE172</f>
        <v>0</v>
      </c>
      <c r="AH172" s="43" t="s">
        <v>2940</v>
      </c>
      <c r="AI172" s="63"/>
      <c r="AJ172" s="284"/>
      <c r="AK172" s="400"/>
      <c r="AM172" s="245"/>
      <c r="AN172" s="245"/>
    </row>
    <row r="173" spans="1:40">
      <c r="A173" s="347">
        <v>4.04</v>
      </c>
      <c r="B173" s="80">
        <v>-37</v>
      </c>
      <c r="C173" s="80">
        <v>-38</v>
      </c>
      <c r="D173" s="79">
        <v>86</v>
      </c>
      <c r="E173" s="79">
        <v>38</v>
      </c>
      <c r="F173" s="79">
        <v>27.02</v>
      </c>
      <c r="G173" s="79">
        <v>5474</v>
      </c>
      <c r="H173" s="145" t="s">
        <v>1146</v>
      </c>
      <c r="I173" s="16" t="s">
        <v>2228</v>
      </c>
      <c r="J173" s="102" t="s">
        <v>3543</v>
      </c>
      <c r="L173" s="156">
        <v>1</v>
      </c>
      <c r="M173" s="340">
        <v>0</v>
      </c>
      <c r="N173" s="240">
        <f t="shared" si="219"/>
        <v>1</v>
      </c>
      <c r="P173" s="365">
        <v>498</v>
      </c>
      <c r="Q173" s="79">
        <v>606</v>
      </c>
      <c r="R173" s="346">
        <v>913</v>
      </c>
      <c r="S173" s="81" t="s">
        <v>6289</v>
      </c>
      <c r="T173" s="327">
        <v>978</v>
      </c>
      <c r="U173" s="393">
        <v>5</v>
      </c>
      <c r="V173" s="310">
        <f t="shared" ref="V173" si="224">U173/X173</f>
        <v>4.3859649122807015E-2</v>
      </c>
      <c r="W173" s="94">
        <v>10.54</v>
      </c>
      <c r="X173" s="36">
        <v>114</v>
      </c>
      <c r="Y173" s="66">
        <v>111</v>
      </c>
      <c r="Z173" s="15">
        <f t="shared" ref="Z173" si="225">X173-Y173</f>
        <v>3</v>
      </c>
      <c r="AA173" s="63">
        <f t="shared" ref="AA173" si="226">Z173/Y173</f>
        <v>2.7027027027027029E-2</v>
      </c>
      <c r="AB173" s="344">
        <v>-39.07</v>
      </c>
      <c r="AC173" s="384">
        <v>41.6</v>
      </c>
      <c r="AD173" s="16" t="s">
        <v>2228</v>
      </c>
      <c r="AE173" s="84">
        <v>44673</v>
      </c>
      <c r="AF173" s="86">
        <v>44673</v>
      </c>
      <c r="AG173" s="33">
        <f t="shared" ref="AG173" si="227">AF173-AE173</f>
        <v>0</v>
      </c>
      <c r="AH173" s="43" t="s">
        <v>2435</v>
      </c>
      <c r="AI173" s="63"/>
      <c r="AJ173" s="284"/>
      <c r="AK173" s="400"/>
      <c r="AM173" s="245"/>
      <c r="AN173" s="245"/>
    </row>
    <row r="174" spans="1:40">
      <c r="A174" s="347">
        <v>8.85</v>
      </c>
      <c r="B174" s="80">
        <v>-46</v>
      </c>
      <c r="C174" s="80">
        <v>-47</v>
      </c>
      <c r="D174" s="79">
        <v>32</v>
      </c>
      <c r="E174" s="80">
        <v>-44</v>
      </c>
      <c r="F174" s="79">
        <v>10.039999999999999</v>
      </c>
      <c r="G174" s="79">
        <v>4968</v>
      </c>
      <c r="H174" s="8" t="s">
        <v>3039</v>
      </c>
      <c r="I174" s="22" t="s">
        <v>350</v>
      </c>
      <c r="J174" s="8" t="s">
        <v>6245</v>
      </c>
      <c r="L174" s="156">
        <v>2</v>
      </c>
      <c r="M174" s="340">
        <v>0</v>
      </c>
      <c r="N174" s="240">
        <f t="shared" si="219"/>
        <v>2</v>
      </c>
      <c r="P174" s="365">
        <v>134</v>
      </c>
      <c r="Q174" s="79">
        <v>99</v>
      </c>
      <c r="R174" s="346">
        <v>171</v>
      </c>
      <c r="S174" s="81">
        <v>100</v>
      </c>
      <c r="T174" s="327">
        <v>283</v>
      </c>
      <c r="U174" s="393">
        <v>3.5</v>
      </c>
      <c r="V174" s="310">
        <f>U174/X174</f>
        <v>1.5909090909090907E-2</v>
      </c>
      <c r="W174" s="94">
        <v>6.14</v>
      </c>
      <c r="X174" s="36">
        <v>220</v>
      </c>
      <c r="Y174" s="66">
        <v>215.5</v>
      </c>
      <c r="Z174" s="15">
        <f>X174-Y174</f>
        <v>4.5</v>
      </c>
      <c r="AA174" s="63">
        <f>Z174/Y174</f>
        <v>2.0881670533642691E-2</v>
      </c>
      <c r="AB174" s="344">
        <v>-61.29</v>
      </c>
      <c r="AC174" s="384">
        <v>46.16</v>
      </c>
      <c r="AD174" s="22" t="s">
        <v>350</v>
      </c>
      <c r="AE174" s="84">
        <v>44673</v>
      </c>
      <c r="AF174" s="86">
        <v>44673</v>
      </c>
      <c r="AG174" s="33">
        <f>AF174-AE174</f>
        <v>0</v>
      </c>
      <c r="AH174" s="43" t="s">
        <v>2008</v>
      </c>
      <c r="AI174" s="63"/>
      <c r="AJ174" s="284"/>
      <c r="AK174" s="399"/>
      <c r="AM174" s="245"/>
      <c r="AN174" s="245"/>
    </row>
    <row r="175" spans="1:40">
      <c r="A175" s="347">
        <v>24.1</v>
      </c>
      <c r="B175" s="79">
        <v>28</v>
      </c>
      <c r="C175" s="79">
        <v>26</v>
      </c>
      <c r="D175" s="80">
        <v>-1</v>
      </c>
      <c r="E175" s="80">
        <v>-2</v>
      </c>
      <c r="F175" s="79">
        <v>11.69</v>
      </c>
      <c r="G175" s="80">
        <v>1477</v>
      </c>
      <c r="H175" s="5" t="s">
        <v>294</v>
      </c>
      <c r="I175" s="22" t="s">
        <v>3590</v>
      </c>
      <c r="J175" s="8" t="s">
        <v>3545</v>
      </c>
      <c r="L175" s="156">
        <v>1</v>
      </c>
      <c r="M175" s="340">
        <v>0</v>
      </c>
      <c r="N175" s="240">
        <f t="shared" si="219"/>
        <v>1</v>
      </c>
      <c r="P175" s="365">
        <v>1085</v>
      </c>
      <c r="Q175" s="79">
        <v>181</v>
      </c>
      <c r="R175" s="346">
        <v>237</v>
      </c>
      <c r="S175" s="81">
        <v>107</v>
      </c>
      <c r="T175" s="327">
        <v>538</v>
      </c>
      <c r="U175" s="393">
        <v>9.5</v>
      </c>
      <c r="V175" s="310">
        <f>U175/X175</f>
        <v>4.960835509138381E-2</v>
      </c>
      <c r="W175" s="94">
        <v>11.25</v>
      </c>
      <c r="X175" s="36">
        <v>191.5</v>
      </c>
      <c r="Y175" s="66">
        <v>186.5</v>
      </c>
      <c r="Z175" s="15">
        <f>X175-Y175</f>
        <v>5</v>
      </c>
      <c r="AA175" s="63">
        <f>Z175/Y175</f>
        <v>2.6809651474530832E-2</v>
      </c>
      <c r="AB175" s="344">
        <v>-34.65</v>
      </c>
      <c r="AC175" s="384">
        <v>21.31</v>
      </c>
      <c r="AD175" s="22" t="s">
        <v>3590</v>
      </c>
      <c r="AE175" s="84">
        <v>44673</v>
      </c>
      <c r="AF175" s="86">
        <v>44673</v>
      </c>
      <c r="AG175" s="33">
        <f>AF175-AE175</f>
        <v>0</v>
      </c>
      <c r="AH175" s="117" t="s">
        <v>3333</v>
      </c>
      <c r="AI175" s="63"/>
      <c r="AJ175" s="284"/>
      <c r="AK175" s="400"/>
      <c r="AM175" s="245"/>
      <c r="AN175" s="245"/>
    </row>
    <row r="176" spans="1:40">
      <c r="A176" s="347">
        <v>18.399999999999999</v>
      </c>
      <c r="B176" s="79">
        <v>60</v>
      </c>
      <c r="C176" s="79">
        <v>53</v>
      </c>
      <c r="D176" s="79">
        <v>9</v>
      </c>
      <c r="E176" s="80">
        <v>-19</v>
      </c>
      <c r="F176" s="79">
        <v>29.28</v>
      </c>
      <c r="G176" s="80">
        <v>2455</v>
      </c>
      <c r="H176" s="236" t="s">
        <v>4315</v>
      </c>
      <c r="I176" s="22" t="s">
        <v>4333</v>
      </c>
      <c r="J176" s="8" t="s">
        <v>6245</v>
      </c>
      <c r="L176" s="156">
        <v>2</v>
      </c>
      <c r="M176" s="340">
        <v>0</v>
      </c>
      <c r="N176" s="240">
        <f t="shared" si="219"/>
        <v>2</v>
      </c>
      <c r="P176" s="365">
        <v>182</v>
      </c>
      <c r="Q176" s="79">
        <v>82</v>
      </c>
      <c r="R176" s="346">
        <v>191</v>
      </c>
      <c r="S176" s="81">
        <v>209</v>
      </c>
      <c r="T176" s="327">
        <v>76</v>
      </c>
      <c r="U176" s="393">
        <v>4</v>
      </c>
      <c r="V176" s="310">
        <f>U176/X176</f>
        <v>4.1407867494824016E-2</v>
      </c>
      <c r="W176" s="94">
        <v>4.62</v>
      </c>
      <c r="X176" s="36">
        <v>96.6</v>
      </c>
      <c r="Y176" s="66">
        <v>94.3</v>
      </c>
      <c r="Z176" s="15">
        <f>X176-Y176</f>
        <v>2.2999999999999972</v>
      </c>
      <c r="AA176" s="63">
        <f>Z176/Y176</f>
        <v>2.4390243902438994E-2</v>
      </c>
      <c r="AB176" s="344">
        <v>-40.92</v>
      </c>
      <c r="AC176" s="384">
        <v>13.61</v>
      </c>
      <c r="AD176" s="22" t="s">
        <v>4333</v>
      </c>
      <c r="AE176" s="84">
        <v>44673</v>
      </c>
      <c r="AF176" s="86">
        <v>44673</v>
      </c>
      <c r="AG176" s="33">
        <f>AF176-AE176</f>
        <v>0</v>
      </c>
      <c r="AH176" s="117" t="s">
        <v>2325</v>
      </c>
      <c r="AI176" s="63"/>
      <c r="AJ176" s="284"/>
      <c r="AK176" s="400"/>
      <c r="AM176" s="245"/>
      <c r="AN176" s="245"/>
    </row>
    <row r="177" spans="1:40">
      <c r="A177" s="347">
        <v>35.299999999999997</v>
      </c>
      <c r="B177" s="79">
        <v>60</v>
      </c>
      <c r="C177" s="79">
        <v>47</v>
      </c>
      <c r="D177" s="79">
        <v>3</v>
      </c>
      <c r="E177" s="80">
        <v>-3</v>
      </c>
      <c r="F177" s="79">
        <v>10.199999999999999</v>
      </c>
      <c r="G177" s="79">
        <v>3017</v>
      </c>
      <c r="H177" s="193" t="s">
        <v>6246</v>
      </c>
      <c r="I177" s="22" t="s">
        <v>117</v>
      </c>
      <c r="J177" s="102" t="s">
        <v>3545</v>
      </c>
      <c r="L177" s="156">
        <v>1</v>
      </c>
      <c r="M177" s="340">
        <v>0</v>
      </c>
      <c r="N177" s="240">
        <f t="shared" ref="N177" si="228">L177-M177</f>
        <v>1</v>
      </c>
      <c r="P177" s="365">
        <v>482</v>
      </c>
      <c r="Q177" s="79">
        <v>384</v>
      </c>
      <c r="R177" s="346">
        <v>126</v>
      </c>
      <c r="S177" s="81">
        <v>7</v>
      </c>
      <c r="T177" s="327">
        <v>48</v>
      </c>
      <c r="U177" s="393">
        <v>4.3</v>
      </c>
      <c r="V177" s="310">
        <f t="shared" ref="V177" si="229">U177/X177</f>
        <v>3.8392857142857138E-2</v>
      </c>
      <c r="W177" s="94">
        <v>8.2100000000000009</v>
      </c>
      <c r="X177" s="36">
        <v>112</v>
      </c>
      <c r="Y177" s="66">
        <v>109.5</v>
      </c>
      <c r="Z177" s="15">
        <f t="shared" ref="Z177" si="230">X177-Y177</f>
        <v>2.5</v>
      </c>
      <c r="AA177" s="63">
        <f t="shared" ref="AA177" si="231">Z177/Y177</f>
        <v>2.2831050228310501E-2</v>
      </c>
      <c r="AB177" s="344">
        <v>-15.69</v>
      </c>
      <c r="AC177" s="384">
        <v>39.36</v>
      </c>
      <c r="AD177" s="22" t="s">
        <v>117</v>
      </c>
      <c r="AE177" s="84">
        <v>44672</v>
      </c>
      <c r="AF177" s="86">
        <v>44672</v>
      </c>
      <c r="AG177" s="33">
        <f t="shared" ref="AG177" si="232">AF177-AE177</f>
        <v>0</v>
      </c>
      <c r="AH177" s="43" t="s">
        <v>2927</v>
      </c>
      <c r="AI177" s="63"/>
      <c r="AJ177" s="284"/>
      <c r="AK177" s="400"/>
      <c r="AM177" s="245"/>
      <c r="AN177" s="245"/>
    </row>
    <row r="178" spans="1:40">
      <c r="A178" s="347">
        <v>27.1</v>
      </c>
      <c r="B178" s="79">
        <v>8</v>
      </c>
      <c r="C178" s="79">
        <v>25</v>
      </c>
      <c r="D178" s="79">
        <v>33</v>
      </c>
      <c r="E178" s="79">
        <v>6</v>
      </c>
      <c r="F178" s="79">
        <v>28.8</v>
      </c>
      <c r="G178" s="79">
        <v>3374</v>
      </c>
      <c r="H178" s="145" t="s">
        <v>3039</v>
      </c>
      <c r="I178" s="16" t="s">
        <v>167</v>
      </c>
      <c r="J178" s="8" t="s">
        <v>6245</v>
      </c>
      <c r="L178" s="156">
        <v>2</v>
      </c>
      <c r="M178" s="340">
        <v>0</v>
      </c>
      <c r="N178" s="240">
        <f>L178-M178</f>
        <v>2</v>
      </c>
      <c r="P178" s="365">
        <v>299</v>
      </c>
      <c r="Q178" s="79">
        <v>198</v>
      </c>
      <c r="R178" s="346">
        <v>701</v>
      </c>
      <c r="S178" s="81">
        <v>73</v>
      </c>
      <c r="T178" s="327">
        <v>318</v>
      </c>
      <c r="U178" s="393">
        <v>3</v>
      </c>
      <c r="V178" s="310">
        <f>U178/X178</f>
        <v>2.2222222222222223E-2</v>
      </c>
      <c r="W178" s="94">
        <v>6.92</v>
      </c>
      <c r="X178" s="36">
        <v>135</v>
      </c>
      <c r="Y178" s="66">
        <v>132</v>
      </c>
      <c r="Z178" s="15">
        <f>X178-Y178</f>
        <v>3</v>
      </c>
      <c r="AA178" s="63">
        <f>Z178/Y178</f>
        <v>2.2727272727272728E-2</v>
      </c>
      <c r="AB178" s="344">
        <v>-32.21</v>
      </c>
      <c r="AC178" s="384">
        <v>46.68</v>
      </c>
      <c r="AD178" s="16" t="s">
        <v>167</v>
      </c>
      <c r="AE178" s="84">
        <v>44672</v>
      </c>
      <c r="AF178" s="86">
        <v>44672</v>
      </c>
      <c r="AG178" s="33">
        <f>AF178-AE178</f>
        <v>0</v>
      </c>
      <c r="AH178" s="117" t="s">
        <v>2322</v>
      </c>
      <c r="AI178" s="63"/>
      <c r="AJ178" s="284"/>
      <c r="AK178" s="400"/>
      <c r="AM178" s="245"/>
      <c r="AN178" s="245"/>
    </row>
    <row r="179" spans="1:40">
      <c r="A179" s="347">
        <v>9.0299999999999994</v>
      </c>
      <c r="B179" s="79">
        <v>73</v>
      </c>
      <c r="C179" s="79">
        <v>79</v>
      </c>
      <c r="D179" s="79">
        <v>8</v>
      </c>
      <c r="E179" s="79">
        <v>75</v>
      </c>
      <c r="F179" s="79">
        <v>21.07</v>
      </c>
      <c r="G179" s="80">
        <v>6104</v>
      </c>
      <c r="H179" s="183" t="s">
        <v>3039</v>
      </c>
      <c r="I179" s="16" t="s">
        <v>372</v>
      </c>
      <c r="J179" s="50" t="s">
        <v>6214</v>
      </c>
      <c r="L179" s="156">
        <v>4</v>
      </c>
      <c r="M179" s="340">
        <v>0</v>
      </c>
      <c r="N179" s="240">
        <f>L179-M179</f>
        <v>4</v>
      </c>
      <c r="P179" s="365">
        <v>20</v>
      </c>
      <c r="Q179" s="79">
        <v>122</v>
      </c>
      <c r="R179" s="346">
        <v>571</v>
      </c>
      <c r="S179" s="81">
        <v>14</v>
      </c>
      <c r="T179" s="327">
        <v>4</v>
      </c>
      <c r="U179" s="393">
        <v>4.5</v>
      </c>
      <c r="V179" s="310">
        <f>U179/X179</f>
        <v>1.9313304721030045E-2</v>
      </c>
      <c r="W179" s="94">
        <v>6.41</v>
      </c>
      <c r="X179" s="36">
        <v>233</v>
      </c>
      <c r="Y179" s="66">
        <v>227.5</v>
      </c>
      <c r="Z179" s="15">
        <f>X179-Y179</f>
        <v>5.5</v>
      </c>
      <c r="AA179" s="63">
        <f>Z179/Y179</f>
        <v>2.4175824175824177E-2</v>
      </c>
      <c r="AB179" s="344">
        <v>-31.33</v>
      </c>
      <c r="AC179" s="384">
        <v>34.35</v>
      </c>
      <c r="AD179" s="16" t="s">
        <v>372</v>
      </c>
      <c r="AE179" s="84">
        <v>44672</v>
      </c>
      <c r="AF179" s="86">
        <v>44672</v>
      </c>
      <c r="AG179" s="33">
        <f>AF179-AE179</f>
        <v>0</v>
      </c>
      <c r="AH179" s="43" t="s">
        <v>3046</v>
      </c>
      <c r="AI179" s="63"/>
      <c r="AJ179" s="284"/>
      <c r="AK179" s="289"/>
      <c r="AM179" s="245"/>
      <c r="AN179" s="245"/>
    </row>
    <row r="180" spans="1:40">
      <c r="A180" s="347">
        <v>84.5</v>
      </c>
      <c r="B180" s="79">
        <v>456</v>
      </c>
      <c r="C180" s="79">
        <v>649</v>
      </c>
      <c r="D180" s="79">
        <v>51</v>
      </c>
      <c r="E180" s="79">
        <v>24</v>
      </c>
      <c r="F180" s="79">
        <v>27.18</v>
      </c>
      <c r="G180" s="79">
        <v>2606</v>
      </c>
      <c r="H180" s="8" t="s">
        <v>302</v>
      </c>
      <c r="I180" s="22" t="s">
        <v>4619</v>
      </c>
      <c r="J180" s="8" t="s">
        <v>6211</v>
      </c>
      <c r="L180" s="156">
        <v>3</v>
      </c>
      <c r="M180" s="340">
        <v>1</v>
      </c>
      <c r="N180" s="240">
        <f t="shared" ref="N180" si="233">L180-M180</f>
        <v>2</v>
      </c>
      <c r="P180" s="365">
        <v>629</v>
      </c>
      <c r="Q180" s="79">
        <v>163</v>
      </c>
      <c r="R180" s="346">
        <v>454</v>
      </c>
      <c r="S180" s="81">
        <v>27</v>
      </c>
      <c r="T180" s="327">
        <v>101</v>
      </c>
      <c r="U180" s="393">
        <v>3</v>
      </c>
      <c r="V180" s="310">
        <f t="shared" ref="V180" si="234">U180/X180</f>
        <v>4.405286343612335E-2</v>
      </c>
      <c r="W180" s="94">
        <v>5.79</v>
      </c>
      <c r="X180" s="36">
        <v>68.099999999999994</v>
      </c>
      <c r="Y180" s="66">
        <v>66.400000000000006</v>
      </c>
      <c r="Z180" s="15">
        <f t="shared" ref="Z180" si="235">X180-Y180</f>
        <v>1.6999999999999886</v>
      </c>
      <c r="AA180" s="63">
        <f t="shared" ref="AA180" si="236">Z180/Y180</f>
        <v>2.5602409638554043E-2</v>
      </c>
      <c r="AB180" s="344">
        <v>-32.78</v>
      </c>
      <c r="AC180" s="384">
        <v>58.29</v>
      </c>
      <c r="AD180" s="22" t="s">
        <v>4619</v>
      </c>
      <c r="AE180" s="84">
        <v>44671</v>
      </c>
      <c r="AF180" s="86">
        <v>44671</v>
      </c>
      <c r="AG180" s="33">
        <f t="shared" ref="AG180" si="237">AF180-AE180</f>
        <v>0</v>
      </c>
      <c r="AH180" s="117" t="s">
        <v>3267</v>
      </c>
      <c r="AI180" s="63"/>
      <c r="AJ180" s="284"/>
      <c r="AK180" s="400"/>
      <c r="AM180" s="245"/>
      <c r="AN180" s="245"/>
    </row>
    <row r="181" spans="1:40">
      <c r="A181" s="347">
        <v>44.5</v>
      </c>
      <c r="B181" s="79">
        <v>116</v>
      </c>
      <c r="C181" s="79">
        <v>119</v>
      </c>
      <c r="D181" s="79">
        <v>16</v>
      </c>
      <c r="E181" s="79">
        <v>66</v>
      </c>
      <c r="F181" s="79">
        <v>0.92</v>
      </c>
      <c r="G181" s="79">
        <v>6443</v>
      </c>
      <c r="H181" s="8" t="s">
        <v>1878</v>
      </c>
      <c r="I181" s="22" t="s">
        <v>4288</v>
      </c>
      <c r="J181" s="50" t="s">
        <v>6214</v>
      </c>
      <c r="L181" s="156">
        <v>5</v>
      </c>
      <c r="M181" s="340">
        <v>0</v>
      </c>
      <c r="N181" s="240">
        <f t="shared" ref="N181:N182" si="238">L181-M181</f>
        <v>5</v>
      </c>
      <c r="P181" s="365">
        <v>100</v>
      </c>
      <c r="Q181" s="79">
        <v>231</v>
      </c>
      <c r="R181" s="346">
        <v>295</v>
      </c>
      <c r="S181" s="81">
        <v>17</v>
      </c>
      <c r="T181" s="327">
        <v>144</v>
      </c>
      <c r="U181" s="393">
        <v>0</v>
      </c>
      <c r="V181" s="310">
        <f t="shared" ref="V181" si="239">U181/X181</f>
        <v>0</v>
      </c>
      <c r="W181" s="94">
        <v>0.1</v>
      </c>
      <c r="X181" s="36">
        <v>46.65</v>
      </c>
      <c r="Y181" s="66">
        <v>45.5</v>
      </c>
      <c r="Z181" s="15">
        <f t="shared" ref="Z181" si="240">X181-Y181</f>
        <v>1.1499999999999986</v>
      </c>
      <c r="AA181" s="63">
        <f t="shared" ref="AA181" si="241">Z181/Y181</f>
        <v>2.5274725274725244E-2</v>
      </c>
      <c r="AB181" s="344">
        <v>-5.85</v>
      </c>
      <c r="AC181" s="384">
        <v>73.900000000000006</v>
      </c>
      <c r="AD181" s="22" t="s">
        <v>4288</v>
      </c>
      <c r="AE181" s="84">
        <v>44669</v>
      </c>
      <c r="AF181" s="86">
        <v>44669</v>
      </c>
      <c r="AG181" s="33">
        <f t="shared" ref="AG181" si="242">AF181-AE181</f>
        <v>0</v>
      </c>
      <c r="AH181" s="43" t="s">
        <v>4289</v>
      </c>
      <c r="AI181" s="63"/>
      <c r="AJ181" s="317"/>
      <c r="AK181" s="400"/>
      <c r="AM181" s="245"/>
      <c r="AN181" s="245"/>
    </row>
    <row r="182" spans="1:40">
      <c r="A182" s="347">
        <v>4.18</v>
      </c>
      <c r="B182" s="79">
        <v>40</v>
      </c>
      <c r="C182" s="79">
        <v>35</v>
      </c>
      <c r="D182" s="79">
        <v>113</v>
      </c>
      <c r="E182" s="80">
        <v>-19</v>
      </c>
      <c r="F182" s="79">
        <v>47.66</v>
      </c>
      <c r="G182" s="79">
        <v>4171</v>
      </c>
      <c r="H182" s="8" t="s">
        <v>1038</v>
      </c>
      <c r="I182" s="16" t="s">
        <v>1039</v>
      </c>
      <c r="J182" s="8" t="s">
        <v>6175</v>
      </c>
      <c r="L182" s="156">
        <v>2</v>
      </c>
      <c r="M182" s="340">
        <v>0</v>
      </c>
      <c r="N182" s="240">
        <f t="shared" si="238"/>
        <v>2</v>
      </c>
      <c r="P182" s="365">
        <v>37</v>
      </c>
      <c r="Q182" s="79">
        <v>138</v>
      </c>
      <c r="R182" s="346">
        <v>262</v>
      </c>
      <c r="S182" s="81" t="s">
        <v>6289</v>
      </c>
      <c r="T182" s="327">
        <v>659</v>
      </c>
      <c r="U182" s="393">
        <v>6</v>
      </c>
      <c r="V182" s="310">
        <f>U182/X182</f>
        <v>3.8338658146964855E-2</v>
      </c>
      <c r="W182" s="94">
        <v>9.14</v>
      </c>
      <c r="X182" s="36">
        <v>156.5</v>
      </c>
      <c r="Y182" s="66">
        <v>152.5</v>
      </c>
      <c r="Z182" s="15">
        <f>X182-Y182</f>
        <v>4</v>
      </c>
      <c r="AA182" s="63">
        <f>Z182/Y182</f>
        <v>2.6229508196721311E-2</v>
      </c>
      <c r="AB182" s="344">
        <v>-19.829999999999998</v>
      </c>
      <c r="AC182" s="384">
        <v>64.540000000000006</v>
      </c>
      <c r="AD182" s="16" t="s">
        <v>1039</v>
      </c>
      <c r="AE182" s="84">
        <v>44669</v>
      </c>
      <c r="AF182" s="86">
        <v>44669</v>
      </c>
      <c r="AG182" s="33">
        <f>AF182-AE182</f>
        <v>0</v>
      </c>
      <c r="AH182" s="43" t="s">
        <v>2703</v>
      </c>
      <c r="AI182" s="63"/>
      <c r="AJ182" s="284"/>
      <c r="AK182" s="400"/>
      <c r="AM182" s="245"/>
      <c r="AN182" s="245"/>
    </row>
    <row r="183" spans="1:40" s="248" customFormat="1">
      <c r="A183" s="91"/>
      <c r="B183" s="79"/>
      <c r="C183" s="79"/>
      <c r="D183" s="79"/>
      <c r="E183" s="79"/>
      <c r="F183" s="79"/>
      <c r="G183" s="41"/>
      <c r="H183" s="8"/>
      <c r="I183" s="153"/>
      <c r="J183" s="1"/>
      <c r="K183" s="361"/>
      <c r="L183" s="163"/>
      <c r="O183" s="245"/>
      <c r="P183" s="365"/>
      <c r="Q183" s="47"/>
      <c r="R183" s="346"/>
      <c r="S183" s="283"/>
      <c r="T183" s="322"/>
      <c r="U183" s="392"/>
      <c r="V183" s="308"/>
      <c r="W183" s="94"/>
      <c r="X183" s="307">
        <f>SUM(X152:X182)</f>
        <v>5786.4500000000007</v>
      </c>
      <c r="Y183" s="296">
        <f>SUM(Y152:Y182)</f>
        <v>5658.25</v>
      </c>
      <c r="Z183" s="162">
        <f t="shared" ref="Z183" si="243">X183-Y183</f>
        <v>128.20000000000073</v>
      </c>
      <c r="AA183" s="158">
        <f t="shared" ref="AA183" si="244">Z183/Y183</f>
        <v>2.2657181990898376E-2</v>
      </c>
      <c r="AB183" s="100"/>
      <c r="AC183" s="382"/>
      <c r="AD183" s="227">
        <f>X183*(0.001425*0.5)+X183*0.003+Y183*(0.001425*0.5)</f>
        <v>25.513698750000003</v>
      </c>
      <c r="AE183" s="6">
        <f>Z183-AD183</f>
        <v>102.68630125000072</v>
      </c>
      <c r="AF183" s="83"/>
      <c r="AG183" s="33"/>
      <c r="AH183" s="46" t="s">
        <v>6225</v>
      </c>
    </row>
    <row r="184" spans="1:40">
      <c r="B184" s="90"/>
      <c r="C184" s="90"/>
      <c r="D184" s="90"/>
      <c r="E184" s="90"/>
      <c r="F184" s="348"/>
      <c r="G184" s="26"/>
      <c r="H184" s="55"/>
      <c r="I184" s="50"/>
      <c r="J184" s="8"/>
      <c r="L184" s="337"/>
      <c r="M184" s="338"/>
      <c r="N184" s="339"/>
      <c r="P184" s="365"/>
      <c r="Q184" s="47"/>
      <c r="R184" s="346"/>
      <c r="T184" s="321"/>
      <c r="U184" s="29"/>
      <c r="V184" s="308"/>
      <c r="W184" s="68"/>
      <c r="X184" s="28"/>
      <c r="Y184" s="17"/>
      <c r="Z184" s="14"/>
      <c r="AA184" s="21"/>
      <c r="AB184" s="351"/>
      <c r="AD184" s="50"/>
      <c r="AE184" s="71"/>
      <c r="AF184" s="72"/>
      <c r="AG184" s="32"/>
      <c r="AH184" s="232"/>
      <c r="AI184" s="8"/>
      <c r="AJ184" s="50"/>
      <c r="AM184" s="123"/>
      <c r="AN184" s="234"/>
    </row>
    <row r="185" spans="1:40">
      <c r="A185" s="347">
        <v>23.1</v>
      </c>
      <c r="B185" s="79">
        <v>77</v>
      </c>
      <c r="C185" s="79">
        <v>55</v>
      </c>
      <c r="D185" s="80">
        <v>-23</v>
      </c>
      <c r="E185" s="79">
        <v>2</v>
      </c>
      <c r="F185" s="79">
        <v>17.600000000000001</v>
      </c>
      <c r="G185" s="79">
        <v>9958</v>
      </c>
      <c r="H185" s="8" t="s">
        <v>299</v>
      </c>
      <c r="I185" s="22" t="s">
        <v>3988</v>
      </c>
      <c r="J185" s="50" t="s">
        <v>6214</v>
      </c>
      <c r="L185" s="156">
        <v>5</v>
      </c>
      <c r="M185" s="340">
        <v>0</v>
      </c>
      <c r="N185" s="240">
        <f>L185-M185</f>
        <v>5</v>
      </c>
      <c r="P185" s="365">
        <v>181</v>
      </c>
      <c r="Q185" s="79">
        <v>553</v>
      </c>
      <c r="R185" s="346">
        <v>501</v>
      </c>
      <c r="S185" s="81">
        <v>60</v>
      </c>
      <c r="T185" s="327">
        <v>446</v>
      </c>
      <c r="U185" s="393">
        <v>3</v>
      </c>
      <c r="V185" s="310">
        <f>U185/X185</f>
        <v>2.3529411764705882E-2</v>
      </c>
      <c r="W185" s="94">
        <v>5.46</v>
      </c>
      <c r="X185" s="36">
        <v>127.5</v>
      </c>
      <c r="Y185" s="66">
        <v>124.5</v>
      </c>
      <c r="Z185" s="15">
        <f>X185-Y185</f>
        <v>3</v>
      </c>
      <c r="AA185" s="63">
        <f>Z185/Y185</f>
        <v>2.4096385542168676E-2</v>
      </c>
      <c r="AB185" s="344">
        <v>-13.89</v>
      </c>
      <c r="AD185" s="22" t="s">
        <v>3988</v>
      </c>
      <c r="AE185" s="84">
        <v>44666</v>
      </c>
      <c r="AF185" s="86">
        <v>44666</v>
      </c>
      <c r="AG185" s="33">
        <f>AF185-AE185</f>
        <v>0</v>
      </c>
      <c r="AH185" s="43" t="s">
        <v>3989</v>
      </c>
      <c r="AI185" s="63"/>
      <c r="AJ185" s="284"/>
      <c r="AK185" s="400"/>
      <c r="AM185" s="245"/>
      <c r="AN185" s="245"/>
    </row>
    <row r="186" spans="1:40">
      <c r="A186" s="347">
        <v>32.1</v>
      </c>
      <c r="B186" s="79">
        <v>227</v>
      </c>
      <c r="C186" s="79">
        <v>461</v>
      </c>
      <c r="D186" s="79">
        <v>62</v>
      </c>
      <c r="E186" s="79">
        <v>89</v>
      </c>
      <c r="F186" s="79">
        <v>17.739999999999998</v>
      </c>
      <c r="G186" s="79">
        <v>2031</v>
      </c>
      <c r="H186" s="8" t="s">
        <v>299</v>
      </c>
      <c r="I186" s="22" t="s">
        <v>3947</v>
      </c>
      <c r="J186" s="50" t="s">
        <v>6214</v>
      </c>
      <c r="L186" s="156">
        <v>5</v>
      </c>
      <c r="M186" s="340">
        <v>0</v>
      </c>
      <c r="N186" s="240">
        <f>L186-M186</f>
        <v>5</v>
      </c>
      <c r="P186" s="365">
        <v>348</v>
      </c>
      <c r="Q186" s="79">
        <v>332</v>
      </c>
      <c r="R186" s="346">
        <v>471</v>
      </c>
      <c r="S186" s="81">
        <v>77</v>
      </c>
      <c r="T186" s="327">
        <v>433</v>
      </c>
      <c r="U186" s="393">
        <v>4</v>
      </c>
      <c r="V186" s="310">
        <f>U186/X186</f>
        <v>5.2151238591916553E-2</v>
      </c>
      <c r="W186" s="94">
        <v>8.66</v>
      </c>
      <c r="X186" s="36">
        <v>76.7</v>
      </c>
      <c r="Y186" s="66">
        <v>74.900000000000006</v>
      </c>
      <c r="Z186" s="15">
        <f>X186-Y186</f>
        <v>1.7999999999999972</v>
      </c>
      <c r="AA186" s="63">
        <f>Z186/Y186</f>
        <v>2.4032042723631467E-2</v>
      </c>
      <c r="AB186" s="344">
        <v>-20.93</v>
      </c>
      <c r="AD186" s="22" t="s">
        <v>3947</v>
      </c>
      <c r="AE186" s="84">
        <v>44666</v>
      </c>
      <c r="AF186" s="86">
        <v>44666</v>
      </c>
      <c r="AG186" s="33">
        <f>AF186-AE186</f>
        <v>0</v>
      </c>
      <c r="AH186" s="43" t="s">
        <v>3948</v>
      </c>
      <c r="AI186" s="63"/>
      <c r="AJ186" s="284"/>
      <c r="AK186" s="400"/>
      <c r="AM186" s="245"/>
      <c r="AN186" s="245"/>
    </row>
    <row r="187" spans="1:40">
      <c r="A187" s="347">
        <v>12.1</v>
      </c>
      <c r="B187" s="79">
        <v>140</v>
      </c>
      <c r="C187" s="79">
        <v>151</v>
      </c>
      <c r="D187" s="79">
        <v>30</v>
      </c>
      <c r="E187" s="79">
        <v>53</v>
      </c>
      <c r="F187" s="79">
        <v>13.68</v>
      </c>
      <c r="G187" s="79">
        <v>8183</v>
      </c>
      <c r="H187" s="8" t="s">
        <v>314</v>
      </c>
      <c r="I187" s="16" t="s">
        <v>239</v>
      </c>
      <c r="J187" s="50" t="s">
        <v>6214</v>
      </c>
      <c r="L187" s="156">
        <v>6</v>
      </c>
      <c r="M187" s="340">
        <v>0</v>
      </c>
      <c r="N187" s="240">
        <f t="shared" ref="N187" si="245">L187-M187</f>
        <v>6</v>
      </c>
      <c r="P187" s="365">
        <v>97</v>
      </c>
      <c r="Q187" s="79">
        <v>255</v>
      </c>
      <c r="R187" s="346">
        <v>1241</v>
      </c>
      <c r="S187" s="81">
        <v>69</v>
      </c>
      <c r="T187" s="327">
        <v>211</v>
      </c>
      <c r="U187" s="393"/>
      <c r="V187" s="310">
        <f t="shared" ref="V187" si="246">U187/X187</f>
        <v>0</v>
      </c>
      <c r="W187" s="94">
        <v>4.16</v>
      </c>
      <c r="X187" s="36">
        <v>76.7</v>
      </c>
      <c r="Y187" s="66">
        <v>74.900000000000006</v>
      </c>
      <c r="Z187" s="15">
        <f t="shared" ref="Z187" si="247">X187-Y187</f>
        <v>1.7999999999999972</v>
      </c>
      <c r="AA187" s="63">
        <f t="shared" ref="AA187" si="248">Z187/Y187</f>
        <v>2.4032042723631467E-2</v>
      </c>
      <c r="AB187" s="344">
        <v>-3.16</v>
      </c>
      <c r="AD187" s="16" t="s">
        <v>239</v>
      </c>
      <c r="AE187" s="84">
        <v>44665</v>
      </c>
      <c r="AF187" s="86">
        <v>44665</v>
      </c>
      <c r="AG187" s="33">
        <f t="shared" ref="AG187" si="249">AF187-AE187</f>
        <v>0</v>
      </c>
      <c r="AH187" s="117" t="s">
        <v>2328</v>
      </c>
      <c r="AI187" s="63"/>
      <c r="AJ187" s="284"/>
      <c r="AK187" s="400"/>
      <c r="AM187" s="245"/>
      <c r="AN187" s="245"/>
    </row>
    <row r="188" spans="1:40">
      <c r="A188" s="347">
        <v>12.2</v>
      </c>
      <c r="B188" s="79">
        <v>26</v>
      </c>
      <c r="C188" s="79">
        <v>52</v>
      </c>
      <c r="D188" s="79">
        <v>36</v>
      </c>
      <c r="E188" s="79">
        <v>40</v>
      </c>
      <c r="F188" s="79">
        <v>19.43</v>
      </c>
      <c r="G188" s="79">
        <v>3653</v>
      </c>
      <c r="H188" s="236" t="s">
        <v>308</v>
      </c>
      <c r="I188" s="22" t="s">
        <v>392</v>
      </c>
      <c r="J188" s="102" t="s">
        <v>3543</v>
      </c>
      <c r="L188" s="156">
        <v>1</v>
      </c>
      <c r="M188" s="340">
        <v>0</v>
      </c>
      <c r="N188" s="240">
        <f>L188-M188</f>
        <v>1</v>
      </c>
      <c r="P188" s="365">
        <v>911</v>
      </c>
      <c r="Q188" s="79">
        <v>393</v>
      </c>
      <c r="R188" s="346">
        <v>472</v>
      </c>
      <c r="S188" s="81">
        <v>5</v>
      </c>
      <c r="T188" s="327">
        <v>57</v>
      </c>
      <c r="U188" s="393">
        <v>7</v>
      </c>
      <c r="V188" s="310">
        <f>U188/X188</f>
        <v>1.7478152309612985E-2</v>
      </c>
      <c r="W188" s="94">
        <v>6.82</v>
      </c>
      <c r="X188" s="36">
        <v>400.5</v>
      </c>
      <c r="Y188" s="66">
        <v>389.5</v>
      </c>
      <c r="Z188" s="15">
        <f>X188-Y188</f>
        <v>11</v>
      </c>
      <c r="AA188" s="63">
        <f>Z188/Y188</f>
        <v>2.8241335044929396E-2</v>
      </c>
      <c r="AB188" s="344">
        <v>-15.18</v>
      </c>
      <c r="AD188" s="22" t="s">
        <v>392</v>
      </c>
      <c r="AE188" s="84">
        <v>44663</v>
      </c>
      <c r="AF188" s="83">
        <v>44664</v>
      </c>
      <c r="AG188" s="33">
        <f>AF188-AE188</f>
        <v>1</v>
      </c>
      <c r="AH188" s="43" t="s">
        <v>2402</v>
      </c>
      <c r="AI188" s="156"/>
      <c r="AJ188" s="340"/>
      <c r="AK188" s="239"/>
      <c r="AM188" s="245"/>
      <c r="AN188" s="245"/>
    </row>
    <row r="189" spans="1:40">
      <c r="A189" s="347">
        <v>24.8</v>
      </c>
      <c r="B189" s="80">
        <v>-15</v>
      </c>
      <c r="C189" s="79">
        <v>19</v>
      </c>
      <c r="D189" s="80">
        <v>-35</v>
      </c>
      <c r="E189" s="79">
        <v>1</v>
      </c>
      <c r="F189" s="79">
        <v>25.15</v>
      </c>
      <c r="G189" s="79">
        <v>4105</v>
      </c>
      <c r="H189" s="8" t="s">
        <v>309</v>
      </c>
      <c r="I189" s="16" t="s">
        <v>3721</v>
      </c>
      <c r="J189" s="102" t="s">
        <v>3543</v>
      </c>
      <c r="L189" s="156">
        <v>2</v>
      </c>
      <c r="M189" s="340">
        <v>0</v>
      </c>
      <c r="N189" s="240">
        <f>L189-M189</f>
        <v>2</v>
      </c>
      <c r="P189" s="365">
        <v>866</v>
      </c>
      <c r="Q189" s="79">
        <v>541</v>
      </c>
      <c r="R189" s="346">
        <v>361</v>
      </c>
      <c r="S189" s="81">
        <v>180</v>
      </c>
      <c r="T189" s="327">
        <v>638</v>
      </c>
      <c r="U189" s="393">
        <v>3</v>
      </c>
      <c r="V189" s="310">
        <f t="shared" ref="V189" si="250">U189/X189</f>
        <v>4.2253521126760563E-2</v>
      </c>
      <c r="W189" s="94">
        <v>3.02</v>
      </c>
      <c r="X189" s="36">
        <v>71</v>
      </c>
      <c r="Y189" s="66">
        <v>69.3</v>
      </c>
      <c r="Z189" s="15">
        <f t="shared" ref="Z189" si="251">X189-Y189</f>
        <v>1.7000000000000028</v>
      </c>
      <c r="AA189" s="63">
        <f t="shared" ref="AA189" si="252">Z189/Y189</f>
        <v>2.4531024531024574E-2</v>
      </c>
      <c r="AB189" s="344">
        <v>-28.72</v>
      </c>
      <c r="AD189" s="16" t="s">
        <v>3721</v>
      </c>
      <c r="AE189" s="84">
        <v>44658</v>
      </c>
      <c r="AF189" s="83">
        <v>44664</v>
      </c>
      <c r="AG189" s="33">
        <f t="shared" ref="AG189" si="253">AF189-AE189</f>
        <v>6</v>
      </c>
      <c r="AH189" s="117" t="s">
        <v>3722</v>
      </c>
      <c r="AI189" s="156"/>
      <c r="AJ189" s="340"/>
      <c r="AK189" s="239"/>
      <c r="AM189" s="245"/>
      <c r="AN189" s="245"/>
    </row>
    <row r="190" spans="1:40">
      <c r="A190" s="347">
        <v>3.44</v>
      </c>
      <c r="B190" s="79">
        <v>30</v>
      </c>
      <c r="C190" s="79">
        <v>30</v>
      </c>
      <c r="D190" s="79">
        <v>29</v>
      </c>
      <c r="E190" s="79">
        <v>66</v>
      </c>
      <c r="F190" s="79">
        <v>45.42</v>
      </c>
      <c r="G190" s="79">
        <v>5274</v>
      </c>
      <c r="H190" s="183" t="s">
        <v>3039</v>
      </c>
      <c r="I190" s="16" t="s">
        <v>217</v>
      </c>
      <c r="J190" s="102" t="s">
        <v>3545</v>
      </c>
      <c r="L190" s="2">
        <v>1</v>
      </c>
      <c r="M190" s="340">
        <v>0</v>
      </c>
      <c r="N190" s="240">
        <f>L190-M190</f>
        <v>1</v>
      </c>
      <c r="P190" s="365">
        <v>1167</v>
      </c>
      <c r="Q190" s="79">
        <v>577</v>
      </c>
      <c r="R190" s="346">
        <v>47</v>
      </c>
      <c r="S190" s="81">
        <v>28</v>
      </c>
      <c r="T190" s="327">
        <v>405</v>
      </c>
      <c r="U190" s="393">
        <v>36</v>
      </c>
      <c r="V190" s="310">
        <f>U190/X190</f>
        <v>1.1410459587955626E-2</v>
      </c>
      <c r="W190" s="94">
        <v>38.32</v>
      </c>
      <c r="X190" s="372">
        <v>3155</v>
      </c>
      <c r="Y190" s="66">
        <v>3085</v>
      </c>
      <c r="Z190" s="137">
        <f>X190-Y190</f>
        <v>70</v>
      </c>
      <c r="AA190" s="63">
        <f>Z190/Y190</f>
        <v>2.2690437601296597E-2</v>
      </c>
      <c r="AB190" s="344">
        <v>-17.55</v>
      </c>
      <c r="AD190" s="16" t="s">
        <v>217</v>
      </c>
      <c r="AE190" s="84">
        <v>44664</v>
      </c>
      <c r="AF190" s="86">
        <v>44664</v>
      </c>
      <c r="AG190" s="33">
        <f>AF190-AE190</f>
        <v>0</v>
      </c>
      <c r="AH190" s="117" t="s">
        <v>2358</v>
      </c>
      <c r="AI190" s="63"/>
      <c r="AJ190" s="284"/>
      <c r="AK190" s="400"/>
      <c r="AM190" s="245"/>
      <c r="AN190" s="245"/>
    </row>
    <row r="191" spans="1:40">
      <c r="A191" s="347">
        <v>10.199999999999999</v>
      </c>
      <c r="B191" s="79">
        <v>7</v>
      </c>
      <c r="C191" s="79">
        <v>4</v>
      </c>
      <c r="D191" s="79">
        <v>9</v>
      </c>
      <c r="E191" s="79">
        <v>13</v>
      </c>
      <c r="F191" s="79">
        <v>17.010000000000002</v>
      </c>
      <c r="G191" s="80">
        <v>5234</v>
      </c>
      <c r="H191" s="5" t="s">
        <v>1878</v>
      </c>
      <c r="I191" s="22" t="s">
        <v>4247</v>
      </c>
      <c r="J191" s="102" t="s">
        <v>4720</v>
      </c>
      <c r="L191" s="156">
        <v>1</v>
      </c>
      <c r="M191" s="340">
        <v>0</v>
      </c>
      <c r="N191" s="240">
        <f>L191-M191</f>
        <v>1</v>
      </c>
      <c r="P191" s="365">
        <v>843</v>
      </c>
      <c r="Q191" s="79">
        <v>531</v>
      </c>
      <c r="R191" s="346">
        <v>474</v>
      </c>
      <c r="S191" s="81">
        <v>183</v>
      </c>
      <c r="T191" s="327">
        <v>382</v>
      </c>
      <c r="U191" s="393">
        <v>5.3</v>
      </c>
      <c r="V191" s="310">
        <f>U191/X191</f>
        <v>4.7533632286995517E-2</v>
      </c>
      <c r="W191" s="94">
        <v>6.43</v>
      </c>
      <c r="X191" s="36">
        <v>111.5</v>
      </c>
      <c r="Y191" s="66">
        <v>110</v>
      </c>
      <c r="Z191" s="15">
        <f>X191-Y191</f>
        <v>1.5</v>
      </c>
      <c r="AA191" s="63">
        <f>Z191/Y191</f>
        <v>1.3636363636363636E-2</v>
      </c>
      <c r="AB191" s="344">
        <v>-32.520000000000003</v>
      </c>
      <c r="AD191" s="22" t="s">
        <v>4247</v>
      </c>
      <c r="AE191" s="84">
        <v>44663</v>
      </c>
      <c r="AF191" s="83">
        <v>44664</v>
      </c>
      <c r="AG191" s="33">
        <f>AF191-AE191</f>
        <v>1</v>
      </c>
      <c r="AH191" s="43" t="s">
        <v>4248</v>
      </c>
      <c r="AI191" s="156"/>
      <c r="AJ191" s="340"/>
      <c r="AK191" s="239"/>
      <c r="AM191" s="245"/>
      <c r="AN191" s="245"/>
    </row>
    <row r="192" spans="1:40">
      <c r="A192" s="347">
        <v>3.44</v>
      </c>
      <c r="B192" s="79">
        <v>30</v>
      </c>
      <c r="C192" s="79">
        <v>30</v>
      </c>
      <c r="D192" s="79">
        <v>29</v>
      </c>
      <c r="E192" s="79">
        <v>66</v>
      </c>
      <c r="F192" s="79">
        <v>45.42</v>
      </c>
      <c r="G192" s="80">
        <v>5274</v>
      </c>
      <c r="H192" s="145" t="s">
        <v>3039</v>
      </c>
      <c r="I192" s="16" t="s">
        <v>217</v>
      </c>
      <c r="J192" s="102" t="s">
        <v>3545</v>
      </c>
      <c r="L192" s="123"/>
      <c r="P192" s="365">
        <v>1167</v>
      </c>
      <c r="Q192" s="79">
        <v>577</v>
      </c>
      <c r="R192" s="346">
        <v>47</v>
      </c>
      <c r="S192" s="81">
        <v>28</v>
      </c>
      <c r="T192" s="327">
        <v>405</v>
      </c>
      <c r="U192" s="393">
        <v>36</v>
      </c>
      <c r="V192" s="310">
        <f t="shared" ref="V192" si="254">U192/X192</f>
        <v>1.1783960720130934E-2</v>
      </c>
      <c r="W192" s="94">
        <v>38.32</v>
      </c>
      <c r="X192" s="372">
        <v>3055</v>
      </c>
      <c r="Y192" s="66">
        <v>3015</v>
      </c>
      <c r="Z192" s="137">
        <f t="shared" ref="Z192" si="255">X192-Y192</f>
        <v>40</v>
      </c>
      <c r="AA192" s="63">
        <f t="shared" ref="AA192" si="256">Z192/Y192</f>
        <v>1.3266998341625208E-2</v>
      </c>
      <c r="AB192" s="344">
        <v>-17.96</v>
      </c>
      <c r="AD192" s="16" t="s">
        <v>217</v>
      </c>
      <c r="AE192" s="84">
        <v>44662</v>
      </c>
      <c r="AF192" s="86">
        <v>44662</v>
      </c>
      <c r="AG192" s="33">
        <f t="shared" ref="AG192" si="257">AF192-AE192</f>
        <v>0</v>
      </c>
      <c r="AH192" s="117" t="s">
        <v>2358</v>
      </c>
      <c r="AI192" s="63"/>
      <c r="AJ192" s="284"/>
      <c r="AK192" s="400"/>
      <c r="AM192" s="245"/>
      <c r="AN192" s="245"/>
    </row>
    <row r="193" spans="1:40">
      <c r="A193" s="347">
        <v>5.81</v>
      </c>
      <c r="B193" s="80">
        <v>-29</v>
      </c>
      <c r="C193" s="80">
        <v>-29</v>
      </c>
      <c r="D193" s="79">
        <v>72</v>
      </c>
      <c r="E193" s="79">
        <v>45</v>
      </c>
      <c r="F193" s="79">
        <v>12.97</v>
      </c>
      <c r="G193" s="80">
        <v>4763</v>
      </c>
      <c r="H193" s="8" t="s">
        <v>3578</v>
      </c>
      <c r="I193" s="22" t="s">
        <v>3638</v>
      </c>
      <c r="J193" s="102" t="s">
        <v>3543</v>
      </c>
      <c r="L193" s="123"/>
      <c r="P193" s="365">
        <v>530</v>
      </c>
      <c r="Q193" s="79">
        <v>1054</v>
      </c>
      <c r="R193" s="346">
        <v>32</v>
      </c>
      <c r="S193" s="81" t="s">
        <v>6289</v>
      </c>
      <c r="T193" s="327">
        <v>848</v>
      </c>
      <c r="U193" s="393">
        <v>5.5</v>
      </c>
      <c r="V193" s="310">
        <f>U193/X193</f>
        <v>5.3921568627450983E-2</v>
      </c>
      <c r="W193" s="94">
        <v>9.18</v>
      </c>
      <c r="X193" s="36">
        <v>102</v>
      </c>
      <c r="Y193" s="66">
        <v>100</v>
      </c>
      <c r="Z193" s="15">
        <f>X193-Y193</f>
        <v>2</v>
      </c>
      <c r="AA193" s="63">
        <f>Z193/Y193</f>
        <v>0.02</v>
      </c>
      <c r="AB193" s="344">
        <v>-28.61</v>
      </c>
      <c r="AD193" s="22" t="s">
        <v>3638</v>
      </c>
      <c r="AE193" s="84">
        <v>44658</v>
      </c>
      <c r="AF193" s="83">
        <v>44659</v>
      </c>
      <c r="AG193" s="33">
        <f>AF193-AE193</f>
        <v>1</v>
      </c>
      <c r="AH193" s="43" t="s">
        <v>3639</v>
      </c>
      <c r="AI193" s="63"/>
      <c r="AJ193" s="284"/>
      <c r="AK193" s="400"/>
      <c r="AM193" s="245"/>
      <c r="AN193" s="245"/>
    </row>
    <row r="194" spans="1:40" s="248" customFormat="1">
      <c r="A194" s="91"/>
      <c r="B194" s="79"/>
      <c r="C194" s="79"/>
      <c r="D194" s="79"/>
      <c r="E194" s="79"/>
      <c r="F194" s="79"/>
      <c r="G194" s="41"/>
      <c r="H194" s="8"/>
      <c r="I194" s="153"/>
      <c r="J194" s="1"/>
      <c r="K194" s="361"/>
      <c r="L194" s="163"/>
      <c r="O194" s="245"/>
      <c r="P194" s="365"/>
      <c r="Q194" s="79"/>
      <c r="R194" s="346"/>
      <c r="S194" s="81"/>
      <c r="T194" s="322"/>
      <c r="U194" s="392"/>
      <c r="V194" s="308"/>
      <c r="W194" s="94"/>
      <c r="X194" s="307">
        <f>SUM(X185:X193)</f>
        <v>7175.9</v>
      </c>
      <c r="Y194" s="296">
        <f>SUM(Y185:Y193)</f>
        <v>7043.1</v>
      </c>
      <c r="Z194" s="162">
        <f t="shared" ref="Z194" si="258">X194-Y194</f>
        <v>132.79999999999927</v>
      </c>
      <c r="AA194" s="158">
        <f t="shared" ref="AA194" si="259">Z194/Y194</f>
        <v>1.8855333588902509E-2</v>
      </c>
      <c r="AB194" s="100"/>
      <c r="AC194" s="382"/>
      <c r="AD194" s="227">
        <f>X194*(0.001425*0.5)+X194*0.003+Y194*(0.001425*0.5)</f>
        <v>31.658737500000001</v>
      </c>
      <c r="AE194" s="6">
        <f>Z194-AD194</f>
        <v>101.14126249999927</v>
      </c>
      <c r="AF194" s="83"/>
      <c r="AG194" s="33"/>
      <c r="AH194" s="46" t="s">
        <v>6223</v>
      </c>
    </row>
    <row r="195" spans="1:40">
      <c r="B195" s="90"/>
      <c r="C195" s="90"/>
      <c r="D195" s="90"/>
      <c r="E195" s="90"/>
      <c r="F195" s="348"/>
      <c r="G195" s="26"/>
      <c r="H195" s="55"/>
      <c r="I195" s="50"/>
      <c r="J195" s="8"/>
      <c r="L195" s="123"/>
      <c r="P195" s="365"/>
      <c r="Q195" s="79"/>
      <c r="R195" s="346"/>
      <c r="S195" s="81"/>
      <c r="T195" s="326"/>
      <c r="U195" s="29"/>
      <c r="V195" s="308"/>
      <c r="W195" s="68"/>
      <c r="X195" s="28"/>
      <c r="Y195" s="17"/>
      <c r="Z195" s="14"/>
      <c r="AA195" s="21"/>
      <c r="AB195" s="351"/>
      <c r="AD195" s="50"/>
      <c r="AE195" s="71"/>
      <c r="AF195" s="72"/>
      <c r="AG195" s="32"/>
      <c r="AH195" s="232"/>
      <c r="AI195" s="8"/>
      <c r="AJ195" s="50"/>
      <c r="AM195" s="123"/>
      <c r="AN195" s="234"/>
    </row>
    <row r="196" spans="1:40">
      <c r="A196" s="347">
        <v>4.4400000000000004</v>
      </c>
      <c r="B196" s="79">
        <v>249</v>
      </c>
      <c r="C196" s="79">
        <v>154</v>
      </c>
      <c r="D196" s="80">
        <v>-15</v>
      </c>
      <c r="E196" s="79">
        <v>19</v>
      </c>
      <c r="F196" s="79">
        <v>16.510000000000002</v>
      </c>
      <c r="G196" s="79">
        <v>3675</v>
      </c>
      <c r="H196" s="145" t="s">
        <v>3039</v>
      </c>
      <c r="I196" s="16" t="s">
        <v>365</v>
      </c>
      <c r="J196" s="8" t="s">
        <v>4747</v>
      </c>
      <c r="L196" s="123"/>
      <c r="P196" s="365">
        <v>326</v>
      </c>
      <c r="Q196" s="79">
        <v>365</v>
      </c>
      <c r="R196" s="346">
        <v>69</v>
      </c>
      <c r="S196" s="81">
        <v>3</v>
      </c>
      <c r="T196" s="327">
        <v>88</v>
      </c>
      <c r="U196" s="393">
        <v>5</v>
      </c>
      <c r="V196" s="310">
        <f>U196/X196</f>
        <v>1.5015015015015015E-2</v>
      </c>
      <c r="W196" s="94">
        <v>7.36</v>
      </c>
      <c r="X196" s="36">
        <v>333</v>
      </c>
      <c r="Y196" s="66">
        <v>308.5</v>
      </c>
      <c r="Z196" s="15">
        <f>X196-Y196</f>
        <v>24.5</v>
      </c>
      <c r="AA196" s="63">
        <f>Z196/Y196</f>
        <v>7.9416531604538085E-2</v>
      </c>
      <c r="AB196" s="344">
        <v>-6.88</v>
      </c>
      <c r="AD196" s="16" t="s">
        <v>365</v>
      </c>
      <c r="AE196" s="84">
        <v>44650</v>
      </c>
      <c r="AF196" s="83">
        <v>44651</v>
      </c>
      <c r="AG196" s="33">
        <f>AF196-AE196</f>
        <v>1</v>
      </c>
      <c r="AH196" s="43" t="s">
        <v>2940</v>
      </c>
      <c r="AI196" s="63"/>
      <c r="AJ196" s="284"/>
      <c r="AK196" s="400"/>
      <c r="AM196" s="245"/>
      <c r="AN196" s="245"/>
    </row>
    <row r="197" spans="1:40">
      <c r="A197" s="347">
        <v>24.9</v>
      </c>
      <c r="B197" s="79">
        <v>285</v>
      </c>
      <c r="C197" s="79">
        <v>220</v>
      </c>
      <c r="D197" s="79">
        <v>17</v>
      </c>
      <c r="E197" s="79">
        <v>172</v>
      </c>
      <c r="F197" s="79">
        <v>16.97</v>
      </c>
      <c r="G197" s="79">
        <v>1708</v>
      </c>
      <c r="H197" s="8" t="s">
        <v>755</v>
      </c>
      <c r="I197" s="22" t="s">
        <v>757</v>
      </c>
      <c r="J197" s="8" t="s">
        <v>4747</v>
      </c>
      <c r="L197" s="123"/>
      <c r="P197" s="365">
        <v>41</v>
      </c>
      <c r="Q197" s="79">
        <v>168</v>
      </c>
      <c r="R197" s="346">
        <v>413</v>
      </c>
      <c r="S197" s="81">
        <v>193</v>
      </c>
      <c r="T197" s="327">
        <v>97</v>
      </c>
      <c r="U197" s="393">
        <v>2</v>
      </c>
      <c r="V197" s="310">
        <f>U197/X197</f>
        <v>3.2840722495894911E-2</v>
      </c>
      <c r="W197" s="94">
        <v>2.81</v>
      </c>
      <c r="X197" s="36">
        <v>60.9</v>
      </c>
      <c r="Y197" s="66">
        <v>55.4</v>
      </c>
      <c r="Z197" s="15">
        <f>X197-Y197</f>
        <v>5.5</v>
      </c>
      <c r="AA197" s="63">
        <f>Z197/Y197</f>
        <v>9.927797833935019E-2</v>
      </c>
      <c r="AB197" s="344">
        <v>-1.26</v>
      </c>
      <c r="AD197" s="22" t="s">
        <v>757</v>
      </c>
      <c r="AE197" s="84">
        <v>44648</v>
      </c>
      <c r="AF197" s="83">
        <v>44649</v>
      </c>
      <c r="AG197" s="33">
        <f>AF197-AE197</f>
        <v>1</v>
      </c>
      <c r="AH197" s="43" t="s">
        <v>1525</v>
      </c>
      <c r="AI197" s="63"/>
      <c r="AJ197" s="284"/>
      <c r="AK197" s="400"/>
      <c r="AM197" s="245"/>
      <c r="AN197" s="245"/>
    </row>
    <row r="198" spans="1:40">
      <c r="A198" s="347">
        <v>13.4</v>
      </c>
      <c r="B198" s="79">
        <v>284</v>
      </c>
      <c r="C198" s="79">
        <v>230</v>
      </c>
      <c r="D198" s="80">
        <v>-3</v>
      </c>
      <c r="E198" s="79">
        <v>74</v>
      </c>
      <c r="F198" s="79">
        <v>11.28</v>
      </c>
      <c r="G198" s="79">
        <v>3305</v>
      </c>
      <c r="H198" s="8" t="s">
        <v>314</v>
      </c>
      <c r="I198" s="22" t="s">
        <v>504</v>
      </c>
      <c r="J198" s="8" t="s">
        <v>4747</v>
      </c>
      <c r="L198" s="123"/>
      <c r="P198" s="365">
        <v>85</v>
      </c>
      <c r="Q198" s="79">
        <v>327</v>
      </c>
      <c r="R198" s="346">
        <v>845</v>
      </c>
      <c r="S198" s="81">
        <v>351</v>
      </c>
      <c r="T198" s="327">
        <v>224</v>
      </c>
      <c r="U198" s="393">
        <v>2.5</v>
      </c>
      <c r="V198" s="310">
        <f t="shared" ref="V198" si="260">U198/X198</f>
        <v>3.048780487804878E-2</v>
      </c>
      <c r="W198" s="94">
        <v>4.29</v>
      </c>
      <c r="X198" s="36">
        <v>82</v>
      </c>
      <c r="Y198" s="66">
        <v>78.3</v>
      </c>
      <c r="Z198" s="15">
        <f t="shared" ref="Z198" si="261">X198-Y198</f>
        <v>3.7000000000000028</v>
      </c>
      <c r="AA198" s="63">
        <f t="shared" ref="AA198" si="262">Z198/Y198</f>
        <v>4.7254150702426605E-2</v>
      </c>
      <c r="AB198" s="344">
        <v>-13.42</v>
      </c>
      <c r="AD198" s="22" t="s">
        <v>504</v>
      </c>
      <c r="AE198" s="84">
        <v>44648</v>
      </c>
      <c r="AF198" s="83">
        <v>44649</v>
      </c>
      <c r="AG198" s="33">
        <f t="shared" ref="AG198" si="263">AF198-AE198</f>
        <v>1</v>
      </c>
      <c r="AH198" s="43" t="s">
        <v>2575</v>
      </c>
      <c r="AI198" s="63"/>
      <c r="AJ198" s="284"/>
      <c r="AK198" s="400"/>
      <c r="AM198" s="245"/>
      <c r="AN198" s="245"/>
    </row>
    <row r="199" spans="1:40">
      <c r="A199" s="347">
        <v>7.5</v>
      </c>
      <c r="B199" s="79">
        <v>192</v>
      </c>
      <c r="C199" s="79">
        <v>175</v>
      </c>
      <c r="D199" s="80">
        <v>-11</v>
      </c>
      <c r="E199" s="79">
        <v>117</v>
      </c>
      <c r="F199" s="79">
        <v>10.11</v>
      </c>
      <c r="G199" s="79">
        <v>4721</v>
      </c>
      <c r="H199" s="8" t="s">
        <v>3578</v>
      </c>
      <c r="I199" s="16" t="s">
        <v>3629</v>
      </c>
      <c r="J199" s="8" t="s">
        <v>4747</v>
      </c>
      <c r="L199" s="123"/>
      <c r="P199" s="365">
        <v>113</v>
      </c>
      <c r="Q199" s="79">
        <v>221</v>
      </c>
      <c r="R199" s="346">
        <v>1198</v>
      </c>
      <c r="S199" s="81">
        <v>460</v>
      </c>
      <c r="T199" s="327">
        <v>120</v>
      </c>
      <c r="U199" s="393">
        <v>3.8</v>
      </c>
      <c r="V199" s="310">
        <f>U199/X199</f>
        <v>2.4050632911392405E-2</v>
      </c>
      <c r="W199" s="94">
        <v>4.8099999999999996</v>
      </c>
      <c r="X199" s="36">
        <v>158</v>
      </c>
      <c r="Y199" s="66">
        <v>155</v>
      </c>
      <c r="Z199" s="15">
        <f>X199-Y199</f>
        <v>3</v>
      </c>
      <c r="AA199" s="63">
        <f>Z199/Y199</f>
        <v>1.935483870967742E-2</v>
      </c>
      <c r="AB199" s="344">
        <v>-15.99</v>
      </c>
      <c r="AD199" s="16" t="s">
        <v>3629</v>
      </c>
      <c r="AE199" s="84">
        <v>44645</v>
      </c>
      <c r="AF199" s="83">
        <v>44649</v>
      </c>
      <c r="AG199" s="33">
        <f>AF199-AE199</f>
        <v>4</v>
      </c>
      <c r="AH199" s="117" t="s">
        <v>2290</v>
      </c>
      <c r="AI199" s="63"/>
      <c r="AJ199" s="284"/>
      <c r="AK199" s="400"/>
      <c r="AM199" s="245"/>
      <c r="AN199" s="245"/>
    </row>
    <row r="200" spans="1:40">
      <c r="A200" s="347">
        <v>8.07</v>
      </c>
      <c r="B200" s="79">
        <v>484</v>
      </c>
      <c r="C200" s="79">
        <v>69</v>
      </c>
      <c r="D200" s="80">
        <v>-11</v>
      </c>
      <c r="E200" s="79">
        <v>25</v>
      </c>
      <c r="F200" s="79">
        <v>4.95</v>
      </c>
      <c r="G200" s="79">
        <v>5603</v>
      </c>
      <c r="H200" s="195" t="s">
        <v>302</v>
      </c>
      <c r="I200" s="16" t="s">
        <v>81</v>
      </c>
      <c r="J200" s="8" t="s">
        <v>4741</v>
      </c>
      <c r="L200" s="123"/>
      <c r="P200" s="365">
        <v>433</v>
      </c>
      <c r="Q200" s="79">
        <v>138</v>
      </c>
      <c r="R200" s="346">
        <v>361</v>
      </c>
      <c r="S200" s="81" t="s">
        <v>6289</v>
      </c>
      <c r="T200" s="327">
        <v>705</v>
      </c>
      <c r="U200" s="393">
        <v>7</v>
      </c>
      <c r="V200" s="312">
        <f t="shared" ref="V200" si="264">U200/X200</f>
        <v>0.145985401459854</v>
      </c>
      <c r="W200" s="94">
        <v>9.34</v>
      </c>
      <c r="X200" s="36">
        <v>47.95</v>
      </c>
      <c r="Y200" s="66">
        <v>47.05</v>
      </c>
      <c r="Z200" s="15">
        <f t="shared" ref="Z200" si="265">X200-Y200</f>
        <v>0.90000000000000568</v>
      </c>
      <c r="AA200" s="63">
        <f t="shared" ref="AA200" si="266">Z200/Y200</f>
        <v>1.9128586609989496E-2</v>
      </c>
      <c r="AB200" s="344">
        <v>-7.94</v>
      </c>
      <c r="AD200" s="16" t="s">
        <v>81</v>
      </c>
      <c r="AE200" s="84">
        <v>44649</v>
      </c>
      <c r="AF200" s="86">
        <v>44649</v>
      </c>
      <c r="AG200" s="33">
        <f t="shared" ref="AG200" si="267">AF200-AE200</f>
        <v>0</v>
      </c>
      <c r="AH200" s="117" t="s">
        <v>2663</v>
      </c>
      <c r="AI200" s="63"/>
      <c r="AJ200" s="284"/>
      <c r="AK200" s="400"/>
      <c r="AM200" s="245"/>
      <c r="AN200" s="245"/>
    </row>
    <row r="201" spans="1:40">
      <c r="A201" s="347">
        <v>17.8</v>
      </c>
      <c r="B201" s="79">
        <v>120</v>
      </c>
      <c r="C201" s="79">
        <v>264</v>
      </c>
      <c r="D201" s="80">
        <v>-16</v>
      </c>
      <c r="E201" s="79">
        <v>46</v>
      </c>
      <c r="F201" s="79">
        <v>12.77</v>
      </c>
      <c r="G201" s="80">
        <v>2436</v>
      </c>
      <c r="H201" s="17" t="s">
        <v>3039</v>
      </c>
      <c r="I201" s="22" t="s">
        <v>112</v>
      </c>
      <c r="J201" s="8" t="s">
        <v>4741</v>
      </c>
      <c r="L201" s="123"/>
      <c r="P201" s="365">
        <v>53</v>
      </c>
      <c r="Q201" s="79">
        <v>378</v>
      </c>
      <c r="R201" s="346">
        <v>764</v>
      </c>
      <c r="S201" s="81">
        <v>345</v>
      </c>
      <c r="T201" s="327">
        <v>97</v>
      </c>
      <c r="U201" s="393">
        <v>3</v>
      </c>
      <c r="V201" s="310">
        <f t="shared" ref="V201" si="268">U201/X201</f>
        <v>3.2967032967032968E-2</v>
      </c>
      <c r="W201" s="94">
        <v>4.25</v>
      </c>
      <c r="X201" s="36">
        <v>91</v>
      </c>
      <c r="Y201" s="66">
        <v>89.4</v>
      </c>
      <c r="Z201" s="15">
        <f t="shared" ref="Z201" si="269">X201-Y201</f>
        <v>1.5999999999999943</v>
      </c>
      <c r="AA201" s="63">
        <f t="shared" ref="AA201" si="270">Z201/Y201</f>
        <v>1.7897091722595012E-2</v>
      </c>
      <c r="AB201" s="344">
        <v>-20.079999999999998</v>
      </c>
      <c r="AD201" s="22" t="s">
        <v>112</v>
      </c>
      <c r="AE201" s="84">
        <v>44644</v>
      </c>
      <c r="AF201" s="83">
        <v>44645</v>
      </c>
      <c r="AG201" s="33">
        <f t="shared" ref="AG201" si="271">AF201-AE201</f>
        <v>1</v>
      </c>
      <c r="AH201" s="43" t="s">
        <v>2194</v>
      </c>
      <c r="AI201" s="63"/>
      <c r="AJ201" s="284"/>
      <c r="AK201" s="400"/>
      <c r="AM201" s="245"/>
      <c r="AN201" s="245"/>
    </row>
    <row r="202" spans="1:40">
      <c r="A202" s="347">
        <v>6.22</v>
      </c>
      <c r="B202" s="79">
        <v>64</v>
      </c>
      <c r="C202" s="79">
        <v>6</v>
      </c>
      <c r="D202" s="80">
        <v>-23</v>
      </c>
      <c r="E202" s="79">
        <v>26</v>
      </c>
      <c r="F202" s="79">
        <v>11.41</v>
      </c>
      <c r="G202" s="80">
        <v>3491</v>
      </c>
      <c r="H202" s="8" t="s">
        <v>311</v>
      </c>
      <c r="I202" s="16" t="s">
        <v>4368</v>
      </c>
      <c r="J202" s="8" t="s">
        <v>4741</v>
      </c>
      <c r="L202" s="123"/>
      <c r="P202" s="365">
        <v>104</v>
      </c>
      <c r="Q202" s="79">
        <v>224</v>
      </c>
      <c r="R202" s="346">
        <v>419</v>
      </c>
      <c r="S202" s="81">
        <v>96</v>
      </c>
      <c r="T202" s="327">
        <v>52</v>
      </c>
      <c r="U202" s="393">
        <v>2.5</v>
      </c>
      <c r="V202" s="310">
        <f>U202/X202</f>
        <v>1.3812154696132596E-2</v>
      </c>
      <c r="W202" s="94">
        <v>3.19</v>
      </c>
      <c r="X202" s="36">
        <v>181</v>
      </c>
      <c r="Y202" s="66">
        <v>178</v>
      </c>
      <c r="Z202" s="15">
        <f>X202-Y202</f>
        <v>3</v>
      </c>
      <c r="AA202" s="63">
        <f>Z202/Y202</f>
        <v>1.6853932584269662E-2</v>
      </c>
      <c r="AB202" s="344">
        <v>-24.89</v>
      </c>
      <c r="AD202" s="16" t="s">
        <v>4368</v>
      </c>
      <c r="AE202" s="84">
        <v>44643</v>
      </c>
      <c r="AF202" s="83">
        <v>44644</v>
      </c>
      <c r="AG202" s="33">
        <f>AF202-AE202</f>
        <v>1</v>
      </c>
      <c r="AH202" s="117" t="s">
        <v>4369</v>
      </c>
      <c r="AI202" s="63"/>
      <c r="AJ202" s="284"/>
      <c r="AK202" s="400"/>
      <c r="AM202" s="245"/>
      <c r="AN202" s="245"/>
    </row>
    <row r="203" spans="1:40">
      <c r="A203" s="347">
        <v>14.5</v>
      </c>
      <c r="B203" s="80">
        <v>-29</v>
      </c>
      <c r="C203" s="80">
        <v>-55</v>
      </c>
      <c r="D203" s="80">
        <v>-38</v>
      </c>
      <c r="E203" s="79">
        <v>15</v>
      </c>
      <c r="F203" s="79">
        <v>55.39</v>
      </c>
      <c r="G203" s="79">
        <v>4162</v>
      </c>
      <c r="H203" s="8" t="s">
        <v>309</v>
      </c>
      <c r="I203" s="16" t="s">
        <v>37</v>
      </c>
      <c r="J203" s="8" t="s">
        <v>4741</v>
      </c>
      <c r="L203" s="123"/>
      <c r="P203" s="365">
        <v>267</v>
      </c>
      <c r="Q203" s="79">
        <v>306</v>
      </c>
      <c r="R203" s="346">
        <v>761</v>
      </c>
      <c r="S203" s="81">
        <v>217</v>
      </c>
      <c r="T203" s="327">
        <v>603</v>
      </c>
      <c r="U203" s="393">
        <v>2.7</v>
      </c>
      <c r="V203" s="310">
        <f>U203/X203</f>
        <v>2.7383367139959435E-2</v>
      </c>
      <c r="W203" s="94">
        <v>2.94</v>
      </c>
      <c r="X203" s="36">
        <v>98.6</v>
      </c>
      <c r="Y203" s="66">
        <v>96.4</v>
      </c>
      <c r="Z203" s="15">
        <f>X203-Y203</f>
        <v>2.1999999999999886</v>
      </c>
      <c r="AA203" s="63">
        <f>Z203/Y203</f>
        <v>2.2821576763485358E-2</v>
      </c>
      <c r="AB203" s="344">
        <v>-3.78</v>
      </c>
      <c r="AD203" s="16" t="s">
        <v>37</v>
      </c>
      <c r="AE203" s="84">
        <v>44643</v>
      </c>
      <c r="AF203" s="83">
        <v>44644</v>
      </c>
      <c r="AG203" s="33">
        <f>AF203-AE203</f>
        <v>1</v>
      </c>
      <c r="AH203" s="117" t="s">
        <v>3778</v>
      </c>
      <c r="AI203" s="63"/>
      <c r="AJ203" s="284"/>
      <c r="AK203" s="400"/>
      <c r="AM203" s="245"/>
      <c r="AN203" s="245"/>
    </row>
    <row r="204" spans="1:40">
      <c r="A204" s="347">
        <v>11.7</v>
      </c>
      <c r="B204" s="79">
        <v>179</v>
      </c>
      <c r="C204" s="79">
        <v>203</v>
      </c>
      <c r="D204" s="80">
        <v>-19</v>
      </c>
      <c r="E204" s="79">
        <v>49</v>
      </c>
      <c r="F204" s="79">
        <v>19.670000000000002</v>
      </c>
      <c r="G204" s="79">
        <v>3624</v>
      </c>
      <c r="H204" s="8" t="s">
        <v>308</v>
      </c>
      <c r="I204" s="16" t="s">
        <v>4578</v>
      </c>
      <c r="J204" s="8" t="s">
        <v>4741</v>
      </c>
      <c r="L204" s="123"/>
      <c r="P204" s="365">
        <v>205</v>
      </c>
      <c r="Q204" s="79">
        <v>176</v>
      </c>
      <c r="R204" s="346">
        <v>97</v>
      </c>
      <c r="S204" s="81">
        <v>9</v>
      </c>
      <c r="T204" s="327">
        <v>80</v>
      </c>
      <c r="U204" s="393">
        <v>2.2000000000000002</v>
      </c>
      <c r="V204" s="310">
        <f>U204/X204</f>
        <v>2.4553571428571432E-2</v>
      </c>
      <c r="W204" s="94">
        <v>4.04</v>
      </c>
      <c r="X204" s="36">
        <v>89.6</v>
      </c>
      <c r="Y204" s="66">
        <v>88</v>
      </c>
      <c r="Z204" s="15">
        <f>X204-Y204</f>
        <v>1.5999999999999943</v>
      </c>
      <c r="AA204" s="63">
        <f>Z204/Y204</f>
        <v>1.8181818181818118E-2</v>
      </c>
      <c r="AB204" s="344">
        <v>-4.51</v>
      </c>
      <c r="AD204" s="16" t="s">
        <v>4578</v>
      </c>
      <c r="AE204" s="84">
        <v>44644</v>
      </c>
      <c r="AF204" s="86">
        <v>44644</v>
      </c>
      <c r="AG204" s="33">
        <f>AF204-AE204</f>
        <v>0</v>
      </c>
      <c r="AH204" s="43" t="s">
        <v>2407</v>
      </c>
      <c r="AI204" s="63"/>
      <c r="AJ204" s="284"/>
      <c r="AK204" s="400"/>
      <c r="AM204" s="245"/>
      <c r="AN204" s="245"/>
    </row>
    <row r="205" spans="1:40">
      <c r="A205" s="347">
        <v>4.4000000000000004</v>
      </c>
      <c r="B205" s="92">
        <v>1610</v>
      </c>
      <c r="C205" s="92">
        <v>2987</v>
      </c>
      <c r="D205" s="80">
        <v>-2</v>
      </c>
      <c r="E205" s="79">
        <v>51</v>
      </c>
      <c r="F205" s="79">
        <v>31.91</v>
      </c>
      <c r="G205" s="79">
        <v>6485</v>
      </c>
      <c r="H205" s="17" t="s">
        <v>3039</v>
      </c>
      <c r="I205" s="16" t="s">
        <v>232</v>
      </c>
      <c r="J205" s="8" t="s">
        <v>4741</v>
      </c>
      <c r="L205" s="123"/>
      <c r="P205" s="365">
        <v>16</v>
      </c>
      <c r="Q205" s="79">
        <v>124</v>
      </c>
      <c r="R205" s="346">
        <v>805</v>
      </c>
      <c r="S205" s="81">
        <v>418</v>
      </c>
      <c r="T205" s="327">
        <v>69</v>
      </c>
      <c r="U205" s="393">
        <v>5</v>
      </c>
      <c r="V205" s="310">
        <f>U205/X205</f>
        <v>3.2786885245901641E-2</v>
      </c>
      <c r="W205" s="94">
        <v>12.29</v>
      </c>
      <c r="X205" s="36">
        <v>152.5</v>
      </c>
      <c r="Y205" s="66">
        <v>150</v>
      </c>
      <c r="Z205" s="15">
        <f>X205-Y205</f>
        <v>2.5</v>
      </c>
      <c r="AA205" s="63">
        <f>Z205/Y205</f>
        <v>1.6666666666666666E-2</v>
      </c>
      <c r="AB205" s="344">
        <v>-20.94</v>
      </c>
      <c r="AD205" s="16" t="s">
        <v>232</v>
      </c>
      <c r="AE205" s="84">
        <v>44644</v>
      </c>
      <c r="AF205" s="86">
        <v>44644</v>
      </c>
      <c r="AG205" s="33">
        <f>AF205-AE205</f>
        <v>0</v>
      </c>
      <c r="AH205" s="43" t="s">
        <v>2365</v>
      </c>
      <c r="AI205" s="63"/>
      <c r="AJ205" s="284"/>
      <c r="AK205" s="400"/>
      <c r="AM205" s="245"/>
      <c r="AN205" s="245"/>
    </row>
    <row r="206" spans="1:40">
      <c r="A206" s="347">
        <v>7.09</v>
      </c>
      <c r="B206" s="79">
        <v>89</v>
      </c>
      <c r="C206" s="79">
        <v>88</v>
      </c>
      <c r="D206" s="79">
        <v>1</v>
      </c>
      <c r="E206" s="79">
        <v>1</v>
      </c>
      <c r="F206" s="79">
        <v>17.809999999999999</v>
      </c>
      <c r="G206" s="80">
        <v>3661</v>
      </c>
      <c r="H206" s="5" t="s">
        <v>3039</v>
      </c>
      <c r="I206" s="22" t="s">
        <v>4052</v>
      </c>
      <c r="J206" s="8" t="s">
        <v>4741</v>
      </c>
      <c r="L206" s="123"/>
      <c r="P206" s="365">
        <v>450</v>
      </c>
      <c r="Q206" s="79">
        <v>109</v>
      </c>
      <c r="R206" s="346">
        <v>51</v>
      </c>
      <c r="S206" s="81">
        <v>6</v>
      </c>
      <c r="T206" s="327">
        <v>36</v>
      </c>
      <c r="U206" s="393">
        <v>10.59</v>
      </c>
      <c r="V206" s="310">
        <f t="shared" ref="V206" si="272">U206/X206</f>
        <v>1.0433497536945812E-2</v>
      </c>
      <c r="W206" s="94">
        <v>21.4</v>
      </c>
      <c r="X206" s="372">
        <v>1015</v>
      </c>
      <c r="Y206" s="66">
        <v>999</v>
      </c>
      <c r="Z206" s="137">
        <f t="shared" ref="Z206" si="273">X206-Y206</f>
        <v>16</v>
      </c>
      <c r="AA206" s="63">
        <f t="shared" ref="AA206" si="274">Z206/Y206</f>
        <v>1.6016016016016016E-2</v>
      </c>
      <c r="AB206" s="344">
        <v>-26.79</v>
      </c>
      <c r="AD206" s="22" t="s">
        <v>4052</v>
      </c>
      <c r="AE206" s="84">
        <v>44643</v>
      </c>
      <c r="AF206" s="83">
        <v>44644</v>
      </c>
      <c r="AG206" s="33">
        <f t="shared" ref="AG206" si="275">AF206-AE206</f>
        <v>1</v>
      </c>
      <c r="AH206" s="43" t="s">
        <v>3041</v>
      </c>
      <c r="AI206" s="63"/>
      <c r="AJ206" s="284"/>
      <c r="AK206" s="400"/>
      <c r="AM206" s="245"/>
      <c r="AN206" s="245"/>
    </row>
    <row r="207" spans="1:40">
      <c r="A207" s="347">
        <v>10.7</v>
      </c>
      <c r="B207" s="79">
        <v>170</v>
      </c>
      <c r="C207" s="79">
        <v>170</v>
      </c>
      <c r="D207" s="79">
        <v>1</v>
      </c>
      <c r="E207" s="79">
        <v>41</v>
      </c>
      <c r="F207" s="79">
        <v>7.96</v>
      </c>
      <c r="G207" s="79">
        <v>4739</v>
      </c>
      <c r="H207" s="8" t="s">
        <v>3578</v>
      </c>
      <c r="I207" s="22" t="s">
        <v>3632</v>
      </c>
      <c r="J207" s="8" t="s">
        <v>4741</v>
      </c>
      <c r="L207" s="123"/>
      <c r="P207" s="365">
        <v>66</v>
      </c>
      <c r="Q207" s="79" t="s">
        <v>6289</v>
      </c>
      <c r="R207" s="346">
        <v>978</v>
      </c>
      <c r="S207" s="81">
        <v>110</v>
      </c>
      <c r="T207" s="327">
        <v>78</v>
      </c>
      <c r="U207" s="393">
        <v>3</v>
      </c>
      <c r="V207" s="310">
        <f t="shared" ref="V207" si="276">U207/X207</f>
        <v>1.8018018018018018E-2</v>
      </c>
      <c r="W207" s="94">
        <v>4.7</v>
      </c>
      <c r="X207" s="36">
        <v>166.5</v>
      </c>
      <c r="Y207" s="66">
        <v>163.5</v>
      </c>
      <c r="Z207" s="15">
        <f t="shared" ref="Z207" si="277">X207-Y207</f>
        <v>3</v>
      </c>
      <c r="AA207" s="63">
        <f t="shared" ref="AA207" si="278">Z207/Y207</f>
        <v>1.834862385321101E-2</v>
      </c>
      <c r="AB207" s="344">
        <v>-7.65</v>
      </c>
      <c r="AD207" s="22" t="s">
        <v>3632</v>
      </c>
      <c r="AE207" s="84">
        <v>44634</v>
      </c>
      <c r="AF207" s="83">
        <v>44644</v>
      </c>
      <c r="AG207" s="33">
        <f t="shared" ref="AG207" si="279">AF207-AE207</f>
        <v>10</v>
      </c>
      <c r="AH207" s="117" t="s">
        <v>2290</v>
      </c>
      <c r="AI207" s="63"/>
      <c r="AJ207" s="284"/>
      <c r="AK207" s="400"/>
      <c r="AM207" s="245"/>
      <c r="AN207" s="245"/>
    </row>
    <row r="208" spans="1:40">
      <c r="A208" s="347">
        <v>3.34</v>
      </c>
      <c r="B208" s="79">
        <v>84</v>
      </c>
      <c r="C208" s="79">
        <v>110</v>
      </c>
      <c r="D208" s="79">
        <v>34</v>
      </c>
      <c r="E208" s="79">
        <v>33</v>
      </c>
      <c r="F208" s="79">
        <v>15</v>
      </c>
      <c r="G208" s="79">
        <v>6435</v>
      </c>
      <c r="H208" s="8" t="s">
        <v>3039</v>
      </c>
      <c r="I208" s="16" t="s">
        <v>4063</v>
      </c>
      <c r="J208" s="8" t="s">
        <v>4741</v>
      </c>
      <c r="L208" s="123"/>
      <c r="P208" s="365">
        <v>123</v>
      </c>
      <c r="Q208" s="79">
        <v>114</v>
      </c>
      <c r="R208" s="346">
        <v>950</v>
      </c>
      <c r="S208" s="81" t="s">
        <v>6289</v>
      </c>
      <c r="T208" s="327">
        <v>705</v>
      </c>
      <c r="U208" s="393">
        <v>5</v>
      </c>
      <c r="V208" s="310">
        <f>U208/X208</f>
        <v>3.1545741324921134E-2</v>
      </c>
      <c r="W208" s="94">
        <v>11.25</v>
      </c>
      <c r="X208" s="36">
        <v>158.5</v>
      </c>
      <c r="Y208" s="66">
        <v>155</v>
      </c>
      <c r="Z208" s="15">
        <f>X208-Y208</f>
        <v>3.5</v>
      </c>
      <c r="AA208" s="63">
        <f>Z208/Y208</f>
        <v>2.2580645161290321E-2</v>
      </c>
      <c r="AB208" s="344">
        <v>-10.23</v>
      </c>
      <c r="AD208" s="16" t="s">
        <v>4063</v>
      </c>
      <c r="AE208" s="84">
        <v>44607</v>
      </c>
      <c r="AF208" s="83">
        <v>44643</v>
      </c>
      <c r="AG208" s="33">
        <f>AF208-AE208</f>
        <v>36</v>
      </c>
      <c r="AH208" s="43" t="s">
        <v>2175</v>
      </c>
      <c r="AI208" s="63"/>
      <c r="AJ208" s="284"/>
      <c r="AK208" s="400"/>
      <c r="AM208" s="245"/>
      <c r="AN208" s="245"/>
    </row>
    <row r="209" spans="1:40">
      <c r="A209" s="347">
        <v>4.4400000000000004</v>
      </c>
      <c r="B209" s="79">
        <v>249</v>
      </c>
      <c r="C209" s="79">
        <v>154</v>
      </c>
      <c r="D209" s="80">
        <v>-15</v>
      </c>
      <c r="E209" s="79">
        <v>19</v>
      </c>
      <c r="F209" s="79">
        <v>16.510000000000002</v>
      </c>
      <c r="G209" s="79">
        <v>3675</v>
      </c>
      <c r="H209" s="183" t="s">
        <v>3039</v>
      </c>
      <c r="I209" s="16" t="s">
        <v>365</v>
      </c>
      <c r="J209" s="8" t="s">
        <v>4741</v>
      </c>
      <c r="L209" s="123"/>
      <c r="P209" s="365">
        <v>326</v>
      </c>
      <c r="Q209" s="79">
        <v>365</v>
      </c>
      <c r="R209" s="346">
        <v>69</v>
      </c>
      <c r="S209" s="81">
        <v>3</v>
      </c>
      <c r="T209" s="327">
        <v>88</v>
      </c>
      <c r="U209" s="393">
        <v>5</v>
      </c>
      <c r="V209" s="310">
        <f t="shared" ref="V209" si="280">U209/X209</f>
        <v>1.6977928692699491E-2</v>
      </c>
      <c r="W209" s="94">
        <v>7.36</v>
      </c>
      <c r="X209" s="36">
        <v>294.5</v>
      </c>
      <c r="Y209" s="66">
        <v>288.5</v>
      </c>
      <c r="Z209" s="15">
        <f t="shared" ref="Z209" si="281">X209-Y209</f>
        <v>6</v>
      </c>
      <c r="AA209" s="63">
        <f t="shared" ref="AA209" si="282">Z209/Y209</f>
        <v>2.0797227036395149E-2</v>
      </c>
      <c r="AB209" s="344">
        <v>-10.16</v>
      </c>
      <c r="AD209" s="16" t="s">
        <v>365</v>
      </c>
      <c r="AE209" s="84">
        <v>44638</v>
      </c>
      <c r="AF209" s="83">
        <v>44643</v>
      </c>
      <c r="AG209" s="33">
        <f t="shared" ref="AG209" si="283">AF209-AE209</f>
        <v>5</v>
      </c>
      <c r="AH209" s="43" t="s">
        <v>2940</v>
      </c>
      <c r="AI209" s="63"/>
      <c r="AJ209" s="284"/>
      <c r="AK209" s="400"/>
      <c r="AM209" s="245"/>
      <c r="AN209" s="245"/>
    </row>
    <row r="210" spans="1:40">
      <c r="A210" s="347">
        <v>8.33</v>
      </c>
      <c r="B210" s="79">
        <v>119</v>
      </c>
      <c r="C210" s="79">
        <v>111</v>
      </c>
      <c r="D210" s="79">
        <v>30</v>
      </c>
      <c r="E210" s="79">
        <v>43</v>
      </c>
      <c r="F210" s="79">
        <v>24.41</v>
      </c>
      <c r="G210" s="79">
        <v>6187</v>
      </c>
      <c r="H210" s="5" t="s">
        <v>3354</v>
      </c>
      <c r="I210" s="16" t="s">
        <v>4687</v>
      </c>
      <c r="J210" s="8" t="s">
        <v>4747</v>
      </c>
      <c r="L210" s="123"/>
      <c r="P210" s="365">
        <v>204</v>
      </c>
      <c r="Q210" s="79">
        <v>46</v>
      </c>
      <c r="R210" s="346">
        <v>1096</v>
      </c>
      <c r="S210" s="81">
        <v>4</v>
      </c>
      <c r="T210" s="327">
        <v>164</v>
      </c>
      <c r="U210" s="393">
        <v>4.5</v>
      </c>
      <c r="V210" s="310">
        <f>U210/X210</f>
        <v>3.0612244897959183E-2</v>
      </c>
      <c r="W210" s="94">
        <v>6.37</v>
      </c>
      <c r="X210" s="36">
        <v>147</v>
      </c>
      <c r="Y210" s="66">
        <v>144</v>
      </c>
      <c r="Z210" s="15">
        <f>X210-Y210</f>
        <v>3</v>
      </c>
      <c r="AA210" s="63">
        <f>Z210/Y210</f>
        <v>2.0833333333333332E-2</v>
      </c>
      <c r="AB210" s="344">
        <v>-13.31</v>
      </c>
      <c r="AD210" s="16" t="s">
        <v>4687</v>
      </c>
      <c r="AE210" s="84">
        <v>44638</v>
      </c>
      <c r="AF210" s="83">
        <v>44643</v>
      </c>
      <c r="AG210" s="33">
        <f>AF210-AE210</f>
        <v>5</v>
      </c>
      <c r="AH210" s="43" t="s">
        <v>2309</v>
      </c>
      <c r="AI210" s="63"/>
      <c r="AJ210" s="284"/>
      <c r="AK210" s="400"/>
      <c r="AM210" s="245"/>
      <c r="AN210" s="245"/>
    </row>
    <row r="211" spans="1:40">
      <c r="A211" s="347">
        <v>4.5599999999999996</v>
      </c>
      <c r="B211" s="79">
        <v>23</v>
      </c>
      <c r="C211" s="80">
        <v>-4</v>
      </c>
      <c r="D211" s="80">
        <v>-21</v>
      </c>
      <c r="E211" s="79">
        <v>52</v>
      </c>
      <c r="F211" s="79">
        <v>16.68</v>
      </c>
      <c r="G211" s="79">
        <v>8091</v>
      </c>
      <c r="H211" s="145" t="s">
        <v>308</v>
      </c>
      <c r="I211" s="16" t="s">
        <v>162</v>
      </c>
      <c r="J211" s="8" t="s">
        <v>4741</v>
      </c>
      <c r="L211" s="123"/>
      <c r="P211" s="365">
        <v>383</v>
      </c>
      <c r="Q211" s="79">
        <v>103</v>
      </c>
      <c r="R211" s="346">
        <v>802</v>
      </c>
      <c r="S211" s="81">
        <v>268</v>
      </c>
      <c r="T211" s="327">
        <v>294</v>
      </c>
      <c r="U211" s="393">
        <v>4</v>
      </c>
      <c r="V211" s="310">
        <f>U211/X211</f>
        <v>4.1152263374485597E-2</v>
      </c>
      <c r="W211" s="94">
        <v>5.91</v>
      </c>
      <c r="X211" s="36">
        <v>97.2</v>
      </c>
      <c r="Y211" s="66">
        <v>95.2</v>
      </c>
      <c r="Z211" s="15">
        <f>X211-Y211</f>
        <v>2</v>
      </c>
      <c r="AA211" s="63">
        <f>Z211/Y211</f>
        <v>2.1008403361344536E-2</v>
      </c>
      <c r="AB211" s="344">
        <v>-2.88</v>
      </c>
      <c r="AD211" s="16" t="s">
        <v>162</v>
      </c>
      <c r="AE211" s="84">
        <v>44643</v>
      </c>
      <c r="AF211" s="86">
        <v>44643</v>
      </c>
      <c r="AG211" s="33">
        <f>AF211-AE211</f>
        <v>0</v>
      </c>
      <c r="AH211" s="117" t="s">
        <v>2428</v>
      </c>
      <c r="AI211" s="63"/>
      <c r="AJ211" s="284"/>
      <c r="AK211" s="400"/>
      <c r="AM211" s="245"/>
      <c r="AN211" s="245"/>
    </row>
    <row r="212" spans="1:40">
      <c r="A212" s="347">
        <v>9.15</v>
      </c>
      <c r="B212" s="79">
        <v>164</v>
      </c>
      <c r="C212" s="79">
        <v>92</v>
      </c>
      <c r="D212" s="80">
        <v>-9</v>
      </c>
      <c r="E212" s="79">
        <v>14</v>
      </c>
      <c r="F212" s="79">
        <v>11.14</v>
      </c>
      <c r="G212" s="79">
        <v>8255</v>
      </c>
      <c r="H212" s="8" t="s">
        <v>295</v>
      </c>
      <c r="I212" s="16" t="s">
        <v>3597</v>
      </c>
      <c r="J212" s="8" t="s">
        <v>4747</v>
      </c>
      <c r="L212" s="123"/>
      <c r="P212" s="365">
        <v>321</v>
      </c>
      <c r="Q212" s="79">
        <v>300</v>
      </c>
      <c r="R212" s="346">
        <v>590</v>
      </c>
      <c r="S212" s="81">
        <v>84</v>
      </c>
      <c r="T212" s="327">
        <v>52</v>
      </c>
      <c r="U212" s="393">
        <v>4</v>
      </c>
      <c r="V212" s="310">
        <f>U212/X212</f>
        <v>1.6064257028112448E-2</v>
      </c>
      <c r="W212" s="94">
        <v>5.25</v>
      </c>
      <c r="X212" s="36">
        <v>249</v>
      </c>
      <c r="Y212" s="66">
        <v>245</v>
      </c>
      <c r="Z212" s="15">
        <f>X212-Y212</f>
        <v>4</v>
      </c>
      <c r="AA212" s="63">
        <f>Z212/Y212</f>
        <v>1.6326530612244899E-2</v>
      </c>
      <c r="AB212" s="344">
        <v>-18.86</v>
      </c>
      <c r="AD212" s="16" t="s">
        <v>3597</v>
      </c>
      <c r="AE212" s="84">
        <v>44641</v>
      </c>
      <c r="AF212" s="83">
        <v>44642</v>
      </c>
      <c r="AG212" s="33">
        <f>AF212-AE212</f>
        <v>1</v>
      </c>
      <c r="AH212" s="117" t="s">
        <v>2341</v>
      </c>
      <c r="AI212" s="63"/>
      <c r="AJ212" s="284"/>
      <c r="AK212" s="400"/>
      <c r="AM212" s="245"/>
      <c r="AN212" s="245"/>
    </row>
    <row r="213" spans="1:40">
      <c r="A213" s="347">
        <v>28.6</v>
      </c>
      <c r="B213" s="79">
        <v>364</v>
      </c>
      <c r="C213" s="79">
        <v>408</v>
      </c>
      <c r="D213" s="80">
        <v>-7</v>
      </c>
      <c r="E213" s="79">
        <v>9</v>
      </c>
      <c r="F213" s="79">
        <v>24.64</v>
      </c>
      <c r="G213" s="79">
        <v>3006</v>
      </c>
      <c r="H213" s="8" t="s">
        <v>3039</v>
      </c>
      <c r="I213" s="22" t="s">
        <v>95</v>
      </c>
      <c r="J213" s="8" t="s">
        <v>4747</v>
      </c>
      <c r="L213" s="123"/>
      <c r="P213" s="365">
        <v>26</v>
      </c>
      <c r="Q213" s="79">
        <v>1054</v>
      </c>
      <c r="R213" s="346">
        <v>380</v>
      </c>
      <c r="S213" s="81">
        <v>172</v>
      </c>
      <c r="T213" s="327">
        <v>90</v>
      </c>
      <c r="U213" s="393">
        <v>8</v>
      </c>
      <c r="V213" s="310">
        <f t="shared" ref="V213" si="284">U213/X213</f>
        <v>4.4444444444444446E-2</v>
      </c>
      <c r="W213" s="94">
        <v>17.760000000000002</v>
      </c>
      <c r="X213" s="36">
        <v>180</v>
      </c>
      <c r="Y213" s="66">
        <v>175.5</v>
      </c>
      <c r="Z213" s="15">
        <f t="shared" ref="Z213" si="285">X213-Y213</f>
        <v>4.5</v>
      </c>
      <c r="AA213" s="63">
        <f t="shared" ref="AA213" si="286">Z213/Y213</f>
        <v>2.564102564102564E-2</v>
      </c>
      <c r="AB213" s="344">
        <v>-18.309999999999999</v>
      </c>
      <c r="AD213" s="22" t="s">
        <v>95</v>
      </c>
      <c r="AE213" s="84">
        <v>44638</v>
      </c>
      <c r="AF213" s="83">
        <v>44641</v>
      </c>
      <c r="AG213" s="33">
        <f t="shared" ref="AG213" si="287">AF213-AE213</f>
        <v>3</v>
      </c>
      <c r="AH213" s="117" t="s">
        <v>2129</v>
      </c>
      <c r="AI213" s="63"/>
      <c r="AJ213" s="284"/>
      <c r="AK213" s="400"/>
      <c r="AM213" s="245"/>
      <c r="AN213" s="245"/>
    </row>
    <row r="214" spans="1:40">
      <c r="A214" s="347">
        <v>8.1300000000000008</v>
      </c>
      <c r="B214" s="79">
        <v>231</v>
      </c>
      <c r="C214" s="79">
        <v>245</v>
      </c>
      <c r="D214" s="80">
        <v>-6</v>
      </c>
      <c r="E214" s="79">
        <v>28</v>
      </c>
      <c r="F214" s="79">
        <v>19.72</v>
      </c>
      <c r="G214" s="79">
        <v>8261</v>
      </c>
      <c r="H214" s="8" t="s">
        <v>3039</v>
      </c>
      <c r="I214" s="22" t="s">
        <v>322</v>
      </c>
      <c r="J214" s="8" t="s">
        <v>4741</v>
      </c>
      <c r="L214" s="123"/>
      <c r="P214" s="365">
        <v>40</v>
      </c>
      <c r="Q214" s="79">
        <v>114</v>
      </c>
      <c r="R214" s="346">
        <v>407</v>
      </c>
      <c r="S214" s="81">
        <v>491</v>
      </c>
      <c r="T214" s="327">
        <v>151</v>
      </c>
      <c r="U214" s="393">
        <v>6</v>
      </c>
      <c r="V214" s="310">
        <f>U214/X214</f>
        <v>5.2173913043478258E-2</v>
      </c>
      <c r="W214" s="94">
        <v>8.0299999999999994</v>
      </c>
      <c r="X214" s="36">
        <v>115</v>
      </c>
      <c r="Y214" s="66">
        <v>111.5</v>
      </c>
      <c r="Z214" s="15">
        <f>X214-Y214</f>
        <v>3.5</v>
      </c>
      <c r="AA214" s="63">
        <f>Z214/Y214</f>
        <v>3.1390134529147982E-2</v>
      </c>
      <c r="AB214" s="344">
        <v>-18.25</v>
      </c>
      <c r="AD214" s="22" t="s">
        <v>322</v>
      </c>
      <c r="AE214" s="84">
        <v>44638</v>
      </c>
      <c r="AF214" s="83">
        <v>44641</v>
      </c>
      <c r="AG214" s="33">
        <f>AF214-AE214</f>
        <v>3</v>
      </c>
      <c r="AH214" s="43" t="s">
        <v>2176</v>
      </c>
      <c r="AI214" s="63"/>
      <c r="AJ214" s="284"/>
      <c r="AK214" s="400"/>
      <c r="AM214" s="245"/>
      <c r="AN214" s="245"/>
    </row>
    <row r="215" spans="1:40">
      <c r="A215" s="347">
        <v>9.15</v>
      </c>
      <c r="B215" s="79">
        <v>164</v>
      </c>
      <c r="C215" s="79">
        <v>92</v>
      </c>
      <c r="D215" s="80">
        <v>-9</v>
      </c>
      <c r="E215" s="79">
        <v>14</v>
      </c>
      <c r="F215" s="79">
        <v>11.14</v>
      </c>
      <c r="G215" s="79">
        <v>8255</v>
      </c>
      <c r="H215" s="8" t="s">
        <v>295</v>
      </c>
      <c r="I215" s="16" t="s">
        <v>3597</v>
      </c>
      <c r="J215" s="8" t="s">
        <v>4741</v>
      </c>
      <c r="L215" s="123"/>
      <c r="P215" s="365">
        <v>321</v>
      </c>
      <c r="Q215" s="79">
        <v>300</v>
      </c>
      <c r="R215" s="346">
        <v>590</v>
      </c>
      <c r="S215" s="81">
        <v>84</v>
      </c>
      <c r="T215" s="327">
        <v>52</v>
      </c>
      <c r="U215" s="393">
        <v>4</v>
      </c>
      <c r="V215" s="310">
        <f>U215/X215</f>
        <v>1.6427104722792608E-2</v>
      </c>
      <c r="W215" s="94">
        <v>3.09</v>
      </c>
      <c r="X215" s="36">
        <v>243.5</v>
      </c>
      <c r="Y215" s="66">
        <v>233.5</v>
      </c>
      <c r="Z215" s="15">
        <f>X215-Y215</f>
        <v>10</v>
      </c>
      <c r="AA215" s="63">
        <f>Z215/Y215</f>
        <v>4.2826552462526764E-2</v>
      </c>
      <c r="AB215" s="344">
        <v>-22.39</v>
      </c>
      <c r="AD215" s="16" t="s">
        <v>3597</v>
      </c>
      <c r="AE215" s="84">
        <v>44638</v>
      </c>
      <c r="AF215" s="83">
        <v>44641</v>
      </c>
      <c r="AG215" s="33">
        <f>AF215-AE215</f>
        <v>3</v>
      </c>
      <c r="AH215" s="117" t="s">
        <v>2341</v>
      </c>
      <c r="AI215" s="63"/>
      <c r="AJ215" s="284"/>
      <c r="AK215" s="400"/>
      <c r="AM215" s="245"/>
      <c r="AN215" s="245"/>
    </row>
    <row r="216" spans="1:40">
      <c r="A216" s="347">
        <v>7.11</v>
      </c>
      <c r="B216" s="79">
        <v>71</v>
      </c>
      <c r="C216" s="79">
        <v>65</v>
      </c>
      <c r="D216" s="80">
        <v>-20</v>
      </c>
      <c r="E216" s="79">
        <v>30</v>
      </c>
      <c r="F216" s="79">
        <v>16.79</v>
      </c>
      <c r="G216" s="79">
        <v>6438</v>
      </c>
      <c r="H216" s="8" t="s">
        <v>314</v>
      </c>
      <c r="I216" s="22" t="s">
        <v>484</v>
      </c>
      <c r="J216" s="8" t="s">
        <v>4741</v>
      </c>
      <c r="L216" s="245"/>
      <c r="P216" s="365">
        <v>124</v>
      </c>
      <c r="Q216" s="79">
        <v>480</v>
      </c>
      <c r="R216" s="346">
        <v>389</v>
      </c>
      <c r="S216" s="81">
        <v>42</v>
      </c>
      <c r="T216" s="327">
        <v>195</v>
      </c>
      <c r="U216" s="393">
        <v>6.5</v>
      </c>
      <c r="V216" s="310">
        <f>U216/X216</f>
        <v>5.078125E-2</v>
      </c>
      <c r="W216" s="94">
        <v>10.36</v>
      </c>
      <c r="X216" s="36">
        <v>128</v>
      </c>
      <c r="Y216" s="66">
        <v>123</v>
      </c>
      <c r="Z216" s="15">
        <f>X216-Y216</f>
        <v>5</v>
      </c>
      <c r="AA216" s="63">
        <f>Z216/Y216</f>
        <v>4.065040650406504E-2</v>
      </c>
      <c r="AB216" s="344">
        <v>-7.58</v>
      </c>
      <c r="AD216" s="22" t="s">
        <v>484</v>
      </c>
      <c r="AE216" s="84">
        <v>44638</v>
      </c>
      <c r="AF216" s="83">
        <v>44641</v>
      </c>
      <c r="AG216" s="33">
        <f>AF216-AE216</f>
        <v>3</v>
      </c>
      <c r="AH216" s="43" t="s">
        <v>2309</v>
      </c>
      <c r="AI216" s="63"/>
      <c r="AJ216" s="284"/>
      <c r="AK216" s="400"/>
      <c r="AM216" s="245"/>
      <c r="AN216" s="245"/>
    </row>
    <row r="217" spans="1:40">
      <c r="A217" s="347">
        <v>3.42</v>
      </c>
      <c r="B217" s="80">
        <v>-39</v>
      </c>
      <c r="C217" s="80">
        <v>-40</v>
      </c>
      <c r="D217" s="79">
        <v>-26</v>
      </c>
      <c r="E217" s="79">
        <v>60</v>
      </c>
      <c r="F217" s="79">
        <v>16.149999999999999</v>
      </c>
      <c r="G217" s="79">
        <v>6515</v>
      </c>
      <c r="H217" s="8" t="s">
        <v>3039</v>
      </c>
      <c r="I217" s="22" t="s">
        <v>2264</v>
      </c>
      <c r="J217" s="8" t="s">
        <v>4747</v>
      </c>
      <c r="L217" s="123"/>
      <c r="P217" s="365">
        <v>744</v>
      </c>
      <c r="Q217" s="79" t="s">
        <v>6289</v>
      </c>
      <c r="R217" s="346">
        <v>592</v>
      </c>
      <c r="S217" s="81">
        <v>29</v>
      </c>
      <c r="T217" s="327">
        <v>256</v>
      </c>
      <c r="U217" s="393">
        <v>11</v>
      </c>
      <c r="V217" s="310">
        <f t="shared" ref="V217" si="288">U217/X217</f>
        <v>2.430939226519337E-2</v>
      </c>
      <c r="W217" s="94">
        <v>11.24</v>
      </c>
      <c r="X217" s="36">
        <v>452.5</v>
      </c>
      <c r="Y217" s="66">
        <v>431</v>
      </c>
      <c r="Z217" s="15">
        <f t="shared" ref="Z217" si="289">X217-Y217</f>
        <v>21.5</v>
      </c>
      <c r="AA217" s="63">
        <f t="shared" ref="AA217" si="290">Z217/Y217</f>
        <v>4.9883990719257539E-2</v>
      </c>
      <c r="AB217" s="344">
        <v>-3.46</v>
      </c>
      <c r="AD217" s="22" t="s">
        <v>2264</v>
      </c>
      <c r="AE217" s="84">
        <v>44638</v>
      </c>
      <c r="AF217" s="83">
        <v>44641</v>
      </c>
      <c r="AG217" s="33">
        <f t="shared" ref="AG217" si="291">AF217-AE217</f>
        <v>3</v>
      </c>
      <c r="AH217" s="117" t="s">
        <v>2266</v>
      </c>
      <c r="AI217" s="63"/>
      <c r="AJ217" s="284"/>
      <c r="AK217" s="400"/>
      <c r="AM217" s="245"/>
      <c r="AN217" s="245"/>
    </row>
    <row r="218" spans="1:40">
      <c r="A218" s="347">
        <v>7.11</v>
      </c>
      <c r="B218" s="79">
        <v>71</v>
      </c>
      <c r="C218" s="79">
        <v>65</v>
      </c>
      <c r="D218" s="80">
        <v>-20</v>
      </c>
      <c r="E218" s="79">
        <v>30</v>
      </c>
      <c r="F218" s="79">
        <v>16.79</v>
      </c>
      <c r="G218" s="79">
        <v>6438</v>
      </c>
      <c r="H218" s="8" t="s">
        <v>314</v>
      </c>
      <c r="I218" s="22" t="s">
        <v>484</v>
      </c>
      <c r="J218" s="8" t="s">
        <v>4741</v>
      </c>
      <c r="L218" s="245"/>
      <c r="P218" s="365">
        <v>124</v>
      </c>
      <c r="Q218" s="79">
        <v>480</v>
      </c>
      <c r="R218" s="346">
        <v>389</v>
      </c>
      <c r="S218" s="81">
        <v>42</v>
      </c>
      <c r="T218" s="327">
        <v>195</v>
      </c>
      <c r="U218" s="393">
        <v>6.5</v>
      </c>
      <c r="V218" s="310">
        <f>U218/X218</f>
        <v>4.924242424242424E-2</v>
      </c>
      <c r="W218" s="94">
        <v>10.36</v>
      </c>
      <c r="X218" s="36">
        <v>132</v>
      </c>
      <c r="Y218" s="66">
        <v>129.5</v>
      </c>
      <c r="Z218" s="15">
        <f>X218-Y218</f>
        <v>2.5</v>
      </c>
      <c r="AA218" s="63">
        <f>Z218/Y218</f>
        <v>1.9305019305019305E-2</v>
      </c>
      <c r="AB218" s="344">
        <v>-5.3</v>
      </c>
      <c r="AD218" s="22" t="s">
        <v>484</v>
      </c>
      <c r="AE218" s="84">
        <v>44641</v>
      </c>
      <c r="AF218" s="86">
        <v>44641</v>
      </c>
      <c r="AG218" s="33">
        <f>AF218-AE218</f>
        <v>0</v>
      </c>
      <c r="AH218" s="43" t="s">
        <v>2309</v>
      </c>
      <c r="AI218" s="63"/>
      <c r="AJ218" s="284"/>
      <c r="AK218" s="400"/>
      <c r="AM218" s="245"/>
      <c r="AN218" s="245"/>
    </row>
    <row r="219" spans="1:40">
      <c r="A219" s="347">
        <v>11.7</v>
      </c>
      <c r="B219" s="79">
        <v>179</v>
      </c>
      <c r="C219" s="79">
        <v>203</v>
      </c>
      <c r="D219" s="80">
        <v>-19</v>
      </c>
      <c r="E219" s="79">
        <v>49</v>
      </c>
      <c r="F219" s="79">
        <v>19.670000000000002</v>
      </c>
      <c r="G219" s="79">
        <v>3624</v>
      </c>
      <c r="H219" s="8" t="s">
        <v>308</v>
      </c>
      <c r="I219" s="16" t="s">
        <v>4578</v>
      </c>
      <c r="J219" s="8" t="s">
        <v>4747</v>
      </c>
      <c r="L219" s="123"/>
      <c r="P219" s="365">
        <v>205</v>
      </c>
      <c r="Q219" s="79">
        <v>176</v>
      </c>
      <c r="R219" s="346">
        <v>97</v>
      </c>
      <c r="S219" s="81">
        <v>9</v>
      </c>
      <c r="T219" s="327">
        <v>80</v>
      </c>
      <c r="U219" s="393">
        <v>2.2000000000000002</v>
      </c>
      <c r="V219" s="310">
        <f>U219/X219</f>
        <v>2.5056947608200458E-2</v>
      </c>
      <c r="W219" s="94">
        <v>4.04</v>
      </c>
      <c r="X219" s="36">
        <v>87.8</v>
      </c>
      <c r="Y219" s="66">
        <v>86.2</v>
      </c>
      <c r="Z219" s="15">
        <f>X219-Y219</f>
        <v>1.5999999999999943</v>
      </c>
      <c r="AA219" s="63">
        <f>Z219/Y219</f>
        <v>1.8561484918793437E-2</v>
      </c>
      <c r="AB219" s="344">
        <v>-9.8699999999999992</v>
      </c>
      <c r="AD219" s="16" t="s">
        <v>4578</v>
      </c>
      <c r="AE219" s="84">
        <v>44641</v>
      </c>
      <c r="AF219" s="86">
        <v>44641</v>
      </c>
      <c r="AG219" s="33">
        <f>AF219-AE219</f>
        <v>0</v>
      </c>
      <c r="AH219" s="43" t="s">
        <v>2407</v>
      </c>
      <c r="AI219" s="63"/>
      <c r="AJ219" s="284"/>
      <c r="AK219" s="400"/>
      <c r="AM219" s="245"/>
      <c r="AN219" s="245"/>
    </row>
    <row r="220" spans="1:40">
      <c r="A220" s="347">
        <v>6.22</v>
      </c>
      <c r="B220" s="79">
        <v>64</v>
      </c>
      <c r="C220" s="79">
        <v>6</v>
      </c>
      <c r="D220" s="80">
        <v>-13</v>
      </c>
      <c r="E220" s="79">
        <v>7</v>
      </c>
      <c r="F220" s="79">
        <v>11.41</v>
      </c>
      <c r="G220" s="80">
        <v>3491</v>
      </c>
      <c r="H220" s="5" t="s">
        <v>311</v>
      </c>
      <c r="I220" s="16" t="s">
        <v>4368</v>
      </c>
      <c r="J220" s="8" t="s">
        <v>4741</v>
      </c>
      <c r="L220" s="123"/>
      <c r="P220" s="365">
        <v>104</v>
      </c>
      <c r="Q220" s="79">
        <v>224</v>
      </c>
      <c r="R220" s="346">
        <v>419</v>
      </c>
      <c r="S220" s="81">
        <v>96</v>
      </c>
      <c r="T220" s="327">
        <v>52</v>
      </c>
      <c r="U220" s="393">
        <v>2.5</v>
      </c>
      <c r="V220" s="310">
        <f>U220/X220</f>
        <v>1.4326647564469915E-2</v>
      </c>
      <c r="W220" s="94">
        <v>3.19</v>
      </c>
      <c r="X220" s="36">
        <v>174.5</v>
      </c>
      <c r="Y220" s="66">
        <v>171.5</v>
      </c>
      <c r="Z220" s="15">
        <f>X220-Y220</f>
        <v>3</v>
      </c>
      <c r="AA220" s="63">
        <f>Z220/Y220</f>
        <v>1.7492711370262391E-2</v>
      </c>
      <c r="AB220" s="344">
        <v>-26.64</v>
      </c>
      <c r="AD220" s="16" t="s">
        <v>4368</v>
      </c>
      <c r="AE220" s="84">
        <v>44602</v>
      </c>
      <c r="AF220" s="83">
        <v>44641</v>
      </c>
      <c r="AG220" s="33">
        <f>AF220-AE220</f>
        <v>39</v>
      </c>
      <c r="AH220" s="117" t="s">
        <v>4369</v>
      </c>
      <c r="AI220" s="63"/>
      <c r="AJ220" s="284"/>
      <c r="AK220" s="400"/>
      <c r="AM220" s="245"/>
      <c r="AN220" s="245"/>
    </row>
    <row r="221" spans="1:40">
      <c r="A221" s="347">
        <v>24.8</v>
      </c>
      <c r="B221" s="79">
        <v>403</v>
      </c>
      <c r="C221" s="79">
        <v>840</v>
      </c>
      <c r="D221" s="80">
        <v>-1</v>
      </c>
      <c r="E221" s="79">
        <v>122</v>
      </c>
      <c r="F221" s="79">
        <v>17.34</v>
      </c>
      <c r="G221" s="79">
        <v>3035</v>
      </c>
      <c r="H221" s="5" t="s">
        <v>3039</v>
      </c>
      <c r="I221" s="22" t="s">
        <v>1826</v>
      </c>
      <c r="J221" s="8" t="s">
        <v>4741</v>
      </c>
      <c r="L221" s="123"/>
      <c r="P221" s="365">
        <v>333</v>
      </c>
      <c r="Q221" s="79">
        <v>75</v>
      </c>
      <c r="R221" s="346">
        <v>190</v>
      </c>
      <c r="S221" s="81">
        <v>1</v>
      </c>
      <c r="T221" s="327">
        <v>2</v>
      </c>
      <c r="U221" s="393">
        <v>3.3</v>
      </c>
      <c r="V221" s="310">
        <f>U221/X221</f>
        <v>1.1764705882352941E-2</v>
      </c>
      <c r="W221" s="94">
        <v>2.82</v>
      </c>
      <c r="X221" s="36">
        <v>280.5</v>
      </c>
      <c r="Y221" s="66">
        <v>275.5</v>
      </c>
      <c r="Z221" s="15">
        <f>X221-Y221</f>
        <v>5</v>
      </c>
      <c r="AA221" s="63">
        <f>Z221/Y221</f>
        <v>1.8148820326678767E-2</v>
      </c>
      <c r="AB221" s="344">
        <v>-16.16</v>
      </c>
      <c r="AD221" s="22" t="s">
        <v>1826</v>
      </c>
      <c r="AE221" s="84">
        <v>44638</v>
      </c>
      <c r="AF221" s="83">
        <v>44641</v>
      </c>
      <c r="AG221" s="33">
        <f>AF221-AE221</f>
        <v>3</v>
      </c>
      <c r="AH221" s="117" t="s">
        <v>2315</v>
      </c>
      <c r="AI221" s="63"/>
      <c r="AJ221" s="284"/>
      <c r="AK221" s="400"/>
      <c r="AM221" s="245"/>
      <c r="AN221" s="245"/>
    </row>
    <row r="222" spans="1:40">
      <c r="A222" s="347">
        <v>9.0299999999999994</v>
      </c>
      <c r="B222" s="79">
        <v>23</v>
      </c>
      <c r="C222" s="79">
        <v>31</v>
      </c>
      <c r="D222" s="80">
        <v>-10</v>
      </c>
      <c r="E222" s="79">
        <v>160</v>
      </c>
      <c r="F222" s="79">
        <v>18.86</v>
      </c>
      <c r="G222" s="79">
        <v>6104</v>
      </c>
      <c r="H222" s="145" t="s">
        <v>3039</v>
      </c>
      <c r="I222" s="16" t="s">
        <v>372</v>
      </c>
      <c r="J222" s="8" t="s">
        <v>4747</v>
      </c>
      <c r="L222" s="123"/>
      <c r="P222" s="365">
        <v>20</v>
      </c>
      <c r="Q222" s="79">
        <v>122</v>
      </c>
      <c r="R222" s="346">
        <v>571</v>
      </c>
      <c r="S222" s="81">
        <v>14</v>
      </c>
      <c r="T222" s="327">
        <v>4</v>
      </c>
      <c r="U222" s="393">
        <v>4.5</v>
      </c>
      <c r="V222" s="310">
        <f>U222/X222</f>
        <v>1.4975041597337771E-2</v>
      </c>
      <c r="W222" s="94">
        <v>6.41</v>
      </c>
      <c r="X222" s="36">
        <v>300.5</v>
      </c>
      <c r="Y222" s="66">
        <v>295</v>
      </c>
      <c r="Z222" s="15">
        <f>X222-Y222</f>
        <v>5.5</v>
      </c>
      <c r="AA222" s="63">
        <f>Z222/Y222</f>
        <v>1.864406779661017E-2</v>
      </c>
      <c r="AB222" s="344">
        <v>-3.5</v>
      </c>
      <c r="AD222" s="16" t="s">
        <v>372</v>
      </c>
      <c r="AE222" s="84">
        <v>44634</v>
      </c>
      <c r="AF222" s="83">
        <v>44641</v>
      </c>
      <c r="AG222" s="33">
        <f>AF222-AE222</f>
        <v>7</v>
      </c>
      <c r="AH222" s="43" t="s">
        <v>3046</v>
      </c>
      <c r="AI222" s="63"/>
      <c r="AJ222" s="284"/>
      <c r="AK222" s="289"/>
      <c r="AM222" s="245"/>
      <c r="AN222" s="245"/>
    </row>
    <row r="223" spans="1:40">
      <c r="A223" s="347">
        <v>11.7</v>
      </c>
      <c r="B223" s="79">
        <v>179</v>
      </c>
      <c r="C223" s="79">
        <v>203</v>
      </c>
      <c r="D223" s="80">
        <v>-19</v>
      </c>
      <c r="E223" s="79">
        <v>49</v>
      </c>
      <c r="F223" s="79">
        <v>19.670000000000002</v>
      </c>
      <c r="G223" s="80">
        <v>3624</v>
      </c>
      <c r="H223" s="5" t="s">
        <v>3389</v>
      </c>
      <c r="I223" s="16" t="s">
        <v>4578</v>
      </c>
      <c r="J223" s="8" t="s">
        <v>4741</v>
      </c>
      <c r="L223" s="123"/>
      <c r="P223" s="365">
        <v>205</v>
      </c>
      <c r="Q223" s="79">
        <v>176</v>
      </c>
      <c r="R223" s="346">
        <v>97</v>
      </c>
      <c r="S223" s="81">
        <v>9</v>
      </c>
      <c r="T223" s="327">
        <v>80</v>
      </c>
      <c r="U223" s="393">
        <v>2.2000000000000002</v>
      </c>
      <c r="V223" s="310">
        <f t="shared" ref="V223" si="292">U223/X223</f>
        <v>2.802547770700637E-2</v>
      </c>
      <c r="W223" s="94">
        <v>4.04</v>
      </c>
      <c r="X223" s="36">
        <v>78.5</v>
      </c>
      <c r="Y223" s="66">
        <v>76.099999999999994</v>
      </c>
      <c r="Z223" s="15">
        <f t="shared" ref="Z223" si="293">X223-Y223</f>
        <v>2.4000000000000057</v>
      </c>
      <c r="AA223" s="63">
        <f t="shared" ref="AA223" si="294">Z223/Y223</f>
        <v>3.1537450722733326E-2</v>
      </c>
      <c r="AB223" s="344">
        <v>-22.75</v>
      </c>
      <c r="AD223" s="16" t="s">
        <v>4578</v>
      </c>
      <c r="AE223" s="84">
        <v>44637</v>
      </c>
      <c r="AF223" s="83">
        <v>44638</v>
      </c>
      <c r="AG223" s="33">
        <f t="shared" ref="AG223" si="295">AF223-AE223</f>
        <v>1</v>
      </c>
      <c r="AH223" s="43" t="s">
        <v>2407</v>
      </c>
      <c r="AI223" s="63"/>
      <c r="AJ223" s="284"/>
      <c r="AK223" s="400"/>
      <c r="AM223" s="245"/>
      <c r="AN223" s="245"/>
    </row>
    <row r="224" spans="1:40">
      <c r="A224" s="347">
        <v>4.5599999999999996</v>
      </c>
      <c r="B224" s="79">
        <v>23</v>
      </c>
      <c r="C224" s="80">
        <v>-4</v>
      </c>
      <c r="D224" s="80">
        <v>-21</v>
      </c>
      <c r="E224" s="79">
        <v>52</v>
      </c>
      <c r="F224" s="79">
        <v>16.68</v>
      </c>
      <c r="G224" s="79">
        <v>8091</v>
      </c>
      <c r="H224" s="145" t="s">
        <v>3389</v>
      </c>
      <c r="I224" s="16" t="s">
        <v>6138</v>
      </c>
      <c r="J224" s="8" t="s">
        <v>4741</v>
      </c>
      <c r="L224" s="123"/>
      <c r="P224" s="365">
        <v>383</v>
      </c>
      <c r="Q224" s="79">
        <v>103</v>
      </c>
      <c r="R224" s="346">
        <v>802</v>
      </c>
      <c r="S224" s="81">
        <v>268</v>
      </c>
      <c r="T224" s="327">
        <v>294</v>
      </c>
      <c r="U224" s="393">
        <v>2.58</v>
      </c>
      <c r="V224" s="310">
        <f>U224/X224</f>
        <v>2.7505330490405117E-2</v>
      </c>
      <c r="W224" s="94">
        <v>4.63</v>
      </c>
      <c r="X224" s="36">
        <v>93.8</v>
      </c>
      <c r="Y224" s="66">
        <v>92</v>
      </c>
      <c r="Z224" s="15">
        <f t="shared" ref="Z224:Z229" si="296">X224-Y224</f>
        <v>1.7999999999999972</v>
      </c>
      <c r="AA224" s="63">
        <f t="shared" ref="AA224:AA229" si="297">Z224/Y224</f>
        <v>1.9565217391304318E-2</v>
      </c>
      <c r="AB224" s="344">
        <v>-3.54</v>
      </c>
      <c r="AD224" s="16" t="s">
        <v>6138</v>
      </c>
      <c r="AE224" s="84">
        <v>44634</v>
      </c>
      <c r="AF224" s="83">
        <v>44638</v>
      </c>
      <c r="AG224" s="33">
        <f t="shared" ref="AG224:AG229" si="298">AF224-AE224</f>
        <v>4</v>
      </c>
      <c r="AH224" s="117" t="s">
        <v>2428</v>
      </c>
      <c r="AI224" s="63"/>
      <c r="AJ224" s="284"/>
      <c r="AK224" s="400"/>
      <c r="AM224" s="245"/>
      <c r="AN224" s="245"/>
    </row>
    <row r="225" spans="1:40">
      <c r="A225" s="347">
        <v>28.6</v>
      </c>
      <c r="B225" s="79">
        <v>364</v>
      </c>
      <c r="C225" s="79">
        <v>408</v>
      </c>
      <c r="D225" s="80">
        <v>-12</v>
      </c>
      <c r="E225" s="79">
        <v>3</v>
      </c>
      <c r="F225" s="79">
        <v>24.64</v>
      </c>
      <c r="G225" s="79">
        <v>3006</v>
      </c>
      <c r="H225" s="8" t="s">
        <v>3039</v>
      </c>
      <c r="I225" s="22" t="s">
        <v>95</v>
      </c>
      <c r="J225" s="8" t="s">
        <v>4741</v>
      </c>
      <c r="L225" s="123"/>
      <c r="P225" s="365">
        <v>26</v>
      </c>
      <c r="Q225" s="79">
        <v>1054</v>
      </c>
      <c r="R225" s="346">
        <v>380</v>
      </c>
      <c r="S225" s="81">
        <v>172</v>
      </c>
      <c r="T225" s="327">
        <v>90</v>
      </c>
      <c r="U225" s="393">
        <v>8</v>
      </c>
      <c r="V225" s="310">
        <f>U225/X225</f>
        <v>4.6376811594202899E-2</v>
      </c>
      <c r="W225" s="94">
        <v>17.760000000000002</v>
      </c>
      <c r="X225" s="36">
        <v>172.5</v>
      </c>
      <c r="Y225" s="66">
        <v>166.5</v>
      </c>
      <c r="Z225" s="15">
        <f t="shared" si="296"/>
        <v>6</v>
      </c>
      <c r="AA225" s="63">
        <f t="shared" si="297"/>
        <v>3.6036036036036036E-2</v>
      </c>
      <c r="AB225" s="344">
        <v>-20.66</v>
      </c>
      <c r="AD225" s="22" t="s">
        <v>95</v>
      </c>
      <c r="AE225" s="84">
        <v>44627</v>
      </c>
      <c r="AF225" s="83">
        <v>44637</v>
      </c>
      <c r="AG225" s="33">
        <f t="shared" si="298"/>
        <v>10</v>
      </c>
      <c r="AH225" s="117" t="s">
        <v>2129</v>
      </c>
      <c r="AI225" s="63"/>
      <c r="AJ225" s="284"/>
      <c r="AK225" s="400"/>
      <c r="AM225" s="245"/>
      <c r="AN225" s="245"/>
    </row>
    <row r="226" spans="1:40">
      <c r="A226" s="347">
        <v>28.6</v>
      </c>
      <c r="B226" s="79">
        <v>364</v>
      </c>
      <c r="C226" s="79">
        <v>408</v>
      </c>
      <c r="D226" s="80">
        <v>-12</v>
      </c>
      <c r="E226" s="79">
        <v>3</v>
      </c>
      <c r="F226" s="79">
        <v>24.64</v>
      </c>
      <c r="G226" s="79">
        <v>3006</v>
      </c>
      <c r="H226" s="8" t="s">
        <v>3039</v>
      </c>
      <c r="I226" s="22" t="s">
        <v>95</v>
      </c>
      <c r="J226" s="8" t="s">
        <v>4741</v>
      </c>
      <c r="L226" s="123"/>
      <c r="P226" s="365">
        <v>26</v>
      </c>
      <c r="Q226" s="79">
        <v>1054</v>
      </c>
      <c r="R226" s="346">
        <v>380</v>
      </c>
      <c r="S226" s="81">
        <v>172</v>
      </c>
      <c r="T226" s="327">
        <v>90</v>
      </c>
      <c r="U226" s="393">
        <v>8</v>
      </c>
      <c r="V226" s="310">
        <f>U226/X226</f>
        <v>4.6376811594202899E-2</v>
      </c>
      <c r="W226" s="94">
        <v>17.760000000000002</v>
      </c>
      <c r="X226" s="36">
        <v>172.5</v>
      </c>
      <c r="Y226" s="66">
        <v>172</v>
      </c>
      <c r="Z226" s="15">
        <f t="shared" si="296"/>
        <v>0.5</v>
      </c>
      <c r="AA226" s="63">
        <f t="shared" si="297"/>
        <v>2.9069767441860465E-3</v>
      </c>
      <c r="AB226" s="344">
        <v>-19.48</v>
      </c>
      <c r="AD226" s="22" t="s">
        <v>95</v>
      </c>
      <c r="AE226" s="84">
        <v>44624</v>
      </c>
      <c r="AF226" s="83">
        <v>44637</v>
      </c>
      <c r="AG226" s="33">
        <f t="shared" si="298"/>
        <v>13</v>
      </c>
      <c r="AH226" s="117" t="s">
        <v>2129</v>
      </c>
      <c r="AI226" s="63"/>
      <c r="AJ226" s="284"/>
      <c r="AK226" s="400"/>
      <c r="AM226" s="245"/>
      <c r="AN226" s="245"/>
    </row>
    <row r="227" spans="1:40">
      <c r="A227" s="347">
        <v>8.33</v>
      </c>
      <c r="B227" s="79">
        <v>119</v>
      </c>
      <c r="C227" s="79">
        <v>111</v>
      </c>
      <c r="D227" s="79">
        <v>30</v>
      </c>
      <c r="E227" s="79">
        <v>43</v>
      </c>
      <c r="F227" s="79">
        <v>24.41</v>
      </c>
      <c r="G227" s="79">
        <v>6187</v>
      </c>
      <c r="H227" s="5" t="s">
        <v>314</v>
      </c>
      <c r="I227" s="16" t="s">
        <v>4687</v>
      </c>
      <c r="J227" s="8" t="s">
        <v>4741</v>
      </c>
      <c r="L227" s="123"/>
      <c r="P227" s="365">
        <v>204</v>
      </c>
      <c r="Q227" s="79">
        <v>46</v>
      </c>
      <c r="R227" s="346">
        <v>1096</v>
      </c>
      <c r="S227" s="81">
        <v>4</v>
      </c>
      <c r="T227" s="327">
        <v>164</v>
      </c>
      <c r="U227" s="393">
        <v>4.5</v>
      </c>
      <c r="V227" s="310">
        <f>U227/X227</f>
        <v>3.0716723549488054E-2</v>
      </c>
      <c r="W227" s="94">
        <v>6.65</v>
      </c>
      <c r="X227" s="36">
        <v>146.5</v>
      </c>
      <c r="Y227" s="66">
        <v>144</v>
      </c>
      <c r="Z227" s="15">
        <f t="shared" si="296"/>
        <v>2.5</v>
      </c>
      <c r="AA227" s="63">
        <f t="shared" si="297"/>
        <v>1.7361111111111112E-2</v>
      </c>
      <c r="AB227" s="344">
        <v>-17.75</v>
      </c>
      <c r="AD227" s="16" t="s">
        <v>4687</v>
      </c>
      <c r="AE227" s="84">
        <v>44634</v>
      </c>
      <c r="AF227" s="83">
        <v>44637</v>
      </c>
      <c r="AG227" s="33">
        <f t="shared" si="298"/>
        <v>3</v>
      </c>
      <c r="AH227" s="43" t="s">
        <v>2309</v>
      </c>
      <c r="AI227" s="63"/>
      <c r="AJ227" s="284"/>
      <c r="AK227" s="400"/>
      <c r="AM227" s="245"/>
      <c r="AN227" s="245"/>
    </row>
    <row r="228" spans="1:40">
      <c r="A228" s="347">
        <v>7.31</v>
      </c>
      <c r="B228" s="79">
        <v>71</v>
      </c>
      <c r="C228" s="79">
        <v>65</v>
      </c>
      <c r="D228" s="80">
        <v>-20</v>
      </c>
      <c r="E228" s="79">
        <v>30</v>
      </c>
      <c r="F228" s="79">
        <v>16.79</v>
      </c>
      <c r="G228" s="79">
        <v>6438</v>
      </c>
      <c r="H228" s="5" t="s">
        <v>314</v>
      </c>
      <c r="I228" s="22" t="s">
        <v>4688</v>
      </c>
      <c r="J228" s="8" t="s">
        <v>4741</v>
      </c>
      <c r="L228" s="245"/>
      <c r="P228" s="365">
        <v>124</v>
      </c>
      <c r="Q228" s="79">
        <v>480</v>
      </c>
      <c r="R228" s="346">
        <v>389</v>
      </c>
      <c r="S228" s="81">
        <v>42</v>
      </c>
      <c r="T228" s="327">
        <v>195</v>
      </c>
      <c r="U228" s="393">
        <v>6.5</v>
      </c>
      <c r="V228" s="310">
        <f t="shared" ref="V228:V234" si="299">U228/X228</f>
        <v>5.3278688524590161E-2</v>
      </c>
      <c r="W228" s="94">
        <v>10.36</v>
      </c>
      <c r="X228" s="36">
        <v>122</v>
      </c>
      <c r="Y228" s="66">
        <v>120</v>
      </c>
      <c r="Z228" s="15">
        <f t="shared" si="296"/>
        <v>2</v>
      </c>
      <c r="AA228" s="63">
        <f t="shared" si="297"/>
        <v>1.6666666666666666E-2</v>
      </c>
      <c r="AB228" s="344">
        <v>-9.4700000000000006</v>
      </c>
      <c r="AD228" s="22" t="s">
        <v>4688</v>
      </c>
      <c r="AE228" s="84">
        <v>44631</v>
      </c>
      <c r="AF228" s="83">
        <v>44634</v>
      </c>
      <c r="AG228" s="33">
        <f t="shared" si="298"/>
        <v>3</v>
      </c>
      <c r="AH228" s="43" t="s">
        <v>2309</v>
      </c>
      <c r="AI228" s="63"/>
      <c r="AJ228" s="284"/>
      <c r="AK228" s="400"/>
      <c r="AM228" s="245"/>
      <c r="AN228" s="245"/>
    </row>
    <row r="229" spans="1:40">
      <c r="A229" s="347">
        <v>9.0299999999999994</v>
      </c>
      <c r="B229" s="79">
        <v>23</v>
      </c>
      <c r="C229" s="79">
        <v>31</v>
      </c>
      <c r="D229" s="79">
        <v>13</v>
      </c>
      <c r="E229" s="79">
        <v>123</v>
      </c>
      <c r="F229" s="79">
        <v>18.86</v>
      </c>
      <c r="G229" s="79">
        <v>6104</v>
      </c>
      <c r="H229" s="145" t="s">
        <v>3039</v>
      </c>
      <c r="I229" s="16" t="s">
        <v>372</v>
      </c>
      <c r="J229" s="8" t="s">
        <v>4741</v>
      </c>
      <c r="L229" s="123"/>
      <c r="P229" s="365">
        <v>20</v>
      </c>
      <c r="Q229" s="79">
        <v>122</v>
      </c>
      <c r="R229" s="346">
        <v>571</v>
      </c>
      <c r="S229" s="81">
        <v>14</v>
      </c>
      <c r="T229" s="327">
        <v>4</v>
      </c>
      <c r="U229" s="393">
        <v>3</v>
      </c>
      <c r="V229" s="310">
        <f t="shared" si="299"/>
        <v>1.0084033613445379E-2</v>
      </c>
      <c r="W229" s="94">
        <v>4.42</v>
      </c>
      <c r="X229" s="36">
        <v>297.5</v>
      </c>
      <c r="Y229" s="66">
        <v>292.5</v>
      </c>
      <c r="Z229" s="15">
        <f t="shared" si="296"/>
        <v>5</v>
      </c>
      <c r="AA229" s="63">
        <f t="shared" si="297"/>
        <v>1.7094017094017096E-2</v>
      </c>
      <c r="AB229" s="344">
        <v>-2.17</v>
      </c>
      <c r="AD229" s="16" t="s">
        <v>372</v>
      </c>
      <c r="AE229" s="84">
        <v>44624</v>
      </c>
      <c r="AF229" s="83">
        <v>44634</v>
      </c>
      <c r="AG229" s="33">
        <f t="shared" si="298"/>
        <v>10</v>
      </c>
      <c r="AH229" s="43" t="s">
        <v>3046</v>
      </c>
      <c r="AI229" s="63"/>
      <c r="AJ229" s="284"/>
      <c r="AK229" s="289"/>
      <c r="AM229" s="245"/>
      <c r="AN229" s="245"/>
    </row>
    <row r="230" spans="1:40">
      <c r="A230" s="347">
        <v>4.9800000000000004</v>
      </c>
      <c r="B230" s="80">
        <v>-42</v>
      </c>
      <c r="C230" s="80">
        <v>-44</v>
      </c>
      <c r="D230" s="80">
        <v>-8</v>
      </c>
      <c r="E230" s="79">
        <v>64</v>
      </c>
      <c r="F230" s="79">
        <v>14.35</v>
      </c>
      <c r="G230" s="79">
        <v>8155</v>
      </c>
      <c r="H230" s="5" t="s">
        <v>3389</v>
      </c>
      <c r="I230" s="16" t="s">
        <v>84</v>
      </c>
      <c r="J230" s="8" t="s">
        <v>4741</v>
      </c>
      <c r="L230" s="123"/>
      <c r="P230" s="365">
        <v>224</v>
      </c>
      <c r="Q230" s="79">
        <v>214</v>
      </c>
      <c r="R230" s="346">
        <v>1075</v>
      </c>
      <c r="S230" s="81">
        <v>2</v>
      </c>
      <c r="T230" s="327">
        <v>31</v>
      </c>
      <c r="U230" s="393">
        <v>7</v>
      </c>
      <c r="V230" s="310">
        <f t="shared" si="299"/>
        <v>3.5897435897435895E-2</v>
      </c>
      <c r="W230" s="94">
        <v>6.99</v>
      </c>
      <c r="X230" s="36">
        <v>195</v>
      </c>
      <c r="Y230" s="66">
        <v>191.5</v>
      </c>
      <c r="Z230" s="15">
        <f t="shared" ref="Z230:Z245" si="300">X230-Y230</f>
        <v>3.5</v>
      </c>
      <c r="AA230" s="63">
        <f t="shared" ref="AA230:AA245" si="301">Z230/Y230</f>
        <v>1.8276762402088774E-2</v>
      </c>
      <c r="AB230" s="344">
        <v>-4.96</v>
      </c>
      <c r="AD230" s="16" t="s">
        <v>84</v>
      </c>
      <c r="AE230" s="84">
        <v>44631</v>
      </c>
      <c r="AF230" s="86">
        <v>44631</v>
      </c>
      <c r="AG230" s="33">
        <f t="shared" ref="AG230:AG244" si="302">AF230-AE230</f>
        <v>0</v>
      </c>
      <c r="AH230" s="117" t="s">
        <v>1049</v>
      </c>
      <c r="AI230" s="63"/>
      <c r="AJ230" s="284"/>
      <c r="AK230" s="400"/>
      <c r="AM230" s="245"/>
      <c r="AN230" s="245"/>
    </row>
    <row r="231" spans="1:40">
      <c r="A231" s="347">
        <v>10.7</v>
      </c>
      <c r="B231" s="79">
        <v>170</v>
      </c>
      <c r="C231" s="79">
        <v>170</v>
      </c>
      <c r="D231" s="79">
        <v>1</v>
      </c>
      <c r="E231" s="79">
        <v>41</v>
      </c>
      <c r="F231" s="79">
        <v>7.96</v>
      </c>
      <c r="G231" s="79">
        <v>4739</v>
      </c>
      <c r="H231" s="8" t="s">
        <v>3578</v>
      </c>
      <c r="I231" s="22" t="s">
        <v>3632</v>
      </c>
      <c r="J231" s="8" t="s">
        <v>3544</v>
      </c>
      <c r="L231" s="123"/>
      <c r="P231" s="365">
        <v>66</v>
      </c>
      <c r="Q231" s="79" t="s">
        <v>6289</v>
      </c>
      <c r="R231" s="346">
        <v>978</v>
      </c>
      <c r="S231" s="81">
        <v>110</v>
      </c>
      <c r="T231" s="327">
        <v>78</v>
      </c>
      <c r="U231" s="393">
        <v>3</v>
      </c>
      <c r="V231" s="310">
        <f t="shared" si="299"/>
        <v>1.8633540372670808E-2</v>
      </c>
      <c r="W231" s="94">
        <v>4.7</v>
      </c>
      <c r="X231" s="36">
        <v>161</v>
      </c>
      <c r="Y231" s="66">
        <v>158</v>
      </c>
      <c r="Z231" s="15">
        <f t="shared" si="300"/>
        <v>3</v>
      </c>
      <c r="AA231" s="63">
        <f t="shared" si="301"/>
        <v>1.8987341772151899E-2</v>
      </c>
      <c r="AB231" s="344">
        <v>-13.31</v>
      </c>
      <c r="AD231" s="22" t="s">
        <v>3632</v>
      </c>
      <c r="AE231" s="84">
        <v>44630</v>
      </c>
      <c r="AF231" s="83">
        <v>44631</v>
      </c>
      <c r="AG231" s="33">
        <f t="shared" si="302"/>
        <v>1</v>
      </c>
      <c r="AH231" s="117" t="s">
        <v>2290</v>
      </c>
      <c r="AI231" s="63"/>
      <c r="AJ231" s="284"/>
      <c r="AK231" s="400"/>
      <c r="AM231" s="245"/>
      <c r="AN231" s="245"/>
    </row>
    <row r="232" spans="1:40">
      <c r="A232" s="347">
        <v>4.4400000000000004</v>
      </c>
      <c r="B232" s="79">
        <v>249</v>
      </c>
      <c r="C232" s="79">
        <v>154</v>
      </c>
      <c r="D232" s="80">
        <v>-15</v>
      </c>
      <c r="E232" s="79">
        <v>19</v>
      </c>
      <c r="F232" s="79">
        <v>16.510000000000002</v>
      </c>
      <c r="G232" s="79">
        <v>3675</v>
      </c>
      <c r="H232" s="145" t="s">
        <v>3039</v>
      </c>
      <c r="I232" s="16" t="s">
        <v>365</v>
      </c>
      <c r="J232" s="8" t="s">
        <v>4741</v>
      </c>
      <c r="L232" s="123"/>
      <c r="P232" s="365">
        <v>326</v>
      </c>
      <c r="Q232" s="79">
        <v>365</v>
      </c>
      <c r="R232" s="346">
        <v>69</v>
      </c>
      <c r="S232" s="81">
        <v>3</v>
      </c>
      <c r="T232" s="327">
        <v>88</v>
      </c>
      <c r="U232" s="393">
        <v>5</v>
      </c>
      <c r="V232" s="310">
        <f t="shared" si="299"/>
        <v>1.7211703958691909E-2</v>
      </c>
      <c r="W232" s="94">
        <v>7.36</v>
      </c>
      <c r="X232" s="36">
        <v>290.5</v>
      </c>
      <c r="Y232" s="66">
        <v>284.5</v>
      </c>
      <c r="Z232" s="15">
        <f t="shared" si="300"/>
        <v>6</v>
      </c>
      <c r="AA232" s="63">
        <f t="shared" si="301"/>
        <v>2.10896309314587E-2</v>
      </c>
      <c r="AB232" s="344">
        <v>-11.09</v>
      </c>
      <c r="AD232" s="16" t="s">
        <v>365</v>
      </c>
      <c r="AE232" s="84">
        <v>44627</v>
      </c>
      <c r="AF232" s="83">
        <v>44631</v>
      </c>
      <c r="AG232" s="33">
        <f t="shared" si="302"/>
        <v>4</v>
      </c>
      <c r="AH232" s="43" t="s">
        <v>2940</v>
      </c>
      <c r="AI232" s="63"/>
      <c r="AJ232" s="284"/>
      <c r="AK232" s="400"/>
      <c r="AM232" s="245"/>
      <c r="AN232" s="245"/>
    </row>
    <row r="233" spans="1:40">
      <c r="A233" s="347">
        <v>4.9800000000000004</v>
      </c>
      <c r="B233" s="80">
        <v>-42</v>
      </c>
      <c r="C233" s="80">
        <v>-44</v>
      </c>
      <c r="D233" s="79">
        <v>13</v>
      </c>
      <c r="E233" s="79">
        <v>36</v>
      </c>
      <c r="F233" s="79">
        <v>14.35</v>
      </c>
      <c r="G233" s="80">
        <v>8155</v>
      </c>
      <c r="H233" s="5" t="s">
        <v>3389</v>
      </c>
      <c r="I233" s="16" t="s">
        <v>84</v>
      </c>
      <c r="J233" s="8" t="s">
        <v>4741</v>
      </c>
      <c r="L233" s="123"/>
      <c r="P233" s="365">
        <v>224</v>
      </c>
      <c r="Q233" s="79">
        <v>214</v>
      </c>
      <c r="R233" s="346">
        <v>1075</v>
      </c>
      <c r="S233" s="81">
        <v>2</v>
      </c>
      <c r="T233" s="327">
        <v>31</v>
      </c>
      <c r="U233" s="393">
        <v>7</v>
      </c>
      <c r="V233" s="310">
        <f t="shared" si="299"/>
        <v>3.9886039886039885E-2</v>
      </c>
      <c r="W233" s="94">
        <v>6.99</v>
      </c>
      <c r="X233" s="36">
        <v>175.5</v>
      </c>
      <c r="Y233" s="66">
        <v>172.5</v>
      </c>
      <c r="Z233" s="15">
        <f t="shared" si="300"/>
        <v>3</v>
      </c>
      <c r="AA233" s="63">
        <f t="shared" si="301"/>
        <v>1.7391304347826087E-2</v>
      </c>
      <c r="AB233" s="344">
        <v>-18.61</v>
      </c>
      <c r="AD233" s="16" t="s">
        <v>84</v>
      </c>
      <c r="AE233" s="84">
        <v>44629</v>
      </c>
      <c r="AF233" s="86">
        <v>44629</v>
      </c>
      <c r="AG233" s="33">
        <f t="shared" si="302"/>
        <v>0</v>
      </c>
      <c r="AH233" s="117" t="s">
        <v>1049</v>
      </c>
      <c r="AI233" s="63"/>
      <c r="AJ233" s="284"/>
      <c r="AK233" s="400"/>
      <c r="AM233" s="245"/>
      <c r="AN233" s="245"/>
    </row>
    <row r="234" spans="1:40">
      <c r="A234" s="347">
        <v>28.6</v>
      </c>
      <c r="B234" s="79">
        <v>364</v>
      </c>
      <c r="C234" s="79">
        <v>408</v>
      </c>
      <c r="D234" s="80">
        <v>-12</v>
      </c>
      <c r="E234" s="79">
        <v>3</v>
      </c>
      <c r="F234" s="79">
        <v>24.64</v>
      </c>
      <c r="G234" s="79">
        <v>3006</v>
      </c>
      <c r="H234" s="5" t="s">
        <v>3039</v>
      </c>
      <c r="I234" s="22" t="s">
        <v>95</v>
      </c>
      <c r="J234" s="8" t="s">
        <v>4741</v>
      </c>
      <c r="L234" s="123"/>
      <c r="P234" s="365">
        <v>26</v>
      </c>
      <c r="Q234" s="79">
        <v>1054</v>
      </c>
      <c r="R234" s="346">
        <v>380</v>
      </c>
      <c r="S234" s="81">
        <v>172</v>
      </c>
      <c r="T234" s="327">
        <v>90</v>
      </c>
      <c r="U234" s="393">
        <v>8</v>
      </c>
      <c r="V234" s="310">
        <f t="shared" si="299"/>
        <v>4.6647230320699708E-2</v>
      </c>
      <c r="W234" s="94">
        <v>17.760000000000002</v>
      </c>
      <c r="X234" s="36">
        <v>171.5</v>
      </c>
      <c r="Y234" s="66">
        <v>165</v>
      </c>
      <c r="Z234" s="15">
        <f t="shared" si="300"/>
        <v>6.5</v>
      </c>
      <c r="AA234" s="63">
        <f t="shared" si="301"/>
        <v>3.9393939393939391E-2</v>
      </c>
      <c r="AB234" s="344">
        <v>-24.88</v>
      </c>
      <c r="AD234" s="22" t="s">
        <v>95</v>
      </c>
      <c r="AE234" s="84">
        <v>44623</v>
      </c>
      <c r="AF234" s="83">
        <v>44624</v>
      </c>
      <c r="AG234" s="33">
        <f t="shared" si="302"/>
        <v>1</v>
      </c>
      <c r="AH234" s="117" t="s">
        <v>2129</v>
      </c>
      <c r="AI234" s="63"/>
      <c r="AJ234" s="284"/>
      <c r="AK234" s="400"/>
      <c r="AM234" s="245"/>
      <c r="AN234" s="245"/>
    </row>
    <row r="235" spans="1:40">
      <c r="A235" s="347">
        <v>10.7</v>
      </c>
      <c r="B235" s="79">
        <v>170</v>
      </c>
      <c r="C235" s="79">
        <v>170</v>
      </c>
      <c r="D235" s="79">
        <v>7</v>
      </c>
      <c r="E235" s="79">
        <v>28</v>
      </c>
      <c r="F235" s="79">
        <v>7.96</v>
      </c>
      <c r="G235" s="79">
        <v>4739</v>
      </c>
      <c r="H235" s="8" t="s">
        <v>3578</v>
      </c>
      <c r="I235" s="22" t="s">
        <v>3632</v>
      </c>
      <c r="J235" s="8" t="s">
        <v>4741</v>
      </c>
      <c r="L235" s="123"/>
      <c r="P235" s="365">
        <v>66</v>
      </c>
      <c r="Q235" s="79" t="s">
        <v>6289</v>
      </c>
      <c r="R235" s="346">
        <v>978</v>
      </c>
      <c r="S235" s="81">
        <v>110</v>
      </c>
      <c r="T235" s="327">
        <v>78</v>
      </c>
      <c r="U235" s="393">
        <v>3</v>
      </c>
      <c r="V235" s="310">
        <f t="shared" ref="V235:V244" si="303">U235/X235</f>
        <v>1.9292604501607719E-2</v>
      </c>
      <c r="W235" s="94">
        <v>4.7</v>
      </c>
      <c r="X235" s="36">
        <v>155.5</v>
      </c>
      <c r="Y235" s="66">
        <v>149.5</v>
      </c>
      <c r="Z235" s="15">
        <f t="shared" si="300"/>
        <v>6</v>
      </c>
      <c r="AA235" s="63">
        <f t="shared" si="301"/>
        <v>4.0133779264214048E-2</v>
      </c>
      <c r="AB235" s="344">
        <v>-14.45</v>
      </c>
      <c r="AD235" s="22" t="s">
        <v>3632</v>
      </c>
      <c r="AE235" s="84">
        <v>44622</v>
      </c>
      <c r="AF235" s="83">
        <v>44623</v>
      </c>
      <c r="AG235" s="33">
        <f t="shared" si="302"/>
        <v>1</v>
      </c>
      <c r="AH235" s="117" t="s">
        <v>2290</v>
      </c>
      <c r="AI235" s="63"/>
      <c r="AJ235" s="284"/>
      <c r="AK235" s="400"/>
      <c r="AM235" s="245"/>
      <c r="AN235" s="245"/>
    </row>
    <row r="236" spans="1:40">
      <c r="A236" s="347">
        <v>28.6</v>
      </c>
      <c r="B236" s="79">
        <v>364</v>
      </c>
      <c r="C236" s="79">
        <v>371</v>
      </c>
      <c r="D236" s="80">
        <v>-12</v>
      </c>
      <c r="E236" s="79">
        <v>3</v>
      </c>
      <c r="F236" s="79">
        <v>24.55</v>
      </c>
      <c r="G236" s="79">
        <v>3006</v>
      </c>
      <c r="H236" s="8" t="s">
        <v>3039</v>
      </c>
      <c r="I236" s="22" t="s">
        <v>95</v>
      </c>
      <c r="J236" s="8" t="s">
        <v>4741</v>
      </c>
      <c r="L236" s="123"/>
      <c r="P236" s="365">
        <v>26</v>
      </c>
      <c r="Q236" s="79">
        <v>1054</v>
      </c>
      <c r="R236" s="346">
        <v>380</v>
      </c>
      <c r="S236" s="81">
        <v>172</v>
      </c>
      <c r="T236" s="327">
        <v>90</v>
      </c>
      <c r="U236" s="393">
        <v>2</v>
      </c>
      <c r="V236" s="310">
        <f t="shared" si="303"/>
        <v>1.2121212121212121E-2</v>
      </c>
      <c r="W236" s="94">
        <v>14.61</v>
      </c>
      <c r="X236" s="36">
        <v>165</v>
      </c>
      <c r="Y236" s="66">
        <v>162.5</v>
      </c>
      <c r="Z236" s="15">
        <f t="shared" si="300"/>
        <v>2.5</v>
      </c>
      <c r="AA236" s="63">
        <f t="shared" si="301"/>
        <v>1.5384615384615385E-2</v>
      </c>
      <c r="AB236" s="344">
        <v>-23.71</v>
      </c>
      <c r="AD236" s="22" t="s">
        <v>95</v>
      </c>
      <c r="AE236" s="84">
        <v>44613</v>
      </c>
      <c r="AF236" s="83">
        <v>44623</v>
      </c>
      <c r="AG236" s="33">
        <f t="shared" si="302"/>
        <v>10</v>
      </c>
      <c r="AH236" s="117" t="s">
        <v>2129</v>
      </c>
      <c r="AI236" s="63"/>
      <c r="AJ236" s="284"/>
      <c r="AK236" s="400"/>
      <c r="AM236" s="245"/>
      <c r="AN236" s="245"/>
    </row>
    <row r="237" spans="1:40">
      <c r="A237" s="347">
        <v>7.31</v>
      </c>
      <c r="B237" s="79">
        <v>95</v>
      </c>
      <c r="C237" s="79">
        <v>94</v>
      </c>
      <c r="D237" s="79">
        <v>1</v>
      </c>
      <c r="E237" s="79">
        <v>26</v>
      </c>
      <c r="F237" s="79">
        <v>16.350000000000001</v>
      </c>
      <c r="G237" s="79">
        <v>6438</v>
      </c>
      <c r="H237" s="5" t="s">
        <v>314</v>
      </c>
      <c r="I237" s="22" t="s">
        <v>4688</v>
      </c>
      <c r="J237" s="8" t="s">
        <v>4741</v>
      </c>
      <c r="L237" s="245"/>
      <c r="P237" s="365">
        <v>124</v>
      </c>
      <c r="Q237" s="79">
        <v>480</v>
      </c>
      <c r="R237" s="346">
        <v>389</v>
      </c>
      <c r="S237" s="81">
        <v>42</v>
      </c>
      <c r="T237" s="327">
        <v>195</v>
      </c>
      <c r="U237" s="393">
        <v>4.1399999999999997</v>
      </c>
      <c r="V237" s="310">
        <f t="shared" si="303"/>
        <v>3.3658536585365849E-2</v>
      </c>
      <c r="W237" s="94">
        <v>9.81</v>
      </c>
      <c r="X237" s="36">
        <v>123</v>
      </c>
      <c r="Y237" s="66">
        <v>121.5</v>
      </c>
      <c r="Z237" s="15">
        <f t="shared" si="300"/>
        <v>1.5</v>
      </c>
      <c r="AA237" s="63">
        <f t="shared" si="301"/>
        <v>1.2345679012345678E-2</v>
      </c>
      <c r="AB237" s="344">
        <v>-8.7100000000000009</v>
      </c>
      <c r="AD237" s="22" t="s">
        <v>4688</v>
      </c>
      <c r="AE237" s="84">
        <v>44600</v>
      </c>
      <c r="AF237" s="83">
        <v>44623</v>
      </c>
      <c r="AG237" s="33">
        <f t="shared" si="302"/>
        <v>23</v>
      </c>
      <c r="AH237" s="43" t="s">
        <v>2309</v>
      </c>
      <c r="AI237" s="63"/>
      <c r="AJ237" s="284"/>
      <c r="AK237" s="400"/>
      <c r="AM237" s="245"/>
      <c r="AN237" s="245"/>
    </row>
    <row r="238" spans="1:40">
      <c r="A238" s="347">
        <v>6.22</v>
      </c>
      <c r="B238" s="79">
        <v>159</v>
      </c>
      <c r="C238" s="79">
        <v>141</v>
      </c>
      <c r="D238" s="79">
        <v>3</v>
      </c>
      <c r="E238" s="79">
        <v>59</v>
      </c>
      <c r="F238" s="79">
        <v>32.9</v>
      </c>
      <c r="G238" s="80">
        <v>3169</v>
      </c>
      <c r="H238" s="183" t="s">
        <v>3039</v>
      </c>
      <c r="I238" s="16" t="s">
        <v>359</v>
      </c>
      <c r="J238" s="8" t="s">
        <v>4741</v>
      </c>
      <c r="L238" s="123"/>
      <c r="P238" s="365">
        <v>17</v>
      </c>
      <c r="Q238" s="79">
        <v>223</v>
      </c>
      <c r="R238" s="346">
        <v>926</v>
      </c>
      <c r="S238" s="81">
        <v>385</v>
      </c>
      <c r="T238" s="327">
        <v>90</v>
      </c>
      <c r="U238" s="393">
        <v>2.5</v>
      </c>
      <c r="V238" s="310">
        <f t="shared" si="303"/>
        <v>1.1160714285714286E-2</v>
      </c>
      <c r="W238" s="94">
        <v>5.5</v>
      </c>
      <c r="X238" s="36">
        <v>224</v>
      </c>
      <c r="Y238" s="66">
        <v>219.5</v>
      </c>
      <c r="Z238" s="15">
        <f t="shared" si="300"/>
        <v>4.5</v>
      </c>
      <c r="AA238" s="63">
        <f t="shared" si="301"/>
        <v>2.0501138952164009E-2</v>
      </c>
      <c r="AB238" s="344">
        <v>-26.71</v>
      </c>
      <c r="AD238" s="16" t="s">
        <v>359</v>
      </c>
      <c r="AE238" s="84">
        <v>44609</v>
      </c>
      <c r="AF238" s="83">
        <v>44623</v>
      </c>
      <c r="AG238" s="33">
        <f t="shared" si="302"/>
        <v>14</v>
      </c>
      <c r="AH238" s="43" t="s">
        <v>2893</v>
      </c>
      <c r="AI238" s="63"/>
      <c r="AJ238" s="284"/>
      <c r="AK238" s="400"/>
      <c r="AM238" s="245"/>
      <c r="AN238" s="245"/>
    </row>
    <row r="239" spans="1:40">
      <c r="A239" s="347">
        <v>6.22</v>
      </c>
      <c r="B239" s="79">
        <v>159</v>
      </c>
      <c r="C239" s="79">
        <v>141</v>
      </c>
      <c r="D239" s="79">
        <v>3</v>
      </c>
      <c r="E239" s="79">
        <v>59</v>
      </c>
      <c r="F239" s="79">
        <v>32.9</v>
      </c>
      <c r="G239" s="80">
        <v>3169</v>
      </c>
      <c r="H239" s="145" t="s">
        <v>3039</v>
      </c>
      <c r="I239" s="16" t="s">
        <v>359</v>
      </c>
      <c r="J239" s="8" t="s">
        <v>4741</v>
      </c>
      <c r="L239" s="123"/>
      <c r="P239" s="365">
        <v>17</v>
      </c>
      <c r="Q239" s="79">
        <v>223</v>
      </c>
      <c r="R239" s="346">
        <v>926</v>
      </c>
      <c r="S239" s="81">
        <v>385</v>
      </c>
      <c r="T239" s="327">
        <v>90</v>
      </c>
      <c r="U239" s="393">
        <v>2.5</v>
      </c>
      <c r="V239" s="310">
        <f t="shared" si="303"/>
        <v>1.1160714285714286E-2</v>
      </c>
      <c r="W239" s="94">
        <v>5.5</v>
      </c>
      <c r="X239" s="36">
        <v>224</v>
      </c>
      <c r="Y239" s="66">
        <v>222</v>
      </c>
      <c r="Z239" s="15">
        <f t="shared" si="300"/>
        <v>2</v>
      </c>
      <c r="AA239" s="63">
        <f t="shared" si="301"/>
        <v>9.0090090090090089E-3</v>
      </c>
      <c r="AB239" s="344">
        <v>-26.54</v>
      </c>
      <c r="AD239" s="16" t="s">
        <v>359</v>
      </c>
      <c r="AE239" s="84">
        <v>44602</v>
      </c>
      <c r="AF239" s="83">
        <v>44623</v>
      </c>
      <c r="AG239" s="33">
        <f t="shared" si="302"/>
        <v>21</v>
      </c>
      <c r="AH239" s="43" t="s">
        <v>2893</v>
      </c>
      <c r="AI239" s="63"/>
      <c r="AJ239" s="284"/>
      <c r="AK239" s="400"/>
      <c r="AM239" s="245"/>
      <c r="AN239" s="245"/>
    </row>
    <row r="240" spans="1:40">
      <c r="A240" s="347">
        <v>4.9800000000000004</v>
      </c>
      <c r="B240" s="80">
        <v>-42</v>
      </c>
      <c r="C240" s="80">
        <v>-44</v>
      </c>
      <c r="D240" s="79">
        <v>13</v>
      </c>
      <c r="E240" s="79">
        <v>36</v>
      </c>
      <c r="F240" s="79">
        <v>14.35</v>
      </c>
      <c r="G240" s="79">
        <v>8155</v>
      </c>
      <c r="H240" s="5" t="s">
        <v>3389</v>
      </c>
      <c r="I240" s="16" t="s">
        <v>84</v>
      </c>
      <c r="J240" s="8" t="s">
        <v>4741</v>
      </c>
      <c r="L240" s="123"/>
      <c r="P240" s="365">
        <v>224</v>
      </c>
      <c r="Q240" s="79">
        <v>214</v>
      </c>
      <c r="R240" s="346">
        <v>1075</v>
      </c>
      <c r="S240" s="81">
        <v>2</v>
      </c>
      <c r="T240" s="327">
        <v>31</v>
      </c>
      <c r="U240" s="393">
        <v>7</v>
      </c>
      <c r="V240" s="310">
        <f t="shared" si="303"/>
        <v>3.5087719298245612E-2</v>
      </c>
      <c r="W240" s="94">
        <v>6.99</v>
      </c>
      <c r="X240" s="36">
        <v>199.5</v>
      </c>
      <c r="Y240" s="66">
        <v>195</v>
      </c>
      <c r="Z240" s="15">
        <f t="shared" si="300"/>
        <v>4.5</v>
      </c>
      <c r="AA240" s="63">
        <f t="shared" si="301"/>
        <v>2.3076923076923078E-2</v>
      </c>
      <c r="AB240" s="344">
        <v>-2.99</v>
      </c>
      <c r="AD240" s="16" t="s">
        <v>84</v>
      </c>
      <c r="AE240" s="84">
        <v>44614</v>
      </c>
      <c r="AF240" s="83">
        <v>44623</v>
      </c>
      <c r="AG240" s="33">
        <f t="shared" si="302"/>
        <v>9</v>
      </c>
      <c r="AH240" s="117" t="s">
        <v>1049</v>
      </c>
      <c r="AI240" s="63"/>
      <c r="AJ240" s="284"/>
      <c r="AK240" s="400"/>
      <c r="AM240" s="245"/>
      <c r="AN240" s="245"/>
    </row>
    <row r="241" spans="1:40">
      <c r="A241" s="347">
        <v>4.9800000000000004</v>
      </c>
      <c r="B241" s="80">
        <v>-42</v>
      </c>
      <c r="C241" s="80">
        <v>-44</v>
      </c>
      <c r="D241" s="79">
        <v>4</v>
      </c>
      <c r="E241" s="79">
        <v>38</v>
      </c>
      <c r="F241" s="79">
        <v>14.35</v>
      </c>
      <c r="G241" s="79">
        <v>8155</v>
      </c>
      <c r="H241" s="8" t="s">
        <v>308</v>
      </c>
      <c r="I241" s="16" t="s">
        <v>84</v>
      </c>
      <c r="J241" s="8" t="s">
        <v>4747</v>
      </c>
      <c r="L241" s="123"/>
      <c r="P241" s="365">
        <v>224</v>
      </c>
      <c r="Q241" s="79">
        <v>214</v>
      </c>
      <c r="R241" s="346">
        <v>1075</v>
      </c>
      <c r="S241" s="81">
        <v>2</v>
      </c>
      <c r="T241" s="327">
        <v>31</v>
      </c>
      <c r="U241" s="393">
        <v>7</v>
      </c>
      <c r="V241" s="310">
        <f t="shared" si="303"/>
        <v>3.5087719298245612E-2</v>
      </c>
      <c r="W241" s="94">
        <v>6.99</v>
      </c>
      <c r="X241" s="36">
        <v>199.5</v>
      </c>
      <c r="Y241" s="66">
        <v>196.5</v>
      </c>
      <c r="Z241" s="15">
        <f t="shared" si="300"/>
        <v>3</v>
      </c>
      <c r="AA241" s="63">
        <f t="shared" si="301"/>
        <v>1.5267175572519083E-2</v>
      </c>
      <c r="AB241" s="344">
        <v>0</v>
      </c>
      <c r="AD241" s="16" t="s">
        <v>84</v>
      </c>
      <c r="AE241" s="84">
        <v>44600</v>
      </c>
      <c r="AF241" s="83">
        <v>44623</v>
      </c>
      <c r="AG241" s="33">
        <f t="shared" si="302"/>
        <v>23</v>
      </c>
      <c r="AH241" s="117" t="s">
        <v>1049</v>
      </c>
      <c r="AI241" s="63"/>
      <c r="AJ241" s="284"/>
      <c r="AK241" s="400"/>
      <c r="AM241" s="245"/>
      <c r="AN241" s="245"/>
    </row>
    <row r="242" spans="1:40">
      <c r="A242" s="347">
        <v>9.0299999999999994</v>
      </c>
      <c r="B242" s="79">
        <v>23</v>
      </c>
      <c r="C242" s="79">
        <v>31</v>
      </c>
      <c r="D242" s="79">
        <v>13</v>
      </c>
      <c r="E242" s="79">
        <v>123</v>
      </c>
      <c r="F242" s="79">
        <v>18.86</v>
      </c>
      <c r="G242" s="79">
        <v>6104</v>
      </c>
      <c r="H242" s="145" t="s">
        <v>3039</v>
      </c>
      <c r="I242" s="16" t="s">
        <v>372</v>
      </c>
      <c r="J242" s="8" t="s">
        <v>4741</v>
      </c>
      <c r="L242" s="123"/>
      <c r="O242" s="7"/>
      <c r="P242" s="365">
        <v>20</v>
      </c>
      <c r="Q242" s="79">
        <v>122</v>
      </c>
      <c r="R242" s="346">
        <v>571</v>
      </c>
      <c r="S242" s="81">
        <v>14</v>
      </c>
      <c r="T242" s="327">
        <v>4</v>
      </c>
      <c r="U242" s="393">
        <v>3</v>
      </c>
      <c r="V242" s="310">
        <f t="shared" si="303"/>
        <v>1.160541586073501E-2</v>
      </c>
      <c r="W242" s="94">
        <v>4.42</v>
      </c>
      <c r="X242" s="36">
        <v>258.5</v>
      </c>
      <c r="Y242" s="66">
        <v>236.5</v>
      </c>
      <c r="Z242" s="15">
        <f t="shared" si="300"/>
        <v>22</v>
      </c>
      <c r="AA242" s="63">
        <f t="shared" si="301"/>
        <v>9.3023255813953487E-2</v>
      </c>
      <c r="AB242" s="344">
        <v>-12.64</v>
      </c>
      <c r="AD242" s="16" t="s">
        <v>372</v>
      </c>
      <c r="AE242" s="84">
        <v>44616</v>
      </c>
      <c r="AF242" s="83">
        <v>44622</v>
      </c>
      <c r="AG242" s="33">
        <f t="shared" si="302"/>
        <v>6</v>
      </c>
      <c r="AH242" s="43" t="s">
        <v>3046</v>
      </c>
      <c r="AI242" s="63"/>
      <c r="AJ242" s="284"/>
      <c r="AK242" s="289"/>
      <c r="AM242" s="245"/>
      <c r="AN242" s="245"/>
    </row>
    <row r="243" spans="1:40">
      <c r="A243" s="347">
        <v>9.0299999999999994</v>
      </c>
      <c r="B243" s="79">
        <v>23</v>
      </c>
      <c r="C243" s="79">
        <v>31</v>
      </c>
      <c r="D243" s="79">
        <v>13</v>
      </c>
      <c r="E243" s="79">
        <v>123</v>
      </c>
      <c r="F243" s="79">
        <v>18.86</v>
      </c>
      <c r="G243" s="79">
        <v>6104</v>
      </c>
      <c r="H243" s="145" t="s">
        <v>3039</v>
      </c>
      <c r="I243" s="16" t="s">
        <v>372</v>
      </c>
      <c r="J243" s="8" t="s">
        <v>4741</v>
      </c>
      <c r="L243" s="123"/>
      <c r="P243" s="365">
        <v>20</v>
      </c>
      <c r="Q243" s="79">
        <v>122</v>
      </c>
      <c r="R243" s="346">
        <v>571</v>
      </c>
      <c r="S243" s="81">
        <v>14</v>
      </c>
      <c r="T243" s="327">
        <v>4</v>
      </c>
      <c r="U243" s="393">
        <v>3</v>
      </c>
      <c r="V243" s="310">
        <f t="shared" si="303"/>
        <v>1.160541586073501E-2</v>
      </c>
      <c r="W243" s="94">
        <v>4.42</v>
      </c>
      <c r="X243" s="36">
        <v>258.5</v>
      </c>
      <c r="Y243" s="66">
        <v>271</v>
      </c>
      <c r="Z243" s="15">
        <f t="shared" si="300"/>
        <v>-12.5</v>
      </c>
      <c r="AA243" s="76">
        <f t="shared" si="301"/>
        <v>-4.6125461254612546E-2</v>
      </c>
      <c r="AB243" s="344">
        <v>0</v>
      </c>
      <c r="AD243" s="16" t="s">
        <v>372</v>
      </c>
      <c r="AE243" s="84">
        <v>44606</v>
      </c>
      <c r="AF243" s="83">
        <v>44622</v>
      </c>
      <c r="AG243" s="33">
        <f t="shared" si="302"/>
        <v>16</v>
      </c>
      <c r="AH243" s="43" t="s">
        <v>3046</v>
      </c>
      <c r="AI243" s="63"/>
      <c r="AJ243" s="284"/>
      <c r="AK243" s="289"/>
      <c r="AM243" s="245"/>
      <c r="AN243" s="245"/>
    </row>
    <row r="244" spans="1:40">
      <c r="A244" s="347">
        <v>8.33</v>
      </c>
      <c r="B244" s="79">
        <v>119</v>
      </c>
      <c r="C244" s="79">
        <v>111</v>
      </c>
      <c r="D244" s="79">
        <v>31</v>
      </c>
      <c r="E244" s="79">
        <v>-5</v>
      </c>
      <c r="F244" s="79">
        <v>24.41</v>
      </c>
      <c r="G244" s="79">
        <v>6187</v>
      </c>
      <c r="H244" s="8" t="s">
        <v>314</v>
      </c>
      <c r="I244" s="16" t="s">
        <v>4687</v>
      </c>
      <c r="J244" s="8" t="s">
        <v>4753</v>
      </c>
      <c r="L244" s="123"/>
      <c r="P244" s="365">
        <v>204</v>
      </c>
      <c r="Q244" s="79">
        <v>46</v>
      </c>
      <c r="R244" s="346">
        <v>1096</v>
      </c>
      <c r="S244" s="81">
        <v>4</v>
      </c>
      <c r="T244" s="327">
        <v>164</v>
      </c>
      <c r="U244" s="393">
        <v>4.5</v>
      </c>
      <c r="V244" s="310">
        <f t="shared" si="303"/>
        <v>3.214285714285714E-2</v>
      </c>
      <c r="W244" s="94">
        <v>6.37</v>
      </c>
      <c r="X244" s="36">
        <v>140</v>
      </c>
      <c r="Y244" s="66">
        <v>137.5</v>
      </c>
      <c r="Z244" s="15">
        <f t="shared" si="300"/>
        <v>2.5</v>
      </c>
      <c r="AA244" s="63">
        <f t="shared" si="301"/>
        <v>1.8181818181818181E-2</v>
      </c>
      <c r="AB244" s="344">
        <v>-18.34</v>
      </c>
      <c r="AD244" s="16" t="s">
        <v>4687</v>
      </c>
      <c r="AE244" s="84">
        <v>44616</v>
      </c>
      <c r="AF244" s="83">
        <v>44621</v>
      </c>
      <c r="AG244" s="33">
        <f t="shared" si="302"/>
        <v>5</v>
      </c>
      <c r="AH244" s="43" t="s">
        <v>2309</v>
      </c>
      <c r="AI244" s="63"/>
      <c r="AJ244" s="284"/>
      <c r="AK244" s="400"/>
      <c r="AM244" s="245"/>
      <c r="AN244" s="245"/>
    </row>
    <row r="245" spans="1:40" s="248" customFormat="1">
      <c r="A245" s="91"/>
      <c r="B245" s="79"/>
      <c r="C245" s="79"/>
      <c r="D245" s="79"/>
      <c r="E245" s="79"/>
      <c r="F245" s="79"/>
      <c r="G245" s="41"/>
      <c r="H245" s="8"/>
      <c r="I245" s="153"/>
      <c r="J245" s="1"/>
      <c r="K245" s="361"/>
      <c r="L245" s="163"/>
      <c r="O245" s="245"/>
      <c r="P245" s="365"/>
      <c r="Q245" s="47"/>
      <c r="R245" s="346"/>
      <c r="S245" s="283"/>
      <c r="T245" s="327"/>
      <c r="U245" s="392"/>
      <c r="V245" s="308"/>
      <c r="W245" s="94"/>
      <c r="X245" s="307">
        <f>SUM(X196:X244)</f>
        <v>9540.85</v>
      </c>
      <c r="Y245" s="296">
        <f>SUM(Y196:Y244)</f>
        <v>9314.5499999999993</v>
      </c>
      <c r="Z245" s="162">
        <f t="shared" si="300"/>
        <v>226.30000000000109</v>
      </c>
      <c r="AA245" s="158">
        <f t="shared" si="301"/>
        <v>2.4295322908782616E-2</v>
      </c>
      <c r="AB245" s="100"/>
      <c r="AC245" s="382"/>
      <c r="AD245" s="227">
        <f>X245*(0.001425*0.5)+X245*0.003+Y245*(0.001425*0.5)</f>
        <v>42.057022500000002</v>
      </c>
      <c r="AE245" s="6">
        <f>Z245-AD245</f>
        <v>184.24297750000107</v>
      </c>
      <c r="AF245" s="83"/>
      <c r="AG245" s="33"/>
      <c r="AH245" s="46" t="s">
        <v>4756</v>
      </c>
    </row>
    <row r="246" spans="1:40">
      <c r="B246" s="79"/>
      <c r="C246" s="79"/>
      <c r="D246" s="79"/>
      <c r="E246" s="79"/>
      <c r="F246" s="79"/>
      <c r="G246" s="79"/>
      <c r="H246" s="8"/>
      <c r="I246" s="16"/>
      <c r="J246" s="8"/>
      <c r="L246" s="123"/>
      <c r="P246" s="365"/>
      <c r="Q246" s="47"/>
      <c r="R246" s="346"/>
      <c r="U246" s="393"/>
      <c r="V246" s="310"/>
      <c r="W246" s="94"/>
      <c r="X246" s="36"/>
      <c r="Y246" s="66"/>
      <c r="Z246" s="15"/>
      <c r="AA246" s="63"/>
      <c r="AD246" s="16"/>
      <c r="AG246" s="33"/>
      <c r="AH246" s="43"/>
      <c r="AI246" s="63"/>
      <c r="AJ246" s="284"/>
      <c r="AK246" s="400"/>
      <c r="AM246" s="245"/>
      <c r="AN246" s="245"/>
    </row>
    <row r="247" spans="1:40">
      <c r="A247" s="347">
        <v>24.8</v>
      </c>
      <c r="B247" s="79">
        <v>403</v>
      </c>
      <c r="C247" s="79">
        <v>840</v>
      </c>
      <c r="D247" s="79">
        <v>12</v>
      </c>
      <c r="E247" s="79">
        <v>117</v>
      </c>
      <c r="F247" s="79">
        <v>17.34</v>
      </c>
      <c r="G247" s="79">
        <v>3035</v>
      </c>
      <c r="H247" s="8" t="s">
        <v>3039</v>
      </c>
      <c r="I247" s="22" t="s">
        <v>1826</v>
      </c>
      <c r="J247" s="8" t="s">
        <v>4747</v>
      </c>
      <c r="L247" s="123"/>
      <c r="P247" s="365">
        <v>333</v>
      </c>
      <c r="Q247" s="79">
        <v>75</v>
      </c>
      <c r="R247" s="346">
        <v>190</v>
      </c>
      <c r="S247" s="81">
        <v>1</v>
      </c>
      <c r="T247" s="327">
        <v>2</v>
      </c>
      <c r="U247" s="393">
        <v>3.3</v>
      </c>
      <c r="V247" s="310">
        <f t="shared" ref="V247:V274" si="304">U247/X247</f>
        <v>1.2890624999999999E-2</v>
      </c>
      <c r="W247" s="94">
        <v>2.82</v>
      </c>
      <c r="X247" s="36">
        <v>256</v>
      </c>
      <c r="Y247" s="66">
        <v>242.5</v>
      </c>
      <c r="Z247" s="15">
        <f t="shared" ref="Z247:Z275" si="305">X247-Y247</f>
        <v>13.5</v>
      </c>
      <c r="AA247" s="63">
        <f t="shared" ref="AA247:AA275" si="306">Z247/Y247</f>
        <v>5.5670103092783509E-2</v>
      </c>
      <c r="AB247" s="344">
        <v>-4.1100000000000003</v>
      </c>
      <c r="AD247" s="22" t="s">
        <v>1826</v>
      </c>
      <c r="AE247" s="84">
        <v>44616</v>
      </c>
      <c r="AF247" s="83">
        <v>44617</v>
      </c>
      <c r="AG247" s="33">
        <f t="shared" ref="AG247:AG274" si="307">AF247-AE247</f>
        <v>1</v>
      </c>
      <c r="AH247" s="117" t="s">
        <v>2315</v>
      </c>
      <c r="AI247" s="63"/>
      <c r="AJ247" s="284"/>
      <c r="AK247" s="400"/>
      <c r="AM247" s="245"/>
      <c r="AN247" s="245"/>
    </row>
    <row r="248" spans="1:40">
      <c r="A248" s="347">
        <v>25.2</v>
      </c>
      <c r="B248" s="79">
        <v>181</v>
      </c>
      <c r="C248" s="79">
        <v>158</v>
      </c>
      <c r="D248" s="80">
        <v>-7</v>
      </c>
      <c r="E248" s="79">
        <v>27</v>
      </c>
      <c r="F248" s="79">
        <v>21.4</v>
      </c>
      <c r="G248" s="79">
        <v>8358</v>
      </c>
      <c r="H248" s="8" t="s">
        <v>308</v>
      </c>
      <c r="I248" s="16" t="s">
        <v>222</v>
      </c>
      <c r="J248" s="8" t="s">
        <v>4741</v>
      </c>
      <c r="L248" s="123"/>
      <c r="P248" s="365">
        <v>308</v>
      </c>
      <c r="Q248" s="79">
        <v>314</v>
      </c>
      <c r="R248" s="346">
        <v>636</v>
      </c>
      <c r="S248" s="81">
        <v>36</v>
      </c>
      <c r="T248" s="327">
        <v>256</v>
      </c>
      <c r="U248" s="393">
        <v>4.2</v>
      </c>
      <c r="V248" s="310">
        <f t="shared" si="304"/>
        <v>5.5702917771883284E-2</v>
      </c>
      <c r="W248" s="94">
        <v>2.14</v>
      </c>
      <c r="X248" s="36">
        <v>75.400000000000006</v>
      </c>
      <c r="Y248" s="66">
        <v>74.099999999999994</v>
      </c>
      <c r="Z248" s="15">
        <f t="shared" si="305"/>
        <v>1.3000000000000114</v>
      </c>
      <c r="AA248" s="63">
        <f t="shared" si="306"/>
        <v>1.7543859649122962E-2</v>
      </c>
      <c r="AB248" s="344">
        <v>-20.13</v>
      </c>
      <c r="AD248" s="16" t="s">
        <v>222</v>
      </c>
      <c r="AE248" s="84">
        <v>44616</v>
      </c>
      <c r="AF248" s="83">
        <v>44617</v>
      </c>
      <c r="AG248" s="33">
        <f t="shared" si="307"/>
        <v>1</v>
      </c>
      <c r="AH248" s="117" t="s">
        <v>2431</v>
      </c>
      <c r="AI248" s="63"/>
      <c r="AJ248" s="284"/>
      <c r="AK248" s="400"/>
      <c r="AM248" s="245"/>
      <c r="AN248" s="245"/>
    </row>
    <row r="249" spans="1:40">
      <c r="A249" s="347">
        <v>19.7</v>
      </c>
      <c r="B249" s="79">
        <v>28</v>
      </c>
      <c r="C249" s="79">
        <v>80</v>
      </c>
      <c r="D249" s="79">
        <v>8</v>
      </c>
      <c r="E249" s="79">
        <v>33</v>
      </c>
      <c r="F249" s="79">
        <v>15.8</v>
      </c>
      <c r="G249" s="79">
        <v>8299</v>
      </c>
      <c r="H249" s="192" t="s">
        <v>3039</v>
      </c>
      <c r="I249" s="16" t="s">
        <v>4073</v>
      </c>
      <c r="J249" s="8" t="s">
        <v>4741</v>
      </c>
      <c r="L249" s="123"/>
      <c r="P249" s="365">
        <v>404</v>
      </c>
      <c r="Q249" s="79">
        <v>104</v>
      </c>
      <c r="R249" s="346">
        <v>132</v>
      </c>
      <c r="S249" s="81">
        <v>79</v>
      </c>
      <c r="T249" s="327">
        <v>217</v>
      </c>
      <c r="U249" s="393">
        <v>10</v>
      </c>
      <c r="V249" s="310">
        <f t="shared" si="304"/>
        <v>1.8975332068311195E-2</v>
      </c>
      <c r="W249" s="94">
        <v>51.35</v>
      </c>
      <c r="X249" s="36">
        <v>527</v>
      </c>
      <c r="Y249" s="66">
        <v>517</v>
      </c>
      <c r="Z249" s="15">
        <f t="shared" si="305"/>
        <v>10</v>
      </c>
      <c r="AA249" s="63">
        <f t="shared" si="306"/>
        <v>1.9342359767891684E-2</v>
      </c>
      <c r="AB249" s="344">
        <v>-16.29</v>
      </c>
      <c r="AD249" s="16" t="s">
        <v>4073</v>
      </c>
      <c r="AE249" s="84">
        <v>44610</v>
      </c>
      <c r="AF249" s="86">
        <v>44610</v>
      </c>
      <c r="AG249" s="33">
        <f t="shared" si="307"/>
        <v>0</v>
      </c>
      <c r="AH249" s="117" t="s">
        <v>2129</v>
      </c>
      <c r="AI249" s="63"/>
      <c r="AJ249" s="284"/>
      <c r="AK249" s="400"/>
      <c r="AM249" s="245"/>
      <c r="AN249" s="245"/>
    </row>
    <row r="250" spans="1:40">
      <c r="A250" s="347">
        <v>4.4400000000000004</v>
      </c>
      <c r="B250" s="92">
        <v>1166</v>
      </c>
      <c r="C250" s="218">
        <v>25679</v>
      </c>
      <c r="D250" s="79">
        <v>5</v>
      </c>
      <c r="E250" s="79">
        <v>26</v>
      </c>
      <c r="F250" s="79">
        <v>18.239999999999998</v>
      </c>
      <c r="G250" s="79">
        <v>3527</v>
      </c>
      <c r="H250" s="8" t="s">
        <v>3039</v>
      </c>
      <c r="I250" s="16" t="s">
        <v>326</v>
      </c>
      <c r="J250" s="8" t="s">
        <v>4741</v>
      </c>
      <c r="L250" s="123"/>
      <c r="P250" s="365">
        <v>135</v>
      </c>
      <c r="Q250" s="79">
        <v>378</v>
      </c>
      <c r="R250" s="346">
        <v>603</v>
      </c>
      <c r="S250" s="81">
        <v>195</v>
      </c>
      <c r="T250" s="327">
        <v>139</v>
      </c>
      <c r="U250" s="393">
        <v>2</v>
      </c>
      <c r="V250" s="310">
        <f t="shared" si="304"/>
        <v>1.0362694300518135E-2</v>
      </c>
      <c r="W250" s="94">
        <v>10.47</v>
      </c>
      <c r="X250" s="36">
        <v>193</v>
      </c>
      <c r="Y250" s="66">
        <v>189.5</v>
      </c>
      <c r="Z250" s="15">
        <f t="shared" si="305"/>
        <v>3.5</v>
      </c>
      <c r="AA250" s="63">
        <f t="shared" si="306"/>
        <v>1.8469656992084433E-2</v>
      </c>
      <c r="AB250" s="344">
        <v>-31.18</v>
      </c>
      <c r="AD250" s="16" t="s">
        <v>326</v>
      </c>
      <c r="AE250" s="84">
        <v>44609</v>
      </c>
      <c r="AF250" s="83">
        <v>44610</v>
      </c>
      <c r="AG250" s="33">
        <f t="shared" si="307"/>
        <v>1</v>
      </c>
      <c r="AH250" s="43" t="s">
        <v>2356</v>
      </c>
      <c r="AI250" s="63"/>
      <c r="AJ250" s="284"/>
      <c r="AK250" s="400"/>
      <c r="AM250" s="245"/>
      <c r="AN250" s="245"/>
    </row>
    <row r="251" spans="1:40">
      <c r="A251" s="347">
        <v>8.84</v>
      </c>
      <c r="B251" s="80">
        <v>-8</v>
      </c>
      <c r="C251" s="80">
        <v>-16</v>
      </c>
      <c r="D251" s="80">
        <v>-1</v>
      </c>
      <c r="E251" s="79">
        <v>10</v>
      </c>
      <c r="F251" s="79">
        <v>10.72</v>
      </c>
      <c r="G251" s="79">
        <v>3324</v>
      </c>
      <c r="H251" s="8" t="s">
        <v>314</v>
      </c>
      <c r="I251" s="16" t="s">
        <v>228</v>
      </c>
      <c r="J251" s="8" t="s">
        <v>4741</v>
      </c>
      <c r="L251" s="123"/>
      <c r="P251" s="365">
        <v>51</v>
      </c>
      <c r="Q251" s="79">
        <v>80</v>
      </c>
      <c r="R251" s="346">
        <v>421</v>
      </c>
      <c r="S251" s="81">
        <v>85</v>
      </c>
      <c r="T251" s="327">
        <v>76</v>
      </c>
      <c r="U251" s="393">
        <v>5.6</v>
      </c>
      <c r="V251" s="310">
        <f t="shared" si="304"/>
        <v>2.2444889779559118E-2</v>
      </c>
      <c r="W251" s="94">
        <v>12.05</v>
      </c>
      <c r="X251" s="36">
        <v>249.5</v>
      </c>
      <c r="Y251" s="66">
        <v>245</v>
      </c>
      <c r="Z251" s="15">
        <f t="shared" si="305"/>
        <v>4.5</v>
      </c>
      <c r="AA251" s="63">
        <f t="shared" si="306"/>
        <v>1.8367346938775512E-2</v>
      </c>
      <c r="AB251" s="344">
        <v>-1.64</v>
      </c>
      <c r="AD251" s="16" t="s">
        <v>228</v>
      </c>
      <c r="AE251" s="84">
        <v>44608</v>
      </c>
      <c r="AF251" s="83">
        <v>44609</v>
      </c>
      <c r="AG251" s="33">
        <f t="shared" si="307"/>
        <v>1</v>
      </c>
      <c r="AH251" s="43" t="s">
        <v>2925</v>
      </c>
      <c r="AI251" s="63"/>
      <c r="AJ251" s="284"/>
      <c r="AK251" s="400"/>
      <c r="AM251" s="245"/>
      <c r="AN251" s="245"/>
    </row>
    <row r="252" spans="1:40">
      <c r="A252" s="347">
        <v>4.4400000000000004</v>
      </c>
      <c r="B252" s="79">
        <v>193</v>
      </c>
      <c r="C252" s="79">
        <v>122</v>
      </c>
      <c r="D252" s="79">
        <v>0</v>
      </c>
      <c r="E252" s="79">
        <v>18</v>
      </c>
      <c r="F252" s="79">
        <v>15.78</v>
      </c>
      <c r="G252" s="79">
        <v>3675</v>
      </c>
      <c r="H252" s="145" t="s">
        <v>3039</v>
      </c>
      <c r="I252" s="16" t="s">
        <v>365</v>
      </c>
      <c r="J252" s="8" t="s">
        <v>4741</v>
      </c>
      <c r="L252" s="123"/>
      <c r="P252" s="365">
        <v>326</v>
      </c>
      <c r="Q252" s="79">
        <v>365</v>
      </c>
      <c r="R252" s="346">
        <v>69</v>
      </c>
      <c r="S252" s="81">
        <v>3</v>
      </c>
      <c r="T252" s="327">
        <v>88</v>
      </c>
      <c r="U252" s="393">
        <v>2</v>
      </c>
      <c r="V252" s="310">
        <f t="shared" si="304"/>
        <v>7.0298769771528994E-3</v>
      </c>
      <c r="W252" s="94">
        <v>5.49</v>
      </c>
      <c r="X252" s="36">
        <v>284.5</v>
      </c>
      <c r="Y252" s="66">
        <v>279</v>
      </c>
      <c r="Z252" s="15">
        <f t="shared" si="305"/>
        <v>5.5</v>
      </c>
      <c r="AA252" s="63">
        <f t="shared" si="306"/>
        <v>1.9713261648745518E-2</v>
      </c>
      <c r="AB252" s="344">
        <v>-16.41</v>
      </c>
      <c r="AD252" s="16" t="s">
        <v>365</v>
      </c>
      <c r="AE252" s="84">
        <v>44608</v>
      </c>
      <c r="AF252" s="83">
        <v>44609</v>
      </c>
      <c r="AG252" s="33">
        <f t="shared" si="307"/>
        <v>1</v>
      </c>
      <c r="AH252" s="43" t="s">
        <v>2940</v>
      </c>
      <c r="AI252" s="63"/>
      <c r="AJ252" s="284"/>
      <c r="AK252" s="400"/>
      <c r="AM252" s="245"/>
      <c r="AN252" s="245"/>
    </row>
    <row r="253" spans="1:40">
      <c r="A253" s="347">
        <v>19.7</v>
      </c>
      <c r="B253" s="79">
        <v>28</v>
      </c>
      <c r="C253" s="79">
        <v>80</v>
      </c>
      <c r="D253" s="79">
        <v>8</v>
      </c>
      <c r="E253" s="79">
        <v>33</v>
      </c>
      <c r="F253" s="79">
        <v>15.8</v>
      </c>
      <c r="G253" s="79">
        <v>8299</v>
      </c>
      <c r="H253" s="192" t="s">
        <v>3039</v>
      </c>
      <c r="I253" s="16" t="s">
        <v>4073</v>
      </c>
      <c r="J253" s="8" t="s">
        <v>4741</v>
      </c>
      <c r="L253" s="123"/>
      <c r="P253" s="365">
        <v>404</v>
      </c>
      <c r="Q253" s="79">
        <v>104</v>
      </c>
      <c r="R253" s="346">
        <v>132</v>
      </c>
      <c r="S253" s="81">
        <v>79</v>
      </c>
      <c r="T253" s="327">
        <v>217</v>
      </c>
      <c r="U253" s="393">
        <v>10</v>
      </c>
      <c r="V253" s="310">
        <f t="shared" si="304"/>
        <v>1.9607843137254902E-2</v>
      </c>
      <c r="W253" s="94">
        <v>51.35</v>
      </c>
      <c r="X253" s="36">
        <v>510</v>
      </c>
      <c r="Y253" s="66">
        <v>487</v>
      </c>
      <c r="Z253" s="15">
        <f t="shared" si="305"/>
        <v>23</v>
      </c>
      <c r="AA253" s="63">
        <f t="shared" si="306"/>
        <v>4.7227926078028747E-2</v>
      </c>
      <c r="AB253" s="344">
        <v>-20.97</v>
      </c>
      <c r="AD253" s="16" t="s">
        <v>4073</v>
      </c>
      <c r="AE253" s="84">
        <v>44606</v>
      </c>
      <c r="AF253" s="83">
        <v>44608</v>
      </c>
      <c r="AG253" s="33">
        <f t="shared" si="307"/>
        <v>2</v>
      </c>
      <c r="AH253" s="117" t="s">
        <v>2129</v>
      </c>
      <c r="AI253" s="63"/>
      <c r="AJ253" s="284"/>
      <c r="AK253" s="400"/>
      <c r="AM253" s="245"/>
      <c r="AN253" s="245"/>
    </row>
    <row r="254" spans="1:40">
      <c r="A254" s="347">
        <v>19.7</v>
      </c>
      <c r="B254" s="79">
        <v>28</v>
      </c>
      <c r="C254" s="79">
        <v>80</v>
      </c>
      <c r="D254" s="79">
        <v>8</v>
      </c>
      <c r="E254" s="79">
        <v>33</v>
      </c>
      <c r="F254" s="79">
        <v>15.8</v>
      </c>
      <c r="G254" s="79">
        <v>8299</v>
      </c>
      <c r="H254" s="192" t="s">
        <v>3039</v>
      </c>
      <c r="I254" s="16" t="s">
        <v>4073</v>
      </c>
      <c r="J254" s="8" t="s">
        <v>4741</v>
      </c>
      <c r="L254" s="123"/>
      <c r="P254" s="365">
        <v>404</v>
      </c>
      <c r="Q254" s="79">
        <v>104</v>
      </c>
      <c r="R254" s="346">
        <v>132</v>
      </c>
      <c r="S254" s="81">
        <v>79</v>
      </c>
      <c r="T254" s="327">
        <v>217</v>
      </c>
      <c r="U254" s="393">
        <v>10</v>
      </c>
      <c r="V254" s="310">
        <f t="shared" si="304"/>
        <v>1.9607843137254902E-2</v>
      </c>
      <c r="W254" s="94">
        <v>51.35</v>
      </c>
      <c r="X254" s="36">
        <v>510</v>
      </c>
      <c r="Y254" s="66">
        <v>499.5</v>
      </c>
      <c r="Z254" s="15">
        <f t="shared" si="305"/>
        <v>10.5</v>
      </c>
      <c r="AA254" s="63">
        <f t="shared" si="306"/>
        <v>2.1021021021021023E-2</v>
      </c>
      <c r="AB254" s="344">
        <v>-20</v>
      </c>
      <c r="AD254" s="16" t="s">
        <v>4073</v>
      </c>
      <c r="AE254" s="84">
        <v>44603</v>
      </c>
      <c r="AF254" s="83">
        <v>44608</v>
      </c>
      <c r="AG254" s="33">
        <f t="shared" si="307"/>
        <v>5</v>
      </c>
      <c r="AH254" s="117" t="s">
        <v>2129</v>
      </c>
      <c r="AI254" s="63"/>
      <c r="AJ254" s="284"/>
      <c r="AK254" s="400"/>
      <c r="AM254" s="245"/>
      <c r="AN254" s="245"/>
    </row>
    <row r="255" spans="1:40">
      <c r="A255" s="347">
        <v>26.3</v>
      </c>
      <c r="B255" s="79">
        <v>116</v>
      </c>
      <c r="C255" s="79">
        <v>35</v>
      </c>
      <c r="D255" s="79">
        <v>1</v>
      </c>
      <c r="E255" s="79">
        <v>13</v>
      </c>
      <c r="F255" s="79">
        <v>7.23</v>
      </c>
      <c r="G255" s="79">
        <v>3260</v>
      </c>
      <c r="H255" s="145" t="s">
        <v>3039</v>
      </c>
      <c r="I255" s="16" t="s">
        <v>215</v>
      </c>
      <c r="J255" s="8" t="s">
        <v>4741</v>
      </c>
      <c r="L255" s="123"/>
      <c r="P255" s="365">
        <v>180</v>
      </c>
      <c r="Q255" s="79">
        <v>300</v>
      </c>
      <c r="R255" s="346">
        <v>624</v>
      </c>
      <c r="S255" s="81">
        <v>397</v>
      </c>
      <c r="T255" s="327">
        <v>433</v>
      </c>
      <c r="U255" s="393">
        <v>3.18</v>
      </c>
      <c r="V255" s="310">
        <f t="shared" si="304"/>
        <v>3.4678298800436207E-2</v>
      </c>
      <c r="W255" s="94">
        <v>10.55</v>
      </c>
      <c r="X255" s="36">
        <v>91.7</v>
      </c>
      <c r="Y255" s="66">
        <v>90</v>
      </c>
      <c r="Z255" s="15">
        <f t="shared" si="305"/>
        <v>1.7000000000000028</v>
      </c>
      <c r="AA255" s="63">
        <f t="shared" si="306"/>
        <v>1.888888888888892E-2</v>
      </c>
      <c r="AB255" s="344">
        <v>-30.98</v>
      </c>
      <c r="AD255" s="16" t="s">
        <v>215</v>
      </c>
      <c r="AE255" s="84">
        <v>44603</v>
      </c>
      <c r="AF255" s="83">
        <v>44608</v>
      </c>
      <c r="AG255" s="33">
        <f t="shared" si="307"/>
        <v>5</v>
      </c>
      <c r="AH255" s="117" t="s">
        <v>1414</v>
      </c>
      <c r="AI255" s="63"/>
      <c r="AJ255" s="284"/>
      <c r="AK255" s="400"/>
      <c r="AM255" s="245"/>
      <c r="AN255" s="245"/>
    </row>
    <row r="256" spans="1:40">
      <c r="A256" s="347">
        <v>4.4400000000000004</v>
      </c>
      <c r="B256" s="92">
        <v>1166</v>
      </c>
      <c r="C256" s="218">
        <v>25679</v>
      </c>
      <c r="D256" s="80">
        <v>-1</v>
      </c>
      <c r="E256" s="79">
        <v>11</v>
      </c>
      <c r="F256" s="79">
        <v>18.239999999999998</v>
      </c>
      <c r="G256" s="80">
        <v>3527</v>
      </c>
      <c r="H256" s="8" t="s">
        <v>3039</v>
      </c>
      <c r="I256" s="16" t="s">
        <v>326</v>
      </c>
      <c r="J256" s="8" t="s">
        <v>4741</v>
      </c>
      <c r="L256" s="123"/>
      <c r="P256" s="365">
        <v>135</v>
      </c>
      <c r="Q256" s="79">
        <v>378</v>
      </c>
      <c r="R256" s="346">
        <v>603</v>
      </c>
      <c r="S256" s="81">
        <v>195</v>
      </c>
      <c r="T256" s="327">
        <v>139</v>
      </c>
      <c r="U256" s="393">
        <v>2</v>
      </c>
      <c r="V256" s="310">
        <f t="shared" si="304"/>
        <v>1.06951871657754E-2</v>
      </c>
      <c r="W256" s="94">
        <v>10.47</v>
      </c>
      <c r="X256" s="36">
        <v>187</v>
      </c>
      <c r="Y256" s="66">
        <v>183.5</v>
      </c>
      <c r="Z256" s="15">
        <f t="shared" si="305"/>
        <v>3.5</v>
      </c>
      <c r="AA256" s="63">
        <f t="shared" si="306"/>
        <v>1.9073569482288829E-2</v>
      </c>
      <c r="AB256" s="344">
        <v>-34.950000000000003</v>
      </c>
      <c r="AD256" s="16" t="s">
        <v>326</v>
      </c>
      <c r="AE256" s="84">
        <v>44602</v>
      </c>
      <c r="AF256" s="83">
        <v>44608</v>
      </c>
      <c r="AG256" s="33">
        <f t="shared" si="307"/>
        <v>6</v>
      </c>
      <c r="AH256" s="43" t="s">
        <v>2356</v>
      </c>
      <c r="AI256" s="63"/>
      <c r="AJ256" s="284"/>
      <c r="AK256" s="400"/>
      <c r="AM256" s="245"/>
      <c r="AN256" s="245"/>
    </row>
    <row r="257" spans="1:40">
      <c r="A257" s="347">
        <v>16.100000000000001</v>
      </c>
      <c r="B257" s="79">
        <v>101</v>
      </c>
      <c r="C257" s="79">
        <v>100</v>
      </c>
      <c r="D257" s="79">
        <v>8</v>
      </c>
      <c r="E257" s="79">
        <v>12</v>
      </c>
      <c r="F257" s="79">
        <v>29.73</v>
      </c>
      <c r="G257" s="79">
        <v>3014</v>
      </c>
      <c r="H257" s="8" t="s">
        <v>3039</v>
      </c>
      <c r="I257" s="22" t="s">
        <v>97</v>
      </c>
      <c r="J257" s="8" t="s">
        <v>4747</v>
      </c>
      <c r="L257" s="123"/>
      <c r="P257" s="365">
        <v>565</v>
      </c>
      <c r="Q257" s="79">
        <v>639</v>
      </c>
      <c r="R257" s="346">
        <v>551</v>
      </c>
      <c r="S257" s="81">
        <v>354</v>
      </c>
      <c r="T257" s="327">
        <v>202</v>
      </c>
      <c r="U257" s="393">
        <v>6</v>
      </c>
      <c r="V257" s="310">
        <f t="shared" si="304"/>
        <v>5.2863436123348019E-2</v>
      </c>
      <c r="W257" s="94">
        <v>10.19</v>
      </c>
      <c r="X257" s="36">
        <v>113.5</v>
      </c>
      <c r="Y257" s="66">
        <v>111.5</v>
      </c>
      <c r="Z257" s="15">
        <f t="shared" si="305"/>
        <v>2</v>
      </c>
      <c r="AA257" s="63">
        <f t="shared" si="306"/>
        <v>1.7937219730941704E-2</v>
      </c>
      <c r="AB257" s="344">
        <v>-21.6</v>
      </c>
      <c r="AD257" s="22" t="s">
        <v>97</v>
      </c>
      <c r="AE257" s="84">
        <v>44606</v>
      </c>
      <c r="AF257" s="86">
        <v>44606</v>
      </c>
      <c r="AG257" s="33">
        <f t="shared" si="307"/>
        <v>0</v>
      </c>
      <c r="AH257" s="117" t="s">
        <v>1438</v>
      </c>
      <c r="AI257" s="63"/>
      <c r="AJ257" s="284"/>
      <c r="AK257" s="400"/>
      <c r="AM257" s="245"/>
      <c r="AN257" s="245"/>
    </row>
    <row r="258" spans="1:40">
      <c r="A258" s="347">
        <v>6.13</v>
      </c>
      <c r="B258" s="79">
        <v>56</v>
      </c>
      <c r="C258" s="79">
        <v>58</v>
      </c>
      <c r="D258" s="79">
        <v>25</v>
      </c>
      <c r="E258" s="79">
        <v>47</v>
      </c>
      <c r="F258" s="79">
        <v>28.75</v>
      </c>
      <c r="G258" s="79">
        <v>3556</v>
      </c>
      <c r="H258" s="145" t="s">
        <v>3039</v>
      </c>
      <c r="I258" s="16" t="s">
        <v>363</v>
      </c>
      <c r="J258" s="8" t="s">
        <v>4741</v>
      </c>
      <c r="L258" s="123"/>
      <c r="P258" s="365">
        <v>232</v>
      </c>
      <c r="Q258" s="79">
        <v>337</v>
      </c>
      <c r="R258" s="346">
        <v>680</v>
      </c>
      <c r="S258" s="81">
        <v>304</v>
      </c>
      <c r="T258" s="327">
        <v>283</v>
      </c>
      <c r="U258" s="393">
        <v>3.45</v>
      </c>
      <c r="V258" s="310">
        <f t="shared" si="304"/>
        <v>3.8851351351351357E-2</v>
      </c>
      <c r="W258" s="94">
        <v>5.72</v>
      </c>
      <c r="X258" s="36">
        <v>88.8</v>
      </c>
      <c r="Y258" s="66">
        <v>86.7</v>
      </c>
      <c r="Z258" s="15">
        <f t="shared" si="305"/>
        <v>2.0999999999999943</v>
      </c>
      <c r="AA258" s="63">
        <f t="shared" si="306"/>
        <v>2.4221453287197166E-2</v>
      </c>
      <c r="AB258" s="344">
        <v>-26.67</v>
      </c>
      <c r="AD258" s="16" t="s">
        <v>363</v>
      </c>
      <c r="AE258" s="84">
        <v>44606</v>
      </c>
      <c r="AF258" s="86">
        <v>44606</v>
      </c>
      <c r="AG258" s="33">
        <f t="shared" si="307"/>
        <v>0</v>
      </c>
      <c r="AH258" s="43" t="s">
        <v>2357</v>
      </c>
      <c r="AI258" s="63"/>
      <c r="AJ258" s="284"/>
      <c r="AK258" s="400"/>
      <c r="AM258" s="245"/>
      <c r="AN258" s="245"/>
    </row>
    <row r="259" spans="1:40">
      <c r="A259" s="347">
        <v>9.0299999999999994</v>
      </c>
      <c r="B259" s="79">
        <v>23</v>
      </c>
      <c r="C259" s="79">
        <v>31</v>
      </c>
      <c r="D259" s="79">
        <v>13</v>
      </c>
      <c r="E259" s="79">
        <v>123</v>
      </c>
      <c r="F259" s="79">
        <v>18.86</v>
      </c>
      <c r="G259" s="79">
        <v>6104</v>
      </c>
      <c r="H259" s="145" t="s">
        <v>3039</v>
      </c>
      <c r="I259" s="16" t="s">
        <v>372</v>
      </c>
      <c r="J259" s="8" t="s">
        <v>4741</v>
      </c>
      <c r="L259" s="123"/>
      <c r="P259" s="365">
        <v>20</v>
      </c>
      <c r="Q259" s="79">
        <v>122</v>
      </c>
      <c r="R259" s="346">
        <v>571</v>
      </c>
      <c r="S259" s="81">
        <v>14</v>
      </c>
      <c r="T259" s="327">
        <v>4</v>
      </c>
      <c r="U259" s="393">
        <v>3</v>
      </c>
      <c r="V259" s="310">
        <f t="shared" si="304"/>
        <v>1.1952191235059761E-2</v>
      </c>
      <c r="W259" s="94">
        <v>4.42</v>
      </c>
      <c r="X259" s="36">
        <v>251</v>
      </c>
      <c r="Y259" s="66">
        <v>245</v>
      </c>
      <c r="Z259" s="15">
        <f t="shared" si="305"/>
        <v>6</v>
      </c>
      <c r="AA259" s="63">
        <f t="shared" si="306"/>
        <v>2.4489795918367346E-2</v>
      </c>
      <c r="AB259" s="344">
        <v>-4.46</v>
      </c>
      <c r="AD259" s="16" t="s">
        <v>372</v>
      </c>
      <c r="AE259" s="84">
        <v>44603</v>
      </c>
      <c r="AF259" s="86">
        <v>44603</v>
      </c>
      <c r="AG259" s="33">
        <f t="shared" si="307"/>
        <v>0</v>
      </c>
      <c r="AH259" s="43" t="s">
        <v>3046</v>
      </c>
      <c r="AI259" s="63"/>
      <c r="AJ259" s="284"/>
      <c r="AK259" s="289"/>
      <c r="AM259" s="245"/>
      <c r="AN259" s="245"/>
    </row>
    <row r="260" spans="1:40">
      <c r="A260" s="347">
        <v>9.0299999999999994</v>
      </c>
      <c r="B260" s="79">
        <v>23</v>
      </c>
      <c r="C260" s="79">
        <v>31</v>
      </c>
      <c r="D260" s="79">
        <v>13</v>
      </c>
      <c r="E260" s="79">
        <v>123</v>
      </c>
      <c r="F260" s="79">
        <v>18.86</v>
      </c>
      <c r="G260" s="79">
        <v>6104</v>
      </c>
      <c r="H260" s="145" t="s">
        <v>3039</v>
      </c>
      <c r="I260" s="16" t="s">
        <v>372</v>
      </c>
      <c r="J260" s="8" t="s">
        <v>4741</v>
      </c>
      <c r="L260" s="123"/>
      <c r="P260" s="365">
        <v>20</v>
      </c>
      <c r="Q260" s="79">
        <v>122</v>
      </c>
      <c r="R260" s="346">
        <v>571</v>
      </c>
      <c r="S260" s="81">
        <v>14</v>
      </c>
      <c r="T260" s="327">
        <v>4</v>
      </c>
      <c r="U260" s="393">
        <v>3</v>
      </c>
      <c r="V260" s="310">
        <f t="shared" si="304"/>
        <v>1.1952191235059761E-2</v>
      </c>
      <c r="W260" s="94">
        <v>4.42</v>
      </c>
      <c r="X260" s="36">
        <v>251</v>
      </c>
      <c r="Y260" s="66">
        <v>258</v>
      </c>
      <c r="Z260" s="15">
        <f t="shared" si="305"/>
        <v>-7</v>
      </c>
      <c r="AA260" s="76">
        <f t="shared" si="306"/>
        <v>-2.7131782945736434E-2</v>
      </c>
      <c r="AB260" s="344">
        <v>0</v>
      </c>
      <c r="AD260" s="16" t="s">
        <v>372</v>
      </c>
      <c r="AE260" s="84">
        <v>44602</v>
      </c>
      <c r="AF260" s="83">
        <v>44603</v>
      </c>
      <c r="AG260" s="33">
        <f t="shared" si="307"/>
        <v>1</v>
      </c>
      <c r="AH260" s="43" t="s">
        <v>3046</v>
      </c>
      <c r="AI260" s="63"/>
      <c r="AJ260" s="284"/>
      <c r="AK260" s="289"/>
      <c r="AM260" s="245"/>
      <c r="AN260" s="245"/>
    </row>
    <row r="261" spans="1:40">
      <c r="A261" s="347">
        <v>4.91</v>
      </c>
      <c r="B261" s="79">
        <v>16</v>
      </c>
      <c r="C261" s="79">
        <v>0</v>
      </c>
      <c r="D261" s="79">
        <v>25</v>
      </c>
      <c r="E261" s="79">
        <v>10</v>
      </c>
      <c r="F261" s="79">
        <v>5.41</v>
      </c>
      <c r="G261" s="79">
        <v>3558</v>
      </c>
      <c r="H261" s="8" t="s">
        <v>311</v>
      </c>
      <c r="I261" s="16" t="s">
        <v>4372</v>
      </c>
      <c r="J261" s="8" t="s">
        <v>4741</v>
      </c>
      <c r="L261" s="123"/>
      <c r="P261" s="365">
        <v>140</v>
      </c>
      <c r="Q261" s="79">
        <v>156</v>
      </c>
      <c r="R261" s="346">
        <v>898</v>
      </c>
      <c r="S261" s="81">
        <v>13</v>
      </c>
      <c r="T261" s="327">
        <v>659</v>
      </c>
      <c r="U261" s="393">
        <v>4</v>
      </c>
      <c r="V261" s="310">
        <f t="shared" si="304"/>
        <v>3.3057851239669422E-2</v>
      </c>
      <c r="W261" s="94">
        <v>8.49</v>
      </c>
      <c r="X261" s="36">
        <v>121</v>
      </c>
      <c r="Y261" s="66">
        <v>119</v>
      </c>
      <c r="Z261" s="15">
        <f t="shared" si="305"/>
        <v>2</v>
      </c>
      <c r="AA261" s="63">
        <f t="shared" si="306"/>
        <v>1.680672268907563E-2</v>
      </c>
      <c r="AB261" s="344">
        <v>-2.46</v>
      </c>
      <c r="AD261" s="16" t="s">
        <v>4372</v>
      </c>
      <c r="AE261" s="84">
        <v>44601</v>
      </c>
      <c r="AF261" s="83">
        <v>44603</v>
      </c>
      <c r="AG261" s="33">
        <f t="shared" si="307"/>
        <v>2</v>
      </c>
      <c r="AH261" s="117" t="s">
        <v>4373</v>
      </c>
      <c r="AI261" s="63"/>
      <c r="AJ261" s="284"/>
      <c r="AK261" s="400"/>
      <c r="AM261" s="245"/>
      <c r="AN261" s="245"/>
    </row>
    <row r="262" spans="1:40">
      <c r="A262" s="347">
        <v>7.31</v>
      </c>
      <c r="B262" s="79">
        <v>254</v>
      </c>
      <c r="C262" s="79">
        <v>240</v>
      </c>
      <c r="D262" s="79">
        <v>4</v>
      </c>
      <c r="E262" s="79">
        <v>69</v>
      </c>
      <c r="F262" s="79">
        <v>20.85</v>
      </c>
      <c r="G262" s="79">
        <v>6706</v>
      </c>
      <c r="H262" s="5" t="s">
        <v>306</v>
      </c>
      <c r="I262" s="22" t="s">
        <v>1742</v>
      </c>
      <c r="J262" s="8" t="s">
        <v>4741</v>
      </c>
      <c r="L262" s="123"/>
      <c r="P262" s="365">
        <v>115</v>
      </c>
      <c r="Q262" s="79">
        <v>511</v>
      </c>
      <c r="R262" s="346">
        <v>437</v>
      </c>
      <c r="S262" s="81" t="s">
        <v>6289</v>
      </c>
      <c r="T262" s="327">
        <v>52</v>
      </c>
      <c r="U262" s="393">
        <v>4</v>
      </c>
      <c r="V262" s="310">
        <f t="shared" si="304"/>
        <v>1.5810276679841896E-2</v>
      </c>
      <c r="W262" s="94">
        <v>11.85</v>
      </c>
      <c r="X262" s="36">
        <v>253</v>
      </c>
      <c r="Y262" s="66">
        <v>247.5</v>
      </c>
      <c r="Z262" s="15">
        <f t="shared" si="305"/>
        <v>5.5</v>
      </c>
      <c r="AA262" s="63">
        <f t="shared" si="306"/>
        <v>2.2222222222222223E-2</v>
      </c>
      <c r="AB262" s="344">
        <v>-7.34</v>
      </c>
      <c r="AD262" s="22" t="s">
        <v>1742</v>
      </c>
      <c r="AE262" s="84">
        <v>44601</v>
      </c>
      <c r="AF262" s="86">
        <v>44601</v>
      </c>
      <c r="AG262" s="33">
        <f t="shared" si="307"/>
        <v>0</v>
      </c>
      <c r="AH262" s="119" t="s">
        <v>1865</v>
      </c>
      <c r="AI262" s="63"/>
      <c r="AJ262" s="284"/>
      <c r="AK262" s="400"/>
      <c r="AM262" s="245"/>
      <c r="AN262" s="245"/>
    </row>
    <row r="263" spans="1:40">
      <c r="A263" s="347">
        <v>5.99</v>
      </c>
      <c r="B263" s="79">
        <v>135</v>
      </c>
      <c r="C263" s="79">
        <v>168</v>
      </c>
      <c r="D263" s="79">
        <v>0</v>
      </c>
      <c r="E263" s="79">
        <v>29</v>
      </c>
      <c r="F263" s="79">
        <v>18.399999999999999</v>
      </c>
      <c r="G263" s="79">
        <v>3455</v>
      </c>
      <c r="H263" s="5" t="s">
        <v>306</v>
      </c>
      <c r="I263" s="16" t="s">
        <v>4187</v>
      </c>
      <c r="J263" s="8" t="s">
        <v>4747</v>
      </c>
      <c r="L263" s="123"/>
      <c r="P263" s="365">
        <v>107</v>
      </c>
      <c r="Q263" s="79">
        <v>308</v>
      </c>
      <c r="R263" s="346">
        <v>912</v>
      </c>
      <c r="S263" s="81">
        <v>129</v>
      </c>
      <c r="T263" s="327">
        <v>144</v>
      </c>
      <c r="U263" s="393">
        <v>4</v>
      </c>
      <c r="V263" s="310">
        <f t="shared" si="304"/>
        <v>3.5555555555555556E-2</v>
      </c>
      <c r="W263" s="94">
        <v>6.76</v>
      </c>
      <c r="X263" s="36">
        <v>112.5</v>
      </c>
      <c r="Y263" s="66">
        <v>110.5</v>
      </c>
      <c r="Z263" s="15">
        <f t="shared" si="305"/>
        <v>2</v>
      </c>
      <c r="AA263" s="63">
        <f t="shared" si="306"/>
        <v>1.8099547511312219E-2</v>
      </c>
      <c r="AB263" s="344">
        <v>-7.56</v>
      </c>
      <c r="AD263" s="16" t="s">
        <v>4187</v>
      </c>
      <c r="AE263" s="84">
        <v>44601</v>
      </c>
      <c r="AF263" s="86">
        <v>44601</v>
      </c>
      <c r="AG263" s="33">
        <f t="shared" si="307"/>
        <v>0</v>
      </c>
      <c r="AH263" s="43" t="s">
        <v>2434</v>
      </c>
      <c r="AI263" s="63"/>
      <c r="AJ263" s="284"/>
      <c r="AM263" s="245"/>
      <c r="AN263" s="245"/>
    </row>
    <row r="264" spans="1:40">
      <c r="A264" s="347">
        <v>6.01</v>
      </c>
      <c r="B264" s="80">
        <v>-60</v>
      </c>
      <c r="C264" s="80">
        <v>-58</v>
      </c>
      <c r="D264" s="79">
        <v>15</v>
      </c>
      <c r="E264" s="79">
        <v>70</v>
      </c>
      <c r="F264" s="79">
        <v>1.66</v>
      </c>
      <c r="G264" s="79">
        <v>3548</v>
      </c>
      <c r="H264" s="8" t="s">
        <v>308</v>
      </c>
      <c r="I264" s="16" t="s">
        <v>141</v>
      </c>
      <c r="J264" s="8" t="s">
        <v>4741</v>
      </c>
      <c r="L264" s="123"/>
      <c r="P264" s="365">
        <v>48</v>
      </c>
      <c r="Q264" s="79">
        <v>308</v>
      </c>
      <c r="R264" s="346">
        <v>664</v>
      </c>
      <c r="S264" s="81">
        <v>475</v>
      </c>
      <c r="T264" s="327">
        <v>560</v>
      </c>
      <c r="U264" s="393">
        <v>2.5</v>
      </c>
      <c r="V264" s="310">
        <f t="shared" si="304"/>
        <v>3.2216494845360828E-2</v>
      </c>
      <c r="W264" s="94">
        <v>2.6</v>
      </c>
      <c r="X264" s="36">
        <v>77.599999999999994</v>
      </c>
      <c r="Y264" s="66">
        <v>75.8</v>
      </c>
      <c r="Z264" s="15">
        <f t="shared" si="305"/>
        <v>1.7999999999999972</v>
      </c>
      <c r="AA264" s="63">
        <f t="shared" si="306"/>
        <v>2.3746701846965663E-2</v>
      </c>
      <c r="AB264" s="344">
        <v>-10.71</v>
      </c>
      <c r="AD264" s="16" t="s">
        <v>141</v>
      </c>
      <c r="AE264" s="84">
        <v>44601</v>
      </c>
      <c r="AF264" s="86">
        <v>44601</v>
      </c>
      <c r="AG264" s="33">
        <f t="shared" si="307"/>
        <v>0</v>
      </c>
      <c r="AH264" s="117" t="s">
        <v>2890</v>
      </c>
      <c r="AI264" s="63"/>
      <c r="AJ264" s="284"/>
      <c r="AK264" s="400"/>
      <c r="AM264" s="245"/>
      <c r="AN264" s="245"/>
    </row>
    <row r="265" spans="1:40">
      <c r="A265" s="347">
        <v>13.5</v>
      </c>
      <c r="B265" s="79">
        <v>144</v>
      </c>
      <c r="C265" s="79">
        <v>119</v>
      </c>
      <c r="D265" s="79">
        <v>0</v>
      </c>
      <c r="E265" s="79">
        <v>13</v>
      </c>
      <c r="F265" s="79">
        <v>11.15</v>
      </c>
      <c r="G265" s="79">
        <v>8938</v>
      </c>
      <c r="H265" s="8" t="s">
        <v>1960</v>
      </c>
      <c r="I265" s="16" t="s">
        <v>86</v>
      </c>
      <c r="J265" s="8" t="s">
        <v>4741</v>
      </c>
      <c r="L265" s="123"/>
      <c r="P265" s="365">
        <v>766</v>
      </c>
      <c r="Q265" s="79">
        <v>97</v>
      </c>
      <c r="R265" s="346">
        <v>406</v>
      </c>
      <c r="S265" s="81">
        <v>286</v>
      </c>
      <c r="T265" s="327">
        <v>777</v>
      </c>
      <c r="U265" s="393">
        <v>2.7</v>
      </c>
      <c r="V265" s="310">
        <f t="shared" si="304"/>
        <v>3.2258064516129031E-2</v>
      </c>
      <c r="W265" s="94">
        <v>9</v>
      </c>
      <c r="X265" s="36">
        <v>83.7</v>
      </c>
      <c r="Y265" s="66">
        <v>82</v>
      </c>
      <c r="Z265" s="15">
        <f t="shared" si="305"/>
        <v>1.7000000000000028</v>
      </c>
      <c r="AA265" s="63">
        <f t="shared" si="306"/>
        <v>2.0731707317073206E-2</v>
      </c>
      <c r="AB265" s="344">
        <v>-14.26</v>
      </c>
      <c r="AD265" s="16" t="s">
        <v>86</v>
      </c>
      <c r="AE265" s="84">
        <v>44599</v>
      </c>
      <c r="AF265" s="83">
        <v>44601</v>
      </c>
      <c r="AG265" s="33">
        <f t="shared" si="307"/>
        <v>2</v>
      </c>
      <c r="AH265" s="43" t="s">
        <v>3060</v>
      </c>
      <c r="AI265" s="63"/>
      <c r="AJ265" s="284"/>
      <c r="AK265" s="400"/>
      <c r="AM265" s="245"/>
      <c r="AN265" s="245"/>
    </row>
    <row r="266" spans="1:40">
      <c r="A266" s="347">
        <v>5.85</v>
      </c>
      <c r="B266" s="79">
        <v>18</v>
      </c>
      <c r="C266" s="79">
        <v>10</v>
      </c>
      <c r="D266" s="80">
        <v>-3</v>
      </c>
      <c r="E266" s="79">
        <v>10</v>
      </c>
      <c r="F266" s="79">
        <v>26.73</v>
      </c>
      <c r="G266" s="79">
        <v>3526</v>
      </c>
      <c r="H266" s="8" t="s">
        <v>308</v>
      </c>
      <c r="I266" s="16" t="s">
        <v>156</v>
      </c>
      <c r="J266" s="8" t="s">
        <v>4747</v>
      </c>
      <c r="P266" s="365">
        <v>528</v>
      </c>
      <c r="Q266" s="79">
        <v>83</v>
      </c>
      <c r="R266" s="346">
        <v>847</v>
      </c>
      <c r="S266" s="81">
        <v>65</v>
      </c>
      <c r="T266" s="327">
        <v>249</v>
      </c>
      <c r="U266" s="393">
        <v>9.1300000000000008</v>
      </c>
      <c r="V266" s="310">
        <f t="shared" si="304"/>
        <v>4.3270142180094791E-2</v>
      </c>
      <c r="W266" s="94">
        <v>9.74</v>
      </c>
      <c r="X266" s="36">
        <v>211</v>
      </c>
      <c r="Y266" s="66">
        <v>207</v>
      </c>
      <c r="Z266" s="15">
        <f t="shared" si="305"/>
        <v>4</v>
      </c>
      <c r="AA266" s="63">
        <f t="shared" si="306"/>
        <v>1.932367149758454E-2</v>
      </c>
      <c r="AB266" s="344">
        <v>-8.59</v>
      </c>
      <c r="AD266" s="16" t="s">
        <v>156</v>
      </c>
      <c r="AE266" s="84">
        <v>44600</v>
      </c>
      <c r="AF266" s="83">
        <v>44601</v>
      </c>
      <c r="AG266" s="33">
        <f t="shared" si="307"/>
        <v>1</v>
      </c>
      <c r="AH266" s="117" t="s">
        <v>1903</v>
      </c>
      <c r="AI266" s="63"/>
      <c r="AJ266" s="284"/>
      <c r="AK266" s="403"/>
      <c r="AM266" s="245"/>
      <c r="AN266" s="245"/>
    </row>
    <row r="267" spans="1:40">
      <c r="A267" s="347">
        <v>7.31</v>
      </c>
      <c r="B267" s="79">
        <v>254</v>
      </c>
      <c r="C267" s="79">
        <v>240</v>
      </c>
      <c r="D267" s="79">
        <v>4</v>
      </c>
      <c r="E267" s="79">
        <v>69</v>
      </c>
      <c r="F267" s="79">
        <v>20.85</v>
      </c>
      <c r="G267" s="79">
        <v>6706</v>
      </c>
      <c r="H267" s="5" t="s">
        <v>306</v>
      </c>
      <c r="I267" s="22" t="s">
        <v>1742</v>
      </c>
      <c r="J267" s="8" t="s">
        <v>4741</v>
      </c>
      <c r="L267" s="123"/>
      <c r="P267" s="365">
        <v>115</v>
      </c>
      <c r="Q267" s="79">
        <v>511</v>
      </c>
      <c r="R267" s="346">
        <v>437</v>
      </c>
      <c r="S267" s="81" t="s">
        <v>6289</v>
      </c>
      <c r="T267" s="327">
        <v>52</v>
      </c>
      <c r="U267" s="393">
        <v>4</v>
      </c>
      <c r="V267" s="310">
        <f t="shared" si="304"/>
        <v>1.680672268907563E-2</v>
      </c>
      <c r="W267" s="94">
        <v>11.85</v>
      </c>
      <c r="X267" s="36">
        <v>238</v>
      </c>
      <c r="Y267" s="66">
        <v>232.5</v>
      </c>
      <c r="Z267" s="15">
        <f t="shared" si="305"/>
        <v>5.5</v>
      </c>
      <c r="AA267" s="63">
        <f t="shared" si="306"/>
        <v>2.3655913978494623E-2</v>
      </c>
      <c r="AB267" s="344">
        <v>-8.49</v>
      </c>
      <c r="AD267" s="22" t="s">
        <v>1742</v>
      </c>
      <c r="AE267" s="84">
        <v>44600</v>
      </c>
      <c r="AF267" s="86">
        <v>44600</v>
      </c>
      <c r="AG267" s="33">
        <f t="shared" si="307"/>
        <v>0</v>
      </c>
      <c r="AH267" s="119" t="s">
        <v>1865</v>
      </c>
      <c r="AI267" s="63"/>
      <c r="AJ267" s="284"/>
      <c r="AK267" s="400"/>
      <c r="AM267" s="245"/>
      <c r="AN267" s="245"/>
    </row>
    <row r="268" spans="1:40">
      <c r="A268" s="347">
        <v>9.0299999999999994</v>
      </c>
      <c r="B268" s="79">
        <v>23</v>
      </c>
      <c r="C268" s="79">
        <v>31</v>
      </c>
      <c r="D268" s="79">
        <v>12</v>
      </c>
      <c r="E268" s="79">
        <v>90</v>
      </c>
      <c r="F268" s="79">
        <v>18.86</v>
      </c>
      <c r="G268" s="79">
        <v>6104</v>
      </c>
      <c r="H268" s="145" t="s">
        <v>3039</v>
      </c>
      <c r="I268" s="16" t="s">
        <v>372</v>
      </c>
      <c r="J268" s="8" t="s">
        <v>4747</v>
      </c>
      <c r="L268" s="123"/>
      <c r="P268" s="365">
        <v>20</v>
      </c>
      <c r="Q268" s="79">
        <v>122</v>
      </c>
      <c r="R268" s="346">
        <v>571</v>
      </c>
      <c r="S268" s="81">
        <v>14</v>
      </c>
      <c r="T268" s="327">
        <v>4</v>
      </c>
      <c r="U268" s="393">
        <v>3</v>
      </c>
      <c r="V268" s="310">
        <f t="shared" si="304"/>
        <v>1.3698630136986301E-2</v>
      </c>
      <c r="W268" s="94">
        <v>4.42</v>
      </c>
      <c r="X268" s="36">
        <v>219</v>
      </c>
      <c r="Y268" s="66">
        <v>214</v>
      </c>
      <c r="Z268" s="15">
        <f t="shared" si="305"/>
        <v>5</v>
      </c>
      <c r="AA268" s="63">
        <f t="shared" si="306"/>
        <v>2.336448598130841E-2</v>
      </c>
      <c r="AB268" s="344">
        <v>-3.83</v>
      </c>
      <c r="AD268" s="16" t="s">
        <v>372</v>
      </c>
      <c r="AE268" s="84">
        <v>44600</v>
      </c>
      <c r="AF268" s="86">
        <v>44600</v>
      </c>
      <c r="AG268" s="33">
        <f t="shared" si="307"/>
        <v>0</v>
      </c>
      <c r="AH268" s="43" t="s">
        <v>3046</v>
      </c>
      <c r="AI268" s="63"/>
      <c r="AJ268" s="284"/>
      <c r="AK268" s="289"/>
      <c r="AM268" s="245"/>
      <c r="AN268" s="245"/>
    </row>
    <row r="269" spans="1:40">
      <c r="A269" s="347">
        <v>6.01</v>
      </c>
      <c r="B269" s="80">
        <v>-60</v>
      </c>
      <c r="C269" s="80">
        <v>-58</v>
      </c>
      <c r="D269" s="79">
        <v>15</v>
      </c>
      <c r="E269" s="79">
        <v>70</v>
      </c>
      <c r="F269" s="79">
        <v>1.66</v>
      </c>
      <c r="G269" s="79">
        <v>3548</v>
      </c>
      <c r="H269" s="5" t="s">
        <v>3389</v>
      </c>
      <c r="I269" s="16" t="s">
        <v>141</v>
      </c>
      <c r="J269" s="8" t="s">
        <v>4741</v>
      </c>
      <c r="L269" s="123"/>
      <c r="P269" s="365">
        <v>48</v>
      </c>
      <c r="Q269" s="79">
        <v>308</v>
      </c>
      <c r="R269" s="346">
        <v>664</v>
      </c>
      <c r="S269" s="81">
        <v>475</v>
      </c>
      <c r="T269" s="327">
        <v>560</v>
      </c>
      <c r="U269" s="393">
        <v>2.5</v>
      </c>
      <c r="V269" s="310">
        <f t="shared" si="304"/>
        <v>3.3921302578018994E-2</v>
      </c>
      <c r="W269" s="94">
        <v>2.6</v>
      </c>
      <c r="X269" s="36">
        <v>73.7</v>
      </c>
      <c r="Y269" s="66">
        <v>72.2</v>
      </c>
      <c r="Z269" s="15">
        <f t="shared" si="305"/>
        <v>1.5</v>
      </c>
      <c r="AA269" s="63">
        <f t="shared" si="306"/>
        <v>2.077562326869806E-2</v>
      </c>
      <c r="AB269" s="344">
        <v>-18</v>
      </c>
      <c r="AD269" s="16" t="s">
        <v>141</v>
      </c>
      <c r="AE269" s="84">
        <v>44600</v>
      </c>
      <c r="AF269" s="86">
        <v>44600</v>
      </c>
      <c r="AG269" s="33">
        <f t="shared" si="307"/>
        <v>0</v>
      </c>
      <c r="AH269" s="117" t="s">
        <v>2890</v>
      </c>
      <c r="AI269" s="63"/>
      <c r="AJ269" s="284"/>
      <c r="AK269" s="400"/>
      <c r="AM269" s="245"/>
      <c r="AN269" s="245"/>
    </row>
    <row r="270" spans="1:40">
      <c r="A270" s="347">
        <v>3.81</v>
      </c>
      <c r="B270" s="79">
        <v>84</v>
      </c>
      <c r="C270" s="79">
        <v>120</v>
      </c>
      <c r="D270" s="79">
        <v>2</v>
      </c>
      <c r="E270" s="79">
        <v>32</v>
      </c>
      <c r="F270" s="79">
        <v>15.8</v>
      </c>
      <c r="G270" s="80">
        <v>6548</v>
      </c>
      <c r="H270" s="192" t="s">
        <v>3039</v>
      </c>
      <c r="I270" s="16" t="s">
        <v>1398</v>
      </c>
      <c r="J270" s="8" t="s">
        <v>4741</v>
      </c>
      <c r="L270" s="123"/>
      <c r="P270" s="365">
        <v>873</v>
      </c>
      <c r="Q270" s="79">
        <v>983</v>
      </c>
      <c r="R270" s="346">
        <v>660</v>
      </c>
      <c r="S270" s="81">
        <v>284</v>
      </c>
      <c r="T270" s="327">
        <v>21</v>
      </c>
      <c r="U270" s="393">
        <v>0.68</v>
      </c>
      <c r="V270" s="310">
        <f t="shared" si="304"/>
        <v>6.4761904761904765E-3</v>
      </c>
      <c r="W270" s="94">
        <v>3.64</v>
      </c>
      <c r="X270" s="36">
        <v>105</v>
      </c>
      <c r="Y270" s="66">
        <v>99.4</v>
      </c>
      <c r="Z270" s="15">
        <f t="shared" si="305"/>
        <v>5.5999999999999943</v>
      </c>
      <c r="AA270" s="63">
        <f t="shared" si="306"/>
        <v>5.6338028169014023E-2</v>
      </c>
      <c r="AB270" s="344">
        <v>-14.89</v>
      </c>
      <c r="AD270" s="16" t="s">
        <v>1398</v>
      </c>
      <c r="AE270" s="84">
        <v>44587</v>
      </c>
      <c r="AF270" s="83">
        <v>44600</v>
      </c>
      <c r="AG270" s="33">
        <f t="shared" si="307"/>
        <v>13</v>
      </c>
      <c r="AH270" s="117" t="s">
        <v>2805</v>
      </c>
      <c r="AI270" s="63"/>
      <c r="AJ270" s="284"/>
      <c r="AK270" s="400"/>
      <c r="AM270" s="245"/>
      <c r="AN270" s="245"/>
    </row>
    <row r="271" spans="1:40">
      <c r="A271" s="347">
        <v>5.85</v>
      </c>
      <c r="B271" s="79">
        <v>18</v>
      </c>
      <c r="C271" s="79">
        <v>10</v>
      </c>
      <c r="D271" s="80">
        <v>-3</v>
      </c>
      <c r="E271" s="79">
        <v>10</v>
      </c>
      <c r="F271" s="79">
        <v>26.73</v>
      </c>
      <c r="G271" s="79">
        <v>3526</v>
      </c>
      <c r="H271" s="8" t="s">
        <v>308</v>
      </c>
      <c r="I271" s="16" t="s">
        <v>156</v>
      </c>
      <c r="J271" s="8" t="s">
        <v>4741</v>
      </c>
      <c r="P271" s="365">
        <v>528</v>
      </c>
      <c r="Q271" s="79">
        <v>83</v>
      </c>
      <c r="R271" s="346">
        <v>847</v>
      </c>
      <c r="S271" s="81">
        <v>65</v>
      </c>
      <c r="T271" s="327">
        <v>249</v>
      </c>
      <c r="U271" s="393">
        <v>9.1300000000000008</v>
      </c>
      <c r="V271" s="310">
        <f t="shared" si="304"/>
        <v>4.5310173697270473E-2</v>
      </c>
      <c r="W271" s="94">
        <v>9.74</v>
      </c>
      <c r="X271" s="36">
        <v>201.5</v>
      </c>
      <c r="Y271" s="66">
        <v>197</v>
      </c>
      <c r="Z271" s="15">
        <f t="shared" si="305"/>
        <v>4.5</v>
      </c>
      <c r="AA271" s="63">
        <f t="shared" si="306"/>
        <v>2.2842639593908629E-2</v>
      </c>
      <c r="AB271" s="344">
        <v>-16.52</v>
      </c>
      <c r="AD271" s="16" t="s">
        <v>156</v>
      </c>
      <c r="AE271" s="84">
        <v>44599</v>
      </c>
      <c r="AF271" s="86">
        <v>44599</v>
      </c>
      <c r="AG271" s="33">
        <f t="shared" si="307"/>
        <v>0</v>
      </c>
      <c r="AH271" s="117" t="s">
        <v>1903</v>
      </c>
      <c r="AI271" s="63"/>
      <c r="AJ271" s="284"/>
      <c r="AK271" s="403"/>
      <c r="AM271" s="245"/>
      <c r="AN271" s="245"/>
    </row>
    <row r="272" spans="1:40">
      <c r="A272" s="347">
        <v>4.9800000000000004</v>
      </c>
      <c r="B272" s="80">
        <v>-42</v>
      </c>
      <c r="C272" s="80">
        <v>-44</v>
      </c>
      <c r="D272" s="79">
        <v>4</v>
      </c>
      <c r="E272" s="79">
        <v>38</v>
      </c>
      <c r="F272" s="79">
        <v>14.35</v>
      </c>
      <c r="G272" s="79">
        <v>8155</v>
      </c>
      <c r="H272" s="8" t="s">
        <v>308</v>
      </c>
      <c r="I272" s="16" t="s">
        <v>84</v>
      </c>
      <c r="J272" s="8" t="s">
        <v>4741</v>
      </c>
      <c r="L272" s="123"/>
      <c r="P272" s="365">
        <v>224</v>
      </c>
      <c r="Q272" s="79">
        <v>214</v>
      </c>
      <c r="R272" s="346">
        <v>1075</v>
      </c>
      <c r="S272" s="81">
        <v>2</v>
      </c>
      <c r="T272" s="327">
        <v>31</v>
      </c>
      <c r="U272" s="393">
        <v>7</v>
      </c>
      <c r="V272" s="310">
        <f t="shared" si="304"/>
        <v>3.6363636363636362E-2</v>
      </c>
      <c r="W272" s="94">
        <v>6.99</v>
      </c>
      <c r="X272" s="36">
        <v>192.5</v>
      </c>
      <c r="Y272" s="66">
        <v>188</v>
      </c>
      <c r="Z272" s="15">
        <f t="shared" si="305"/>
        <v>4.5</v>
      </c>
      <c r="AA272" s="63">
        <f t="shared" si="306"/>
        <v>2.3936170212765957E-2</v>
      </c>
      <c r="AB272" s="344">
        <v>-5.91</v>
      </c>
      <c r="AD272" s="16" t="s">
        <v>84</v>
      </c>
      <c r="AE272" s="84">
        <v>44599</v>
      </c>
      <c r="AF272" s="86">
        <v>44599</v>
      </c>
      <c r="AG272" s="33">
        <f t="shared" si="307"/>
        <v>0</v>
      </c>
      <c r="AH272" s="117" t="s">
        <v>1049</v>
      </c>
      <c r="AI272" s="63"/>
      <c r="AJ272" s="284"/>
      <c r="AK272" s="400"/>
      <c r="AM272" s="245"/>
      <c r="AN272" s="245"/>
    </row>
    <row r="273" spans="1:40">
      <c r="A273" s="347">
        <v>8.84</v>
      </c>
      <c r="B273" s="80">
        <v>-8</v>
      </c>
      <c r="C273" s="80">
        <v>-16</v>
      </c>
      <c r="D273" s="79">
        <v>1</v>
      </c>
      <c r="E273" s="79">
        <v>19</v>
      </c>
      <c r="F273" s="79">
        <v>9.17</v>
      </c>
      <c r="G273" s="79">
        <v>3324</v>
      </c>
      <c r="H273" s="5" t="s">
        <v>314</v>
      </c>
      <c r="I273" s="16" t="s">
        <v>228</v>
      </c>
      <c r="J273" s="8" t="s">
        <v>4741</v>
      </c>
      <c r="L273" s="123"/>
      <c r="O273" s="7"/>
      <c r="P273" s="365">
        <v>51</v>
      </c>
      <c r="Q273" s="79">
        <v>80</v>
      </c>
      <c r="R273" s="346">
        <v>421</v>
      </c>
      <c r="S273" s="81">
        <v>85</v>
      </c>
      <c r="T273" s="327">
        <v>76</v>
      </c>
      <c r="U273" s="393">
        <v>5.6</v>
      </c>
      <c r="V273" s="310">
        <f t="shared" si="304"/>
        <v>2.4190064794816415E-2</v>
      </c>
      <c r="W273" s="94">
        <v>12.05</v>
      </c>
      <c r="X273" s="36">
        <v>231.5</v>
      </c>
      <c r="Y273" s="66">
        <v>226</v>
      </c>
      <c r="Z273" s="15">
        <f t="shared" si="305"/>
        <v>5.5</v>
      </c>
      <c r="AA273" s="63">
        <f t="shared" si="306"/>
        <v>2.4336283185840708E-2</v>
      </c>
      <c r="AB273" s="344">
        <v>-4.5999999999999996</v>
      </c>
      <c r="AD273" s="16" t="s">
        <v>228</v>
      </c>
      <c r="AE273" s="84">
        <v>44599</v>
      </c>
      <c r="AF273" s="86">
        <v>44599</v>
      </c>
      <c r="AG273" s="33">
        <f t="shared" si="307"/>
        <v>0</v>
      </c>
      <c r="AH273" s="43" t="s">
        <v>2925</v>
      </c>
      <c r="AI273" s="63"/>
      <c r="AJ273" s="284"/>
      <c r="AK273" s="400"/>
      <c r="AM273" s="245"/>
      <c r="AN273" s="245"/>
    </row>
    <row r="274" spans="1:40">
      <c r="A274" s="347">
        <v>15.06</v>
      </c>
      <c r="B274" s="79">
        <v>18</v>
      </c>
      <c r="C274" s="79">
        <v>9</v>
      </c>
      <c r="D274" s="79">
        <v>6</v>
      </c>
      <c r="E274" s="79">
        <v>44</v>
      </c>
      <c r="F274" s="79">
        <v>9.18</v>
      </c>
      <c r="G274" s="79">
        <v>3665</v>
      </c>
      <c r="H274" s="192" t="s">
        <v>314</v>
      </c>
      <c r="I274" s="22" t="s">
        <v>267</v>
      </c>
      <c r="J274" s="8" t="s">
        <v>4741</v>
      </c>
      <c r="L274" s="123"/>
      <c r="P274" s="365">
        <v>603</v>
      </c>
      <c r="Q274" s="79">
        <v>87</v>
      </c>
      <c r="R274" s="346">
        <v>85</v>
      </c>
      <c r="S274" s="81">
        <v>68</v>
      </c>
      <c r="T274" s="327">
        <v>211</v>
      </c>
      <c r="U274" s="393">
        <v>8.1</v>
      </c>
      <c r="V274" s="310">
        <f t="shared" si="304"/>
        <v>2.6470588235294117E-2</v>
      </c>
      <c r="W274" s="94">
        <v>15.51</v>
      </c>
      <c r="X274" s="36">
        <v>306</v>
      </c>
      <c r="Y274" s="66">
        <v>291</v>
      </c>
      <c r="Z274" s="15">
        <f t="shared" si="305"/>
        <v>15</v>
      </c>
      <c r="AA274" s="63">
        <f t="shared" si="306"/>
        <v>5.1546391752577317E-2</v>
      </c>
      <c r="AB274" s="344">
        <v>0</v>
      </c>
      <c r="AD274" s="22" t="s">
        <v>267</v>
      </c>
      <c r="AE274" s="84">
        <v>44587</v>
      </c>
      <c r="AF274" s="83">
        <v>44599</v>
      </c>
      <c r="AG274" s="33">
        <f t="shared" si="307"/>
        <v>12</v>
      </c>
      <c r="AH274" s="117" t="s">
        <v>2311</v>
      </c>
      <c r="AI274" s="63"/>
      <c r="AJ274" s="284"/>
      <c r="AK274" s="400"/>
      <c r="AM274" s="245"/>
      <c r="AN274" s="245"/>
    </row>
    <row r="275" spans="1:40" s="248" customFormat="1">
      <c r="A275" s="91"/>
      <c r="B275" s="79"/>
      <c r="C275" s="79"/>
      <c r="D275" s="79"/>
      <c r="E275" s="79"/>
      <c r="F275" s="79"/>
      <c r="G275" s="41"/>
      <c r="H275" s="8"/>
      <c r="I275" s="153"/>
      <c r="J275" s="1"/>
      <c r="K275" s="361"/>
      <c r="L275" s="163"/>
      <c r="O275" s="245"/>
      <c r="P275" s="365"/>
      <c r="Q275" s="79"/>
      <c r="R275" s="346"/>
      <c r="S275" s="81"/>
      <c r="T275" s="327"/>
      <c r="U275" s="392"/>
      <c r="V275" s="310"/>
      <c r="W275" s="94"/>
      <c r="X275" s="307">
        <f>SUM(X249:X274)</f>
        <v>5682.9999999999991</v>
      </c>
      <c r="Y275" s="296">
        <f>SUM(Y249:Y274)</f>
        <v>5553.5999999999995</v>
      </c>
      <c r="Z275" s="162">
        <f t="shared" si="305"/>
        <v>129.39999999999964</v>
      </c>
      <c r="AA275" s="158">
        <f t="shared" si="306"/>
        <v>2.3300201670988126E-2</v>
      </c>
      <c r="AB275" s="100"/>
      <c r="AC275" s="382"/>
      <c r="AD275" s="227">
        <f>X275*(0.001425*0.5)+X275*0.003+Y275*(0.001425*0.5)</f>
        <v>25.055077499999996</v>
      </c>
      <c r="AE275" s="6">
        <f>Z275-AD275</f>
        <v>104.34492249999964</v>
      </c>
      <c r="AF275" s="83"/>
      <c r="AG275" s="33"/>
      <c r="AH275" s="46" t="s">
        <v>4746</v>
      </c>
    </row>
    <row r="276" spans="1:40">
      <c r="B276" s="90"/>
      <c r="C276" s="90"/>
      <c r="D276" s="90"/>
      <c r="E276" s="90"/>
      <c r="F276" s="348"/>
      <c r="G276" s="26"/>
      <c r="H276" s="55"/>
      <c r="I276" s="50"/>
      <c r="J276" s="8"/>
      <c r="L276" s="123"/>
      <c r="P276" s="365"/>
      <c r="Q276" s="79"/>
      <c r="R276" s="346"/>
      <c r="S276" s="81"/>
      <c r="U276" s="29"/>
      <c r="V276" s="308"/>
      <c r="W276" s="68"/>
      <c r="X276" s="28"/>
      <c r="Y276" s="17"/>
      <c r="Z276" s="14"/>
      <c r="AA276" s="21"/>
      <c r="AD276" s="50"/>
      <c r="AE276" s="71"/>
      <c r="AF276" s="72"/>
      <c r="AG276" s="32"/>
      <c r="AH276" s="232"/>
      <c r="AI276" s="8"/>
      <c r="AJ276" s="50"/>
      <c r="AM276" s="123"/>
      <c r="AN276" s="234"/>
    </row>
    <row r="277" spans="1:40">
      <c r="A277" s="347">
        <v>15.06</v>
      </c>
      <c r="B277" s="79">
        <v>18</v>
      </c>
      <c r="C277" s="79">
        <v>9</v>
      </c>
      <c r="D277" s="79">
        <v>6</v>
      </c>
      <c r="E277" s="79">
        <v>44</v>
      </c>
      <c r="F277" s="79">
        <v>9.18</v>
      </c>
      <c r="G277" s="79">
        <v>3665</v>
      </c>
      <c r="H277" s="192" t="s">
        <v>314</v>
      </c>
      <c r="I277" s="22" t="s">
        <v>267</v>
      </c>
      <c r="J277" s="8" t="s">
        <v>4741</v>
      </c>
      <c r="L277" s="123"/>
      <c r="P277" s="365">
        <v>603</v>
      </c>
      <c r="Q277" s="79">
        <v>87</v>
      </c>
      <c r="R277" s="346">
        <v>85</v>
      </c>
      <c r="S277" s="81">
        <v>68</v>
      </c>
      <c r="T277" s="327">
        <v>211</v>
      </c>
      <c r="U277" s="393">
        <v>8.1</v>
      </c>
      <c r="V277" s="310">
        <f>U277/X277</f>
        <v>2.8723404255319149E-2</v>
      </c>
      <c r="W277" s="94">
        <v>15.51</v>
      </c>
      <c r="X277" s="36">
        <v>282</v>
      </c>
      <c r="Y277" s="66">
        <v>276</v>
      </c>
      <c r="Z277" s="15">
        <f>X277-Y277</f>
        <v>6</v>
      </c>
      <c r="AA277" s="63">
        <f>Z277/Y277</f>
        <v>2.1739130434782608E-2</v>
      </c>
      <c r="AB277" s="344">
        <v>-2.29</v>
      </c>
      <c r="AD277" s="22" t="s">
        <v>267</v>
      </c>
      <c r="AE277" s="84">
        <v>44586</v>
      </c>
      <c r="AF277" s="86">
        <v>44586</v>
      </c>
      <c r="AG277" s="33">
        <f>AF277-AE277</f>
        <v>0</v>
      </c>
      <c r="AH277" s="117" t="s">
        <v>2311</v>
      </c>
      <c r="AI277" s="63"/>
      <c r="AJ277" s="284"/>
      <c r="AK277" s="400"/>
      <c r="AM277" s="245"/>
      <c r="AN277" s="245"/>
    </row>
    <row r="278" spans="1:40">
      <c r="A278" s="347">
        <v>54</v>
      </c>
      <c r="B278" s="79">
        <v>73</v>
      </c>
      <c r="C278" s="79">
        <v>135</v>
      </c>
      <c r="D278" s="79">
        <v>0</v>
      </c>
      <c r="E278" s="79">
        <v>52</v>
      </c>
      <c r="F278" s="79">
        <v>18.690000000000001</v>
      </c>
      <c r="G278" s="80">
        <v>6182</v>
      </c>
      <c r="H278" s="236" t="s">
        <v>3039</v>
      </c>
      <c r="I278" s="16" t="s">
        <v>166</v>
      </c>
      <c r="J278" s="8" t="s">
        <v>4741</v>
      </c>
      <c r="L278" s="245"/>
      <c r="P278" s="365">
        <v>110</v>
      </c>
      <c r="Q278" s="79">
        <v>1054</v>
      </c>
      <c r="R278" s="346">
        <v>383</v>
      </c>
      <c r="S278" s="81" t="s">
        <v>6289</v>
      </c>
      <c r="T278" s="327">
        <v>84</v>
      </c>
      <c r="U278" s="393">
        <v>1.1000000000000001</v>
      </c>
      <c r="V278" s="310">
        <f>U278/X278</f>
        <v>1.4416775884665795E-2</v>
      </c>
      <c r="W278" s="94">
        <v>1.54</v>
      </c>
      <c r="X278" s="36">
        <v>76.3</v>
      </c>
      <c r="Y278" s="66">
        <v>74.5</v>
      </c>
      <c r="Z278" s="15">
        <f>X278-Y278</f>
        <v>1.7999999999999972</v>
      </c>
      <c r="AA278" s="63">
        <f>Z278/Y278</f>
        <v>2.4161073825503317E-2</v>
      </c>
      <c r="AB278" s="344">
        <v>-15.87</v>
      </c>
      <c r="AD278" s="16" t="s">
        <v>166</v>
      </c>
      <c r="AE278" s="84">
        <v>44586</v>
      </c>
      <c r="AF278" s="86">
        <v>44586</v>
      </c>
      <c r="AG278" s="33">
        <f>AF278-AE278</f>
        <v>0</v>
      </c>
      <c r="AH278" s="117" t="s">
        <v>2168</v>
      </c>
      <c r="AI278" s="63"/>
      <c r="AJ278" s="284"/>
      <c r="AK278" s="400"/>
      <c r="AM278" s="245"/>
      <c r="AN278" s="245"/>
    </row>
    <row r="279" spans="1:40" s="248" customFormat="1">
      <c r="A279" s="91"/>
      <c r="B279" s="79"/>
      <c r="C279" s="79"/>
      <c r="D279" s="79"/>
      <c r="E279" s="79"/>
      <c r="F279" s="79"/>
      <c r="G279" s="41"/>
      <c r="H279" s="8"/>
      <c r="I279" s="153"/>
      <c r="J279" s="1"/>
      <c r="K279" s="361"/>
      <c r="L279" s="163"/>
      <c r="O279" s="245"/>
      <c r="P279" s="365"/>
      <c r="Q279" s="47"/>
      <c r="R279" s="346"/>
      <c r="S279" s="283"/>
      <c r="T279" s="327"/>
      <c r="U279" s="392"/>
      <c r="V279" s="310"/>
      <c r="W279" s="94"/>
      <c r="X279" s="307">
        <f>SUM(X277:X278)</f>
        <v>358.3</v>
      </c>
      <c r="Y279" s="296">
        <f>SUM(Y277:Y278)</f>
        <v>350.5</v>
      </c>
      <c r="Z279" s="162">
        <f>X279-Y279</f>
        <v>7.8000000000000114</v>
      </c>
      <c r="AA279" s="158">
        <f>Z279/Y279</f>
        <v>2.2253922967189761E-2</v>
      </c>
      <c r="AB279" s="100"/>
      <c r="AC279" s="382"/>
      <c r="AD279" s="227">
        <f>X279*(0.001425*0.5)+X279*0.003+Y279*(0.001425*0.5)</f>
        <v>1.57992</v>
      </c>
      <c r="AE279" s="6">
        <f>Z279-AD279</f>
        <v>6.2200800000000118</v>
      </c>
      <c r="AF279" s="83"/>
      <c r="AG279" s="33"/>
      <c r="AH279" s="46" t="s">
        <v>4745</v>
      </c>
    </row>
    <row r="280" spans="1:40" s="248" customFormat="1">
      <c r="A280" s="91"/>
      <c r="B280" s="79"/>
      <c r="C280" s="79"/>
      <c r="D280" s="79"/>
      <c r="E280" s="79"/>
      <c r="F280" s="79"/>
      <c r="G280" s="41"/>
      <c r="H280" s="8"/>
      <c r="I280" s="153"/>
      <c r="J280" s="1"/>
      <c r="K280" s="361"/>
      <c r="L280" s="163"/>
      <c r="O280" s="245"/>
      <c r="P280" s="365"/>
      <c r="Q280" s="47"/>
      <c r="R280" s="346"/>
      <c r="S280" s="283"/>
      <c r="T280" s="327"/>
      <c r="U280" s="392"/>
      <c r="V280" s="310"/>
      <c r="W280" s="94"/>
      <c r="X280" s="307"/>
      <c r="Y280" s="296"/>
      <c r="Z280" s="162"/>
      <c r="AA280" s="158"/>
      <c r="AB280" s="330"/>
      <c r="AC280" s="382"/>
      <c r="AD280" s="227"/>
      <c r="AE280" s="6"/>
      <c r="AF280" s="83"/>
      <c r="AG280" s="33"/>
      <c r="AH280" s="199"/>
    </row>
    <row r="281" spans="1:40">
      <c r="L281" s="123"/>
      <c r="P281" s="365"/>
      <c r="Q281" s="47"/>
      <c r="R281" s="346"/>
      <c r="V281" s="312"/>
    </row>
    <row r="282" spans="1:40">
      <c r="L282" s="245"/>
      <c r="P282" s="365"/>
      <c r="Q282" s="47"/>
      <c r="R282" s="346"/>
      <c r="V282" s="308"/>
    </row>
    <row r="283" spans="1:40">
      <c r="L283" s="123"/>
      <c r="P283" s="365"/>
      <c r="Q283" s="47"/>
      <c r="R283" s="346"/>
      <c r="V283" s="308"/>
    </row>
    <row r="284" spans="1:40">
      <c r="L284" s="123"/>
      <c r="P284" s="365"/>
      <c r="Q284" s="47"/>
      <c r="R284" s="346"/>
      <c r="V284" s="308"/>
    </row>
    <row r="285" spans="1:40">
      <c r="L285" s="123"/>
      <c r="P285" s="365"/>
      <c r="Q285" s="47"/>
      <c r="R285" s="346"/>
      <c r="V285" s="308"/>
    </row>
    <row r="286" spans="1:40">
      <c r="L286" s="123"/>
      <c r="P286" s="365"/>
      <c r="Q286" s="47"/>
      <c r="R286" s="346"/>
      <c r="V286" s="310"/>
    </row>
    <row r="287" spans="1:40">
      <c r="L287" s="245"/>
      <c r="P287" s="365"/>
      <c r="Q287" s="47"/>
      <c r="R287" s="346"/>
      <c r="V287" s="310"/>
    </row>
    <row r="288" spans="1:40">
      <c r="L288" s="123"/>
      <c r="P288" s="365"/>
      <c r="Q288" s="47"/>
      <c r="R288" s="346"/>
      <c r="V288" s="310"/>
    </row>
    <row r="289" spans="12:38">
      <c r="L289" s="123"/>
      <c r="P289" s="365"/>
      <c r="Q289" s="47"/>
      <c r="R289" s="346"/>
      <c r="V289" s="310"/>
    </row>
    <row r="290" spans="12:38">
      <c r="L290" s="123"/>
      <c r="P290" s="365"/>
      <c r="Q290" s="47"/>
      <c r="R290" s="346"/>
      <c r="V290" s="310"/>
    </row>
    <row r="291" spans="12:38">
      <c r="L291" s="245"/>
      <c r="P291" s="365"/>
      <c r="Q291" s="47"/>
      <c r="R291" s="346"/>
      <c r="V291" s="310"/>
    </row>
    <row r="292" spans="12:38">
      <c r="L292" s="123"/>
      <c r="P292" s="365"/>
      <c r="Q292" s="47"/>
      <c r="R292" s="346"/>
      <c r="V292" s="310"/>
    </row>
    <row r="293" spans="12:38">
      <c r="L293" s="123"/>
      <c r="P293" s="365"/>
      <c r="Q293" s="47"/>
      <c r="R293" s="346"/>
      <c r="V293" s="310"/>
      <c r="AL293" s="280"/>
    </row>
    <row r="294" spans="12:38">
      <c r="L294" s="123"/>
      <c r="P294" s="365"/>
      <c r="Q294" s="47"/>
      <c r="R294" s="346"/>
      <c r="V294" s="310"/>
      <c r="AL294" s="245"/>
    </row>
    <row r="295" spans="12:38">
      <c r="L295" s="123"/>
      <c r="P295" s="365"/>
      <c r="Q295" s="47"/>
      <c r="R295" s="346"/>
      <c r="V295" s="310"/>
      <c r="AL295" s="245"/>
    </row>
    <row r="296" spans="12:38">
      <c r="L296" s="123"/>
      <c r="P296" s="365"/>
      <c r="Q296" s="47"/>
      <c r="R296" s="346"/>
      <c r="V296" s="310"/>
      <c r="AL296" s="245"/>
    </row>
    <row r="297" spans="12:38">
      <c r="L297" s="245"/>
      <c r="P297" s="365"/>
      <c r="Q297" s="47"/>
      <c r="R297" s="346"/>
      <c r="V297" s="310"/>
      <c r="AL297" s="245"/>
    </row>
    <row r="298" spans="12:38">
      <c r="L298" s="245"/>
      <c r="P298" s="365"/>
      <c r="Q298" s="47"/>
      <c r="R298" s="346"/>
      <c r="V298" s="310"/>
      <c r="AK298" s="404"/>
      <c r="AL298" s="245"/>
    </row>
    <row r="299" spans="12:38">
      <c r="L299" s="123"/>
      <c r="P299" s="365"/>
      <c r="Q299" s="47"/>
      <c r="R299" s="346"/>
      <c r="V299" s="310"/>
      <c r="AL299" s="245"/>
    </row>
    <row r="300" spans="12:38">
      <c r="L300" s="123"/>
      <c r="P300" s="365"/>
      <c r="Q300" s="47"/>
      <c r="R300" s="346"/>
      <c r="V300" s="310"/>
      <c r="AL300" s="245"/>
    </row>
    <row r="301" spans="12:38">
      <c r="L301" s="123"/>
      <c r="P301" s="365"/>
      <c r="Q301" s="47"/>
      <c r="R301" s="346"/>
      <c r="AL301" s="245"/>
    </row>
    <row r="302" spans="12:38">
      <c r="L302" s="123"/>
      <c r="P302" s="365"/>
      <c r="Q302" s="47"/>
      <c r="R302" s="346"/>
      <c r="AL302" s="245"/>
    </row>
    <row r="303" spans="12:38">
      <c r="L303" s="123"/>
      <c r="P303" s="365"/>
      <c r="Q303" s="47"/>
      <c r="R303" s="346"/>
      <c r="AL303" s="245"/>
    </row>
    <row r="304" spans="12:38">
      <c r="L304" s="123"/>
      <c r="P304" s="365"/>
      <c r="Q304" s="47"/>
      <c r="R304" s="346"/>
      <c r="AL304" s="245"/>
    </row>
    <row r="305" spans="12:38">
      <c r="L305" s="123"/>
      <c r="P305" s="365"/>
      <c r="Q305" s="47"/>
      <c r="R305" s="346"/>
      <c r="AL305" s="245"/>
    </row>
    <row r="306" spans="12:38">
      <c r="L306" s="123"/>
      <c r="P306" s="365"/>
      <c r="Q306" s="47"/>
      <c r="R306" s="346"/>
      <c r="AL306" s="245"/>
    </row>
    <row r="307" spans="12:38">
      <c r="L307" s="123"/>
      <c r="P307" s="365"/>
      <c r="Q307" s="47"/>
      <c r="R307" s="346"/>
      <c r="AL307" s="245"/>
    </row>
    <row r="308" spans="12:38">
      <c r="P308" s="365"/>
      <c r="Q308" s="47"/>
      <c r="R308" s="346"/>
      <c r="AL308" s="245"/>
    </row>
    <row r="309" spans="12:38">
      <c r="L309" s="123"/>
      <c r="P309" s="365"/>
      <c r="Q309" s="47"/>
      <c r="R309" s="346"/>
      <c r="V309" s="308"/>
      <c r="AL309" s="245"/>
    </row>
    <row r="310" spans="12:38">
      <c r="L310" s="123"/>
      <c r="O310" s="7"/>
      <c r="P310" s="365"/>
      <c r="Q310" s="47"/>
      <c r="R310" s="346"/>
      <c r="V310" s="310"/>
      <c r="AL310" s="245"/>
    </row>
    <row r="311" spans="12:38">
      <c r="L311" s="123"/>
      <c r="P311" s="365"/>
      <c r="Q311" s="47"/>
      <c r="R311" s="346"/>
      <c r="V311" s="310"/>
    </row>
    <row r="312" spans="12:38">
      <c r="L312" s="245"/>
      <c r="P312" s="365"/>
      <c r="Q312" s="47"/>
      <c r="R312" s="346"/>
      <c r="V312" s="310"/>
    </row>
    <row r="313" spans="12:38">
      <c r="L313" s="123"/>
      <c r="P313" s="365"/>
      <c r="Q313" s="47"/>
      <c r="R313" s="346"/>
      <c r="V313" s="310"/>
    </row>
    <row r="314" spans="12:38">
      <c r="L314" s="245"/>
      <c r="P314" s="365"/>
      <c r="Q314" s="47"/>
      <c r="R314" s="346"/>
      <c r="V314" s="310"/>
    </row>
    <row r="315" spans="12:38">
      <c r="L315" s="123"/>
      <c r="P315" s="365"/>
      <c r="Q315" s="47"/>
      <c r="R315" s="346"/>
      <c r="V315" s="310"/>
    </row>
    <row r="316" spans="12:38">
      <c r="L316" s="245"/>
      <c r="P316" s="365"/>
      <c r="Q316" s="47"/>
      <c r="R316" s="346"/>
      <c r="V316" s="310"/>
    </row>
    <row r="317" spans="12:38">
      <c r="L317" s="123"/>
      <c r="P317" s="365"/>
      <c r="Q317" s="47"/>
      <c r="R317" s="346"/>
      <c r="V317" s="310"/>
    </row>
    <row r="318" spans="12:38">
      <c r="L318" s="123"/>
      <c r="P318" s="365"/>
      <c r="Q318" s="47"/>
      <c r="R318" s="346"/>
      <c r="V318" s="310"/>
    </row>
    <row r="319" spans="12:38">
      <c r="L319" s="123"/>
      <c r="P319" s="365"/>
      <c r="Q319" s="47"/>
      <c r="R319" s="346"/>
      <c r="AL319" s="280"/>
    </row>
    <row r="320" spans="12:38">
      <c r="L320" s="123"/>
      <c r="O320" s="7"/>
      <c r="P320" s="365"/>
      <c r="Q320" s="47"/>
      <c r="R320" s="346"/>
      <c r="AL320" s="245"/>
    </row>
    <row r="321" spans="12:38">
      <c r="L321" s="123"/>
      <c r="P321" s="365"/>
      <c r="Q321" s="47"/>
      <c r="R321" s="346"/>
      <c r="V321" s="308"/>
      <c r="AL321" s="245"/>
    </row>
    <row r="322" spans="12:38">
      <c r="L322" s="123"/>
      <c r="P322" s="365"/>
      <c r="Q322" s="47"/>
      <c r="R322" s="346"/>
      <c r="V322" s="310"/>
      <c r="AL322" s="245"/>
    </row>
    <row r="323" spans="12:38">
      <c r="L323" s="123"/>
      <c r="P323" s="365"/>
      <c r="Q323" s="47"/>
      <c r="R323" s="346"/>
      <c r="V323" s="310"/>
      <c r="AL323" s="245"/>
    </row>
    <row r="324" spans="12:38">
      <c r="L324" s="123"/>
      <c r="P324" s="365"/>
      <c r="Q324" s="47"/>
      <c r="R324" s="346"/>
      <c r="V324" s="310"/>
      <c r="AL324" s="245"/>
    </row>
    <row r="325" spans="12:38">
      <c r="L325" s="123"/>
      <c r="P325" s="365"/>
      <c r="Q325" s="47"/>
      <c r="R325" s="346"/>
      <c r="V325" s="310"/>
      <c r="AL325" s="245"/>
    </row>
    <row r="326" spans="12:38">
      <c r="L326" s="245"/>
      <c r="P326" s="365"/>
      <c r="Q326" s="47"/>
      <c r="R326" s="346"/>
      <c r="V326" s="310"/>
    </row>
    <row r="327" spans="12:38">
      <c r="L327" s="123"/>
      <c r="P327" s="365"/>
      <c r="Q327" s="47"/>
      <c r="R327" s="346"/>
      <c r="V327" s="310"/>
    </row>
    <row r="328" spans="12:38">
      <c r="L328" s="123"/>
      <c r="P328" s="365"/>
      <c r="Q328" s="47"/>
      <c r="R328" s="346"/>
    </row>
    <row r="329" spans="12:38">
      <c r="L329" s="123"/>
      <c r="P329" s="365"/>
      <c r="Q329" s="47"/>
      <c r="R329" s="346"/>
      <c r="AL329" s="280"/>
    </row>
    <row r="330" spans="12:38">
      <c r="L330" s="123"/>
      <c r="P330" s="365"/>
      <c r="Q330" s="47"/>
      <c r="R330" s="346"/>
    </row>
    <row r="331" spans="12:38">
      <c r="L331" s="123"/>
      <c r="P331" s="365"/>
      <c r="Q331" s="47"/>
      <c r="R331" s="346"/>
    </row>
    <row r="332" spans="12:38">
      <c r="L332" s="245"/>
      <c r="P332" s="365"/>
      <c r="Q332" s="47"/>
      <c r="R332" s="346"/>
    </row>
    <row r="333" spans="12:38">
      <c r="L333" s="123"/>
      <c r="P333" s="365"/>
      <c r="Q333" s="47"/>
      <c r="R333" s="346"/>
    </row>
    <row r="334" spans="12:38">
      <c r="L334" s="123"/>
      <c r="P334" s="365"/>
      <c r="Q334" s="47"/>
      <c r="R334" s="346"/>
    </row>
    <row r="335" spans="12:38">
      <c r="L335" s="245"/>
      <c r="P335" s="365"/>
      <c r="Q335" s="47"/>
      <c r="R335" s="346"/>
      <c r="AL335" s="280"/>
    </row>
    <row r="336" spans="12:38">
      <c r="L336" s="123"/>
      <c r="P336" s="365"/>
      <c r="Q336" s="47"/>
      <c r="R336" s="346"/>
    </row>
    <row r="337" spans="12:37">
      <c r="L337" s="123"/>
      <c r="P337" s="365"/>
      <c r="Q337" s="47"/>
      <c r="R337" s="346"/>
    </row>
    <row r="338" spans="12:37">
      <c r="L338" s="123"/>
      <c r="P338" s="365"/>
      <c r="Q338" s="47"/>
      <c r="R338" s="346"/>
    </row>
    <row r="339" spans="12:37">
      <c r="L339" s="123"/>
      <c r="P339" s="365"/>
      <c r="Q339" s="47"/>
      <c r="R339" s="346"/>
      <c r="AK339" s="405"/>
    </row>
    <row r="340" spans="12:37">
      <c r="L340" s="123"/>
      <c r="P340" s="365"/>
      <c r="Q340" s="47"/>
      <c r="R340" s="346"/>
    </row>
    <row r="341" spans="12:37">
      <c r="L341" s="123"/>
      <c r="P341" s="365"/>
      <c r="Q341" s="47"/>
      <c r="R341" s="346"/>
    </row>
    <row r="342" spans="12:37">
      <c r="L342" s="123"/>
      <c r="P342" s="365"/>
      <c r="Q342" s="47"/>
      <c r="R342" s="346"/>
    </row>
    <row r="343" spans="12:37">
      <c r="L343" s="123"/>
      <c r="P343" s="365"/>
      <c r="Q343" s="47"/>
      <c r="R343" s="346"/>
    </row>
    <row r="344" spans="12:37">
      <c r="L344" s="123"/>
      <c r="P344" s="365"/>
      <c r="Q344" s="47"/>
      <c r="R344" s="346"/>
    </row>
    <row r="345" spans="12:37">
      <c r="L345" s="123"/>
      <c r="P345" s="365"/>
      <c r="Q345" s="47"/>
      <c r="R345" s="346"/>
    </row>
    <row r="346" spans="12:37">
      <c r="L346" s="123"/>
      <c r="P346" s="365"/>
      <c r="Q346" s="47"/>
      <c r="R346" s="346"/>
    </row>
    <row r="347" spans="12:37">
      <c r="L347" s="123"/>
      <c r="P347" s="365"/>
      <c r="Q347" s="47"/>
      <c r="R347" s="346"/>
    </row>
    <row r="348" spans="12:37">
      <c r="L348" s="123"/>
      <c r="P348" s="365"/>
      <c r="Q348" s="47"/>
      <c r="R348" s="346"/>
    </row>
    <row r="349" spans="12:37">
      <c r="L349" s="123"/>
      <c r="P349" s="365"/>
      <c r="Q349" s="47"/>
      <c r="R349" s="346"/>
    </row>
    <row r="350" spans="12:37">
      <c r="L350" s="123"/>
      <c r="P350" s="365"/>
      <c r="Q350" s="47"/>
      <c r="R350" s="346"/>
    </row>
    <row r="351" spans="12:37">
      <c r="L351" s="123"/>
      <c r="P351" s="365"/>
      <c r="Q351" s="47"/>
      <c r="R351" s="346"/>
    </row>
    <row r="352" spans="12:37">
      <c r="L352" s="123"/>
      <c r="P352" s="365"/>
      <c r="Q352" s="47"/>
      <c r="R352" s="346"/>
    </row>
    <row r="353" spans="12:18">
      <c r="L353" s="123"/>
      <c r="P353" s="365"/>
      <c r="Q353" s="47"/>
      <c r="R353" s="346"/>
    </row>
    <row r="354" spans="12:18">
      <c r="L354" s="123"/>
      <c r="P354" s="365"/>
      <c r="Q354" s="47"/>
      <c r="R354" s="346"/>
    </row>
    <row r="355" spans="12:18">
      <c r="L355" s="123"/>
      <c r="P355" s="365"/>
      <c r="Q355" s="47"/>
      <c r="R355" s="346"/>
    </row>
    <row r="356" spans="12:18">
      <c r="L356" s="123"/>
      <c r="P356" s="365"/>
      <c r="Q356" s="47"/>
      <c r="R356" s="346"/>
    </row>
    <row r="357" spans="12:18">
      <c r="L357" s="123"/>
      <c r="P357" s="365"/>
      <c r="Q357" s="47"/>
      <c r="R357" s="346"/>
    </row>
    <row r="358" spans="12:18">
      <c r="L358" s="123"/>
      <c r="P358" s="365"/>
      <c r="Q358" s="47"/>
      <c r="R358" s="346"/>
    </row>
    <row r="359" spans="12:18">
      <c r="L359" s="123"/>
      <c r="P359" s="365"/>
      <c r="Q359" s="47"/>
      <c r="R359" s="346"/>
    </row>
    <row r="360" spans="12:18">
      <c r="L360" s="123"/>
      <c r="P360" s="365"/>
      <c r="Q360" s="47"/>
      <c r="R360" s="346"/>
    </row>
    <row r="361" spans="12:18">
      <c r="L361" s="123"/>
      <c r="P361" s="365"/>
      <c r="Q361" s="47"/>
      <c r="R361" s="346"/>
    </row>
    <row r="362" spans="12:18">
      <c r="L362" s="123"/>
      <c r="P362" s="365"/>
      <c r="Q362" s="47"/>
      <c r="R362" s="346"/>
    </row>
    <row r="363" spans="12:18">
      <c r="L363" s="123"/>
      <c r="P363" s="365"/>
      <c r="Q363" s="47"/>
      <c r="R363" s="346"/>
    </row>
    <row r="364" spans="12:18">
      <c r="L364" s="123"/>
      <c r="P364" s="365"/>
      <c r="Q364" s="47"/>
      <c r="R364" s="346"/>
    </row>
    <row r="365" spans="12:18">
      <c r="L365" s="123"/>
      <c r="P365" s="365"/>
      <c r="Q365" s="47"/>
      <c r="R365" s="346"/>
    </row>
    <row r="366" spans="12:18">
      <c r="L366" s="123"/>
      <c r="P366" s="365"/>
      <c r="Q366" s="47"/>
      <c r="R366" s="346"/>
    </row>
    <row r="367" spans="12:18">
      <c r="L367" s="123"/>
      <c r="P367" s="365"/>
      <c r="Q367" s="47"/>
      <c r="R367" s="346"/>
    </row>
    <row r="368" spans="12:18">
      <c r="L368" s="123"/>
      <c r="P368" s="365"/>
      <c r="Q368" s="47"/>
      <c r="R368" s="346"/>
    </row>
    <row r="369" spans="12:18">
      <c r="L369" s="123"/>
      <c r="P369" s="365"/>
      <c r="Q369" s="47"/>
      <c r="R369" s="346"/>
    </row>
    <row r="370" spans="12:18">
      <c r="L370" s="123"/>
      <c r="P370" s="365"/>
      <c r="Q370" s="47"/>
      <c r="R370" s="346"/>
    </row>
    <row r="371" spans="12:18">
      <c r="L371" s="123"/>
      <c r="P371" s="365"/>
      <c r="Q371" s="47"/>
      <c r="R371" s="346"/>
    </row>
    <row r="372" spans="12:18">
      <c r="L372" s="245"/>
      <c r="P372" s="365"/>
      <c r="Q372" s="47"/>
      <c r="R372" s="346"/>
    </row>
    <row r="373" spans="12:18">
      <c r="L373" s="123"/>
      <c r="P373" s="365"/>
      <c r="Q373" s="47"/>
      <c r="R373" s="346"/>
    </row>
    <row r="374" spans="12:18">
      <c r="L374" s="123"/>
      <c r="P374" s="365"/>
      <c r="Q374" s="47"/>
      <c r="R374" s="346"/>
    </row>
    <row r="375" spans="12:18">
      <c r="L375" s="123"/>
      <c r="P375" s="365"/>
      <c r="Q375" s="47"/>
      <c r="R375" s="346"/>
    </row>
    <row r="376" spans="12:18">
      <c r="L376" s="123"/>
      <c r="P376" s="365"/>
      <c r="Q376" s="47"/>
      <c r="R376" s="346"/>
    </row>
    <row r="377" spans="12:18">
      <c r="L377" s="123"/>
      <c r="P377" s="365"/>
      <c r="Q377" s="47"/>
      <c r="R377" s="346"/>
    </row>
    <row r="378" spans="12:18">
      <c r="L378" s="123"/>
      <c r="P378" s="365"/>
      <c r="Q378" s="47"/>
      <c r="R378" s="346"/>
    </row>
    <row r="379" spans="12:18">
      <c r="L379" s="123"/>
      <c r="P379" s="365"/>
      <c r="Q379" s="47"/>
      <c r="R379" s="346"/>
    </row>
    <row r="380" spans="12:18">
      <c r="L380" s="123"/>
      <c r="P380" s="365"/>
      <c r="Q380" s="47"/>
      <c r="R380" s="346"/>
    </row>
    <row r="381" spans="12:18">
      <c r="L381" s="123"/>
      <c r="P381" s="365"/>
      <c r="Q381" s="47"/>
      <c r="R381" s="346"/>
    </row>
    <row r="382" spans="12:18">
      <c r="L382" s="123"/>
      <c r="P382" s="365"/>
      <c r="Q382" s="47"/>
      <c r="R382" s="346"/>
    </row>
    <row r="383" spans="12:18">
      <c r="L383" s="123"/>
      <c r="P383" s="365"/>
      <c r="Q383" s="47"/>
      <c r="R383" s="346"/>
    </row>
    <row r="384" spans="12:18">
      <c r="L384" s="123"/>
      <c r="P384" s="365"/>
      <c r="Q384" s="47"/>
      <c r="R384" s="346"/>
    </row>
    <row r="385" spans="12:18">
      <c r="L385" s="123"/>
      <c r="P385" s="365"/>
      <c r="Q385" s="47"/>
      <c r="R385" s="346"/>
    </row>
    <row r="386" spans="12:18">
      <c r="L386" s="123"/>
      <c r="P386" s="365"/>
      <c r="Q386" s="47"/>
      <c r="R386" s="346"/>
    </row>
    <row r="387" spans="12:18">
      <c r="L387" s="123"/>
      <c r="P387" s="365"/>
      <c r="Q387" s="47"/>
      <c r="R387" s="346"/>
    </row>
    <row r="388" spans="12:18">
      <c r="L388" s="123"/>
      <c r="P388" s="365"/>
      <c r="Q388" s="47"/>
      <c r="R388" s="346"/>
    </row>
    <row r="389" spans="12:18">
      <c r="L389" s="123"/>
      <c r="P389" s="365"/>
      <c r="Q389" s="47"/>
      <c r="R389" s="346"/>
    </row>
    <row r="390" spans="12:18">
      <c r="L390" s="123"/>
      <c r="P390" s="365"/>
      <c r="Q390" s="47"/>
      <c r="R390" s="346"/>
    </row>
    <row r="391" spans="12:18">
      <c r="L391" s="123"/>
      <c r="P391" s="365"/>
      <c r="Q391" s="47"/>
      <c r="R391" s="346"/>
    </row>
    <row r="392" spans="12:18">
      <c r="L392" s="123"/>
      <c r="P392" s="365"/>
      <c r="Q392" s="47"/>
      <c r="R392" s="346"/>
    </row>
    <row r="393" spans="12:18">
      <c r="L393" s="123"/>
      <c r="P393" s="365"/>
      <c r="Q393" s="47"/>
      <c r="R393" s="346"/>
    </row>
    <row r="394" spans="12:18">
      <c r="L394" s="123"/>
      <c r="P394" s="365"/>
      <c r="Q394" s="47"/>
      <c r="R394" s="346"/>
    </row>
    <row r="395" spans="12:18">
      <c r="L395" s="123"/>
      <c r="P395" s="365"/>
      <c r="Q395" s="47"/>
      <c r="R395" s="346"/>
    </row>
    <row r="396" spans="12:18">
      <c r="L396" s="123"/>
      <c r="P396" s="365"/>
      <c r="Q396" s="47"/>
      <c r="R396" s="346"/>
    </row>
    <row r="397" spans="12:18">
      <c r="L397" s="123"/>
      <c r="P397" s="365"/>
      <c r="Q397" s="47"/>
      <c r="R397" s="346"/>
    </row>
    <row r="398" spans="12:18">
      <c r="L398" s="123"/>
      <c r="P398" s="365"/>
      <c r="Q398" s="47"/>
      <c r="R398" s="346"/>
    </row>
    <row r="399" spans="12:18">
      <c r="L399" s="123"/>
      <c r="P399" s="365"/>
      <c r="Q399" s="47"/>
      <c r="R399" s="346"/>
    </row>
    <row r="400" spans="12:18">
      <c r="L400" s="123"/>
      <c r="P400" s="365"/>
      <c r="Q400" s="47"/>
      <c r="R400" s="346"/>
    </row>
    <row r="401" spans="12:18">
      <c r="P401" s="365"/>
      <c r="Q401" s="47"/>
      <c r="R401" s="346"/>
    </row>
    <row r="402" spans="12:18">
      <c r="L402" s="123"/>
      <c r="P402" s="365"/>
      <c r="Q402" s="47"/>
      <c r="R402" s="346"/>
    </row>
    <row r="403" spans="12:18">
      <c r="L403" s="123"/>
      <c r="P403" s="365"/>
      <c r="Q403" s="47"/>
      <c r="R403" s="346"/>
    </row>
    <row r="404" spans="12:18">
      <c r="L404" s="123"/>
      <c r="P404" s="365"/>
      <c r="Q404" s="47"/>
      <c r="R404" s="346"/>
    </row>
    <row r="405" spans="12:18">
      <c r="L405" s="123"/>
      <c r="P405" s="365"/>
      <c r="Q405" s="47"/>
      <c r="R405" s="346"/>
    </row>
    <row r="406" spans="12:18">
      <c r="L406" s="123"/>
      <c r="P406" s="365"/>
      <c r="Q406" s="47"/>
      <c r="R406" s="346"/>
    </row>
    <row r="407" spans="12:18">
      <c r="P407" s="365"/>
      <c r="Q407" s="47"/>
      <c r="R407" s="346"/>
    </row>
    <row r="408" spans="12:18">
      <c r="L408" s="123"/>
      <c r="P408" s="365"/>
      <c r="Q408" s="47"/>
      <c r="R408" s="346"/>
    </row>
    <row r="409" spans="12:18">
      <c r="L409" s="123"/>
      <c r="P409" s="365"/>
      <c r="Q409" s="47"/>
      <c r="R409" s="346"/>
    </row>
    <row r="410" spans="12:18">
      <c r="L410" s="123"/>
      <c r="P410" s="365"/>
      <c r="Q410" s="47"/>
      <c r="R410" s="346"/>
    </row>
    <row r="411" spans="12:18">
      <c r="L411" s="123"/>
      <c r="P411" s="365"/>
      <c r="Q411" s="47"/>
      <c r="R411" s="346"/>
    </row>
    <row r="412" spans="12:18">
      <c r="L412" s="123"/>
      <c r="P412" s="365"/>
      <c r="Q412" s="47"/>
      <c r="R412" s="346"/>
    </row>
    <row r="413" spans="12:18">
      <c r="L413" s="123"/>
      <c r="P413" s="365"/>
      <c r="Q413" s="47"/>
      <c r="R413" s="346"/>
    </row>
    <row r="414" spans="12:18">
      <c r="L414" s="123"/>
      <c r="P414" s="365"/>
      <c r="Q414" s="47"/>
      <c r="R414" s="346"/>
    </row>
    <row r="415" spans="12:18">
      <c r="L415" s="123"/>
      <c r="P415" s="365"/>
      <c r="Q415" s="47"/>
      <c r="R415" s="346"/>
    </row>
    <row r="416" spans="12:18">
      <c r="L416" s="123"/>
      <c r="P416" s="365"/>
      <c r="Q416" s="47"/>
      <c r="R416" s="346"/>
    </row>
    <row r="417" spans="12:18">
      <c r="L417" s="123"/>
      <c r="P417" s="365"/>
      <c r="Q417" s="47"/>
      <c r="R417" s="346"/>
    </row>
    <row r="418" spans="12:18">
      <c r="L418" s="123"/>
      <c r="P418" s="365"/>
      <c r="Q418" s="47"/>
      <c r="R418" s="346"/>
    </row>
    <row r="419" spans="12:18">
      <c r="L419" s="245"/>
      <c r="P419" s="365"/>
      <c r="Q419" s="47"/>
      <c r="R419" s="346"/>
    </row>
    <row r="420" spans="12:18">
      <c r="L420" s="123"/>
      <c r="P420" s="365"/>
      <c r="Q420" s="47"/>
      <c r="R420" s="346"/>
    </row>
    <row r="421" spans="12:18">
      <c r="P421" s="365"/>
      <c r="Q421" s="47"/>
      <c r="R421" s="346"/>
    </row>
    <row r="422" spans="12:18">
      <c r="L422" s="123"/>
      <c r="P422" s="365"/>
      <c r="Q422" s="47"/>
      <c r="R422" s="346"/>
    </row>
    <row r="423" spans="12:18">
      <c r="L423" s="123"/>
    </row>
    <row r="424" spans="12:18">
      <c r="L424" s="123"/>
    </row>
    <row r="425" spans="12:18">
      <c r="L425" s="123"/>
    </row>
    <row r="426" spans="12:18">
      <c r="L426" s="123"/>
    </row>
    <row r="427" spans="12:18">
      <c r="L427" s="123"/>
    </row>
    <row r="428" spans="12:18">
      <c r="L428" s="123"/>
    </row>
    <row r="429" spans="12:18">
      <c r="L429" s="123"/>
    </row>
    <row r="430" spans="12:18">
      <c r="L430" s="123"/>
    </row>
    <row r="431" spans="12:18">
      <c r="L431" s="123"/>
    </row>
    <row r="432" spans="12:18">
      <c r="L432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37">
      <c r="L449" s="123"/>
      <c r="AK449" s="405"/>
    </row>
    <row r="450" spans="12:37">
      <c r="L450" s="123"/>
      <c r="AK450" s="405"/>
    </row>
    <row r="451" spans="12:37">
      <c r="L451" s="123"/>
    </row>
    <row r="452" spans="12:37">
      <c r="L452" s="123"/>
    </row>
    <row r="453" spans="12:37">
      <c r="L453" s="123"/>
    </row>
    <row r="454" spans="12:37">
      <c r="L454" s="123"/>
    </row>
    <row r="455" spans="12:37">
      <c r="L455" s="123"/>
    </row>
    <row r="456" spans="12:37">
      <c r="L456" s="123"/>
      <c r="AK456" s="405"/>
    </row>
    <row r="457" spans="12:37">
      <c r="L457" s="123"/>
    </row>
    <row r="458" spans="12:37">
      <c r="L458" s="123"/>
    </row>
    <row r="459" spans="12:37">
      <c r="L459" s="123"/>
    </row>
    <row r="460" spans="12:37">
      <c r="L460" s="123"/>
      <c r="AK460" s="406"/>
    </row>
    <row r="461" spans="12:37">
      <c r="L461" s="123"/>
      <c r="AK461" s="406"/>
    </row>
    <row r="462" spans="12:37">
      <c r="L462" s="123"/>
    </row>
    <row r="463" spans="12:37">
      <c r="L463" s="123"/>
    </row>
    <row r="464" spans="12:37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245"/>
    </row>
    <row r="496" spans="12:12">
      <c r="L496" s="123"/>
    </row>
    <row r="497" spans="12:37">
      <c r="L497" s="123"/>
      <c r="AK497" s="405"/>
    </row>
    <row r="498" spans="12:37">
      <c r="L498" s="123"/>
      <c r="AK498" s="405"/>
    </row>
    <row r="499" spans="12:37">
      <c r="L499" s="123"/>
    </row>
    <row r="500" spans="12:37">
      <c r="L500" s="123"/>
    </row>
    <row r="501" spans="12:37">
      <c r="L501" s="123"/>
    </row>
    <row r="502" spans="12:37">
      <c r="L502" s="123"/>
    </row>
    <row r="503" spans="12:37">
      <c r="L503" s="51"/>
    </row>
    <row r="504" spans="12:37">
      <c r="L504" s="123"/>
    </row>
    <row r="505" spans="12:37">
      <c r="L505" s="123"/>
    </row>
    <row r="506" spans="12:37">
      <c r="L506" s="123"/>
    </row>
    <row r="507" spans="12:37">
      <c r="L507" s="123"/>
    </row>
    <row r="508" spans="12:37">
      <c r="L508" s="123"/>
    </row>
    <row r="509" spans="12:37">
      <c r="L509" s="123"/>
    </row>
    <row r="510" spans="12:37">
      <c r="L510" s="123"/>
    </row>
    <row r="511" spans="12:37">
      <c r="L511" s="123"/>
    </row>
    <row r="512" spans="12:37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245"/>
    </row>
    <row r="534" spans="12:12">
      <c r="L534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245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245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245"/>
    </row>
    <row r="598" spans="12:12">
      <c r="L598" s="123"/>
    </row>
    <row r="599" spans="12:12">
      <c r="L599" s="245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245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7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3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123"/>
    </row>
    <row r="717" spans="12:12">
      <c r="L717" s="123"/>
    </row>
    <row r="718" spans="12:12">
      <c r="L718" s="123"/>
    </row>
    <row r="719" spans="12:12">
      <c r="L719" s="123"/>
    </row>
    <row r="720" spans="12:12">
      <c r="L720" s="33"/>
    </row>
    <row r="721" spans="12:12">
      <c r="L721" s="123"/>
    </row>
    <row r="722" spans="12:12">
      <c r="L722" s="123"/>
    </row>
    <row r="723" spans="12:12">
      <c r="L723" s="245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245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12">
      <c r="L737" s="123"/>
    </row>
    <row r="738" spans="12:12">
      <c r="L738" s="123"/>
    </row>
    <row r="739" spans="12:12">
      <c r="L739" s="123"/>
    </row>
    <row r="740" spans="12:12">
      <c r="L740" s="245"/>
    </row>
    <row r="741" spans="12:12">
      <c r="L741" s="123"/>
    </row>
    <row r="742" spans="12:12">
      <c r="L742" s="123"/>
    </row>
    <row r="743" spans="12:12">
      <c r="L743" s="123"/>
    </row>
    <row r="744" spans="12:12">
      <c r="L744" s="123"/>
    </row>
    <row r="745" spans="12:12">
      <c r="L745" s="123"/>
    </row>
    <row r="746" spans="12:12">
      <c r="L746" s="123"/>
    </row>
    <row r="747" spans="12:12">
      <c r="L747" s="123"/>
    </row>
    <row r="748" spans="12:12">
      <c r="L748" s="123"/>
    </row>
    <row r="749" spans="12:12">
      <c r="L749" s="123"/>
    </row>
    <row r="750" spans="12:12">
      <c r="L750" s="245"/>
    </row>
    <row r="751" spans="12:12">
      <c r="L751" s="123"/>
    </row>
    <row r="752" spans="12:12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245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29">
      <c r="L785" s="123"/>
    </row>
    <row r="786" spans="12:29">
      <c r="L786" s="123"/>
    </row>
    <row r="787" spans="12:29">
      <c r="L787" s="123"/>
    </row>
    <row r="788" spans="12:29">
      <c r="L788" s="123"/>
      <c r="AC788" s="383"/>
    </row>
    <row r="789" spans="12:29">
      <c r="L789" s="245"/>
    </row>
    <row r="790" spans="12:29">
      <c r="L790" s="123"/>
    </row>
    <row r="791" spans="12:29">
      <c r="L791" s="123"/>
    </row>
    <row r="792" spans="12:29">
      <c r="L792" s="123"/>
    </row>
    <row r="794" spans="12:29">
      <c r="L794" s="123"/>
    </row>
    <row r="795" spans="12:29">
      <c r="L795" s="123"/>
    </row>
    <row r="796" spans="12:29">
      <c r="L796" s="123"/>
    </row>
    <row r="797" spans="12:29">
      <c r="L797" s="123"/>
    </row>
    <row r="798" spans="12:29">
      <c r="L798" s="123"/>
    </row>
    <row r="799" spans="12:29">
      <c r="L799" s="123"/>
    </row>
    <row r="800" spans="12:29">
      <c r="L800" s="123"/>
    </row>
    <row r="801" spans="12:12">
      <c r="L801" s="123"/>
    </row>
    <row r="802" spans="12:12">
      <c r="L802" s="245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245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29">
      <c r="L817" s="123"/>
    </row>
    <row r="818" spans="12:29">
      <c r="L818" s="123"/>
      <c r="AC818" s="383"/>
    </row>
    <row r="819" spans="12:29">
      <c r="L819" s="123"/>
    </row>
    <row r="820" spans="12:29">
      <c r="L820" s="123"/>
    </row>
    <row r="821" spans="12:29">
      <c r="L821" s="123"/>
    </row>
    <row r="822" spans="12:29">
      <c r="L822" s="123"/>
    </row>
    <row r="823" spans="12:29">
      <c r="L823" s="123"/>
    </row>
    <row r="824" spans="12:29">
      <c r="L824" s="123"/>
    </row>
    <row r="825" spans="12:29">
      <c r="L825" s="123"/>
    </row>
    <row r="826" spans="12:29">
      <c r="L826" s="123"/>
    </row>
    <row r="827" spans="12:29">
      <c r="L827" s="123"/>
    </row>
    <row r="828" spans="12:29">
      <c r="L828" s="123"/>
    </row>
    <row r="829" spans="12:29">
      <c r="L829" s="123"/>
    </row>
    <row r="830" spans="12:29">
      <c r="L830" s="123"/>
    </row>
    <row r="831" spans="12:29">
      <c r="L831" s="123"/>
    </row>
    <row r="832" spans="12:29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27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245"/>
    </row>
    <row r="885" spans="12:12">
      <c r="L885" s="245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245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245"/>
    </row>
    <row r="983" spans="12:12">
      <c r="L983" s="123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245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3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225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245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1" spans="12:12">
      <c r="L1091" s="123"/>
    </row>
    <row r="1092" spans="12:12">
      <c r="L1092" s="123"/>
    </row>
    <row r="1093" spans="12:12">
      <c r="L1093" s="245"/>
    </row>
    <row r="1094" spans="12:12">
      <c r="L1094" s="123"/>
    </row>
    <row r="1095" spans="12:12">
      <c r="L1095" s="245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245"/>
    </row>
    <row r="1100" spans="12:12">
      <c r="L1100" s="120"/>
    </row>
    <row r="1102" spans="12:12">
      <c r="L1102" s="123"/>
    </row>
    <row r="1103" spans="12:12">
      <c r="L1103" s="245"/>
    </row>
    <row r="1104" spans="12:12">
      <c r="L1104" s="123"/>
    </row>
    <row r="1105" spans="12:12">
      <c r="L1105" s="123"/>
    </row>
    <row r="1106" spans="12:12">
      <c r="L1106" s="245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245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123"/>
    </row>
    <row r="1118" spans="12:12">
      <c r="L1118" s="245"/>
    </row>
    <row r="1119" spans="12:12">
      <c r="L1119" s="123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26"/>
    </row>
    <row r="1128" spans="12:12">
      <c r="L1128" s="123"/>
    </row>
    <row r="1129" spans="12:12">
      <c r="L1129" s="123"/>
    </row>
    <row r="1130" spans="12:12">
      <c r="L1130" s="123"/>
    </row>
    <row r="1131" spans="12:12">
      <c r="L1131" s="123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245"/>
    </row>
    <row r="1136" spans="12:12">
      <c r="L1136" s="123"/>
    </row>
    <row r="1137" spans="12:12">
      <c r="L1137" s="123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123"/>
    </row>
    <row r="1142" spans="12:12">
      <c r="L1142" s="245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245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0"/>
    </row>
    <row r="1161" spans="12:12">
      <c r="L1161" s="120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245"/>
    </row>
    <row r="1174" spans="12:12">
      <c r="L1174" s="123"/>
    </row>
    <row r="1175" spans="12:12">
      <c r="L1175" s="123"/>
    </row>
    <row r="1176" spans="12:12">
      <c r="L1176" s="245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43"/>
    </row>
    <row r="1182" spans="12:12">
      <c r="L1182" s="123"/>
    </row>
    <row r="1183" spans="12:12">
      <c r="L1183" s="123"/>
    </row>
    <row r="1184" spans="12:12">
      <c r="L1184" s="123"/>
    </row>
    <row r="1185" spans="12:29">
      <c r="L1185" s="123"/>
    </row>
    <row r="1186" spans="12:29">
      <c r="L1186" s="123"/>
    </row>
    <row r="1187" spans="12:29">
      <c r="L1187" s="123"/>
    </row>
    <row r="1188" spans="12:29">
      <c r="L1188" s="123"/>
    </row>
    <row r="1189" spans="12:29">
      <c r="L1189" s="123"/>
    </row>
    <row r="1190" spans="12:29">
      <c r="L1190" s="120"/>
    </row>
    <row r="1191" spans="12:29">
      <c r="L1191" s="123"/>
    </row>
    <row r="1192" spans="12:29">
      <c r="L1192" s="123"/>
    </row>
    <row r="1193" spans="12:29">
      <c r="L1193" s="123"/>
    </row>
    <row r="1194" spans="12:29">
      <c r="L1194" s="123"/>
    </row>
    <row r="1195" spans="12:29">
      <c r="L1195" s="123"/>
    </row>
    <row r="1196" spans="12:29">
      <c r="L1196" s="123"/>
    </row>
    <row r="1197" spans="12:29">
      <c r="L1197" s="123"/>
    </row>
    <row r="1198" spans="12:29">
      <c r="L1198" s="123"/>
      <c r="AC1198" s="383"/>
    </row>
    <row r="1200" spans="12:29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245"/>
    </row>
    <row r="1205" spans="12:12">
      <c r="L1205" s="123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123"/>
    </row>
    <row r="1211" spans="12:12">
      <c r="L1211" s="120"/>
    </row>
    <row r="1212" spans="12:12">
      <c r="L1212" s="123"/>
    </row>
    <row r="1213" spans="12:12">
      <c r="L1213" s="245"/>
    </row>
    <row r="1214" spans="12:12">
      <c r="L1214" s="123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0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27"/>
    </row>
    <row r="1239" spans="12:12">
      <c r="L1239" s="120"/>
    </row>
    <row r="1240" spans="12:12">
      <c r="L1240" s="245"/>
    </row>
    <row r="1241" spans="12:12">
      <c r="L1241" s="245"/>
    </row>
    <row r="1242" spans="12:12">
      <c r="L1242" s="123"/>
    </row>
    <row r="1243" spans="12:12">
      <c r="L1243" s="120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43"/>
    </row>
    <row r="1248" spans="12:12">
      <c r="L1248" s="123"/>
    </row>
    <row r="1250" spans="12:12">
      <c r="L1250" s="123"/>
    </row>
    <row r="1251" spans="12:12">
      <c r="L1251" s="120"/>
    </row>
    <row r="1252" spans="12:12">
      <c r="L1252" s="123"/>
    </row>
    <row r="1253" spans="12:12">
      <c r="L1253" s="123"/>
    </row>
    <row r="1254" spans="12:12">
      <c r="L1254" s="120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4">
      <c r="L1265" s="245"/>
    </row>
    <row r="1266" spans="12:14">
      <c r="L1266" s="123"/>
    </row>
    <row r="1267" spans="12:14">
      <c r="L1267" s="123"/>
    </row>
    <row r="1268" spans="12:14">
      <c r="L1268" s="123"/>
    </row>
    <row r="1269" spans="12:14">
      <c r="L1269" s="123"/>
    </row>
    <row r="1270" spans="12:14">
      <c r="L1270" s="123"/>
      <c r="M1270" s="234" t="s">
        <v>3323</v>
      </c>
      <c r="N1270" s="234" t="s">
        <v>3323</v>
      </c>
    </row>
    <row r="1271" spans="12:14">
      <c r="L1271" s="123"/>
    </row>
    <row r="1272" spans="12:14">
      <c r="L1272" s="120"/>
    </row>
    <row r="1273" spans="12:14">
      <c r="L1273" s="123"/>
    </row>
    <row r="1274" spans="12:14">
      <c r="L1274" s="123"/>
    </row>
    <row r="1275" spans="12:14">
      <c r="L1275" s="123"/>
    </row>
    <row r="1276" spans="12:14">
      <c r="L1276" s="123"/>
    </row>
    <row r="1277" spans="12:14">
      <c r="L1277" s="245"/>
    </row>
    <row r="1279" spans="12:14">
      <c r="L1279" s="123"/>
    </row>
    <row r="1280" spans="12:14">
      <c r="L1280" s="123"/>
    </row>
    <row r="1281" spans="12:12">
      <c r="L1281" s="123"/>
    </row>
    <row r="1282" spans="12:12">
      <c r="L1282" s="27"/>
    </row>
    <row r="1283" spans="12:12">
      <c r="L1283" s="123"/>
    </row>
    <row r="1284" spans="12:12">
      <c r="L1284" s="245"/>
    </row>
    <row r="1285" spans="12:12">
      <c r="L1285" s="120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2">
      <c r="L1297" s="123"/>
    </row>
    <row r="1298" spans="12:12">
      <c r="L1298" s="123"/>
    </row>
    <row r="1299" spans="12:12">
      <c r="L1299" s="245"/>
    </row>
    <row r="1301" spans="12:12">
      <c r="L1301" s="123"/>
    </row>
    <row r="1302" spans="12:12">
      <c r="L1302" s="123"/>
    </row>
    <row r="1303" spans="12:12">
      <c r="L1303" s="123"/>
    </row>
    <row r="1304" spans="12:12">
      <c r="L1304" s="123"/>
    </row>
    <row r="1305" spans="12:12">
      <c r="L1305" s="123"/>
    </row>
    <row r="1306" spans="12:12">
      <c r="L1306" s="123"/>
    </row>
    <row r="1307" spans="12:12">
      <c r="L1307" s="123"/>
    </row>
    <row r="1308" spans="12:12">
      <c r="L1308" s="123"/>
    </row>
    <row r="1309" spans="12:12">
      <c r="L1309" s="123"/>
    </row>
    <row r="1310" spans="12:12">
      <c r="L1310" s="123"/>
    </row>
    <row r="1311" spans="12:12">
      <c r="L1311" s="123"/>
    </row>
    <row r="1312" spans="12:12">
      <c r="L1312" s="123"/>
    </row>
    <row r="1313" spans="12:12">
      <c r="L1313" s="123"/>
    </row>
    <row r="1314" spans="12:12">
      <c r="L1314" s="123"/>
    </row>
    <row r="1316" spans="12:12">
      <c r="L1316" s="123"/>
    </row>
    <row r="1317" spans="12:12">
      <c r="L1317" s="120"/>
    </row>
    <row r="1318" spans="12:12">
      <c r="L1318" s="123"/>
    </row>
    <row r="1319" spans="12:12">
      <c r="L1319" s="123"/>
    </row>
    <row r="1320" spans="12:12">
      <c r="L1320" s="123"/>
    </row>
    <row r="1321" spans="12:12">
      <c r="L1321" s="123"/>
    </row>
    <row r="1322" spans="12:12">
      <c r="L1322" s="123"/>
    </row>
    <row r="1323" spans="12:12">
      <c r="L1323" s="123"/>
    </row>
    <row r="1325" spans="12:12">
      <c r="L1325" s="123"/>
    </row>
    <row r="1326" spans="12:12">
      <c r="L1326" s="123"/>
    </row>
    <row r="1327" spans="12:12">
      <c r="L1327" s="123"/>
    </row>
    <row r="1328" spans="12:12">
      <c r="L1328" s="123"/>
    </row>
    <row r="1329" spans="12:12">
      <c r="L1329" s="123"/>
    </row>
    <row r="1330" spans="12:12">
      <c r="L1330" s="123"/>
    </row>
    <row r="1331" spans="12:12">
      <c r="L1331" s="123"/>
    </row>
    <row r="1332" spans="12:12">
      <c r="L1332" s="123"/>
    </row>
    <row r="1333" spans="12:12">
      <c r="L1333" s="123"/>
    </row>
    <row r="1334" spans="12:12">
      <c r="L1334" s="120"/>
    </row>
    <row r="1335" spans="12:12">
      <c r="L1335" s="123"/>
    </row>
    <row r="1336" spans="12:12">
      <c r="L1336" s="123"/>
    </row>
    <row r="1337" spans="12:12">
      <c r="L1337" s="123"/>
    </row>
    <row r="1339" spans="12:12">
      <c r="L1339" s="123"/>
    </row>
    <row r="1340" spans="12:12">
      <c r="L1340" s="123"/>
    </row>
    <row r="1341" spans="12:12">
      <c r="L1341" s="245"/>
    </row>
    <row r="1342" spans="12:12">
      <c r="L1342" s="123"/>
    </row>
    <row r="1343" spans="12:12">
      <c r="L1343" s="245"/>
    </row>
    <row r="1344" spans="12:12">
      <c r="L1344" s="123"/>
    </row>
    <row r="1345" spans="12:12">
      <c r="L1345" s="123"/>
    </row>
    <row r="1346" spans="12:12">
      <c r="L1346" s="123"/>
    </row>
    <row r="1347" spans="12:12">
      <c r="L1347" s="245"/>
    </row>
    <row r="1348" spans="12:12">
      <c r="L1348" s="245"/>
    </row>
    <row r="1349" spans="12:12">
      <c r="L1349" s="123"/>
    </row>
    <row r="1350" spans="12:12">
      <c r="L1350" s="123"/>
    </row>
    <row r="1351" spans="12:12">
      <c r="L1351" s="123"/>
    </row>
    <row r="1352" spans="12:12">
      <c r="L1352" s="123"/>
    </row>
    <row r="1353" spans="12:12">
      <c r="L1353" s="245"/>
    </row>
    <row r="1354" spans="12:12">
      <c r="L1354" s="123"/>
    </row>
    <row r="1355" spans="12:12">
      <c r="L1355" s="245"/>
    </row>
    <row r="1356" spans="12:12">
      <c r="L1356" s="123"/>
    </row>
    <row r="1357" spans="12:12">
      <c r="L1357" s="245"/>
    </row>
    <row r="1358" spans="12:12">
      <c r="L1358" s="123"/>
    </row>
    <row r="1359" spans="12:12">
      <c r="L1359" s="123"/>
    </row>
    <row r="1360" spans="12:12">
      <c r="L1360" s="123"/>
    </row>
    <row r="1361" spans="12:12">
      <c r="L1361" s="123"/>
    </row>
    <row r="1362" spans="12:12">
      <c r="L1362" s="123"/>
    </row>
    <row r="1363" spans="12:12">
      <c r="L1363" s="123"/>
    </row>
    <row r="1364" spans="12:12">
      <c r="L1364" s="123"/>
    </row>
    <row r="1365" spans="12:12">
      <c r="L1365" s="123"/>
    </row>
    <row r="1366" spans="12:12">
      <c r="L1366" s="123"/>
    </row>
    <row r="1367" spans="12:12">
      <c r="L1367" s="123"/>
    </row>
    <row r="1368" spans="12:12">
      <c r="L1368" s="123"/>
    </row>
    <row r="1369" spans="12:12">
      <c r="L1369" s="123"/>
    </row>
    <row r="1370" spans="12:12">
      <c r="L1370" s="123"/>
    </row>
    <row r="1371" spans="12:12">
      <c r="L1371" s="123"/>
    </row>
    <row r="1372" spans="12:12">
      <c r="L1372" s="123"/>
    </row>
    <row r="1373" spans="12:12">
      <c r="L1373" s="123"/>
    </row>
    <row r="1374" spans="12:12">
      <c r="L1374" s="245"/>
    </row>
    <row r="1375" spans="12:12">
      <c r="L1375" s="123"/>
    </row>
    <row r="1376" spans="12:12">
      <c r="L1376" s="123"/>
    </row>
    <row r="1377" spans="12:18">
      <c r="L1377" s="123"/>
    </row>
    <row r="1378" spans="12:18">
      <c r="L1378" s="123"/>
    </row>
    <row r="1379" spans="12:18">
      <c r="L1379" s="123"/>
    </row>
    <row r="1380" spans="12:18">
      <c r="L1380" s="123"/>
    </row>
    <row r="1381" spans="12:18">
      <c r="L1381" s="123"/>
    </row>
    <row r="1382" spans="12:18">
      <c r="L1382" s="245"/>
    </row>
    <row r="1383" spans="12:18">
      <c r="L1383" s="123"/>
    </row>
    <row r="1384" spans="12:18">
      <c r="L1384" s="123"/>
    </row>
    <row r="1385" spans="12:18">
      <c r="L1385" s="123"/>
    </row>
    <row r="1386" spans="12:18">
      <c r="L1386" s="123"/>
    </row>
    <row r="1387" spans="12:18">
      <c r="L1387" s="123"/>
    </row>
    <row r="1388" spans="12:18">
      <c r="L1388" s="123"/>
      <c r="P1388" s="366"/>
      <c r="R1388" s="355"/>
    </row>
    <row r="1389" spans="12:18">
      <c r="L1389" s="123"/>
    </row>
    <row r="1390" spans="12:18">
      <c r="L1390" s="123"/>
    </row>
    <row r="1391" spans="12:18">
      <c r="L1391" s="123"/>
    </row>
    <row r="1392" spans="12:18">
      <c r="L1392" s="123"/>
    </row>
    <row r="1393" spans="12:18">
      <c r="L1393" s="120"/>
    </row>
    <row r="1394" spans="12:18">
      <c r="L1394" s="123"/>
    </row>
    <row r="1395" spans="12:18">
      <c r="L1395" s="123"/>
    </row>
    <row r="1396" spans="12:18">
      <c r="L1396" s="245"/>
    </row>
    <row r="1397" spans="12:18">
      <c r="L1397" s="123"/>
    </row>
    <row r="1398" spans="12:18">
      <c r="L1398" s="123"/>
      <c r="P1398" s="366"/>
      <c r="R1398" s="355"/>
    </row>
    <row r="1399" spans="12:18">
      <c r="L1399" s="123"/>
    </row>
    <row r="1400" spans="12:18">
      <c r="L1400" s="123"/>
    </row>
    <row r="1401" spans="12:18">
      <c r="L1401" s="123"/>
    </row>
    <row r="1402" spans="12:18">
      <c r="L1402" s="123"/>
      <c r="P1402" s="366"/>
      <c r="R1402" s="355"/>
    </row>
    <row r="1403" spans="12:18">
      <c r="L1403" s="123"/>
    </row>
    <row r="1404" spans="12:18">
      <c r="L1404" s="245"/>
    </row>
    <row r="1405" spans="12:18">
      <c r="L1405" s="245"/>
    </row>
    <row r="1406" spans="12:18">
      <c r="L1406" s="123"/>
    </row>
    <row r="1407" spans="12:18">
      <c r="L1407" s="245"/>
      <c r="P1407" s="366"/>
      <c r="R1407" s="355"/>
    </row>
    <row r="1408" spans="12:18">
      <c r="L1408" s="123"/>
      <c r="P1408" s="366"/>
      <c r="R1408" s="355"/>
    </row>
    <row r="1409" spans="12:18">
      <c r="L1409" s="123"/>
      <c r="P1409" s="366"/>
      <c r="R1409" s="355"/>
    </row>
    <row r="1410" spans="12:18">
      <c r="L1410" s="123"/>
    </row>
    <row r="1411" spans="12:18">
      <c r="L1411" s="123"/>
      <c r="P1411" s="366"/>
      <c r="R1411" s="355"/>
    </row>
    <row r="1412" spans="12:18">
      <c r="L1412" s="123"/>
      <c r="P1412" s="366"/>
      <c r="R1412" s="355"/>
    </row>
    <row r="1413" spans="12:18">
      <c r="L1413" s="123"/>
    </row>
    <row r="1414" spans="12:18">
      <c r="L1414" s="123"/>
      <c r="P1414" s="366"/>
      <c r="R1414" s="355"/>
    </row>
    <row r="1415" spans="12:18">
      <c r="L1415" s="245"/>
    </row>
    <row r="1416" spans="12:18">
      <c r="L1416" s="123"/>
      <c r="P1416" s="366"/>
      <c r="R1416" s="355"/>
    </row>
    <row r="1417" spans="12:18">
      <c r="L1417" s="123"/>
      <c r="P1417" s="366"/>
      <c r="R1417" s="355"/>
    </row>
    <row r="1418" spans="12:18">
      <c r="L1418" s="123"/>
      <c r="P1418" s="366"/>
      <c r="R1418" s="355"/>
    </row>
    <row r="1419" spans="12:18">
      <c r="L1419" s="123"/>
      <c r="P1419" s="366"/>
      <c r="R1419" s="355"/>
    </row>
    <row r="1420" spans="12:18">
      <c r="L1420" s="123"/>
      <c r="P1420" s="366"/>
      <c r="R1420" s="355"/>
    </row>
    <row r="1421" spans="12:18">
      <c r="L1421" s="123"/>
      <c r="P1421" s="366"/>
      <c r="R1421" s="355"/>
    </row>
    <row r="1422" spans="12:18">
      <c r="L1422" s="123"/>
      <c r="P1422" s="366"/>
      <c r="R1422" s="355"/>
    </row>
    <row r="1423" spans="12:18">
      <c r="L1423" s="123"/>
      <c r="P1423" s="366"/>
      <c r="R1423" s="355"/>
    </row>
    <row r="1424" spans="12:18">
      <c r="L1424" s="123"/>
    </row>
    <row r="1425" spans="12:29">
      <c r="L1425" s="123"/>
    </row>
    <row r="1426" spans="12:29">
      <c r="L1426" s="123"/>
    </row>
    <row r="1427" spans="12:29">
      <c r="L1427" s="124"/>
    </row>
    <row r="1428" spans="12:29">
      <c r="L1428" s="123"/>
    </row>
    <row r="1429" spans="12:29">
      <c r="L1429" s="123"/>
    </row>
    <row r="1430" spans="12:29">
      <c r="L1430" s="123"/>
    </row>
    <row r="1431" spans="12:29">
      <c r="L1431" s="123"/>
    </row>
    <row r="1432" spans="12:29">
      <c r="L1432" s="123"/>
      <c r="P1432" s="366"/>
      <c r="R1432" s="355"/>
    </row>
    <row r="1433" spans="12:29">
      <c r="L1433" s="123"/>
      <c r="P1433" s="366"/>
      <c r="R1433" s="355"/>
    </row>
    <row r="1434" spans="12:29">
      <c r="L1434" s="123"/>
      <c r="P1434" s="366"/>
      <c r="R1434" s="355"/>
    </row>
    <row r="1435" spans="12:29">
      <c r="L1435" s="245"/>
      <c r="AC1435" s="383"/>
    </row>
    <row r="1436" spans="12:29">
      <c r="L1436" s="123"/>
      <c r="P1436" s="366"/>
      <c r="R1436" s="355"/>
    </row>
    <row r="1437" spans="12:29">
      <c r="L1437" s="123"/>
      <c r="P1437" s="366"/>
      <c r="R1437" s="355"/>
    </row>
    <row r="1438" spans="12:29">
      <c r="L1438" s="123"/>
      <c r="P1438" s="366"/>
      <c r="R1438" s="355"/>
    </row>
    <row r="1439" spans="12:29">
      <c r="L1439" s="123"/>
      <c r="P1439" s="366"/>
      <c r="R1439" s="355"/>
    </row>
    <row r="1440" spans="12:29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245"/>
    </row>
    <row r="1451" spans="12:12">
      <c r="L1451" s="245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245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0"/>
    </row>
    <row r="1469" spans="12:12">
      <c r="L1469" s="123"/>
    </row>
    <row r="1471" spans="12:12">
      <c r="L1471" s="123"/>
    </row>
    <row r="1472" spans="12:12">
      <c r="L1472" s="245"/>
    </row>
    <row r="1473" spans="12:12">
      <c r="L1473" s="123"/>
    </row>
    <row r="1474" spans="12:12">
      <c r="L1474" s="123"/>
    </row>
    <row r="1475" spans="12:12">
      <c r="L1475" s="123"/>
    </row>
    <row r="1476" spans="12:12">
      <c r="L1476" s="123"/>
    </row>
    <row r="1477" spans="12:12">
      <c r="L1477" s="123"/>
    </row>
    <row r="1478" spans="12:12">
      <c r="L1478" s="123"/>
    </row>
    <row r="1479" spans="12:12">
      <c r="L1479" s="123"/>
    </row>
    <row r="1480" spans="12:12">
      <c r="L1480" s="123"/>
    </row>
    <row r="1481" spans="12:12">
      <c r="L1481" s="123"/>
    </row>
    <row r="1482" spans="12:12">
      <c r="L1482" s="123"/>
    </row>
    <row r="1483" spans="12:12">
      <c r="L1483" s="123"/>
    </row>
    <row r="1484" spans="12:12">
      <c r="L1484" s="123"/>
    </row>
    <row r="1485" spans="12:12">
      <c r="L1485" s="123"/>
    </row>
    <row r="1486" spans="12:12">
      <c r="L1486" s="123"/>
    </row>
    <row r="1487" spans="12:12">
      <c r="L1487" s="123"/>
    </row>
    <row r="1488" spans="12:12">
      <c r="L1488" s="123"/>
    </row>
    <row r="1489" spans="12:12">
      <c r="L1489" s="123"/>
    </row>
    <row r="1490" spans="12:12">
      <c r="L1490" s="123"/>
    </row>
    <row r="1491" spans="12:12">
      <c r="L1491" s="123"/>
    </row>
    <row r="1492" spans="12:12">
      <c r="L1492" s="123"/>
    </row>
    <row r="1493" spans="12:12">
      <c r="L1493" s="123"/>
    </row>
    <row r="1494" spans="12:12">
      <c r="L1494" s="123"/>
    </row>
    <row r="1495" spans="12:12">
      <c r="L1495" s="123"/>
    </row>
    <row r="1497" spans="12:12">
      <c r="L1497" s="123"/>
    </row>
    <row r="1498" spans="12:12">
      <c r="L1498" s="123"/>
    </row>
    <row r="1499" spans="12:12">
      <c r="L1499" s="123"/>
    </row>
    <row r="1500" spans="12:12">
      <c r="L1500" s="123"/>
    </row>
    <row r="1501" spans="12:12">
      <c r="L1501" s="123"/>
    </row>
    <row r="1502" spans="12:12">
      <c r="L1502" s="123"/>
    </row>
    <row r="1503" spans="12:12">
      <c r="L1503" s="123"/>
    </row>
    <row r="1504" spans="12:12">
      <c r="L1504" s="123"/>
    </row>
    <row r="1505" spans="1:33">
      <c r="L1505" s="51"/>
    </row>
    <row r="1506" spans="1:33">
      <c r="L1506" s="123"/>
    </row>
    <row r="1507" spans="1:33">
      <c r="L1507" s="123"/>
    </row>
    <row r="1508" spans="1:33">
      <c r="L1508" s="123"/>
    </row>
    <row r="1509" spans="1:33">
      <c r="L1509" s="123"/>
    </row>
    <row r="1510" spans="1:33">
      <c r="L1510" s="123"/>
    </row>
    <row r="1511" spans="1:33">
      <c r="L1511" s="123"/>
    </row>
    <row r="1512" spans="1:33">
      <c r="L1512" s="123"/>
    </row>
    <row r="1513" spans="1:33">
      <c r="L1513" s="123"/>
    </row>
    <row r="1514" spans="1:33">
      <c r="L1514" s="123"/>
    </row>
    <row r="1515" spans="1:33" ht="26.4">
      <c r="A1515" s="391"/>
      <c r="B1515" s="245"/>
      <c r="C1515" s="245"/>
      <c r="D1515" s="245"/>
      <c r="E1515" s="245"/>
      <c r="F1515" s="319"/>
      <c r="H1515" s="245"/>
      <c r="I1515" s="245"/>
      <c r="L1515" s="123"/>
      <c r="T1515" s="328"/>
      <c r="U1515" s="394" ph="1"/>
      <c r="W1515" s="216"/>
      <c r="Z1515" s="245"/>
      <c r="AA1515" s="245"/>
      <c r="AB1515" s="332"/>
      <c r="AD1515" s="245"/>
      <c r="AE1515" s="245"/>
      <c r="AF1515" s="245"/>
      <c r="AG1515" s="7"/>
    </row>
    <row r="1516" spans="1:33">
      <c r="A1516" s="391"/>
      <c r="L1516" s="245"/>
      <c r="X1516" s="245"/>
      <c r="Y1516" s="187"/>
    </row>
    <row r="1517" spans="1:33">
      <c r="L1517" s="26"/>
    </row>
    <row r="1518" spans="1:33">
      <c r="L1518" s="245"/>
    </row>
    <row r="1519" spans="1:33">
      <c r="L1519" s="123"/>
    </row>
    <row r="1520" spans="1:33">
      <c r="L1520" s="123"/>
    </row>
    <row r="1521" spans="1:33">
      <c r="L1521" s="123"/>
    </row>
    <row r="1522" spans="1:33">
      <c r="A1522" s="391"/>
      <c r="G1522" s="245"/>
      <c r="L1522" s="123"/>
    </row>
    <row r="1523" spans="1:33">
      <c r="L1523" s="123"/>
    </row>
    <row r="1524" spans="1:33">
      <c r="L1524" s="123"/>
    </row>
    <row r="1525" spans="1:33" ht="26.4">
      <c r="A1525" s="391"/>
      <c r="B1525" s="245"/>
      <c r="C1525" s="245"/>
      <c r="D1525" s="245"/>
      <c r="E1525" s="245"/>
      <c r="F1525" s="319"/>
      <c r="H1525" s="245"/>
      <c r="I1525" s="245"/>
      <c r="L1525" s="123"/>
      <c r="T1525" s="328"/>
      <c r="U1525" s="394" ph="1"/>
      <c r="W1525" s="216"/>
      <c r="Z1525" s="245"/>
      <c r="AA1525" s="245"/>
      <c r="AB1525" s="332"/>
      <c r="AD1525" s="245"/>
      <c r="AE1525" s="245"/>
      <c r="AF1525" s="245"/>
      <c r="AG1525" s="7"/>
    </row>
    <row r="1526" spans="1:33">
      <c r="A1526" s="391"/>
      <c r="L1526" s="123"/>
      <c r="X1526" s="245"/>
      <c r="Y1526" s="187"/>
    </row>
    <row r="1527" spans="1:33">
      <c r="L1527" s="123"/>
      <c r="S1527" s="369"/>
    </row>
    <row r="1528" spans="1:33">
      <c r="L1528" s="123"/>
    </row>
    <row r="1529" spans="1:33" ht="26.4">
      <c r="A1529" s="391"/>
      <c r="B1529" s="245"/>
      <c r="C1529" s="245"/>
      <c r="D1529" s="245"/>
      <c r="E1529" s="245"/>
      <c r="F1529" s="319"/>
      <c r="H1529" s="245"/>
      <c r="I1529" s="245"/>
      <c r="L1529" s="123"/>
      <c r="T1529" s="328"/>
      <c r="U1529" s="394" ph="1"/>
      <c r="W1529" s="216"/>
      <c r="Z1529" s="245"/>
      <c r="AA1529" s="245"/>
      <c r="AB1529" s="332"/>
      <c r="AD1529" s="245"/>
      <c r="AE1529" s="245"/>
      <c r="AF1529" s="245"/>
      <c r="AG1529" s="7"/>
    </row>
    <row r="1530" spans="1:33">
      <c r="A1530" s="391"/>
      <c r="L1530" s="123"/>
      <c r="X1530" s="245"/>
      <c r="Y1530" s="187"/>
    </row>
    <row r="1531" spans="1:33">
      <c r="L1531" s="123"/>
    </row>
    <row r="1532" spans="1:33">
      <c r="A1532" s="391"/>
      <c r="G1532" s="245"/>
      <c r="L1532" s="123"/>
    </row>
    <row r="1533" spans="1:33">
      <c r="L1533" s="123"/>
    </row>
    <row r="1534" spans="1:33" ht="26.4">
      <c r="A1534" s="391"/>
      <c r="B1534" s="245"/>
      <c r="C1534" s="245"/>
      <c r="D1534" s="245"/>
      <c r="E1534" s="245"/>
      <c r="F1534" s="319"/>
      <c r="H1534" s="245"/>
      <c r="I1534" s="245"/>
      <c r="L1534" s="123"/>
      <c r="T1534" s="328"/>
      <c r="U1534" s="394" ph="1"/>
      <c r="W1534" s="216"/>
      <c r="Z1534" s="245"/>
      <c r="AA1534" s="245"/>
      <c r="AB1534" s="332"/>
      <c r="AD1534" s="245"/>
      <c r="AE1534" s="245"/>
      <c r="AF1534" s="245"/>
      <c r="AG1534" s="7"/>
    </row>
    <row r="1535" spans="1:33" ht="26.4">
      <c r="A1535" s="391"/>
      <c r="B1535" s="245"/>
      <c r="C1535" s="245"/>
      <c r="D1535" s="245"/>
      <c r="E1535" s="245"/>
      <c r="F1535" s="319"/>
      <c r="H1535" s="245"/>
      <c r="I1535" s="245"/>
      <c r="L1535" s="123"/>
      <c r="T1535" s="328"/>
      <c r="U1535" s="394" ph="1"/>
      <c r="W1535" s="216"/>
      <c r="X1535" s="245"/>
      <c r="Y1535" s="187"/>
      <c r="Z1535" s="245"/>
      <c r="AA1535" s="245"/>
      <c r="AB1535" s="332"/>
      <c r="AD1535" s="245"/>
      <c r="AE1535" s="245"/>
      <c r="AF1535" s="245"/>
      <c r="AG1535" s="7"/>
    </row>
    <row r="1536" spans="1:33" ht="26.4">
      <c r="A1536" s="391"/>
      <c r="B1536" s="245"/>
      <c r="C1536" s="245"/>
      <c r="D1536" s="245"/>
      <c r="E1536" s="245"/>
      <c r="F1536" s="319"/>
      <c r="G1536" s="245"/>
      <c r="H1536" s="245"/>
      <c r="I1536" s="245"/>
      <c r="L1536" s="123"/>
      <c r="T1536" s="328"/>
      <c r="U1536" s="394" ph="1"/>
      <c r="W1536" s="216"/>
      <c r="X1536" s="245"/>
      <c r="Y1536" s="187"/>
      <c r="Z1536" s="245"/>
      <c r="AA1536" s="245"/>
      <c r="AB1536" s="332"/>
      <c r="AD1536" s="245"/>
      <c r="AE1536" s="245"/>
      <c r="AF1536" s="245"/>
      <c r="AG1536" s="7"/>
    </row>
    <row r="1537" spans="1:33">
      <c r="A1537" s="391"/>
      <c r="L1537" s="123"/>
      <c r="S1537" s="369"/>
      <c r="X1537" s="245"/>
      <c r="Y1537" s="187"/>
    </row>
    <row r="1538" spans="1:33" ht="26.4">
      <c r="A1538" s="391"/>
      <c r="B1538" s="245"/>
      <c r="C1538" s="245"/>
      <c r="D1538" s="245"/>
      <c r="E1538" s="245"/>
      <c r="F1538" s="319"/>
      <c r="H1538" s="245"/>
      <c r="I1538" s="245"/>
      <c r="L1538" s="123"/>
      <c r="T1538" s="328"/>
      <c r="U1538" s="394" ph="1"/>
      <c r="W1538" s="216"/>
      <c r="Z1538" s="245"/>
      <c r="AA1538" s="245"/>
      <c r="AB1538" s="332"/>
      <c r="AD1538" s="245"/>
      <c r="AE1538" s="245"/>
      <c r="AF1538" s="245"/>
      <c r="AG1538" s="7"/>
    </row>
    <row r="1539" spans="1:33" ht="26.4">
      <c r="A1539" s="391"/>
      <c r="B1539" s="245"/>
      <c r="C1539" s="245"/>
      <c r="D1539" s="245"/>
      <c r="E1539" s="245"/>
      <c r="F1539" s="319"/>
      <c r="H1539" s="245"/>
      <c r="I1539" s="245"/>
      <c r="L1539" s="123"/>
      <c r="T1539" s="328"/>
      <c r="U1539" s="394" ph="1"/>
      <c r="W1539" s="216"/>
      <c r="X1539" s="245"/>
      <c r="Y1539" s="187"/>
      <c r="Z1539" s="245"/>
      <c r="AA1539" s="245"/>
      <c r="AB1539" s="332"/>
      <c r="AD1539" s="245"/>
      <c r="AE1539" s="245"/>
      <c r="AF1539" s="245"/>
      <c r="AG1539" s="7"/>
    </row>
    <row r="1540" spans="1:33">
      <c r="A1540" s="391"/>
      <c r="L1540" s="245"/>
      <c r="X1540" s="245"/>
      <c r="Y1540" s="187"/>
    </row>
    <row r="1541" spans="1:33" ht="26.4">
      <c r="A1541" s="391"/>
      <c r="B1541" s="245"/>
      <c r="C1541" s="245"/>
      <c r="D1541" s="245"/>
      <c r="E1541" s="245"/>
      <c r="F1541" s="319"/>
      <c r="G1541" s="245"/>
      <c r="H1541" s="245"/>
      <c r="I1541" s="245"/>
      <c r="L1541" s="245"/>
      <c r="S1541" s="369"/>
      <c r="T1541" s="328"/>
      <c r="U1541" s="394" ph="1"/>
      <c r="W1541" s="216"/>
      <c r="Z1541" s="245"/>
      <c r="AA1541" s="245"/>
      <c r="AB1541" s="332"/>
      <c r="AD1541" s="245"/>
      <c r="AE1541" s="245"/>
      <c r="AF1541" s="245"/>
      <c r="AG1541" s="7"/>
    </row>
    <row r="1542" spans="1:33">
      <c r="A1542" s="391"/>
      <c r="G1542" s="245"/>
      <c r="L1542" s="27"/>
      <c r="X1542" s="245"/>
      <c r="Y1542" s="187"/>
    </row>
    <row r="1543" spans="1:33" ht="26.4">
      <c r="A1543" s="391"/>
      <c r="B1543" s="245"/>
      <c r="C1543" s="245"/>
      <c r="D1543" s="245"/>
      <c r="E1543" s="245"/>
      <c r="F1543" s="319"/>
      <c r="G1543" s="245"/>
      <c r="H1543" s="245"/>
      <c r="I1543" s="245"/>
      <c r="L1543" s="123"/>
      <c r="T1543" s="328"/>
      <c r="U1543" s="394" ph="1"/>
      <c r="W1543" s="216"/>
      <c r="Z1543" s="245"/>
      <c r="AA1543" s="245"/>
      <c r="AB1543" s="332"/>
      <c r="AD1543" s="245"/>
      <c r="AE1543" s="245"/>
      <c r="AF1543" s="245"/>
      <c r="AG1543" s="7"/>
    </row>
    <row r="1544" spans="1:33" ht="26.4">
      <c r="A1544" s="391"/>
      <c r="B1544" s="245"/>
      <c r="C1544" s="245"/>
      <c r="D1544" s="245"/>
      <c r="E1544" s="245"/>
      <c r="F1544" s="319"/>
      <c r="H1544" s="245"/>
      <c r="I1544" s="245"/>
      <c r="L1544" s="123"/>
      <c r="T1544" s="328"/>
      <c r="U1544" s="394" ph="1"/>
      <c r="W1544" s="216"/>
      <c r="X1544" s="245"/>
      <c r="Y1544" s="187"/>
      <c r="Z1544" s="245"/>
      <c r="AA1544" s="245"/>
      <c r="AB1544" s="332"/>
      <c r="AD1544" s="245"/>
      <c r="AE1544" s="245"/>
      <c r="AF1544" s="245"/>
      <c r="AG1544" s="7"/>
    </row>
    <row r="1545" spans="1:33" ht="26.4">
      <c r="A1545" s="391"/>
      <c r="B1545" s="245"/>
      <c r="C1545" s="245"/>
      <c r="D1545" s="245"/>
      <c r="E1545" s="245"/>
      <c r="F1545" s="319"/>
      <c r="G1545" s="245"/>
      <c r="H1545" s="245"/>
      <c r="I1545" s="245"/>
      <c r="L1545" s="123"/>
      <c r="T1545" s="328"/>
      <c r="U1545" s="394" ph="1"/>
      <c r="W1545" s="216"/>
      <c r="X1545" s="245"/>
      <c r="Y1545" s="187"/>
      <c r="Z1545" s="245"/>
      <c r="AA1545" s="245"/>
      <c r="AB1545" s="332"/>
      <c r="AD1545" s="245"/>
      <c r="AE1545" s="245"/>
      <c r="AF1545" s="245"/>
      <c r="AG1545" s="7"/>
    </row>
    <row r="1546" spans="1:33" ht="26.4">
      <c r="A1546" s="391"/>
      <c r="B1546" s="245"/>
      <c r="C1546" s="245"/>
      <c r="D1546" s="245"/>
      <c r="E1546" s="245"/>
      <c r="F1546" s="319"/>
      <c r="G1546" s="245"/>
      <c r="H1546" s="245"/>
      <c r="I1546" s="245"/>
      <c r="L1546" s="123"/>
      <c r="S1546" s="369"/>
      <c r="T1546" s="328"/>
      <c r="U1546" s="394" ph="1"/>
      <c r="W1546" s="216"/>
      <c r="X1546" s="245"/>
      <c r="Y1546" s="187"/>
      <c r="Z1546" s="245"/>
      <c r="AA1546" s="245"/>
      <c r="AB1546" s="332"/>
      <c r="AD1546" s="245"/>
      <c r="AE1546" s="245"/>
      <c r="AF1546" s="245"/>
      <c r="AG1546" s="7"/>
    </row>
    <row r="1547" spans="1:33" ht="26.4">
      <c r="A1547" s="391"/>
      <c r="B1547" s="245"/>
      <c r="C1547" s="245"/>
      <c r="D1547" s="245"/>
      <c r="E1547" s="245"/>
      <c r="F1547" s="319"/>
      <c r="H1547" s="245"/>
      <c r="I1547" s="245"/>
      <c r="L1547" s="123"/>
      <c r="S1547" s="369"/>
      <c r="T1547" s="328"/>
      <c r="U1547" s="394" ph="1"/>
      <c r="W1547" s="216"/>
      <c r="X1547" s="245"/>
      <c r="Y1547" s="187"/>
      <c r="Z1547" s="245"/>
      <c r="AA1547" s="245"/>
      <c r="AB1547" s="332"/>
      <c r="AD1547" s="245"/>
      <c r="AE1547" s="245"/>
      <c r="AF1547" s="245"/>
      <c r="AG1547" s="7"/>
    </row>
    <row r="1548" spans="1:33" ht="26.4">
      <c r="A1548" s="391"/>
      <c r="B1548" s="245"/>
      <c r="C1548" s="245"/>
      <c r="D1548" s="245"/>
      <c r="E1548" s="245"/>
      <c r="F1548" s="319"/>
      <c r="G1548" s="245"/>
      <c r="H1548" s="245"/>
      <c r="I1548" s="245"/>
      <c r="L1548" s="123"/>
      <c r="S1548" s="369"/>
      <c r="T1548" s="328"/>
      <c r="U1548" s="394" ph="1"/>
      <c r="W1548" s="216"/>
      <c r="X1548" s="245"/>
      <c r="Y1548" s="187"/>
      <c r="Z1548" s="245"/>
      <c r="AA1548" s="245"/>
      <c r="AB1548" s="332"/>
      <c r="AD1548" s="245"/>
      <c r="AE1548" s="245"/>
      <c r="AF1548" s="245"/>
      <c r="AG1548" s="7"/>
    </row>
    <row r="1549" spans="1:33" ht="26.4">
      <c r="A1549" s="391"/>
      <c r="B1549" s="245"/>
      <c r="C1549" s="245"/>
      <c r="D1549" s="245"/>
      <c r="E1549" s="245"/>
      <c r="F1549" s="319"/>
      <c r="H1549" s="245"/>
      <c r="I1549" s="245"/>
      <c r="L1549" s="123"/>
      <c r="T1549" s="328"/>
      <c r="U1549" s="394" ph="1"/>
      <c r="W1549" s="216"/>
      <c r="X1549" s="245"/>
      <c r="Y1549" s="187"/>
      <c r="Z1549" s="245"/>
      <c r="AA1549" s="245"/>
      <c r="AB1549" s="332"/>
      <c r="AD1549" s="245"/>
      <c r="AE1549" s="245"/>
      <c r="AF1549" s="245"/>
      <c r="AG1549" s="7"/>
    </row>
    <row r="1550" spans="1:33" ht="26.4">
      <c r="A1550" s="391"/>
      <c r="B1550" s="245"/>
      <c r="C1550" s="245"/>
      <c r="D1550" s="245"/>
      <c r="E1550" s="245"/>
      <c r="F1550" s="319"/>
      <c r="G1550" s="245"/>
      <c r="H1550" s="245"/>
      <c r="I1550" s="245"/>
      <c r="L1550" s="123"/>
      <c r="S1550" s="369"/>
      <c r="T1550" s="328"/>
      <c r="U1550" s="394" ph="1"/>
      <c r="W1550" s="216"/>
      <c r="X1550" s="245"/>
      <c r="Y1550" s="187"/>
      <c r="Z1550" s="245"/>
      <c r="AA1550" s="245"/>
      <c r="AB1550" s="332"/>
      <c r="AD1550" s="245"/>
      <c r="AE1550" s="245"/>
      <c r="AF1550" s="245"/>
      <c r="AG1550" s="7"/>
    </row>
    <row r="1551" spans="1:33" ht="26.4">
      <c r="A1551" s="391"/>
      <c r="G1551" s="245"/>
      <c r="L1551" s="123"/>
      <c r="S1551" s="369"/>
      <c r="U1551" s="394" ph="1"/>
      <c r="X1551" s="245"/>
      <c r="Y1551" s="187"/>
    </row>
    <row r="1552" spans="1:33" ht="26.4">
      <c r="A1552" s="391"/>
      <c r="G1552" s="245"/>
      <c r="L1552" s="123"/>
      <c r="U1552" s="394" ph="1"/>
    </row>
    <row r="1553" spans="1:33">
      <c r="A1553" s="391"/>
      <c r="G1553" s="245"/>
      <c r="L1553" s="123"/>
      <c r="S1553" s="369"/>
    </row>
    <row r="1554" spans="1:33" ht="26.4">
      <c r="A1554" s="391"/>
      <c r="G1554" s="245"/>
      <c r="L1554" s="123"/>
      <c r="U1554" s="394" ph="1"/>
    </row>
    <row r="1555" spans="1:33" ht="26.4">
      <c r="A1555" s="391"/>
      <c r="G1555" s="245"/>
      <c r="L1555" s="123"/>
      <c r="S1555" s="369"/>
      <c r="U1555" s="394" ph="1"/>
    </row>
    <row r="1556" spans="1:33" ht="26.4">
      <c r="A1556" s="391"/>
      <c r="G1556" s="245"/>
      <c r="L1556" s="245"/>
      <c r="S1556" s="369"/>
      <c r="U1556" s="394" ph="1"/>
    </row>
    <row r="1557" spans="1:33" ht="26.4">
      <c r="A1557" s="391"/>
      <c r="G1557" s="245"/>
      <c r="L1557" s="123"/>
      <c r="S1557" s="369"/>
      <c r="U1557" s="394" ph="1"/>
    </row>
    <row r="1558" spans="1:33" ht="26.4">
      <c r="A1558" s="391"/>
      <c r="L1558" s="123"/>
      <c r="S1558" s="369"/>
      <c r="U1558" s="394" ph="1"/>
    </row>
    <row r="1559" spans="1:33" ht="26.4">
      <c r="A1559" s="391"/>
      <c r="B1559" s="245"/>
      <c r="C1559" s="245"/>
      <c r="D1559" s="245"/>
      <c r="E1559" s="245"/>
      <c r="F1559" s="319"/>
      <c r="G1559" s="245"/>
      <c r="H1559" s="245"/>
      <c r="I1559" s="245"/>
      <c r="L1559" s="123"/>
      <c r="S1559" s="369"/>
      <c r="T1559" s="328"/>
      <c r="U1559" s="394" ph="1"/>
      <c r="W1559" s="216"/>
      <c r="X1559" s="245"/>
      <c r="Y1559" s="187"/>
      <c r="Z1559" s="245"/>
      <c r="AA1559" s="245"/>
      <c r="AB1559" s="332"/>
      <c r="AD1559" s="245"/>
      <c r="AE1559" s="245"/>
      <c r="AF1559" s="245"/>
      <c r="AG1559" s="245"/>
    </row>
    <row r="1560" spans="1:33" ht="26.4">
      <c r="A1560" s="391"/>
      <c r="B1560" s="245"/>
      <c r="C1560" s="245"/>
      <c r="D1560" s="245"/>
      <c r="E1560" s="245"/>
      <c r="F1560" s="319"/>
      <c r="G1560" s="245"/>
      <c r="H1560" s="245"/>
      <c r="I1560" s="245"/>
      <c r="L1560" s="123"/>
      <c r="S1560" s="369"/>
      <c r="T1560" s="328"/>
      <c r="U1560" s="394" ph="1"/>
      <c r="W1560" s="216"/>
      <c r="X1560" s="245"/>
      <c r="Y1560" s="187"/>
      <c r="Z1560" s="245"/>
      <c r="AA1560" s="245"/>
      <c r="AB1560" s="332"/>
      <c r="AD1560" s="245"/>
      <c r="AE1560" s="245"/>
      <c r="AF1560" s="245"/>
      <c r="AG1560" s="245"/>
    </row>
    <row r="1561" spans="1:33" ht="26.4">
      <c r="A1561" s="391"/>
      <c r="B1561" s="245"/>
      <c r="C1561" s="245"/>
      <c r="D1561" s="245"/>
      <c r="E1561" s="245"/>
      <c r="F1561" s="319"/>
      <c r="G1561" s="245"/>
      <c r="H1561" s="245"/>
      <c r="I1561" s="245"/>
      <c r="L1561" s="123"/>
      <c r="S1561" s="369"/>
      <c r="T1561" s="328"/>
      <c r="U1561" s="394" ph="1"/>
      <c r="W1561" s="216"/>
      <c r="X1561" s="245"/>
      <c r="Y1561" s="187"/>
      <c r="Z1561" s="245"/>
      <c r="AA1561" s="245"/>
      <c r="AB1561" s="332"/>
      <c r="AD1561" s="245"/>
      <c r="AE1561" s="245"/>
      <c r="AF1561" s="245"/>
      <c r="AG1561" s="245"/>
    </row>
    <row r="1562" spans="1:33">
      <c r="L1562" s="123"/>
      <c r="S1562" s="369"/>
    </row>
    <row r="1563" spans="1:33" ht="26.4">
      <c r="A1563" s="391"/>
      <c r="B1563" s="245"/>
      <c r="C1563" s="245"/>
      <c r="D1563" s="245"/>
      <c r="E1563" s="245"/>
      <c r="F1563" s="319"/>
      <c r="G1563" s="245"/>
      <c r="H1563" s="245"/>
      <c r="I1563" s="245"/>
      <c r="L1563" s="123"/>
      <c r="T1563" s="328"/>
      <c r="U1563" s="394" ph="1"/>
      <c r="W1563" s="216"/>
      <c r="X1563" s="245"/>
      <c r="Y1563" s="187"/>
      <c r="Z1563" s="245"/>
      <c r="AA1563" s="245"/>
      <c r="AB1563" s="332"/>
      <c r="AD1563" s="245"/>
      <c r="AE1563" s="245"/>
      <c r="AF1563" s="245"/>
      <c r="AG1563" s="245"/>
    </row>
    <row r="1564" spans="1:33" ht="26.4">
      <c r="A1564" s="391"/>
      <c r="B1564" s="245"/>
      <c r="C1564" s="245"/>
      <c r="D1564" s="245"/>
      <c r="E1564" s="245"/>
      <c r="F1564" s="319"/>
      <c r="G1564" s="245"/>
      <c r="H1564" s="245"/>
      <c r="I1564" s="245"/>
      <c r="L1564" s="123"/>
      <c r="T1564" s="328"/>
      <c r="U1564" s="394" ph="1"/>
      <c r="W1564" s="216"/>
      <c r="X1564" s="245"/>
      <c r="Y1564" s="187"/>
      <c r="Z1564" s="245"/>
      <c r="AA1564" s="245"/>
      <c r="AB1564" s="332"/>
      <c r="AD1564" s="245"/>
      <c r="AE1564" s="245"/>
      <c r="AF1564" s="245"/>
      <c r="AG1564" s="245"/>
    </row>
    <row r="1565" spans="1:33" ht="26.4">
      <c r="A1565" s="391"/>
      <c r="B1565" s="245"/>
      <c r="C1565" s="245"/>
      <c r="D1565" s="245"/>
      <c r="E1565" s="245"/>
      <c r="F1565" s="319"/>
      <c r="G1565" s="245"/>
      <c r="H1565" s="245"/>
      <c r="I1565" s="245"/>
      <c r="L1565" s="123"/>
      <c r="P1565" s="366"/>
      <c r="R1565" s="355"/>
      <c r="T1565" s="328"/>
      <c r="U1565" s="394" ph="1"/>
      <c r="W1565" s="216"/>
      <c r="X1565" s="245"/>
      <c r="Y1565" s="187"/>
      <c r="Z1565" s="245"/>
      <c r="AA1565" s="245"/>
      <c r="AB1565" s="332"/>
      <c r="AD1565" s="245"/>
      <c r="AE1565" s="245"/>
      <c r="AF1565" s="245"/>
      <c r="AG1565" s="245"/>
    </row>
    <row r="1566" spans="1:33" ht="26.4">
      <c r="A1566" s="391"/>
      <c r="B1566" s="245"/>
      <c r="C1566" s="245"/>
      <c r="D1566" s="245"/>
      <c r="E1566" s="245"/>
      <c r="F1566" s="319"/>
      <c r="G1566" s="245"/>
      <c r="H1566" s="245"/>
      <c r="I1566" s="245"/>
      <c r="L1566" s="123"/>
      <c r="T1566" s="328"/>
      <c r="U1566" s="394" ph="1"/>
      <c r="W1566" s="216"/>
      <c r="X1566" s="245"/>
      <c r="Y1566" s="187"/>
      <c r="Z1566" s="245"/>
      <c r="AA1566" s="245"/>
      <c r="AB1566" s="332"/>
      <c r="AD1566" s="245"/>
      <c r="AE1566" s="245"/>
      <c r="AF1566" s="245"/>
      <c r="AG1566" s="245"/>
    </row>
    <row r="1567" spans="1:33">
      <c r="L1567" s="123"/>
    </row>
    <row r="1568" spans="1:33">
      <c r="L1568" s="27"/>
    </row>
    <row r="1569" spans="12:19">
      <c r="L1569" s="123"/>
    </row>
    <row r="1570" spans="12:19">
      <c r="L1570" s="123"/>
    </row>
    <row r="1571" spans="12:19">
      <c r="L1571" s="123"/>
      <c r="S1571" s="369"/>
    </row>
    <row r="1572" spans="12:19">
      <c r="L1572" s="123"/>
      <c r="S1572" s="369"/>
    </row>
    <row r="1573" spans="12:19">
      <c r="L1573" s="123"/>
      <c r="S1573" s="369"/>
    </row>
    <row r="1574" spans="12:19">
      <c r="L1574" s="123"/>
    </row>
    <row r="1575" spans="12:19">
      <c r="L1575" s="120"/>
      <c r="P1575" s="366"/>
      <c r="R1575" s="355"/>
      <c r="S1575" s="369"/>
    </row>
    <row r="1576" spans="12:19">
      <c r="L1576" s="123"/>
      <c r="S1576" s="369"/>
    </row>
    <row r="1577" spans="12:19">
      <c r="L1577" s="123"/>
      <c r="S1577" s="369"/>
    </row>
    <row r="1578" spans="12:19">
      <c r="L1578" s="123"/>
      <c r="S1578" s="369"/>
    </row>
    <row r="1579" spans="12:19">
      <c r="L1579" s="123"/>
      <c r="P1579" s="366"/>
      <c r="R1579" s="355"/>
    </row>
    <row r="1580" spans="12:19">
      <c r="L1580" s="123"/>
    </row>
    <row r="1581" spans="12:19">
      <c r="L1581" s="123"/>
    </row>
    <row r="1582" spans="12:19">
      <c r="L1582" s="123"/>
    </row>
    <row r="1583" spans="12:19">
      <c r="L1583" s="123"/>
    </row>
    <row r="1584" spans="12:19">
      <c r="L1584" s="123"/>
      <c r="P1584" s="366"/>
      <c r="R1584" s="355"/>
    </row>
    <row r="1585" spans="12:18">
      <c r="L1585" s="123"/>
      <c r="P1585" s="366"/>
      <c r="R1585" s="355"/>
    </row>
    <row r="1586" spans="12:18">
      <c r="L1586" s="123"/>
      <c r="P1586" s="366"/>
      <c r="R1586" s="355"/>
    </row>
    <row r="1587" spans="12:18">
      <c r="L1587" s="123"/>
    </row>
    <row r="1588" spans="12:18">
      <c r="L1588" s="123"/>
      <c r="P1588" s="366"/>
      <c r="R1588" s="355"/>
    </row>
    <row r="1589" spans="12:18">
      <c r="L1589" s="123"/>
      <c r="P1589" s="366"/>
      <c r="R1589" s="355"/>
    </row>
    <row r="1590" spans="12:18">
      <c r="L1590" s="123"/>
    </row>
    <row r="1591" spans="12:18">
      <c r="L1591" s="123"/>
      <c r="P1591" s="366"/>
      <c r="R1591" s="355"/>
    </row>
    <row r="1592" spans="12:18">
      <c r="L1592" s="123"/>
    </row>
    <row r="1593" spans="12:18">
      <c r="L1593" s="123"/>
      <c r="P1593" s="366"/>
      <c r="R1593" s="355"/>
    </row>
    <row r="1594" spans="12:18">
      <c r="L1594" s="123"/>
      <c r="P1594" s="366"/>
      <c r="R1594" s="355"/>
    </row>
    <row r="1595" spans="12:18">
      <c r="L1595" s="123"/>
      <c r="P1595" s="366"/>
      <c r="R1595" s="355"/>
    </row>
    <row r="1596" spans="12:18">
      <c r="L1596" s="123"/>
      <c r="P1596" s="366"/>
      <c r="R1596" s="355"/>
    </row>
    <row r="1597" spans="12:18">
      <c r="L1597" s="123"/>
      <c r="P1597" s="366"/>
      <c r="R1597" s="355"/>
    </row>
    <row r="1598" spans="12:18">
      <c r="L1598" s="123"/>
      <c r="P1598" s="366"/>
      <c r="R1598" s="355"/>
    </row>
    <row r="1599" spans="12:18">
      <c r="L1599" s="123"/>
      <c r="P1599" s="366"/>
      <c r="R1599" s="355"/>
    </row>
    <row r="1600" spans="12:18">
      <c r="L1600" s="123"/>
      <c r="P1600" s="366"/>
      <c r="R1600" s="355"/>
    </row>
    <row r="1601" spans="12:18">
      <c r="L1601" s="123"/>
      <c r="P1601" s="366"/>
      <c r="R1601" s="355"/>
    </row>
    <row r="1602" spans="12:18">
      <c r="L1602" s="123"/>
      <c r="P1602" s="366"/>
      <c r="R1602" s="355"/>
    </row>
    <row r="1603" spans="12:18">
      <c r="L1603" s="123"/>
    </row>
    <row r="1604" spans="12:18">
      <c r="L1604" s="123"/>
      <c r="P1604" s="366"/>
      <c r="R1604" s="355"/>
    </row>
    <row r="1605" spans="12:18">
      <c r="L1605" s="123"/>
      <c r="P1605" s="366"/>
      <c r="R1605" s="355"/>
    </row>
    <row r="1606" spans="12:18">
      <c r="L1606" s="123"/>
      <c r="P1606" s="366"/>
      <c r="R1606" s="355"/>
    </row>
    <row r="1607" spans="12:18">
      <c r="L1607" s="123"/>
      <c r="P1607" s="366"/>
      <c r="R1607" s="355"/>
    </row>
    <row r="1608" spans="12:18">
      <c r="L1608" s="123"/>
      <c r="P1608" s="366"/>
      <c r="R1608" s="355"/>
    </row>
    <row r="1609" spans="12:18">
      <c r="L1609" s="123"/>
      <c r="P1609" s="366"/>
      <c r="R1609" s="355"/>
    </row>
    <row r="1610" spans="12:18">
      <c r="L1610" s="123"/>
      <c r="P1610" s="366"/>
      <c r="R1610" s="355"/>
    </row>
    <row r="1611" spans="12:18">
      <c r="L1611" s="123"/>
      <c r="P1611" s="366"/>
      <c r="R1611" s="355"/>
    </row>
    <row r="1612" spans="12:18">
      <c r="L1612" s="123"/>
    </row>
    <row r="1613" spans="12:18">
      <c r="L1613" s="123"/>
      <c r="P1613" s="366"/>
      <c r="R1613" s="355"/>
    </row>
    <row r="1614" spans="12:18">
      <c r="L1614" s="123"/>
      <c r="P1614" s="366"/>
      <c r="R1614" s="355"/>
    </row>
    <row r="1615" spans="12:18">
      <c r="L1615" s="245"/>
      <c r="P1615" s="366"/>
      <c r="R1615" s="355"/>
    </row>
    <row r="1616" spans="12:18">
      <c r="L1616" s="123"/>
      <c r="P1616" s="366"/>
      <c r="R1616" s="355"/>
    </row>
    <row r="1617" spans="12:18">
      <c r="L1617" s="123"/>
      <c r="P1617" s="366"/>
      <c r="R1617" s="355"/>
    </row>
    <row r="1618" spans="12:18">
      <c r="L1618" s="123"/>
      <c r="P1618" s="366"/>
      <c r="R1618" s="355"/>
    </row>
    <row r="1619" spans="12:18">
      <c r="L1619" s="123"/>
      <c r="P1619" s="366"/>
      <c r="R1619" s="355"/>
    </row>
    <row r="1620" spans="12:18">
      <c r="L1620" s="247"/>
      <c r="P1620" s="366"/>
      <c r="R1620" s="355"/>
    </row>
    <row r="1621" spans="12:18">
      <c r="L1621" s="123"/>
      <c r="P1621" s="366"/>
      <c r="R1621" s="355"/>
    </row>
    <row r="1622" spans="12:18">
      <c r="L1622" s="123"/>
      <c r="P1622" s="366"/>
      <c r="R1622" s="355"/>
    </row>
    <row r="1623" spans="12:18">
      <c r="L1623" s="123"/>
      <c r="P1623" s="366"/>
      <c r="R1623" s="355"/>
    </row>
    <row r="1624" spans="12:18">
      <c r="L1624" s="123"/>
    </row>
    <row r="1625" spans="12:18">
      <c r="L1625" s="123"/>
      <c r="P1625" s="366"/>
      <c r="R1625" s="355"/>
    </row>
    <row r="1626" spans="12:18">
      <c r="L1626" s="123"/>
      <c r="P1626" s="366"/>
      <c r="R1626" s="355"/>
    </row>
    <row r="1627" spans="12:18">
      <c r="L1627" s="211"/>
      <c r="P1627" s="366"/>
      <c r="R1627" s="355"/>
    </row>
    <row r="1628" spans="12:18">
      <c r="L1628" s="123"/>
      <c r="P1628" s="366"/>
      <c r="R1628" s="355"/>
    </row>
    <row r="1629" spans="12:18">
      <c r="L1629" s="123"/>
      <c r="P1629" s="366"/>
      <c r="R1629" s="355"/>
    </row>
    <row r="1630" spans="12:18">
      <c r="L1630" s="123"/>
      <c r="P1630" s="366"/>
      <c r="R1630" s="355"/>
    </row>
    <row r="1631" spans="12:18">
      <c r="L1631" s="123"/>
      <c r="P1631" s="366"/>
      <c r="R1631" s="355"/>
    </row>
    <row r="1632" spans="12:18">
      <c r="L1632" s="123"/>
      <c r="P1632" s="366"/>
      <c r="R1632" s="355"/>
    </row>
    <row r="1633" spans="12:18">
      <c r="L1633" s="123"/>
    </row>
    <row r="1634" spans="12:18">
      <c r="L1634" s="123"/>
      <c r="P1634" s="366"/>
      <c r="R1634" s="355"/>
    </row>
    <row r="1635" spans="12:18">
      <c r="L1635" s="123"/>
      <c r="P1635" s="366"/>
      <c r="R1635" s="355"/>
    </row>
    <row r="1636" spans="12:18">
      <c r="L1636" s="123"/>
      <c r="P1636" s="366"/>
      <c r="R1636" s="355"/>
    </row>
    <row r="1637" spans="12:18">
      <c r="L1637" s="123"/>
      <c r="P1637" s="366"/>
      <c r="R1637" s="355"/>
    </row>
    <row r="1638" spans="12:18">
      <c r="L1638" s="245"/>
      <c r="P1638" s="366"/>
      <c r="R1638" s="355"/>
    </row>
    <row r="1639" spans="12:18">
      <c r="L1639" s="123"/>
      <c r="P1639" s="366"/>
      <c r="R1639" s="355"/>
    </row>
    <row r="1640" spans="12:18">
      <c r="L1640" s="123"/>
      <c r="P1640" s="366"/>
      <c r="R1640" s="355"/>
    </row>
    <row r="1641" spans="12:18">
      <c r="L1641" s="123"/>
      <c r="P1641" s="366"/>
      <c r="R1641" s="355"/>
    </row>
    <row r="1642" spans="12:18">
      <c r="L1642" s="123"/>
      <c r="P1642" s="366"/>
      <c r="R1642" s="355"/>
    </row>
    <row r="1643" spans="12:18">
      <c r="L1643" s="123"/>
      <c r="P1643" s="366"/>
      <c r="R1643" s="355"/>
    </row>
    <row r="1644" spans="12:18">
      <c r="L1644" s="123"/>
      <c r="P1644" s="366"/>
      <c r="R1644" s="355"/>
    </row>
    <row r="1645" spans="12:18">
      <c r="L1645" s="123"/>
      <c r="P1645" s="366"/>
      <c r="R1645" s="355"/>
    </row>
    <row r="1646" spans="12:18">
      <c r="L1646" s="123"/>
      <c r="P1646" s="366"/>
      <c r="R1646" s="355"/>
    </row>
    <row r="1647" spans="12:18">
      <c r="L1647" s="123"/>
      <c r="P1647" s="366"/>
      <c r="R1647" s="355"/>
    </row>
    <row r="1648" spans="12:18">
      <c r="L1648" s="123"/>
      <c r="P1648" s="366"/>
      <c r="R1648" s="355"/>
    </row>
    <row r="1649" spans="12:18">
      <c r="L1649" s="123"/>
      <c r="P1649" s="366"/>
      <c r="R1649" s="355"/>
    </row>
    <row r="1650" spans="12:18">
      <c r="L1650" s="245"/>
      <c r="P1650" s="366"/>
      <c r="R1650" s="355"/>
    </row>
    <row r="1651" spans="12:18">
      <c r="L1651" s="123"/>
      <c r="P1651" s="366"/>
      <c r="R1651" s="355"/>
    </row>
    <row r="1652" spans="12:18">
      <c r="L1652" s="27"/>
      <c r="P1652" s="366"/>
      <c r="R1652" s="355"/>
    </row>
    <row r="1653" spans="12:18">
      <c r="L1653" s="245"/>
      <c r="P1653" s="366"/>
      <c r="R1653" s="355"/>
    </row>
    <row r="1654" spans="12:18">
      <c r="L1654" s="123"/>
      <c r="P1654" s="366"/>
      <c r="R1654" s="355"/>
    </row>
    <row r="1655" spans="12:18">
      <c r="L1655" s="123"/>
      <c r="P1655" s="366"/>
      <c r="R1655" s="355"/>
    </row>
    <row r="1656" spans="12:18">
      <c r="L1656" s="123"/>
      <c r="P1656" s="366"/>
      <c r="R1656" s="355"/>
    </row>
    <row r="1657" spans="12:18">
      <c r="L1657" s="123"/>
      <c r="P1657" s="366"/>
      <c r="R1657" s="355"/>
    </row>
    <row r="1658" spans="12:18">
      <c r="L1658" s="245"/>
      <c r="P1658" s="366"/>
      <c r="R1658" s="355"/>
    </row>
    <row r="1659" spans="12:18">
      <c r="L1659" s="123"/>
      <c r="P1659" s="366"/>
      <c r="R1659" s="355"/>
    </row>
    <row r="1660" spans="12:18">
      <c r="L1660" s="123"/>
      <c r="P1660" s="366"/>
      <c r="R1660" s="355"/>
    </row>
    <row r="1661" spans="12:18">
      <c r="L1661" s="123"/>
      <c r="P1661" s="366"/>
      <c r="R1661" s="355"/>
    </row>
    <row r="1662" spans="12:18">
      <c r="L1662" s="123"/>
      <c r="P1662" s="366"/>
      <c r="R1662" s="355"/>
    </row>
    <row r="1663" spans="12:18">
      <c r="L1663" s="123"/>
      <c r="P1663" s="366"/>
      <c r="R1663" s="355"/>
    </row>
    <row r="1664" spans="12:18">
      <c r="L1664" s="123"/>
      <c r="P1664" s="366"/>
      <c r="R1664" s="355"/>
    </row>
    <row r="1665" spans="12:18">
      <c r="L1665" s="123"/>
      <c r="P1665" s="366"/>
      <c r="R1665" s="355"/>
    </row>
    <row r="1666" spans="12:18">
      <c r="L1666" s="123"/>
      <c r="P1666" s="366"/>
      <c r="R1666" s="355"/>
    </row>
    <row r="1667" spans="12:18">
      <c r="L1667" s="123"/>
      <c r="P1667" s="366"/>
      <c r="R1667" s="355"/>
    </row>
    <row r="1668" spans="12:18">
      <c r="L1668" s="123"/>
      <c r="P1668" s="366"/>
      <c r="R1668" s="355"/>
    </row>
    <row r="1669" spans="12:18">
      <c r="L1669" s="123"/>
      <c r="P1669" s="366"/>
      <c r="R1669" s="355"/>
    </row>
    <row r="1670" spans="12:18">
      <c r="L1670" s="123"/>
      <c r="P1670" s="366"/>
      <c r="R1670" s="355"/>
    </row>
    <row r="1671" spans="12:18">
      <c r="L1671" s="123"/>
      <c r="P1671" s="366"/>
      <c r="R1671" s="355"/>
    </row>
    <row r="1672" spans="12:18">
      <c r="L1672" s="123"/>
      <c r="P1672" s="366"/>
      <c r="R1672" s="355"/>
    </row>
    <row r="1673" spans="12:18">
      <c r="L1673" s="123"/>
      <c r="P1673" s="366"/>
      <c r="R1673" s="355"/>
    </row>
    <row r="1674" spans="12:18">
      <c r="L1674" s="123"/>
      <c r="P1674" s="366"/>
      <c r="R1674" s="355"/>
    </row>
    <row r="1675" spans="12:18">
      <c r="L1675" s="123"/>
      <c r="P1675" s="366"/>
      <c r="R1675" s="355"/>
    </row>
    <row r="1676" spans="12:18">
      <c r="L1676" s="123"/>
      <c r="P1676" s="366"/>
      <c r="R1676" s="355"/>
    </row>
    <row r="1677" spans="12:18">
      <c r="L1677" s="123"/>
      <c r="P1677" s="366"/>
      <c r="R1677" s="355"/>
    </row>
    <row r="1678" spans="12:18">
      <c r="L1678" s="245"/>
      <c r="P1678" s="366"/>
      <c r="R1678" s="355"/>
    </row>
    <row r="1679" spans="12:18">
      <c r="L1679" s="123"/>
      <c r="P1679" s="366"/>
      <c r="R1679" s="355"/>
    </row>
    <row r="1680" spans="12:18">
      <c r="L1680" s="123"/>
      <c r="P1680" s="366"/>
      <c r="R1680" s="355"/>
    </row>
    <row r="1681" spans="1:33">
      <c r="L1681" s="123"/>
      <c r="P1681" s="366"/>
      <c r="R1681" s="355"/>
    </row>
    <row r="1682" spans="1:33">
      <c r="L1682" s="123"/>
      <c r="P1682" s="366"/>
      <c r="R1682" s="355"/>
    </row>
    <row r="1683" spans="1:33">
      <c r="L1683" s="123"/>
      <c r="P1683" s="366"/>
      <c r="R1683" s="355"/>
    </row>
    <row r="1684" spans="1:33">
      <c r="L1684" s="123"/>
      <c r="P1684" s="366"/>
      <c r="R1684" s="355"/>
    </row>
    <row r="1685" spans="1:33">
      <c r="L1685" s="123"/>
      <c r="P1685" s="366"/>
      <c r="R1685" s="355"/>
    </row>
    <row r="1686" spans="1:33">
      <c r="L1686" s="123"/>
      <c r="P1686" s="366"/>
      <c r="R1686" s="355"/>
    </row>
    <row r="1687" spans="1:33">
      <c r="L1687" s="123"/>
      <c r="P1687" s="366"/>
      <c r="R1687" s="355"/>
    </row>
    <row r="1688" spans="1:33">
      <c r="L1688" s="123"/>
      <c r="P1688" s="366"/>
      <c r="R1688" s="355"/>
    </row>
    <row r="1689" spans="1:33">
      <c r="L1689" s="123"/>
      <c r="P1689" s="366"/>
      <c r="R1689" s="355"/>
    </row>
    <row r="1690" spans="1:33">
      <c r="L1690" s="123"/>
      <c r="P1690" s="366"/>
      <c r="R1690" s="355"/>
    </row>
    <row r="1691" spans="1:33">
      <c r="L1691" s="123"/>
      <c r="P1691" s="366"/>
      <c r="R1691" s="355"/>
    </row>
    <row r="1692" spans="1:33" ht="26.4">
      <c r="A1692" s="391"/>
      <c r="B1692" s="245"/>
      <c r="C1692" s="245"/>
      <c r="D1692" s="245"/>
      <c r="E1692" s="245"/>
      <c r="F1692" s="319"/>
      <c r="G1692" s="245"/>
      <c r="H1692" s="245"/>
      <c r="I1692" s="245"/>
      <c r="L1692" s="123"/>
      <c r="P1692" s="366"/>
      <c r="R1692" s="355"/>
      <c r="T1692" s="328"/>
      <c r="U1692" s="394" ph="1"/>
      <c r="W1692" s="216"/>
      <c r="X1692" s="245"/>
      <c r="Y1692" s="187"/>
      <c r="Z1692" s="245"/>
      <c r="AA1692" s="245"/>
      <c r="AB1692" s="332"/>
      <c r="AD1692" s="245"/>
      <c r="AE1692" s="245"/>
      <c r="AF1692" s="245"/>
      <c r="AG1692" s="245"/>
    </row>
    <row r="1693" spans="1:33">
      <c r="L1693" s="123"/>
      <c r="P1693" s="366"/>
      <c r="R1693" s="355"/>
    </row>
    <row r="1694" spans="1:33">
      <c r="L1694" s="123"/>
      <c r="P1694" s="366"/>
      <c r="R1694" s="355"/>
    </row>
    <row r="1695" spans="1:33">
      <c r="L1695" s="123"/>
      <c r="P1695" s="366"/>
      <c r="R1695" s="355"/>
    </row>
    <row r="1696" spans="1:33">
      <c r="L1696" s="123"/>
      <c r="P1696" s="366"/>
      <c r="R1696" s="355"/>
    </row>
    <row r="1697" spans="1:33">
      <c r="L1697" s="123"/>
      <c r="P1697" s="366"/>
      <c r="R1697" s="355"/>
    </row>
    <row r="1698" spans="1:33">
      <c r="L1698" s="123"/>
      <c r="P1698" s="366"/>
      <c r="R1698" s="355"/>
    </row>
    <row r="1699" spans="1:33">
      <c r="L1699" s="123"/>
      <c r="P1699" s="366"/>
      <c r="R1699" s="355"/>
    </row>
    <row r="1700" spans="1:33">
      <c r="L1700" s="123"/>
      <c r="P1700" s="366"/>
      <c r="R1700" s="355"/>
    </row>
    <row r="1701" spans="1:33">
      <c r="L1701" s="123"/>
      <c r="P1701" s="366"/>
      <c r="R1701" s="355"/>
    </row>
    <row r="1702" spans="1:33" ht="26.4">
      <c r="A1702" s="391"/>
      <c r="B1702" s="245"/>
      <c r="C1702" s="245"/>
      <c r="D1702" s="245"/>
      <c r="E1702" s="245"/>
      <c r="F1702" s="319"/>
      <c r="G1702" s="245"/>
      <c r="H1702" s="245"/>
      <c r="I1702" s="245"/>
      <c r="L1702" s="123"/>
      <c r="P1702" s="366"/>
      <c r="R1702" s="355"/>
      <c r="T1702" s="328"/>
      <c r="U1702" s="394" ph="1"/>
      <c r="W1702" s="216"/>
      <c r="X1702" s="245"/>
      <c r="Y1702" s="187"/>
      <c r="Z1702" s="245"/>
      <c r="AA1702" s="245"/>
      <c r="AB1702" s="332"/>
      <c r="AD1702" s="245"/>
      <c r="AE1702" s="245"/>
      <c r="AF1702" s="245"/>
      <c r="AG1702" s="245"/>
    </row>
    <row r="1703" spans="1:33">
      <c r="L1703" s="123"/>
      <c r="P1703" s="366"/>
      <c r="R1703" s="355"/>
    </row>
    <row r="1704" spans="1:33">
      <c r="L1704" s="123"/>
      <c r="P1704" s="366"/>
      <c r="R1704" s="355"/>
      <c r="S1704" s="369"/>
    </row>
    <row r="1705" spans="1:33">
      <c r="L1705" s="123"/>
      <c r="P1705" s="366"/>
      <c r="R1705" s="355"/>
    </row>
    <row r="1706" spans="1:33" ht="26.4">
      <c r="A1706" s="391"/>
      <c r="B1706" s="245"/>
      <c r="C1706" s="245"/>
      <c r="D1706" s="245"/>
      <c r="E1706" s="245"/>
      <c r="F1706" s="319"/>
      <c r="G1706" s="245"/>
      <c r="H1706" s="245"/>
      <c r="I1706" s="245"/>
      <c r="L1706" s="123"/>
      <c r="P1706" s="366"/>
      <c r="R1706" s="355"/>
      <c r="T1706" s="328"/>
      <c r="U1706" s="394" ph="1"/>
      <c r="W1706" s="216"/>
      <c r="X1706" s="245"/>
      <c r="Y1706" s="187"/>
      <c r="Z1706" s="245"/>
      <c r="AA1706" s="245"/>
      <c r="AB1706" s="332"/>
      <c r="AD1706" s="245"/>
      <c r="AE1706" s="245"/>
      <c r="AF1706" s="245"/>
      <c r="AG1706" s="245"/>
    </row>
    <row r="1707" spans="1:33">
      <c r="L1707" s="123"/>
      <c r="P1707" s="366"/>
      <c r="R1707" s="355"/>
    </row>
    <row r="1708" spans="1:33">
      <c r="L1708" s="123"/>
      <c r="P1708" s="366"/>
      <c r="R1708" s="355"/>
    </row>
    <row r="1709" spans="1:33">
      <c r="L1709" s="123"/>
      <c r="P1709" s="366"/>
      <c r="R1709" s="355"/>
    </row>
    <row r="1710" spans="1:33">
      <c r="L1710" s="123"/>
      <c r="P1710" s="366"/>
      <c r="R1710" s="355"/>
    </row>
    <row r="1711" spans="1:33" ht="26.4">
      <c r="A1711" s="391"/>
      <c r="B1711" s="245"/>
      <c r="C1711" s="245"/>
      <c r="D1711" s="245"/>
      <c r="E1711" s="245"/>
      <c r="F1711" s="319"/>
      <c r="G1711" s="245"/>
      <c r="H1711" s="245"/>
      <c r="I1711" s="245"/>
      <c r="L1711" s="123"/>
      <c r="P1711" s="366"/>
      <c r="R1711" s="355"/>
      <c r="T1711" s="328"/>
      <c r="U1711" s="394" ph="1"/>
      <c r="W1711" s="216"/>
      <c r="X1711" s="245"/>
      <c r="Y1711" s="187"/>
      <c r="Z1711" s="245"/>
      <c r="AA1711" s="245"/>
      <c r="AB1711" s="332"/>
      <c r="AD1711" s="245"/>
      <c r="AE1711" s="245"/>
      <c r="AF1711" s="245"/>
      <c r="AG1711" s="245"/>
    </row>
    <row r="1712" spans="1:33" ht="26.4">
      <c r="A1712" s="391"/>
      <c r="B1712" s="245"/>
      <c r="C1712" s="245"/>
      <c r="D1712" s="245"/>
      <c r="E1712" s="245"/>
      <c r="F1712" s="319"/>
      <c r="G1712" s="245"/>
      <c r="H1712" s="245"/>
      <c r="I1712" s="245"/>
      <c r="L1712" s="123"/>
      <c r="P1712" s="366"/>
      <c r="R1712" s="355"/>
      <c r="T1712" s="328"/>
      <c r="U1712" s="394" ph="1"/>
      <c r="W1712" s="216"/>
      <c r="X1712" s="245"/>
      <c r="Y1712" s="187"/>
      <c r="Z1712" s="245"/>
      <c r="AA1712" s="245"/>
      <c r="AB1712" s="332"/>
      <c r="AD1712" s="245"/>
      <c r="AE1712" s="245"/>
      <c r="AF1712" s="245"/>
      <c r="AG1712" s="245"/>
    </row>
    <row r="1713" spans="1:33" ht="26.4">
      <c r="A1713" s="391"/>
      <c r="B1713" s="245"/>
      <c r="C1713" s="245"/>
      <c r="D1713" s="245"/>
      <c r="E1713" s="245"/>
      <c r="F1713" s="319"/>
      <c r="G1713" s="245"/>
      <c r="H1713" s="245"/>
      <c r="I1713" s="245"/>
      <c r="L1713" s="123"/>
      <c r="P1713" s="366"/>
      <c r="R1713" s="355"/>
      <c r="T1713" s="328"/>
      <c r="U1713" s="394" ph="1"/>
      <c r="W1713" s="216"/>
      <c r="X1713" s="245"/>
      <c r="Y1713" s="187"/>
      <c r="Z1713" s="245"/>
      <c r="AA1713" s="245"/>
      <c r="AB1713" s="332"/>
      <c r="AD1713" s="245"/>
      <c r="AE1713" s="245"/>
      <c r="AF1713" s="245"/>
      <c r="AG1713" s="245"/>
    </row>
    <row r="1714" spans="1:33">
      <c r="L1714" s="123"/>
      <c r="P1714" s="366"/>
      <c r="R1714" s="355"/>
      <c r="S1714" s="369"/>
    </row>
    <row r="1715" spans="1:33" ht="26.4">
      <c r="A1715" s="391"/>
      <c r="B1715" s="245"/>
      <c r="C1715" s="245"/>
      <c r="D1715" s="245"/>
      <c r="E1715" s="245"/>
      <c r="F1715" s="319"/>
      <c r="G1715" s="245"/>
      <c r="H1715" s="245"/>
      <c r="I1715" s="245"/>
      <c r="L1715" s="123"/>
      <c r="P1715" s="366"/>
      <c r="R1715" s="355"/>
      <c r="T1715" s="328"/>
      <c r="U1715" s="394" ph="1"/>
      <c r="W1715" s="216"/>
      <c r="X1715" s="245"/>
      <c r="Y1715" s="187"/>
      <c r="Z1715" s="245"/>
      <c r="AA1715" s="245"/>
      <c r="AB1715" s="332"/>
      <c r="AD1715" s="245"/>
      <c r="AE1715" s="245"/>
      <c r="AF1715" s="245"/>
      <c r="AG1715" s="245"/>
    </row>
    <row r="1716" spans="1:33" ht="26.4">
      <c r="A1716" s="391"/>
      <c r="B1716" s="245"/>
      <c r="C1716" s="245"/>
      <c r="D1716" s="245"/>
      <c r="E1716" s="245"/>
      <c r="F1716" s="319"/>
      <c r="G1716" s="245"/>
      <c r="H1716" s="245"/>
      <c r="I1716" s="245"/>
      <c r="L1716" s="123"/>
      <c r="P1716" s="366"/>
      <c r="R1716" s="355"/>
      <c r="T1716" s="328"/>
      <c r="U1716" s="394" ph="1"/>
      <c r="W1716" s="216"/>
      <c r="X1716" s="245"/>
      <c r="Y1716" s="187"/>
      <c r="Z1716" s="245"/>
      <c r="AA1716" s="245"/>
      <c r="AB1716" s="332"/>
      <c r="AD1716" s="245"/>
      <c r="AE1716" s="245"/>
      <c r="AF1716" s="245"/>
      <c r="AG1716" s="245"/>
    </row>
    <row r="1717" spans="1:33">
      <c r="L1717" s="245"/>
      <c r="P1717" s="366"/>
      <c r="R1717" s="355"/>
    </row>
    <row r="1718" spans="1:33" ht="26.4">
      <c r="A1718" s="391"/>
      <c r="B1718" s="245"/>
      <c r="C1718" s="245"/>
      <c r="D1718" s="245"/>
      <c r="E1718" s="245"/>
      <c r="F1718" s="319"/>
      <c r="G1718" s="245"/>
      <c r="H1718" s="245"/>
      <c r="I1718" s="245"/>
      <c r="L1718" s="123"/>
      <c r="P1718" s="366"/>
      <c r="R1718" s="355"/>
      <c r="S1718" s="369"/>
      <c r="T1718" s="328"/>
      <c r="U1718" s="394" ph="1"/>
      <c r="W1718" s="216"/>
      <c r="X1718" s="245"/>
      <c r="Y1718" s="187"/>
      <c r="Z1718" s="245"/>
      <c r="AA1718" s="245"/>
      <c r="AB1718" s="332"/>
      <c r="AD1718" s="245"/>
      <c r="AE1718" s="245"/>
      <c r="AF1718" s="245"/>
      <c r="AG1718" s="245"/>
    </row>
    <row r="1719" spans="1:33">
      <c r="L1719" s="123"/>
      <c r="P1719" s="366"/>
      <c r="R1719" s="355"/>
    </row>
    <row r="1720" spans="1:33" ht="26.4">
      <c r="A1720" s="391"/>
      <c r="B1720" s="245"/>
      <c r="C1720" s="245"/>
      <c r="D1720" s="245"/>
      <c r="E1720" s="245"/>
      <c r="F1720" s="319"/>
      <c r="G1720" s="245"/>
      <c r="H1720" s="245"/>
      <c r="I1720" s="245"/>
      <c r="L1720" s="123"/>
      <c r="P1720" s="366"/>
      <c r="R1720" s="355"/>
      <c r="T1720" s="328"/>
      <c r="U1720" s="394" ph="1"/>
      <c r="W1720" s="216"/>
      <c r="X1720" s="245"/>
      <c r="Y1720" s="187"/>
      <c r="Z1720" s="245"/>
      <c r="AA1720" s="245"/>
      <c r="AB1720" s="332"/>
      <c r="AD1720" s="245"/>
      <c r="AE1720" s="245"/>
      <c r="AF1720" s="245"/>
      <c r="AG1720" s="245"/>
    </row>
    <row r="1721" spans="1:33" ht="26.4">
      <c r="A1721" s="391"/>
      <c r="B1721" s="245"/>
      <c r="C1721" s="245"/>
      <c r="D1721" s="245"/>
      <c r="E1721" s="245"/>
      <c r="F1721" s="319"/>
      <c r="G1721" s="245"/>
      <c r="H1721" s="245"/>
      <c r="I1721" s="245"/>
      <c r="L1721" s="123"/>
      <c r="P1721" s="366"/>
      <c r="R1721" s="355"/>
      <c r="T1721" s="328"/>
      <c r="U1721" s="394" ph="1"/>
      <c r="W1721" s="216"/>
      <c r="X1721" s="245"/>
      <c r="Y1721" s="187"/>
      <c r="Z1721" s="245"/>
      <c r="AA1721" s="245"/>
      <c r="AB1721" s="332"/>
      <c r="AD1721" s="245"/>
      <c r="AE1721" s="245"/>
      <c r="AF1721" s="245"/>
      <c r="AG1721" s="245"/>
    </row>
    <row r="1722" spans="1:33" ht="26.4">
      <c r="A1722" s="391"/>
      <c r="B1722" s="245"/>
      <c r="C1722" s="245"/>
      <c r="D1722" s="245"/>
      <c r="E1722" s="245"/>
      <c r="F1722" s="319"/>
      <c r="G1722" s="245"/>
      <c r="H1722" s="245"/>
      <c r="I1722" s="245"/>
      <c r="L1722" s="123"/>
      <c r="P1722" s="366"/>
      <c r="R1722" s="355"/>
      <c r="T1722" s="328"/>
      <c r="U1722" s="394" ph="1"/>
      <c r="W1722" s="216"/>
      <c r="X1722" s="245"/>
      <c r="Y1722" s="187"/>
      <c r="Z1722" s="245"/>
      <c r="AA1722" s="245"/>
      <c r="AB1722" s="332"/>
      <c r="AD1722" s="245"/>
      <c r="AE1722" s="245"/>
      <c r="AF1722" s="245"/>
      <c r="AG1722" s="245"/>
    </row>
    <row r="1723" spans="1:33" ht="26.4">
      <c r="A1723" s="391"/>
      <c r="B1723" s="245"/>
      <c r="C1723" s="245"/>
      <c r="D1723" s="245"/>
      <c r="E1723" s="245"/>
      <c r="F1723" s="319"/>
      <c r="G1723" s="245"/>
      <c r="H1723" s="245"/>
      <c r="I1723" s="245"/>
      <c r="L1723" s="123"/>
      <c r="P1723" s="366"/>
      <c r="R1723" s="355"/>
      <c r="S1723" s="369"/>
      <c r="T1723" s="328"/>
      <c r="U1723" s="394" ph="1"/>
      <c r="W1723" s="216"/>
      <c r="X1723" s="245"/>
      <c r="Y1723" s="187"/>
      <c r="Z1723" s="245"/>
      <c r="AA1723" s="245"/>
      <c r="AB1723" s="332"/>
      <c r="AD1723" s="245"/>
      <c r="AE1723" s="245"/>
      <c r="AF1723" s="245"/>
      <c r="AG1723" s="245"/>
    </row>
    <row r="1724" spans="1:33" ht="26.4">
      <c r="A1724" s="391"/>
      <c r="B1724" s="245"/>
      <c r="C1724" s="245"/>
      <c r="D1724" s="245"/>
      <c r="E1724" s="245"/>
      <c r="F1724" s="319"/>
      <c r="G1724" s="245"/>
      <c r="H1724" s="245"/>
      <c r="I1724" s="245"/>
      <c r="L1724" s="123"/>
      <c r="P1724" s="366"/>
      <c r="R1724" s="355"/>
      <c r="S1724" s="369"/>
      <c r="T1724" s="328"/>
      <c r="U1724" s="394" ph="1"/>
      <c r="W1724" s="216"/>
      <c r="X1724" s="245"/>
      <c r="Y1724" s="187"/>
      <c r="Z1724" s="245"/>
      <c r="AA1724" s="245"/>
      <c r="AB1724" s="332"/>
      <c r="AD1724" s="245"/>
      <c r="AE1724" s="245"/>
      <c r="AF1724" s="245"/>
      <c r="AG1724" s="245"/>
    </row>
    <row r="1725" spans="1:33" ht="26.4">
      <c r="A1725" s="391"/>
      <c r="B1725" s="245"/>
      <c r="C1725" s="245"/>
      <c r="D1725" s="245"/>
      <c r="E1725" s="245"/>
      <c r="F1725" s="319"/>
      <c r="G1725" s="245"/>
      <c r="H1725" s="245"/>
      <c r="I1725" s="245"/>
      <c r="L1725" s="123"/>
      <c r="P1725" s="366"/>
      <c r="R1725" s="355"/>
      <c r="S1725" s="369"/>
      <c r="T1725" s="328"/>
      <c r="U1725" s="394" ph="1"/>
      <c r="W1725" s="216"/>
      <c r="X1725" s="245"/>
      <c r="Y1725" s="187"/>
      <c r="Z1725" s="245"/>
      <c r="AA1725" s="245"/>
      <c r="AB1725" s="332"/>
      <c r="AD1725" s="245"/>
      <c r="AE1725" s="245"/>
      <c r="AF1725" s="245"/>
      <c r="AG1725" s="245"/>
    </row>
    <row r="1726" spans="1:33" ht="26.4">
      <c r="A1726" s="391"/>
      <c r="B1726" s="245"/>
      <c r="C1726" s="245"/>
      <c r="D1726" s="245"/>
      <c r="E1726" s="245"/>
      <c r="F1726" s="319"/>
      <c r="G1726" s="245"/>
      <c r="H1726" s="245"/>
      <c r="I1726" s="245"/>
      <c r="L1726" s="123"/>
      <c r="P1726" s="366"/>
      <c r="R1726" s="355"/>
      <c r="T1726" s="328"/>
      <c r="U1726" s="394" ph="1"/>
      <c r="W1726" s="216"/>
      <c r="X1726" s="245"/>
      <c r="Y1726" s="187"/>
      <c r="Z1726" s="245"/>
      <c r="AA1726" s="245"/>
      <c r="AB1726" s="332"/>
      <c r="AD1726" s="245"/>
      <c r="AE1726" s="245"/>
      <c r="AF1726" s="245"/>
      <c r="AG1726" s="245"/>
    </row>
    <row r="1727" spans="1:33" ht="26.4">
      <c r="A1727" s="391"/>
      <c r="B1727" s="245"/>
      <c r="C1727" s="245"/>
      <c r="D1727" s="245"/>
      <c r="E1727" s="245"/>
      <c r="F1727" s="319"/>
      <c r="G1727" s="245"/>
      <c r="H1727" s="245"/>
      <c r="I1727" s="245"/>
      <c r="L1727" s="123"/>
      <c r="P1727" s="366"/>
      <c r="R1727" s="355"/>
      <c r="S1727" s="369"/>
      <c r="T1727" s="328"/>
      <c r="U1727" s="394" ph="1"/>
      <c r="W1727" s="216"/>
      <c r="X1727" s="245"/>
      <c r="Y1727" s="187"/>
      <c r="Z1727" s="245"/>
      <c r="AA1727" s="245"/>
      <c r="AB1727" s="332"/>
      <c r="AD1727" s="245"/>
      <c r="AE1727" s="245"/>
      <c r="AF1727" s="245"/>
      <c r="AG1727" s="245"/>
    </row>
    <row r="1728" spans="1:33" ht="26.4">
      <c r="A1728" s="391"/>
      <c r="B1728" s="245"/>
      <c r="C1728" s="245"/>
      <c r="D1728" s="245"/>
      <c r="E1728" s="245"/>
      <c r="F1728" s="319"/>
      <c r="G1728" s="245"/>
      <c r="H1728" s="245"/>
      <c r="I1728" s="245"/>
      <c r="L1728" s="123"/>
      <c r="P1728" s="366"/>
      <c r="R1728" s="355"/>
      <c r="S1728" s="369"/>
      <c r="T1728" s="328"/>
      <c r="U1728" s="394" ph="1"/>
      <c r="W1728" s="216"/>
      <c r="X1728" s="245"/>
      <c r="Y1728" s="187"/>
      <c r="Z1728" s="245"/>
      <c r="AA1728" s="245"/>
      <c r="AB1728" s="332"/>
      <c r="AD1728" s="245"/>
      <c r="AE1728" s="245"/>
      <c r="AF1728" s="245"/>
      <c r="AG1728" s="245"/>
    </row>
    <row r="1729" spans="1:33" ht="26.4">
      <c r="A1729" s="391"/>
      <c r="B1729" s="245"/>
      <c r="C1729" s="245"/>
      <c r="D1729" s="245"/>
      <c r="E1729" s="245"/>
      <c r="F1729" s="319"/>
      <c r="G1729" s="245"/>
      <c r="H1729" s="245"/>
      <c r="I1729" s="245"/>
      <c r="L1729" s="123"/>
      <c r="P1729" s="366"/>
      <c r="R1729" s="355"/>
      <c r="T1729" s="328"/>
      <c r="U1729" s="394" ph="1"/>
      <c r="W1729" s="216"/>
      <c r="X1729" s="245"/>
      <c r="Y1729" s="187"/>
      <c r="Z1729" s="245"/>
      <c r="AA1729" s="245"/>
      <c r="AB1729" s="332"/>
      <c r="AD1729" s="245"/>
      <c r="AE1729" s="245"/>
      <c r="AF1729" s="245"/>
      <c r="AG1729" s="245"/>
    </row>
    <row r="1730" spans="1:33">
      <c r="L1730" s="123"/>
      <c r="P1730" s="366"/>
      <c r="R1730" s="355"/>
      <c r="S1730" s="369"/>
    </row>
    <row r="1731" spans="1:33" ht="26.4">
      <c r="A1731" s="391"/>
      <c r="B1731" s="245"/>
      <c r="C1731" s="245"/>
      <c r="D1731" s="245"/>
      <c r="E1731" s="245"/>
      <c r="F1731" s="319"/>
      <c r="G1731" s="245"/>
      <c r="H1731" s="245"/>
      <c r="I1731" s="245"/>
      <c r="L1731" s="123"/>
      <c r="P1731" s="366"/>
      <c r="R1731" s="355"/>
      <c r="T1731" s="328"/>
      <c r="U1731" s="394" ph="1"/>
      <c r="W1731" s="216"/>
      <c r="X1731" s="245"/>
      <c r="Y1731" s="187"/>
      <c r="Z1731" s="245"/>
      <c r="AA1731" s="245"/>
      <c r="AB1731" s="332"/>
      <c r="AD1731" s="245"/>
      <c r="AE1731" s="245"/>
      <c r="AF1731" s="245"/>
      <c r="AG1731" s="245"/>
    </row>
    <row r="1732" spans="1:33" ht="26.4">
      <c r="A1732" s="391"/>
      <c r="B1732" s="245"/>
      <c r="C1732" s="245"/>
      <c r="D1732" s="245"/>
      <c r="E1732" s="245"/>
      <c r="F1732" s="319"/>
      <c r="G1732" s="245"/>
      <c r="H1732" s="245"/>
      <c r="I1732" s="245"/>
      <c r="L1732" s="123"/>
      <c r="P1732" s="366"/>
      <c r="R1732" s="355"/>
      <c r="S1732" s="369"/>
      <c r="T1732" s="328"/>
      <c r="U1732" s="394" ph="1"/>
      <c r="W1732" s="216"/>
      <c r="X1732" s="245"/>
      <c r="Y1732" s="187"/>
      <c r="Z1732" s="245"/>
      <c r="AA1732" s="245"/>
      <c r="AB1732" s="332"/>
      <c r="AD1732" s="245"/>
      <c r="AE1732" s="245"/>
      <c r="AF1732" s="245"/>
      <c r="AG1732" s="245"/>
    </row>
    <row r="1733" spans="1:33" ht="26.4">
      <c r="A1733" s="391"/>
      <c r="B1733" s="245"/>
      <c r="C1733" s="245"/>
      <c r="D1733" s="245"/>
      <c r="E1733" s="245"/>
      <c r="F1733" s="319"/>
      <c r="G1733" s="245"/>
      <c r="H1733" s="245"/>
      <c r="I1733" s="245"/>
      <c r="L1733" s="123"/>
      <c r="P1733" s="366"/>
      <c r="R1733" s="355"/>
      <c r="S1733" s="369"/>
      <c r="T1733" s="328"/>
      <c r="U1733" s="394" ph="1"/>
      <c r="W1733" s="216"/>
      <c r="X1733" s="245"/>
      <c r="Y1733" s="187"/>
      <c r="Z1733" s="245"/>
      <c r="AA1733" s="245"/>
      <c r="AB1733" s="332"/>
      <c r="AD1733" s="245"/>
      <c r="AE1733" s="245"/>
      <c r="AF1733" s="245"/>
      <c r="AG1733" s="245"/>
    </row>
    <row r="1734" spans="1:33" ht="26.4">
      <c r="A1734" s="391"/>
      <c r="B1734" s="245"/>
      <c r="C1734" s="245"/>
      <c r="D1734" s="245"/>
      <c r="E1734" s="245"/>
      <c r="F1734" s="319"/>
      <c r="G1734" s="245"/>
      <c r="H1734" s="245"/>
      <c r="I1734" s="245"/>
      <c r="L1734" s="123"/>
      <c r="P1734" s="366"/>
      <c r="R1734" s="355"/>
      <c r="S1734" s="369"/>
      <c r="T1734" s="328"/>
      <c r="U1734" s="394" ph="1"/>
      <c r="W1734" s="216"/>
      <c r="X1734" s="245"/>
      <c r="Y1734" s="187"/>
      <c r="Z1734" s="245"/>
      <c r="AA1734" s="245"/>
      <c r="AB1734" s="332"/>
      <c r="AD1734" s="245"/>
      <c r="AE1734" s="245"/>
      <c r="AF1734" s="245"/>
      <c r="AG1734" s="245"/>
    </row>
    <row r="1735" spans="1:33" ht="26.4">
      <c r="A1735" s="391"/>
      <c r="B1735" s="245"/>
      <c r="C1735" s="245"/>
      <c r="D1735" s="245"/>
      <c r="E1735" s="245"/>
      <c r="F1735" s="319"/>
      <c r="G1735" s="245"/>
      <c r="H1735" s="245"/>
      <c r="I1735" s="245"/>
      <c r="L1735" s="123"/>
      <c r="P1735" s="366"/>
      <c r="R1735" s="355"/>
      <c r="S1735" s="369"/>
      <c r="T1735" s="328"/>
      <c r="U1735" s="394" ph="1"/>
      <c r="W1735" s="216"/>
      <c r="X1735" s="245"/>
      <c r="Y1735" s="187"/>
      <c r="Z1735" s="245"/>
      <c r="AA1735" s="245"/>
      <c r="AB1735" s="332"/>
      <c r="AD1735" s="245"/>
      <c r="AE1735" s="245"/>
      <c r="AF1735" s="245"/>
      <c r="AG1735" s="245"/>
    </row>
    <row r="1736" spans="1:33" ht="26.4">
      <c r="A1736" s="391"/>
      <c r="B1736" s="245"/>
      <c r="C1736" s="245"/>
      <c r="D1736" s="245"/>
      <c r="E1736" s="245"/>
      <c r="F1736" s="319"/>
      <c r="G1736" s="245"/>
      <c r="H1736" s="245"/>
      <c r="I1736" s="245"/>
      <c r="L1736" s="123"/>
      <c r="P1736" s="366"/>
      <c r="R1736" s="355"/>
      <c r="S1736" s="369"/>
      <c r="T1736" s="328"/>
      <c r="U1736" s="394" ph="1"/>
      <c r="W1736" s="216"/>
      <c r="X1736" s="245"/>
      <c r="Y1736" s="187"/>
      <c r="Z1736" s="245"/>
      <c r="AA1736" s="245"/>
      <c r="AB1736" s="332"/>
      <c r="AD1736" s="245"/>
      <c r="AE1736" s="245"/>
      <c r="AF1736" s="245"/>
      <c r="AG1736" s="245"/>
    </row>
    <row r="1737" spans="1:33" ht="26.4">
      <c r="A1737" s="391"/>
      <c r="B1737" s="245"/>
      <c r="C1737" s="245"/>
      <c r="D1737" s="245"/>
      <c r="E1737" s="245"/>
      <c r="F1737" s="319"/>
      <c r="G1737" s="245"/>
      <c r="H1737" s="245"/>
      <c r="I1737" s="245"/>
      <c r="L1737" s="123"/>
      <c r="P1737" s="366"/>
      <c r="R1737" s="355"/>
      <c r="S1737" s="369"/>
      <c r="T1737" s="328"/>
      <c r="U1737" s="394" ph="1"/>
      <c r="W1737" s="216"/>
      <c r="X1737" s="245"/>
      <c r="Y1737" s="187"/>
      <c r="Z1737" s="245"/>
      <c r="AA1737" s="245"/>
      <c r="AB1737" s="332"/>
      <c r="AD1737" s="245"/>
      <c r="AE1737" s="245"/>
      <c r="AF1737" s="245"/>
      <c r="AG1737" s="245"/>
    </row>
    <row r="1738" spans="1:33" ht="26.4">
      <c r="A1738" s="391"/>
      <c r="B1738" s="245"/>
      <c r="C1738" s="245"/>
      <c r="D1738" s="245"/>
      <c r="E1738" s="245"/>
      <c r="F1738" s="319"/>
      <c r="G1738" s="245"/>
      <c r="H1738" s="245"/>
      <c r="I1738" s="245"/>
      <c r="L1738" s="123"/>
      <c r="P1738" s="366"/>
      <c r="R1738" s="355"/>
      <c r="S1738" s="369"/>
      <c r="T1738" s="328"/>
      <c r="U1738" s="394" ph="1"/>
      <c r="W1738" s="216"/>
      <c r="X1738" s="245"/>
      <c r="Y1738" s="187"/>
      <c r="Z1738" s="245"/>
      <c r="AA1738" s="245"/>
      <c r="AB1738" s="332"/>
      <c r="AD1738" s="245"/>
      <c r="AE1738" s="245"/>
      <c r="AF1738" s="245"/>
      <c r="AG1738" s="245"/>
    </row>
    <row r="1739" spans="1:33">
      <c r="L1739" s="123"/>
      <c r="P1739" s="366"/>
      <c r="R1739" s="355"/>
      <c r="S1739" s="369"/>
    </row>
    <row r="1740" spans="1:33" ht="26.4">
      <c r="A1740" s="391"/>
      <c r="B1740" s="245"/>
      <c r="C1740" s="245"/>
      <c r="D1740" s="245"/>
      <c r="E1740" s="245"/>
      <c r="F1740" s="319"/>
      <c r="G1740" s="245"/>
      <c r="H1740" s="245"/>
      <c r="I1740" s="245"/>
      <c r="L1740" s="123"/>
      <c r="P1740" s="366"/>
      <c r="R1740" s="355"/>
      <c r="S1740" s="369"/>
      <c r="T1740" s="328"/>
      <c r="U1740" s="394" ph="1"/>
      <c r="W1740" s="216"/>
      <c r="X1740" s="245"/>
      <c r="Y1740" s="187"/>
      <c r="Z1740" s="245"/>
      <c r="AA1740" s="245"/>
      <c r="AB1740" s="332"/>
      <c r="AD1740" s="245"/>
      <c r="AE1740" s="245"/>
      <c r="AF1740" s="245"/>
      <c r="AG1740" s="245"/>
    </row>
    <row r="1741" spans="1:33" ht="26.4">
      <c r="A1741" s="391"/>
      <c r="B1741" s="245"/>
      <c r="C1741" s="245"/>
      <c r="D1741" s="245"/>
      <c r="E1741" s="245"/>
      <c r="F1741" s="319"/>
      <c r="G1741" s="245"/>
      <c r="H1741" s="245"/>
      <c r="I1741" s="245"/>
      <c r="L1741" s="123"/>
      <c r="P1741" s="366"/>
      <c r="R1741" s="355"/>
      <c r="S1741" s="369"/>
      <c r="T1741" s="328"/>
      <c r="U1741" s="394" ph="1"/>
      <c r="W1741" s="216"/>
      <c r="X1741" s="245"/>
      <c r="Y1741" s="187"/>
      <c r="Z1741" s="245"/>
      <c r="AA1741" s="245"/>
      <c r="AB1741" s="332"/>
      <c r="AD1741" s="245"/>
      <c r="AE1741" s="245"/>
      <c r="AF1741" s="245"/>
      <c r="AG1741" s="245"/>
    </row>
    <row r="1742" spans="1:33" ht="26.4">
      <c r="A1742" s="391"/>
      <c r="B1742" s="245"/>
      <c r="C1742" s="245"/>
      <c r="D1742" s="245"/>
      <c r="E1742" s="245"/>
      <c r="F1742" s="319"/>
      <c r="G1742" s="245"/>
      <c r="H1742" s="245"/>
      <c r="I1742" s="245"/>
      <c r="L1742" s="123"/>
      <c r="P1742" s="366"/>
      <c r="R1742" s="355"/>
      <c r="T1742" s="328"/>
      <c r="U1742" s="394" ph="1"/>
      <c r="W1742" s="216"/>
      <c r="X1742" s="245"/>
      <c r="Y1742" s="187"/>
      <c r="Z1742" s="245"/>
      <c r="AA1742" s="245"/>
      <c r="AB1742" s="332"/>
      <c r="AD1742" s="245"/>
      <c r="AE1742" s="245"/>
      <c r="AF1742" s="245"/>
      <c r="AG1742" s="245"/>
    </row>
    <row r="1743" spans="1:33" ht="26.4">
      <c r="A1743" s="391"/>
      <c r="B1743" s="245"/>
      <c r="C1743" s="245"/>
      <c r="D1743" s="245"/>
      <c r="E1743" s="245"/>
      <c r="F1743" s="319"/>
      <c r="G1743" s="245"/>
      <c r="H1743" s="245"/>
      <c r="I1743" s="245"/>
      <c r="L1743" s="123"/>
      <c r="P1743" s="366"/>
      <c r="R1743" s="355"/>
      <c r="S1743" s="369"/>
      <c r="T1743" s="328"/>
      <c r="U1743" s="394" ph="1"/>
      <c r="W1743" s="216"/>
      <c r="X1743" s="245"/>
      <c r="Y1743" s="187"/>
      <c r="Z1743" s="245"/>
      <c r="AA1743" s="245"/>
      <c r="AB1743" s="332"/>
      <c r="AD1743" s="245"/>
      <c r="AE1743" s="245"/>
      <c r="AF1743" s="245"/>
      <c r="AG1743" s="245"/>
    </row>
    <row r="1744" spans="1:33" ht="26.4">
      <c r="A1744" s="391"/>
      <c r="B1744" s="245"/>
      <c r="C1744" s="245"/>
      <c r="D1744" s="245"/>
      <c r="E1744" s="245"/>
      <c r="F1744" s="319"/>
      <c r="G1744" s="245"/>
      <c r="H1744" s="245"/>
      <c r="I1744" s="245"/>
      <c r="L1744" s="123"/>
      <c r="P1744" s="366"/>
      <c r="R1744" s="355"/>
      <c r="S1744" s="369"/>
      <c r="T1744" s="328"/>
      <c r="U1744" s="394" ph="1"/>
      <c r="W1744" s="216"/>
      <c r="X1744" s="245"/>
      <c r="Y1744" s="187"/>
      <c r="Z1744" s="245"/>
      <c r="AA1744" s="245"/>
      <c r="AB1744" s="332"/>
      <c r="AD1744" s="245"/>
      <c r="AE1744" s="245"/>
      <c r="AF1744" s="245"/>
      <c r="AG1744" s="245"/>
    </row>
    <row r="1745" spans="1:33" ht="26.4">
      <c r="A1745" s="391"/>
      <c r="B1745" s="245"/>
      <c r="C1745" s="245"/>
      <c r="D1745" s="245"/>
      <c r="E1745" s="245"/>
      <c r="F1745" s="319"/>
      <c r="G1745" s="245"/>
      <c r="H1745" s="245"/>
      <c r="I1745" s="245"/>
      <c r="L1745" s="123"/>
      <c r="P1745" s="366"/>
      <c r="R1745" s="355"/>
      <c r="S1745" s="369"/>
      <c r="T1745" s="328"/>
      <c r="U1745" s="394" ph="1"/>
      <c r="W1745" s="216"/>
      <c r="X1745" s="245"/>
      <c r="Y1745" s="187"/>
      <c r="Z1745" s="245"/>
      <c r="AA1745" s="245"/>
      <c r="AB1745" s="332"/>
      <c r="AD1745" s="245"/>
      <c r="AE1745" s="245"/>
      <c r="AF1745" s="245"/>
      <c r="AG1745" s="245"/>
    </row>
    <row r="1746" spans="1:33" ht="26.4">
      <c r="A1746" s="391"/>
      <c r="B1746" s="245"/>
      <c r="C1746" s="245"/>
      <c r="D1746" s="245"/>
      <c r="E1746" s="245"/>
      <c r="F1746" s="319"/>
      <c r="G1746" s="245"/>
      <c r="H1746" s="245"/>
      <c r="I1746" s="245"/>
      <c r="L1746" s="123"/>
      <c r="P1746" s="366"/>
      <c r="R1746" s="355"/>
      <c r="S1746" s="369"/>
      <c r="T1746" s="328"/>
      <c r="U1746" s="394" ph="1"/>
      <c r="W1746" s="216"/>
      <c r="X1746" s="245"/>
      <c r="Y1746" s="187"/>
      <c r="Z1746" s="245"/>
      <c r="AA1746" s="245"/>
      <c r="AB1746" s="332"/>
      <c r="AD1746" s="245"/>
      <c r="AE1746" s="245"/>
      <c r="AF1746" s="245"/>
      <c r="AG1746" s="245"/>
    </row>
    <row r="1747" spans="1:33" ht="26.4">
      <c r="A1747" s="391"/>
      <c r="B1747" s="245"/>
      <c r="C1747" s="245"/>
      <c r="D1747" s="245"/>
      <c r="E1747" s="245"/>
      <c r="F1747" s="319"/>
      <c r="G1747" s="245"/>
      <c r="H1747" s="245"/>
      <c r="I1747" s="245"/>
      <c r="L1747" s="123"/>
      <c r="P1747" s="366"/>
      <c r="R1747" s="355"/>
      <c r="S1747" s="369"/>
      <c r="T1747" s="328"/>
      <c r="U1747" s="394" ph="1"/>
      <c r="W1747" s="216"/>
      <c r="X1747" s="245"/>
      <c r="Y1747" s="187"/>
      <c r="Z1747" s="245"/>
      <c r="AA1747" s="245"/>
      <c r="AB1747" s="332"/>
      <c r="AD1747" s="245"/>
      <c r="AE1747" s="245"/>
      <c r="AF1747" s="245"/>
      <c r="AG1747" s="245"/>
    </row>
    <row r="1748" spans="1:33" ht="26.4">
      <c r="A1748" s="391"/>
      <c r="B1748" s="245"/>
      <c r="C1748" s="245"/>
      <c r="D1748" s="245"/>
      <c r="E1748" s="245"/>
      <c r="F1748" s="319"/>
      <c r="G1748" s="245"/>
      <c r="H1748" s="245"/>
      <c r="I1748" s="245"/>
      <c r="L1748" s="123"/>
      <c r="P1748" s="366"/>
      <c r="R1748" s="355"/>
      <c r="S1748" s="369"/>
      <c r="T1748" s="328"/>
      <c r="U1748" s="394" ph="1"/>
      <c r="W1748" s="216"/>
      <c r="X1748" s="245"/>
      <c r="Y1748" s="187"/>
      <c r="Z1748" s="245"/>
      <c r="AA1748" s="245"/>
      <c r="AB1748" s="332"/>
      <c r="AD1748" s="245"/>
      <c r="AE1748" s="245"/>
      <c r="AF1748" s="245"/>
      <c r="AG1748" s="245"/>
    </row>
    <row r="1749" spans="1:33" ht="26.4">
      <c r="A1749" s="391"/>
      <c r="B1749" s="245"/>
      <c r="C1749" s="245"/>
      <c r="D1749" s="245"/>
      <c r="E1749" s="245"/>
      <c r="F1749" s="319"/>
      <c r="G1749" s="245"/>
      <c r="H1749" s="245"/>
      <c r="I1749" s="245"/>
      <c r="L1749" s="123"/>
      <c r="P1749" s="366"/>
      <c r="R1749" s="355"/>
      <c r="S1749" s="369"/>
      <c r="T1749" s="328"/>
      <c r="U1749" s="394" ph="1"/>
      <c r="W1749" s="216"/>
      <c r="X1749" s="245"/>
      <c r="Y1749" s="187"/>
      <c r="Z1749" s="245"/>
      <c r="AA1749" s="245"/>
      <c r="AB1749" s="332"/>
      <c r="AD1749" s="245"/>
      <c r="AE1749" s="245"/>
      <c r="AF1749" s="245"/>
      <c r="AG1749" s="245"/>
    </row>
    <row r="1750" spans="1:33" ht="26.4">
      <c r="A1750" s="391"/>
      <c r="B1750" s="245"/>
      <c r="C1750" s="245"/>
      <c r="D1750" s="245"/>
      <c r="E1750" s="245"/>
      <c r="F1750" s="319"/>
      <c r="G1750" s="245"/>
      <c r="H1750" s="245"/>
      <c r="I1750" s="245"/>
      <c r="L1750" s="120"/>
      <c r="P1750" s="366"/>
      <c r="R1750" s="355"/>
      <c r="S1750" s="369"/>
      <c r="T1750" s="328"/>
      <c r="U1750" s="394" ph="1"/>
      <c r="W1750" s="216"/>
      <c r="X1750" s="245"/>
      <c r="Y1750" s="187"/>
      <c r="Z1750" s="245"/>
      <c r="AA1750" s="245"/>
      <c r="AB1750" s="332"/>
      <c r="AD1750" s="245"/>
      <c r="AE1750" s="245"/>
      <c r="AF1750" s="245"/>
      <c r="AG1750" s="245"/>
    </row>
    <row r="1751" spans="1:33">
      <c r="L1751" s="123"/>
      <c r="P1751" s="366"/>
      <c r="R1751" s="355"/>
    </row>
    <row r="1752" spans="1:33" ht="26.4">
      <c r="A1752" s="391"/>
      <c r="B1752" s="245"/>
      <c r="C1752" s="245"/>
      <c r="D1752" s="245"/>
      <c r="E1752" s="245"/>
      <c r="F1752" s="319"/>
      <c r="G1752" s="245"/>
      <c r="H1752" s="245"/>
      <c r="I1752" s="245"/>
      <c r="L1752" s="123"/>
      <c r="P1752" s="366"/>
      <c r="R1752" s="355"/>
      <c r="S1752" s="369"/>
      <c r="T1752" s="328"/>
      <c r="U1752" s="394" ph="1"/>
      <c r="W1752" s="216"/>
      <c r="X1752" s="245"/>
      <c r="Y1752" s="187"/>
      <c r="Z1752" s="245"/>
      <c r="AA1752" s="245"/>
      <c r="AB1752" s="332"/>
      <c r="AD1752" s="245"/>
      <c r="AE1752" s="245"/>
      <c r="AF1752" s="245"/>
      <c r="AG1752" s="245"/>
    </row>
    <row r="1753" spans="1:33" ht="26.4">
      <c r="A1753" s="391"/>
      <c r="B1753" s="245"/>
      <c r="C1753" s="245"/>
      <c r="D1753" s="245"/>
      <c r="E1753" s="245"/>
      <c r="F1753" s="319"/>
      <c r="G1753" s="245"/>
      <c r="H1753" s="245"/>
      <c r="I1753" s="245"/>
      <c r="L1753" s="123"/>
      <c r="P1753" s="366"/>
      <c r="R1753" s="355"/>
      <c r="S1753" s="369"/>
      <c r="T1753" s="328"/>
      <c r="U1753" s="394" ph="1"/>
      <c r="W1753" s="216"/>
      <c r="X1753" s="245"/>
      <c r="Y1753" s="187"/>
      <c r="Z1753" s="245"/>
      <c r="AA1753" s="245"/>
      <c r="AB1753" s="332"/>
      <c r="AD1753" s="245"/>
      <c r="AE1753" s="245"/>
      <c r="AF1753" s="245"/>
      <c r="AG1753" s="245"/>
    </row>
    <row r="1754" spans="1:33" ht="26.4">
      <c r="A1754" s="391"/>
      <c r="B1754" s="245"/>
      <c r="C1754" s="245"/>
      <c r="D1754" s="245"/>
      <c r="E1754" s="245"/>
      <c r="F1754" s="319"/>
      <c r="G1754" s="245"/>
      <c r="H1754" s="245"/>
      <c r="I1754" s="245"/>
      <c r="L1754" s="123"/>
      <c r="P1754" s="366"/>
      <c r="R1754" s="355"/>
      <c r="S1754" s="369"/>
      <c r="T1754" s="328"/>
      <c r="U1754" s="394" ph="1"/>
      <c r="W1754" s="216"/>
      <c r="X1754" s="245"/>
      <c r="Y1754" s="187"/>
      <c r="Z1754" s="245"/>
      <c r="AA1754" s="245"/>
      <c r="AB1754" s="332"/>
      <c r="AD1754" s="245"/>
      <c r="AE1754" s="245"/>
      <c r="AF1754" s="245"/>
      <c r="AG1754" s="245"/>
    </row>
    <row r="1755" spans="1:33" ht="26.4">
      <c r="A1755" s="391"/>
      <c r="B1755" s="245"/>
      <c r="C1755" s="245"/>
      <c r="D1755" s="245"/>
      <c r="E1755" s="245"/>
      <c r="F1755" s="319"/>
      <c r="G1755" s="245"/>
      <c r="H1755" s="245"/>
      <c r="I1755" s="245"/>
      <c r="L1755" s="123"/>
      <c r="P1755" s="366"/>
      <c r="R1755" s="355"/>
      <c r="S1755" s="369"/>
      <c r="T1755" s="328"/>
      <c r="U1755" s="394" ph="1"/>
      <c r="W1755" s="216"/>
      <c r="X1755" s="245"/>
      <c r="Y1755" s="187"/>
      <c r="Z1755" s="245"/>
      <c r="AA1755" s="245"/>
      <c r="AB1755" s="332"/>
      <c r="AD1755" s="245"/>
      <c r="AE1755" s="245"/>
      <c r="AF1755" s="245"/>
      <c r="AG1755" s="245"/>
    </row>
    <row r="1756" spans="1:33" ht="26.4">
      <c r="A1756" s="391"/>
      <c r="B1756" s="245"/>
      <c r="C1756" s="245"/>
      <c r="D1756" s="245"/>
      <c r="E1756" s="245"/>
      <c r="F1756" s="319"/>
      <c r="G1756" s="245"/>
      <c r="H1756" s="245"/>
      <c r="I1756" s="245"/>
      <c r="L1756" s="123"/>
      <c r="P1756" s="366"/>
      <c r="R1756" s="355"/>
      <c r="S1756" s="369"/>
      <c r="T1756" s="328"/>
      <c r="U1756" s="394" ph="1"/>
      <c r="W1756" s="216"/>
      <c r="X1756" s="245"/>
      <c r="Y1756" s="187"/>
      <c r="Z1756" s="245"/>
      <c r="AA1756" s="245"/>
      <c r="AB1756" s="332"/>
      <c r="AD1756" s="245"/>
      <c r="AE1756" s="245"/>
      <c r="AF1756" s="245"/>
      <c r="AG1756" s="245"/>
    </row>
    <row r="1757" spans="1:33" ht="26.4">
      <c r="A1757" s="391"/>
      <c r="B1757" s="245"/>
      <c r="C1757" s="245"/>
      <c r="D1757" s="245"/>
      <c r="E1757" s="245"/>
      <c r="F1757" s="319"/>
      <c r="G1757" s="245"/>
      <c r="H1757" s="245"/>
      <c r="I1757" s="245"/>
      <c r="L1757" s="123"/>
      <c r="P1757" s="366"/>
      <c r="R1757" s="355"/>
      <c r="S1757" s="369"/>
      <c r="T1757" s="328"/>
      <c r="U1757" s="394" ph="1"/>
      <c r="W1757" s="216"/>
      <c r="X1757" s="245"/>
      <c r="Y1757" s="187"/>
      <c r="Z1757" s="245"/>
      <c r="AA1757" s="245"/>
      <c r="AB1757" s="332"/>
      <c r="AD1757" s="245"/>
      <c r="AE1757" s="245"/>
      <c r="AF1757" s="245"/>
      <c r="AG1757" s="245"/>
    </row>
    <row r="1758" spans="1:33" ht="26.4">
      <c r="A1758" s="391"/>
      <c r="B1758" s="245"/>
      <c r="C1758" s="245"/>
      <c r="D1758" s="245"/>
      <c r="E1758" s="245"/>
      <c r="F1758" s="319"/>
      <c r="G1758" s="245"/>
      <c r="H1758" s="245"/>
      <c r="I1758" s="245"/>
      <c r="L1758" s="123"/>
      <c r="P1758" s="366"/>
      <c r="R1758" s="355"/>
      <c r="S1758" s="369"/>
      <c r="T1758" s="328"/>
      <c r="U1758" s="394" ph="1"/>
      <c r="W1758" s="216"/>
      <c r="X1758" s="245"/>
      <c r="Y1758" s="187"/>
      <c r="Z1758" s="245"/>
      <c r="AA1758" s="245"/>
      <c r="AB1758" s="332"/>
      <c r="AD1758" s="245"/>
      <c r="AE1758" s="245"/>
      <c r="AF1758" s="245"/>
      <c r="AG1758" s="245"/>
    </row>
    <row r="1759" spans="1:33" ht="26.4">
      <c r="A1759" s="391"/>
      <c r="B1759" s="245"/>
      <c r="C1759" s="245"/>
      <c r="D1759" s="245"/>
      <c r="E1759" s="245"/>
      <c r="F1759" s="319"/>
      <c r="G1759" s="245"/>
      <c r="H1759" s="245"/>
      <c r="I1759" s="245"/>
      <c r="L1759" s="123"/>
      <c r="P1759" s="366"/>
      <c r="R1759" s="355"/>
      <c r="S1759" s="369"/>
      <c r="T1759" s="328"/>
      <c r="U1759" s="394" ph="1"/>
      <c r="W1759" s="216"/>
      <c r="X1759" s="245"/>
      <c r="Y1759" s="187"/>
      <c r="Z1759" s="245"/>
      <c r="AA1759" s="245"/>
      <c r="AB1759" s="332"/>
      <c r="AD1759" s="245"/>
      <c r="AE1759" s="245"/>
      <c r="AF1759" s="245"/>
      <c r="AG1759" s="245"/>
    </row>
    <row r="1760" spans="1:33">
      <c r="L1760" s="123"/>
      <c r="P1760" s="366"/>
      <c r="R1760" s="355"/>
      <c r="S1760" s="369"/>
    </row>
    <row r="1761" spans="1:33" ht="26.4">
      <c r="A1761" s="391"/>
      <c r="B1761" s="245"/>
      <c r="C1761" s="245"/>
      <c r="D1761" s="245"/>
      <c r="E1761" s="245"/>
      <c r="F1761" s="319"/>
      <c r="G1761" s="245"/>
      <c r="H1761" s="245"/>
      <c r="I1761" s="245"/>
      <c r="L1761" s="123"/>
      <c r="P1761" s="366"/>
      <c r="R1761" s="355"/>
      <c r="S1761" s="369"/>
      <c r="T1761" s="328"/>
      <c r="U1761" s="394" ph="1"/>
      <c r="W1761" s="216"/>
      <c r="X1761" s="245"/>
      <c r="Y1761" s="187"/>
      <c r="Z1761" s="245"/>
      <c r="AA1761" s="245"/>
      <c r="AB1761" s="332"/>
      <c r="AD1761" s="245"/>
      <c r="AE1761" s="245"/>
      <c r="AF1761" s="245"/>
      <c r="AG1761" s="245"/>
    </row>
    <row r="1762" spans="1:33" ht="26.4">
      <c r="A1762" s="391"/>
      <c r="B1762" s="245"/>
      <c r="C1762" s="245"/>
      <c r="D1762" s="245"/>
      <c r="E1762" s="245"/>
      <c r="F1762" s="319"/>
      <c r="G1762" s="245"/>
      <c r="H1762" s="245"/>
      <c r="I1762" s="245"/>
      <c r="L1762" s="123"/>
      <c r="P1762" s="366"/>
      <c r="R1762" s="355"/>
      <c r="S1762" s="369"/>
      <c r="T1762" s="328"/>
      <c r="U1762" s="394" ph="1"/>
      <c r="W1762" s="216"/>
      <c r="X1762" s="245"/>
      <c r="Y1762" s="187"/>
      <c r="Z1762" s="245"/>
      <c r="AA1762" s="245"/>
      <c r="AB1762" s="332"/>
      <c r="AD1762" s="245"/>
      <c r="AE1762" s="245"/>
      <c r="AF1762" s="245"/>
      <c r="AG1762" s="245"/>
    </row>
    <row r="1763" spans="1:33" ht="26.4">
      <c r="A1763" s="391"/>
      <c r="B1763" s="245"/>
      <c r="C1763" s="245"/>
      <c r="D1763" s="245"/>
      <c r="E1763" s="245"/>
      <c r="F1763" s="319"/>
      <c r="G1763" s="245"/>
      <c r="H1763" s="245"/>
      <c r="I1763" s="245"/>
      <c r="L1763" s="123"/>
      <c r="P1763" s="366"/>
      <c r="R1763" s="355"/>
      <c r="T1763" s="328"/>
      <c r="U1763" s="394" ph="1"/>
      <c r="W1763" s="216"/>
      <c r="X1763" s="245"/>
      <c r="Y1763" s="187"/>
      <c r="Z1763" s="245"/>
      <c r="AA1763" s="245"/>
      <c r="AB1763" s="332"/>
      <c r="AD1763" s="245"/>
      <c r="AE1763" s="245"/>
      <c r="AF1763" s="245"/>
      <c r="AG1763" s="245"/>
    </row>
    <row r="1764" spans="1:33" ht="26.4">
      <c r="A1764" s="391"/>
      <c r="B1764" s="245"/>
      <c r="C1764" s="245"/>
      <c r="D1764" s="245"/>
      <c r="E1764" s="245"/>
      <c r="F1764" s="319"/>
      <c r="G1764" s="245"/>
      <c r="H1764" s="245"/>
      <c r="I1764" s="245"/>
      <c r="L1764" s="245"/>
      <c r="P1764" s="366"/>
      <c r="R1764" s="355"/>
      <c r="S1764" s="369"/>
      <c r="T1764" s="328"/>
      <c r="U1764" s="394" ph="1"/>
      <c r="W1764" s="216"/>
      <c r="X1764" s="245"/>
      <c r="Y1764" s="187"/>
      <c r="Z1764" s="245"/>
      <c r="AA1764" s="245"/>
      <c r="AB1764" s="332"/>
      <c r="AD1764" s="245"/>
      <c r="AE1764" s="245"/>
      <c r="AF1764" s="245"/>
      <c r="AG1764" s="245"/>
    </row>
    <row r="1765" spans="1:33" ht="26.4">
      <c r="A1765" s="391"/>
      <c r="B1765" s="245"/>
      <c r="C1765" s="245"/>
      <c r="D1765" s="245"/>
      <c r="E1765" s="245"/>
      <c r="F1765" s="319"/>
      <c r="G1765" s="245"/>
      <c r="H1765" s="245"/>
      <c r="I1765" s="245"/>
      <c r="L1765" s="123"/>
      <c r="P1765" s="366"/>
      <c r="R1765" s="355"/>
      <c r="S1765" s="369"/>
      <c r="T1765" s="328"/>
      <c r="U1765" s="394" ph="1"/>
      <c r="W1765" s="216"/>
      <c r="X1765" s="245"/>
      <c r="Y1765" s="187"/>
      <c r="Z1765" s="245"/>
      <c r="AA1765" s="245"/>
      <c r="AB1765" s="332"/>
      <c r="AD1765" s="245"/>
      <c r="AE1765" s="245"/>
      <c r="AF1765" s="245"/>
      <c r="AG1765" s="245"/>
    </row>
    <row r="1766" spans="1:33" ht="26.4">
      <c r="A1766" s="391"/>
      <c r="B1766" s="245"/>
      <c r="C1766" s="245"/>
      <c r="D1766" s="245"/>
      <c r="E1766" s="245"/>
      <c r="F1766" s="319"/>
      <c r="G1766" s="245"/>
      <c r="H1766" s="245"/>
      <c r="I1766" s="245"/>
      <c r="L1766" s="123"/>
      <c r="P1766" s="366"/>
      <c r="R1766" s="355"/>
      <c r="S1766" s="369"/>
      <c r="T1766" s="328"/>
      <c r="U1766" s="394" ph="1"/>
      <c r="W1766" s="216"/>
      <c r="X1766" s="245"/>
      <c r="Y1766" s="187"/>
      <c r="Z1766" s="245"/>
      <c r="AA1766" s="245"/>
      <c r="AB1766" s="332"/>
      <c r="AD1766" s="245"/>
      <c r="AE1766" s="245"/>
      <c r="AF1766" s="245"/>
      <c r="AG1766" s="245"/>
    </row>
    <row r="1767" spans="1:33" ht="26.4">
      <c r="A1767" s="391"/>
      <c r="B1767" s="245"/>
      <c r="C1767" s="245"/>
      <c r="D1767" s="245"/>
      <c r="E1767" s="245"/>
      <c r="F1767" s="319"/>
      <c r="G1767" s="245"/>
      <c r="H1767" s="245"/>
      <c r="I1767" s="245"/>
      <c r="L1767" s="123"/>
      <c r="P1767" s="366"/>
      <c r="R1767" s="355"/>
      <c r="S1767" s="369"/>
      <c r="T1767" s="328"/>
      <c r="U1767" s="394" ph="1"/>
      <c r="W1767" s="216"/>
      <c r="X1767" s="245"/>
      <c r="Y1767" s="187"/>
      <c r="Z1767" s="245"/>
      <c r="AA1767" s="245"/>
      <c r="AB1767" s="332"/>
      <c r="AD1767" s="245"/>
      <c r="AE1767" s="245"/>
      <c r="AF1767" s="245"/>
      <c r="AG1767" s="245"/>
    </row>
    <row r="1768" spans="1:33" ht="26.4">
      <c r="A1768" s="391"/>
      <c r="B1768" s="245"/>
      <c r="C1768" s="245"/>
      <c r="D1768" s="245"/>
      <c r="E1768" s="245"/>
      <c r="F1768" s="319"/>
      <c r="G1768" s="245"/>
      <c r="H1768" s="245"/>
      <c r="I1768" s="245"/>
      <c r="L1768" s="123"/>
      <c r="P1768" s="366"/>
      <c r="R1768" s="355"/>
      <c r="S1768" s="369"/>
      <c r="T1768" s="328"/>
      <c r="U1768" s="394" ph="1"/>
      <c r="W1768" s="216"/>
      <c r="X1768" s="245"/>
      <c r="Y1768" s="187"/>
      <c r="Z1768" s="245"/>
      <c r="AA1768" s="245"/>
      <c r="AB1768" s="332"/>
      <c r="AD1768" s="245"/>
      <c r="AE1768" s="245"/>
      <c r="AF1768" s="245"/>
      <c r="AG1768" s="245"/>
    </row>
    <row r="1769" spans="1:33" ht="26.4">
      <c r="A1769" s="391"/>
      <c r="B1769" s="245"/>
      <c r="C1769" s="245"/>
      <c r="D1769" s="245"/>
      <c r="E1769" s="245"/>
      <c r="F1769" s="319"/>
      <c r="G1769" s="245"/>
      <c r="H1769" s="245"/>
      <c r="I1769" s="245"/>
      <c r="L1769" s="123"/>
      <c r="P1769" s="366"/>
      <c r="R1769" s="355"/>
      <c r="S1769" s="369"/>
      <c r="T1769" s="328"/>
      <c r="U1769" s="394" ph="1"/>
      <c r="W1769" s="216"/>
      <c r="X1769" s="245"/>
      <c r="Y1769" s="187"/>
      <c r="Z1769" s="245"/>
      <c r="AA1769" s="245"/>
      <c r="AB1769" s="332"/>
      <c r="AD1769" s="245"/>
      <c r="AE1769" s="245"/>
      <c r="AF1769" s="245"/>
      <c r="AG1769" s="245"/>
    </row>
    <row r="1770" spans="1:33" ht="26.4">
      <c r="A1770" s="391"/>
      <c r="B1770" s="245"/>
      <c r="C1770" s="245"/>
      <c r="D1770" s="245"/>
      <c r="E1770" s="245"/>
      <c r="F1770" s="319"/>
      <c r="G1770" s="245"/>
      <c r="H1770" s="245"/>
      <c r="I1770" s="245"/>
      <c r="L1770" s="123"/>
      <c r="P1770" s="366"/>
      <c r="R1770" s="355"/>
      <c r="S1770" s="369"/>
      <c r="T1770" s="328"/>
      <c r="U1770" s="394" ph="1"/>
      <c r="W1770" s="216"/>
      <c r="X1770" s="245"/>
      <c r="Y1770" s="187"/>
      <c r="Z1770" s="245"/>
      <c r="AA1770" s="245"/>
      <c r="AB1770" s="332"/>
      <c r="AD1770" s="245"/>
      <c r="AE1770" s="245"/>
      <c r="AF1770" s="245"/>
      <c r="AG1770" s="245"/>
    </row>
    <row r="1771" spans="1:33" ht="26.4">
      <c r="A1771" s="391"/>
      <c r="B1771" s="245"/>
      <c r="C1771" s="245"/>
      <c r="D1771" s="245"/>
      <c r="E1771" s="245"/>
      <c r="F1771" s="319"/>
      <c r="G1771" s="245"/>
      <c r="H1771" s="245"/>
      <c r="I1771" s="245"/>
      <c r="L1771" s="123"/>
      <c r="P1771" s="366"/>
      <c r="R1771" s="355"/>
      <c r="S1771" s="369"/>
      <c r="T1771" s="328"/>
      <c r="U1771" s="394" ph="1"/>
      <c r="W1771" s="216"/>
      <c r="X1771" s="245"/>
      <c r="Y1771" s="187"/>
      <c r="Z1771" s="245"/>
      <c r="AA1771" s="245"/>
      <c r="AB1771" s="332"/>
      <c r="AD1771" s="245"/>
      <c r="AE1771" s="245"/>
      <c r="AF1771" s="245"/>
      <c r="AG1771" s="245"/>
    </row>
    <row r="1772" spans="1:33" ht="26.4">
      <c r="A1772" s="391"/>
      <c r="B1772" s="245"/>
      <c r="C1772" s="245"/>
      <c r="D1772" s="245"/>
      <c r="E1772" s="245"/>
      <c r="F1772" s="319"/>
      <c r="G1772" s="245"/>
      <c r="H1772" s="245"/>
      <c r="I1772" s="245"/>
      <c r="L1772" s="123"/>
      <c r="P1772" s="366"/>
      <c r="R1772" s="355"/>
      <c r="T1772" s="328"/>
      <c r="U1772" s="394" ph="1"/>
      <c r="W1772" s="216"/>
      <c r="X1772" s="245"/>
      <c r="Y1772" s="187"/>
      <c r="Z1772" s="245"/>
      <c r="AA1772" s="245"/>
      <c r="AB1772" s="332"/>
      <c r="AD1772" s="245"/>
      <c r="AE1772" s="245"/>
      <c r="AF1772" s="245"/>
      <c r="AG1772" s="245"/>
    </row>
    <row r="1773" spans="1:33" ht="26.4">
      <c r="A1773" s="391"/>
      <c r="B1773" s="245"/>
      <c r="C1773" s="245"/>
      <c r="D1773" s="245"/>
      <c r="E1773" s="245"/>
      <c r="F1773" s="319"/>
      <c r="G1773" s="245"/>
      <c r="H1773" s="245"/>
      <c r="I1773" s="245"/>
      <c r="L1773" s="123"/>
      <c r="P1773" s="366"/>
      <c r="R1773" s="355"/>
      <c r="S1773" s="369"/>
      <c r="T1773" s="328"/>
      <c r="U1773" s="394" ph="1"/>
      <c r="W1773" s="216"/>
      <c r="X1773" s="245"/>
      <c r="Y1773" s="187"/>
      <c r="Z1773" s="245"/>
      <c r="AA1773" s="245"/>
      <c r="AB1773" s="332"/>
      <c r="AD1773" s="245"/>
      <c r="AE1773" s="245"/>
      <c r="AF1773" s="245"/>
      <c r="AG1773" s="245"/>
    </row>
    <row r="1774" spans="1:33" ht="26.4">
      <c r="A1774" s="391"/>
      <c r="B1774" s="245"/>
      <c r="C1774" s="245"/>
      <c r="D1774" s="245"/>
      <c r="E1774" s="245"/>
      <c r="F1774" s="319"/>
      <c r="G1774" s="245"/>
      <c r="H1774" s="245"/>
      <c r="I1774" s="245"/>
      <c r="L1774" s="123"/>
      <c r="P1774" s="366"/>
      <c r="R1774" s="355"/>
      <c r="S1774" s="369"/>
      <c r="T1774" s="328"/>
      <c r="U1774" s="394" ph="1"/>
      <c r="W1774" s="216"/>
      <c r="X1774" s="245"/>
      <c r="Y1774" s="187"/>
      <c r="Z1774" s="245"/>
      <c r="AA1774" s="245"/>
      <c r="AB1774" s="332"/>
      <c r="AD1774" s="245"/>
      <c r="AE1774" s="245"/>
      <c r="AF1774" s="245"/>
      <c r="AG1774" s="245"/>
    </row>
    <row r="1775" spans="1:33" ht="26.4">
      <c r="A1775" s="391"/>
      <c r="B1775" s="245"/>
      <c r="C1775" s="245"/>
      <c r="D1775" s="245"/>
      <c r="E1775" s="245"/>
      <c r="F1775" s="319"/>
      <c r="G1775" s="245"/>
      <c r="H1775" s="245"/>
      <c r="I1775" s="245"/>
      <c r="L1775" s="123"/>
      <c r="P1775" s="366"/>
      <c r="R1775" s="355"/>
      <c r="S1775" s="369"/>
      <c r="T1775" s="328"/>
      <c r="U1775" s="394" ph="1"/>
      <c r="W1775" s="216"/>
      <c r="X1775" s="245"/>
      <c r="Y1775" s="187"/>
      <c r="Z1775" s="245"/>
      <c r="AA1775" s="245"/>
      <c r="AB1775" s="332"/>
      <c r="AD1775" s="245"/>
      <c r="AE1775" s="245"/>
      <c r="AF1775" s="245"/>
      <c r="AG1775" s="245"/>
    </row>
    <row r="1776" spans="1:33" ht="26.4">
      <c r="A1776" s="391"/>
      <c r="B1776" s="245"/>
      <c r="C1776" s="245"/>
      <c r="D1776" s="245"/>
      <c r="E1776" s="245"/>
      <c r="F1776" s="319"/>
      <c r="G1776" s="245"/>
      <c r="H1776" s="245"/>
      <c r="I1776" s="245"/>
      <c r="L1776" s="123"/>
      <c r="P1776" s="366"/>
      <c r="R1776" s="355"/>
      <c r="S1776" s="369"/>
      <c r="T1776" s="328"/>
      <c r="U1776" s="394" ph="1"/>
      <c r="W1776" s="216"/>
      <c r="X1776" s="245"/>
      <c r="Y1776" s="187"/>
      <c r="Z1776" s="245"/>
      <c r="AA1776" s="245"/>
      <c r="AB1776" s="332"/>
      <c r="AD1776" s="245"/>
      <c r="AE1776" s="245"/>
      <c r="AF1776" s="245"/>
      <c r="AG1776" s="245"/>
    </row>
    <row r="1777" spans="1:33" ht="26.4">
      <c r="A1777" s="391"/>
      <c r="B1777" s="245"/>
      <c r="C1777" s="245"/>
      <c r="D1777" s="245"/>
      <c r="E1777" s="245"/>
      <c r="F1777" s="319"/>
      <c r="G1777" s="245"/>
      <c r="H1777" s="245"/>
      <c r="I1777" s="245"/>
      <c r="L1777" s="123"/>
      <c r="P1777" s="366"/>
      <c r="R1777" s="355"/>
      <c r="S1777" s="369"/>
      <c r="T1777" s="328"/>
      <c r="U1777" s="394" ph="1"/>
      <c r="W1777" s="216"/>
      <c r="X1777" s="245"/>
      <c r="Y1777" s="187"/>
      <c r="Z1777" s="245"/>
      <c r="AA1777" s="245"/>
      <c r="AB1777" s="332"/>
      <c r="AD1777" s="245"/>
      <c r="AE1777" s="245"/>
      <c r="AF1777" s="245"/>
      <c r="AG1777" s="245"/>
    </row>
    <row r="1778" spans="1:33" ht="26.4">
      <c r="A1778" s="391"/>
      <c r="B1778" s="245"/>
      <c r="C1778" s="245"/>
      <c r="D1778" s="245"/>
      <c r="E1778" s="245"/>
      <c r="F1778" s="319"/>
      <c r="G1778" s="245"/>
      <c r="H1778" s="245"/>
      <c r="I1778" s="245"/>
      <c r="L1778" s="123"/>
      <c r="P1778" s="366"/>
      <c r="R1778" s="355"/>
      <c r="S1778" s="369"/>
      <c r="T1778" s="328"/>
      <c r="U1778" s="394" ph="1"/>
      <c r="W1778" s="216"/>
      <c r="X1778" s="245"/>
      <c r="Y1778" s="187"/>
      <c r="Z1778" s="245"/>
      <c r="AA1778" s="245"/>
      <c r="AB1778" s="332"/>
      <c r="AD1778" s="245"/>
      <c r="AE1778" s="245"/>
      <c r="AF1778" s="245"/>
      <c r="AG1778" s="245"/>
    </row>
    <row r="1779" spans="1:33" ht="26.4">
      <c r="A1779" s="391"/>
      <c r="B1779" s="245"/>
      <c r="C1779" s="245"/>
      <c r="D1779" s="245"/>
      <c r="E1779" s="245"/>
      <c r="F1779" s="319"/>
      <c r="G1779" s="245"/>
      <c r="H1779" s="245"/>
      <c r="I1779" s="245"/>
      <c r="L1779" s="27"/>
      <c r="P1779" s="366"/>
      <c r="R1779" s="355"/>
      <c r="S1779" s="369"/>
      <c r="T1779" s="328"/>
      <c r="U1779" s="394" ph="1"/>
      <c r="W1779" s="216"/>
      <c r="X1779" s="245"/>
      <c r="Y1779" s="187"/>
      <c r="Z1779" s="245"/>
      <c r="AA1779" s="245"/>
      <c r="AB1779" s="332"/>
      <c r="AD1779" s="245"/>
      <c r="AE1779" s="245"/>
      <c r="AF1779" s="245"/>
      <c r="AG1779" s="245"/>
    </row>
    <row r="1780" spans="1:33" ht="26.4">
      <c r="A1780" s="391"/>
      <c r="B1780" s="245"/>
      <c r="C1780" s="245"/>
      <c r="D1780" s="245"/>
      <c r="E1780" s="245"/>
      <c r="F1780" s="319"/>
      <c r="G1780" s="245"/>
      <c r="H1780" s="245"/>
      <c r="I1780" s="245"/>
      <c r="L1780" s="123"/>
      <c r="P1780" s="366"/>
      <c r="R1780" s="355"/>
      <c r="S1780" s="369"/>
      <c r="T1780" s="328"/>
      <c r="U1780" s="394" ph="1"/>
      <c r="W1780" s="216"/>
      <c r="X1780" s="245"/>
      <c r="Y1780" s="187"/>
      <c r="Z1780" s="245"/>
      <c r="AA1780" s="245"/>
      <c r="AB1780" s="332"/>
      <c r="AD1780" s="245"/>
      <c r="AE1780" s="245"/>
      <c r="AF1780" s="245"/>
      <c r="AG1780" s="245"/>
    </row>
    <row r="1781" spans="1:33" ht="26.4">
      <c r="A1781" s="391"/>
      <c r="B1781" s="245"/>
      <c r="C1781" s="245"/>
      <c r="D1781" s="245"/>
      <c r="E1781" s="245"/>
      <c r="F1781" s="319"/>
      <c r="G1781" s="245"/>
      <c r="H1781" s="245"/>
      <c r="I1781" s="245"/>
      <c r="L1781" s="123"/>
      <c r="P1781" s="366"/>
      <c r="R1781" s="355"/>
      <c r="S1781" s="369"/>
      <c r="T1781" s="328"/>
      <c r="U1781" s="394" ph="1"/>
      <c r="W1781" s="216"/>
      <c r="X1781" s="245"/>
      <c r="Y1781" s="187"/>
      <c r="Z1781" s="245"/>
      <c r="AA1781" s="245"/>
      <c r="AB1781" s="332"/>
      <c r="AD1781" s="245"/>
      <c r="AE1781" s="245"/>
      <c r="AF1781" s="245"/>
      <c r="AG1781" s="245"/>
    </row>
    <row r="1782" spans="1:33" ht="26.4">
      <c r="A1782" s="391"/>
      <c r="B1782" s="245"/>
      <c r="C1782" s="245"/>
      <c r="D1782" s="245"/>
      <c r="E1782" s="245"/>
      <c r="F1782" s="319"/>
      <c r="G1782" s="245"/>
      <c r="H1782" s="245"/>
      <c r="I1782" s="245"/>
      <c r="L1782" s="123"/>
      <c r="P1782" s="366"/>
      <c r="R1782" s="355"/>
      <c r="S1782" s="369"/>
      <c r="T1782" s="328"/>
      <c r="U1782" s="394" ph="1"/>
      <c r="W1782" s="216"/>
      <c r="X1782" s="245"/>
      <c r="Y1782" s="187"/>
      <c r="Z1782" s="245"/>
      <c r="AA1782" s="245"/>
      <c r="AB1782" s="332"/>
      <c r="AD1782" s="245"/>
      <c r="AE1782" s="245"/>
      <c r="AF1782" s="245"/>
      <c r="AG1782" s="245"/>
    </row>
    <row r="1783" spans="1:33" ht="26.4">
      <c r="A1783" s="391"/>
      <c r="B1783" s="245"/>
      <c r="C1783" s="245"/>
      <c r="D1783" s="245"/>
      <c r="E1783" s="245"/>
      <c r="F1783" s="319"/>
      <c r="G1783" s="245"/>
      <c r="H1783" s="245"/>
      <c r="I1783" s="245"/>
      <c r="L1783" s="123"/>
      <c r="P1783" s="366"/>
      <c r="R1783" s="355"/>
      <c r="S1783" s="369"/>
      <c r="T1783" s="328"/>
      <c r="U1783" s="394" ph="1"/>
      <c r="W1783" s="216"/>
      <c r="X1783" s="245"/>
      <c r="Y1783" s="187"/>
      <c r="Z1783" s="245"/>
      <c r="AA1783" s="245"/>
      <c r="AB1783" s="332"/>
      <c r="AD1783" s="245"/>
      <c r="AE1783" s="245"/>
      <c r="AF1783" s="245"/>
      <c r="AG1783" s="245"/>
    </row>
    <row r="1784" spans="1:33" ht="26.4">
      <c r="A1784" s="391"/>
      <c r="B1784" s="245"/>
      <c r="C1784" s="245"/>
      <c r="D1784" s="245"/>
      <c r="E1784" s="245"/>
      <c r="F1784" s="319"/>
      <c r="G1784" s="245"/>
      <c r="H1784" s="245"/>
      <c r="I1784" s="245"/>
      <c r="L1784" s="123"/>
      <c r="P1784" s="366"/>
      <c r="R1784" s="355"/>
      <c r="S1784" s="369"/>
      <c r="T1784" s="328"/>
      <c r="U1784" s="394" ph="1"/>
      <c r="W1784" s="216"/>
      <c r="X1784" s="245"/>
      <c r="Y1784" s="187"/>
      <c r="Z1784" s="245"/>
      <c r="AA1784" s="245"/>
      <c r="AB1784" s="332"/>
      <c r="AD1784" s="245"/>
      <c r="AE1784" s="245"/>
      <c r="AF1784" s="245"/>
      <c r="AG1784" s="245"/>
    </row>
    <row r="1785" spans="1:33" ht="26.4">
      <c r="A1785" s="391"/>
      <c r="B1785" s="245"/>
      <c r="C1785" s="245"/>
      <c r="D1785" s="245"/>
      <c r="E1785" s="245"/>
      <c r="F1785" s="319"/>
      <c r="G1785" s="245"/>
      <c r="H1785" s="245"/>
      <c r="I1785" s="245"/>
      <c r="L1785" s="123"/>
      <c r="P1785" s="366"/>
      <c r="R1785" s="355"/>
      <c r="S1785" s="369"/>
      <c r="T1785" s="328"/>
      <c r="U1785" s="394" ph="1"/>
      <c r="W1785" s="216"/>
      <c r="X1785" s="245"/>
      <c r="Y1785" s="187"/>
      <c r="Z1785" s="245"/>
      <c r="AA1785" s="245"/>
      <c r="AB1785" s="332"/>
      <c r="AD1785" s="245"/>
      <c r="AE1785" s="245"/>
      <c r="AF1785" s="245"/>
      <c r="AG1785" s="245"/>
    </row>
    <row r="1786" spans="1:33" ht="26.4">
      <c r="A1786" s="391"/>
      <c r="B1786" s="245"/>
      <c r="C1786" s="245"/>
      <c r="D1786" s="245"/>
      <c r="E1786" s="245"/>
      <c r="F1786" s="319"/>
      <c r="G1786" s="245"/>
      <c r="H1786" s="245"/>
      <c r="I1786" s="245"/>
      <c r="L1786" s="123"/>
      <c r="P1786" s="366"/>
      <c r="R1786" s="355"/>
      <c r="S1786" s="369"/>
      <c r="T1786" s="328"/>
      <c r="U1786" s="394" ph="1"/>
      <c r="W1786" s="216"/>
      <c r="X1786" s="245"/>
      <c r="Y1786" s="187"/>
      <c r="Z1786" s="245"/>
      <c r="AA1786" s="245"/>
      <c r="AB1786" s="332"/>
      <c r="AD1786" s="245"/>
      <c r="AE1786" s="245"/>
      <c r="AF1786" s="245"/>
      <c r="AG1786" s="245"/>
    </row>
    <row r="1787" spans="1:33" ht="26.4">
      <c r="A1787" s="391"/>
      <c r="B1787" s="245"/>
      <c r="C1787" s="245"/>
      <c r="D1787" s="245"/>
      <c r="E1787" s="245"/>
      <c r="F1787" s="319"/>
      <c r="G1787" s="245"/>
      <c r="H1787" s="245"/>
      <c r="I1787" s="245"/>
      <c r="L1787" s="123"/>
      <c r="P1787" s="366"/>
      <c r="R1787" s="355"/>
      <c r="S1787" s="369"/>
      <c r="T1787" s="328"/>
      <c r="U1787" s="394" ph="1"/>
      <c r="W1787" s="216"/>
      <c r="X1787" s="245"/>
      <c r="Y1787" s="187"/>
      <c r="Z1787" s="245"/>
      <c r="AA1787" s="245"/>
      <c r="AB1787" s="332"/>
      <c r="AD1787" s="245"/>
      <c r="AE1787" s="245"/>
      <c r="AF1787" s="245"/>
      <c r="AG1787" s="245"/>
    </row>
    <row r="1788" spans="1:33" ht="26.4">
      <c r="A1788" s="391"/>
      <c r="B1788" s="245"/>
      <c r="C1788" s="245"/>
      <c r="D1788" s="245"/>
      <c r="E1788" s="245"/>
      <c r="F1788" s="319"/>
      <c r="G1788" s="245"/>
      <c r="H1788" s="245"/>
      <c r="I1788" s="245"/>
      <c r="L1788" s="123"/>
      <c r="P1788" s="366"/>
      <c r="R1788" s="355"/>
      <c r="S1788" s="369"/>
      <c r="T1788" s="328"/>
      <c r="U1788" s="394" ph="1"/>
      <c r="W1788" s="216"/>
      <c r="X1788" s="245"/>
      <c r="Y1788" s="187"/>
      <c r="Z1788" s="245"/>
      <c r="AA1788" s="245"/>
      <c r="AB1788" s="332"/>
      <c r="AD1788" s="245"/>
      <c r="AE1788" s="245"/>
      <c r="AF1788" s="245"/>
      <c r="AG1788" s="245"/>
    </row>
    <row r="1789" spans="1:33" ht="26.4">
      <c r="A1789" s="391"/>
      <c r="B1789" s="245"/>
      <c r="C1789" s="245"/>
      <c r="D1789" s="245"/>
      <c r="E1789" s="245"/>
      <c r="F1789" s="319"/>
      <c r="G1789" s="245"/>
      <c r="H1789" s="245"/>
      <c r="I1789" s="245"/>
      <c r="L1789" s="123"/>
      <c r="P1789" s="366"/>
      <c r="R1789" s="355"/>
      <c r="S1789" s="369"/>
      <c r="T1789" s="328"/>
      <c r="U1789" s="394" ph="1"/>
      <c r="W1789" s="216"/>
      <c r="X1789" s="245"/>
      <c r="Y1789" s="187"/>
      <c r="Z1789" s="245"/>
      <c r="AA1789" s="245"/>
      <c r="AB1789" s="332"/>
      <c r="AD1789" s="245"/>
      <c r="AE1789" s="245"/>
      <c r="AF1789" s="245"/>
      <c r="AG1789" s="245"/>
    </row>
    <row r="1790" spans="1:33" ht="26.4">
      <c r="A1790" s="391"/>
      <c r="B1790" s="245"/>
      <c r="C1790" s="245"/>
      <c r="D1790" s="245"/>
      <c r="E1790" s="245"/>
      <c r="F1790" s="319"/>
      <c r="G1790" s="245"/>
      <c r="H1790" s="245"/>
      <c r="I1790" s="245"/>
      <c r="L1790" s="123"/>
      <c r="P1790" s="366"/>
      <c r="R1790" s="355"/>
      <c r="S1790" s="369"/>
      <c r="T1790" s="328"/>
      <c r="U1790" s="394" ph="1"/>
      <c r="W1790" s="216"/>
      <c r="X1790" s="245"/>
      <c r="Y1790" s="187"/>
      <c r="Z1790" s="245"/>
      <c r="AA1790" s="245"/>
      <c r="AB1790" s="332"/>
      <c r="AD1790" s="245"/>
      <c r="AE1790" s="245"/>
      <c r="AF1790" s="245"/>
      <c r="AG1790" s="245"/>
    </row>
    <row r="1791" spans="1:33" ht="26.4">
      <c r="A1791" s="391"/>
      <c r="B1791" s="245"/>
      <c r="C1791" s="245"/>
      <c r="D1791" s="245"/>
      <c r="E1791" s="245"/>
      <c r="F1791" s="319"/>
      <c r="G1791" s="245"/>
      <c r="H1791" s="245"/>
      <c r="I1791" s="245"/>
      <c r="L1791" s="123"/>
      <c r="P1791" s="366"/>
      <c r="R1791" s="355"/>
      <c r="S1791" s="369"/>
      <c r="T1791" s="328"/>
      <c r="U1791" s="394" ph="1"/>
      <c r="W1791" s="216"/>
      <c r="X1791" s="245"/>
      <c r="Y1791" s="187"/>
      <c r="Z1791" s="245"/>
      <c r="AA1791" s="245"/>
      <c r="AB1791" s="332"/>
      <c r="AD1791" s="245"/>
      <c r="AE1791" s="245"/>
      <c r="AF1791" s="245"/>
      <c r="AG1791" s="245"/>
    </row>
    <row r="1792" spans="1:33" ht="26.4">
      <c r="A1792" s="391"/>
      <c r="B1792" s="245"/>
      <c r="C1792" s="245"/>
      <c r="D1792" s="245"/>
      <c r="E1792" s="245"/>
      <c r="F1792" s="319"/>
      <c r="G1792" s="245"/>
      <c r="H1792" s="245"/>
      <c r="I1792" s="245"/>
      <c r="L1792" s="123"/>
      <c r="P1792" s="366"/>
      <c r="R1792" s="355"/>
      <c r="S1792" s="369"/>
      <c r="T1792" s="328"/>
      <c r="U1792" s="394" ph="1"/>
      <c r="W1792" s="216"/>
      <c r="X1792" s="245"/>
      <c r="Y1792" s="187"/>
      <c r="Z1792" s="245"/>
      <c r="AA1792" s="245"/>
      <c r="AB1792" s="332"/>
      <c r="AD1792" s="245"/>
      <c r="AE1792" s="245"/>
      <c r="AF1792" s="245"/>
      <c r="AG1792" s="245"/>
    </row>
    <row r="1793" spans="1:33" ht="26.4">
      <c r="A1793" s="391"/>
      <c r="B1793" s="245"/>
      <c r="C1793" s="245"/>
      <c r="D1793" s="245"/>
      <c r="E1793" s="245"/>
      <c r="F1793" s="319"/>
      <c r="G1793" s="245"/>
      <c r="H1793" s="245"/>
      <c r="I1793" s="245"/>
      <c r="L1793" s="245"/>
      <c r="P1793" s="366"/>
      <c r="R1793" s="355"/>
      <c r="S1793" s="369"/>
      <c r="T1793" s="328"/>
      <c r="U1793" s="394" ph="1"/>
      <c r="W1793" s="216"/>
      <c r="X1793" s="245"/>
      <c r="Y1793" s="187"/>
      <c r="Z1793" s="245"/>
      <c r="AA1793" s="245"/>
      <c r="AB1793" s="332"/>
      <c r="AD1793" s="245"/>
      <c r="AE1793" s="245"/>
      <c r="AF1793" s="245"/>
      <c r="AG1793" s="245"/>
    </row>
    <row r="1794" spans="1:33" ht="26.4">
      <c r="A1794" s="391"/>
      <c r="B1794" s="245"/>
      <c r="C1794" s="245"/>
      <c r="D1794" s="245"/>
      <c r="E1794" s="245"/>
      <c r="F1794" s="319"/>
      <c r="G1794" s="245"/>
      <c r="H1794" s="245"/>
      <c r="I1794" s="245"/>
      <c r="L1794" s="123"/>
      <c r="P1794" s="366"/>
      <c r="R1794" s="355"/>
      <c r="S1794" s="369"/>
      <c r="T1794" s="328"/>
      <c r="U1794" s="394" ph="1"/>
      <c r="W1794" s="216"/>
      <c r="X1794" s="245"/>
      <c r="Y1794" s="187"/>
      <c r="Z1794" s="245"/>
      <c r="AA1794" s="245"/>
      <c r="AB1794" s="332"/>
      <c r="AD1794" s="245"/>
      <c r="AE1794" s="245"/>
      <c r="AF1794" s="245"/>
      <c r="AG1794" s="245"/>
    </row>
    <row r="1795" spans="1:33" ht="26.4">
      <c r="A1795" s="391"/>
      <c r="B1795" s="245"/>
      <c r="C1795" s="245"/>
      <c r="D1795" s="245"/>
      <c r="E1795" s="245"/>
      <c r="F1795" s="319"/>
      <c r="G1795" s="245"/>
      <c r="H1795" s="245"/>
      <c r="I1795" s="245"/>
      <c r="L1795" s="123"/>
      <c r="P1795" s="366"/>
      <c r="R1795" s="355"/>
      <c r="S1795" s="369"/>
      <c r="T1795" s="328"/>
      <c r="U1795" s="394" ph="1"/>
      <c r="W1795" s="216"/>
      <c r="X1795" s="245"/>
      <c r="Y1795" s="187"/>
      <c r="Z1795" s="245"/>
      <c r="AA1795" s="245"/>
      <c r="AB1795" s="332"/>
      <c r="AD1795" s="245"/>
      <c r="AE1795" s="245"/>
      <c r="AF1795" s="245"/>
      <c r="AG1795" s="245"/>
    </row>
    <row r="1796" spans="1:33" ht="26.4">
      <c r="A1796" s="391"/>
      <c r="B1796" s="245"/>
      <c r="C1796" s="245"/>
      <c r="D1796" s="245"/>
      <c r="E1796" s="245"/>
      <c r="F1796" s="319"/>
      <c r="G1796" s="245"/>
      <c r="H1796" s="245"/>
      <c r="I1796" s="245"/>
      <c r="L1796" s="123"/>
      <c r="P1796" s="366"/>
      <c r="R1796" s="355"/>
      <c r="S1796" s="369"/>
      <c r="T1796" s="328"/>
      <c r="U1796" s="394" ph="1"/>
      <c r="W1796" s="216"/>
      <c r="X1796" s="245"/>
      <c r="Y1796" s="187"/>
      <c r="Z1796" s="245"/>
      <c r="AA1796" s="245"/>
      <c r="AB1796" s="332"/>
      <c r="AD1796" s="245"/>
      <c r="AE1796" s="245"/>
      <c r="AF1796" s="245"/>
      <c r="AG1796" s="245"/>
    </row>
    <row r="1797" spans="1:33" ht="26.4">
      <c r="A1797" s="391"/>
      <c r="B1797" s="245"/>
      <c r="C1797" s="245"/>
      <c r="D1797" s="245"/>
      <c r="E1797" s="245"/>
      <c r="F1797" s="319"/>
      <c r="G1797" s="245"/>
      <c r="H1797" s="245"/>
      <c r="I1797" s="245"/>
      <c r="L1797" s="123"/>
      <c r="P1797" s="366"/>
      <c r="R1797" s="355"/>
      <c r="S1797" s="369"/>
      <c r="T1797" s="328"/>
      <c r="U1797" s="394" ph="1"/>
      <c r="W1797" s="216"/>
      <c r="X1797" s="245"/>
      <c r="Y1797" s="187"/>
      <c r="Z1797" s="245"/>
      <c r="AA1797" s="245"/>
      <c r="AB1797" s="332"/>
      <c r="AD1797" s="245"/>
      <c r="AE1797" s="245"/>
      <c r="AF1797" s="245"/>
      <c r="AG1797" s="245"/>
    </row>
    <row r="1798" spans="1:33" ht="26.4">
      <c r="A1798" s="391"/>
      <c r="B1798" s="245"/>
      <c r="C1798" s="245"/>
      <c r="D1798" s="245"/>
      <c r="E1798" s="245"/>
      <c r="F1798" s="319"/>
      <c r="G1798" s="245"/>
      <c r="H1798" s="245"/>
      <c r="I1798" s="245"/>
      <c r="L1798" s="123"/>
      <c r="P1798" s="366"/>
      <c r="R1798" s="355"/>
      <c r="S1798" s="369"/>
      <c r="T1798" s="328"/>
      <c r="U1798" s="394" ph="1"/>
      <c r="W1798" s="216"/>
      <c r="X1798" s="245"/>
      <c r="Y1798" s="187"/>
      <c r="Z1798" s="245"/>
      <c r="AA1798" s="245"/>
      <c r="AB1798" s="332"/>
      <c r="AD1798" s="245"/>
      <c r="AE1798" s="245"/>
      <c r="AF1798" s="245"/>
      <c r="AG1798" s="245"/>
    </row>
    <row r="1799" spans="1:33" ht="26.4">
      <c r="A1799" s="391"/>
      <c r="B1799" s="245"/>
      <c r="C1799" s="245"/>
      <c r="D1799" s="245"/>
      <c r="E1799" s="245"/>
      <c r="F1799" s="319"/>
      <c r="G1799" s="245"/>
      <c r="H1799" s="245"/>
      <c r="I1799" s="245"/>
      <c r="L1799" s="123"/>
      <c r="P1799" s="366"/>
      <c r="R1799" s="355"/>
      <c r="S1799" s="369"/>
      <c r="T1799" s="328"/>
      <c r="U1799" s="394" ph="1"/>
      <c r="W1799" s="216"/>
      <c r="X1799" s="245"/>
      <c r="Y1799" s="187"/>
      <c r="Z1799" s="245"/>
      <c r="AA1799" s="245"/>
      <c r="AB1799" s="332"/>
      <c r="AD1799" s="245"/>
      <c r="AE1799" s="245"/>
      <c r="AF1799" s="245"/>
      <c r="AG1799" s="245"/>
    </row>
    <row r="1800" spans="1:33" ht="26.4">
      <c r="A1800" s="391"/>
      <c r="B1800" s="245"/>
      <c r="C1800" s="245"/>
      <c r="D1800" s="245"/>
      <c r="E1800" s="245"/>
      <c r="F1800" s="319"/>
      <c r="G1800" s="245"/>
      <c r="H1800" s="245"/>
      <c r="I1800" s="245"/>
      <c r="L1800" s="123"/>
      <c r="P1800" s="366"/>
      <c r="R1800" s="355"/>
      <c r="S1800" s="369"/>
      <c r="T1800" s="328"/>
      <c r="U1800" s="394" ph="1"/>
      <c r="W1800" s="216"/>
      <c r="X1800" s="245"/>
      <c r="Y1800" s="187"/>
      <c r="Z1800" s="245"/>
      <c r="AA1800" s="245"/>
      <c r="AB1800" s="332"/>
      <c r="AD1800" s="245"/>
      <c r="AE1800" s="245"/>
      <c r="AF1800" s="245"/>
      <c r="AG1800" s="245"/>
    </row>
    <row r="1801" spans="1:33" ht="26.4">
      <c r="A1801" s="391"/>
      <c r="B1801" s="245"/>
      <c r="C1801" s="245"/>
      <c r="D1801" s="245"/>
      <c r="E1801" s="245"/>
      <c r="F1801" s="319"/>
      <c r="G1801" s="245"/>
      <c r="H1801" s="245"/>
      <c r="I1801" s="245"/>
      <c r="L1801" s="123"/>
      <c r="P1801" s="366"/>
      <c r="R1801" s="355"/>
      <c r="S1801" s="369"/>
      <c r="T1801" s="328"/>
      <c r="U1801" s="394" ph="1"/>
      <c r="W1801" s="216"/>
      <c r="X1801" s="245"/>
      <c r="Y1801" s="187"/>
      <c r="Z1801" s="245"/>
      <c r="AA1801" s="245"/>
      <c r="AB1801" s="332"/>
      <c r="AD1801" s="245"/>
      <c r="AE1801" s="245"/>
      <c r="AF1801" s="245"/>
      <c r="AG1801" s="245"/>
    </row>
    <row r="1802" spans="1:33" ht="26.4">
      <c r="A1802" s="391"/>
      <c r="B1802" s="245"/>
      <c r="C1802" s="245"/>
      <c r="D1802" s="245"/>
      <c r="E1802" s="245"/>
      <c r="F1802" s="319"/>
      <c r="G1802" s="245"/>
      <c r="H1802" s="245"/>
      <c r="I1802" s="245"/>
      <c r="L1802" s="123"/>
      <c r="P1802" s="366"/>
      <c r="R1802" s="355"/>
      <c r="S1802" s="369"/>
      <c r="T1802" s="328"/>
      <c r="U1802" s="394" ph="1"/>
      <c r="W1802" s="216"/>
      <c r="X1802" s="245"/>
      <c r="Y1802" s="187"/>
      <c r="Z1802" s="245"/>
      <c r="AA1802" s="245"/>
      <c r="AB1802" s="332"/>
      <c r="AD1802" s="245"/>
      <c r="AE1802" s="245"/>
      <c r="AF1802" s="245"/>
      <c r="AG1802" s="245"/>
    </row>
    <row r="1803" spans="1:33" ht="26.4">
      <c r="A1803" s="391"/>
      <c r="B1803" s="245"/>
      <c r="C1803" s="245"/>
      <c r="D1803" s="245"/>
      <c r="E1803" s="245"/>
      <c r="F1803" s="319"/>
      <c r="G1803" s="245"/>
      <c r="H1803" s="245"/>
      <c r="I1803" s="245"/>
      <c r="L1803" s="123"/>
      <c r="P1803" s="366"/>
      <c r="R1803" s="355"/>
      <c r="S1803" s="369"/>
      <c r="T1803" s="328"/>
      <c r="U1803" s="394" ph="1"/>
      <c r="W1803" s="216"/>
      <c r="X1803" s="245"/>
      <c r="Y1803" s="187"/>
      <c r="Z1803" s="245"/>
      <c r="AA1803" s="245"/>
      <c r="AB1803" s="332"/>
      <c r="AD1803" s="245"/>
      <c r="AE1803" s="245"/>
      <c r="AF1803" s="245"/>
      <c r="AG1803" s="245"/>
    </row>
    <row r="1804" spans="1:33" ht="26.4">
      <c r="A1804" s="391"/>
      <c r="B1804" s="245"/>
      <c r="C1804" s="245"/>
      <c r="D1804" s="245"/>
      <c r="E1804" s="245"/>
      <c r="F1804" s="319"/>
      <c r="G1804" s="245"/>
      <c r="H1804" s="245"/>
      <c r="I1804" s="245"/>
      <c r="L1804" s="245"/>
      <c r="P1804" s="366"/>
      <c r="R1804" s="355"/>
      <c r="S1804" s="369"/>
      <c r="T1804" s="328"/>
      <c r="U1804" s="394" ph="1"/>
      <c r="W1804" s="216"/>
      <c r="X1804" s="245"/>
      <c r="Y1804" s="187"/>
      <c r="Z1804" s="245"/>
      <c r="AA1804" s="245"/>
      <c r="AB1804" s="332"/>
      <c r="AD1804" s="245"/>
      <c r="AE1804" s="245"/>
      <c r="AF1804" s="245"/>
      <c r="AG1804" s="245"/>
    </row>
    <row r="1805" spans="1:33" ht="26.4">
      <c r="A1805" s="391"/>
      <c r="B1805" s="245"/>
      <c r="C1805" s="245"/>
      <c r="D1805" s="245"/>
      <c r="E1805" s="245"/>
      <c r="F1805" s="319"/>
      <c r="G1805" s="245"/>
      <c r="H1805" s="245"/>
      <c r="I1805" s="245"/>
      <c r="L1805" s="123"/>
      <c r="P1805" s="366"/>
      <c r="R1805" s="355"/>
      <c r="S1805" s="369"/>
      <c r="T1805" s="328"/>
      <c r="U1805" s="394" ph="1"/>
      <c r="W1805" s="216"/>
      <c r="X1805" s="245"/>
      <c r="Y1805" s="187"/>
      <c r="Z1805" s="245"/>
      <c r="AA1805" s="245"/>
      <c r="AB1805" s="332"/>
      <c r="AD1805" s="245"/>
      <c r="AE1805" s="245"/>
      <c r="AF1805" s="245"/>
      <c r="AG1805" s="245"/>
    </row>
    <row r="1806" spans="1:33" ht="26.4">
      <c r="A1806" s="391"/>
      <c r="B1806" s="245"/>
      <c r="C1806" s="245"/>
      <c r="D1806" s="245"/>
      <c r="E1806" s="245"/>
      <c r="F1806" s="319"/>
      <c r="G1806" s="245"/>
      <c r="H1806" s="245"/>
      <c r="I1806" s="245"/>
      <c r="L1806" s="123"/>
      <c r="P1806" s="366"/>
      <c r="R1806" s="355"/>
      <c r="S1806" s="369"/>
      <c r="T1806" s="328"/>
      <c r="U1806" s="394" ph="1"/>
      <c r="W1806" s="216"/>
      <c r="X1806" s="245"/>
      <c r="Y1806" s="187"/>
      <c r="Z1806" s="245"/>
      <c r="AA1806" s="245"/>
      <c r="AB1806" s="332"/>
      <c r="AD1806" s="245"/>
      <c r="AE1806" s="245"/>
      <c r="AF1806" s="245"/>
      <c r="AG1806" s="245"/>
    </row>
    <row r="1807" spans="1:33" ht="26.4">
      <c r="A1807" s="391"/>
      <c r="B1807" s="245"/>
      <c r="C1807" s="245"/>
      <c r="D1807" s="245"/>
      <c r="E1807" s="245"/>
      <c r="F1807" s="319"/>
      <c r="G1807" s="245"/>
      <c r="H1807" s="245"/>
      <c r="I1807" s="245"/>
      <c r="L1807" s="245"/>
      <c r="P1807" s="366"/>
      <c r="R1807" s="355"/>
      <c r="S1807" s="369"/>
      <c r="T1807" s="328"/>
      <c r="U1807" s="394" ph="1"/>
      <c r="W1807" s="216"/>
      <c r="X1807" s="245"/>
      <c r="Y1807" s="187"/>
      <c r="Z1807" s="245"/>
      <c r="AA1807" s="245"/>
      <c r="AB1807" s="332"/>
      <c r="AD1807" s="245"/>
      <c r="AE1807" s="245"/>
      <c r="AF1807" s="245"/>
      <c r="AG1807" s="245"/>
    </row>
    <row r="1808" spans="1:33" ht="26.4">
      <c r="A1808" s="391"/>
      <c r="B1808" s="245"/>
      <c r="C1808" s="245"/>
      <c r="D1808" s="245"/>
      <c r="E1808" s="245"/>
      <c r="F1808" s="319"/>
      <c r="G1808" s="245"/>
      <c r="H1808" s="245"/>
      <c r="I1808" s="245"/>
      <c r="L1808" s="123"/>
      <c r="P1808" s="366"/>
      <c r="R1808" s="355"/>
      <c r="S1808" s="369"/>
      <c r="T1808" s="328"/>
      <c r="U1808" s="394" ph="1"/>
      <c r="W1808" s="216"/>
      <c r="X1808" s="245"/>
      <c r="Y1808" s="187"/>
      <c r="Z1808" s="245"/>
      <c r="AA1808" s="245"/>
      <c r="AB1808" s="332"/>
      <c r="AD1808" s="245"/>
      <c r="AE1808" s="245"/>
      <c r="AF1808" s="245"/>
      <c r="AG1808" s="245"/>
    </row>
    <row r="1809" spans="1:33" ht="26.4">
      <c r="A1809" s="391"/>
      <c r="B1809" s="245"/>
      <c r="C1809" s="245"/>
      <c r="D1809" s="245"/>
      <c r="E1809" s="245"/>
      <c r="F1809" s="319"/>
      <c r="G1809" s="245"/>
      <c r="H1809" s="245"/>
      <c r="I1809" s="245"/>
      <c r="L1809" s="123"/>
      <c r="P1809" s="366"/>
      <c r="R1809" s="355"/>
      <c r="S1809" s="369"/>
      <c r="T1809" s="328"/>
      <c r="U1809" s="394" ph="1"/>
      <c r="W1809" s="216"/>
      <c r="X1809" s="245"/>
      <c r="Y1809" s="187"/>
      <c r="Z1809" s="245"/>
      <c r="AA1809" s="245"/>
      <c r="AB1809" s="332"/>
      <c r="AD1809" s="245"/>
      <c r="AE1809" s="245"/>
      <c r="AF1809" s="245"/>
      <c r="AG1809" s="245"/>
    </row>
    <row r="1810" spans="1:33" ht="26.4">
      <c r="A1810" s="391"/>
      <c r="B1810" s="245"/>
      <c r="C1810" s="245"/>
      <c r="D1810" s="245"/>
      <c r="E1810" s="245"/>
      <c r="F1810" s="319"/>
      <c r="G1810" s="245"/>
      <c r="H1810" s="245"/>
      <c r="I1810" s="245"/>
      <c r="L1810" s="123"/>
      <c r="P1810" s="366"/>
      <c r="R1810" s="355"/>
      <c r="S1810" s="369"/>
      <c r="T1810" s="328"/>
      <c r="U1810" s="394" ph="1"/>
      <c r="W1810" s="216"/>
      <c r="X1810" s="245"/>
      <c r="Y1810" s="187"/>
      <c r="Z1810" s="245"/>
      <c r="AA1810" s="245"/>
      <c r="AB1810" s="332"/>
      <c r="AD1810" s="245"/>
      <c r="AE1810" s="245"/>
      <c r="AF1810" s="245"/>
      <c r="AG1810" s="245"/>
    </row>
    <row r="1811" spans="1:33" ht="26.4">
      <c r="A1811" s="391"/>
      <c r="B1811" s="245"/>
      <c r="C1811" s="245"/>
      <c r="D1811" s="245"/>
      <c r="E1811" s="245"/>
      <c r="F1811" s="319"/>
      <c r="G1811" s="245"/>
      <c r="H1811" s="245"/>
      <c r="I1811" s="245"/>
      <c r="L1811" s="123"/>
      <c r="P1811" s="366"/>
      <c r="R1811" s="355"/>
      <c r="S1811" s="369"/>
      <c r="T1811" s="328"/>
      <c r="U1811" s="394" ph="1"/>
      <c r="W1811" s="216"/>
      <c r="X1811" s="245"/>
      <c r="Y1811" s="187"/>
      <c r="Z1811" s="245"/>
      <c r="AA1811" s="245"/>
      <c r="AB1811" s="332"/>
      <c r="AD1811" s="245"/>
      <c r="AE1811" s="245"/>
      <c r="AF1811" s="245"/>
      <c r="AG1811" s="245"/>
    </row>
    <row r="1812" spans="1:33" ht="26.4">
      <c r="A1812" s="391"/>
      <c r="B1812" s="245"/>
      <c r="C1812" s="245"/>
      <c r="D1812" s="245"/>
      <c r="E1812" s="245"/>
      <c r="F1812" s="319"/>
      <c r="G1812" s="245"/>
      <c r="H1812" s="245"/>
      <c r="I1812" s="245"/>
      <c r="L1812" s="123"/>
      <c r="P1812" s="366"/>
      <c r="R1812" s="355"/>
      <c r="S1812" s="369"/>
      <c r="T1812" s="328"/>
      <c r="U1812" s="394" ph="1"/>
      <c r="W1812" s="216"/>
      <c r="X1812" s="245"/>
      <c r="Y1812" s="187"/>
      <c r="Z1812" s="245"/>
      <c r="AA1812" s="245"/>
      <c r="AB1812" s="332"/>
      <c r="AD1812" s="245"/>
      <c r="AE1812" s="245"/>
      <c r="AF1812" s="245"/>
      <c r="AG1812" s="245"/>
    </row>
    <row r="1813" spans="1:33" ht="26.4">
      <c r="A1813" s="391"/>
      <c r="B1813" s="245"/>
      <c r="C1813" s="245"/>
      <c r="D1813" s="245"/>
      <c r="E1813" s="245"/>
      <c r="F1813" s="319"/>
      <c r="G1813" s="245"/>
      <c r="H1813" s="245"/>
      <c r="I1813" s="245"/>
      <c r="L1813" s="123"/>
      <c r="P1813" s="366"/>
      <c r="R1813" s="355"/>
      <c r="S1813" s="369"/>
      <c r="T1813" s="328"/>
      <c r="U1813" s="394" ph="1"/>
      <c r="W1813" s="216"/>
      <c r="X1813" s="245"/>
      <c r="Y1813" s="187"/>
      <c r="Z1813" s="245"/>
      <c r="AA1813" s="245"/>
      <c r="AB1813" s="332"/>
      <c r="AD1813" s="245"/>
      <c r="AE1813" s="245"/>
      <c r="AF1813" s="245"/>
      <c r="AG1813" s="245"/>
    </row>
    <row r="1814" spans="1:33" ht="26.4">
      <c r="A1814" s="391"/>
      <c r="B1814" s="245"/>
      <c r="C1814" s="245"/>
      <c r="D1814" s="245"/>
      <c r="E1814" s="245"/>
      <c r="F1814" s="319"/>
      <c r="G1814" s="245"/>
      <c r="H1814" s="245"/>
      <c r="I1814" s="245"/>
      <c r="L1814" s="123"/>
      <c r="P1814" s="366"/>
      <c r="R1814" s="355"/>
      <c r="S1814" s="369"/>
      <c r="T1814" s="328"/>
      <c r="U1814" s="394" ph="1"/>
      <c r="W1814" s="216"/>
      <c r="X1814" s="245"/>
      <c r="Y1814" s="187"/>
      <c r="Z1814" s="245"/>
      <c r="AA1814" s="245"/>
      <c r="AB1814" s="332"/>
      <c r="AD1814" s="245"/>
      <c r="AE1814" s="245"/>
      <c r="AF1814" s="245"/>
      <c r="AG1814" s="245"/>
    </row>
    <row r="1815" spans="1:33" ht="26.4">
      <c r="A1815" s="391"/>
      <c r="B1815" s="245"/>
      <c r="C1815" s="245"/>
      <c r="D1815" s="245"/>
      <c r="E1815" s="245"/>
      <c r="F1815" s="319"/>
      <c r="G1815" s="245"/>
      <c r="H1815" s="245"/>
      <c r="I1815" s="245"/>
      <c r="L1815" s="123"/>
      <c r="P1815" s="366"/>
      <c r="R1815" s="355"/>
      <c r="S1815" s="369"/>
      <c r="T1815" s="328"/>
      <c r="U1815" s="394" ph="1"/>
      <c r="W1815" s="216"/>
      <c r="X1815" s="245"/>
      <c r="Y1815" s="187"/>
      <c r="Z1815" s="245"/>
      <c r="AA1815" s="245"/>
      <c r="AB1815" s="332"/>
      <c r="AD1815" s="245"/>
      <c r="AE1815" s="245"/>
      <c r="AF1815" s="245"/>
      <c r="AG1815" s="245"/>
    </row>
    <row r="1816" spans="1:33" ht="26.4">
      <c r="A1816" s="391"/>
      <c r="B1816" s="245"/>
      <c r="C1816" s="245"/>
      <c r="D1816" s="245"/>
      <c r="E1816" s="245"/>
      <c r="F1816" s="319"/>
      <c r="G1816" s="245"/>
      <c r="H1816" s="245"/>
      <c r="I1816" s="245"/>
      <c r="L1816" s="123"/>
      <c r="P1816" s="366"/>
      <c r="R1816" s="355"/>
      <c r="S1816" s="369"/>
      <c r="T1816" s="328"/>
      <c r="U1816" s="394" ph="1"/>
      <c r="W1816" s="216"/>
      <c r="X1816" s="245"/>
      <c r="Y1816" s="187"/>
      <c r="Z1816" s="245"/>
      <c r="AA1816" s="245"/>
      <c r="AB1816" s="332"/>
      <c r="AD1816" s="245"/>
      <c r="AE1816" s="245"/>
      <c r="AF1816" s="245"/>
      <c r="AG1816" s="245"/>
    </row>
    <row r="1817" spans="1:33" ht="26.4">
      <c r="A1817" s="391"/>
      <c r="B1817" s="245"/>
      <c r="C1817" s="245"/>
      <c r="D1817" s="245"/>
      <c r="E1817" s="245"/>
      <c r="F1817" s="319"/>
      <c r="G1817" s="245"/>
      <c r="H1817" s="245"/>
      <c r="I1817" s="245"/>
      <c r="L1817" s="123"/>
      <c r="P1817" s="366"/>
      <c r="R1817" s="355"/>
      <c r="S1817" s="369"/>
      <c r="T1817" s="328"/>
      <c r="U1817" s="394" ph="1"/>
      <c r="W1817" s="216"/>
      <c r="X1817" s="245"/>
      <c r="Y1817" s="187"/>
      <c r="Z1817" s="245"/>
      <c r="AA1817" s="245"/>
      <c r="AB1817" s="332"/>
      <c r="AD1817" s="245"/>
      <c r="AE1817" s="245"/>
      <c r="AF1817" s="245"/>
      <c r="AG1817" s="245"/>
    </row>
    <row r="1818" spans="1:33" ht="26.4">
      <c r="A1818" s="391"/>
      <c r="B1818" s="245"/>
      <c r="C1818" s="245"/>
      <c r="D1818" s="245"/>
      <c r="E1818" s="245"/>
      <c r="F1818" s="319"/>
      <c r="G1818" s="245"/>
      <c r="H1818" s="245"/>
      <c r="I1818" s="245"/>
      <c r="L1818" s="123"/>
      <c r="P1818" s="366"/>
      <c r="R1818" s="355"/>
      <c r="S1818" s="369"/>
      <c r="T1818" s="328"/>
      <c r="U1818" s="394" ph="1"/>
      <c r="W1818" s="216"/>
      <c r="X1818" s="245"/>
      <c r="Y1818" s="187"/>
      <c r="Z1818" s="245"/>
      <c r="AA1818" s="245"/>
      <c r="AB1818" s="332"/>
      <c r="AD1818" s="245"/>
      <c r="AE1818" s="245"/>
      <c r="AF1818" s="245"/>
      <c r="AG1818" s="245"/>
    </row>
    <row r="1819" spans="1:33" ht="26.4">
      <c r="A1819" s="391"/>
      <c r="B1819" s="245"/>
      <c r="C1819" s="245"/>
      <c r="D1819" s="245"/>
      <c r="E1819" s="245"/>
      <c r="F1819" s="319"/>
      <c r="G1819" s="245"/>
      <c r="H1819" s="245"/>
      <c r="I1819" s="245"/>
      <c r="L1819" s="123"/>
      <c r="P1819" s="366"/>
      <c r="R1819" s="355"/>
      <c r="S1819" s="369"/>
      <c r="T1819" s="328"/>
      <c r="U1819" s="394" ph="1"/>
      <c r="W1819" s="216"/>
      <c r="X1819" s="245"/>
      <c r="Y1819" s="187"/>
      <c r="Z1819" s="245"/>
      <c r="AA1819" s="245"/>
      <c r="AB1819" s="332"/>
      <c r="AD1819" s="245"/>
      <c r="AE1819" s="245"/>
      <c r="AF1819" s="245"/>
      <c r="AG1819" s="245"/>
    </row>
    <row r="1820" spans="1:33" ht="26.4">
      <c r="A1820" s="391"/>
      <c r="B1820" s="245"/>
      <c r="C1820" s="245"/>
      <c r="D1820" s="245"/>
      <c r="E1820" s="245"/>
      <c r="F1820" s="319"/>
      <c r="G1820" s="245"/>
      <c r="H1820" s="245"/>
      <c r="I1820" s="245"/>
      <c r="L1820" s="123"/>
      <c r="P1820" s="366"/>
      <c r="R1820" s="355"/>
      <c r="S1820" s="369"/>
      <c r="T1820" s="328"/>
      <c r="U1820" s="394" ph="1"/>
      <c r="W1820" s="216"/>
      <c r="X1820" s="245"/>
      <c r="Y1820" s="187"/>
      <c r="Z1820" s="245"/>
      <c r="AA1820" s="245"/>
      <c r="AB1820" s="332"/>
      <c r="AD1820" s="245"/>
      <c r="AE1820" s="245"/>
      <c r="AF1820" s="245"/>
      <c r="AG1820" s="245"/>
    </row>
    <row r="1821" spans="1:33" ht="26.4">
      <c r="A1821" s="391"/>
      <c r="B1821" s="245"/>
      <c r="C1821" s="245"/>
      <c r="D1821" s="245"/>
      <c r="E1821" s="245"/>
      <c r="F1821" s="319"/>
      <c r="G1821" s="245"/>
      <c r="H1821" s="245"/>
      <c r="I1821" s="245"/>
      <c r="L1821" s="123"/>
      <c r="P1821" s="366"/>
      <c r="R1821" s="355"/>
      <c r="S1821" s="369"/>
      <c r="T1821" s="328"/>
      <c r="U1821" s="394" ph="1"/>
      <c r="W1821" s="216"/>
      <c r="X1821" s="245"/>
      <c r="Y1821" s="187"/>
      <c r="Z1821" s="245"/>
      <c r="AA1821" s="245"/>
      <c r="AB1821" s="332"/>
      <c r="AD1821" s="245"/>
      <c r="AE1821" s="245"/>
      <c r="AF1821" s="245"/>
      <c r="AG1821" s="245"/>
    </row>
    <row r="1822" spans="1:33" ht="26.4">
      <c r="A1822" s="391"/>
      <c r="B1822" s="245"/>
      <c r="C1822" s="245"/>
      <c r="D1822" s="245"/>
      <c r="E1822" s="245"/>
      <c r="F1822" s="319"/>
      <c r="G1822" s="245"/>
      <c r="H1822" s="245"/>
      <c r="I1822" s="245"/>
      <c r="L1822" s="123"/>
      <c r="P1822" s="366"/>
      <c r="R1822" s="355"/>
      <c r="S1822" s="369"/>
      <c r="T1822" s="328"/>
      <c r="U1822" s="394" ph="1"/>
      <c r="W1822" s="216"/>
      <c r="X1822" s="245"/>
      <c r="Y1822" s="187"/>
      <c r="Z1822" s="245"/>
      <c r="AA1822" s="245"/>
      <c r="AB1822" s="332"/>
      <c r="AD1822" s="245"/>
      <c r="AE1822" s="245"/>
      <c r="AF1822" s="245"/>
      <c r="AG1822" s="245"/>
    </row>
    <row r="1823" spans="1:33" ht="26.4">
      <c r="A1823" s="391"/>
      <c r="B1823" s="245"/>
      <c r="C1823" s="245"/>
      <c r="D1823" s="245"/>
      <c r="E1823" s="245"/>
      <c r="F1823" s="319"/>
      <c r="G1823" s="245"/>
      <c r="H1823" s="245"/>
      <c r="I1823" s="245"/>
      <c r="L1823" s="123"/>
      <c r="P1823" s="366"/>
      <c r="R1823" s="355"/>
      <c r="S1823" s="369"/>
      <c r="T1823" s="328"/>
      <c r="U1823" s="394" ph="1"/>
      <c r="W1823" s="216"/>
      <c r="X1823" s="245"/>
      <c r="Y1823" s="187"/>
      <c r="Z1823" s="245"/>
      <c r="AA1823" s="245"/>
      <c r="AB1823" s="332"/>
      <c r="AD1823" s="245"/>
      <c r="AE1823" s="245"/>
      <c r="AF1823" s="245"/>
      <c r="AG1823" s="245"/>
    </row>
    <row r="1824" spans="1:33" ht="26.4">
      <c r="A1824" s="391"/>
      <c r="B1824" s="245"/>
      <c r="C1824" s="245"/>
      <c r="D1824" s="245"/>
      <c r="E1824" s="245"/>
      <c r="F1824" s="319"/>
      <c r="G1824" s="245"/>
      <c r="H1824" s="245"/>
      <c r="I1824" s="245"/>
      <c r="L1824" s="123"/>
      <c r="P1824" s="366"/>
      <c r="R1824" s="355"/>
      <c r="S1824" s="369"/>
      <c r="T1824" s="328"/>
      <c r="U1824" s="394" ph="1"/>
      <c r="W1824" s="216"/>
      <c r="X1824" s="245"/>
      <c r="Y1824" s="187"/>
      <c r="Z1824" s="245"/>
      <c r="AA1824" s="245"/>
      <c r="AB1824" s="332"/>
      <c r="AD1824" s="245"/>
      <c r="AE1824" s="245"/>
      <c r="AF1824" s="245"/>
      <c r="AG1824" s="245"/>
    </row>
    <row r="1825" spans="1:33" ht="26.4">
      <c r="A1825" s="391"/>
      <c r="B1825" s="245"/>
      <c r="C1825" s="245"/>
      <c r="D1825" s="245"/>
      <c r="E1825" s="245"/>
      <c r="F1825" s="319"/>
      <c r="G1825" s="245"/>
      <c r="H1825" s="245"/>
      <c r="I1825" s="245"/>
      <c r="L1825" s="123"/>
      <c r="P1825" s="366"/>
      <c r="R1825" s="355"/>
      <c r="S1825" s="369"/>
      <c r="T1825" s="328"/>
      <c r="U1825" s="394" ph="1"/>
      <c r="W1825" s="216"/>
      <c r="X1825" s="245"/>
      <c r="Y1825" s="187"/>
      <c r="Z1825" s="245"/>
      <c r="AA1825" s="245"/>
      <c r="AB1825" s="332"/>
      <c r="AD1825" s="245"/>
      <c r="AE1825" s="245"/>
      <c r="AF1825" s="245"/>
      <c r="AG1825" s="245"/>
    </row>
    <row r="1826" spans="1:33" ht="26.4">
      <c r="A1826" s="391"/>
      <c r="B1826" s="245"/>
      <c r="C1826" s="245"/>
      <c r="D1826" s="245"/>
      <c r="E1826" s="245"/>
      <c r="F1826" s="319"/>
      <c r="G1826" s="245"/>
      <c r="H1826" s="245"/>
      <c r="I1826" s="245"/>
      <c r="L1826" s="123"/>
      <c r="P1826" s="366"/>
      <c r="R1826" s="355"/>
      <c r="S1826" s="369"/>
      <c r="T1826" s="328"/>
      <c r="U1826" s="394" ph="1"/>
      <c r="W1826" s="216"/>
      <c r="X1826" s="245"/>
      <c r="Y1826" s="187"/>
      <c r="Z1826" s="245"/>
      <c r="AA1826" s="245"/>
      <c r="AB1826" s="332"/>
      <c r="AD1826" s="245"/>
      <c r="AE1826" s="245"/>
      <c r="AF1826" s="245"/>
      <c r="AG1826" s="245"/>
    </row>
    <row r="1827" spans="1:33" ht="26.4">
      <c r="A1827" s="391"/>
      <c r="B1827" s="245"/>
      <c r="C1827" s="245"/>
      <c r="D1827" s="245"/>
      <c r="E1827" s="245"/>
      <c r="F1827" s="319"/>
      <c r="G1827" s="245"/>
      <c r="H1827" s="245"/>
      <c r="I1827" s="245"/>
      <c r="L1827" s="123"/>
      <c r="P1827" s="366"/>
      <c r="R1827" s="355"/>
      <c r="S1827" s="369"/>
      <c r="T1827" s="328"/>
      <c r="U1827" s="394" ph="1"/>
      <c r="W1827" s="216"/>
      <c r="X1827" s="245"/>
      <c r="Y1827" s="187"/>
      <c r="Z1827" s="245"/>
      <c r="AA1827" s="245"/>
      <c r="AB1827" s="332"/>
      <c r="AD1827" s="245"/>
      <c r="AE1827" s="245"/>
      <c r="AF1827" s="245"/>
      <c r="AG1827" s="245"/>
    </row>
    <row r="1828" spans="1:33" ht="26.4">
      <c r="A1828" s="391"/>
      <c r="B1828" s="245"/>
      <c r="C1828" s="245"/>
      <c r="D1828" s="245"/>
      <c r="E1828" s="245"/>
      <c r="F1828" s="319"/>
      <c r="G1828" s="245"/>
      <c r="H1828" s="245"/>
      <c r="I1828" s="245"/>
      <c r="L1828" s="123"/>
      <c r="P1828" s="366"/>
      <c r="R1828" s="355"/>
      <c r="S1828" s="369"/>
      <c r="T1828" s="328"/>
      <c r="U1828" s="394" ph="1"/>
      <c r="W1828" s="216"/>
      <c r="X1828" s="245"/>
      <c r="Y1828" s="187"/>
      <c r="Z1828" s="245"/>
      <c r="AA1828" s="245"/>
      <c r="AB1828" s="332"/>
      <c r="AD1828" s="245"/>
      <c r="AE1828" s="245"/>
      <c r="AF1828" s="245"/>
      <c r="AG1828" s="245"/>
    </row>
    <row r="1829" spans="1:33" ht="26.4">
      <c r="A1829" s="391"/>
      <c r="B1829" s="245"/>
      <c r="C1829" s="245"/>
      <c r="D1829" s="245"/>
      <c r="E1829" s="245"/>
      <c r="F1829" s="319"/>
      <c r="G1829" s="245"/>
      <c r="H1829" s="245"/>
      <c r="I1829" s="245"/>
      <c r="L1829" s="123"/>
      <c r="P1829" s="366"/>
      <c r="R1829" s="355"/>
      <c r="S1829" s="369"/>
      <c r="T1829" s="328"/>
      <c r="U1829" s="394" ph="1"/>
      <c r="W1829" s="216"/>
      <c r="X1829" s="245"/>
      <c r="Y1829" s="187"/>
      <c r="Z1829" s="245"/>
      <c r="AA1829" s="245"/>
      <c r="AB1829" s="332"/>
      <c r="AD1829" s="245"/>
      <c r="AE1829" s="245"/>
      <c r="AF1829" s="245"/>
      <c r="AG1829" s="245"/>
    </row>
    <row r="1830" spans="1:33" ht="26.4">
      <c r="A1830" s="391"/>
      <c r="B1830" s="245"/>
      <c r="C1830" s="245"/>
      <c r="D1830" s="245"/>
      <c r="E1830" s="245"/>
      <c r="F1830" s="319"/>
      <c r="G1830" s="245"/>
      <c r="H1830" s="245"/>
      <c r="I1830" s="245"/>
      <c r="L1830" s="245"/>
      <c r="P1830" s="366"/>
      <c r="R1830" s="355"/>
      <c r="S1830" s="369"/>
      <c r="T1830" s="328"/>
      <c r="U1830" s="394" ph="1"/>
      <c r="W1830" s="216"/>
      <c r="X1830" s="245"/>
      <c r="Y1830" s="187"/>
      <c r="Z1830" s="245"/>
      <c r="AA1830" s="245"/>
      <c r="AB1830" s="332"/>
      <c r="AD1830" s="245"/>
      <c r="AE1830" s="245"/>
      <c r="AF1830" s="245"/>
      <c r="AG1830" s="245"/>
    </row>
    <row r="1831" spans="1:33" ht="26.4">
      <c r="A1831" s="391"/>
      <c r="B1831" s="245"/>
      <c r="C1831" s="245"/>
      <c r="D1831" s="245"/>
      <c r="E1831" s="245"/>
      <c r="F1831" s="319"/>
      <c r="G1831" s="245"/>
      <c r="H1831" s="245"/>
      <c r="I1831" s="245"/>
      <c r="L1831" s="123"/>
      <c r="P1831" s="366"/>
      <c r="R1831" s="355"/>
      <c r="S1831" s="369"/>
      <c r="T1831" s="328"/>
      <c r="U1831" s="394" ph="1"/>
      <c r="W1831" s="216"/>
      <c r="X1831" s="245"/>
      <c r="Y1831" s="187"/>
      <c r="Z1831" s="245"/>
      <c r="AA1831" s="245"/>
      <c r="AB1831" s="332"/>
      <c r="AD1831" s="245"/>
      <c r="AE1831" s="245"/>
      <c r="AF1831" s="245"/>
      <c r="AG1831" s="245"/>
    </row>
    <row r="1832" spans="1:33" ht="26.4">
      <c r="A1832" s="391"/>
      <c r="B1832" s="245"/>
      <c r="C1832" s="245"/>
      <c r="D1832" s="245"/>
      <c r="E1832" s="245"/>
      <c r="F1832" s="319"/>
      <c r="G1832" s="245"/>
      <c r="H1832" s="245"/>
      <c r="I1832" s="245"/>
      <c r="L1832" s="123"/>
      <c r="P1832" s="366"/>
      <c r="R1832" s="355"/>
      <c r="S1832" s="369"/>
      <c r="T1832" s="328"/>
      <c r="U1832" s="394" ph="1"/>
      <c r="W1832" s="216"/>
      <c r="X1832" s="245"/>
      <c r="Y1832" s="187"/>
      <c r="Z1832" s="245"/>
      <c r="AA1832" s="245"/>
      <c r="AB1832" s="332"/>
      <c r="AD1832" s="245"/>
      <c r="AE1832" s="245"/>
      <c r="AF1832" s="245"/>
      <c r="AG1832" s="245"/>
    </row>
    <row r="1833" spans="1:33" ht="26.4">
      <c r="A1833" s="391"/>
      <c r="B1833" s="245"/>
      <c r="C1833" s="245"/>
      <c r="D1833" s="245"/>
      <c r="E1833" s="245"/>
      <c r="F1833" s="319"/>
      <c r="G1833" s="245"/>
      <c r="H1833" s="245"/>
      <c r="I1833" s="245"/>
      <c r="L1833" s="123"/>
      <c r="P1833" s="366"/>
      <c r="R1833" s="355"/>
      <c r="S1833" s="369"/>
      <c r="T1833" s="328"/>
      <c r="U1833" s="394" ph="1"/>
      <c r="W1833" s="216"/>
      <c r="X1833" s="245"/>
      <c r="Y1833" s="187"/>
      <c r="Z1833" s="245"/>
      <c r="AA1833" s="245"/>
      <c r="AB1833" s="332"/>
      <c r="AD1833" s="245"/>
      <c r="AE1833" s="245"/>
      <c r="AF1833" s="245"/>
      <c r="AG1833" s="245"/>
    </row>
    <row r="1834" spans="1:33" ht="26.4">
      <c r="A1834" s="391"/>
      <c r="B1834" s="245"/>
      <c r="C1834" s="245"/>
      <c r="D1834" s="245"/>
      <c r="E1834" s="245"/>
      <c r="F1834" s="319"/>
      <c r="G1834" s="245"/>
      <c r="H1834" s="245"/>
      <c r="I1834" s="245"/>
      <c r="L1834" s="123"/>
      <c r="P1834" s="366"/>
      <c r="R1834" s="355"/>
      <c r="S1834" s="369"/>
      <c r="T1834" s="328"/>
      <c r="U1834" s="394" ph="1"/>
      <c r="W1834" s="216"/>
      <c r="X1834" s="245"/>
      <c r="Y1834" s="187"/>
      <c r="Z1834" s="245"/>
      <c r="AA1834" s="245"/>
      <c r="AB1834" s="332"/>
      <c r="AD1834" s="245"/>
      <c r="AE1834" s="245"/>
      <c r="AF1834" s="245"/>
      <c r="AG1834" s="245"/>
    </row>
    <row r="1835" spans="1:33" ht="26.4">
      <c r="A1835" s="391"/>
      <c r="B1835" s="245"/>
      <c r="C1835" s="245"/>
      <c r="D1835" s="245"/>
      <c r="E1835" s="245"/>
      <c r="F1835" s="319"/>
      <c r="G1835" s="245"/>
      <c r="H1835" s="245"/>
      <c r="I1835" s="245"/>
      <c r="L1835" s="123"/>
      <c r="P1835" s="366"/>
      <c r="R1835" s="355"/>
      <c r="S1835" s="369"/>
      <c r="T1835" s="328"/>
      <c r="U1835" s="394" ph="1"/>
      <c r="W1835" s="216"/>
      <c r="X1835" s="245"/>
      <c r="Y1835" s="187"/>
      <c r="Z1835" s="245"/>
      <c r="AA1835" s="245"/>
      <c r="AB1835" s="332"/>
      <c r="AD1835" s="245"/>
      <c r="AE1835" s="245"/>
      <c r="AF1835" s="245"/>
      <c r="AG1835" s="245"/>
    </row>
    <row r="1836" spans="1:33" ht="26.4">
      <c r="A1836" s="391"/>
      <c r="B1836" s="245"/>
      <c r="C1836" s="245"/>
      <c r="D1836" s="245"/>
      <c r="E1836" s="245"/>
      <c r="F1836" s="319"/>
      <c r="G1836" s="245"/>
      <c r="H1836" s="245"/>
      <c r="I1836" s="245"/>
      <c r="L1836" s="123"/>
      <c r="P1836" s="366"/>
      <c r="R1836" s="355"/>
      <c r="S1836" s="369"/>
      <c r="T1836" s="328"/>
      <c r="U1836" s="394" ph="1"/>
      <c r="W1836" s="216"/>
      <c r="X1836" s="245"/>
      <c r="Y1836" s="187"/>
      <c r="Z1836" s="245"/>
      <c r="AA1836" s="245"/>
      <c r="AB1836" s="332"/>
      <c r="AD1836" s="245"/>
      <c r="AE1836" s="245"/>
      <c r="AF1836" s="245"/>
      <c r="AG1836" s="245"/>
    </row>
    <row r="1837" spans="1:33" ht="26.4">
      <c r="A1837" s="391"/>
      <c r="B1837" s="245"/>
      <c r="C1837" s="245"/>
      <c r="D1837" s="245"/>
      <c r="E1837" s="245"/>
      <c r="F1837" s="319"/>
      <c r="G1837" s="245"/>
      <c r="H1837" s="245"/>
      <c r="I1837" s="245"/>
      <c r="L1837" s="123"/>
      <c r="P1837" s="366"/>
      <c r="R1837" s="355"/>
      <c r="S1837" s="369"/>
      <c r="T1837" s="328"/>
      <c r="U1837" s="394" ph="1"/>
      <c r="W1837" s="216"/>
      <c r="X1837" s="245"/>
      <c r="Y1837" s="187"/>
      <c r="Z1837" s="245"/>
      <c r="AA1837" s="245"/>
      <c r="AB1837" s="332"/>
      <c r="AD1837" s="245"/>
      <c r="AE1837" s="245"/>
      <c r="AF1837" s="245"/>
      <c r="AG1837" s="245"/>
    </row>
    <row r="1838" spans="1:33" ht="26.4">
      <c r="A1838" s="391"/>
      <c r="B1838" s="245"/>
      <c r="C1838" s="245"/>
      <c r="D1838" s="245"/>
      <c r="E1838" s="245"/>
      <c r="F1838" s="319"/>
      <c r="G1838" s="245"/>
      <c r="H1838" s="245"/>
      <c r="I1838" s="245"/>
      <c r="L1838" s="123"/>
      <c r="P1838" s="366"/>
      <c r="R1838" s="355"/>
      <c r="S1838" s="369"/>
      <c r="T1838" s="328"/>
      <c r="U1838" s="394" ph="1"/>
      <c r="W1838" s="216"/>
      <c r="X1838" s="245"/>
      <c r="Y1838" s="187"/>
      <c r="Z1838" s="245"/>
      <c r="AA1838" s="245"/>
      <c r="AB1838" s="332"/>
      <c r="AD1838" s="245"/>
      <c r="AE1838" s="245"/>
      <c r="AF1838" s="245"/>
      <c r="AG1838" s="245"/>
    </row>
    <row r="1839" spans="1:33" ht="26.4">
      <c r="A1839" s="391"/>
      <c r="B1839" s="245"/>
      <c r="C1839" s="245"/>
      <c r="D1839" s="245"/>
      <c r="E1839" s="245"/>
      <c r="F1839" s="319"/>
      <c r="G1839" s="245"/>
      <c r="H1839" s="245"/>
      <c r="I1839" s="245"/>
      <c r="L1839" s="123"/>
      <c r="P1839" s="366"/>
      <c r="R1839" s="355"/>
      <c r="S1839" s="369"/>
      <c r="T1839" s="328"/>
      <c r="U1839" s="394" ph="1"/>
      <c r="W1839" s="216"/>
      <c r="X1839" s="245"/>
      <c r="Y1839" s="187"/>
      <c r="Z1839" s="245"/>
      <c r="AA1839" s="245"/>
      <c r="AB1839" s="332"/>
      <c r="AD1839" s="245"/>
      <c r="AE1839" s="245"/>
      <c r="AF1839" s="245"/>
      <c r="AG1839" s="245"/>
    </row>
    <row r="1840" spans="1:33" ht="26.4">
      <c r="A1840" s="391"/>
      <c r="B1840" s="245"/>
      <c r="C1840" s="245"/>
      <c r="D1840" s="245"/>
      <c r="E1840" s="245"/>
      <c r="F1840" s="319"/>
      <c r="G1840" s="245"/>
      <c r="H1840" s="245"/>
      <c r="I1840" s="245"/>
      <c r="L1840" s="123"/>
      <c r="P1840" s="366"/>
      <c r="R1840" s="355"/>
      <c r="S1840" s="369"/>
      <c r="T1840" s="328"/>
      <c r="U1840" s="394" ph="1"/>
      <c r="W1840" s="216"/>
      <c r="X1840" s="245"/>
      <c r="Y1840" s="187"/>
      <c r="Z1840" s="245"/>
      <c r="AA1840" s="245"/>
      <c r="AB1840" s="332"/>
      <c r="AD1840" s="245"/>
      <c r="AE1840" s="245"/>
      <c r="AF1840" s="245"/>
      <c r="AG1840" s="245"/>
    </row>
    <row r="1841" spans="1:33" ht="26.4">
      <c r="A1841" s="391"/>
      <c r="B1841" s="245"/>
      <c r="C1841" s="245"/>
      <c r="D1841" s="245"/>
      <c r="E1841" s="245"/>
      <c r="F1841" s="319"/>
      <c r="G1841" s="245"/>
      <c r="H1841" s="245"/>
      <c r="I1841" s="245"/>
      <c r="L1841" s="123"/>
      <c r="P1841" s="366"/>
      <c r="R1841" s="355"/>
      <c r="S1841" s="369"/>
      <c r="T1841" s="328"/>
      <c r="U1841" s="394" ph="1"/>
      <c r="W1841" s="216"/>
      <c r="X1841" s="245"/>
      <c r="Y1841" s="187"/>
      <c r="Z1841" s="245"/>
      <c r="AA1841" s="245"/>
      <c r="AB1841" s="332"/>
      <c r="AD1841" s="245"/>
      <c r="AE1841" s="245"/>
      <c r="AF1841" s="245"/>
      <c r="AG1841" s="245"/>
    </row>
    <row r="1842" spans="1:33" ht="26.4">
      <c r="A1842" s="391"/>
      <c r="B1842" s="245"/>
      <c r="C1842" s="245"/>
      <c r="D1842" s="245"/>
      <c r="E1842" s="245"/>
      <c r="F1842" s="319"/>
      <c r="G1842" s="245"/>
      <c r="H1842" s="245"/>
      <c r="I1842" s="245"/>
      <c r="L1842" s="123"/>
      <c r="P1842" s="366"/>
      <c r="R1842" s="355"/>
      <c r="S1842" s="369"/>
      <c r="T1842" s="328"/>
      <c r="U1842" s="394" ph="1"/>
      <c r="W1842" s="216"/>
      <c r="X1842" s="245"/>
      <c r="Y1842" s="187"/>
      <c r="Z1842" s="245"/>
      <c r="AA1842" s="245"/>
      <c r="AB1842" s="332"/>
      <c r="AD1842" s="245"/>
      <c r="AE1842" s="245"/>
      <c r="AF1842" s="245"/>
      <c r="AG1842" s="245"/>
    </row>
    <row r="1843" spans="1:33" ht="26.4">
      <c r="A1843" s="391"/>
      <c r="B1843" s="245"/>
      <c r="C1843" s="245"/>
      <c r="D1843" s="245"/>
      <c r="E1843" s="245"/>
      <c r="F1843" s="319"/>
      <c r="G1843" s="245"/>
      <c r="H1843" s="245"/>
      <c r="I1843" s="245"/>
      <c r="L1843" s="123"/>
      <c r="P1843" s="366"/>
      <c r="R1843" s="355"/>
      <c r="S1843" s="369"/>
      <c r="T1843" s="328"/>
      <c r="U1843" s="394" ph="1"/>
      <c r="W1843" s="216"/>
      <c r="X1843" s="245"/>
      <c r="Y1843" s="187"/>
      <c r="Z1843" s="245"/>
      <c r="AA1843" s="245"/>
      <c r="AB1843" s="332"/>
      <c r="AD1843" s="245"/>
      <c r="AE1843" s="245"/>
      <c r="AF1843" s="245"/>
      <c r="AG1843" s="245"/>
    </row>
    <row r="1844" spans="1:33" ht="26.4">
      <c r="A1844" s="391"/>
      <c r="B1844" s="245"/>
      <c r="C1844" s="245"/>
      <c r="D1844" s="245"/>
      <c r="E1844" s="245"/>
      <c r="F1844" s="319"/>
      <c r="G1844" s="245"/>
      <c r="H1844" s="245"/>
      <c r="I1844" s="245"/>
      <c r="L1844" s="123"/>
      <c r="P1844" s="366"/>
      <c r="R1844" s="355"/>
      <c r="S1844" s="369"/>
      <c r="T1844" s="328"/>
      <c r="U1844" s="394" ph="1"/>
      <c r="W1844" s="216"/>
      <c r="X1844" s="245"/>
      <c r="Y1844" s="187"/>
      <c r="Z1844" s="245"/>
      <c r="AA1844" s="245"/>
      <c r="AB1844" s="332"/>
      <c r="AD1844" s="245"/>
      <c r="AE1844" s="245"/>
      <c r="AF1844" s="245"/>
      <c r="AG1844" s="245"/>
    </row>
    <row r="1845" spans="1:33" ht="26.4">
      <c r="A1845" s="391"/>
      <c r="B1845" s="245"/>
      <c r="C1845" s="245"/>
      <c r="D1845" s="245"/>
      <c r="E1845" s="245"/>
      <c r="F1845" s="319"/>
      <c r="G1845" s="245"/>
      <c r="H1845" s="245"/>
      <c r="I1845" s="245"/>
      <c r="L1845" s="123"/>
      <c r="P1845" s="366"/>
      <c r="R1845" s="355"/>
      <c r="S1845" s="369"/>
      <c r="T1845" s="328"/>
      <c r="U1845" s="394" ph="1"/>
      <c r="W1845" s="216"/>
      <c r="X1845" s="245"/>
      <c r="Y1845" s="187"/>
      <c r="Z1845" s="245"/>
      <c r="AA1845" s="245"/>
      <c r="AB1845" s="332"/>
      <c r="AD1845" s="245"/>
      <c r="AE1845" s="245"/>
      <c r="AF1845" s="245"/>
      <c r="AG1845" s="245"/>
    </row>
    <row r="1846" spans="1:33" ht="26.4">
      <c r="A1846" s="391"/>
      <c r="B1846" s="245"/>
      <c r="C1846" s="245"/>
      <c r="D1846" s="245"/>
      <c r="E1846" s="245"/>
      <c r="F1846" s="319"/>
      <c r="G1846" s="245"/>
      <c r="H1846" s="245"/>
      <c r="I1846" s="245"/>
      <c r="L1846" s="123"/>
      <c r="P1846" s="366"/>
      <c r="R1846" s="355"/>
      <c r="S1846" s="369"/>
      <c r="T1846" s="328"/>
      <c r="U1846" s="394" ph="1"/>
      <c r="W1846" s="216"/>
      <c r="X1846" s="245"/>
      <c r="Y1846" s="187"/>
      <c r="Z1846" s="245"/>
      <c r="AA1846" s="245"/>
      <c r="AB1846" s="332"/>
      <c r="AD1846" s="245"/>
      <c r="AE1846" s="245"/>
      <c r="AF1846" s="245"/>
      <c r="AG1846" s="245"/>
    </row>
    <row r="1847" spans="1:33" ht="26.4">
      <c r="A1847" s="391"/>
      <c r="B1847" s="245"/>
      <c r="C1847" s="245"/>
      <c r="D1847" s="245"/>
      <c r="E1847" s="245"/>
      <c r="F1847" s="319"/>
      <c r="G1847" s="245"/>
      <c r="H1847" s="245"/>
      <c r="I1847" s="245"/>
      <c r="L1847" s="123"/>
      <c r="P1847" s="366"/>
      <c r="R1847" s="355"/>
      <c r="S1847" s="369"/>
      <c r="T1847" s="328"/>
      <c r="U1847" s="394" ph="1"/>
      <c r="W1847" s="216"/>
      <c r="X1847" s="245"/>
      <c r="Y1847" s="187"/>
      <c r="Z1847" s="245"/>
      <c r="AA1847" s="245"/>
      <c r="AB1847" s="332"/>
      <c r="AD1847" s="245"/>
      <c r="AE1847" s="245"/>
      <c r="AF1847" s="245"/>
      <c r="AG1847" s="245"/>
    </row>
    <row r="1848" spans="1:33" ht="26.4">
      <c r="A1848" s="391"/>
      <c r="B1848" s="245"/>
      <c r="C1848" s="245"/>
      <c r="D1848" s="245"/>
      <c r="E1848" s="245"/>
      <c r="F1848" s="319"/>
      <c r="G1848" s="245"/>
      <c r="H1848" s="245"/>
      <c r="I1848" s="245"/>
      <c r="L1848" s="123"/>
      <c r="P1848" s="366"/>
      <c r="R1848" s="355"/>
      <c r="S1848" s="369"/>
      <c r="T1848" s="328"/>
      <c r="U1848" s="394" ph="1"/>
      <c r="W1848" s="216"/>
      <c r="X1848" s="245"/>
      <c r="Y1848" s="187"/>
      <c r="Z1848" s="245"/>
      <c r="AA1848" s="245"/>
      <c r="AB1848" s="332"/>
      <c r="AD1848" s="245"/>
      <c r="AE1848" s="245"/>
      <c r="AF1848" s="245"/>
      <c r="AG1848" s="245"/>
    </row>
    <row r="1849" spans="1:33" ht="26.4">
      <c r="A1849" s="391"/>
      <c r="B1849" s="245"/>
      <c r="C1849" s="245"/>
      <c r="D1849" s="245"/>
      <c r="E1849" s="245"/>
      <c r="F1849" s="319"/>
      <c r="G1849" s="245"/>
      <c r="H1849" s="245"/>
      <c r="I1849" s="245"/>
      <c r="L1849" s="123"/>
      <c r="P1849" s="366"/>
      <c r="R1849" s="355"/>
      <c r="S1849" s="369"/>
      <c r="T1849" s="328"/>
      <c r="U1849" s="394" ph="1"/>
      <c r="W1849" s="216"/>
      <c r="X1849" s="245"/>
      <c r="Y1849" s="187"/>
      <c r="Z1849" s="245"/>
      <c r="AA1849" s="245"/>
      <c r="AB1849" s="332"/>
      <c r="AD1849" s="245"/>
      <c r="AE1849" s="245"/>
      <c r="AF1849" s="245"/>
      <c r="AG1849" s="245"/>
    </row>
    <row r="1850" spans="1:33" ht="26.4">
      <c r="A1850" s="391"/>
      <c r="B1850" s="245"/>
      <c r="C1850" s="245"/>
      <c r="D1850" s="245"/>
      <c r="E1850" s="245"/>
      <c r="F1850" s="319"/>
      <c r="G1850" s="245"/>
      <c r="H1850" s="245"/>
      <c r="I1850" s="245"/>
      <c r="L1850" s="123"/>
      <c r="P1850" s="366"/>
      <c r="R1850" s="355"/>
      <c r="S1850" s="369"/>
      <c r="T1850" s="328"/>
      <c r="U1850" s="394" ph="1"/>
      <c r="W1850" s="216"/>
      <c r="X1850" s="245"/>
      <c r="Y1850" s="187"/>
      <c r="Z1850" s="245"/>
      <c r="AA1850" s="245"/>
      <c r="AB1850" s="332"/>
      <c r="AD1850" s="245"/>
      <c r="AE1850" s="245"/>
      <c r="AF1850" s="245"/>
      <c r="AG1850" s="245"/>
    </row>
    <row r="1851" spans="1:33" ht="26.4">
      <c r="A1851" s="391"/>
      <c r="B1851" s="245"/>
      <c r="C1851" s="245"/>
      <c r="D1851" s="245"/>
      <c r="E1851" s="245"/>
      <c r="F1851" s="319"/>
      <c r="G1851" s="245"/>
      <c r="H1851" s="245"/>
      <c r="I1851" s="245"/>
      <c r="L1851" s="123"/>
      <c r="P1851" s="366"/>
      <c r="R1851" s="355"/>
      <c r="S1851" s="369"/>
      <c r="T1851" s="328"/>
      <c r="U1851" s="394" ph="1"/>
      <c r="W1851" s="216"/>
      <c r="X1851" s="245"/>
      <c r="Y1851" s="187"/>
      <c r="Z1851" s="245"/>
      <c r="AA1851" s="245"/>
      <c r="AB1851" s="332"/>
      <c r="AD1851" s="245"/>
      <c r="AE1851" s="245"/>
      <c r="AF1851" s="245"/>
      <c r="AG1851" s="245"/>
    </row>
    <row r="1852" spans="1:33" ht="26.4">
      <c r="A1852" s="391"/>
      <c r="B1852" s="245"/>
      <c r="C1852" s="245"/>
      <c r="D1852" s="245"/>
      <c r="E1852" s="245"/>
      <c r="F1852" s="319"/>
      <c r="G1852" s="245"/>
      <c r="H1852" s="245"/>
      <c r="I1852" s="245"/>
      <c r="L1852" s="123"/>
      <c r="P1852" s="366"/>
      <c r="R1852" s="355"/>
      <c r="S1852" s="369"/>
      <c r="T1852" s="328"/>
      <c r="U1852" s="394" ph="1"/>
      <c r="W1852" s="216"/>
      <c r="X1852" s="245"/>
      <c r="Y1852" s="187"/>
      <c r="Z1852" s="245"/>
      <c r="AA1852" s="245"/>
      <c r="AB1852" s="332"/>
      <c r="AD1852" s="245"/>
      <c r="AE1852" s="245"/>
      <c r="AF1852" s="245"/>
      <c r="AG1852" s="245"/>
    </row>
    <row r="1853" spans="1:33" ht="26.4">
      <c r="A1853" s="391"/>
      <c r="B1853" s="245"/>
      <c r="C1853" s="245"/>
      <c r="D1853" s="245"/>
      <c r="E1853" s="245"/>
      <c r="F1853" s="319"/>
      <c r="G1853" s="245"/>
      <c r="H1853" s="245"/>
      <c r="I1853" s="245"/>
      <c r="L1853" s="123"/>
      <c r="P1853" s="366"/>
      <c r="R1853" s="355"/>
      <c r="S1853" s="369"/>
      <c r="T1853" s="328"/>
      <c r="U1853" s="394" ph="1"/>
      <c r="W1853" s="216"/>
      <c r="X1853" s="245"/>
      <c r="Y1853" s="187"/>
      <c r="Z1853" s="245"/>
      <c r="AA1853" s="245"/>
      <c r="AB1853" s="332"/>
      <c r="AD1853" s="245"/>
      <c r="AE1853" s="245"/>
      <c r="AF1853" s="245"/>
      <c r="AG1853" s="245"/>
    </row>
    <row r="1854" spans="1:33" ht="26.4">
      <c r="A1854" s="391"/>
      <c r="B1854" s="245"/>
      <c r="C1854" s="245"/>
      <c r="D1854" s="245"/>
      <c r="E1854" s="245"/>
      <c r="F1854" s="319"/>
      <c r="G1854" s="245"/>
      <c r="H1854" s="245"/>
      <c r="I1854" s="245"/>
      <c r="L1854" s="123"/>
      <c r="P1854" s="366"/>
      <c r="R1854" s="355"/>
      <c r="S1854" s="369"/>
      <c r="T1854" s="328"/>
      <c r="U1854" s="394" ph="1"/>
      <c r="W1854" s="216"/>
      <c r="X1854" s="245"/>
      <c r="Y1854" s="187"/>
      <c r="Z1854" s="245"/>
      <c r="AA1854" s="245"/>
      <c r="AB1854" s="332"/>
      <c r="AD1854" s="245"/>
      <c r="AE1854" s="245"/>
      <c r="AF1854" s="245"/>
      <c r="AG1854" s="245"/>
    </row>
    <row r="1855" spans="1:33" ht="26.4">
      <c r="A1855" s="391"/>
      <c r="B1855" s="245"/>
      <c r="C1855" s="245"/>
      <c r="D1855" s="245"/>
      <c r="E1855" s="245"/>
      <c r="F1855" s="319"/>
      <c r="G1855" s="245"/>
      <c r="H1855" s="245"/>
      <c r="I1855" s="245"/>
      <c r="L1855" s="123"/>
      <c r="P1855" s="366"/>
      <c r="R1855" s="355"/>
      <c r="S1855" s="369"/>
      <c r="T1855" s="328"/>
      <c r="U1855" s="394" ph="1"/>
      <c r="W1855" s="216"/>
      <c r="X1855" s="245"/>
      <c r="Y1855" s="187"/>
      <c r="Z1855" s="245"/>
      <c r="AA1855" s="245"/>
      <c r="AB1855" s="332"/>
      <c r="AD1855" s="245"/>
      <c r="AE1855" s="245"/>
      <c r="AF1855" s="245"/>
      <c r="AG1855" s="245"/>
    </row>
    <row r="1856" spans="1:33" ht="26.4">
      <c r="A1856" s="391"/>
      <c r="B1856" s="245"/>
      <c r="C1856" s="245"/>
      <c r="D1856" s="245"/>
      <c r="E1856" s="245"/>
      <c r="F1856" s="319"/>
      <c r="G1856" s="245"/>
      <c r="H1856" s="245"/>
      <c r="I1856" s="245"/>
      <c r="L1856" s="123"/>
      <c r="P1856" s="366"/>
      <c r="R1856" s="355"/>
      <c r="S1856" s="369"/>
      <c r="T1856" s="328"/>
      <c r="U1856" s="394" ph="1"/>
      <c r="W1856" s="216"/>
      <c r="X1856" s="245"/>
      <c r="Y1856" s="187"/>
      <c r="Z1856" s="245"/>
      <c r="AA1856" s="245"/>
      <c r="AB1856" s="332"/>
      <c r="AD1856" s="245"/>
      <c r="AE1856" s="245"/>
      <c r="AF1856" s="245"/>
      <c r="AG1856" s="245"/>
    </row>
    <row r="1857" spans="1:33" ht="26.4">
      <c r="A1857" s="391"/>
      <c r="B1857" s="245"/>
      <c r="C1857" s="245"/>
      <c r="D1857" s="245"/>
      <c r="E1857" s="245"/>
      <c r="F1857" s="319"/>
      <c r="G1857" s="245"/>
      <c r="H1857" s="245"/>
      <c r="I1857" s="245"/>
      <c r="L1857" s="123"/>
      <c r="P1857" s="366"/>
      <c r="R1857" s="355"/>
      <c r="S1857" s="369"/>
      <c r="T1857" s="328"/>
      <c r="U1857" s="394" ph="1"/>
      <c r="W1857" s="216"/>
      <c r="X1857" s="245"/>
      <c r="Y1857" s="187"/>
      <c r="Z1857" s="245"/>
      <c r="AA1857" s="245"/>
      <c r="AB1857" s="332"/>
      <c r="AD1857" s="245"/>
      <c r="AE1857" s="245"/>
      <c r="AF1857" s="245"/>
      <c r="AG1857" s="245"/>
    </row>
    <row r="1858" spans="1:33" ht="26.4">
      <c r="A1858" s="391"/>
      <c r="B1858" s="245"/>
      <c r="C1858" s="245"/>
      <c r="D1858" s="245"/>
      <c r="E1858" s="245"/>
      <c r="F1858" s="319"/>
      <c r="G1858" s="245"/>
      <c r="H1858" s="245"/>
      <c r="I1858" s="245"/>
      <c r="L1858" s="123"/>
      <c r="P1858" s="366"/>
      <c r="R1858" s="355"/>
      <c r="S1858" s="369"/>
      <c r="T1858" s="328"/>
      <c r="U1858" s="394" ph="1"/>
      <c r="W1858" s="216"/>
      <c r="X1858" s="245"/>
      <c r="Y1858" s="187"/>
      <c r="Z1858" s="245"/>
      <c r="AA1858" s="245"/>
      <c r="AB1858" s="332"/>
      <c r="AD1858" s="245"/>
      <c r="AE1858" s="245"/>
      <c r="AF1858" s="245"/>
      <c r="AG1858" s="245"/>
    </row>
    <row r="1859" spans="1:33" ht="26.4">
      <c r="A1859" s="391"/>
      <c r="B1859" s="245"/>
      <c r="C1859" s="245"/>
      <c r="D1859" s="245"/>
      <c r="E1859" s="245"/>
      <c r="F1859" s="319"/>
      <c r="G1859" s="245"/>
      <c r="H1859" s="245"/>
      <c r="I1859" s="245"/>
      <c r="L1859" s="123"/>
      <c r="P1859" s="366"/>
      <c r="R1859" s="355"/>
      <c r="S1859" s="369"/>
      <c r="T1859" s="328"/>
      <c r="U1859" s="394" ph="1"/>
      <c r="W1859" s="216"/>
      <c r="X1859" s="245"/>
      <c r="Y1859" s="187"/>
      <c r="Z1859" s="245"/>
      <c r="AA1859" s="245"/>
      <c r="AB1859" s="332"/>
      <c r="AD1859" s="245"/>
      <c r="AE1859" s="245"/>
      <c r="AF1859" s="245"/>
      <c r="AG1859" s="245"/>
    </row>
    <row r="1860" spans="1:33" ht="26.4">
      <c r="A1860" s="391"/>
      <c r="B1860" s="245"/>
      <c r="C1860" s="245"/>
      <c r="D1860" s="245"/>
      <c r="E1860" s="245"/>
      <c r="F1860" s="319"/>
      <c r="G1860" s="245"/>
      <c r="H1860" s="245"/>
      <c r="I1860" s="245"/>
      <c r="L1860" s="123"/>
      <c r="P1860" s="366"/>
      <c r="R1860" s="355"/>
      <c r="S1860" s="369"/>
      <c r="T1860" s="328"/>
      <c r="U1860" s="394" ph="1"/>
      <c r="W1860" s="216"/>
      <c r="X1860" s="245"/>
      <c r="Y1860" s="187"/>
      <c r="Z1860" s="245"/>
      <c r="AA1860" s="245"/>
      <c r="AB1860" s="332"/>
      <c r="AD1860" s="245"/>
      <c r="AE1860" s="245"/>
      <c r="AF1860" s="245"/>
      <c r="AG1860" s="245"/>
    </row>
    <row r="1861" spans="1:33" ht="26.4">
      <c r="A1861" s="391"/>
      <c r="B1861" s="245"/>
      <c r="C1861" s="245"/>
      <c r="D1861" s="245"/>
      <c r="E1861" s="245"/>
      <c r="F1861" s="319"/>
      <c r="G1861" s="245"/>
      <c r="H1861" s="245"/>
      <c r="I1861" s="245"/>
      <c r="L1861" s="123"/>
      <c r="P1861" s="366"/>
      <c r="R1861" s="355"/>
      <c r="S1861" s="369"/>
      <c r="T1861" s="328"/>
      <c r="U1861" s="394" ph="1"/>
      <c r="W1861" s="216"/>
      <c r="X1861" s="245"/>
      <c r="Y1861" s="187"/>
      <c r="Z1861" s="245"/>
      <c r="AA1861" s="245"/>
      <c r="AB1861" s="332"/>
      <c r="AD1861" s="245"/>
      <c r="AE1861" s="245"/>
      <c r="AF1861" s="245"/>
      <c r="AG1861" s="245"/>
    </row>
    <row r="1862" spans="1:33" ht="26.4">
      <c r="A1862" s="391"/>
      <c r="B1862" s="245"/>
      <c r="C1862" s="245"/>
      <c r="D1862" s="245"/>
      <c r="E1862" s="245"/>
      <c r="F1862" s="319"/>
      <c r="G1862" s="245"/>
      <c r="H1862" s="245"/>
      <c r="I1862" s="245"/>
      <c r="L1862" s="123"/>
      <c r="P1862" s="366"/>
      <c r="R1862" s="355"/>
      <c r="S1862" s="369"/>
      <c r="T1862" s="328"/>
      <c r="U1862" s="394" ph="1"/>
      <c r="W1862" s="216"/>
      <c r="X1862" s="245"/>
      <c r="Y1862" s="187"/>
      <c r="Z1862" s="245"/>
      <c r="AA1862" s="245"/>
      <c r="AB1862" s="332"/>
      <c r="AD1862" s="245"/>
      <c r="AE1862" s="245"/>
      <c r="AF1862" s="245"/>
      <c r="AG1862" s="245"/>
    </row>
    <row r="1863" spans="1:33" ht="26.4">
      <c r="A1863" s="391"/>
      <c r="B1863" s="245"/>
      <c r="C1863" s="245"/>
      <c r="D1863" s="245"/>
      <c r="E1863" s="245"/>
      <c r="F1863" s="319"/>
      <c r="G1863" s="245"/>
      <c r="H1863" s="245"/>
      <c r="I1863" s="245"/>
      <c r="L1863" s="245"/>
      <c r="P1863" s="366"/>
      <c r="R1863" s="355"/>
      <c r="S1863" s="369"/>
      <c r="T1863" s="328"/>
      <c r="U1863" s="394" ph="1"/>
      <c r="W1863" s="216"/>
      <c r="X1863" s="245"/>
      <c r="Y1863" s="187"/>
      <c r="Z1863" s="245"/>
      <c r="AA1863" s="245"/>
      <c r="AB1863" s="332"/>
      <c r="AD1863" s="245"/>
      <c r="AE1863" s="245"/>
      <c r="AF1863" s="245"/>
      <c r="AG1863" s="245"/>
    </row>
    <row r="1864" spans="1:33" ht="26.4">
      <c r="A1864" s="391"/>
      <c r="B1864" s="245"/>
      <c r="C1864" s="245"/>
      <c r="D1864" s="245"/>
      <c r="E1864" s="245"/>
      <c r="F1864" s="319"/>
      <c r="G1864" s="245"/>
      <c r="H1864" s="245"/>
      <c r="I1864" s="245"/>
      <c r="L1864" s="245"/>
      <c r="P1864" s="366"/>
      <c r="R1864" s="355"/>
      <c r="S1864" s="369"/>
      <c r="T1864" s="328"/>
      <c r="U1864" s="394" ph="1"/>
      <c r="W1864" s="216"/>
      <c r="X1864" s="245"/>
      <c r="Y1864" s="187"/>
      <c r="Z1864" s="245"/>
      <c r="AA1864" s="245"/>
      <c r="AB1864" s="332"/>
      <c r="AD1864" s="245"/>
      <c r="AE1864" s="245"/>
      <c r="AF1864" s="245"/>
      <c r="AG1864" s="245"/>
    </row>
    <row r="1865" spans="1:33" ht="26.4">
      <c r="A1865" s="391"/>
      <c r="B1865" s="245"/>
      <c r="C1865" s="245"/>
      <c r="D1865" s="245"/>
      <c r="E1865" s="245"/>
      <c r="F1865" s="319"/>
      <c r="G1865" s="245"/>
      <c r="H1865" s="245"/>
      <c r="I1865" s="245"/>
      <c r="L1865" s="123"/>
      <c r="P1865" s="366"/>
      <c r="R1865" s="355"/>
      <c r="S1865" s="369"/>
      <c r="T1865" s="328"/>
      <c r="U1865" s="394" ph="1"/>
      <c r="W1865" s="216"/>
      <c r="X1865" s="245"/>
      <c r="Y1865" s="187"/>
      <c r="Z1865" s="245"/>
      <c r="AA1865" s="245"/>
      <c r="AB1865" s="332"/>
      <c r="AD1865" s="245"/>
      <c r="AE1865" s="245"/>
      <c r="AF1865" s="245"/>
      <c r="AG1865" s="245"/>
    </row>
    <row r="1866" spans="1:33" ht="26.4">
      <c r="A1866" s="391"/>
      <c r="B1866" s="245"/>
      <c r="C1866" s="245"/>
      <c r="D1866" s="245"/>
      <c r="E1866" s="245"/>
      <c r="F1866" s="319"/>
      <c r="G1866" s="245"/>
      <c r="H1866" s="245"/>
      <c r="I1866" s="245"/>
      <c r="L1866" s="123"/>
      <c r="P1866" s="366"/>
      <c r="R1866" s="355"/>
      <c r="S1866" s="369"/>
      <c r="T1866" s="328"/>
      <c r="U1866" s="394" ph="1"/>
      <c r="W1866" s="216"/>
      <c r="X1866" s="245"/>
      <c r="Y1866" s="187"/>
      <c r="Z1866" s="245"/>
      <c r="AA1866" s="245"/>
      <c r="AB1866" s="332"/>
      <c r="AD1866" s="245"/>
      <c r="AE1866" s="245"/>
      <c r="AF1866" s="245"/>
      <c r="AG1866" s="245"/>
    </row>
    <row r="1867" spans="1:33" ht="26.4">
      <c r="A1867" s="391"/>
      <c r="B1867" s="245"/>
      <c r="C1867" s="245"/>
      <c r="D1867" s="245"/>
      <c r="E1867" s="245"/>
      <c r="F1867" s="319"/>
      <c r="G1867" s="245"/>
      <c r="H1867" s="245"/>
      <c r="I1867" s="245"/>
      <c r="L1867" s="123"/>
      <c r="P1867" s="366"/>
      <c r="R1867" s="355"/>
      <c r="S1867" s="369"/>
      <c r="T1867" s="328"/>
      <c r="U1867" s="394" ph="1"/>
      <c r="W1867" s="216"/>
      <c r="X1867" s="245"/>
      <c r="Y1867" s="187"/>
      <c r="Z1867" s="245"/>
      <c r="AA1867" s="245"/>
      <c r="AB1867" s="332"/>
      <c r="AD1867" s="245"/>
      <c r="AE1867" s="245"/>
      <c r="AF1867" s="245"/>
      <c r="AG1867" s="245"/>
    </row>
    <row r="1868" spans="1:33" ht="26.4">
      <c r="A1868" s="391"/>
      <c r="B1868" s="245"/>
      <c r="C1868" s="245"/>
      <c r="D1868" s="245"/>
      <c r="E1868" s="245"/>
      <c r="F1868" s="319"/>
      <c r="G1868" s="245"/>
      <c r="H1868" s="245"/>
      <c r="I1868" s="245"/>
      <c r="L1868" s="123"/>
      <c r="P1868" s="366"/>
      <c r="R1868" s="355"/>
      <c r="S1868" s="369"/>
      <c r="T1868" s="328"/>
      <c r="U1868" s="394" ph="1"/>
      <c r="W1868" s="216"/>
      <c r="X1868" s="245"/>
      <c r="Y1868" s="187"/>
      <c r="Z1868" s="245"/>
      <c r="AA1868" s="245"/>
      <c r="AB1868" s="332"/>
      <c r="AD1868" s="245"/>
      <c r="AE1868" s="245"/>
      <c r="AF1868" s="245"/>
      <c r="AG1868" s="245"/>
    </row>
    <row r="1869" spans="1:33" ht="26.4">
      <c r="A1869" s="391"/>
      <c r="B1869" s="245"/>
      <c r="C1869" s="245"/>
      <c r="D1869" s="245"/>
      <c r="E1869" s="245"/>
      <c r="F1869" s="319"/>
      <c r="G1869" s="245"/>
      <c r="H1869" s="245"/>
      <c r="I1869" s="245"/>
      <c r="L1869" s="123"/>
      <c r="P1869" s="366"/>
      <c r="R1869" s="355"/>
      <c r="S1869" s="369"/>
      <c r="T1869" s="328"/>
      <c r="U1869" s="394" ph="1"/>
      <c r="W1869" s="216"/>
      <c r="X1869" s="245"/>
      <c r="Y1869" s="187"/>
      <c r="Z1869" s="245"/>
      <c r="AA1869" s="245"/>
      <c r="AB1869" s="332"/>
      <c r="AD1869" s="245"/>
      <c r="AE1869" s="245"/>
      <c r="AF1869" s="245"/>
      <c r="AG1869" s="245"/>
    </row>
    <row r="1870" spans="1:33" ht="26.4">
      <c r="A1870" s="391"/>
      <c r="B1870" s="245"/>
      <c r="C1870" s="245"/>
      <c r="D1870" s="245"/>
      <c r="E1870" s="245"/>
      <c r="F1870" s="319"/>
      <c r="G1870" s="245"/>
      <c r="H1870" s="245"/>
      <c r="I1870" s="245"/>
      <c r="L1870" s="123"/>
      <c r="P1870" s="366"/>
      <c r="R1870" s="355"/>
      <c r="S1870" s="369"/>
      <c r="T1870" s="328"/>
      <c r="U1870" s="394" ph="1"/>
      <c r="W1870" s="216"/>
      <c r="X1870" s="245"/>
      <c r="Y1870" s="187"/>
      <c r="Z1870" s="245"/>
      <c r="AA1870" s="245"/>
      <c r="AB1870" s="332"/>
      <c r="AD1870" s="245"/>
      <c r="AE1870" s="245"/>
      <c r="AF1870" s="245"/>
      <c r="AG1870" s="245"/>
    </row>
    <row r="1871" spans="1:33" ht="26.4">
      <c r="A1871" s="391"/>
      <c r="B1871" s="245"/>
      <c r="C1871" s="245"/>
      <c r="D1871" s="245"/>
      <c r="E1871" s="245"/>
      <c r="F1871" s="319"/>
      <c r="G1871" s="245"/>
      <c r="H1871" s="245"/>
      <c r="I1871" s="245"/>
      <c r="L1871" s="123"/>
      <c r="P1871" s="366"/>
      <c r="R1871" s="355"/>
      <c r="S1871" s="369"/>
      <c r="T1871" s="328"/>
      <c r="U1871" s="394" ph="1"/>
      <c r="W1871" s="216"/>
      <c r="X1871" s="245"/>
      <c r="Y1871" s="187"/>
      <c r="Z1871" s="245"/>
      <c r="AA1871" s="245"/>
      <c r="AB1871" s="332"/>
      <c r="AD1871" s="245"/>
      <c r="AE1871" s="245"/>
      <c r="AF1871" s="245"/>
      <c r="AG1871" s="245"/>
    </row>
    <row r="1872" spans="1:33" ht="26.4">
      <c r="A1872" s="391"/>
      <c r="B1872" s="245"/>
      <c r="C1872" s="245"/>
      <c r="D1872" s="245"/>
      <c r="E1872" s="245"/>
      <c r="F1872" s="319"/>
      <c r="G1872" s="245"/>
      <c r="H1872" s="245"/>
      <c r="I1872" s="245"/>
      <c r="L1872" s="123"/>
      <c r="P1872" s="366"/>
      <c r="R1872" s="355"/>
      <c r="S1872" s="369"/>
      <c r="T1872" s="328"/>
      <c r="U1872" s="394" ph="1"/>
      <c r="W1872" s="216"/>
      <c r="X1872" s="245"/>
      <c r="Y1872" s="187"/>
      <c r="Z1872" s="245"/>
      <c r="AA1872" s="245"/>
      <c r="AB1872" s="332"/>
      <c r="AD1872" s="245"/>
      <c r="AE1872" s="245"/>
      <c r="AF1872" s="245"/>
      <c r="AG1872" s="245"/>
    </row>
    <row r="1873" spans="1:33" ht="26.4">
      <c r="A1873" s="391"/>
      <c r="B1873" s="245"/>
      <c r="C1873" s="245"/>
      <c r="D1873" s="245"/>
      <c r="E1873" s="245"/>
      <c r="F1873" s="319"/>
      <c r="G1873" s="245"/>
      <c r="H1873" s="245"/>
      <c r="I1873" s="245"/>
      <c r="L1873" s="245"/>
      <c r="P1873" s="366"/>
      <c r="R1873" s="355"/>
      <c r="S1873" s="369"/>
      <c r="T1873" s="328"/>
      <c r="U1873" s="394" ph="1"/>
      <c r="W1873" s="216"/>
      <c r="X1873" s="245"/>
      <c r="Y1873" s="187"/>
      <c r="Z1873" s="245"/>
      <c r="AA1873" s="245"/>
      <c r="AB1873" s="332"/>
      <c r="AD1873" s="245"/>
      <c r="AE1873" s="245"/>
      <c r="AF1873" s="245"/>
      <c r="AG1873" s="245"/>
    </row>
    <row r="1874" spans="1:33" ht="26.4">
      <c r="A1874" s="391"/>
      <c r="B1874" s="245"/>
      <c r="C1874" s="245"/>
      <c r="D1874" s="245"/>
      <c r="E1874" s="245"/>
      <c r="F1874" s="319"/>
      <c r="G1874" s="245"/>
      <c r="H1874" s="245"/>
      <c r="I1874" s="245"/>
      <c r="L1874" s="123"/>
      <c r="P1874" s="366"/>
      <c r="R1874" s="355"/>
      <c r="S1874" s="369"/>
      <c r="T1874" s="328"/>
      <c r="U1874" s="394" ph="1"/>
      <c r="W1874" s="216"/>
      <c r="X1874" s="245"/>
      <c r="Y1874" s="187"/>
      <c r="Z1874" s="245"/>
      <c r="AA1874" s="245"/>
      <c r="AB1874" s="332"/>
      <c r="AD1874" s="245"/>
      <c r="AE1874" s="245"/>
      <c r="AF1874" s="245"/>
      <c r="AG1874" s="245"/>
    </row>
    <row r="1875" spans="1:33" ht="26.4">
      <c r="A1875" s="391"/>
      <c r="B1875" s="245"/>
      <c r="C1875" s="245"/>
      <c r="D1875" s="245"/>
      <c r="E1875" s="245"/>
      <c r="F1875" s="319"/>
      <c r="G1875" s="245"/>
      <c r="H1875" s="245"/>
      <c r="I1875" s="245"/>
      <c r="L1875" s="123"/>
      <c r="P1875" s="366"/>
      <c r="R1875" s="355"/>
      <c r="S1875" s="369"/>
      <c r="T1875" s="328"/>
      <c r="U1875" s="394" ph="1"/>
      <c r="W1875" s="216"/>
      <c r="X1875" s="245"/>
      <c r="Y1875" s="187"/>
      <c r="Z1875" s="245"/>
      <c r="AA1875" s="245"/>
      <c r="AB1875" s="332"/>
      <c r="AD1875" s="245"/>
      <c r="AE1875" s="245"/>
      <c r="AF1875" s="245"/>
      <c r="AG1875" s="245"/>
    </row>
    <row r="1876" spans="1:33" ht="26.4">
      <c r="A1876" s="391"/>
      <c r="B1876" s="245"/>
      <c r="C1876" s="245"/>
      <c r="D1876" s="245"/>
      <c r="E1876" s="245"/>
      <c r="F1876" s="319"/>
      <c r="G1876" s="245"/>
      <c r="H1876" s="245"/>
      <c r="I1876" s="245"/>
      <c r="L1876" s="123"/>
      <c r="P1876" s="366"/>
      <c r="R1876" s="355"/>
      <c r="S1876" s="369"/>
      <c r="T1876" s="328"/>
      <c r="U1876" s="394" ph="1"/>
      <c r="W1876" s="216"/>
      <c r="X1876" s="245"/>
      <c r="Y1876" s="187"/>
      <c r="Z1876" s="245"/>
      <c r="AA1876" s="245"/>
      <c r="AB1876" s="332"/>
      <c r="AD1876" s="245"/>
      <c r="AE1876" s="245"/>
      <c r="AF1876" s="245"/>
      <c r="AG1876" s="245"/>
    </row>
    <row r="1877" spans="1:33" ht="26.4">
      <c r="A1877" s="391"/>
      <c r="B1877" s="245"/>
      <c r="C1877" s="245"/>
      <c r="D1877" s="245"/>
      <c r="E1877" s="245"/>
      <c r="F1877" s="319"/>
      <c r="G1877" s="245"/>
      <c r="H1877" s="245"/>
      <c r="I1877" s="245"/>
      <c r="L1877" s="123"/>
      <c r="P1877" s="366"/>
      <c r="R1877" s="355"/>
      <c r="S1877" s="369"/>
      <c r="T1877" s="328"/>
      <c r="U1877" s="394" ph="1"/>
      <c r="W1877" s="216"/>
      <c r="X1877" s="245"/>
      <c r="Y1877" s="187"/>
      <c r="Z1877" s="245"/>
      <c r="AA1877" s="245"/>
      <c r="AB1877" s="332"/>
      <c r="AD1877" s="245"/>
      <c r="AE1877" s="245"/>
      <c r="AF1877" s="245"/>
      <c r="AG1877" s="245"/>
    </row>
    <row r="1878" spans="1:33" ht="26.4">
      <c r="A1878" s="391"/>
      <c r="B1878" s="245"/>
      <c r="C1878" s="245"/>
      <c r="D1878" s="245"/>
      <c r="E1878" s="245"/>
      <c r="F1878" s="319"/>
      <c r="G1878" s="245"/>
      <c r="H1878" s="245"/>
      <c r="I1878" s="245"/>
      <c r="L1878" s="123"/>
      <c r="P1878" s="366"/>
      <c r="R1878" s="355"/>
      <c r="S1878" s="369"/>
      <c r="T1878" s="328"/>
      <c r="U1878" s="394" ph="1"/>
      <c r="W1878" s="216"/>
      <c r="X1878" s="245"/>
      <c r="Y1878" s="187"/>
      <c r="Z1878" s="245"/>
      <c r="AA1878" s="245"/>
      <c r="AB1878" s="332"/>
      <c r="AD1878" s="245"/>
      <c r="AE1878" s="245"/>
      <c r="AF1878" s="245"/>
      <c r="AG1878" s="245"/>
    </row>
    <row r="1879" spans="1:33" ht="26.4">
      <c r="A1879" s="391"/>
      <c r="B1879" s="245"/>
      <c r="C1879" s="245"/>
      <c r="D1879" s="245"/>
      <c r="E1879" s="245"/>
      <c r="F1879" s="319"/>
      <c r="G1879" s="245"/>
      <c r="H1879" s="245"/>
      <c r="I1879" s="245"/>
      <c r="L1879" s="123"/>
      <c r="P1879" s="366"/>
      <c r="R1879" s="355"/>
      <c r="S1879" s="369"/>
      <c r="T1879" s="328"/>
      <c r="U1879" s="394" ph="1"/>
      <c r="W1879" s="216"/>
      <c r="X1879" s="245"/>
      <c r="Y1879" s="187"/>
      <c r="Z1879" s="245"/>
      <c r="AA1879" s="245"/>
      <c r="AB1879" s="332"/>
      <c r="AD1879" s="245"/>
      <c r="AE1879" s="245"/>
      <c r="AF1879" s="245"/>
      <c r="AG1879" s="245"/>
    </row>
    <row r="1880" spans="1:33" ht="26.4">
      <c r="A1880" s="391"/>
      <c r="B1880" s="245"/>
      <c r="C1880" s="245"/>
      <c r="D1880" s="245"/>
      <c r="E1880" s="245"/>
      <c r="F1880" s="319"/>
      <c r="G1880" s="245"/>
      <c r="H1880" s="245"/>
      <c r="I1880" s="245"/>
      <c r="L1880" s="123"/>
      <c r="P1880" s="366"/>
      <c r="R1880" s="355"/>
      <c r="S1880" s="369"/>
      <c r="T1880" s="328"/>
      <c r="U1880" s="394" ph="1"/>
      <c r="W1880" s="216"/>
      <c r="X1880" s="245"/>
      <c r="Y1880" s="187"/>
      <c r="Z1880" s="245"/>
      <c r="AA1880" s="245"/>
      <c r="AB1880" s="332"/>
      <c r="AD1880" s="245"/>
      <c r="AE1880" s="245"/>
      <c r="AF1880" s="245"/>
      <c r="AG1880" s="245"/>
    </row>
    <row r="1881" spans="1:33" ht="26.4">
      <c r="A1881" s="391"/>
      <c r="B1881" s="245"/>
      <c r="C1881" s="245"/>
      <c r="D1881" s="245"/>
      <c r="E1881" s="245"/>
      <c r="F1881" s="319"/>
      <c r="G1881" s="245"/>
      <c r="H1881" s="245"/>
      <c r="I1881" s="245"/>
      <c r="L1881" s="123"/>
      <c r="P1881" s="366"/>
      <c r="R1881" s="355"/>
      <c r="S1881" s="369"/>
      <c r="T1881" s="328"/>
      <c r="U1881" s="394" ph="1"/>
      <c r="W1881" s="216"/>
      <c r="X1881" s="245"/>
      <c r="Y1881" s="187"/>
      <c r="Z1881" s="245"/>
      <c r="AA1881" s="245"/>
      <c r="AB1881" s="332"/>
      <c r="AD1881" s="245"/>
      <c r="AE1881" s="245"/>
      <c r="AF1881" s="245"/>
      <c r="AG1881" s="245"/>
    </row>
    <row r="1882" spans="1:33" ht="26.4">
      <c r="A1882" s="391"/>
      <c r="B1882" s="245"/>
      <c r="C1882" s="245"/>
      <c r="D1882" s="245"/>
      <c r="E1882" s="245"/>
      <c r="F1882" s="319"/>
      <c r="G1882" s="245"/>
      <c r="H1882" s="245"/>
      <c r="I1882" s="245"/>
      <c r="L1882" s="123"/>
      <c r="P1882" s="366"/>
      <c r="R1882" s="355"/>
      <c r="S1882" s="369"/>
      <c r="T1882" s="328"/>
      <c r="U1882" s="394" ph="1"/>
      <c r="W1882" s="216"/>
      <c r="X1882" s="245"/>
      <c r="Y1882" s="187"/>
      <c r="Z1882" s="245"/>
      <c r="AA1882" s="245"/>
      <c r="AB1882" s="332"/>
      <c r="AD1882" s="245"/>
      <c r="AE1882" s="245"/>
      <c r="AF1882" s="245"/>
      <c r="AG1882" s="245"/>
    </row>
    <row r="1883" spans="1:33" ht="26.4">
      <c r="A1883" s="391"/>
      <c r="B1883" s="245"/>
      <c r="C1883" s="245"/>
      <c r="D1883" s="245"/>
      <c r="E1883" s="245"/>
      <c r="F1883" s="319"/>
      <c r="G1883" s="245"/>
      <c r="H1883" s="245"/>
      <c r="I1883" s="245"/>
      <c r="L1883" s="245"/>
      <c r="P1883" s="366"/>
      <c r="R1883" s="355"/>
      <c r="S1883" s="369"/>
      <c r="T1883" s="328"/>
      <c r="U1883" s="394" ph="1"/>
      <c r="W1883" s="216"/>
      <c r="X1883" s="245"/>
      <c r="Y1883" s="187"/>
      <c r="Z1883" s="245"/>
      <c r="AA1883" s="245"/>
      <c r="AB1883" s="332"/>
      <c r="AD1883" s="245"/>
      <c r="AE1883" s="245"/>
      <c r="AF1883" s="245"/>
      <c r="AG1883" s="245"/>
    </row>
    <row r="1884" spans="1:33" ht="26.4">
      <c r="A1884" s="391"/>
      <c r="B1884" s="245"/>
      <c r="C1884" s="245"/>
      <c r="D1884" s="245"/>
      <c r="E1884" s="245"/>
      <c r="F1884" s="319"/>
      <c r="G1884" s="245"/>
      <c r="H1884" s="245"/>
      <c r="I1884" s="245"/>
      <c r="L1884" s="123"/>
      <c r="P1884" s="366"/>
      <c r="R1884" s="355"/>
      <c r="S1884" s="369"/>
      <c r="T1884" s="328"/>
      <c r="U1884" s="394" ph="1"/>
      <c r="W1884" s="216"/>
      <c r="X1884" s="245"/>
      <c r="Y1884" s="187"/>
      <c r="Z1884" s="245"/>
      <c r="AA1884" s="245"/>
      <c r="AB1884" s="332"/>
      <c r="AD1884" s="245"/>
      <c r="AE1884" s="245"/>
      <c r="AF1884" s="245"/>
      <c r="AG1884" s="245"/>
    </row>
    <row r="1885" spans="1:33" ht="26.4">
      <c r="A1885" s="391"/>
      <c r="B1885" s="245"/>
      <c r="C1885" s="245"/>
      <c r="D1885" s="245"/>
      <c r="E1885" s="245"/>
      <c r="F1885" s="319"/>
      <c r="G1885" s="245"/>
      <c r="H1885" s="245"/>
      <c r="I1885" s="245"/>
      <c r="L1885" s="123"/>
      <c r="P1885" s="366"/>
      <c r="R1885" s="355"/>
      <c r="S1885" s="369"/>
      <c r="T1885" s="328"/>
      <c r="U1885" s="394" ph="1"/>
      <c r="W1885" s="216"/>
      <c r="X1885" s="245"/>
      <c r="Y1885" s="187"/>
      <c r="Z1885" s="245"/>
      <c r="AA1885" s="245"/>
      <c r="AB1885" s="332"/>
      <c r="AD1885" s="245"/>
      <c r="AE1885" s="245"/>
      <c r="AF1885" s="245"/>
      <c r="AG1885" s="245"/>
    </row>
    <row r="1886" spans="1:33" ht="26.4">
      <c r="A1886" s="391"/>
      <c r="B1886" s="245"/>
      <c r="C1886" s="245"/>
      <c r="D1886" s="245"/>
      <c r="E1886" s="245"/>
      <c r="F1886" s="319"/>
      <c r="G1886" s="245"/>
      <c r="H1886" s="245"/>
      <c r="I1886" s="245"/>
      <c r="L1886" s="123"/>
      <c r="P1886" s="366"/>
      <c r="R1886" s="355"/>
      <c r="S1886" s="369"/>
      <c r="T1886" s="328"/>
      <c r="U1886" s="394" ph="1"/>
      <c r="W1886" s="216"/>
      <c r="X1886" s="245"/>
      <c r="Y1886" s="187"/>
      <c r="Z1886" s="245"/>
      <c r="AA1886" s="245"/>
      <c r="AB1886" s="332"/>
      <c r="AD1886" s="245"/>
      <c r="AE1886" s="245"/>
      <c r="AF1886" s="245"/>
      <c r="AG1886" s="245"/>
    </row>
    <row r="1887" spans="1:33" ht="26.4">
      <c r="A1887" s="391"/>
      <c r="B1887" s="245"/>
      <c r="C1887" s="245"/>
      <c r="D1887" s="245"/>
      <c r="E1887" s="245"/>
      <c r="F1887" s="319"/>
      <c r="G1887" s="245"/>
      <c r="H1887" s="245"/>
      <c r="I1887" s="245"/>
      <c r="L1887" s="245"/>
      <c r="P1887" s="366"/>
      <c r="R1887" s="355"/>
      <c r="S1887" s="369"/>
      <c r="T1887" s="328"/>
      <c r="U1887" s="394" ph="1"/>
      <c r="W1887" s="216"/>
      <c r="X1887" s="245"/>
      <c r="Y1887" s="187"/>
      <c r="Z1887" s="245"/>
      <c r="AA1887" s="245"/>
      <c r="AB1887" s="332"/>
      <c r="AD1887" s="245"/>
      <c r="AE1887" s="245"/>
      <c r="AF1887" s="245"/>
      <c r="AG1887" s="245"/>
    </row>
    <row r="1888" spans="1:33" ht="26.4">
      <c r="A1888" s="391"/>
      <c r="B1888" s="245"/>
      <c r="C1888" s="245"/>
      <c r="D1888" s="245"/>
      <c r="E1888" s="245"/>
      <c r="F1888" s="319"/>
      <c r="G1888" s="245"/>
      <c r="H1888" s="245"/>
      <c r="I1888" s="245"/>
      <c r="L1888" s="123"/>
      <c r="P1888" s="366"/>
      <c r="R1888" s="355"/>
      <c r="S1888" s="369"/>
      <c r="T1888" s="328"/>
      <c r="U1888" s="394" ph="1"/>
      <c r="W1888" s="216"/>
      <c r="X1888" s="245"/>
      <c r="Y1888" s="187"/>
      <c r="Z1888" s="245"/>
      <c r="AA1888" s="245"/>
      <c r="AB1888" s="332"/>
      <c r="AD1888" s="245"/>
      <c r="AE1888" s="245"/>
      <c r="AF1888" s="245"/>
      <c r="AG1888" s="245"/>
    </row>
    <row r="1889" spans="1:33" ht="26.4">
      <c r="A1889" s="391"/>
      <c r="B1889" s="245"/>
      <c r="C1889" s="245"/>
      <c r="D1889" s="245"/>
      <c r="E1889" s="245"/>
      <c r="F1889" s="319"/>
      <c r="G1889" s="245"/>
      <c r="H1889" s="245"/>
      <c r="I1889" s="245"/>
      <c r="L1889" s="123"/>
      <c r="P1889" s="366"/>
      <c r="R1889" s="355"/>
      <c r="S1889" s="369"/>
      <c r="T1889" s="328"/>
      <c r="U1889" s="394" ph="1"/>
      <c r="W1889" s="216"/>
      <c r="X1889" s="245"/>
      <c r="Y1889" s="187"/>
      <c r="Z1889" s="245"/>
      <c r="AA1889" s="245"/>
      <c r="AB1889" s="332"/>
      <c r="AD1889" s="245"/>
      <c r="AE1889" s="245"/>
      <c r="AF1889" s="245"/>
      <c r="AG1889" s="245"/>
    </row>
    <row r="1890" spans="1:33" ht="26.4">
      <c r="A1890" s="391"/>
      <c r="B1890" s="245"/>
      <c r="C1890" s="245"/>
      <c r="D1890" s="245"/>
      <c r="E1890" s="245"/>
      <c r="F1890" s="319"/>
      <c r="G1890" s="245"/>
      <c r="H1890" s="245"/>
      <c r="I1890" s="245"/>
      <c r="L1890" s="123"/>
      <c r="P1890" s="366"/>
      <c r="R1890" s="355"/>
      <c r="S1890" s="369"/>
      <c r="T1890" s="328"/>
      <c r="U1890" s="394" ph="1"/>
      <c r="W1890" s="216"/>
      <c r="X1890" s="245"/>
      <c r="Y1890" s="187"/>
      <c r="Z1890" s="245"/>
      <c r="AA1890" s="245"/>
      <c r="AB1890" s="332"/>
      <c r="AD1890" s="245"/>
      <c r="AE1890" s="245"/>
      <c r="AF1890" s="245"/>
      <c r="AG1890" s="245"/>
    </row>
    <row r="1891" spans="1:33" ht="26.4">
      <c r="A1891" s="391"/>
      <c r="B1891" s="245"/>
      <c r="C1891" s="245"/>
      <c r="D1891" s="245"/>
      <c r="E1891" s="245"/>
      <c r="F1891" s="319"/>
      <c r="G1891" s="245"/>
      <c r="H1891" s="245"/>
      <c r="I1891" s="245"/>
      <c r="L1891" s="123"/>
      <c r="P1891" s="366"/>
      <c r="R1891" s="355"/>
      <c r="S1891" s="369"/>
      <c r="T1891" s="328"/>
      <c r="U1891" s="394" ph="1"/>
      <c r="W1891" s="216"/>
      <c r="X1891" s="245"/>
      <c r="Y1891" s="187"/>
      <c r="Z1891" s="245"/>
      <c r="AA1891" s="245"/>
      <c r="AB1891" s="332"/>
      <c r="AD1891" s="245"/>
      <c r="AE1891" s="245"/>
      <c r="AF1891" s="245"/>
      <c r="AG1891" s="245"/>
    </row>
    <row r="1892" spans="1:33" ht="26.4">
      <c r="A1892" s="391"/>
      <c r="B1892" s="245"/>
      <c r="C1892" s="245"/>
      <c r="D1892" s="245"/>
      <c r="E1892" s="245"/>
      <c r="F1892" s="319"/>
      <c r="G1892" s="245"/>
      <c r="H1892" s="245"/>
      <c r="I1892" s="245"/>
      <c r="L1892" s="123"/>
      <c r="P1892" s="366"/>
      <c r="R1892" s="355"/>
      <c r="S1892" s="369"/>
      <c r="T1892" s="328"/>
      <c r="U1892" s="394" ph="1"/>
      <c r="W1892" s="216"/>
      <c r="X1892" s="245"/>
      <c r="Y1892" s="187"/>
      <c r="Z1892" s="245"/>
      <c r="AA1892" s="245"/>
      <c r="AB1892" s="332"/>
      <c r="AD1892" s="245"/>
      <c r="AE1892" s="245"/>
      <c r="AF1892" s="245"/>
      <c r="AG1892" s="245"/>
    </row>
    <row r="1893" spans="1:33" ht="26.4">
      <c r="A1893" s="391"/>
      <c r="B1893" s="245"/>
      <c r="C1893" s="245"/>
      <c r="D1893" s="245"/>
      <c r="E1893" s="245"/>
      <c r="F1893" s="319"/>
      <c r="G1893" s="245"/>
      <c r="H1893" s="245"/>
      <c r="I1893" s="245"/>
      <c r="L1893" s="123"/>
      <c r="P1893" s="366"/>
      <c r="R1893" s="355"/>
      <c r="S1893" s="369"/>
      <c r="T1893" s="328"/>
      <c r="U1893" s="394" ph="1"/>
      <c r="W1893" s="216"/>
      <c r="X1893" s="245"/>
      <c r="Y1893" s="187"/>
      <c r="Z1893" s="245"/>
      <c r="AA1893" s="245"/>
      <c r="AB1893" s="332"/>
      <c r="AD1893" s="245"/>
      <c r="AE1893" s="245"/>
      <c r="AF1893" s="245"/>
      <c r="AG1893" s="245"/>
    </row>
    <row r="1894" spans="1:33" ht="26.4">
      <c r="A1894" s="391"/>
      <c r="B1894" s="245"/>
      <c r="C1894" s="245"/>
      <c r="D1894" s="245"/>
      <c r="E1894" s="245"/>
      <c r="F1894" s="319"/>
      <c r="G1894" s="245"/>
      <c r="H1894" s="245"/>
      <c r="I1894" s="245"/>
      <c r="L1894" s="123"/>
      <c r="P1894" s="366"/>
      <c r="R1894" s="355"/>
      <c r="S1894" s="369"/>
      <c r="T1894" s="328"/>
      <c r="U1894" s="394" ph="1"/>
      <c r="W1894" s="216"/>
      <c r="X1894" s="245"/>
      <c r="Y1894" s="187"/>
      <c r="Z1894" s="245"/>
      <c r="AA1894" s="245"/>
      <c r="AB1894" s="332"/>
      <c r="AD1894" s="245"/>
      <c r="AE1894" s="245"/>
      <c r="AF1894" s="245"/>
      <c r="AG1894" s="245"/>
    </row>
    <row r="1895" spans="1:33" ht="26.4">
      <c r="A1895" s="391"/>
      <c r="B1895" s="245"/>
      <c r="C1895" s="245"/>
      <c r="D1895" s="245"/>
      <c r="E1895" s="245"/>
      <c r="F1895" s="319"/>
      <c r="G1895" s="245"/>
      <c r="H1895" s="245"/>
      <c r="I1895" s="245"/>
      <c r="L1895" s="123"/>
      <c r="P1895" s="366"/>
      <c r="R1895" s="355"/>
      <c r="S1895" s="369"/>
      <c r="T1895" s="328"/>
      <c r="U1895" s="394" ph="1"/>
      <c r="W1895" s="216"/>
      <c r="X1895" s="245"/>
      <c r="Y1895" s="187"/>
      <c r="Z1895" s="245"/>
      <c r="AA1895" s="245"/>
      <c r="AB1895" s="332"/>
      <c r="AD1895" s="245"/>
      <c r="AE1895" s="245"/>
      <c r="AF1895" s="245"/>
      <c r="AG1895" s="245"/>
    </row>
    <row r="1896" spans="1:33" ht="26.4">
      <c r="A1896" s="391"/>
      <c r="B1896" s="245"/>
      <c r="C1896" s="245"/>
      <c r="D1896" s="245"/>
      <c r="E1896" s="245"/>
      <c r="F1896" s="319"/>
      <c r="G1896" s="245"/>
      <c r="H1896" s="245"/>
      <c r="I1896" s="245"/>
      <c r="L1896" s="123"/>
      <c r="P1896" s="366"/>
      <c r="R1896" s="355"/>
      <c r="S1896" s="369"/>
      <c r="T1896" s="328"/>
      <c r="U1896" s="394" ph="1"/>
      <c r="W1896" s="216"/>
      <c r="X1896" s="245"/>
      <c r="Y1896" s="187"/>
      <c r="Z1896" s="245"/>
      <c r="AA1896" s="245"/>
      <c r="AB1896" s="332"/>
      <c r="AD1896" s="245"/>
      <c r="AE1896" s="245"/>
      <c r="AF1896" s="245"/>
      <c r="AG1896" s="245"/>
    </row>
    <row r="1897" spans="1:33" ht="26.4">
      <c r="A1897" s="391"/>
      <c r="B1897" s="245"/>
      <c r="C1897" s="245"/>
      <c r="D1897" s="245"/>
      <c r="E1897" s="245"/>
      <c r="F1897" s="319"/>
      <c r="G1897" s="245"/>
      <c r="H1897" s="245"/>
      <c r="I1897" s="245"/>
      <c r="L1897" s="123"/>
      <c r="P1897" s="366"/>
      <c r="R1897" s="355"/>
      <c r="S1897" s="369"/>
      <c r="T1897" s="328"/>
      <c r="U1897" s="394" ph="1"/>
      <c r="W1897" s="216"/>
      <c r="X1897" s="245"/>
      <c r="Y1897" s="187"/>
      <c r="Z1897" s="245"/>
      <c r="AA1897" s="245"/>
      <c r="AB1897" s="332"/>
      <c r="AD1897" s="245"/>
      <c r="AE1897" s="245"/>
      <c r="AF1897" s="245"/>
      <c r="AG1897" s="245"/>
    </row>
    <row r="1898" spans="1:33" ht="26.4">
      <c r="A1898" s="391"/>
      <c r="B1898" s="245"/>
      <c r="C1898" s="245"/>
      <c r="D1898" s="245"/>
      <c r="E1898" s="245"/>
      <c r="F1898" s="319"/>
      <c r="G1898" s="245"/>
      <c r="H1898" s="245"/>
      <c r="I1898" s="245"/>
      <c r="L1898" s="123"/>
      <c r="P1898" s="366"/>
      <c r="R1898" s="355"/>
      <c r="S1898" s="369"/>
      <c r="T1898" s="328"/>
      <c r="U1898" s="394" ph="1"/>
      <c r="W1898" s="216"/>
      <c r="X1898" s="245"/>
      <c r="Y1898" s="187"/>
      <c r="Z1898" s="245"/>
      <c r="AA1898" s="245"/>
      <c r="AB1898" s="332"/>
      <c r="AD1898" s="245"/>
      <c r="AE1898" s="245"/>
      <c r="AF1898" s="245"/>
      <c r="AG1898" s="245"/>
    </row>
    <row r="1899" spans="1:33" ht="26.4">
      <c r="A1899" s="391"/>
      <c r="B1899" s="245"/>
      <c r="C1899" s="245"/>
      <c r="D1899" s="245"/>
      <c r="E1899" s="245"/>
      <c r="F1899" s="319"/>
      <c r="G1899" s="245"/>
      <c r="H1899" s="245"/>
      <c r="I1899" s="245"/>
      <c r="L1899" s="123"/>
      <c r="P1899" s="366"/>
      <c r="R1899" s="355"/>
      <c r="S1899" s="369"/>
      <c r="T1899" s="328"/>
      <c r="U1899" s="394" ph="1"/>
      <c r="W1899" s="216"/>
      <c r="X1899" s="245"/>
      <c r="Y1899" s="187"/>
      <c r="Z1899" s="245"/>
      <c r="AA1899" s="245"/>
      <c r="AB1899" s="332"/>
      <c r="AD1899" s="245"/>
      <c r="AE1899" s="245"/>
      <c r="AF1899" s="245"/>
      <c r="AG1899" s="245"/>
    </row>
    <row r="1900" spans="1:33" ht="26.4">
      <c r="A1900" s="391"/>
      <c r="B1900" s="245"/>
      <c r="C1900" s="245"/>
      <c r="D1900" s="245"/>
      <c r="E1900" s="245"/>
      <c r="F1900" s="319"/>
      <c r="G1900" s="245"/>
      <c r="H1900" s="245"/>
      <c r="I1900" s="245"/>
      <c r="L1900" s="123"/>
      <c r="P1900" s="366"/>
      <c r="R1900" s="355"/>
      <c r="S1900" s="369"/>
      <c r="T1900" s="328"/>
      <c r="U1900" s="394" ph="1"/>
      <c r="W1900" s="216"/>
      <c r="X1900" s="245"/>
      <c r="Y1900" s="187"/>
      <c r="Z1900" s="245"/>
      <c r="AA1900" s="245"/>
      <c r="AB1900" s="332"/>
      <c r="AD1900" s="245"/>
      <c r="AE1900" s="245"/>
      <c r="AF1900" s="245"/>
      <c r="AG1900" s="245"/>
    </row>
    <row r="1901" spans="1:33" ht="26.4">
      <c r="A1901" s="391"/>
      <c r="B1901" s="245"/>
      <c r="C1901" s="245"/>
      <c r="D1901" s="245"/>
      <c r="E1901" s="245"/>
      <c r="F1901" s="319"/>
      <c r="G1901" s="245"/>
      <c r="H1901" s="245"/>
      <c r="I1901" s="245"/>
      <c r="L1901" s="123"/>
      <c r="P1901" s="366"/>
      <c r="R1901" s="355"/>
      <c r="S1901" s="369"/>
      <c r="T1901" s="328"/>
      <c r="U1901" s="394" ph="1"/>
      <c r="W1901" s="216"/>
      <c r="X1901" s="245"/>
      <c r="Y1901" s="187"/>
      <c r="Z1901" s="245"/>
      <c r="AA1901" s="245"/>
      <c r="AB1901" s="332"/>
      <c r="AD1901" s="245"/>
      <c r="AE1901" s="245"/>
      <c r="AF1901" s="245"/>
      <c r="AG1901" s="245"/>
    </row>
    <row r="1902" spans="1:33" ht="26.4">
      <c r="A1902" s="391"/>
      <c r="B1902" s="245"/>
      <c r="C1902" s="245"/>
      <c r="D1902" s="245"/>
      <c r="E1902" s="245"/>
      <c r="F1902" s="319"/>
      <c r="G1902" s="245"/>
      <c r="H1902" s="245"/>
      <c r="I1902" s="245"/>
      <c r="L1902" s="123"/>
      <c r="P1902" s="366"/>
      <c r="R1902" s="355"/>
      <c r="S1902" s="369"/>
      <c r="T1902" s="328"/>
      <c r="U1902" s="394" ph="1"/>
      <c r="W1902" s="216"/>
      <c r="X1902" s="245"/>
      <c r="Y1902" s="187"/>
      <c r="Z1902" s="245"/>
      <c r="AA1902" s="245"/>
      <c r="AB1902" s="332"/>
      <c r="AD1902" s="245"/>
      <c r="AE1902" s="245"/>
      <c r="AF1902" s="245"/>
      <c r="AG1902" s="245"/>
    </row>
    <row r="1903" spans="1:33" ht="26.4">
      <c r="A1903" s="391"/>
      <c r="B1903" s="245"/>
      <c r="C1903" s="245"/>
      <c r="D1903" s="245"/>
      <c r="E1903" s="245"/>
      <c r="F1903" s="319"/>
      <c r="G1903" s="245"/>
      <c r="H1903" s="245"/>
      <c r="I1903" s="245"/>
      <c r="L1903" s="123"/>
      <c r="P1903" s="366"/>
      <c r="R1903" s="355"/>
      <c r="S1903" s="369"/>
      <c r="T1903" s="328"/>
      <c r="U1903" s="394" ph="1"/>
      <c r="W1903" s="216"/>
      <c r="X1903" s="245"/>
      <c r="Y1903" s="187"/>
      <c r="Z1903" s="245"/>
      <c r="AA1903" s="245"/>
      <c r="AB1903" s="332"/>
      <c r="AD1903" s="245"/>
      <c r="AE1903" s="245"/>
      <c r="AF1903" s="245"/>
      <c r="AG1903" s="245"/>
    </row>
    <row r="1904" spans="1:33" ht="26.4">
      <c r="A1904" s="391"/>
      <c r="B1904" s="245"/>
      <c r="C1904" s="245"/>
      <c r="D1904" s="245"/>
      <c r="E1904" s="245"/>
      <c r="F1904" s="319"/>
      <c r="G1904" s="245"/>
      <c r="H1904" s="245"/>
      <c r="I1904" s="245"/>
      <c r="L1904" s="123"/>
      <c r="P1904" s="366"/>
      <c r="R1904" s="355"/>
      <c r="S1904" s="369"/>
      <c r="T1904" s="328"/>
      <c r="U1904" s="394" ph="1"/>
      <c r="W1904" s="216"/>
      <c r="X1904" s="245"/>
      <c r="Y1904" s="187"/>
      <c r="Z1904" s="245"/>
      <c r="AA1904" s="245"/>
      <c r="AB1904" s="332"/>
      <c r="AD1904" s="245"/>
      <c r="AE1904" s="245"/>
      <c r="AF1904" s="245"/>
      <c r="AG1904" s="245"/>
    </row>
    <row r="1905" spans="1:33" ht="26.4">
      <c r="A1905" s="391"/>
      <c r="B1905" s="245"/>
      <c r="C1905" s="245"/>
      <c r="D1905" s="245"/>
      <c r="E1905" s="245"/>
      <c r="F1905" s="319"/>
      <c r="G1905" s="245"/>
      <c r="H1905" s="245"/>
      <c r="I1905" s="245"/>
      <c r="L1905" s="123"/>
      <c r="P1905" s="366"/>
      <c r="R1905" s="355"/>
      <c r="S1905" s="369"/>
      <c r="T1905" s="328"/>
      <c r="U1905" s="394" ph="1"/>
      <c r="W1905" s="216"/>
      <c r="X1905" s="245"/>
      <c r="Y1905" s="187"/>
      <c r="Z1905" s="245"/>
      <c r="AA1905" s="245"/>
      <c r="AB1905" s="332"/>
      <c r="AD1905" s="245"/>
      <c r="AE1905" s="245"/>
      <c r="AF1905" s="245"/>
      <c r="AG1905" s="245"/>
    </row>
    <row r="1906" spans="1:33" ht="26.4">
      <c r="A1906" s="391"/>
      <c r="B1906" s="245"/>
      <c r="C1906" s="245"/>
      <c r="D1906" s="245"/>
      <c r="E1906" s="245"/>
      <c r="F1906" s="319"/>
      <c r="G1906" s="245"/>
      <c r="H1906" s="245"/>
      <c r="I1906" s="245"/>
      <c r="L1906" s="123"/>
      <c r="P1906" s="366"/>
      <c r="R1906" s="355"/>
      <c r="S1906" s="369"/>
      <c r="T1906" s="328"/>
      <c r="U1906" s="394" ph="1"/>
      <c r="W1906" s="216"/>
      <c r="X1906" s="245"/>
      <c r="Y1906" s="187"/>
      <c r="Z1906" s="245"/>
      <c r="AA1906" s="245"/>
      <c r="AB1906" s="332"/>
      <c r="AD1906" s="245"/>
      <c r="AE1906" s="245"/>
      <c r="AF1906" s="245"/>
      <c r="AG1906" s="245"/>
    </row>
    <row r="1907" spans="1:33" ht="26.4">
      <c r="A1907" s="391"/>
      <c r="B1907" s="245"/>
      <c r="C1907" s="245"/>
      <c r="D1907" s="245"/>
      <c r="E1907" s="245"/>
      <c r="F1907" s="319"/>
      <c r="G1907" s="245"/>
      <c r="H1907" s="245"/>
      <c r="I1907" s="245"/>
      <c r="L1907" s="123"/>
      <c r="P1907" s="366"/>
      <c r="R1907" s="355"/>
      <c r="S1907" s="369"/>
      <c r="T1907" s="328"/>
      <c r="U1907" s="394" ph="1"/>
      <c r="W1907" s="216"/>
      <c r="X1907" s="245"/>
      <c r="Y1907" s="187"/>
      <c r="Z1907" s="245"/>
      <c r="AA1907" s="245"/>
      <c r="AB1907" s="332"/>
      <c r="AD1907" s="245"/>
      <c r="AE1907" s="245"/>
      <c r="AF1907" s="245"/>
      <c r="AG1907" s="245"/>
    </row>
    <row r="1908" spans="1:33" ht="26.4">
      <c r="A1908" s="391"/>
      <c r="B1908" s="245"/>
      <c r="C1908" s="245"/>
      <c r="D1908" s="245"/>
      <c r="E1908" s="245"/>
      <c r="F1908" s="319"/>
      <c r="G1908" s="245"/>
      <c r="H1908" s="245"/>
      <c r="I1908" s="245"/>
      <c r="L1908" s="123"/>
      <c r="P1908" s="366"/>
      <c r="R1908" s="355"/>
      <c r="S1908" s="369"/>
      <c r="T1908" s="328"/>
      <c r="U1908" s="394" ph="1"/>
      <c r="W1908" s="216"/>
      <c r="X1908" s="245"/>
      <c r="Y1908" s="187"/>
      <c r="Z1908" s="245"/>
      <c r="AA1908" s="245"/>
      <c r="AB1908" s="332"/>
      <c r="AD1908" s="245"/>
      <c r="AE1908" s="245"/>
      <c r="AF1908" s="245"/>
      <c r="AG1908" s="245"/>
    </row>
    <row r="1909" spans="1:33" ht="26.4">
      <c r="A1909" s="391"/>
      <c r="B1909" s="245"/>
      <c r="C1909" s="245"/>
      <c r="D1909" s="245"/>
      <c r="E1909" s="245"/>
      <c r="F1909" s="319"/>
      <c r="G1909" s="245"/>
      <c r="H1909" s="245"/>
      <c r="I1909" s="245"/>
      <c r="P1909" s="366"/>
      <c r="R1909" s="355"/>
      <c r="S1909" s="369"/>
      <c r="T1909" s="328"/>
      <c r="U1909" s="394" ph="1"/>
      <c r="W1909" s="216"/>
      <c r="X1909" s="245"/>
      <c r="Y1909" s="187"/>
      <c r="Z1909" s="245"/>
      <c r="AA1909" s="245"/>
      <c r="AB1909" s="332"/>
      <c r="AD1909" s="245"/>
      <c r="AE1909" s="245"/>
      <c r="AF1909" s="245"/>
      <c r="AG1909" s="245"/>
    </row>
    <row r="1910" spans="1:33" ht="26.4">
      <c r="A1910" s="391"/>
      <c r="B1910" s="245"/>
      <c r="C1910" s="245"/>
      <c r="D1910" s="245"/>
      <c r="E1910" s="245"/>
      <c r="F1910" s="319"/>
      <c r="G1910" s="245"/>
      <c r="H1910" s="245"/>
      <c r="I1910" s="245"/>
      <c r="L1910" s="123"/>
      <c r="P1910" s="366"/>
      <c r="R1910" s="355"/>
      <c r="S1910" s="369"/>
      <c r="T1910" s="328"/>
      <c r="U1910" s="394" ph="1"/>
      <c r="W1910" s="216"/>
      <c r="X1910" s="245"/>
      <c r="Y1910" s="187"/>
      <c r="Z1910" s="245"/>
      <c r="AA1910" s="245"/>
      <c r="AB1910" s="332"/>
      <c r="AD1910" s="245"/>
      <c r="AE1910" s="245"/>
      <c r="AF1910" s="245"/>
      <c r="AG1910" s="245"/>
    </row>
    <row r="1911" spans="1:33" ht="26.4">
      <c r="A1911" s="391"/>
      <c r="B1911" s="245"/>
      <c r="C1911" s="245"/>
      <c r="D1911" s="245"/>
      <c r="E1911" s="245"/>
      <c r="F1911" s="319"/>
      <c r="G1911" s="245"/>
      <c r="H1911" s="245"/>
      <c r="I1911" s="245"/>
      <c r="L1911" s="123"/>
      <c r="P1911" s="366"/>
      <c r="R1911" s="355"/>
      <c r="S1911" s="369"/>
      <c r="T1911" s="328"/>
      <c r="U1911" s="394" ph="1"/>
      <c r="W1911" s="216"/>
      <c r="X1911" s="245"/>
      <c r="Y1911" s="187"/>
      <c r="Z1911" s="245"/>
      <c r="AA1911" s="245"/>
      <c r="AB1911" s="332"/>
      <c r="AD1911" s="245"/>
      <c r="AE1911" s="245"/>
      <c r="AF1911" s="245"/>
      <c r="AG1911" s="245"/>
    </row>
    <row r="1912" spans="1:33" ht="26.4">
      <c r="A1912" s="391"/>
      <c r="B1912" s="245"/>
      <c r="C1912" s="245"/>
      <c r="D1912" s="245"/>
      <c r="E1912" s="245"/>
      <c r="F1912" s="319"/>
      <c r="G1912" s="245"/>
      <c r="H1912" s="245"/>
      <c r="I1912" s="245"/>
      <c r="L1912" s="123"/>
      <c r="P1912" s="366"/>
      <c r="R1912" s="355"/>
      <c r="S1912" s="369"/>
      <c r="T1912" s="328"/>
      <c r="U1912" s="394" ph="1"/>
      <c r="W1912" s="216"/>
      <c r="X1912" s="245"/>
      <c r="Y1912" s="187"/>
      <c r="Z1912" s="245"/>
      <c r="AA1912" s="245"/>
      <c r="AB1912" s="332"/>
      <c r="AD1912" s="245"/>
      <c r="AE1912" s="245"/>
      <c r="AF1912" s="245"/>
      <c r="AG1912" s="245"/>
    </row>
    <row r="1913" spans="1:33" ht="26.4">
      <c r="A1913" s="391"/>
      <c r="B1913" s="245"/>
      <c r="C1913" s="245"/>
      <c r="D1913" s="245"/>
      <c r="E1913" s="245"/>
      <c r="F1913" s="319"/>
      <c r="G1913" s="245"/>
      <c r="H1913" s="245"/>
      <c r="I1913" s="245"/>
      <c r="L1913" s="123"/>
      <c r="P1913" s="366"/>
      <c r="R1913" s="355"/>
      <c r="S1913" s="369"/>
      <c r="T1913" s="328"/>
      <c r="U1913" s="394" ph="1"/>
      <c r="W1913" s="216"/>
      <c r="X1913" s="245"/>
      <c r="Y1913" s="187"/>
      <c r="Z1913" s="245"/>
      <c r="AA1913" s="245"/>
      <c r="AB1913" s="332"/>
      <c r="AD1913" s="245"/>
      <c r="AE1913" s="245"/>
      <c r="AF1913" s="245"/>
      <c r="AG1913" s="245"/>
    </row>
    <row r="1914" spans="1:33" ht="26.4">
      <c r="A1914" s="391"/>
      <c r="B1914" s="245"/>
      <c r="C1914" s="245"/>
      <c r="D1914" s="245"/>
      <c r="E1914" s="245"/>
      <c r="F1914" s="319"/>
      <c r="G1914" s="245"/>
      <c r="H1914" s="245"/>
      <c r="I1914" s="245"/>
      <c r="L1914" s="123"/>
      <c r="P1914" s="366"/>
      <c r="R1914" s="355"/>
      <c r="S1914" s="369"/>
      <c r="T1914" s="328"/>
      <c r="U1914" s="394" ph="1"/>
      <c r="W1914" s="216"/>
      <c r="X1914" s="245"/>
      <c r="Y1914" s="187"/>
      <c r="Z1914" s="245"/>
      <c r="AA1914" s="245"/>
      <c r="AB1914" s="332"/>
      <c r="AD1914" s="245"/>
      <c r="AE1914" s="245"/>
      <c r="AF1914" s="245"/>
      <c r="AG1914" s="245"/>
    </row>
    <row r="1915" spans="1:33" ht="26.4">
      <c r="A1915" s="391"/>
      <c r="B1915" s="245"/>
      <c r="C1915" s="245"/>
      <c r="D1915" s="245"/>
      <c r="E1915" s="245"/>
      <c r="F1915" s="319"/>
      <c r="G1915" s="245"/>
      <c r="H1915" s="245"/>
      <c r="I1915" s="245"/>
      <c r="L1915" s="123"/>
      <c r="P1915" s="366"/>
      <c r="R1915" s="355"/>
      <c r="S1915" s="369"/>
      <c r="T1915" s="328"/>
      <c r="U1915" s="394" ph="1"/>
      <c r="W1915" s="216"/>
      <c r="X1915" s="245"/>
      <c r="Y1915" s="187"/>
      <c r="Z1915" s="245"/>
      <c r="AA1915" s="245"/>
      <c r="AB1915" s="332"/>
      <c r="AD1915" s="245"/>
      <c r="AE1915" s="245"/>
      <c r="AF1915" s="245"/>
      <c r="AG1915" s="245"/>
    </row>
    <row r="1916" spans="1:33" ht="26.4">
      <c r="A1916" s="391"/>
      <c r="B1916" s="245"/>
      <c r="C1916" s="245"/>
      <c r="D1916" s="245"/>
      <c r="E1916" s="245"/>
      <c r="F1916" s="319"/>
      <c r="G1916" s="245"/>
      <c r="H1916" s="245"/>
      <c r="I1916" s="245"/>
      <c r="L1916" s="123"/>
      <c r="P1916" s="366"/>
      <c r="R1916" s="355"/>
      <c r="S1916" s="369"/>
      <c r="T1916" s="328"/>
      <c r="U1916" s="394" ph="1"/>
      <c r="W1916" s="216"/>
      <c r="X1916" s="245"/>
      <c r="Y1916" s="187"/>
      <c r="Z1916" s="245"/>
      <c r="AA1916" s="245"/>
      <c r="AB1916" s="332"/>
      <c r="AD1916" s="245"/>
      <c r="AE1916" s="245"/>
      <c r="AF1916" s="245"/>
      <c r="AG1916" s="245"/>
    </row>
    <row r="1917" spans="1:33" ht="26.4">
      <c r="A1917" s="391"/>
      <c r="B1917" s="245"/>
      <c r="C1917" s="245"/>
      <c r="D1917" s="245"/>
      <c r="E1917" s="245"/>
      <c r="F1917" s="319"/>
      <c r="G1917" s="245"/>
      <c r="H1917" s="245"/>
      <c r="I1917" s="245"/>
      <c r="L1917" s="123"/>
      <c r="P1917" s="366"/>
      <c r="R1917" s="355"/>
      <c r="S1917" s="369"/>
      <c r="T1917" s="328"/>
      <c r="U1917" s="394" ph="1"/>
      <c r="W1917" s="216"/>
      <c r="X1917" s="245"/>
      <c r="Y1917" s="187"/>
      <c r="Z1917" s="245"/>
      <c r="AA1917" s="245"/>
      <c r="AB1917" s="332"/>
      <c r="AD1917" s="245"/>
      <c r="AE1917" s="245"/>
      <c r="AF1917" s="245"/>
      <c r="AG1917" s="245"/>
    </row>
    <row r="1918" spans="1:33" ht="26.4">
      <c r="A1918" s="391"/>
      <c r="B1918" s="245"/>
      <c r="C1918" s="245"/>
      <c r="D1918" s="245"/>
      <c r="E1918" s="245"/>
      <c r="F1918" s="319"/>
      <c r="G1918" s="245"/>
      <c r="H1918" s="245"/>
      <c r="I1918" s="245"/>
      <c r="L1918" s="123"/>
      <c r="P1918" s="366"/>
      <c r="R1918" s="355"/>
      <c r="S1918" s="369"/>
      <c r="T1918" s="328"/>
      <c r="U1918" s="394" ph="1"/>
      <c r="W1918" s="216"/>
      <c r="X1918" s="245"/>
      <c r="Y1918" s="187"/>
      <c r="Z1918" s="245"/>
      <c r="AA1918" s="245"/>
      <c r="AB1918" s="332"/>
      <c r="AD1918" s="245"/>
      <c r="AE1918" s="245"/>
      <c r="AF1918" s="245"/>
      <c r="AG1918" s="245"/>
    </row>
    <row r="1919" spans="1:33" ht="26.4">
      <c r="A1919" s="391"/>
      <c r="B1919" s="245"/>
      <c r="C1919" s="245"/>
      <c r="D1919" s="245"/>
      <c r="E1919" s="245"/>
      <c r="F1919" s="319"/>
      <c r="G1919" s="245"/>
      <c r="H1919" s="245"/>
      <c r="I1919" s="245"/>
      <c r="L1919" s="123"/>
      <c r="P1919" s="366"/>
      <c r="R1919" s="355"/>
      <c r="S1919" s="369"/>
      <c r="T1919" s="328"/>
      <c r="U1919" s="394" ph="1"/>
      <c r="W1919" s="216"/>
      <c r="X1919" s="245"/>
      <c r="Y1919" s="187"/>
      <c r="Z1919" s="245"/>
      <c r="AA1919" s="245"/>
      <c r="AB1919" s="332"/>
      <c r="AD1919" s="245"/>
      <c r="AE1919" s="245"/>
      <c r="AF1919" s="245"/>
      <c r="AG1919" s="245"/>
    </row>
    <row r="1920" spans="1:33" ht="26.4">
      <c r="A1920" s="391"/>
      <c r="B1920" s="245"/>
      <c r="C1920" s="245"/>
      <c r="D1920" s="245"/>
      <c r="E1920" s="245"/>
      <c r="F1920" s="319"/>
      <c r="G1920" s="245"/>
      <c r="H1920" s="245"/>
      <c r="I1920" s="245"/>
      <c r="L1920" s="123"/>
      <c r="P1920" s="366"/>
      <c r="R1920" s="355"/>
      <c r="S1920" s="369"/>
      <c r="T1920" s="328"/>
      <c r="U1920" s="394" ph="1"/>
      <c r="W1920" s="216"/>
      <c r="X1920" s="245"/>
      <c r="Y1920" s="187"/>
      <c r="Z1920" s="245"/>
      <c r="AA1920" s="245"/>
      <c r="AB1920" s="332"/>
      <c r="AD1920" s="245"/>
      <c r="AE1920" s="245"/>
      <c r="AF1920" s="245"/>
      <c r="AG1920" s="245"/>
    </row>
    <row r="1921" spans="1:33" ht="26.4">
      <c r="A1921" s="391"/>
      <c r="B1921" s="245"/>
      <c r="C1921" s="245"/>
      <c r="D1921" s="245"/>
      <c r="E1921" s="245"/>
      <c r="F1921" s="319"/>
      <c r="G1921" s="245"/>
      <c r="H1921" s="245"/>
      <c r="I1921" s="245"/>
      <c r="L1921" s="123"/>
      <c r="P1921" s="366"/>
      <c r="R1921" s="355"/>
      <c r="S1921" s="369"/>
      <c r="T1921" s="328"/>
      <c r="U1921" s="394" ph="1"/>
      <c r="W1921" s="216"/>
      <c r="X1921" s="245"/>
      <c r="Y1921" s="187"/>
      <c r="Z1921" s="245"/>
      <c r="AA1921" s="245"/>
      <c r="AB1921" s="332"/>
      <c r="AD1921" s="245"/>
      <c r="AE1921" s="245"/>
      <c r="AF1921" s="245"/>
      <c r="AG1921" s="245"/>
    </row>
    <row r="1922" spans="1:33" ht="26.4">
      <c r="A1922" s="391"/>
      <c r="B1922" s="245"/>
      <c r="C1922" s="245"/>
      <c r="D1922" s="245"/>
      <c r="E1922" s="245"/>
      <c r="F1922" s="319"/>
      <c r="G1922" s="245"/>
      <c r="H1922" s="245"/>
      <c r="I1922" s="245"/>
      <c r="L1922" s="123"/>
      <c r="P1922" s="366"/>
      <c r="R1922" s="355"/>
      <c r="S1922" s="369"/>
      <c r="T1922" s="328"/>
      <c r="U1922" s="394" ph="1"/>
      <c r="W1922" s="216"/>
      <c r="X1922" s="245"/>
      <c r="Y1922" s="187"/>
      <c r="Z1922" s="245"/>
      <c r="AA1922" s="245"/>
      <c r="AB1922" s="332"/>
      <c r="AD1922" s="245"/>
      <c r="AE1922" s="245"/>
      <c r="AF1922" s="245"/>
      <c r="AG1922" s="245"/>
    </row>
    <row r="1923" spans="1:33" ht="26.4">
      <c r="A1923" s="391"/>
      <c r="B1923" s="245"/>
      <c r="C1923" s="245"/>
      <c r="D1923" s="245"/>
      <c r="E1923" s="245"/>
      <c r="F1923" s="319"/>
      <c r="G1923" s="245"/>
      <c r="H1923" s="245"/>
      <c r="I1923" s="245"/>
      <c r="L1923" s="123"/>
      <c r="P1923" s="366"/>
      <c r="R1923" s="355"/>
      <c r="S1923" s="369"/>
      <c r="T1923" s="328"/>
      <c r="U1923" s="394" ph="1"/>
      <c r="W1923" s="216"/>
      <c r="X1923" s="245"/>
      <c r="Y1923" s="187"/>
      <c r="Z1923" s="245"/>
      <c r="AA1923" s="245"/>
      <c r="AB1923" s="332"/>
      <c r="AD1923" s="245"/>
      <c r="AE1923" s="245"/>
      <c r="AF1923" s="245"/>
      <c r="AG1923" s="245"/>
    </row>
    <row r="1924" spans="1:33" ht="26.4">
      <c r="A1924" s="391"/>
      <c r="B1924" s="245"/>
      <c r="C1924" s="245"/>
      <c r="D1924" s="245"/>
      <c r="E1924" s="245"/>
      <c r="F1924" s="319"/>
      <c r="G1924" s="245"/>
      <c r="H1924" s="245"/>
      <c r="I1924" s="245"/>
      <c r="L1924" s="123"/>
      <c r="P1924" s="366"/>
      <c r="R1924" s="355"/>
      <c r="S1924" s="369"/>
      <c r="T1924" s="328"/>
      <c r="U1924" s="394" ph="1"/>
      <c r="W1924" s="216"/>
      <c r="X1924" s="245"/>
      <c r="Y1924" s="187"/>
      <c r="Z1924" s="245"/>
      <c r="AA1924" s="245"/>
      <c r="AB1924" s="332"/>
      <c r="AD1924" s="245"/>
      <c r="AE1924" s="245"/>
      <c r="AF1924" s="245"/>
      <c r="AG1924" s="245"/>
    </row>
    <row r="1925" spans="1:33" ht="26.4">
      <c r="A1925" s="391"/>
      <c r="B1925" s="245"/>
      <c r="C1925" s="245"/>
      <c r="D1925" s="245"/>
      <c r="E1925" s="245"/>
      <c r="F1925" s="319"/>
      <c r="G1925" s="245"/>
      <c r="H1925" s="245"/>
      <c r="I1925" s="245"/>
      <c r="L1925" s="123"/>
      <c r="P1925" s="366"/>
      <c r="R1925" s="355"/>
      <c r="S1925" s="369"/>
      <c r="T1925" s="328"/>
      <c r="U1925" s="394" ph="1"/>
      <c r="W1925" s="216"/>
      <c r="X1925" s="245"/>
      <c r="Y1925" s="187"/>
      <c r="Z1925" s="245"/>
      <c r="AA1925" s="245"/>
      <c r="AB1925" s="332"/>
      <c r="AD1925" s="245"/>
      <c r="AE1925" s="245"/>
      <c r="AF1925" s="245"/>
      <c r="AG1925" s="245"/>
    </row>
    <row r="1926" spans="1:33" ht="26.4">
      <c r="A1926" s="391"/>
      <c r="B1926" s="245"/>
      <c r="C1926" s="245"/>
      <c r="D1926" s="245"/>
      <c r="E1926" s="245"/>
      <c r="F1926" s="319"/>
      <c r="G1926" s="245"/>
      <c r="H1926" s="245"/>
      <c r="I1926" s="245"/>
      <c r="L1926" s="123"/>
      <c r="P1926" s="366"/>
      <c r="R1926" s="355"/>
      <c r="S1926" s="369"/>
      <c r="T1926" s="328"/>
      <c r="U1926" s="394" ph="1"/>
      <c r="W1926" s="216"/>
      <c r="X1926" s="245"/>
      <c r="Y1926" s="187"/>
      <c r="Z1926" s="245"/>
      <c r="AA1926" s="245"/>
      <c r="AB1926" s="332"/>
      <c r="AD1926" s="245"/>
      <c r="AE1926" s="245"/>
      <c r="AF1926" s="245"/>
      <c r="AG1926" s="245"/>
    </row>
    <row r="1927" spans="1:33" ht="26.4">
      <c r="A1927" s="391"/>
      <c r="B1927" s="245"/>
      <c r="C1927" s="245"/>
      <c r="D1927" s="245"/>
      <c r="E1927" s="245"/>
      <c r="F1927" s="319"/>
      <c r="G1927" s="245"/>
      <c r="H1927" s="245"/>
      <c r="I1927" s="245"/>
      <c r="L1927" s="123"/>
      <c r="P1927" s="366"/>
      <c r="R1927" s="355"/>
      <c r="S1927" s="369"/>
      <c r="T1927" s="328"/>
      <c r="U1927" s="394" ph="1"/>
      <c r="W1927" s="216"/>
      <c r="X1927" s="245"/>
      <c r="Y1927" s="187"/>
      <c r="Z1927" s="245"/>
      <c r="AA1927" s="245"/>
      <c r="AB1927" s="332"/>
      <c r="AD1927" s="245"/>
      <c r="AE1927" s="245"/>
      <c r="AF1927" s="245"/>
      <c r="AG1927" s="245"/>
    </row>
    <row r="1928" spans="1:33" ht="26.4">
      <c r="A1928" s="391"/>
      <c r="B1928" s="245"/>
      <c r="C1928" s="245"/>
      <c r="D1928" s="245"/>
      <c r="E1928" s="245"/>
      <c r="F1928" s="319"/>
      <c r="G1928" s="245"/>
      <c r="H1928" s="245"/>
      <c r="I1928" s="245"/>
      <c r="L1928" s="123"/>
      <c r="P1928" s="366"/>
      <c r="R1928" s="355"/>
      <c r="S1928" s="369"/>
      <c r="T1928" s="328"/>
      <c r="U1928" s="394" ph="1"/>
      <c r="W1928" s="216"/>
      <c r="X1928" s="245"/>
      <c r="Y1928" s="187"/>
      <c r="Z1928" s="245"/>
      <c r="AA1928" s="245"/>
      <c r="AB1928" s="332"/>
      <c r="AD1928" s="245"/>
      <c r="AE1928" s="245"/>
      <c r="AF1928" s="245"/>
      <c r="AG1928" s="245"/>
    </row>
    <row r="1929" spans="1:33" ht="26.4">
      <c r="A1929" s="391"/>
      <c r="B1929" s="245"/>
      <c r="C1929" s="245"/>
      <c r="D1929" s="245"/>
      <c r="E1929" s="245"/>
      <c r="F1929" s="319"/>
      <c r="G1929" s="245"/>
      <c r="H1929" s="245"/>
      <c r="I1929" s="245"/>
      <c r="L1929" s="123"/>
      <c r="P1929" s="366"/>
      <c r="R1929" s="355"/>
      <c r="S1929" s="369"/>
      <c r="T1929" s="328"/>
      <c r="U1929" s="394" ph="1"/>
      <c r="W1929" s="216"/>
      <c r="X1929" s="245"/>
      <c r="Y1929" s="187"/>
      <c r="Z1929" s="245"/>
      <c r="AA1929" s="245"/>
      <c r="AB1929" s="332"/>
      <c r="AD1929" s="245"/>
      <c r="AE1929" s="245"/>
      <c r="AF1929" s="245"/>
      <c r="AG1929" s="245"/>
    </row>
    <row r="1930" spans="1:33" ht="26.4">
      <c r="A1930" s="391"/>
      <c r="B1930" s="245"/>
      <c r="C1930" s="245"/>
      <c r="D1930" s="245"/>
      <c r="E1930" s="245"/>
      <c r="F1930" s="319"/>
      <c r="G1930" s="245"/>
      <c r="H1930" s="245"/>
      <c r="I1930" s="245"/>
      <c r="L1930" s="123"/>
      <c r="P1930" s="366"/>
      <c r="R1930" s="355"/>
      <c r="S1930" s="369"/>
      <c r="T1930" s="328"/>
      <c r="U1930" s="394" ph="1"/>
      <c r="W1930" s="216"/>
      <c r="X1930" s="245"/>
      <c r="Y1930" s="187"/>
      <c r="Z1930" s="245"/>
      <c r="AA1930" s="245"/>
      <c r="AB1930" s="332"/>
      <c r="AD1930" s="245"/>
      <c r="AE1930" s="245"/>
      <c r="AF1930" s="245"/>
      <c r="AG1930" s="245"/>
    </row>
    <row r="1931" spans="1:33" ht="26.4">
      <c r="A1931" s="391"/>
      <c r="B1931" s="245"/>
      <c r="C1931" s="245"/>
      <c r="D1931" s="245"/>
      <c r="E1931" s="245"/>
      <c r="F1931" s="319"/>
      <c r="G1931" s="245"/>
      <c r="H1931" s="245"/>
      <c r="I1931" s="245"/>
      <c r="L1931" s="123"/>
      <c r="P1931" s="366"/>
      <c r="R1931" s="355"/>
      <c r="S1931" s="369"/>
      <c r="T1931" s="328"/>
      <c r="U1931" s="394" ph="1"/>
      <c r="W1931" s="216"/>
      <c r="X1931" s="245"/>
      <c r="Y1931" s="187"/>
      <c r="Z1931" s="245"/>
      <c r="AA1931" s="245"/>
      <c r="AB1931" s="332"/>
      <c r="AD1931" s="245"/>
      <c r="AE1931" s="245"/>
      <c r="AF1931" s="245"/>
      <c r="AG1931" s="245"/>
    </row>
    <row r="1932" spans="1:33" ht="26.4">
      <c r="A1932" s="391"/>
      <c r="B1932" s="245"/>
      <c r="C1932" s="245"/>
      <c r="D1932" s="245"/>
      <c r="E1932" s="245"/>
      <c r="F1932" s="319"/>
      <c r="G1932" s="245"/>
      <c r="H1932" s="245"/>
      <c r="I1932" s="245"/>
      <c r="L1932" s="123"/>
      <c r="P1932" s="366"/>
      <c r="R1932" s="355"/>
      <c r="S1932" s="369"/>
      <c r="T1932" s="328"/>
      <c r="U1932" s="394" ph="1"/>
      <c r="W1932" s="216"/>
      <c r="X1932" s="245"/>
      <c r="Y1932" s="187"/>
      <c r="Z1932" s="245"/>
      <c r="AA1932" s="245"/>
      <c r="AB1932" s="332"/>
      <c r="AD1932" s="245"/>
      <c r="AE1932" s="245"/>
      <c r="AF1932" s="245"/>
      <c r="AG1932" s="245"/>
    </row>
    <row r="1933" spans="1:33" ht="26.4">
      <c r="A1933" s="391"/>
      <c r="B1933" s="245"/>
      <c r="C1933" s="245"/>
      <c r="D1933" s="245"/>
      <c r="E1933" s="245"/>
      <c r="F1933" s="319"/>
      <c r="G1933" s="245"/>
      <c r="H1933" s="245"/>
      <c r="I1933" s="245"/>
      <c r="L1933" s="123"/>
      <c r="P1933" s="366"/>
      <c r="R1933" s="355"/>
      <c r="S1933" s="369"/>
      <c r="T1933" s="328"/>
      <c r="U1933" s="394" ph="1"/>
      <c r="W1933" s="216"/>
      <c r="X1933" s="245"/>
      <c r="Y1933" s="187"/>
      <c r="Z1933" s="245"/>
      <c r="AA1933" s="245"/>
      <c r="AB1933" s="332"/>
      <c r="AD1933" s="245"/>
      <c r="AE1933" s="245"/>
      <c r="AF1933" s="245"/>
      <c r="AG1933" s="245"/>
    </row>
    <row r="1934" spans="1:33" ht="26.4">
      <c r="A1934" s="391"/>
      <c r="B1934" s="245"/>
      <c r="C1934" s="245"/>
      <c r="D1934" s="245"/>
      <c r="E1934" s="245"/>
      <c r="F1934" s="319"/>
      <c r="G1934" s="245"/>
      <c r="H1934" s="245"/>
      <c r="I1934" s="245"/>
      <c r="L1934" s="123"/>
      <c r="P1934" s="366"/>
      <c r="R1934" s="355"/>
      <c r="S1934" s="369"/>
      <c r="T1934" s="328"/>
      <c r="U1934" s="394" ph="1"/>
      <c r="W1934" s="216"/>
      <c r="X1934" s="245"/>
      <c r="Y1934" s="187"/>
      <c r="Z1934" s="245"/>
      <c r="AA1934" s="245"/>
      <c r="AB1934" s="332"/>
      <c r="AD1934" s="245"/>
      <c r="AE1934" s="245"/>
      <c r="AF1934" s="245"/>
      <c r="AG1934" s="245"/>
    </row>
    <row r="1935" spans="1:33" ht="26.4">
      <c r="A1935" s="391"/>
      <c r="B1935" s="245"/>
      <c r="C1935" s="245"/>
      <c r="D1935" s="245"/>
      <c r="E1935" s="245"/>
      <c r="F1935" s="319"/>
      <c r="G1935" s="245"/>
      <c r="H1935" s="245"/>
      <c r="I1935" s="245"/>
      <c r="L1935" s="123"/>
      <c r="P1935" s="366"/>
      <c r="R1935" s="355"/>
      <c r="S1935" s="369"/>
      <c r="T1935" s="328"/>
      <c r="U1935" s="394" ph="1"/>
      <c r="W1935" s="216"/>
      <c r="X1935" s="245"/>
      <c r="Y1935" s="187"/>
      <c r="Z1935" s="245"/>
      <c r="AA1935" s="245"/>
      <c r="AB1935" s="332"/>
      <c r="AD1935" s="245"/>
      <c r="AE1935" s="245"/>
      <c r="AF1935" s="245"/>
      <c r="AG1935" s="245"/>
    </row>
    <row r="1936" spans="1:33" ht="26.4">
      <c r="A1936" s="391"/>
      <c r="B1936" s="245"/>
      <c r="C1936" s="245"/>
      <c r="D1936" s="245"/>
      <c r="E1936" s="245"/>
      <c r="F1936" s="319"/>
      <c r="G1936" s="245"/>
      <c r="H1936" s="245"/>
      <c r="I1936" s="245"/>
      <c r="L1936" s="123"/>
      <c r="P1936" s="366"/>
      <c r="R1936" s="355"/>
      <c r="S1936" s="369"/>
      <c r="T1936" s="328"/>
      <c r="U1936" s="394" ph="1"/>
      <c r="W1936" s="216"/>
      <c r="X1936" s="245"/>
      <c r="Y1936" s="187"/>
      <c r="Z1936" s="245"/>
      <c r="AA1936" s="245"/>
      <c r="AB1936" s="332"/>
      <c r="AD1936" s="245"/>
      <c r="AE1936" s="245"/>
      <c r="AF1936" s="245"/>
      <c r="AG1936" s="245"/>
    </row>
    <row r="1937" spans="1:33" ht="26.4">
      <c r="A1937" s="391"/>
      <c r="B1937" s="245"/>
      <c r="C1937" s="245"/>
      <c r="D1937" s="245"/>
      <c r="E1937" s="245"/>
      <c r="F1937" s="319"/>
      <c r="G1937" s="245"/>
      <c r="H1937" s="245"/>
      <c r="I1937" s="245"/>
      <c r="L1937" s="123"/>
      <c r="P1937" s="366"/>
      <c r="R1937" s="355"/>
      <c r="S1937" s="369"/>
      <c r="T1937" s="328"/>
      <c r="U1937" s="394" ph="1"/>
      <c r="W1937" s="216"/>
      <c r="X1937" s="245"/>
      <c r="Y1937" s="187"/>
      <c r="Z1937" s="245"/>
      <c r="AA1937" s="245"/>
      <c r="AB1937" s="332"/>
      <c r="AD1937" s="245"/>
      <c r="AE1937" s="245"/>
      <c r="AF1937" s="245"/>
      <c r="AG1937" s="245"/>
    </row>
    <row r="1938" spans="1:33" ht="26.4">
      <c r="A1938" s="391"/>
      <c r="B1938" s="245"/>
      <c r="C1938" s="245"/>
      <c r="D1938" s="245"/>
      <c r="E1938" s="245"/>
      <c r="F1938" s="319"/>
      <c r="G1938" s="245"/>
      <c r="H1938" s="245"/>
      <c r="I1938" s="245"/>
      <c r="L1938" s="123"/>
      <c r="P1938" s="366"/>
      <c r="R1938" s="355"/>
      <c r="S1938" s="369"/>
      <c r="T1938" s="328"/>
      <c r="U1938" s="394" ph="1"/>
      <c r="W1938" s="216"/>
      <c r="X1938" s="245"/>
      <c r="Y1938" s="187"/>
      <c r="Z1938" s="245"/>
      <c r="AA1938" s="245"/>
      <c r="AB1938" s="332"/>
      <c r="AD1938" s="245"/>
      <c r="AE1938" s="245"/>
      <c r="AF1938" s="245"/>
      <c r="AG1938" s="245"/>
    </row>
    <row r="1939" spans="1:33" ht="26.4">
      <c r="A1939" s="391"/>
      <c r="B1939" s="245"/>
      <c r="C1939" s="245"/>
      <c r="D1939" s="245"/>
      <c r="E1939" s="245"/>
      <c r="F1939" s="319"/>
      <c r="G1939" s="245"/>
      <c r="H1939" s="245"/>
      <c r="I1939" s="245"/>
      <c r="L1939" s="123"/>
      <c r="P1939" s="366"/>
      <c r="R1939" s="355"/>
      <c r="S1939" s="369"/>
      <c r="T1939" s="328"/>
      <c r="U1939" s="394" ph="1"/>
      <c r="W1939" s="216"/>
      <c r="X1939" s="245"/>
      <c r="Y1939" s="187"/>
      <c r="Z1939" s="245"/>
      <c r="AA1939" s="245"/>
      <c r="AB1939" s="332"/>
      <c r="AD1939" s="245"/>
      <c r="AE1939" s="245"/>
      <c r="AF1939" s="245"/>
      <c r="AG1939" s="245"/>
    </row>
    <row r="1940" spans="1:33" ht="26.4">
      <c r="A1940" s="391"/>
      <c r="B1940" s="245"/>
      <c r="C1940" s="245"/>
      <c r="D1940" s="245"/>
      <c r="E1940" s="245"/>
      <c r="F1940" s="319"/>
      <c r="G1940" s="245"/>
      <c r="H1940" s="245"/>
      <c r="I1940" s="245"/>
      <c r="L1940" s="123"/>
      <c r="P1940" s="366"/>
      <c r="R1940" s="355"/>
      <c r="S1940" s="369"/>
      <c r="T1940" s="328"/>
      <c r="U1940" s="394" ph="1"/>
      <c r="W1940" s="216"/>
      <c r="X1940" s="245"/>
      <c r="Y1940" s="187"/>
      <c r="Z1940" s="245"/>
      <c r="AA1940" s="245"/>
      <c r="AB1940" s="332"/>
      <c r="AD1940" s="245"/>
      <c r="AE1940" s="245"/>
      <c r="AF1940" s="245"/>
      <c r="AG1940" s="245"/>
    </row>
    <row r="1941" spans="1:33" ht="26.4">
      <c r="A1941" s="391"/>
      <c r="B1941" s="245"/>
      <c r="C1941" s="245"/>
      <c r="D1941" s="245"/>
      <c r="E1941" s="245"/>
      <c r="F1941" s="319"/>
      <c r="G1941" s="245"/>
      <c r="H1941" s="245"/>
      <c r="I1941" s="245"/>
      <c r="L1941" s="123"/>
      <c r="P1941" s="366"/>
      <c r="R1941" s="355"/>
      <c r="S1941" s="369"/>
      <c r="T1941" s="328"/>
      <c r="U1941" s="394" ph="1"/>
      <c r="W1941" s="216"/>
      <c r="X1941" s="245"/>
      <c r="Y1941" s="187"/>
      <c r="Z1941" s="245"/>
      <c r="AA1941" s="245"/>
      <c r="AB1941" s="332"/>
      <c r="AD1941" s="245"/>
      <c r="AE1941" s="245"/>
      <c r="AF1941" s="245"/>
      <c r="AG1941" s="245"/>
    </row>
    <row r="1942" spans="1:33" ht="26.4">
      <c r="A1942" s="391"/>
      <c r="B1942" s="245"/>
      <c r="C1942" s="245"/>
      <c r="D1942" s="245"/>
      <c r="E1942" s="245"/>
      <c r="F1942" s="319"/>
      <c r="G1942" s="245"/>
      <c r="H1942" s="245"/>
      <c r="I1942" s="245"/>
      <c r="L1942" s="123"/>
      <c r="P1942" s="366"/>
      <c r="R1942" s="355"/>
      <c r="S1942" s="369"/>
      <c r="T1942" s="328"/>
      <c r="U1942" s="394" ph="1"/>
      <c r="W1942" s="216"/>
      <c r="X1942" s="245"/>
      <c r="Y1942" s="187"/>
      <c r="Z1942" s="245"/>
      <c r="AA1942" s="245"/>
      <c r="AB1942" s="332"/>
      <c r="AD1942" s="245"/>
      <c r="AE1942" s="245"/>
      <c r="AF1942" s="245"/>
      <c r="AG1942" s="245"/>
    </row>
    <row r="1943" spans="1:33" ht="26.4">
      <c r="A1943" s="391"/>
      <c r="B1943" s="245"/>
      <c r="C1943" s="245"/>
      <c r="D1943" s="245"/>
      <c r="E1943" s="245"/>
      <c r="F1943" s="319"/>
      <c r="G1943" s="245"/>
      <c r="H1943" s="245"/>
      <c r="I1943" s="245"/>
      <c r="L1943" s="123"/>
      <c r="P1943" s="366"/>
      <c r="R1943" s="355"/>
      <c r="S1943" s="369"/>
      <c r="T1943" s="328"/>
      <c r="U1943" s="394" ph="1"/>
      <c r="W1943" s="216"/>
      <c r="X1943" s="245"/>
      <c r="Y1943" s="187"/>
      <c r="Z1943" s="245"/>
      <c r="AA1943" s="245"/>
      <c r="AB1943" s="332"/>
      <c r="AD1943" s="245"/>
      <c r="AE1943" s="245"/>
      <c r="AF1943" s="245"/>
      <c r="AG1943" s="245"/>
    </row>
    <row r="1944" spans="1:33" ht="26.4">
      <c r="A1944" s="391"/>
      <c r="B1944" s="245"/>
      <c r="C1944" s="245"/>
      <c r="D1944" s="245"/>
      <c r="E1944" s="245"/>
      <c r="F1944" s="319"/>
      <c r="G1944" s="245"/>
      <c r="H1944" s="245"/>
      <c r="I1944" s="245"/>
      <c r="L1944" s="123"/>
      <c r="P1944" s="366"/>
      <c r="R1944" s="355"/>
      <c r="S1944" s="369"/>
      <c r="T1944" s="328"/>
      <c r="U1944" s="394" ph="1"/>
      <c r="W1944" s="216"/>
      <c r="X1944" s="245"/>
      <c r="Y1944" s="187"/>
      <c r="Z1944" s="245"/>
      <c r="AA1944" s="245"/>
      <c r="AB1944" s="332"/>
      <c r="AD1944" s="245"/>
      <c r="AE1944" s="245"/>
      <c r="AF1944" s="245"/>
      <c r="AG1944" s="245"/>
    </row>
    <row r="1945" spans="1:33" ht="26.4">
      <c r="A1945" s="391"/>
      <c r="B1945" s="245"/>
      <c r="C1945" s="245"/>
      <c r="D1945" s="245"/>
      <c r="E1945" s="245"/>
      <c r="F1945" s="319"/>
      <c r="G1945" s="245"/>
      <c r="H1945" s="245"/>
      <c r="I1945" s="245"/>
      <c r="L1945" s="123"/>
      <c r="P1945" s="366"/>
      <c r="R1945" s="355"/>
      <c r="S1945" s="369"/>
      <c r="T1945" s="328"/>
      <c r="U1945" s="394" ph="1"/>
      <c r="W1945" s="216"/>
      <c r="X1945" s="245"/>
      <c r="Y1945" s="187"/>
      <c r="Z1945" s="245"/>
      <c r="AA1945" s="245"/>
      <c r="AB1945" s="332"/>
      <c r="AD1945" s="245"/>
      <c r="AE1945" s="245"/>
      <c r="AF1945" s="245"/>
      <c r="AG1945" s="245"/>
    </row>
    <row r="1946" spans="1:33" ht="26.4">
      <c r="A1946" s="391"/>
      <c r="B1946" s="245"/>
      <c r="C1946" s="245"/>
      <c r="D1946" s="245"/>
      <c r="E1946" s="245"/>
      <c r="F1946" s="319"/>
      <c r="G1946" s="245"/>
      <c r="H1946" s="245"/>
      <c r="I1946" s="245"/>
      <c r="L1946" s="123"/>
      <c r="P1946" s="366"/>
      <c r="R1946" s="355"/>
      <c r="S1946" s="369"/>
      <c r="T1946" s="328"/>
      <c r="U1946" s="394" ph="1"/>
      <c r="W1946" s="216"/>
      <c r="X1946" s="245"/>
      <c r="Y1946" s="187"/>
      <c r="Z1946" s="245"/>
      <c r="AA1946" s="245"/>
      <c r="AB1946" s="332"/>
      <c r="AD1946" s="245"/>
      <c r="AE1946" s="245"/>
      <c r="AF1946" s="245"/>
      <c r="AG1946" s="245"/>
    </row>
    <row r="1947" spans="1:33" ht="26.4">
      <c r="A1947" s="391"/>
      <c r="B1947" s="245"/>
      <c r="C1947" s="245"/>
      <c r="D1947" s="245"/>
      <c r="E1947" s="245"/>
      <c r="F1947" s="319"/>
      <c r="G1947" s="245"/>
      <c r="H1947" s="245"/>
      <c r="I1947" s="245"/>
      <c r="L1947" s="123"/>
      <c r="P1947" s="366"/>
      <c r="R1947" s="355"/>
      <c r="S1947" s="369"/>
      <c r="T1947" s="328"/>
      <c r="U1947" s="394" ph="1"/>
      <c r="W1947" s="216"/>
      <c r="X1947" s="245"/>
      <c r="Y1947" s="187"/>
      <c r="Z1947" s="245"/>
      <c r="AA1947" s="245"/>
      <c r="AB1947" s="332"/>
      <c r="AD1947" s="245"/>
      <c r="AE1947" s="245"/>
      <c r="AF1947" s="245"/>
      <c r="AG1947" s="245"/>
    </row>
    <row r="1948" spans="1:33" ht="26.4">
      <c r="A1948" s="391"/>
      <c r="B1948" s="245"/>
      <c r="C1948" s="245"/>
      <c r="D1948" s="245"/>
      <c r="E1948" s="245"/>
      <c r="F1948" s="319"/>
      <c r="G1948" s="245"/>
      <c r="H1948" s="245"/>
      <c r="I1948" s="245"/>
      <c r="L1948" s="123"/>
      <c r="P1948" s="366"/>
      <c r="R1948" s="355"/>
      <c r="S1948" s="369"/>
      <c r="T1948" s="328"/>
      <c r="U1948" s="394" ph="1"/>
      <c r="W1948" s="216"/>
      <c r="X1948" s="245"/>
      <c r="Y1948" s="187"/>
      <c r="Z1948" s="245"/>
      <c r="AA1948" s="245"/>
      <c r="AB1948" s="332"/>
      <c r="AD1948" s="245"/>
      <c r="AE1948" s="245"/>
      <c r="AF1948" s="245"/>
      <c r="AG1948" s="245"/>
    </row>
    <row r="1949" spans="1:33" ht="26.4">
      <c r="A1949" s="391"/>
      <c r="B1949" s="245"/>
      <c r="C1949" s="245"/>
      <c r="D1949" s="245"/>
      <c r="E1949" s="245"/>
      <c r="F1949" s="319"/>
      <c r="G1949" s="245"/>
      <c r="H1949" s="245"/>
      <c r="I1949" s="245"/>
      <c r="L1949" s="123"/>
      <c r="P1949" s="366"/>
      <c r="R1949" s="355"/>
      <c r="S1949" s="369"/>
      <c r="T1949" s="328"/>
      <c r="U1949" s="394" ph="1"/>
      <c r="W1949" s="216"/>
      <c r="X1949" s="245"/>
      <c r="Y1949" s="187"/>
      <c r="Z1949" s="245"/>
      <c r="AA1949" s="245"/>
      <c r="AB1949" s="332"/>
      <c r="AD1949" s="245"/>
      <c r="AE1949" s="245"/>
      <c r="AF1949" s="245"/>
      <c r="AG1949" s="245"/>
    </row>
    <row r="1950" spans="1:33" ht="26.4">
      <c r="A1950" s="391"/>
      <c r="B1950" s="245"/>
      <c r="C1950" s="245"/>
      <c r="D1950" s="245"/>
      <c r="E1950" s="245"/>
      <c r="F1950" s="319"/>
      <c r="G1950" s="245"/>
      <c r="H1950" s="245"/>
      <c r="I1950" s="245"/>
      <c r="L1950" s="123"/>
      <c r="P1950" s="366"/>
      <c r="R1950" s="355"/>
      <c r="S1950" s="369"/>
      <c r="T1950" s="328"/>
      <c r="U1950" s="394" ph="1"/>
      <c r="W1950" s="216"/>
      <c r="X1950" s="245"/>
      <c r="Y1950" s="187"/>
      <c r="Z1950" s="245"/>
      <c r="AA1950" s="245"/>
      <c r="AB1950" s="332"/>
      <c r="AD1950" s="245"/>
      <c r="AE1950" s="245"/>
      <c r="AF1950" s="245"/>
      <c r="AG1950" s="245"/>
    </row>
    <row r="1951" spans="1:33" ht="26.4">
      <c r="A1951" s="391"/>
      <c r="B1951" s="245"/>
      <c r="C1951" s="245"/>
      <c r="D1951" s="245"/>
      <c r="E1951" s="245"/>
      <c r="F1951" s="319"/>
      <c r="G1951" s="245"/>
      <c r="H1951" s="245"/>
      <c r="I1951" s="245"/>
      <c r="L1951" s="123"/>
      <c r="P1951" s="366"/>
      <c r="R1951" s="355"/>
      <c r="S1951" s="369"/>
      <c r="T1951" s="328"/>
      <c r="U1951" s="394" ph="1"/>
      <c r="W1951" s="216"/>
      <c r="X1951" s="245"/>
      <c r="Y1951" s="187"/>
      <c r="Z1951" s="245"/>
      <c r="AA1951" s="245"/>
      <c r="AB1951" s="332"/>
      <c r="AD1951" s="245"/>
      <c r="AE1951" s="245"/>
      <c r="AF1951" s="245"/>
      <c r="AG1951" s="245"/>
    </row>
    <row r="1952" spans="1:33" ht="26.4">
      <c r="A1952" s="391"/>
      <c r="B1952" s="245"/>
      <c r="C1952" s="245"/>
      <c r="D1952" s="245"/>
      <c r="E1952" s="245"/>
      <c r="F1952" s="319"/>
      <c r="G1952" s="245"/>
      <c r="H1952" s="245"/>
      <c r="I1952" s="245"/>
      <c r="L1952" s="123"/>
      <c r="P1952" s="366"/>
      <c r="R1952" s="355"/>
      <c r="S1952" s="369"/>
      <c r="T1952" s="328"/>
      <c r="U1952" s="394" ph="1"/>
      <c r="W1952" s="216"/>
      <c r="X1952" s="245"/>
      <c r="Y1952" s="187"/>
      <c r="Z1952" s="245"/>
      <c r="AA1952" s="245"/>
      <c r="AB1952" s="332"/>
      <c r="AD1952" s="245"/>
      <c r="AE1952" s="245"/>
      <c r="AF1952" s="245"/>
      <c r="AG1952" s="245"/>
    </row>
    <row r="1953" spans="1:33" ht="26.4">
      <c r="A1953" s="391"/>
      <c r="B1953" s="245"/>
      <c r="C1953" s="245"/>
      <c r="D1953" s="245"/>
      <c r="E1953" s="245"/>
      <c r="F1953" s="319"/>
      <c r="G1953" s="245"/>
      <c r="H1953" s="245"/>
      <c r="I1953" s="245"/>
      <c r="L1953" s="123"/>
      <c r="P1953" s="366"/>
      <c r="R1953" s="355"/>
      <c r="S1953" s="369"/>
      <c r="T1953" s="328"/>
      <c r="U1953" s="394" ph="1"/>
      <c r="W1953" s="216"/>
      <c r="X1953" s="245"/>
      <c r="Y1953" s="187"/>
      <c r="Z1953" s="245"/>
      <c r="AA1953" s="245"/>
      <c r="AB1953" s="332"/>
      <c r="AD1953" s="245"/>
      <c r="AE1953" s="245"/>
      <c r="AF1953" s="245"/>
      <c r="AG1953" s="245"/>
    </row>
    <row r="1954" spans="1:33" ht="26.4">
      <c r="A1954" s="391"/>
      <c r="B1954" s="245"/>
      <c r="C1954" s="245"/>
      <c r="D1954" s="245"/>
      <c r="E1954" s="245"/>
      <c r="F1954" s="319"/>
      <c r="G1954" s="245"/>
      <c r="H1954" s="245"/>
      <c r="I1954" s="245"/>
      <c r="L1954" s="245"/>
      <c r="P1954" s="366"/>
      <c r="R1954" s="355"/>
      <c r="S1954" s="369"/>
      <c r="T1954" s="328"/>
      <c r="U1954" s="394" ph="1"/>
      <c r="W1954" s="216"/>
      <c r="X1954" s="245"/>
      <c r="Y1954" s="187"/>
      <c r="Z1954" s="245"/>
      <c r="AA1954" s="245"/>
      <c r="AB1954" s="332"/>
      <c r="AD1954" s="245"/>
      <c r="AE1954" s="245"/>
      <c r="AF1954" s="245"/>
      <c r="AG1954" s="245"/>
    </row>
    <row r="1955" spans="1:33" ht="26.4">
      <c r="A1955" s="391"/>
      <c r="B1955" s="245"/>
      <c r="C1955" s="245"/>
      <c r="D1955" s="245"/>
      <c r="E1955" s="245"/>
      <c r="F1955" s="319"/>
      <c r="G1955" s="245"/>
      <c r="H1955" s="245"/>
      <c r="I1955" s="245"/>
      <c r="L1955" s="123"/>
      <c r="P1955" s="366"/>
      <c r="R1955" s="355"/>
      <c r="S1955" s="369"/>
      <c r="T1955" s="328"/>
      <c r="U1955" s="394" ph="1"/>
      <c r="W1955" s="216"/>
      <c r="X1955" s="245"/>
      <c r="Y1955" s="187"/>
      <c r="Z1955" s="245"/>
      <c r="AA1955" s="245"/>
      <c r="AB1955" s="332"/>
      <c r="AD1955" s="245"/>
      <c r="AE1955" s="245"/>
      <c r="AF1955" s="245"/>
      <c r="AG1955" s="245"/>
    </row>
    <row r="1956" spans="1:33" ht="26.4">
      <c r="A1956" s="391"/>
      <c r="B1956" s="245"/>
      <c r="C1956" s="245"/>
      <c r="D1956" s="245"/>
      <c r="E1956" s="245"/>
      <c r="F1956" s="319"/>
      <c r="G1956" s="245"/>
      <c r="H1956" s="245"/>
      <c r="I1956" s="245"/>
      <c r="L1956" s="123"/>
      <c r="P1956" s="366"/>
      <c r="R1956" s="355"/>
      <c r="S1956" s="369"/>
      <c r="T1956" s="328"/>
      <c r="U1956" s="394" ph="1"/>
      <c r="W1956" s="216"/>
      <c r="X1956" s="245"/>
      <c r="Y1956" s="187"/>
      <c r="Z1956" s="245"/>
      <c r="AA1956" s="245"/>
      <c r="AB1956" s="332"/>
      <c r="AD1956" s="245"/>
      <c r="AE1956" s="245"/>
      <c r="AF1956" s="245"/>
      <c r="AG1956" s="245"/>
    </row>
    <row r="1957" spans="1:33" ht="26.4">
      <c r="A1957" s="391"/>
      <c r="B1957" s="245"/>
      <c r="C1957" s="245"/>
      <c r="D1957" s="245"/>
      <c r="E1957" s="245"/>
      <c r="F1957" s="319"/>
      <c r="G1957" s="245"/>
      <c r="H1957" s="245"/>
      <c r="I1957" s="245"/>
      <c r="L1957" s="123"/>
      <c r="P1957" s="366"/>
      <c r="R1957" s="355"/>
      <c r="S1957" s="369"/>
      <c r="T1957" s="328"/>
      <c r="U1957" s="394" ph="1"/>
      <c r="W1957" s="216"/>
      <c r="X1957" s="245"/>
      <c r="Y1957" s="187"/>
      <c r="Z1957" s="245"/>
      <c r="AA1957" s="245"/>
      <c r="AB1957" s="332"/>
      <c r="AD1957" s="245"/>
      <c r="AE1957" s="245"/>
      <c r="AF1957" s="245"/>
      <c r="AG1957" s="245"/>
    </row>
    <row r="1958" spans="1:33" ht="26.4">
      <c r="A1958" s="391"/>
      <c r="B1958" s="245"/>
      <c r="C1958" s="245"/>
      <c r="D1958" s="245"/>
      <c r="E1958" s="245"/>
      <c r="F1958" s="319"/>
      <c r="G1958" s="245"/>
      <c r="H1958" s="245"/>
      <c r="I1958" s="245"/>
      <c r="L1958" s="123"/>
      <c r="P1958" s="366"/>
      <c r="R1958" s="355"/>
      <c r="S1958" s="369"/>
      <c r="T1958" s="328"/>
      <c r="U1958" s="394" ph="1"/>
      <c r="W1958" s="216"/>
      <c r="X1958" s="245"/>
      <c r="Y1958" s="187"/>
      <c r="Z1958" s="245"/>
      <c r="AA1958" s="245"/>
      <c r="AB1958" s="332"/>
      <c r="AD1958" s="245"/>
      <c r="AE1958" s="245"/>
      <c r="AF1958" s="245"/>
      <c r="AG1958" s="245"/>
    </row>
    <row r="1959" spans="1:33" ht="26.4">
      <c r="A1959" s="391"/>
      <c r="B1959" s="245"/>
      <c r="C1959" s="245"/>
      <c r="D1959" s="245"/>
      <c r="E1959" s="245"/>
      <c r="F1959" s="319"/>
      <c r="G1959" s="245"/>
      <c r="H1959" s="245"/>
      <c r="I1959" s="245"/>
      <c r="L1959" s="123"/>
      <c r="P1959" s="366"/>
      <c r="R1959" s="355"/>
      <c r="S1959" s="369"/>
      <c r="T1959" s="328"/>
      <c r="U1959" s="394" ph="1"/>
      <c r="W1959" s="216"/>
      <c r="X1959" s="245"/>
      <c r="Y1959" s="187"/>
      <c r="Z1959" s="245"/>
      <c r="AA1959" s="245"/>
      <c r="AB1959" s="332"/>
      <c r="AD1959" s="245"/>
      <c r="AE1959" s="245"/>
      <c r="AF1959" s="245"/>
      <c r="AG1959" s="245"/>
    </row>
    <row r="1960" spans="1:33" ht="26.4">
      <c r="A1960" s="391"/>
      <c r="B1960" s="245"/>
      <c r="C1960" s="245"/>
      <c r="D1960" s="245"/>
      <c r="E1960" s="245"/>
      <c r="F1960" s="319"/>
      <c r="G1960" s="245"/>
      <c r="H1960" s="245"/>
      <c r="I1960" s="245"/>
      <c r="L1960" s="123"/>
      <c r="P1960" s="366"/>
      <c r="R1960" s="355"/>
      <c r="S1960" s="369"/>
      <c r="T1960" s="328"/>
      <c r="U1960" s="394" ph="1"/>
      <c r="W1960" s="216"/>
      <c r="X1960" s="245"/>
      <c r="Y1960" s="187"/>
      <c r="Z1960" s="245"/>
      <c r="AA1960" s="245"/>
      <c r="AB1960" s="332"/>
      <c r="AD1960" s="245"/>
      <c r="AE1960" s="245"/>
      <c r="AF1960" s="245"/>
      <c r="AG1960" s="245"/>
    </row>
    <row r="1961" spans="1:33" ht="26.4">
      <c r="A1961" s="391"/>
      <c r="B1961" s="245"/>
      <c r="C1961" s="245"/>
      <c r="D1961" s="245"/>
      <c r="E1961" s="245"/>
      <c r="F1961" s="319"/>
      <c r="G1961" s="245"/>
      <c r="H1961" s="245"/>
      <c r="I1961" s="245"/>
      <c r="L1961" s="123"/>
      <c r="P1961" s="366"/>
      <c r="R1961" s="355"/>
      <c r="S1961" s="369"/>
      <c r="T1961" s="328"/>
      <c r="U1961" s="394" ph="1"/>
      <c r="W1961" s="216"/>
      <c r="X1961" s="245"/>
      <c r="Y1961" s="187"/>
      <c r="Z1961" s="245"/>
      <c r="AA1961" s="245"/>
      <c r="AB1961" s="332"/>
      <c r="AD1961" s="245"/>
      <c r="AE1961" s="245"/>
      <c r="AF1961" s="245"/>
      <c r="AG1961" s="245"/>
    </row>
    <row r="1962" spans="1:33" ht="26.4">
      <c r="A1962" s="391"/>
      <c r="B1962" s="245"/>
      <c r="C1962" s="245"/>
      <c r="D1962" s="245"/>
      <c r="E1962" s="245"/>
      <c r="F1962" s="319"/>
      <c r="G1962" s="245"/>
      <c r="H1962" s="245"/>
      <c r="I1962" s="245"/>
      <c r="L1962" s="123"/>
      <c r="P1962" s="366"/>
      <c r="R1962" s="355"/>
      <c r="S1962" s="369"/>
      <c r="T1962" s="328"/>
      <c r="U1962" s="394" ph="1"/>
      <c r="W1962" s="216"/>
      <c r="X1962" s="245"/>
      <c r="Y1962" s="187"/>
      <c r="Z1962" s="245"/>
      <c r="AA1962" s="245"/>
      <c r="AB1962" s="332"/>
      <c r="AD1962" s="245"/>
      <c r="AE1962" s="245"/>
      <c r="AF1962" s="245"/>
      <c r="AG1962" s="245"/>
    </row>
    <row r="1963" spans="1:33" ht="26.4">
      <c r="A1963" s="391"/>
      <c r="B1963" s="245"/>
      <c r="C1963" s="245"/>
      <c r="D1963" s="245"/>
      <c r="E1963" s="245"/>
      <c r="F1963" s="319"/>
      <c r="G1963" s="245"/>
      <c r="H1963" s="245"/>
      <c r="I1963" s="245"/>
      <c r="L1963" s="123"/>
      <c r="P1963" s="366"/>
      <c r="R1963" s="355"/>
      <c r="S1963" s="369"/>
      <c r="T1963" s="328"/>
      <c r="U1963" s="394" ph="1"/>
      <c r="W1963" s="216"/>
      <c r="X1963" s="245"/>
      <c r="Y1963" s="187"/>
      <c r="Z1963" s="245"/>
      <c r="AA1963" s="245"/>
      <c r="AB1963" s="332"/>
      <c r="AD1963" s="245"/>
      <c r="AE1963" s="245"/>
      <c r="AF1963" s="245"/>
      <c r="AG1963" s="245"/>
    </row>
    <row r="1964" spans="1:33" ht="26.4">
      <c r="A1964" s="391"/>
      <c r="B1964" s="245"/>
      <c r="C1964" s="245"/>
      <c r="D1964" s="245"/>
      <c r="E1964" s="245"/>
      <c r="F1964" s="319"/>
      <c r="G1964" s="245"/>
      <c r="H1964" s="245"/>
      <c r="I1964" s="245"/>
      <c r="L1964" s="123"/>
      <c r="P1964" s="366"/>
      <c r="R1964" s="355"/>
      <c r="S1964" s="369"/>
      <c r="T1964" s="328"/>
      <c r="U1964" s="394" ph="1"/>
      <c r="W1964" s="216"/>
      <c r="X1964" s="245"/>
      <c r="Y1964" s="187"/>
      <c r="Z1964" s="245"/>
      <c r="AA1964" s="245"/>
      <c r="AB1964" s="332"/>
      <c r="AD1964" s="245"/>
      <c r="AE1964" s="245"/>
      <c r="AF1964" s="245"/>
      <c r="AG1964" s="245"/>
    </row>
    <row r="1965" spans="1:33" ht="26.4">
      <c r="A1965" s="391"/>
      <c r="B1965" s="245"/>
      <c r="C1965" s="245"/>
      <c r="D1965" s="245"/>
      <c r="E1965" s="245"/>
      <c r="F1965" s="319"/>
      <c r="G1965" s="245"/>
      <c r="H1965" s="245"/>
      <c r="I1965" s="245"/>
      <c r="L1965" s="123"/>
      <c r="P1965" s="366"/>
      <c r="R1965" s="355"/>
      <c r="S1965" s="369"/>
      <c r="T1965" s="328"/>
      <c r="U1965" s="394" ph="1"/>
      <c r="W1965" s="216"/>
      <c r="X1965" s="245"/>
      <c r="Y1965" s="187"/>
      <c r="Z1965" s="245"/>
      <c r="AA1965" s="245"/>
      <c r="AB1965" s="332"/>
      <c r="AD1965" s="245"/>
      <c r="AE1965" s="245"/>
      <c r="AF1965" s="245"/>
      <c r="AG1965" s="245"/>
    </row>
    <row r="1966" spans="1:33" ht="26.4">
      <c r="A1966" s="391"/>
      <c r="B1966" s="245"/>
      <c r="C1966" s="245"/>
      <c r="D1966" s="245"/>
      <c r="E1966" s="245"/>
      <c r="F1966" s="319"/>
      <c r="G1966" s="245"/>
      <c r="H1966" s="245"/>
      <c r="I1966" s="245"/>
      <c r="L1966" s="123"/>
      <c r="P1966" s="366"/>
      <c r="R1966" s="355"/>
      <c r="S1966" s="369"/>
      <c r="T1966" s="328"/>
      <c r="U1966" s="394" ph="1"/>
      <c r="W1966" s="216"/>
      <c r="X1966" s="245"/>
      <c r="Y1966" s="187"/>
      <c r="Z1966" s="245"/>
      <c r="AA1966" s="245"/>
      <c r="AB1966" s="332"/>
      <c r="AD1966" s="245"/>
      <c r="AE1966" s="245"/>
      <c r="AF1966" s="245"/>
      <c r="AG1966" s="245"/>
    </row>
    <row r="1967" spans="1:33" ht="26.4">
      <c r="A1967" s="391"/>
      <c r="B1967" s="245"/>
      <c r="C1967" s="245"/>
      <c r="D1967" s="245"/>
      <c r="E1967" s="245"/>
      <c r="F1967" s="319"/>
      <c r="G1967" s="245"/>
      <c r="H1967" s="245"/>
      <c r="I1967" s="245"/>
      <c r="L1967" s="123"/>
      <c r="P1967" s="366"/>
      <c r="R1967" s="355"/>
      <c r="S1967" s="369"/>
      <c r="T1967" s="328"/>
      <c r="U1967" s="394" ph="1"/>
      <c r="W1967" s="216"/>
      <c r="X1967" s="245"/>
      <c r="Y1967" s="187"/>
      <c r="Z1967" s="245"/>
      <c r="AA1967" s="245"/>
      <c r="AB1967" s="332"/>
      <c r="AD1967" s="245"/>
      <c r="AE1967" s="245"/>
      <c r="AF1967" s="245"/>
      <c r="AG1967" s="245"/>
    </row>
    <row r="1968" spans="1:33" ht="26.4">
      <c r="A1968" s="391"/>
      <c r="B1968" s="245"/>
      <c r="C1968" s="245"/>
      <c r="D1968" s="245"/>
      <c r="E1968" s="245"/>
      <c r="F1968" s="319"/>
      <c r="G1968" s="245"/>
      <c r="H1968" s="245"/>
      <c r="I1968" s="245"/>
      <c r="L1968" s="123"/>
      <c r="P1968" s="366"/>
      <c r="R1968" s="355"/>
      <c r="S1968" s="369"/>
      <c r="T1968" s="328"/>
      <c r="U1968" s="394" ph="1"/>
      <c r="W1968" s="216"/>
      <c r="X1968" s="245"/>
      <c r="Y1968" s="187"/>
      <c r="Z1968" s="245"/>
      <c r="AA1968" s="245"/>
      <c r="AB1968" s="332"/>
      <c r="AD1968" s="245"/>
      <c r="AE1968" s="245"/>
      <c r="AF1968" s="245"/>
      <c r="AG1968" s="245"/>
    </row>
    <row r="1969" spans="1:33" ht="26.4">
      <c r="A1969" s="391"/>
      <c r="B1969" s="245"/>
      <c r="C1969" s="245"/>
      <c r="D1969" s="245"/>
      <c r="E1969" s="245"/>
      <c r="F1969" s="319"/>
      <c r="G1969" s="245"/>
      <c r="H1969" s="245"/>
      <c r="I1969" s="245"/>
      <c r="L1969" s="123"/>
      <c r="P1969" s="366"/>
      <c r="R1969" s="355"/>
      <c r="S1969" s="369"/>
      <c r="T1969" s="328"/>
      <c r="U1969" s="394" ph="1"/>
      <c r="W1969" s="216"/>
      <c r="X1969" s="245"/>
      <c r="Y1969" s="187"/>
      <c r="Z1969" s="245"/>
      <c r="AA1969" s="245"/>
      <c r="AB1969" s="332"/>
      <c r="AD1969" s="245"/>
      <c r="AE1969" s="245"/>
      <c r="AF1969" s="245"/>
      <c r="AG1969" s="245"/>
    </row>
    <row r="1970" spans="1:33" ht="26.4">
      <c r="A1970" s="391"/>
      <c r="B1970" s="245"/>
      <c r="C1970" s="245"/>
      <c r="D1970" s="245"/>
      <c r="E1970" s="245"/>
      <c r="F1970" s="319"/>
      <c r="G1970" s="245"/>
      <c r="H1970" s="245"/>
      <c r="I1970" s="245"/>
      <c r="L1970" s="123"/>
      <c r="P1970" s="366"/>
      <c r="R1970" s="355"/>
      <c r="S1970" s="369"/>
      <c r="T1970" s="328"/>
      <c r="U1970" s="394" ph="1"/>
      <c r="W1970" s="216"/>
      <c r="X1970" s="245"/>
      <c r="Y1970" s="187"/>
      <c r="Z1970" s="245"/>
      <c r="AA1970" s="245"/>
      <c r="AB1970" s="332"/>
      <c r="AD1970" s="245"/>
      <c r="AE1970" s="245"/>
      <c r="AF1970" s="245"/>
      <c r="AG1970" s="245"/>
    </row>
    <row r="1971" spans="1:33" ht="26.4">
      <c r="A1971" s="391"/>
      <c r="B1971" s="245"/>
      <c r="C1971" s="245"/>
      <c r="D1971" s="245"/>
      <c r="E1971" s="245"/>
      <c r="F1971" s="319"/>
      <c r="G1971" s="245"/>
      <c r="H1971" s="245"/>
      <c r="I1971" s="245"/>
      <c r="L1971" s="123"/>
      <c r="P1971" s="366"/>
      <c r="R1971" s="355"/>
      <c r="S1971" s="369"/>
      <c r="T1971" s="328"/>
      <c r="U1971" s="394" ph="1"/>
      <c r="W1971" s="216"/>
      <c r="X1971" s="245"/>
      <c r="Y1971" s="187"/>
      <c r="Z1971" s="245"/>
      <c r="AA1971" s="245"/>
      <c r="AB1971" s="332"/>
      <c r="AD1971" s="245"/>
      <c r="AE1971" s="245"/>
      <c r="AF1971" s="245"/>
      <c r="AG1971" s="245"/>
    </row>
    <row r="1972" spans="1:33" ht="26.4">
      <c r="A1972" s="391"/>
      <c r="B1972" s="245"/>
      <c r="C1972" s="245"/>
      <c r="D1972" s="245"/>
      <c r="E1972" s="245"/>
      <c r="F1972" s="319"/>
      <c r="G1972" s="245"/>
      <c r="H1972" s="245"/>
      <c r="I1972" s="245"/>
      <c r="L1972" s="123"/>
      <c r="P1972" s="366"/>
      <c r="R1972" s="355"/>
      <c r="S1972" s="369"/>
      <c r="T1972" s="328"/>
      <c r="U1972" s="394" ph="1"/>
      <c r="W1972" s="216"/>
      <c r="X1972" s="245"/>
      <c r="Y1972" s="187"/>
      <c r="Z1972" s="245"/>
      <c r="AA1972" s="245"/>
      <c r="AB1972" s="332"/>
      <c r="AD1972" s="245"/>
      <c r="AE1972" s="245"/>
      <c r="AF1972" s="245"/>
      <c r="AG1972" s="245"/>
    </row>
    <row r="1973" spans="1:33" ht="26.4">
      <c r="A1973" s="391"/>
      <c r="B1973" s="245"/>
      <c r="C1973" s="245"/>
      <c r="D1973" s="245"/>
      <c r="E1973" s="245"/>
      <c r="F1973" s="319"/>
      <c r="G1973" s="245"/>
      <c r="H1973" s="245"/>
      <c r="I1973" s="245"/>
      <c r="L1973" s="123"/>
      <c r="P1973" s="366"/>
      <c r="R1973" s="355"/>
      <c r="S1973" s="369"/>
      <c r="T1973" s="328"/>
      <c r="U1973" s="394" ph="1"/>
      <c r="W1973" s="216"/>
      <c r="X1973" s="245"/>
      <c r="Y1973" s="187"/>
      <c r="Z1973" s="245"/>
      <c r="AA1973" s="245"/>
      <c r="AB1973" s="332"/>
      <c r="AD1973" s="245"/>
      <c r="AE1973" s="245"/>
      <c r="AF1973" s="245"/>
      <c r="AG1973" s="245"/>
    </row>
    <row r="1974" spans="1:33" ht="26.4">
      <c r="A1974" s="391"/>
      <c r="B1974" s="245"/>
      <c r="C1974" s="245"/>
      <c r="D1974" s="245"/>
      <c r="E1974" s="245"/>
      <c r="F1974" s="319"/>
      <c r="G1974" s="245"/>
      <c r="H1974" s="245"/>
      <c r="I1974" s="245"/>
      <c r="L1974" s="123"/>
      <c r="P1974" s="366"/>
      <c r="R1974" s="355"/>
      <c r="S1974" s="369"/>
      <c r="T1974" s="328"/>
      <c r="U1974" s="394" ph="1"/>
      <c r="W1974" s="216"/>
      <c r="X1974" s="245"/>
      <c r="Y1974" s="187"/>
      <c r="Z1974" s="245"/>
      <c r="AA1974" s="245"/>
      <c r="AB1974" s="332"/>
      <c r="AD1974" s="245"/>
      <c r="AE1974" s="245"/>
      <c r="AF1974" s="245"/>
      <c r="AG1974" s="245"/>
    </row>
    <row r="1975" spans="1:33" ht="26.4">
      <c r="A1975" s="391"/>
      <c r="B1975" s="245"/>
      <c r="C1975" s="245"/>
      <c r="D1975" s="245"/>
      <c r="E1975" s="245"/>
      <c r="F1975" s="319"/>
      <c r="G1975" s="245"/>
      <c r="H1975" s="245"/>
      <c r="I1975" s="245"/>
      <c r="L1975" s="123"/>
      <c r="P1975" s="366"/>
      <c r="R1975" s="355"/>
      <c r="S1975" s="369"/>
      <c r="T1975" s="328"/>
      <c r="U1975" s="394" ph="1"/>
      <c r="W1975" s="216"/>
      <c r="X1975" s="245"/>
      <c r="Y1975" s="187"/>
      <c r="Z1975" s="245"/>
      <c r="AA1975" s="245"/>
      <c r="AB1975" s="332"/>
      <c r="AD1975" s="245"/>
      <c r="AE1975" s="245"/>
      <c r="AF1975" s="245"/>
      <c r="AG1975" s="245"/>
    </row>
    <row r="1976" spans="1:33" ht="26.4">
      <c r="A1976" s="391"/>
      <c r="B1976" s="245"/>
      <c r="C1976" s="245"/>
      <c r="D1976" s="245"/>
      <c r="E1976" s="245"/>
      <c r="F1976" s="319"/>
      <c r="G1976" s="245"/>
      <c r="H1976" s="245"/>
      <c r="I1976" s="245"/>
      <c r="L1976" s="123"/>
      <c r="P1976" s="366"/>
      <c r="R1976" s="355"/>
      <c r="S1976" s="369"/>
      <c r="T1976" s="328"/>
      <c r="U1976" s="394" ph="1"/>
      <c r="W1976" s="216"/>
      <c r="X1976" s="245"/>
      <c r="Y1976" s="187"/>
      <c r="Z1976" s="245"/>
      <c r="AA1976" s="245"/>
      <c r="AB1976" s="332"/>
      <c r="AD1976" s="245"/>
      <c r="AE1976" s="245"/>
      <c r="AF1976" s="245"/>
      <c r="AG1976" s="245"/>
    </row>
    <row r="1977" spans="1:33" ht="26.4">
      <c r="A1977" s="391"/>
      <c r="B1977" s="245"/>
      <c r="C1977" s="245"/>
      <c r="D1977" s="245"/>
      <c r="E1977" s="245"/>
      <c r="F1977" s="319"/>
      <c r="G1977" s="245"/>
      <c r="H1977" s="245"/>
      <c r="I1977" s="245"/>
      <c r="L1977" s="123"/>
      <c r="P1977" s="366"/>
      <c r="R1977" s="355"/>
      <c r="S1977" s="369"/>
      <c r="T1977" s="328"/>
      <c r="U1977" s="394" ph="1"/>
      <c r="W1977" s="216"/>
      <c r="X1977" s="245"/>
      <c r="Y1977" s="187"/>
      <c r="Z1977" s="245"/>
      <c r="AA1977" s="245"/>
      <c r="AB1977" s="332"/>
      <c r="AD1977" s="245"/>
      <c r="AE1977" s="245"/>
      <c r="AF1977" s="245"/>
      <c r="AG1977" s="245"/>
    </row>
    <row r="1978" spans="1:33" ht="26.4">
      <c r="A1978" s="391"/>
      <c r="B1978" s="245"/>
      <c r="C1978" s="245"/>
      <c r="D1978" s="245"/>
      <c r="E1978" s="245"/>
      <c r="F1978" s="319"/>
      <c r="G1978" s="245"/>
      <c r="H1978" s="245"/>
      <c r="I1978" s="245"/>
      <c r="L1978" s="123"/>
      <c r="P1978" s="366"/>
      <c r="R1978" s="355"/>
      <c r="S1978" s="369"/>
      <c r="T1978" s="328"/>
      <c r="U1978" s="394" ph="1"/>
      <c r="W1978" s="216"/>
      <c r="X1978" s="245"/>
      <c r="Y1978" s="187"/>
      <c r="Z1978" s="245"/>
      <c r="AA1978" s="245"/>
      <c r="AB1978" s="332"/>
      <c r="AD1978" s="245"/>
      <c r="AE1978" s="245"/>
      <c r="AF1978" s="245"/>
      <c r="AG1978" s="245"/>
    </row>
    <row r="1979" spans="1:33" ht="26.4">
      <c r="A1979" s="391"/>
      <c r="B1979" s="245"/>
      <c r="C1979" s="245"/>
      <c r="D1979" s="245"/>
      <c r="E1979" s="245"/>
      <c r="F1979" s="319"/>
      <c r="G1979" s="245"/>
      <c r="H1979" s="245"/>
      <c r="I1979" s="245"/>
      <c r="L1979" s="123"/>
      <c r="P1979" s="366"/>
      <c r="R1979" s="355"/>
      <c r="S1979" s="369"/>
      <c r="T1979" s="328"/>
      <c r="U1979" s="394" ph="1"/>
      <c r="W1979" s="216"/>
      <c r="X1979" s="245"/>
      <c r="Y1979" s="187"/>
      <c r="Z1979" s="245"/>
      <c r="AA1979" s="245"/>
      <c r="AB1979" s="332"/>
      <c r="AD1979" s="245"/>
      <c r="AE1979" s="245"/>
      <c r="AF1979" s="245"/>
      <c r="AG1979" s="245"/>
    </row>
    <row r="1980" spans="1:33" ht="26.4">
      <c r="A1980" s="391"/>
      <c r="B1980" s="245"/>
      <c r="C1980" s="245"/>
      <c r="D1980" s="245"/>
      <c r="E1980" s="245"/>
      <c r="F1980" s="319"/>
      <c r="G1980" s="245"/>
      <c r="H1980" s="245"/>
      <c r="I1980" s="245"/>
      <c r="L1980" s="123"/>
      <c r="P1980" s="366"/>
      <c r="R1980" s="355"/>
      <c r="S1980" s="369"/>
      <c r="T1980" s="328"/>
      <c r="U1980" s="394" ph="1"/>
      <c r="W1980" s="216"/>
      <c r="X1980" s="245"/>
      <c r="Y1980" s="187"/>
      <c r="Z1980" s="245"/>
      <c r="AA1980" s="245"/>
      <c r="AB1980" s="332"/>
      <c r="AD1980" s="245"/>
      <c r="AE1980" s="245"/>
      <c r="AF1980" s="245"/>
      <c r="AG1980" s="245"/>
    </row>
    <row r="1981" spans="1:33" ht="26.4">
      <c r="A1981" s="391"/>
      <c r="B1981" s="245"/>
      <c r="C1981" s="245"/>
      <c r="D1981" s="245"/>
      <c r="E1981" s="245"/>
      <c r="F1981" s="319"/>
      <c r="G1981" s="245"/>
      <c r="H1981" s="245"/>
      <c r="I1981" s="245"/>
      <c r="L1981" s="123"/>
      <c r="P1981" s="366"/>
      <c r="R1981" s="355"/>
      <c r="S1981" s="369"/>
      <c r="T1981" s="328"/>
      <c r="U1981" s="394" ph="1"/>
      <c r="W1981" s="216"/>
      <c r="X1981" s="245"/>
      <c r="Y1981" s="187"/>
      <c r="Z1981" s="245"/>
      <c r="AA1981" s="245"/>
      <c r="AB1981" s="332"/>
      <c r="AD1981" s="245"/>
      <c r="AE1981" s="245"/>
      <c r="AF1981" s="245"/>
      <c r="AG1981" s="245"/>
    </row>
    <row r="1982" spans="1:33" ht="26.4">
      <c r="A1982" s="391"/>
      <c r="B1982" s="245"/>
      <c r="C1982" s="245"/>
      <c r="D1982" s="245"/>
      <c r="E1982" s="245"/>
      <c r="F1982" s="319"/>
      <c r="G1982" s="245"/>
      <c r="H1982" s="245"/>
      <c r="I1982" s="245"/>
      <c r="L1982" s="123"/>
      <c r="P1982" s="366"/>
      <c r="R1982" s="355"/>
      <c r="S1982" s="369"/>
      <c r="T1982" s="328"/>
      <c r="U1982" s="394" ph="1"/>
      <c r="W1982" s="216"/>
      <c r="X1982" s="245"/>
      <c r="Y1982" s="187"/>
      <c r="Z1982" s="245"/>
      <c r="AA1982" s="245"/>
      <c r="AB1982" s="332"/>
      <c r="AD1982" s="245"/>
      <c r="AE1982" s="245"/>
      <c r="AF1982" s="245"/>
      <c r="AG1982" s="245"/>
    </row>
    <row r="1983" spans="1:33" ht="26.4">
      <c r="A1983" s="391"/>
      <c r="B1983" s="245"/>
      <c r="C1983" s="245"/>
      <c r="D1983" s="245"/>
      <c r="E1983" s="245"/>
      <c r="F1983" s="319"/>
      <c r="G1983" s="245"/>
      <c r="H1983" s="245"/>
      <c r="I1983" s="245"/>
      <c r="L1983" s="123"/>
      <c r="P1983" s="366"/>
      <c r="R1983" s="355"/>
      <c r="S1983" s="369"/>
      <c r="T1983" s="328"/>
      <c r="U1983" s="394" ph="1"/>
      <c r="W1983" s="216"/>
      <c r="X1983" s="245"/>
      <c r="Y1983" s="187"/>
      <c r="Z1983" s="245"/>
      <c r="AA1983" s="245"/>
      <c r="AB1983" s="332"/>
      <c r="AD1983" s="245"/>
      <c r="AE1983" s="245"/>
      <c r="AF1983" s="245"/>
      <c r="AG1983" s="245"/>
    </row>
    <row r="1984" spans="1:33" ht="26.4">
      <c r="A1984" s="391"/>
      <c r="B1984" s="245"/>
      <c r="C1984" s="245"/>
      <c r="D1984" s="245"/>
      <c r="E1984" s="245"/>
      <c r="F1984" s="319"/>
      <c r="G1984" s="245"/>
      <c r="H1984" s="245"/>
      <c r="I1984" s="245"/>
      <c r="L1984" s="123"/>
      <c r="P1984" s="366"/>
      <c r="R1984" s="355"/>
      <c r="S1984" s="369"/>
      <c r="T1984" s="328"/>
      <c r="U1984" s="394" ph="1"/>
      <c r="W1984" s="216"/>
      <c r="X1984" s="245"/>
      <c r="Y1984" s="187"/>
      <c r="Z1984" s="245"/>
      <c r="AA1984" s="245"/>
      <c r="AB1984" s="332"/>
      <c r="AD1984" s="245"/>
      <c r="AE1984" s="245"/>
      <c r="AF1984" s="245"/>
      <c r="AG1984" s="245"/>
    </row>
    <row r="1985" spans="1:33" ht="26.4">
      <c r="A1985" s="391"/>
      <c r="B1985" s="245"/>
      <c r="C1985" s="245"/>
      <c r="D1985" s="245"/>
      <c r="E1985" s="245"/>
      <c r="F1985" s="319"/>
      <c r="G1985" s="245"/>
      <c r="H1985" s="245"/>
      <c r="I1985" s="245"/>
      <c r="L1985" s="123"/>
      <c r="P1985" s="366"/>
      <c r="R1985" s="355"/>
      <c r="S1985" s="369"/>
      <c r="T1985" s="328"/>
      <c r="U1985" s="394" ph="1"/>
      <c r="W1985" s="216"/>
      <c r="X1985" s="245"/>
      <c r="Y1985" s="187"/>
      <c r="Z1985" s="245"/>
      <c r="AA1985" s="245"/>
      <c r="AB1985" s="332"/>
      <c r="AD1985" s="245"/>
      <c r="AE1985" s="245"/>
      <c r="AF1985" s="245"/>
      <c r="AG1985" s="245"/>
    </row>
    <row r="1986" spans="1:33" ht="26.4">
      <c r="A1986" s="391"/>
      <c r="B1986" s="245"/>
      <c r="C1986" s="245"/>
      <c r="D1986" s="245"/>
      <c r="E1986" s="245"/>
      <c r="F1986" s="319"/>
      <c r="G1986" s="245"/>
      <c r="H1986" s="245"/>
      <c r="I1986" s="245"/>
      <c r="L1986" s="123"/>
      <c r="P1986" s="366"/>
      <c r="R1986" s="355"/>
      <c r="S1986" s="369"/>
      <c r="T1986" s="328"/>
      <c r="U1986" s="394" ph="1"/>
      <c r="W1986" s="216"/>
      <c r="X1986" s="245"/>
      <c r="Y1986" s="187"/>
      <c r="Z1986" s="245"/>
      <c r="AA1986" s="245"/>
      <c r="AB1986" s="332"/>
      <c r="AD1986" s="245"/>
      <c r="AE1986" s="245"/>
      <c r="AF1986" s="245"/>
      <c r="AG1986" s="245"/>
    </row>
    <row r="1987" spans="1:33" ht="26.4">
      <c r="A1987" s="391"/>
      <c r="B1987" s="245"/>
      <c r="C1987" s="245"/>
      <c r="D1987" s="245"/>
      <c r="E1987" s="245"/>
      <c r="F1987" s="319"/>
      <c r="G1987" s="245"/>
      <c r="H1987" s="245"/>
      <c r="I1987" s="245"/>
      <c r="L1987" s="123"/>
      <c r="P1987" s="366"/>
      <c r="R1987" s="355"/>
      <c r="S1987" s="369"/>
      <c r="T1987" s="328"/>
      <c r="U1987" s="394" ph="1"/>
      <c r="W1987" s="216"/>
      <c r="X1987" s="245"/>
      <c r="Y1987" s="187"/>
      <c r="Z1987" s="245"/>
      <c r="AA1987" s="245"/>
      <c r="AB1987" s="332"/>
      <c r="AD1987" s="245"/>
      <c r="AE1987" s="245"/>
      <c r="AF1987" s="245"/>
      <c r="AG1987" s="245"/>
    </row>
    <row r="1988" spans="1:33" ht="26.4">
      <c r="A1988" s="391"/>
      <c r="B1988" s="245"/>
      <c r="C1988" s="245"/>
      <c r="D1988" s="245"/>
      <c r="E1988" s="245"/>
      <c r="F1988" s="319"/>
      <c r="G1988" s="245"/>
      <c r="H1988" s="245"/>
      <c r="I1988" s="245"/>
      <c r="L1988" s="123"/>
      <c r="P1988" s="366"/>
      <c r="R1988" s="355"/>
      <c r="S1988" s="369"/>
      <c r="T1988" s="328"/>
      <c r="U1988" s="394" ph="1"/>
      <c r="W1988" s="216"/>
      <c r="X1988" s="245"/>
      <c r="Y1988" s="187"/>
      <c r="Z1988" s="245"/>
      <c r="AA1988" s="245"/>
      <c r="AB1988" s="332"/>
      <c r="AD1988" s="245"/>
      <c r="AE1988" s="245"/>
      <c r="AF1988" s="245"/>
      <c r="AG1988" s="245"/>
    </row>
    <row r="1989" spans="1:33" ht="26.4">
      <c r="A1989" s="391"/>
      <c r="B1989" s="245"/>
      <c r="C1989" s="245"/>
      <c r="D1989" s="245"/>
      <c r="E1989" s="245"/>
      <c r="F1989" s="319"/>
      <c r="G1989" s="245"/>
      <c r="H1989" s="245"/>
      <c r="I1989" s="245"/>
      <c r="L1989" s="123"/>
      <c r="P1989" s="366"/>
      <c r="R1989" s="355"/>
      <c r="S1989" s="369"/>
      <c r="T1989" s="328"/>
      <c r="U1989" s="394" ph="1"/>
      <c r="W1989" s="216"/>
      <c r="X1989" s="245"/>
      <c r="Y1989" s="187"/>
      <c r="Z1989" s="245"/>
      <c r="AA1989" s="245"/>
      <c r="AB1989" s="332"/>
      <c r="AD1989" s="245"/>
      <c r="AE1989" s="245"/>
      <c r="AF1989" s="245"/>
      <c r="AG1989" s="245"/>
    </row>
    <row r="1990" spans="1:33" ht="26.4">
      <c r="A1990" s="391"/>
      <c r="B1990" s="245"/>
      <c r="C1990" s="245"/>
      <c r="D1990" s="245"/>
      <c r="E1990" s="245"/>
      <c r="F1990" s="319"/>
      <c r="G1990" s="245"/>
      <c r="H1990" s="245"/>
      <c r="I1990" s="245"/>
      <c r="L1990" s="123"/>
      <c r="P1990" s="366"/>
      <c r="R1990" s="355"/>
      <c r="S1990" s="369"/>
      <c r="T1990" s="328"/>
      <c r="U1990" s="394" ph="1"/>
      <c r="W1990" s="216"/>
      <c r="X1990" s="245"/>
      <c r="Y1990" s="187"/>
      <c r="Z1990" s="245"/>
      <c r="AA1990" s="245"/>
      <c r="AB1990" s="332"/>
      <c r="AD1990" s="245"/>
      <c r="AE1990" s="245"/>
      <c r="AF1990" s="245"/>
      <c r="AG1990" s="245"/>
    </row>
    <row r="1991" spans="1:33" ht="26.4">
      <c r="A1991" s="391"/>
      <c r="B1991" s="245"/>
      <c r="C1991" s="245"/>
      <c r="D1991" s="245"/>
      <c r="E1991" s="245"/>
      <c r="F1991" s="319"/>
      <c r="G1991" s="245"/>
      <c r="H1991" s="245"/>
      <c r="I1991" s="245"/>
      <c r="L1991" s="123"/>
      <c r="P1991" s="366"/>
      <c r="R1991" s="355"/>
      <c r="S1991" s="369"/>
      <c r="T1991" s="328"/>
      <c r="U1991" s="394" ph="1"/>
      <c r="W1991" s="216"/>
      <c r="X1991" s="245"/>
      <c r="Y1991" s="187"/>
      <c r="Z1991" s="245"/>
      <c r="AA1991" s="245"/>
      <c r="AB1991" s="332"/>
      <c r="AD1991" s="245"/>
      <c r="AE1991" s="245"/>
      <c r="AF1991" s="245"/>
      <c r="AG1991" s="245"/>
    </row>
    <row r="1992" spans="1:33" ht="26.4">
      <c r="A1992" s="391"/>
      <c r="B1992" s="245"/>
      <c r="C1992" s="245"/>
      <c r="D1992" s="245"/>
      <c r="E1992" s="245"/>
      <c r="F1992" s="319"/>
      <c r="G1992" s="245"/>
      <c r="H1992" s="245"/>
      <c r="I1992" s="245"/>
      <c r="L1992" s="123"/>
      <c r="P1992" s="366"/>
      <c r="R1992" s="355"/>
      <c r="S1992" s="369"/>
      <c r="T1992" s="328"/>
      <c r="U1992" s="394" ph="1"/>
      <c r="W1992" s="216"/>
      <c r="X1992" s="245"/>
      <c r="Y1992" s="187"/>
      <c r="Z1992" s="245"/>
      <c r="AA1992" s="245"/>
      <c r="AB1992" s="332"/>
      <c r="AD1992" s="245"/>
      <c r="AE1992" s="245"/>
      <c r="AF1992" s="245"/>
      <c r="AG1992" s="245"/>
    </row>
    <row r="1993" spans="1:33" ht="26.4">
      <c r="A1993" s="391"/>
      <c r="B1993" s="245"/>
      <c r="C1993" s="245"/>
      <c r="D1993" s="245"/>
      <c r="E1993" s="245"/>
      <c r="F1993" s="319"/>
      <c r="G1993" s="245"/>
      <c r="H1993" s="245"/>
      <c r="I1993" s="245"/>
      <c r="L1993" s="123"/>
      <c r="P1993" s="366"/>
      <c r="R1993" s="355"/>
      <c r="S1993" s="369"/>
      <c r="T1993" s="328"/>
      <c r="U1993" s="394" ph="1"/>
      <c r="W1993" s="216"/>
      <c r="X1993" s="245"/>
      <c r="Y1993" s="187"/>
      <c r="Z1993" s="245"/>
      <c r="AA1993" s="245"/>
      <c r="AB1993" s="332"/>
      <c r="AD1993" s="245"/>
      <c r="AE1993" s="245"/>
      <c r="AF1993" s="245"/>
      <c r="AG1993" s="245"/>
    </row>
    <row r="1994" spans="1:33" ht="26.4">
      <c r="A1994" s="391"/>
      <c r="B1994" s="245"/>
      <c r="C1994" s="245"/>
      <c r="D1994" s="245"/>
      <c r="E1994" s="245"/>
      <c r="F1994" s="319"/>
      <c r="G1994" s="245"/>
      <c r="H1994" s="245"/>
      <c r="I1994" s="245"/>
      <c r="L1994" s="123"/>
      <c r="P1994" s="366"/>
      <c r="R1994" s="355"/>
      <c r="S1994" s="369"/>
      <c r="T1994" s="328"/>
      <c r="U1994" s="394" ph="1"/>
      <c r="W1994" s="216"/>
      <c r="X1994" s="245"/>
      <c r="Y1994" s="187"/>
      <c r="Z1994" s="245"/>
      <c r="AA1994" s="245"/>
      <c r="AB1994" s="332"/>
      <c r="AD1994" s="245"/>
      <c r="AE1994" s="245"/>
      <c r="AF1994" s="245"/>
      <c r="AG1994" s="245"/>
    </row>
    <row r="1995" spans="1:33" ht="26.4">
      <c r="A1995" s="391"/>
      <c r="B1995" s="245"/>
      <c r="C1995" s="245"/>
      <c r="D1995" s="245"/>
      <c r="E1995" s="245"/>
      <c r="F1995" s="319"/>
      <c r="G1995" s="245"/>
      <c r="H1995" s="245"/>
      <c r="I1995" s="245"/>
      <c r="L1995" s="123"/>
      <c r="P1995" s="366"/>
      <c r="R1995" s="355"/>
      <c r="S1995" s="369"/>
      <c r="T1995" s="328"/>
      <c r="U1995" s="394" ph="1"/>
      <c r="W1995" s="216"/>
      <c r="X1995" s="245"/>
      <c r="Y1995" s="187"/>
      <c r="Z1995" s="245"/>
      <c r="AA1995" s="245"/>
      <c r="AB1995" s="332"/>
      <c r="AD1995" s="245"/>
      <c r="AE1995" s="245"/>
      <c r="AF1995" s="245"/>
      <c r="AG1995" s="245"/>
    </row>
    <row r="1996" spans="1:33" ht="26.4">
      <c r="A1996" s="391"/>
      <c r="B1996" s="245"/>
      <c r="C1996" s="245"/>
      <c r="D1996" s="245"/>
      <c r="E1996" s="245"/>
      <c r="F1996" s="319"/>
      <c r="G1996" s="245"/>
      <c r="H1996" s="245"/>
      <c r="I1996" s="245"/>
      <c r="L1996" s="123"/>
      <c r="P1996" s="366"/>
      <c r="R1996" s="355"/>
      <c r="S1996" s="369"/>
      <c r="T1996" s="328"/>
      <c r="U1996" s="394" ph="1"/>
      <c r="W1996" s="216"/>
      <c r="X1996" s="245"/>
      <c r="Y1996" s="187"/>
      <c r="Z1996" s="245"/>
      <c r="AA1996" s="245"/>
      <c r="AB1996" s="332"/>
      <c r="AD1996" s="245"/>
      <c r="AE1996" s="245"/>
      <c r="AF1996" s="245"/>
      <c r="AG1996" s="245"/>
    </row>
    <row r="1997" spans="1:33" ht="26.4">
      <c r="A1997" s="391"/>
      <c r="B1997" s="245"/>
      <c r="C1997" s="245"/>
      <c r="D1997" s="245"/>
      <c r="E1997" s="245"/>
      <c r="F1997" s="319"/>
      <c r="G1997" s="245"/>
      <c r="H1997" s="245"/>
      <c r="I1997" s="245"/>
      <c r="L1997" s="245"/>
      <c r="P1997" s="366"/>
      <c r="R1997" s="355"/>
      <c r="S1997" s="369"/>
      <c r="T1997" s="328"/>
      <c r="U1997" s="394" ph="1"/>
      <c r="W1997" s="216"/>
      <c r="X1997" s="245"/>
      <c r="Y1997" s="187"/>
      <c r="Z1997" s="245"/>
      <c r="AA1997" s="245"/>
      <c r="AB1997" s="332"/>
      <c r="AD1997" s="245"/>
      <c r="AE1997" s="245"/>
      <c r="AF1997" s="245"/>
      <c r="AG1997" s="245"/>
    </row>
    <row r="1998" spans="1:33" ht="26.4">
      <c r="A1998" s="391"/>
      <c r="B1998" s="245"/>
      <c r="C1998" s="245"/>
      <c r="D1998" s="245"/>
      <c r="E1998" s="245"/>
      <c r="F1998" s="319"/>
      <c r="G1998" s="245"/>
      <c r="H1998" s="245"/>
      <c r="I1998" s="245"/>
      <c r="L1998" s="245"/>
      <c r="P1998" s="366"/>
      <c r="R1998" s="355"/>
      <c r="S1998" s="369"/>
      <c r="T1998" s="328"/>
      <c r="U1998" s="394" ph="1"/>
      <c r="W1998" s="216"/>
      <c r="X1998" s="245"/>
      <c r="Y1998" s="187"/>
      <c r="Z1998" s="245"/>
      <c r="AA1998" s="245"/>
      <c r="AB1998" s="332"/>
      <c r="AD1998" s="245"/>
      <c r="AE1998" s="245"/>
      <c r="AF1998" s="245"/>
      <c r="AG1998" s="245"/>
    </row>
    <row r="1999" spans="1:33" ht="26.4">
      <c r="A1999" s="391"/>
      <c r="B1999" s="245"/>
      <c r="C1999" s="245"/>
      <c r="D1999" s="245"/>
      <c r="E1999" s="245"/>
      <c r="F1999" s="319"/>
      <c r="G1999" s="245"/>
      <c r="H1999" s="245"/>
      <c r="I1999" s="245"/>
      <c r="L1999" s="123"/>
      <c r="P1999" s="366"/>
      <c r="R1999" s="355"/>
      <c r="S1999" s="369"/>
      <c r="T1999" s="328"/>
      <c r="U1999" s="394" ph="1"/>
      <c r="W1999" s="216"/>
      <c r="X1999" s="245"/>
      <c r="Y1999" s="187"/>
      <c r="Z1999" s="245"/>
      <c r="AA1999" s="245"/>
      <c r="AB1999" s="332"/>
      <c r="AD1999" s="245"/>
      <c r="AE1999" s="245"/>
      <c r="AF1999" s="245"/>
      <c r="AG1999" s="245"/>
    </row>
    <row r="2000" spans="1:33" ht="26.4">
      <c r="A2000" s="391"/>
      <c r="B2000" s="245"/>
      <c r="C2000" s="245"/>
      <c r="D2000" s="245"/>
      <c r="E2000" s="245"/>
      <c r="F2000" s="319"/>
      <c r="G2000" s="245"/>
      <c r="H2000" s="245"/>
      <c r="I2000" s="245"/>
      <c r="L2000" s="123"/>
      <c r="P2000" s="366"/>
      <c r="R2000" s="355"/>
      <c r="S2000" s="369"/>
      <c r="T2000" s="328"/>
      <c r="U2000" s="394" ph="1"/>
      <c r="W2000" s="216"/>
      <c r="X2000" s="245"/>
      <c r="Y2000" s="187"/>
      <c r="Z2000" s="245"/>
      <c r="AA2000" s="245"/>
      <c r="AB2000" s="332"/>
      <c r="AD2000" s="245"/>
      <c r="AE2000" s="245"/>
      <c r="AF2000" s="245"/>
      <c r="AG2000" s="245"/>
    </row>
    <row r="2001" spans="1:33" ht="26.4">
      <c r="A2001" s="391"/>
      <c r="B2001" s="245"/>
      <c r="C2001" s="245"/>
      <c r="D2001" s="245"/>
      <c r="E2001" s="245"/>
      <c r="F2001" s="319"/>
      <c r="G2001" s="245"/>
      <c r="H2001" s="245"/>
      <c r="I2001" s="245"/>
      <c r="L2001" s="123"/>
      <c r="P2001" s="366"/>
      <c r="R2001" s="355"/>
      <c r="S2001" s="369"/>
      <c r="T2001" s="328"/>
      <c r="U2001" s="394" ph="1"/>
      <c r="W2001" s="216"/>
      <c r="X2001" s="245"/>
      <c r="Y2001" s="187"/>
      <c r="Z2001" s="245"/>
      <c r="AA2001" s="245"/>
      <c r="AB2001" s="332"/>
      <c r="AD2001" s="245"/>
      <c r="AE2001" s="245"/>
      <c r="AF2001" s="245"/>
      <c r="AG2001" s="245"/>
    </row>
    <row r="2002" spans="1:33" ht="26.4">
      <c r="A2002" s="391"/>
      <c r="B2002" s="245"/>
      <c r="C2002" s="245"/>
      <c r="D2002" s="245"/>
      <c r="E2002" s="245"/>
      <c r="F2002" s="319"/>
      <c r="G2002" s="245"/>
      <c r="H2002" s="245"/>
      <c r="I2002" s="245"/>
      <c r="L2002" s="123"/>
      <c r="P2002" s="366"/>
      <c r="R2002" s="355"/>
      <c r="S2002" s="369"/>
      <c r="T2002" s="328"/>
      <c r="U2002" s="394" ph="1"/>
      <c r="W2002" s="216"/>
      <c r="X2002" s="245"/>
      <c r="Y2002" s="187"/>
      <c r="Z2002" s="245"/>
      <c r="AA2002" s="245"/>
      <c r="AB2002" s="332"/>
      <c r="AD2002" s="245"/>
      <c r="AE2002" s="245"/>
      <c r="AF2002" s="245"/>
      <c r="AG2002" s="245"/>
    </row>
    <row r="2003" spans="1:33" ht="26.4">
      <c r="A2003" s="391"/>
      <c r="B2003" s="245"/>
      <c r="C2003" s="245"/>
      <c r="D2003" s="245"/>
      <c r="E2003" s="245"/>
      <c r="F2003" s="319"/>
      <c r="G2003" s="245"/>
      <c r="H2003" s="245"/>
      <c r="I2003" s="245"/>
      <c r="L2003" s="123"/>
      <c r="P2003" s="366"/>
      <c r="R2003" s="355"/>
      <c r="S2003" s="369"/>
      <c r="T2003" s="328"/>
      <c r="U2003" s="394" ph="1"/>
      <c r="W2003" s="216"/>
      <c r="X2003" s="245"/>
      <c r="Y2003" s="187"/>
      <c r="Z2003" s="245"/>
      <c r="AA2003" s="245"/>
      <c r="AB2003" s="332"/>
      <c r="AD2003" s="245"/>
      <c r="AE2003" s="245"/>
      <c r="AF2003" s="245"/>
      <c r="AG2003" s="245"/>
    </row>
    <row r="2004" spans="1:33" ht="26.4">
      <c r="A2004" s="391"/>
      <c r="B2004" s="245"/>
      <c r="C2004" s="245"/>
      <c r="D2004" s="245"/>
      <c r="E2004" s="245"/>
      <c r="F2004" s="319"/>
      <c r="G2004" s="245"/>
      <c r="H2004" s="245"/>
      <c r="I2004" s="245"/>
      <c r="L2004" s="123"/>
      <c r="P2004" s="366"/>
      <c r="R2004" s="355"/>
      <c r="S2004" s="369"/>
      <c r="T2004" s="328"/>
      <c r="U2004" s="394" ph="1"/>
      <c r="W2004" s="216"/>
      <c r="X2004" s="245"/>
      <c r="Y2004" s="187"/>
      <c r="Z2004" s="245"/>
      <c r="AA2004" s="245"/>
      <c r="AB2004" s="332"/>
      <c r="AD2004" s="245"/>
      <c r="AE2004" s="245"/>
      <c r="AF2004" s="245"/>
      <c r="AG2004" s="245"/>
    </row>
    <row r="2005" spans="1:33" ht="26.4">
      <c r="A2005" s="391"/>
      <c r="B2005" s="245"/>
      <c r="C2005" s="245"/>
      <c r="D2005" s="245"/>
      <c r="E2005" s="245"/>
      <c r="F2005" s="319"/>
      <c r="G2005" s="245"/>
      <c r="H2005" s="245"/>
      <c r="I2005" s="245"/>
      <c r="L2005" s="123"/>
      <c r="P2005" s="366"/>
      <c r="R2005" s="355"/>
      <c r="S2005" s="369"/>
      <c r="T2005" s="328"/>
      <c r="U2005" s="394" ph="1"/>
      <c r="W2005" s="216"/>
      <c r="X2005" s="245"/>
      <c r="Y2005" s="187"/>
      <c r="Z2005" s="245"/>
      <c r="AA2005" s="245"/>
      <c r="AB2005" s="332"/>
      <c r="AD2005" s="245"/>
      <c r="AE2005" s="245"/>
      <c r="AF2005" s="245"/>
      <c r="AG2005" s="245"/>
    </row>
    <row r="2006" spans="1:33" ht="26.4">
      <c r="A2006" s="391"/>
      <c r="B2006" s="245"/>
      <c r="C2006" s="245"/>
      <c r="D2006" s="245"/>
      <c r="E2006" s="245"/>
      <c r="F2006" s="319"/>
      <c r="G2006" s="245"/>
      <c r="H2006" s="245"/>
      <c r="I2006" s="245"/>
      <c r="L2006" s="123"/>
      <c r="P2006" s="366"/>
      <c r="R2006" s="355"/>
      <c r="S2006" s="369"/>
      <c r="T2006" s="328"/>
      <c r="U2006" s="394" ph="1"/>
      <c r="W2006" s="216"/>
      <c r="X2006" s="245"/>
      <c r="Y2006" s="187"/>
      <c r="Z2006" s="245"/>
      <c r="AA2006" s="245"/>
      <c r="AB2006" s="332"/>
      <c r="AD2006" s="245"/>
      <c r="AE2006" s="245"/>
      <c r="AF2006" s="245"/>
      <c r="AG2006" s="245"/>
    </row>
    <row r="2007" spans="1:33" ht="26.4">
      <c r="A2007" s="391"/>
      <c r="B2007" s="245"/>
      <c r="C2007" s="245"/>
      <c r="D2007" s="245"/>
      <c r="E2007" s="245"/>
      <c r="F2007" s="319"/>
      <c r="G2007" s="245"/>
      <c r="H2007" s="245"/>
      <c r="I2007" s="245"/>
      <c r="L2007" s="123"/>
      <c r="P2007" s="366"/>
      <c r="R2007" s="355"/>
      <c r="S2007" s="369"/>
      <c r="T2007" s="328"/>
      <c r="U2007" s="394" ph="1"/>
      <c r="W2007" s="216"/>
      <c r="X2007" s="245"/>
      <c r="Y2007" s="187"/>
      <c r="Z2007" s="245"/>
      <c r="AA2007" s="245"/>
      <c r="AB2007" s="332"/>
      <c r="AD2007" s="245"/>
      <c r="AE2007" s="245"/>
      <c r="AF2007" s="245"/>
      <c r="AG2007" s="245"/>
    </row>
    <row r="2008" spans="1:33" ht="26.4">
      <c r="A2008" s="391"/>
      <c r="B2008" s="245"/>
      <c r="C2008" s="245"/>
      <c r="D2008" s="245"/>
      <c r="E2008" s="245"/>
      <c r="F2008" s="319"/>
      <c r="G2008" s="245"/>
      <c r="H2008" s="245"/>
      <c r="I2008" s="245"/>
      <c r="L2008" s="123"/>
      <c r="P2008" s="366"/>
      <c r="R2008" s="355"/>
      <c r="S2008" s="369"/>
      <c r="T2008" s="328"/>
      <c r="U2008" s="394" ph="1"/>
      <c r="W2008" s="216"/>
      <c r="X2008" s="245"/>
      <c r="Y2008" s="187"/>
      <c r="Z2008" s="245"/>
      <c r="AA2008" s="245"/>
      <c r="AB2008" s="332"/>
      <c r="AD2008" s="245"/>
      <c r="AE2008" s="245"/>
      <c r="AF2008" s="245"/>
      <c r="AG2008" s="245"/>
    </row>
    <row r="2009" spans="1:33" ht="26.4">
      <c r="A2009" s="391"/>
      <c r="B2009" s="245"/>
      <c r="C2009" s="245"/>
      <c r="D2009" s="245"/>
      <c r="E2009" s="245"/>
      <c r="F2009" s="319"/>
      <c r="G2009" s="245"/>
      <c r="H2009" s="245"/>
      <c r="I2009" s="245"/>
      <c r="L2009" s="123"/>
      <c r="P2009" s="366"/>
      <c r="R2009" s="355"/>
      <c r="S2009" s="369"/>
      <c r="T2009" s="328"/>
      <c r="U2009" s="394" ph="1"/>
      <c r="W2009" s="216"/>
      <c r="X2009" s="245"/>
      <c r="Y2009" s="187"/>
      <c r="Z2009" s="245"/>
      <c r="AA2009" s="245"/>
      <c r="AB2009" s="332"/>
      <c r="AD2009" s="245"/>
      <c r="AE2009" s="245"/>
      <c r="AF2009" s="245"/>
      <c r="AG2009" s="245"/>
    </row>
    <row r="2010" spans="1:33" ht="26.4">
      <c r="A2010" s="391"/>
      <c r="B2010" s="245"/>
      <c r="C2010" s="245"/>
      <c r="D2010" s="245"/>
      <c r="E2010" s="245"/>
      <c r="F2010" s="319"/>
      <c r="G2010" s="245"/>
      <c r="H2010" s="245"/>
      <c r="I2010" s="245"/>
      <c r="L2010" s="123"/>
      <c r="P2010" s="366"/>
      <c r="R2010" s="355"/>
      <c r="S2010" s="369"/>
      <c r="T2010" s="328"/>
      <c r="U2010" s="394" ph="1"/>
      <c r="W2010" s="216"/>
      <c r="X2010" s="245"/>
      <c r="Y2010" s="187"/>
      <c r="Z2010" s="245"/>
      <c r="AA2010" s="245"/>
      <c r="AB2010" s="332"/>
      <c r="AD2010" s="245"/>
      <c r="AE2010" s="245"/>
      <c r="AF2010" s="245"/>
      <c r="AG2010" s="245"/>
    </row>
    <row r="2011" spans="1:33" ht="26.4">
      <c r="A2011" s="391"/>
      <c r="B2011" s="245"/>
      <c r="C2011" s="245"/>
      <c r="D2011" s="245"/>
      <c r="E2011" s="245"/>
      <c r="F2011" s="319"/>
      <c r="G2011" s="245"/>
      <c r="H2011" s="245"/>
      <c r="I2011" s="245"/>
      <c r="L2011" s="245"/>
      <c r="P2011" s="366"/>
      <c r="R2011" s="355"/>
      <c r="S2011" s="369"/>
      <c r="T2011" s="328"/>
      <c r="U2011" s="394" ph="1"/>
      <c r="W2011" s="216"/>
      <c r="X2011" s="245"/>
      <c r="Y2011" s="187"/>
      <c r="Z2011" s="245"/>
      <c r="AA2011" s="245"/>
      <c r="AB2011" s="332"/>
      <c r="AD2011" s="245"/>
      <c r="AE2011" s="245"/>
      <c r="AF2011" s="245"/>
      <c r="AG2011" s="245"/>
    </row>
    <row r="2012" spans="1:33" ht="26.4">
      <c r="A2012" s="391"/>
      <c r="B2012" s="245"/>
      <c r="C2012" s="245"/>
      <c r="D2012" s="245"/>
      <c r="E2012" s="245"/>
      <c r="F2012" s="319"/>
      <c r="G2012" s="245"/>
      <c r="H2012" s="245"/>
      <c r="I2012" s="245"/>
      <c r="L2012" s="123"/>
      <c r="P2012" s="366"/>
      <c r="R2012" s="355"/>
      <c r="S2012" s="369"/>
      <c r="T2012" s="328"/>
      <c r="U2012" s="394" ph="1"/>
      <c r="W2012" s="216"/>
      <c r="X2012" s="245"/>
      <c r="Y2012" s="187"/>
      <c r="Z2012" s="245"/>
      <c r="AA2012" s="245"/>
      <c r="AB2012" s="332"/>
      <c r="AD2012" s="245"/>
      <c r="AE2012" s="245"/>
      <c r="AF2012" s="245"/>
      <c r="AG2012" s="245"/>
    </row>
    <row r="2013" spans="1:33" ht="26.4">
      <c r="A2013" s="391"/>
      <c r="B2013" s="245"/>
      <c r="C2013" s="245"/>
      <c r="D2013" s="245"/>
      <c r="E2013" s="245"/>
      <c r="F2013" s="319"/>
      <c r="G2013" s="245"/>
      <c r="H2013" s="245"/>
      <c r="I2013" s="245"/>
      <c r="L2013" s="123"/>
      <c r="P2013" s="366"/>
      <c r="R2013" s="355"/>
      <c r="S2013" s="369"/>
      <c r="T2013" s="328"/>
      <c r="U2013" s="394" ph="1"/>
      <c r="W2013" s="216"/>
      <c r="X2013" s="245"/>
      <c r="Y2013" s="187"/>
      <c r="Z2013" s="245"/>
      <c r="AA2013" s="245"/>
      <c r="AB2013" s="332"/>
      <c r="AD2013" s="245"/>
      <c r="AE2013" s="245"/>
      <c r="AF2013" s="245"/>
      <c r="AG2013" s="245"/>
    </row>
    <row r="2014" spans="1:33" ht="26.4">
      <c r="A2014" s="391"/>
      <c r="B2014" s="245"/>
      <c r="C2014" s="245"/>
      <c r="D2014" s="245"/>
      <c r="E2014" s="245"/>
      <c r="F2014" s="319"/>
      <c r="G2014" s="245"/>
      <c r="H2014" s="245"/>
      <c r="I2014" s="245"/>
      <c r="L2014" s="123"/>
      <c r="P2014" s="366"/>
      <c r="R2014" s="355"/>
      <c r="S2014" s="369"/>
      <c r="T2014" s="328"/>
      <c r="U2014" s="394" ph="1"/>
      <c r="W2014" s="216"/>
      <c r="X2014" s="245"/>
      <c r="Y2014" s="187"/>
      <c r="Z2014" s="245"/>
      <c r="AA2014" s="245"/>
      <c r="AB2014" s="332"/>
      <c r="AD2014" s="245"/>
      <c r="AE2014" s="245"/>
      <c r="AF2014" s="245"/>
      <c r="AG2014" s="245"/>
    </row>
    <row r="2015" spans="1:33" ht="26.4">
      <c r="A2015" s="391"/>
      <c r="B2015" s="245"/>
      <c r="C2015" s="245"/>
      <c r="D2015" s="245"/>
      <c r="E2015" s="245"/>
      <c r="F2015" s="319"/>
      <c r="G2015" s="245"/>
      <c r="H2015" s="245"/>
      <c r="I2015" s="245"/>
      <c r="L2015" s="123"/>
      <c r="P2015" s="366"/>
      <c r="R2015" s="355"/>
      <c r="S2015" s="369"/>
      <c r="T2015" s="328"/>
      <c r="U2015" s="394" ph="1"/>
      <c r="W2015" s="216"/>
      <c r="X2015" s="245"/>
      <c r="Y2015" s="187"/>
      <c r="Z2015" s="245"/>
      <c r="AA2015" s="245"/>
      <c r="AB2015" s="332"/>
      <c r="AD2015" s="245"/>
      <c r="AE2015" s="245"/>
      <c r="AF2015" s="245"/>
      <c r="AG2015" s="245"/>
    </row>
    <row r="2016" spans="1:33" ht="26.4">
      <c r="A2016" s="391"/>
      <c r="B2016" s="245"/>
      <c r="C2016" s="245"/>
      <c r="D2016" s="245"/>
      <c r="E2016" s="245"/>
      <c r="F2016" s="319"/>
      <c r="G2016" s="245"/>
      <c r="H2016" s="245"/>
      <c r="I2016" s="245"/>
      <c r="L2016" s="123"/>
      <c r="P2016" s="366"/>
      <c r="R2016" s="355"/>
      <c r="S2016" s="369"/>
      <c r="T2016" s="328"/>
      <c r="U2016" s="394" ph="1"/>
      <c r="W2016" s="216"/>
      <c r="X2016" s="245"/>
      <c r="Y2016" s="187"/>
      <c r="Z2016" s="245"/>
      <c r="AA2016" s="245"/>
      <c r="AB2016" s="332"/>
      <c r="AD2016" s="245"/>
      <c r="AE2016" s="245"/>
      <c r="AF2016" s="245"/>
      <c r="AG2016" s="245"/>
    </row>
    <row r="2017" spans="1:33" ht="26.4">
      <c r="A2017" s="391"/>
      <c r="B2017" s="245"/>
      <c r="C2017" s="245"/>
      <c r="D2017" s="245"/>
      <c r="E2017" s="245"/>
      <c r="F2017" s="319"/>
      <c r="G2017" s="245"/>
      <c r="H2017" s="245"/>
      <c r="I2017" s="245"/>
      <c r="L2017" s="123"/>
      <c r="P2017" s="366"/>
      <c r="R2017" s="355"/>
      <c r="S2017" s="369"/>
      <c r="T2017" s="328"/>
      <c r="U2017" s="394" ph="1"/>
      <c r="W2017" s="216"/>
      <c r="X2017" s="245"/>
      <c r="Y2017" s="187"/>
      <c r="Z2017" s="245"/>
      <c r="AA2017" s="245"/>
      <c r="AB2017" s="332"/>
      <c r="AD2017" s="245"/>
      <c r="AE2017" s="245"/>
      <c r="AF2017" s="245"/>
      <c r="AG2017" s="245"/>
    </row>
    <row r="2018" spans="1:33" ht="26.4">
      <c r="A2018" s="391"/>
      <c r="B2018" s="245"/>
      <c r="C2018" s="245"/>
      <c r="D2018" s="245"/>
      <c r="E2018" s="245"/>
      <c r="F2018" s="319"/>
      <c r="G2018" s="245"/>
      <c r="H2018" s="245"/>
      <c r="I2018" s="245"/>
      <c r="L2018" s="51"/>
      <c r="P2018" s="366"/>
      <c r="R2018" s="355"/>
      <c r="S2018" s="369"/>
      <c r="T2018" s="328"/>
      <c r="U2018" s="394" ph="1"/>
      <c r="W2018" s="216"/>
      <c r="X2018" s="245"/>
      <c r="Y2018" s="187"/>
      <c r="Z2018" s="245"/>
      <c r="AA2018" s="245"/>
      <c r="AB2018" s="332"/>
      <c r="AD2018" s="245"/>
      <c r="AE2018" s="245"/>
      <c r="AF2018" s="245"/>
      <c r="AG2018" s="245"/>
    </row>
    <row r="2019" spans="1:33" ht="26.4">
      <c r="A2019" s="391"/>
      <c r="B2019" s="245"/>
      <c r="C2019" s="245"/>
      <c r="D2019" s="245"/>
      <c r="E2019" s="245"/>
      <c r="F2019" s="319"/>
      <c r="G2019" s="245"/>
      <c r="H2019" s="245"/>
      <c r="I2019" s="245"/>
      <c r="L2019" s="123"/>
      <c r="P2019" s="366"/>
      <c r="R2019" s="355"/>
      <c r="S2019" s="369"/>
      <c r="T2019" s="328"/>
      <c r="U2019" s="394" ph="1"/>
      <c r="W2019" s="216"/>
      <c r="X2019" s="245"/>
      <c r="Y2019" s="187"/>
      <c r="Z2019" s="245"/>
      <c r="AA2019" s="245"/>
      <c r="AB2019" s="332"/>
      <c r="AD2019" s="245"/>
      <c r="AE2019" s="245"/>
      <c r="AF2019" s="245"/>
      <c r="AG2019" s="245"/>
    </row>
    <row r="2020" spans="1:33" ht="26.4">
      <c r="A2020" s="391"/>
      <c r="B2020" s="245"/>
      <c r="C2020" s="245"/>
      <c r="D2020" s="245"/>
      <c r="E2020" s="245"/>
      <c r="F2020" s="319"/>
      <c r="G2020" s="245"/>
      <c r="H2020" s="245"/>
      <c r="I2020" s="245"/>
      <c r="L2020" s="123"/>
      <c r="P2020" s="366"/>
      <c r="R2020" s="355"/>
      <c r="S2020" s="369"/>
      <c r="T2020" s="328"/>
      <c r="U2020" s="394" ph="1"/>
      <c r="W2020" s="216"/>
      <c r="X2020" s="245"/>
      <c r="Y2020" s="187"/>
      <c r="Z2020" s="245"/>
      <c r="AA2020" s="245"/>
      <c r="AB2020" s="332"/>
      <c r="AD2020" s="245"/>
      <c r="AE2020" s="245"/>
      <c r="AF2020" s="245"/>
      <c r="AG2020" s="245"/>
    </row>
    <row r="2021" spans="1:33" ht="26.4">
      <c r="A2021" s="391"/>
      <c r="B2021" s="245"/>
      <c r="C2021" s="245"/>
      <c r="D2021" s="245"/>
      <c r="E2021" s="245"/>
      <c r="F2021" s="319"/>
      <c r="G2021" s="245"/>
      <c r="H2021" s="245"/>
      <c r="I2021" s="245"/>
      <c r="L2021" s="123"/>
      <c r="P2021" s="366"/>
      <c r="R2021" s="355"/>
      <c r="S2021" s="369"/>
      <c r="T2021" s="328"/>
      <c r="U2021" s="394" ph="1"/>
      <c r="W2021" s="216"/>
      <c r="X2021" s="245"/>
      <c r="Y2021" s="187"/>
      <c r="Z2021" s="245"/>
      <c r="AA2021" s="245"/>
      <c r="AB2021" s="332"/>
      <c r="AD2021" s="245"/>
      <c r="AE2021" s="245"/>
      <c r="AF2021" s="245"/>
      <c r="AG2021" s="245"/>
    </row>
    <row r="2022" spans="1:33" ht="26.4">
      <c r="A2022" s="391"/>
      <c r="B2022" s="245"/>
      <c r="C2022" s="245"/>
      <c r="D2022" s="245"/>
      <c r="E2022" s="245"/>
      <c r="F2022" s="319"/>
      <c r="G2022" s="245"/>
      <c r="H2022" s="245"/>
      <c r="I2022" s="245"/>
      <c r="L2022" s="123"/>
      <c r="P2022" s="366"/>
      <c r="R2022" s="355"/>
      <c r="S2022" s="369"/>
      <c r="T2022" s="328"/>
      <c r="U2022" s="394" ph="1"/>
      <c r="W2022" s="216"/>
      <c r="X2022" s="245"/>
      <c r="Y2022" s="187"/>
      <c r="Z2022" s="245"/>
      <c r="AA2022" s="245"/>
      <c r="AB2022" s="332"/>
      <c r="AD2022" s="245"/>
      <c r="AE2022" s="245"/>
      <c r="AF2022" s="245"/>
      <c r="AG2022" s="245"/>
    </row>
    <row r="2023" spans="1:33" ht="26.4">
      <c r="A2023" s="391"/>
      <c r="B2023" s="245"/>
      <c r="C2023" s="245"/>
      <c r="D2023" s="245"/>
      <c r="E2023" s="245"/>
      <c r="F2023" s="319"/>
      <c r="G2023" s="245"/>
      <c r="H2023" s="245"/>
      <c r="I2023" s="245"/>
      <c r="L2023" s="123"/>
      <c r="P2023" s="366"/>
      <c r="R2023" s="355"/>
      <c r="S2023" s="369"/>
      <c r="T2023" s="328"/>
      <c r="U2023" s="394" ph="1"/>
      <c r="W2023" s="216"/>
      <c r="X2023" s="245"/>
      <c r="Y2023" s="187"/>
      <c r="Z2023" s="245"/>
      <c r="AA2023" s="245"/>
      <c r="AB2023" s="332"/>
      <c r="AD2023" s="245"/>
      <c r="AE2023" s="245"/>
      <c r="AF2023" s="245"/>
      <c r="AG2023" s="245"/>
    </row>
    <row r="2024" spans="1:33" ht="26.4">
      <c r="A2024" s="391"/>
      <c r="B2024" s="245"/>
      <c r="C2024" s="245"/>
      <c r="D2024" s="245"/>
      <c r="E2024" s="245"/>
      <c r="F2024" s="319"/>
      <c r="G2024" s="245"/>
      <c r="H2024" s="245"/>
      <c r="I2024" s="245"/>
      <c r="L2024" s="123"/>
      <c r="P2024" s="366"/>
      <c r="R2024" s="355"/>
      <c r="S2024" s="369"/>
      <c r="T2024" s="328"/>
      <c r="U2024" s="394" ph="1"/>
      <c r="W2024" s="216"/>
      <c r="X2024" s="245"/>
      <c r="Y2024" s="187"/>
      <c r="Z2024" s="245"/>
      <c r="AA2024" s="245"/>
      <c r="AB2024" s="332"/>
      <c r="AD2024" s="245"/>
      <c r="AE2024" s="245"/>
      <c r="AF2024" s="245"/>
      <c r="AG2024" s="245"/>
    </row>
    <row r="2025" spans="1:33" ht="26.4">
      <c r="A2025" s="391"/>
      <c r="B2025" s="245"/>
      <c r="C2025" s="245"/>
      <c r="D2025" s="245"/>
      <c r="E2025" s="245"/>
      <c r="F2025" s="319"/>
      <c r="G2025" s="245"/>
      <c r="H2025" s="245"/>
      <c r="I2025" s="245"/>
      <c r="L2025" s="123"/>
      <c r="P2025" s="366"/>
      <c r="R2025" s="355"/>
      <c r="S2025" s="369"/>
      <c r="T2025" s="328"/>
      <c r="U2025" s="394" ph="1"/>
      <c r="W2025" s="216"/>
      <c r="X2025" s="245"/>
      <c r="Y2025" s="187"/>
      <c r="Z2025" s="245"/>
      <c r="AA2025" s="245"/>
      <c r="AB2025" s="332"/>
      <c r="AD2025" s="245"/>
      <c r="AE2025" s="245"/>
      <c r="AF2025" s="245"/>
      <c r="AG2025" s="245"/>
    </row>
    <row r="2026" spans="1:33" ht="26.4">
      <c r="A2026" s="391"/>
      <c r="B2026" s="245"/>
      <c r="C2026" s="245"/>
      <c r="D2026" s="245"/>
      <c r="E2026" s="245"/>
      <c r="F2026" s="319"/>
      <c r="G2026" s="245"/>
      <c r="H2026" s="245"/>
      <c r="I2026" s="245"/>
      <c r="L2026" s="123"/>
      <c r="P2026" s="366"/>
      <c r="R2026" s="355"/>
      <c r="S2026" s="369"/>
      <c r="T2026" s="328"/>
      <c r="U2026" s="394" ph="1"/>
      <c r="W2026" s="216"/>
      <c r="X2026" s="245"/>
      <c r="Y2026" s="187"/>
      <c r="Z2026" s="245"/>
      <c r="AA2026" s="245"/>
      <c r="AB2026" s="332"/>
      <c r="AD2026" s="245"/>
      <c r="AE2026" s="245"/>
      <c r="AF2026" s="245"/>
      <c r="AG2026" s="245"/>
    </row>
    <row r="2027" spans="1:33" ht="26.4">
      <c r="A2027" s="391"/>
      <c r="B2027" s="245"/>
      <c r="C2027" s="245"/>
      <c r="D2027" s="245"/>
      <c r="E2027" s="245"/>
      <c r="F2027" s="319"/>
      <c r="G2027" s="245"/>
      <c r="H2027" s="245"/>
      <c r="I2027" s="245"/>
      <c r="L2027" s="123"/>
      <c r="P2027" s="366"/>
      <c r="R2027" s="355"/>
      <c r="S2027" s="369"/>
      <c r="T2027" s="328"/>
      <c r="U2027" s="394" ph="1"/>
      <c r="W2027" s="216"/>
      <c r="X2027" s="245"/>
      <c r="Y2027" s="187"/>
      <c r="Z2027" s="245"/>
      <c r="AA2027" s="245"/>
      <c r="AB2027" s="332"/>
      <c r="AD2027" s="245"/>
      <c r="AE2027" s="245"/>
      <c r="AF2027" s="245"/>
      <c r="AG2027" s="245"/>
    </row>
    <row r="2028" spans="1:33" ht="26.4">
      <c r="A2028" s="391"/>
      <c r="B2028" s="245"/>
      <c r="C2028" s="245"/>
      <c r="D2028" s="245"/>
      <c r="E2028" s="245"/>
      <c r="F2028" s="319"/>
      <c r="G2028" s="245"/>
      <c r="H2028" s="245"/>
      <c r="I2028" s="245"/>
      <c r="L2028" s="123"/>
      <c r="P2028" s="366"/>
      <c r="R2028" s="355"/>
      <c r="S2028" s="369"/>
      <c r="T2028" s="328"/>
      <c r="U2028" s="394" ph="1"/>
      <c r="W2028" s="216"/>
      <c r="X2028" s="245"/>
      <c r="Y2028" s="187"/>
      <c r="Z2028" s="245"/>
      <c r="AA2028" s="245"/>
      <c r="AB2028" s="332"/>
      <c r="AD2028" s="245"/>
      <c r="AE2028" s="245"/>
      <c r="AF2028" s="245"/>
      <c r="AG2028" s="245"/>
    </row>
    <row r="2029" spans="1:33" ht="26.4">
      <c r="A2029" s="391"/>
      <c r="B2029" s="245"/>
      <c r="C2029" s="245"/>
      <c r="D2029" s="245"/>
      <c r="E2029" s="245"/>
      <c r="F2029" s="319"/>
      <c r="G2029" s="245"/>
      <c r="H2029" s="245"/>
      <c r="I2029" s="245"/>
      <c r="L2029" s="123"/>
      <c r="P2029" s="366"/>
      <c r="R2029" s="355"/>
      <c r="S2029" s="369"/>
      <c r="T2029" s="328"/>
      <c r="U2029" s="394" ph="1"/>
      <c r="W2029" s="216"/>
      <c r="X2029" s="245"/>
      <c r="Y2029" s="187"/>
      <c r="Z2029" s="245"/>
      <c r="AA2029" s="245"/>
      <c r="AB2029" s="332"/>
      <c r="AD2029" s="245"/>
      <c r="AE2029" s="245"/>
      <c r="AF2029" s="245"/>
      <c r="AG2029" s="245"/>
    </row>
    <row r="2030" spans="1:33" ht="26.4">
      <c r="A2030" s="391"/>
      <c r="B2030" s="245"/>
      <c r="C2030" s="245"/>
      <c r="D2030" s="245"/>
      <c r="E2030" s="245"/>
      <c r="F2030" s="319"/>
      <c r="G2030" s="245"/>
      <c r="H2030" s="245"/>
      <c r="I2030" s="245"/>
      <c r="L2030" s="123"/>
      <c r="P2030" s="366"/>
      <c r="R2030" s="355"/>
      <c r="S2030" s="369"/>
      <c r="T2030" s="328"/>
      <c r="U2030" s="394" ph="1"/>
      <c r="W2030" s="216"/>
      <c r="X2030" s="245"/>
      <c r="Y2030" s="187"/>
      <c r="Z2030" s="245"/>
      <c r="AA2030" s="245"/>
      <c r="AB2030" s="332"/>
      <c r="AD2030" s="245"/>
      <c r="AE2030" s="245"/>
      <c r="AF2030" s="245"/>
      <c r="AG2030" s="245"/>
    </row>
    <row r="2031" spans="1:33" ht="26.4">
      <c r="A2031" s="391"/>
      <c r="B2031" s="245"/>
      <c r="C2031" s="245"/>
      <c r="D2031" s="245"/>
      <c r="E2031" s="245"/>
      <c r="F2031" s="319"/>
      <c r="G2031" s="245"/>
      <c r="H2031" s="245"/>
      <c r="I2031" s="245"/>
      <c r="L2031" s="123"/>
      <c r="P2031" s="366"/>
      <c r="R2031" s="355"/>
      <c r="S2031" s="369"/>
      <c r="T2031" s="328"/>
      <c r="U2031" s="394" ph="1"/>
      <c r="W2031" s="216"/>
      <c r="X2031" s="245"/>
      <c r="Y2031" s="187"/>
      <c r="Z2031" s="245"/>
      <c r="AA2031" s="245"/>
      <c r="AB2031" s="332"/>
      <c r="AD2031" s="245"/>
      <c r="AE2031" s="245"/>
      <c r="AF2031" s="245"/>
      <c r="AG2031" s="245"/>
    </row>
    <row r="2032" spans="1:33" ht="26.4">
      <c r="A2032" s="391"/>
      <c r="B2032" s="245"/>
      <c r="C2032" s="245"/>
      <c r="D2032" s="245"/>
      <c r="E2032" s="245"/>
      <c r="F2032" s="319"/>
      <c r="G2032" s="245"/>
      <c r="H2032" s="245"/>
      <c r="I2032" s="245"/>
      <c r="L2032" s="123"/>
      <c r="P2032" s="366"/>
      <c r="R2032" s="355"/>
      <c r="S2032" s="369"/>
      <c r="T2032" s="328"/>
      <c r="U2032" s="394" ph="1"/>
      <c r="W2032" s="216"/>
      <c r="X2032" s="245"/>
      <c r="Y2032" s="187"/>
      <c r="Z2032" s="245"/>
      <c r="AA2032" s="245"/>
      <c r="AB2032" s="332"/>
      <c r="AD2032" s="245"/>
      <c r="AE2032" s="245"/>
      <c r="AF2032" s="245"/>
      <c r="AG2032" s="245"/>
    </row>
    <row r="2033" spans="1:33" ht="26.4">
      <c r="A2033" s="391"/>
      <c r="B2033" s="245"/>
      <c r="C2033" s="245"/>
      <c r="D2033" s="245"/>
      <c r="E2033" s="245"/>
      <c r="F2033" s="319"/>
      <c r="G2033" s="245"/>
      <c r="H2033" s="245"/>
      <c r="I2033" s="245"/>
      <c r="L2033" s="123"/>
      <c r="P2033" s="366"/>
      <c r="R2033" s="355"/>
      <c r="S2033" s="369"/>
      <c r="T2033" s="328"/>
      <c r="U2033" s="394" ph="1"/>
      <c r="W2033" s="216"/>
      <c r="X2033" s="245"/>
      <c r="Y2033" s="187"/>
      <c r="Z2033" s="245"/>
      <c r="AA2033" s="245"/>
      <c r="AB2033" s="332"/>
      <c r="AD2033" s="245"/>
      <c r="AE2033" s="245"/>
      <c r="AF2033" s="245"/>
      <c r="AG2033" s="245"/>
    </row>
    <row r="2034" spans="1:33" ht="26.4">
      <c r="A2034" s="391"/>
      <c r="B2034" s="245"/>
      <c r="C2034" s="245"/>
      <c r="D2034" s="245"/>
      <c r="E2034" s="245"/>
      <c r="F2034" s="319"/>
      <c r="G2034" s="245"/>
      <c r="H2034" s="245"/>
      <c r="I2034" s="245"/>
      <c r="L2034" s="123"/>
      <c r="P2034" s="366"/>
      <c r="R2034" s="355"/>
      <c r="S2034" s="369"/>
      <c r="T2034" s="328"/>
      <c r="U2034" s="394" ph="1"/>
      <c r="W2034" s="216"/>
      <c r="X2034" s="245"/>
      <c r="Y2034" s="187"/>
      <c r="Z2034" s="245"/>
      <c r="AA2034" s="245"/>
      <c r="AB2034" s="332"/>
      <c r="AD2034" s="245"/>
      <c r="AE2034" s="245"/>
      <c r="AF2034" s="245"/>
      <c r="AG2034" s="245"/>
    </row>
    <row r="2035" spans="1:33" ht="26.4">
      <c r="A2035" s="391"/>
      <c r="B2035" s="245"/>
      <c r="C2035" s="245"/>
      <c r="D2035" s="245"/>
      <c r="E2035" s="245"/>
      <c r="F2035" s="319"/>
      <c r="G2035" s="245"/>
      <c r="H2035" s="245"/>
      <c r="I2035" s="245"/>
      <c r="L2035" s="123"/>
      <c r="P2035" s="366"/>
      <c r="R2035" s="355"/>
      <c r="S2035" s="369"/>
      <c r="T2035" s="328"/>
      <c r="U2035" s="394" ph="1"/>
      <c r="W2035" s="216"/>
      <c r="X2035" s="245"/>
      <c r="Y2035" s="187"/>
      <c r="Z2035" s="245"/>
      <c r="AA2035" s="245"/>
      <c r="AB2035" s="332"/>
      <c r="AD2035" s="245"/>
      <c r="AE2035" s="245"/>
      <c r="AF2035" s="245"/>
      <c r="AG2035" s="245"/>
    </row>
    <row r="2036" spans="1:33" ht="26.4">
      <c r="A2036" s="391"/>
      <c r="B2036" s="245"/>
      <c r="C2036" s="245"/>
      <c r="D2036" s="245"/>
      <c r="E2036" s="245"/>
      <c r="F2036" s="319"/>
      <c r="G2036" s="245"/>
      <c r="H2036" s="245"/>
      <c r="I2036" s="245"/>
      <c r="L2036" s="123"/>
      <c r="P2036" s="366"/>
      <c r="R2036" s="355"/>
      <c r="S2036" s="369"/>
      <c r="T2036" s="328"/>
      <c r="U2036" s="394" ph="1"/>
      <c r="W2036" s="216"/>
      <c r="X2036" s="245"/>
      <c r="Y2036" s="187"/>
      <c r="Z2036" s="245"/>
      <c r="AA2036" s="245"/>
      <c r="AB2036" s="332"/>
      <c r="AD2036" s="245"/>
      <c r="AE2036" s="245"/>
      <c r="AF2036" s="245"/>
      <c r="AG2036" s="245"/>
    </row>
    <row r="2037" spans="1:33" ht="26.4">
      <c r="A2037" s="391"/>
      <c r="B2037" s="245"/>
      <c r="C2037" s="245"/>
      <c r="D2037" s="245"/>
      <c r="E2037" s="245"/>
      <c r="F2037" s="319"/>
      <c r="G2037" s="245"/>
      <c r="H2037" s="245"/>
      <c r="I2037" s="245"/>
      <c r="L2037" s="123"/>
      <c r="P2037" s="366"/>
      <c r="R2037" s="355"/>
      <c r="S2037" s="369"/>
      <c r="T2037" s="328"/>
      <c r="U2037" s="394" ph="1"/>
      <c r="W2037" s="216"/>
      <c r="X2037" s="245"/>
      <c r="Y2037" s="187"/>
      <c r="Z2037" s="245"/>
      <c r="AA2037" s="245"/>
      <c r="AB2037" s="332"/>
      <c r="AD2037" s="245"/>
      <c r="AE2037" s="245"/>
      <c r="AF2037" s="245"/>
      <c r="AG2037" s="245"/>
    </row>
    <row r="2038" spans="1:33" ht="26.4">
      <c r="A2038" s="391"/>
      <c r="B2038" s="245"/>
      <c r="C2038" s="245"/>
      <c r="D2038" s="245"/>
      <c r="E2038" s="245"/>
      <c r="F2038" s="319"/>
      <c r="G2038" s="245"/>
      <c r="H2038" s="245"/>
      <c r="I2038" s="245"/>
      <c r="L2038" s="123"/>
      <c r="P2038" s="366"/>
      <c r="R2038" s="355"/>
      <c r="S2038" s="369"/>
      <c r="T2038" s="328"/>
      <c r="U2038" s="394" ph="1"/>
      <c r="W2038" s="216"/>
      <c r="X2038" s="245"/>
      <c r="Y2038" s="187"/>
      <c r="Z2038" s="245"/>
      <c r="AA2038" s="245"/>
      <c r="AB2038" s="332"/>
      <c r="AD2038" s="245"/>
      <c r="AE2038" s="245"/>
      <c r="AF2038" s="245"/>
      <c r="AG2038" s="245"/>
    </row>
    <row r="2039" spans="1:33" ht="26.4">
      <c r="A2039" s="391"/>
      <c r="B2039" s="245"/>
      <c r="C2039" s="245"/>
      <c r="D2039" s="245"/>
      <c r="E2039" s="245"/>
      <c r="F2039" s="319"/>
      <c r="G2039" s="245"/>
      <c r="H2039" s="245"/>
      <c r="I2039" s="245"/>
      <c r="L2039" s="123"/>
      <c r="P2039" s="366"/>
      <c r="R2039" s="355"/>
      <c r="S2039" s="369"/>
      <c r="T2039" s="328"/>
      <c r="U2039" s="394" ph="1"/>
      <c r="W2039" s="216"/>
      <c r="X2039" s="245"/>
      <c r="Y2039" s="187"/>
      <c r="Z2039" s="245"/>
      <c r="AA2039" s="245"/>
      <c r="AB2039" s="332"/>
      <c r="AD2039" s="245"/>
      <c r="AE2039" s="245"/>
      <c r="AF2039" s="245"/>
      <c r="AG2039" s="245"/>
    </row>
    <row r="2040" spans="1:33" ht="26.4">
      <c r="A2040" s="391"/>
      <c r="B2040" s="245"/>
      <c r="C2040" s="245"/>
      <c r="D2040" s="245"/>
      <c r="E2040" s="245"/>
      <c r="F2040" s="319"/>
      <c r="G2040" s="245"/>
      <c r="H2040" s="245"/>
      <c r="I2040" s="245"/>
      <c r="L2040" s="123"/>
      <c r="P2040" s="366"/>
      <c r="R2040" s="355"/>
      <c r="S2040" s="369"/>
      <c r="T2040" s="328"/>
      <c r="U2040" s="394" ph="1"/>
      <c r="W2040" s="216"/>
      <c r="X2040" s="245"/>
      <c r="Y2040" s="187"/>
      <c r="Z2040" s="245"/>
      <c r="AA2040" s="245"/>
      <c r="AB2040" s="332"/>
      <c r="AD2040" s="245"/>
      <c r="AE2040" s="245"/>
      <c r="AF2040" s="245"/>
      <c r="AG2040" s="245"/>
    </row>
    <row r="2041" spans="1:33" ht="26.4">
      <c r="A2041" s="391"/>
      <c r="B2041" s="245"/>
      <c r="C2041" s="245"/>
      <c r="D2041" s="245"/>
      <c r="E2041" s="245"/>
      <c r="F2041" s="319"/>
      <c r="G2041" s="245"/>
      <c r="H2041" s="245"/>
      <c r="I2041" s="245"/>
      <c r="L2041" s="123"/>
      <c r="P2041" s="366"/>
      <c r="R2041" s="355"/>
      <c r="S2041" s="369"/>
      <c r="T2041" s="328"/>
      <c r="U2041" s="394" ph="1"/>
      <c r="W2041" s="216"/>
      <c r="X2041" s="245"/>
      <c r="Y2041" s="187"/>
      <c r="Z2041" s="245"/>
      <c r="AA2041" s="245"/>
      <c r="AB2041" s="332"/>
      <c r="AD2041" s="245"/>
      <c r="AE2041" s="245"/>
      <c r="AF2041" s="245"/>
      <c r="AG2041" s="245"/>
    </row>
    <row r="2042" spans="1:33" ht="26.4">
      <c r="A2042" s="391"/>
      <c r="B2042" s="245"/>
      <c r="C2042" s="245"/>
      <c r="D2042" s="245"/>
      <c r="E2042" s="245"/>
      <c r="F2042" s="319"/>
      <c r="G2042" s="245"/>
      <c r="H2042" s="245"/>
      <c r="I2042" s="245"/>
      <c r="L2042" s="123"/>
      <c r="P2042" s="366"/>
      <c r="R2042" s="355"/>
      <c r="S2042" s="369"/>
      <c r="T2042" s="328"/>
      <c r="U2042" s="394" ph="1"/>
      <c r="W2042" s="216"/>
      <c r="X2042" s="245"/>
      <c r="Y2042" s="187"/>
      <c r="Z2042" s="245"/>
      <c r="AA2042" s="245"/>
      <c r="AB2042" s="332"/>
      <c r="AD2042" s="245"/>
      <c r="AE2042" s="245"/>
      <c r="AF2042" s="245"/>
      <c r="AG2042" s="245"/>
    </row>
    <row r="2043" spans="1:33" ht="26.4">
      <c r="A2043" s="391"/>
      <c r="B2043" s="245"/>
      <c r="C2043" s="245"/>
      <c r="D2043" s="245"/>
      <c r="E2043" s="245"/>
      <c r="F2043" s="319"/>
      <c r="G2043" s="245"/>
      <c r="H2043" s="245"/>
      <c r="I2043" s="245"/>
      <c r="L2043" s="123"/>
      <c r="P2043" s="366"/>
      <c r="R2043" s="355"/>
      <c r="S2043" s="369"/>
      <c r="T2043" s="328"/>
      <c r="U2043" s="394" ph="1"/>
      <c r="W2043" s="216"/>
      <c r="X2043" s="245"/>
      <c r="Y2043" s="187"/>
      <c r="Z2043" s="245"/>
      <c r="AA2043" s="245"/>
      <c r="AB2043" s="332"/>
      <c r="AD2043" s="245"/>
      <c r="AE2043" s="245"/>
      <c r="AF2043" s="245"/>
      <c r="AG2043" s="245"/>
    </row>
    <row r="2044" spans="1:33" ht="26.4">
      <c r="A2044" s="391"/>
      <c r="B2044" s="245"/>
      <c r="C2044" s="245"/>
      <c r="D2044" s="245"/>
      <c r="E2044" s="245"/>
      <c r="F2044" s="319"/>
      <c r="G2044" s="245"/>
      <c r="H2044" s="245"/>
      <c r="I2044" s="245"/>
      <c r="L2044" s="123"/>
      <c r="P2044" s="366"/>
      <c r="R2044" s="355"/>
      <c r="S2044" s="369"/>
      <c r="T2044" s="328"/>
      <c r="U2044" s="394" ph="1"/>
      <c r="W2044" s="216"/>
      <c r="X2044" s="245"/>
      <c r="Y2044" s="187"/>
      <c r="Z2044" s="245"/>
      <c r="AA2044" s="245"/>
      <c r="AB2044" s="332"/>
      <c r="AD2044" s="245"/>
      <c r="AE2044" s="245"/>
      <c r="AF2044" s="245"/>
      <c r="AG2044" s="245"/>
    </row>
    <row r="2045" spans="1:33" ht="26.4">
      <c r="A2045" s="391"/>
      <c r="B2045" s="245"/>
      <c r="C2045" s="245"/>
      <c r="D2045" s="245"/>
      <c r="E2045" s="245"/>
      <c r="F2045" s="319"/>
      <c r="G2045" s="245"/>
      <c r="H2045" s="245"/>
      <c r="I2045" s="245"/>
      <c r="L2045" s="123"/>
      <c r="P2045" s="366"/>
      <c r="R2045" s="355"/>
      <c r="S2045" s="369"/>
      <c r="T2045" s="328"/>
      <c r="U2045" s="394" ph="1"/>
      <c r="W2045" s="216"/>
      <c r="X2045" s="245"/>
      <c r="Y2045" s="187"/>
      <c r="Z2045" s="245"/>
      <c r="AA2045" s="245"/>
      <c r="AB2045" s="332"/>
      <c r="AD2045" s="245"/>
      <c r="AE2045" s="245"/>
      <c r="AF2045" s="245"/>
      <c r="AG2045" s="245"/>
    </row>
    <row r="2046" spans="1:33" ht="26.4">
      <c r="A2046" s="391"/>
      <c r="B2046" s="245"/>
      <c r="C2046" s="245"/>
      <c r="D2046" s="245"/>
      <c r="E2046" s="245"/>
      <c r="F2046" s="319"/>
      <c r="G2046" s="245"/>
      <c r="H2046" s="245"/>
      <c r="I2046" s="245"/>
      <c r="L2046" s="123"/>
      <c r="P2046" s="366"/>
      <c r="R2046" s="355"/>
      <c r="S2046" s="369"/>
      <c r="T2046" s="328"/>
      <c r="U2046" s="394" ph="1"/>
      <c r="W2046" s="216"/>
      <c r="X2046" s="245"/>
      <c r="Y2046" s="187"/>
      <c r="Z2046" s="245"/>
      <c r="AA2046" s="245"/>
      <c r="AB2046" s="332"/>
      <c r="AD2046" s="245"/>
      <c r="AE2046" s="245"/>
      <c r="AF2046" s="245"/>
      <c r="AG2046" s="245"/>
    </row>
    <row r="2047" spans="1:33" ht="26.4">
      <c r="A2047" s="391"/>
      <c r="B2047" s="245"/>
      <c r="C2047" s="245"/>
      <c r="D2047" s="245"/>
      <c r="E2047" s="245"/>
      <c r="F2047" s="319"/>
      <c r="G2047" s="245"/>
      <c r="H2047" s="245"/>
      <c r="I2047" s="245"/>
      <c r="L2047" s="123"/>
      <c r="P2047" s="366"/>
      <c r="R2047" s="355"/>
      <c r="S2047" s="369"/>
      <c r="T2047" s="328"/>
      <c r="U2047" s="394" ph="1"/>
      <c r="W2047" s="216"/>
      <c r="X2047" s="245"/>
      <c r="Y2047" s="187"/>
      <c r="Z2047" s="245"/>
      <c r="AA2047" s="245"/>
      <c r="AB2047" s="332"/>
      <c r="AD2047" s="245"/>
      <c r="AE2047" s="245"/>
      <c r="AF2047" s="245"/>
      <c r="AG2047" s="245"/>
    </row>
    <row r="2048" spans="1:33" ht="26.4">
      <c r="A2048" s="391"/>
      <c r="B2048" s="245"/>
      <c r="C2048" s="245"/>
      <c r="D2048" s="245"/>
      <c r="E2048" s="245"/>
      <c r="F2048" s="319"/>
      <c r="G2048" s="245"/>
      <c r="H2048" s="245"/>
      <c r="I2048" s="245"/>
      <c r="L2048" s="123"/>
      <c r="P2048" s="366"/>
      <c r="R2048" s="355"/>
      <c r="S2048" s="369"/>
      <c r="T2048" s="328"/>
      <c r="U2048" s="394" ph="1"/>
      <c r="W2048" s="216"/>
      <c r="X2048" s="245"/>
      <c r="Y2048" s="187"/>
      <c r="Z2048" s="245"/>
      <c r="AA2048" s="245"/>
      <c r="AB2048" s="332"/>
      <c r="AD2048" s="245"/>
      <c r="AE2048" s="245"/>
      <c r="AF2048" s="245"/>
      <c r="AG2048" s="245"/>
    </row>
    <row r="2049" spans="1:33" ht="26.4">
      <c r="A2049" s="391"/>
      <c r="B2049" s="245"/>
      <c r="C2049" s="245"/>
      <c r="D2049" s="245"/>
      <c r="E2049" s="245"/>
      <c r="F2049" s="319"/>
      <c r="G2049" s="245"/>
      <c r="H2049" s="245"/>
      <c r="I2049" s="245"/>
      <c r="L2049" s="123"/>
      <c r="P2049" s="366"/>
      <c r="R2049" s="355"/>
      <c r="S2049" s="369"/>
      <c r="T2049" s="328"/>
      <c r="U2049" s="394" ph="1"/>
      <c r="W2049" s="216"/>
      <c r="X2049" s="245"/>
      <c r="Y2049" s="187"/>
      <c r="Z2049" s="245"/>
      <c r="AA2049" s="245"/>
      <c r="AB2049" s="332"/>
      <c r="AD2049" s="245"/>
      <c r="AE2049" s="245"/>
      <c r="AF2049" s="245"/>
      <c r="AG2049" s="245"/>
    </row>
    <row r="2050" spans="1:33" ht="26.4">
      <c r="A2050" s="391"/>
      <c r="B2050" s="245"/>
      <c r="C2050" s="245"/>
      <c r="D2050" s="245"/>
      <c r="E2050" s="245"/>
      <c r="F2050" s="319"/>
      <c r="G2050" s="245"/>
      <c r="H2050" s="245"/>
      <c r="I2050" s="245"/>
      <c r="L2050" s="123"/>
      <c r="P2050" s="366"/>
      <c r="R2050" s="355"/>
      <c r="S2050" s="369"/>
      <c r="T2050" s="328"/>
      <c r="U2050" s="394" ph="1"/>
      <c r="W2050" s="216"/>
      <c r="X2050" s="245"/>
      <c r="Y2050" s="187"/>
      <c r="Z2050" s="245"/>
      <c r="AA2050" s="245"/>
      <c r="AB2050" s="332"/>
      <c r="AD2050" s="245"/>
      <c r="AE2050" s="245"/>
      <c r="AF2050" s="245"/>
      <c r="AG2050" s="245"/>
    </row>
    <row r="2051" spans="1:33" ht="26.4">
      <c r="A2051" s="391"/>
      <c r="B2051" s="245"/>
      <c r="C2051" s="245"/>
      <c r="D2051" s="245"/>
      <c r="E2051" s="245"/>
      <c r="F2051" s="319"/>
      <c r="G2051" s="245"/>
      <c r="H2051" s="245"/>
      <c r="I2051" s="245"/>
      <c r="L2051" s="120"/>
      <c r="P2051" s="366"/>
      <c r="R2051" s="355"/>
      <c r="S2051" s="369"/>
      <c r="T2051" s="328"/>
      <c r="U2051" s="394" ph="1"/>
      <c r="W2051" s="216"/>
      <c r="X2051" s="245"/>
      <c r="Y2051" s="187"/>
      <c r="Z2051" s="245"/>
      <c r="AA2051" s="245"/>
      <c r="AB2051" s="332"/>
      <c r="AD2051" s="245"/>
      <c r="AE2051" s="245"/>
      <c r="AF2051" s="245"/>
      <c r="AG2051" s="245"/>
    </row>
    <row r="2052" spans="1:33" ht="26.4">
      <c r="A2052" s="391"/>
      <c r="B2052" s="245"/>
      <c r="C2052" s="245"/>
      <c r="D2052" s="245"/>
      <c r="E2052" s="245"/>
      <c r="F2052" s="319"/>
      <c r="G2052" s="245"/>
      <c r="H2052" s="245"/>
      <c r="I2052" s="245"/>
      <c r="L2052" s="123"/>
      <c r="P2052" s="366"/>
      <c r="R2052" s="355"/>
      <c r="S2052" s="369"/>
      <c r="T2052" s="328"/>
      <c r="U2052" s="394" ph="1"/>
      <c r="W2052" s="216"/>
      <c r="X2052" s="245"/>
      <c r="Y2052" s="187"/>
      <c r="Z2052" s="245"/>
      <c r="AA2052" s="245"/>
      <c r="AB2052" s="332"/>
      <c r="AD2052" s="245"/>
      <c r="AE2052" s="245"/>
      <c r="AF2052" s="245"/>
      <c r="AG2052" s="245"/>
    </row>
    <row r="2053" spans="1:33" ht="26.4">
      <c r="A2053" s="391"/>
      <c r="B2053" s="245"/>
      <c r="C2053" s="245"/>
      <c r="D2053" s="245"/>
      <c r="E2053" s="245"/>
      <c r="F2053" s="319"/>
      <c r="G2053" s="245"/>
      <c r="H2053" s="245"/>
      <c r="I2053" s="245"/>
      <c r="L2053" s="123"/>
      <c r="P2053" s="366"/>
      <c r="R2053" s="355"/>
      <c r="S2053" s="369"/>
      <c r="T2053" s="328"/>
      <c r="U2053" s="394" ph="1"/>
      <c r="W2053" s="216"/>
      <c r="X2053" s="245"/>
      <c r="Y2053" s="187"/>
      <c r="Z2053" s="245"/>
      <c r="AA2053" s="245"/>
      <c r="AB2053" s="332"/>
      <c r="AD2053" s="245"/>
      <c r="AE2053" s="245"/>
      <c r="AF2053" s="245"/>
      <c r="AG2053" s="245"/>
    </row>
    <row r="2054" spans="1:33" ht="26.4">
      <c r="A2054" s="391"/>
      <c r="B2054" s="245"/>
      <c r="C2054" s="245"/>
      <c r="D2054" s="245"/>
      <c r="E2054" s="245"/>
      <c r="F2054" s="319"/>
      <c r="G2054" s="245"/>
      <c r="H2054" s="245"/>
      <c r="I2054" s="245"/>
      <c r="L2054" s="123"/>
      <c r="P2054" s="366"/>
      <c r="R2054" s="355"/>
      <c r="S2054" s="369"/>
      <c r="T2054" s="328"/>
      <c r="U2054" s="394" ph="1"/>
      <c r="W2054" s="216"/>
      <c r="X2054" s="245"/>
      <c r="Y2054" s="187"/>
      <c r="Z2054" s="245"/>
      <c r="AA2054" s="245"/>
      <c r="AB2054" s="332"/>
      <c r="AD2054" s="245"/>
      <c r="AE2054" s="245"/>
      <c r="AF2054" s="245"/>
      <c r="AG2054" s="245"/>
    </row>
    <row r="2055" spans="1:33" ht="26.4">
      <c r="A2055" s="391"/>
      <c r="B2055" s="245"/>
      <c r="C2055" s="245"/>
      <c r="D2055" s="245"/>
      <c r="E2055" s="245"/>
      <c r="F2055" s="319"/>
      <c r="G2055" s="245"/>
      <c r="H2055" s="245"/>
      <c r="I2055" s="245"/>
      <c r="L2055" s="123"/>
      <c r="P2055" s="366"/>
      <c r="R2055" s="355"/>
      <c r="S2055" s="369"/>
      <c r="T2055" s="328"/>
      <c r="U2055" s="394" ph="1"/>
      <c r="W2055" s="216"/>
      <c r="X2055" s="245"/>
      <c r="Y2055" s="187"/>
      <c r="Z2055" s="245"/>
      <c r="AA2055" s="245"/>
      <c r="AB2055" s="332"/>
      <c r="AD2055" s="245"/>
      <c r="AE2055" s="245"/>
      <c r="AF2055" s="245"/>
      <c r="AG2055" s="245"/>
    </row>
    <row r="2056" spans="1:33" ht="26.4">
      <c r="A2056" s="391"/>
      <c r="B2056" s="245"/>
      <c r="C2056" s="245"/>
      <c r="D2056" s="245"/>
      <c r="E2056" s="245"/>
      <c r="F2056" s="319"/>
      <c r="G2056" s="245"/>
      <c r="H2056" s="245"/>
      <c r="I2056" s="245"/>
      <c r="L2056" s="123"/>
      <c r="P2056" s="366"/>
      <c r="R2056" s="355"/>
      <c r="S2056" s="369"/>
      <c r="T2056" s="328"/>
      <c r="U2056" s="394" ph="1"/>
      <c r="W2056" s="216"/>
      <c r="X2056" s="245"/>
      <c r="Y2056" s="187"/>
      <c r="Z2056" s="245"/>
      <c r="AA2056" s="245"/>
      <c r="AB2056" s="332"/>
      <c r="AD2056" s="245"/>
      <c r="AE2056" s="245"/>
      <c r="AF2056" s="245"/>
      <c r="AG2056" s="245"/>
    </row>
    <row r="2057" spans="1:33" ht="26.4">
      <c r="A2057" s="391"/>
      <c r="B2057" s="245"/>
      <c r="C2057" s="245"/>
      <c r="D2057" s="245"/>
      <c r="E2057" s="245"/>
      <c r="F2057" s="319"/>
      <c r="G2057" s="245"/>
      <c r="H2057" s="245"/>
      <c r="I2057" s="245"/>
      <c r="L2057" s="123"/>
      <c r="P2057" s="366"/>
      <c r="R2057" s="355"/>
      <c r="S2057" s="369"/>
      <c r="T2057" s="328"/>
      <c r="U2057" s="394" ph="1"/>
      <c r="W2057" s="216"/>
      <c r="X2057" s="245"/>
      <c r="Y2057" s="187"/>
      <c r="Z2057" s="245"/>
      <c r="AA2057" s="245"/>
      <c r="AB2057" s="332"/>
      <c r="AD2057" s="245"/>
      <c r="AE2057" s="245"/>
      <c r="AF2057" s="245"/>
      <c r="AG2057" s="245"/>
    </row>
    <row r="2058" spans="1:33" ht="26.4">
      <c r="A2058" s="391"/>
      <c r="B2058" s="245"/>
      <c r="C2058" s="245"/>
      <c r="D2058" s="245"/>
      <c r="E2058" s="245"/>
      <c r="F2058" s="319"/>
      <c r="G2058" s="245"/>
      <c r="H2058" s="245"/>
      <c r="I2058" s="245"/>
      <c r="L2058" s="123"/>
      <c r="P2058" s="366"/>
      <c r="R2058" s="355"/>
      <c r="S2058" s="369"/>
      <c r="T2058" s="328"/>
      <c r="U2058" s="394" ph="1"/>
      <c r="W2058" s="216"/>
      <c r="X2058" s="245"/>
      <c r="Y2058" s="187"/>
      <c r="Z2058" s="245"/>
      <c r="AA2058" s="245"/>
      <c r="AB2058" s="332"/>
      <c r="AD2058" s="245"/>
      <c r="AE2058" s="245"/>
      <c r="AF2058" s="245"/>
      <c r="AG2058" s="245"/>
    </row>
    <row r="2059" spans="1:33" ht="26.4">
      <c r="A2059" s="391"/>
      <c r="B2059" s="245"/>
      <c r="C2059" s="245"/>
      <c r="D2059" s="245"/>
      <c r="E2059" s="245"/>
      <c r="F2059" s="319"/>
      <c r="G2059" s="245"/>
      <c r="H2059" s="245"/>
      <c r="I2059" s="245"/>
      <c r="L2059" s="123"/>
      <c r="P2059" s="366"/>
      <c r="R2059" s="355"/>
      <c r="S2059" s="369"/>
      <c r="T2059" s="328"/>
      <c r="U2059" s="394" ph="1"/>
      <c r="W2059" s="216"/>
      <c r="X2059" s="245"/>
      <c r="Y2059" s="187"/>
      <c r="Z2059" s="245"/>
      <c r="AA2059" s="245"/>
      <c r="AB2059" s="332"/>
      <c r="AD2059" s="245"/>
      <c r="AE2059" s="245"/>
      <c r="AF2059" s="245"/>
      <c r="AG2059" s="245"/>
    </row>
    <row r="2060" spans="1:33" ht="26.4">
      <c r="A2060" s="391"/>
      <c r="B2060" s="245"/>
      <c r="C2060" s="245"/>
      <c r="D2060" s="245"/>
      <c r="E2060" s="245"/>
      <c r="F2060" s="319"/>
      <c r="G2060" s="245"/>
      <c r="H2060" s="245"/>
      <c r="I2060" s="245"/>
      <c r="L2060" s="123"/>
      <c r="P2060" s="366"/>
      <c r="R2060" s="355"/>
      <c r="S2060" s="369"/>
      <c r="T2060" s="328"/>
      <c r="U2060" s="394" ph="1"/>
      <c r="W2060" s="216"/>
      <c r="X2060" s="245"/>
      <c r="Y2060" s="187"/>
      <c r="Z2060" s="245"/>
      <c r="AA2060" s="245"/>
      <c r="AB2060" s="332"/>
      <c r="AD2060" s="245"/>
      <c r="AE2060" s="245"/>
      <c r="AF2060" s="245"/>
      <c r="AG2060" s="245"/>
    </row>
    <row r="2061" spans="1:33" ht="26.4">
      <c r="A2061" s="391"/>
      <c r="B2061" s="245"/>
      <c r="C2061" s="245"/>
      <c r="D2061" s="245"/>
      <c r="E2061" s="245"/>
      <c r="F2061" s="319"/>
      <c r="G2061" s="245"/>
      <c r="H2061" s="245"/>
      <c r="I2061" s="245"/>
      <c r="L2061" s="123"/>
      <c r="P2061" s="366"/>
      <c r="R2061" s="355"/>
      <c r="S2061" s="369"/>
      <c r="T2061" s="328"/>
      <c r="U2061" s="394" ph="1"/>
      <c r="W2061" s="216"/>
      <c r="X2061" s="245"/>
      <c r="Y2061" s="187"/>
      <c r="Z2061" s="245"/>
      <c r="AA2061" s="245"/>
      <c r="AB2061" s="332"/>
      <c r="AD2061" s="245"/>
      <c r="AE2061" s="245"/>
      <c r="AF2061" s="245"/>
      <c r="AG2061" s="245"/>
    </row>
    <row r="2062" spans="1:33" ht="26.4">
      <c r="A2062" s="391"/>
      <c r="B2062" s="245"/>
      <c r="C2062" s="245"/>
      <c r="D2062" s="245"/>
      <c r="E2062" s="245"/>
      <c r="F2062" s="319"/>
      <c r="G2062" s="245"/>
      <c r="H2062" s="245"/>
      <c r="I2062" s="245"/>
      <c r="L2062" s="123"/>
      <c r="P2062" s="366"/>
      <c r="R2062" s="355"/>
      <c r="S2062" s="369"/>
      <c r="T2062" s="328"/>
      <c r="U2062" s="394" ph="1"/>
      <c r="W2062" s="216"/>
      <c r="X2062" s="245"/>
      <c r="Y2062" s="187"/>
      <c r="Z2062" s="245"/>
      <c r="AA2062" s="245"/>
      <c r="AB2062" s="332"/>
      <c r="AD2062" s="245"/>
      <c r="AE2062" s="245"/>
      <c r="AF2062" s="245"/>
      <c r="AG2062" s="245"/>
    </row>
    <row r="2063" spans="1:33" ht="26.4">
      <c r="A2063" s="391"/>
      <c r="B2063" s="245"/>
      <c r="C2063" s="245"/>
      <c r="D2063" s="245"/>
      <c r="E2063" s="245"/>
      <c r="F2063" s="319"/>
      <c r="G2063" s="245"/>
      <c r="H2063" s="245"/>
      <c r="I2063" s="245"/>
      <c r="L2063" s="123"/>
      <c r="P2063" s="366"/>
      <c r="R2063" s="355"/>
      <c r="S2063" s="369"/>
      <c r="T2063" s="328"/>
      <c r="U2063" s="394" ph="1"/>
      <c r="W2063" s="216"/>
      <c r="X2063" s="245"/>
      <c r="Y2063" s="187"/>
      <c r="Z2063" s="245"/>
      <c r="AA2063" s="245"/>
      <c r="AB2063" s="332"/>
      <c r="AD2063" s="245"/>
      <c r="AE2063" s="245"/>
      <c r="AF2063" s="245"/>
      <c r="AG2063" s="245"/>
    </row>
    <row r="2064" spans="1:33" ht="26.4">
      <c r="A2064" s="391"/>
      <c r="B2064" s="245"/>
      <c r="C2064" s="245"/>
      <c r="D2064" s="245"/>
      <c r="E2064" s="245"/>
      <c r="F2064" s="319"/>
      <c r="G2064" s="245"/>
      <c r="H2064" s="245"/>
      <c r="I2064" s="245"/>
      <c r="L2064" s="123"/>
      <c r="P2064" s="366"/>
      <c r="R2064" s="355"/>
      <c r="S2064" s="369"/>
      <c r="T2064" s="328"/>
      <c r="U2064" s="394" ph="1"/>
      <c r="W2064" s="216"/>
      <c r="X2064" s="245"/>
      <c r="Y2064" s="187"/>
      <c r="Z2064" s="245"/>
      <c r="AA2064" s="245"/>
      <c r="AB2064" s="332"/>
      <c r="AD2064" s="245"/>
      <c r="AE2064" s="245"/>
      <c r="AF2064" s="245"/>
      <c r="AG2064" s="245"/>
    </row>
    <row r="2065" spans="1:33" ht="26.4">
      <c r="A2065" s="391"/>
      <c r="B2065" s="245"/>
      <c r="C2065" s="245"/>
      <c r="D2065" s="245"/>
      <c r="E2065" s="245"/>
      <c r="F2065" s="319"/>
      <c r="G2065" s="245"/>
      <c r="H2065" s="245"/>
      <c r="I2065" s="245"/>
      <c r="L2065" s="123"/>
      <c r="P2065" s="366"/>
      <c r="R2065" s="355"/>
      <c r="S2065" s="369"/>
      <c r="T2065" s="328"/>
      <c r="U2065" s="394" ph="1"/>
      <c r="W2065" s="216"/>
      <c r="X2065" s="245"/>
      <c r="Y2065" s="187"/>
      <c r="Z2065" s="245"/>
      <c r="AA2065" s="245"/>
      <c r="AB2065" s="332"/>
      <c r="AD2065" s="245"/>
      <c r="AE2065" s="245"/>
      <c r="AF2065" s="245"/>
      <c r="AG2065" s="245"/>
    </row>
    <row r="2066" spans="1:33" ht="26.4">
      <c r="A2066" s="391"/>
      <c r="B2066" s="245"/>
      <c r="C2066" s="245"/>
      <c r="D2066" s="245"/>
      <c r="E2066" s="245"/>
      <c r="F2066" s="319"/>
      <c r="G2066" s="245"/>
      <c r="H2066" s="245"/>
      <c r="I2066" s="245"/>
      <c r="L2066" s="123"/>
      <c r="P2066" s="366"/>
      <c r="R2066" s="355"/>
      <c r="S2066" s="369"/>
      <c r="T2066" s="328"/>
      <c r="U2066" s="394" ph="1"/>
      <c r="W2066" s="216"/>
      <c r="X2066" s="245"/>
      <c r="Y2066" s="187"/>
      <c r="Z2066" s="245"/>
      <c r="AA2066" s="245"/>
      <c r="AB2066" s="332"/>
      <c r="AD2066" s="245"/>
      <c r="AE2066" s="245"/>
      <c r="AF2066" s="245"/>
      <c r="AG2066" s="245"/>
    </row>
    <row r="2067" spans="1:33" ht="26.4">
      <c r="A2067" s="391"/>
      <c r="B2067" s="245"/>
      <c r="C2067" s="245"/>
      <c r="D2067" s="245"/>
      <c r="E2067" s="245"/>
      <c r="F2067" s="319"/>
      <c r="G2067" s="245"/>
      <c r="H2067" s="245"/>
      <c r="I2067" s="245"/>
      <c r="L2067" s="123"/>
      <c r="P2067" s="366"/>
      <c r="R2067" s="355"/>
      <c r="S2067" s="369"/>
      <c r="T2067" s="328"/>
      <c r="U2067" s="394" ph="1"/>
      <c r="W2067" s="216"/>
      <c r="X2067" s="245"/>
      <c r="Y2067" s="187"/>
      <c r="Z2067" s="245"/>
      <c r="AA2067" s="245"/>
      <c r="AB2067" s="332"/>
      <c r="AD2067" s="245"/>
      <c r="AE2067" s="245"/>
      <c r="AF2067" s="245"/>
      <c r="AG2067" s="245"/>
    </row>
    <row r="2068" spans="1:33" ht="26.4">
      <c r="A2068" s="391"/>
      <c r="B2068" s="245"/>
      <c r="C2068" s="245"/>
      <c r="D2068" s="245"/>
      <c r="E2068" s="245"/>
      <c r="F2068" s="319"/>
      <c r="G2068" s="245"/>
      <c r="H2068" s="245"/>
      <c r="I2068" s="245"/>
      <c r="L2068" s="123"/>
      <c r="P2068" s="366"/>
      <c r="R2068" s="355"/>
      <c r="S2068" s="369"/>
      <c r="T2068" s="328"/>
      <c r="U2068" s="394" ph="1"/>
      <c r="W2068" s="216"/>
      <c r="X2068" s="245"/>
      <c r="Y2068" s="187"/>
      <c r="Z2068" s="245"/>
      <c r="AA2068" s="245"/>
      <c r="AB2068" s="332"/>
      <c r="AD2068" s="245"/>
      <c r="AE2068" s="245"/>
      <c r="AF2068" s="245"/>
      <c r="AG2068" s="245"/>
    </row>
    <row r="2069" spans="1:33" ht="26.4">
      <c r="A2069" s="391"/>
      <c r="B2069" s="245"/>
      <c r="C2069" s="245"/>
      <c r="D2069" s="245"/>
      <c r="E2069" s="245"/>
      <c r="F2069" s="319"/>
      <c r="G2069" s="245"/>
      <c r="H2069" s="245"/>
      <c r="I2069" s="245"/>
      <c r="L2069" s="123"/>
      <c r="P2069" s="366"/>
      <c r="R2069" s="355"/>
      <c r="S2069" s="369"/>
      <c r="T2069" s="328"/>
      <c r="U2069" s="394" ph="1"/>
      <c r="W2069" s="216"/>
      <c r="X2069" s="245"/>
      <c r="Y2069" s="187"/>
      <c r="Z2069" s="245"/>
      <c r="AA2069" s="245"/>
      <c r="AB2069" s="332"/>
      <c r="AD2069" s="245"/>
      <c r="AE2069" s="245"/>
      <c r="AF2069" s="245"/>
      <c r="AG2069" s="245"/>
    </row>
    <row r="2070" spans="1:33" ht="26.4">
      <c r="A2070" s="391"/>
      <c r="B2070" s="245"/>
      <c r="C2070" s="245"/>
      <c r="D2070" s="245"/>
      <c r="E2070" s="245"/>
      <c r="F2070" s="319"/>
      <c r="G2070" s="245"/>
      <c r="H2070" s="245"/>
      <c r="I2070" s="245"/>
      <c r="L2070" s="123"/>
      <c r="P2070" s="366"/>
      <c r="R2070" s="355"/>
      <c r="S2070" s="369"/>
      <c r="T2070" s="328"/>
      <c r="U2070" s="394" ph="1"/>
      <c r="W2070" s="216"/>
      <c r="X2070" s="245"/>
      <c r="Y2070" s="187"/>
      <c r="Z2070" s="245"/>
      <c r="AA2070" s="245"/>
      <c r="AB2070" s="332"/>
      <c r="AD2070" s="245"/>
      <c r="AE2070" s="245"/>
      <c r="AF2070" s="245"/>
      <c r="AG2070" s="245"/>
    </row>
    <row r="2071" spans="1:33" ht="26.4">
      <c r="A2071" s="391"/>
      <c r="B2071" s="245"/>
      <c r="C2071" s="245"/>
      <c r="D2071" s="245"/>
      <c r="E2071" s="245"/>
      <c r="F2071" s="319"/>
      <c r="G2071" s="245"/>
      <c r="H2071" s="245"/>
      <c r="I2071" s="245"/>
      <c r="L2071" s="123"/>
      <c r="P2071" s="366"/>
      <c r="R2071" s="355"/>
      <c r="S2071" s="369"/>
      <c r="T2071" s="328"/>
      <c r="U2071" s="394" ph="1"/>
      <c r="W2071" s="216"/>
      <c r="X2071" s="245"/>
      <c r="Y2071" s="187"/>
      <c r="Z2071" s="245"/>
      <c r="AA2071" s="245"/>
      <c r="AB2071" s="332"/>
      <c r="AD2071" s="245"/>
      <c r="AE2071" s="245"/>
      <c r="AF2071" s="245"/>
      <c r="AG2071" s="245"/>
    </row>
    <row r="2072" spans="1:33" ht="26.4">
      <c r="A2072" s="391"/>
      <c r="B2072" s="245"/>
      <c r="C2072" s="245"/>
      <c r="D2072" s="245"/>
      <c r="E2072" s="245"/>
      <c r="F2072" s="319"/>
      <c r="G2072" s="245"/>
      <c r="H2072" s="245"/>
      <c r="I2072" s="245"/>
      <c r="L2072" s="123"/>
      <c r="P2072" s="366"/>
      <c r="R2072" s="355"/>
      <c r="S2072" s="369"/>
      <c r="T2072" s="328"/>
      <c r="U2072" s="394" ph="1"/>
      <c r="W2072" s="216"/>
      <c r="X2072" s="245"/>
      <c r="Y2072" s="187"/>
      <c r="Z2072" s="245"/>
      <c r="AA2072" s="245"/>
      <c r="AB2072" s="332"/>
      <c r="AD2072" s="245"/>
      <c r="AE2072" s="245"/>
      <c r="AF2072" s="245"/>
      <c r="AG2072" s="245"/>
    </row>
    <row r="2073" spans="1:33" ht="26.4">
      <c r="A2073" s="391"/>
      <c r="B2073" s="245"/>
      <c r="C2073" s="245"/>
      <c r="D2073" s="245"/>
      <c r="E2073" s="245"/>
      <c r="F2073" s="319"/>
      <c r="G2073" s="245"/>
      <c r="H2073" s="245"/>
      <c r="I2073" s="245"/>
      <c r="L2073" s="123"/>
      <c r="P2073" s="366"/>
      <c r="R2073" s="355"/>
      <c r="S2073" s="369"/>
      <c r="T2073" s="328"/>
      <c r="U2073" s="394" ph="1"/>
      <c r="W2073" s="216"/>
      <c r="X2073" s="245"/>
      <c r="Y2073" s="187"/>
      <c r="Z2073" s="245"/>
      <c r="AA2073" s="245"/>
      <c r="AB2073" s="332"/>
      <c r="AD2073" s="245"/>
      <c r="AE2073" s="245"/>
      <c r="AF2073" s="245"/>
      <c r="AG2073" s="245"/>
    </row>
    <row r="2074" spans="1:33" ht="26.4">
      <c r="A2074" s="391"/>
      <c r="B2074" s="245"/>
      <c r="C2074" s="245"/>
      <c r="D2074" s="245"/>
      <c r="E2074" s="245"/>
      <c r="F2074" s="319"/>
      <c r="G2074" s="245"/>
      <c r="H2074" s="245"/>
      <c r="I2074" s="245"/>
      <c r="L2074" s="123"/>
      <c r="P2074" s="366"/>
      <c r="R2074" s="355"/>
      <c r="S2074" s="369"/>
      <c r="T2074" s="328"/>
      <c r="U2074" s="394" ph="1"/>
      <c r="W2074" s="216"/>
      <c r="X2074" s="245"/>
      <c r="Y2074" s="187"/>
      <c r="Z2074" s="245"/>
      <c r="AA2074" s="245"/>
      <c r="AB2074" s="332"/>
      <c r="AD2074" s="245"/>
      <c r="AE2074" s="245"/>
      <c r="AF2074" s="245"/>
      <c r="AG2074" s="245"/>
    </row>
    <row r="2075" spans="1:33" ht="26.4">
      <c r="A2075" s="391"/>
      <c r="B2075" s="245"/>
      <c r="C2075" s="245"/>
      <c r="D2075" s="245"/>
      <c r="E2075" s="245"/>
      <c r="F2075" s="319"/>
      <c r="G2075" s="245"/>
      <c r="H2075" s="245"/>
      <c r="I2075" s="245"/>
      <c r="L2075" s="245"/>
      <c r="P2075" s="366"/>
      <c r="R2075" s="355"/>
      <c r="S2075" s="369"/>
      <c r="T2075" s="328"/>
      <c r="U2075" s="394" ph="1"/>
      <c r="W2075" s="216"/>
      <c r="X2075" s="245"/>
      <c r="Y2075" s="187"/>
      <c r="Z2075" s="245"/>
      <c r="AA2075" s="245"/>
      <c r="AB2075" s="332"/>
      <c r="AD2075" s="245"/>
      <c r="AE2075" s="245"/>
      <c r="AF2075" s="245"/>
      <c r="AG2075" s="245"/>
    </row>
    <row r="2076" spans="1:33" ht="26.4">
      <c r="A2076" s="391"/>
      <c r="B2076" s="245"/>
      <c r="C2076" s="245"/>
      <c r="D2076" s="245"/>
      <c r="E2076" s="245"/>
      <c r="F2076" s="319"/>
      <c r="G2076" s="245"/>
      <c r="H2076" s="245"/>
      <c r="I2076" s="245"/>
      <c r="L2076" s="123"/>
      <c r="P2076" s="366"/>
      <c r="R2076" s="355"/>
      <c r="S2076" s="369"/>
      <c r="T2076" s="328"/>
      <c r="U2076" s="394" ph="1"/>
      <c r="W2076" s="216"/>
      <c r="X2076" s="245"/>
      <c r="Y2076" s="187"/>
      <c r="Z2076" s="245"/>
      <c r="AA2076" s="245"/>
      <c r="AB2076" s="332"/>
      <c r="AD2076" s="245"/>
      <c r="AE2076" s="245"/>
      <c r="AF2076" s="245"/>
      <c r="AG2076" s="245"/>
    </row>
    <row r="2077" spans="1:33" ht="26.4">
      <c r="A2077" s="391"/>
      <c r="B2077" s="245"/>
      <c r="C2077" s="245"/>
      <c r="D2077" s="245"/>
      <c r="E2077" s="245"/>
      <c r="F2077" s="319"/>
      <c r="G2077" s="245"/>
      <c r="H2077" s="245"/>
      <c r="I2077" s="245"/>
      <c r="L2077" s="123"/>
      <c r="P2077" s="366"/>
      <c r="R2077" s="355"/>
      <c r="S2077" s="369"/>
      <c r="T2077" s="328"/>
      <c r="U2077" s="394" ph="1"/>
      <c r="W2077" s="216"/>
      <c r="X2077" s="245"/>
      <c r="Y2077" s="187"/>
      <c r="Z2077" s="245"/>
      <c r="AA2077" s="245"/>
      <c r="AB2077" s="332"/>
      <c r="AD2077" s="245"/>
      <c r="AE2077" s="245"/>
      <c r="AF2077" s="245"/>
      <c r="AG2077" s="245"/>
    </row>
    <row r="2078" spans="1:33" ht="26.4">
      <c r="A2078" s="391"/>
      <c r="B2078" s="245"/>
      <c r="C2078" s="245"/>
      <c r="D2078" s="245"/>
      <c r="E2078" s="245"/>
      <c r="F2078" s="319"/>
      <c r="G2078" s="245"/>
      <c r="H2078" s="245"/>
      <c r="I2078" s="245"/>
      <c r="L2078" s="123"/>
      <c r="P2078" s="366"/>
      <c r="R2078" s="355"/>
      <c r="S2078" s="369"/>
      <c r="T2078" s="328"/>
      <c r="U2078" s="394" ph="1"/>
      <c r="W2078" s="216"/>
      <c r="X2078" s="245"/>
      <c r="Y2078" s="187"/>
      <c r="Z2078" s="245"/>
      <c r="AA2078" s="245"/>
      <c r="AB2078" s="332"/>
      <c r="AD2078" s="245"/>
      <c r="AE2078" s="245"/>
      <c r="AF2078" s="245"/>
      <c r="AG2078" s="245"/>
    </row>
    <row r="2079" spans="1:33" ht="26.4">
      <c r="A2079" s="391"/>
      <c r="B2079" s="245"/>
      <c r="C2079" s="245"/>
      <c r="D2079" s="245"/>
      <c r="E2079" s="245"/>
      <c r="F2079" s="319"/>
      <c r="G2079" s="245"/>
      <c r="H2079" s="245"/>
      <c r="I2079" s="245"/>
      <c r="L2079" s="123"/>
      <c r="P2079" s="366"/>
      <c r="R2079" s="355"/>
      <c r="S2079" s="369"/>
      <c r="T2079" s="328"/>
      <c r="U2079" s="394" ph="1"/>
      <c r="W2079" s="216"/>
      <c r="X2079" s="245"/>
      <c r="Y2079" s="187"/>
      <c r="Z2079" s="245"/>
      <c r="AA2079" s="245"/>
      <c r="AB2079" s="332"/>
      <c r="AD2079" s="245"/>
      <c r="AE2079" s="245"/>
      <c r="AF2079" s="245"/>
      <c r="AG2079" s="245"/>
    </row>
    <row r="2080" spans="1:33" ht="26.4">
      <c r="A2080" s="391"/>
      <c r="B2080" s="245"/>
      <c r="C2080" s="245"/>
      <c r="D2080" s="245"/>
      <c r="E2080" s="245"/>
      <c r="F2080" s="319"/>
      <c r="G2080" s="245"/>
      <c r="H2080" s="245"/>
      <c r="I2080" s="245"/>
      <c r="L2080" s="245"/>
      <c r="P2080" s="366"/>
      <c r="R2080" s="355"/>
      <c r="S2080" s="369"/>
      <c r="T2080" s="328"/>
      <c r="U2080" s="394" ph="1"/>
      <c r="W2080" s="216"/>
      <c r="X2080" s="245"/>
      <c r="Y2080" s="187"/>
      <c r="Z2080" s="245"/>
      <c r="AA2080" s="245"/>
      <c r="AB2080" s="332"/>
      <c r="AD2080" s="245"/>
      <c r="AE2080" s="245"/>
      <c r="AF2080" s="245"/>
      <c r="AG2080" s="245"/>
    </row>
    <row r="2081" spans="1:33" ht="26.4">
      <c r="A2081" s="391"/>
      <c r="B2081" s="245"/>
      <c r="C2081" s="245"/>
      <c r="D2081" s="245"/>
      <c r="E2081" s="245"/>
      <c r="F2081" s="319"/>
      <c r="G2081" s="245"/>
      <c r="H2081" s="245"/>
      <c r="I2081" s="245"/>
      <c r="L2081" s="123"/>
      <c r="P2081" s="366"/>
      <c r="R2081" s="355"/>
      <c r="S2081" s="369"/>
      <c r="T2081" s="328"/>
      <c r="U2081" s="394" ph="1"/>
      <c r="W2081" s="216"/>
      <c r="X2081" s="245"/>
      <c r="Y2081" s="187"/>
      <c r="Z2081" s="245"/>
      <c r="AA2081" s="245"/>
      <c r="AB2081" s="332"/>
      <c r="AD2081" s="245"/>
      <c r="AE2081" s="245"/>
      <c r="AF2081" s="245"/>
      <c r="AG2081" s="245"/>
    </row>
    <row r="2082" spans="1:33" ht="26.4">
      <c r="A2082" s="391"/>
      <c r="B2082" s="245"/>
      <c r="C2082" s="245"/>
      <c r="D2082" s="245"/>
      <c r="E2082" s="245"/>
      <c r="F2082" s="319"/>
      <c r="G2082" s="245"/>
      <c r="H2082" s="245"/>
      <c r="I2082" s="245"/>
      <c r="L2082" s="123"/>
      <c r="P2082" s="366"/>
      <c r="R2082" s="355"/>
      <c r="S2082" s="369"/>
      <c r="T2082" s="328"/>
      <c r="U2082" s="394" ph="1"/>
      <c r="W2082" s="216"/>
      <c r="X2082" s="245"/>
      <c r="Y2082" s="187"/>
      <c r="Z2082" s="245"/>
      <c r="AA2082" s="245"/>
      <c r="AB2082" s="332"/>
      <c r="AD2082" s="245"/>
      <c r="AE2082" s="245"/>
      <c r="AF2082" s="245"/>
      <c r="AG2082" s="245"/>
    </row>
    <row r="2083" spans="1:33" ht="26.4">
      <c r="A2083" s="391"/>
      <c r="B2083" s="245"/>
      <c r="C2083" s="245"/>
      <c r="D2083" s="245"/>
      <c r="E2083" s="245"/>
      <c r="F2083" s="319"/>
      <c r="G2083" s="245"/>
      <c r="H2083" s="245"/>
      <c r="I2083" s="245"/>
      <c r="L2083" s="123"/>
      <c r="P2083" s="366"/>
      <c r="R2083" s="355"/>
      <c r="S2083" s="369"/>
      <c r="T2083" s="328"/>
      <c r="U2083" s="394" ph="1"/>
      <c r="W2083" s="216"/>
      <c r="X2083" s="245"/>
      <c r="Y2083" s="187"/>
      <c r="Z2083" s="245"/>
      <c r="AA2083" s="245"/>
      <c r="AB2083" s="332"/>
      <c r="AD2083" s="245"/>
      <c r="AE2083" s="245"/>
      <c r="AF2083" s="245"/>
      <c r="AG2083" s="245"/>
    </row>
    <row r="2084" spans="1:33" ht="26.4">
      <c r="A2084" s="391"/>
      <c r="B2084" s="245"/>
      <c r="C2084" s="245"/>
      <c r="D2084" s="245"/>
      <c r="E2084" s="245"/>
      <c r="F2084" s="319"/>
      <c r="G2084" s="245"/>
      <c r="H2084" s="245"/>
      <c r="I2084" s="245"/>
      <c r="L2084" s="123"/>
      <c r="P2084" s="366"/>
      <c r="R2084" s="355"/>
      <c r="S2084" s="369"/>
      <c r="T2084" s="328"/>
      <c r="U2084" s="394" ph="1"/>
      <c r="W2084" s="216"/>
      <c r="X2084" s="245"/>
      <c r="Y2084" s="187"/>
      <c r="Z2084" s="245"/>
      <c r="AA2084" s="245"/>
      <c r="AB2084" s="332"/>
      <c r="AD2084" s="245"/>
      <c r="AE2084" s="245"/>
      <c r="AF2084" s="245"/>
      <c r="AG2084" s="245"/>
    </row>
    <row r="2085" spans="1:33" ht="26.4">
      <c r="A2085" s="391"/>
      <c r="B2085" s="245"/>
      <c r="C2085" s="245"/>
      <c r="D2085" s="245"/>
      <c r="E2085" s="245"/>
      <c r="F2085" s="319"/>
      <c r="G2085" s="245"/>
      <c r="H2085" s="245"/>
      <c r="I2085" s="245"/>
      <c r="L2085" s="123"/>
      <c r="P2085" s="366"/>
      <c r="R2085" s="355"/>
      <c r="S2085" s="369"/>
      <c r="T2085" s="328"/>
      <c r="U2085" s="394" ph="1"/>
      <c r="W2085" s="216"/>
      <c r="X2085" s="245"/>
      <c r="Y2085" s="187"/>
      <c r="Z2085" s="245"/>
      <c r="AA2085" s="245"/>
      <c r="AB2085" s="332"/>
      <c r="AD2085" s="245"/>
      <c r="AE2085" s="245"/>
      <c r="AF2085" s="245"/>
      <c r="AG2085" s="245"/>
    </row>
    <row r="2086" spans="1:33" ht="26.4">
      <c r="A2086" s="391"/>
      <c r="B2086" s="245"/>
      <c r="C2086" s="245"/>
      <c r="D2086" s="245"/>
      <c r="E2086" s="245"/>
      <c r="F2086" s="319"/>
      <c r="G2086" s="245"/>
      <c r="H2086" s="245"/>
      <c r="I2086" s="245"/>
      <c r="L2086" s="123"/>
      <c r="P2086" s="366"/>
      <c r="R2086" s="355"/>
      <c r="S2086" s="369"/>
      <c r="T2086" s="328"/>
      <c r="U2086" s="394" ph="1"/>
      <c r="W2086" s="216"/>
      <c r="X2086" s="245"/>
      <c r="Y2086" s="187"/>
      <c r="Z2086" s="245"/>
      <c r="AA2086" s="245"/>
      <c r="AB2086" s="332"/>
      <c r="AD2086" s="245"/>
      <c r="AE2086" s="245"/>
      <c r="AF2086" s="245"/>
      <c r="AG2086" s="245"/>
    </row>
    <row r="2087" spans="1:33" ht="26.4">
      <c r="A2087" s="391"/>
      <c r="B2087" s="245"/>
      <c r="C2087" s="245"/>
      <c r="D2087" s="245"/>
      <c r="E2087" s="245"/>
      <c r="F2087" s="319"/>
      <c r="G2087" s="245"/>
      <c r="H2087" s="245"/>
      <c r="I2087" s="245"/>
      <c r="L2087" s="123"/>
      <c r="P2087" s="366"/>
      <c r="R2087" s="355"/>
      <c r="S2087" s="369"/>
      <c r="T2087" s="328"/>
      <c r="U2087" s="394" ph="1"/>
      <c r="W2087" s="216"/>
      <c r="X2087" s="245"/>
      <c r="Y2087" s="187"/>
      <c r="Z2087" s="245"/>
      <c r="AA2087" s="245"/>
      <c r="AB2087" s="332"/>
      <c r="AD2087" s="245"/>
      <c r="AE2087" s="245"/>
      <c r="AF2087" s="245"/>
      <c r="AG2087" s="245"/>
    </row>
    <row r="2088" spans="1:33" ht="26.4">
      <c r="A2088" s="391"/>
      <c r="B2088" s="245"/>
      <c r="C2088" s="245"/>
      <c r="D2088" s="245"/>
      <c r="E2088" s="245"/>
      <c r="F2088" s="319"/>
      <c r="G2088" s="245"/>
      <c r="H2088" s="245"/>
      <c r="I2088" s="245"/>
      <c r="L2088" s="123"/>
      <c r="P2088" s="366"/>
      <c r="R2088" s="355"/>
      <c r="S2088" s="369"/>
      <c r="T2088" s="328"/>
      <c r="U2088" s="394" ph="1"/>
      <c r="W2088" s="216"/>
      <c r="X2088" s="245"/>
      <c r="Y2088" s="187"/>
      <c r="Z2088" s="245"/>
      <c r="AA2088" s="245"/>
      <c r="AB2088" s="332"/>
      <c r="AD2088" s="245"/>
      <c r="AE2088" s="245"/>
      <c r="AF2088" s="245"/>
      <c r="AG2088" s="245"/>
    </row>
    <row r="2089" spans="1:33" ht="26.4">
      <c r="A2089" s="391"/>
      <c r="B2089" s="245"/>
      <c r="C2089" s="245"/>
      <c r="D2089" s="245"/>
      <c r="E2089" s="245"/>
      <c r="F2089" s="319"/>
      <c r="G2089" s="245"/>
      <c r="H2089" s="245"/>
      <c r="I2089" s="245"/>
      <c r="L2089" s="123"/>
      <c r="P2089" s="366"/>
      <c r="R2089" s="355"/>
      <c r="S2089" s="369"/>
      <c r="T2089" s="328"/>
      <c r="U2089" s="394" ph="1"/>
      <c r="W2089" s="216"/>
      <c r="X2089" s="245"/>
      <c r="Y2089" s="187"/>
      <c r="Z2089" s="245"/>
      <c r="AA2089" s="245"/>
      <c r="AB2089" s="332"/>
      <c r="AD2089" s="245"/>
      <c r="AE2089" s="245"/>
      <c r="AF2089" s="245"/>
      <c r="AG2089" s="245"/>
    </row>
    <row r="2090" spans="1:33" ht="26.4">
      <c r="A2090" s="391"/>
      <c r="B2090" s="245"/>
      <c r="C2090" s="245"/>
      <c r="D2090" s="245"/>
      <c r="E2090" s="245"/>
      <c r="F2090" s="319"/>
      <c r="G2090" s="245"/>
      <c r="H2090" s="245"/>
      <c r="I2090" s="245"/>
      <c r="L2090" s="123"/>
      <c r="P2090" s="366"/>
      <c r="R2090" s="355"/>
      <c r="S2090" s="369"/>
      <c r="T2090" s="328"/>
      <c r="U2090" s="394" ph="1"/>
      <c r="W2090" s="216"/>
      <c r="X2090" s="245"/>
      <c r="Y2090" s="187"/>
      <c r="Z2090" s="245"/>
      <c r="AA2090" s="245"/>
      <c r="AB2090" s="332"/>
      <c r="AD2090" s="245"/>
      <c r="AE2090" s="245"/>
      <c r="AF2090" s="245"/>
      <c r="AG2090" s="245"/>
    </row>
    <row r="2091" spans="1:33" ht="26.4">
      <c r="A2091" s="391"/>
      <c r="B2091" s="245"/>
      <c r="C2091" s="245"/>
      <c r="D2091" s="245"/>
      <c r="E2091" s="245"/>
      <c r="F2091" s="319"/>
      <c r="G2091" s="245"/>
      <c r="H2091" s="245"/>
      <c r="I2091" s="245"/>
      <c r="L2091" s="123"/>
      <c r="P2091" s="366"/>
      <c r="R2091" s="355"/>
      <c r="S2091" s="369"/>
      <c r="T2091" s="328"/>
      <c r="U2091" s="394" ph="1"/>
      <c r="W2091" s="216"/>
      <c r="X2091" s="245"/>
      <c r="Y2091" s="187"/>
      <c r="Z2091" s="245"/>
      <c r="AA2091" s="245"/>
      <c r="AB2091" s="332"/>
      <c r="AD2091" s="245"/>
      <c r="AE2091" s="245"/>
      <c r="AF2091" s="245"/>
      <c r="AG2091" s="245"/>
    </row>
    <row r="2092" spans="1:33" ht="26.4">
      <c r="A2092" s="391"/>
      <c r="B2092" s="245"/>
      <c r="C2092" s="245"/>
      <c r="D2092" s="245"/>
      <c r="E2092" s="245"/>
      <c r="F2092" s="319"/>
      <c r="G2092" s="245"/>
      <c r="H2092" s="245"/>
      <c r="I2092" s="245"/>
      <c r="L2092" s="245"/>
      <c r="P2092" s="366"/>
      <c r="R2092" s="355"/>
      <c r="S2092" s="369"/>
      <c r="T2092" s="328"/>
      <c r="U2092" s="394" ph="1"/>
      <c r="W2092" s="216"/>
      <c r="X2092" s="245"/>
      <c r="Y2092" s="187"/>
      <c r="Z2092" s="245"/>
      <c r="AA2092" s="245"/>
      <c r="AB2092" s="332"/>
      <c r="AD2092" s="245"/>
      <c r="AE2092" s="245"/>
      <c r="AF2092" s="245"/>
      <c r="AG2092" s="245"/>
    </row>
    <row r="2093" spans="1:33" ht="26.4">
      <c r="A2093" s="391"/>
      <c r="B2093" s="245"/>
      <c r="C2093" s="245"/>
      <c r="D2093" s="245"/>
      <c r="E2093" s="245"/>
      <c r="F2093" s="319"/>
      <c r="G2093" s="245"/>
      <c r="H2093" s="245"/>
      <c r="I2093" s="245"/>
      <c r="L2093" s="245"/>
      <c r="P2093" s="366"/>
      <c r="R2093" s="355"/>
      <c r="S2093" s="369"/>
      <c r="T2093" s="328"/>
      <c r="U2093" s="394" ph="1"/>
      <c r="W2093" s="216"/>
      <c r="X2093" s="245"/>
      <c r="Y2093" s="187"/>
      <c r="Z2093" s="245"/>
      <c r="AA2093" s="245"/>
      <c r="AB2093" s="332"/>
      <c r="AD2093" s="245"/>
      <c r="AE2093" s="245"/>
      <c r="AF2093" s="245"/>
      <c r="AG2093" s="245"/>
    </row>
    <row r="2094" spans="1:33" ht="26.4">
      <c r="A2094" s="391"/>
      <c r="B2094" s="245"/>
      <c r="C2094" s="245"/>
      <c r="D2094" s="245"/>
      <c r="E2094" s="245"/>
      <c r="F2094" s="319"/>
      <c r="G2094" s="245"/>
      <c r="H2094" s="245"/>
      <c r="I2094" s="245"/>
      <c r="L2094" s="245"/>
      <c r="P2094" s="366"/>
      <c r="R2094" s="355"/>
      <c r="S2094" s="369"/>
      <c r="T2094" s="328"/>
      <c r="U2094" s="394" ph="1"/>
      <c r="W2094" s="216"/>
      <c r="X2094" s="245"/>
      <c r="Y2094" s="187"/>
      <c r="Z2094" s="245"/>
      <c r="AA2094" s="245"/>
      <c r="AB2094" s="332"/>
      <c r="AD2094" s="245"/>
      <c r="AE2094" s="245"/>
      <c r="AF2094" s="245"/>
      <c r="AG2094" s="245"/>
    </row>
    <row r="2095" spans="1:33" ht="26.4">
      <c r="A2095" s="391"/>
      <c r="B2095" s="245"/>
      <c r="C2095" s="245"/>
      <c r="D2095" s="245"/>
      <c r="E2095" s="245"/>
      <c r="F2095" s="319"/>
      <c r="G2095" s="245"/>
      <c r="H2095" s="245"/>
      <c r="I2095" s="245"/>
      <c r="L2095" s="245"/>
      <c r="P2095" s="366"/>
      <c r="R2095" s="355"/>
      <c r="S2095" s="369"/>
      <c r="T2095" s="328"/>
      <c r="U2095" s="394" ph="1"/>
      <c r="W2095" s="216"/>
      <c r="X2095" s="245"/>
      <c r="Y2095" s="187"/>
      <c r="Z2095" s="245"/>
      <c r="AA2095" s="245"/>
      <c r="AB2095" s="332"/>
      <c r="AD2095" s="245"/>
      <c r="AE2095" s="245"/>
      <c r="AF2095" s="245"/>
      <c r="AG2095" s="245"/>
    </row>
    <row r="2096" spans="1:33" ht="26.4">
      <c r="A2096" s="391"/>
      <c r="B2096" s="245"/>
      <c r="C2096" s="245"/>
      <c r="D2096" s="245"/>
      <c r="E2096" s="245"/>
      <c r="F2096" s="319"/>
      <c r="G2096" s="245"/>
      <c r="H2096" s="245"/>
      <c r="I2096" s="245"/>
      <c r="L2096" s="245"/>
      <c r="P2096" s="366"/>
      <c r="R2096" s="355"/>
      <c r="S2096" s="369"/>
      <c r="T2096" s="328"/>
      <c r="U2096" s="394" ph="1"/>
      <c r="W2096" s="216"/>
      <c r="X2096" s="245"/>
      <c r="Y2096" s="187"/>
      <c r="Z2096" s="245"/>
      <c r="AA2096" s="245"/>
      <c r="AB2096" s="332"/>
      <c r="AD2096" s="245"/>
      <c r="AE2096" s="245"/>
      <c r="AF2096" s="245"/>
      <c r="AG2096" s="245"/>
    </row>
    <row r="2097" spans="1:33" ht="26.4">
      <c r="A2097" s="391"/>
      <c r="B2097" s="245"/>
      <c r="C2097" s="245"/>
      <c r="D2097" s="245"/>
      <c r="E2097" s="245"/>
      <c r="F2097" s="319"/>
      <c r="G2097" s="245"/>
      <c r="H2097" s="245"/>
      <c r="I2097" s="245"/>
      <c r="L2097" s="245"/>
      <c r="P2097" s="366"/>
      <c r="R2097" s="355"/>
      <c r="S2097" s="369"/>
      <c r="T2097" s="328"/>
      <c r="U2097" s="394" ph="1"/>
      <c r="W2097" s="216"/>
      <c r="X2097" s="245"/>
      <c r="Y2097" s="187"/>
      <c r="Z2097" s="245"/>
      <c r="AA2097" s="245"/>
      <c r="AB2097" s="332"/>
      <c r="AD2097" s="245"/>
      <c r="AE2097" s="245"/>
      <c r="AF2097" s="245"/>
      <c r="AG2097" s="245"/>
    </row>
    <row r="2098" spans="1:33" ht="26.4">
      <c r="A2098" s="391"/>
      <c r="B2098" s="245"/>
      <c r="C2098" s="245"/>
      <c r="D2098" s="245"/>
      <c r="E2098" s="245"/>
      <c r="F2098" s="319"/>
      <c r="G2098" s="245"/>
      <c r="H2098" s="245"/>
      <c r="I2098" s="245"/>
      <c r="L2098" s="245"/>
      <c r="P2098" s="366"/>
      <c r="R2098" s="355"/>
      <c r="S2098" s="369"/>
      <c r="T2098" s="328"/>
      <c r="U2098" s="394" ph="1"/>
      <c r="W2098" s="216"/>
      <c r="X2098" s="245"/>
      <c r="Y2098" s="187"/>
      <c r="Z2098" s="245"/>
      <c r="AA2098" s="245"/>
      <c r="AB2098" s="332"/>
      <c r="AD2098" s="245"/>
      <c r="AE2098" s="245"/>
      <c r="AF2098" s="245"/>
      <c r="AG2098" s="245"/>
    </row>
    <row r="2099" spans="1:33" ht="26.4">
      <c r="A2099" s="391"/>
      <c r="B2099" s="245"/>
      <c r="C2099" s="245"/>
      <c r="D2099" s="245"/>
      <c r="E2099" s="245"/>
      <c r="F2099" s="319"/>
      <c r="G2099" s="245"/>
      <c r="H2099" s="245"/>
      <c r="I2099" s="245"/>
      <c r="L2099" s="245"/>
      <c r="P2099" s="366"/>
      <c r="R2099" s="355"/>
      <c r="S2099" s="369"/>
      <c r="T2099" s="328"/>
      <c r="U2099" s="394" ph="1"/>
      <c r="W2099" s="216"/>
      <c r="X2099" s="245"/>
      <c r="Y2099" s="187"/>
      <c r="Z2099" s="245"/>
      <c r="AA2099" s="245"/>
      <c r="AB2099" s="332"/>
      <c r="AD2099" s="245"/>
      <c r="AE2099" s="245"/>
      <c r="AF2099" s="245"/>
      <c r="AG2099" s="245"/>
    </row>
    <row r="2100" spans="1:33" ht="26.4">
      <c r="A2100" s="391"/>
      <c r="B2100" s="245"/>
      <c r="C2100" s="245"/>
      <c r="D2100" s="245"/>
      <c r="E2100" s="245"/>
      <c r="F2100" s="319"/>
      <c r="G2100" s="245"/>
      <c r="H2100" s="245"/>
      <c r="I2100" s="245"/>
      <c r="L2100" s="245"/>
      <c r="P2100" s="366"/>
      <c r="R2100" s="355"/>
      <c r="S2100" s="369"/>
      <c r="T2100" s="328"/>
      <c r="U2100" s="394" ph="1"/>
      <c r="W2100" s="216"/>
      <c r="X2100" s="245"/>
      <c r="Y2100" s="187"/>
      <c r="Z2100" s="245"/>
      <c r="AA2100" s="245"/>
      <c r="AB2100" s="332"/>
      <c r="AD2100" s="245"/>
      <c r="AE2100" s="245"/>
      <c r="AF2100" s="245"/>
      <c r="AG2100" s="245"/>
    </row>
    <row r="2101" spans="1:33" ht="26.4">
      <c r="A2101" s="391"/>
      <c r="B2101" s="245"/>
      <c r="C2101" s="245"/>
      <c r="D2101" s="245"/>
      <c r="E2101" s="245"/>
      <c r="F2101" s="319"/>
      <c r="G2101" s="245"/>
      <c r="H2101" s="245"/>
      <c r="I2101" s="245"/>
      <c r="L2101" s="123"/>
      <c r="P2101" s="366"/>
      <c r="R2101" s="355"/>
      <c r="S2101" s="369"/>
      <c r="T2101" s="328"/>
      <c r="U2101" s="394" ph="1"/>
      <c r="W2101" s="216"/>
      <c r="X2101" s="245"/>
      <c r="Y2101" s="187"/>
      <c r="Z2101" s="245"/>
      <c r="AA2101" s="245"/>
      <c r="AB2101" s="332"/>
      <c r="AD2101" s="245"/>
      <c r="AE2101" s="245"/>
      <c r="AF2101" s="245"/>
      <c r="AG2101" s="245"/>
    </row>
    <row r="2102" spans="1:33" ht="26.4">
      <c r="A2102" s="391"/>
      <c r="B2102" s="245"/>
      <c r="C2102" s="245"/>
      <c r="D2102" s="245"/>
      <c r="E2102" s="245"/>
      <c r="F2102" s="319"/>
      <c r="G2102" s="245"/>
      <c r="H2102" s="245"/>
      <c r="I2102" s="245"/>
      <c r="L2102" s="245"/>
      <c r="P2102" s="366"/>
      <c r="R2102" s="355"/>
      <c r="S2102" s="369"/>
      <c r="T2102" s="328"/>
      <c r="U2102" s="394" ph="1"/>
      <c r="W2102" s="216"/>
      <c r="X2102" s="245"/>
      <c r="Y2102" s="187"/>
      <c r="Z2102" s="245"/>
      <c r="AA2102" s="245"/>
      <c r="AB2102" s="332"/>
      <c r="AD2102" s="245"/>
      <c r="AE2102" s="245"/>
      <c r="AF2102" s="245"/>
      <c r="AG2102" s="245"/>
    </row>
    <row r="2103" spans="1:33" ht="26.4">
      <c r="A2103" s="391"/>
      <c r="B2103" s="245"/>
      <c r="C2103" s="245"/>
      <c r="D2103" s="245"/>
      <c r="E2103" s="245"/>
      <c r="F2103" s="319"/>
      <c r="G2103" s="245"/>
      <c r="H2103" s="245"/>
      <c r="I2103" s="245"/>
      <c r="L2103" s="245"/>
      <c r="P2103" s="366"/>
      <c r="R2103" s="355"/>
      <c r="S2103" s="369"/>
      <c r="T2103" s="328"/>
      <c r="U2103" s="394" ph="1"/>
      <c r="W2103" s="216"/>
      <c r="X2103" s="245"/>
      <c r="Y2103" s="187"/>
      <c r="Z2103" s="245"/>
      <c r="AA2103" s="245"/>
      <c r="AB2103" s="332"/>
      <c r="AD2103" s="245"/>
      <c r="AE2103" s="245"/>
      <c r="AF2103" s="245"/>
      <c r="AG2103" s="245"/>
    </row>
    <row r="2104" spans="1:33" ht="26.4">
      <c r="A2104" s="391"/>
      <c r="B2104" s="245"/>
      <c r="C2104" s="245"/>
      <c r="D2104" s="245"/>
      <c r="E2104" s="245"/>
      <c r="F2104" s="319"/>
      <c r="G2104" s="245"/>
      <c r="H2104" s="245"/>
      <c r="I2104" s="245"/>
      <c r="L2104" s="245"/>
      <c r="P2104" s="366"/>
      <c r="R2104" s="355"/>
      <c r="S2104" s="369"/>
      <c r="T2104" s="328"/>
      <c r="U2104" s="394" ph="1"/>
      <c r="W2104" s="216"/>
      <c r="X2104" s="245"/>
      <c r="Y2104" s="187"/>
      <c r="Z2104" s="245"/>
      <c r="AA2104" s="245"/>
      <c r="AB2104" s="332"/>
      <c r="AD2104" s="245"/>
      <c r="AE2104" s="245"/>
      <c r="AF2104" s="245"/>
      <c r="AG2104" s="245"/>
    </row>
    <row r="2105" spans="1:33" ht="26.4">
      <c r="A2105" s="391"/>
      <c r="B2105" s="245"/>
      <c r="C2105" s="245"/>
      <c r="D2105" s="245"/>
      <c r="E2105" s="245"/>
      <c r="F2105" s="319"/>
      <c r="G2105" s="245"/>
      <c r="H2105" s="245"/>
      <c r="I2105" s="245"/>
      <c r="L2105" s="123"/>
      <c r="P2105" s="366"/>
      <c r="R2105" s="355"/>
      <c r="S2105" s="369"/>
      <c r="T2105" s="328"/>
      <c r="U2105" s="394" ph="1"/>
      <c r="W2105" s="216"/>
      <c r="X2105" s="245"/>
      <c r="Y2105" s="187"/>
      <c r="Z2105" s="245"/>
      <c r="AA2105" s="245"/>
      <c r="AB2105" s="332"/>
      <c r="AD2105" s="245"/>
      <c r="AE2105" s="245"/>
      <c r="AF2105" s="245"/>
      <c r="AG2105" s="245"/>
    </row>
    <row r="2106" spans="1:33" ht="26.4">
      <c r="A2106" s="391"/>
      <c r="B2106" s="245"/>
      <c r="C2106" s="245"/>
      <c r="D2106" s="245"/>
      <c r="E2106" s="245"/>
      <c r="F2106" s="319"/>
      <c r="G2106" s="245"/>
      <c r="H2106" s="245"/>
      <c r="I2106" s="245"/>
      <c r="L2106" s="245"/>
      <c r="P2106" s="366"/>
      <c r="R2106" s="355"/>
      <c r="S2106" s="369"/>
      <c r="T2106" s="328"/>
      <c r="U2106" s="394" ph="1"/>
      <c r="W2106" s="216"/>
      <c r="X2106" s="245"/>
      <c r="Y2106" s="187"/>
      <c r="Z2106" s="245"/>
      <c r="AA2106" s="245"/>
      <c r="AB2106" s="332"/>
      <c r="AD2106" s="245"/>
      <c r="AE2106" s="245"/>
      <c r="AF2106" s="245"/>
      <c r="AG2106" s="245"/>
    </row>
    <row r="2107" spans="1:33" ht="26.4">
      <c r="A2107" s="391"/>
      <c r="B2107" s="245"/>
      <c r="C2107" s="245"/>
      <c r="D2107" s="245"/>
      <c r="E2107" s="245"/>
      <c r="F2107" s="319"/>
      <c r="G2107" s="245"/>
      <c r="H2107" s="245"/>
      <c r="I2107" s="245"/>
      <c r="L2107" s="245"/>
      <c r="P2107" s="366"/>
      <c r="R2107" s="355"/>
      <c r="S2107" s="369"/>
      <c r="T2107" s="328"/>
      <c r="U2107" s="394" ph="1"/>
      <c r="W2107" s="216"/>
      <c r="X2107" s="245"/>
      <c r="Y2107" s="187"/>
      <c r="Z2107" s="245"/>
      <c r="AA2107" s="245"/>
      <c r="AB2107" s="332"/>
      <c r="AD2107" s="245"/>
      <c r="AE2107" s="245"/>
      <c r="AF2107" s="245"/>
      <c r="AG2107" s="245"/>
    </row>
    <row r="2108" spans="1:33" ht="26.4">
      <c r="A2108" s="391"/>
      <c r="B2108" s="245"/>
      <c r="C2108" s="245"/>
      <c r="D2108" s="245"/>
      <c r="E2108" s="245"/>
      <c r="F2108" s="319"/>
      <c r="G2108" s="245"/>
      <c r="H2108" s="245"/>
      <c r="I2108" s="245"/>
      <c r="L2108" s="123"/>
      <c r="P2108" s="366"/>
      <c r="R2108" s="355"/>
      <c r="S2108" s="369"/>
      <c r="T2108" s="328"/>
      <c r="U2108" s="394" ph="1"/>
      <c r="W2108" s="216"/>
      <c r="X2108" s="245"/>
      <c r="Y2108" s="187"/>
      <c r="Z2108" s="245"/>
      <c r="AA2108" s="245"/>
      <c r="AB2108" s="332"/>
      <c r="AD2108" s="245"/>
      <c r="AE2108" s="245"/>
      <c r="AF2108" s="245"/>
      <c r="AG2108" s="245"/>
    </row>
    <row r="2109" spans="1:33" ht="26.4">
      <c r="A2109" s="391"/>
      <c r="B2109" s="245"/>
      <c r="C2109" s="245"/>
      <c r="D2109" s="245"/>
      <c r="E2109" s="245"/>
      <c r="F2109" s="319"/>
      <c r="G2109" s="245"/>
      <c r="H2109" s="245"/>
      <c r="I2109" s="245"/>
      <c r="L2109" s="123"/>
      <c r="P2109" s="366"/>
      <c r="R2109" s="355"/>
      <c r="S2109" s="369"/>
      <c r="T2109" s="328"/>
      <c r="U2109" s="394" ph="1"/>
      <c r="W2109" s="216"/>
      <c r="X2109" s="245"/>
      <c r="Y2109" s="187"/>
      <c r="Z2109" s="245"/>
      <c r="AA2109" s="245"/>
      <c r="AB2109" s="332"/>
      <c r="AD2109" s="245"/>
      <c r="AE2109" s="245"/>
      <c r="AF2109" s="245"/>
      <c r="AG2109" s="245"/>
    </row>
    <row r="2110" spans="1:33" ht="26.4">
      <c r="A2110" s="391"/>
      <c r="B2110" s="245"/>
      <c r="C2110" s="245"/>
      <c r="D2110" s="245"/>
      <c r="E2110" s="245"/>
      <c r="F2110" s="319"/>
      <c r="G2110" s="245"/>
      <c r="H2110" s="245"/>
      <c r="I2110" s="245"/>
      <c r="P2110" s="366"/>
      <c r="R2110" s="355"/>
      <c r="S2110" s="369"/>
      <c r="T2110" s="328"/>
      <c r="U2110" s="394" ph="1"/>
      <c r="W2110" s="216"/>
      <c r="X2110" s="245"/>
      <c r="Y2110" s="187"/>
      <c r="Z2110" s="245"/>
      <c r="AA2110" s="245"/>
      <c r="AB2110" s="332"/>
      <c r="AD2110" s="245"/>
      <c r="AE2110" s="245"/>
      <c r="AF2110" s="245"/>
      <c r="AG2110" s="245"/>
    </row>
    <row r="2111" spans="1:33" ht="26.4">
      <c r="A2111" s="391"/>
      <c r="B2111" s="245"/>
      <c r="C2111" s="245"/>
      <c r="D2111" s="245"/>
      <c r="E2111" s="245"/>
      <c r="F2111" s="319"/>
      <c r="G2111" s="245"/>
      <c r="H2111" s="245"/>
      <c r="I2111" s="245"/>
      <c r="P2111" s="366"/>
      <c r="R2111" s="355"/>
      <c r="S2111" s="369"/>
      <c r="T2111" s="328"/>
      <c r="U2111" s="394" ph="1"/>
      <c r="W2111" s="216"/>
      <c r="X2111" s="245"/>
      <c r="Y2111" s="187"/>
      <c r="Z2111" s="245"/>
      <c r="AA2111" s="245"/>
      <c r="AB2111" s="332"/>
      <c r="AD2111" s="245"/>
      <c r="AE2111" s="245"/>
      <c r="AF2111" s="245"/>
      <c r="AG2111" s="245"/>
    </row>
    <row r="2112" spans="1:33" ht="26.4">
      <c r="A2112" s="391"/>
      <c r="B2112" s="245"/>
      <c r="C2112" s="245"/>
      <c r="D2112" s="245"/>
      <c r="E2112" s="245"/>
      <c r="F2112" s="319"/>
      <c r="G2112" s="245"/>
      <c r="H2112" s="245"/>
      <c r="I2112" s="245"/>
      <c r="P2112" s="366"/>
      <c r="R2112" s="355"/>
      <c r="S2112" s="369"/>
      <c r="T2112" s="328"/>
      <c r="U2112" s="394" ph="1"/>
      <c r="W2112" s="216"/>
      <c r="X2112" s="245"/>
      <c r="Y2112" s="187"/>
      <c r="Z2112" s="245"/>
      <c r="AA2112" s="245"/>
      <c r="AB2112" s="332"/>
      <c r="AD2112" s="245"/>
      <c r="AE2112" s="245"/>
      <c r="AF2112" s="245"/>
      <c r="AG2112" s="245"/>
    </row>
    <row r="2113" spans="1:33" ht="26.4">
      <c r="A2113" s="391"/>
      <c r="B2113" s="245"/>
      <c r="C2113" s="245"/>
      <c r="D2113" s="245"/>
      <c r="E2113" s="245"/>
      <c r="F2113" s="319"/>
      <c r="G2113" s="245"/>
      <c r="H2113" s="245"/>
      <c r="I2113" s="245"/>
      <c r="P2113" s="366"/>
      <c r="R2113" s="355"/>
      <c r="S2113" s="369"/>
      <c r="T2113" s="328"/>
      <c r="U2113" s="394" ph="1"/>
      <c r="W2113" s="216"/>
      <c r="X2113" s="245"/>
      <c r="Y2113" s="187"/>
      <c r="Z2113" s="245"/>
      <c r="AA2113" s="245"/>
      <c r="AB2113" s="332"/>
      <c r="AD2113" s="245"/>
      <c r="AE2113" s="245"/>
      <c r="AF2113" s="245"/>
      <c r="AG2113" s="245"/>
    </row>
    <row r="2114" spans="1:33" ht="26.4">
      <c r="A2114" s="391"/>
      <c r="B2114" s="245"/>
      <c r="C2114" s="245"/>
      <c r="D2114" s="245"/>
      <c r="E2114" s="245"/>
      <c r="F2114" s="319"/>
      <c r="G2114" s="245"/>
      <c r="H2114" s="245"/>
      <c r="I2114" s="245"/>
      <c r="P2114" s="366"/>
      <c r="R2114" s="355"/>
      <c r="S2114" s="369"/>
      <c r="T2114" s="328"/>
      <c r="U2114" s="394" ph="1"/>
      <c r="W2114" s="216"/>
      <c r="X2114" s="245"/>
      <c r="Y2114" s="187"/>
      <c r="Z2114" s="245"/>
      <c r="AA2114" s="245"/>
      <c r="AB2114" s="332"/>
      <c r="AD2114" s="245"/>
      <c r="AE2114" s="245"/>
      <c r="AF2114" s="245"/>
      <c r="AG2114" s="245"/>
    </row>
    <row r="2115" spans="1:33" ht="26.4">
      <c r="A2115" s="391"/>
      <c r="B2115" s="245"/>
      <c r="C2115" s="245"/>
      <c r="D2115" s="245"/>
      <c r="E2115" s="245"/>
      <c r="F2115" s="319"/>
      <c r="G2115" s="245"/>
      <c r="H2115" s="245"/>
      <c r="I2115" s="245"/>
      <c r="P2115" s="366"/>
      <c r="R2115" s="355"/>
      <c r="S2115" s="369"/>
      <c r="T2115" s="328"/>
      <c r="U2115" s="394" ph="1"/>
      <c r="W2115" s="216"/>
      <c r="X2115" s="245"/>
      <c r="Y2115" s="187"/>
      <c r="Z2115" s="245"/>
      <c r="AA2115" s="245"/>
      <c r="AB2115" s="332"/>
      <c r="AD2115" s="245"/>
      <c r="AE2115" s="245"/>
      <c r="AF2115" s="245"/>
      <c r="AG2115" s="245"/>
    </row>
    <row r="2116" spans="1:33" ht="26.4">
      <c r="A2116" s="391"/>
      <c r="B2116" s="245"/>
      <c r="C2116" s="245"/>
      <c r="D2116" s="245"/>
      <c r="E2116" s="245"/>
      <c r="F2116" s="319"/>
      <c r="G2116" s="245"/>
      <c r="H2116" s="245"/>
      <c r="I2116" s="245"/>
      <c r="P2116" s="366"/>
      <c r="R2116" s="355"/>
      <c r="S2116" s="369"/>
      <c r="T2116" s="328"/>
      <c r="U2116" s="394" ph="1"/>
      <c r="W2116" s="216"/>
      <c r="X2116" s="245"/>
      <c r="Y2116" s="187"/>
      <c r="Z2116" s="245"/>
      <c r="AA2116" s="245"/>
      <c r="AB2116" s="332"/>
      <c r="AD2116" s="245"/>
      <c r="AE2116" s="245"/>
      <c r="AF2116" s="245"/>
      <c r="AG2116" s="245"/>
    </row>
    <row r="2117" spans="1:33" ht="26.4">
      <c r="A2117" s="391"/>
      <c r="B2117" s="245"/>
      <c r="C2117" s="245"/>
      <c r="D2117" s="245"/>
      <c r="E2117" s="245"/>
      <c r="F2117" s="319"/>
      <c r="G2117" s="245"/>
      <c r="H2117" s="245"/>
      <c r="I2117" s="245"/>
      <c r="P2117" s="366"/>
      <c r="R2117" s="355"/>
      <c r="S2117" s="369"/>
      <c r="T2117" s="328"/>
      <c r="U2117" s="394" ph="1"/>
      <c r="W2117" s="216"/>
      <c r="X2117" s="245"/>
      <c r="Y2117" s="187"/>
      <c r="Z2117" s="245"/>
      <c r="AA2117" s="245"/>
      <c r="AB2117" s="332"/>
      <c r="AD2117" s="245"/>
      <c r="AE2117" s="245"/>
      <c r="AF2117" s="245"/>
      <c r="AG2117" s="245"/>
    </row>
    <row r="2118" spans="1:33" ht="26.4">
      <c r="A2118" s="391"/>
      <c r="B2118" s="245"/>
      <c r="C2118" s="245"/>
      <c r="D2118" s="245"/>
      <c r="E2118" s="245"/>
      <c r="F2118" s="319"/>
      <c r="G2118" s="245"/>
      <c r="H2118" s="245"/>
      <c r="I2118" s="245"/>
      <c r="P2118" s="366"/>
      <c r="R2118" s="355"/>
      <c r="S2118" s="369"/>
      <c r="T2118" s="328"/>
      <c r="U2118" s="394" ph="1"/>
      <c r="W2118" s="216"/>
      <c r="X2118" s="245"/>
      <c r="Y2118" s="187"/>
      <c r="Z2118" s="245"/>
      <c r="AA2118" s="245"/>
      <c r="AB2118" s="332"/>
      <c r="AD2118" s="245"/>
      <c r="AE2118" s="245"/>
      <c r="AF2118" s="245"/>
      <c r="AG2118" s="245"/>
    </row>
    <row r="2119" spans="1:33" ht="26.4">
      <c r="A2119" s="391"/>
      <c r="B2119" s="245"/>
      <c r="C2119" s="245"/>
      <c r="D2119" s="245"/>
      <c r="E2119" s="245"/>
      <c r="F2119" s="319"/>
      <c r="G2119" s="245"/>
      <c r="H2119" s="245"/>
      <c r="I2119" s="245"/>
      <c r="P2119" s="366"/>
      <c r="R2119" s="355"/>
      <c r="S2119" s="369"/>
      <c r="T2119" s="328"/>
      <c r="U2119" s="394" ph="1"/>
      <c r="W2119" s="216"/>
      <c r="X2119" s="245"/>
      <c r="Y2119" s="187"/>
      <c r="Z2119" s="245"/>
      <c r="AA2119" s="245"/>
      <c r="AB2119" s="332"/>
      <c r="AD2119" s="245"/>
      <c r="AE2119" s="245"/>
      <c r="AF2119" s="245"/>
      <c r="AG2119" s="245"/>
    </row>
    <row r="2120" spans="1:33" ht="26.4">
      <c r="A2120" s="391"/>
      <c r="B2120" s="245"/>
      <c r="C2120" s="245"/>
      <c r="D2120" s="245"/>
      <c r="E2120" s="245"/>
      <c r="F2120" s="319"/>
      <c r="G2120" s="245"/>
      <c r="H2120" s="245"/>
      <c r="I2120" s="245"/>
      <c r="P2120" s="366"/>
      <c r="R2120" s="355"/>
      <c r="S2120" s="369"/>
      <c r="T2120" s="328"/>
      <c r="U2120" s="394" ph="1"/>
      <c r="W2120" s="216"/>
      <c r="X2120" s="245"/>
      <c r="Y2120" s="187"/>
      <c r="Z2120" s="245"/>
      <c r="AA2120" s="245"/>
      <c r="AB2120" s="332"/>
      <c r="AD2120" s="245"/>
      <c r="AE2120" s="245"/>
      <c r="AF2120" s="245"/>
      <c r="AG2120" s="245"/>
    </row>
    <row r="2121" spans="1:33" ht="26.4">
      <c r="A2121" s="391"/>
      <c r="B2121" s="245"/>
      <c r="C2121" s="245"/>
      <c r="D2121" s="245"/>
      <c r="E2121" s="245"/>
      <c r="F2121" s="319"/>
      <c r="G2121" s="245"/>
      <c r="H2121" s="245"/>
      <c r="I2121" s="245"/>
      <c r="P2121" s="366"/>
      <c r="R2121" s="355"/>
      <c r="S2121" s="369"/>
      <c r="T2121" s="328"/>
      <c r="U2121" s="394" ph="1"/>
      <c r="W2121" s="216"/>
      <c r="X2121" s="245"/>
      <c r="Y2121" s="187"/>
      <c r="Z2121" s="245"/>
      <c r="AA2121" s="245"/>
      <c r="AB2121" s="332"/>
      <c r="AD2121" s="245"/>
      <c r="AE2121" s="245"/>
      <c r="AF2121" s="245"/>
      <c r="AG2121" s="245"/>
    </row>
    <row r="2122" spans="1:33" ht="26.4">
      <c r="A2122" s="391"/>
      <c r="B2122" s="245"/>
      <c r="C2122" s="245"/>
      <c r="D2122" s="245"/>
      <c r="E2122" s="245"/>
      <c r="F2122" s="319"/>
      <c r="G2122" s="245"/>
      <c r="H2122" s="245"/>
      <c r="I2122" s="245"/>
      <c r="P2122" s="366"/>
      <c r="R2122" s="355"/>
      <c r="S2122" s="369"/>
      <c r="T2122" s="328"/>
      <c r="U2122" s="394" ph="1"/>
      <c r="W2122" s="216"/>
      <c r="X2122" s="245"/>
      <c r="Y2122" s="187"/>
      <c r="Z2122" s="245"/>
      <c r="AA2122" s="245"/>
      <c r="AB2122" s="332"/>
      <c r="AD2122" s="245"/>
      <c r="AE2122" s="245"/>
      <c r="AF2122" s="245"/>
      <c r="AG2122" s="245"/>
    </row>
    <row r="2123" spans="1:33" ht="26.4">
      <c r="A2123" s="391"/>
      <c r="B2123" s="245"/>
      <c r="C2123" s="245"/>
      <c r="D2123" s="245"/>
      <c r="E2123" s="245"/>
      <c r="F2123" s="319"/>
      <c r="G2123" s="245"/>
      <c r="H2123" s="245"/>
      <c r="I2123" s="245"/>
      <c r="P2123" s="366"/>
      <c r="R2123" s="355"/>
      <c r="S2123" s="369"/>
      <c r="T2123" s="328"/>
      <c r="U2123" s="394" ph="1"/>
      <c r="W2123" s="216"/>
      <c r="X2123" s="245"/>
      <c r="Y2123" s="187"/>
      <c r="Z2123" s="245"/>
      <c r="AA2123" s="245"/>
      <c r="AB2123" s="332"/>
      <c r="AD2123" s="245"/>
      <c r="AE2123" s="245"/>
      <c r="AF2123" s="245"/>
      <c r="AG2123" s="245"/>
    </row>
    <row r="2124" spans="1:33" ht="26.4">
      <c r="A2124" s="391"/>
      <c r="B2124" s="245"/>
      <c r="C2124" s="245"/>
      <c r="D2124" s="245"/>
      <c r="E2124" s="245"/>
      <c r="F2124" s="319"/>
      <c r="G2124" s="245"/>
      <c r="H2124" s="245"/>
      <c r="I2124" s="245"/>
      <c r="P2124" s="366"/>
      <c r="R2124" s="355"/>
      <c r="S2124" s="369"/>
      <c r="T2124" s="328"/>
      <c r="U2124" s="394" ph="1"/>
      <c r="W2124" s="216"/>
      <c r="X2124" s="245"/>
      <c r="Y2124" s="187"/>
      <c r="Z2124" s="245"/>
      <c r="AA2124" s="245"/>
      <c r="AB2124" s="332"/>
      <c r="AD2124" s="245"/>
      <c r="AE2124" s="245"/>
      <c r="AF2124" s="245"/>
      <c r="AG2124" s="245"/>
    </row>
    <row r="2125" spans="1:33" ht="26.4">
      <c r="A2125" s="391"/>
      <c r="B2125" s="245"/>
      <c r="C2125" s="245"/>
      <c r="D2125" s="245"/>
      <c r="E2125" s="245"/>
      <c r="F2125" s="319"/>
      <c r="G2125" s="245"/>
      <c r="H2125" s="245"/>
      <c r="I2125" s="245"/>
      <c r="P2125" s="366"/>
      <c r="R2125" s="355"/>
      <c r="S2125" s="369"/>
      <c r="T2125" s="328"/>
      <c r="U2125" s="394" ph="1"/>
      <c r="W2125" s="216"/>
      <c r="X2125" s="245"/>
      <c r="Y2125" s="187"/>
      <c r="Z2125" s="245"/>
      <c r="AA2125" s="245"/>
      <c r="AB2125" s="332"/>
      <c r="AD2125" s="245"/>
      <c r="AE2125" s="245"/>
      <c r="AF2125" s="245"/>
      <c r="AG2125" s="245"/>
    </row>
    <row r="2126" spans="1:33" ht="26.4">
      <c r="A2126" s="391"/>
      <c r="B2126" s="245"/>
      <c r="C2126" s="245"/>
      <c r="D2126" s="245"/>
      <c r="E2126" s="245"/>
      <c r="F2126" s="319"/>
      <c r="G2126" s="245"/>
      <c r="H2126" s="245"/>
      <c r="I2126" s="245"/>
      <c r="P2126" s="366"/>
      <c r="R2126" s="355"/>
      <c r="S2126" s="369"/>
      <c r="T2126" s="328"/>
      <c r="U2126" s="394" ph="1"/>
      <c r="W2126" s="216"/>
      <c r="X2126" s="245"/>
      <c r="Y2126" s="187"/>
      <c r="Z2126" s="245"/>
      <c r="AA2126" s="245"/>
      <c r="AB2126" s="332"/>
      <c r="AD2126" s="245"/>
      <c r="AE2126" s="245"/>
      <c r="AF2126" s="245"/>
      <c r="AG2126" s="245"/>
    </row>
    <row r="2127" spans="1:33" ht="26.4">
      <c r="A2127" s="391"/>
      <c r="B2127" s="245"/>
      <c r="C2127" s="245"/>
      <c r="D2127" s="245"/>
      <c r="E2127" s="245"/>
      <c r="F2127" s="319"/>
      <c r="G2127" s="245"/>
      <c r="H2127" s="245"/>
      <c r="I2127" s="245"/>
      <c r="P2127" s="366"/>
      <c r="R2127" s="355"/>
      <c r="S2127" s="369"/>
      <c r="T2127" s="328"/>
      <c r="U2127" s="394" ph="1"/>
      <c r="W2127" s="216"/>
      <c r="X2127" s="245"/>
      <c r="Y2127" s="187"/>
      <c r="Z2127" s="245"/>
      <c r="AA2127" s="245"/>
      <c r="AB2127" s="332"/>
      <c r="AD2127" s="245"/>
      <c r="AE2127" s="245"/>
      <c r="AF2127" s="245"/>
      <c r="AG2127" s="245"/>
    </row>
    <row r="2128" spans="1:33" ht="26.4">
      <c r="A2128" s="391"/>
      <c r="B2128" s="245"/>
      <c r="C2128" s="245"/>
      <c r="D2128" s="245"/>
      <c r="E2128" s="245"/>
      <c r="F2128" s="319"/>
      <c r="G2128" s="245"/>
      <c r="H2128" s="245"/>
      <c r="I2128" s="245"/>
      <c r="P2128" s="366"/>
      <c r="R2128" s="355"/>
      <c r="S2128" s="369"/>
      <c r="T2128" s="328"/>
      <c r="U2128" s="394" ph="1"/>
      <c r="W2128" s="216"/>
      <c r="X2128" s="245"/>
      <c r="Y2128" s="187"/>
      <c r="Z2128" s="245"/>
      <c r="AA2128" s="245"/>
      <c r="AB2128" s="332"/>
      <c r="AD2128" s="245"/>
      <c r="AE2128" s="245"/>
      <c r="AF2128" s="245"/>
      <c r="AG2128" s="245"/>
    </row>
    <row r="2129" spans="1:33" ht="26.4">
      <c r="A2129" s="391"/>
      <c r="B2129" s="245"/>
      <c r="C2129" s="245"/>
      <c r="D2129" s="245"/>
      <c r="E2129" s="245"/>
      <c r="F2129" s="319"/>
      <c r="G2129" s="245"/>
      <c r="H2129" s="245"/>
      <c r="I2129" s="245"/>
      <c r="P2129" s="366"/>
      <c r="R2129" s="355"/>
      <c r="S2129" s="369"/>
      <c r="T2129" s="328"/>
      <c r="U2129" s="394" ph="1"/>
      <c r="W2129" s="216"/>
      <c r="X2129" s="245"/>
      <c r="Y2129" s="187"/>
      <c r="Z2129" s="245"/>
      <c r="AA2129" s="245"/>
      <c r="AB2129" s="332"/>
      <c r="AD2129" s="245"/>
      <c r="AE2129" s="245"/>
      <c r="AF2129" s="245"/>
      <c r="AG2129" s="245"/>
    </row>
    <row r="2130" spans="1:33" ht="26.4">
      <c r="A2130" s="391"/>
      <c r="B2130" s="245"/>
      <c r="C2130" s="245"/>
      <c r="D2130" s="245"/>
      <c r="E2130" s="245"/>
      <c r="F2130" s="319"/>
      <c r="G2130" s="245"/>
      <c r="H2130" s="245"/>
      <c r="I2130" s="245"/>
      <c r="P2130" s="366"/>
      <c r="R2130" s="355"/>
      <c r="S2130" s="369"/>
      <c r="T2130" s="328"/>
      <c r="U2130" s="394" ph="1"/>
      <c r="W2130" s="216"/>
      <c r="X2130" s="245"/>
      <c r="Y2130" s="187"/>
      <c r="Z2130" s="245"/>
      <c r="AA2130" s="245"/>
      <c r="AB2130" s="332"/>
      <c r="AD2130" s="245"/>
      <c r="AE2130" s="245"/>
      <c r="AF2130" s="245"/>
      <c r="AG2130" s="245"/>
    </row>
    <row r="2131" spans="1:33" ht="26.4">
      <c r="A2131" s="391"/>
      <c r="B2131" s="245"/>
      <c r="C2131" s="245"/>
      <c r="D2131" s="245"/>
      <c r="E2131" s="245"/>
      <c r="F2131" s="319"/>
      <c r="G2131" s="245"/>
      <c r="H2131" s="245"/>
      <c r="I2131" s="245"/>
      <c r="P2131" s="366"/>
      <c r="R2131" s="355"/>
      <c r="S2131" s="369"/>
      <c r="T2131" s="328"/>
      <c r="U2131" s="394" ph="1"/>
      <c r="W2131" s="216"/>
      <c r="X2131" s="245"/>
      <c r="Y2131" s="187"/>
      <c r="Z2131" s="245"/>
      <c r="AA2131" s="245"/>
      <c r="AB2131" s="332"/>
      <c r="AD2131" s="245"/>
      <c r="AE2131" s="245"/>
      <c r="AF2131" s="245"/>
      <c r="AG2131" s="245"/>
    </row>
    <row r="2132" spans="1:33" ht="26.4">
      <c r="A2132" s="391"/>
      <c r="B2132" s="245"/>
      <c r="C2132" s="245"/>
      <c r="D2132" s="245"/>
      <c r="E2132" s="245"/>
      <c r="F2132" s="319"/>
      <c r="G2132" s="245"/>
      <c r="H2132" s="245"/>
      <c r="I2132" s="245"/>
      <c r="P2132" s="366"/>
      <c r="R2132" s="355"/>
      <c r="S2132" s="369"/>
      <c r="T2132" s="328"/>
      <c r="U2132" s="394" ph="1"/>
      <c r="W2132" s="216"/>
      <c r="X2132" s="245"/>
      <c r="Y2132" s="187"/>
      <c r="Z2132" s="245"/>
      <c r="AA2132" s="245"/>
      <c r="AB2132" s="332"/>
      <c r="AD2132" s="245"/>
      <c r="AE2132" s="245"/>
      <c r="AF2132" s="245"/>
      <c r="AG2132" s="245"/>
    </row>
    <row r="2133" spans="1:33" ht="26.4">
      <c r="A2133" s="391"/>
      <c r="B2133" s="245"/>
      <c r="C2133" s="245"/>
      <c r="D2133" s="245"/>
      <c r="E2133" s="245"/>
      <c r="F2133" s="319"/>
      <c r="G2133" s="245"/>
      <c r="H2133" s="245"/>
      <c r="I2133" s="245"/>
      <c r="P2133" s="366"/>
      <c r="R2133" s="355"/>
      <c r="S2133" s="369"/>
      <c r="T2133" s="328"/>
      <c r="U2133" s="394" ph="1"/>
      <c r="W2133" s="216"/>
      <c r="X2133" s="245"/>
      <c r="Y2133" s="187"/>
      <c r="Z2133" s="245"/>
      <c r="AA2133" s="245"/>
      <c r="AB2133" s="332"/>
      <c r="AD2133" s="245"/>
      <c r="AE2133" s="245"/>
      <c r="AF2133" s="245"/>
      <c r="AG2133" s="245"/>
    </row>
    <row r="2134" spans="1:33" ht="26.4">
      <c r="A2134" s="391"/>
      <c r="B2134" s="245"/>
      <c r="C2134" s="245"/>
      <c r="D2134" s="245"/>
      <c r="E2134" s="245"/>
      <c r="F2134" s="319"/>
      <c r="G2134" s="245"/>
      <c r="H2134" s="245"/>
      <c r="I2134" s="245"/>
      <c r="P2134" s="366"/>
      <c r="R2134" s="355"/>
      <c r="S2134" s="369"/>
      <c r="T2134" s="328"/>
      <c r="U2134" s="394" ph="1"/>
      <c r="W2134" s="216"/>
      <c r="X2134" s="245"/>
      <c r="Y2134" s="187"/>
      <c r="Z2134" s="245"/>
      <c r="AA2134" s="245"/>
      <c r="AB2134" s="332"/>
      <c r="AD2134" s="245"/>
      <c r="AE2134" s="245"/>
      <c r="AF2134" s="245"/>
      <c r="AG2134" s="245"/>
    </row>
    <row r="2135" spans="1:33" ht="26.4">
      <c r="A2135" s="391"/>
      <c r="B2135" s="245"/>
      <c r="C2135" s="245"/>
      <c r="D2135" s="245"/>
      <c r="E2135" s="245"/>
      <c r="F2135" s="319"/>
      <c r="G2135" s="245"/>
      <c r="H2135" s="245"/>
      <c r="I2135" s="245"/>
      <c r="P2135" s="366"/>
      <c r="R2135" s="355"/>
      <c r="S2135" s="369"/>
      <c r="T2135" s="328"/>
      <c r="U2135" s="394" ph="1"/>
      <c r="W2135" s="216"/>
      <c r="X2135" s="245"/>
      <c r="Y2135" s="187"/>
      <c r="Z2135" s="245"/>
      <c r="AA2135" s="245"/>
      <c r="AB2135" s="332"/>
      <c r="AD2135" s="245"/>
      <c r="AE2135" s="245"/>
      <c r="AF2135" s="245"/>
      <c r="AG2135" s="245"/>
    </row>
    <row r="2136" spans="1:33" ht="26.4">
      <c r="A2136" s="391"/>
      <c r="B2136" s="245"/>
      <c r="C2136" s="245"/>
      <c r="D2136" s="245"/>
      <c r="E2136" s="245"/>
      <c r="F2136" s="319"/>
      <c r="G2136" s="245"/>
      <c r="H2136" s="245"/>
      <c r="I2136" s="245"/>
      <c r="P2136" s="366"/>
      <c r="R2136" s="355"/>
      <c r="S2136" s="369"/>
      <c r="T2136" s="328"/>
      <c r="U2136" s="394" ph="1"/>
      <c r="W2136" s="216"/>
      <c r="X2136" s="245"/>
      <c r="Y2136" s="187"/>
      <c r="Z2136" s="245"/>
      <c r="AA2136" s="245"/>
      <c r="AB2136" s="332"/>
      <c r="AD2136" s="245"/>
      <c r="AE2136" s="245"/>
      <c r="AF2136" s="245"/>
      <c r="AG2136" s="245"/>
    </row>
    <row r="2137" spans="1:33" ht="26.4">
      <c r="A2137" s="391"/>
      <c r="B2137" s="245"/>
      <c r="C2137" s="245"/>
      <c r="D2137" s="245"/>
      <c r="E2137" s="245"/>
      <c r="F2137" s="319"/>
      <c r="G2137" s="245"/>
      <c r="H2137" s="245"/>
      <c r="I2137" s="245"/>
      <c r="P2137" s="366"/>
      <c r="R2137" s="355"/>
      <c r="S2137" s="369"/>
      <c r="T2137" s="328"/>
      <c r="U2137" s="394" ph="1"/>
      <c r="W2137" s="216"/>
      <c r="X2137" s="245"/>
      <c r="Y2137" s="187"/>
      <c r="Z2137" s="245"/>
      <c r="AA2137" s="245"/>
      <c r="AB2137" s="332"/>
      <c r="AD2137" s="245"/>
      <c r="AE2137" s="245"/>
      <c r="AF2137" s="245"/>
      <c r="AG2137" s="245"/>
    </row>
    <row r="2138" spans="1:33" ht="26.4">
      <c r="A2138" s="391"/>
      <c r="B2138" s="245"/>
      <c r="C2138" s="245"/>
      <c r="D2138" s="245"/>
      <c r="E2138" s="245"/>
      <c r="F2138" s="319"/>
      <c r="G2138" s="245"/>
      <c r="H2138" s="245"/>
      <c r="I2138" s="245"/>
      <c r="P2138" s="366"/>
      <c r="R2138" s="355"/>
      <c r="S2138" s="369"/>
      <c r="T2138" s="328"/>
      <c r="U2138" s="394" ph="1"/>
      <c r="W2138" s="216"/>
      <c r="X2138" s="245"/>
      <c r="Y2138" s="187"/>
      <c r="Z2138" s="245"/>
      <c r="AA2138" s="245"/>
      <c r="AB2138" s="332"/>
      <c r="AD2138" s="245"/>
      <c r="AE2138" s="245"/>
      <c r="AF2138" s="245"/>
      <c r="AG2138" s="245"/>
    </row>
    <row r="2139" spans="1:33" ht="26.4">
      <c r="A2139" s="391"/>
      <c r="B2139" s="245"/>
      <c r="C2139" s="245"/>
      <c r="D2139" s="245"/>
      <c r="E2139" s="245"/>
      <c r="F2139" s="319"/>
      <c r="G2139" s="245"/>
      <c r="H2139" s="245"/>
      <c r="I2139" s="245"/>
      <c r="P2139" s="366"/>
      <c r="R2139" s="355"/>
      <c r="S2139" s="369"/>
      <c r="T2139" s="328"/>
      <c r="U2139" s="394" ph="1"/>
      <c r="W2139" s="216"/>
      <c r="X2139" s="245"/>
      <c r="Y2139" s="187"/>
      <c r="Z2139" s="245"/>
      <c r="AA2139" s="245"/>
      <c r="AB2139" s="332"/>
      <c r="AD2139" s="245"/>
      <c r="AE2139" s="245"/>
      <c r="AF2139" s="245"/>
      <c r="AG2139" s="245"/>
    </row>
    <row r="2140" spans="1:33" ht="26.4">
      <c r="A2140" s="391"/>
      <c r="B2140" s="245"/>
      <c r="C2140" s="245"/>
      <c r="D2140" s="245"/>
      <c r="E2140" s="245"/>
      <c r="F2140" s="319"/>
      <c r="G2140" s="245"/>
      <c r="H2140" s="245"/>
      <c r="I2140" s="245"/>
      <c r="P2140" s="366"/>
      <c r="R2140" s="355"/>
      <c r="S2140" s="369"/>
      <c r="T2140" s="328"/>
      <c r="U2140" s="394" ph="1"/>
      <c r="W2140" s="216"/>
      <c r="X2140" s="245"/>
      <c r="Y2140" s="187"/>
      <c r="Z2140" s="245"/>
      <c r="AA2140" s="245"/>
      <c r="AB2140" s="332"/>
      <c r="AD2140" s="245"/>
      <c r="AE2140" s="245"/>
      <c r="AF2140" s="245"/>
      <c r="AG2140" s="245"/>
    </row>
    <row r="2141" spans="1:33" ht="26.4">
      <c r="A2141" s="391"/>
      <c r="B2141" s="245"/>
      <c r="C2141" s="245"/>
      <c r="D2141" s="245"/>
      <c r="E2141" s="245"/>
      <c r="F2141" s="319"/>
      <c r="G2141" s="245"/>
      <c r="H2141" s="245"/>
      <c r="I2141" s="245"/>
      <c r="P2141" s="366"/>
      <c r="R2141" s="355"/>
      <c r="S2141" s="369"/>
      <c r="T2141" s="328"/>
      <c r="U2141" s="394" ph="1"/>
      <c r="W2141" s="216"/>
      <c r="X2141" s="245"/>
      <c r="Y2141" s="187"/>
      <c r="Z2141" s="245"/>
      <c r="AA2141" s="245"/>
      <c r="AB2141" s="332"/>
      <c r="AD2141" s="245"/>
      <c r="AE2141" s="245"/>
      <c r="AF2141" s="245"/>
      <c r="AG2141" s="245"/>
    </row>
    <row r="2142" spans="1:33" ht="26.4">
      <c r="A2142" s="391"/>
      <c r="B2142" s="245"/>
      <c r="C2142" s="245"/>
      <c r="D2142" s="245"/>
      <c r="E2142" s="245"/>
      <c r="F2142" s="319"/>
      <c r="G2142" s="245"/>
      <c r="H2142" s="245"/>
      <c r="I2142" s="245"/>
      <c r="P2142" s="366"/>
      <c r="R2142" s="355"/>
      <c r="S2142" s="369"/>
      <c r="T2142" s="328"/>
      <c r="U2142" s="394" ph="1"/>
      <c r="W2142" s="216"/>
      <c r="X2142" s="245"/>
      <c r="Y2142" s="187"/>
      <c r="Z2142" s="245"/>
      <c r="AA2142" s="245"/>
      <c r="AB2142" s="332"/>
      <c r="AD2142" s="245"/>
      <c r="AE2142" s="245"/>
      <c r="AF2142" s="245"/>
      <c r="AG2142" s="245"/>
    </row>
    <row r="2143" spans="1:33" ht="26.4">
      <c r="A2143" s="391"/>
      <c r="B2143" s="245"/>
      <c r="C2143" s="245"/>
      <c r="D2143" s="245"/>
      <c r="E2143" s="245"/>
      <c r="F2143" s="319"/>
      <c r="G2143" s="245"/>
      <c r="H2143" s="245"/>
      <c r="I2143" s="245"/>
      <c r="P2143" s="366"/>
      <c r="R2143" s="355"/>
      <c r="S2143" s="369"/>
      <c r="T2143" s="328"/>
      <c r="U2143" s="394" ph="1"/>
      <c r="W2143" s="216"/>
      <c r="X2143" s="245"/>
      <c r="Y2143" s="187"/>
      <c r="Z2143" s="245"/>
      <c r="AA2143" s="245"/>
      <c r="AB2143" s="332"/>
      <c r="AD2143" s="245"/>
      <c r="AE2143" s="245"/>
      <c r="AF2143" s="245"/>
      <c r="AG2143" s="245"/>
    </row>
    <row r="2144" spans="1:33" ht="26.4">
      <c r="A2144" s="391"/>
      <c r="B2144" s="245"/>
      <c r="C2144" s="245"/>
      <c r="D2144" s="245"/>
      <c r="E2144" s="245"/>
      <c r="F2144" s="319"/>
      <c r="G2144" s="245"/>
      <c r="H2144" s="245"/>
      <c r="I2144" s="245"/>
      <c r="P2144" s="366"/>
      <c r="R2144" s="355"/>
      <c r="S2144" s="369"/>
      <c r="T2144" s="328"/>
      <c r="U2144" s="394" ph="1"/>
      <c r="W2144" s="216"/>
      <c r="X2144" s="245"/>
      <c r="Y2144" s="187"/>
      <c r="Z2144" s="245"/>
      <c r="AA2144" s="245"/>
      <c r="AB2144" s="332"/>
      <c r="AD2144" s="245"/>
      <c r="AE2144" s="245"/>
      <c r="AF2144" s="245"/>
      <c r="AG2144" s="245"/>
    </row>
    <row r="2145" spans="1:33" ht="26.4">
      <c r="A2145" s="391"/>
      <c r="B2145" s="245"/>
      <c r="C2145" s="245"/>
      <c r="D2145" s="245"/>
      <c r="E2145" s="245"/>
      <c r="F2145" s="319"/>
      <c r="G2145" s="245"/>
      <c r="H2145" s="245"/>
      <c r="I2145" s="245"/>
      <c r="P2145" s="366"/>
      <c r="R2145" s="355"/>
      <c r="S2145" s="369"/>
      <c r="T2145" s="328"/>
      <c r="U2145" s="394" ph="1"/>
      <c r="W2145" s="216"/>
      <c r="X2145" s="245"/>
      <c r="Y2145" s="187"/>
      <c r="Z2145" s="245"/>
      <c r="AA2145" s="245"/>
      <c r="AB2145" s="332"/>
      <c r="AD2145" s="245"/>
      <c r="AE2145" s="245"/>
      <c r="AF2145" s="245"/>
      <c r="AG2145" s="245"/>
    </row>
    <row r="2146" spans="1:33" ht="26.4">
      <c r="A2146" s="391"/>
      <c r="B2146" s="245"/>
      <c r="C2146" s="245"/>
      <c r="D2146" s="245"/>
      <c r="E2146" s="245"/>
      <c r="F2146" s="319"/>
      <c r="G2146" s="245"/>
      <c r="H2146" s="245"/>
      <c r="I2146" s="245"/>
      <c r="P2146" s="366"/>
      <c r="R2146" s="355"/>
      <c r="S2146" s="369"/>
      <c r="T2146" s="328"/>
      <c r="U2146" s="394" ph="1"/>
      <c r="W2146" s="216"/>
      <c r="X2146" s="245"/>
      <c r="Y2146" s="187"/>
      <c r="Z2146" s="245"/>
      <c r="AA2146" s="245"/>
      <c r="AB2146" s="332"/>
      <c r="AD2146" s="245"/>
      <c r="AE2146" s="245"/>
      <c r="AF2146" s="245"/>
      <c r="AG2146" s="245"/>
    </row>
    <row r="2147" spans="1:33" ht="26.4">
      <c r="A2147" s="391"/>
      <c r="B2147" s="245"/>
      <c r="C2147" s="245"/>
      <c r="D2147" s="245"/>
      <c r="E2147" s="245"/>
      <c r="F2147" s="319"/>
      <c r="G2147" s="245"/>
      <c r="H2147" s="245"/>
      <c r="I2147" s="245"/>
      <c r="P2147" s="366"/>
      <c r="R2147" s="355"/>
      <c r="S2147" s="369"/>
      <c r="T2147" s="328"/>
      <c r="U2147" s="394" ph="1"/>
      <c r="W2147" s="216"/>
      <c r="X2147" s="245"/>
      <c r="Y2147" s="187"/>
      <c r="Z2147" s="245"/>
      <c r="AA2147" s="245"/>
      <c r="AB2147" s="332"/>
      <c r="AD2147" s="245"/>
      <c r="AE2147" s="245"/>
      <c r="AF2147" s="245"/>
      <c r="AG2147" s="245"/>
    </row>
    <row r="2148" spans="1:33" ht="26.4">
      <c r="A2148" s="391"/>
      <c r="B2148" s="245"/>
      <c r="C2148" s="245"/>
      <c r="D2148" s="245"/>
      <c r="E2148" s="245"/>
      <c r="F2148" s="319"/>
      <c r="G2148" s="245"/>
      <c r="H2148" s="245"/>
      <c r="I2148" s="245"/>
      <c r="P2148" s="366"/>
      <c r="R2148" s="355"/>
      <c r="S2148" s="369"/>
      <c r="T2148" s="328"/>
      <c r="U2148" s="394" ph="1"/>
      <c r="W2148" s="216"/>
      <c r="X2148" s="245"/>
      <c r="Y2148" s="187"/>
      <c r="Z2148" s="245"/>
      <c r="AA2148" s="245"/>
      <c r="AB2148" s="332"/>
      <c r="AD2148" s="245"/>
      <c r="AE2148" s="245"/>
      <c r="AF2148" s="245"/>
      <c r="AG2148" s="245"/>
    </row>
    <row r="2149" spans="1:33" ht="26.4">
      <c r="A2149" s="391"/>
      <c r="B2149" s="245"/>
      <c r="C2149" s="245"/>
      <c r="D2149" s="245"/>
      <c r="E2149" s="245"/>
      <c r="F2149" s="319"/>
      <c r="G2149" s="245"/>
      <c r="H2149" s="245"/>
      <c r="I2149" s="245"/>
      <c r="P2149" s="366"/>
      <c r="R2149" s="355"/>
      <c r="S2149" s="369"/>
      <c r="T2149" s="328"/>
      <c r="U2149" s="394" ph="1"/>
      <c r="W2149" s="216"/>
      <c r="X2149" s="245"/>
      <c r="Y2149" s="187"/>
      <c r="Z2149" s="245"/>
      <c r="AA2149" s="245"/>
      <c r="AB2149" s="332"/>
      <c r="AD2149" s="245"/>
      <c r="AE2149" s="245"/>
      <c r="AF2149" s="245"/>
      <c r="AG2149" s="245"/>
    </row>
    <row r="2150" spans="1:33" ht="26.4">
      <c r="A2150" s="391"/>
      <c r="B2150" s="245"/>
      <c r="C2150" s="245"/>
      <c r="D2150" s="245"/>
      <c r="E2150" s="245"/>
      <c r="F2150" s="319"/>
      <c r="G2150" s="245"/>
      <c r="H2150" s="245"/>
      <c r="I2150" s="245"/>
      <c r="P2150" s="366"/>
      <c r="R2150" s="355"/>
      <c r="S2150" s="369"/>
      <c r="T2150" s="328"/>
      <c r="U2150" s="394" ph="1"/>
      <c r="W2150" s="216"/>
      <c r="X2150" s="245"/>
      <c r="Y2150" s="187"/>
      <c r="Z2150" s="245"/>
      <c r="AA2150" s="245"/>
      <c r="AB2150" s="332"/>
      <c r="AD2150" s="245"/>
      <c r="AE2150" s="245"/>
      <c r="AF2150" s="245"/>
      <c r="AG2150" s="245"/>
    </row>
    <row r="2151" spans="1:33" ht="26.4">
      <c r="A2151" s="391"/>
      <c r="B2151" s="245"/>
      <c r="C2151" s="245"/>
      <c r="D2151" s="245"/>
      <c r="E2151" s="245"/>
      <c r="F2151" s="319"/>
      <c r="G2151" s="245"/>
      <c r="H2151" s="245"/>
      <c r="I2151" s="245"/>
      <c r="P2151" s="366"/>
      <c r="R2151" s="355"/>
      <c r="S2151" s="369"/>
      <c r="T2151" s="328"/>
      <c r="U2151" s="394" ph="1"/>
      <c r="W2151" s="216"/>
      <c r="X2151" s="245"/>
      <c r="Y2151" s="187"/>
      <c r="Z2151" s="245"/>
      <c r="AA2151" s="245"/>
      <c r="AB2151" s="332"/>
      <c r="AD2151" s="245"/>
      <c r="AE2151" s="245"/>
      <c r="AF2151" s="245"/>
      <c r="AG2151" s="245"/>
    </row>
    <row r="2152" spans="1:33" ht="26.4">
      <c r="A2152" s="391"/>
      <c r="B2152" s="245"/>
      <c r="C2152" s="245"/>
      <c r="D2152" s="245"/>
      <c r="E2152" s="245"/>
      <c r="F2152" s="319"/>
      <c r="G2152" s="245"/>
      <c r="H2152" s="245"/>
      <c r="I2152" s="245"/>
      <c r="P2152" s="366"/>
      <c r="R2152" s="355"/>
      <c r="S2152" s="369"/>
      <c r="T2152" s="328"/>
      <c r="U2152" s="394" ph="1"/>
      <c r="W2152" s="216"/>
      <c r="X2152" s="245"/>
      <c r="Y2152" s="187"/>
      <c r="Z2152" s="245"/>
      <c r="AA2152" s="245"/>
      <c r="AB2152" s="332"/>
      <c r="AD2152" s="245"/>
      <c r="AE2152" s="245"/>
      <c r="AF2152" s="245"/>
      <c r="AG2152" s="245"/>
    </row>
    <row r="2153" spans="1:33" ht="26.4">
      <c r="A2153" s="391"/>
      <c r="B2153" s="245"/>
      <c r="C2153" s="245"/>
      <c r="D2153" s="245"/>
      <c r="E2153" s="245"/>
      <c r="F2153" s="319"/>
      <c r="G2153" s="245"/>
      <c r="H2153" s="245"/>
      <c r="I2153" s="245"/>
      <c r="P2153" s="366"/>
      <c r="R2153" s="355"/>
      <c r="S2153" s="369"/>
      <c r="T2153" s="328"/>
      <c r="U2153" s="394" ph="1"/>
      <c r="W2153" s="216"/>
      <c r="X2153" s="245"/>
      <c r="Y2153" s="187"/>
      <c r="Z2153" s="245"/>
      <c r="AA2153" s="245"/>
      <c r="AB2153" s="332"/>
      <c r="AD2153" s="245"/>
      <c r="AE2153" s="245"/>
      <c r="AF2153" s="245"/>
      <c r="AG2153" s="245"/>
    </row>
    <row r="2154" spans="1:33" ht="26.4">
      <c r="A2154" s="391"/>
      <c r="B2154" s="245"/>
      <c r="C2154" s="245"/>
      <c r="D2154" s="245"/>
      <c r="E2154" s="245"/>
      <c r="F2154" s="319"/>
      <c r="G2154" s="245"/>
      <c r="H2154" s="245"/>
      <c r="I2154" s="245"/>
      <c r="P2154" s="366"/>
      <c r="R2154" s="355"/>
      <c r="S2154" s="369"/>
      <c r="T2154" s="328"/>
      <c r="U2154" s="394" ph="1"/>
      <c r="W2154" s="216"/>
      <c r="X2154" s="245"/>
      <c r="Y2154" s="187"/>
      <c r="Z2154" s="245"/>
      <c r="AA2154" s="245"/>
      <c r="AB2154" s="332"/>
      <c r="AD2154" s="245"/>
      <c r="AE2154" s="245"/>
      <c r="AF2154" s="245"/>
      <c r="AG2154" s="245"/>
    </row>
    <row r="2155" spans="1:33" ht="26.4">
      <c r="A2155" s="391"/>
      <c r="B2155" s="245"/>
      <c r="C2155" s="245"/>
      <c r="D2155" s="245"/>
      <c r="E2155" s="245"/>
      <c r="F2155" s="319"/>
      <c r="G2155" s="245"/>
      <c r="H2155" s="245"/>
      <c r="I2155" s="245"/>
      <c r="P2155" s="366"/>
      <c r="R2155" s="355"/>
      <c r="S2155" s="369"/>
      <c r="T2155" s="328"/>
      <c r="U2155" s="394" ph="1"/>
      <c r="W2155" s="216"/>
      <c r="X2155" s="245"/>
      <c r="Y2155" s="187"/>
      <c r="Z2155" s="245"/>
      <c r="AA2155" s="245"/>
      <c r="AB2155" s="332"/>
      <c r="AD2155" s="245"/>
      <c r="AE2155" s="245"/>
      <c r="AF2155" s="245"/>
      <c r="AG2155" s="245"/>
    </row>
    <row r="2156" spans="1:33" ht="26.4">
      <c r="A2156" s="391"/>
      <c r="B2156" s="245"/>
      <c r="C2156" s="245"/>
      <c r="D2156" s="245"/>
      <c r="E2156" s="245"/>
      <c r="F2156" s="319"/>
      <c r="G2156" s="245"/>
      <c r="H2156" s="245"/>
      <c r="I2156" s="245"/>
      <c r="P2156" s="366"/>
      <c r="R2156" s="355"/>
      <c r="S2156" s="369"/>
      <c r="T2156" s="328"/>
      <c r="U2156" s="394" ph="1"/>
      <c r="W2156" s="216"/>
      <c r="X2156" s="245"/>
      <c r="Y2156" s="187"/>
      <c r="Z2156" s="245"/>
      <c r="AA2156" s="245"/>
      <c r="AB2156" s="332"/>
      <c r="AD2156" s="245"/>
      <c r="AE2156" s="245"/>
      <c r="AF2156" s="245"/>
      <c r="AG2156" s="245"/>
    </row>
    <row r="2157" spans="1:33" ht="26.4">
      <c r="A2157" s="391"/>
      <c r="B2157" s="245"/>
      <c r="C2157" s="245"/>
      <c r="D2157" s="245"/>
      <c r="E2157" s="245"/>
      <c r="F2157" s="319"/>
      <c r="G2157" s="245"/>
      <c r="H2157" s="245"/>
      <c r="I2157" s="245"/>
      <c r="P2157" s="366"/>
      <c r="R2157" s="355"/>
      <c r="S2157" s="369"/>
      <c r="T2157" s="328"/>
      <c r="U2157" s="394" ph="1"/>
      <c r="W2157" s="216"/>
      <c r="X2157" s="245"/>
      <c r="Y2157" s="187"/>
      <c r="Z2157" s="245"/>
      <c r="AA2157" s="245"/>
      <c r="AB2157" s="332"/>
      <c r="AD2157" s="245"/>
      <c r="AE2157" s="245"/>
      <c r="AF2157" s="245"/>
      <c r="AG2157" s="245"/>
    </row>
    <row r="2158" spans="1:33" ht="26.4">
      <c r="A2158" s="391"/>
      <c r="B2158" s="245"/>
      <c r="C2158" s="245"/>
      <c r="D2158" s="245"/>
      <c r="E2158" s="245"/>
      <c r="F2158" s="319"/>
      <c r="G2158" s="245"/>
      <c r="H2158" s="245"/>
      <c r="I2158" s="245"/>
      <c r="P2158" s="366"/>
      <c r="R2158" s="355"/>
      <c r="S2158" s="369"/>
      <c r="T2158" s="328"/>
      <c r="U2158" s="394" ph="1"/>
      <c r="W2158" s="216"/>
      <c r="X2158" s="245"/>
      <c r="Y2158" s="187"/>
      <c r="Z2158" s="245"/>
      <c r="AA2158" s="245"/>
      <c r="AB2158" s="332"/>
      <c r="AD2158" s="245"/>
      <c r="AE2158" s="245"/>
      <c r="AF2158" s="245"/>
      <c r="AG2158" s="245"/>
    </row>
    <row r="2159" spans="1:33" ht="26.4">
      <c r="A2159" s="391"/>
      <c r="B2159" s="245"/>
      <c r="C2159" s="245"/>
      <c r="D2159" s="245"/>
      <c r="E2159" s="245"/>
      <c r="F2159" s="319"/>
      <c r="G2159" s="245"/>
      <c r="H2159" s="245"/>
      <c r="I2159" s="245"/>
      <c r="P2159" s="366"/>
      <c r="R2159" s="355"/>
      <c r="S2159" s="369"/>
      <c r="T2159" s="328"/>
      <c r="U2159" s="394" ph="1"/>
      <c r="W2159" s="216"/>
      <c r="X2159" s="245"/>
      <c r="Y2159" s="187"/>
      <c r="Z2159" s="245"/>
      <c r="AA2159" s="245"/>
      <c r="AB2159" s="332"/>
      <c r="AD2159" s="245"/>
      <c r="AE2159" s="245"/>
      <c r="AF2159" s="245"/>
      <c r="AG2159" s="245"/>
    </row>
    <row r="2160" spans="1:33" ht="26.4">
      <c r="A2160" s="391"/>
      <c r="B2160" s="245"/>
      <c r="C2160" s="245"/>
      <c r="D2160" s="245"/>
      <c r="E2160" s="245"/>
      <c r="F2160" s="319"/>
      <c r="G2160" s="245"/>
      <c r="H2160" s="245"/>
      <c r="I2160" s="245"/>
      <c r="P2160" s="366"/>
      <c r="R2160" s="355"/>
      <c r="S2160" s="369"/>
      <c r="T2160" s="328"/>
      <c r="U2160" s="394" ph="1"/>
      <c r="W2160" s="216"/>
      <c r="X2160" s="245"/>
      <c r="Y2160" s="187"/>
      <c r="Z2160" s="245"/>
      <c r="AA2160" s="245"/>
      <c r="AB2160" s="332"/>
      <c r="AD2160" s="245"/>
      <c r="AE2160" s="245"/>
      <c r="AF2160" s="245"/>
      <c r="AG2160" s="245"/>
    </row>
    <row r="2161" spans="1:33" ht="26.4">
      <c r="A2161" s="391"/>
      <c r="B2161" s="245"/>
      <c r="C2161" s="245"/>
      <c r="D2161" s="245"/>
      <c r="E2161" s="245"/>
      <c r="F2161" s="319"/>
      <c r="G2161" s="245"/>
      <c r="H2161" s="245"/>
      <c r="I2161" s="245"/>
      <c r="P2161" s="366"/>
      <c r="R2161" s="355"/>
      <c r="S2161" s="369"/>
      <c r="T2161" s="328"/>
      <c r="U2161" s="394" ph="1"/>
      <c r="W2161" s="216"/>
      <c r="X2161" s="245"/>
      <c r="Y2161" s="187"/>
      <c r="Z2161" s="245"/>
      <c r="AA2161" s="245"/>
      <c r="AB2161" s="332"/>
      <c r="AD2161" s="245"/>
      <c r="AE2161" s="245"/>
      <c r="AF2161" s="245"/>
      <c r="AG2161" s="245"/>
    </row>
    <row r="2162" spans="1:33" ht="26.4">
      <c r="A2162" s="391"/>
      <c r="B2162" s="245"/>
      <c r="C2162" s="245"/>
      <c r="D2162" s="245"/>
      <c r="E2162" s="245"/>
      <c r="F2162" s="319"/>
      <c r="G2162" s="245"/>
      <c r="H2162" s="245"/>
      <c r="I2162" s="245"/>
      <c r="P2162" s="366"/>
      <c r="R2162" s="355"/>
      <c r="S2162" s="369"/>
      <c r="T2162" s="328"/>
      <c r="U2162" s="394" ph="1"/>
      <c r="W2162" s="216"/>
      <c r="X2162" s="245"/>
      <c r="Y2162" s="187"/>
      <c r="Z2162" s="245"/>
      <c r="AA2162" s="245"/>
      <c r="AB2162" s="332"/>
      <c r="AD2162" s="245"/>
      <c r="AE2162" s="245"/>
      <c r="AF2162" s="245"/>
      <c r="AG2162" s="245"/>
    </row>
    <row r="2163" spans="1:33" ht="26.4">
      <c r="A2163" s="391"/>
      <c r="B2163" s="245"/>
      <c r="C2163" s="245"/>
      <c r="D2163" s="245"/>
      <c r="E2163" s="245"/>
      <c r="F2163" s="319"/>
      <c r="G2163" s="245"/>
      <c r="H2163" s="245"/>
      <c r="I2163" s="245"/>
      <c r="P2163" s="366"/>
      <c r="R2163" s="355"/>
      <c r="S2163" s="369"/>
      <c r="T2163" s="328"/>
      <c r="U2163" s="394" ph="1"/>
      <c r="W2163" s="216"/>
      <c r="X2163" s="245"/>
      <c r="Y2163" s="187"/>
      <c r="Z2163" s="245"/>
      <c r="AA2163" s="245"/>
      <c r="AB2163" s="332"/>
      <c r="AD2163" s="245"/>
      <c r="AE2163" s="245"/>
      <c r="AF2163" s="245"/>
      <c r="AG2163" s="245"/>
    </row>
    <row r="2164" spans="1:33" ht="26.4">
      <c r="A2164" s="391"/>
      <c r="B2164" s="245"/>
      <c r="C2164" s="245"/>
      <c r="D2164" s="245"/>
      <c r="E2164" s="245"/>
      <c r="F2164" s="319"/>
      <c r="G2164" s="245"/>
      <c r="H2164" s="245"/>
      <c r="I2164" s="245"/>
      <c r="P2164" s="366"/>
      <c r="R2164" s="355"/>
      <c r="S2164" s="369"/>
      <c r="T2164" s="328"/>
      <c r="U2164" s="394" ph="1"/>
      <c r="W2164" s="216"/>
      <c r="X2164" s="245"/>
      <c r="Y2164" s="187"/>
      <c r="Z2164" s="245"/>
      <c r="AA2164" s="245"/>
      <c r="AB2164" s="332"/>
      <c r="AD2164" s="245"/>
      <c r="AE2164" s="245"/>
      <c r="AF2164" s="245"/>
      <c r="AG2164" s="245"/>
    </row>
    <row r="2165" spans="1:33" ht="26.4">
      <c r="A2165" s="391"/>
      <c r="B2165" s="245"/>
      <c r="C2165" s="245"/>
      <c r="D2165" s="245"/>
      <c r="E2165" s="245"/>
      <c r="F2165" s="319"/>
      <c r="G2165" s="245"/>
      <c r="H2165" s="245"/>
      <c r="I2165" s="245"/>
      <c r="P2165" s="366"/>
      <c r="R2165" s="355"/>
      <c r="S2165" s="369"/>
      <c r="T2165" s="328"/>
      <c r="U2165" s="394" ph="1"/>
      <c r="W2165" s="216"/>
      <c r="X2165" s="245"/>
      <c r="Y2165" s="187"/>
      <c r="Z2165" s="245"/>
      <c r="AA2165" s="245"/>
      <c r="AB2165" s="332"/>
      <c r="AD2165" s="245"/>
      <c r="AE2165" s="245"/>
      <c r="AF2165" s="245"/>
      <c r="AG2165" s="245"/>
    </row>
    <row r="2166" spans="1:33" ht="26.4">
      <c r="A2166" s="391"/>
      <c r="B2166" s="245"/>
      <c r="C2166" s="245"/>
      <c r="D2166" s="245"/>
      <c r="E2166" s="245"/>
      <c r="F2166" s="319"/>
      <c r="G2166" s="245"/>
      <c r="H2166" s="245"/>
      <c r="I2166" s="245"/>
      <c r="P2166" s="366"/>
      <c r="R2166" s="355"/>
      <c r="S2166" s="369"/>
      <c r="T2166" s="328"/>
      <c r="U2166" s="394" ph="1"/>
      <c r="W2166" s="216"/>
      <c r="X2166" s="245"/>
      <c r="Y2166" s="187"/>
      <c r="Z2166" s="245"/>
      <c r="AA2166" s="245"/>
      <c r="AB2166" s="332"/>
      <c r="AD2166" s="245"/>
      <c r="AE2166" s="245"/>
      <c r="AF2166" s="245"/>
      <c r="AG2166" s="245"/>
    </row>
    <row r="2167" spans="1:33" ht="26.4">
      <c r="A2167" s="391"/>
      <c r="B2167" s="245"/>
      <c r="C2167" s="245"/>
      <c r="D2167" s="245"/>
      <c r="E2167" s="245"/>
      <c r="F2167" s="319"/>
      <c r="G2167" s="245"/>
      <c r="H2167" s="245"/>
      <c r="I2167" s="245"/>
      <c r="P2167" s="366"/>
      <c r="R2167" s="355"/>
      <c r="S2167" s="369"/>
      <c r="T2167" s="328"/>
      <c r="U2167" s="394" ph="1"/>
      <c r="W2167" s="216"/>
      <c r="X2167" s="245"/>
      <c r="Y2167" s="187"/>
      <c r="Z2167" s="245"/>
      <c r="AA2167" s="245"/>
      <c r="AB2167" s="332"/>
      <c r="AD2167" s="245"/>
      <c r="AE2167" s="245"/>
      <c r="AF2167" s="245"/>
      <c r="AG2167" s="245"/>
    </row>
    <row r="2168" spans="1:33" ht="26.4">
      <c r="A2168" s="391"/>
      <c r="B2168" s="245"/>
      <c r="C2168" s="245"/>
      <c r="D2168" s="245"/>
      <c r="E2168" s="245"/>
      <c r="F2168" s="319"/>
      <c r="G2168" s="245"/>
      <c r="H2168" s="245"/>
      <c r="I2168" s="245"/>
      <c r="P2168" s="366"/>
      <c r="R2168" s="355"/>
      <c r="S2168" s="369"/>
      <c r="T2168" s="328"/>
      <c r="U2168" s="394" ph="1"/>
      <c r="W2168" s="216"/>
      <c r="X2168" s="245"/>
      <c r="Y2168" s="187"/>
      <c r="Z2168" s="245"/>
      <c r="AA2168" s="245"/>
      <c r="AB2168" s="332"/>
      <c r="AD2168" s="245"/>
      <c r="AE2168" s="245"/>
      <c r="AF2168" s="245"/>
      <c r="AG2168" s="245"/>
    </row>
    <row r="2169" spans="1:33" ht="26.4">
      <c r="A2169" s="391"/>
      <c r="B2169" s="245"/>
      <c r="C2169" s="245"/>
      <c r="D2169" s="245"/>
      <c r="E2169" s="245"/>
      <c r="F2169" s="319"/>
      <c r="G2169" s="245"/>
      <c r="H2169" s="245"/>
      <c r="I2169" s="245"/>
      <c r="P2169" s="366"/>
      <c r="R2169" s="355"/>
      <c r="S2169" s="369"/>
      <c r="T2169" s="328"/>
      <c r="U2169" s="394" ph="1"/>
      <c r="W2169" s="216"/>
      <c r="X2169" s="245"/>
      <c r="Y2169" s="187"/>
      <c r="Z2169" s="245"/>
      <c r="AA2169" s="245"/>
      <c r="AB2169" s="332"/>
      <c r="AD2169" s="245"/>
      <c r="AE2169" s="245"/>
      <c r="AF2169" s="245"/>
      <c r="AG2169" s="245"/>
    </row>
    <row r="2170" spans="1:33" ht="26.4">
      <c r="A2170" s="391"/>
      <c r="B2170" s="245"/>
      <c r="C2170" s="245"/>
      <c r="D2170" s="245"/>
      <c r="E2170" s="245"/>
      <c r="F2170" s="319"/>
      <c r="G2170" s="245"/>
      <c r="H2170" s="245"/>
      <c r="I2170" s="245"/>
      <c r="P2170" s="366"/>
      <c r="R2170" s="355"/>
      <c r="S2170" s="369"/>
      <c r="T2170" s="328"/>
      <c r="U2170" s="394" ph="1"/>
      <c r="W2170" s="216"/>
      <c r="X2170" s="245"/>
      <c r="Y2170" s="187"/>
      <c r="Z2170" s="245"/>
      <c r="AA2170" s="245"/>
      <c r="AB2170" s="332"/>
      <c r="AD2170" s="245"/>
      <c r="AE2170" s="245"/>
      <c r="AF2170" s="245"/>
      <c r="AG2170" s="245"/>
    </row>
    <row r="2171" spans="1:33" ht="26.4">
      <c r="A2171" s="391"/>
      <c r="B2171" s="245"/>
      <c r="C2171" s="245"/>
      <c r="D2171" s="245"/>
      <c r="E2171" s="245"/>
      <c r="F2171" s="319"/>
      <c r="G2171" s="245"/>
      <c r="H2171" s="245"/>
      <c r="I2171" s="245"/>
      <c r="P2171" s="366"/>
      <c r="R2171" s="355"/>
      <c r="S2171" s="369"/>
      <c r="T2171" s="328"/>
      <c r="U2171" s="394" ph="1"/>
      <c r="W2171" s="216"/>
      <c r="X2171" s="245"/>
      <c r="Y2171" s="187"/>
      <c r="Z2171" s="245"/>
      <c r="AA2171" s="245"/>
      <c r="AB2171" s="332"/>
      <c r="AD2171" s="245"/>
      <c r="AE2171" s="245"/>
      <c r="AF2171" s="245"/>
      <c r="AG2171" s="245"/>
    </row>
    <row r="2172" spans="1:33" ht="26.4">
      <c r="A2172" s="391"/>
      <c r="B2172" s="245"/>
      <c r="C2172" s="245"/>
      <c r="D2172" s="245"/>
      <c r="E2172" s="245"/>
      <c r="F2172" s="319"/>
      <c r="G2172" s="245"/>
      <c r="H2172" s="245"/>
      <c r="I2172" s="245"/>
      <c r="P2172" s="366"/>
      <c r="R2172" s="355"/>
      <c r="S2172" s="369"/>
      <c r="T2172" s="328"/>
      <c r="U2172" s="394" ph="1"/>
      <c r="W2172" s="216"/>
      <c r="X2172" s="245"/>
      <c r="Y2172" s="187"/>
      <c r="Z2172" s="245"/>
      <c r="AA2172" s="245"/>
      <c r="AB2172" s="332"/>
      <c r="AD2172" s="245"/>
      <c r="AE2172" s="245"/>
      <c r="AF2172" s="245"/>
      <c r="AG2172" s="245"/>
    </row>
    <row r="2173" spans="1:33" ht="26.4">
      <c r="A2173" s="391"/>
      <c r="B2173" s="245"/>
      <c r="C2173" s="245"/>
      <c r="D2173" s="245"/>
      <c r="E2173" s="245"/>
      <c r="F2173" s="319"/>
      <c r="G2173" s="245"/>
      <c r="H2173" s="245"/>
      <c r="I2173" s="245"/>
      <c r="P2173" s="366"/>
      <c r="R2173" s="355"/>
      <c r="S2173" s="369"/>
      <c r="T2173" s="328"/>
      <c r="U2173" s="394" ph="1"/>
      <c r="W2173" s="216"/>
      <c r="X2173" s="245"/>
      <c r="Y2173" s="187"/>
      <c r="Z2173" s="245"/>
      <c r="AA2173" s="245"/>
      <c r="AB2173" s="332"/>
      <c r="AD2173" s="245"/>
      <c r="AE2173" s="245"/>
      <c r="AF2173" s="245"/>
      <c r="AG2173" s="245"/>
    </row>
    <row r="2174" spans="1:33" ht="26.4">
      <c r="A2174" s="391"/>
      <c r="B2174" s="245"/>
      <c r="C2174" s="245"/>
      <c r="D2174" s="245"/>
      <c r="E2174" s="245"/>
      <c r="F2174" s="319"/>
      <c r="G2174" s="245"/>
      <c r="H2174" s="245"/>
      <c r="I2174" s="245"/>
      <c r="P2174" s="366"/>
      <c r="R2174" s="355"/>
      <c r="S2174" s="369"/>
      <c r="T2174" s="328"/>
      <c r="U2174" s="394" ph="1"/>
      <c r="W2174" s="216"/>
      <c r="X2174" s="245"/>
      <c r="Y2174" s="187"/>
      <c r="Z2174" s="245"/>
      <c r="AA2174" s="245"/>
      <c r="AB2174" s="332"/>
      <c r="AD2174" s="245"/>
      <c r="AE2174" s="245"/>
      <c r="AF2174" s="245"/>
      <c r="AG2174" s="245"/>
    </row>
    <row r="2175" spans="1:33" ht="26.4">
      <c r="A2175" s="391"/>
      <c r="B2175" s="245"/>
      <c r="C2175" s="245"/>
      <c r="D2175" s="245"/>
      <c r="E2175" s="245"/>
      <c r="F2175" s="319"/>
      <c r="G2175" s="245"/>
      <c r="H2175" s="245"/>
      <c r="I2175" s="245"/>
      <c r="P2175" s="366"/>
      <c r="R2175" s="355"/>
      <c r="S2175" s="369"/>
      <c r="T2175" s="328"/>
      <c r="U2175" s="394" ph="1"/>
      <c r="W2175" s="216"/>
      <c r="X2175" s="245"/>
      <c r="Y2175" s="187"/>
      <c r="Z2175" s="245"/>
      <c r="AA2175" s="245"/>
      <c r="AB2175" s="332"/>
      <c r="AD2175" s="245"/>
      <c r="AE2175" s="245"/>
      <c r="AF2175" s="245"/>
      <c r="AG2175" s="245"/>
    </row>
    <row r="2176" spans="1:33" ht="26.4">
      <c r="A2176" s="391"/>
      <c r="B2176" s="245"/>
      <c r="C2176" s="245"/>
      <c r="D2176" s="245"/>
      <c r="E2176" s="245"/>
      <c r="F2176" s="319"/>
      <c r="G2176" s="245"/>
      <c r="H2176" s="245"/>
      <c r="I2176" s="245"/>
      <c r="P2176" s="366"/>
      <c r="R2176" s="355"/>
      <c r="S2176" s="369"/>
      <c r="T2176" s="328"/>
      <c r="U2176" s="394" ph="1"/>
      <c r="W2176" s="216"/>
      <c r="X2176" s="245"/>
      <c r="Y2176" s="187"/>
      <c r="Z2176" s="245"/>
      <c r="AA2176" s="245"/>
      <c r="AB2176" s="332"/>
      <c r="AD2176" s="245"/>
      <c r="AE2176" s="245"/>
      <c r="AF2176" s="245"/>
      <c r="AG2176" s="245"/>
    </row>
    <row r="2177" spans="1:33" ht="26.4">
      <c r="A2177" s="391"/>
      <c r="B2177" s="245"/>
      <c r="C2177" s="245"/>
      <c r="D2177" s="245"/>
      <c r="E2177" s="245"/>
      <c r="F2177" s="319"/>
      <c r="G2177" s="245"/>
      <c r="H2177" s="245"/>
      <c r="I2177" s="245"/>
      <c r="P2177" s="366"/>
      <c r="R2177" s="355"/>
      <c r="S2177" s="369"/>
      <c r="T2177" s="328"/>
      <c r="U2177" s="394" ph="1"/>
      <c r="W2177" s="216"/>
      <c r="X2177" s="245"/>
      <c r="Y2177" s="187"/>
      <c r="Z2177" s="245"/>
      <c r="AA2177" s="245"/>
      <c r="AB2177" s="332"/>
      <c r="AD2177" s="245"/>
      <c r="AE2177" s="245"/>
      <c r="AF2177" s="245"/>
      <c r="AG2177" s="245"/>
    </row>
    <row r="2178" spans="1:33" ht="26.4">
      <c r="A2178" s="391"/>
      <c r="B2178" s="245"/>
      <c r="C2178" s="245"/>
      <c r="D2178" s="245"/>
      <c r="E2178" s="245"/>
      <c r="F2178" s="319"/>
      <c r="G2178" s="245"/>
      <c r="H2178" s="245"/>
      <c r="I2178" s="245"/>
      <c r="P2178" s="366"/>
      <c r="R2178" s="355"/>
      <c r="S2178" s="369"/>
      <c r="T2178" s="328"/>
      <c r="U2178" s="394" ph="1"/>
      <c r="W2178" s="216"/>
      <c r="X2178" s="245"/>
      <c r="Y2178" s="187"/>
      <c r="Z2178" s="245"/>
      <c r="AA2178" s="245"/>
      <c r="AB2178" s="332"/>
      <c r="AD2178" s="245"/>
      <c r="AE2178" s="245"/>
      <c r="AF2178" s="245"/>
      <c r="AG2178" s="245"/>
    </row>
    <row r="2179" spans="1:33" ht="26.4">
      <c r="A2179" s="391"/>
      <c r="B2179" s="245"/>
      <c r="C2179" s="245"/>
      <c r="D2179" s="245"/>
      <c r="E2179" s="245"/>
      <c r="F2179" s="319"/>
      <c r="G2179" s="245"/>
      <c r="H2179" s="245"/>
      <c r="I2179" s="245"/>
      <c r="P2179" s="366"/>
      <c r="R2179" s="355"/>
      <c r="S2179" s="369"/>
      <c r="T2179" s="328"/>
      <c r="U2179" s="394" ph="1"/>
      <c r="W2179" s="216"/>
      <c r="X2179" s="245"/>
      <c r="Y2179" s="187"/>
      <c r="Z2179" s="245"/>
      <c r="AA2179" s="245"/>
      <c r="AB2179" s="332"/>
      <c r="AD2179" s="245"/>
      <c r="AE2179" s="245"/>
      <c r="AF2179" s="245"/>
      <c r="AG2179" s="245"/>
    </row>
    <row r="2180" spans="1:33" ht="26.4">
      <c r="A2180" s="391"/>
      <c r="B2180" s="245"/>
      <c r="C2180" s="245"/>
      <c r="D2180" s="245"/>
      <c r="E2180" s="245"/>
      <c r="F2180" s="319"/>
      <c r="G2180" s="245"/>
      <c r="H2180" s="245"/>
      <c r="I2180" s="245"/>
      <c r="P2180" s="366"/>
      <c r="R2180" s="355"/>
      <c r="S2180" s="369"/>
      <c r="T2180" s="328"/>
      <c r="U2180" s="394" ph="1"/>
      <c r="W2180" s="216"/>
      <c r="X2180" s="245"/>
      <c r="Y2180" s="187"/>
      <c r="Z2180" s="245"/>
      <c r="AA2180" s="245"/>
      <c r="AB2180" s="332"/>
      <c r="AD2180" s="245"/>
      <c r="AE2180" s="245"/>
      <c r="AF2180" s="245"/>
      <c r="AG2180" s="245"/>
    </row>
    <row r="2181" spans="1:33" ht="26.4">
      <c r="A2181" s="391"/>
      <c r="B2181" s="245"/>
      <c r="C2181" s="245"/>
      <c r="D2181" s="245"/>
      <c r="E2181" s="245"/>
      <c r="F2181" s="319"/>
      <c r="G2181" s="245"/>
      <c r="H2181" s="245"/>
      <c r="I2181" s="245"/>
      <c r="P2181" s="366"/>
      <c r="R2181" s="355"/>
      <c r="S2181" s="369"/>
      <c r="T2181" s="328"/>
      <c r="U2181" s="394" ph="1"/>
      <c r="W2181" s="216"/>
      <c r="X2181" s="245"/>
      <c r="Y2181" s="187"/>
      <c r="Z2181" s="245"/>
      <c r="AA2181" s="245"/>
      <c r="AB2181" s="332"/>
      <c r="AD2181" s="245"/>
      <c r="AE2181" s="245"/>
      <c r="AF2181" s="245"/>
      <c r="AG2181" s="245"/>
    </row>
    <row r="2182" spans="1:33" ht="26.4">
      <c r="A2182" s="391"/>
      <c r="B2182" s="245"/>
      <c r="C2182" s="245"/>
      <c r="D2182" s="245"/>
      <c r="E2182" s="245"/>
      <c r="F2182" s="319"/>
      <c r="G2182" s="245"/>
      <c r="H2182" s="245"/>
      <c r="I2182" s="245"/>
      <c r="P2182" s="366"/>
      <c r="R2182" s="355"/>
      <c r="S2182" s="369"/>
      <c r="T2182" s="328"/>
      <c r="U2182" s="394" ph="1"/>
      <c r="W2182" s="216"/>
      <c r="X2182" s="245"/>
      <c r="Y2182" s="187"/>
      <c r="Z2182" s="245"/>
      <c r="AA2182" s="245"/>
      <c r="AB2182" s="332"/>
      <c r="AD2182" s="245"/>
      <c r="AE2182" s="245"/>
      <c r="AF2182" s="245"/>
      <c r="AG2182" s="245"/>
    </row>
    <row r="2183" spans="1:33" ht="26.4">
      <c r="A2183" s="391"/>
      <c r="B2183" s="245"/>
      <c r="C2183" s="245"/>
      <c r="D2183" s="245"/>
      <c r="E2183" s="245"/>
      <c r="F2183" s="319"/>
      <c r="G2183" s="245"/>
      <c r="H2183" s="245"/>
      <c r="I2183" s="245"/>
      <c r="P2183" s="366"/>
      <c r="R2183" s="355"/>
      <c r="S2183" s="369"/>
      <c r="T2183" s="328"/>
      <c r="U2183" s="394" ph="1"/>
      <c r="W2183" s="216"/>
      <c r="X2183" s="245"/>
      <c r="Y2183" s="187"/>
      <c r="Z2183" s="245"/>
      <c r="AA2183" s="245"/>
      <c r="AB2183" s="332"/>
      <c r="AD2183" s="245"/>
      <c r="AE2183" s="245"/>
      <c r="AF2183" s="245"/>
      <c r="AG2183" s="245"/>
    </row>
    <row r="2184" spans="1:33" ht="26.4">
      <c r="A2184" s="391"/>
      <c r="B2184" s="245"/>
      <c r="C2184" s="245"/>
      <c r="D2184" s="245"/>
      <c r="E2184" s="245"/>
      <c r="F2184" s="319"/>
      <c r="G2184" s="245"/>
      <c r="H2184" s="245"/>
      <c r="I2184" s="245"/>
      <c r="P2184" s="366"/>
      <c r="R2184" s="355"/>
      <c r="S2184" s="369"/>
      <c r="T2184" s="328"/>
      <c r="U2184" s="394" ph="1"/>
      <c r="W2184" s="216"/>
      <c r="X2184" s="245"/>
      <c r="Y2184" s="187"/>
      <c r="Z2184" s="245"/>
      <c r="AA2184" s="245"/>
      <c r="AB2184" s="332"/>
      <c r="AD2184" s="245"/>
      <c r="AE2184" s="245"/>
      <c r="AF2184" s="245"/>
      <c r="AG2184" s="245"/>
    </row>
    <row r="2185" spans="1:33" ht="26.4">
      <c r="A2185" s="391"/>
      <c r="B2185" s="245"/>
      <c r="C2185" s="245"/>
      <c r="D2185" s="245"/>
      <c r="E2185" s="245"/>
      <c r="F2185" s="319"/>
      <c r="G2185" s="245"/>
      <c r="H2185" s="245"/>
      <c r="I2185" s="245"/>
      <c r="P2185" s="366"/>
      <c r="R2185" s="355"/>
      <c r="S2185" s="369"/>
      <c r="T2185" s="328"/>
      <c r="U2185" s="394" ph="1"/>
      <c r="W2185" s="216"/>
      <c r="X2185" s="245"/>
      <c r="Y2185" s="187"/>
      <c r="Z2185" s="245"/>
      <c r="AA2185" s="245"/>
      <c r="AB2185" s="332"/>
      <c r="AD2185" s="245"/>
      <c r="AE2185" s="245"/>
      <c r="AF2185" s="245"/>
      <c r="AG2185" s="245"/>
    </row>
    <row r="2186" spans="1:33" ht="26.4">
      <c r="A2186" s="391"/>
      <c r="B2186" s="245"/>
      <c r="C2186" s="245"/>
      <c r="D2186" s="245"/>
      <c r="E2186" s="245"/>
      <c r="F2186" s="319"/>
      <c r="G2186" s="245"/>
      <c r="H2186" s="245"/>
      <c r="I2186" s="245"/>
      <c r="P2186" s="366"/>
      <c r="R2186" s="355"/>
      <c r="S2186" s="369"/>
      <c r="T2186" s="328"/>
      <c r="U2186" s="394" ph="1"/>
      <c r="W2186" s="216"/>
      <c r="X2186" s="245"/>
      <c r="Y2186" s="187"/>
      <c r="Z2186" s="245"/>
      <c r="AA2186" s="245"/>
      <c r="AB2186" s="332"/>
      <c r="AD2186" s="245"/>
      <c r="AE2186" s="245"/>
      <c r="AF2186" s="245"/>
      <c r="AG2186" s="245"/>
    </row>
    <row r="2187" spans="1:33" ht="26.4">
      <c r="A2187" s="391"/>
      <c r="B2187" s="245"/>
      <c r="C2187" s="245"/>
      <c r="D2187" s="245"/>
      <c r="E2187" s="245"/>
      <c r="F2187" s="319"/>
      <c r="G2187" s="245"/>
      <c r="H2187" s="245"/>
      <c r="I2187" s="245"/>
      <c r="P2187" s="366"/>
      <c r="R2187" s="355"/>
      <c r="S2187" s="369"/>
      <c r="T2187" s="328"/>
      <c r="U2187" s="394" ph="1"/>
      <c r="W2187" s="216"/>
      <c r="X2187" s="245"/>
      <c r="Y2187" s="187"/>
      <c r="Z2187" s="245"/>
      <c r="AA2187" s="245"/>
      <c r="AB2187" s="332"/>
      <c r="AD2187" s="245"/>
      <c r="AE2187" s="245"/>
      <c r="AF2187" s="245"/>
      <c r="AG2187" s="245"/>
    </row>
    <row r="2188" spans="1:33" ht="26.4">
      <c r="A2188" s="391"/>
      <c r="B2188" s="245"/>
      <c r="C2188" s="245"/>
      <c r="D2188" s="245"/>
      <c r="E2188" s="245"/>
      <c r="F2188" s="319"/>
      <c r="G2188" s="245"/>
      <c r="H2188" s="245"/>
      <c r="I2188" s="245"/>
      <c r="P2188" s="366"/>
      <c r="R2188" s="355"/>
      <c r="S2188" s="369"/>
      <c r="T2188" s="328"/>
      <c r="U2188" s="394" ph="1"/>
      <c r="W2188" s="216"/>
      <c r="X2188" s="245"/>
      <c r="Y2188" s="187"/>
      <c r="Z2188" s="245"/>
      <c r="AA2188" s="245"/>
      <c r="AB2188" s="332"/>
      <c r="AD2188" s="245"/>
      <c r="AE2188" s="245"/>
      <c r="AF2188" s="245"/>
      <c r="AG2188" s="245"/>
    </row>
    <row r="2189" spans="1:33" ht="26.4">
      <c r="A2189" s="391"/>
      <c r="B2189" s="245"/>
      <c r="C2189" s="245"/>
      <c r="D2189" s="245"/>
      <c r="E2189" s="245"/>
      <c r="F2189" s="319"/>
      <c r="G2189" s="245"/>
      <c r="H2189" s="245"/>
      <c r="I2189" s="245"/>
      <c r="P2189" s="366"/>
      <c r="R2189" s="355"/>
      <c r="S2189" s="369"/>
      <c r="T2189" s="328"/>
      <c r="U2189" s="394" ph="1"/>
      <c r="W2189" s="216"/>
      <c r="X2189" s="245"/>
      <c r="Y2189" s="187"/>
      <c r="Z2189" s="245"/>
      <c r="AA2189" s="245"/>
      <c r="AB2189" s="332"/>
      <c r="AD2189" s="245"/>
      <c r="AE2189" s="245"/>
      <c r="AF2189" s="245"/>
      <c r="AG2189" s="245"/>
    </row>
    <row r="2190" spans="1:33" ht="26.4">
      <c r="A2190" s="391"/>
      <c r="B2190" s="245"/>
      <c r="C2190" s="245"/>
      <c r="D2190" s="245"/>
      <c r="E2190" s="245"/>
      <c r="F2190" s="319"/>
      <c r="G2190" s="245"/>
      <c r="H2190" s="245"/>
      <c r="I2190" s="245"/>
      <c r="P2190" s="366"/>
      <c r="R2190" s="355"/>
      <c r="S2190" s="369"/>
      <c r="T2190" s="328"/>
      <c r="U2190" s="394" ph="1"/>
      <c r="W2190" s="216"/>
      <c r="X2190" s="245"/>
      <c r="Y2190" s="187"/>
      <c r="Z2190" s="245"/>
      <c r="AA2190" s="245"/>
      <c r="AB2190" s="332"/>
      <c r="AD2190" s="245"/>
      <c r="AE2190" s="245"/>
      <c r="AF2190" s="245"/>
      <c r="AG2190" s="245"/>
    </row>
    <row r="2191" spans="1:33" ht="26.4">
      <c r="A2191" s="391"/>
      <c r="B2191" s="245"/>
      <c r="C2191" s="245"/>
      <c r="D2191" s="245"/>
      <c r="E2191" s="245"/>
      <c r="F2191" s="319"/>
      <c r="G2191" s="245"/>
      <c r="H2191" s="245"/>
      <c r="I2191" s="245"/>
      <c r="P2191" s="366"/>
      <c r="R2191" s="355"/>
      <c r="S2191" s="369"/>
      <c r="T2191" s="328"/>
      <c r="U2191" s="394" ph="1"/>
      <c r="W2191" s="216"/>
      <c r="X2191" s="245"/>
      <c r="Y2191" s="187"/>
      <c r="Z2191" s="245"/>
      <c r="AA2191" s="245"/>
      <c r="AB2191" s="332"/>
      <c r="AD2191" s="245"/>
      <c r="AE2191" s="245"/>
      <c r="AF2191" s="245"/>
      <c r="AG2191" s="245"/>
    </row>
    <row r="2192" spans="1:33" ht="26.4">
      <c r="A2192" s="391"/>
      <c r="B2192" s="245"/>
      <c r="C2192" s="245"/>
      <c r="D2192" s="245"/>
      <c r="E2192" s="245"/>
      <c r="F2192" s="319"/>
      <c r="G2192" s="245"/>
      <c r="H2192" s="245"/>
      <c r="I2192" s="245"/>
      <c r="P2192" s="366"/>
      <c r="R2192" s="355"/>
      <c r="S2192" s="369"/>
      <c r="T2192" s="328"/>
      <c r="U2192" s="394" ph="1"/>
      <c r="W2192" s="216"/>
      <c r="X2192" s="245"/>
      <c r="Y2192" s="187"/>
      <c r="Z2192" s="245"/>
      <c r="AA2192" s="245"/>
      <c r="AB2192" s="332"/>
      <c r="AD2192" s="245"/>
      <c r="AE2192" s="245"/>
      <c r="AF2192" s="245"/>
      <c r="AG2192" s="245"/>
    </row>
    <row r="2193" spans="1:33" ht="26.4">
      <c r="A2193" s="391"/>
      <c r="B2193" s="245"/>
      <c r="C2193" s="245"/>
      <c r="D2193" s="245"/>
      <c r="E2193" s="245"/>
      <c r="F2193" s="319"/>
      <c r="G2193" s="245"/>
      <c r="H2193" s="245"/>
      <c r="I2193" s="245"/>
      <c r="P2193" s="366"/>
      <c r="R2193" s="355"/>
      <c r="S2193" s="369"/>
      <c r="T2193" s="328"/>
      <c r="U2193" s="394" ph="1"/>
      <c r="W2193" s="216"/>
      <c r="X2193" s="245"/>
      <c r="Y2193" s="187"/>
      <c r="Z2193" s="245"/>
      <c r="AA2193" s="245"/>
      <c r="AB2193" s="332"/>
      <c r="AD2193" s="245"/>
      <c r="AE2193" s="245"/>
      <c r="AF2193" s="245"/>
      <c r="AG2193" s="245"/>
    </row>
    <row r="2194" spans="1:33" ht="26.4">
      <c r="A2194" s="391"/>
      <c r="B2194" s="245"/>
      <c r="C2194" s="245"/>
      <c r="D2194" s="245"/>
      <c r="E2194" s="245"/>
      <c r="F2194" s="319"/>
      <c r="G2194" s="245"/>
      <c r="H2194" s="245"/>
      <c r="I2194" s="245"/>
      <c r="P2194" s="366"/>
      <c r="R2194" s="355"/>
      <c r="S2194" s="369"/>
      <c r="T2194" s="328"/>
      <c r="U2194" s="394" ph="1"/>
      <c r="W2194" s="216"/>
      <c r="X2194" s="245"/>
      <c r="Y2194" s="187"/>
      <c r="Z2194" s="245"/>
      <c r="AA2194" s="245"/>
      <c r="AB2194" s="332"/>
      <c r="AD2194" s="245"/>
      <c r="AE2194" s="245"/>
      <c r="AF2194" s="245"/>
      <c r="AG2194" s="245"/>
    </row>
    <row r="2195" spans="1:33" ht="26.4">
      <c r="A2195" s="391"/>
      <c r="B2195" s="245"/>
      <c r="C2195" s="245"/>
      <c r="D2195" s="245"/>
      <c r="E2195" s="245"/>
      <c r="F2195" s="319"/>
      <c r="G2195" s="245"/>
      <c r="H2195" s="245"/>
      <c r="I2195" s="245"/>
      <c r="P2195" s="366"/>
      <c r="R2195" s="355"/>
      <c r="S2195" s="369"/>
      <c r="T2195" s="328"/>
      <c r="U2195" s="394" ph="1"/>
      <c r="W2195" s="216"/>
      <c r="X2195" s="245"/>
      <c r="Y2195" s="187"/>
      <c r="Z2195" s="245"/>
      <c r="AA2195" s="245"/>
      <c r="AB2195" s="332"/>
      <c r="AD2195" s="245"/>
      <c r="AE2195" s="245"/>
      <c r="AF2195" s="245"/>
      <c r="AG2195" s="245"/>
    </row>
    <row r="2196" spans="1:33" ht="26.4">
      <c r="A2196" s="391"/>
      <c r="B2196" s="245"/>
      <c r="C2196" s="245"/>
      <c r="D2196" s="245"/>
      <c r="E2196" s="245"/>
      <c r="F2196" s="319"/>
      <c r="G2196" s="245"/>
      <c r="H2196" s="245"/>
      <c r="I2196" s="245"/>
      <c r="P2196" s="366"/>
      <c r="R2196" s="355"/>
      <c r="S2196" s="369"/>
      <c r="T2196" s="328"/>
      <c r="U2196" s="394" ph="1"/>
      <c r="W2196" s="216"/>
      <c r="X2196" s="245"/>
      <c r="Y2196" s="187"/>
      <c r="Z2196" s="245"/>
      <c r="AA2196" s="245"/>
      <c r="AB2196" s="332"/>
      <c r="AD2196" s="245"/>
      <c r="AE2196" s="245"/>
      <c r="AF2196" s="245"/>
      <c r="AG2196" s="245"/>
    </row>
    <row r="2197" spans="1:33" ht="26.4">
      <c r="A2197" s="391"/>
      <c r="B2197" s="245"/>
      <c r="C2197" s="245"/>
      <c r="D2197" s="245"/>
      <c r="E2197" s="245"/>
      <c r="F2197" s="319"/>
      <c r="G2197" s="245"/>
      <c r="H2197" s="245"/>
      <c r="I2197" s="245"/>
      <c r="P2197" s="366"/>
      <c r="R2197" s="355"/>
      <c r="S2197" s="369"/>
      <c r="T2197" s="328"/>
      <c r="U2197" s="394" ph="1"/>
      <c r="W2197" s="216"/>
      <c r="X2197" s="245"/>
      <c r="Y2197" s="187"/>
      <c r="Z2197" s="245"/>
      <c r="AA2197" s="245"/>
      <c r="AB2197" s="332"/>
      <c r="AD2197" s="245"/>
      <c r="AE2197" s="245"/>
      <c r="AF2197" s="245"/>
      <c r="AG2197" s="245"/>
    </row>
    <row r="2198" spans="1:33" ht="26.4">
      <c r="A2198" s="391"/>
      <c r="B2198" s="245"/>
      <c r="C2198" s="245"/>
      <c r="D2198" s="245"/>
      <c r="E2198" s="245"/>
      <c r="F2198" s="319"/>
      <c r="G2198" s="245"/>
      <c r="H2198" s="245"/>
      <c r="I2198" s="245"/>
      <c r="P2198" s="366"/>
      <c r="R2198" s="355"/>
      <c r="S2198" s="369"/>
      <c r="T2198" s="328"/>
      <c r="U2198" s="394" ph="1"/>
      <c r="W2198" s="216"/>
      <c r="X2198" s="245"/>
      <c r="Y2198" s="187"/>
      <c r="Z2198" s="245"/>
      <c r="AA2198" s="245"/>
      <c r="AB2198" s="332"/>
      <c r="AD2198" s="245"/>
      <c r="AE2198" s="245"/>
      <c r="AF2198" s="245"/>
      <c r="AG2198" s="245"/>
    </row>
    <row r="2199" spans="1:33" ht="26.4">
      <c r="A2199" s="391"/>
      <c r="B2199" s="245"/>
      <c r="C2199" s="245"/>
      <c r="D2199" s="245"/>
      <c r="E2199" s="245"/>
      <c r="F2199" s="319"/>
      <c r="G2199" s="245"/>
      <c r="H2199" s="245"/>
      <c r="I2199" s="245"/>
      <c r="P2199" s="366"/>
      <c r="R2199" s="355"/>
      <c r="S2199" s="369"/>
      <c r="T2199" s="328"/>
      <c r="U2199" s="394" ph="1"/>
      <c r="W2199" s="216"/>
      <c r="X2199" s="245"/>
      <c r="Y2199" s="187"/>
      <c r="Z2199" s="245"/>
      <c r="AA2199" s="245"/>
      <c r="AB2199" s="332"/>
      <c r="AD2199" s="245"/>
      <c r="AE2199" s="245"/>
      <c r="AF2199" s="245"/>
      <c r="AG2199" s="245"/>
    </row>
    <row r="2200" spans="1:33" ht="26.4">
      <c r="A2200" s="391"/>
      <c r="B2200" s="245"/>
      <c r="C2200" s="245"/>
      <c r="D2200" s="245"/>
      <c r="E2200" s="245"/>
      <c r="F2200" s="319"/>
      <c r="G2200" s="245"/>
      <c r="H2200" s="245"/>
      <c r="I2200" s="245"/>
      <c r="P2200" s="366"/>
      <c r="R2200" s="355"/>
      <c r="S2200" s="369"/>
      <c r="T2200" s="328"/>
      <c r="U2200" s="394" ph="1"/>
      <c r="W2200" s="216"/>
      <c r="X2200" s="245"/>
      <c r="Y2200" s="187"/>
      <c r="Z2200" s="245"/>
      <c r="AA2200" s="245"/>
      <c r="AB2200" s="332"/>
      <c r="AD2200" s="245"/>
      <c r="AE2200" s="245"/>
      <c r="AF2200" s="245"/>
      <c r="AG2200" s="245"/>
    </row>
    <row r="2201" spans="1:33" ht="26.4">
      <c r="A2201" s="391"/>
      <c r="B2201" s="245"/>
      <c r="C2201" s="245"/>
      <c r="D2201" s="245"/>
      <c r="E2201" s="245"/>
      <c r="F2201" s="319"/>
      <c r="G2201" s="245"/>
      <c r="H2201" s="245"/>
      <c r="I2201" s="245"/>
      <c r="P2201" s="366"/>
      <c r="R2201" s="355"/>
      <c r="S2201" s="369"/>
      <c r="T2201" s="328"/>
      <c r="U2201" s="394" ph="1"/>
      <c r="W2201" s="216"/>
      <c r="X2201" s="245"/>
      <c r="Y2201" s="187"/>
      <c r="Z2201" s="245"/>
      <c r="AA2201" s="245"/>
      <c r="AB2201" s="332"/>
      <c r="AD2201" s="245"/>
      <c r="AE2201" s="245"/>
      <c r="AF2201" s="245"/>
      <c r="AG2201" s="245"/>
    </row>
    <row r="2202" spans="1:33" ht="26.4">
      <c r="A2202" s="391"/>
      <c r="B2202" s="245"/>
      <c r="C2202" s="245"/>
      <c r="D2202" s="245"/>
      <c r="E2202" s="245"/>
      <c r="F2202" s="319"/>
      <c r="G2202" s="245"/>
      <c r="H2202" s="245"/>
      <c r="I2202" s="245"/>
      <c r="P2202" s="366"/>
      <c r="R2202" s="355"/>
      <c r="S2202" s="369"/>
      <c r="T2202" s="328"/>
      <c r="U2202" s="394" ph="1"/>
      <c r="W2202" s="216"/>
      <c r="X2202" s="245"/>
      <c r="Y2202" s="187"/>
      <c r="Z2202" s="245"/>
      <c r="AA2202" s="245"/>
      <c r="AB2202" s="332"/>
      <c r="AD2202" s="245"/>
      <c r="AE2202" s="245"/>
      <c r="AF2202" s="245"/>
      <c r="AG2202" s="245"/>
    </row>
    <row r="2203" spans="1:33" ht="26.4">
      <c r="A2203" s="391"/>
      <c r="B2203" s="245"/>
      <c r="C2203" s="245"/>
      <c r="D2203" s="245"/>
      <c r="E2203" s="245"/>
      <c r="F2203" s="319"/>
      <c r="G2203" s="245"/>
      <c r="H2203" s="245"/>
      <c r="I2203" s="245"/>
      <c r="P2203" s="366"/>
      <c r="R2203" s="355"/>
      <c r="S2203" s="369"/>
      <c r="T2203" s="328"/>
      <c r="U2203" s="394" ph="1"/>
      <c r="W2203" s="216"/>
      <c r="X2203" s="245"/>
      <c r="Y2203" s="187"/>
      <c r="Z2203" s="245"/>
      <c r="AA2203" s="245"/>
      <c r="AB2203" s="332"/>
      <c r="AD2203" s="245"/>
      <c r="AE2203" s="245"/>
      <c r="AF2203" s="245"/>
      <c r="AG2203" s="245"/>
    </row>
    <row r="2204" spans="1:33" ht="26.4">
      <c r="A2204" s="391"/>
      <c r="B2204" s="245"/>
      <c r="C2204" s="245"/>
      <c r="D2204" s="245"/>
      <c r="E2204" s="245"/>
      <c r="F2204" s="319"/>
      <c r="G2204" s="245"/>
      <c r="H2204" s="245"/>
      <c r="I2204" s="245"/>
      <c r="P2204" s="366"/>
      <c r="R2204" s="355"/>
      <c r="S2204" s="369"/>
      <c r="T2204" s="328"/>
      <c r="U2204" s="394" ph="1"/>
      <c r="W2204" s="216"/>
      <c r="X2204" s="245"/>
      <c r="Y2204" s="187"/>
      <c r="Z2204" s="245"/>
      <c r="AA2204" s="245"/>
      <c r="AB2204" s="332"/>
      <c r="AD2204" s="245"/>
      <c r="AE2204" s="245"/>
      <c r="AF2204" s="245"/>
      <c r="AG2204" s="245"/>
    </row>
    <row r="2205" spans="1:33" ht="26.4">
      <c r="A2205" s="391"/>
      <c r="B2205" s="245"/>
      <c r="C2205" s="245"/>
      <c r="D2205" s="245"/>
      <c r="E2205" s="245"/>
      <c r="F2205" s="319"/>
      <c r="G2205" s="245"/>
      <c r="H2205" s="245"/>
      <c r="I2205" s="245"/>
      <c r="P2205" s="366"/>
      <c r="R2205" s="355"/>
      <c r="S2205" s="369"/>
      <c r="T2205" s="328"/>
      <c r="U2205" s="394" ph="1"/>
      <c r="W2205" s="216"/>
      <c r="X2205" s="245"/>
      <c r="Y2205" s="187"/>
      <c r="Z2205" s="245"/>
      <c r="AA2205" s="245"/>
      <c r="AB2205" s="332"/>
      <c r="AD2205" s="245"/>
      <c r="AE2205" s="245"/>
      <c r="AF2205" s="245"/>
      <c r="AG2205" s="245"/>
    </row>
    <row r="2206" spans="1:33" ht="26.4">
      <c r="A2206" s="391"/>
      <c r="B2206" s="245"/>
      <c r="C2206" s="245"/>
      <c r="D2206" s="245"/>
      <c r="E2206" s="245"/>
      <c r="F2206" s="319"/>
      <c r="G2206" s="245"/>
      <c r="H2206" s="245"/>
      <c r="I2206" s="245"/>
      <c r="P2206" s="366"/>
      <c r="R2206" s="355"/>
      <c r="S2206" s="369"/>
      <c r="T2206" s="328"/>
      <c r="U2206" s="394" ph="1"/>
      <c r="W2206" s="216"/>
      <c r="X2206" s="245"/>
      <c r="Y2206" s="187"/>
      <c r="Z2206" s="245"/>
      <c r="AA2206" s="245"/>
      <c r="AB2206" s="332"/>
      <c r="AD2206" s="245"/>
      <c r="AE2206" s="245"/>
      <c r="AF2206" s="245"/>
      <c r="AG2206" s="245"/>
    </row>
    <row r="2207" spans="1:33" ht="26.4">
      <c r="A2207" s="391"/>
      <c r="B2207" s="245"/>
      <c r="C2207" s="245"/>
      <c r="D2207" s="245"/>
      <c r="E2207" s="245"/>
      <c r="F2207" s="319"/>
      <c r="G2207" s="245"/>
      <c r="H2207" s="245"/>
      <c r="I2207" s="245"/>
      <c r="P2207" s="366"/>
      <c r="R2207" s="355"/>
      <c r="S2207" s="369"/>
      <c r="T2207" s="328"/>
      <c r="U2207" s="394" ph="1"/>
      <c r="W2207" s="216"/>
      <c r="X2207" s="245"/>
      <c r="Y2207" s="187"/>
      <c r="Z2207" s="245"/>
      <c r="AA2207" s="245"/>
      <c r="AB2207" s="332"/>
      <c r="AD2207" s="245"/>
      <c r="AE2207" s="245"/>
      <c r="AF2207" s="245"/>
      <c r="AG2207" s="245"/>
    </row>
    <row r="2208" spans="1:33" ht="26.4">
      <c r="A2208" s="391"/>
      <c r="B2208" s="245"/>
      <c r="C2208" s="245"/>
      <c r="D2208" s="245"/>
      <c r="E2208" s="245"/>
      <c r="F2208" s="319"/>
      <c r="G2208" s="245"/>
      <c r="H2208" s="245"/>
      <c r="I2208" s="245"/>
      <c r="P2208" s="366"/>
      <c r="R2208" s="355"/>
      <c r="S2208" s="369"/>
      <c r="T2208" s="328"/>
      <c r="U2208" s="394" ph="1"/>
      <c r="W2208" s="216"/>
      <c r="X2208" s="245"/>
      <c r="Y2208" s="187"/>
      <c r="Z2208" s="245"/>
      <c r="AA2208" s="245"/>
      <c r="AB2208" s="332"/>
      <c r="AD2208" s="245"/>
      <c r="AE2208" s="245"/>
      <c r="AF2208" s="245"/>
      <c r="AG2208" s="245"/>
    </row>
    <row r="2209" spans="1:33" ht="26.4">
      <c r="A2209" s="391"/>
      <c r="B2209" s="245"/>
      <c r="C2209" s="245"/>
      <c r="D2209" s="245"/>
      <c r="E2209" s="245"/>
      <c r="F2209" s="319"/>
      <c r="G2209" s="245"/>
      <c r="H2209" s="245"/>
      <c r="I2209" s="245"/>
      <c r="P2209" s="366"/>
      <c r="R2209" s="355"/>
      <c r="S2209" s="369"/>
      <c r="T2209" s="328"/>
      <c r="U2209" s="394" ph="1"/>
      <c r="W2209" s="216"/>
      <c r="X2209" s="245"/>
      <c r="Y2209" s="187"/>
      <c r="Z2209" s="245"/>
      <c r="AA2209" s="245"/>
      <c r="AB2209" s="332"/>
      <c r="AD2209" s="245"/>
      <c r="AE2209" s="245"/>
      <c r="AF2209" s="245"/>
      <c r="AG2209" s="245"/>
    </row>
    <row r="2210" spans="1:33" ht="26.4">
      <c r="A2210" s="391"/>
      <c r="B2210" s="245"/>
      <c r="C2210" s="245"/>
      <c r="D2210" s="245"/>
      <c r="E2210" s="245"/>
      <c r="F2210" s="319"/>
      <c r="G2210" s="245"/>
      <c r="H2210" s="245"/>
      <c r="I2210" s="245"/>
      <c r="P2210" s="366"/>
      <c r="R2210" s="355"/>
      <c r="S2210" s="369"/>
      <c r="T2210" s="328"/>
      <c r="U2210" s="394" ph="1"/>
      <c r="W2210" s="216"/>
      <c r="X2210" s="245"/>
      <c r="Y2210" s="187"/>
      <c r="Z2210" s="245"/>
      <c r="AA2210" s="245"/>
      <c r="AB2210" s="332"/>
      <c r="AD2210" s="245"/>
      <c r="AE2210" s="245"/>
      <c r="AF2210" s="245"/>
      <c r="AG2210" s="245"/>
    </row>
    <row r="2211" spans="1:33" ht="26.4">
      <c r="A2211" s="391"/>
      <c r="B2211" s="245"/>
      <c r="C2211" s="245"/>
      <c r="D2211" s="245"/>
      <c r="E2211" s="245"/>
      <c r="F2211" s="319"/>
      <c r="G2211" s="245"/>
      <c r="H2211" s="245"/>
      <c r="I2211" s="245"/>
      <c r="P2211" s="366"/>
      <c r="R2211" s="355"/>
      <c r="S2211" s="369"/>
      <c r="T2211" s="328"/>
      <c r="U2211" s="394" ph="1"/>
      <c r="W2211" s="216"/>
      <c r="X2211" s="245"/>
      <c r="Y2211" s="187"/>
      <c r="Z2211" s="245"/>
      <c r="AA2211" s="245"/>
      <c r="AB2211" s="332"/>
      <c r="AD2211" s="245"/>
      <c r="AE2211" s="245"/>
      <c r="AF2211" s="245"/>
      <c r="AG2211" s="245"/>
    </row>
    <row r="2212" spans="1:33" ht="26.4">
      <c r="A2212" s="391"/>
      <c r="B2212" s="245"/>
      <c r="C2212" s="245"/>
      <c r="D2212" s="245"/>
      <c r="E2212" s="245"/>
      <c r="F2212" s="319"/>
      <c r="G2212" s="245"/>
      <c r="H2212" s="245"/>
      <c r="I2212" s="245"/>
      <c r="P2212" s="366"/>
      <c r="R2212" s="355"/>
      <c r="S2212" s="369"/>
      <c r="T2212" s="328"/>
      <c r="U2212" s="394" ph="1"/>
      <c r="W2212" s="216"/>
      <c r="X2212" s="245"/>
      <c r="Y2212" s="187"/>
      <c r="Z2212" s="245"/>
      <c r="AA2212" s="245"/>
      <c r="AB2212" s="332"/>
      <c r="AD2212" s="245"/>
      <c r="AE2212" s="245"/>
      <c r="AF2212" s="245"/>
      <c r="AG2212" s="245"/>
    </row>
    <row r="2213" spans="1:33" ht="26.4">
      <c r="A2213" s="391"/>
      <c r="B2213" s="245"/>
      <c r="C2213" s="245"/>
      <c r="D2213" s="245"/>
      <c r="E2213" s="245"/>
      <c r="F2213" s="319"/>
      <c r="G2213" s="245"/>
      <c r="H2213" s="245"/>
      <c r="I2213" s="245"/>
      <c r="P2213" s="366"/>
      <c r="R2213" s="355"/>
      <c r="S2213" s="369"/>
      <c r="T2213" s="328"/>
      <c r="U2213" s="394" ph="1"/>
      <c r="W2213" s="216"/>
      <c r="X2213" s="245"/>
      <c r="Y2213" s="187"/>
      <c r="Z2213" s="245"/>
      <c r="AA2213" s="245"/>
      <c r="AB2213" s="332"/>
      <c r="AD2213" s="245"/>
      <c r="AE2213" s="245"/>
      <c r="AF2213" s="245"/>
      <c r="AG2213" s="245"/>
    </row>
    <row r="2214" spans="1:33" ht="26.4">
      <c r="A2214" s="391"/>
      <c r="B2214" s="245"/>
      <c r="C2214" s="245"/>
      <c r="D2214" s="245"/>
      <c r="E2214" s="245"/>
      <c r="F2214" s="319"/>
      <c r="G2214" s="245"/>
      <c r="H2214" s="245"/>
      <c r="I2214" s="245"/>
      <c r="P2214" s="366"/>
      <c r="R2214" s="355"/>
      <c r="S2214" s="369"/>
      <c r="T2214" s="328"/>
      <c r="U2214" s="394" ph="1"/>
      <c r="W2214" s="216"/>
      <c r="X2214" s="245"/>
      <c r="Y2214" s="187"/>
      <c r="Z2214" s="245"/>
      <c r="AA2214" s="245"/>
      <c r="AB2214" s="332"/>
      <c r="AD2214" s="245"/>
      <c r="AE2214" s="245"/>
      <c r="AF2214" s="245"/>
      <c r="AG2214" s="245"/>
    </row>
    <row r="2215" spans="1:33" ht="26.4">
      <c r="A2215" s="391"/>
      <c r="B2215" s="245"/>
      <c r="C2215" s="245"/>
      <c r="D2215" s="245"/>
      <c r="E2215" s="245"/>
      <c r="F2215" s="319"/>
      <c r="G2215" s="245"/>
      <c r="H2215" s="245"/>
      <c r="I2215" s="245"/>
      <c r="P2215" s="366"/>
      <c r="R2215" s="355"/>
      <c r="S2215" s="369"/>
      <c r="T2215" s="328"/>
      <c r="U2215" s="394" ph="1"/>
      <c r="W2215" s="216"/>
      <c r="X2215" s="245"/>
      <c r="Y2215" s="187"/>
      <c r="Z2215" s="245"/>
      <c r="AA2215" s="245"/>
      <c r="AB2215" s="332"/>
      <c r="AD2215" s="245"/>
      <c r="AE2215" s="245"/>
      <c r="AF2215" s="245"/>
      <c r="AG2215" s="245"/>
    </row>
    <row r="2216" spans="1:33" ht="26.4">
      <c r="A2216" s="391"/>
      <c r="B2216" s="245"/>
      <c r="C2216" s="245"/>
      <c r="D2216" s="245"/>
      <c r="E2216" s="245"/>
      <c r="F2216" s="319"/>
      <c r="G2216" s="245"/>
      <c r="H2216" s="245"/>
      <c r="I2216" s="245"/>
      <c r="P2216" s="366"/>
      <c r="R2216" s="355"/>
      <c r="S2216" s="369"/>
      <c r="T2216" s="328"/>
      <c r="U2216" s="394" ph="1"/>
      <c r="W2216" s="216"/>
      <c r="X2216" s="245"/>
      <c r="Y2216" s="187"/>
      <c r="Z2216" s="245"/>
      <c r="AA2216" s="245"/>
      <c r="AB2216" s="332"/>
      <c r="AD2216" s="245"/>
      <c r="AE2216" s="245"/>
      <c r="AF2216" s="245"/>
      <c r="AG2216" s="245"/>
    </row>
    <row r="2217" spans="1:33" ht="26.4">
      <c r="A2217" s="391"/>
      <c r="B2217" s="245"/>
      <c r="C2217" s="245"/>
      <c r="D2217" s="245"/>
      <c r="E2217" s="245"/>
      <c r="F2217" s="319"/>
      <c r="G2217" s="245"/>
      <c r="H2217" s="245"/>
      <c r="I2217" s="245"/>
      <c r="P2217" s="366"/>
      <c r="R2217" s="355"/>
      <c r="S2217" s="369"/>
      <c r="T2217" s="328"/>
      <c r="U2217" s="394" ph="1"/>
      <c r="W2217" s="216"/>
      <c r="X2217" s="245"/>
      <c r="Y2217" s="187"/>
      <c r="Z2217" s="245"/>
      <c r="AA2217" s="245"/>
      <c r="AB2217" s="332"/>
      <c r="AD2217" s="245"/>
      <c r="AE2217" s="245"/>
      <c r="AF2217" s="245"/>
      <c r="AG2217" s="245"/>
    </row>
    <row r="2218" spans="1:33" ht="26.4">
      <c r="A2218" s="391"/>
      <c r="B2218" s="245"/>
      <c r="C2218" s="245"/>
      <c r="D2218" s="245"/>
      <c r="E2218" s="245"/>
      <c r="F2218" s="319"/>
      <c r="G2218" s="245"/>
      <c r="H2218" s="245"/>
      <c r="I2218" s="245"/>
      <c r="P2218" s="366"/>
      <c r="R2218" s="355"/>
      <c r="S2218" s="369"/>
      <c r="T2218" s="328"/>
      <c r="U2218" s="394" ph="1"/>
      <c r="W2218" s="216"/>
      <c r="X2218" s="245"/>
      <c r="Y2218" s="187"/>
      <c r="Z2218" s="245"/>
      <c r="AA2218" s="245"/>
      <c r="AB2218" s="332"/>
      <c r="AD2218" s="245"/>
      <c r="AE2218" s="245"/>
      <c r="AF2218" s="245"/>
      <c r="AG2218" s="245"/>
    </row>
    <row r="2219" spans="1:33" ht="26.4">
      <c r="A2219" s="391"/>
      <c r="B2219" s="245"/>
      <c r="C2219" s="245"/>
      <c r="D2219" s="245"/>
      <c r="E2219" s="245"/>
      <c r="F2219" s="319"/>
      <c r="G2219" s="245"/>
      <c r="H2219" s="245"/>
      <c r="I2219" s="245"/>
      <c r="P2219" s="366"/>
      <c r="R2219" s="355"/>
      <c r="S2219" s="369"/>
      <c r="T2219" s="328"/>
      <c r="U2219" s="394" ph="1"/>
      <c r="W2219" s="216"/>
      <c r="X2219" s="245"/>
      <c r="Y2219" s="187"/>
      <c r="Z2219" s="245"/>
      <c r="AA2219" s="245"/>
      <c r="AB2219" s="332"/>
      <c r="AD2219" s="245"/>
      <c r="AE2219" s="245"/>
      <c r="AF2219" s="245"/>
      <c r="AG2219" s="245"/>
    </row>
    <row r="2220" spans="1:33" ht="26.4">
      <c r="A2220" s="391"/>
      <c r="B2220" s="245"/>
      <c r="C2220" s="245"/>
      <c r="D2220" s="245"/>
      <c r="E2220" s="245"/>
      <c r="F2220" s="319"/>
      <c r="G2220" s="245"/>
      <c r="H2220" s="245"/>
      <c r="I2220" s="245"/>
      <c r="P2220" s="366"/>
      <c r="R2220" s="355"/>
      <c r="S2220" s="369"/>
      <c r="T2220" s="328"/>
      <c r="U2220" s="394" ph="1"/>
      <c r="W2220" s="216"/>
      <c r="X2220" s="245"/>
      <c r="Y2220" s="187"/>
      <c r="Z2220" s="245"/>
      <c r="AA2220" s="245"/>
      <c r="AB2220" s="332"/>
      <c r="AD2220" s="245"/>
      <c r="AE2220" s="245"/>
      <c r="AF2220" s="245"/>
      <c r="AG2220" s="245"/>
    </row>
    <row r="2221" spans="1:33" ht="26.4">
      <c r="A2221" s="391"/>
      <c r="B2221" s="245"/>
      <c r="C2221" s="245"/>
      <c r="D2221" s="245"/>
      <c r="E2221" s="245"/>
      <c r="F2221" s="319"/>
      <c r="G2221" s="245"/>
      <c r="H2221" s="245"/>
      <c r="I2221" s="245"/>
      <c r="P2221" s="366"/>
      <c r="R2221" s="355"/>
      <c r="S2221" s="369"/>
      <c r="T2221" s="328"/>
      <c r="U2221" s="394" ph="1"/>
      <c r="W2221" s="216"/>
      <c r="X2221" s="245"/>
      <c r="Y2221" s="187"/>
      <c r="Z2221" s="245"/>
      <c r="AA2221" s="245"/>
      <c r="AB2221" s="332"/>
      <c r="AD2221" s="245"/>
      <c r="AE2221" s="245"/>
      <c r="AF2221" s="245"/>
      <c r="AG2221" s="245"/>
    </row>
    <row r="2222" spans="1:33" ht="26.4">
      <c r="A2222" s="391"/>
      <c r="B2222" s="245"/>
      <c r="C2222" s="245"/>
      <c r="D2222" s="245"/>
      <c r="E2222" s="245"/>
      <c r="F2222" s="319"/>
      <c r="G2222" s="245"/>
      <c r="H2222" s="245"/>
      <c r="I2222" s="245"/>
      <c r="P2222" s="366"/>
      <c r="R2222" s="355"/>
      <c r="S2222" s="369"/>
      <c r="T2222" s="328"/>
      <c r="U2222" s="394" ph="1"/>
      <c r="W2222" s="216"/>
      <c r="X2222" s="245"/>
      <c r="Y2222" s="187"/>
      <c r="Z2222" s="245"/>
      <c r="AA2222" s="245"/>
      <c r="AB2222" s="332"/>
      <c r="AD2222" s="245"/>
      <c r="AE2222" s="245"/>
      <c r="AF2222" s="245"/>
      <c r="AG2222" s="245"/>
    </row>
    <row r="2223" spans="1:33" ht="26.4">
      <c r="A2223" s="391"/>
      <c r="B2223" s="245"/>
      <c r="C2223" s="245"/>
      <c r="D2223" s="245"/>
      <c r="E2223" s="245"/>
      <c r="F2223" s="319"/>
      <c r="G2223" s="245"/>
      <c r="H2223" s="245"/>
      <c r="I2223" s="245"/>
      <c r="P2223" s="366"/>
      <c r="R2223" s="355"/>
      <c r="S2223" s="369"/>
      <c r="T2223" s="328"/>
      <c r="U2223" s="394" ph="1"/>
      <c r="W2223" s="216"/>
      <c r="X2223" s="245"/>
      <c r="Y2223" s="187"/>
      <c r="Z2223" s="245"/>
      <c r="AA2223" s="245"/>
      <c r="AB2223" s="332"/>
      <c r="AD2223" s="245"/>
      <c r="AE2223" s="245"/>
      <c r="AF2223" s="245"/>
      <c r="AG2223" s="245"/>
    </row>
    <row r="2224" spans="1:33" ht="26.4">
      <c r="A2224" s="391"/>
      <c r="B2224" s="245"/>
      <c r="C2224" s="245"/>
      <c r="D2224" s="245"/>
      <c r="E2224" s="245"/>
      <c r="F2224" s="319"/>
      <c r="G2224" s="245"/>
      <c r="H2224" s="245"/>
      <c r="I2224" s="245"/>
      <c r="P2224" s="366"/>
      <c r="R2224" s="355"/>
      <c r="S2224" s="369"/>
      <c r="T2224" s="328"/>
      <c r="U2224" s="394" ph="1"/>
      <c r="W2224" s="216"/>
      <c r="X2224" s="245"/>
      <c r="Y2224" s="187"/>
      <c r="Z2224" s="245"/>
      <c r="AA2224" s="245"/>
      <c r="AB2224" s="332"/>
      <c r="AD2224" s="245"/>
      <c r="AE2224" s="245"/>
      <c r="AF2224" s="245"/>
      <c r="AG2224" s="245"/>
    </row>
    <row r="2225" spans="1:33" ht="26.4">
      <c r="A2225" s="391"/>
      <c r="B2225" s="245"/>
      <c r="C2225" s="245"/>
      <c r="D2225" s="245"/>
      <c r="E2225" s="245"/>
      <c r="F2225" s="319"/>
      <c r="G2225" s="245"/>
      <c r="H2225" s="245"/>
      <c r="I2225" s="245"/>
      <c r="P2225" s="366"/>
      <c r="R2225" s="355"/>
      <c r="S2225" s="369"/>
      <c r="T2225" s="328"/>
      <c r="U2225" s="394" ph="1"/>
      <c r="W2225" s="216"/>
      <c r="X2225" s="245"/>
      <c r="Y2225" s="187"/>
      <c r="Z2225" s="245"/>
      <c r="AA2225" s="245"/>
      <c r="AB2225" s="332"/>
      <c r="AD2225" s="245"/>
      <c r="AE2225" s="245"/>
      <c r="AF2225" s="245"/>
      <c r="AG2225" s="245"/>
    </row>
    <row r="2226" spans="1:33" ht="26.4">
      <c r="A2226" s="391"/>
      <c r="B2226" s="245"/>
      <c r="C2226" s="245"/>
      <c r="D2226" s="245"/>
      <c r="E2226" s="245"/>
      <c r="F2226" s="319"/>
      <c r="G2226" s="245"/>
      <c r="H2226" s="245"/>
      <c r="I2226" s="245"/>
      <c r="P2226" s="366"/>
      <c r="R2226" s="355"/>
      <c r="S2226" s="369"/>
      <c r="T2226" s="328"/>
      <c r="U2226" s="394" ph="1"/>
      <c r="W2226" s="216"/>
      <c r="X2226" s="245"/>
      <c r="Y2226" s="187"/>
      <c r="Z2226" s="245"/>
      <c r="AA2226" s="245"/>
      <c r="AB2226" s="332"/>
      <c r="AD2226" s="245"/>
      <c r="AE2226" s="245"/>
      <c r="AF2226" s="245"/>
      <c r="AG2226" s="245"/>
    </row>
    <row r="2227" spans="1:33" ht="26.4">
      <c r="A2227" s="391"/>
      <c r="B2227" s="245"/>
      <c r="C2227" s="245"/>
      <c r="D2227" s="245"/>
      <c r="E2227" s="245"/>
      <c r="F2227" s="319"/>
      <c r="G2227" s="245"/>
      <c r="H2227" s="245"/>
      <c r="I2227" s="245"/>
      <c r="P2227" s="366"/>
      <c r="R2227" s="355"/>
      <c r="S2227" s="369"/>
      <c r="T2227" s="328"/>
      <c r="U2227" s="394" ph="1"/>
      <c r="W2227" s="216"/>
      <c r="X2227" s="245"/>
      <c r="Y2227" s="187"/>
      <c r="Z2227" s="245"/>
      <c r="AA2227" s="245"/>
      <c r="AB2227" s="332"/>
      <c r="AD2227" s="245"/>
      <c r="AE2227" s="245"/>
      <c r="AF2227" s="245"/>
      <c r="AG2227" s="245"/>
    </row>
    <row r="2228" spans="1:33" ht="26.4">
      <c r="A2228" s="391"/>
      <c r="B2228" s="245"/>
      <c r="C2228" s="245"/>
      <c r="D2228" s="245"/>
      <c r="E2228" s="245"/>
      <c r="F2228" s="319"/>
      <c r="G2228" s="245"/>
      <c r="H2228" s="245"/>
      <c r="I2228" s="245"/>
      <c r="P2228" s="366"/>
      <c r="R2228" s="355"/>
      <c r="S2228" s="369"/>
      <c r="T2228" s="328"/>
      <c r="U2228" s="394" ph="1"/>
      <c r="W2228" s="216"/>
      <c r="X2228" s="245"/>
      <c r="Y2228" s="187"/>
      <c r="Z2228" s="245"/>
      <c r="AA2228" s="245"/>
      <c r="AB2228" s="332"/>
      <c r="AD2228" s="245"/>
      <c r="AE2228" s="245"/>
      <c r="AF2228" s="245"/>
      <c r="AG2228" s="245"/>
    </row>
    <row r="2229" spans="1:33" ht="26.4">
      <c r="A2229" s="391"/>
      <c r="B2229" s="245"/>
      <c r="C2229" s="245"/>
      <c r="D2229" s="245"/>
      <c r="E2229" s="245"/>
      <c r="F2229" s="319"/>
      <c r="G2229" s="245"/>
      <c r="H2229" s="245"/>
      <c r="I2229" s="245"/>
      <c r="P2229" s="366"/>
      <c r="R2229" s="355"/>
      <c r="S2229" s="369"/>
      <c r="T2229" s="328"/>
      <c r="U2229" s="394" ph="1"/>
      <c r="W2229" s="216"/>
      <c r="X2229" s="245"/>
      <c r="Y2229" s="187"/>
      <c r="Z2229" s="245"/>
      <c r="AA2229" s="245"/>
      <c r="AB2229" s="332"/>
      <c r="AD2229" s="245"/>
      <c r="AE2229" s="245"/>
      <c r="AF2229" s="245"/>
      <c r="AG2229" s="245"/>
    </row>
    <row r="2230" spans="1:33" ht="26.4">
      <c r="A2230" s="391"/>
      <c r="B2230" s="245"/>
      <c r="C2230" s="245"/>
      <c r="D2230" s="245"/>
      <c r="E2230" s="245"/>
      <c r="F2230" s="319"/>
      <c r="G2230" s="245"/>
      <c r="H2230" s="245"/>
      <c r="I2230" s="245"/>
      <c r="P2230" s="366"/>
      <c r="R2230" s="355"/>
      <c r="S2230" s="369"/>
      <c r="T2230" s="328"/>
      <c r="U2230" s="394" ph="1"/>
      <c r="W2230" s="216"/>
      <c r="X2230" s="245"/>
      <c r="Y2230" s="187"/>
      <c r="Z2230" s="245"/>
      <c r="AA2230" s="245"/>
      <c r="AB2230" s="332"/>
      <c r="AD2230" s="245"/>
      <c r="AE2230" s="245"/>
      <c r="AF2230" s="245"/>
      <c r="AG2230" s="245"/>
    </row>
    <row r="2231" spans="1:33" ht="26.4">
      <c r="A2231" s="391"/>
      <c r="B2231" s="245"/>
      <c r="C2231" s="245"/>
      <c r="D2231" s="245"/>
      <c r="E2231" s="245"/>
      <c r="F2231" s="319"/>
      <c r="G2231" s="245"/>
      <c r="H2231" s="245"/>
      <c r="I2231" s="245"/>
      <c r="P2231" s="366"/>
      <c r="R2231" s="355"/>
      <c r="S2231" s="369"/>
      <c r="T2231" s="328"/>
      <c r="U2231" s="394" ph="1"/>
      <c r="W2231" s="216"/>
      <c r="X2231" s="245"/>
      <c r="Y2231" s="187"/>
      <c r="Z2231" s="245"/>
      <c r="AA2231" s="245"/>
      <c r="AB2231" s="332"/>
      <c r="AD2231" s="245"/>
      <c r="AE2231" s="245"/>
      <c r="AF2231" s="245"/>
      <c r="AG2231" s="245"/>
    </row>
    <row r="2232" spans="1:33" ht="26.4">
      <c r="A2232" s="391"/>
      <c r="B2232" s="245"/>
      <c r="C2232" s="245"/>
      <c r="D2232" s="245"/>
      <c r="E2232" s="245"/>
      <c r="F2232" s="319"/>
      <c r="G2232" s="245"/>
      <c r="H2232" s="245"/>
      <c r="I2232" s="245"/>
      <c r="P2232" s="366"/>
      <c r="R2232" s="355"/>
      <c r="S2232" s="369"/>
      <c r="T2232" s="328"/>
      <c r="U2232" s="394" ph="1"/>
      <c r="W2232" s="216"/>
      <c r="X2232" s="245"/>
      <c r="Y2232" s="187"/>
      <c r="Z2232" s="245"/>
      <c r="AA2232" s="245"/>
      <c r="AB2232" s="332"/>
      <c r="AD2232" s="245"/>
      <c r="AE2232" s="245"/>
      <c r="AF2232" s="245"/>
      <c r="AG2232" s="245"/>
    </row>
    <row r="2233" spans="1:33" ht="26.4">
      <c r="A2233" s="391"/>
      <c r="B2233" s="245"/>
      <c r="C2233" s="245"/>
      <c r="D2233" s="245"/>
      <c r="E2233" s="245"/>
      <c r="F2233" s="319"/>
      <c r="G2233" s="245"/>
      <c r="H2233" s="245"/>
      <c r="I2233" s="245"/>
      <c r="P2233" s="366"/>
      <c r="R2233" s="355"/>
      <c r="S2233" s="369"/>
      <c r="T2233" s="328"/>
      <c r="U2233" s="394" ph="1"/>
      <c r="W2233" s="216"/>
      <c r="X2233" s="245"/>
      <c r="Y2233" s="187"/>
      <c r="Z2233" s="245"/>
      <c r="AA2233" s="245"/>
      <c r="AB2233" s="332"/>
      <c r="AD2233" s="245"/>
      <c r="AE2233" s="245"/>
      <c r="AF2233" s="245"/>
      <c r="AG2233" s="245"/>
    </row>
    <row r="2234" spans="1:33" ht="26.4">
      <c r="A2234" s="391"/>
      <c r="B2234" s="245"/>
      <c r="C2234" s="245"/>
      <c r="D2234" s="245"/>
      <c r="E2234" s="245"/>
      <c r="F2234" s="319"/>
      <c r="G2234" s="245"/>
      <c r="H2234" s="245"/>
      <c r="I2234" s="245"/>
      <c r="P2234" s="366"/>
      <c r="R2234" s="355"/>
      <c r="S2234" s="369"/>
      <c r="T2234" s="328"/>
      <c r="U2234" s="394" ph="1"/>
      <c r="W2234" s="216"/>
      <c r="X2234" s="245"/>
      <c r="Y2234" s="187"/>
      <c r="Z2234" s="245"/>
      <c r="AA2234" s="245"/>
      <c r="AB2234" s="332"/>
      <c r="AD2234" s="245"/>
      <c r="AE2234" s="245"/>
      <c r="AF2234" s="245"/>
      <c r="AG2234" s="245"/>
    </row>
    <row r="2235" spans="1:33" ht="26.4">
      <c r="A2235" s="391"/>
      <c r="B2235" s="245"/>
      <c r="C2235" s="245"/>
      <c r="D2235" s="245"/>
      <c r="E2235" s="245"/>
      <c r="F2235" s="319"/>
      <c r="G2235" s="245"/>
      <c r="H2235" s="245"/>
      <c r="I2235" s="245"/>
      <c r="P2235" s="366"/>
      <c r="R2235" s="355"/>
      <c r="S2235" s="369"/>
      <c r="T2235" s="328"/>
      <c r="U2235" s="394" ph="1"/>
      <c r="W2235" s="216"/>
      <c r="X2235" s="245"/>
      <c r="Y2235" s="187"/>
      <c r="Z2235" s="245"/>
      <c r="AA2235" s="245"/>
      <c r="AB2235" s="332"/>
      <c r="AD2235" s="245"/>
      <c r="AE2235" s="245"/>
      <c r="AF2235" s="245"/>
      <c r="AG2235" s="245"/>
    </row>
    <row r="2236" spans="1:33" ht="26.4">
      <c r="A2236" s="391"/>
      <c r="B2236" s="245"/>
      <c r="C2236" s="245"/>
      <c r="D2236" s="245"/>
      <c r="E2236" s="245"/>
      <c r="F2236" s="319"/>
      <c r="G2236" s="245"/>
      <c r="H2236" s="245"/>
      <c r="I2236" s="245"/>
      <c r="P2236" s="366"/>
      <c r="R2236" s="355"/>
      <c r="S2236" s="369"/>
      <c r="T2236" s="328"/>
      <c r="U2236" s="394" ph="1"/>
      <c r="W2236" s="216"/>
      <c r="X2236" s="245"/>
      <c r="Y2236" s="187"/>
      <c r="Z2236" s="245"/>
      <c r="AA2236" s="245"/>
      <c r="AB2236" s="332"/>
      <c r="AD2236" s="245"/>
      <c r="AE2236" s="245"/>
      <c r="AF2236" s="245"/>
      <c r="AG2236" s="245"/>
    </row>
    <row r="2237" spans="1:33" ht="26.4">
      <c r="A2237" s="391"/>
      <c r="B2237" s="245"/>
      <c r="C2237" s="245"/>
      <c r="D2237" s="245"/>
      <c r="E2237" s="245"/>
      <c r="F2237" s="319"/>
      <c r="G2237" s="245"/>
      <c r="H2237" s="245"/>
      <c r="I2237" s="245"/>
      <c r="P2237" s="366"/>
      <c r="R2237" s="355"/>
      <c r="S2237" s="369"/>
      <c r="T2237" s="328"/>
      <c r="U2237" s="394" ph="1"/>
      <c r="W2237" s="216"/>
      <c r="X2237" s="245"/>
      <c r="Y2237" s="187"/>
      <c r="Z2237" s="245"/>
      <c r="AA2237" s="245"/>
      <c r="AB2237" s="332"/>
      <c r="AD2237" s="245"/>
      <c r="AE2237" s="245"/>
      <c r="AF2237" s="245"/>
      <c r="AG2237" s="245"/>
    </row>
    <row r="2238" spans="1:33" ht="26.4">
      <c r="A2238" s="391"/>
      <c r="B2238" s="245"/>
      <c r="C2238" s="245"/>
      <c r="D2238" s="245"/>
      <c r="E2238" s="245"/>
      <c r="F2238" s="319"/>
      <c r="G2238" s="245"/>
      <c r="H2238" s="245"/>
      <c r="I2238" s="245"/>
      <c r="P2238" s="366"/>
      <c r="R2238" s="355"/>
      <c r="S2238" s="369"/>
      <c r="T2238" s="328"/>
      <c r="U2238" s="394" ph="1"/>
      <c r="W2238" s="216"/>
      <c r="X2238" s="245"/>
      <c r="Y2238" s="187"/>
      <c r="Z2238" s="245"/>
      <c r="AA2238" s="245"/>
      <c r="AB2238" s="332"/>
      <c r="AD2238" s="245"/>
      <c r="AE2238" s="245"/>
      <c r="AF2238" s="245"/>
      <c r="AG2238" s="245"/>
    </row>
    <row r="2239" spans="1:33" ht="26.4">
      <c r="A2239" s="391"/>
      <c r="B2239" s="245"/>
      <c r="C2239" s="245"/>
      <c r="D2239" s="245"/>
      <c r="E2239" s="245"/>
      <c r="F2239" s="319"/>
      <c r="G2239" s="245"/>
      <c r="H2239" s="245"/>
      <c r="I2239" s="245"/>
      <c r="P2239" s="366"/>
      <c r="R2239" s="355"/>
      <c r="S2239" s="369"/>
      <c r="T2239" s="328"/>
      <c r="U2239" s="394" ph="1"/>
      <c r="W2239" s="216"/>
      <c r="X2239" s="245"/>
      <c r="Y2239" s="187"/>
      <c r="Z2239" s="245"/>
      <c r="AA2239" s="245"/>
      <c r="AB2239" s="332"/>
      <c r="AD2239" s="245"/>
      <c r="AE2239" s="245"/>
      <c r="AF2239" s="245"/>
      <c r="AG2239" s="245"/>
    </row>
    <row r="2240" spans="1:33" ht="26.4">
      <c r="A2240" s="391"/>
      <c r="B2240" s="245"/>
      <c r="C2240" s="245"/>
      <c r="D2240" s="245"/>
      <c r="E2240" s="245"/>
      <c r="F2240" s="319"/>
      <c r="G2240" s="245"/>
      <c r="H2240" s="245"/>
      <c r="I2240" s="245"/>
      <c r="P2240" s="366"/>
      <c r="R2240" s="355"/>
      <c r="S2240" s="369"/>
      <c r="T2240" s="328"/>
      <c r="U2240" s="394" ph="1"/>
      <c r="W2240" s="216"/>
      <c r="X2240" s="245"/>
      <c r="Y2240" s="187"/>
      <c r="Z2240" s="245"/>
      <c r="AA2240" s="245"/>
      <c r="AB2240" s="332"/>
      <c r="AD2240" s="245"/>
      <c r="AE2240" s="245"/>
      <c r="AF2240" s="245"/>
      <c r="AG2240" s="245"/>
    </row>
    <row r="2241" spans="1:33" ht="26.4">
      <c r="A2241" s="391"/>
      <c r="B2241" s="245"/>
      <c r="C2241" s="245"/>
      <c r="D2241" s="245"/>
      <c r="E2241" s="245"/>
      <c r="F2241" s="319"/>
      <c r="G2241" s="245"/>
      <c r="H2241" s="245"/>
      <c r="I2241" s="245"/>
      <c r="P2241" s="366"/>
      <c r="R2241" s="355"/>
      <c r="S2241" s="369"/>
      <c r="T2241" s="328"/>
      <c r="U2241" s="394" ph="1"/>
      <c r="W2241" s="216"/>
      <c r="X2241" s="245"/>
      <c r="Y2241" s="187"/>
      <c r="Z2241" s="245"/>
      <c r="AA2241" s="245"/>
      <c r="AB2241" s="332"/>
      <c r="AD2241" s="245"/>
      <c r="AE2241" s="245"/>
      <c r="AF2241" s="245"/>
      <c r="AG2241" s="245"/>
    </row>
    <row r="2242" spans="1:33" ht="26.4">
      <c r="A2242" s="391"/>
      <c r="B2242" s="245"/>
      <c r="C2242" s="245"/>
      <c r="D2242" s="245"/>
      <c r="E2242" s="245"/>
      <c r="F2242" s="319"/>
      <c r="G2242" s="245"/>
      <c r="H2242" s="245"/>
      <c r="I2242" s="245"/>
      <c r="P2242" s="366"/>
      <c r="R2242" s="355"/>
      <c r="S2242" s="369"/>
      <c r="T2242" s="328"/>
      <c r="U2242" s="394" ph="1"/>
      <c r="W2242" s="216"/>
      <c r="X2242" s="245"/>
      <c r="Y2242" s="187"/>
      <c r="Z2242" s="245"/>
      <c r="AA2242" s="245"/>
      <c r="AB2242" s="332"/>
      <c r="AD2242" s="245"/>
      <c r="AE2242" s="245"/>
      <c r="AF2242" s="245"/>
      <c r="AG2242" s="245"/>
    </row>
    <row r="2243" spans="1:33" ht="26.4">
      <c r="A2243" s="391"/>
      <c r="B2243" s="245"/>
      <c r="C2243" s="245"/>
      <c r="D2243" s="245"/>
      <c r="E2243" s="245"/>
      <c r="F2243" s="319"/>
      <c r="G2243" s="245"/>
      <c r="H2243" s="245"/>
      <c r="I2243" s="245"/>
      <c r="P2243" s="366"/>
      <c r="R2243" s="355"/>
      <c r="S2243" s="369"/>
      <c r="T2243" s="328"/>
      <c r="U2243" s="394" ph="1"/>
      <c r="W2243" s="216"/>
      <c r="X2243" s="245"/>
      <c r="Y2243" s="187"/>
      <c r="Z2243" s="245"/>
      <c r="AA2243" s="245"/>
      <c r="AB2243" s="332"/>
      <c r="AD2243" s="245"/>
      <c r="AE2243" s="245"/>
      <c r="AF2243" s="245"/>
      <c r="AG2243" s="245"/>
    </row>
    <row r="2244" spans="1:33" ht="26.4">
      <c r="A2244" s="391"/>
      <c r="B2244" s="245"/>
      <c r="C2244" s="245"/>
      <c r="D2244" s="245"/>
      <c r="E2244" s="245"/>
      <c r="F2244" s="319"/>
      <c r="G2244" s="245"/>
      <c r="H2244" s="245"/>
      <c r="I2244" s="245"/>
      <c r="P2244" s="366"/>
      <c r="R2244" s="355"/>
      <c r="S2244" s="369"/>
      <c r="T2244" s="328"/>
      <c r="U2244" s="394" ph="1"/>
      <c r="W2244" s="216"/>
      <c r="X2244" s="245"/>
      <c r="Y2244" s="187"/>
      <c r="Z2244" s="245"/>
      <c r="AA2244" s="245"/>
      <c r="AB2244" s="332"/>
      <c r="AD2244" s="245"/>
      <c r="AE2244" s="245"/>
      <c r="AF2244" s="245"/>
      <c r="AG2244" s="245"/>
    </row>
    <row r="2245" spans="1:33" ht="26.4">
      <c r="A2245" s="391"/>
      <c r="B2245" s="245"/>
      <c r="C2245" s="245"/>
      <c r="D2245" s="245"/>
      <c r="E2245" s="245"/>
      <c r="F2245" s="319"/>
      <c r="G2245" s="245"/>
      <c r="H2245" s="245"/>
      <c r="I2245" s="245"/>
      <c r="P2245" s="366"/>
      <c r="R2245" s="355"/>
      <c r="S2245" s="369"/>
      <c r="T2245" s="328"/>
      <c r="U2245" s="394" ph="1"/>
      <c r="W2245" s="216"/>
      <c r="X2245" s="245"/>
      <c r="Y2245" s="187"/>
      <c r="Z2245" s="245"/>
      <c r="AA2245" s="245"/>
      <c r="AB2245" s="332"/>
      <c r="AD2245" s="245"/>
      <c r="AE2245" s="245"/>
      <c r="AF2245" s="245"/>
      <c r="AG2245" s="245"/>
    </row>
    <row r="2246" spans="1:33" ht="26.4">
      <c r="A2246" s="391"/>
      <c r="B2246" s="245"/>
      <c r="C2246" s="245"/>
      <c r="D2246" s="245"/>
      <c r="E2246" s="245"/>
      <c r="F2246" s="319"/>
      <c r="G2246" s="245"/>
      <c r="H2246" s="245"/>
      <c r="I2246" s="245"/>
      <c r="P2246" s="366"/>
      <c r="R2246" s="355"/>
      <c r="S2246" s="369"/>
      <c r="T2246" s="328"/>
      <c r="U2246" s="394" ph="1"/>
      <c r="W2246" s="216"/>
      <c r="X2246" s="245"/>
      <c r="Y2246" s="187"/>
      <c r="Z2246" s="245"/>
      <c r="AA2246" s="245"/>
      <c r="AB2246" s="332"/>
      <c r="AD2246" s="245"/>
      <c r="AE2246" s="245"/>
      <c r="AF2246" s="245"/>
      <c r="AG2246" s="245"/>
    </row>
    <row r="2247" spans="1:33" ht="26.4">
      <c r="A2247" s="391"/>
      <c r="B2247" s="245"/>
      <c r="C2247" s="245"/>
      <c r="D2247" s="245"/>
      <c r="E2247" s="245"/>
      <c r="F2247" s="319"/>
      <c r="G2247" s="245"/>
      <c r="H2247" s="245"/>
      <c r="I2247" s="245"/>
      <c r="P2247" s="366"/>
      <c r="R2247" s="355"/>
      <c r="S2247" s="369"/>
      <c r="T2247" s="328"/>
      <c r="U2247" s="394" ph="1"/>
      <c r="W2247" s="216"/>
      <c r="X2247" s="245"/>
      <c r="Y2247" s="187"/>
      <c r="Z2247" s="245"/>
      <c r="AA2247" s="245"/>
      <c r="AB2247" s="332"/>
      <c r="AD2247" s="245"/>
      <c r="AE2247" s="245"/>
      <c r="AF2247" s="245"/>
      <c r="AG2247" s="245"/>
    </row>
    <row r="2248" spans="1:33" ht="26.4">
      <c r="A2248" s="391"/>
      <c r="B2248" s="245"/>
      <c r="C2248" s="245"/>
      <c r="D2248" s="245"/>
      <c r="E2248" s="245"/>
      <c r="F2248" s="319"/>
      <c r="G2248" s="245"/>
      <c r="H2248" s="245"/>
      <c r="I2248" s="245"/>
      <c r="P2248" s="366"/>
      <c r="R2248" s="355"/>
      <c r="S2248" s="369"/>
      <c r="T2248" s="328"/>
      <c r="U2248" s="394" ph="1"/>
      <c r="W2248" s="216"/>
      <c r="X2248" s="245"/>
      <c r="Y2248" s="187"/>
      <c r="Z2248" s="245"/>
      <c r="AA2248" s="245"/>
      <c r="AB2248" s="332"/>
      <c r="AD2248" s="245"/>
      <c r="AE2248" s="245"/>
      <c r="AF2248" s="245"/>
      <c r="AG2248" s="245"/>
    </row>
    <row r="2249" spans="1:33" ht="26.4">
      <c r="A2249" s="391"/>
      <c r="B2249" s="245"/>
      <c r="C2249" s="245"/>
      <c r="D2249" s="245"/>
      <c r="E2249" s="245"/>
      <c r="F2249" s="319"/>
      <c r="G2249" s="245"/>
      <c r="H2249" s="245"/>
      <c r="I2249" s="245"/>
      <c r="P2249" s="366"/>
      <c r="R2249" s="355"/>
      <c r="S2249" s="369"/>
      <c r="T2249" s="328"/>
      <c r="U2249" s="394" ph="1"/>
      <c r="W2249" s="216"/>
      <c r="X2249" s="245"/>
      <c r="Y2249" s="187"/>
      <c r="Z2249" s="245"/>
      <c r="AA2249" s="245"/>
      <c r="AB2249" s="332"/>
      <c r="AD2249" s="245"/>
      <c r="AE2249" s="245"/>
      <c r="AF2249" s="245"/>
      <c r="AG2249" s="245"/>
    </row>
    <row r="2250" spans="1:33" ht="26.4">
      <c r="A2250" s="391"/>
      <c r="B2250" s="245"/>
      <c r="C2250" s="245"/>
      <c r="D2250" s="245"/>
      <c r="E2250" s="245"/>
      <c r="F2250" s="319"/>
      <c r="G2250" s="245"/>
      <c r="H2250" s="245"/>
      <c r="I2250" s="245"/>
      <c r="P2250" s="366"/>
      <c r="R2250" s="355"/>
      <c r="S2250" s="369"/>
      <c r="T2250" s="328"/>
      <c r="U2250" s="394" ph="1"/>
      <c r="W2250" s="216"/>
      <c r="X2250" s="245"/>
      <c r="Y2250" s="187"/>
      <c r="Z2250" s="245"/>
      <c r="AA2250" s="245"/>
      <c r="AB2250" s="332"/>
      <c r="AD2250" s="245"/>
      <c r="AE2250" s="245"/>
      <c r="AF2250" s="245"/>
      <c r="AG2250" s="245"/>
    </row>
    <row r="2251" spans="1:33" ht="26.4">
      <c r="A2251" s="391"/>
      <c r="B2251" s="245"/>
      <c r="C2251" s="245"/>
      <c r="D2251" s="245"/>
      <c r="E2251" s="245"/>
      <c r="F2251" s="319"/>
      <c r="G2251" s="245"/>
      <c r="H2251" s="245"/>
      <c r="I2251" s="245"/>
      <c r="P2251" s="366"/>
      <c r="R2251" s="355"/>
      <c r="S2251" s="369"/>
      <c r="T2251" s="328"/>
      <c r="U2251" s="394" ph="1"/>
      <c r="W2251" s="216"/>
      <c r="X2251" s="245"/>
      <c r="Y2251" s="187"/>
      <c r="Z2251" s="245"/>
      <c r="AA2251" s="245"/>
      <c r="AB2251" s="332"/>
      <c r="AD2251" s="245"/>
      <c r="AE2251" s="245"/>
      <c r="AF2251" s="245"/>
      <c r="AG2251" s="245"/>
    </row>
    <row r="2252" spans="1:33" ht="26.4">
      <c r="A2252" s="391"/>
      <c r="B2252" s="245"/>
      <c r="C2252" s="245"/>
      <c r="D2252" s="245"/>
      <c r="E2252" s="245"/>
      <c r="F2252" s="319"/>
      <c r="G2252" s="245"/>
      <c r="H2252" s="245"/>
      <c r="I2252" s="245"/>
      <c r="P2252" s="366"/>
      <c r="R2252" s="355"/>
      <c r="S2252" s="369"/>
      <c r="T2252" s="328"/>
      <c r="U2252" s="394" ph="1"/>
      <c r="W2252" s="216"/>
      <c r="X2252" s="245"/>
      <c r="Y2252" s="187"/>
      <c r="Z2252" s="245"/>
      <c r="AA2252" s="245"/>
      <c r="AB2252" s="332"/>
      <c r="AD2252" s="245"/>
      <c r="AE2252" s="245"/>
      <c r="AF2252" s="245"/>
      <c r="AG2252" s="245"/>
    </row>
    <row r="2253" spans="1:33" ht="26.4">
      <c r="A2253" s="391"/>
      <c r="B2253" s="245"/>
      <c r="C2253" s="245"/>
      <c r="D2253" s="245"/>
      <c r="E2253" s="245"/>
      <c r="F2253" s="319"/>
      <c r="G2253" s="245"/>
      <c r="H2253" s="245"/>
      <c r="I2253" s="245"/>
      <c r="P2253" s="366"/>
      <c r="R2253" s="355"/>
      <c r="S2253" s="369"/>
      <c r="T2253" s="328"/>
      <c r="U2253" s="394" ph="1"/>
      <c r="W2253" s="216"/>
      <c r="X2253" s="245"/>
      <c r="Y2253" s="187"/>
      <c r="Z2253" s="245"/>
      <c r="AA2253" s="245"/>
      <c r="AB2253" s="332"/>
      <c r="AD2253" s="245"/>
      <c r="AE2253" s="245"/>
      <c r="AF2253" s="245"/>
      <c r="AG2253" s="245"/>
    </row>
    <row r="2254" spans="1:33" ht="26.4">
      <c r="A2254" s="391"/>
      <c r="B2254" s="245"/>
      <c r="C2254" s="245"/>
      <c r="D2254" s="245"/>
      <c r="E2254" s="245"/>
      <c r="F2254" s="319"/>
      <c r="G2254" s="245"/>
      <c r="H2254" s="245"/>
      <c r="I2254" s="245"/>
      <c r="P2254" s="366"/>
      <c r="R2254" s="355"/>
      <c r="S2254" s="369"/>
      <c r="T2254" s="328"/>
      <c r="U2254" s="394" ph="1"/>
      <c r="W2254" s="216"/>
      <c r="X2254" s="245"/>
      <c r="Y2254" s="187"/>
      <c r="Z2254" s="245"/>
      <c r="AA2254" s="245"/>
      <c r="AB2254" s="332"/>
      <c r="AD2254" s="245"/>
      <c r="AE2254" s="245"/>
      <c r="AF2254" s="245"/>
      <c r="AG2254" s="245"/>
    </row>
    <row r="2255" spans="1:33" ht="26.4">
      <c r="A2255" s="391"/>
      <c r="B2255" s="245"/>
      <c r="C2255" s="245"/>
      <c r="D2255" s="245"/>
      <c r="E2255" s="245"/>
      <c r="F2255" s="319"/>
      <c r="G2255" s="245"/>
      <c r="H2255" s="245"/>
      <c r="I2255" s="245"/>
      <c r="P2255" s="366"/>
      <c r="R2255" s="355"/>
      <c r="S2255" s="369"/>
      <c r="T2255" s="328"/>
      <c r="U2255" s="394" ph="1"/>
      <c r="W2255" s="216"/>
      <c r="X2255" s="245"/>
      <c r="Y2255" s="187"/>
      <c r="Z2255" s="245"/>
      <c r="AA2255" s="245"/>
      <c r="AB2255" s="332"/>
      <c r="AD2255" s="245"/>
      <c r="AE2255" s="245"/>
      <c r="AF2255" s="245"/>
      <c r="AG2255" s="245"/>
    </row>
    <row r="2256" spans="1:33" ht="26.4">
      <c r="A2256" s="391"/>
      <c r="B2256" s="245"/>
      <c r="C2256" s="245"/>
      <c r="D2256" s="245"/>
      <c r="E2256" s="245"/>
      <c r="F2256" s="319"/>
      <c r="G2256" s="245"/>
      <c r="H2256" s="245"/>
      <c r="I2256" s="245"/>
      <c r="P2256" s="366"/>
      <c r="R2256" s="355"/>
      <c r="S2256" s="369"/>
      <c r="T2256" s="328"/>
      <c r="U2256" s="394" ph="1"/>
      <c r="W2256" s="216"/>
      <c r="X2256" s="245"/>
      <c r="Y2256" s="187"/>
      <c r="Z2256" s="245"/>
      <c r="AA2256" s="245"/>
      <c r="AB2256" s="332"/>
      <c r="AD2256" s="245"/>
      <c r="AE2256" s="245"/>
      <c r="AF2256" s="245"/>
      <c r="AG2256" s="245"/>
    </row>
    <row r="2257" spans="1:33" ht="26.4">
      <c r="A2257" s="391"/>
      <c r="B2257" s="245"/>
      <c r="C2257" s="245"/>
      <c r="D2257" s="245"/>
      <c r="E2257" s="245"/>
      <c r="F2257" s="319"/>
      <c r="G2257" s="245"/>
      <c r="H2257" s="245"/>
      <c r="I2257" s="245"/>
      <c r="P2257" s="366"/>
      <c r="R2257" s="355"/>
      <c r="S2257" s="369"/>
      <c r="T2257" s="328"/>
      <c r="U2257" s="394" ph="1"/>
      <c r="W2257" s="216"/>
      <c r="X2257" s="245"/>
      <c r="Y2257" s="187"/>
      <c r="Z2257" s="245"/>
      <c r="AA2257" s="245"/>
      <c r="AB2257" s="332"/>
      <c r="AD2257" s="245"/>
      <c r="AE2257" s="245"/>
      <c r="AF2257" s="245"/>
      <c r="AG2257" s="245"/>
    </row>
    <row r="2258" spans="1:33" ht="26.4">
      <c r="A2258" s="391"/>
      <c r="B2258" s="245"/>
      <c r="C2258" s="245"/>
      <c r="D2258" s="245"/>
      <c r="E2258" s="245"/>
      <c r="F2258" s="319"/>
      <c r="G2258" s="245"/>
      <c r="H2258" s="245"/>
      <c r="I2258" s="245"/>
      <c r="P2258" s="366"/>
      <c r="R2258" s="355"/>
      <c r="S2258" s="369"/>
      <c r="T2258" s="328"/>
      <c r="U2258" s="394" ph="1"/>
      <c r="W2258" s="216"/>
      <c r="X2258" s="245"/>
      <c r="Y2258" s="187"/>
      <c r="Z2258" s="245"/>
      <c r="AA2258" s="245"/>
      <c r="AB2258" s="332"/>
      <c r="AD2258" s="245"/>
      <c r="AE2258" s="245"/>
      <c r="AF2258" s="245"/>
      <c r="AG2258" s="245"/>
    </row>
    <row r="2259" spans="1:33" ht="26.4">
      <c r="A2259" s="391"/>
      <c r="B2259" s="245"/>
      <c r="C2259" s="245"/>
      <c r="D2259" s="245"/>
      <c r="E2259" s="245"/>
      <c r="F2259" s="319"/>
      <c r="G2259" s="245"/>
      <c r="H2259" s="245"/>
      <c r="I2259" s="245"/>
      <c r="P2259" s="366"/>
      <c r="R2259" s="355"/>
      <c r="S2259" s="369"/>
      <c r="T2259" s="328"/>
      <c r="U2259" s="394" ph="1"/>
      <c r="W2259" s="216"/>
      <c r="X2259" s="245"/>
      <c r="Y2259" s="187"/>
      <c r="Z2259" s="245"/>
      <c r="AA2259" s="245"/>
      <c r="AB2259" s="332"/>
      <c r="AD2259" s="245"/>
      <c r="AE2259" s="245"/>
      <c r="AF2259" s="245"/>
      <c r="AG2259" s="245"/>
    </row>
    <row r="2260" spans="1:33" ht="26.4">
      <c r="A2260" s="391"/>
      <c r="B2260" s="245"/>
      <c r="C2260" s="245"/>
      <c r="D2260" s="245"/>
      <c r="E2260" s="245"/>
      <c r="F2260" s="319"/>
      <c r="G2260" s="245"/>
      <c r="H2260" s="245"/>
      <c r="I2260" s="245"/>
      <c r="P2260" s="366"/>
      <c r="R2260" s="355"/>
      <c r="S2260" s="369"/>
      <c r="T2260" s="328"/>
      <c r="U2260" s="394" ph="1"/>
      <c r="W2260" s="216"/>
      <c r="X2260" s="245"/>
      <c r="Y2260" s="187"/>
      <c r="Z2260" s="245"/>
      <c r="AA2260" s="245"/>
      <c r="AB2260" s="332"/>
      <c r="AD2260" s="245"/>
      <c r="AE2260" s="245"/>
      <c r="AF2260" s="245"/>
      <c r="AG2260" s="245"/>
    </row>
    <row r="2261" spans="1:33" ht="26.4">
      <c r="A2261" s="391"/>
      <c r="B2261" s="245"/>
      <c r="C2261" s="245"/>
      <c r="D2261" s="245"/>
      <c r="E2261" s="245"/>
      <c r="F2261" s="319"/>
      <c r="G2261" s="245"/>
      <c r="H2261" s="245"/>
      <c r="I2261" s="245"/>
      <c r="P2261" s="366"/>
      <c r="R2261" s="355"/>
      <c r="S2261" s="369"/>
      <c r="T2261" s="328"/>
      <c r="U2261" s="394" ph="1"/>
      <c r="W2261" s="216"/>
      <c r="X2261" s="245"/>
      <c r="Y2261" s="187"/>
      <c r="Z2261" s="245"/>
      <c r="AA2261" s="245"/>
      <c r="AB2261" s="332"/>
      <c r="AD2261" s="245"/>
      <c r="AE2261" s="245"/>
      <c r="AF2261" s="245"/>
      <c r="AG2261" s="245"/>
    </row>
    <row r="2262" spans="1:33" ht="26.4">
      <c r="A2262" s="391"/>
      <c r="B2262" s="245"/>
      <c r="C2262" s="245"/>
      <c r="D2262" s="245"/>
      <c r="E2262" s="245"/>
      <c r="F2262" s="319"/>
      <c r="G2262" s="245"/>
      <c r="H2262" s="245"/>
      <c r="I2262" s="245"/>
      <c r="P2262" s="366"/>
      <c r="R2262" s="355"/>
      <c r="S2262" s="369"/>
      <c r="T2262" s="328"/>
      <c r="U2262" s="394" ph="1"/>
      <c r="W2262" s="216"/>
      <c r="X2262" s="245"/>
      <c r="Y2262" s="187"/>
      <c r="Z2262" s="245"/>
      <c r="AA2262" s="245"/>
      <c r="AB2262" s="332"/>
      <c r="AD2262" s="245"/>
      <c r="AE2262" s="245"/>
      <c r="AF2262" s="245"/>
      <c r="AG2262" s="245"/>
    </row>
    <row r="2263" spans="1:33" ht="26.4">
      <c r="A2263" s="391"/>
      <c r="B2263" s="245"/>
      <c r="C2263" s="245"/>
      <c r="D2263" s="245"/>
      <c r="E2263" s="245"/>
      <c r="F2263" s="319"/>
      <c r="G2263" s="245"/>
      <c r="H2263" s="245"/>
      <c r="I2263" s="245"/>
      <c r="P2263" s="366"/>
      <c r="R2263" s="355"/>
      <c r="S2263" s="369"/>
      <c r="T2263" s="328"/>
      <c r="U2263" s="394" ph="1"/>
      <c r="W2263" s="216"/>
      <c r="X2263" s="245"/>
      <c r="Y2263" s="187"/>
      <c r="Z2263" s="245"/>
      <c r="AA2263" s="245"/>
      <c r="AB2263" s="332"/>
      <c r="AD2263" s="245"/>
      <c r="AE2263" s="245"/>
      <c r="AF2263" s="245"/>
      <c r="AG2263" s="245"/>
    </row>
    <row r="2264" spans="1:33" ht="26.4">
      <c r="A2264" s="391"/>
      <c r="B2264" s="245"/>
      <c r="C2264" s="245"/>
      <c r="D2264" s="245"/>
      <c r="E2264" s="245"/>
      <c r="F2264" s="319"/>
      <c r="G2264" s="245"/>
      <c r="H2264" s="245"/>
      <c r="I2264" s="245"/>
      <c r="P2264" s="366"/>
      <c r="R2264" s="355"/>
      <c r="S2264" s="369"/>
      <c r="T2264" s="328"/>
      <c r="U2264" s="394" ph="1"/>
      <c r="W2264" s="216"/>
      <c r="X2264" s="245"/>
      <c r="Y2264" s="187"/>
      <c r="Z2264" s="245"/>
      <c r="AA2264" s="245"/>
      <c r="AB2264" s="332"/>
      <c r="AD2264" s="245"/>
      <c r="AE2264" s="245"/>
      <c r="AF2264" s="245"/>
      <c r="AG2264" s="245"/>
    </row>
    <row r="2265" spans="1:33" ht="26.4">
      <c r="A2265" s="391"/>
      <c r="B2265" s="245"/>
      <c r="C2265" s="245"/>
      <c r="D2265" s="245"/>
      <c r="E2265" s="245"/>
      <c r="F2265" s="319"/>
      <c r="G2265" s="245"/>
      <c r="H2265" s="245"/>
      <c r="I2265" s="245"/>
      <c r="P2265" s="366"/>
      <c r="R2265" s="355"/>
      <c r="S2265" s="369"/>
      <c r="T2265" s="328"/>
      <c r="U2265" s="394" ph="1"/>
      <c r="W2265" s="216"/>
      <c r="X2265" s="245"/>
      <c r="Y2265" s="187"/>
      <c r="Z2265" s="245"/>
      <c r="AA2265" s="245"/>
      <c r="AB2265" s="332"/>
      <c r="AD2265" s="245"/>
      <c r="AE2265" s="245"/>
      <c r="AF2265" s="245"/>
      <c r="AG2265" s="245"/>
    </row>
    <row r="2266" spans="1:33" ht="26.4">
      <c r="A2266" s="391"/>
      <c r="B2266" s="245"/>
      <c r="C2266" s="245"/>
      <c r="D2266" s="245"/>
      <c r="E2266" s="245"/>
      <c r="F2266" s="319"/>
      <c r="G2266" s="245"/>
      <c r="H2266" s="245"/>
      <c r="I2266" s="245"/>
      <c r="P2266" s="366"/>
      <c r="R2266" s="355"/>
      <c r="S2266" s="369"/>
      <c r="T2266" s="328"/>
      <c r="U2266" s="394" ph="1"/>
      <c r="W2266" s="216"/>
      <c r="X2266" s="245"/>
      <c r="Y2266" s="187"/>
      <c r="Z2266" s="245"/>
      <c r="AA2266" s="245"/>
      <c r="AB2266" s="332"/>
      <c r="AD2266" s="245"/>
      <c r="AE2266" s="245"/>
      <c r="AF2266" s="245"/>
      <c r="AG2266" s="245"/>
    </row>
    <row r="2267" spans="1:33" ht="26.4">
      <c r="A2267" s="391"/>
      <c r="B2267" s="245"/>
      <c r="C2267" s="245"/>
      <c r="D2267" s="245"/>
      <c r="E2267" s="245"/>
      <c r="F2267" s="319"/>
      <c r="G2267" s="245"/>
      <c r="H2267" s="245"/>
      <c r="I2267" s="245"/>
      <c r="P2267" s="366"/>
      <c r="R2267" s="355"/>
      <c r="S2267" s="369"/>
      <c r="T2267" s="328"/>
      <c r="U2267" s="394" ph="1"/>
      <c r="W2267" s="216"/>
      <c r="X2267" s="245"/>
      <c r="Y2267" s="187"/>
      <c r="Z2267" s="245"/>
      <c r="AA2267" s="245"/>
      <c r="AB2267" s="332"/>
      <c r="AD2267" s="245"/>
      <c r="AE2267" s="245"/>
      <c r="AF2267" s="245"/>
      <c r="AG2267" s="245"/>
    </row>
    <row r="2268" spans="1:33" ht="26.4">
      <c r="A2268" s="391"/>
      <c r="B2268" s="245"/>
      <c r="C2268" s="245"/>
      <c r="D2268" s="245"/>
      <c r="E2268" s="245"/>
      <c r="F2268" s="319"/>
      <c r="G2268" s="245"/>
      <c r="H2268" s="245"/>
      <c r="I2268" s="245"/>
      <c r="P2268" s="366"/>
      <c r="R2268" s="355"/>
      <c r="S2268" s="369"/>
      <c r="T2268" s="328"/>
      <c r="U2268" s="394" ph="1"/>
      <c r="W2268" s="216"/>
      <c r="X2268" s="245"/>
      <c r="Y2268" s="187"/>
      <c r="Z2268" s="245"/>
      <c r="AA2268" s="245"/>
      <c r="AB2268" s="332"/>
      <c r="AD2268" s="245"/>
      <c r="AE2268" s="245"/>
      <c r="AF2268" s="245"/>
      <c r="AG2268" s="245"/>
    </row>
    <row r="2269" spans="1:33" ht="26.4">
      <c r="A2269" s="391"/>
      <c r="B2269" s="245"/>
      <c r="C2269" s="245"/>
      <c r="D2269" s="245"/>
      <c r="E2269" s="245"/>
      <c r="F2269" s="319"/>
      <c r="G2269" s="245"/>
      <c r="H2269" s="245"/>
      <c r="I2269" s="245"/>
      <c r="P2269" s="366"/>
      <c r="R2269" s="355"/>
      <c r="S2269" s="369"/>
      <c r="T2269" s="328"/>
      <c r="U2269" s="394" ph="1"/>
      <c r="W2269" s="216"/>
      <c r="X2269" s="245"/>
      <c r="Y2269" s="187"/>
      <c r="Z2269" s="245"/>
      <c r="AA2269" s="245"/>
      <c r="AB2269" s="332"/>
      <c r="AD2269" s="245"/>
      <c r="AE2269" s="245"/>
      <c r="AF2269" s="245"/>
      <c r="AG2269" s="245"/>
    </row>
    <row r="2270" spans="1:33" ht="26.4">
      <c r="A2270" s="391"/>
      <c r="B2270" s="245"/>
      <c r="C2270" s="245"/>
      <c r="D2270" s="245"/>
      <c r="E2270" s="245"/>
      <c r="F2270" s="319"/>
      <c r="G2270" s="245"/>
      <c r="H2270" s="245"/>
      <c r="I2270" s="245"/>
      <c r="P2270" s="366"/>
      <c r="R2270" s="355"/>
      <c r="S2270" s="369"/>
      <c r="T2270" s="328"/>
      <c r="U2270" s="394" ph="1"/>
      <c r="W2270" s="216"/>
      <c r="X2270" s="245"/>
      <c r="Y2270" s="187"/>
      <c r="Z2270" s="245"/>
      <c r="AA2270" s="245"/>
      <c r="AB2270" s="332"/>
      <c r="AD2270" s="245"/>
      <c r="AE2270" s="245"/>
      <c r="AF2270" s="245"/>
      <c r="AG2270" s="245"/>
    </row>
    <row r="2271" spans="1:33" ht="26.4">
      <c r="A2271" s="391"/>
      <c r="B2271" s="245"/>
      <c r="C2271" s="245"/>
      <c r="D2271" s="245"/>
      <c r="E2271" s="245"/>
      <c r="F2271" s="319"/>
      <c r="G2271" s="245"/>
      <c r="H2271" s="245"/>
      <c r="I2271" s="245"/>
      <c r="P2271" s="366"/>
      <c r="R2271" s="355"/>
      <c r="S2271" s="369"/>
      <c r="T2271" s="328"/>
      <c r="U2271" s="394" ph="1"/>
      <c r="W2271" s="216"/>
      <c r="X2271" s="245"/>
      <c r="Y2271" s="187"/>
      <c r="Z2271" s="245"/>
      <c r="AA2271" s="245"/>
      <c r="AB2271" s="332"/>
      <c r="AD2271" s="245"/>
      <c r="AE2271" s="245"/>
      <c r="AF2271" s="245"/>
      <c r="AG2271" s="245"/>
    </row>
    <row r="2272" spans="1:33" ht="26.4">
      <c r="A2272" s="391"/>
      <c r="B2272" s="245"/>
      <c r="C2272" s="245"/>
      <c r="D2272" s="245"/>
      <c r="E2272" s="245"/>
      <c r="F2272" s="319"/>
      <c r="G2272" s="245"/>
      <c r="H2272" s="245"/>
      <c r="I2272" s="245"/>
      <c r="P2272" s="366"/>
      <c r="R2272" s="355"/>
      <c r="S2272" s="369"/>
      <c r="T2272" s="328"/>
      <c r="U2272" s="394" ph="1"/>
      <c r="W2272" s="216"/>
      <c r="X2272" s="245"/>
      <c r="Y2272" s="187"/>
      <c r="Z2272" s="245"/>
      <c r="AA2272" s="245"/>
      <c r="AB2272" s="332"/>
      <c r="AD2272" s="245"/>
      <c r="AE2272" s="245"/>
      <c r="AF2272" s="245"/>
      <c r="AG2272" s="245"/>
    </row>
    <row r="2273" spans="1:33" ht="26.4">
      <c r="A2273" s="391"/>
      <c r="B2273" s="245"/>
      <c r="C2273" s="245"/>
      <c r="D2273" s="245"/>
      <c r="E2273" s="245"/>
      <c r="F2273" s="319"/>
      <c r="G2273" s="245"/>
      <c r="H2273" s="245"/>
      <c r="I2273" s="245"/>
      <c r="P2273" s="366"/>
      <c r="R2273" s="355"/>
      <c r="S2273" s="369"/>
      <c r="T2273" s="328"/>
      <c r="U2273" s="394" ph="1"/>
      <c r="W2273" s="216"/>
      <c r="X2273" s="245"/>
      <c r="Y2273" s="187"/>
      <c r="Z2273" s="245"/>
      <c r="AA2273" s="245"/>
      <c r="AB2273" s="332"/>
      <c r="AD2273" s="245"/>
      <c r="AE2273" s="245"/>
      <c r="AF2273" s="245"/>
      <c r="AG2273" s="245"/>
    </row>
    <row r="2274" spans="1:33" ht="26.4">
      <c r="A2274" s="391"/>
      <c r="B2274" s="245"/>
      <c r="C2274" s="245"/>
      <c r="D2274" s="245"/>
      <c r="E2274" s="245"/>
      <c r="F2274" s="319"/>
      <c r="G2274" s="245"/>
      <c r="H2274" s="245"/>
      <c r="I2274" s="245"/>
      <c r="P2274" s="366"/>
      <c r="R2274" s="355"/>
      <c r="S2274" s="369"/>
      <c r="T2274" s="328"/>
      <c r="U2274" s="394" ph="1"/>
      <c r="W2274" s="216"/>
      <c r="X2274" s="245"/>
      <c r="Y2274" s="187"/>
      <c r="Z2274" s="245"/>
      <c r="AA2274" s="245"/>
      <c r="AB2274" s="332"/>
      <c r="AD2274" s="245"/>
      <c r="AE2274" s="245"/>
      <c r="AF2274" s="245"/>
      <c r="AG2274" s="245"/>
    </row>
    <row r="2275" spans="1:33" ht="26.4">
      <c r="A2275" s="391"/>
      <c r="B2275" s="245"/>
      <c r="C2275" s="245"/>
      <c r="D2275" s="245"/>
      <c r="E2275" s="245"/>
      <c r="F2275" s="319"/>
      <c r="G2275" s="245"/>
      <c r="H2275" s="245"/>
      <c r="I2275" s="245"/>
      <c r="P2275" s="366"/>
      <c r="R2275" s="355"/>
      <c r="S2275" s="369"/>
      <c r="T2275" s="328"/>
      <c r="U2275" s="394" ph="1"/>
      <c r="W2275" s="216"/>
      <c r="X2275" s="245"/>
      <c r="Y2275" s="187"/>
      <c r="Z2275" s="245"/>
      <c r="AA2275" s="245"/>
      <c r="AB2275" s="332"/>
      <c r="AD2275" s="245"/>
      <c r="AE2275" s="245"/>
      <c r="AF2275" s="245"/>
      <c r="AG2275" s="245"/>
    </row>
    <row r="2276" spans="1:33" ht="26.4">
      <c r="A2276" s="391"/>
      <c r="B2276" s="245"/>
      <c r="C2276" s="245"/>
      <c r="D2276" s="245"/>
      <c r="E2276" s="245"/>
      <c r="F2276" s="319"/>
      <c r="G2276" s="245"/>
      <c r="H2276" s="245"/>
      <c r="I2276" s="245"/>
      <c r="P2276" s="366"/>
      <c r="R2276" s="355"/>
      <c r="S2276" s="369"/>
      <c r="T2276" s="328"/>
      <c r="U2276" s="394" ph="1"/>
      <c r="W2276" s="216"/>
      <c r="X2276" s="245"/>
      <c r="Y2276" s="187"/>
      <c r="Z2276" s="245"/>
      <c r="AA2276" s="245"/>
      <c r="AB2276" s="332"/>
      <c r="AD2276" s="245"/>
      <c r="AE2276" s="245"/>
      <c r="AF2276" s="245"/>
      <c r="AG2276" s="245"/>
    </row>
    <row r="2277" spans="1:33" ht="26.4">
      <c r="A2277" s="391"/>
      <c r="B2277" s="245"/>
      <c r="C2277" s="245"/>
      <c r="D2277" s="245"/>
      <c r="E2277" s="245"/>
      <c r="F2277" s="319"/>
      <c r="G2277" s="245"/>
      <c r="H2277" s="245"/>
      <c r="I2277" s="245"/>
      <c r="P2277" s="366"/>
      <c r="R2277" s="355"/>
      <c r="S2277" s="369"/>
      <c r="T2277" s="328"/>
      <c r="U2277" s="394" ph="1"/>
      <c r="W2277" s="216"/>
      <c r="X2277" s="245"/>
      <c r="Y2277" s="187"/>
      <c r="Z2277" s="245"/>
      <c r="AA2277" s="245"/>
      <c r="AB2277" s="332"/>
      <c r="AD2277" s="245"/>
      <c r="AE2277" s="245"/>
      <c r="AF2277" s="245"/>
      <c r="AG2277" s="245"/>
    </row>
    <row r="2278" spans="1:33" ht="26.4">
      <c r="A2278" s="391"/>
      <c r="B2278" s="245"/>
      <c r="C2278" s="245"/>
      <c r="D2278" s="245"/>
      <c r="E2278" s="245"/>
      <c r="F2278" s="319"/>
      <c r="G2278" s="245"/>
      <c r="H2278" s="245"/>
      <c r="I2278" s="245"/>
      <c r="P2278" s="366"/>
      <c r="R2278" s="355"/>
      <c r="S2278" s="369"/>
      <c r="T2278" s="328"/>
      <c r="U2278" s="394" ph="1"/>
      <c r="W2278" s="216"/>
      <c r="X2278" s="245"/>
      <c r="Y2278" s="187"/>
      <c r="Z2278" s="245"/>
      <c r="AA2278" s="245"/>
      <c r="AB2278" s="332"/>
      <c r="AD2278" s="245"/>
      <c r="AE2278" s="245"/>
      <c r="AF2278" s="245"/>
      <c r="AG2278" s="245"/>
    </row>
    <row r="2279" spans="1:33" ht="26.4">
      <c r="A2279" s="391"/>
      <c r="B2279" s="245"/>
      <c r="C2279" s="245"/>
      <c r="D2279" s="245"/>
      <c r="E2279" s="245"/>
      <c r="F2279" s="319"/>
      <c r="G2279" s="245"/>
      <c r="H2279" s="245"/>
      <c r="I2279" s="245"/>
      <c r="P2279" s="366"/>
      <c r="R2279" s="355"/>
      <c r="S2279" s="369"/>
      <c r="T2279" s="328"/>
      <c r="U2279" s="394" ph="1"/>
      <c r="W2279" s="216"/>
      <c r="X2279" s="245"/>
      <c r="Y2279" s="187"/>
      <c r="Z2279" s="245"/>
      <c r="AA2279" s="245"/>
      <c r="AB2279" s="332"/>
      <c r="AD2279" s="245"/>
      <c r="AE2279" s="245"/>
      <c r="AF2279" s="245"/>
      <c r="AG2279" s="245"/>
    </row>
    <row r="2280" spans="1:33" ht="26.4">
      <c r="A2280" s="391"/>
      <c r="B2280" s="245"/>
      <c r="C2280" s="245"/>
      <c r="D2280" s="245"/>
      <c r="E2280" s="245"/>
      <c r="F2280" s="319"/>
      <c r="G2280" s="245"/>
      <c r="H2280" s="245"/>
      <c r="I2280" s="245"/>
      <c r="P2280" s="366"/>
      <c r="R2280" s="355"/>
      <c r="S2280" s="369"/>
      <c r="T2280" s="328"/>
      <c r="U2280" s="394" ph="1"/>
      <c r="W2280" s="216"/>
      <c r="X2280" s="245"/>
      <c r="Y2280" s="187"/>
      <c r="Z2280" s="245"/>
      <c r="AA2280" s="245"/>
      <c r="AB2280" s="332"/>
      <c r="AD2280" s="245"/>
      <c r="AE2280" s="245"/>
      <c r="AF2280" s="245"/>
      <c r="AG2280" s="245"/>
    </row>
    <row r="2281" spans="1:33" ht="26.4">
      <c r="A2281" s="391"/>
      <c r="B2281" s="245"/>
      <c r="C2281" s="245"/>
      <c r="D2281" s="245"/>
      <c r="E2281" s="245"/>
      <c r="F2281" s="319"/>
      <c r="G2281" s="245"/>
      <c r="H2281" s="245"/>
      <c r="I2281" s="245"/>
      <c r="P2281" s="366"/>
      <c r="R2281" s="355"/>
      <c r="S2281" s="369"/>
      <c r="T2281" s="328"/>
      <c r="U2281" s="394" ph="1"/>
      <c r="W2281" s="216"/>
      <c r="X2281" s="245"/>
      <c r="Y2281" s="187"/>
      <c r="Z2281" s="245"/>
      <c r="AA2281" s="245"/>
      <c r="AB2281" s="332"/>
      <c r="AD2281" s="245"/>
      <c r="AE2281" s="245"/>
      <c r="AF2281" s="245"/>
      <c r="AG2281" s="245"/>
    </row>
    <row r="2282" spans="1:33" ht="26.4">
      <c r="A2282" s="391"/>
      <c r="B2282" s="245"/>
      <c r="C2282" s="245"/>
      <c r="D2282" s="245"/>
      <c r="E2282" s="245"/>
      <c r="F2282" s="319"/>
      <c r="G2282" s="245"/>
      <c r="H2282" s="245"/>
      <c r="I2282" s="245"/>
      <c r="P2282" s="366"/>
      <c r="R2282" s="355"/>
      <c r="S2282" s="369"/>
      <c r="T2282" s="328"/>
      <c r="U2282" s="394" ph="1"/>
      <c r="W2282" s="216"/>
      <c r="X2282" s="245"/>
      <c r="Y2282" s="187"/>
      <c r="Z2282" s="245"/>
      <c r="AA2282" s="245"/>
      <c r="AB2282" s="332"/>
      <c r="AD2282" s="245"/>
      <c r="AE2282" s="245"/>
      <c r="AF2282" s="245"/>
      <c r="AG2282" s="245"/>
    </row>
    <row r="2283" spans="1:33" ht="26.4">
      <c r="A2283" s="391"/>
      <c r="B2283" s="245"/>
      <c r="C2283" s="245"/>
      <c r="D2283" s="245"/>
      <c r="E2283" s="245"/>
      <c r="F2283" s="319"/>
      <c r="G2283" s="245"/>
      <c r="H2283" s="245"/>
      <c r="I2283" s="245"/>
      <c r="P2283" s="366"/>
      <c r="R2283" s="355"/>
      <c r="S2283" s="369"/>
      <c r="T2283" s="328"/>
      <c r="U2283" s="394" ph="1"/>
      <c r="W2283" s="216"/>
      <c r="X2283" s="245"/>
      <c r="Y2283" s="187"/>
      <c r="Z2283" s="245"/>
      <c r="AA2283" s="245"/>
      <c r="AB2283" s="332"/>
      <c r="AD2283" s="245"/>
      <c r="AE2283" s="245"/>
      <c r="AF2283" s="245"/>
      <c r="AG2283" s="245"/>
    </row>
    <row r="2284" spans="1:33" ht="26.4">
      <c r="A2284" s="391"/>
      <c r="B2284" s="245"/>
      <c r="C2284" s="245"/>
      <c r="D2284" s="245"/>
      <c r="E2284" s="245"/>
      <c r="F2284" s="319"/>
      <c r="G2284" s="245"/>
      <c r="H2284" s="245"/>
      <c r="I2284" s="245"/>
      <c r="P2284" s="366"/>
      <c r="R2284" s="355"/>
      <c r="S2284" s="369"/>
      <c r="T2284" s="328"/>
      <c r="U2284" s="394" ph="1"/>
      <c r="W2284" s="216"/>
      <c r="X2284" s="245"/>
      <c r="Y2284" s="187"/>
      <c r="Z2284" s="245"/>
      <c r="AA2284" s="245"/>
      <c r="AB2284" s="332"/>
      <c r="AD2284" s="245"/>
      <c r="AE2284" s="245"/>
      <c r="AF2284" s="245"/>
      <c r="AG2284" s="245"/>
    </row>
    <row r="2285" spans="1:33" ht="26.4">
      <c r="A2285" s="391"/>
      <c r="B2285" s="245"/>
      <c r="C2285" s="245"/>
      <c r="D2285" s="245"/>
      <c r="E2285" s="245"/>
      <c r="F2285" s="319"/>
      <c r="G2285" s="245"/>
      <c r="H2285" s="245"/>
      <c r="I2285" s="245"/>
      <c r="P2285" s="366"/>
      <c r="R2285" s="355"/>
      <c r="S2285" s="369"/>
      <c r="T2285" s="328"/>
      <c r="U2285" s="394" ph="1"/>
      <c r="W2285" s="216"/>
      <c r="X2285" s="245"/>
      <c r="Y2285" s="187"/>
      <c r="Z2285" s="245"/>
      <c r="AA2285" s="245"/>
      <c r="AB2285" s="332"/>
      <c r="AD2285" s="245"/>
      <c r="AE2285" s="245"/>
      <c r="AF2285" s="245"/>
      <c r="AG2285" s="245"/>
    </row>
    <row r="2286" spans="1:33" ht="26.4">
      <c r="A2286" s="391"/>
      <c r="B2286" s="245"/>
      <c r="C2286" s="245"/>
      <c r="D2286" s="245"/>
      <c r="E2286" s="245"/>
      <c r="F2286" s="319"/>
      <c r="G2286" s="245"/>
      <c r="H2286" s="245"/>
      <c r="I2286" s="245"/>
      <c r="P2286" s="366"/>
      <c r="R2286" s="355"/>
      <c r="S2286" s="369"/>
      <c r="T2286" s="328"/>
      <c r="U2286" s="394" ph="1"/>
      <c r="W2286" s="216"/>
      <c r="X2286" s="245"/>
      <c r="Y2286" s="187"/>
      <c r="Z2286" s="245"/>
      <c r="AA2286" s="245"/>
      <c r="AB2286" s="332"/>
      <c r="AD2286" s="245"/>
      <c r="AE2286" s="245"/>
      <c r="AF2286" s="245"/>
      <c r="AG2286" s="245"/>
    </row>
    <row r="2287" spans="1:33" ht="26.4">
      <c r="A2287" s="391"/>
      <c r="B2287" s="245"/>
      <c r="C2287" s="245"/>
      <c r="D2287" s="245"/>
      <c r="E2287" s="245"/>
      <c r="F2287" s="319"/>
      <c r="G2287" s="245"/>
      <c r="H2287" s="245"/>
      <c r="I2287" s="245"/>
      <c r="P2287" s="366"/>
      <c r="R2287" s="355"/>
      <c r="S2287" s="369"/>
      <c r="T2287" s="328"/>
      <c r="U2287" s="394" ph="1"/>
      <c r="W2287" s="216"/>
      <c r="X2287" s="245"/>
      <c r="Y2287" s="187"/>
      <c r="Z2287" s="245"/>
      <c r="AA2287" s="245"/>
      <c r="AB2287" s="332"/>
      <c r="AD2287" s="245"/>
      <c r="AE2287" s="245"/>
      <c r="AF2287" s="245"/>
      <c r="AG2287" s="245"/>
    </row>
    <row r="2288" spans="1:33" ht="26.4">
      <c r="A2288" s="391"/>
      <c r="B2288" s="245"/>
      <c r="C2288" s="245"/>
      <c r="D2288" s="245"/>
      <c r="E2288" s="245"/>
      <c r="F2288" s="319"/>
      <c r="G2288" s="245"/>
      <c r="H2288" s="245"/>
      <c r="I2288" s="245"/>
      <c r="P2288" s="366"/>
      <c r="R2288" s="355"/>
      <c r="S2288" s="369"/>
      <c r="T2288" s="328"/>
      <c r="U2288" s="394" ph="1"/>
      <c r="W2288" s="216"/>
      <c r="X2288" s="245"/>
      <c r="Y2288" s="187"/>
      <c r="Z2288" s="245"/>
      <c r="AA2288" s="245"/>
      <c r="AB2288" s="332"/>
      <c r="AD2288" s="245"/>
      <c r="AE2288" s="245"/>
      <c r="AF2288" s="245"/>
      <c r="AG2288" s="245"/>
    </row>
    <row r="2289" spans="1:33" ht="26.4">
      <c r="A2289" s="391"/>
      <c r="B2289" s="245"/>
      <c r="C2289" s="245"/>
      <c r="D2289" s="245"/>
      <c r="E2289" s="245"/>
      <c r="F2289" s="319"/>
      <c r="G2289" s="245"/>
      <c r="H2289" s="245"/>
      <c r="I2289" s="245"/>
      <c r="P2289" s="366"/>
      <c r="R2289" s="355"/>
      <c r="S2289" s="369"/>
      <c r="T2289" s="328"/>
      <c r="U2289" s="394" ph="1"/>
      <c r="W2289" s="216"/>
      <c r="X2289" s="245"/>
      <c r="Y2289" s="187"/>
      <c r="Z2289" s="245"/>
      <c r="AA2289" s="245"/>
      <c r="AB2289" s="332"/>
      <c r="AD2289" s="245"/>
      <c r="AE2289" s="245"/>
      <c r="AF2289" s="245"/>
      <c r="AG2289" s="245"/>
    </row>
    <row r="2290" spans="1:33" ht="26.4">
      <c r="A2290" s="391"/>
      <c r="B2290" s="245"/>
      <c r="C2290" s="245"/>
      <c r="D2290" s="245"/>
      <c r="E2290" s="245"/>
      <c r="F2290" s="319"/>
      <c r="G2290" s="245"/>
      <c r="H2290" s="245"/>
      <c r="I2290" s="245"/>
      <c r="P2290" s="366"/>
      <c r="R2290" s="355"/>
      <c r="S2290" s="369"/>
      <c r="T2290" s="328"/>
      <c r="U2290" s="394" ph="1"/>
      <c r="W2290" s="216"/>
      <c r="X2290" s="245"/>
      <c r="Y2290" s="187"/>
      <c r="Z2290" s="245"/>
      <c r="AA2290" s="245"/>
      <c r="AB2290" s="332"/>
      <c r="AD2290" s="245"/>
      <c r="AE2290" s="245"/>
      <c r="AF2290" s="245"/>
      <c r="AG2290" s="245"/>
    </row>
    <row r="2291" spans="1:33" ht="26.4">
      <c r="A2291" s="391"/>
      <c r="B2291" s="245"/>
      <c r="C2291" s="245"/>
      <c r="D2291" s="245"/>
      <c r="E2291" s="245"/>
      <c r="F2291" s="319"/>
      <c r="G2291" s="245"/>
      <c r="H2291" s="245"/>
      <c r="I2291" s="245"/>
      <c r="P2291" s="366"/>
      <c r="R2291" s="355"/>
      <c r="S2291" s="369"/>
      <c r="T2291" s="328"/>
      <c r="U2291" s="394" ph="1"/>
      <c r="W2291" s="216"/>
      <c r="X2291" s="245"/>
      <c r="Y2291" s="187"/>
      <c r="Z2291" s="245"/>
      <c r="AA2291" s="245"/>
      <c r="AB2291" s="332"/>
      <c r="AD2291" s="245"/>
      <c r="AE2291" s="245"/>
      <c r="AF2291" s="245"/>
      <c r="AG2291" s="245"/>
    </row>
    <row r="2292" spans="1:33" ht="26.4">
      <c r="A2292" s="391"/>
      <c r="B2292" s="245"/>
      <c r="C2292" s="245"/>
      <c r="D2292" s="245"/>
      <c r="E2292" s="245"/>
      <c r="F2292" s="319"/>
      <c r="G2292" s="245"/>
      <c r="H2292" s="245"/>
      <c r="I2292" s="245"/>
      <c r="P2292" s="366"/>
      <c r="R2292" s="355"/>
      <c r="S2292" s="369"/>
      <c r="T2292" s="328"/>
      <c r="U2292" s="394" ph="1"/>
      <c r="W2292" s="216"/>
      <c r="X2292" s="245"/>
      <c r="Y2292" s="187"/>
      <c r="Z2292" s="245"/>
      <c r="AA2292" s="245"/>
      <c r="AB2292" s="332"/>
      <c r="AD2292" s="245"/>
      <c r="AE2292" s="245"/>
      <c r="AF2292" s="245"/>
      <c r="AG2292" s="245"/>
    </row>
    <row r="2293" spans="1:33" ht="26.4">
      <c r="A2293" s="391"/>
      <c r="B2293" s="245"/>
      <c r="C2293" s="245"/>
      <c r="D2293" s="245"/>
      <c r="E2293" s="245"/>
      <c r="F2293" s="319"/>
      <c r="G2293" s="245"/>
      <c r="H2293" s="245"/>
      <c r="I2293" s="245"/>
      <c r="P2293" s="366"/>
      <c r="R2293" s="355"/>
      <c r="S2293" s="369"/>
      <c r="T2293" s="328"/>
      <c r="U2293" s="394" ph="1"/>
      <c r="W2293" s="216"/>
      <c r="X2293" s="245"/>
      <c r="Y2293" s="187"/>
      <c r="Z2293" s="245"/>
      <c r="AA2293" s="245"/>
      <c r="AB2293" s="332"/>
      <c r="AD2293" s="245"/>
      <c r="AE2293" s="245"/>
      <c r="AF2293" s="245"/>
      <c r="AG2293" s="245"/>
    </row>
    <row r="2294" spans="1:33" ht="26.4">
      <c r="A2294" s="391"/>
      <c r="B2294" s="245"/>
      <c r="C2294" s="245"/>
      <c r="D2294" s="245"/>
      <c r="E2294" s="245"/>
      <c r="F2294" s="319"/>
      <c r="G2294" s="245"/>
      <c r="H2294" s="245"/>
      <c r="I2294" s="245"/>
      <c r="P2294" s="366"/>
      <c r="R2294" s="355"/>
      <c r="S2294" s="369"/>
      <c r="T2294" s="328"/>
      <c r="U2294" s="394" ph="1"/>
      <c r="W2294" s="216"/>
      <c r="X2294" s="245"/>
      <c r="Y2294" s="187"/>
      <c r="Z2294" s="245"/>
      <c r="AA2294" s="245"/>
      <c r="AB2294" s="332"/>
      <c r="AD2294" s="245"/>
      <c r="AE2294" s="245"/>
      <c r="AF2294" s="245"/>
      <c r="AG2294" s="245"/>
    </row>
    <row r="2295" spans="1:33" ht="26.4">
      <c r="A2295" s="391"/>
      <c r="B2295" s="245"/>
      <c r="C2295" s="245"/>
      <c r="D2295" s="245"/>
      <c r="E2295" s="245"/>
      <c r="F2295" s="319"/>
      <c r="G2295" s="245"/>
      <c r="H2295" s="245"/>
      <c r="I2295" s="245"/>
      <c r="P2295" s="366"/>
      <c r="R2295" s="355"/>
      <c r="S2295" s="369"/>
      <c r="T2295" s="328"/>
      <c r="U2295" s="394" ph="1"/>
      <c r="W2295" s="216"/>
      <c r="X2295" s="245"/>
      <c r="Y2295" s="187"/>
      <c r="Z2295" s="245"/>
      <c r="AA2295" s="245"/>
      <c r="AB2295" s="332"/>
      <c r="AD2295" s="245"/>
      <c r="AE2295" s="245"/>
      <c r="AF2295" s="245"/>
      <c r="AG2295" s="245"/>
    </row>
    <row r="2296" spans="1:33" ht="26.4">
      <c r="A2296" s="391"/>
      <c r="B2296" s="245"/>
      <c r="C2296" s="245"/>
      <c r="D2296" s="245"/>
      <c r="E2296" s="245"/>
      <c r="F2296" s="319"/>
      <c r="G2296" s="245"/>
      <c r="H2296" s="245"/>
      <c r="I2296" s="245"/>
      <c r="P2296" s="366"/>
      <c r="R2296" s="355"/>
      <c r="S2296" s="369"/>
      <c r="T2296" s="328"/>
      <c r="U2296" s="394" ph="1"/>
      <c r="W2296" s="216"/>
      <c r="X2296" s="245"/>
      <c r="Y2296" s="187"/>
      <c r="Z2296" s="245"/>
      <c r="AA2296" s="245"/>
      <c r="AB2296" s="332"/>
      <c r="AD2296" s="245"/>
      <c r="AE2296" s="245"/>
      <c r="AF2296" s="245"/>
      <c r="AG2296" s="245"/>
    </row>
    <row r="2297" spans="1:33" ht="26.4">
      <c r="A2297" s="391"/>
      <c r="B2297" s="245"/>
      <c r="C2297" s="245"/>
      <c r="D2297" s="245"/>
      <c r="E2297" s="245"/>
      <c r="F2297" s="319"/>
      <c r="G2297" s="245"/>
      <c r="H2297" s="245"/>
      <c r="I2297" s="245"/>
      <c r="P2297" s="366"/>
      <c r="R2297" s="355"/>
      <c r="S2297" s="369"/>
      <c r="T2297" s="328"/>
      <c r="U2297" s="394" ph="1"/>
      <c r="W2297" s="216"/>
      <c r="X2297" s="245"/>
      <c r="Y2297" s="187"/>
      <c r="Z2297" s="245"/>
      <c r="AA2297" s="245"/>
      <c r="AB2297" s="332"/>
      <c r="AD2297" s="245"/>
      <c r="AE2297" s="245"/>
      <c r="AF2297" s="245"/>
      <c r="AG2297" s="245"/>
    </row>
    <row r="2298" spans="1:33" ht="26.4">
      <c r="A2298" s="391"/>
      <c r="B2298" s="245"/>
      <c r="C2298" s="245"/>
      <c r="D2298" s="245"/>
      <c r="E2298" s="245"/>
      <c r="F2298" s="319"/>
      <c r="G2298" s="245"/>
      <c r="H2298" s="245"/>
      <c r="I2298" s="245"/>
      <c r="P2298" s="366"/>
      <c r="R2298" s="355"/>
      <c r="S2298" s="369"/>
      <c r="T2298" s="328"/>
      <c r="U2298" s="394" ph="1"/>
      <c r="W2298" s="216"/>
      <c r="X2298" s="245"/>
      <c r="Y2298" s="187"/>
      <c r="Z2298" s="245"/>
      <c r="AA2298" s="245"/>
      <c r="AB2298" s="332"/>
      <c r="AD2298" s="245"/>
      <c r="AE2298" s="245"/>
      <c r="AF2298" s="245"/>
      <c r="AG2298" s="245"/>
    </row>
    <row r="2299" spans="1:33" ht="26.4">
      <c r="A2299" s="391"/>
      <c r="B2299" s="245"/>
      <c r="C2299" s="245"/>
      <c r="D2299" s="245"/>
      <c r="E2299" s="245"/>
      <c r="F2299" s="319"/>
      <c r="G2299" s="245"/>
      <c r="H2299" s="245"/>
      <c r="I2299" s="245"/>
      <c r="P2299" s="366"/>
      <c r="R2299" s="355"/>
      <c r="S2299" s="369"/>
      <c r="T2299" s="328"/>
      <c r="U2299" s="394" ph="1"/>
      <c r="W2299" s="216"/>
      <c r="X2299" s="245"/>
      <c r="Y2299" s="187"/>
      <c r="Z2299" s="245"/>
      <c r="AA2299" s="245"/>
      <c r="AB2299" s="332"/>
      <c r="AD2299" s="245"/>
      <c r="AE2299" s="245"/>
      <c r="AF2299" s="245"/>
      <c r="AG2299" s="245"/>
    </row>
    <row r="2300" spans="1:33" ht="26.4">
      <c r="A2300" s="391"/>
      <c r="B2300" s="245"/>
      <c r="C2300" s="245"/>
      <c r="D2300" s="245"/>
      <c r="E2300" s="245"/>
      <c r="F2300" s="319"/>
      <c r="G2300" s="245"/>
      <c r="H2300" s="245"/>
      <c r="I2300" s="245"/>
      <c r="P2300" s="366"/>
      <c r="R2300" s="355"/>
      <c r="S2300" s="369"/>
      <c r="T2300" s="328"/>
      <c r="U2300" s="394" ph="1"/>
      <c r="W2300" s="216"/>
      <c r="X2300" s="245"/>
      <c r="Y2300" s="187"/>
      <c r="Z2300" s="245"/>
      <c r="AA2300" s="245"/>
      <c r="AB2300" s="332"/>
      <c r="AD2300" s="245"/>
      <c r="AE2300" s="245"/>
      <c r="AF2300" s="245"/>
      <c r="AG2300" s="245"/>
    </row>
    <row r="2301" spans="1:33" ht="26.4">
      <c r="A2301" s="391"/>
      <c r="B2301" s="245"/>
      <c r="C2301" s="245"/>
      <c r="D2301" s="245"/>
      <c r="E2301" s="245"/>
      <c r="F2301" s="319"/>
      <c r="G2301" s="245"/>
      <c r="H2301" s="245"/>
      <c r="I2301" s="245"/>
      <c r="P2301" s="366"/>
      <c r="R2301" s="355"/>
      <c r="S2301" s="369"/>
      <c r="T2301" s="328"/>
      <c r="U2301" s="394" ph="1"/>
      <c r="W2301" s="216"/>
      <c r="X2301" s="245"/>
      <c r="Y2301" s="187"/>
      <c r="Z2301" s="245"/>
      <c r="AA2301" s="245"/>
      <c r="AB2301" s="332"/>
      <c r="AD2301" s="245"/>
      <c r="AE2301" s="245"/>
      <c r="AF2301" s="245"/>
      <c r="AG2301" s="245"/>
    </row>
    <row r="2302" spans="1:33" ht="26.4">
      <c r="A2302" s="391"/>
      <c r="B2302" s="245"/>
      <c r="C2302" s="245"/>
      <c r="D2302" s="245"/>
      <c r="E2302" s="245"/>
      <c r="F2302" s="319"/>
      <c r="G2302" s="245"/>
      <c r="H2302" s="245"/>
      <c r="I2302" s="245"/>
      <c r="P2302" s="366"/>
      <c r="R2302" s="355"/>
      <c r="S2302" s="369"/>
      <c r="T2302" s="328"/>
      <c r="U2302" s="394" ph="1"/>
      <c r="W2302" s="216"/>
      <c r="X2302" s="245"/>
      <c r="Y2302" s="187"/>
      <c r="Z2302" s="245"/>
      <c r="AA2302" s="245"/>
      <c r="AB2302" s="332"/>
      <c r="AD2302" s="245"/>
      <c r="AE2302" s="245"/>
      <c r="AF2302" s="245"/>
      <c r="AG2302" s="245"/>
    </row>
    <row r="2303" spans="1:33" ht="26.4">
      <c r="A2303" s="391"/>
      <c r="B2303" s="245"/>
      <c r="C2303" s="245"/>
      <c r="D2303" s="245"/>
      <c r="E2303" s="245"/>
      <c r="F2303" s="319"/>
      <c r="G2303" s="245"/>
      <c r="H2303" s="245"/>
      <c r="I2303" s="245"/>
      <c r="P2303" s="366"/>
      <c r="R2303" s="355"/>
      <c r="S2303" s="369"/>
      <c r="T2303" s="328"/>
      <c r="U2303" s="394" ph="1"/>
      <c r="W2303" s="216"/>
      <c r="X2303" s="245"/>
      <c r="Y2303" s="187"/>
      <c r="Z2303" s="245"/>
      <c r="AA2303" s="245"/>
      <c r="AB2303" s="332"/>
      <c r="AD2303" s="245"/>
      <c r="AE2303" s="245"/>
      <c r="AF2303" s="245"/>
      <c r="AG2303" s="245"/>
    </row>
    <row r="2304" spans="1:33" ht="26.4">
      <c r="A2304" s="391"/>
      <c r="B2304" s="245"/>
      <c r="C2304" s="245"/>
      <c r="D2304" s="245"/>
      <c r="E2304" s="245"/>
      <c r="F2304" s="319"/>
      <c r="G2304" s="245"/>
      <c r="H2304" s="245"/>
      <c r="I2304" s="245"/>
      <c r="P2304" s="366"/>
      <c r="R2304" s="355"/>
      <c r="S2304" s="369"/>
      <c r="T2304" s="328"/>
      <c r="U2304" s="394" ph="1"/>
      <c r="W2304" s="216"/>
      <c r="X2304" s="245"/>
      <c r="Y2304" s="187"/>
      <c r="Z2304" s="245"/>
      <c r="AA2304" s="245"/>
      <c r="AB2304" s="332"/>
      <c r="AD2304" s="245"/>
      <c r="AE2304" s="245"/>
      <c r="AF2304" s="245"/>
      <c r="AG2304" s="245"/>
    </row>
    <row r="2305" spans="1:33" ht="26.4">
      <c r="A2305" s="391"/>
      <c r="B2305" s="245"/>
      <c r="C2305" s="245"/>
      <c r="D2305" s="245"/>
      <c r="E2305" s="245"/>
      <c r="F2305" s="319"/>
      <c r="G2305" s="245"/>
      <c r="H2305" s="245"/>
      <c r="I2305" s="245"/>
      <c r="P2305" s="366"/>
      <c r="R2305" s="355"/>
      <c r="S2305" s="369"/>
      <c r="T2305" s="328"/>
      <c r="U2305" s="394" ph="1"/>
      <c r="W2305" s="216"/>
      <c r="X2305" s="245"/>
      <c r="Y2305" s="187"/>
      <c r="Z2305" s="245"/>
      <c r="AA2305" s="245"/>
      <c r="AB2305" s="332"/>
      <c r="AD2305" s="245"/>
      <c r="AE2305" s="245"/>
      <c r="AF2305" s="245"/>
      <c r="AG2305" s="245"/>
    </row>
    <row r="2306" spans="1:33" ht="26.4">
      <c r="A2306" s="391"/>
      <c r="B2306" s="245"/>
      <c r="C2306" s="245"/>
      <c r="D2306" s="245"/>
      <c r="E2306" s="245"/>
      <c r="F2306" s="319"/>
      <c r="G2306" s="245"/>
      <c r="H2306" s="245"/>
      <c r="I2306" s="245"/>
      <c r="P2306" s="366"/>
      <c r="R2306" s="355"/>
      <c r="S2306" s="369"/>
      <c r="T2306" s="328"/>
      <c r="U2306" s="394" ph="1"/>
      <c r="W2306" s="216"/>
      <c r="X2306" s="245"/>
      <c r="Y2306" s="187"/>
      <c r="Z2306" s="245"/>
      <c r="AA2306" s="245"/>
      <c r="AB2306" s="332"/>
      <c r="AD2306" s="245"/>
      <c r="AE2306" s="245"/>
      <c r="AF2306" s="245"/>
      <c r="AG2306" s="245"/>
    </row>
    <row r="2307" spans="1:33" ht="26.4">
      <c r="A2307" s="391"/>
      <c r="B2307" s="245"/>
      <c r="C2307" s="245"/>
      <c r="D2307" s="245"/>
      <c r="E2307" s="245"/>
      <c r="F2307" s="319"/>
      <c r="G2307" s="245"/>
      <c r="H2307" s="245"/>
      <c r="I2307" s="245"/>
      <c r="P2307" s="366"/>
      <c r="R2307" s="355"/>
      <c r="S2307" s="369"/>
      <c r="T2307" s="328"/>
      <c r="U2307" s="394" ph="1"/>
      <c r="W2307" s="216"/>
      <c r="X2307" s="245"/>
      <c r="Y2307" s="187"/>
      <c r="Z2307" s="245"/>
      <c r="AA2307" s="245"/>
      <c r="AB2307" s="332"/>
      <c r="AD2307" s="245"/>
      <c r="AE2307" s="245"/>
      <c r="AF2307" s="245"/>
      <c r="AG2307" s="245"/>
    </row>
    <row r="2308" spans="1:33" ht="26.4">
      <c r="A2308" s="391"/>
      <c r="B2308" s="245"/>
      <c r="C2308" s="245"/>
      <c r="D2308" s="245"/>
      <c r="E2308" s="245"/>
      <c r="F2308" s="319"/>
      <c r="G2308" s="245"/>
      <c r="H2308" s="245"/>
      <c r="I2308" s="245"/>
      <c r="P2308" s="366"/>
      <c r="R2308" s="355"/>
      <c r="S2308" s="369"/>
      <c r="T2308" s="328"/>
      <c r="U2308" s="394" ph="1"/>
      <c r="W2308" s="216"/>
      <c r="X2308" s="245"/>
      <c r="Y2308" s="187"/>
      <c r="Z2308" s="245"/>
      <c r="AA2308" s="245"/>
      <c r="AB2308" s="332"/>
      <c r="AD2308" s="245"/>
      <c r="AE2308" s="245"/>
      <c r="AF2308" s="245"/>
      <c r="AG2308" s="245"/>
    </row>
    <row r="2309" spans="1:33" ht="26.4">
      <c r="A2309" s="391"/>
      <c r="B2309" s="245"/>
      <c r="C2309" s="245"/>
      <c r="D2309" s="245"/>
      <c r="E2309" s="245"/>
      <c r="F2309" s="319"/>
      <c r="G2309" s="245"/>
      <c r="H2309" s="245"/>
      <c r="I2309" s="245"/>
      <c r="P2309" s="366"/>
      <c r="R2309" s="355"/>
      <c r="S2309" s="369"/>
      <c r="T2309" s="328"/>
      <c r="U2309" s="394" ph="1"/>
      <c r="W2309" s="216"/>
      <c r="X2309" s="245"/>
      <c r="Y2309" s="187"/>
      <c r="Z2309" s="245"/>
      <c r="AA2309" s="245"/>
      <c r="AB2309" s="332"/>
      <c r="AD2309" s="245"/>
      <c r="AE2309" s="245"/>
      <c r="AF2309" s="245"/>
      <c r="AG2309" s="245"/>
    </row>
    <row r="2310" spans="1:33" ht="26.4">
      <c r="A2310" s="391"/>
      <c r="B2310" s="245"/>
      <c r="C2310" s="245"/>
      <c r="D2310" s="245"/>
      <c r="E2310" s="245"/>
      <c r="F2310" s="319"/>
      <c r="G2310" s="245"/>
      <c r="H2310" s="245"/>
      <c r="I2310" s="245"/>
      <c r="P2310" s="366"/>
      <c r="R2310" s="355"/>
      <c r="S2310" s="369"/>
      <c r="T2310" s="328"/>
      <c r="U2310" s="394" ph="1"/>
      <c r="W2310" s="216"/>
      <c r="X2310" s="245"/>
      <c r="Y2310" s="187"/>
      <c r="Z2310" s="245"/>
      <c r="AA2310" s="245"/>
      <c r="AB2310" s="332"/>
      <c r="AD2310" s="245"/>
      <c r="AE2310" s="245"/>
      <c r="AF2310" s="245"/>
      <c r="AG2310" s="245"/>
    </row>
    <row r="2311" spans="1:33" ht="26.4">
      <c r="A2311" s="391"/>
      <c r="B2311" s="245"/>
      <c r="C2311" s="245"/>
      <c r="D2311" s="245"/>
      <c r="E2311" s="245"/>
      <c r="F2311" s="319"/>
      <c r="G2311" s="245"/>
      <c r="H2311" s="245"/>
      <c r="I2311" s="245"/>
      <c r="P2311" s="366"/>
      <c r="R2311" s="355"/>
      <c r="S2311" s="369"/>
      <c r="T2311" s="328"/>
      <c r="U2311" s="394" ph="1"/>
      <c r="W2311" s="216"/>
      <c r="X2311" s="245"/>
      <c r="Y2311" s="187"/>
      <c r="Z2311" s="245"/>
      <c r="AA2311" s="245"/>
      <c r="AB2311" s="332"/>
      <c r="AD2311" s="245"/>
      <c r="AE2311" s="245"/>
      <c r="AF2311" s="245"/>
      <c r="AG2311" s="245"/>
    </row>
    <row r="2312" spans="1:33" ht="26.4">
      <c r="A2312" s="391"/>
      <c r="B2312" s="245"/>
      <c r="C2312" s="245"/>
      <c r="D2312" s="245"/>
      <c r="E2312" s="245"/>
      <c r="F2312" s="319"/>
      <c r="G2312" s="245"/>
      <c r="H2312" s="245"/>
      <c r="I2312" s="245"/>
      <c r="P2312" s="366"/>
      <c r="R2312" s="355"/>
      <c r="S2312" s="369"/>
      <c r="T2312" s="328"/>
      <c r="U2312" s="394" ph="1"/>
      <c r="W2312" s="216"/>
      <c r="X2312" s="245"/>
      <c r="Y2312" s="187"/>
      <c r="Z2312" s="245"/>
      <c r="AA2312" s="245"/>
      <c r="AB2312" s="332"/>
      <c r="AD2312" s="245"/>
      <c r="AE2312" s="245"/>
      <c r="AF2312" s="245"/>
      <c r="AG2312" s="245"/>
    </row>
    <row r="2313" spans="1:33" ht="26.4">
      <c r="A2313" s="391"/>
      <c r="B2313" s="245"/>
      <c r="C2313" s="245"/>
      <c r="D2313" s="245"/>
      <c r="E2313" s="245"/>
      <c r="F2313" s="319"/>
      <c r="G2313" s="245"/>
      <c r="H2313" s="245"/>
      <c r="I2313" s="245"/>
      <c r="P2313" s="366"/>
      <c r="R2313" s="355"/>
      <c r="S2313" s="369"/>
      <c r="T2313" s="328"/>
      <c r="U2313" s="394" ph="1"/>
      <c r="W2313" s="216"/>
      <c r="X2313" s="245"/>
      <c r="Y2313" s="187"/>
      <c r="Z2313" s="245"/>
      <c r="AA2313" s="245"/>
      <c r="AB2313" s="332"/>
      <c r="AD2313" s="245"/>
      <c r="AE2313" s="245"/>
      <c r="AF2313" s="245"/>
      <c r="AG2313" s="245"/>
    </row>
    <row r="2314" spans="1:33" ht="26.4">
      <c r="A2314" s="391"/>
      <c r="B2314" s="245"/>
      <c r="C2314" s="245"/>
      <c r="D2314" s="245"/>
      <c r="E2314" s="245"/>
      <c r="F2314" s="319"/>
      <c r="G2314" s="245"/>
      <c r="H2314" s="245"/>
      <c r="I2314" s="245"/>
      <c r="P2314" s="366"/>
      <c r="R2314" s="355"/>
      <c r="S2314" s="369"/>
      <c r="T2314" s="328"/>
      <c r="U2314" s="394" ph="1"/>
      <c r="W2314" s="216"/>
      <c r="X2314" s="245"/>
      <c r="Y2314" s="187"/>
      <c r="Z2314" s="245"/>
      <c r="AA2314" s="245"/>
      <c r="AB2314" s="332"/>
      <c r="AD2314" s="245"/>
      <c r="AE2314" s="245"/>
      <c r="AF2314" s="245"/>
      <c r="AG2314" s="245"/>
    </row>
    <row r="2315" spans="1:33" ht="26.4">
      <c r="A2315" s="391"/>
      <c r="B2315" s="245"/>
      <c r="C2315" s="245"/>
      <c r="D2315" s="245"/>
      <c r="E2315" s="245"/>
      <c r="F2315" s="319"/>
      <c r="G2315" s="245"/>
      <c r="H2315" s="245"/>
      <c r="I2315" s="245"/>
      <c r="P2315" s="366"/>
      <c r="R2315" s="355"/>
      <c r="S2315" s="369"/>
      <c r="T2315" s="328"/>
      <c r="U2315" s="394" ph="1"/>
      <c r="W2315" s="216"/>
      <c r="X2315" s="245"/>
      <c r="Y2315" s="187"/>
      <c r="Z2315" s="245"/>
      <c r="AA2315" s="245"/>
      <c r="AB2315" s="332"/>
      <c r="AD2315" s="245"/>
      <c r="AE2315" s="245"/>
      <c r="AF2315" s="245"/>
      <c r="AG2315" s="245"/>
    </row>
    <row r="2316" spans="1:33" ht="26.4">
      <c r="A2316" s="391"/>
      <c r="B2316" s="245"/>
      <c r="C2316" s="245"/>
      <c r="D2316" s="245"/>
      <c r="E2316" s="245"/>
      <c r="F2316" s="319"/>
      <c r="G2316" s="245"/>
      <c r="H2316" s="245"/>
      <c r="I2316" s="245"/>
      <c r="P2316" s="366"/>
      <c r="R2316" s="355"/>
      <c r="S2316" s="369"/>
      <c r="T2316" s="328"/>
      <c r="U2316" s="394" ph="1"/>
      <c r="W2316" s="216"/>
      <c r="X2316" s="245"/>
      <c r="Y2316" s="187"/>
      <c r="Z2316" s="245"/>
      <c r="AA2316" s="245"/>
      <c r="AB2316" s="332"/>
      <c r="AD2316" s="245"/>
      <c r="AE2316" s="245"/>
      <c r="AF2316" s="245"/>
      <c r="AG2316" s="245"/>
    </row>
    <row r="2317" spans="1:33" ht="26.4">
      <c r="A2317" s="391"/>
      <c r="B2317" s="245"/>
      <c r="C2317" s="245"/>
      <c r="D2317" s="245"/>
      <c r="E2317" s="245"/>
      <c r="F2317" s="319"/>
      <c r="G2317" s="245"/>
      <c r="H2317" s="245"/>
      <c r="I2317" s="245"/>
      <c r="P2317" s="366"/>
      <c r="R2317" s="355"/>
      <c r="S2317" s="369"/>
      <c r="T2317" s="328"/>
      <c r="U2317" s="394" ph="1"/>
      <c r="W2317" s="216"/>
      <c r="X2317" s="245"/>
      <c r="Y2317" s="187"/>
      <c r="Z2317" s="245"/>
      <c r="AA2317" s="245"/>
      <c r="AB2317" s="332"/>
      <c r="AD2317" s="245"/>
      <c r="AE2317" s="245"/>
      <c r="AF2317" s="245"/>
      <c r="AG2317" s="245"/>
    </row>
    <row r="2318" spans="1:33" ht="26.4">
      <c r="A2318" s="391"/>
      <c r="B2318" s="245"/>
      <c r="C2318" s="245"/>
      <c r="D2318" s="245"/>
      <c r="E2318" s="245"/>
      <c r="F2318" s="319"/>
      <c r="G2318" s="245"/>
      <c r="H2318" s="245"/>
      <c r="I2318" s="245"/>
      <c r="P2318" s="366"/>
      <c r="R2318" s="355"/>
      <c r="S2318" s="369"/>
      <c r="T2318" s="328"/>
      <c r="U2318" s="394" ph="1"/>
      <c r="W2318" s="216"/>
      <c r="X2318" s="245"/>
      <c r="Y2318" s="187"/>
      <c r="Z2318" s="245"/>
      <c r="AA2318" s="245"/>
      <c r="AB2318" s="332"/>
      <c r="AD2318" s="245"/>
      <c r="AE2318" s="245"/>
      <c r="AF2318" s="245"/>
      <c r="AG2318" s="245"/>
    </row>
    <row r="2319" spans="1:33" ht="26.4">
      <c r="A2319" s="391"/>
      <c r="B2319" s="245"/>
      <c r="C2319" s="245"/>
      <c r="D2319" s="245"/>
      <c r="E2319" s="245"/>
      <c r="F2319" s="319"/>
      <c r="G2319" s="245"/>
      <c r="H2319" s="245"/>
      <c r="I2319" s="245"/>
      <c r="P2319" s="366"/>
      <c r="R2319" s="355"/>
      <c r="S2319" s="369"/>
      <c r="T2319" s="328"/>
      <c r="U2319" s="394" ph="1"/>
      <c r="W2319" s="216"/>
      <c r="X2319" s="245"/>
      <c r="Y2319" s="187"/>
      <c r="Z2319" s="245"/>
      <c r="AA2319" s="245"/>
      <c r="AB2319" s="332"/>
      <c r="AD2319" s="245"/>
      <c r="AE2319" s="245"/>
      <c r="AF2319" s="245"/>
      <c r="AG2319" s="245"/>
    </row>
    <row r="2320" spans="1:33" ht="26.4">
      <c r="A2320" s="391"/>
      <c r="B2320" s="245"/>
      <c r="C2320" s="245"/>
      <c r="D2320" s="245"/>
      <c r="E2320" s="245"/>
      <c r="F2320" s="319"/>
      <c r="G2320" s="245"/>
      <c r="H2320" s="245"/>
      <c r="I2320" s="245"/>
      <c r="P2320" s="366"/>
      <c r="R2320" s="355"/>
      <c r="S2320" s="369"/>
      <c r="T2320" s="328"/>
      <c r="U2320" s="394" ph="1"/>
      <c r="W2320" s="216"/>
      <c r="X2320" s="245"/>
      <c r="Y2320" s="187"/>
      <c r="Z2320" s="245"/>
      <c r="AA2320" s="245"/>
      <c r="AB2320" s="332"/>
      <c r="AD2320" s="245"/>
      <c r="AE2320" s="245"/>
      <c r="AF2320" s="245"/>
      <c r="AG2320" s="245"/>
    </row>
    <row r="2321" spans="1:33" ht="26.4">
      <c r="A2321" s="391"/>
      <c r="B2321" s="245"/>
      <c r="C2321" s="245"/>
      <c r="D2321" s="245"/>
      <c r="E2321" s="245"/>
      <c r="F2321" s="319"/>
      <c r="G2321" s="245"/>
      <c r="H2321" s="245"/>
      <c r="I2321" s="245"/>
      <c r="P2321" s="366"/>
      <c r="R2321" s="355"/>
      <c r="S2321" s="369"/>
      <c r="T2321" s="328"/>
      <c r="U2321" s="394" ph="1"/>
      <c r="W2321" s="216"/>
      <c r="X2321" s="245"/>
      <c r="Y2321" s="187"/>
      <c r="Z2321" s="245"/>
      <c r="AA2321" s="245"/>
      <c r="AB2321" s="332"/>
      <c r="AD2321" s="245"/>
      <c r="AE2321" s="245"/>
      <c r="AF2321" s="245"/>
      <c r="AG2321" s="245"/>
    </row>
    <row r="2322" spans="1:33" ht="26.4">
      <c r="A2322" s="391"/>
      <c r="B2322" s="245"/>
      <c r="C2322" s="245"/>
      <c r="D2322" s="245"/>
      <c r="E2322" s="245"/>
      <c r="F2322" s="319"/>
      <c r="G2322" s="245"/>
      <c r="H2322" s="245"/>
      <c r="I2322" s="245"/>
      <c r="P2322" s="366"/>
      <c r="R2322" s="355"/>
      <c r="S2322" s="369"/>
      <c r="T2322" s="328"/>
      <c r="U2322" s="394" ph="1"/>
      <c r="W2322" s="216"/>
      <c r="X2322" s="245"/>
      <c r="Y2322" s="187"/>
      <c r="Z2322" s="245"/>
      <c r="AA2322" s="245"/>
      <c r="AB2322" s="332"/>
      <c r="AD2322" s="245"/>
      <c r="AE2322" s="245"/>
      <c r="AF2322" s="245"/>
      <c r="AG2322" s="245"/>
    </row>
    <row r="2323" spans="1:33" ht="26.4">
      <c r="A2323" s="391"/>
      <c r="B2323" s="245"/>
      <c r="C2323" s="245"/>
      <c r="D2323" s="245"/>
      <c r="E2323" s="245"/>
      <c r="F2323" s="319"/>
      <c r="G2323" s="245"/>
      <c r="H2323" s="245"/>
      <c r="I2323" s="245"/>
      <c r="P2323" s="366"/>
      <c r="R2323" s="355"/>
      <c r="S2323" s="369"/>
      <c r="T2323" s="328"/>
      <c r="U2323" s="394" ph="1"/>
      <c r="W2323" s="216"/>
      <c r="X2323" s="245"/>
      <c r="Y2323" s="187"/>
      <c r="Z2323" s="245"/>
      <c r="AA2323" s="245"/>
      <c r="AB2323" s="332"/>
      <c r="AD2323" s="245"/>
      <c r="AE2323" s="245"/>
      <c r="AF2323" s="245"/>
      <c r="AG2323" s="245"/>
    </row>
    <row r="2324" spans="1:33" ht="26.4">
      <c r="A2324" s="391"/>
      <c r="B2324" s="245"/>
      <c r="C2324" s="245"/>
      <c r="D2324" s="245"/>
      <c r="E2324" s="245"/>
      <c r="F2324" s="319"/>
      <c r="G2324" s="245"/>
      <c r="H2324" s="245"/>
      <c r="I2324" s="245"/>
      <c r="P2324" s="366"/>
      <c r="R2324" s="355"/>
      <c r="S2324" s="369"/>
      <c r="T2324" s="328"/>
      <c r="U2324" s="394" ph="1"/>
      <c r="W2324" s="216"/>
      <c r="X2324" s="245"/>
      <c r="Y2324" s="187"/>
      <c r="Z2324" s="245"/>
      <c r="AA2324" s="245"/>
      <c r="AB2324" s="332"/>
      <c r="AD2324" s="245"/>
      <c r="AE2324" s="245"/>
      <c r="AF2324" s="245"/>
      <c r="AG2324" s="245"/>
    </row>
    <row r="2325" spans="1:33" ht="26.4">
      <c r="A2325" s="391"/>
      <c r="B2325" s="245"/>
      <c r="C2325" s="245"/>
      <c r="D2325" s="245"/>
      <c r="E2325" s="245"/>
      <c r="F2325" s="319"/>
      <c r="G2325" s="245"/>
      <c r="H2325" s="245"/>
      <c r="I2325" s="245"/>
      <c r="P2325" s="366"/>
      <c r="R2325" s="355"/>
      <c r="S2325" s="369"/>
      <c r="T2325" s="328"/>
      <c r="U2325" s="394" ph="1"/>
      <c r="W2325" s="216"/>
      <c r="X2325" s="245"/>
      <c r="Y2325" s="187"/>
      <c r="Z2325" s="245"/>
      <c r="AA2325" s="245"/>
      <c r="AB2325" s="332"/>
      <c r="AD2325" s="245"/>
      <c r="AE2325" s="245"/>
      <c r="AF2325" s="245"/>
      <c r="AG2325" s="245"/>
    </row>
    <row r="2326" spans="1:33" ht="26.4">
      <c r="A2326" s="391"/>
      <c r="B2326" s="245"/>
      <c r="C2326" s="245"/>
      <c r="D2326" s="245"/>
      <c r="E2326" s="245"/>
      <c r="F2326" s="319"/>
      <c r="G2326" s="245"/>
      <c r="H2326" s="245"/>
      <c r="I2326" s="245"/>
      <c r="P2326" s="366"/>
      <c r="R2326" s="355"/>
      <c r="S2326" s="369"/>
      <c r="T2326" s="328"/>
      <c r="U2326" s="394" ph="1"/>
      <c r="W2326" s="216"/>
      <c r="X2326" s="245"/>
      <c r="Y2326" s="187"/>
      <c r="Z2326" s="245"/>
      <c r="AA2326" s="245"/>
      <c r="AB2326" s="332"/>
      <c r="AD2326" s="245"/>
      <c r="AE2326" s="245"/>
      <c r="AF2326" s="245"/>
      <c r="AG2326" s="245"/>
    </row>
    <row r="2327" spans="1:33" ht="26.4">
      <c r="A2327" s="391"/>
      <c r="B2327" s="245"/>
      <c r="C2327" s="245"/>
      <c r="D2327" s="245"/>
      <c r="E2327" s="245"/>
      <c r="F2327" s="319"/>
      <c r="G2327" s="245"/>
      <c r="H2327" s="245"/>
      <c r="I2327" s="245"/>
      <c r="P2327" s="366"/>
      <c r="R2327" s="355"/>
      <c r="S2327" s="369"/>
      <c r="T2327" s="328"/>
      <c r="U2327" s="394" ph="1"/>
      <c r="W2327" s="216"/>
      <c r="X2327" s="245"/>
      <c r="Y2327" s="187"/>
      <c r="Z2327" s="245"/>
      <c r="AA2327" s="245"/>
      <c r="AB2327" s="332"/>
      <c r="AD2327" s="245"/>
      <c r="AE2327" s="245"/>
      <c r="AF2327" s="245"/>
      <c r="AG2327" s="245"/>
    </row>
    <row r="2328" spans="1:33" ht="26.4">
      <c r="A2328" s="391"/>
      <c r="B2328" s="245"/>
      <c r="C2328" s="245"/>
      <c r="D2328" s="245"/>
      <c r="E2328" s="245"/>
      <c r="F2328" s="319"/>
      <c r="G2328" s="245"/>
      <c r="H2328" s="245"/>
      <c r="I2328" s="245"/>
      <c r="P2328" s="366"/>
      <c r="R2328" s="355"/>
      <c r="S2328" s="369"/>
      <c r="T2328" s="328"/>
      <c r="U2328" s="394" ph="1"/>
      <c r="W2328" s="216"/>
      <c r="X2328" s="245"/>
      <c r="Y2328" s="187"/>
      <c r="Z2328" s="245"/>
      <c r="AA2328" s="245"/>
      <c r="AB2328" s="332"/>
      <c r="AD2328" s="245"/>
      <c r="AE2328" s="245"/>
      <c r="AF2328" s="245"/>
      <c r="AG2328" s="245"/>
    </row>
    <row r="2329" spans="1:33" ht="26.4">
      <c r="A2329" s="391"/>
      <c r="B2329" s="245"/>
      <c r="C2329" s="245"/>
      <c r="D2329" s="245"/>
      <c r="E2329" s="245"/>
      <c r="F2329" s="319"/>
      <c r="G2329" s="245"/>
      <c r="H2329" s="245"/>
      <c r="I2329" s="245"/>
      <c r="P2329" s="366"/>
      <c r="R2329" s="355"/>
      <c r="S2329" s="369"/>
      <c r="T2329" s="328"/>
      <c r="U2329" s="394" ph="1"/>
      <c r="W2329" s="216"/>
      <c r="X2329" s="245"/>
      <c r="Y2329" s="187"/>
      <c r="Z2329" s="245"/>
      <c r="AA2329" s="245"/>
      <c r="AB2329" s="332"/>
      <c r="AD2329" s="245"/>
      <c r="AE2329" s="245"/>
      <c r="AF2329" s="245"/>
      <c r="AG2329" s="245"/>
    </row>
    <row r="2330" spans="1:33" ht="26.4">
      <c r="A2330" s="391"/>
      <c r="B2330" s="245"/>
      <c r="C2330" s="245"/>
      <c r="D2330" s="245"/>
      <c r="E2330" s="245"/>
      <c r="F2330" s="319"/>
      <c r="G2330" s="245"/>
      <c r="H2330" s="245"/>
      <c r="I2330" s="245"/>
      <c r="P2330" s="366"/>
      <c r="R2330" s="355"/>
      <c r="S2330" s="369"/>
      <c r="T2330" s="328"/>
      <c r="U2330" s="394" ph="1"/>
      <c r="W2330" s="216"/>
      <c r="X2330" s="245"/>
      <c r="Y2330" s="187"/>
      <c r="Z2330" s="245"/>
      <c r="AA2330" s="245"/>
      <c r="AB2330" s="332"/>
      <c r="AD2330" s="245"/>
      <c r="AE2330" s="245"/>
      <c r="AF2330" s="245"/>
      <c r="AG2330" s="245"/>
    </row>
    <row r="2331" spans="1:33" ht="26.4">
      <c r="A2331" s="391"/>
      <c r="B2331" s="245"/>
      <c r="C2331" s="245"/>
      <c r="D2331" s="245"/>
      <c r="E2331" s="245"/>
      <c r="F2331" s="319"/>
      <c r="G2331" s="245"/>
      <c r="H2331" s="245"/>
      <c r="I2331" s="245"/>
      <c r="P2331" s="366"/>
      <c r="R2331" s="355"/>
      <c r="S2331" s="369"/>
      <c r="T2331" s="328"/>
      <c r="U2331" s="394" ph="1"/>
      <c r="W2331" s="216"/>
      <c r="X2331" s="245"/>
      <c r="Y2331" s="187"/>
      <c r="Z2331" s="245"/>
      <c r="AA2331" s="245"/>
      <c r="AB2331" s="332"/>
      <c r="AD2331" s="245"/>
      <c r="AE2331" s="245"/>
      <c r="AF2331" s="245"/>
      <c r="AG2331" s="245"/>
    </row>
    <row r="2332" spans="1:33" ht="26.4">
      <c r="A2332" s="391"/>
      <c r="B2332" s="245"/>
      <c r="C2332" s="245"/>
      <c r="D2332" s="245"/>
      <c r="E2332" s="245"/>
      <c r="F2332" s="319"/>
      <c r="G2332" s="245"/>
      <c r="H2332" s="245"/>
      <c r="I2332" s="245"/>
      <c r="P2332" s="366"/>
      <c r="R2332" s="355"/>
      <c r="S2332" s="369"/>
      <c r="T2332" s="328"/>
      <c r="U2332" s="394" ph="1"/>
      <c r="W2332" s="216"/>
      <c r="X2332" s="245"/>
      <c r="Y2332" s="187"/>
      <c r="Z2332" s="245"/>
      <c r="AA2332" s="245"/>
      <c r="AB2332" s="332"/>
      <c r="AD2332" s="245"/>
      <c r="AE2332" s="245"/>
      <c r="AF2332" s="245"/>
      <c r="AG2332" s="245"/>
    </row>
    <row r="2333" spans="1:33" ht="26.4">
      <c r="A2333" s="391"/>
      <c r="B2333" s="245"/>
      <c r="C2333" s="245"/>
      <c r="D2333" s="245"/>
      <c r="E2333" s="245"/>
      <c r="F2333" s="319"/>
      <c r="G2333" s="245"/>
      <c r="H2333" s="245"/>
      <c r="I2333" s="245"/>
      <c r="P2333" s="366"/>
      <c r="R2333" s="355"/>
      <c r="S2333" s="369"/>
      <c r="T2333" s="328"/>
      <c r="U2333" s="394" ph="1"/>
      <c r="W2333" s="216"/>
      <c r="X2333" s="245"/>
      <c r="Y2333" s="187"/>
      <c r="Z2333" s="245"/>
      <c r="AA2333" s="245"/>
      <c r="AB2333" s="332"/>
      <c r="AD2333" s="245"/>
      <c r="AE2333" s="245"/>
      <c r="AF2333" s="245"/>
      <c r="AG2333" s="245"/>
    </row>
    <row r="2334" spans="1:33" ht="26.4">
      <c r="A2334" s="391"/>
      <c r="B2334" s="245"/>
      <c r="C2334" s="245"/>
      <c r="D2334" s="245"/>
      <c r="E2334" s="245"/>
      <c r="F2334" s="319"/>
      <c r="G2334" s="245"/>
      <c r="H2334" s="245"/>
      <c r="I2334" s="245"/>
      <c r="P2334" s="366"/>
      <c r="R2334" s="355"/>
      <c r="S2334" s="369"/>
      <c r="T2334" s="328"/>
      <c r="U2334" s="394" ph="1"/>
      <c r="W2334" s="216"/>
      <c r="X2334" s="245"/>
      <c r="Y2334" s="187"/>
      <c r="Z2334" s="245"/>
      <c r="AA2334" s="245"/>
      <c r="AB2334" s="332"/>
      <c r="AD2334" s="245"/>
      <c r="AE2334" s="245"/>
      <c r="AF2334" s="245"/>
      <c r="AG2334" s="245"/>
    </row>
    <row r="2335" spans="1:33" ht="26.4">
      <c r="A2335" s="391"/>
      <c r="B2335" s="245"/>
      <c r="C2335" s="245"/>
      <c r="D2335" s="245"/>
      <c r="E2335" s="245"/>
      <c r="F2335" s="319"/>
      <c r="G2335" s="245"/>
      <c r="H2335" s="245"/>
      <c r="I2335" s="245"/>
      <c r="P2335" s="366"/>
      <c r="R2335" s="355"/>
      <c r="S2335" s="369"/>
      <c r="T2335" s="328"/>
      <c r="U2335" s="394" ph="1"/>
      <c r="W2335" s="216"/>
      <c r="X2335" s="245"/>
      <c r="Y2335" s="187"/>
      <c r="Z2335" s="245"/>
      <c r="AA2335" s="245"/>
      <c r="AB2335" s="332"/>
      <c r="AD2335" s="245"/>
      <c r="AE2335" s="245"/>
      <c r="AF2335" s="245"/>
      <c r="AG2335" s="245"/>
    </row>
    <row r="2336" spans="1:33" ht="26.4">
      <c r="A2336" s="391"/>
      <c r="B2336" s="245"/>
      <c r="C2336" s="245"/>
      <c r="D2336" s="245"/>
      <c r="E2336" s="245"/>
      <c r="F2336" s="319"/>
      <c r="G2336" s="245"/>
      <c r="H2336" s="245"/>
      <c r="I2336" s="245"/>
      <c r="P2336" s="366"/>
      <c r="R2336" s="355"/>
      <c r="S2336" s="369"/>
      <c r="T2336" s="328"/>
      <c r="U2336" s="394" ph="1"/>
      <c r="W2336" s="216"/>
      <c r="X2336" s="245"/>
      <c r="Y2336" s="187"/>
      <c r="Z2336" s="245"/>
      <c r="AA2336" s="245"/>
      <c r="AB2336" s="332"/>
      <c r="AD2336" s="245"/>
      <c r="AE2336" s="245"/>
      <c r="AF2336" s="245"/>
      <c r="AG2336" s="245"/>
    </row>
    <row r="2337" spans="1:33" ht="26.4">
      <c r="A2337" s="391"/>
      <c r="B2337" s="245"/>
      <c r="C2337" s="245"/>
      <c r="D2337" s="245"/>
      <c r="E2337" s="245"/>
      <c r="F2337" s="319"/>
      <c r="G2337" s="245"/>
      <c r="H2337" s="245"/>
      <c r="I2337" s="245"/>
      <c r="P2337" s="366"/>
      <c r="R2337" s="355"/>
      <c r="S2337" s="369"/>
      <c r="T2337" s="328"/>
      <c r="U2337" s="394" ph="1"/>
      <c r="W2337" s="216"/>
      <c r="X2337" s="245"/>
      <c r="Y2337" s="187"/>
      <c r="Z2337" s="245"/>
      <c r="AA2337" s="245"/>
      <c r="AB2337" s="332"/>
      <c r="AD2337" s="245"/>
      <c r="AE2337" s="245"/>
      <c r="AF2337" s="245"/>
      <c r="AG2337" s="245"/>
    </row>
    <row r="2338" spans="1:33" ht="26.4">
      <c r="A2338" s="391"/>
      <c r="B2338" s="245"/>
      <c r="C2338" s="245"/>
      <c r="D2338" s="245"/>
      <c r="E2338" s="245"/>
      <c r="F2338" s="319"/>
      <c r="G2338" s="245"/>
      <c r="H2338" s="245"/>
      <c r="I2338" s="245"/>
      <c r="P2338" s="366"/>
      <c r="R2338" s="355"/>
      <c r="S2338" s="369"/>
      <c r="T2338" s="328"/>
      <c r="U2338" s="394" ph="1"/>
      <c r="W2338" s="216"/>
      <c r="X2338" s="245"/>
      <c r="Y2338" s="187"/>
      <c r="Z2338" s="245"/>
      <c r="AA2338" s="245"/>
      <c r="AB2338" s="332"/>
      <c r="AD2338" s="245"/>
      <c r="AE2338" s="245"/>
      <c r="AF2338" s="245"/>
      <c r="AG2338" s="245"/>
    </row>
    <row r="2339" spans="1:33" ht="26.4">
      <c r="A2339" s="391"/>
      <c r="B2339" s="245"/>
      <c r="C2339" s="245"/>
      <c r="D2339" s="245"/>
      <c r="E2339" s="245"/>
      <c r="F2339" s="319"/>
      <c r="G2339" s="245"/>
      <c r="H2339" s="245"/>
      <c r="I2339" s="245"/>
      <c r="P2339" s="366"/>
      <c r="R2339" s="355"/>
      <c r="S2339" s="369"/>
      <c r="T2339" s="328"/>
      <c r="U2339" s="394" ph="1"/>
      <c r="W2339" s="216"/>
      <c r="X2339" s="245"/>
      <c r="Y2339" s="187"/>
      <c r="Z2339" s="245"/>
      <c r="AA2339" s="245"/>
      <c r="AB2339" s="332"/>
      <c r="AD2339" s="245"/>
      <c r="AE2339" s="245"/>
      <c r="AF2339" s="245"/>
      <c r="AG2339" s="245"/>
    </row>
    <row r="2340" spans="1:33" ht="26.4">
      <c r="A2340" s="391"/>
      <c r="B2340" s="245"/>
      <c r="C2340" s="245"/>
      <c r="D2340" s="245"/>
      <c r="E2340" s="245"/>
      <c r="F2340" s="319"/>
      <c r="G2340" s="245"/>
      <c r="H2340" s="245"/>
      <c r="I2340" s="245"/>
      <c r="P2340" s="366"/>
      <c r="R2340" s="355"/>
      <c r="S2340" s="369"/>
      <c r="T2340" s="328"/>
      <c r="U2340" s="394" ph="1"/>
      <c r="W2340" s="216"/>
      <c r="X2340" s="245"/>
      <c r="Y2340" s="187"/>
      <c r="Z2340" s="245"/>
      <c r="AA2340" s="245"/>
      <c r="AB2340" s="332"/>
      <c r="AD2340" s="245"/>
      <c r="AE2340" s="245"/>
      <c r="AF2340" s="245"/>
      <c r="AG2340" s="245"/>
    </row>
    <row r="2341" spans="1:33" ht="26.4">
      <c r="A2341" s="391"/>
      <c r="B2341" s="245"/>
      <c r="C2341" s="245"/>
      <c r="D2341" s="245"/>
      <c r="E2341" s="245"/>
      <c r="F2341" s="319"/>
      <c r="G2341" s="245"/>
      <c r="H2341" s="245"/>
      <c r="I2341" s="245"/>
      <c r="P2341" s="366"/>
      <c r="R2341" s="355"/>
      <c r="S2341" s="369"/>
      <c r="T2341" s="328"/>
      <c r="U2341" s="394" ph="1"/>
      <c r="W2341" s="216"/>
      <c r="X2341" s="245"/>
      <c r="Y2341" s="187"/>
      <c r="Z2341" s="245"/>
      <c r="AA2341" s="245"/>
      <c r="AB2341" s="332"/>
      <c r="AD2341" s="245"/>
      <c r="AE2341" s="245"/>
      <c r="AF2341" s="245"/>
      <c r="AG2341" s="245"/>
    </row>
    <row r="2342" spans="1:33" ht="26.4">
      <c r="A2342" s="391"/>
      <c r="B2342" s="245"/>
      <c r="C2342" s="245"/>
      <c r="D2342" s="245"/>
      <c r="E2342" s="245"/>
      <c r="F2342" s="319"/>
      <c r="G2342" s="245"/>
      <c r="H2342" s="245"/>
      <c r="I2342" s="245"/>
      <c r="P2342" s="366"/>
      <c r="R2342" s="355"/>
      <c r="S2342" s="369"/>
      <c r="T2342" s="328"/>
      <c r="U2342" s="394" ph="1"/>
      <c r="W2342" s="216"/>
      <c r="X2342" s="245"/>
      <c r="Y2342" s="187"/>
      <c r="Z2342" s="245"/>
      <c r="AA2342" s="245"/>
      <c r="AB2342" s="332"/>
      <c r="AD2342" s="245"/>
      <c r="AE2342" s="245"/>
      <c r="AF2342" s="245"/>
      <c r="AG2342" s="245"/>
    </row>
    <row r="2343" spans="1:33" ht="26.4">
      <c r="A2343" s="391"/>
      <c r="B2343" s="245"/>
      <c r="C2343" s="245"/>
      <c r="D2343" s="245"/>
      <c r="E2343" s="245"/>
      <c r="F2343" s="319"/>
      <c r="G2343" s="245"/>
      <c r="H2343" s="245"/>
      <c r="I2343" s="245"/>
      <c r="P2343" s="366"/>
      <c r="R2343" s="355"/>
      <c r="S2343" s="369"/>
      <c r="T2343" s="328"/>
      <c r="U2343" s="394" ph="1"/>
      <c r="W2343" s="216"/>
      <c r="X2343" s="245"/>
      <c r="Y2343" s="187"/>
      <c r="Z2343" s="245"/>
      <c r="AA2343" s="245"/>
      <c r="AB2343" s="332"/>
      <c r="AD2343" s="245"/>
      <c r="AE2343" s="245"/>
      <c r="AF2343" s="245"/>
      <c r="AG2343" s="245"/>
    </row>
    <row r="2344" spans="1:33" ht="26.4">
      <c r="A2344" s="391"/>
      <c r="B2344" s="245"/>
      <c r="C2344" s="245"/>
      <c r="D2344" s="245"/>
      <c r="E2344" s="245"/>
      <c r="F2344" s="319"/>
      <c r="G2344" s="245"/>
      <c r="H2344" s="245"/>
      <c r="I2344" s="245"/>
      <c r="P2344" s="366"/>
      <c r="R2344" s="355"/>
      <c r="S2344" s="369"/>
      <c r="T2344" s="328"/>
      <c r="U2344" s="394" ph="1"/>
      <c r="W2344" s="216"/>
      <c r="X2344" s="245"/>
      <c r="Y2344" s="187"/>
      <c r="Z2344" s="245"/>
      <c r="AA2344" s="245"/>
      <c r="AB2344" s="332"/>
      <c r="AD2344" s="245"/>
      <c r="AE2344" s="245"/>
      <c r="AF2344" s="245"/>
      <c r="AG2344" s="245"/>
    </row>
    <row r="2345" spans="1:33" ht="26.4">
      <c r="A2345" s="391"/>
      <c r="B2345" s="245"/>
      <c r="C2345" s="245"/>
      <c r="D2345" s="245"/>
      <c r="E2345" s="245"/>
      <c r="F2345" s="319"/>
      <c r="G2345" s="245"/>
      <c r="H2345" s="245"/>
      <c r="I2345" s="245"/>
      <c r="P2345" s="366"/>
      <c r="R2345" s="355"/>
      <c r="S2345" s="369"/>
      <c r="T2345" s="328"/>
      <c r="U2345" s="394" ph="1"/>
      <c r="W2345" s="216"/>
      <c r="X2345" s="245"/>
      <c r="Y2345" s="187"/>
      <c r="Z2345" s="245"/>
      <c r="AA2345" s="245"/>
      <c r="AB2345" s="332"/>
      <c r="AD2345" s="245"/>
      <c r="AE2345" s="245"/>
      <c r="AF2345" s="245"/>
      <c r="AG2345" s="245"/>
    </row>
    <row r="2346" spans="1:33" ht="26.4">
      <c r="A2346" s="391"/>
      <c r="B2346" s="245"/>
      <c r="C2346" s="245"/>
      <c r="D2346" s="245"/>
      <c r="E2346" s="245"/>
      <c r="F2346" s="319"/>
      <c r="G2346" s="245"/>
      <c r="H2346" s="245"/>
      <c r="I2346" s="245"/>
      <c r="P2346" s="366"/>
      <c r="R2346" s="355"/>
      <c r="S2346" s="369"/>
      <c r="T2346" s="328"/>
      <c r="U2346" s="394" ph="1"/>
      <c r="W2346" s="216"/>
      <c r="X2346" s="245"/>
      <c r="Y2346" s="187"/>
      <c r="Z2346" s="245"/>
      <c r="AA2346" s="245"/>
      <c r="AB2346" s="332"/>
      <c r="AD2346" s="245"/>
      <c r="AE2346" s="245"/>
      <c r="AF2346" s="245"/>
      <c r="AG2346" s="245"/>
    </row>
    <row r="2347" spans="1:33" ht="26.4">
      <c r="A2347" s="391"/>
      <c r="B2347" s="245"/>
      <c r="C2347" s="245"/>
      <c r="D2347" s="245"/>
      <c r="E2347" s="245"/>
      <c r="F2347" s="319"/>
      <c r="G2347" s="245"/>
      <c r="H2347" s="245"/>
      <c r="I2347" s="245"/>
      <c r="P2347" s="366"/>
      <c r="R2347" s="355"/>
      <c r="S2347" s="369"/>
      <c r="T2347" s="328"/>
      <c r="U2347" s="394" ph="1"/>
      <c r="W2347" s="216"/>
      <c r="X2347" s="245"/>
      <c r="Y2347" s="187"/>
      <c r="Z2347" s="245"/>
      <c r="AA2347" s="245"/>
      <c r="AB2347" s="332"/>
      <c r="AD2347" s="245"/>
      <c r="AE2347" s="245"/>
      <c r="AF2347" s="245"/>
      <c r="AG2347" s="245"/>
    </row>
    <row r="2348" spans="1:33" ht="26.4">
      <c r="A2348" s="391"/>
      <c r="B2348" s="245"/>
      <c r="C2348" s="245"/>
      <c r="D2348" s="245"/>
      <c r="E2348" s="245"/>
      <c r="F2348" s="319"/>
      <c r="G2348" s="245"/>
      <c r="H2348" s="245"/>
      <c r="I2348" s="245"/>
      <c r="P2348" s="366"/>
      <c r="R2348" s="355"/>
      <c r="S2348" s="369"/>
      <c r="T2348" s="328"/>
      <c r="U2348" s="394" ph="1"/>
      <c r="W2348" s="216"/>
      <c r="X2348" s="245"/>
      <c r="Y2348" s="187"/>
      <c r="Z2348" s="245"/>
      <c r="AA2348" s="245"/>
      <c r="AB2348" s="332"/>
      <c r="AD2348" s="245"/>
      <c r="AE2348" s="245"/>
      <c r="AF2348" s="245"/>
      <c r="AG2348" s="245"/>
    </row>
    <row r="2349" spans="1:33" ht="26.4">
      <c r="A2349" s="391"/>
      <c r="B2349" s="245"/>
      <c r="C2349" s="245"/>
      <c r="D2349" s="245"/>
      <c r="E2349" s="245"/>
      <c r="F2349" s="319"/>
      <c r="G2349" s="245"/>
      <c r="H2349" s="245"/>
      <c r="I2349" s="245"/>
      <c r="P2349" s="366"/>
      <c r="R2349" s="355"/>
      <c r="S2349" s="369"/>
      <c r="T2349" s="328"/>
      <c r="U2349" s="394" ph="1"/>
      <c r="W2349" s="216"/>
      <c r="X2349" s="245"/>
      <c r="Y2349" s="187"/>
      <c r="Z2349" s="245"/>
      <c r="AA2349" s="245"/>
      <c r="AB2349" s="332"/>
      <c r="AD2349" s="245"/>
      <c r="AE2349" s="245"/>
      <c r="AF2349" s="245"/>
      <c r="AG2349" s="245"/>
    </row>
    <row r="2350" spans="1:33" ht="26.4">
      <c r="A2350" s="391"/>
      <c r="B2350" s="245"/>
      <c r="C2350" s="245"/>
      <c r="D2350" s="245"/>
      <c r="E2350" s="245"/>
      <c r="F2350" s="319"/>
      <c r="G2350" s="245"/>
      <c r="H2350" s="245"/>
      <c r="I2350" s="245"/>
      <c r="P2350" s="366"/>
      <c r="R2350" s="355"/>
      <c r="S2350" s="369"/>
      <c r="T2350" s="328"/>
      <c r="U2350" s="394" ph="1"/>
      <c r="W2350" s="216"/>
      <c r="X2350" s="245"/>
      <c r="Y2350" s="187"/>
      <c r="Z2350" s="245"/>
      <c r="AA2350" s="245"/>
      <c r="AB2350" s="332"/>
      <c r="AD2350" s="245"/>
      <c r="AE2350" s="245"/>
      <c r="AF2350" s="245"/>
      <c r="AG2350" s="245"/>
    </row>
    <row r="2351" spans="1:33" ht="26.4">
      <c r="A2351" s="391"/>
      <c r="B2351" s="245"/>
      <c r="C2351" s="245"/>
      <c r="D2351" s="245"/>
      <c r="E2351" s="245"/>
      <c r="F2351" s="319"/>
      <c r="G2351" s="245"/>
      <c r="H2351" s="245"/>
      <c r="I2351" s="245"/>
      <c r="P2351" s="366"/>
      <c r="R2351" s="355"/>
      <c r="S2351" s="369"/>
      <c r="T2351" s="328"/>
      <c r="U2351" s="394" ph="1"/>
      <c r="W2351" s="216"/>
      <c r="X2351" s="245"/>
      <c r="Y2351" s="187"/>
      <c r="Z2351" s="245"/>
      <c r="AA2351" s="245"/>
      <c r="AB2351" s="332"/>
      <c r="AD2351" s="245"/>
      <c r="AE2351" s="245"/>
      <c r="AF2351" s="245"/>
      <c r="AG2351" s="245"/>
    </row>
    <row r="2352" spans="1:33" ht="26.4">
      <c r="A2352" s="391"/>
      <c r="B2352" s="245"/>
      <c r="C2352" s="245"/>
      <c r="D2352" s="245"/>
      <c r="E2352" s="245"/>
      <c r="F2352" s="319"/>
      <c r="G2352" s="245"/>
      <c r="H2352" s="245"/>
      <c r="I2352" s="245"/>
      <c r="P2352" s="366"/>
      <c r="R2352" s="355"/>
      <c r="S2352" s="369"/>
      <c r="T2352" s="328"/>
      <c r="U2352" s="394" ph="1"/>
      <c r="W2352" s="216"/>
      <c r="X2352" s="245"/>
      <c r="Y2352" s="187"/>
      <c r="Z2352" s="245"/>
      <c r="AA2352" s="245"/>
      <c r="AB2352" s="332"/>
      <c r="AD2352" s="245"/>
      <c r="AE2352" s="245"/>
      <c r="AF2352" s="245"/>
      <c r="AG2352" s="245"/>
    </row>
    <row r="2353" spans="1:33" ht="26.4">
      <c r="A2353" s="391"/>
      <c r="B2353" s="245"/>
      <c r="C2353" s="245"/>
      <c r="D2353" s="245"/>
      <c r="E2353" s="245"/>
      <c r="F2353" s="319"/>
      <c r="G2353" s="245"/>
      <c r="H2353" s="245"/>
      <c r="I2353" s="245"/>
      <c r="P2353" s="366"/>
      <c r="R2353" s="355"/>
      <c r="S2353" s="369"/>
      <c r="T2353" s="328"/>
      <c r="U2353" s="394" ph="1"/>
      <c r="W2353" s="216"/>
      <c r="X2353" s="245"/>
      <c r="Y2353" s="187"/>
      <c r="Z2353" s="245"/>
      <c r="AA2353" s="245"/>
      <c r="AB2353" s="332"/>
      <c r="AD2353" s="245"/>
      <c r="AE2353" s="245"/>
      <c r="AF2353" s="245"/>
      <c r="AG2353" s="245"/>
    </row>
    <row r="2354" spans="1:33" ht="26.4">
      <c r="A2354" s="391"/>
      <c r="B2354" s="245"/>
      <c r="C2354" s="245"/>
      <c r="D2354" s="245"/>
      <c r="E2354" s="245"/>
      <c r="F2354" s="319"/>
      <c r="G2354" s="245"/>
      <c r="H2354" s="245"/>
      <c r="I2354" s="245"/>
      <c r="P2354" s="366"/>
      <c r="R2354" s="355"/>
      <c r="S2354" s="369"/>
      <c r="T2354" s="328"/>
      <c r="U2354" s="394" ph="1"/>
      <c r="W2354" s="216"/>
      <c r="X2354" s="245"/>
      <c r="Y2354" s="187"/>
      <c r="Z2354" s="245"/>
      <c r="AA2354" s="245"/>
      <c r="AB2354" s="332"/>
      <c r="AD2354" s="245"/>
      <c r="AE2354" s="245"/>
      <c r="AF2354" s="245"/>
      <c r="AG2354" s="245"/>
    </row>
    <row r="2355" spans="1:33" ht="26.4">
      <c r="A2355" s="391"/>
      <c r="B2355" s="245"/>
      <c r="C2355" s="245"/>
      <c r="D2355" s="245"/>
      <c r="E2355" s="245"/>
      <c r="F2355" s="319"/>
      <c r="G2355" s="245"/>
      <c r="H2355" s="245"/>
      <c r="I2355" s="245"/>
      <c r="P2355" s="366"/>
      <c r="R2355" s="355"/>
      <c r="S2355" s="369"/>
      <c r="T2355" s="328"/>
      <c r="U2355" s="394" ph="1"/>
      <c r="W2355" s="216"/>
      <c r="X2355" s="245"/>
      <c r="Y2355" s="187"/>
      <c r="Z2355" s="245"/>
      <c r="AA2355" s="245"/>
      <c r="AB2355" s="332"/>
      <c r="AD2355" s="245"/>
      <c r="AE2355" s="245"/>
      <c r="AF2355" s="245"/>
      <c r="AG2355" s="245"/>
    </row>
    <row r="2356" spans="1:33" ht="26.4">
      <c r="A2356" s="391"/>
      <c r="B2356" s="245"/>
      <c r="C2356" s="245"/>
      <c r="D2356" s="245"/>
      <c r="E2356" s="245"/>
      <c r="F2356" s="319"/>
      <c r="G2356" s="245"/>
      <c r="H2356" s="245"/>
      <c r="I2356" s="245"/>
      <c r="P2356" s="366"/>
      <c r="R2356" s="355"/>
      <c r="S2356" s="369"/>
      <c r="T2356" s="328"/>
      <c r="U2356" s="394" ph="1"/>
      <c r="W2356" s="216"/>
      <c r="X2356" s="245"/>
      <c r="Y2356" s="187"/>
      <c r="Z2356" s="245"/>
      <c r="AA2356" s="245"/>
      <c r="AB2356" s="332"/>
      <c r="AD2356" s="245"/>
      <c r="AE2356" s="245"/>
      <c r="AF2356" s="245"/>
      <c r="AG2356" s="245"/>
    </row>
    <row r="2357" spans="1:33" ht="26.4">
      <c r="A2357" s="391"/>
      <c r="B2357" s="245"/>
      <c r="C2357" s="245"/>
      <c r="D2357" s="245"/>
      <c r="E2357" s="245"/>
      <c r="F2357" s="319"/>
      <c r="G2357" s="245"/>
      <c r="H2357" s="245"/>
      <c r="I2357" s="245"/>
      <c r="P2357" s="366"/>
      <c r="R2357" s="355"/>
      <c r="S2357" s="369"/>
      <c r="T2357" s="328"/>
      <c r="U2357" s="394" ph="1"/>
      <c r="W2357" s="216"/>
      <c r="X2357" s="245"/>
      <c r="Y2357" s="187"/>
      <c r="Z2357" s="245"/>
      <c r="AA2357" s="245"/>
      <c r="AB2357" s="332"/>
      <c r="AD2357" s="245"/>
      <c r="AE2357" s="245"/>
      <c r="AF2357" s="245"/>
      <c r="AG2357" s="245"/>
    </row>
    <row r="2358" spans="1:33" ht="26.4">
      <c r="A2358" s="391"/>
      <c r="B2358" s="245"/>
      <c r="C2358" s="245"/>
      <c r="D2358" s="245"/>
      <c r="E2358" s="245"/>
      <c r="F2358" s="319"/>
      <c r="G2358" s="245"/>
      <c r="H2358" s="245"/>
      <c r="I2358" s="245"/>
      <c r="P2358" s="366"/>
      <c r="R2358" s="355"/>
      <c r="S2358" s="369"/>
      <c r="T2358" s="328"/>
      <c r="U2358" s="394" ph="1"/>
      <c r="W2358" s="216"/>
      <c r="X2358" s="245"/>
      <c r="Y2358" s="187"/>
      <c r="Z2358" s="245"/>
      <c r="AA2358" s="245"/>
      <c r="AB2358" s="332"/>
      <c r="AD2358" s="245"/>
      <c r="AE2358" s="245"/>
      <c r="AF2358" s="245"/>
      <c r="AG2358" s="245"/>
    </row>
    <row r="2359" spans="1:33" ht="26.4">
      <c r="A2359" s="391"/>
      <c r="B2359" s="245"/>
      <c r="C2359" s="245"/>
      <c r="D2359" s="245"/>
      <c r="E2359" s="245"/>
      <c r="F2359" s="319"/>
      <c r="G2359" s="245"/>
      <c r="H2359" s="245"/>
      <c r="I2359" s="245"/>
      <c r="P2359" s="366"/>
      <c r="R2359" s="355"/>
      <c r="S2359" s="369"/>
      <c r="T2359" s="328"/>
      <c r="U2359" s="394" ph="1"/>
      <c r="W2359" s="216"/>
      <c r="X2359" s="245"/>
      <c r="Y2359" s="187"/>
      <c r="Z2359" s="245"/>
      <c r="AA2359" s="245"/>
      <c r="AB2359" s="332"/>
      <c r="AD2359" s="245"/>
      <c r="AE2359" s="245"/>
      <c r="AF2359" s="245"/>
      <c r="AG2359" s="245"/>
    </row>
    <row r="2360" spans="1:33" ht="26.4">
      <c r="A2360" s="391"/>
      <c r="B2360" s="245"/>
      <c r="C2360" s="245"/>
      <c r="D2360" s="245"/>
      <c r="E2360" s="245"/>
      <c r="F2360" s="319"/>
      <c r="G2360" s="245"/>
      <c r="H2360" s="245"/>
      <c r="I2360" s="245"/>
      <c r="P2360" s="366"/>
      <c r="R2360" s="355"/>
      <c r="S2360" s="369"/>
      <c r="T2360" s="328"/>
      <c r="U2360" s="394" ph="1"/>
      <c r="W2360" s="216"/>
      <c r="X2360" s="245"/>
      <c r="Y2360" s="187"/>
      <c r="Z2360" s="245"/>
      <c r="AA2360" s="245"/>
      <c r="AB2360" s="332"/>
      <c r="AD2360" s="245"/>
      <c r="AE2360" s="245"/>
      <c r="AF2360" s="245"/>
      <c r="AG2360" s="245"/>
    </row>
    <row r="2361" spans="1:33" ht="26.4">
      <c r="A2361" s="391"/>
      <c r="B2361" s="245"/>
      <c r="C2361" s="245"/>
      <c r="D2361" s="245"/>
      <c r="E2361" s="245"/>
      <c r="F2361" s="319"/>
      <c r="G2361" s="245"/>
      <c r="H2361" s="245"/>
      <c r="I2361" s="245"/>
      <c r="P2361" s="366"/>
      <c r="R2361" s="355"/>
      <c r="S2361" s="369"/>
      <c r="T2361" s="328"/>
      <c r="U2361" s="394" ph="1"/>
      <c r="W2361" s="216"/>
      <c r="X2361" s="245"/>
      <c r="Y2361" s="187"/>
      <c r="Z2361" s="245"/>
      <c r="AA2361" s="245"/>
      <c r="AB2361" s="332"/>
      <c r="AD2361" s="245"/>
      <c r="AE2361" s="245"/>
      <c r="AF2361" s="245"/>
      <c r="AG2361" s="245"/>
    </row>
    <row r="2362" spans="1:33" ht="26.4">
      <c r="A2362" s="391"/>
      <c r="B2362" s="245"/>
      <c r="C2362" s="245"/>
      <c r="D2362" s="245"/>
      <c r="E2362" s="245"/>
      <c r="F2362" s="319"/>
      <c r="G2362" s="245"/>
      <c r="H2362" s="245"/>
      <c r="I2362" s="245"/>
      <c r="P2362" s="366"/>
      <c r="R2362" s="355"/>
      <c r="S2362" s="369"/>
      <c r="T2362" s="328"/>
      <c r="U2362" s="394" ph="1"/>
      <c r="W2362" s="216"/>
      <c r="X2362" s="245"/>
      <c r="Y2362" s="187"/>
      <c r="Z2362" s="245"/>
      <c r="AA2362" s="245"/>
      <c r="AB2362" s="332"/>
      <c r="AD2362" s="245"/>
      <c r="AE2362" s="245"/>
      <c r="AF2362" s="245"/>
      <c r="AG2362" s="245"/>
    </row>
    <row r="2363" spans="1:33" ht="26.4">
      <c r="A2363" s="391"/>
      <c r="B2363" s="245"/>
      <c r="C2363" s="245"/>
      <c r="D2363" s="245"/>
      <c r="E2363" s="245"/>
      <c r="F2363" s="319"/>
      <c r="G2363" s="245"/>
      <c r="H2363" s="245"/>
      <c r="I2363" s="245"/>
      <c r="P2363" s="366"/>
      <c r="R2363" s="355"/>
      <c r="S2363" s="369"/>
      <c r="T2363" s="328"/>
      <c r="U2363" s="394" ph="1"/>
      <c r="W2363" s="216"/>
      <c r="X2363" s="245"/>
      <c r="Y2363" s="187"/>
      <c r="Z2363" s="245"/>
      <c r="AA2363" s="245"/>
      <c r="AB2363" s="332"/>
      <c r="AD2363" s="245"/>
      <c r="AE2363" s="245"/>
      <c r="AF2363" s="245"/>
      <c r="AG2363" s="245"/>
    </row>
    <row r="2364" spans="1:33" ht="26.4">
      <c r="A2364" s="391"/>
      <c r="B2364" s="245"/>
      <c r="C2364" s="245"/>
      <c r="D2364" s="245"/>
      <c r="E2364" s="245"/>
      <c r="F2364" s="319"/>
      <c r="G2364" s="245"/>
      <c r="H2364" s="245"/>
      <c r="I2364" s="245"/>
      <c r="P2364" s="366"/>
      <c r="R2364" s="355"/>
      <c r="S2364" s="369"/>
      <c r="T2364" s="328"/>
      <c r="U2364" s="394" ph="1"/>
      <c r="W2364" s="216"/>
      <c r="X2364" s="245"/>
      <c r="Y2364" s="187"/>
      <c r="Z2364" s="245"/>
      <c r="AA2364" s="245"/>
      <c r="AB2364" s="332"/>
      <c r="AD2364" s="245"/>
      <c r="AE2364" s="245"/>
      <c r="AF2364" s="245"/>
      <c r="AG2364" s="245"/>
    </row>
    <row r="2365" spans="1:33" ht="26.4">
      <c r="A2365" s="391"/>
      <c r="B2365" s="245"/>
      <c r="C2365" s="245"/>
      <c r="D2365" s="245"/>
      <c r="E2365" s="245"/>
      <c r="F2365" s="319"/>
      <c r="G2365" s="245"/>
      <c r="H2365" s="245"/>
      <c r="I2365" s="245"/>
      <c r="P2365" s="366"/>
      <c r="R2365" s="355"/>
      <c r="S2365" s="369"/>
      <c r="T2365" s="328"/>
      <c r="U2365" s="394" ph="1"/>
      <c r="W2365" s="216"/>
      <c r="X2365" s="245"/>
      <c r="Y2365" s="187"/>
      <c r="Z2365" s="245"/>
      <c r="AA2365" s="245"/>
      <c r="AB2365" s="332"/>
      <c r="AD2365" s="245"/>
      <c r="AE2365" s="245"/>
      <c r="AF2365" s="245"/>
      <c r="AG2365" s="245"/>
    </row>
    <row r="2366" spans="1:33" ht="26.4">
      <c r="A2366" s="391"/>
      <c r="B2366" s="245"/>
      <c r="C2366" s="245"/>
      <c r="D2366" s="245"/>
      <c r="E2366" s="245"/>
      <c r="F2366" s="319"/>
      <c r="G2366" s="245"/>
      <c r="H2366" s="245"/>
      <c r="I2366" s="245"/>
      <c r="P2366" s="366"/>
      <c r="R2366" s="355"/>
      <c r="S2366" s="369"/>
      <c r="T2366" s="328"/>
      <c r="U2366" s="394" ph="1"/>
      <c r="W2366" s="216"/>
      <c r="X2366" s="245"/>
      <c r="Y2366" s="187"/>
      <c r="Z2366" s="245"/>
      <c r="AA2366" s="245"/>
      <c r="AB2366" s="332"/>
      <c r="AD2366" s="245"/>
      <c r="AE2366" s="245"/>
      <c r="AF2366" s="245"/>
      <c r="AG2366" s="245"/>
    </row>
    <row r="2367" spans="1:33" ht="26.4">
      <c r="A2367" s="391"/>
      <c r="B2367" s="245"/>
      <c r="C2367" s="245"/>
      <c r="D2367" s="245"/>
      <c r="E2367" s="245"/>
      <c r="F2367" s="319"/>
      <c r="G2367" s="245"/>
      <c r="H2367" s="245"/>
      <c r="I2367" s="245"/>
      <c r="P2367" s="366"/>
      <c r="R2367" s="355"/>
      <c r="S2367" s="369"/>
      <c r="T2367" s="328"/>
      <c r="U2367" s="394" ph="1"/>
      <c r="W2367" s="216"/>
      <c r="X2367" s="245"/>
      <c r="Y2367" s="187"/>
      <c r="Z2367" s="245"/>
      <c r="AA2367" s="245"/>
      <c r="AB2367" s="332"/>
      <c r="AD2367" s="245"/>
      <c r="AE2367" s="245"/>
      <c r="AF2367" s="245"/>
      <c r="AG2367" s="245"/>
    </row>
    <row r="2368" spans="1:33" ht="26.4">
      <c r="A2368" s="391"/>
      <c r="B2368" s="245"/>
      <c r="C2368" s="245"/>
      <c r="D2368" s="245"/>
      <c r="E2368" s="245"/>
      <c r="F2368" s="319"/>
      <c r="G2368" s="245"/>
      <c r="H2368" s="245"/>
      <c r="I2368" s="245"/>
      <c r="P2368" s="366"/>
      <c r="R2368" s="355"/>
      <c r="S2368" s="369"/>
      <c r="T2368" s="328"/>
      <c r="U2368" s="394" ph="1"/>
      <c r="W2368" s="216"/>
      <c r="X2368" s="245"/>
      <c r="Y2368" s="187"/>
      <c r="Z2368" s="245"/>
      <c r="AA2368" s="245"/>
      <c r="AB2368" s="332"/>
      <c r="AD2368" s="245"/>
      <c r="AE2368" s="245"/>
      <c r="AF2368" s="245"/>
      <c r="AG2368" s="245"/>
    </row>
    <row r="2369" spans="1:33" ht="26.4">
      <c r="A2369" s="391"/>
      <c r="B2369" s="245"/>
      <c r="C2369" s="245"/>
      <c r="D2369" s="245"/>
      <c r="E2369" s="245"/>
      <c r="F2369" s="319"/>
      <c r="G2369" s="245"/>
      <c r="H2369" s="245"/>
      <c r="I2369" s="245"/>
      <c r="P2369" s="366"/>
      <c r="R2369" s="355"/>
      <c r="S2369" s="369"/>
      <c r="T2369" s="328"/>
      <c r="U2369" s="394" ph="1"/>
      <c r="W2369" s="216"/>
      <c r="X2369" s="245"/>
      <c r="Y2369" s="187"/>
      <c r="Z2369" s="245"/>
      <c r="AA2369" s="245"/>
      <c r="AB2369" s="332"/>
      <c r="AD2369" s="245"/>
      <c r="AE2369" s="245"/>
      <c r="AF2369" s="245"/>
      <c r="AG2369" s="245"/>
    </row>
    <row r="2370" spans="1:33" ht="26.4">
      <c r="A2370" s="391"/>
      <c r="B2370" s="245"/>
      <c r="C2370" s="245"/>
      <c r="D2370" s="245"/>
      <c r="E2370" s="245"/>
      <c r="F2370" s="319"/>
      <c r="G2370" s="245"/>
      <c r="H2370" s="245"/>
      <c r="I2370" s="245"/>
      <c r="P2370" s="366"/>
      <c r="R2370" s="355"/>
      <c r="S2370" s="369"/>
      <c r="T2370" s="328"/>
      <c r="U2370" s="394" ph="1"/>
      <c r="W2370" s="216"/>
      <c r="X2370" s="245"/>
      <c r="Y2370" s="187"/>
      <c r="Z2370" s="245"/>
      <c r="AA2370" s="245"/>
      <c r="AB2370" s="332"/>
      <c r="AD2370" s="245"/>
      <c r="AE2370" s="245"/>
      <c r="AF2370" s="245"/>
      <c r="AG2370" s="245"/>
    </row>
    <row r="2371" spans="1:33" ht="26.4">
      <c r="A2371" s="391"/>
      <c r="B2371" s="245"/>
      <c r="C2371" s="245"/>
      <c r="D2371" s="245"/>
      <c r="E2371" s="245"/>
      <c r="F2371" s="319"/>
      <c r="G2371" s="245"/>
      <c r="H2371" s="245"/>
      <c r="I2371" s="245"/>
      <c r="P2371" s="366"/>
      <c r="R2371" s="355"/>
      <c r="S2371" s="369"/>
      <c r="T2371" s="328"/>
      <c r="U2371" s="394" ph="1"/>
      <c r="W2371" s="216"/>
      <c r="X2371" s="245"/>
      <c r="Y2371" s="187"/>
      <c r="Z2371" s="245"/>
      <c r="AA2371" s="245"/>
      <c r="AB2371" s="332"/>
      <c r="AD2371" s="245"/>
      <c r="AE2371" s="245"/>
      <c r="AF2371" s="245"/>
      <c r="AG2371" s="245"/>
    </row>
    <row r="2372" spans="1:33" ht="26.4">
      <c r="A2372" s="391"/>
      <c r="B2372" s="245"/>
      <c r="C2372" s="245"/>
      <c r="D2372" s="245"/>
      <c r="E2372" s="245"/>
      <c r="F2372" s="319"/>
      <c r="G2372" s="245"/>
      <c r="H2372" s="245"/>
      <c r="I2372" s="245"/>
      <c r="P2372" s="366"/>
      <c r="R2372" s="355"/>
      <c r="S2372" s="369"/>
      <c r="T2372" s="328"/>
      <c r="U2372" s="394" ph="1"/>
      <c r="W2372" s="216"/>
      <c r="X2372" s="245"/>
      <c r="Y2372" s="187"/>
      <c r="Z2372" s="245"/>
      <c r="AA2372" s="245"/>
      <c r="AB2372" s="332"/>
      <c r="AD2372" s="245"/>
      <c r="AE2372" s="245"/>
      <c r="AF2372" s="245"/>
      <c r="AG2372" s="245"/>
    </row>
    <row r="2373" spans="1:33" ht="26.4">
      <c r="A2373" s="391"/>
      <c r="B2373" s="245"/>
      <c r="C2373" s="245"/>
      <c r="D2373" s="245"/>
      <c r="E2373" s="245"/>
      <c r="F2373" s="319"/>
      <c r="G2373" s="245"/>
      <c r="H2373" s="245"/>
      <c r="I2373" s="245"/>
      <c r="P2373" s="366"/>
      <c r="R2373" s="355"/>
      <c r="S2373" s="369"/>
      <c r="T2373" s="328"/>
      <c r="U2373" s="394" ph="1"/>
      <c r="W2373" s="216"/>
      <c r="X2373" s="245"/>
      <c r="Y2373" s="187"/>
      <c r="Z2373" s="245"/>
      <c r="AA2373" s="245"/>
      <c r="AB2373" s="332"/>
      <c r="AD2373" s="245"/>
      <c r="AE2373" s="245"/>
      <c r="AF2373" s="245"/>
      <c r="AG2373" s="245"/>
    </row>
    <row r="2374" spans="1:33" ht="26.4">
      <c r="A2374" s="391"/>
      <c r="B2374" s="245"/>
      <c r="C2374" s="245"/>
      <c r="D2374" s="245"/>
      <c r="E2374" s="245"/>
      <c r="F2374" s="319"/>
      <c r="G2374" s="245"/>
      <c r="H2374" s="245"/>
      <c r="I2374" s="245"/>
      <c r="P2374" s="366"/>
      <c r="R2374" s="355"/>
      <c r="S2374" s="369"/>
      <c r="T2374" s="328"/>
      <c r="U2374" s="394" ph="1"/>
      <c r="W2374" s="216"/>
      <c r="X2374" s="245"/>
      <c r="Y2374" s="187"/>
      <c r="Z2374" s="245"/>
      <c r="AA2374" s="245"/>
      <c r="AB2374" s="332"/>
      <c r="AD2374" s="245"/>
      <c r="AE2374" s="245"/>
      <c r="AF2374" s="245"/>
      <c r="AG2374" s="245"/>
    </row>
    <row r="2375" spans="1:33" ht="26.4">
      <c r="A2375" s="391"/>
      <c r="B2375" s="245"/>
      <c r="C2375" s="245"/>
      <c r="D2375" s="245"/>
      <c r="E2375" s="245"/>
      <c r="F2375" s="319"/>
      <c r="G2375" s="245"/>
      <c r="H2375" s="245"/>
      <c r="I2375" s="245"/>
      <c r="P2375" s="366"/>
      <c r="R2375" s="355"/>
      <c r="S2375" s="369"/>
      <c r="T2375" s="328"/>
      <c r="U2375" s="394" ph="1"/>
      <c r="W2375" s="216"/>
      <c r="X2375" s="245"/>
      <c r="Y2375" s="187"/>
      <c r="Z2375" s="245"/>
      <c r="AA2375" s="245"/>
      <c r="AB2375" s="332"/>
      <c r="AD2375" s="245"/>
      <c r="AE2375" s="245"/>
      <c r="AF2375" s="245"/>
      <c r="AG2375" s="245"/>
    </row>
    <row r="2376" spans="1:33" ht="26.4">
      <c r="A2376" s="391"/>
      <c r="B2376" s="245"/>
      <c r="C2376" s="245"/>
      <c r="D2376" s="245"/>
      <c r="E2376" s="245"/>
      <c r="F2376" s="319"/>
      <c r="G2376" s="245"/>
      <c r="H2376" s="245"/>
      <c r="I2376" s="245"/>
      <c r="P2376" s="366"/>
      <c r="R2376" s="355"/>
      <c r="S2376" s="369"/>
      <c r="T2376" s="328"/>
      <c r="U2376" s="394" ph="1"/>
      <c r="W2376" s="216"/>
      <c r="X2376" s="245"/>
      <c r="Y2376" s="187"/>
      <c r="Z2376" s="245"/>
      <c r="AA2376" s="245"/>
      <c r="AB2376" s="332"/>
      <c r="AD2376" s="245"/>
      <c r="AE2376" s="245"/>
      <c r="AF2376" s="245"/>
      <c r="AG2376" s="245"/>
    </row>
    <row r="2377" spans="1:33" ht="26.4">
      <c r="A2377" s="391"/>
      <c r="B2377" s="245"/>
      <c r="C2377" s="245"/>
      <c r="D2377" s="245"/>
      <c r="E2377" s="245"/>
      <c r="F2377" s="319"/>
      <c r="G2377" s="245"/>
      <c r="H2377" s="245"/>
      <c r="I2377" s="245"/>
      <c r="P2377" s="366"/>
      <c r="R2377" s="355"/>
      <c r="S2377" s="369"/>
      <c r="T2377" s="328"/>
      <c r="U2377" s="394" ph="1"/>
      <c r="W2377" s="216"/>
      <c r="X2377" s="245"/>
      <c r="Y2377" s="187"/>
      <c r="Z2377" s="245"/>
      <c r="AA2377" s="245"/>
      <c r="AB2377" s="332"/>
      <c r="AD2377" s="245"/>
      <c r="AE2377" s="245"/>
      <c r="AF2377" s="245"/>
      <c r="AG2377" s="245"/>
    </row>
    <row r="2378" spans="1:33" ht="26.4">
      <c r="A2378" s="391"/>
      <c r="B2378" s="245"/>
      <c r="C2378" s="245"/>
      <c r="D2378" s="245"/>
      <c r="E2378" s="245"/>
      <c r="F2378" s="319"/>
      <c r="G2378" s="245"/>
      <c r="H2378" s="245"/>
      <c r="I2378" s="245"/>
      <c r="P2378" s="366"/>
      <c r="R2378" s="355"/>
      <c r="S2378" s="369"/>
      <c r="T2378" s="328"/>
      <c r="U2378" s="394" ph="1"/>
      <c r="W2378" s="216"/>
      <c r="X2378" s="245"/>
      <c r="Y2378" s="187"/>
      <c r="Z2378" s="245"/>
      <c r="AA2378" s="245"/>
      <c r="AB2378" s="332"/>
      <c r="AD2378" s="245"/>
      <c r="AE2378" s="245"/>
      <c r="AF2378" s="245"/>
      <c r="AG2378" s="245"/>
    </row>
    <row r="2379" spans="1:33" ht="26.4">
      <c r="A2379" s="391"/>
      <c r="B2379" s="245"/>
      <c r="C2379" s="245"/>
      <c r="D2379" s="245"/>
      <c r="E2379" s="245"/>
      <c r="F2379" s="319"/>
      <c r="G2379" s="245"/>
      <c r="H2379" s="245"/>
      <c r="I2379" s="245"/>
      <c r="P2379" s="366"/>
      <c r="R2379" s="355"/>
      <c r="S2379" s="369"/>
      <c r="T2379" s="328"/>
      <c r="U2379" s="394" ph="1"/>
      <c r="W2379" s="216"/>
      <c r="X2379" s="245"/>
      <c r="Y2379" s="187"/>
      <c r="Z2379" s="245"/>
      <c r="AA2379" s="245"/>
      <c r="AB2379" s="332"/>
      <c r="AD2379" s="245"/>
      <c r="AE2379" s="245"/>
      <c r="AF2379" s="245"/>
      <c r="AG2379" s="245"/>
    </row>
    <row r="2380" spans="1:33" ht="26.4">
      <c r="A2380" s="391"/>
      <c r="B2380" s="245"/>
      <c r="C2380" s="245"/>
      <c r="D2380" s="245"/>
      <c r="E2380" s="245"/>
      <c r="F2380" s="319"/>
      <c r="G2380" s="245"/>
      <c r="H2380" s="245"/>
      <c r="I2380" s="245"/>
      <c r="P2380" s="366"/>
      <c r="R2380" s="355"/>
      <c r="S2380" s="369"/>
      <c r="T2380" s="328"/>
      <c r="U2380" s="394" ph="1"/>
      <c r="W2380" s="216"/>
      <c r="X2380" s="245"/>
      <c r="Y2380" s="187"/>
      <c r="Z2380" s="245"/>
      <c r="AA2380" s="245"/>
      <c r="AB2380" s="332"/>
      <c r="AD2380" s="245"/>
      <c r="AE2380" s="245"/>
      <c r="AF2380" s="245"/>
      <c r="AG2380" s="245"/>
    </row>
    <row r="2381" spans="1:33" ht="26.4">
      <c r="A2381" s="391"/>
      <c r="B2381" s="245"/>
      <c r="C2381" s="245"/>
      <c r="D2381" s="245"/>
      <c r="E2381" s="245"/>
      <c r="F2381" s="319"/>
      <c r="G2381" s="245"/>
      <c r="H2381" s="245"/>
      <c r="I2381" s="245"/>
      <c r="P2381" s="366"/>
      <c r="R2381" s="355"/>
      <c r="S2381" s="369"/>
      <c r="T2381" s="328"/>
      <c r="U2381" s="394" ph="1"/>
      <c r="W2381" s="216"/>
      <c r="X2381" s="245"/>
      <c r="Y2381" s="187"/>
      <c r="Z2381" s="245"/>
      <c r="AA2381" s="245"/>
      <c r="AB2381" s="332"/>
      <c r="AD2381" s="245"/>
      <c r="AE2381" s="245"/>
      <c r="AF2381" s="245"/>
      <c r="AG2381" s="245"/>
    </row>
    <row r="2382" spans="1:33" ht="26.4">
      <c r="A2382" s="391"/>
      <c r="B2382" s="245"/>
      <c r="C2382" s="245"/>
      <c r="D2382" s="245"/>
      <c r="E2382" s="245"/>
      <c r="F2382" s="319"/>
      <c r="G2382" s="245"/>
      <c r="H2382" s="245"/>
      <c r="I2382" s="245"/>
      <c r="P2382" s="366"/>
      <c r="R2382" s="355"/>
      <c r="S2382" s="369"/>
      <c r="T2382" s="328"/>
      <c r="U2382" s="394" ph="1"/>
      <c r="W2382" s="216"/>
      <c r="X2382" s="245"/>
      <c r="Y2382" s="187"/>
      <c r="Z2382" s="245"/>
      <c r="AA2382" s="245"/>
      <c r="AB2382" s="332"/>
      <c r="AD2382" s="245"/>
      <c r="AE2382" s="245"/>
      <c r="AF2382" s="245"/>
      <c r="AG2382" s="245"/>
    </row>
    <row r="2383" spans="1:33" ht="26.4">
      <c r="A2383" s="391"/>
      <c r="B2383" s="245"/>
      <c r="C2383" s="245"/>
      <c r="D2383" s="245"/>
      <c r="E2383" s="245"/>
      <c r="F2383" s="319"/>
      <c r="G2383" s="245"/>
      <c r="H2383" s="245"/>
      <c r="I2383" s="245"/>
      <c r="P2383" s="366"/>
      <c r="R2383" s="355"/>
      <c r="S2383" s="369"/>
      <c r="T2383" s="328"/>
      <c r="U2383" s="394" ph="1"/>
      <c r="W2383" s="216"/>
      <c r="X2383" s="245"/>
      <c r="Y2383" s="187"/>
      <c r="Z2383" s="245"/>
      <c r="AA2383" s="245"/>
      <c r="AB2383" s="332"/>
      <c r="AD2383" s="245"/>
      <c r="AE2383" s="245"/>
      <c r="AF2383" s="245"/>
      <c r="AG2383" s="245"/>
    </row>
    <row r="2384" spans="1:33" ht="26.4">
      <c r="A2384" s="391"/>
      <c r="B2384" s="245"/>
      <c r="C2384" s="245"/>
      <c r="D2384" s="245"/>
      <c r="E2384" s="245"/>
      <c r="F2384" s="319"/>
      <c r="G2384" s="245"/>
      <c r="H2384" s="245"/>
      <c r="I2384" s="245"/>
      <c r="P2384" s="366"/>
      <c r="R2384" s="355"/>
      <c r="S2384" s="369"/>
      <c r="T2384" s="328"/>
      <c r="U2384" s="394" ph="1"/>
      <c r="W2384" s="216"/>
      <c r="X2384" s="245"/>
      <c r="Y2384" s="187"/>
      <c r="Z2384" s="245"/>
      <c r="AA2384" s="245"/>
      <c r="AB2384" s="332"/>
      <c r="AD2384" s="245"/>
      <c r="AE2384" s="245"/>
      <c r="AF2384" s="245"/>
      <c r="AG2384" s="245"/>
    </row>
    <row r="2385" spans="1:33" ht="26.4">
      <c r="A2385" s="391"/>
      <c r="B2385" s="245"/>
      <c r="C2385" s="245"/>
      <c r="D2385" s="245"/>
      <c r="E2385" s="245"/>
      <c r="F2385" s="319"/>
      <c r="G2385" s="245"/>
      <c r="H2385" s="245"/>
      <c r="I2385" s="245"/>
      <c r="P2385" s="366"/>
      <c r="R2385" s="355"/>
      <c r="S2385" s="369"/>
      <c r="T2385" s="328"/>
      <c r="U2385" s="394" ph="1"/>
      <c r="W2385" s="216"/>
      <c r="X2385" s="245"/>
      <c r="Y2385" s="187"/>
      <c r="Z2385" s="245"/>
      <c r="AA2385" s="245"/>
      <c r="AB2385" s="332"/>
      <c r="AD2385" s="245"/>
      <c r="AE2385" s="245"/>
      <c r="AF2385" s="245"/>
      <c r="AG2385" s="245"/>
    </row>
    <row r="2386" spans="1:33" ht="26.4">
      <c r="A2386" s="391"/>
      <c r="B2386" s="245"/>
      <c r="C2386" s="245"/>
      <c r="D2386" s="245"/>
      <c r="E2386" s="245"/>
      <c r="F2386" s="319"/>
      <c r="G2386" s="245"/>
      <c r="H2386" s="245"/>
      <c r="I2386" s="245"/>
      <c r="P2386" s="366"/>
      <c r="R2386" s="355"/>
      <c r="S2386" s="369"/>
      <c r="T2386" s="328"/>
      <c r="U2386" s="394" ph="1"/>
      <c r="W2386" s="216"/>
      <c r="X2386" s="245"/>
      <c r="Y2386" s="187"/>
      <c r="Z2386" s="245"/>
      <c r="AA2386" s="245"/>
      <c r="AB2386" s="332"/>
      <c r="AD2386" s="245"/>
      <c r="AE2386" s="245"/>
      <c r="AF2386" s="245"/>
      <c r="AG2386" s="245"/>
    </row>
    <row r="2387" spans="1:33" ht="26.4">
      <c r="A2387" s="391"/>
      <c r="B2387" s="245"/>
      <c r="C2387" s="245"/>
      <c r="D2387" s="245"/>
      <c r="E2387" s="245"/>
      <c r="F2387" s="319"/>
      <c r="G2387" s="245"/>
      <c r="H2387" s="245"/>
      <c r="I2387" s="245"/>
      <c r="P2387" s="366"/>
      <c r="R2387" s="355"/>
      <c r="S2387" s="369"/>
      <c r="T2387" s="328"/>
      <c r="U2387" s="394" ph="1"/>
      <c r="W2387" s="216"/>
      <c r="X2387" s="245"/>
      <c r="Y2387" s="187"/>
      <c r="Z2387" s="245"/>
      <c r="AA2387" s="245"/>
      <c r="AB2387" s="332"/>
      <c r="AD2387" s="245"/>
      <c r="AE2387" s="245"/>
      <c r="AF2387" s="245"/>
      <c r="AG2387" s="245"/>
    </row>
    <row r="2388" spans="1:33" ht="26.4">
      <c r="A2388" s="391"/>
      <c r="B2388" s="245"/>
      <c r="C2388" s="245"/>
      <c r="D2388" s="245"/>
      <c r="E2388" s="245"/>
      <c r="F2388" s="319"/>
      <c r="G2388" s="245"/>
      <c r="H2388" s="245"/>
      <c r="I2388" s="245"/>
      <c r="P2388" s="366"/>
      <c r="R2388" s="355"/>
      <c r="S2388" s="369"/>
      <c r="T2388" s="328"/>
      <c r="U2388" s="394" ph="1"/>
      <c r="W2388" s="216"/>
      <c r="X2388" s="245"/>
      <c r="Y2388" s="187"/>
      <c r="Z2388" s="245"/>
      <c r="AA2388" s="245"/>
      <c r="AB2388" s="332"/>
      <c r="AD2388" s="245"/>
      <c r="AE2388" s="245"/>
      <c r="AF2388" s="245"/>
      <c r="AG2388" s="245"/>
    </row>
    <row r="2389" spans="1:33" ht="26.4">
      <c r="A2389" s="391"/>
      <c r="B2389" s="245"/>
      <c r="C2389" s="245"/>
      <c r="D2389" s="245"/>
      <c r="E2389" s="245"/>
      <c r="F2389" s="319"/>
      <c r="G2389" s="245"/>
      <c r="H2389" s="245"/>
      <c r="I2389" s="245"/>
      <c r="P2389" s="366"/>
      <c r="R2389" s="355"/>
      <c r="S2389" s="369"/>
      <c r="T2389" s="328"/>
      <c r="U2389" s="394" ph="1"/>
      <c r="W2389" s="216"/>
      <c r="X2389" s="245"/>
      <c r="Y2389" s="187"/>
      <c r="Z2389" s="245"/>
      <c r="AA2389" s="245"/>
      <c r="AB2389" s="332"/>
      <c r="AD2389" s="245"/>
      <c r="AE2389" s="245"/>
      <c r="AF2389" s="245"/>
      <c r="AG2389" s="245"/>
    </row>
    <row r="2390" spans="1:33" ht="26.4">
      <c r="A2390" s="391"/>
      <c r="B2390" s="245"/>
      <c r="C2390" s="245"/>
      <c r="D2390" s="245"/>
      <c r="E2390" s="245"/>
      <c r="F2390" s="319"/>
      <c r="G2390" s="245"/>
      <c r="H2390" s="245"/>
      <c r="I2390" s="245"/>
      <c r="P2390" s="366"/>
      <c r="R2390" s="355"/>
      <c r="S2390" s="369"/>
      <c r="T2390" s="328"/>
      <c r="U2390" s="394" ph="1"/>
      <c r="W2390" s="216"/>
      <c r="X2390" s="245"/>
      <c r="Y2390" s="187"/>
      <c r="Z2390" s="245"/>
      <c r="AA2390" s="245"/>
      <c r="AB2390" s="332"/>
      <c r="AD2390" s="245"/>
      <c r="AE2390" s="245"/>
      <c r="AF2390" s="245"/>
      <c r="AG2390" s="245"/>
    </row>
    <row r="2391" spans="1:33" ht="26.4">
      <c r="A2391" s="391"/>
      <c r="B2391" s="245"/>
      <c r="C2391" s="245"/>
      <c r="D2391" s="245"/>
      <c r="E2391" s="245"/>
      <c r="F2391" s="319"/>
      <c r="G2391" s="245"/>
      <c r="H2391" s="245"/>
      <c r="I2391" s="245"/>
      <c r="P2391" s="366"/>
      <c r="R2391" s="355"/>
      <c r="S2391" s="369"/>
      <c r="T2391" s="328"/>
      <c r="U2391" s="394" ph="1"/>
      <c r="W2391" s="216"/>
      <c r="X2391" s="245"/>
      <c r="Y2391" s="187"/>
      <c r="Z2391" s="245"/>
      <c r="AA2391" s="245"/>
      <c r="AB2391" s="332"/>
      <c r="AD2391" s="245"/>
      <c r="AE2391" s="245"/>
      <c r="AF2391" s="245"/>
      <c r="AG2391" s="245"/>
    </row>
    <row r="2392" spans="1:33" ht="26.4">
      <c r="A2392" s="391"/>
      <c r="B2392" s="245"/>
      <c r="C2392" s="245"/>
      <c r="D2392" s="245"/>
      <c r="E2392" s="245"/>
      <c r="F2392" s="319"/>
      <c r="G2392" s="245"/>
      <c r="H2392" s="245"/>
      <c r="I2392" s="245"/>
      <c r="P2392" s="366"/>
      <c r="R2392" s="355"/>
      <c r="S2392" s="369"/>
      <c r="T2392" s="328"/>
      <c r="U2392" s="394" ph="1"/>
      <c r="W2392" s="216"/>
      <c r="X2392" s="245"/>
      <c r="Y2392" s="187"/>
      <c r="Z2392" s="245"/>
      <c r="AA2392" s="245"/>
      <c r="AB2392" s="332"/>
      <c r="AD2392" s="245"/>
      <c r="AE2392" s="245"/>
      <c r="AF2392" s="245"/>
      <c r="AG2392" s="245"/>
    </row>
    <row r="2393" spans="1:33" ht="26.4">
      <c r="A2393" s="391"/>
      <c r="B2393" s="245"/>
      <c r="C2393" s="245"/>
      <c r="D2393" s="245"/>
      <c r="E2393" s="245"/>
      <c r="F2393" s="319"/>
      <c r="G2393" s="245"/>
      <c r="H2393" s="245"/>
      <c r="I2393" s="245"/>
      <c r="P2393" s="366"/>
      <c r="R2393" s="355"/>
      <c r="S2393" s="369"/>
      <c r="T2393" s="328"/>
      <c r="U2393" s="394" ph="1"/>
      <c r="W2393" s="216"/>
      <c r="X2393" s="245"/>
      <c r="Y2393" s="187"/>
      <c r="Z2393" s="245"/>
      <c r="AA2393" s="245"/>
      <c r="AB2393" s="332"/>
      <c r="AD2393" s="245"/>
      <c r="AE2393" s="245"/>
      <c r="AF2393" s="245"/>
      <c r="AG2393" s="245"/>
    </row>
    <row r="2394" spans="1:33" ht="26.4">
      <c r="A2394" s="391"/>
      <c r="B2394" s="245"/>
      <c r="C2394" s="245"/>
      <c r="D2394" s="245"/>
      <c r="E2394" s="245"/>
      <c r="F2394" s="319"/>
      <c r="G2394" s="245"/>
      <c r="H2394" s="245"/>
      <c r="I2394" s="245"/>
      <c r="P2394" s="366"/>
      <c r="R2394" s="355"/>
      <c r="S2394" s="369"/>
      <c r="T2394" s="328"/>
      <c r="U2394" s="394" ph="1"/>
      <c r="W2394" s="216"/>
      <c r="X2394" s="245"/>
      <c r="Y2394" s="187"/>
      <c r="Z2394" s="245"/>
      <c r="AA2394" s="245"/>
      <c r="AB2394" s="332"/>
      <c r="AD2394" s="245"/>
      <c r="AE2394" s="245"/>
      <c r="AF2394" s="245"/>
      <c r="AG2394" s="245"/>
    </row>
    <row r="2395" spans="1:33" ht="26.4">
      <c r="A2395" s="391"/>
      <c r="B2395" s="245"/>
      <c r="C2395" s="245"/>
      <c r="D2395" s="245"/>
      <c r="E2395" s="245"/>
      <c r="F2395" s="319"/>
      <c r="G2395" s="245"/>
      <c r="H2395" s="245"/>
      <c r="I2395" s="245"/>
      <c r="P2395" s="366"/>
      <c r="R2395" s="355"/>
      <c r="S2395" s="369"/>
      <c r="T2395" s="328"/>
      <c r="U2395" s="394" ph="1"/>
      <c r="W2395" s="216"/>
      <c r="X2395" s="245"/>
      <c r="Y2395" s="187"/>
      <c r="Z2395" s="245"/>
      <c r="AA2395" s="245"/>
      <c r="AB2395" s="332"/>
      <c r="AD2395" s="245"/>
      <c r="AE2395" s="245"/>
      <c r="AF2395" s="245"/>
      <c r="AG2395" s="245"/>
    </row>
    <row r="2396" spans="1:33" ht="26.4">
      <c r="A2396" s="391"/>
      <c r="B2396" s="245"/>
      <c r="C2396" s="245"/>
      <c r="D2396" s="245"/>
      <c r="E2396" s="245"/>
      <c r="F2396" s="319"/>
      <c r="G2396" s="245"/>
      <c r="H2396" s="245"/>
      <c r="I2396" s="245"/>
      <c r="P2396" s="366"/>
      <c r="R2396" s="355"/>
      <c r="S2396" s="369"/>
      <c r="T2396" s="328"/>
      <c r="U2396" s="394" ph="1"/>
      <c r="W2396" s="216"/>
      <c r="X2396" s="245"/>
      <c r="Y2396" s="187"/>
      <c r="Z2396" s="245"/>
      <c r="AA2396" s="245"/>
      <c r="AB2396" s="332"/>
      <c r="AD2396" s="245"/>
      <c r="AE2396" s="245"/>
      <c r="AF2396" s="245"/>
      <c r="AG2396" s="245"/>
    </row>
    <row r="2397" spans="1:33" ht="26.4">
      <c r="A2397" s="391"/>
      <c r="B2397" s="245"/>
      <c r="C2397" s="245"/>
      <c r="D2397" s="245"/>
      <c r="E2397" s="245"/>
      <c r="F2397" s="319"/>
      <c r="G2397" s="245"/>
      <c r="H2397" s="245"/>
      <c r="I2397" s="245"/>
      <c r="P2397" s="366"/>
      <c r="R2397" s="355"/>
      <c r="S2397" s="369"/>
      <c r="T2397" s="328"/>
      <c r="U2397" s="394" ph="1"/>
      <c r="W2397" s="216"/>
      <c r="X2397" s="245"/>
      <c r="Y2397" s="187"/>
      <c r="Z2397" s="245"/>
      <c r="AA2397" s="245"/>
      <c r="AB2397" s="332"/>
      <c r="AD2397" s="245"/>
      <c r="AE2397" s="245"/>
      <c r="AF2397" s="245"/>
      <c r="AG2397" s="245"/>
    </row>
    <row r="2398" spans="1:33" ht="26.4">
      <c r="A2398" s="391"/>
      <c r="B2398" s="245"/>
      <c r="C2398" s="245"/>
      <c r="D2398" s="245"/>
      <c r="E2398" s="245"/>
      <c r="F2398" s="319"/>
      <c r="G2398" s="245"/>
      <c r="H2398" s="245"/>
      <c r="I2398" s="245"/>
      <c r="P2398" s="366"/>
      <c r="R2398" s="355"/>
      <c r="S2398" s="369"/>
      <c r="T2398" s="328"/>
      <c r="U2398" s="394" ph="1"/>
      <c r="W2398" s="216"/>
      <c r="X2398" s="245"/>
      <c r="Y2398" s="187"/>
      <c r="Z2398" s="245"/>
      <c r="AA2398" s="245"/>
      <c r="AB2398" s="332"/>
      <c r="AD2398" s="245"/>
      <c r="AE2398" s="245"/>
      <c r="AF2398" s="245"/>
      <c r="AG2398" s="245"/>
    </row>
    <row r="2399" spans="1:33" ht="26.4">
      <c r="A2399" s="391"/>
      <c r="B2399" s="245"/>
      <c r="C2399" s="245"/>
      <c r="D2399" s="245"/>
      <c r="E2399" s="245"/>
      <c r="F2399" s="319"/>
      <c r="G2399" s="245"/>
      <c r="H2399" s="245"/>
      <c r="I2399" s="245"/>
      <c r="P2399" s="366"/>
      <c r="R2399" s="355"/>
      <c r="S2399" s="369"/>
      <c r="T2399" s="328"/>
      <c r="U2399" s="394" ph="1"/>
      <c r="W2399" s="216"/>
      <c r="X2399" s="245"/>
      <c r="Y2399" s="187"/>
      <c r="Z2399" s="245"/>
      <c r="AA2399" s="245"/>
      <c r="AB2399" s="332"/>
      <c r="AD2399" s="245"/>
      <c r="AE2399" s="245"/>
      <c r="AF2399" s="245"/>
      <c r="AG2399" s="245"/>
    </row>
    <row r="2400" spans="1:33" ht="26.4">
      <c r="A2400" s="391"/>
      <c r="B2400" s="245"/>
      <c r="C2400" s="245"/>
      <c r="D2400" s="245"/>
      <c r="E2400" s="245"/>
      <c r="F2400" s="319"/>
      <c r="G2400" s="245"/>
      <c r="H2400" s="245"/>
      <c r="I2400" s="245"/>
      <c r="P2400" s="366"/>
      <c r="R2400" s="355"/>
      <c r="S2400" s="369"/>
      <c r="T2400" s="328"/>
      <c r="U2400" s="394" ph="1"/>
      <c r="W2400" s="216"/>
      <c r="X2400" s="245"/>
      <c r="Y2400" s="187"/>
      <c r="Z2400" s="245"/>
      <c r="AA2400" s="245"/>
      <c r="AB2400" s="332"/>
      <c r="AD2400" s="245"/>
      <c r="AE2400" s="245"/>
      <c r="AF2400" s="245"/>
      <c r="AG2400" s="245"/>
    </row>
    <row r="2401" spans="1:33" ht="26.4">
      <c r="A2401" s="391"/>
      <c r="B2401" s="245"/>
      <c r="C2401" s="245"/>
      <c r="D2401" s="245"/>
      <c r="E2401" s="245"/>
      <c r="F2401" s="319"/>
      <c r="G2401" s="245"/>
      <c r="H2401" s="245"/>
      <c r="I2401" s="245"/>
      <c r="S2401" s="369"/>
      <c r="T2401" s="328"/>
      <c r="U2401" s="394" ph="1"/>
      <c r="W2401" s="216"/>
      <c r="X2401" s="245"/>
      <c r="Y2401" s="187"/>
      <c r="Z2401" s="245"/>
      <c r="AA2401" s="245"/>
      <c r="AB2401" s="332"/>
      <c r="AD2401" s="245"/>
      <c r="AE2401" s="245"/>
      <c r="AF2401" s="245"/>
      <c r="AG2401" s="245"/>
    </row>
    <row r="2402" spans="1:33" ht="26.4">
      <c r="A2402" s="391"/>
      <c r="B2402" s="245"/>
      <c r="C2402" s="245"/>
      <c r="D2402" s="245"/>
      <c r="E2402" s="245"/>
      <c r="F2402" s="319"/>
      <c r="G2402" s="245"/>
      <c r="H2402" s="245"/>
      <c r="I2402" s="245"/>
      <c r="S2402" s="369"/>
      <c r="T2402" s="328"/>
      <c r="U2402" s="394" ph="1"/>
      <c r="W2402" s="216"/>
      <c r="X2402" s="245"/>
      <c r="Y2402" s="187"/>
      <c r="Z2402" s="245"/>
      <c r="AA2402" s="245"/>
      <c r="AB2402" s="332"/>
      <c r="AD2402" s="245"/>
      <c r="AE2402" s="245"/>
      <c r="AF2402" s="245"/>
      <c r="AG2402" s="245"/>
    </row>
    <row r="2403" spans="1:33" ht="26.4">
      <c r="A2403" s="391"/>
      <c r="B2403" s="245"/>
      <c r="C2403" s="245"/>
      <c r="D2403" s="245"/>
      <c r="E2403" s="245"/>
      <c r="F2403" s="319"/>
      <c r="G2403" s="245"/>
      <c r="H2403" s="245"/>
      <c r="I2403" s="245"/>
      <c r="S2403" s="369"/>
      <c r="T2403" s="328"/>
      <c r="U2403" s="394" ph="1"/>
      <c r="W2403" s="216"/>
      <c r="X2403" s="245"/>
      <c r="Y2403" s="187"/>
      <c r="Z2403" s="245"/>
      <c r="AA2403" s="245"/>
      <c r="AB2403" s="332"/>
      <c r="AD2403" s="245"/>
      <c r="AE2403" s="245"/>
      <c r="AF2403" s="245"/>
      <c r="AG2403" s="245"/>
    </row>
    <row r="2404" spans="1:33" ht="26.4">
      <c r="A2404" s="391"/>
      <c r="B2404" s="245"/>
      <c r="C2404" s="245"/>
      <c r="D2404" s="245"/>
      <c r="E2404" s="245"/>
      <c r="F2404" s="319"/>
      <c r="G2404" s="245"/>
      <c r="H2404" s="245"/>
      <c r="I2404" s="245"/>
      <c r="S2404" s="369"/>
      <c r="T2404" s="328"/>
      <c r="U2404" s="394" ph="1"/>
      <c r="W2404" s="216"/>
      <c r="X2404" s="245"/>
      <c r="Y2404" s="187"/>
      <c r="Z2404" s="245"/>
      <c r="AA2404" s="245"/>
      <c r="AB2404" s="332"/>
      <c r="AD2404" s="245"/>
      <c r="AE2404" s="245"/>
      <c r="AF2404" s="245"/>
      <c r="AG2404" s="245"/>
    </row>
    <row r="2405" spans="1:33" ht="26.4">
      <c r="A2405" s="391"/>
      <c r="B2405" s="245"/>
      <c r="C2405" s="245"/>
      <c r="D2405" s="245"/>
      <c r="E2405" s="245"/>
      <c r="F2405" s="319"/>
      <c r="G2405" s="245"/>
      <c r="H2405" s="245"/>
      <c r="I2405" s="245"/>
      <c r="S2405" s="369"/>
      <c r="T2405" s="328"/>
      <c r="U2405" s="394" ph="1"/>
      <c r="W2405" s="216"/>
      <c r="X2405" s="245"/>
      <c r="Y2405" s="187"/>
      <c r="Z2405" s="245"/>
      <c r="AA2405" s="245"/>
      <c r="AB2405" s="332"/>
      <c r="AD2405" s="245"/>
      <c r="AE2405" s="245"/>
      <c r="AF2405" s="245"/>
      <c r="AG2405" s="245"/>
    </row>
    <row r="2406" spans="1:33" ht="26.4">
      <c r="A2406" s="391"/>
      <c r="B2406" s="245"/>
      <c r="C2406" s="245"/>
      <c r="D2406" s="245"/>
      <c r="E2406" s="245"/>
      <c r="F2406" s="319"/>
      <c r="G2406" s="245"/>
      <c r="H2406" s="245"/>
      <c r="I2406" s="245"/>
      <c r="S2406" s="369"/>
      <c r="T2406" s="328"/>
      <c r="U2406" s="394" ph="1"/>
      <c r="W2406" s="216"/>
      <c r="X2406" s="245"/>
      <c r="Y2406" s="187"/>
      <c r="Z2406" s="245"/>
      <c r="AA2406" s="245"/>
      <c r="AB2406" s="332"/>
      <c r="AD2406" s="245"/>
      <c r="AE2406" s="245"/>
      <c r="AF2406" s="245"/>
      <c r="AG2406" s="245"/>
    </row>
    <row r="2407" spans="1:33" ht="26.4">
      <c r="A2407" s="391"/>
      <c r="B2407" s="245"/>
      <c r="C2407" s="245"/>
      <c r="D2407" s="245"/>
      <c r="E2407" s="245"/>
      <c r="F2407" s="319"/>
      <c r="G2407" s="245"/>
      <c r="H2407" s="245"/>
      <c r="I2407" s="245"/>
      <c r="S2407" s="369"/>
      <c r="T2407" s="328"/>
      <c r="U2407" s="394" ph="1"/>
      <c r="W2407" s="216"/>
      <c r="X2407" s="245"/>
      <c r="Y2407" s="187"/>
      <c r="Z2407" s="245"/>
      <c r="AA2407" s="245"/>
      <c r="AB2407" s="332"/>
      <c r="AD2407" s="245"/>
      <c r="AE2407" s="245"/>
      <c r="AF2407" s="245"/>
      <c r="AG2407" s="245"/>
    </row>
    <row r="2408" spans="1:33" ht="26.4">
      <c r="A2408" s="391"/>
      <c r="B2408" s="245"/>
      <c r="C2408" s="245"/>
      <c r="D2408" s="245"/>
      <c r="E2408" s="245"/>
      <c r="F2408" s="319"/>
      <c r="G2408" s="245"/>
      <c r="H2408" s="245"/>
      <c r="I2408" s="245"/>
      <c r="S2408" s="369"/>
      <c r="T2408" s="328"/>
      <c r="U2408" s="394" ph="1"/>
      <c r="W2408" s="216"/>
      <c r="X2408" s="245"/>
      <c r="Y2408" s="187"/>
      <c r="Z2408" s="245"/>
      <c r="AA2408" s="245"/>
      <c r="AB2408" s="332"/>
      <c r="AD2408" s="245"/>
      <c r="AE2408" s="245"/>
      <c r="AF2408" s="245"/>
      <c r="AG2408" s="245"/>
    </row>
    <row r="2409" spans="1:33" ht="26.4">
      <c r="A2409" s="391"/>
      <c r="B2409" s="245"/>
      <c r="C2409" s="245"/>
      <c r="D2409" s="245"/>
      <c r="E2409" s="245"/>
      <c r="F2409" s="319"/>
      <c r="G2409" s="245"/>
      <c r="H2409" s="245"/>
      <c r="I2409" s="245"/>
      <c r="S2409" s="369"/>
      <c r="T2409" s="328"/>
      <c r="U2409" s="394" ph="1"/>
      <c r="W2409" s="216"/>
      <c r="X2409" s="245"/>
      <c r="Y2409" s="187"/>
      <c r="Z2409" s="245"/>
      <c r="AA2409" s="245"/>
      <c r="AB2409" s="332"/>
      <c r="AD2409" s="245"/>
      <c r="AE2409" s="245"/>
      <c r="AF2409" s="245"/>
      <c r="AG2409" s="245"/>
    </row>
    <row r="2410" spans="1:33" ht="26.4">
      <c r="A2410" s="391"/>
      <c r="B2410" s="245"/>
      <c r="C2410" s="245"/>
      <c r="D2410" s="245"/>
      <c r="E2410" s="245"/>
      <c r="F2410" s="319"/>
      <c r="G2410" s="245"/>
      <c r="H2410" s="245"/>
      <c r="I2410" s="245"/>
      <c r="S2410" s="369"/>
      <c r="T2410" s="328"/>
      <c r="U2410" s="394" ph="1"/>
      <c r="W2410" s="216"/>
      <c r="X2410" s="245"/>
      <c r="Y2410" s="187"/>
      <c r="Z2410" s="245"/>
      <c r="AA2410" s="245"/>
      <c r="AB2410" s="332"/>
      <c r="AD2410" s="245"/>
      <c r="AE2410" s="245"/>
      <c r="AF2410" s="245"/>
      <c r="AG2410" s="245"/>
    </row>
    <row r="2411" spans="1:33" ht="26.4">
      <c r="A2411" s="391"/>
      <c r="B2411" s="245"/>
      <c r="C2411" s="245"/>
      <c r="D2411" s="245"/>
      <c r="E2411" s="245"/>
      <c r="F2411" s="319"/>
      <c r="G2411" s="245"/>
      <c r="H2411" s="245"/>
      <c r="I2411" s="245"/>
      <c r="S2411" s="369"/>
      <c r="T2411" s="328"/>
      <c r="U2411" s="394" ph="1"/>
      <c r="W2411" s="216"/>
      <c r="X2411" s="245"/>
      <c r="Y2411" s="187"/>
      <c r="Z2411" s="245"/>
      <c r="AA2411" s="245"/>
      <c r="AB2411" s="332"/>
      <c r="AD2411" s="245"/>
      <c r="AE2411" s="245"/>
      <c r="AF2411" s="245"/>
      <c r="AG2411" s="245"/>
    </row>
    <row r="2412" spans="1:33" ht="26.4">
      <c r="A2412" s="391"/>
      <c r="B2412" s="245"/>
      <c r="C2412" s="245"/>
      <c r="D2412" s="245"/>
      <c r="E2412" s="245"/>
      <c r="F2412" s="319"/>
      <c r="G2412" s="245"/>
      <c r="H2412" s="245"/>
      <c r="I2412" s="245"/>
      <c r="S2412" s="369"/>
      <c r="T2412" s="328"/>
      <c r="U2412" s="394" ph="1"/>
      <c r="W2412" s="216"/>
      <c r="X2412" s="245"/>
      <c r="Y2412" s="187"/>
      <c r="Z2412" s="245"/>
      <c r="AA2412" s="245"/>
      <c r="AB2412" s="332"/>
      <c r="AD2412" s="245"/>
      <c r="AE2412" s="245"/>
      <c r="AF2412" s="245"/>
      <c r="AG2412" s="245"/>
    </row>
    <row r="2413" spans="1:33" ht="26.4">
      <c r="A2413" s="391"/>
      <c r="B2413" s="245"/>
      <c r="C2413" s="245"/>
      <c r="D2413" s="245"/>
      <c r="E2413" s="245"/>
      <c r="F2413" s="319"/>
      <c r="G2413" s="245"/>
      <c r="H2413" s="245"/>
      <c r="I2413" s="245"/>
      <c r="S2413" s="369"/>
      <c r="T2413" s="328"/>
      <c r="U2413" s="394" ph="1"/>
      <c r="W2413" s="216"/>
      <c r="X2413" s="245"/>
      <c r="Y2413" s="187"/>
      <c r="Z2413" s="245"/>
      <c r="AA2413" s="245"/>
      <c r="AB2413" s="332"/>
      <c r="AD2413" s="245"/>
      <c r="AE2413" s="245"/>
      <c r="AF2413" s="245"/>
      <c r="AG2413" s="245"/>
    </row>
    <row r="2414" spans="1:33" ht="26.4">
      <c r="A2414" s="391"/>
      <c r="B2414" s="245"/>
      <c r="C2414" s="245"/>
      <c r="D2414" s="245"/>
      <c r="E2414" s="245"/>
      <c r="F2414" s="319"/>
      <c r="G2414" s="245"/>
      <c r="H2414" s="245"/>
      <c r="I2414" s="245"/>
      <c r="S2414" s="369"/>
      <c r="T2414" s="328"/>
      <c r="U2414" s="394" ph="1"/>
      <c r="W2414" s="216"/>
      <c r="X2414" s="245"/>
      <c r="Y2414" s="187"/>
      <c r="Z2414" s="245"/>
      <c r="AA2414" s="245"/>
      <c r="AB2414" s="332"/>
      <c r="AD2414" s="245"/>
      <c r="AE2414" s="245"/>
      <c r="AF2414" s="245"/>
      <c r="AG2414" s="245"/>
    </row>
    <row r="2415" spans="1:33" ht="26.4">
      <c r="A2415" s="391"/>
      <c r="B2415" s="245"/>
      <c r="C2415" s="245"/>
      <c r="D2415" s="245"/>
      <c r="E2415" s="245"/>
      <c r="F2415" s="319"/>
      <c r="G2415" s="245"/>
      <c r="H2415" s="245"/>
      <c r="I2415" s="245"/>
      <c r="S2415" s="369"/>
      <c r="T2415" s="328"/>
      <c r="U2415" s="394" ph="1"/>
      <c r="W2415" s="216"/>
      <c r="X2415" s="245"/>
      <c r="Y2415" s="187"/>
      <c r="Z2415" s="245"/>
      <c r="AA2415" s="245"/>
      <c r="AB2415" s="332"/>
      <c r="AD2415" s="245"/>
      <c r="AE2415" s="245"/>
      <c r="AF2415" s="245"/>
      <c r="AG2415" s="245"/>
    </row>
    <row r="2416" spans="1:33" ht="26.4">
      <c r="A2416" s="391"/>
      <c r="B2416" s="245"/>
      <c r="C2416" s="245"/>
      <c r="D2416" s="245"/>
      <c r="E2416" s="245"/>
      <c r="F2416" s="319"/>
      <c r="G2416" s="245"/>
      <c r="H2416" s="245"/>
      <c r="I2416" s="245"/>
      <c r="S2416" s="369"/>
      <c r="T2416" s="328"/>
      <c r="U2416" s="394" ph="1"/>
      <c r="W2416" s="216"/>
      <c r="X2416" s="245"/>
      <c r="Y2416" s="187"/>
      <c r="Z2416" s="245"/>
      <c r="AA2416" s="245"/>
      <c r="AB2416" s="332"/>
      <c r="AD2416" s="245"/>
      <c r="AE2416" s="245"/>
      <c r="AF2416" s="245"/>
      <c r="AG2416" s="245"/>
    </row>
    <row r="2417" spans="1:33" ht="26.4">
      <c r="A2417" s="391"/>
      <c r="B2417" s="245"/>
      <c r="C2417" s="245"/>
      <c r="D2417" s="245"/>
      <c r="E2417" s="245"/>
      <c r="F2417" s="319"/>
      <c r="G2417" s="245"/>
      <c r="H2417" s="245"/>
      <c r="I2417" s="245"/>
      <c r="S2417" s="369"/>
      <c r="T2417" s="328"/>
      <c r="U2417" s="394" ph="1"/>
      <c r="W2417" s="216"/>
      <c r="X2417" s="245"/>
      <c r="Y2417" s="187"/>
      <c r="Z2417" s="245"/>
      <c r="AA2417" s="245"/>
      <c r="AB2417" s="332"/>
      <c r="AD2417" s="245"/>
      <c r="AE2417" s="245"/>
      <c r="AF2417" s="245"/>
      <c r="AG2417" s="245"/>
    </row>
    <row r="2418" spans="1:33" ht="26.4">
      <c r="A2418" s="391"/>
      <c r="B2418" s="245"/>
      <c r="C2418" s="245"/>
      <c r="D2418" s="245"/>
      <c r="E2418" s="245"/>
      <c r="F2418" s="319"/>
      <c r="G2418" s="245"/>
      <c r="H2418" s="245"/>
      <c r="I2418" s="245"/>
      <c r="S2418" s="369"/>
      <c r="T2418" s="328"/>
      <c r="U2418" s="394" ph="1"/>
      <c r="W2418" s="216"/>
      <c r="X2418" s="245"/>
      <c r="Y2418" s="187"/>
      <c r="Z2418" s="245"/>
      <c r="AA2418" s="245"/>
      <c r="AB2418" s="332"/>
      <c r="AD2418" s="245"/>
      <c r="AE2418" s="245"/>
      <c r="AF2418" s="245"/>
      <c r="AG2418" s="245"/>
    </row>
    <row r="2419" spans="1:33" ht="26.4">
      <c r="A2419" s="391"/>
      <c r="B2419" s="245"/>
      <c r="C2419" s="245"/>
      <c r="D2419" s="245"/>
      <c r="E2419" s="245"/>
      <c r="F2419" s="319"/>
      <c r="G2419" s="245"/>
      <c r="H2419" s="245"/>
      <c r="I2419" s="245"/>
      <c r="S2419" s="369"/>
      <c r="T2419" s="328"/>
      <c r="U2419" s="394" ph="1"/>
      <c r="W2419" s="216"/>
      <c r="X2419" s="245"/>
      <c r="Y2419" s="187"/>
      <c r="Z2419" s="245"/>
      <c r="AA2419" s="245"/>
      <c r="AB2419" s="332"/>
      <c r="AD2419" s="245"/>
      <c r="AE2419" s="245"/>
      <c r="AF2419" s="245"/>
      <c r="AG2419" s="245"/>
    </row>
    <row r="2420" spans="1:33" ht="26.4">
      <c r="A2420" s="391"/>
      <c r="B2420" s="245"/>
      <c r="C2420" s="245"/>
      <c r="D2420" s="245"/>
      <c r="E2420" s="245"/>
      <c r="F2420" s="319"/>
      <c r="G2420" s="245"/>
      <c r="H2420" s="245"/>
      <c r="I2420" s="245"/>
      <c r="S2420" s="369"/>
      <c r="T2420" s="328"/>
      <c r="U2420" s="394" ph="1"/>
      <c r="W2420" s="216"/>
      <c r="X2420" s="245"/>
      <c r="Y2420" s="187"/>
      <c r="Z2420" s="245"/>
      <c r="AA2420" s="245"/>
      <c r="AB2420" s="332"/>
      <c r="AD2420" s="245"/>
      <c r="AE2420" s="245"/>
      <c r="AF2420" s="245"/>
      <c r="AG2420" s="245"/>
    </row>
    <row r="2421" spans="1:33" ht="26.4">
      <c r="A2421" s="391"/>
      <c r="B2421" s="245"/>
      <c r="C2421" s="245"/>
      <c r="D2421" s="245"/>
      <c r="E2421" s="245"/>
      <c r="F2421" s="319"/>
      <c r="G2421" s="245"/>
      <c r="H2421" s="245"/>
      <c r="I2421" s="245"/>
      <c r="S2421" s="369"/>
      <c r="T2421" s="328"/>
      <c r="U2421" s="394" ph="1"/>
      <c r="W2421" s="216"/>
      <c r="X2421" s="245"/>
      <c r="Y2421" s="187"/>
      <c r="Z2421" s="245"/>
      <c r="AA2421" s="245"/>
      <c r="AB2421" s="332"/>
      <c r="AD2421" s="245"/>
      <c r="AE2421" s="245"/>
      <c r="AF2421" s="245"/>
      <c r="AG2421" s="245"/>
    </row>
    <row r="2422" spans="1:33" ht="26.4">
      <c r="A2422" s="391"/>
      <c r="B2422" s="245"/>
      <c r="C2422" s="245"/>
      <c r="D2422" s="245"/>
      <c r="E2422" s="245"/>
      <c r="F2422" s="319"/>
      <c r="G2422" s="245"/>
      <c r="H2422" s="245"/>
      <c r="I2422" s="245"/>
      <c r="S2422" s="369"/>
      <c r="T2422" s="328"/>
      <c r="U2422" s="394" ph="1"/>
      <c r="W2422" s="216"/>
      <c r="X2422" s="245"/>
      <c r="Y2422" s="187"/>
      <c r="Z2422" s="245"/>
      <c r="AA2422" s="245"/>
      <c r="AB2422" s="332"/>
      <c r="AD2422" s="245"/>
      <c r="AE2422" s="245"/>
      <c r="AF2422" s="245"/>
      <c r="AG2422" s="245"/>
    </row>
    <row r="2423" spans="1:33" ht="26.4">
      <c r="A2423" s="391"/>
      <c r="B2423" s="245"/>
      <c r="C2423" s="245"/>
      <c r="D2423" s="245"/>
      <c r="E2423" s="245"/>
      <c r="F2423" s="319"/>
      <c r="G2423" s="245"/>
      <c r="H2423" s="245"/>
      <c r="I2423" s="245"/>
      <c r="S2423" s="369"/>
      <c r="T2423" s="328"/>
      <c r="U2423" s="394" ph="1"/>
      <c r="W2423" s="216"/>
      <c r="X2423" s="245"/>
      <c r="Y2423" s="187"/>
      <c r="Z2423" s="245"/>
      <c r="AA2423" s="245"/>
      <c r="AB2423" s="332"/>
      <c r="AD2423" s="245"/>
      <c r="AE2423" s="245"/>
      <c r="AF2423" s="245"/>
      <c r="AG2423" s="245"/>
    </row>
    <row r="2424" spans="1:33" ht="26.4">
      <c r="A2424" s="391"/>
      <c r="B2424" s="245"/>
      <c r="C2424" s="245"/>
      <c r="D2424" s="245"/>
      <c r="E2424" s="245"/>
      <c r="F2424" s="319"/>
      <c r="G2424" s="245"/>
      <c r="H2424" s="245"/>
      <c r="I2424" s="245"/>
      <c r="S2424" s="369"/>
      <c r="T2424" s="328"/>
      <c r="U2424" s="394" ph="1"/>
      <c r="W2424" s="216"/>
      <c r="X2424" s="245"/>
      <c r="Y2424" s="187"/>
      <c r="Z2424" s="245"/>
      <c r="AA2424" s="245"/>
      <c r="AB2424" s="332"/>
      <c r="AD2424" s="245"/>
      <c r="AE2424" s="245"/>
      <c r="AF2424" s="245"/>
      <c r="AG2424" s="245"/>
    </row>
    <row r="2425" spans="1:33" ht="26.4">
      <c r="A2425" s="391"/>
      <c r="B2425" s="245"/>
      <c r="C2425" s="245"/>
      <c r="D2425" s="245"/>
      <c r="E2425" s="245"/>
      <c r="F2425" s="319"/>
      <c r="G2425" s="245"/>
      <c r="H2425" s="245"/>
      <c r="I2425" s="245"/>
      <c r="S2425" s="369"/>
      <c r="T2425" s="328"/>
      <c r="U2425" s="394" ph="1"/>
      <c r="W2425" s="216"/>
      <c r="X2425" s="245"/>
      <c r="Y2425" s="187"/>
      <c r="Z2425" s="245"/>
      <c r="AA2425" s="245"/>
      <c r="AB2425" s="332"/>
      <c r="AD2425" s="245"/>
      <c r="AE2425" s="245"/>
      <c r="AF2425" s="245"/>
      <c r="AG2425" s="245"/>
    </row>
    <row r="2426" spans="1:33" ht="26.4">
      <c r="A2426" s="391"/>
      <c r="B2426" s="245"/>
      <c r="C2426" s="245"/>
      <c r="D2426" s="245"/>
      <c r="E2426" s="245"/>
      <c r="F2426" s="319"/>
      <c r="G2426" s="245"/>
      <c r="H2426" s="245"/>
      <c r="I2426" s="245"/>
      <c r="S2426" s="369"/>
      <c r="T2426" s="328"/>
      <c r="U2426" s="394" ph="1"/>
      <c r="W2426" s="216"/>
      <c r="X2426" s="245"/>
      <c r="Y2426" s="187"/>
      <c r="Z2426" s="245"/>
      <c r="AA2426" s="245"/>
      <c r="AB2426" s="332"/>
      <c r="AD2426" s="245"/>
      <c r="AE2426" s="245"/>
      <c r="AF2426" s="245"/>
      <c r="AG2426" s="245"/>
    </row>
    <row r="2427" spans="1:33" ht="26.4">
      <c r="A2427" s="391"/>
      <c r="B2427" s="245"/>
      <c r="C2427" s="245"/>
      <c r="D2427" s="245"/>
      <c r="E2427" s="245"/>
      <c r="F2427" s="319"/>
      <c r="G2427" s="245"/>
      <c r="H2427" s="245"/>
      <c r="I2427" s="245"/>
      <c r="S2427" s="369"/>
      <c r="T2427" s="328"/>
      <c r="U2427" s="394" ph="1"/>
      <c r="W2427" s="216"/>
      <c r="X2427" s="245"/>
      <c r="Y2427" s="187"/>
      <c r="Z2427" s="245"/>
      <c r="AA2427" s="245"/>
      <c r="AB2427" s="332"/>
      <c r="AD2427" s="245"/>
      <c r="AE2427" s="245"/>
      <c r="AF2427" s="245"/>
      <c r="AG2427" s="245"/>
    </row>
    <row r="2428" spans="1:33" ht="26.4">
      <c r="A2428" s="391"/>
      <c r="B2428" s="245"/>
      <c r="C2428" s="245"/>
      <c r="D2428" s="245"/>
      <c r="E2428" s="245"/>
      <c r="F2428" s="319"/>
      <c r="G2428" s="245"/>
      <c r="H2428" s="245"/>
      <c r="I2428" s="245"/>
      <c r="S2428" s="369"/>
      <c r="T2428" s="328"/>
      <c r="U2428" s="394" ph="1"/>
      <c r="W2428" s="216"/>
      <c r="X2428" s="245"/>
      <c r="Y2428" s="187"/>
      <c r="Z2428" s="245"/>
      <c r="AA2428" s="245"/>
      <c r="AB2428" s="332"/>
      <c r="AD2428" s="245"/>
      <c r="AE2428" s="245"/>
      <c r="AF2428" s="245"/>
      <c r="AG2428" s="245"/>
    </row>
    <row r="2429" spans="1:33" ht="26.4">
      <c r="A2429" s="391"/>
      <c r="B2429" s="245"/>
      <c r="C2429" s="245"/>
      <c r="D2429" s="245"/>
      <c r="E2429" s="245"/>
      <c r="F2429" s="319"/>
      <c r="G2429" s="245"/>
      <c r="H2429" s="245"/>
      <c r="I2429" s="245"/>
      <c r="S2429" s="369"/>
      <c r="T2429" s="328"/>
      <c r="U2429" s="394" ph="1"/>
      <c r="W2429" s="216"/>
      <c r="X2429" s="245"/>
      <c r="Y2429" s="187"/>
      <c r="Z2429" s="245"/>
      <c r="AA2429" s="245"/>
      <c r="AB2429" s="332"/>
      <c r="AD2429" s="245"/>
      <c r="AE2429" s="245"/>
      <c r="AF2429" s="245"/>
      <c r="AG2429" s="245"/>
    </row>
    <row r="2430" spans="1:33" ht="26.4">
      <c r="A2430" s="391"/>
      <c r="B2430" s="245"/>
      <c r="C2430" s="245"/>
      <c r="D2430" s="245"/>
      <c r="E2430" s="245"/>
      <c r="F2430" s="319"/>
      <c r="G2430" s="245"/>
      <c r="H2430" s="245"/>
      <c r="I2430" s="245"/>
      <c r="S2430" s="369"/>
      <c r="T2430" s="328"/>
      <c r="U2430" s="394" ph="1"/>
      <c r="W2430" s="216"/>
      <c r="X2430" s="245"/>
      <c r="Y2430" s="187"/>
      <c r="Z2430" s="245"/>
      <c r="AA2430" s="245"/>
      <c r="AB2430" s="332"/>
      <c r="AD2430" s="245"/>
      <c r="AE2430" s="245"/>
      <c r="AF2430" s="245"/>
      <c r="AG2430" s="245"/>
    </row>
    <row r="2431" spans="1:33" ht="26.4">
      <c r="A2431" s="391"/>
      <c r="B2431" s="245"/>
      <c r="C2431" s="245"/>
      <c r="D2431" s="245"/>
      <c r="E2431" s="245"/>
      <c r="F2431" s="319"/>
      <c r="G2431" s="245"/>
      <c r="H2431" s="245"/>
      <c r="I2431" s="245"/>
      <c r="S2431" s="369"/>
      <c r="T2431" s="328"/>
      <c r="U2431" s="394" ph="1"/>
      <c r="W2431" s="216"/>
      <c r="X2431" s="245"/>
      <c r="Y2431" s="187"/>
      <c r="Z2431" s="245"/>
      <c r="AA2431" s="245"/>
      <c r="AB2431" s="332"/>
      <c r="AD2431" s="245"/>
      <c r="AE2431" s="245"/>
      <c r="AF2431" s="245"/>
      <c r="AG2431" s="245"/>
    </row>
    <row r="2432" spans="1:33" ht="26.4">
      <c r="A2432" s="391"/>
      <c r="B2432" s="245"/>
      <c r="C2432" s="245"/>
      <c r="D2432" s="245"/>
      <c r="E2432" s="245"/>
      <c r="F2432" s="319"/>
      <c r="G2432" s="245"/>
      <c r="H2432" s="245"/>
      <c r="I2432" s="245"/>
      <c r="S2432" s="369"/>
      <c r="T2432" s="328"/>
      <c r="U2432" s="394" ph="1"/>
      <c r="W2432" s="216"/>
      <c r="X2432" s="245"/>
      <c r="Y2432" s="187"/>
      <c r="Z2432" s="245"/>
      <c r="AA2432" s="245"/>
      <c r="AB2432" s="332"/>
      <c r="AD2432" s="245"/>
      <c r="AE2432" s="245"/>
      <c r="AF2432" s="245"/>
      <c r="AG2432" s="245"/>
    </row>
    <row r="2433" spans="1:33" ht="26.4">
      <c r="A2433" s="391"/>
      <c r="B2433" s="245"/>
      <c r="C2433" s="245"/>
      <c r="D2433" s="245"/>
      <c r="E2433" s="245"/>
      <c r="F2433" s="319"/>
      <c r="G2433" s="245"/>
      <c r="H2433" s="245"/>
      <c r="I2433" s="245"/>
      <c r="S2433" s="369"/>
      <c r="T2433" s="328"/>
      <c r="U2433" s="394" ph="1"/>
      <c r="W2433" s="216"/>
      <c r="X2433" s="245"/>
      <c r="Y2433" s="187"/>
      <c r="Z2433" s="245"/>
      <c r="AA2433" s="245"/>
      <c r="AB2433" s="332"/>
      <c r="AD2433" s="245"/>
      <c r="AE2433" s="245"/>
      <c r="AF2433" s="245"/>
      <c r="AG2433" s="245"/>
    </row>
    <row r="2434" spans="1:33" ht="26.4">
      <c r="A2434" s="391"/>
      <c r="B2434" s="245"/>
      <c r="C2434" s="245"/>
      <c r="D2434" s="245"/>
      <c r="E2434" s="245"/>
      <c r="F2434" s="319"/>
      <c r="G2434" s="245"/>
      <c r="H2434" s="245"/>
      <c r="I2434" s="245"/>
      <c r="S2434" s="369"/>
      <c r="T2434" s="328"/>
      <c r="U2434" s="394" ph="1"/>
      <c r="W2434" s="216"/>
      <c r="X2434" s="245"/>
      <c r="Y2434" s="187"/>
      <c r="Z2434" s="245"/>
      <c r="AA2434" s="245"/>
      <c r="AB2434" s="332"/>
      <c r="AD2434" s="245"/>
      <c r="AE2434" s="245"/>
      <c r="AF2434" s="245"/>
      <c r="AG2434" s="245"/>
    </row>
    <row r="2435" spans="1:33" ht="26.4">
      <c r="A2435" s="391"/>
      <c r="B2435" s="245"/>
      <c r="C2435" s="245"/>
      <c r="D2435" s="245"/>
      <c r="E2435" s="245"/>
      <c r="F2435" s="319"/>
      <c r="G2435" s="245"/>
      <c r="H2435" s="245"/>
      <c r="I2435" s="245"/>
      <c r="S2435" s="369"/>
      <c r="T2435" s="328"/>
      <c r="U2435" s="394" ph="1"/>
      <c r="W2435" s="216"/>
      <c r="X2435" s="245"/>
      <c r="Y2435" s="187"/>
      <c r="Z2435" s="245"/>
      <c r="AA2435" s="245"/>
      <c r="AB2435" s="332"/>
      <c r="AD2435" s="245"/>
      <c r="AE2435" s="245"/>
      <c r="AF2435" s="245"/>
      <c r="AG2435" s="245"/>
    </row>
    <row r="2436" spans="1:33" ht="26.4">
      <c r="A2436" s="391"/>
      <c r="B2436" s="245"/>
      <c r="C2436" s="245"/>
      <c r="D2436" s="245"/>
      <c r="E2436" s="245"/>
      <c r="F2436" s="319"/>
      <c r="G2436" s="245"/>
      <c r="H2436" s="245"/>
      <c r="I2436" s="245"/>
      <c r="S2436" s="369"/>
      <c r="T2436" s="328"/>
      <c r="U2436" s="394" ph="1"/>
      <c r="W2436" s="216"/>
      <c r="X2436" s="245"/>
      <c r="Y2436" s="187"/>
      <c r="Z2436" s="245"/>
      <c r="AA2436" s="245"/>
      <c r="AB2436" s="332"/>
      <c r="AD2436" s="245"/>
      <c r="AE2436" s="245"/>
      <c r="AF2436" s="245"/>
      <c r="AG2436" s="245"/>
    </row>
    <row r="2437" spans="1:33" ht="26.4">
      <c r="A2437" s="391"/>
      <c r="B2437" s="245"/>
      <c r="C2437" s="245"/>
      <c r="D2437" s="245"/>
      <c r="E2437" s="245"/>
      <c r="F2437" s="319"/>
      <c r="G2437" s="245"/>
      <c r="H2437" s="245"/>
      <c r="I2437" s="245"/>
      <c r="S2437" s="369"/>
      <c r="T2437" s="328"/>
      <c r="U2437" s="394" ph="1"/>
      <c r="W2437" s="216"/>
      <c r="X2437" s="245"/>
      <c r="Y2437" s="187"/>
      <c r="Z2437" s="245"/>
      <c r="AA2437" s="245"/>
      <c r="AB2437" s="332"/>
      <c r="AD2437" s="245"/>
      <c r="AE2437" s="245"/>
      <c r="AF2437" s="245"/>
      <c r="AG2437" s="245"/>
    </row>
    <row r="2438" spans="1:33" ht="26.4">
      <c r="A2438" s="391"/>
      <c r="B2438" s="245"/>
      <c r="C2438" s="245"/>
      <c r="D2438" s="245"/>
      <c r="E2438" s="245"/>
      <c r="F2438" s="319"/>
      <c r="G2438" s="245"/>
      <c r="H2438" s="245"/>
      <c r="I2438" s="245"/>
      <c r="S2438" s="369"/>
      <c r="T2438" s="328"/>
      <c r="U2438" s="394" ph="1"/>
      <c r="W2438" s="216"/>
      <c r="X2438" s="245"/>
      <c r="Y2438" s="187"/>
      <c r="Z2438" s="245"/>
      <c r="AA2438" s="245"/>
      <c r="AB2438" s="332"/>
      <c r="AD2438" s="245"/>
      <c r="AE2438" s="245"/>
      <c r="AF2438" s="245"/>
      <c r="AG2438" s="245"/>
    </row>
    <row r="2439" spans="1:33" ht="26.4">
      <c r="A2439" s="391"/>
      <c r="B2439" s="245"/>
      <c r="C2439" s="245"/>
      <c r="D2439" s="245"/>
      <c r="E2439" s="245"/>
      <c r="F2439" s="319"/>
      <c r="G2439" s="245"/>
      <c r="H2439" s="245"/>
      <c r="I2439" s="245"/>
      <c r="S2439" s="369"/>
      <c r="T2439" s="328"/>
      <c r="U2439" s="394" ph="1"/>
      <c r="W2439" s="216"/>
      <c r="X2439" s="245"/>
      <c r="Y2439" s="187"/>
      <c r="Z2439" s="245"/>
      <c r="AA2439" s="245"/>
      <c r="AB2439" s="332"/>
      <c r="AD2439" s="245"/>
      <c r="AE2439" s="245"/>
      <c r="AF2439" s="245"/>
      <c r="AG2439" s="245"/>
    </row>
    <row r="2440" spans="1:33" ht="26.4">
      <c r="A2440" s="391"/>
      <c r="B2440" s="245"/>
      <c r="C2440" s="245"/>
      <c r="D2440" s="245"/>
      <c r="E2440" s="245"/>
      <c r="F2440" s="319"/>
      <c r="G2440" s="245"/>
      <c r="H2440" s="245"/>
      <c r="I2440" s="245"/>
      <c r="S2440" s="369"/>
      <c r="T2440" s="328"/>
      <c r="U2440" s="394" ph="1"/>
      <c r="W2440" s="216"/>
      <c r="X2440" s="245"/>
      <c r="Y2440" s="187"/>
      <c r="Z2440" s="245"/>
      <c r="AA2440" s="245"/>
      <c r="AB2440" s="332"/>
      <c r="AD2440" s="245"/>
      <c r="AE2440" s="245"/>
      <c r="AF2440" s="245"/>
      <c r="AG2440" s="245"/>
    </row>
    <row r="2441" spans="1:33" ht="26.4">
      <c r="A2441" s="391"/>
      <c r="B2441" s="245"/>
      <c r="C2441" s="245"/>
      <c r="D2441" s="245"/>
      <c r="E2441" s="245"/>
      <c r="F2441" s="319"/>
      <c r="G2441" s="245"/>
      <c r="H2441" s="245"/>
      <c r="I2441" s="245"/>
      <c r="S2441" s="369"/>
      <c r="T2441" s="328"/>
      <c r="U2441" s="394" ph="1"/>
      <c r="W2441" s="216"/>
      <c r="X2441" s="245"/>
      <c r="Y2441" s="187"/>
      <c r="Z2441" s="245"/>
      <c r="AA2441" s="245"/>
      <c r="AB2441" s="332"/>
      <c r="AD2441" s="245"/>
      <c r="AE2441" s="245"/>
      <c r="AF2441" s="245"/>
      <c r="AG2441" s="245"/>
    </row>
    <row r="2442" spans="1:33" ht="26.4">
      <c r="A2442" s="391"/>
      <c r="B2442" s="245"/>
      <c r="C2442" s="245"/>
      <c r="D2442" s="245"/>
      <c r="E2442" s="245"/>
      <c r="F2442" s="319"/>
      <c r="G2442" s="245"/>
      <c r="H2442" s="245"/>
      <c r="I2442" s="245"/>
      <c r="S2442" s="369"/>
      <c r="T2442" s="328"/>
      <c r="U2442" s="394" ph="1"/>
      <c r="W2442" s="216"/>
      <c r="X2442" s="245"/>
      <c r="Y2442" s="187"/>
      <c r="Z2442" s="245"/>
      <c r="AA2442" s="245"/>
      <c r="AB2442" s="332"/>
      <c r="AD2442" s="245"/>
      <c r="AE2442" s="245"/>
      <c r="AF2442" s="245"/>
      <c r="AG2442" s="245"/>
    </row>
    <row r="2443" spans="1:33" ht="26.4">
      <c r="A2443" s="391"/>
      <c r="B2443" s="245"/>
      <c r="C2443" s="245"/>
      <c r="D2443" s="245"/>
      <c r="E2443" s="245"/>
      <c r="F2443" s="319"/>
      <c r="G2443" s="245"/>
      <c r="H2443" s="245"/>
      <c r="I2443" s="245"/>
      <c r="S2443" s="369"/>
      <c r="T2443" s="328"/>
      <c r="U2443" s="394" ph="1"/>
      <c r="W2443" s="216"/>
      <c r="X2443" s="245"/>
      <c r="Y2443" s="187"/>
      <c r="Z2443" s="245"/>
      <c r="AA2443" s="245"/>
      <c r="AB2443" s="332"/>
      <c r="AD2443" s="245"/>
      <c r="AE2443" s="245"/>
      <c r="AF2443" s="245"/>
      <c r="AG2443" s="245"/>
    </row>
    <row r="2444" spans="1:33" ht="26.4">
      <c r="A2444" s="391"/>
      <c r="B2444" s="245"/>
      <c r="C2444" s="245"/>
      <c r="D2444" s="245"/>
      <c r="E2444" s="245"/>
      <c r="F2444" s="319"/>
      <c r="G2444" s="245"/>
      <c r="H2444" s="245"/>
      <c r="I2444" s="245"/>
      <c r="S2444" s="369"/>
      <c r="T2444" s="328"/>
      <c r="U2444" s="394" ph="1"/>
      <c r="W2444" s="216"/>
      <c r="X2444" s="245"/>
      <c r="Y2444" s="187"/>
      <c r="Z2444" s="245"/>
      <c r="AA2444" s="245"/>
      <c r="AB2444" s="332"/>
      <c r="AD2444" s="245"/>
      <c r="AE2444" s="245"/>
      <c r="AF2444" s="245"/>
      <c r="AG2444" s="245"/>
    </row>
    <row r="2445" spans="1:33" ht="26.4">
      <c r="A2445" s="391"/>
      <c r="B2445" s="245"/>
      <c r="C2445" s="245"/>
      <c r="D2445" s="245"/>
      <c r="E2445" s="245"/>
      <c r="F2445" s="319"/>
      <c r="G2445" s="245"/>
      <c r="H2445" s="245"/>
      <c r="I2445" s="245"/>
      <c r="S2445" s="369"/>
      <c r="T2445" s="328"/>
      <c r="U2445" s="394" ph="1"/>
      <c r="W2445" s="216"/>
      <c r="X2445" s="245"/>
      <c r="Y2445" s="187"/>
      <c r="Z2445" s="245"/>
      <c r="AA2445" s="245"/>
      <c r="AB2445" s="332"/>
      <c r="AD2445" s="245"/>
      <c r="AE2445" s="245"/>
      <c r="AF2445" s="245"/>
      <c r="AG2445" s="245"/>
    </row>
    <row r="2446" spans="1:33" ht="26.4">
      <c r="A2446" s="391"/>
      <c r="B2446" s="245"/>
      <c r="C2446" s="245"/>
      <c r="D2446" s="245"/>
      <c r="E2446" s="245"/>
      <c r="F2446" s="319"/>
      <c r="G2446" s="245"/>
      <c r="H2446" s="245"/>
      <c r="I2446" s="245"/>
      <c r="S2446" s="369"/>
      <c r="T2446" s="328"/>
      <c r="U2446" s="394" ph="1"/>
      <c r="W2446" s="216"/>
      <c r="X2446" s="245"/>
      <c r="Y2446" s="187"/>
      <c r="Z2446" s="245"/>
      <c r="AA2446" s="245"/>
      <c r="AB2446" s="332"/>
      <c r="AD2446" s="245"/>
      <c r="AE2446" s="245"/>
      <c r="AF2446" s="245"/>
      <c r="AG2446" s="245"/>
    </row>
    <row r="2447" spans="1:33" ht="26.4">
      <c r="A2447" s="391"/>
      <c r="B2447" s="245"/>
      <c r="C2447" s="245"/>
      <c r="D2447" s="245"/>
      <c r="E2447" s="245"/>
      <c r="F2447" s="319"/>
      <c r="G2447" s="245"/>
      <c r="H2447" s="245"/>
      <c r="I2447" s="245"/>
      <c r="S2447" s="369"/>
      <c r="T2447" s="328"/>
      <c r="U2447" s="394" ph="1"/>
      <c r="W2447" s="216"/>
      <c r="X2447" s="245"/>
      <c r="Y2447" s="187"/>
      <c r="Z2447" s="245"/>
      <c r="AA2447" s="245"/>
      <c r="AB2447" s="332"/>
      <c r="AD2447" s="245"/>
      <c r="AE2447" s="245"/>
      <c r="AF2447" s="245"/>
      <c r="AG2447" s="245"/>
    </row>
    <row r="2448" spans="1:33" ht="26.4">
      <c r="A2448" s="391"/>
      <c r="B2448" s="245"/>
      <c r="C2448" s="245"/>
      <c r="D2448" s="245"/>
      <c r="E2448" s="245"/>
      <c r="F2448" s="319"/>
      <c r="G2448" s="245"/>
      <c r="H2448" s="245"/>
      <c r="I2448" s="245"/>
      <c r="S2448" s="369"/>
      <c r="T2448" s="328"/>
      <c r="U2448" s="394" ph="1"/>
      <c r="W2448" s="216"/>
      <c r="X2448" s="245"/>
      <c r="Y2448" s="187"/>
      <c r="Z2448" s="245"/>
      <c r="AA2448" s="245"/>
      <c r="AB2448" s="332"/>
      <c r="AD2448" s="245"/>
      <c r="AE2448" s="245"/>
      <c r="AF2448" s="245"/>
      <c r="AG2448" s="245"/>
    </row>
    <row r="2449" spans="1:33" ht="26.4">
      <c r="A2449" s="391"/>
      <c r="B2449" s="245"/>
      <c r="C2449" s="245"/>
      <c r="D2449" s="245"/>
      <c r="E2449" s="245"/>
      <c r="F2449" s="319"/>
      <c r="G2449" s="245"/>
      <c r="H2449" s="245"/>
      <c r="I2449" s="245"/>
      <c r="S2449" s="369"/>
      <c r="T2449" s="328"/>
      <c r="U2449" s="394" ph="1"/>
      <c r="W2449" s="216"/>
      <c r="X2449" s="245"/>
      <c r="Y2449" s="187"/>
      <c r="Z2449" s="245"/>
      <c r="AA2449" s="245"/>
      <c r="AB2449" s="332"/>
      <c r="AD2449" s="245"/>
      <c r="AE2449" s="245"/>
      <c r="AF2449" s="245"/>
      <c r="AG2449" s="245"/>
    </row>
    <row r="2450" spans="1:33" ht="26.4">
      <c r="A2450" s="391"/>
      <c r="B2450" s="245"/>
      <c r="C2450" s="245"/>
      <c r="D2450" s="245"/>
      <c r="E2450" s="245"/>
      <c r="F2450" s="319"/>
      <c r="G2450" s="245"/>
      <c r="H2450" s="245"/>
      <c r="I2450" s="245"/>
      <c r="S2450" s="369"/>
      <c r="T2450" s="328"/>
      <c r="U2450" s="394" ph="1"/>
      <c r="W2450" s="216"/>
      <c r="X2450" s="245"/>
      <c r="Y2450" s="187"/>
      <c r="Z2450" s="245"/>
      <c r="AA2450" s="245"/>
      <c r="AB2450" s="332"/>
      <c r="AD2450" s="245"/>
      <c r="AE2450" s="245"/>
      <c r="AF2450" s="245"/>
      <c r="AG2450" s="245"/>
    </row>
    <row r="2451" spans="1:33" ht="26.4">
      <c r="A2451" s="391"/>
      <c r="B2451" s="245"/>
      <c r="C2451" s="245"/>
      <c r="D2451" s="245"/>
      <c r="E2451" s="245"/>
      <c r="F2451" s="319"/>
      <c r="G2451" s="245"/>
      <c r="H2451" s="245"/>
      <c r="I2451" s="245"/>
      <c r="S2451" s="369"/>
      <c r="T2451" s="328"/>
      <c r="U2451" s="394" ph="1"/>
      <c r="W2451" s="216"/>
      <c r="X2451" s="245"/>
      <c r="Y2451" s="187"/>
      <c r="Z2451" s="245"/>
      <c r="AA2451" s="245"/>
      <c r="AB2451" s="332"/>
      <c r="AD2451" s="245"/>
      <c r="AE2451" s="245"/>
      <c r="AF2451" s="245"/>
      <c r="AG2451" s="245"/>
    </row>
    <row r="2452" spans="1:33" ht="26.4">
      <c r="A2452" s="391"/>
      <c r="B2452" s="245"/>
      <c r="C2452" s="245"/>
      <c r="D2452" s="245"/>
      <c r="E2452" s="245"/>
      <c r="F2452" s="319"/>
      <c r="G2452" s="245"/>
      <c r="H2452" s="245"/>
      <c r="I2452" s="245"/>
      <c r="S2452" s="369"/>
      <c r="T2452" s="328"/>
      <c r="U2452" s="394" ph="1"/>
      <c r="W2452" s="216"/>
      <c r="X2452" s="245"/>
      <c r="Y2452" s="187"/>
      <c r="Z2452" s="245"/>
      <c r="AA2452" s="245"/>
      <c r="AB2452" s="332"/>
      <c r="AD2452" s="245"/>
      <c r="AE2452" s="245"/>
      <c r="AF2452" s="245"/>
      <c r="AG2452" s="245"/>
    </row>
    <row r="2453" spans="1:33" ht="26.4">
      <c r="A2453" s="391"/>
      <c r="B2453" s="245"/>
      <c r="C2453" s="245"/>
      <c r="D2453" s="245"/>
      <c r="E2453" s="245"/>
      <c r="F2453" s="319"/>
      <c r="G2453" s="245"/>
      <c r="H2453" s="245"/>
      <c r="I2453" s="245"/>
      <c r="S2453" s="369"/>
      <c r="T2453" s="328"/>
      <c r="U2453" s="394" ph="1"/>
      <c r="W2453" s="216"/>
      <c r="X2453" s="245"/>
      <c r="Y2453" s="187"/>
      <c r="Z2453" s="245"/>
      <c r="AA2453" s="245"/>
      <c r="AB2453" s="332"/>
      <c r="AD2453" s="245"/>
      <c r="AE2453" s="245"/>
      <c r="AF2453" s="245"/>
      <c r="AG2453" s="245"/>
    </row>
    <row r="2454" spans="1:33" ht="26.4">
      <c r="A2454" s="391"/>
      <c r="B2454" s="245"/>
      <c r="C2454" s="245"/>
      <c r="D2454" s="245"/>
      <c r="E2454" s="245"/>
      <c r="F2454" s="319"/>
      <c r="G2454" s="245"/>
      <c r="H2454" s="245"/>
      <c r="I2454" s="245"/>
      <c r="S2454" s="369"/>
      <c r="T2454" s="328"/>
      <c r="U2454" s="394" ph="1"/>
      <c r="W2454" s="216"/>
      <c r="X2454" s="245"/>
      <c r="Y2454" s="187"/>
      <c r="Z2454" s="245"/>
      <c r="AA2454" s="245"/>
      <c r="AB2454" s="332"/>
      <c r="AD2454" s="245"/>
      <c r="AE2454" s="245"/>
      <c r="AF2454" s="245"/>
      <c r="AG2454" s="245"/>
    </row>
    <row r="2455" spans="1:33" ht="26.4">
      <c r="A2455" s="391"/>
      <c r="B2455" s="245"/>
      <c r="C2455" s="245"/>
      <c r="D2455" s="245"/>
      <c r="E2455" s="245"/>
      <c r="F2455" s="319"/>
      <c r="G2455" s="245"/>
      <c r="H2455" s="245"/>
      <c r="I2455" s="245"/>
      <c r="S2455" s="369"/>
      <c r="T2455" s="328"/>
      <c r="U2455" s="394" ph="1"/>
      <c r="W2455" s="216"/>
      <c r="X2455" s="245"/>
      <c r="Y2455" s="187"/>
      <c r="Z2455" s="245"/>
      <c r="AA2455" s="245"/>
      <c r="AB2455" s="332"/>
      <c r="AD2455" s="245"/>
      <c r="AE2455" s="245"/>
      <c r="AF2455" s="245"/>
      <c r="AG2455" s="245"/>
    </row>
    <row r="2456" spans="1:33" ht="26.4">
      <c r="A2456" s="391"/>
      <c r="B2456" s="245"/>
      <c r="C2456" s="245"/>
      <c r="D2456" s="245"/>
      <c r="E2456" s="245"/>
      <c r="F2456" s="319"/>
      <c r="G2456" s="245"/>
      <c r="H2456" s="245"/>
      <c r="I2456" s="245"/>
      <c r="S2456" s="369"/>
      <c r="T2456" s="328"/>
      <c r="U2456" s="394" ph="1"/>
      <c r="W2456" s="216"/>
      <c r="X2456" s="245"/>
      <c r="Y2456" s="187"/>
      <c r="Z2456" s="245"/>
      <c r="AA2456" s="245"/>
      <c r="AB2456" s="332"/>
      <c r="AD2456" s="245"/>
      <c r="AE2456" s="245"/>
      <c r="AF2456" s="245"/>
      <c r="AG2456" s="245"/>
    </row>
    <row r="2457" spans="1:33" ht="26.4">
      <c r="A2457" s="391"/>
      <c r="B2457" s="245"/>
      <c r="C2457" s="245"/>
      <c r="D2457" s="245"/>
      <c r="E2457" s="245"/>
      <c r="F2457" s="319"/>
      <c r="G2457" s="245"/>
      <c r="H2457" s="245"/>
      <c r="I2457" s="245"/>
      <c r="S2457" s="369"/>
      <c r="T2457" s="328"/>
      <c r="U2457" s="394" ph="1"/>
      <c r="W2457" s="216"/>
      <c r="X2457" s="245"/>
      <c r="Y2457" s="187"/>
      <c r="Z2457" s="245"/>
      <c r="AA2457" s="245"/>
      <c r="AB2457" s="332"/>
      <c r="AD2457" s="245"/>
      <c r="AE2457" s="245"/>
      <c r="AF2457" s="245"/>
      <c r="AG2457" s="245"/>
    </row>
    <row r="2458" spans="1:33" ht="26.4">
      <c r="A2458" s="391"/>
      <c r="B2458" s="245"/>
      <c r="C2458" s="245"/>
      <c r="D2458" s="245"/>
      <c r="E2458" s="245"/>
      <c r="F2458" s="319"/>
      <c r="G2458" s="245"/>
      <c r="H2458" s="245"/>
      <c r="I2458" s="245"/>
      <c r="S2458" s="369"/>
      <c r="T2458" s="328"/>
      <c r="U2458" s="394" ph="1"/>
      <c r="W2458" s="216"/>
      <c r="X2458" s="245"/>
      <c r="Y2458" s="187"/>
      <c r="Z2458" s="245"/>
      <c r="AA2458" s="245"/>
      <c r="AB2458" s="332"/>
      <c r="AD2458" s="245"/>
      <c r="AE2458" s="245"/>
      <c r="AF2458" s="245"/>
      <c r="AG2458" s="245"/>
    </row>
    <row r="2459" spans="1:33" ht="26.4">
      <c r="A2459" s="391"/>
      <c r="B2459" s="245"/>
      <c r="C2459" s="245"/>
      <c r="D2459" s="245"/>
      <c r="E2459" s="245"/>
      <c r="F2459" s="319"/>
      <c r="G2459" s="245"/>
      <c r="H2459" s="245"/>
      <c r="I2459" s="245"/>
      <c r="S2459" s="369"/>
      <c r="T2459" s="328"/>
      <c r="U2459" s="394" ph="1"/>
      <c r="W2459" s="216"/>
      <c r="X2459" s="245"/>
      <c r="Y2459" s="187"/>
      <c r="Z2459" s="245"/>
      <c r="AA2459" s="245"/>
      <c r="AB2459" s="332"/>
      <c r="AD2459" s="245"/>
      <c r="AE2459" s="245"/>
      <c r="AF2459" s="245"/>
      <c r="AG2459" s="245"/>
    </row>
    <row r="2460" spans="1:33" ht="26.4">
      <c r="A2460" s="391"/>
      <c r="B2460" s="245"/>
      <c r="C2460" s="245"/>
      <c r="D2460" s="245"/>
      <c r="E2460" s="245"/>
      <c r="F2460" s="319"/>
      <c r="G2460" s="245"/>
      <c r="H2460" s="245"/>
      <c r="I2460" s="245"/>
      <c r="S2460" s="369"/>
      <c r="T2460" s="328"/>
      <c r="U2460" s="394" ph="1"/>
      <c r="W2460" s="216"/>
      <c r="X2460" s="245"/>
      <c r="Y2460" s="187"/>
      <c r="Z2460" s="245"/>
      <c r="AA2460" s="245"/>
      <c r="AB2460" s="332"/>
      <c r="AD2460" s="245"/>
      <c r="AE2460" s="245"/>
      <c r="AF2460" s="245"/>
      <c r="AG2460" s="245"/>
    </row>
    <row r="2461" spans="1:33" ht="26.4">
      <c r="A2461" s="391"/>
      <c r="B2461" s="245"/>
      <c r="C2461" s="245"/>
      <c r="D2461" s="245"/>
      <c r="E2461" s="245"/>
      <c r="F2461" s="319"/>
      <c r="G2461" s="245"/>
      <c r="H2461" s="245"/>
      <c r="I2461" s="245"/>
      <c r="S2461" s="369"/>
      <c r="T2461" s="328"/>
      <c r="U2461" s="394" ph="1"/>
      <c r="W2461" s="216"/>
      <c r="X2461" s="245"/>
      <c r="Y2461" s="187"/>
      <c r="Z2461" s="245"/>
      <c r="AA2461" s="245"/>
      <c r="AB2461" s="332"/>
      <c r="AD2461" s="245"/>
      <c r="AE2461" s="245"/>
      <c r="AF2461" s="245"/>
      <c r="AG2461" s="245"/>
    </row>
    <row r="2462" spans="1:33" ht="26.4">
      <c r="A2462" s="391"/>
      <c r="B2462" s="245"/>
      <c r="C2462" s="245"/>
      <c r="D2462" s="245"/>
      <c r="E2462" s="245"/>
      <c r="F2462" s="319"/>
      <c r="G2462" s="245"/>
      <c r="H2462" s="245"/>
      <c r="I2462" s="245"/>
      <c r="S2462" s="369"/>
      <c r="T2462" s="328"/>
      <c r="U2462" s="394" ph="1"/>
      <c r="W2462" s="216"/>
      <c r="X2462" s="245"/>
      <c r="Y2462" s="187"/>
      <c r="Z2462" s="245"/>
      <c r="AA2462" s="245"/>
      <c r="AB2462" s="332"/>
      <c r="AD2462" s="245"/>
      <c r="AE2462" s="245"/>
      <c r="AF2462" s="245"/>
      <c r="AG2462" s="245"/>
    </row>
    <row r="2463" spans="1:33" ht="26.4">
      <c r="A2463" s="391"/>
      <c r="B2463" s="245"/>
      <c r="C2463" s="245"/>
      <c r="D2463" s="245"/>
      <c r="E2463" s="245"/>
      <c r="F2463" s="319"/>
      <c r="G2463" s="245"/>
      <c r="H2463" s="245"/>
      <c r="I2463" s="245"/>
      <c r="S2463" s="369"/>
      <c r="T2463" s="328"/>
      <c r="U2463" s="394" ph="1"/>
      <c r="W2463" s="216"/>
      <c r="X2463" s="245"/>
      <c r="Y2463" s="187"/>
      <c r="Z2463" s="245"/>
      <c r="AA2463" s="245"/>
      <c r="AB2463" s="332"/>
      <c r="AD2463" s="245"/>
      <c r="AE2463" s="245"/>
      <c r="AF2463" s="245"/>
      <c r="AG2463" s="245"/>
    </row>
    <row r="2464" spans="1:33" ht="26.4">
      <c r="A2464" s="391"/>
      <c r="B2464" s="245"/>
      <c r="C2464" s="245"/>
      <c r="D2464" s="245"/>
      <c r="E2464" s="245"/>
      <c r="F2464" s="319"/>
      <c r="G2464" s="245"/>
      <c r="H2464" s="245"/>
      <c r="I2464" s="245"/>
      <c r="S2464" s="369"/>
      <c r="T2464" s="328"/>
      <c r="U2464" s="394" ph="1"/>
      <c r="W2464" s="216"/>
      <c r="X2464" s="245"/>
      <c r="Y2464" s="187"/>
      <c r="Z2464" s="245"/>
      <c r="AA2464" s="245"/>
      <c r="AB2464" s="332"/>
      <c r="AD2464" s="245"/>
      <c r="AE2464" s="245"/>
      <c r="AF2464" s="245"/>
      <c r="AG2464" s="245"/>
    </row>
    <row r="2465" spans="1:33" ht="26.4">
      <c r="A2465" s="391"/>
      <c r="B2465" s="245"/>
      <c r="C2465" s="245"/>
      <c r="D2465" s="245"/>
      <c r="E2465" s="245"/>
      <c r="F2465" s="319"/>
      <c r="G2465" s="245"/>
      <c r="H2465" s="245"/>
      <c r="I2465" s="245"/>
      <c r="S2465" s="369"/>
      <c r="T2465" s="328"/>
      <c r="U2465" s="394" ph="1"/>
      <c r="W2465" s="216"/>
      <c r="X2465" s="245"/>
      <c r="Y2465" s="187"/>
      <c r="Z2465" s="245"/>
      <c r="AA2465" s="245"/>
      <c r="AB2465" s="332"/>
      <c r="AD2465" s="245"/>
      <c r="AE2465" s="245"/>
      <c r="AF2465" s="245"/>
      <c r="AG2465" s="245"/>
    </row>
    <row r="2466" spans="1:33" ht="26.4">
      <c r="A2466" s="391"/>
      <c r="B2466" s="245"/>
      <c r="C2466" s="245"/>
      <c r="D2466" s="245"/>
      <c r="E2466" s="245"/>
      <c r="F2466" s="319"/>
      <c r="G2466" s="245"/>
      <c r="H2466" s="245"/>
      <c r="I2466" s="245"/>
      <c r="S2466" s="369"/>
      <c r="T2466" s="328"/>
      <c r="U2466" s="394" ph="1"/>
      <c r="W2466" s="216"/>
      <c r="X2466" s="245"/>
      <c r="Y2466" s="187"/>
      <c r="Z2466" s="245"/>
      <c r="AA2466" s="245"/>
      <c r="AB2466" s="332"/>
      <c r="AD2466" s="245"/>
      <c r="AE2466" s="245"/>
      <c r="AF2466" s="245"/>
      <c r="AG2466" s="245"/>
    </row>
    <row r="2467" spans="1:33" ht="26.4">
      <c r="A2467" s="391"/>
      <c r="B2467" s="245"/>
      <c r="C2467" s="245"/>
      <c r="D2467" s="245"/>
      <c r="E2467" s="245"/>
      <c r="F2467" s="319"/>
      <c r="G2467" s="245"/>
      <c r="H2467" s="245"/>
      <c r="I2467" s="245"/>
      <c r="S2467" s="369"/>
      <c r="T2467" s="328"/>
      <c r="U2467" s="394" ph="1"/>
      <c r="W2467" s="216"/>
      <c r="X2467" s="245"/>
      <c r="Y2467" s="187"/>
      <c r="Z2467" s="245"/>
      <c r="AA2467" s="245"/>
      <c r="AB2467" s="332"/>
      <c r="AD2467" s="245"/>
      <c r="AE2467" s="245"/>
      <c r="AF2467" s="245"/>
      <c r="AG2467" s="245"/>
    </row>
    <row r="2468" spans="1:33" ht="26.4">
      <c r="A2468" s="391"/>
      <c r="B2468" s="245"/>
      <c r="C2468" s="245"/>
      <c r="D2468" s="245"/>
      <c r="E2468" s="245"/>
      <c r="F2468" s="319"/>
      <c r="G2468" s="245"/>
      <c r="H2468" s="245"/>
      <c r="I2468" s="245"/>
      <c r="S2468" s="369"/>
      <c r="T2468" s="328"/>
      <c r="U2468" s="394" ph="1"/>
      <c r="W2468" s="216"/>
      <c r="X2468" s="245"/>
      <c r="Y2468" s="187"/>
      <c r="Z2468" s="245"/>
      <c r="AA2468" s="245"/>
      <c r="AB2468" s="332"/>
      <c r="AD2468" s="245"/>
      <c r="AE2468" s="245"/>
      <c r="AF2468" s="245"/>
      <c r="AG2468" s="245"/>
    </row>
    <row r="2469" spans="1:33" ht="26.4">
      <c r="A2469" s="391"/>
      <c r="B2469" s="245"/>
      <c r="C2469" s="245"/>
      <c r="D2469" s="245"/>
      <c r="E2469" s="245"/>
      <c r="F2469" s="319"/>
      <c r="G2469" s="245"/>
      <c r="H2469" s="245"/>
      <c r="I2469" s="245"/>
      <c r="S2469" s="369"/>
      <c r="T2469" s="328"/>
      <c r="U2469" s="394" ph="1"/>
      <c r="W2469" s="216"/>
      <c r="X2469" s="245"/>
      <c r="Y2469" s="187"/>
      <c r="Z2469" s="245"/>
      <c r="AA2469" s="245"/>
      <c r="AB2469" s="332"/>
      <c r="AD2469" s="245"/>
      <c r="AE2469" s="245"/>
      <c r="AF2469" s="245"/>
      <c r="AG2469" s="245"/>
    </row>
    <row r="2470" spans="1:33" ht="26.4">
      <c r="A2470" s="391"/>
      <c r="B2470" s="245"/>
      <c r="C2470" s="245"/>
      <c r="D2470" s="245"/>
      <c r="E2470" s="245"/>
      <c r="F2470" s="319"/>
      <c r="G2470" s="245"/>
      <c r="H2470" s="245"/>
      <c r="I2470" s="245"/>
      <c r="S2470" s="369"/>
      <c r="T2470" s="328"/>
      <c r="U2470" s="394" ph="1"/>
      <c r="W2470" s="216"/>
      <c r="X2470" s="245"/>
      <c r="Y2470" s="187"/>
      <c r="Z2470" s="245"/>
      <c r="AA2470" s="245"/>
      <c r="AB2470" s="332"/>
      <c r="AD2470" s="245"/>
      <c r="AE2470" s="245"/>
      <c r="AF2470" s="245"/>
      <c r="AG2470" s="245"/>
    </row>
    <row r="2471" spans="1:33" ht="26.4">
      <c r="A2471" s="391"/>
      <c r="B2471" s="245"/>
      <c r="C2471" s="245"/>
      <c r="D2471" s="245"/>
      <c r="E2471" s="245"/>
      <c r="F2471" s="319"/>
      <c r="G2471" s="245"/>
      <c r="H2471" s="245"/>
      <c r="I2471" s="245"/>
      <c r="S2471" s="369"/>
      <c r="T2471" s="328"/>
      <c r="U2471" s="394" ph="1"/>
      <c r="W2471" s="216"/>
      <c r="X2471" s="245"/>
      <c r="Y2471" s="187"/>
      <c r="Z2471" s="245"/>
      <c r="AA2471" s="245"/>
      <c r="AB2471" s="332"/>
      <c r="AD2471" s="245"/>
      <c r="AE2471" s="245"/>
      <c r="AF2471" s="245"/>
      <c r="AG2471" s="245"/>
    </row>
    <row r="2472" spans="1:33" ht="26.4">
      <c r="A2472" s="391"/>
      <c r="B2472" s="245"/>
      <c r="C2472" s="245"/>
      <c r="D2472" s="245"/>
      <c r="E2472" s="245"/>
      <c r="F2472" s="319"/>
      <c r="G2472" s="245"/>
      <c r="H2472" s="245"/>
      <c r="I2472" s="245"/>
      <c r="S2472" s="369"/>
      <c r="T2472" s="328"/>
      <c r="U2472" s="394" ph="1"/>
      <c r="W2472" s="216"/>
      <c r="X2472" s="245"/>
      <c r="Y2472" s="187"/>
      <c r="Z2472" s="245"/>
      <c r="AA2472" s="245"/>
      <c r="AB2472" s="332"/>
      <c r="AD2472" s="245"/>
      <c r="AE2472" s="245"/>
      <c r="AF2472" s="245"/>
      <c r="AG2472" s="245"/>
    </row>
    <row r="2473" spans="1:33" ht="26.4">
      <c r="A2473" s="391"/>
      <c r="B2473" s="245"/>
      <c r="C2473" s="245"/>
      <c r="D2473" s="245"/>
      <c r="E2473" s="245"/>
      <c r="F2473" s="319"/>
      <c r="G2473" s="245"/>
      <c r="H2473" s="245"/>
      <c r="I2473" s="245"/>
      <c r="S2473" s="369"/>
      <c r="T2473" s="328"/>
      <c r="U2473" s="394" ph="1"/>
      <c r="W2473" s="216"/>
      <c r="X2473" s="245"/>
      <c r="Y2473" s="187"/>
      <c r="Z2473" s="245"/>
      <c r="AA2473" s="245"/>
      <c r="AB2473" s="332"/>
      <c r="AD2473" s="245"/>
      <c r="AE2473" s="245"/>
      <c r="AF2473" s="245"/>
      <c r="AG2473" s="245"/>
    </row>
    <row r="2474" spans="1:33" ht="26.4">
      <c r="A2474" s="391"/>
      <c r="B2474" s="245"/>
      <c r="C2474" s="245"/>
      <c r="D2474" s="245"/>
      <c r="E2474" s="245"/>
      <c r="F2474" s="319"/>
      <c r="G2474" s="245"/>
      <c r="H2474" s="245"/>
      <c r="I2474" s="245"/>
      <c r="S2474" s="369"/>
      <c r="T2474" s="328"/>
      <c r="U2474" s="394" ph="1"/>
      <c r="W2474" s="216"/>
      <c r="X2474" s="245"/>
      <c r="Y2474" s="187"/>
      <c r="Z2474" s="245"/>
      <c r="AA2474" s="245"/>
      <c r="AB2474" s="332"/>
      <c r="AD2474" s="245"/>
      <c r="AE2474" s="245"/>
      <c r="AF2474" s="245"/>
      <c r="AG2474" s="245"/>
    </row>
    <row r="2475" spans="1:33" ht="26.4">
      <c r="A2475" s="391"/>
      <c r="B2475" s="245"/>
      <c r="C2475" s="245"/>
      <c r="D2475" s="245"/>
      <c r="E2475" s="245"/>
      <c r="F2475" s="319"/>
      <c r="G2475" s="245"/>
      <c r="H2475" s="245"/>
      <c r="I2475" s="245"/>
      <c r="S2475" s="369"/>
      <c r="T2475" s="328"/>
      <c r="U2475" s="394" ph="1"/>
      <c r="W2475" s="216"/>
      <c r="X2475" s="245"/>
      <c r="Y2475" s="187"/>
      <c r="Z2475" s="245"/>
      <c r="AA2475" s="245"/>
      <c r="AB2475" s="332"/>
      <c r="AD2475" s="245"/>
      <c r="AE2475" s="245"/>
      <c r="AF2475" s="245"/>
      <c r="AG2475" s="245"/>
    </row>
    <row r="2476" spans="1:33" ht="26.4">
      <c r="A2476" s="391"/>
      <c r="B2476" s="245"/>
      <c r="C2476" s="245"/>
      <c r="D2476" s="245"/>
      <c r="E2476" s="245"/>
      <c r="F2476" s="319"/>
      <c r="G2476" s="245"/>
      <c r="H2476" s="245"/>
      <c r="I2476" s="245"/>
      <c r="S2476" s="369"/>
      <c r="T2476" s="328"/>
      <c r="U2476" s="394" ph="1"/>
      <c r="W2476" s="216"/>
      <c r="X2476" s="245"/>
      <c r="Y2476" s="187"/>
      <c r="Z2476" s="245"/>
      <c r="AA2476" s="245"/>
      <c r="AB2476" s="332"/>
      <c r="AD2476" s="245"/>
      <c r="AE2476" s="245"/>
      <c r="AF2476" s="245"/>
      <c r="AG2476" s="245"/>
    </row>
    <row r="2477" spans="1:33" ht="26.4">
      <c r="A2477" s="391"/>
      <c r="B2477" s="245"/>
      <c r="C2477" s="245"/>
      <c r="D2477" s="245"/>
      <c r="E2477" s="245"/>
      <c r="F2477" s="319"/>
      <c r="G2477" s="245"/>
      <c r="H2477" s="245"/>
      <c r="I2477" s="245"/>
      <c r="S2477" s="369"/>
      <c r="T2477" s="328"/>
      <c r="U2477" s="394" ph="1"/>
      <c r="W2477" s="216"/>
      <c r="X2477" s="245"/>
      <c r="Y2477" s="187"/>
      <c r="Z2477" s="245"/>
      <c r="AA2477" s="245"/>
      <c r="AB2477" s="332"/>
      <c r="AD2477" s="245"/>
      <c r="AE2477" s="245"/>
      <c r="AF2477" s="245"/>
      <c r="AG2477" s="245"/>
    </row>
    <row r="2478" spans="1:33" ht="26.4">
      <c r="A2478" s="391"/>
      <c r="B2478" s="245"/>
      <c r="C2478" s="245"/>
      <c r="D2478" s="245"/>
      <c r="E2478" s="245"/>
      <c r="F2478" s="319"/>
      <c r="G2478" s="245"/>
      <c r="H2478" s="245"/>
      <c r="I2478" s="245"/>
      <c r="S2478" s="369"/>
      <c r="T2478" s="328"/>
      <c r="U2478" s="394" ph="1"/>
      <c r="W2478" s="216"/>
      <c r="X2478" s="245"/>
      <c r="Y2478" s="187"/>
      <c r="Z2478" s="245"/>
      <c r="AA2478" s="245"/>
      <c r="AB2478" s="332"/>
      <c r="AD2478" s="245"/>
      <c r="AE2478" s="245"/>
      <c r="AF2478" s="245"/>
      <c r="AG2478" s="245"/>
    </row>
    <row r="2479" spans="1:33" ht="26.4">
      <c r="A2479" s="391"/>
      <c r="B2479" s="245"/>
      <c r="C2479" s="245"/>
      <c r="D2479" s="245"/>
      <c r="E2479" s="245"/>
      <c r="F2479" s="319"/>
      <c r="G2479" s="245"/>
      <c r="H2479" s="245"/>
      <c r="I2479" s="245"/>
      <c r="S2479" s="369"/>
      <c r="T2479" s="328"/>
      <c r="U2479" s="394" ph="1"/>
      <c r="W2479" s="216"/>
      <c r="X2479" s="245"/>
      <c r="Y2479" s="187"/>
      <c r="Z2479" s="245"/>
      <c r="AA2479" s="245"/>
      <c r="AB2479" s="332"/>
      <c r="AD2479" s="245"/>
      <c r="AE2479" s="245"/>
      <c r="AF2479" s="245"/>
      <c r="AG2479" s="245"/>
    </row>
    <row r="2480" spans="1:33" ht="26.4">
      <c r="A2480" s="391"/>
      <c r="B2480" s="245"/>
      <c r="C2480" s="245"/>
      <c r="D2480" s="245"/>
      <c r="E2480" s="245"/>
      <c r="F2480" s="319"/>
      <c r="G2480" s="245"/>
      <c r="H2480" s="245"/>
      <c r="I2480" s="245"/>
      <c r="S2480" s="369"/>
      <c r="T2480" s="328"/>
      <c r="U2480" s="394" ph="1"/>
      <c r="W2480" s="216"/>
      <c r="X2480" s="245"/>
      <c r="Y2480" s="187"/>
      <c r="Z2480" s="245"/>
      <c r="AA2480" s="245"/>
      <c r="AB2480" s="332"/>
      <c r="AD2480" s="245"/>
      <c r="AE2480" s="245"/>
      <c r="AF2480" s="245"/>
      <c r="AG2480" s="245"/>
    </row>
    <row r="2481" spans="1:33" ht="26.4">
      <c r="A2481" s="391"/>
      <c r="B2481" s="245"/>
      <c r="C2481" s="245"/>
      <c r="D2481" s="245"/>
      <c r="E2481" s="245"/>
      <c r="F2481" s="319"/>
      <c r="G2481" s="245"/>
      <c r="H2481" s="245"/>
      <c r="I2481" s="245"/>
      <c r="S2481" s="369"/>
      <c r="T2481" s="328"/>
      <c r="U2481" s="394" ph="1"/>
      <c r="W2481" s="216"/>
      <c r="X2481" s="245"/>
      <c r="Y2481" s="187"/>
      <c r="Z2481" s="245"/>
      <c r="AA2481" s="245"/>
      <c r="AB2481" s="332"/>
      <c r="AD2481" s="245"/>
      <c r="AE2481" s="245"/>
      <c r="AF2481" s="245"/>
      <c r="AG2481" s="245"/>
    </row>
    <row r="2482" spans="1:33" ht="26.4">
      <c r="A2482" s="391"/>
      <c r="B2482" s="245"/>
      <c r="C2482" s="245"/>
      <c r="D2482" s="245"/>
      <c r="E2482" s="245"/>
      <c r="F2482" s="319"/>
      <c r="G2482" s="245"/>
      <c r="H2482" s="245"/>
      <c r="I2482" s="245"/>
      <c r="S2482" s="369"/>
      <c r="T2482" s="328"/>
      <c r="U2482" s="394" ph="1"/>
      <c r="W2482" s="216"/>
      <c r="X2482" s="245"/>
      <c r="Y2482" s="187"/>
      <c r="Z2482" s="245"/>
      <c r="AA2482" s="245"/>
      <c r="AB2482" s="332"/>
      <c r="AD2482" s="245"/>
      <c r="AE2482" s="245"/>
      <c r="AF2482" s="245"/>
      <c r="AG2482" s="245"/>
    </row>
    <row r="2483" spans="1:33" ht="26.4">
      <c r="A2483" s="391"/>
      <c r="B2483" s="245"/>
      <c r="C2483" s="245"/>
      <c r="D2483" s="245"/>
      <c r="E2483" s="245"/>
      <c r="F2483" s="319"/>
      <c r="G2483" s="245"/>
      <c r="H2483" s="245"/>
      <c r="I2483" s="245"/>
      <c r="S2483" s="369"/>
      <c r="T2483" s="328"/>
      <c r="U2483" s="394" ph="1"/>
      <c r="W2483" s="216"/>
      <c r="X2483" s="245"/>
      <c r="Y2483" s="187"/>
      <c r="Z2483" s="245"/>
      <c r="AA2483" s="245"/>
      <c r="AB2483" s="332"/>
      <c r="AD2483" s="245"/>
      <c r="AE2483" s="245"/>
      <c r="AF2483" s="245"/>
      <c r="AG2483" s="245"/>
    </row>
    <row r="2484" spans="1:33" ht="26.4">
      <c r="A2484" s="391"/>
      <c r="B2484" s="245"/>
      <c r="C2484" s="245"/>
      <c r="D2484" s="245"/>
      <c r="E2484" s="245"/>
      <c r="F2484" s="319"/>
      <c r="G2484" s="245"/>
      <c r="H2484" s="245"/>
      <c r="I2484" s="245"/>
      <c r="S2484" s="369"/>
      <c r="T2484" s="328"/>
      <c r="U2484" s="394" ph="1"/>
      <c r="W2484" s="216"/>
      <c r="X2484" s="245"/>
      <c r="Y2484" s="187"/>
      <c r="Z2484" s="245"/>
      <c r="AA2484" s="245"/>
      <c r="AB2484" s="332"/>
      <c r="AD2484" s="245"/>
      <c r="AE2484" s="245"/>
      <c r="AF2484" s="245"/>
      <c r="AG2484" s="245"/>
    </row>
    <row r="2485" spans="1:33" ht="26.4">
      <c r="A2485" s="391"/>
      <c r="B2485" s="245"/>
      <c r="C2485" s="245"/>
      <c r="D2485" s="245"/>
      <c r="E2485" s="245"/>
      <c r="F2485" s="319"/>
      <c r="G2485" s="245"/>
      <c r="H2485" s="245"/>
      <c r="I2485" s="245"/>
      <c r="S2485" s="369"/>
      <c r="T2485" s="328"/>
      <c r="U2485" s="394" ph="1"/>
      <c r="W2485" s="216"/>
      <c r="X2485" s="245"/>
      <c r="Y2485" s="187"/>
      <c r="Z2485" s="245"/>
      <c r="AA2485" s="245"/>
      <c r="AB2485" s="332"/>
      <c r="AD2485" s="245"/>
      <c r="AE2485" s="245"/>
      <c r="AF2485" s="245"/>
      <c r="AG2485" s="245"/>
    </row>
    <row r="2486" spans="1:33" ht="26.4">
      <c r="A2486" s="391"/>
      <c r="B2486" s="245"/>
      <c r="C2486" s="245"/>
      <c r="D2486" s="245"/>
      <c r="E2486" s="245"/>
      <c r="F2486" s="319"/>
      <c r="G2486" s="245"/>
      <c r="H2486" s="245"/>
      <c r="I2486" s="245"/>
      <c r="S2486" s="369"/>
      <c r="T2486" s="328"/>
      <c r="U2486" s="394" ph="1"/>
      <c r="W2486" s="216"/>
      <c r="X2486" s="245"/>
      <c r="Y2486" s="187"/>
      <c r="Z2486" s="245"/>
      <c r="AA2486" s="245"/>
      <c r="AB2486" s="332"/>
      <c r="AD2486" s="245"/>
      <c r="AE2486" s="245"/>
      <c r="AF2486" s="245"/>
      <c r="AG2486" s="245"/>
    </row>
    <row r="2487" spans="1:33" ht="26.4">
      <c r="A2487" s="391"/>
      <c r="B2487" s="245"/>
      <c r="C2487" s="245"/>
      <c r="D2487" s="245"/>
      <c r="E2487" s="245"/>
      <c r="F2487" s="319"/>
      <c r="G2487" s="245"/>
      <c r="H2487" s="245"/>
      <c r="I2487" s="245"/>
      <c r="S2487" s="369"/>
      <c r="T2487" s="328"/>
      <c r="U2487" s="394" ph="1"/>
      <c r="W2487" s="216"/>
      <c r="X2487" s="245"/>
      <c r="Y2487" s="187"/>
      <c r="Z2487" s="245"/>
      <c r="AA2487" s="245"/>
      <c r="AB2487" s="332"/>
      <c r="AD2487" s="245"/>
      <c r="AE2487" s="245"/>
      <c r="AF2487" s="245"/>
      <c r="AG2487" s="245"/>
    </row>
    <row r="2488" spans="1:33" ht="26.4">
      <c r="A2488" s="391"/>
      <c r="B2488" s="245"/>
      <c r="C2488" s="245"/>
      <c r="D2488" s="245"/>
      <c r="E2488" s="245"/>
      <c r="F2488" s="319"/>
      <c r="G2488" s="245"/>
      <c r="H2488" s="245"/>
      <c r="I2488" s="245"/>
      <c r="S2488" s="369"/>
      <c r="T2488" s="328"/>
      <c r="U2488" s="394" ph="1"/>
      <c r="W2488" s="216"/>
      <c r="X2488" s="245"/>
      <c r="Y2488" s="187"/>
      <c r="Z2488" s="245"/>
      <c r="AA2488" s="245"/>
      <c r="AB2488" s="332"/>
      <c r="AD2488" s="245"/>
      <c r="AE2488" s="245"/>
      <c r="AF2488" s="245"/>
      <c r="AG2488" s="245"/>
    </row>
    <row r="2489" spans="1:33" ht="26.4">
      <c r="A2489" s="391"/>
      <c r="B2489" s="245"/>
      <c r="C2489" s="245"/>
      <c r="D2489" s="245"/>
      <c r="E2489" s="245"/>
      <c r="F2489" s="319"/>
      <c r="G2489" s="245"/>
      <c r="H2489" s="245"/>
      <c r="I2489" s="245"/>
      <c r="S2489" s="369"/>
      <c r="T2489" s="328"/>
      <c r="U2489" s="394" ph="1"/>
      <c r="W2489" s="216"/>
      <c r="X2489" s="245"/>
      <c r="Y2489" s="187"/>
      <c r="Z2489" s="245"/>
      <c r="AA2489" s="245"/>
      <c r="AB2489" s="332"/>
      <c r="AD2489" s="245"/>
      <c r="AE2489" s="245"/>
      <c r="AF2489" s="245"/>
      <c r="AG2489" s="245"/>
    </row>
    <row r="2490" spans="1:33" ht="26.4">
      <c r="A2490" s="391"/>
      <c r="B2490" s="245"/>
      <c r="C2490" s="245"/>
      <c r="D2490" s="245"/>
      <c r="E2490" s="245"/>
      <c r="F2490" s="319"/>
      <c r="G2490" s="245"/>
      <c r="H2490" s="245"/>
      <c r="I2490" s="245"/>
      <c r="S2490" s="369"/>
      <c r="T2490" s="328"/>
      <c r="U2490" s="394" ph="1"/>
      <c r="W2490" s="216"/>
      <c r="X2490" s="245"/>
      <c r="Y2490" s="187"/>
      <c r="Z2490" s="245"/>
      <c r="AA2490" s="245"/>
      <c r="AB2490" s="332"/>
      <c r="AD2490" s="245"/>
      <c r="AE2490" s="245"/>
      <c r="AF2490" s="245"/>
      <c r="AG2490" s="245"/>
    </row>
    <row r="2491" spans="1:33" ht="26.4">
      <c r="A2491" s="391"/>
      <c r="B2491" s="245"/>
      <c r="C2491" s="245"/>
      <c r="D2491" s="245"/>
      <c r="E2491" s="245"/>
      <c r="F2491" s="319"/>
      <c r="G2491" s="245"/>
      <c r="H2491" s="245"/>
      <c r="I2491" s="245"/>
      <c r="S2491" s="369"/>
      <c r="T2491" s="328"/>
      <c r="U2491" s="394" ph="1"/>
      <c r="W2491" s="216"/>
      <c r="X2491" s="245"/>
      <c r="Y2491" s="187"/>
      <c r="Z2491" s="245"/>
      <c r="AA2491" s="245"/>
      <c r="AB2491" s="332"/>
      <c r="AD2491" s="245"/>
      <c r="AE2491" s="245"/>
      <c r="AF2491" s="245"/>
      <c r="AG2491" s="245"/>
    </row>
    <row r="2492" spans="1:33" ht="26.4">
      <c r="A2492" s="391"/>
      <c r="B2492" s="245"/>
      <c r="C2492" s="245"/>
      <c r="D2492" s="245"/>
      <c r="E2492" s="245"/>
      <c r="F2492" s="319"/>
      <c r="G2492" s="245"/>
      <c r="H2492" s="245"/>
      <c r="I2492" s="245"/>
      <c r="S2492" s="369"/>
      <c r="T2492" s="328"/>
      <c r="U2492" s="394" ph="1"/>
      <c r="W2492" s="216"/>
      <c r="X2492" s="245"/>
      <c r="Y2492" s="187"/>
      <c r="Z2492" s="245"/>
      <c r="AA2492" s="245"/>
      <c r="AB2492" s="332"/>
      <c r="AD2492" s="245"/>
      <c r="AE2492" s="245"/>
      <c r="AF2492" s="245"/>
      <c r="AG2492" s="245"/>
    </row>
    <row r="2493" spans="1:33" ht="26.4">
      <c r="A2493" s="391"/>
      <c r="B2493" s="245"/>
      <c r="C2493" s="245"/>
      <c r="D2493" s="245"/>
      <c r="E2493" s="245"/>
      <c r="F2493" s="319"/>
      <c r="G2493" s="245"/>
      <c r="H2493" s="245"/>
      <c r="I2493" s="245"/>
      <c r="S2493" s="369"/>
      <c r="T2493" s="328"/>
      <c r="U2493" s="394" ph="1"/>
      <c r="W2493" s="216"/>
      <c r="X2493" s="245"/>
      <c r="Y2493" s="187"/>
      <c r="Z2493" s="245"/>
      <c r="AA2493" s="245"/>
      <c r="AB2493" s="332"/>
      <c r="AD2493" s="245"/>
      <c r="AE2493" s="245"/>
      <c r="AF2493" s="245"/>
      <c r="AG2493" s="245"/>
    </row>
    <row r="2494" spans="1:33" ht="26.4">
      <c r="A2494" s="391"/>
      <c r="B2494" s="245"/>
      <c r="C2494" s="245"/>
      <c r="D2494" s="245"/>
      <c r="E2494" s="245"/>
      <c r="F2494" s="319"/>
      <c r="G2494" s="245"/>
      <c r="H2494" s="245"/>
      <c r="I2494" s="245"/>
      <c r="S2494" s="369"/>
      <c r="T2494" s="328"/>
      <c r="U2494" s="394" ph="1"/>
      <c r="W2494" s="216"/>
      <c r="X2494" s="245"/>
      <c r="Y2494" s="187"/>
      <c r="Z2494" s="245"/>
      <c r="AA2494" s="245"/>
      <c r="AB2494" s="332"/>
      <c r="AD2494" s="245"/>
      <c r="AE2494" s="245"/>
      <c r="AF2494" s="245"/>
      <c r="AG2494" s="245"/>
    </row>
    <row r="2495" spans="1:33" ht="26.4">
      <c r="A2495" s="391"/>
      <c r="B2495" s="245"/>
      <c r="C2495" s="245"/>
      <c r="D2495" s="245"/>
      <c r="E2495" s="245"/>
      <c r="F2495" s="319"/>
      <c r="G2495" s="245"/>
      <c r="H2495" s="245"/>
      <c r="I2495" s="245"/>
      <c r="S2495" s="369"/>
      <c r="T2495" s="328"/>
      <c r="U2495" s="394" ph="1"/>
      <c r="W2495" s="216"/>
      <c r="X2495" s="245"/>
      <c r="Y2495" s="187"/>
      <c r="Z2495" s="245"/>
      <c r="AA2495" s="245"/>
      <c r="AB2495" s="332"/>
      <c r="AD2495" s="245"/>
      <c r="AE2495" s="245"/>
      <c r="AF2495" s="245"/>
      <c r="AG2495" s="245"/>
    </row>
    <row r="2496" spans="1:33" ht="26.4">
      <c r="A2496" s="391"/>
      <c r="B2496" s="245"/>
      <c r="C2496" s="245"/>
      <c r="D2496" s="245"/>
      <c r="E2496" s="245"/>
      <c r="F2496" s="319"/>
      <c r="G2496" s="245"/>
      <c r="H2496" s="245"/>
      <c r="I2496" s="245"/>
      <c r="S2496" s="369"/>
      <c r="T2496" s="328"/>
      <c r="U2496" s="394" ph="1"/>
      <c r="W2496" s="216"/>
      <c r="X2496" s="245"/>
      <c r="Y2496" s="187"/>
      <c r="Z2496" s="245"/>
      <c r="AA2496" s="245"/>
      <c r="AB2496" s="332"/>
      <c r="AD2496" s="245"/>
      <c r="AE2496" s="245"/>
      <c r="AF2496" s="245"/>
      <c r="AG2496" s="245"/>
    </row>
    <row r="2497" spans="1:33" ht="26.4">
      <c r="A2497" s="391"/>
      <c r="B2497" s="245"/>
      <c r="C2497" s="245"/>
      <c r="D2497" s="245"/>
      <c r="E2497" s="245"/>
      <c r="F2497" s="319"/>
      <c r="G2497" s="245"/>
      <c r="H2497" s="245"/>
      <c r="I2497" s="245"/>
      <c r="S2497" s="369"/>
      <c r="T2497" s="328"/>
      <c r="U2497" s="394" ph="1"/>
      <c r="W2497" s="216"/>
      <c r="X2497" s="245"/>
      <c r="Y2497" s="187"/>
      <c r="Z2497" s="245"/>
      <c r="AA2497" s="245"/>
      <c r="AB2497" s="332"/>
      <c r="AD2497" s="245"/>
      <c r="AE2497" s="245"/>
      <c r="AF2497" s="245"/>
      <c r="AG2497" s="245"/>
    </row>
    <row r="2498" spans="1:33" ht="26.4">
      <c r="A2498" s="391"/>
      <c r="B2498" s="245"/>
      <c r="C2498" s="245"/>
      <c r="D2498" s="245"/>
      <c r="E2498" s="245"/>
      <c r="F2498" s="319"/>
      <c r="G2498" s="245"/>
      <c r="H2498" s="245"/>
      <c r="I2498" s="245"/>
      <c r="S2498" s="369"/>
      <c r="T2498" s="328"/>
      <c r="U2498" s="394" ph="1"/>
      <c r="W2498" s="216"/>
      <c r="X2498" s="245"/>
      <c r="Y2498" s="187"/>
      <c r="Z2498" s="245"/>
      <c r="AA2498" s="245"/>
      <c r="AB2498" s="332"/>
      <c r="AD2498" s="245"/>
      <c r="AE2498" s="245"/>
      <c r="AF2498" s="245"/>
      <c r="AG2498" s="245"/>
    </row>
    <row r="2499" spans="1:33" ht="26.4">
      <c r="A2499" s="391"/>
      <c r="B2499" s="245"/>
      <c r="C2499" s="245"/>
      <c r="D2499" s="245"/>
      <c r="E2499" s="245"/>
      <c r="F2499" s="319"/>
      <c r="G2499" s="245"/>
      <c r="H2499" s="245"/>
      <c r="I2499" s="245"/>
      <c r="S2499" s="369"/>
      <c r="T2499" s="328"/>
      <c r="U2499" s="394" ph="1"/>
      <c r="W2499" s="216"/>
      <c r="X2499" s="245"/>
      <c r="Y2499" s="187"/>
      <c r="Z2499" s="245"/>
      <c r="AA2499" s="245"/>
      <c r="AB2499" s="332"/>
      <c r="AD2499" s="245"/>
      <c r="AE2499" s="245"/>
      <c r="AF2499" s="245"/>
      <c r="AG2499" s="245"/>
    </row>
    <row r="2500" spans="1:33" ht="26.4">
      <c r="A2500" s="391"/>
      <c r="B2500" s="245"/>
      <c r="C2500" s="245"/>
      <c r="D2500" s="245"/>
      <c r="E2500" s="245"/>
      <c r="F2500" s="319"/>
      <c r="G2500" s="245"/>
      <c r="H2500" s="245"/>
      <c r="I2500" s="245"/>
      <c r="S2500" s="369"/>
      <c r="T2500" s="328"/>
      <c r="U2500" s="394" ph="1"/>
      <c r="W2500" s="216"/>
      <c r="X2500" s="245"/>
      <c r="Y2500" s="187"/>
      <c r="Z2500" s="245"/>
      <c r="AA2500" s="245"/>
      <c r="AB2500" s="332"/>
      <c r="AD2500" s="245"/>
      <c r="AE2500" s="245"/>
      <c r="AF2500" s="245"/>
      <c r="AG2500" s="245"/>
    </row>
    <row r="2501" spans="1:33" ht="26.4">
      <c r="A2501" s="391"/>
      <c r="B2501" s="245"/>
      <c r="C2501" s="245"/>
      <c r="D2501" s="245"/>
      <c r="E2501" s="245"/>
      <c r="F2501" s="319"/>
      <c r="G2501" s="245"/>
      <c r="H2501" s="245"/>
      <c r="I2501" s="245"/>
      <c r="S2501" s="369"/>
      <c r="T2501" s="328"/>
      <c r="U2501" s="394" ph="1"/>
      <c r="W2501" s="216"/>
      <c r="X2501" s="245"/>
      <c r="Y2501" s="187"/>
      <c r="Z2501" s="245"/>
      <c r="AA2501" s="245"/>
      <c r="AB2501" s="332"/>
      <c r="AD2501" s="245"/>
      <c r="AE2501" s="245"/>
      <c r="AF2501" s="245"/>
      <c r="AG2501" s="245"/>
    </row>
    <row r="2502" spans="1:33" ht="26.4">
      <c r="A2502" s="391"/>
      <c r="B2502" s="245"/>
      <c r="C2502" s="245"/>
      <c r="D2502" s="245"/>
      <c r="E2502" s="245"/>
      <c r="F2502" s="319"/>
      <c r="G2502" s="245"/>
      <c r="H2502" s="245"/>
      <c r="I2502" s="245"/>
      <c r="S2502" s="369"/>
      <c r="T2502" s="328"/>
      <c r="U2502" s="394" ph="1"/>
      <c r="W2502" s="216"/>
      <c r="X2502" s="245"/>
      <c r="Y2502" s="187"/>
      <c r="Z2502" s="245"/>
      <c r="AA2502" s="245"/>
      <c r="AB2502" s="332"/>
      <c r="AD2502" s="245"/>
      <c r="AE2502" s="245"/>
      <c r="AF2502" s="245"/>
      <c r="AG2502" s="245"/>
    </row>
    <row r="2503" spans="1:33" ht="26.4">
      <c r="A2503" s="391"/>
      <c r="B2503" s="245"/>
      <c r="C2503" s="245"/>
      <c r="D2503" s="245"/>
      <c r="E2503" s="245"/>
      <c r="F2503" s="319"/>
      <c r="G2503" s="245"/>
      <c r="H2503" s="245"/>
      <c r="I2503" s="245"/>
      <c r="S2503" s="369"/>
      <c r="T2503" s="328"/>
      <c r="U2503" s="394" ph="1"/>
      <c r="W2503" s="216"/>
      <c r="X2503" s="245"/>
      <c r="Y2503" s="187"/>
      <c r="Z2503" s="245"/>
      <c r="AA2503" s="245"/>
      <c r="AB2503" s="332"/>
      <c r="AD2503" s="245"/>
      <c r="AE2503" s="245"/>
      <c r="AF2503" s="245"/>
      <c r="AG2503" s="245"/>
    </row>
    <row r="2504" spans="1:33" ht="26.4">
      <c r="A2504" s="391"/>
      <c r="B2504" s="245"/>
      <c r="C2504" s="245"/>
      <c r="D2504" s="245"/>
      <c r="E2504" s="245"/>
      <c r="F2504" s="319"/>
      <c r="G2504" s="245"/>
      <c r="H2504" s="245"/>
      <c r="I2504" s="245"/>
      <c r="S2504" s="369"/>
      <c r="T2504" s="328"/>
      <c r="U2504" s="394" ph="1"/>
      <c r="W2504" s="216"/>
      <c r="X2504" s="245"/>
      <c r="Y2504" s="187"/>
      <c r="Z2504" s="245"/>
      <c r="AA2504" s="245"/>
      <c r="AB2504" s="332"/>
      <c r="AD2504" s="245"/>
      <c r="AE2504" s="245"/>
      <c r="AF2504" s="245"/>
      <c r="AG2504" s="245"/>
    </row>
    <row r="2505" spans="1:33" ht="26.4">
      <c r="A2505" s="391"/>
      <c r="B2505" s="245"/>
      <c r="C2505" s="245"/>
      <c r="D2505" s="245"/>
      <c r="E2505" s="245"/>
      <c r="F2505" s="319"/>
      <c r="G2505" s="245"/>
      <c r="H2505" s="245"/>
      <c r="I2505" s="245"/>
      <c r="S2505" s="369"/>
      <c r="T2505" s="328"/>
      <c r="U2505" s="394" ph="1"/>
      <c r="W2505" s="216"/>
      <c r="X2505" s="245"/>
      <c r="Y2505" s="187"/>
      <c r="Z2505" s="245"/>
      <c r="AA2505" s="245"/>
      <c r="AB2505" s="332"/>
      <c r="AD2505" s="245"/>
      <c r="AE2505" s="245"/>
      <c r="AF2505" s="245"/>
      <c r="AG2505" s="245"/>
    </row>
    <row r="2506" spans="1:33" ht="26.4">
      <c r="A2506" s="391"/>
      <c r="B2506" s="245"/>
      <c r="C2506" s="245"/>
      <c r="D2506" s="245"/>
      <c r="E2506" s="245"/>
      <c r="F2506" s="319"/>
      <c r="G2506" s="245"/>
      <c r="H2506" s="245"/>
      <c r="I2506" s="245"/>
      <c r="S2506" s="369"/>
      <c r="T2506" s="328"/>
      <c r="U2506" s="394" ph="1"/>
      <c r="W2506" s="216"/>
      <c r="X2506" s="245"/>
      <c r="Y2506" s="187"/>
      <c r="Z2506" s="245"/>
      <c r="AA2506" s="245"/>
      <c r="AB2506" s="332"/>
      <c r="AD2506" s="245"/>
      <c r="AE2506" s="245"/>
      <c r="AF2506" s="245"/>
      <c r="AG2506" s="245"/>
    </row>
    <row r="2507" spans="1:33" ht="26.4">
      <c r="A2507" s="391"/>
      <c r="B2507" s="245"/>
      <c r="C2507" s="245"/>
      <c r="D2507" s="245"/>
      <c r="E2507" s="245"/>
      <c r="F2507" s="319"/>
      <c r="G2507" s="245"/>
      <c r="H2507" s="245"/>
      <c r="I2507" s="245"/>
      <c r="S2507" s="369"/>
      <c r="T2507" s="328"/>
      <c r="U2507" s="394" ph="1"/>
      <c r="W2507" s="216"/>
      <c r="X2507" s="245"/>
      <c r="Y2507" s="187"/>
      <c r="Z2507" s="245"/>
      <c r="AA2507" s="245"/>
      <c r="AB2507" s="332"/>
      <c r="AD2507" s="245"/>
      <c r="AE2507" s="245"/>
      <c r="AF2507" s="245"/>
      <c r="AG2507" s="245"/>
    </row>
    <row r="2508" spans="1:33" ht="26.4">
      <c r="A2508" s="391"/>
      <c r="B2508" s="245"/>
      <c r="C2508" s="245"/>
      <c r="D2508" s="245"/>
      <c r="E2508" s="245"/>
      <c r="F2508" s="319"/>
      <c r="G2508" s="245"/>
      <c r="H2508" s="245"/>
      <c r="I2508" s="245"/>
      <c r="S2508" s="369"/>
      <c r="T2508" s="328"/>
      <c r="U2508" s="394" ph="1"/>
      <c r="W2508" s="216"/>
      <c r="X2508" s="245"/>
      <c r="Y2508" s="187"/>
      <c r="Z2508" s="245"/>
      <c r="AA2508" s="245"/>
      <c r="AB2508" s="332"/>
      <c r="AD2508" s="245"/>
      <c r="AE2508" s="245"/>
      <c r="AF2508" s="245"/>
      <c r="AG2508" s="245"/>
    </row>
    <row r="2509" spans="1:33" ht="26.4">
      <c r="A2509" s="391"/>
      <c r="B2509" s="245"/>
      <c r="C2509" s="245"/>
      <c r="D2509" s="245"/>
      <c r="E2509" s="245"/>
      <c r="F2509" s="319"/>
      <c r="G2509" s="245"/>
      <c r="H2509" s="245"/>
      <c r="I2509" s="245"/>
      <c r="S2509" s="369"/>
      <c r="T2509" s="328"/>
      <c r="U2509" s="394" ph="1"/>
      <c r="W2509" s="216"/>
      <c r="X2509" s="245"/>
      <c r="Y2509" s="187"/>
      <c r="Z2509" s="245"/>
      <c r="AA2509" s="245"/>
      <c r="AB2509" s="332"/>
      <c r="AD2509" s="245"/>
      <c r="AE2509" s="245"/>
      <c r="AF2509" s="245"/>
      <c r="AG2509" s="245"/>
    </row>
    <row r="2510" spans="1:33" ht="26.4">
      <c r="A2510" s="391"/>
      <c r="B2510" s="245"/>
      <c r="C2510" s="245"/>
      <c r="D2510" s="245"/>
      <c r="E2510" s="245"/>
      <c r="F2510" s="319"/>
      <c r="G2510" s="245"/>
      <c r="H2510" s="245"/>
      <c r="I2510" s="245"/>
      <c r="S2510" s="369"/>
      <c r="T2510" s="328"/>
      <c r="U2510" s="394" ph="1"/>
      <c r="W2510" s="216"/>
      <c r="X2510" s="245"/>
      <c r="Y2510" s="187"/>
      <c r="Z2510" s="245"/>
      <c r="AA2510" s="245"/>
      <c r="AB2510" s="332"/>
      <c r="AD2510" s="245"/>
      <c r="AE2510" s="245"/>
      <c r="AF2510" s="245"/>
      <c r="AG2510" s="245"/>
    </row>
    <row r="2511" spans="1:33" ht="26.4">
      <c r="A2511" s="391"/>
      <c r="B2511" s="245"/>
      <c r="C2511" s="245"/>
      <c r="D2511" s="245"/>
      <c r="E2511" s="245"/>
      <c r="F2511" s="319"/>
      <c r="G2511" s="245"/>
      <c r="H2511" s="245"/>
      <c r="I2511" s="245"/>
      <c r="S2511" s="369"/>
      <c r="T2511" s="328"/>
      <c r="U2511" s="394" ph="1"/>
      <c r="W2511" s="216"/>
      <c r="X2511" s="245"/>
      <c r="Y2511" s="187"/>
      <c r="Z2511" s="245"/>
      <c r="AA2511" s="245"/>
      <c r="AB2511" s="332"/>
      <c r="AD2511" s="245"/>
      <c r="AE2511" s="245"/>
      <c r="AF2511" s="245"/>
      <c r="AG2511" s="245"/>
    </row>
    <row r="2512" spans="1:33" ht="26.4">
      <c r="A2512" s="391"/>
      <c r="B2512" s="245"/>
      <c r="C2512" s="245"/>
      <c r="D2512" s="245"/>
      <c r="E2512" s="245"/>
      <c r="F2512" s="319"/>
      <c r="G2512" s="245"/>
      <c r="H2512" s="245"/>
      <c r="I2512" s="245"/>
      <c r="S2512" s="369"/>
      <c r="T2512" s="328"/>
      <c r="U2512" s="394" ph="1"/>
      <c r="W2512" s="216"/>
      <c r="X2512" s="245"/>
      <c r="Y2512" s="187"/>
      <c r="Z2512" s="245"/>
      <c r="AA2512" s="245"/>
      <c r="AB2512" s="332"/>
      <c r="AD2512" s="245"/>
      <c r="AE2512" s="245"/>
      <c r="AF2512" s="245"/>
      <c r="AG2512" s="245"/>
    </row>
    <row r="2513" spans="1:33" ht="26.4">
      <c r="A2513" s="391"/>
      <c r="B2513" s="245"/>
      <c r="C2513" s="245"/>
      <c r="D2513" s="245"/>
      <c r="E2513" s="245"/>
      <c r="F2513" s="319"/>
      <c r="G2513" s="245"/>
      <c r="H2513" s="245"/>
      <c r="I2513" s="245"/>
      <c r="S2513" s="369"/>
      <c r="T2513" s="328"/>
      <c r="U2513" s="394" ph="1"/>
      <c r="W2513" s="216"/>
      <c r="X2513" s="245"/>
      <c r="Y2513" s="187"/>
      <c r="Z2513" s="245"/>
      <c r="AA2513" s="245"/>
      <c r="AB2513" s="332"/>
      <c r="AD2513" s="245"/>
      <c r="AE2513" s="245"/>
      <c r="AF2513" s="245"/>
      <c r="AG2513" s="245"/>
    </row>
    <row r="2514" spans="1:33" ht="26.4">
      <c r="A2514" s="391"/>
      <c r="B2514" s="245"/>
      <c r="C2514" s="245"/>
      <c r="D2514" s="245"/>
      <c r="E2514" s="245"/>
      <c r="F2514" s="319"/>
      <c r="G2514" s="245"/>
      <c r="H2514" s="245"/>
      <c r="I2514" s="245"/>
      <c r="S2514" s="369"/>
      <c r="T2514" s="328"/>
      <c r="U2514" s="394" ph="1"/>
      <c r="W2514" s="216"/>
      <c r="X2514" s="245"/>
      <c r="Y2514" s="187"/>
      <c r="Z2514" s="245"/>
      <c r="AA2514" s="245"/>
      <c r="AB2514" s="332"/>
      <c r="AD2514" s="245"/>
      <c r="AE2514" s="245"/>
      <c r="AF2514" s="245"/>
      <c r="AG2514" s="245"/>
    </row>
    <row r="2515" spans="1:33" ht="26.4">
      <c r="A2515" s="391"/>
      <c r="B2515" s="245"/>
      <c r="C2515" s="245"/>
      <c r="D2515" s="245"/>
      <c r="E2515" s="245"/>
      <c r="F2515" s="319"/>
      <c r="G2515" s="245"/>
      <c r="H2515" s="245"/>
      <c r="I2515" s="245"/>
      <c r="S2515" s="369"/>
      <c r="T2515" s="328"/>
      <c r="U2515" s="394" ph="1"/>
      <c r="W2515" s="216"/>
      <c r="X2515" s="245"/>
      <c r="Y2515" s="187"/>
      <c r="Z2515" s="245"/>
      <c r="AA2515" s="245"/>
      <c r="AB2515" s="332"/>
      <c r="AD2515" s="245"/>
      <c r="AE2515" s="245"/>
      <c r="AF2515" s="245"/>
      <c r="AG2515" s="245"/>
    </row>
    <row r="2516" spans="1:33" ht="26.4">
      <c r="A2516" s="391"/>
      <c r="B2516" s="245"/>
      <c r="C2516" s="245"/>
      <c r="D2516" s="245"/>
      <c r="E2516" s="245"/>
      <c r="F2516" s="319"/>
      <c r="G2516" s="245"/>
      <c r="H2516" s="245"/>
      <c r="I2516" s="245"/>
      <c r="S2516" s="369"/>
      <c r="T2516" s="328"/>
      <c r="U2516" s="394" ph="1"/>
      <c r="W2516" s="216"/>
      <c r="X2516" s="245"/>
      <c r="Y2516" s="187"/>
      <c r="Z2516" s="245"/>
      <c r="AA2516" s="245"/>
      <c r="AB2516" s="332"/>
      <c r="AD2516" s="245"/>
      <c r="AE2516" s="245"/>
      <c r="AF2516" s="245"/>
      <c r="AG2516" s="245"/>
    </row>
    <row r="2517" spans="1:33" ht="26.4">
      <c r="A2517" s="391"/>
      <c r="B2517" s="245"/>
      <c r="C2517" s="245"/>
      <c r="D2517" s="245"/>
      <c r="E2517" s="245"/>
      <c r="F2517" s="319"/>
      <c r="G2517" s="245"/>
      <c r="H2517" s="245"/>
      <c r="I2517" s="245"/>
      <c r="S2517" s="369"/>
      <c r="T2517" s="328"/>
      <c r="U2517" s="394" ph="1"/>
      <c r="W2517" s="216"/>
      <c r="X2517" s="245"/>
      <c r="Y2517" s="187"/>
      <c r="Z2517" s="245"/>
      <c r="AA2517" s="245"/>
      <c r="AB2517" s="332"/>
      <c r="AD2517" s="245"/>
      <c r="AE2517" s="245"/>
      <c r="AF2517" s="245"/>
      <c r="AG2517" s="245"/>
    </row>
    <row r="2518" spans="1:33" ht="26.4">
      <c r="A2518" s="391"/>
      <c r="B2518" s="245"/>
      <c r="C2518" s="245"/>
      <c r="D2518" s="245"/>
      <c r="E2518" s="245"/>
      <c r="F2518" s="319"/>
      <c r="G2518" s="245"/>
      <c r="H2518" s="245"/>
      <c r="I2518" s="245"/>
      <c r="S2518" s="369"/>
      <c r="T2518" s="328"/>
      <c r="U2518" s="394" ph="1"/>
      <c r="W2518" s="216"/>
      <c r="X2518" s="245"/>
      <c r="Y2518" s="187"/>
      <c r="Z2518" s="245"/>
      <c r="AA2518" s="245"/>
      <c r="AB2518" s="332"/>
      <c r="AD2518" s="245"/>
      <c r="AE2518" s="245"/>
      <c r="AF2518" s="245"/>
      <c r="AG2518" s="245"/>
    </row>
    <row r="2519" spans="1:33" ht="26.4">
      <c r="A2519" s="391"/>
      <c r="B2519" s="245"/>
      <c r="C2519" s="245"/>
      <c r="D2519" s="245"/>
      <c r="E2519" s="245"/>
      <c r="F2519" s="319"/>
      <c r="G2519" s="245"/>
      <c r="H2519" s="245"/>
      <c r="I2519" s="245"/>
      <c r="S2519" s="369"/>
      <c r="T2519" s="328"/>
      <c r="U2519" s="394" ph="1"/>
      <c r="W2519" s="216"/>
      <c r="X2519" s="245"/>
      <c r="Y2519" s="187"/>
      <c r="Z2519" s="245"/>
      <c r="AA2519" s="245"/>
      <c r="AB2519" s="332"/>
      <c r="AD2519" s="245"/>
      <c r="AE2519" s="245"/>
      <c r="AF2519" s="245"/>
      <c r="AG2519" s="245"/>
    </row>
    <row r="2520" spans="1:33" ht="26.4">
      <c r="A2520" s="391"/>
      <c r="B2520" s="245"/>
      <c r="C2520" s="245"/>
      <c r="D2520" s="245"/>
      <c r="E2520" s="245"/>
      <c r="F2520" s="319"/>
      <c r="G2520" s="245"/>
      <c r="H2520" s="245"/>
      <c r="I2520" s="245"/>
      <c r="S2520" s="369"/>
      <c r="T2520" s="328"/>
      <c r="U2520" s="394" ph="1"/>
      <c r="W2520" s="216"/>
      <c r="X2520" s="245"/>
      <c r="Y2520" s="187"/>
      <c r="Z2520" s="245"/>
      <c r="AA2520" s="245"/>
      <c r="AB2520" s="332"/>
      <c r="AD2520" s="245"/>
      <c r="AE2520" s="245"/>
      <c r="AF2520" s="245"/>
      <c r="AG2520" s="245"/>
    </row>
    <row r="2521" spans="1:33" ht="26.4">
      <c r="A2521" s="391"/>
      <c r="B2521" s="245"/>
      <c r="C2521" s="245"/>
      <c r="D2521" s="245"/>
      <c r="E2521" s="245"/>
      <c r="F2521" s="319"/>
      <c r="G2521" s="245"/>
      <c r="H2521" s="245"/>
      <c r="I2521" s="245"/>
      <c r="S2521" s="369"/>
      <c r="T2521" s="328"/>
      <c r="U2521" s="394" ph="1"/>
      <c r="W2521" s="216"/>
      <c r="X2521" s="245"/>
      <c r="Y2521" s="187"/>
      <c r="Z2521" s="245"/>
      <c r="AA2521" s="245"/>
      <c r="AB2521" s="332"/>
      <c r="AD2521" s="245"/>
      <c r="AE2521" s="245"/>
      <c r="AF2521" s="245"/>
      <c r="AG2521" s="245"/>
    </row>
    <row r="2522" spans="1:33" ht="26.4">
      <c r="A2522" s="391"/>
      <c r="B2522" s="245"/>
      <c r="C2522" s="245"/>
      <c r="D2522" s="245"/>
      <c r="E2522" s="245"/>
      <c r="F2522" s="319"/>
      <c r="G2522" s="245"/>
      <c r="H2522" s="245"/>
      <c r="I2522" s="245"/>
      <c r="S2522" s="369"/>
      <c r="T2522" s="328"/>
      <c r="U2522" s="394" ph="1"/>
      <c r="W2522" s="216"/>
      <c r="X2522" s="245"/>
      <c r="Y2522" s="187"/>
      <c r="Z2522" s="245"/>
      <c r="AA2522" s="245"/>
      <c r="AB2522" s="332"/>
      <c r="AD2522" s="245"/>
      <c r="AE2522" s="245"/>
      <c r="AF2522" s="245"/>
      <c r="AG2522" s="245"/>
    </row>
    <row r="2523" spans="1:33" ht="26.4">
      <c r="A2523" s="391"/>
      <c r="B2523" s="245"/>
      <c r="C2523" s="245"/>
      <c r="D2523" s="245"/>
      <c r="E2523" s="245"/>
      <c r="F2523" s="319"/>
      <c r="G2523" s="245"/>
      <c r="H2523" s="245"/>
      <c r="I2523" s="245"/>
      <c r="S2523" s="369"/>
      <c r="T2523" s="328"/>
      <c r="U2523" s="394" ph="1"/>
      <c r="W2523" s="216"/>
      <c r="X2523" s="245"/>
      <c r="Y2523" s="187"/>
      <c r="Z2523" s="245"/>
      <c r="AA2523" s="245"/>
      <c r="AB2523" s="332"/>
      <c r="AD2523" s="245"/>
      <c r="AE2523" s="245"/>
      <c r="AF2523" s="245"/>
      <c r="AG2523" s="245"/>
    </row>
    <row r="2524" spans="1:33" ht="26.4">
      <c r="A2524" s="391"/>
      <c r="B2524" s="245"/>
      <c r="C2524" s="245"/>
      <c r="D2524" s="245"/>
      <c r="E2524" s="245"/>
      <c r="F2524" s="319"/>
      <c r="G2524" s="245"/>
      <c r="H2524" s="245"/>
      <c r="I2524" s="245"/>
      <c r="S2524" s="369"/>
      <c r="T2524" s="328"/>
      <c r="U2524" s="394" ph="1"/>
      <c r="W2524" s="216"/>
      <c r="X2524" s="245"/>
      <c r="Y2524" s="187"/>
      <c r="Z2524" s="245"/>
      <c r="AA2524" s="245"/>
      <c r="AB2524" s="332"/>
      <c r="AD2524" s="245"/>
      <c r="AE2524" s="245"/>
      <c r="AF2524" s="245"/>
      <c r="AG2524" s="245"/>
    </row>
    <row r="2525" spans="1:33" ht="26.4">
      <c r="A2525" s="391"/>
      <c r="B2525" s="245"/>
      <c r="C2525" s="245"/>
      <c r="D2525" s="245"/>
      <c r="E2525" s="245"/>
      <c r="F2525" s="319"/>
      <c r="G2525" s="245"/>
      <c r="H2525" s="245"/>
      <c r="I2525" s="245"/>
      <c r="S2525" s="369"/>
      <c r="T2525" s="328"/>
      <c r="U2525" s="394" ph="1"/>
      <c r="W2525" s="216"/>
      <c r="X2525" s="245"/>
      <c r="Y2525" s="187"/>
      <c r="Z2525" s="245"/>
      <c r="AA2525" s="245"/>
      <c r="AB2525" s="332"/>
      <c r="AD2525" s="245"/>
      <c r="AE2525" s="245"/>
      <c r="AF2525" s="245"/>
      <c r="AG2525" s="245"/>
    </row>
    <row r="2526" spans="1:33" ht="26.4">
      <c r="A2526" s="391"/>
      <c r="B2526" s="245"/>
      <c r="C2526" s="245"/>
      <c r="D2526" s="245"/>
      <c r="E2526" s="245"/>
      <c r="F2526" s="319"/>
      <c r="G2526" s="245"/>
      <c r="H2526" s="245"/>
      <c r="I2526" s="245"/>
      <c r="S2526" s="369"/>
      <c r="T2526" s="328"/>
      <c r="U2526" s="394" ph="1"/>
      <c r="W2526" s="216"/>
      <c r="X2526" s="245"/>
      <c r="Y2526" s="187"/>
      <c r="Z2526" s="245"/>
      <c r="AA2526" s="245"/>
      <c r="AB2526" s="332"/>
      <c r="AD2526" s="245"/>
      <c r="AE2526" s="245"/>
      <c r="AF2526" s="245"/>
      <c r="AG2526" s="245"/>
    </row>
    <row r="2527" spans="1:33" ht="26.4">
      <c r="A2527" s="391"/>
      <c r="B2527" s="245"/>
      <c r="C2527" s="245"/>
      <c r="D2527" s="245"/>
      <c r="E2527" s="245"/>
      <c r="F2527" s="319"/>
      <c r="G2527" s="245"/>
      <c r="H2527" s="245"/>
      <c r="I2527" s="245"/>
      <c r="S2527" s="369"/>
      <c r="T2527" s="328"/>
      <c r="U2527" s="394" ph="1"/>
      <c r="W2527" s="216"/>
      <c r="X2527" s="245"/>
      <c r="Y2527" s="187"/>
      <c r="Z2527" s="245"/>
      <c r="AA2527" s="245"/>
      <c r="AB2527" s="332"/>
      <c r="AD2527" s="245"/>
      <c r="AE2527" s="245"/>
      <c r="AF2527" s="245"/>
      <c r="AG2527" s="245"/>
    </row>
    <row r="2528" spans="1:33" ht="26.4">
      <c r="S2528" s="369"/>
      <c r="U2528" s="394" ph="1"/>
    </row>
    <row r="2529" spans="19:21" ht="26.4">
      <c r="S2529" s="369"/>
      <c r="U2529" s="394" ph="1"/>
    </row>
    <row r="2530" spans="19:21" ht="26.4">
      <c r="S2530" s="369"/>
      <c r="U2530" s="394" ph="1"/>
    </row>
    <row r="2531" spans="19:21" ht="26.4">
      <c r="S2531" s="369"/>
      <c r="U2531" s="394" ph="1"/>
    </row>
    <row r="2532" spans="19:21" ht="26.4">
      <c r="S2532" s="369"/>
      <c r="U2532" s="394" ph="1"/>
    </row>
    <row r="2533" spans="19:21" ht="26.4">
      <c r="S2533" s="369"/>
      <c r="U2533" s="394" ph="1"/>
    </row>
    <row r="2534" spans="19:21" ht="26.4">
      <c r="S2534" s="369"/>
      <c r="U2534" s="394" ph="1"/>
    </row>
    <row r="2535" spans="19:21" ht="26.4">
      <c r="S2535" s="369"/>
      <c r="U2535" s="394" ph="1"/>
    </row>
    <row r="2536" spans="19:21" ht="26.4">
      <c r="S2536" s="369"/>
      <c r="U2536" s="394" ph="1"/>
    </row>
    <row r="2537" spans="19:21" ht="26.4">
      <c r="S2537" s="369"/>
      <c r="U2537" s="394" ph="1"/>
    </row>
    <row r="2538" spans="19:21" ht="26.4">
      <c r="S2538" s="369"/>
      <c r="U2538" s="394" ph="1"/>
    </row>
    <row r="2539" spans="19:21" ht="26.4">
      <c r="S2539" s="369"/>
      <c r="U2539" s="394" ph="1"/>
    </row>
    <row r="2540" spans="19:21" ht="26.4">
      <c r="U2540" s="394" ph="1"/>
    </row>
    <row r="2541" spans="19:21" ht="26.4">
      <c r="U2541" s="394" ph="1"/>
    </row>
    <row r="2542" spans="19:21" ht="26.4">
      <c r="U2542" s="394" ph="1"/>
    </row>
    <row r="2543" spans="19:21" ht="26.4">
      <c r="U2543" s="394" ph="1"/>
    </row>
    <row r="2544" spans="19:21" ht="26.4">
      <c r="U2544" s="394" ph="1"/>
    </row>
    <row r="2545" spans="21:21" ht="26.4">
      <c r="U2545" s="394" ph="1"/>
    </row>
    <row r="2546" spans="21:21" ht="26.4">
      <c r="U2546" s="394" ph="1"/>
    </row>
    <row r="2547" spans="21:21" ht="26.4">
      <c r="U2547" s="394" ph="1"/>
    </row>
    <row r="2548" spans="21:21" ht="26.4">
      <c r="U2548" s="394" ph="1"/>
    </row>
    <row r="2549" spans="21:21" ht="26.4">
      <c r="U2549" s="394" ph="1"/>
    </row>
    <row r="2550" spans="21:21" ht="26.4">
      <c r="U2550" s="394" ph="1"/>
    </row>
    <row r="2551" spans="21:21" ht="26.4">
      <c r="U2551" s="394" ph="1"/>
    </row>
    <row r="2552" spans="21:21" ht="26.4">
      <c r="U2552" s="394" ph="1"/>
    </row>
    <row r="2553" spans="21:21" ht="26.4">
      <c r="U2553" s="394" ph="1"/>
    </row>
    <row r="2554" spans="21:21" ht="26.4">
      <c r="U2554" s="394" ph="1"/>
    </row>
    <row r="2555" spans="21:21" ht="26.4">
      <c r="U2555" s="394" ph="1"/>
    </row>
    <row r="2556" spans="21:21" ht="26.4">
      <c r="U2556" s="394" ph="1"/>
    </row>
    <row r="2557" spans="21:21" ht="26.4">
      <c r="U2557" s="394" ph="1"/>
    </row>
    <row r="2558" spans="21:21" ht="26.4">
      <c r="U2558" s="394" ph="1"/>
    </row>
    <row r="2559" spans="21:21" ht="26.4">
      <c r="U2559" s="394" ph="1"/>
    </row>
    <row r="2560" spans="21:21" ht="26.4">
      <c r="U2560" s="394" ph="1"/>
    </row>
    <row r="2561" spans="21:21" ht="26.4">
      <c r="U2561" s="394" ph="1"/>
    </row>
    <row r="2562" spans="21:21" ht="26.4">
      <c r="U2562" s="394" ph="1"/>
    </row>
    <row r="2563" spans="21:21" ht="26.4">
      <c r="U2563" s="394" ph="1"/>
    </row>
    <row r="2564" spans="21:21" ht="26.4">
      <c r="U2564" s="394" ph="1"/>
    </row>
    <row r="2565" spans="21:21" ht="26.4">
      <c r="U2565" s="394" ph="1"/>
    </row>
    <row r="2566" spans="21:21" ht="26.4">
      <c r="U2566" s="394" ph="1"/>
    </row>
    <row r="2567" spans="21:21" ht="26.4">
      <c r="U2567" s="394" ph="1"/>
    </row>
    <row r="2568" spans="21:21" ht="26.4">
      <c r="U2568" s="394" ph="1"/>
    </row>
    <row r="2569" spans="21:21" ht="26.4">
      <c r="U2569" s="394" ph="1"/>
    </row>
    <row r="2570" spans="21:21" ht="26.4">
      <c r="U2570" s="394" ph="1"/>
    </row>
    <row r="2571" spans="21:21" ht="26.4">
      <c r="U2571" s="394" ph="1"/>
    </row>
    <row r="2572" spans="21:21" ht="26.4">
      <c r="U2572" s="394" ph="1"/>
    </row>
    <row r="2573" spans="21:21" ht="26.4">
      <c r="U2573" s="394" ph="1"/>
    </row>
    <row r="2574" spans="21:21" ht="26.4">
      <c r="U2574" s="394" ph="1"/>
    </row>
    <row r="2575" spans="21:21" ht="26.4">
      <c r="U2575" s="394" ph="1"/>
    </row>
    <row r="2576" spans="21:21" ht="26.4">
      <c r="U2576" s="394" ph="1"/>
    </row>
    <row r="2577" spans="21:21" ht="26.4">
      <c r="U2577" s="394" ph="1"/>
    </row>
    <row r="2578" spans="21:21" ht="26.4">
      <c r="U2578" s="394" ph="1"/>
    </row>
    <row r="2579" spans="21:21" ht="26.4">
      <c r="U2579" s="394" ph="1"/>
    </row>
    <row r="2580" spans="21:21" ht="26.4">
      <c r="U2580" s="394" ph="1"/>
    </row>
    <row r="2581" spans="21:21" ht="26.4">
      <c r="U2581" s="394" ph="1"/>
    </row>
    <row r="2582" spans="21:21" ht="26.4">
      <c r="U2582" s="394" ph="1"/>
    </row>
    <row r="2583" spans="21:21" ht="26.4">
      <c r="U2583" s="394" ph="1"/>
    </row>
    <row r="2584" spans="21:21" ht="26.4">
      <c r="U2584" s="394" ph="1"/>
    </row>
    <row r="2585" spans="21:21" ht="26.4">
      <c r="U2585" s="394" ph="1"/>
    </row>
    <row r="2586" spans="21:21" ht="26.4">
      <c r="U2586" s="394" ph="1"/>
    </row>
    <row r="2587" spans="21:21" ht="26.4">
      <c r="U2587" s="394" ph="1"/>
    </row>
    <row r="2588" spans="21:21" ht="26.4">
      <c r="U2588" s="394" ph="1"/>
    </row>
    <row r="2589" spans="21:21" ht="26.4">
      <c r="U2589" s="394" ph="1"/>
    </row>
    <row r="2590" spans="21:21" ht="26.4">
      <c r="U2590" s="394" ph="1"/>
    </row>
    <row r="2591" spans="21:21" ht="26.4">
      <c r="U2591" s="394" ph="1"/>
    </row>
    <row r="2592" spans="21:21" ht="26.4">
      <c r="U2592" s="394" ph="1"/>
    </row>
    <row r="2593" spans="21:21" ht="26.4">
      <c r="U2593" s="394" ph="1"/>
    </row>
    <row r="2594" spans="21:21" ht="26.4">
      <c r="U2594" s="394" ph="1"/>
    </row>
    <row r="2595" spans="21:21" ht="26.4">
      <c r="U2595" s="394" ph="1"/>
    </row>
    <row r="2596" spans="21:21" ht="26.4">
      <c r="U2596" s="394" ph="1"/>
    </row>
    <row r="2597" spans="21:21" ht="26.4">
      <c r="U2597" s="394" ph="1"/>
    </row>
    <row r="2598" spans="21:21" ht="26.4">
      <c r="U2598" s="394" ph="1"/>
    </row>
    <row r="2599" spans="21:21" ht="26.4">
      <c r="U2599" s="394" ph="1"/>
    </row>
    <row r="2600" spans="21:21" ht="26.4">
      <c r="U2600" s="394" ph="1"/>
    </row>
    <row r="2601" spans="21:21" ht="26.4">
      <c r="U2601" s="394" ph="1"/>
    </row>
    <row r="2602" spans="21:21" ht="26.4">
      <c r="U2602" s="394" ph="1"/>
    </row>
    <row r="2603" spans="21:21" ht="26.4">
      <c r="U2603" s="394" ph="1"/>
    </row>
    <row r="2604" spans="21:21" ht="26.4">
      <c r="U2604" s="394" ph="1"/>
    </row>
    <row r="2605" spans="21:21" ht="26.4">
      <c r="U2605" s="394" ph="1"/>
    </row>
    <row r="2606" spans="21:21" ht="26.4">
      <c r="U2606" s="394" ph="1"/>
    </row>
    <row r="2607" spans="21:21" ht="26.4">
      <c r="U2607" s="394" ph="1"/>
    </row>
    <row r="2608" spans="21:21" ht="26.4">
      <c r="U2608" s="394" ph="1"/>
    </row>
    <row r="2609" spans="21:21" ht="26.4">
      <c r="U2609" s="394" ph="1"/>
    </row>
    <row r="2610" spans="21:21" ht="26.4">
      <c r="U2610" s="394" ph="1"/>
    </row>
    <row r="2611" spans="21:21" ht="26.4">
      <c r="U2611" s="394" ph="1"/>
    </row>
    <row r="2612" spans="21:21" ht="26.4">
      <c r="U2612" s="394" ph="1"/>
    </row>
    <row r="2613" spans="21:21" ht="26.4">
      <c r="U2613" s="394" ph="1"/>
    </row>
    <row r="2614" spans="21:21" ht="26.4">
      <c r="U2614" s="394" ph="1"/>
    </row>
    <row r="2615" spans="21:21" ht="26.4">
      <c r="U2615" s="394" ph="1"/>
    </row>
    <row r="2616" spans="21:21" ht="26.4">
      <c r="U2616" s="394" ph="1"/>
    </row>
    <row r="2617" spans="21:21" ht="26.4">
      <c r="U2617" s="394" ph="1"/>
    </row>
    <row r="2618" spans="21:21" ht="26.4">
      <c r="U2618" s="394" ph="1"/>
    </row>
    <row r="2619" spans="21:21" ht="26.4">
      <c r="U2619" s="394" ph="1"/>
    </row>
    <row r="2620" spans="21:21" ht="26.4">
      <c r="U2620" s="394" ph="1"/>
    </row>
    <row r="2621" spans="21:21" ht="26.4">
      <c r="U2621" s="394" ph="1"/>
    </row>
    <row r="2622" spans="21:21" ht="26.4">
      <c r="U2622" s="394" ph="1"/>
    </row>
    <row r="2623" spans="21:21" ht="26.4">
      <c r="U2623" s="394" ph="1"/>
    </row>
    <row r="2624" spans="21:21" ht="26.4">
      <c r="U2624" s="394" ph="1"/>
    </row>
    <row r="2625" spans="21:21" ht="26.4">
      <c r="U2625" s="394" ph="1"/>
    </row>
    <row r="2626" spans="21:21" ht="26.4">
      <c r="U2626" s="394" ph="1"/>
    </row>
    <row r="2627" spans="21:21" ht="26.4">
      <c r="U2627" s="394" ph="1"/>
    </row>
    <row r="2628" spans="21:21" ht="26.4">
      <c r="U2628" s="394" ph="1"/>
    </row>
    <row r="2629" spans="21:21" ht="26.4">
      <c r="U2629" s="394" ph="1"/>
    </row>
    <row r="2630" spans="21:21" ht="26.4">
      <c r="U2630" s="394" ph="1"/>
    </row>
    <row r="2631" spans="21:21" ht="26.4">
      <c r="U2631" s="394" ph="1"/>
    </row>
    <row r="2632" spans="21:21" ht="26.4">
      <c r="U2632" s="394" ph="1"/>
    </row>
    <row r="2633" spans="21:21" ht="26.4">
      <c r="U2633" s="394" ph="1"/>
    </row>
    <row r="2634" spans="21:21" ht="26.4">
      <c r="U2634" s="394" ph="1"/>
    </row>
    <row r="2635" spans="21:21" ht="26.4">
      <c r="U2635" s="394" ph="1"/>
    </row>
    <row r="2636" spans="21:21" ht="26.4">
      <c r="U2636" s="394" ph="1"/>
    </row>
    <row r="2637" spans="21:21" ht="26.4">
      <c r="U2637" s="394" ph="1"/>
    </row>
    <row r="2638" spans="21:21" ht="26.4">
      <c r="U2638" s="394" ph="1"/>
    </row>
    <row r="2639" spans="21:21" ht="26.4">
      <c r="U2639" s="394" ph="1"/>
    </row>
    <row r="2640" spans="21:21" ht="26.4">
      <c r="U2640" s="394" ph="1"/>
    </row>
    <row r="2641" spans="21:21" ht="26.4">
      <c r="U2641" s="394" ph="1"/>
    </row>
    <row r="2642" spans="21:21" ht="26.4">
      <c r="U2642" s="394" ph="1"/>
    </row>
    <row r="2643" spans="21:21" ht="26.4">
      <c r="U2643" s="394" ph="1"/>
    </row>
    <row r="2644" spans="21:21" ht="26.4">
      <c r="U2644" s="394" ph="1"/>
    </row>
    <row r="2645" spans="21:21" ht="26.4">
      <c r="U2645" s="394" ph="1"/>
    </row>
    <row r="2646" spans="21:21" ht="26.4">
      <c r="U2646" s="394" ph="1"/>
    </row>
    <row r="2647" spans="21:21" ht="26.4">
      <c r="U2647" s="394" ph="1"/>
    </row>
    <row r="2648" spans="21:21" ht="26.4">
      <c r="U2648" s="394" ph="1"/>
    </row>
    <row r="2649" spans="21:21" ht="26.4">
      <c r="U2649" s="394" ph="1"/>
    </row>
    <row r="2650" spans="21:21" ht="26.4">
      <c r="U2650" s="394" ph="1"/>
    </row>
    <row r="2651" spans="21:21" ht="26.4">
      <c r="U2651" s="394" ph="1"/>
    </row>
    <row r="2652" spans="21:21" ht="26.4">
      <c r="U2652" s="394" ph="1"/>
    </row>
    <row r="2653" spans="21:21" ht="26.4">
      <c r="U2653" s="394" ph="1"/>
    </row>
    <row r="2654" spans="21:21" ht="26.4">
      <c r="U2654" s="394" ph="1"/>
    </row>
    <row r="2655" spans="21:21" ht="26.4">
      <c r="U2655" s="394" ph="1"/>
    </row>
    <row r="2656" spans="21:21" ht="26.4">
      <c r="U2656" s="394" ph="1"/>
    </row>
    <row r="2657" spans="21:21" ht="26.4">
      <c r="U2657" s="394" ph="1"/>
    </row>
    <row r="2658" spans="21:21" ht="26.4">
      <c r="U2658" s="394" ph="1"/>
    </row>
    <row r="2659" spans="21:21" ht="26.4">
      <c r="U2659" s="394" ph="1"/>
    </row>
    <row r="2660" spans="21:21" ht="26.4">
      <c r="U2660" s="394" ph="1"/>
    </row>
    <row r="2661" spans="21:21" ht="26.4">
      <c r="U2661" s="394" ph="1"/>
    </row>
    <row r="2662" spans="21:21" ht="26.4">
      <c r="U2662" s="394" ph="1"/>
    </row>
    <row r="2663" spans="21:21" ht="26.4">
      <c r="U2663" s="394" ph="1"/>
    </row>
    <row r="2664" spans="21:21" ht="26.4">
      <c r="U2664" s="394" ph="1"/>
    </row>
    <row r="2665" spans="21:21" ht="26.4">
      <c r="U2665" s="394" ph="1"/>
    </row>
    <row r="2666" spans="21:21" ht="26.4">
      <c r="U2666" s="394" ph="1"/>
    </row>
    <row r="2667" spans="21:21" ht="26.4">
      <c r="U2667" s="394" ph="1"/>
    </row>
    <row r="2668" spans="21:21" ht="26.4">
      <c r="U2668" s="394" ph="1"/>
    </row>
    <row r="2669" spans="21:21" ht="26.4">
      <c r="U2669" s="394" ph="1"/>
    </row>
    <row r="2670" spans="21:21" ht="26.4">
      <c r="U2670" s="394" ph="1"/>
    </row>
    <row r="2671" spans="21:21" ht="26.4">
      <c r="U2671" s="394" ph="1"/>
    </row>
    <row r="2672" spans="21:21" ht="26.4">
      <c r="U2672" s="394" ph="1"/>
    </row>
    <row r="2673" spans="21:21" ht="26.4">
      <c r="U2673" s="394" ph="1"/>
    </row>
    <row r="2674" spans="21:21" ht="26.4">
      <c r="U2674" s="394" ph="1"/>
    </row>
    <row r="2675" spans="21:21" ht="26.4">
      <c r="U2675" s="394" ph="1"/>
    </row>
    <row r="2676" spans="21:21" ht="26.4">
      <c r="U2676" s="394" ph="1"/>
    </row>
    <row r="2677" spans="21:21" ht="26.4">
      <c r="U2677" s="394" ph="1"/>
    </row>
    <row r="2678" spans="21:21" ht="26.4">
      <c r="U2678" s="394" ph="1"/>
    </row>
    <row r="2679" spans="21:21" ht="26.4">
      <c r="U2679" s="394" ph="1"/>
    </row>
    <row r="2680" spans="21:21" ht="26.4">
      <c r="U2680" s="394" ph="1"/>
    </row>
    <row r="2681" spans="21:21" ht="26.4">
      <c r="U2681" s="394" ph="1"/>
    </row>
    <row r="2682" spans="21:21" ht="26.4">
      <c r="U2682" s="394" ph="1"/>
    </row>
    <row r="2683" spans="21:21" ht="26.4">
      <c r="U2683" s="394" ph="1"/>
    </row>
    <row r="2684" spans="21:21" ht="26.4">
      <c r="U2684" s="394" ph="1"/>
    </row>
    <row r="2685" spans="21:21" ht="26.4">
      <c r="U2685" s="394" ph="1"/>
    </row>
    <row r="2686" spans="21:21" ht="26.4">
      <c r="U2686" s="394" ph="1"/>
    </row>
    <row r="2687" spans="21:21" ht="26.4">
      <c r="U2687" s="394" ph="1"/>
    </row>
    <row r="2688" spans="21:21" ht="26.4">
      <c r="U2688" s="394" ph="1"/>
    </row>
    <row r="2689" spans="21:21" ht="26.4">
      <c r="U2689" s="394" ph="1"/>
    </row>
    <row r="2690" spans="21:21" ht="26.4">
      <c r="U2690" s="394" ph="1"/>
    </row>
    <row r="2691" spans="21:21" ht="26.4">
      <c r="U2691" s="394" ph="1"/>
    </row>
    <row r="2692" spans="21:21" ht="26.4">
      <c r="U2692" s="394" ph="1"/>
    </row>
    <row r="2693" spans="21:21" ht="26.4">
      <c r="U2693" s="394" ph="1"/>
    </row>
    <row r="2694" spans="21:21" ht="26.4">
      <c r="U2694" s="394" ph="1"/>
    </row>
    <row r="2695" spans="21:21" ht="26.4">
      <c r="U2695" s="394" ph="1"/>
    </row>
    <row r="2696" spans="21:21" ht="26.4">
      <c r="U2696" s="394" ph="1"/>
    </row>
    <row r="2697" spans="21:21" ht="26.4">
      <c r="U2697" s="394" ph="1"/>
    </row>
    <row r="2698" spans="21:21" ht="26.4">
      <c r="U2698" s="394" ph="1"/>
    </row>
    <row r="2699" spans="21:21" ht="26.4">
      <c r="U2699" s="394" ph="1"/>
    </row>
    <row r="2700" spans="21:21" ht="26.4">
      <c r="U2700" s="394" ph="1"/>
    </row>
    <row r="2701" spans="21:21" ht="26.4">
      <c r="U2701" s="394" ph="1"/>
    </row>
    <row r="2702" spans="21:21" ht="26.4">
      <c r="U2702" s="394" ph="1"/>
    </row>
    <row r="2703" spans="21:21" ht="26.4">
      <c r="U2703" s="394" ph="1"/>
    </row>
    <row r="2704" spans="21:21" ht="26.4">
      <c r="U2704" s="394" ph="1"/>
    </row>
    <row r="2705" spans="21:21" ht="26.4">
      <c r="U2705" s="394" ph="1"/>
    </row>
    <row r="2706" spans="21:21" ht="26.4">
      <c r="U2706" s="394" ph="1"/>
    </row>
    <row r="2707" spans="21:21" ht="26.4">
      <c r="U2707" s="394" ph="1"/>
    </row>
    <row r="2708" spans="21:21" ht="26.4">
      <c r="U2708" s="394" ph="1"/>
    </row>
    <row r="2709" spans="21:21" ht="26.4">
      <c r="U2709" s="394" ph="1"/>
    </row>
    <row r="2710" spans="21:21" ht="26.4">
      <c r="U2710" s="394" ph="1"/>
    </row>
    <row r="2711" spans="21:21" ht="26.4">
      <c r="U2711" s="394" ph="1"/>
    </row>
    <row r="2712" spans="21:21" ht="26.4">
      <c r="U2712" s="394" ph="1"/>
    </row>
    <row r="2713" spans="21:21" ht="26.4">
      <c r="U2713" s="394" ph="1"/>
    </row>
    <row r="2714" spans="21:21" ht="26.4">
      <c r="U2714" s="394" ph="1"/>
    </row>
    <row r="2715" spans="21:21" ht="26.4">
      <c r="U2715" s="394" ph="1"/>
    </row>
    <row r="2716" spans="21:21" ht="26.4">
      <c r="U2716" s="394" ph="1"/>
    </row>
    <row r="2717" spans="21:21" ht="26.4">
      <c r="U2717" s="394" ph="1"/>
    </row>
    <row r="2718" spans="21:21" ht="26.4">
      <c r="U2718" s="394" ph="1"/>
    </row>
    <row r="2719" spans="21:21" ht="26.4">
      <c r="U2719" s="394" ph="1"/>
    </row>
    <row r="2720" spans="21:21" ht="26.4">
      <c r="U2720" s="394" ph="1"/>
    </row>
    <row r="2721" spans="21:21" ht="26.4">
      <c r="U2721" s="394" ph="1"/>
    </row>
    <row r="2722" spans="21:21" ht="26.4">
      <c r="U2722" s="394" ph="1"/>
    </row>
    <row r="2723" spans="21:21" ht="26.4">
      <c r="U2723" s="394" ph="1"/>
    </row>
    <row r="2724" spans="21:21" ht="26.4">
      <c r="U2724" s="394" ph="1"/>
    </row>
    <row r="2725" spans="21:21" ht="26.4">
      <c r="U2725" s="394" ph="1"/>
    </row>
    <row r="2726" spans="21:21" ht="26.4">
      <c r="U2726" s="394" ph="1"/>
    </row>
    <row r="2727" spans="21:21" ht="26.4">
      <c r="U2727" s="394" ph="1"/>
    </row>
    <row r="2728" spans="21:21" ht="26.4">
      <c r="U2728" s="394" ph="1"/>
    </row>
    <row r="2729" spans="21:21" ht="26.4">
      <c r="U2729" s="394" ph="1"/>
    </row>
    <row r="2730" spans="21:21" ht="26.4">
      <c r="U2730" s="394" ph="1"/>
    </row>
    <row r="2731" spans="21:21" ht="26.4">
      <c r="U2731" s="394" ph="1"/>
    </row>
    <row r="2732" spans="21:21" ht="26.4">
      <c r="U2732" s="394" ph="1"/>
    </row>
    <row r="2733" spans="21:21" ht="26.4">
      <c r="U2733" s="394" ph="1"/>
    </row>
    <row r="2734" spans="21:21" ht="26.4">
      <c r="U2734" s="394" ph="1"/>
    </row>
    <row r="2735" spans="21:21" ht="26.4">
      <c r="U2735" s="394" ph="1"/>
    </row>
    <row r="2736" spans="21:21" ht="26.4">
      <c r="U2736" s="394" ph="1"/>
    </row>
    <row r="2737" spans="21:21" ht="26.4">
      <c r="U2737" s="394" ph="1"/>
    </row>
    <row r="2738" spans="21:21" ht="26.4">
      <c r="U2738" s="394" ph="1"/>
    </row>
    <row r="2739" spans="21:21" ht="26.4">
      <c r="U2739" s="394" ph="1"/>
    </row>
    <row r="2740" spans="21:21" ht="26.4">
      <c r="U2740" s="394" ph="1"/>
    </row>
    <row r="2741" spans="21:21" ht="26.4">
      <c r="U2741" s="394" ph="1"/>
    </row>
    <row r="2742" spans="21:21" ht="26.4">
      <c r="U2742" s="394" ph="1"/>
    </row>
    <row r="2743" spans="21:21" ht="26.4">
      <c r="U2743" s="394" ph="1"/>
    </row>
    <row r="2744" spans="21:21" ht="26.4">
      <c r="U2744" s="394" ph="1"/>
    </row>
    <row r="2745" spans="21:21" ht="26.4">
      <c r="U2745" s="394" ph="1"/>
    </row>
    <row r="2746" spans="21:21" ht="26.4">
      <c r="U2746" s="394" ph="1"/>
    </row>
    <row r="2747" spans="21:21" ht="26.4">
      <c r="U2747" s="394" ph="1"/>
    </row>
    <row r="2748" spans="21:21" ht="26.4">
      <c r="U2748" s="394" ph="1"/>
    </row>
    <row r="2749" spans="21:21" ht="26.4">
      <c r="U2749" s="394" ph="1"/>
    </row>
    <row r="2750" spans="21:21" ht="26.4">
      <c r="U2750" s="394" ph="1"/>
    </row>
    <row r="2751" spans="21:21" ht="26.4">
      <c r="U2751" s="394" ph="1"/>
    </row>
    <row r="2752" spans="21:21" ht="26.4">
      <c r="U2752" s="394" ph="1"/>
    </row>
    <row r="2753" spans="21:21" ht="26.4">
      <c r="U2753" s="394" ph="1"/>
    </row>
    <row r="2754" spans="21:21" ht="26.4">
      <c r="U2754" s="394" ph="1"/>
    </row>
    <row r="2755" spans="21:21" ht="26.4">
      <c r="U2755" s="394" ph="1"/>
    </row>
    <row r="2756" spans="21:21" ht="26.4">
      <c r="U2756" s="394" ph="1"/>
    </row>
    <row r="2757" spans="21:21" ht="26.4">
      <c r="U2757" s="394" ph="1"/>
    </row>
    <row r="2758" spans="21:21" ht="26.4">
      <c r="U2758" s="394" ph="1"/>
    </row>
    <row r="2759" spans="21:21" ht="26.4">
      <c r="U2759" s="394" ph="1"/>
    </row>
    <row r="2760" spans="21:21" ht="26.4">
      <c r="U2760" s="394" ph="1"/>
    </row>
    <row r="2761" spans="21:21" ht="26.4">
      <c r="U2761" s="394" ph="1"/>
    </row>
    <row r="2762" spans="21:21" ht="26.4">
      <c r="U2762" s="394" ph="1"/>
    </row>
    <row r="2763" spans="21:21" ht="26.4">
      <c r="U2763" s="394" ph="1"/>
    </row>
    <row r="2764" spans="21:21" ht="26.4">
      <c r="U2764" s="394" ph="1"/>
    </row>
    <row r="2765" spans="21:21" ht="26.4">
      <c r="U2765" s="394" ph="1"/>
    </row>
    <row r="2766" spans="21:21" ht="26.4">
      <c r="U2766" s="394" ph="1"/>
    </row>
    <row r="2767" spans="21:21" ht="26.4">
      <c r="U2767" s="394" ph="1"/>
    </row>
    <row r="2768" spans="21:21" ht="26.4">
      <c r="U2768" s="394" ph="1"/>
    </row>
    <row r="2769" spans="21:21" ht="26.4">
      <c r="U2769" s="394" ph="1"/>
    </row>
    <row r="2770" spans="21:21" ht="26.4">
      <c r="U2770" s="394" ph="1"/>
    </row>
    <row r="2771" spans="21:21" ht="26.4">
      <c r="U2771" s="394" ph="1"/>
    </row>
    <row r="2772" spans="21:21" ht="26.4">
      <c r="U2772" s="394" ph="1"/>
    </row>
    <row r="2773" spans="21:21" ht="26.4">
      <c r="U2773" s="394" ph="1"/>
    </row>
    <row r="2774" spans="21:21" ht="26.4">
      <c r="U2774" s="394" ph="1"/>
    </row>
    <row r="2775" spans="21:21" ht="26.4">
      <c r="U2775" s="394" ph="1"/>
    </row>
    <row r="2776" spans="21:21" ht="26.4">
      <c r="U2776" s="394" ph="1"/>
    </row>
    <row r="2777" spans="21:21" ht="26.4">
      <c r="U2777" s="394" ph="1"/>
    </row>
    <row r="2778" spans="21:21" ht="26.4">
      <c r="U2778" s="394" ph="1"/>
    </row>
    <row r="2779" spans="21:21" ht="26.4">
      <c r="U2779" s="394" ph="1"/>
    </row>
    <row r="2780" spans="21:21" ht="26.4">
      <c r="U2780" s="394" ph="1"/>
    </row>
    <row r="2781" spans="21:21" ht="26.4">
      <c r="U2781" s="394" ph="1"/>
    </row>
    <row r="2782" spans="21:21" ht="26.4">
      <c r="U2782" s="394" ph="1"/>
    </row>
    <row r="2783" spans="21:21" ht="26.4">
      <c r="U2783" s="394" ph="1"/>
    </row>
    <row r="2784" spans="21:21" ht="26.4">
      <c r="U2784" s="394" ph="1"/>
    </row>
    <row r="2785" spans="21:21" ht="26.4">
      <c r="U2785" s="394" ph="1"/>
    </row>
    <row r="2786" spans="21:21" ht="26.4">
      <c r="U2786" s="394" ph="1"/>
    </row>
    <row r="2787" spans="21:21" ht="26.4">
      <c r="U2787" s="394" ph="1"/>
    </row>
    <row r="2788" spans="21:21" ht="26.4">
      <c r="U2788" s="394" ph="1"/>
    </row>
    <row r="2789" spans="21:21" ht="26.4">
      <c r="U2789" s="394" ph="1"/>
    </row>
    <row r="2790" spans="21:21" ht="26.4">
      <c r="U2790" s="394" ph="1"/>
    </row>
    <row r="2791" spans="21:21" ht="26.4">
      <c r="U2791" s="394" ph="1"/>
    </row>
    <row r="2792" spans="21:21" ht="26.4">
      <c r="U2792" s="394" ph="1"/>
    </row>
    <row r="2793" spans="21:21" ht="26.4">
      <c r="U2793" s="394" ph="1"/>
    </row>
    <row r="2794" spans="21:21" ht="26.4">
      <c r="U2794" s="394" ph="1"/>
    </row>
    <row r="2795" spans="21:21" ht="26.4">
      <c r="U2795" s="394" ph="1"/>
    </row>
    <row r="2796" spans="21:21" ht="26.4">
      <c r="U2796" s="394" ph="1"/>
    </row>
    <row r="2797" spans="21:21" ht="26.4">
      <c r="U2797" s="394" ph="1"/>
    </row>
    <row r="2798" spans="21:21" ht="26.4">
      <c r="U2798" s="394" ph="1"/>
    </row>
    <row r="2799" spans="21:21" ht="26.4">
      <c r="U2799" s="394" ph="1"/>
    </row>
    <row r="2800" spans="21:21" ht="26.4">
      <c r="U2800" s="394" ph="1"/>
    </row>
    <row r="2801" spans="21:21" ht="26.4">
      <c r="U2801" s="394" ph="1"/>
    </row>
    <row r="2802" spans="21:21" ht="26.4">
      <c r="U2802" s="394" ph="1"/>
    </row>
    <row r="2803" spans="21:21" ht="26.4">
      <c r="U2803" s="394" ph="1"/>
    </row>
    <row r="2804" spans="21:21" ht="26.4">
      <c r="U2804" s="394" ph="1"/>
    </row>
    <row r="2805" spans="21:21" ht="26.4">
      <c r="U2805" s="394" ph="1"/>
    </row>
    <row r="2806" spans="21:21" ht="26.4">
      <c r="U2806" s="394" ph="1"/>
    </row>
    <row r="2807" spans="21:21" ht="26.4">
      <c r="U2807" s="394" ph="1"/>
    </row>
    <row r="2808" spans="21:21" ht="26.4">
      <c r="U2808" s="394" ph="1"/>
    </row>
    <row r="2809" spans="21:21" ht="26.4">
      <c r="U2809" s="394" ph="1"/>
    </row>
    <row r="2810" spans="21:21" ht="26.4">
      <c r="U2810" s="394" ph="1"/>
    </row>
    <row r="2811" spans="21:21" ht="26.4">
      <c r="U2811" s="394" ph="1"/>
    </row>
    <row r="2812" spans="21:21" ht="26.4">
      <c r="U2812" s="394" ph="1"/>
    </row>
    <row r="2813" spans="21:21" ht="26.4">
      <c r="U2813" s="394" ph="1"/>
    </row>
    <row r="2814" spans="21:21" ht="26.4">
      <c r="U2814" s="394" ph="1"/>
    </row>
    <row r="2815" spans="21:21" ht="26.4">
      <c r="U2815" s="394" ph="1"/>
    </row>
    <row r="2816" spans="21:21" ht="26.4">
      <c r="U2816" s="394" ph="1"/>
    </row>
    <row r="2817" spans="21:21" ht="26.4">
      <c r="U2817" s="394" ph="1"/>
    </row>
    <row r="2818" spans="21:21" ht="26.4">
      <c r="U2818" s="394" ph="1"/>
    </row>
    <row r="2819" spans="21:21" ht="26.4">
      <c r="U2819" s="394" ph="1"/>
    </row>
    <row r="2820" spans="21:21" ht="26.4">
      <c r="U2820" s="394" ph="1"/>
    </row>
    <row r="2821" spans="21:21" ht="26.4">
      <c r="U2821" s="394" ph="1"/>
    </row>
    <row r="2822" spans="21:21" ht="26.4">
      <c r="U2822" s="394" ph="1"/>
    </row>
    <row r="2823" spans="21:21" ht="26.4">
      <c r="U2823" s="394" ph="1"/>
    </row>
    <row r="2824" spans="21:21" ht="26.4">
      <c r="U2824" s="394" ph="1"/>
    </row>
    <row r="2825" spans="21:21" ht="26.4">
      <c r="U2825" s="394" ph="1"/>
    </row>
    <row r="2826" spans="21:21" ht="26.4">
      <c r="U2826" s="394" ph="1"/>
    </row>
    <row r="2827" spans="21:21" ht="26.4">
      <c r="U2827" s="394" ph="1"/>
    </row>
    <row r="2828" spans="21:21" ht="26.4">
      <c r="U2828" s="394" ph="1"/>
    </row>
    <row r="2829" spans="21:21" ht="26.4">
      <c r="U2829" s="394" ph="1"/>
    </row>
    <row r="2830" spans="21:21" ht="26.4">
      <c r="U2830" s="394" ph="1"/>
    </row>
    <row r="2831" spans="21:21" ht="26.4">
      <c r="U2831" s="394" ph="1"/>
    </row>
    <row r="2832" spans="21:21" ht="26.4">
      <c r="U2832" s="394" ph="1"/>
    </row>
    <row r="2833" spans="21:21" ht="26.4">
      <c r="U2833" s="394" ph="1"/>
    </row>
    <row r="2834" spans="21:21" ht="26.4">
      <c r="U2834" s="394" ph="1"/>
    </row>
    <row r="2835" spans="21:21" ht="26.4">
      <c r="U2835" s="394" ph="1"/>
    </row>
    <row r="2836" spans="21:21" ht="26.4">
      <c r="U2836" s="394" ph="1"/>
    </row>
    <row r="2837" spans="21:21" ht="26.4">
      <c r="U2837" s="394" ph="1"/>
    </row>
    <row r="2838" spans="21:21" ht="26.4">
      <c r="U2838" s="394" ph="1"/>
    </row>
    <row r="2839" spans="21:21" ht="26.4">
      <c r="U2839" s="394" ph="1"/>
    </row>
    <row r="2840" spans="21:21" ht="26.4">
      <c r="U2840" s="394" ph="1"/>
    </row>
    <row r="2841" spans="21:21" ht="26.4">
      <c r="U2841" s="394" ph="1"/>
    </row>
    <row r="2842" spans="21:21" ht="26.4">
      <c r="U2842" s="394" ph="1"/>
    </row>
    <row r="2843" spans="21:21" ht="26.4">
      <c r="U2843" s="394" ph="1"/>
    </row>
    <row r="2844" spans="21:21" ht="26.4">
      <c r="U2844" s="394" ph="1"/>
    </row>
    <row r="2845" spans="21:21" ht="26.4">
      <c r="U2845" s="394" ph="1"/>
    </row>
    <row r="2846" spans="21:21" ht="26.4">
      <c r="U2846" s="394" ph="1"/>
    </row>
    <row r="2847" spans="21:21" ht="26.4">
      <c r="U2847" s="394" ph="1"/>
    </row>
    <row r="2848" spans="21:21" ht="26.4">
      <c r="U2848" s="394" ph="1"/>
    </row>
    <row r="2849" spans="21:21" ht="26.4">
      <c r="U2849" s="394" ph="1"/>
    </row>
    <row r="2850" spans="21:21" ht="26.4">
      <c r="U2850" s="394" ph="1"/>
    </row>
    <row r="2851" spans="21:21" ht="26.4">
      <c r="U2851" s="394" ph="1"/>
    </row>
    <row r="2852" spans="21:21" ht="26.4">
      <c r="U2852" s="394" ph="1"/>
    </row>
    <row r="2853" spans="21:21" ht="26.4">
      <c r="U2853" s="394" ph="1"/>
    </row>
    <row r="2854" spans="21:21" ht="26.4">
      <c r="U2854" s="394" ph="1"/>
    </row>
    <row r="2855" spans="21:21" ht="26.4">
      <c r="U2855" s="394" ph="1"/>
    </row>
    <row r="2856" spans="21:21" ht="26.4">
      <c r="U2856" s="394" ph="1"/>
    </row>
    <row r="2857" spans="21:21" ht="26.4">
      <c r="U2857" s="394" ph="1"/>
    </row>
    <row r="2858" spans="21:21" ht="26.4">
      <c r="U2858" s="394" ph="1"/>
    </row>
    <row r="2859" spans="21:21" ht="26.4">
      <c r="U2859" s="394" ph="1"/>
    </row>
    <row r="2860" spans="21:21" ht="26.4">
      <c r="U2860" s="394" ph="1"/>
    </row>
    <row r="2861" spans="21:21" ht="26.4">
      <c r="U2861" s="394" ph="1"/>
    </row>
    <row r="2862" spans="21:21" ht="26.4">
      <c r="U2862" s="394" ph="1"/>
    </row>
    <row r="2863" spans="21:21" ht="26.4">
      <c r="U2863" s="394" ph="1"/>
    </row>
    <row r="2864" spans="21:21" ht="26.4">
      <c r="U2864" s="394" ph="1"/>
    </row>
    <row r="2865" spans="21:21" ht="26.4">
      <c r="U2865" s="394" ph="1"/>
    </row>
    <row r="2866" spans="21:21" ht="26.4">
      <c r="U2866" s="394" ph="1"/>
    </row>
    <row r="2867" spans="21:21" ht="26.4">
      <c r="U2867" s="394" ph="1"/>
    </row>
    <row r="2868" spans="21:21" ht="26.4">
      <c r="U2868" s="394" ph="1"/>
    </row>
    <row r="2869" spans="21:21" ht="26.4">
      <c r="U2869" s="394" ph="1"/>
    </row>
    <row r="2870" spans="21:21" ht="26.4">
      <c r="U2870" s="394" ph="1"/>
    </row>
    <row r="2871" spans="21:21" ht="26.4">
      <c r="U2871" s="394" ph="1"/>
    </row>
    <row r="2872" spans="21:21" ht="26.4">
      <c r="U2872" s="394" ph="1"/>
    </row>
    <row r="2873" spans="21:21" ht="26.4">
      <c r="U2873" s="394" ph="1"/>
    </row>
    <row r="2874" spans="21:21" ht="26.4">
      <c r="U2874" s="394" ph="1"/>
    </row>
    <row r="2875" spans="21:21" ht="26.4">
      <c r="U2875" s="394" ph="1"/>
    </row>
    <row r="2876" spans="21:21" ht="26.4">
      <c r="U2876" s="394" ph="1"/>
    </row>
    <row r="2877" spans="21:21" ht="26.4">
      <c r="U2877" s="394" ph="1"/>
    </row>
    <row r="2878" spans="21:21" ht="26.4">
      <c r="U2878" s="394" ph="1"/>
    </row>
    <row r="2879" spans="21:21" ht="26.4">
      <c r="U2879" s="394" ph="1"/>
    </row>
    <row r="2880" spans="21:21" ht="26.4">
      <c r="U2880" s="394" ph="1"/>
    </row>
    <row r="2881" spans="21:21" ht="26.4">
      <c r="U2881" s="394" ph="1"/>
    </row>
    <row r="2882" spans="21:21" ht="26.4">
      <c r="U2882" s="394" ph="1"/>
    </row>
    <row r="2883" spans="21:21" ht="26.4">
      <c r="U2883" s="394" ph="1"/>
    </row>
    <row r="2884" spans="21:21" ht="26.4">
      <c r="U2884" s="394" ph="1"/>
    </row>
    <row r="2885" spans="21:21" ht="26.4">
      <c r="U2885" s="394" ph="1"/>
    </row>
    <row r="2886" spans="21:21" ht="26.4">
      <c r="U2886" s="394" ph="1"/>
    </row>
    <row r="2887" spans="21:21" ht="26.4">
      <c r="U2887" s="394" ph="1"/>
    </row>
    <row r="2888" spans="21:21" ht="26.4">
      <c r="U2888" s="394" ph="1"/>
    </row>
    <row r="2889" spans="21:21" ht="26.4">
      <c r="U2889" s="394" ph="1"/>
    </row>
    <row r="2890" spans="21:21" ht="26.4">
      <c r="U2890" s="394" ph="1"/>
    </row>
    <row r="2891" spans="21:21" ht="26.4">
      <c r="U2891" s="394" ph="1"/>
    </row>
    <row r="2892" spans="21:21" ht="26.4">
      <c r="U2892" s="394" ph="1"/>
    </row>
    <row r="2893" spans="21:21" ht="26.4">
      <c r="U2893" s="394" ph="1"/>
    </row>
    <row r="2894" spans="21:21" ht="26.4">
      <c r="U2894" s="394" ph="1"/>
    </row>
    <row r="2895" spans="21:21" ht="26.4">
      <c r="U2895" s="394" ph="1"/>
    </row>
    <row r="2896" spans="21:21" ht="26.4">
      <c r="U2896" s="394" ph="1"/>
    </row>
    <row r="2897" spans="21:21" ht="26.4">
      <c r="U2897" s="394" ph="1"/>
    </row>
    <row r="2898" spans="21:21" ht="26.4">
      <c r="U2898" s="394" ph="1"/>
    </row>
    <row r="2899" spans="21:21" ht="26.4">
      <c r="U2899" s="394" ph="1"/>
    </row>
    <row r="2900" spans="21:21" ht="26.4">
      <c r="U2900" s="394" ph="1"/>
    </row>
    <row r="2901" spans="21:21" ht="26.4">
      <c r="U2901" s="394" ph="1"/>
    </row>
    <row r="2902" spans="21:21" ht="26.4">
      <c r="U2902" s="394" ph="1"/>
    </row>
    <row r="2903" spans="21:21" ht="26.4">
      <c r="U2903" s="394" ph="1"/>
    </row>
    <row r="2904" spans="21:21" ht="26.4">
      <c r="U2904" s="394" ph="1"/>
    </row>
    <row r="2905" spans="21:21" ht="26.4">
      <c r="U2905" s="394" ph="1"/>
    </row>
    <row r="2906" spans="21:21" ht="26.4">
      <c r="U2906" s="394" ph="1"/>
    </row>
    <row r="2907" spans="21:21" ht="26.4">
      <c r="U2907" s="394" ph="1"/>
    </row>
    <row r="2908" spans="21:21" ht="26.4">
      <c r="U2908" s="394" ph="1"/>
    </row>
    <row r="2909" spans="21:21" ht="26.4">
      <c r="U2909" s="394" ph="1"/>
    </row>
    <row r="2910" spans="21:21" ht="26.4">
      <c r="U2910" s="394" ph="1"/>
    </row>
    <row r="2911" spans="21:21" ht="26.4">
      <c r="U2911" s="394" ph="1"/>
    </row>
    <row r="2912" spans="21:21" ht="26.4">
      <c r="U2912" s="394" ph="1"/>
    </row>
    <row r="2913" spans="21:21" ht="26.4">
      <c r="U2913" s="394" ph="1"/>
    </row>
    <row r="2914" spans="21:21" ht="26.4">
      <c r="U2914" s="394" ph="1"/>
    </row>
    <row r="2915" spans="21:21" ht="26.4">
      <c r="U2915" s="394" ph="1"/>
    </row>
    <row r="2916" spans="21:21" ht="26.4">
      <c r="U2916" s="394" ph="1"/>
    </row>
    <row r="2917" spans="21:21" ht="26.4">
      <c r="U2917" s="394" ph="1"/>
    </row>
    <row r="2918" spans="21:21" ht="26.4">
      <c r="U2918" s="394" ph="1"/>
    </row>
    <row r="2919" spans="21:21" ht="26.4">
      <c r="U2919" s="394" ph="1"/>
    </row>
    <row r="2920" spans="21:21" ht="26.4">
      <c r="U2920" s="394" ph="1"/>
    </row>
    <row r="2921" spans="21:21" ht="26.4">
      <c r="U2921" s="394" ph="1"/>
    </row>
    <row r="2922" spans="21:21" ht="26.4">
      <c r="U2922" s="394" ph="1"/>
    </row>
    <row r="2923" spans="21:21" ht="26.4">
      <c r="U2923" s="394" ph="1"/>
    </row>
    <row r="2924" spans="21:21" ht="26.4">
      <c r="U2924" s="394" ph="1"/>
    </row>
    <row r="2925" spans="21:21" ht="26.4">
      <c r="U2925" s="394" ph="1"/>
    </row>
    <row r="2926" spans="21:21" ht="26.4">
      <c r="U2926" s="394" ph="1"/>
    </row>
    <row r="2927" spans="21:21" ht="26.4">
      <c r="U2927" s="394" ph="1"/>
    </row>
    <row r="2928" spans="21:21" ht="26.4">
      <c r="U2928" s="394" ph="1"/>
    </row>
    <row r="2929" spans="21:21" ht="26.4">
      <c r="U2929" s="394" ph="1"/>
    </row>
    <row r="2930" spans="21:21" ht="26.4">
      <c r="U2930" s="394" ph="1"/>
    </row>
    <row r="2931" spans="21:21" ht="26.4">
      <c r="U2931" s="394" ph="1"/>
    </row>
    <row r="2932" spans="21:21" ht="26.4">
      <c r="U2932" s="394" ph="1"/>
    </row>
    <row r="2933" spans="21:21" ht="26.4">
      <c r="U2933" s="394" ph="1"/>
    </row>
    <row r="2934" spans="21:21" ht="26.4">
      <c r="U2934" s="394" ph="1"/>
    </row>
    <row r="2935" spans="21:21" ht="26.4">
      <c r="U2935" s="394" ph="1"/>
    </row>
    <row r="2936" spans="21:21" ht="26.4">
      <c r="U2936" s="394" ph="1"/>
    </row>
    <row r="2937" spans="21:21" ht="26.4">
      <c r="U2937" s="394" ph="1"/>
    </row>
    <row r="2938" spans="21:21" ht="26.4">
      <c r="U2938" s="394" ph="1"/>
    </row>
    <row r="2939" spans="21:21" ht="26.4">
      <c r="U2939" s="394" ph="1"/>
    </row>
    <row r="2940" spans="21:21" ht="26.4">
      <c r="U2940" s="394" ph="1"/>
    </row>
    <row r="2941" spans="21:21" ht="26.4">
      <c r="U2941" s="394" ph="1"/>
    </row>
    <row r="2942" spans="21:21" ht="26.4">
      <c r="U2942" s="394" ph="1"/>
    </row>
    <row r="2943" spans="21:21" ht="26.4">
      <c r="U2943" s="394" ph="1"/>
    </row>
    <row r="2944" spans="21:21" ht="26.4">
      <c r="U2944" s="394" ph="1"/>
    </row>
    <row r="2945" spans="21:21" ht="26.4">
      <c r="U2945" s="394" ph="1"/>
    </row>
    <row r="2946" spans="21:21" ht="26.4">
      <c r="U2946" s="394" ph="1"/>
    </row>
    <row r="2947" spans="21:21" ht="26.4">
      <c r="U2947" s="394" ph="1"/>
    </row>
    <row r="2948" spans="21:21" ht="26.4">
      <c r="U2948" s="394" ph="1"/>
    </row>
    <row r="2949" spans="21:21" ht="26.4">
      <c r="U2949" s="394" ph="1"/>
    </row>
    <row r="2950" spans="21:21" ht="26.4">
      <c r="U2950" s="394" ph="1"/>
    </row>
    <row r="2951" spans="21:21" ht="26.4">
      <c r="U2951" s="394" ph="1"/>
    </row>
    <row r="2952" spans="21:21" ht="26.4">
      <c r="U2952" s="394" ph="1"/>
    </row>
    <row r="2953" spans="21:21" ht="26.4">
      <c r="U2953" s="394" ph="1"/>
    </row>
    <row r="2954" spans="21:21" ht="26.4">
      <c r="U2954" s="394" ph="1"/>
    </row>
    <row r="2955" spans="21:21" ht="26.4">
      <c r="U2955" s="394" ph="1"/>
    </row>
    <row r="2956" spans="21:21" ht="26.4">
      <c r="U2956" s="394" ph="1"/>
    </row>
    <row r="2957" spans="21:21" ht="26.4">
      <c r="U2957" s="394" ph="1"/>
    </row>
    <row r="2958" spans="21:21" ht="26.4">
      <c r="U2958" s="394" ph="1"/>
    </row>
    <row r="2959" spans="21:21" ht="26.4">
      <c r="U2959" s="394" ph="1"/>
    </row>
    <row r="2960" spans="21:21" ht="26.4">
      <c r="U2960" s="394" ph="1"/>
    </row>
    <row r="2961" spans="21:21" ht="26.4">
      <c r="U2961" s="394" ph="1"/>
    </row>
    <row r="2962" spans="21:21" ht="26.4">
      <c r="U2962" s="394" ph="1"/>
    </row>
    <row r="2963" spans="21:21" ht="26.4">
      <c r="U2963" s="394" ph="1"/>
    </row>
    <row r="2964" spans="21:21" ht="26.4">
      <c r="U2964" s="394" ph="1"/>
    </row>
    <row r="2965" spans="21:21" ht="26.4">
      <c r="U2965" s="394" ph="1"/>
    </row>
    <row r="2966" spans="21:21" ht="26.4">
      <c r="U2966" s="394" ph="1"/>
    </row>
    <row r="2967" spans="21:21" ht="26.4">
      <c r="U2967" s="394" ph="1"/>
    </row>
    <row r="2968" spans="21:21" ht="26.4">
      <c r="U2968" s="394" ph="1"/>
    </row>
    <row r="2969" spans="21:21" ht="26.4">
      <c r="U2969" s="394" ph="1"/>
    </row>
    <row r="2970" spans="21:21" ht="26.4">
      <c r="U2970" s="394" ph="1"/>
    </row>
    <row r="2971" spans="21:21" ht="26.4">
      <c r="U2971" s="394" ph="1"/>
    </row>
    <row r="2972" spans="21:21" ht="26.4">
      <c r="U2972" s="394" ph="1"/>
    </row>
    <row r="2973" spans="21:21" ht="26.4">
      <c r="U2973" s="394" ph="1"/>
    </row>
    <row r="2974" spans="21:21" ht="26.4">
      <c r="U2974" s="394" ph="1"/>
    </row>
    <row r="2975" spans="21:21" ht="26.4">
      <c r="U2975" s="394" ph="1"/>
    </row>
    <row r="2976" spans="21:21" ht="26.4">
      <c r="U2976" s="394" ph="1"/>
    </row>
    <row r="2977" spans="21:21" ht="26.4">
      <c r="U2977" s="394" ph="1"/>
    </row>
    <row r="2978" spans="21:21" ht="26.4">
      <c r="U2978" s="394" ph="1"/>
    </row>
    <row r="2979" spans="21:21" ht="26.4">
      <c r="U2979" s="394" ph="1"/>
    </row>
    <row r="2980" spans="21:21" ht="26.4">
      <c r="U2980" s="394" ph="1"/>
    </row>
    <row r="2981" spans="21:21" ht="26.4">
      <c r="U2981" s="394" ph="1"/>
    </row>
    <row r="2982" spans="21:21" ht="26.4">
      <c r="U2982" s="394" ph="1"/>
    </row>
    <row r="2983" spans="21:21" ht="26.4">
      <c r="U2983" s="394" ph="1"/>
    </row>
    <row r="2984" spans="21:21" ht="26.4">
      <c r="U2984" s="394" ph="1"/>
    </row>
    <row r="2985" spans="21:21" ht="26.4">
      <c r="U2985" s="394" ph="1"/>
    </row>
    <row r="2986" spans="21:21" ht="26.4">
      <c r="U2986" s="394" ph="1"/>
    </row>
    <row r="2987" spans="21:21" ht="26.4">
      <c r="U2987" s="394" ph="1"/>
    </row>
    <row r="2988" spans="21:21" ht="26.4">
      <c r="U2988" s="394" ph="1"/>
    </row>
    <row r="2989" spans="21:21" ht="26.4">
      <c r="U2989" s="394" ph="1"/>
    </row>
    <row r="2990" spans="21:21" ht="26.4">
      <c r="U2990" s="394" ph="1"/>
    </row>
    <row r="2991" spans="21:21" ht="26.4">
      <c r="U2991" s="394" ph="1"/>
    </row>
    <row r="2992" spans="21:21" ht="26.4">
      <c r="U2992" s="394" ph="1"/>
    </row>
    <row r="2993" spans="21:21" ht="26.4">
      <c r="U2993" s="394" ph="1"/>
    </row>
    <row r="2994" spans="21:21" ht="26.4">
      <c r="U2994" s="394" ph="1"/>
    </row>
    <row r="2995" spans="21:21" ht="26.4">
      <c r="U2995" s="394" ph="1"/>
    </row>
    <row r="2996" spans="21:21" ht="26.4">
      <c r="U2996" s="394" ph="1"/>
    </row>
    <row r="2997" spans="21:21" ht="26.4">
      <c r="U2997" s="394" ph="1"/>
    </row>
    <row r="2998" spans="21:21" ht="26.4">
      <c r="U2998" s="394" ph="1"/>
    </row>
    <row r="2999" spans="21:21" ht="26.4">
      <c r="U2999" s="394" ph="1"/>
    </row>
    <row r="3000" spans="21:21" ht="26.4">
      <c r="U3000" s="394" ph="1"/>
    </row>
    <row r="3001" spans="21:21" ht="26.4">
      <c r="U3001" s="394" ph="1"/>
    </row>
    <row r="3002" spans="21:21" ht="26.4">
      <c r="U3002" s="394" ph="1"/>
    </row>
    <row r="3003" spans="21:21" ht="26.4">
      <c r="U3003" s="394" ph="1"/>
    </row>
    <row r="3004" spans="21:21" ht="26.4">
      <c r="U3004" s="394" ph="1"/>
    </row>
    <row r="3005" spans="21:21" ht="26.4">
      <c r="U3005" s="394" ph="1"/>
    </row>
    <row r="3006" spans="21:21" ht="26.4">
      <c r="U3006" s="394" ph="1"/>
    </row>
    <row r="3007" spans="21:21" ht="26.4">
      <c r="U3007" s="394" ph="1"/>
    </row>
    <row r="3008" spans="21:21" ht="26.4">
      <c r="U3008" s="394" ph="1"/>
    </row>
    <row r="3009" spans="21:21" ht="26.4">
      <c r="U3009" s="394" ph="1"/>
    </row>
    <row r="3010" spans="21:21" ht="26.4">
      <c r="U3010" s="394" ph="1"/>
    </row>
    <row r="3011" spans="21:21" ht="26.4">
      <c r="U3011" s="394" ph="1"/>
    </row>
    <row r="3012" spans="21:21" ht="26.4">
      <c r="U3012" s="394" ph="1"/>
    </row>
    <row r="3013" spans="21:21" ht="26.4">
      <c r="U3013" s="394" ph="1"/>
    </row>
    <row r="3014" spans="21:21" ht="26.4">
      <c r="U3014" s="394" ph="1"/>
    </row>
    <row r="3015" spans="21:21" ht="26.4">
      <c r="U3015" s="394" ph="1"/>
    </row>
    <row r="3016" spans="21:21" ht="26.4">
      <c r="U3016" s="394" ph="1"/>
    </row>
    <row r="3017" spans="21:21" ht="26.4">
      <c r="U3017" s="394" ph="1"/>
    </row>
    <row r="3018" spans="21:21" ht="26.4">
      <c r="U3018" s="394" ph="1"/>
    </row>
    <row r="3019" spans="21:21" ht="26.4">
      <c r="U3019" s="394" ph="1"/>
    </row>
    <row r="3020" spans="21:21" ht="26.4">
      <c r="U3020" s="394" ph="1"/>
    </row>
    <row r="3021" spans="21:21" ht="26.4">
      <c r="U3021" s="394" ph="1"/>
    </row>
    <row r="3022" spans="21:21" ht="26.4">
      <c r="U3022" s="394" ph="1"/>
    </row>
    <row r="3023" spans="21:21" ht="26.4">
      <c r="U3023" s="394" ph="1"/>
    </row>
    <row r="3024" spans="21:21" ht="26.4">
      <c r="U3024" s="394" ph="1"/>
    </row>
    <row r="3025" spans="21:21" ht="26.4">
      <c r="U3025" s="394" ph="1"/>
    </row>
    <row r="3026" spans="21:21" ht="26.4">
      <c r="U3026" s="394" ph="1"/>
    </row>
    <row r="3027" spans="21:21" ht="26.4">
      <c r="U3027" s="394" ph="1"/>
    </row>
    <row r="3028" spans="21:21" ht="26.4">
      <c r="U3028" s="394" ph="1"/>
    </row>
    <row r="3029" spans="21:21" ht="26.4">
      <c r="U3029" s="394" ph="1"/>
    </row>
    <row r="3030" spans="21:21" ht="26.4">
      <c r="U3030" s="394" ph="1"/>
    </row>
    <row r="3031" spans="21:21" ht="26.4">
      <c r="U3031" s="394" ph="1"/>
    </row>
    <row r="3032" spans="21:21" ht="26.4">
      <c r="U3032" s="394" ph="1"/>
    </row>
    <row r="3033" spans="21:21" ht="26.4">
      <c r="U3033" s="394" ph="1"/>
    </row>
    <row r="3034" spans="21:21" ht="26.4">
      <c r="U3034" s="394" ph="1"/>
    </row>
    <row r="3035" spans="21:21" ht="26.4">
      <c r="U3035" s="394" ph="1"/>
    </row>
    <row r="3036" spans="21:21" ht="26.4">
      <c r="U3036" s="394" ph="1"/>
    </row>
    <row r="3037" spans="21:21" ht="26.4">
      <c r="U3037" s="394" ph="1"/>
    </row>
    <row r="3038" spans="21:21" ht="26.4">
      <c r="U3038" s="394" ph="1"/>
    </row>
    <row r="3039" spans="21:21" ht="26.4">
      <c r="U3039" s="394" ph="1"/>
    </row>
    <row r="3040" spans="21:21" ht="26.4">
      <c r="U3040" s="394" ph="1"/>
    </row>
    <row r="3041" spans="21:21" ht="26.4">
      <c r="U3041" s="394" ph="1"/>
    </row>
    <row r="3042" spans="21:21" ht="26.4">
      <c r="U3042" s="394" ph="1"/>
    </row>
    <row r="3043" spans="21:21" ht="26.4">
      <c r="U3043" s="394" ph="1"/>
    </row>
    <row r="3044" spans="21:21" ht="26.4">
      <c r="U3044" s="394" ph="1"/>
    </row>
    <row r="3045" spans="21:21" ht="26.4">
      <c r="U3045" s="394" ph="1"/>
    </row>
    <row r="3046" spans="21:21" ht="26.4">
      <c r="U3046" s="394" ph="1"/>
    </row>
    <row r="3047" spans="21:21" ht="26.4">
      <c r="U3047" s="394" ph="1"/>
    </row>
    <row r="3048" spans="21:21" ht="26.4">
      <c r="U3048" s="394" ph="1"/>
    </row>
    <row r="3049" spans="21:21" ht="26.4">
      <c r="U3049" s="394" ph="1"/>
    </row>
    <row r="3050" spans="21:21" ht="26.4">
      <c r="U3050" s="394" ph="1"/>
    </row>
    <row r="3051" spans="21:21" ht="26.4">
      <c r="U3051" s="394" ph="1"/>
    </row>
    <row r="3052" spans="21:21" ht="26.4">
      <c r="U3052" s="394" ph="1"/>
    </row>
    <row r="3053" spans="21:21" ht="26.4">
      <c r="U3053" s="394" ph="1"/>
    </row>
    <row r="3054" spans="21:21" ht="26.4">
      <c r="U3054" s="394" ph="1"/>
    </row>
    <row r="3055" spans="21:21" ht="26.4">
      <c r="U3055" s="394" ph="1"/>
    </row>
    <row r="3056" spans="21:21" ht="26.4">
      <c r="U3056" s="394" ph="1"/>
    </row>
    <row r="3057" spans="21:21" ht="26.4">
      <c r="U3057" s="394" ph="1"/>
    </row>
    <row r="3058" spans="21:21" ht="26.4">
      <c r="U3058" s="394" ph="1"/>
    </row>
    <row r="3059" spans="21:21" ht="26.4">
      <c r="U3059" s="394" ph="1"/>
    </row>
    <row r="3060" spans="21:21" ht="26.4">
      <c r="U3060" s="394" ph="1"/>
    </row>
    <row r="3061" spans="21:21" ht="26.4">
      <c r="U3061" s="394" ph="1"/>
    </row>
    <row r="3062" spans="21:21" ht="26.4">
      <c r="U3062" s="394" ph="1"/>
    </row>
    <row r="3063" spans="21:21" ht="26.4">
      <c r="U3063" s="394" ph="1"/>
    </row>
    <row r="3064" spans="21:21" ht="26.4">
      <c r="U3064" s="394" ph="1"/>
    </row>
    <row r="3065" spans="21:21" ht="26.4">
      <c r="U3065" s="394" ph="1"/>
    </row>
    <row r="3066" spans="21:21" ht="26.4">
      <c r="U3066" s="394" ph="1"/>
    </row>
    <row r="3067" spans="21:21" ht="26.4">
      <c r="U3067" s="394" ph="1"/>
    </row>
    <row r="3068" spans="21:21" ht="26.4">
      <c r="U3068" s="394" ph="1"/>
    </row>
    <row r="3069" spans="21:21" ht="26.4">
      <c r="U3069" s="394" ph="1"/>
    </row>
    <row r="3070" spans="21:21" ht="26.4">
      <c r="U3070" s="394" ph="1"/>
    </row>
    <row r="3071" spans="21:21" ht="26.4">
      <c r="U3071" s="394" ph="1"/>
    </row>
    <row r="3072" spans="21:21" ht="26.4">
      <c r="U3072" s="394" ph="1"/>
    </row>
    <row r="3073" spans="21:21" ht="26.4">
      <c r="U3073" s="394" ph="1"/>
    </row>
    <row r="3074" spans="21:21" ht="26.4">
      <c r="U3074" s="394" ph="1"/>
    </row>
    <row r="3075" spans="21:21" ht="26.4">
      <c r="U3075" s="394" ph="1"/>
    </row>
    <row r="3076" spans="21:21" ht="26.4">
      <c r="U3076" s="394" ph="1"/>
    </row>
    <row r="3077" spans="21:21" ht="26.4">
      <c r="U3077" s="394" ph="1"/>
    </row>
    <row r="3078" spans="21:21" ht="26.4">
      <c r="U3078" s="394" ph="1"/>
    </row>
    <row r="3079" spans="21:21" ht="26.4">
      <c r="U3079" s="394" ph="1"/>
    </row>
    <row r="3080" spans="21:21" ht="26.4">
      <c r="U3080" s="394" ph="1"/>
    </row>
    <row r="3081" spans="21:21" ht="26.4">
      <c r="U3081" s="394" ph="1"/>
    </row>
    <row r="3082" spans="21:21" ht="26.4">
      <c r="U3082" s="394" ph="1"/>
    </row>
    <row r="3083" spans="21:21" ht="26.4">
      <c r="U3083" s="394" ph="1"/>
    </row>
    <row r="3084" spans="21:21" ht="26.4">
      <c r="U3084" s="394" ph="1"/>
    </row>
    <row r="3085" spans="21:21" ht="26.4">
      <c r="U3085" s="394" ph="1"/>
    </row>
    <row r="3086" spans="21:21" ht="26.4">
      <c r="U3086" s="394" ph="1"/>
    </row>
    <row r="3087" spans="21:21" ht="26.4">
      <c r="U3087" s="394" ph="1"/>
    </row>
    <row r="3088" spans="21:21" ht="26.4">
      <c r="U3088" s="394" ph="1"/>
    </row>
    <row r="3089" spans="21:21" ht="26.4">
      <c r="U3089" s="394" ph="1"/>
    </row>
    <row r="3090" spans="21:21" ht="26.4">
      <c r="U3090" s="394" ph="1"/>
    </row>
    <row r="3091" spans="21:21" ht="26.4">
      <c r="U3091" s="394" ph="1"/>
    </row>
    <row r="3092" spans="21:21" ht="26.4">
      <c r="U3092" s="394" ph="1"/>
    </row>
    <row r="3093" spans="21:21" ht="26.4">
      <c r="U3093" s="394" ph="1"/>
    </row>
    <row r="3094" spans="21:21" ht="26.4">
      <c r="U3094" s="394" ph="1"/>
    </row>
    <row r="3095" spans="21:21" ht="26.4">
      <c r="U3095" s="394" ph="1"/>
    </row>
    <row r="3096" spans="21:21" ht="26.4">
      <c r="U3096" s="394" ph="1"/>
    </row>
    <row r="3097" spans="21:21" ht="26.4">
      <c r="U3097" s="394" ph="1"/>
    </row>
    <row r="3098" spans="21:21" ht="26.4">
      <c r="U3098" s="394" ph="1"/>
    </row>
    <row r="3099" spans="21:21" ht="26.4">
      <c r="U3099" s="394" ph="1"/>
    </row>
    <row r="3100" spans="21:21" ht="26.4">
      <c r="U3100" s="394" ph="1"/>
    </row>
    <row r="3101" spans="21:21" ht="26.4">
      <c r="U3101" s="394" ph="1"/>
    </row>
    <row r="3102" spans="21:21" ht="26.4">
      <c r="U3102" s="394" ph="1"/>
    </row>
    <row r="3103" spans="21:21" ht="26.4">
      <c r="U3103" s="394" ph="1"/>
    </row>
    <row r="3104" spans="21:21" ht="26.4">
      <c r="U3104" s="394" ph="1"/>
    </row>
    <row r="3105" spans="21:21" ht="26.4">
      <c r="U3105" s="394" ph="1"/>
    </row>
    <row r="3106" spans="21:21" ht="26.4">
      <c r="U3106" s="394" ph="1"/>
    </row>
    <row r="3107" spans="21:21" ht="26.4">
      <c r="U3107" s="394" ph="1"/>
    </row>
    <row r="3108" spans="21:21" ht="26.4">
      <c r="U3108" s="394" ph="1"/>
    </row>
    <row r="3109" spans="21:21" ht="26.4">
      <c r="U3109" s="394" ph="1"/>
    </row>
    <row r="3110" spans="21:21" ht="26.4">
      <c r="U3110" s="394" ph="1"/>
    </row>
    <row r="3111" spans="21:21" ht="26.4">
      <c r="U3111" s="394" ph="1"/>
    </row>
    <row r="3112" spans="21:21" ht="26.4">
      <c r="U3112" s="394" ph="1"/>
    </row>
    <row r="3113" spans="21:21" ht="26.4">
      <c r="U3113" s="394" ph="1"/>
    </row>
    <row r="3114" spans="21:21" ht="26.4">
      <c r="U3114" s="394" ph="1"/>
    </row>
    <row r="3115" spans="21:21" ht="26.4">
      <c r="U3115" s="394" ph="1"/>
    </row>
    <row r="3116" spans="21:21" ht="26.4">
      <c r="U3116" s="394" ph="1"/>
    </row>
    <row r="3117" spans="21:21" ht="26.4">
      <c r="U3117" s="394" ph="1"/>
    </row>
    <row r="3118" spans="21:21" ht="26.4">
      <c r="U3118" s="394" ph="1"/>
    </row>
    <row r="3119" spans="21:21" ht="26.4">
      <c r="U3119" s="394" ph="1"/>
    </row>
    <row r="3120" spans="21:21" ht="26.4">
      <c r="U3120" s="394" ph="1"/>
    </row>
    <row r="3121" spans="21:21" ht="26.4">
      <c r="U3121" s="394" ph="1"/>
    </row>
    <row r="3122" spans="21:21" ht="26.4">
      <c r="U3122" s="394" ph="1"/>
    </row>
    <row r="3123" spans="21:21" ht="26.4">
      <c r="U3123" s="394" ph="1"/>
    </row>
    <row r="3124" spans="21:21" ht="26.4">
      <c r="U3124" s="394" ph="1"/>
    </row>
    <row r="3125" spans="21:21" ht="26.4">
      <c r="U3125" s="394" ph="1"/>
    </row>
    <row r="3126" spans="21:21" ht="26.4">
      <c r="U3126" s="394" ph="1"/>
    </row>
    <row r="3127" spans="21:21" ht="26.4">
      <c r="U3127" s="394" ph="1"/>
    </row>
    <row r="3128" spans="21:21" ht="26.4">
      <c r="U3128" s="394" ph="1"/>
    </row>
    <row r="3129" spans="21:21" ht="26.4">
      <c r="U3129" s="394" ph="1"/>
    </row>
    <row r="3130" spans="21:21" ht="26.4">
      <c r="U3130" s="394" ph="1"/>
    </row>
    <row r="3131" spans="21:21" ht="26.4">
      <c r="U3131" s="394" ph="1"/>
    </row>
    <row r="3132" spans="21:21" ht="26.4">
      <c r="U3132" s="394" ph="1"/>
    </row>
    <row r="3133" spans="21:21" ht="26.4">
      <c r="U3133" s="394" ph="1"/>
    </row>
    <row r="3134" spans="21:21" ht="26.4">
      <c r="U3134" s="394" ph="1"/>
    </row>
    <row r="3135" spans="21:21" ht="26.4">
      <c r="U3135" s="394" ph="1"/>
    </row>
    <row r="3136" spans="21:21" ht="26.4">
      <c r="U3136" s="394" ph="1"/>
    </row>
    <row r="3137" spans="21:21" ht="26.4">
      <c r="U3137" s="394" ph="1"/>
    </row>
    <row r="3138" spans="21:21" ht="26.4">
      <c r="U3138" s="394" ph="1"/>
    </row>
    <row r="3139" spans="21:21" ht="26.4">
      <c r="U3139" s="394" ph="1"/>
    </row>
    <row r="3140" spans="21:21" ht="26.4">
      <c r="U3140" s="394" ph="1"/>
    </row>
    <row r="3141" spans="21:21" ht="26.4">
      <c r="U3141" s="394" ph="1"/>
    </row>
    <row r="3142" spans="21:21" ht="26.4">
      <c r="U3142" s="394" ph="1"/>
    </row>
    <row r="3143" spans="21:21" ht="26.4">
      <c r="U3143" s="394" ph="1"/>
    </row>
    <row r="3144" spans="21:21" ht="26.4">
      <c r="U3144" s="394" ph="1"/>
    </row>
    <row r="3145" spans="21:21" ht="26.4">
      <c r="U3145" s="394" ph="1"/>
    </row>
    <row r="3146" spans="21:21" ht="26.4">
      <c r="U3146" s="394" ph="1"/>
    </row>
    <row r="3147" spans="21:21" ht="26.4">
      <c r="U3147" s="394" ph="1"/>
    </row>
    <row r="3148" spans="21:21" ht="26.4">
      <c r="U3148" s="394" ph="1"/>
    </row>
    <row r="3149" spans="21:21" ht="26.4">
      <c r="U3149" s="394" ph="1"/>
    </row>
    <row r="3150" spans="21:21" ht="26.4">
      <c r="U3150" s="394" ph="1"/>
    </row>
    <row r="3151" spans="21:21" ht="26.4">
      <c r="U3151" s="394" ph="1"/>
    </row>
    <row r="3152" spans="21:21" ht="26.4">
      <c r="U3152" s="394" ph="1"/>
    </row>
    <row r="3153" spans="21:21" ht="26.4">
      <c r="U3153" s="394" ph="1"/>
    </row>
    <row r="3154" spans="21:21" ht="26.4">
      <c r="U3154" s="394" ph="1"/>
    </row>
    <row r="3155" spans="21:21" ht="26.4">
      <c r="U3155" s="394" ph="1"/>
    </row>
    <row r="3156" spans="21:21" ht="26.4">
      <c r="U3156" s="394" ph="1"/>
    </row>
    <row r="3157" spans="21:21" ht="26.4">
      <c r="U3157" s="394" ph="1"/>
    </row>
    <row r="3158" spans="21:21" ht="26.4">
      <c r="U3158" s="394" ph="1"/>
    </row>
    <row r="3159" spans="21:21" ht="26.4">
      <c r="U3159" s="394" ph="1"/>
    </row>
    <row r="3160" spans="21:21" ht="26.4">
      <c r="U3160" s="394" ph="1"/>
    </row>
    <row r="3161" spans="21:21" ht="26.4">
      <c r="U3161" s="394" ph="1"/>
    </row>
    <row r="3162" spans="21:21" ht="26.4">
      <c r="U3162" s="394" ph="1"/>
    </row>
    <row r="3163" spans="21:21" ht="26.4">
      <c r="U3163" s="394" ph="1"/>
    </row>
    <row r="3164" spans="21:21" ht="26.4">
      <c r="U3164" s="394" ph="1"/>
    </row>
    <row r="3165" spans="21:21" ht="26.4">
      <c r="U3165" s="394" ph="1"/>
    </row>
    <row r="3166" spans="21:21" ht="26.4">
      <c r="U3166" s="394" ph="1"/>
    </row>
    <row r="3167" spans="21:21" ht="26.4">
      <c r="U3167" s="394" ph="1"/>
    </row>
    <row r="3168" spans="21:21" ht="26.4">
      <c r="U3168" s="394" ph="1"/>
    </row>
    <row r="3169" spans="21:21" ht="26.4">
      <c r="U3169" s="394" ph="1"/>
    </row>
    <row r="3170" spans="21:21" ht="26.4">
      <c r="U3170" s="394" ph="1"/>
    </row>
    <row r="3171" spans="21:21" ht="26.4">
      <c r="U3171" s="394" ph="1"/>
    </row>
    <row r="3172" spans="21:21" ht="26.4">
      <c r="U3172" s="394" ph="1"/>
    </row>
    <row r="3173" spans="21:21" ht="26.4">
      <c r="U3173" s="394" ph="1"/>
    </row>
    <row r="3174" spans="21:21" ht="26.4">
      <c r="U3174" s="394" ph="1"/>
    </row>
    <row r="3175" spans="21:21" ht="26.4">
      <c r="U3175" s="394" ph="1"/>
    </row>
    <row r="3176" spans="21:21" ht="26.4">
      <c r="U3176" s="394" ph="1"/>
    </row>
    <row r="3177" spans="21:21" ht="26.4">
      <c r="U3177" s="394" ph="1"/>
    </row>
    <row r="3178" spans="21:21" ht="26.4">
      <c r="U3178" s="394" ph="1"/>
    </row>
    <row r="3179" spans="21:21" ht="26.4">
      <c r="U3179" s="394" ph="1"/>
    </row>
    <row r="3180" spans="21:21" ht="26.4">
      <c r="U3180" s="394" ph="1"/>
    </row>
    <row r="3181" spans="21:21" ht="26.4">
      <c r="U3181" s="394" ph="1"/>
    </row>
    <row r="3182" spans="21:21" ht="26.4">
      <c r="U3182" s="394" ph="1"/>
    </row>
    <row r="3183" spans="21:21" ht="26.4">
      <c r="U3183" s="394" ph="1"/>
    </row>
    <row r="3184" spans="21:21" ht="26.4">
      <c r="U3184" s="394" ph="1"/>
    </row>
    <row r="3185" spans="21:21" ht="26.4">
      <c r="U3185" s="394" ph="1"/>
    </row>
    <row r="3186" spans="21:21" ht="26.4">
      <c r="U3186" s="394" ph="1"/>
    </row>
    <row r="3187" spans="21:21" ht="26.4">
      <c r="U3187" s="394" ph="1"/>
    </row>
    <row r="3188" spans="21:21" ht="26.4">
      <c r="U3188" s="394" ph="1"/>
    </row>
    <row r="3189" spans="21:21" ht="26.4">
      <c r="U3189" s="394" ph="1"/>
    </row>
    <row r="3190" spans="21:21" ht="26.4">
      <c r="U3190" s="394" ph="1"/>
    </row>
    <row r="3191" spans="21:21" ht="26.4">
      <c r="U3191" s="394" ph="1"/>
    </row>
    <row r="3192" spans="21:21" ht="26.4">
      <c r="U3192" s="394" ph="1"/>
    </row>
    <row r="3193" spans="21:21" ht="26.4">
      <c r="U3193" s="394" ph="1"/>
    </row>
    <row r="3194" spans="21:21" ht="26.4">
      <c r="U3194" s="394" ph="1"/>
    </row>
    <row r="3195" spans="21:21" ht="26.4">
      <c r="U3195" s="394" ph="1"/>
    </row>
    <row r="3196" spans="21:21" ht="26.4">
      <c r="U3196" s="394" ph="1"/>
    </row>
    <row r="3197" spans="21:21" ht="26.4">
      <c r="U3197" s="394" ph="1"/>
    </row>
    <row r="3198" spans="21:21" ht="26.4">
      <c r="U3198" s="394" ph="1"/>
    </row>
    <row r="3199" spans="21:21" ht="26.4">
      <c r="U3199" s="394" ph="1"/>
    </row>
    <row r="3200" spans="21:21" ht="26.4">
      <c r="U3200" s="394" ph="1"/>
    </row>
    <row r="3201" spans="21:21" ht="26.4">
      <c r="U3201" s="394" ph="1"/>
    </row>
    <row r="3202" spans="21:21" ht="26.4">
      <c r="U3202" s="394" ph="1"/>
    </row>
    <row r="3203" spans="21:21" ht="26.4">
      <c r="U3203" s="394" ph="1"/>
    </row>
    <row r="3204" spans="21:21" ht="26.4">
      <c r="U3204" s="394" ph="1"/>
    </row>
    <row r="3205" spans="21:21" ht="26.4">
      <c r="U3205" s="394" ph="1"/>
    </row>
    <row r="3206" spans="21:21" ht="26.4">
      <c r="U3206" s="394" ph="1"/>
    </row>
    <row r="3207" spans="21:21" ht="26.4">
      <c r="U3207" s="394" ph="1"/>
    </row>
    <row r="3208" spans="21:21" ht="26.4">
      <c r="U3208" s="394" ph="1"/>
    </row>
    <row r="3209" spans="21:21" ht="26.4">
      <c r="U3209" s="394" ph="1"/>
    </row>
    <row r="3210" spans="21:21" ht="26.4">
      <c r="U3210" s="394" ph="1"/>
    </row>
    <row r="3211" spans="21:21" ht="26.4">
      <c r="U3211" s="394" ph="1"/>
    </row>
    <row r="3212" spans="21:21" ht="26.4">
      <c r="U3212" s="394" ph="1"/>
    </row>
    <row r="3213" spans="21:21" ht="26.4">
      <c r="U3213" s="394" ph="1"/>
    </row>
    <row r="3214" spans="21:21" ht="26.4">
      <c r="U3214" s="394" ph="1"/>
    </row>
    <row r="3215" spans="21:21" ht="26.4">
      <c r="U3215" s="394" ph="1"/>
    </row>
    <row r="3216" spans="21:21" ht="26.4">
      <c r="U3216" s="394" ph="1"/>
    </row>
    <row r="3217" spans="21:21" ht="26.4">
      <c r="U3217" s="394" ph="1"/>
    </row>
    <row r="3218" spans="21:21" ht="26.4">
      <c r="U3218" s="394" ph="1"/>
    </row>
    <row r="3219" spans="21:21" ht="26.4">
      <c r="U3219" s="394" ph="1"/>
    </row>
    <row r="3220" spans="21:21" ht="26.4">
      <c r="U3220" s="394" ph="1"/>
    </row>
    <row r="3221" spans="21:21" ht="26.4">
      <c r="U3221" s="394" ph="1"/>
    </row>
    <row r="3222" spans="21:21" ht="26.4">
      <c r="U3222" s="394" ph="1"/>
    </row>
    <row r="3223" spans="21:21" ht="26.4">
      <c r="U3223" s="394" ph="1"/>
    </row>
    <row r="3224" spans="21:21" ht="26.4">
      <c r="U3224" s="394" ph="1"/>
    </row>
    <row r="3225" spans="21:21" ht="26.4">
      <c r="U3225" s="394" ph="1"/>
    </row>
    <row r="3226" spans="21:21" ht="26.4">
      <c r="U3226" s="394" ph="1"/>
    </row>
    <row r="3227" spans="21:21" ht="26.4">
      <c r="U3227" s="394" ph="1"/>
    </row>
    <row r="3228" spans="21:21" ht="26.4">
      <c r="U3228" s="394" ph="1"/>
    </row>
    <row r="3229" spans="21:21" ht="26.4">
      <c r="U3229" s="394" ph="1"/>
    </row>
    <row r="3230" spans="21:21" ht="26.4">
      <c r="U3230" s="394" ph="1"/>
    </row>
    <row r="3231" spans="21:21" ht="26.4">
      <c r="U3231" s="394" ph="1"/>
    </row>
    <row r="3232" spans="21:21" ht="26.4">
      <c r="U3232" s="394" ph="1"/>
    </row>
    <row r="3233" spans="21:21" ht="26.4">
      <c r="U3233" s="394" ph="1"/>
    </row>
    <row r="3234" spans="21:21" ht="26.4">
      <c r="U3234" s="394" ph="1"/>
    </row>
    <row r="3235" spans="21:21" ht="26.4">
      <c r="U3235" s="394" ph="1"/>
    </row>
    <row r="3236" spans="21:21" ht="26.4">
      <c r="U3236" s="394" ph="1"/>
    </row>
    <row r="3237" spans="21:21" ht="26.4">
      <c r="U3237" s="394" ph="1"/>
    </row>
    <row r="3238" spans="21:21" ht="26.4">
      <c r="U3238" s="394" ph="1"/>
    </row>
    <row r="3239" spans="21:21" ht="26.4">
      <c r="U3239" s="394" ph="1"/>
    </row>
    <row r="3240" spans="21:21" ht="26.4">
      <c r="U3240" s="394" ph="1"/>
    </row>
    <row r="3241" spans="21:21" ht="26.4">
      <c r="U3241" s="394" ph="1"/>
    </row>
    <row r="3242" spans="21:21" ht="26.4">
      <c r="U3242" s="394" ph="1"/>
    </row>
    <row r="3243" spans="21:21" ht="26.4">
      <c r="U3243" s="394" ph="1"/>
    </row>
    <row r="3244" spans="21:21" ht="26.4">
      <c r="U3244" s="394" ph="1"/>
    </row>
    <row r="3245" spans="21:21" ht="26.4">
      <c r="U3245" s="394" ph="1"/>
    </row>
    <row r="3246" spans="21:21" ht="26.4">
      <c r="U3246" s="394" ph="1"/>
    </row>
    <row r="3247" spans="21:21" ht="26.4">
      <c r="U3247" s="394" ph="1"/>
    </row>
    <row r="3248" spans="21:21" ht="26.4">
      <c r="U3248" s="394" ph="1"/>
    </row>
    <row r="3249" spans="21:21" ht="26.4">
      <c r="U3249" s="394" ph="1"/>
    </row>
    <row r="3250" spans="21:21" ht="26.4">
      <c r="U3250" s="394" ph="1"/>
    </row>
    <row r="3251" spans="21:21" ht="26.4">
      <c r="U3251" s="394" ph="1"/>
    </row>
    <row r="3252" spans="21:21" ht="26.4">
      <c r="U3252" s="394" ph="1"/>
    </row>
    <row r="3253" spans="21:21" ht="26.4">
      <c r="U3253" s="394" ph="1"/>
    </row>
    <row r="3254" spans="21:21" ht="26.4">
      <c r="U3254" s="394" ph="1"/>
    </row>
    <row r="3255" spans="21:21" ht="26.4">
      <c r="U3255" s="394" ph="1"/>
    </row>
    <row r="3256" spans="21:21" ht="26.4">
      <c r="U3256" s="394" ph="1"/>
    </row>
    <row r="3257" spans="21:21" ht="26.4">
      <c r="U3257" s="394" ph="1"/>
    </row>
    <row r="3258" spans="21:21" ht="26.4">
      <c r="U3258" s="394" ph="1"/>
    </row>
    <row r="3259" spans="21:21" ht="26.4">
      <c r="U3259" s="394" ph="1"/>
    </row>
    <row r="3260" spans="21:21" ht="26.4">
      <c r="U3260" s="394" ph="1"/>
    </row>
    <row r="3261" spans="21:21" ht="26.4">
      <c r="U3261" s="394" ph="1"/>
    </row>
    <row r="3262" spans="21:21" ht="26.4">
      <c r="U3262" s="394" ph="1"/>
    </row>
    <row r="3263" spans="21:21" ht="26.4">
      <c r="U3263" s="394" ph="1"/>
    </row>
    <row r="3264" spans="21:21" ht="26.4">
      <c r="U3264" s="394" ph="1"/>
    </row>
    <row r="3265" spans="21:21" ht="26.4">
      <c r="U3265" s="394" ph="1"/>
    </row>
    <row r="3266" spans="21:21" ht="26.4">
      <c r="U3266" s="394" ph="1"/>
    </row>
    <row r="3267" spans="21:21" ht="26.4">
      <c r="U3267" s="394" ph="1"/>
    </row>
    <row r="3268" spans="21:21" ht="26.4">
      <c r="U3268" s="394" ph="1"/>
    </row>
    <row r="3269" spans="21:21" ht="26.4">
      <c r="U3269" s="394" ph="1"/>
    </row>
    <row r="3270" spans="21:21" ht="26.4">
      <c r="U3270" s="394" ph="1"/>
    </row>
    <row r="3271" spans="21:21" ht="26.4">
      <c r="U3271" s="394" ph="1"/>
    </row>
    <row r="3272" spans="21:21" ht="26.4">
      <c r="U3272" s="394" ph="1"/>
    </row>
    <row r="3273" spans="21:21" ht="26.4">
      <c r="U3273" s="394" ph="1"/>
    </row>
    <row r="3274" spans="21:21" ht="26.4">
      <c r="U3274" s="394" ph="1"/>
    </row>
    <row r="3275" spans="21:21" ht="26.4">
      <c r="U3275" s="394" ph="1"/>
    </row>
    <row r="3276" spans="21:21" ht="26.4">
      <c r="U3276" s="394" ph="1"/>
    </row>
    <row r="3277" spans="21:21" ht="26.4">
      <c r="U3277" s="394" ph="1"/>
    </row>
    <row r="3278" spans="21:21" ht="26.4">
      <c r="U3278" s="394" ph="1"/>
    </row>
    <row r="3279" spans="21:21" ht="26.4">
      <c r="U3279" s="394" ph="1"/>
    </row>
    <row r="3280" spans="21:21" ht="26.4">
      <c r="U3280" s="394" ph="1"/>
    </row>
    <row r="3281" spans="21:21" ht="26.4">
      <c r="U3281" s="394" ph="1"/>
    </row>
    <row r="3282" spans="21:21" ht="26.4">
      <c r="U3282" s="394" ph="1"/>
    </row>
    <row r="3283" spans="21:21" ht="26.4">
      <c r="U3283" s="394" ph="1"/>
    </row>
    <row r="3284" spans="21:21" ht="26.4">
      <c r="U3284" s="394" ph="1"/>
    </row>
    <row r="3285" spans="21:21" ht="26.4">
      <c r="U3285" s="394" ph="1"/>
    </row>
    <row r="3286" spans="21:21" ht="26.4">
      <c r="U3286" s="394" ph="1"/>
    </row>
    <row r="3287" spans="21:21" ht="26.4">
      <c r="U3287" s="394" ph="1"/>
    </row>
    <row r="3288" spans="21:21" ht="26.4">
      <c r="U3288" s="394" ph="1"/>
    </row>
    <row r="3289" spans="21:21" ht="26.4">
      <c r="U3289" s="394" ph="1"/>
    </row>
    <row r="3290" spans="21:21" ht="26.4">
      <c r="U3290" s="394" ph="1"/>
    </row>
    <row r="3291" spans="21:21" ht="26.4">
      <c r="U3291" s="394" ph="1"/>
    </row>
    <row r="3292" spans="21:21" ht="26.4">
      <c r="U3292" s="394" ph="1"/>
    </row>
    <row r="3293" spans="21:21" ht="26.4">
      <c r="U3293" s="394" ph="1"/>
    </row>
    <row r="3294" spans="21:21" ht="26.4">
      <c r="U3294" s="394" ph="1"/>
    </row>
    <row r="3295" spans="21:21" ht="26.4">
      <c r="U3295" s="394" ph="1"/>
    </row>
    <row r="3296" spans="21:21" ht="26.4">
      <c r="U3296" s="394" ph="1"/>
    </row>
    <row r="3297" spans="21:21" ht="26.4">
      <c r="U3297" s="394" ph="1"/>
    </row>
    <row r="3298" spans="21:21" ht="26.4">
      <c r="U3298" s="394" ph="1"/>
    </row>
    <row r="3299" spans="21:21" ht="26.4">
      <c r="U3299" s="394" ph="1"/>
    </row>
    <row r="3300" spans="21:21" ht="26.4">
      <c r="U3300" s="394" ph="1"/>
    </row>
    <row r="3301" spans="21:21" ht="26.4">
      <c r="U3301" s="394" ph="1"/>
    </row>
    <row r="3302" spans="21:21" ht="26.4">
      <c r="U3302" s="394" ph="1"/>
    </row>
    <row r="3303" spans="21:21" ht="26.4">
      <c r="U3303" s="394" ph="1"/>
    </row>
    <row r="3304" spans="21:21" ht="26.4">
      <c r="U3304" s="394" ph="1"/>
    </row>
    <row r="3305" spans="21:21" ht="26.4">
      <c r="U3305" s="394" ph="1"/>
    </row>
    <row r="3306" spans="21:21" ht="26.4">
      <c r="U3306" s="394" ph="1"/>
    </row>
    <row r="3307" spans="21:21" ht="26.4">
      <c r="U3307" s="394" ph="1"/>
    </row>
    <row r="3308" spans="21:21" ht="26.4">
      <c r="U3308" s="394" ph="1"/>
    </row>
    <row r="3309" spans="21:21" ht="26.4">
      <c r="U3309" s="394" ph="1"/>
    </row>
    <row r="3310" spans="21:21" ht="26.4">
      <c r="U3310" s="394" ph="1"/>
    </row>
    <row r="3311" spans="21:21" ht="26.4">
      <c r="U3311" s="394" ph="1"/>
    </row>
    <row r="3312" spans="21:21" ht="26.4">
      <c r="U3312" s="394" ph="1"/>
    </row>
    <row r="3313" spans="21:21" ht="26.4">
      <c r="U3313" s="394" ph="1"/>
    </row>
    <row r="3314" spans="21:21" ht="26.4">
      <c r="U3314" s="394" ph="1"/>
    </row>
    <row r="3315" spans="21:21" ht="26.4">
      <c r="U3315" s="394" ph="1"/>
    </row>
    <row r="3316" spans="21:21" ht="26.4">
      <c r="U3316" s="394" ph="1"/>
    </row>
    <row r="3317" spans="21:21" ht="26.4">
      <c r="U3317" s="394" ph="1"/>
    </row>
    <row r="3318" spans="21:21" ht="26.4">
      <c r="U3318" s="394" ph="1"/>
    </row>
    <row r="3319" spans="21:21" ht="26.4">
      <c r="U3319" s="394" ph="1"/>
    </row>
    <row r="3320" spans="21:21" ht="26.4">
      <c r="U3320" s="394" ph="1"/>
    </row>
    <row r="3321" spans="21:21" ht="26.4">
      <c r="U3321" s="394" ph="1"/>
    </row>
    <row r="3322" spans="21:21" ht="26.4">
      <c r="U3322" s="394" ph="1"/>
    </row>
    <row r="3323" spans="21:21" ht="26.4">
      <c r="U3323" s="394" ph="1"/>
    </row>
    <row r="3324" spans="21:21" ht="26.4">
      <c r="U3324" s="394" ph="1"/>
    </row>
    <row r="3325" spans="21:21" ht="26.4">
      <c r="U3325" s="394" ph="1"/>
    </row>
    <row r="3326" spans="21:21" ht="26.4">
      <c r="U3326" s="394" ph="1"/>
    </row>
    <row r="3327" spans="21:21" ht="26.4">
      <c r="U3327" s="394" ph="1"/>
    </row>
    <row r="3328" spans="21:21" ht="26.4">
      <c r="U3328" s="394" ph="1"/>
    </row>
    <row r="3329" spans="21:21" ht="26.4">
      <c r="U3329" s="394" ph="1"/>
    </row>
    <row r="3330" spans="21:21" ht="26.4">
      <c r="U3330" s="394" ph="1"/>
    </row>
    <row r="3331" spans="21:21" ht="26.4">
      <c r="U3331" s="394" ph="1"/>
    </row>
    <row r="3332" spans="21:21" ht="26.4">
      <c r="U3332" s="394" ph="1"/>
    </row>
    <row r="3333" spans="21:21" ht="26.4">
      <c r="U3333" s="394" ph="1"/>
    </row>
    <row r="3334" spans="21:21" ht="26.4">
      <c r="U3334" s="394" ph="1"/>
    </row>
    <row r="3335" spans="21:21" ht="26.4">
      <c r="U3335" s="394" ph="1"/>
    </row>
    <row r="3336" spans="21:21" ht="26.4">
      <c r="U3336" s="394" ph="1"/>
    </row>
    <row r="3337" spans="21:21" ht="26.4">
      <c r="U3337" s="394" ph="1"/>
    </row>
    <row r="3338" spans="21:21" ht="26.4">
      <c r="U3338" s="394" ph="1"/>
    </row>
    <row r="3339" spans="21:21" ht="26.4">
      <c r="U3339" s="394" ph="1"/>
    </row>
    <row r="3340" spans="21:21" ht="26.4">
      <c r="U3340" s="394" ph="1"/>
    </row>
    <row r="3341" spans="21:21" ht="26.4">
      <c r="U3341" s="394" ph="1"/>
    </row>
    <row r="3342" spans="21:21" ht="26.4">
      <c r="U3342" s="394" ph="1"/>
    </row>
    <row r="3343" spans="21:21" ht="26.4">
      <c r="U3343" s="394" ph="1"/>
    </row>
    <row r="3344" spans="21:21" ht="26.4">
      <c r="U3344" s="394" ph="1"/>
    </row>
    <row r="3345" spans="21:21" ht="26.4">
      <c r="U3345" s="394" ph="1"/>
    </row>
    <row r="3346" spans="21:21" ht="26.4">
      <c r="U3346" s="394" ph="1"/>
    </row>
    <row r="3347" spans="21:21" ht="26.4">
      <c r="U3347" s="394" ph="1"/>
    </row>
    <row r="3348" spans="21:21" ht="26.4">
      <c r="U3348" s="394" ph="1"/>
    </row>
    <row r="3349" spans="21:21" ht="26.4">
      <c r="U3349" s="394" ph="1"/>
    </row>
    <row r="3350" spans="21:21" ht="26.4">
      <c r="U3350" s="394" ph="1"/>
    </row>
    <row r="3351" spans="21:21" ht="26.4">
      <c r="U3351" s="394" ph="1"/>
    </row>
    <row r="3352" spans="21:21" ht="26.4">
      <c r="U3352" s="394" ph="1"/>
    </row>
    <row r="3353" spans="21:21" ht="26.4">
      <c r="U3353" s="394" ph="1"/>
    </row>
    <row r="3354" spans="21:21" ht="26.4">
      <c r="U3354" s="394" ph="1"/>
    </row>
    <row r="3355" spans="21:21" ht="26.4">
      <c r="U3355" s="394" ph="1"/>
    </row>
    <row r="3356" spans="21:21" ht="26.4">
      <c r="U3356" s="394" ph="1"/>
    </row>
    <row r="3357" spans="21:21" ht="26.4">
      <c r="U3357" s="394" ph="1"/>
    </row>
    <row r="3358" spans="21:21" ht="26.4">
      <c r="U3358" s="394" ph="1"/>
    </row>
    <row r="3359" spans="21:21" ht="26.4">
      <c r="U3359" s="394" ph="1"/>
    </row>
    <row r="3360" spans="21:21" ht="26.4">
      <c r="U3360" s="394" ph="1"/>
    </row>
    <row r="3361" spans="21:21" ht="26.4">
      <c r="U3361" s="394" ph="1"/>
    </row>
    <row r="3362" spans="21:21" ht="26.4">
      <c r="U3362" s="394" ph="1"/>
    </row>
    <row r="3363" spans="21:21" ht="26.4">
      <c r="U3363" s="394" ph="1"/>
    </row>
    <row r="3364" spans="21:21" ht="26.4">
      <c r="U3364" s="394" ph="1"/>
    </row>
    <row r="3365" spans="21:21" ht="26.4">
      <c r="U3365" s="394" ph="1"/>
    </row>
    <row r="3366" spans="21:21" ht="26.4">
      <c r="U3366" s="394" ph="1"/>
    </row>
    <row r="3367" spans="21:21" ht="26.4">
      <c r="U3367" s="394" ph="1"/>
    </row>
    <row r="3368" spans="21:21" ht="26.4">
      <c r="U3368" s="394" ph="1"/>
    </row>
    <row r="3369" spans="21:21" ht="26.4">
      <c r="U3369" s="394" ph="1"/>
    </row>
    <row r="3370" spans="21:21" ht="26.4">
      <c r="U3370" s="394" ph="1"/>
    </row>
    <row r="3371" spans="21:21" ht="26.4">
      <c r="U3371" s="394" ph="1"/>
    </row>
    <row r="3372" spans="21:21" ht="26.4">
      <c r="U3372" s="394" ph="1"/>
    </row>
    <row r="3373" spans="21:21" ht="26.4">
      <c r="U3373" s="394" ph="1"/>
    </row>
    <row r="3374" spans="21:21" ht="26.4">
      <c r="U3374" s="394" ph="1"/>
    </row>
    <row r="3375" spans="21:21" ht="26.4">
      <c r="U3375" s="394" ph="1"/>
    </row>
    <row r="3376" spans="21:21" ht="26.4">
      <c r="U3376" s="394" ph="1"/>
    </row>
    <row r="3377" spans="21:21" ht="26.4">
      <c r="U3377" s="394" ph="1"/>
    </row>
    <row r="3378" spans="21:21" ht="26.4">
      <c r="U3378" s="394" ph="1"/>
    </row>
    <row r="3379" spans="21:21" ht="26.4">
      <c r="U3379" s="394" ph="1"/>
    </row>
    <row r="3380" spans="21:21" ht="26.4">
      <c r="U3380" s="394" ph="1"/>
    </row>
    <row r="3381" spans="21:21" ht="26.4">
      <c r="U3381" s="394" ph="1"/>
    </row>
    <row r="3382" spans="21:21" ht="26.4">
      <c r="U3382" s="394" ph="1"/>
    </row>
    <row r="3383" spans="21:21" ht="26.4">
      <c r="U3383" s="394" ph="1"/>
    </row>
    <row r="3384" spans="21:21" ht="26.4">
      <c r="U3384" s="394" ph="1"/>
    </row>
    <row r="3385" spans="21:21" ht="26.4">
      <c r="U3385" s="394" ph="1"/>
    </row>
    <row r="3386" spans="21:21" ht="26.4">
      <c r="U3386" s="394" ph="1"/>
    </row>
    <row r="3387" spans="21:21" ht="26.4">
      <c r="U3387" s="394" ph="1"/>
    </row>
    <row r="3388" spans="21:21" ht="26.4">
      <c r="U3388" s="394" ph="1"/>
    </row>
    <row r="3389" spans="21:21" ht="26.4">
      <c r="U3389" s="394" ph="1"/>
    </row>
    <row r="3390" spans="21:21" ht="26.4">
      <c r="U3390" s="394" ph="1"/>
    </row>
    <row r="3391" spans="21:21" ht="26.4">
      <c r="U3391" s="394" ph="1"/>
    </row>
    <row r="3392" spans="21:21" ht="26.4">
      <c r="U3392" s="394" ph="1"/>
    </row>
    <row r="3393" spans="21:21" ht="26.4">
      <c r="U3393" s="394" ph="1"/>
    </row>
    <row r="3394" spans="21:21" ht="26.4">
      <c r="U3394" s="394" ph="1"/>
    </row>
    <row r="3395" spans="21:21" ht="26.4">
      <c r="U3395" s="394" ph="1"/>
    </row>
    <row r="3396" spans="21:21" ht="26.4">
      <c r="U3396" s="394" ph="1"/>
    </row>
    <row r="3397" spans="21:21" ht="26.4">
      <c r="U3397" s="394" ph="1"/>
    </row>
    <row r="3398" spans="21:21" ht="26.4">
      <c r="U3398" s="394" ph="1"/>
    </row>
    <row r="3399" spans="21:21" ht="26.4">
      <c r="U3399" s="394" ph="1"/>
    </row>
    <row r="3400" spans="21:21" ht="26.4">
      <c r="U3400" s="394" ph="1"/>
    </row>
    <row r="3401" spans="21:21" ht="26.4">
      <c r="U3401" s="394" ph="1"/>
    </row>
    <row r="3402" spans="21:21" ht="26.4">
      <c r="U3402" s="394" ph="1"/>
    </row>
    <row r="3403" spans="21:21" ht="26.4">
      <c r="U3403" s="394" ph="1"/>
    </row>
    <row r="3404" spans="21:21" ht="26.4">
      <c r="U3404" s="394" ph="1"/>
    </row>
    <row r="3405" spans="21:21" ht="26.4">
      <c r="U3405" s="394" ph="1"/>
    </row>
    <row r="3406" spans="21:21" ht="26.4">
      <c r="U3406" s="394" ph="1"/>
    </row>
    <row r="3407" spans="21:21" ht="26.4">
      <c r="U3407" s="394" ph="1"/>
    </row>
    <row r="3408" spans="21:21" ht="26.4">
      <c r="U3408" s="394" ph="1"/>
    </row>
    <row r="3409" spans="21:21" ht="26.4">
      <c r="U3409" s="394" ph="1"/>
    </row>
    <row r="3410" spans="21:21" ht="26.4">
      <c r="U3410" s="394" ph="1"/>
    </row>
    <row r="3411" spans="21:21" ht="26.4">
      <c r="U3411" s="394" ph="1"/>
    </row>
    <row r="3412" spans="21:21" ht="26.4">
      <c r="U3412" s="394" ph="1"/>
    </row>
    <row r="3413" spans="21:21" ht="26.4">
      <c r="U3413" s="394" ph="1"/>
    </row>
    <row r="3414" spans="21:21" ht="26.4">
      <c r="U3414" s="394" ph="1"/>
    </row>
    <row r="3415" spans="21:21" ht="26.4">
      <c r="U3415" s="394" ph="1"/>
    </row>
    <row r="3416" spans="21:21" ht="26.4">
      <c r="U3416" s="394" ph="1"/>
    </row>
    <row r="3417" spans="21:21" ht="26.4">
      <c r="U3417" s="394" ph="1"/>
    </row>
    <row r="3418" spans="21:21" ht="26.4">
      <c r="U3418" s="394" ph="1"/>
    </row>
    <row r="3419" spans="21:21" ht="26.4">
      <c r="U3419" s="394" ph="1"/>
    </row>
    <row r="3420" spans="21:21" ht="26.4">
      <c r="U3420" s="394" ph="1"/>
    </row>
    <row r="3421" spans="21:21" ht="26.4">
      <c r="U3421" s="394" ph="1"/>
    </row>
    <row r="3422" spans="21:21" ht="26.4">
      <c r="U3422" s="394" ph="1"/>
    </row>
    <row r="3423" spans="21:21" ht="26.4">
      <c r="U3423" s="394" ph="1"/>
    </row>
    <row r="3424" spans="21:21" ht="26.4">
      <c r="U3424" s="394" ph="1"/>
    </row>
    <row r="3425" spans="21:21" ht="26.4">
      <c r="U3425" s="394" ph="1"/>
    </row>
    <row r="3426" spans="21:21" ht="26.4">
      <c r="U3426" s="394" ph="1"/>
    </row>
    <row r="3427" spans="21:21" ht="26.4">
      <c r="U3427" s="394" ph="1"/>
    </row>
    <row r="3428" spans="21:21" ht="26.4">
      <c r="U3428" s="394" ph="1"/>
    </row>
    <row r="3429" spans="21:21" ht="26.4">
      <c r="U3429" s="394" ph="1"/>
    </row>
    <row r="3430" spans="21:21" ht="26.4">
      <c r="U3430" s="394" ph="1"/>
    </row>
    <row r="3431" spans="21:21" ht="26.4">
      <c r="U3431" s="394" ph="1"/>
    </row>
    <row r="3432" spans="21:21" ht="26.4">
      <c r="U3432" s="394" ph="1"/>
    </row>
    <row r="3433" spans="21:21" ht="26.4">
      <c r="U3433" s="394" ph="1"/>
    </row>
    <row r="3434" spans="21:21" ht="26.4">
      <c r="U3434" s="394" ph="1"/>
    </row>
    <row r="3435" spans="21:21" ht="26.4">
      <c r="U3435" s="394" ph="1"/>
    </row>
    <row r="3436" spans="21:21" ht="26.4">
      <c r="U3436" s="394" ph="1"/>
    </row>
    <row r="3437" spans="21:21" ht="26.4">
      <c r="U3437" s="394" ph="1"/>
    </row>
    <row r="3438" spans="21:21" ht="26.4">
      <c r="U3438" s="394" ph="1"/>
    </row>
    <row r="3439" spans="21:21" ht="26.4">
      <c r="U3439" s="394" ph="1"/>
    </row>
    <row r="3440" spans="21:21" ht="26.4">
      <c r="U3440" s="394" ph="1"/>
    </row>
    <row r="3441" spans="21:21" ht="26.4">
      <c r="U3441" s="394" ph="1"/>
    </row>
    <row r="3442" spans="21:21" ht="26.4">
      <c r="U3442" s="394" ph="1"/>
    </row>
    <row r="3443" spans="21:21" ht="26.4">
      <c r="U3443" s="394" ph="1"/>
    </row>
    <row r="3444" spans="21:21" ht="26.4">
      <c r="U3444" s="394" ph="1"/>
    </row>
    <row r="3445" spans="21:21" ht="26.4">
      <c r="U3445" s="394" ph="1"/>
    </row>
    <row r="3446" spans="21:21" ht="26.4">
      <c r="U3446" s="394" ph="1"/>
    </row>
    <row r="3447" spans="21:21" ht="26.4">
      <c r="U3447" s="394" ph="1"/>
    </row>
    <row r="3448" spans="21:21" ht="26.4">
      <c r="U3448" s="394" ph="1"/>
    </row>
    <row r="3449" spans="21:21" ht="26.4">
      <c r="U3449" s="394" ph="1"/>
    </row>
    <row r="3450" spans="21:21" ht="26.4">
      <c r="U3450" s="394" ph="1"/>
    </row>
    <row r="3451" spans="21:21" ht="26.4">
      <c r="U3451" s="394" ph="1"/>
    </row>
    <row r="3452" spans="21:21" ht="26.4">
      <c r="U3452" s="394" ph="1"/>
    </row>
    <row r="3453" spans="21:21" ht="26.4">
      <c r="U3453" s="394" ph="1"/>
    </row>
    <row r="3454" spans="21:21" ht="26.4">
      <c r="U3454" s="394" ph="1"/>
    </row>
    <row r="3455" spans="21:21" ht="26.4">
      <c r="U3455" s="394" ph="1"/>
    </row>
    <row r="3456" spans="21:21" ht="26.4">
      <c r="U3456" s="394" ph="1"/>
    </row>
    <row r="3457" spans="21:21" ht="26.4">
      <c r="U3457" s="394" ph="1"/>
    </row>
    <row r="3458" spans="21:21" ht="26.4">
      <c r="U3458" s="394" ph="1"/>
    </row>
    <row r="3459" spans="21:21" ht="26.4">
      <c r="U3459" s="394" ph="1"/>
    </row>
    <row r="3460" spans="21:21" ht="26.4">
      <c r="U3460" s="394" ph="1"/>
    </row>
    <row r="3461" spans="21:21" ht="26.4">
      <c r="U3461" s="394" ph="1"/>
    </row>
    <row r="3462" spans="21:21" ht="26.4">
      <c r="U3462" s="394" ph="1"/>
    </row>
    <row r="3463" spans="21:21" ht="26.4">
      <c r="U3463" s="394" ph="1"/>
    </row>
    <row r="3464" spans="21:21" ht="26.4">
      <c r="U3464" s="394" ph="1"/>
    </row>
    <row r="3465" spans="21:21" ht="26.4">
      <c r="U3465" s="394" ph="1"/>
    </row>
    <row r="3466" spans="21:21" ht="26.4">
      <c r="U3466" s="394" ph="1"/>
    </row>
    <row r="3467" spans="21:21" ht="26.4">
      <c r="U3467" s="394" ph="1"/>
    </row>
    <row r="3468" spans="21:21" ht="26.4">
      <c r="U3468" s="394" ph="1"/>
    </row>
    <row r="3469" spans="21:21" ht="26.4">
      <c r="U3469" s="394" ph="1"/>
    </row>
    <row r="3470" spans="21:21" ht="26.4">
      <c r="U3470" s="394" ph="1"/>
    </row>
    <row r="3471" spans="21:21" ht="26.4">
      <c r="U3471" s="394" ph="1"/>
    </row>
    <row r="3472" spans="21:21" ht="26.4">
      <c r="U3472" s="394" ph="1"/>
    </row>
    <row r="3473" spans="21:21" ht="26.4">
      <c r="U3473" s="394" ph="1"/>
    </row>
    <row r="3474" spans="21:21" ht="26.4">
      <c r="U3474" s="394" ph="1"/>
    </row>
    <row r="3475" spans="21:21" ht="26.4">
      <c r="U3475" s="394" ph="1"/>
    </row>
    <row r="3476" spans="21:21" ht="26.4">
      <c r="U3476" s="394" ph="1"/>
    </row>
    <row r="3477" spans="21:21" ht="26.4">
      <c r="U3477" s="394" ph="1"/>
    </row>
    <row r="3478" spans="21:21" ht="26.4">
      <c r="U3478" s="394" ph="1"/>
    </row>
    <row r="3479" spans="21:21" ht="26.4">
      <c r="U3479" s="394" ph="1"/>
    </row>
    <row r="3480" spans="21:21" ht="26.4">
      <c r="U3480" s="394" ph="1"/>
    </row>
    <row r="3481" spans="21:21" ht="26.4">
      <c r="U3481" s="394" ph="1"/>
    </row>
    <row r="3482" spans="21:21" ht="26.4">
      <c r="U3482" s="394" ph="1"/>
    </row>
    <row r="3483" spans="21:21" ht="26.4">
      <c r="U3483" s="394" ph="1"/>
    </row>
    <row r="3484" spans="21:21" ht="26.4">
      <c r="U3484" s="394" ph="1"/>
    </row>
    <row r="3485" spans="21:21" ht="26.4">
      <c r="U3485" s="394" ph="1"/>
    </row>
    <row r="3486" spans="21:21" ht="26.4">
      <c r="U3486" s="394" ph="1"/>
    </row>
    <row r="3487" spans="21:21" ht="26.4">
      <c r="U3487" s="394" ph="1"/>
    </row>
    <row r="3488" spans="21:21" ht="26.4">
      <c r="U3488" s="394" ph="1"/>
    </row>
    <row r="3489" spans="21:21" ht="26.4">
      <c r="U3489" s="394" ph="1"/>
    </row>
    <row r="3490" spans="21:21" ht="26.4">
      <c r="U3490" s="394" ph="1"/>
    </row>
    <row r="3491" spans="21:21" ht="26.4">
      <c r="U3491" s="394" ph="1"/>
    </row>
    <row r="3492" spans="21:21" ht="26.4">
      <c r="U3492" s="394" ph="1"/>
    </row>
    <row r="3493" spans="21:21" ht="26.4">
      <c r="U3493" s="394" ph="1"/>
    </row>
    <row r="3494" spans="21:21" ht="26.4">
      <c r="U3494" s="394" ph="1"/>
    </row>
    <row r="3495" spans="21:21" ht="26.4">
      <c r="U3495" s="394" ph="1"/>
    </row>
    <row r="3496" spans="21:21" ht="26.4">
      <c r="U3496" s="394" ph="1"/>
    </row>
    <row r="3497" spans="21:21" ht="26.4">
      <c r="U3497" s="394" ph="1"/>
    </row>
    <row r="3498" spans="21:21" ht="26.4">
      <c r="U3498" s="394" ph="1"/>
    </row>
    <row r="3499" spans="21:21" ht="26.4">
      <c r="U3499" s="394" ph="1"/>
    </row>
    <row r="3500" spans="21:21" ht="26.4">
      <c r="U3500" s="394" ph="1"/>
    </row>
    <row r="3501" spans="21:21" ht="26.4">
      <c r="U3501" s="394" ph="1"/>
    </row>
    <row r="3502" spans="21:21" ht="26.4">
      <c r="U3502" s="394" ph="1"/>
    </row>
    <row r="3503" spans="21:21" ht="26.4">
      <c r="U3503" s="394" ph="1"/>
    </row>
    <row r="3504" spans="21:21" ht="26.4">
      <c r="U3504" s="394" ph="1"/>
    </row>
    <row r="3505" spans="21:21" ht="26.4">
      <c r="U3505" s="394" ph="1"/>
    </row>
    <row r="3506" spans="21:21" ht="26.4">
      <c r="U3506" s="394" ph="1"/>
    </row>
    <row r="3507" spans="21:21" ht="26.4">
      <c r="U3507" s="394" ph="1"/>
    </row>
    <row r="3508" spans="21:21" ht="26.4">
      <c r="U3508" s="394" ph="1"/>
    </row>
    <row r="3509" spans="21:21" ht="26.4">
      <c r="U3509" s="394" ph="1"/>
    </row>
    <row r="3510" spans="21:21" ht="26.4">
      <c r="U3510" s="394" ph="1"/>
    </row>
    <row r="3511" spans="21:21" ht="26.4">
      <c r="U3511" s="394" ph="1"/>
    </row>
    <row r="3512" spans="21:21" ht="26.4">
      <c r="U3512" s="394" ph="1"/>
    </row>
    <row r="3513" spans="21:21" ht="26.4">
      <c r="U3513" s="394" ph="1"/>
    </row>
    <row r="3514" spans="21:21" ht="26.4">
      <c r="U3514" s="394" ph="1"/>
    </row>
    <row r="3515" spans="21:21" ht="26.4">
      <c r="U3515" s="394" ph="1"/>
    </row>
    <row r="3516" spans="21:21" ht="26.4">
      <c r="U3516" s="394" ph="1"/>
    </row>
    <row r="3517" spans="21:21" ht="26.4">
      <c r="U3517" s="394" ph="1"/>
    </row>
    <row r="3518" spans="21:21" ht="26.4">
      <c r="U3518" s="394" ph="1"/>
    </row>
    <row r="3519" spans="21:21" ht="26.4">
      <c r="U3519" s="394" ph="1"/>
    </row>
    <row r="3520" spans="21:21" ht="26.4">
      <c r="U3520" s="394" ph="1"/>
    </row>
    <row r="3521" spans="21:21" ht="26.4">
      <c r="U3521" s="394" ph="1"/>
    </row>
    <row r="3522" spans="21:21" ht="26.4">
      <c r="U3522" s="394" ph="1"/>
    </row>
    <row r="3523" spans="21:21" ht="26.4">
      <c r="U3523" s="394" ph="1"/>
    </row>
    <row r="3524" spans="21:21" ht="26.4">
      <c r="U3524" s="394" ph="1"/>
    </row>
    <row r="3525" spans="21:21" ht="26.4">
      <c r="U3525" s="394" ph="1"/>
    </row>
    <row r="3526" spans="21:21" ht="26.4">
      <c r="U3526" s="394" ph="1"/>
    </row>
    <row r="3527" spans="21:21" ht="26.4">
      <c r="U3527" s="394" ph="1"/>
    </row>
    <row r="3528" spans="21:21" ht="26.4">
      <c r="U3528" s="394" ph="1"/>
    </row>
    <row r="3529" spans="21:21" ht="26.4">
      <c r="U3529" s="394" ph="1"/>
    </row>
    <row r="3530" spans="21:21" ht="26.4">
      <c r="U3530" s="394" ph="1"/>
    </row>
    <row r="3531" spans="21:21" ht="26.4">
      <c r="U3531" s="394" ph="1"/>
    </row>
    <row r="3532" spans="21:21" ht="26.4">
      <c r="U3532" s="394" ph="1"/>
    </row>
    <row r="3533" spans="21:21" ht="26.4">
      <c r="U3533" s="394" ph="1"/>
    </row>
    <row r="3534" spans="21:21" ht="26.4">
      <c r="U3534" s="394" ph="1"/>
    </row>
    <row r="3535" spans="21:21" ht="26.4">
      <c r="U3535" s="394" ph="1"/>
    </row>
    <row r="3536" spans="21:21" ht="26.4">
      <c r="U3536" s="394" ph="1"/>
    </row>
    <row r="3537" spans="21:21" ht="26.4">
      <c r="U3537" s="394" ph="1"/>
    </row>
    <row r="3538" spans="21:21" ht="26.4">
      <c r="U3538" s="394" ph="1"/>
    </row>
    <row r="3539" spans="21:21" ht="26.4">
      <c r="U3539" s="394" ph="1"/>
    </row>
    <row r="3540" spans="21:21" ht="26.4">
      <c r="U3540" s="394" ph="1"/>
    </row>
    <row r="3541" spans="21:21" ht="26.4">
      <c r="U3541" s="394" ph="1"/>
    </row>
    <row r="3542" spans="21:21" ht="26.4">
      <c r="U3542" s="394" ph="1"/>
    </row>
    <row r="3543" spans="21:21" ht="26.4">
      <c r="U3543" s="394" ph="1"/>
    </row>
    <row r="3544" spans="21:21" ht="26.4">
      <c r="U3544" s="394" ph="1"/>
    </row>
    <row r="3545" spans="21:21" ht="26.4">
      <c r="U3545" s="394" ph="1"/>
    </row>
    <row r="3546" spans="21:21" ht="26.4">
      <c r="U3546" s="394" ph="1"/>
    </row>
    <row r="3547" spans="21:21" ht="26.4">
      <c r="U3547" s="394" ph="1"/>
    </row>
    <row r="3548" spans="21:21" ht="26.4">
      <c r="U3548" s="394" ph="1"/>
    </row>
    <row r="3549" spans="21:21" ht="26.4">
      <c r="U3549" s="394" ph="1"/>
    </row>
    <row r="3550" spans="21:21" ht="26.4">
      <c r="U3550" s="394" ph="1"/>
    </row>
    <row r="3551" spans="21:21" ht="26.4">
      <c r="U3551" s="394" ph="1"/>
    </row>
    <row r="3552" spans="21:21" ht="26.4">
      <c r="U3552" s="394" ph="1"/>
    </row>
    <row r="3553" spans="21:21" ht="26.4">
      <c r="U3553" s="394" ph="1"/>
    </row>
    <row r="3554" spans="21:21" ht="26.4">
      <c r="U3554" s="394" ph="1"/>
    </row>
    <row r="3555" spans="21:21" ht="26.4">
      <c r="U3555" s="394" ph="1"/>
    </row>
    <row r="3556" spans="21:21" ht="26.4">
      <c r="U3556" s="394" ph="1"/>
    </row>
    <row r="3557" spans="21:21" ht="26.4">
      <c r="U3557" s="394" ph="1"/>
    </row>
    <row r="3558" spans="21:21" ht="26.4">
      <c r="U3558" s="394" ph="1"/>
    </row>
    <row r="3559" spans="21:21" ht="26.4">
      <c r="U3559" s="394" ph="1"/>
    </row>
    <row r="3560" spans="21:21" ht="26.4">
      <c r="U3560" s="394" ph="1"/>
    </row>
    <row r="3561" spans="21:21" ht="26.4">
      <c r="U3561" s="394" ph="1"/>
    </row>
    <row r="3562" spans="21:21" ht="26.4">
      <c r="U3562" s="394" ph="1"/>
    </row>
    <row r="3563" spans="21:21" ht="26.4">
      <c r="U3563" s="394" ph="1"/>
    </row>
    <row r="3564" spans="21:21" ht="26.4">
      <c r="U3564" s="394" ph="1"/>
    </row>
    <row r="3565" spans="21:21" ht="26.4">
      <c r="U3565" s="394" ph="1"/>
    </row>
    <row r="3566" spans="21:21" ht="26.4">
      <c r="U3566" s="394" ph="1"/>
    </row>
    <row r="3567" spans="21:21" ht="26.4">
      <c r="U3567" s="394" ph="1"/>
    </row>
    <row r="3568" spans="21:21" ht="26.4">
      <c r="U3568" s="394" ph="1"/>
    </row>
    <row r="3569" spans="21:21" ht="26.4">
      <c r="U3569" s="394" ph="1"/>
    </row>
    <row r="3570" spans="21:21" ht="26.4">
      <c r="U3570" s="394" ph="1"/>
    </row>
    <row r="3571" spans="21:21" ht="26.4">
      <c r="U3571" s="394" ph="1"/>
    </row>
    <row r="3572" spans="21:21" ht="26.4">
      <c r="U3572" s="394" ph="1"/>
    </row>
    <row r="3573" spans="21:21" ht="26.4">
      <c r="U3573" s="394" ph="1"/>
    </row>
    <row r="3574" spans="21:21" ht="26.4">
      <c r="U3574" s="394" ph="1"/>
    </row>
    <row r="3575" spans="21:21" ht="26.4">
      <c r="U3575" s="394" ph="1"/>
    </row>
    <row r="3576" spans="21:21" ht="26.4">
      <c r="U3576" s="394" ph="1"/>
    </row>
    <row r="3577" spans="21:21" ht="26.4">
      <c r="U3577" s="394" ph="1"/>
    </row>
    <row r="3578" spans="21:21" ht="26.4">
      <c r="U3578" s="394" ph="1"/>
    </row>
    <row r="3579" spans="21:21" ht="26.4">
      <c r="U3579" s="394" ph="1"/>
    </row>
    <row r="3580" spans="21:21" ht="26.4">
      <c r="U3580" s="394" ph="1"/>
    </row>
    <row r="3581" spans="21:21" ht="26.4">
      <c r="U3581" s="394" ph="1"/>
    </row>
    <row r="3582" spans="21:21" ht="26.4">
      <c r="U3582" s="394" ph="1"/>
    </row>
    <row r="3583" spans="21:21" ht="26.4">
      <c r="U3583" s="394" ph="1"/>
    </row>
    <row r="3584" spans="21:21" ht="26.4">
      <c r="U3584" s="394" ph="1"/>
    </row>
    <row r="3585" spans="21:21" ht="26.4">
      <c r="U3585" s="394" ph="1"/>
    </row>
    <row r="3586" spans="21:21" ht="26.4">
      <c r="U3586" s="394" ph="1"/>
    </row>
    <row r="3587" spans="21:21" ht="26.4">
      <c r="U3587" s="394" ph="1"/>
    </row>
    <row r="3588" spans="21:21" ht="26.4">
      <c r="U3588" s="394" ph="1"/>
    </row>
    <row r="3589" spans="21:21" ht="26.4">
      <c r="U3589" s="394" ph="1"/>
    </row>
    <row r="3590" spans="21:21" ht="26.4">
      <c r="U3590" s="394" ph="1"/>
    </row>
    <row r="3591" spans="21:21" ht="26.4">
      <c r="U3591" s="394" ph="1"/>
    </row>
    <row r="3592" spans="21:21" ht="26.4">
      <c r="U3592" s="394" ph="1"/>
    </row>
    <row r="3593" spans="21:21" ht="26.4">
      <c r="U3593" s="394" ph="1"/>
    </row>
    <row r="3594" spans="21:21" ht="26.4">
      <c r="U3594" s="394" ph="1"/>
    </row>
    <row r="3595" spans="21:21" ht="26.4">
      <c r="U3595" s="394" ph="1"/>
    </row>
    <row r="3596" spans="21:21" ht="26.4">
      <c r="U3596" s="394" ph="1"/>
    </row>
    <row r="3597" spans="21:21" ht="26.4">
      <c r="U3597" s="394" ph="1"/>
    </row>
    <row r="3598" spans="21:21" ht="26.4">
      <c r="U3598" s="394" ph="1"/>
    </row>
    <row r="3599" spans="21:21" ht="26.4">
      <c r="U3599" s="394" ph="1"/>
    </row>
    <row r="3600" spans="21:21" ht="26.4">
      <c r="U3600" s="394" ph="1"/>
    </row>
    <row r="3601" spans="21:21" ht="26.4">
      <c r="U3601" s="394" ph="1"/>
    </row>
    <row r="3602" spans="21:21" ht="26.4">
      <c r="U3602" s="394" ph="1"/>
    </row>
    <row r="3603" spans="21:21" ht="26.4">
      <c r="U3603" s="394" ph="1"/>
    </row>
    <row r="3604" spans="21:21" ht="26.4">
      <c r="U3604" s="394" ph="1"/>
    </row>
    <row r="3605" spans="21:21" ht="26.4">
      <c r="U3605" s="394" ph="1"/>
    </row>
    <row r="3606" spans="21:21" ht="26.4">
      <c r="U3606" s="394" ph="1"/>
    </row>
    <row r="3607" spans="21:21" ht="26.4">
      <c r="U3607" s="394" ph="1"/>
    </row>
    <row r="3608" spans="21:21" ht="26.4">
      <c r="U3608" s="394" ph="1"/>
    </row>
    <row r="3609" spans="21:21" ht="26.4">
      <c r="U3609" s="394" ph="1"/>
    </row>
    <row r="3610" spans="21:21" ht="26.4">
      <c r="U3610" s="394" ph="1"/>
    </row>
    <row r="3611" spans="21:21" ht="26.4">
      <c r="U3611" s="394" ph="1"/>
    </row>
    <row r="3612" spans="21:21" ht="26.4">
      <c r="U3612" s="394" ph="1"/>
    </row>
    <row r="3613" spans="21:21" ht="26.4">
      <c r="U3613" s="394" ph="1"/>
    </row>
    <row r="3614" spans="21:21" ht="26.4">
      <c r="U3614" s="394" ph="1"/>
    </row>
    <row r="3615" spans="21:21" ht="26.4">
      <c r="U3615" s="394" ph="1"/>
    </row>
    <row r="3616" spans="21:21" ht="26.4">
      <c r="U3616" s="394" ph="1"/>
    </row>
    <row r="3617" spans="21:21" ht="26.4">
      <c r="U3617" s="394" ph="1"/>
    </row>
    <row r="3618" spans="21:21" ht="26.4">
      <c r="U3618" s="394" ph="1"/>
    </row>
    <row r="3619" spans="21:21" ht="26.4">
      <c r="U3619" s="394" ph="1"/>
    </row>
    <row r="3620" spans="21:21" ht="26.4">
      <c r="U3620" s="394" ph="1"/>
    </row>
    <row r="3621" spans="21:21" ht="26.4">
      <c r="U3621" s="394" ph="1"/>
    </row>
    <row r="3622" spans="21:21" ht="26.4">
      <c r="U3622" s="394" ph="1"/>
    </row>
    <row r="3623" spans="21:21" ht="26.4">
      <c r="U3623" s="394" ph="1"/>
    </row>
    <row r="3624" spans="21:21" ht="26.4">
      <c r="U3624" s="394" ph="1"/>
    </row>
    <row r="3625" spans="21:21" ht="26.4">
      <c r="U3625" s="394" ph="1"/>
    </row>
    <row r="3626" spans="21:21" ht="26.4">
      <c r="U3626" s="394" ph="1"/>
    </row>
    <row r="3627" spans="21:21" ht="26.4">
      <c r="U3627" s="394" ph="1"/>
    </row>
    <row r="3628" spans="21:21" ht="26.4">
      <c r="U3628" s="394" ph="1"/>
    </row>
    <row r="3629" spans="21:21" ht="26.4">
      <c r="U3629" s="394" ph="1"/>
    </row>
    <row r="3630" spans="21:21" ht="26.4">
      <c r="U3630" s="394" ph="1"/>
    </row>
    <row r="3631" spans="21:21" ht="26.4">
      <c r="U3631" s="394" ph="1"/>
    </row>
    <row r="3632" spans="21:21" ht="26.4">
      <c r="U3632" s="394" ph="1"/>
    </row>
    <row r="3633" spans="21:21" ht="26.4">
      <c r="U3633" s="394" ph="1"/>
    </row>
    <row r="3634" spans="21:21" ht="26.4">
      <c r="U3634" s="394" ph="1"/>
    </row>
    <row r="3635" spans="21:21" ht="26.4">
      <c r="U3635" s="394" ph="1"/>
    </row>
    <row r="3636" spans="21:21" ht="26.4">
      <c r="U3636" s="394" ph="1"/>
    </row>
    <row r="3637" spans="21:21" ht="26.4">
      <c r="U3637" s="394" ph="1"/>
    </row>
    <row r="3638" spans="21:21" ht="26.4">
      <c r="U3638" s="394" ph="1"/>
    </row>
    <row r="3639" spans="21:21" ht="26.4">
      <c r="U3639" s="394" ph="1"/>
    </row>
    <row r="3640" spans="21:21" ht="26.4">
      <c r="U3640" s="394" ph="1"/>
    </row>
    <row r="3641" spans="21:21" ht="26.4">
      <c r="U3641" s="394" ph="1"/>
    </row>
    <row r="3642" spans="21:21" ht="26.4">
      <c r="U3642" s="394" ph="1"/>
    </row>
    <row r="3643" spans="21:21" ht="26.4">
      <c r="U3643" s="394" ph="1"/>
    </row>
    <row r="3644" spans="21:21" ht="26.4">
      <c r="U3644" s="394" ph="1"/>
    </row>
    <row r="3645" spans="21:21" ht="26.4">
      <c r="U3645" s="394" ph="1"/>
    </row>
    <row r="3646" spans="21:21" ht="26.4">
      <c r="U3646" s="394" ph="1"/>
    </row>
    <row r="3647" spans="21:21" ht="26.4">
      <c r="U3647" s="394" ph="1"/>
    </row>
    <row r="3648" spans="21:21" ht="26.4">
      <c r="U3648" s="394" ph="1"/>
    </row>
    <row r="3649" spans="21:21" ht="26.4">
      <c r="U3649" s="394" ph="1"/>
    </row>
    <row r="3650" spans="21:21" ht="26.4">
      <c r="U3650" s="394" ph="1"/>
    </row>
    <row r="3651" spans="21:21" ht="26.4">
      <c r="U3651" s="394" ph="1"/>
    </row>
    <row r="3652" spans="21:21" ht="26.4">
      <c r="U3652" s="394" ph="1"/>
    </row>
    <row r="3653" spans="21:21" ht="26.4">
      <c r="U3653" s="394" ph="1"/>
    </row>
    <row r="3654" spans="21:21" ht="26.4">
      <c r="U3654" s="394" ph="1"/>
    </row>
    <row r="3655" spans="21:21" ht="26.4">
      <c r="U3655" s="394" ph="1"/>
    </row>
    <row r="3656" spans="21:21" ht="26.4">
      <c r="U3656" s="394" ph="1"/>
    </row>
    <row r="3657" spans="21:21" ht="26.4">
      <c r="U3657" s="394" ph="1"/>
    </row>
    <row r="3658" spans="21:21" ht="26.4">
      <c r="U3658" s="394" ph="1"/>
    </row>
    <row r="3659" spans="21:21" ht="26.4">
      <c r="U3659" s="394" ph="1"/>
    </row>
    <row r="3660" spans="21:21" ht="26.4">
      <c r="U3660" s="394" ph="1"/>
    </row>
    <row r="3661" spans="21:21" ht="26.4">
      <c r="U3661" s="394" ph="1"/>
    </row>
    <row r="3662" spans="21:21" ht="26.4">
      <c r="U3662" s="394" ph="1"/>
    </row>
    <row r="3663" spans="21:21" ht="26.4">
      <c r="U3663" s="394" ph="1"/>
    </row>
    <row r="3664" spans="21:21" ht="26.4">
      <c r="U3664" s="394" ph="1"/>
    </row>
    <row r="3665" spans="21:21" ht="26.4">
      <c r="U3665" s="394" ph="1"/>
    </row>
    <row r="3666" spans="21:21" ht="26.4">
      <c r="U3666" s="394" ph="1"/>
    </row>
    <row r="3667" spans="21:21" ht="26.4">
      <c r="U3667" s="394" ph="1"/>
    </row>
    <row r="3668" spans="21:21" ht="26.4">
      <c r="U3668" s="394" ph="1"/>
    </row>
    <row r="3669" spans="21:21" ht="26.4">
      <c r="U3669" s="394" ph="1"/>
    </row>
    <row r="3670" spans="21:21" ht="26.4">
      <c r="U3670" s="394" ph="1"/>
    </row>
    <row r="3671" spans="21:21" ht="26.4">
      <c r="U3671" s="394" ph="1"/>
    </row>
    <row r="3672" spans="21:21" ht="26.4">
      <c r="U3672" s="394" ph="1"/>
    </row>
    <row r="3673" spans="21:21" ht="26.4">
      <c r="U3673" s="394" ph="1"/>
    </row>
    <row r="3674" spans="21:21" ht="26.4">
      <c r="U3674" s="394" ph="1"/>
    </row>
    <row r="3675" spans="21:21" ht="26.4">
      <c r="U3675" s="394" ph="1"/>
    </row>
    <row r="3676" spans="21:21" ht="26.4">
      <c r="U3676" s="394" ph="1"/>
    </row>
    <row r="3677" spans="21:21" ht="26.4">
      <c r="U3677" s="394" ph="1"/>
    </row>
    <row r="3678" spans="21:21" ht="26.4">
      <c r="U3678" s="394" ph="1"/>
    </row>
    <row r="3679" spans="21:21" ht="26.4">
      <c r="U3679" s="394" ph="1"/>
    </row>
    <row r="3680" spans="21:21" ht="26.4">
      <c r="U3680" s="394" ph="1"/>
    </row>
    <row r="3681" spans="21:21" ht="26.4">
      <c r="U3681" s="394" ph="1"/>
    </row>
    <row r="3682" spans="21:21" ht="26.4">
      <c r="U3682" s="394" ph="1"/>
    </row>
    <row r="3683" spans="21:21" ht="26.4">
      <c r="U3683" s="394" ph="1"/>
    </row>
    <row r="3684" spans="21:21" ht="26.4">
      <c r="U3684" s="394" ph="1"/>
    </row>
    <row r="3685" spans="21:21" ht="26.4">
      <c r="U3685" s="394" ph="1"/>
    </row>
    <row r="3686" spans="21:21" ht="26.4">
      <c r="U3686" s="394" ph="1"/>
    </row>
    <row r="3687" spans="21:21" ht="26.4">
      <c r="U3687" s="394" ph="1"/>
    </row>
    <row r="3688" spans="21:21" ht="26.4">
      <c r="U3688" s="394" ph="1"/>
    </row>
    <row r="3689" spans="21:21" ht="26.4">
      <c r="U3689" s="394" ph="1"/>
    </row>
    <row r="3690" spans="21:21" ht="26.4">
      <c r="U3690" s="394" ph="1"/>
    </row>
    <row r="3691" spans="21:21" ht="26.4">
      <c r="U3691" s="394" ph="1"/>
    </row>
    <row r="3692" spans="21:21" ht="26.4">
      <c r="U3692" s="394" ph="1"/>
    </row>
    <row r="3693" spans="21:21" ht="26.4">
      <c r="U3693" s="394" ph="1"/>
    </row>
    <row r="3694" spans="21:21" ht="26.4">
      <c r="U3694" s="394" ph="1"/>
    </row>
    <row r="3695" spans="21:21" ht="26.4">
      <c r="U3695" s="394" ph="1"/>
    </row>
    <row r="3696" spans="21:21" ht="26.4">
      <c r="U3696" s="394" ph="1"/>
    </row>
    <row r="3697" spans="21:21" ht="26.4">
      <c r="U3697" s="394" ph="1"/>
    </row>
    <row r="3698" spans="21:21" ht="26.4">
      <c r="U3698" s="394" ph="1"/>
    </row>
    <row r="3699" spans="21:21" ht="26.4">
      <c r="U3699" s="394" ph="1"/>
    </row>
    <row r="3700" spans="21:21" ht="26.4">
      <c r="U3700" s="394" ph="1"/>
    </row>
    <row r="3701" spans="21:21" ht="26.4">
      <c r="U3701" s="394" ph="1"/>
    </row>
    <row r="3702" spans="21:21" ht="26.4">
      <c r="U3702" s="394" ph="1"/>
    </row>
    <row r="3703" spans="21:21" ht="26.4">
      <c r="U3703" s="394" ph="1"/>
    </row>
    <row r="3704" spans="21:21" ht="26.4">
      <c r="U3704" s="394" ph="1"/>
    </row>
    <row r="3705" spans="21:21" ht="26.4">
      <c r="U3705" s="394" ph="1"/>
    </row>
    <row r="3706" spans="21:21" ht="26.4">
      <c r="U3706" s="394" ph="1"/>
    </row>
    <row r="3707" spans="21:21" ht="26.4">
      <c r="U3707" s="394" ph="1"/>
    </row>
    <row r="3708" spans="21:21" ht="26.4">
      <c r="U3708" s="394" ph="1"/>
    </row>
    <row r="3709" spans="21:21" ht="26.4">
      <c r="U3709" s="394" ph="1"/>
    </row>
    <row r="3710" spans="21:21" ht="26.4">
      <c r="U3710" s="394" ph="1"/>
    </row>
    <row r="3711" spans="21:21" ht="26.4">
      <c r="U3711" s="394" ph="1"/>
    </row>
    <row r="3712" spans="21:21" ht="26.4">
      <c r="U3712" s="394" ph="1"/>
    </row>
    <row r="3713" spans="21:21" ht="26.4">
      <c r="U3713" s="394" ph="1"/>
    </row>
    <row r="3714" spans="21:21" ht="26.4">
      <c r="U3714" s="394" ph="1"/>
    </row>
    <row r="3715" spans="21:21" ht="26.4">
      <c r="U3715" s="394" ph="1"/>
    </row>
    <row r="3716" spans="21:21" ht="26.4">
      <c r="U3716" s="394" ph="1"/>
    </row>
    <row r="3717" spans="21:21" ht="26.4">
      <c r="U3717" s="394" ph="1"/>
    </row>
    <row r="3718" spans="21:21" ht="26.4">
      <c r="U3718" s="394" ph="1"/>
    </row>
    <row r="3719" spans="21:21" ht="26.4">
      <c r="U3719" s="394" ph="1"/>
    </row>
    <row r="3720" spans="21:21" ht="26.4">
      <c r="U3720" s="394" ph="1"/>
    </row>
    <row r="3721" spans="21:21" ht="26.4">
      <c r="U3721" s="394" ph="1"/>
    </row>
    <row r="3722" spans="21:21" ht="26.4">
      <c r="U3722" s="394" ph="1"/>
    </row>
    <row r="3723" spans="21:21" ht="26.4">
      <c r="U3723" s="394" ph="1"/>
    </row>
    <row r="3724" spans="21:21" ht="26.4">
      <c r="U3724" s="394" ph="1"/>
    </row>
    <row r="3725" spans="21:21" ht="26.4">
      <c r="U3725" s="394" ph="1"/>
    </row>
    <row r="3726" spans="21:21" ht="26.4">
      <c r="U3726" s="394" ph="1"/>
    </row>
    <row r="3727" spans="21:21" ht="26.4">
      <c r="U3727" s="394" ph="1"/>
    </row>
    <row r="3728" spans="21:21" ht="26.4">
      <c r="U3728" s="394" ph="1"/>
    </row>
    <row r="3729" spans="21:21" ht="26.4">
      <c r="U3729" s="394" ph="1"/>
    </row>
    <row r="3730" spans="21:21" ht="26.4">
      <c r="U3730" s="394" ph="1"/>
    </row>
    <row r="3731" spans="21:21" ht="26.4">
      <c r="U3731" s="394" ph="1"/>
    </row>
    <row r="3732" spans="21:21" ht="26.4">
      <c r="U3732" s="394" ph="1"/>
    </row>
    <row r="3733" spans="21:21" ht="26.4">
      <c r="U3733" s="394" ph="1"/>
    </row>
    <row r="3734" spans="21:21" ht="26.4">
      <c r="U3734" s="394" ph="1"/>
    </row>
    <row r="3735" spans="21:21" ht="26.4">
      <c r="U3735" s="394" ph="1"/>
    </row>
    <row r="3736" spans="21:21" ht="26.4">
      <c r="U3736" s="394" ph="1"/>
    </row>
    <row r="3737" spans="21:21" ht="26.4">
      <c r="U3737" s="394" ph="1"/>
    </row>
    <row r="3738" spans="21:21" ht="26.4">
      <c r="U3738" s="394" ph="1"/>
    </row>
    <row r="3739" spans="21:21" ht="26.4">
      <c r="U3739" s="394" ph="1"/>
    </row>
    <row r="3740" spans="21:21" ht="26.4">
      <c r="U3740" s="394" ph="1"/>
    </row>
    <row r="3741" spans="21:21" ht="26.4">
      <c r="U3741" s="394" ph="1"/>
    </row>
    <row r="3742" spans="21:21" ht="26.4">
      <c r="U3742" s="394" ph="1"/>
    </row>
    <row r="3743" spans="21:21" ht="26.4">
      <c r="U3743" s="394" ph="1"/>
    </row>
    <row r="3744" spans="21:21" ht="26.4">
      <c r="U3744" s="394" ph="1"/>
    </row>
    <row r="3745" spans="21:21" ht="26.4">
      <c r="U3745" s="394" ph="1"/>
    </row>
    <row r="3746" spans="21:21" ht="26.4">
      <c r="U3746" s="394" ph="1"/>
    </row>
    <row r="3747" spans="21:21" ht="26.4">
      <c r="U3747" s="394" ph="1"/>
    </row>
    <row r="3748" spans="21:21" ht="26.4">
      <c r="U3748" s="394" ph="1"/>
    </row>
    <row r="3749" spans="21:21" ht="26.4">
      <c r="U3749" s="394" ph="1"/>
    </row>
    <row r="3750" spans="21:21" ht="26.4">
      <c r="U3750" s="394" ph="1"/>
    </row>
    <row r="3751" spans="21:21" ht="26.4">
      <c r="U3751" s="394" ph="1"/>
    </row>
    <row r="3752" spans="21:21" ht="26.4">
      <c r="U3752" s="394" ph="1"/>
    </row>
    <row r="3753" spans="21:21" ht="26.4">
      <c r="U3753" s="394" ph="1"/>
    </row>
    <row r="3754" spans="21:21" ht="26.4">
      <c r="U3754" s="394" ph="1"/>
    </row>
    <row r="3755" spans="21:21" ht="26.4">
      <c r="U3755" s="394" ph="1"/>
    </row>
    <row r="3756" spans="21:21" ht="26.4">
      <c r="U3756" s="394" ph="1"/>
    </row>
    <row r="3757" spans="21:21" ht="26.4">
      <c r="U3757" s="394" ph="1"/>
    </row>
    <row r="3758" spans="21:21" ht="26.4">
      <c r="U3758" s="394" ph="1"/>
    </row>
    <row r="3759" spans="21:21" ht="26.4">
      <c r="U3759" s="394" ph="1"/>
    </row>
    <row r="3760" spans="21:21" ht="26.4">
      <c r="U3760" s="394" ph="1"/>
    </row>
    <row r="3761" spans="21:21" ht="26.4">
      <c r="U3761" s="394" ph="1"/>
    </row>
    <row r="3762" spans="21:21" ht="26.4">
      <c r="U3762" s="394" ph="1"/>
    </row>
    <row r="3763" spans="21:21" ht="26.4">
      <c r="U3763" s="394" ph="1"/>
    </row>
    <row r="3764" spans="21:21" ht="26.4">
      <c r="U3764" s="394" ph="1"/>
    </row>
    <row r="3765" spans="21:21" ht="26.4">
      <c r="U3765" s="394" ph="1"/>
    </row>
    <row r="3766" spans="21:21" ht="26.4">
      <c r="U3766" s="394" ph="1"/>
    </row>
    <row r="3767" spans="21:21" ht="26.4">
      <c r="U3767" s="394" ph="1"/>
    </row>
    <row r="3768" spans="21:21" ht="26.4">
      <c r="U3768" s="394" ph="1"/>
    </row>
    <row r="3769" spans="21:21" ht="26.4">
      <c r="U3769" s="394" ph="1"/>
    </row>
    <row r="3770" spans="21:21" ht="26.4">
      <c r="U3770" s="394" ph="1"/>
    </row>
    <row r="3771" spans="21:21" ht="26.4">
      <c r="U3771" s="394" ph="1"/>
    </row>
    <row r="3772" spans="21:21" ht="26.4">
      <c r="U3772" s="394" ph="1"/>
    </row>
    <row r="3773" spans="21:21" ht="26.4">
      <c r="U3773" s="394" ph="1"/>
    </row>
    <row r="3774" spans="21:21" ht="26.4">
      <c r="U3774" s="394" ph="1"/>
    </row>
    <row r="3775" spans="21:21" ht="26.4">
      <c r="U3775" s="394" ph="1"/>
    </row>
    <row r="3776" spans="21:21" ht="26.4">
      <c r="U3776" s="394" ph="1"/>
    </row>
    <row r="3777" spans="21:21" ht="26.4">
      <c r="U3777" s="394" ph="1"/>
    </row>
    <row r="3778" spans="21:21" ht="26.4">
      <c r="U3778" s="394" ph="1"/>
    </row>
    <row r="3779" spans="21:21" ht="26.4">
      <c r="U3779" s="394" ph="1"/>
    </row>
    <row r="3780" spans="21:21" ht="26.4">
      <c r="U3780" s="394" ph="1"/>
    </row>
    <row r="3781" spans="21:21" ht="26.4">
      <c r="U3781" s="394" ph="1"/>
    </row>
    <row r="3782" spans="21:21" ht="26.4">
      <c r="U3782" s="394" ph="1"/>
    </row>
    <row r="3783" spans="21:21" ht="26.4">
      <c r="U3783" s="394" ph="1"/>
    </row>
    <row r="3784" spans="21:21" ht="26.4">
      <c r="U3784" s="394" ph="1"/>
    </row>
    <row r="3785" spans="21:21" ht="26.4">
      <c r="U3785" s="394" ph="1"/>
    </row>
    <row r="3786" spans="21:21" ht="26.4">
      <c r="U3786" s="394" ph="1"/>
    </row>
    <row r="3787" spans="21:21" ht="26.4">
      <c r="U3787" s="394" ph="1"/>
    </row>
    <row r="3788" spans="21:21" ht="26.4">
      <c r="U3788" s="394" ph="1"/>
    </row>
    <row r="3789" spans="21:21" ht="26.4">
      <c r="U3789" s="394" ph="1"/>
    </row>
    <row r="3790" spans="21:21" ht="26.4">
      <c r="U3790" s="394" ph="1"/>
    </row>
    <row r="3791" spans="21:21" ht="26.4">
      <c r="U3791" s="394" ph="1"/>
    </row>
    <row r="3792" spans="21:21" ht="26.4">
      <c r="U3792" s="394" ph="1"/>
    </row>
    <row r="3793" spans="21:21" ht="26.4">
      <c r="U3793" s="394" ph="1"/>
    </row>
    <row r="3794" spans="21:21" ht="26.4">
      <c r="U3794" s="394" ph="1"/>
    </row>
    <row r="3795" spans="21:21" ht="26.4">
      <c r="U3795" s="394" ph="1"/>
    </row>
    <row r="3796" spans="21:21" ht="26.4">
      <c r="U3796" s="394" ph="1"/>
    </row>
    <row r="3797" spans="21:21" ht="26.4">
      <c r="U3797" s="394" ph="1"/>
    </row>
    <row r="3798" spans="21:21" ht="26.4">
      <c r="U3798" s="394" ph="1"/>
    </row>
    <row r="3799" spans="21:21" ht="26.4">
      <c r="U3799" s="394" ph="1"/>
    </row>
    <row r="3800" spans="21:21" ht="26.4">
      <c r="U3800" s="394" ph="1"/>
    </row>
    <row r="3801" spans="21:21" ht="26.4">
      <c r="U3801" s="394" ph="1"/>
    </row>
    <row r="3802" spans="21:21" ht="26.4">
      <c r="U3802" s="394" ph="1"/>
    </row>
    <row r="3803" spans="21:21" ht="26.4">
      <c r="U3803" s="394" ph="1"/>
    </row>
    <row r="3804" spans="21:21" ht="26.4">
      <c r="U3804" s="394" ph="1"/>
    </row>
    <row r="3805" spans="21:21" ht="26.4">
      <c r="U3805" s="394" ph="1"/>
    </row>
    <row r="3806" spans="21:21" ht="26.4">
      <c r="U3806" s="394" ph="1"/>
    </row>
    <row r="3807" spans="21:21" ht="26.4">
      <c r="U3807" s="394" ph="1"/>
    </row>
    <row r="3808" spans="21:21" ht="26.4">
      <c r="U3808" s="394" ph="1"/>
    </row>
    <row r="3809" spans="21:21" ht="26.4">
      <c r="U3809" s="394" ph="1"/>
    </row>
    <row r="3810" spans="21:21" ht="26.4">
      <c r="U3810" s="394" ph="1"/>
    </row>
    <row r="3811" spans="21:21" ht="26.4">
      <c r="U3811" s="394" ph="1"/>
    </row>
    <row r="3812" spans="21:21" ht="26.4">
      <c r="U3812" s="394" ph="1"/>
    </row>
    <row r="3813" spans="21:21" ht="26.4">
      <c r="U3813" s="394" ph="1"/>
    </row>
    <row r="3814" spans="21:21" ht="26.4">
      <c r="U3814" s="394" ph="1"/>
    </row>
    <row r="3815" spans="21:21" ht="26.4">
      <c r="U3815" s="394" ph="1"/>
    </row>
    <row r="3816" spans="21:21" ht="26.4">
      <c r="U3816" s="394" ph="1"/>
    </row>
    <row r="3817" spans="21:21" ht="26.4">
      <c r="U3817" s="394" ph="1"/>
    </row>
    <row r="3818" spans="21:21" ht="26.4">
      <c r="U3818" s="394" ph="1"/>
    </row>
    <row r="3819" spans="21:21" ht="26.4">
      <c r="U3819" s="394" ph="1"/>
    </row>
    <row r="3820" spans="21:21" ht="26.4">
      <c r="U3820" s="394" ph="1"/>
    </row>
    <row r="3821" spans="21:21" ht="26.4">
      <c r="U3821" s="394" ph="1"/>
    </row>
    <row r="3822" spans="21:21" ht="26.4">
      <c r="U3822" s="394" ph="1"/>
    </row>
    <row r="3823" spans="21:21" ht="26.4">
      <c r="U3823" s="394" ph="1"/>
    </row>
    <row r="3824" spans="21:21" ht="26.4">
      <c r="U3824" s="394" ph="1"/>
    </row>
    <row r="3825" spans="21:21" ht="26.4">
      <c r="U3825" s="394" ph="1"/>
    </row>
    <row r="3826" spans="21:21" ht="26.4">
      <c r="U3826" s="394" ph="1"/>
    </row>
    <row r="3827" spans="21:21" ht="26.4">
      <c r="U3827" s="394" ph="1"/>
    </row>
    <row r="3828" spans="21:21" ht="26.4">
      <c r="U3828" s="394" ph="1"/>
    </row>
    <row r="3829" spans="21:21" ht="26.4">
      <c r="U3829" s="394" ph="1"/>
    </row>
    <row r="3830" spans="21:21" ht="26.4">
      <c r="U3830" s="394" ph="1"/>
    </row>
    <row r="3831" spans="21:21" ht="26.4">
      <c r="U3831" s="394" ph="1"/>
    </row>
    <row r="3832" spans="21:21" ht="26.4">
      <c r="U3832" s="394" ph="1"/>
    </row>
    <row r="3833" spans="21:21" ht="26.4">
      <c r="U3833" s="394" ph="1"/>
    </row>
    <row r="3834" spans="21:21" ht="26.4">
      <c r="U3834" s="394" ph="1"/>
    </row>
    <row r="3835" spans="21:21" ht="26.4">
      <c r="U3835" s="394" ph="1"/>
    </row>
    <row r="3836" spans="21:21" ht="26.4">
      <c r="U3836" s="394" ph="1"/>
    </row>
    <row r="3837" spans="21:21" ht="26.4">
      <c r="U3837" s="394" ph="1"/>
    </row>
    <row r="3838" spans="21:21" ht="26.4">
      <c r="U3838" s="394" ph="1"/>
    </row>
    <row r="3839" spans="21:21" ht="26.4">
      <c r="U3839" s="394" ph="1"/>
    </row>
    <row r="3840" spans="21:21" ht="26.4">
      <c r="U3840" s="394" ph="1"/>
    </row>
    <row r="3841" spans="21:21" ht="26.4">
      <c r="U3841" s="394" ph="1"/>
    </row>
    <row r="3842" spans="21:21" ht="26.4">
      <c r="U3842" s="394" ph="1"/>
    </row>
    <row r="3843" spans="21:21" ht="26.4">
      <c r="U3843" s="394" ph="1"/>
    </row>
    <row r="3844" spans="21:21" ht="26.4">
      <c r="U3844" s="394" ph="1"/>
    </row>
    <row r="3845" spans="21:21" ht="26.4">
      <c r="U3845" s="394" ph="1"/>
    </row>
    <row r="3846" spans="21:21" ht="26.4">
      <c r="U3846" s="394" ph="1"/>
    </row>
    <row r="3847" spans="21:21" ht="26.4">
      <c r="U3847" s="394" ph="1"/>
    </row>
    <row r="3848" spans="21:21" ht="26.4">
      <c r="U3848" s="394" ph="1"/>
    </row>
    <row r="3849" spans="21:21" ht="26.4">
      <c r="U3849" s="394" ph="1"/>
    </row>
    <row r="3850" spans="21:21" ht="26.4">
      <c r="U3850" s="394" ph="1"/>
    </row>
    <row r="3851" spans="21:21" ht="26.4">
      <c r="U3851" s="394" ph="1"/>
    </row>
    <row r="3852" spans="21:21" ht="26.4">
      <c r="U3852" s="394" ph="1"/>
    </row>
    <row r="3853" spans="21:21" ht="26.4">
      <c r="U3853" s="394" ph="1"/>
    </row>
    <row r="3854" spans="21:21" ht="26.4">
      <c r="U3854" s="394" ph="1"/>
    </row>
    <row r="3855" spans="21:21" ht="26.4">
      <c r="U3855" s="394" ph="1"/>
    </row>
    <row r="3856" spans="21:21" ht="26.4">
      <c r="U3856" s="394" ph="1"/>
    </row>
    <row r="3857" spans="21:21" ht="26.4">
      <c r="U3857" s="394" ph="1"/>
    </row>
    <row r="3858" spans="21:21" ht="26.4">
      <c r="U3858" s="394" ph="1"/>
    </row>
    <row r="3859" spans="21:21" ht="26.4">
      <c r="U3859" s="394" ph="1"/>
    </row>
    <row r="3860" spans="21:21" ht="26.4">
      <c r="U3860" s="394" ph="1"/>
    </row>
    <row r="3861" spans="21:21" ht="26.4">
      <c r="U3861" s="394" ph="1"/>
    </row>
    <row r="3862" spans="21:21" ht="26.4">
      <c r="U3862" s="394" ph="1"/>
    </row>
    <row r="3863" spans="21:21" ht="26.4">
      <c r="U3863" s="394" ph="1"/>
    </row>
    <row r="3864" spans="21:21" ht="26.4">
      <c r="U3864" s="394" ph="1"/>
    </row>
    <row r="3865" spans="21:21" ht="26.4">
      <c r="U3865" s="394" ph="1"/>
    </row>
    <row r="3866" spans="21:21" ht="26.4">
      <c r="U3866" s="394" ph="1"/>
    </row>
    <row r="3867" spans="21:21" ht="26.4">
      <c r="U3867" s="394" ph="1"/>
    </row>
    <row r="3868" spans="21:21" ht="26.4">
      <c r="U3868" s="394" ph="1"/>
    </row>
    <row r="3869" spans="21:21" ht="26.4">
      <c r="U3869" s="394" ph="1"/>
    </row>
    <row r="3870" spans="21:21" ht="26.4">
      <c r="U3870" s="394" ph="1"/>
    </row>
    <row r="3871" spans="21:21" ht="26.4">
      <c r="U3871" s="394" ph="1"/>
    </row>
    <row r="3872" spans="21:21" ht="26.4">
      <c r="U3872" s="394" ph="1"/>
    </row>
    <row r="3873" spans="21:21" ht="26.4">
      <c r="U3873" s="394" ph="1"/>
    </row>
    <row r="3874" spans="21:21" ht="26.4">
      <c r="U3874" s="394" ph="1"/>
    </row>
    <row r="3875" spans="21:21" ht="26.4">
      <c r="U3875" s="394" ph="1"/>
    </row>
    <row r="3876" spans="21:21" ht="26.4">
      <c r="U3876" s="394" ph="1"/>
    </row>
    <row r="3877" spans="21:21" ht="26.4">
      <c r="U3877" s="394" ph="1"/>
    </row>
    <row r="3878" spans="21:21" ht="26.4">
      <c r="U3878" s="394" ph="1"/>
    </row>
    <row r="3879" spans="21:21" ht="26.4">
      <c r="U3879" s="394" ph="1"/>
    </row>
    <row r="3880" spans="21:21" ht="26.4">
      <c r="U3880" s="394" ph="1"/>
    </row>
    <row r="3881" spans="21:21" ht="26.4">
      <c r="U3881" s="394" ph="1"/>
    </row>
    <row r="3882" spans="21:21" ht="26.4">
      <c r="U3882" s="394" ph="1"/>
    </row>
    <row r="3883" spans="21:21" ht="26.4">
      <c r="U3883" s="394" ph="1"/>
    </row>
    <row r="3884" spans="21:21" ht="26.4">
      <c r="U3884" s="394" ph="1"/>
    </row>
    <row r="3885" spans="21:21" ht="26.4">
      <c r="U3885" s="394" ph="1"/>
    </row>
    <row r="3886" spans="21:21" ht="26.4">
      <c r="U3886" s="394" ph="1"/>
    </row>
    <row r="3887" spans="21:21" ht="26.4">
      <c r="U3887" s="394" ph="1"/>
    </row>
    <row r="3888" spans="21:21" ht="26.4">
      <c r="U3888" s="394" ph="1"/>
    </row>
    <row r="3889" spans="21:21" ht="26.4">
      <c r="U3889" s="394" ph="1"/>
    </row>
    <row r="3890" spans="21:21" ht="26.4">
      <c r="U3890" s="394" ph="1"/>
    </row>
    <row r="3891" spans="21:21" ht="26.4">
      <c r="U3891" s="394" ph="1"/>
    </row>
    <row r="3892" spans="21:21" ht="26.4">
      <c r="U3892" s="394" ph="1"/>
    </row>
    <row r="3893" spans="21:21" ht="26.4">
      <c r="U3893" s="394" ph="1"/>
    </row>
    <row r="3894" spans="21:21" ht="26.4">
      <c r="U3894" s="394" ph="1"/>
    </row>
    <row r="3895" spans="21:21" ht="26.4">
      <c r="U3895" s="394" ph="1"/>
    </row>
    <row r="3896" spans="21:21" ht="26.4">
      <c r="U3896" s="394" ph="1"/>
    </row>
    <row r="3897" spans="21:21" ht="26.4">
      <c r="U3897" s="394" ph="1"/>
    </row>
    <row r="3898" spans="21:21" ht="26.4">
      <c r="U3898" s="394" ph="1"/>
    </row>
    <row r="3899" spans="21:21" ht="26.4">
      <c r="U3899" s="394" ph="1"/>
    </row>
    <row r="3900" spans="21:21" ht="26.4">
      <c r="U3900" s="394" ph="1"/>
    </row>
    <row r="3901" spans="21:21" ht="26.4">
      <c r="U3901" s="394" ph="1"/>
    </row>
    <row r="3902" spans="21:21" ht="26.4">
      <c r="U3902" s="394" ph="1"/>
    </row>
    <row r="3903" spans="21:21" ht="26.4">
      <c r="U3903" s="394" ph="1"/>
    </row>
    <row r="3904" spans="21:21" ht="26.4">
      <c r="U3904" s="394" ph="1"/>
    </row>
    <row r="3905" spans="21:21" ht="26.4">
      <c r="U3905" s="394" ph="1"/>
    </row>
    <row r="3906" spans="21:21" ht="26.4">
      <c r="U3906" s="394" ph="1"/>
    </row>
    <row r="3907" spans="21:21" ht="26.4">
      <c r="U3907" s="394" ph="1"/>
    </row>
    <row r="3908" spans="21:21" ht="26.4">
      <c r="U3908" s="394" ph="1"/>
    </row>
    <row r="3909" spans="21:21" ht="26.4">
      <c r="U3909" s="394" ph="1"/>
    </row>
    <row r="3910" spans="21:21" ht="26.4">
      <c r="U3910" s="394" ph="1"/>
    </row>
    <row r="3911" spans="21:21" ht="26.4">
      <c r="U3911" s="394" ph="1"/>
    </row>
    <row r="3912" spans="21:21" ht="26.4">
      <c r="U3912" s="394" ph="1"/>
    </row>
    <row r="3913" spans="21:21" ht="26.4">
      <c r="U3913" s="394" ph="1"/>
    </row>
    <row r="3914" spans="21:21" ht="26.4">
      <c r="U3914" s="394" ph="1"/>
    </row>
    <row r="3915" spans="21:21" ht="26.4">
      <c r="U3915" s="394" ph="1"/>
    </row>
    <row r="3916" spans="21:21" ht="26.4">
      <c r="U3916" s="394" ph="1"/>
    </row>
    <row r="3917" spans="21:21" ht="26.4">
      <c r="U3917" s="394" ph="1"/>
    </row>
    <row r="3918" spans="21:21" ht="26.4">
      <c r="U3918" s="394" ph="1"/>
    </row>
    <row r="3919" spans="21:21" ht="26.4">
      <c r="U3919" s="394" ph="1"/>
    </row>
    <row r="3920" spans="21:21" ht="26.4">
      <c r="U3920" s="394" ph="1"/>
    </row>
    <row r="3921" spans="21:21" ht="26.4">
      <c r="U3921" s="394" ph="1"/>
    </row>
    <row r="3922" spans="21:21" ht="26.4">
      <c r="U3922" s="394" ph="1"/>
    </row>
    <row r="3923" spans="21:21" ht="26.4">
      <c r="U3923" s="394" ph="1"/>
    </row>
    <row r="3924" spans="21:21" ht="26.4">
      <c r="U3924" s="394" ph="1"/>
    </row>
    <row r="3925" spans="21:21" ht="26.4">
      <c r="U3925" s="394" ph="1"/>
    </row>
    <row r="3926" spans="21:21" ht="26.4">
      <c r="U3926" s="394" ph="1"/>
    </row>
    <row r="3927" spans="21:21" ht="26.4">
      <c r="U3927" s="394" ph="1"/>
    </row>
    <row r="3928" spans="21:21" ht="26.4">
      <c r="U3928" s="394" ph="1"/>
    </row>
    <row r="3929" spans="21:21" ht="26.4">
      <c r="U3929" s="394" ph="1"/>
    </row>
    <row r="3930" spans="21:21" ht="26.4">
      <c r="U3930" s="394" ph="1"/>
    </row>
    <row r="3931" spans="21:21" ht="26.4">
      <c r="U3931" s="394" ph="1"/>
    </row>
    <row r="3932" spans="21:21" ht="26.4">
      <c r="U3932" s="394" ph="1"/>
    </row>
    <row r="3933" spans="21:21" ht="26.4">
      <c r="U3933" s="394" ph="1"/>
    </row>
    <row r="3934" spans="21:21" ht="26.4">
      <c r="U3934" s="394" ph="1"/>
    </row>
    <row r="3935" spans="21:21" ht="26.4">
      <c r="U3935" s="394" ph="1"/>
    </row>
    <row r="3936" spans="21:21" ht="26.4">
      <c r="U3936" s="394" ph="1"/>
    </row>
    <row r="3937" spans="21:21" ht="26.4">
      <c r="U3937" s="394" ph="1"/>
    </row>
    <row r="3938" spans="21:21" ht="26.4">
      <c r="U3938" s="394" ph="1"/>
    </row>
    <row r="3939" spans="21:21" ht="26.4">
      <c r="U3939" s="394" ph="1"/>
    </row>
    <row r="3940" spans="21:21" ht="26.4">
      <c r="U3940" s="394" ph="1"/>
    </row>
    <row r="3941" spans="21:21" ht="26.4">
      <c r="U3941" s="394" ph="1"/>
    </row>
    <row r="3942" spans="21:21" ht="26.4">
      <c r="U3942" s="394" ph="1"/>
    </row>
    <row r="3943" spans="21:21" ht="26.4">
      <c r="U3943" s="394" ph="1"/>
    </row>
    <row r="3944" spans="21:21" ht="26.4">
      <c r="U3944" s="394" ph="1"/>
    </row>
    <row r="3945" spans="21:21" ht="26.4">
      <c r="U3945" s="394" ph="1"/>
    </row>
    <row r="3946" spans="21:21" ht="26.4">
      <c r="U3946" s="394" ph="1"/>
    </row>
    <row r="3947" spans="21:21" ht="26.4">
      <c r="U3947" s="394" ph="1"/>
    </row>
    <row r="3948" spans="21:21" ht="26.4">
      <c r="U3948" s="394" ph="1"/>
    </row>
    <row r="3949" spans="21:21" ht="26.4">
      <c r="U3949" s="394" ph="1"/>
    </row>
    <row r="3950" spans="21:21" ht="26.4">
      <c r="U3950" s="394" ph="1"/>
    </row>
    <row r="3951" spans="21:21" ht="26.4">
      <c r="U3951" s="394" ph="1"/>
    </row>
    <row r="3952" spans="21:21" ht="26.4">
      <c r="U3952" s="394" ph="1"/>
    </row>
    <row r="3953" spans="21:21" ht="26.4">
      <c r="U3953" s="394" ph="1"/>
    </row>
    <row r="3954" spans="21:21" ht="26.4">
      <c r="U3954" s="394" ph="1"/>
    </row>
    <row r="3955" spans="21:21" ht="26.4">
      <c r="U3955" s="394" ph="1"/>
    </row>
    <row r="3956" spans="21:21" ht="26.4">
      <c r="U3956" s="394" ph="1"/>
    </row>
    <row r="3957" spans="21:21" ht="26.4">
      <c r="U3957" s="394" ph="1"/>
    </row>
    <row r="3958" spans="21:21" ht="26.4">
      <c r="U3958" s="394" ph="1"/>
    </row>
    <row r="3959" spans="21:21" ht="26.4">
      <c r="U3959" s="394" ph="1"/>
    </row>
    <row r="3960" spans="21:21" ht="26.4">
      <c r="U3960" s="394" ph="1"/>
    </row>
    <row r="3961" spans="21:21" ht="26.4">
      <c r="U3961" s="394" ph="1"/>
    </row>
    <row r="3962" spans="21:21" ht="26.4">
      <c r="U3962" s="394" ph="1"/>
    </row>
    <row r="3963" spans="21:21" ht="26.4">
      <c r="U3963" s="394" ph="1"/>
    </row>
    <row r="3964" spans="21:21" ht="26.4">
      <c r="U3964" s="394" ph="1"/>
    </row>
    <row r="3965" spans="21:21" ht="26.4">
      <c r="U3965" s="394" ph="1"/>
    </row>
    <row r="3966" spans="21:21" ht="26.4">
      <c r="U3966" s="394" ph="1"/>
    </row>
    <row r="3967" spans="21:21" ht="26.4">
      <c r="U3967" s="394" ph="1"/>
    </row>
    <row r="3968" spans="21:21" ht="26.4">
      <c r="U3968" s="394" ph="1"/>
    </row>
    <row r="3969" spans="21:21" ht="26.4">
      <c r="U3969" s="394" ph="1"/>
    </row>
    <row r="3970" spans="21:21" ht="26.4">
      <c r="U3970" s="394" ph="1"/>
    </row>
    <row r="3971" spans="21:21" ht="26.4">
      <c r="U3971" s="394" ph="1"/>
    </row>
    <row r="3972" spans="21:21" ht="26.4">
      <c r="U3972" s="394" ph="1"/>
    </row>
    <row r="3973" spans="21:21" ht="26.4">
      <c r="U3973" s="394" ph="1"/>
    </row>
    <row r="3974" spans="21:21" ht="26.4">
      <c r="U3974" s="394" ph="1"/>
    </row>
    <row r="3975" spans="21:21" ht="26.4">
      <c r="U3975" s="394" ph="1"/>
    </row>
    <row r="3976" spans="21:21" ht="26.4">
      <c r="U3976" s="394" ph="1"/>
    </row>
    <row r="3977" spans="21:21" ht="26.4">
      <c r="U3977" s="394" ph="1"/>
    </row>
    <row r="3978" spans="21:21" ht="26.4">
      <c r="U3978" s="394" ph="1"/>
    </row>
    <row r="3979" spans="21:21" ht="26.4">
      <c r="U3979" s="394" ph="1"/>
    </row>
    <row r="3980" spans="21:21" ht="26.4">
      <c r="U3980" s="394" ph="1"/>
    </row>
    <row r="3981" spans="21:21" ht="26.4">
      <c r="U3981" s="394" ph="1"/>
    </row>
    <row r="3982" spans="21:21" ht="26.4">
      <c r="U3982" s="394" ph="1"/>
    </row>
    <row r="3983" spans="21:21" ht="26.4">
      <c r="U3983" s="394" ph="1"/>
    </row>
    <row r="3984" spans="21:21" ht="26.4">
      <c r="U3984" s="394" ph="1"/>
    </row>
    <row r="3985" spans="21:21" ht="26.4">
      <c r="U3985" s="394" ph="1"/>
    </row>
    <row r="3986" spans="21:21" ht="26.4">
      <c r="U3986" s="394" ph="1"/>
    </row>
    <row r="3987" spans="21:21" ht="26.4">
      <c r="U3987" s="394" ph="1"/>
    </row>
    <row r="3988" spans="21:21" ht="26.4">
      <c r="U3988" s="394" ph="1"/>
    </row>
    <row r="3989" spans="21:21" ht="26.4">
      <c r="U3989" s="394" ph="1"/>
    </row>
    <row r="3990" spans="21:21" ht="26.4">
      <c r="U3990" s="394" ph="1"/>
    </row>
    <row r="3991" spans="21:21" ht="26.4">
      <c r="U3991" s="394" ph="1"/>
    </row>
    <row r="3992" spans="21:21" ht="26.4">
      <c r="U3992" s="394" ph="1"/>
    </row>
    <row r="3993" spans="21:21" ht="26.4">
      <c r="U3993" s="394" ph="1"/>
    </row>
    <row r="3994" spans="21:21" ht="26.4">
      <c r="U3994" s="394" ph="1"/>
    </row>
    <row r="3995" spans="21:21" ht="26.4">
      <c r="U3995" s="394" ph="1"/>
    </row>
    <row r="3996" spans="21:21" ht="26.4">
      <c r="U3996" s="394" ph="1"/>
    </row>
    <row r="3997" spans="21:21" ht="26.4">
      <c r="U3997" s="394" ph="1"/>
    </row>
    <row r="3998" spans="21:21" ht="26.4">
      <c r="U3998" s="394" ph="1"/>
    </row>
    <row r="3999" spans="21:21" ht="26.4">
      <c r="U3999" s="394" ph="1"/>
    </row>
    <row r="4000" spans="21:21" ht="26.4">
      <c r="U4000" s="394" ph="1"/>
    </row>
    <row r="4001" spans="21:21" ht="26.4">
      <c r="U4001" s="394" ph="1"/>
    </row>
    <row r="4002" spans="21:21" ht="26.4">
      <c r="U4002" s="394" ph="1"/>
    </row>
    <row r="4003" spans="21:21" ht="26.4">
      <c r="U4003" s="394" ph="1"/>
    </row>
    <row r="4004" spans="21:21" ht="26.4">
      <c r="U4004" s="394" ph="1"/>
    </row>
    <row r="4005" spans="21:21" ht="26.4">
      <c r="U4005" s="394" ph="1"/>
    </row>
    <row r="4006" spans="21:21" ht="26.4">
      <c r="U4006" s="394" ph="1"/>
    </row>
    <row r="4007" spans="21:21" ht="26.4">
      <c r="U4007" s="394" ph="1"/>
    </row>
    <row r="4008" spans="21:21" ht="26.4">
      <c r="U4008" s="394" ph="1"/>
    </row>
    <row r="4009" spans="21:21" ht="26.4">
      <c r="U4009" s="394" ph="1"/>
    </row>
    <row r="4010" spans="21:21" ht="26.4">
      <c r="U4010" s="394" ph="1"/>
    </row>
    <row r="4011" spans="21:21" ht="26.4">
      <c r="U4011" s="394" ph="1"/>
    </row>
    <row r="4012" spans="21:21" ht="26.4">
      <c r="U4012" s="394" ph="1"/>
    </row>
    <row r="4013" spans="21:21" ht="26.4">
      <c r="U4013" s="394" ph="1"/>
    </row>
    <row r="4014" spans="21:21" ht="26.4">
      <c r="U4014" s="394" ph="1"/>
    </row>
    <row r="4015" spans="21:21" ht="26.4">
      <c r="U4015" s="394" ph="1"/>
    </row>
    <row r="4016" spans="21:21" ht="26.4">
      <c r="U4016" s="394" ph="1"/>
    </row>
    <row r="4017" spans="21:21" ht="26.4">
      <c r="U4017" s="394" ph="1"/>
    </row>
    <row r="4018" spans="21:21" ht="26.4">
      <c r="U4018" s="394" ph="1"/>
    </row>
    <row r="4019" spans="21:21" ht="26.4">
      <c r="U4019" s="394" ph="1"/>
    </row>
    <row r="4020" spans="21:21" ht="26.4">
      <c r="U4020" s="394" ph="1"/>
    </row>
    <row r="4021" spans="21:21" ht="26.4">
      <c r="U4021" s="394" ph="1"/>
    </row>
    <row r="4022" spans="21:21" ht="26.4">
      <c r="U4022" s="394" ph="1"/>
    </row>
    <row r="4023" spans="21:21" ht="26.4">
      <c r="U4023" s="394" ph="1"/>
    </row>
    <row r="4024" spans="21:21" ht="26.4">
      <c r="U4024" s="394" ph="1"/>
    </row>
    <row r="4025" spans="21:21" ht="26.4">
      <c r="U4025" s="394" ph="1"/>
    </row>
    <row r="4026" spans="21:21" ht="26.4">
      <c r="U4026" s="394" ph="1"/>
    </row>
    <row r="4027" spans="21:21" ht="26.4">
      <c r="U4027" s="394" ph="1"/>
    </row>
    <row r="4028" spans="21:21" ht="26.4">
      <c r="U4028" s="394" ph="1"/>
    </row>
    <row r="4029" spans="21:21" ht="26.4">
      <c r="U4029" s="394" ph="1"/>
    </row>
    <row r="4030" spans="21:21" ht="26.4">
      <c r="U4030" s="394" ph="1"/>
    </row>
    <row r="4031" spans="21:21" ht="26.4">
      <c r="U4031" s="394" ph="1"/>
    </row>
    <row r="4032" spans="21:21" ht="26.4">
      <c r="U4032" s="394" ph="1"/>
    </row>
    <row r="4033" spans="21:21" ht="26.4">
      <c r="U4033" s="394" ph="1"/>
    </row>
    <row r="4034" spans="21:21" ht="26.4">
      <c r="U4034" s="394" ph="1"/>
    </row>
    <row r="4035" spans="21:21" ht="26.4">
      <c r="U4035" s="394" ph="1"/>
    </row>
    <row r="4036" spans="21:21" ht="26.4">
      <c r="U4036" s="394" ph="1"/>
    </row>
    <row r="4037" spans="21:21" ht="26.4">
      <c r="U4037" s="394" ph="1"/>
    </row>
    <row r="4038" spans="21:21" ht="26.4">
      <c r="U4038" s="394" ph="1"/>
    </row>
    <row r="4039" spans="21:21" ht="26.4">
      <c r="U4039" s="394" ph="1"/>
    </row>
    <row r="4040" spans="21:21" ht="26.4">
      <c r="U4040" s="394" ph="1"/>
    </row>
    <row r="4041" spans="21:21" ht="26.4">
      <c r="U4041" s="394" ph="1"/>
    </row>
    <row r="4042" spans="21:21" ht="26.4">
      <c r="U4042" s="394" ph="1"/>
    </row>
    <row r="4043" spans="21:21" ht="26.4">
      <c r="U4043" s="394" ph="1"/>
    </row>
    <row r="4044" spans="21:21" ht="26.4">
      <c r="U4044" s="394" ph="1"/>
    </row>
    <row r="4045" spans="21:21" ht="26.4">
      <c r="U4045" s="394" ph="1"/>
    </row>
    <row r="4046" spans="21:21" ht="26.4">
      <c r="U4046" s="394" ph="1"/>
    </row>
    <row r="4047" spans="21:21" ht="26.4">
      <c r="U4047" s="394" ph="1"/>
    </row>
    <row r="4048" spans="21:21" ht="26.4">
      <c r="U4048" s="394" ph="1"/>
    </row>
    <row r="4049" spans="21:21" ht="26.4">
      <c r="U4049" s="394" ph="1"/>
    </row>
    <row r="4050" spans="21:21" ht="26.4">
      <c r="U4050" s="394" ph="1"/>
    </row>
    <row r="4051" spans="21:21" ht="26.4">
      <c r="U4051" s="394" ph="1"/>
    </row>
    <row r="4052" spans="21:21" ht="26.4">
      <c r="U4052" s="394" ph="1"/>
    </row>
    <row r="4053" spans="21:21" ht="26.4">
      <c r="U4053" s="394" ph="1"/>
    </row>
    <row r="4054" spans="21:21" ht="26.4">
      <c r="U4054" s="394" ph="1"/>
    </row>
    <row r="4055" spans="21:21" ht="26.4">
      <c r="U4055" s="394" ph="1"/>
    </row>
    <row r="4056" spans="21:21" ht="26.4">
      <c r="U4056" s="394" ph="1"/>
    </row>
    <row r="4057" spans="21:21" ht="26.4">
      <c r="U4057" s="394" ph="1"/>
    </row>
    <row r="4058" spans="21:21" ht="26.4">
      <c r="U4058" s="394" ph="1"/>
    </row>
    <row r="4059" spans="21:21" ht="26.4">
      <c r="U4059" s="394" ph="1"/>
    </row>
    <row r="4060" spans="21:21" ht="26.4">
      <c r="U4060" s="394" ph="1"/>
    </row>
    <row r="4061" spans="21:21" ht="26.4">
      <c r="U4061" s="394" ph="1"/>
    </row>
    <row r="4062" spans="21:21" ht="26.4">
      <c r="U4062" s="394" ph="1"/>
    </row>
    <row r="4063" spans="21:21" ht="26.4">
      <c r="U4063" s="394" ph="1"/>
    </row>
    <row r="4064" spans="21:21" ht="26.4">
      <c r="U4064" s="394" ph="1"/>
    </row>
    <row r="4065" spans="21:21" ht="26.4">
      <c r="U4065" s="394" ph="1"/>
    </row>
    <row r="4066" spans="21:21" ht="26.4">
      <c r="U4066" s="394" ph="1"/>
    </row>
    <row r="4067" spans="21:21" ht="26.4">
      <c r="U4067" s="394" ph="1"/>
    </row>
    <row r="4068" spans="21:21" ht="26.4">
      <c r="U4068" s="394" ph="1"/>
    </row>
    <row r="4069" spans="21:21" ht="26.4">
      <c r="U4069" s="394" ph="1"/>
    </row>
    <row r="4070" spans="21:21" ht="26.4">
      <c r="U4070" s="394" ph="1"/>
    </row>
    <row r="4071" spans="21:21" ht="26.4">
      <c r="U4071" s="394" ph="1"/>
    </row>
    <row r="4072" spans="21:21" ht="26.4">
      <c r="U4072" s="394" ph="1"/>
    </row>
    <row r="4073" spans="21:21" ht="26.4">
      <c r="U4073" s="394" ph="1"/>
    </row>
    <row r="4074" spans="21:21" ht="26.4">
      <c r="U4074" s="394" ph="1"/>
    </row>
    <row r="4075" spans="21:21" ht="26.4">
      <c r="U4075" s="394" ph="1"/>
    </row>
    <row r="4076" spans="21:21" ht="26.4">
      <c r="U4076" s="394" ph="1"/>
    </row>
    <row r="4077" spans="21:21" ht="26.4">
      <c r="U4077" s="394" ph="1"/>
    </row>
    <row r="4078" spans="21:21" ht="26.4">
      <c r="U4078" s="394" ph="1"/>
    </row>
    <row r="4079" spans="21:21" ht="26.4">
      <c r="U4079" s="394" ph="1"/>
    </row>
    <row r="4080" spans="21:21" ht="26.4">
      <c r="U4080" s="394" ph="1"/>
    </row>
    <row r="4081" spans="21:21" ht="26.4">
      <c r="U4081" s="394" ph="1"/>
    </row>
    <row r="4082" spans="21:21" ht="26.4">
      <c r="U4082" s="394" ph="1"/>
    </row>
    <row r="4083" spans="21:21" ht="26.4">
      <c r="U4083" s="394" ph="1"/>
    </row>
    <row r="4084" spans="21:21" ht="26.4">
      <c r="U4084" s="394" ph="1"/>
    </row>
    <row r="4085" spans="21:21" ht="26.4">
      <c r="U4085" s="394" ph="1"/>
    </row>
    <row r="4086" spans="21:21" ht="26.4">
      <c r="U4086" s="394" ph="1"/>
    </row>
    <row r="4087" spans="21:21" ht="26.4">
      <c r="U4087" s="394" ph="1"/>
    </row>
    <row r="4088" spans="21:21" ht="26.4">
      <c r="U4088" s="394" ph="1"/>
    </row>
    <row r="4089" spans="21:21" ht="26.4">
      <c r="U4089" s="394" ph="1"/>
    </row>
    <row r="4090" spans="21:21" ht="26.4">
      <c r="U4090" s="394" ph="1"/>
    </row>
    <row r="4091" spans="21:21" ht="26.4">
      <c r="U4091" s="394" ph="1"/>
    </row>
    <row r="4092" spans="21:21" ht="26.4">
      <c r="U4092" s="394" ph="1"/>
    </row>
    <row r="4093" spans="21:21" ht="26.4">
      <c r="U4093" s="394" ph="1"/>
    </row>
    <row r="4094" spans="21:21" ht="26.4">
      <c r="U4094" s="394" ph="1"/>
    </row>
    <row r="4095" spans="21:21" ht="26.4">
      <c r="U4095" s="394" ph="1"/>
    </row>
    <row r="4096" spans="21:21" ht="26.4">
      <c r="U4096" s="394" ph="1"/>
    </row>
    <row r="4097" spans="21:21" ht="26.4">
      <c r="U4097" s="394" ph="1"/>
    </row>
    <row r="4098" spans="21:21" ht="26.4">
      <c r="U4098" s="394" ph="1"/>
    </row>
    <row r="4099" spans="21:21" ht="26.4">
      <c r="U4099" s="394" ph="1"/>
    </row>
    <row r="4100" spans="21:21" ht="26.4">
      <c r="U4100" s="394" ph="1"/>
    </row>
    <row r="4101" spans="21:21" ht="26.4">
      <c r="U4101" s="394" ph="1"/>
    </row>
    <row r="4102" spans="21:21" ht="26.4">
      <c r="U4102" s="394" ph="1"/>
    </row>
    <row r="4103" spans="21:21" ht="26.4">
      <c r="U4103" s="394" ph="1"/>
    </row>
    <row r="4104" spans="21:21" ht="26.4">
      <c r="U4104" s="394" ph="1"/>
    </row>
    <row r="4105" spans="21:21" ht="26.4">
      <c r="U4105" s="394" ph="1"/>
    </row>
    <row r="4106" spans="21:21" ht="26.4">
      <c r="U4106" s="394" ph="1"/>
    </row>
    <row r="4107" spans="21:21" ht="26.4">
      <c r="U4107" s="394" ph="1"/>
    </row>
    <row r="4108" spans="21:21" ht="26.4">
      <c r="U4108" s="394" ph="1"/>
    </row>
    <row r="4109" spans="21:21" ht="26.4">
      <c r="U4109" s="394" ph="1"/>
    </row>
    <row r="4110" spans="21:21" ht="26.4">
      <c r="U4110" s="394" ph="1"/>
    </row>
    <row r="4111" spans="21:21" ht="26.4">
      <c r="U4111" s="394" ph="1"/>
    </row>
    <row r="4112" spans="21:21" ht="26.4">
      <c r="U4112" s="394" ph="1"/>
    </row>
    <row r="4113" spans="21:21" ht="26.4">
      <c r="U4113" s="394" ph="1"/>
    </row>
    <row r="4114" spans="21:21" ht="26.4">
      <c r="U4114" s="394" ph="1"/>
    </row>
    <row r="4115" spans="21:21" ht="26.4">
      <c r="U4115" s="394" ph="1"/>
    </row>
    <row r="4116" spans="21:21" ht="26.4">
      <c r="U4116" s="394" ph="1"/>
    </row>
    <row r="4117" spans="21:21" ht="26.4">
      <c r="U4117" s="394" ph="1"/>
    </row>
    <row r="4118" spans="21:21" ht="26.4">
      <c r="U4118" s="394" ph="1"/>
    </row>
    <row r="4119" spans="21:21" ht="26.4">
      <c r="U4119" s="394" ph="1"/>
    </row>
    <row r="4120" spans="21:21" ht="26.4">
      <c r="U4120" s="394" ph="1"/>
    </row>
    <row r="4121" spans="21:21" ht="26.4">
      <c r="U4121" s="394" ph="1"/>
    </row>
    <row r="4122" spans="21:21" ht="26.4">
      <c r="U4122" s="394" ph="1"/>
    </row>
    <row r="4123" spans="21:21" ht="26.4">
      <c r="U4123" s="394" ph="1"/>
    </row>
    <row r="4124" spans="21:21" ht="26.4">
      <c r="U4124" s="394" ph="1"/>
    </row>
    <row r="4125" spans="21:21" ht="26.4">
      <c r="U4125" s="394" ph="1"/>
    </row>
    <row r="4126" spans="21:21" ht="26.4">
      <c r="U4126" s="394" ph="1"/>
    </row>
    <row r="4127" spans="21:21" ht="26.4">
      <c r="U4127" s="394" ph="1"/>
    </row>
    <row r="4128" spans="21:21" ht="26.4">
      <c r="U4128" s="394" ph="1"/>
    </row>
    <row r="4129" spans="21:21" ht="26.4">
      <c r="U4129" s="394" ph="1"/>
    </row>
    <row r="4130" spans="21:21" ht="26.4">
      <c r="U4130" s="394" ph="1"/>
    </row>
    <row r="4131" spans="21:21" ht="26.4">
      <c r="U4131" s="394" ph="1"/>
    </row>
    <row r="4132" spans="21:21" ht="26.4">
      <c r="U4132" s="394" ph="1"/>
    </row>
    <row r="4133" spans="21:21" ht="26.4">
      <c r="U4133" s="394" ph="1"/>
    </row>
    <row r="4134" spans="21:21" ht="26.4">
      <c r="U4134" s="394" ph="1"/>
    </row>
    <row r="4135" spans="21:21" ht="26.4">
      <c r="U4135" s="394" ph="1"/>
    </row>
    <row r="4136" spans="21:21" ht="26.4">
      <c r="U4136" s="394" ph="1"/>
    </row>
    <row r="4137" spans="21:21" ht="26.4">
      <c r="U4137" s="394" ph="1"/>
    </row>
    <row r="4138" spans="21:21" ht="26.4">
      <c r="U4138" s="394" ph="1"/>
    </row>
    <row r="4139" spans="21:21" ht="26.4">
      <c r="U4139" s="394" ph="1"/>
    </row>
    <row r="4140" spans="21:21" ht="26.4">
      <c r="U4140" s="394" ph="1"/>
    </row>
    <row r="4141" spans="21:21" ht="26.4">
      <c r="U4141" s="394" ph="1"/>
    </row>
    <row r="4142" spans="21:21" ht="26.4">
      <c r="U4142" s="394" ph="1"/>
    </row>
    <row r="4143" spans="21:21" ht="26.4">
      <c r="U4143" s="394" ph="1"/>
    </row>
    <row r="4144" spans="21:21" ht="26.4">
      <c r="U4144" s="394" ph="1"/>
    </row>
    <row r="4145" spans="21:21" ht="26.4">
      <c r="U4145" s="394" ph="1"/>
    </row>
    <row r="4146" spans="21:21" ht="26.4">
      <c r="U4146" s="394" ph="1"/>
    </row>
    <row r="4147" spans="21:21" ht="26.4">
      <c r="U4147" s="394" ph="1"/>
    </row>
    <row r="4148" spans="21:21" ht="26.4">
      <c r="U4148" s="394" ph="1"/>
    </row>
    <row r="4149" spans="21:21" ht="26.4">
      <c r="U4149" s="394" ph="1"/>
    </row>
    <row r="4150" spans="21:21" ht="26.4">
      <c r="U4150" s="394" ph="1"/>
    </row>
    <row r="4151" spans="21:21" ht="26.4">
      <c r="U4151" s="394" ph="1"/>
    </row>
    <row r="4152" spans="21:21" ht="26.4">
      <c r="U4152" s="394" ph="1"/>
    </row>
    <row r="4153" spans="21:21" ht="26.4">
      <c r="U4153" s="394" ph="1"/>
    </row>
    <row r="4154" spans="21:21" ht="26.4">
      <c r="U4154" s="394" ph="1"/>
    </row>
    <row r="4155" spans="21:21" ht="26.4">
      <c r="U4155" s="394" ph="1"/>
    </row>
    <row r="4156" spans="21:21" ht="26.4">
      <c r="U4156" s="394" ph="1"/>
    </row>
    <row r="4157" spans="21:21" ht="26.4">
      <c r="U4157" s="394" ph="1"/>
    </row>
    <row r="4158" spans="21:21" ht="26.4">
      <c r="U4158" s="394" ph="1"/>
    </row>
    <row r="4159" spans="21:21" ht="26.4">
      <c r="U4159" s="394" ph="1"/>
    </row>
    <row r="4160" spans="21:21" ht="26.4">
      <c r="U4160" s="394" ph="1"/>
    </row>
    <row r="4161" spans="21:21" ht="26.4">
      <c r="U4161" s="394" ph="1"/>
    </row>
    <row r="4162" spans="21:21" ht="26.4">
      <c r="U4162" s="394" ph="1"/>
    </row>
    <row r="4163" spans="21:21" ht="26.4">
      <c r="U4163" s="394" ph="1"/>
    </row>
    <row r="4164" spans="21:21" ht="26.4">
      <c r="U4164" s="394" ph="1"/>
    </row>
    <row r="4165" spans="21:21" ht="26.4">
      <c r="U4165" s="394" ph="1"/>
    </row>
    <row r="4166" spans="21:21" ht="26.4">
      <c r="U4166" s="394" ph="1"/>
    </row>
    <row r="4167" spans="21:21" ht="26.4">
      <c r="U4167" s="394" ph="1"/>
    </row>
    <row r="4168" spans="21:21" ht="26.4">
      <c r="U4168" s="394" ph="1"/>
    </row>
    <row r="4169" spans="21:21" ht="26.4">
      <c r="U4169" s="394" ph="1"/>
    </row>
    <row r="4170" spans="21:21" ht="26.4">
      <c r="U4170" s="394" ph="1"/>
    </row>
    <row r="4171" spans="21:21" ht="26.4">
      <c r="U4171" s="394" ph="1"/>
    </row>
    <row r="4172" spans="21:21" ht="26.4">
      <c r="U4172" s="394" ph="1"/>
    </row>
    <row r="4173" spans="21:21" ht="26.4">
      <c r="U4173" s="394" ph="1"/>
    </row>
    <row r="4174" spans="21:21" ht="26.4">
      <c r="U4174" s="394" ph="1"/>
    </row>
    <row r="4175" spans="21:21" ht="26.4">
      <c r="U4175" s="394" ph="1"/>
    </row>
    <row r="4176" spans="21:21" ht="26.4">
      <c r="U4176" s="394" ph="1"/>
    </row>
    <row r="4177" spans="21:21" ht="26.4">
      <c r="U4177" s="394" ph="1"/>
    </row>
    <row r="4178" spans="21:21" ht="26.4">
      <c r="U4178" s="394" ph="1"/>
    </row>
    <row r="4179" spans="21:21" ht="26.4">
      <c r="U4179" s="394" ph="1"/>
    </row>
    <row r="4180" spans="21:21" ht="26.4">
      <c r="U4180" s="394" ph="1"/>
    </row>
    <row r="4181" spans="21:21" ht="26.4">
      <c r="U4181" s="394" ph="1"/>
    </row>
    <row r="4182" spans="21:21" ht="26.4">
      <c r="U4182" s="394" ph="1"/>
    </row>
    <row r="4183" spans="21:21" ht="26.4">
      <c r="U4183" s="394" ph="1"/>
    </row>
    <row r="4184" spans="21:21" ht="26.4">
      <c r="U4184" s="394" ph="1"/>
    </row>
    <row r="4185" spans="21:21" ht="26.4">
      <c r="U4185" s="394" ph="1"/>
    </row>
    <row r="4186" spans="21:21" ht="26.4">
      <c r="U4186" s="394" ph="1"/>
    </row>
    <row r="4187" spans="21:21" ht="26.4">
      <c r="U4187" s="394" ph="1"/>
    </row>
    <row r="4188" spans="21:21" ht="26.4">
      <c r="U4188" s="394" ph="1"/>
    </row>
    <row r="4189" spans="21:21" ht="26.4">
      <c r="U4189" s="394" ph="1"/>
    </row>
    <row r="4190" spans="21:21" ht="26.4">
      <c r="U4190" s="394" ph="1"/>
    </row>
    <row r="4191" spans="21:21" ht="26.4">
      <c r="U4191" s="394" ph="1"/>
    </row>
    <row r="4192" spans="21:21" ht="26.4">
      <c r="U4192" s="394" ph="1"/>
    </row>
    <row r="4193" spans="21:21" ht="26.4">
      <c r="U4193" s="394" ph="1"/>
    </row>
    <row r="4194" spans="21:21" ht="26.4">
      <c r="U4194" s="394" ph="1"/>
    </row>
    <row r="4195" spans="21:21" ht="26.4">
      <c r="U4195" s="394" ph="1"/>
    </row>
    <row r="4196" spans="21:21" ht="26.4">
      <c r="U4196" s="394" ph="1"/>
    </row>
    <row r="4197" spans="21:21" ht="26.4">
      <c r="U4197" s="394" ph="1"/>
    </row>
    <row r="4198" spans="21:21" ht="26.4">
      <c r="U4198" s="394" ph="1"/>
    </row>
    <row r="4199" spans="21:21" ht="26.4">
      <c r="U4199" s="394" ph="1"/>
    </row>
    <row r="4200" spans="21:21" ht="26.4">
      <c r="U4200" s="394" ph="1"/>
    </row>
    <row r="4201" spans="21:21" ht="26.4">
      <c r="U4201" s="394" ph="1"/>
    </row>
    <row r="4202" spans="21:21" ht="26.4">
      <c r="U4202" s="394" ph="1"/>
    </row>
    <row r="4203" spans="21:21" ht="26.4">
      <c r="U4203" s="394" ph="1"/>
    </row>
    <row r="4204" spans="21:21" ht="26.4">
      <c r="U4204" s="394" ph="1"/>
    </row>
    <row r="4205" spans="21:21" ht="26.4">
      <c r="U4205" s="394" ph="1"/>
    </row>
    <row r="4206" spans="21:21" ht="26.4">
      <c r="U4206" s="394" ph="1"/>
    </row>
    <row r="4207" spans="21:21" ht="26.4">
      <c r="U4207" s="394" ph="1"/>
    </row>
    <row r="4208" spans="21:21" ht="26.4">
      <c r="U4208" s="394" ph="1"/>
    </row>
    <row r="4209" spans="21:21" ht="26.4">
      <c r="U4209" s="394" ph="1"/>
    </row>
    <row r="4210" spans="21:21" ht="26.4">
      <c r="U4210" s="394" ph="1"/>
    </row>
    <row r="4211" spans="21:21" ht="26.4">
      <c r="U4211" s="394" ph="1"/>
    </row>
    <row r="4212" spans="21:21" ht="26.4">
      <c r="U4212" s="394" ph="1"/>
    </row>
    <row r="4213" spans="21:21" ht="26.4">
      <c r="U4213" s="394" ph="1"/>
    </row>
    <row r="4214" spans="21:21" ht="26.4">
      <c r="U4214" s="394" ph="1"/>
    </row>
    <row r="4215" spans="21:21" ht="26.4">
      <c r="U4215" s="394" ph="1"/>
    </row>
    <row r="4216" spans="21:21" ht="26.4">
      <c r="U4216" s="394" ph="1"/>
    </row>
    <row r="4217" spans="21:21" ht="26.4">
      <c r="U4217" s="394" ph="1"/>
    </row>
    <row r="4218" spans="21:21" ht="26.4">
      <c r="U4218" s="394" ph="1"/>
    </row>
    <row r="4219" spans="21:21" ht="26.4">
      <c r="U4219" s="394" ph="1"/>
    </row>
    <row r="4220" spans="21:21" ht="26.4">
      <c r="U4220" s="394" ph="1"/>
    </row>
    <row r="4221" spans="21:21" ht="26.4">
      <c r="U4221" s="394" ph="1"/>
    </row>
    <row r="4222" spans="21:21" ht="26.4">
      <c r="U4222" s="394" ph="1"/>
    </row>
    <row r="4223" spans="21:21" ht="26.4">
      <c r="U4223" s="394" ph="1"/>
    </row>
    <row r="4224" spans="21:21" ht="26.4">
      <c r="U4224" s="394" ph="1"/>
    </row>
    <row r="4225" spans="21:21" ht="26.4">
      <c r="U4225" s="394" ph="1"/>
    </row>
    <row r="4226" spans="21:21" ht="26.4">
      <c r="U4226" s="394" ph="1"/>
    </row>
    <row r="4227" spans="21:21" ht="26.4">
      <c r="U4227" s="394" ph="1"/>
    </row>
    <row r="4228" spans="21:21" ht="26.4">
      <c r="U4228" s="394" ph="1"/>
    </row>
    <row r="4229" spans="21:21" ht="26.4">
      <c r="U4229" s="394" ph="1"/>
    </row>
    <row r="4230" spans="21:21" ht="26.4">
      <c r="U4230" s="394" ph="1"/>
    </row>
    <row r="4231" spans="21:21" ht="26.4">
      <c r="U4231" s="394" ph="1"/>
    </row>
    <row r="4232" spans="21:21" ht="26.4">
      <c r="U4232" s="394" ph="1"/>
    </row>
    <row r="4233" spans="21:21" ht="26.4">
      <c r="U4233" s="394" ph="1"/>
    </row>
    <row r="4234" spans="21:21" ht="26.4">
      <c r="U4234" s="394" ph="1"/>
    </row>
    <row r="4235" spans="21:21" ht="26.4">
      <c r="U4235" s="394" ph="1"/>
    </row>
    <row r="4236" spans="21:21" ht="26.4">
      <c r="U4236" s="394" ph="1"/>
    </row>
    <row r="4237" spans="21:21" ht="26.4">
      <c r="U4237" s="394" ph="1"/>
    </row>
    <row r="4238" spans="21:21" ht="26.4">
      <c r="U4238" s="394" ph="1"/>
    </row>
    <row r="4239" spans="21:21" ht="26.4">
      <c r="U4239" s="394" ph="1"/>
    </row>
    <row r="4240" spans="21:21" ht="26.4">
      <c r="U4240" s="394" ph="1"/>
    </row>
    <row r="4241" spans="21:21" ht="26.4">
      <c r="U4241" s="394" ph="1"/>
    </row>
    <row r="4242" spans="21:21" ht="26.4">
      <c r="U4242" s="394" ph="1"/>
    </row>
    <row r="4243" spans="21:21" ht="26.4">
      <c r="U4243" s="394" ph="1"/>
    </row>
    <row r="4244" spans="21:21" ht="26.4">
      <c r="U4244" s="394" ph="1"/>
    </row>
    <row r="4245" spans="21:21" ht="26.4">
      <c r="U4245" s="394" ph="1"/>
    </row>
    <row r="4246" spans="21:21" ht="26.4">
      <c r="U4246" s="394" ph="1"/>
    </row>
    <row r="4247" spans="21:21" ht="26.4">
      <c r="U4247" s="394" ph="1"/>
    </row>
    <row r="4248" spans="21:21" ht="26.4">
      <c r="U4248" s="394" ph="1"/>
    </row>
    <row r="4249" spans="21:21" ht="26.4">
      <c r="U4249" s="394" ph="1"/>
    </row>
    <row r="4250" spans="21:21" ht="26.4">
      <c r="U4250" s="394" ph="1"/>
    </row>
    <row r="4251" spans="21:21" ht="26.4">
      <c r="U4251" s="394" ph="1"/>
    </row>
    <row r="4252" spans="21:21" ht="26.4">
      <c r="U4252" s="394" ph="1"/>
    </row>
    <row r="4253" spans="21:21" ht="26.4">
      <c r="U4253" s="394" ph="1"/>
    </row>
    <row r="4254" spans="21:21" ht="26.4">
      <c r="U4254" s="394" ph="1"/>
    </row>
    <row r="4255" spans="21:21" ht="26.4">
      <c r="U4255" s="394" ph="1"/>
    </row>
    <row r="4256" spans="21:21" ht="26.4">
      <c r="U4256" s="394" ph="1"/>
    </row>
    <row r="4257" spans="21:21" ht="26.4">
      <c r="U4257" s="394" ph="1"/>
    </row>
    <row r="4258" spans="21:21" ht="26.4">
      <c r="U4258" s="394" ph="1"/>
    </row>
    <row r="4259" spans="21:21" ht="26.4">
      <c r="U4259" s="394" ph="1"/>
    </row>
    <row r="4260" spans="21:21" ht="26.4">
      <c r="U4260" s="394" ph="1"/>
    </row>
    <row r="4261" spans="21:21" ht="26.4">
      <c r="U4261" s="394" ph="1"/>
    </row>
    <row r="4262" spans="21:21" ht="26.4">
      <c r="U4262" s="394" ph="1"/>
    </row>
    <row r="4263" spans="21:21" ht="26.4">
      <c r="U4263" s="394" ph="1"/>
    </row>
    <row r="4264" spans="21:21" ht="26.4">
      <c r="U4264" s="394" ph="1"/>
    </row>
    <row r="4265" spans="21:21" ht="26.4">
      <c r="U4265" s="394" ph="1"/>
    </row>
    <row r="4266" spans="21:21" ht="26.4">
      <c r="U4266" s="394" ph="1"/>
    </row>
    <row r="4267" spans="21:21" ht="26.4">
      <c r="U4267" s="394" ph="1"/>
    </row>
    <row r="4268" spans="21:21" ht="26.4">
      <c r="U4268" s="394" ph="1"/>
    </row>
    <row r="4269" spans="21:21" ht="26.4">
      <c r="U4269" s="394" ph="1"/>
    </row>
    <row r="4270" spans="21:21" ht="26.4">
      <c r="U4270" s="394" ph="1"/>
    </row>
    <row r="4271" spans="21:21" ht="26.4">
      <c r="U4271" s="394" ph="1"/>
    </row>
    <row r="4272" spans="21:21" ht="26.4">
      <c r="U4272" s="394" ph="1"/>
    </row>
    <row r="4273" spans="21:21" ht="26.4">
      <c r="U4273" s="394" ph="1"/>
    </row>
    <row r="4274" spans="21:21" ht="26.4">
      <c r="U4274" s="394" ph="1"/>
    </row>
    <row r="4275" spans="21:21" ht="26.4">
      <c r="U4275" s="394" ph="1"/>
    </row>
    <row r="4276" spans="21:21" ht="26.4">
      <c r="U4276" s="394" ph="1"/>
    </row>
    <row r="4277" spans="21:21" ht="26.4">
      <c r="U4277" s="394" ph="1"/>
    </row>
    <row r="4278" spans="21:21" ht="26.4">
      <c r="U4278" s="394" ph="1"/>
    </row>
    <row r="4279" spans="21:21" ht="26.4">
      <c r="U4279" s="394" ph="1"/>
    </row>
    <row r="4280" spans="21:21" ht="26.4">
      <c r="U4280" s="394" ph="1"/>
    </row>
    <row r="4281" spans="21:21" ht="26.4">
      <c r="U4281" s="394" ph="1"/>
    </row>
    <row r="4282" spans="21:21" ht="26.4">
      <c r="U4282" s="394" ph="1"/>
    </row>
    <row r="4283" spans="21:21" ht="26.4">
      <c r="U4283" s="394" ph="1"/>
    </row>
    <row r="4284" spans="21:21" ht="26.4">
      <c r="U4284" s="394" ph="1"/>
    </row>
    <row r="4285" spans="21:21" ht="26.4">
      <c r="U4285" s="394" ph="1"/>
    </row>
    <row r="4286" spans="21:21" ht="26.4">
      <c r="U4286" s="394" ph="1"/>
    </row>
    <row r="4287" spans="21:21" ht="26.4">
      <c r="U4287" s="394" ph="1"/>
    </row>
    <row r="4288" spans="21:21" ht="26.4">
      <c r="U4288" s="394" ph="1"/>
    </row>
    <row r="4289" spans="21:21" ht="26.4">
      <c r="U4289" s="394" ph="1"/>
    </row>
    <row r="4290" spans="21:21" ht="26.4">
      <c r="U4290" s="394" ph="1"/>
    </row>
    <row r="4291" spans="21:21" ht="26.4">
      <c r="U4291" s="394" ph="1"/>
    </row>
    <row r="4292" spans="21:21" ht="26.4">
      <c r="U4292" s="394" ph="1"/>
    </row>
    <row r="4293" spans="21:21" ht="26.4">
      <c r="U4293" s="394" ph="1"/>
    </row>
    <row r="4294" spans="21:21" ht="26.4">
      <c r="U4294" s="394" ph="1"/>
    </row>
    <row r="4295" spans="21:21" ht="26.4">
      <c r="U4295" s="394" ph="1"/>
    </row>
    <row r="4296" spans="21:21" ht="26.4">
      <c r="U4296" s="394" ph="1"/>
    </row>
    <row r="4297" spans="21:21" ht="26.4">
      <c r="U4297" s="394" ph="1"/>
    </row>
    <row r="4298" spans="21:21" ht="26.4">
      <c r="U4298" s="394" ph="1"/>
    </row>
    <row r="4299" spans="21:21" ht="26.4">
      <c r="U4299" s="394" ph="1"/>
    </row>
    <row r="4300" spans="21:21" ht="26.4">
      <c r="U4300" s="394" ph="1"/>
    </row>
    <row r="4301" spans="21:21" ht="26.4">
      <c r="U4301" s="394" ph="1"/>
    </row>
    <row r="4302" spans="21:21" ht="26.4">
      <c r="U4302" s="394" ph="1"/>
    </row>
    <row r="4303" spans="21:21" ht="26.4">
      <c r="U4303" s="394" ph="1"/>
    </row>
    <row r="4304" spans="21:21" ht="26.4">
      <c r="U4304" s="394" ph="1"/>
    </row>
    <row r="4305" spans="21:21" ht="26.4">
      <c r="U4305" s="394" ph="1"/>
    </row>
    <row r="4306" spans="21:21" ht="26.4">
      <c r="U4306" s="394" ph="1"/>
    </row>
    <row r="4307" spans="21:21" ht="26.4">
      <c r="U4307" s="394" ph="1"/>
    </row>
    <row r="4308" spans="21:21" ht="26.4">
      <c r="U4308" s="394" ph="1"/>
    </row>
    <row r="4309" spans="21:21" ht="26.4">
      <c r="U4309" s="394" ph="1"/>
    </row>
    <row r="4310" spans="21:21" ht="26.4">
      <c r="U4310" s="394" ph="1"/>
    </row>
    <row r="4311" spans="21:21" ht="26.4">
      <c r="U4311" s="394" ph="1"/>
    </row>
    <row r="4312" spans="21:21" ht="26.4">
      <c r="U4312" s="394" ph="1"/>
    </row>
    <row r="4313" spans="21:21" ht="26.4">
      <c r="U4313" s="394" ph="1"/>
    </row>
    <row r="4314" spans="21:21" ht="26.4">
      <c r="U4314" s="394" ph="1"/>
    </row>
    <row r="4315" spans="21:21" ht="26.4">
      <c r="U4315" s="394" ph="1"/>
    </row>
    <row r="4316" spans="21:21" ht="26.4">
      <c r="U4316" s="394" ph="1"/>
    </row>
    <row r="4317" spans="21:21" ht="26.4">
      <c r="U4317" s="394" ph="1"/>
    </row>
    <row r="4318" spans="21:21" ht="26.4">
      <c r="U4318" s="394" ph="1"/>
    </row>
    <row r="4319" spans="21:21" ht="26.4">
      <c r="U4319" s="394" ph="1"/>
    </row>
    <row r="4320" spans="21:21" ht="26.4">
      <c r="U4320" s="394" ph="1"/>
    </row>
    <row r="4321" spans="21:21" ht="26.4">
      <c r="U4321" s="394" ph="1"/>
    </row>
    <row r="4322" spans="21:21" ht="26.4">
      <c r="U4322" s="394" ph="1"/>
    </row>
    <row r="4323" spans="21:21" ht="26.4">
      <c r="U4323" s="394" ph="1"/>
    </row>
    <row r="4324" spans="21:21" ht="26.4">
      <c r="U4324" s="394" ph="1"/>
    </row>
    <row r="4325" spans="21:21" ht="26.4">
      <c r="U4325" s="394" ph="1"/>
    </row>
    <row r="4326" spans="21:21" ht="26.4">
      <c r="U4326" s="394" ph="1"/>
    </row>
    <row r="4327" spans="21:21" ht="26.4">
      <c r="U4327" s="394" ph="1"/>
    </row>
    <row r="4328" spans="21:21" ht="26.4">
      <c r="U4328" s="394" ph="1"/>
    </row>
    <row r="4329" spans="21:21" ht="26.4">
      <c r="U4329" s="394" ph="1"/>
    </row>
    <row r="4330" spans="21:21" ht="26.4">
      <c r="U4330" s="394" ph="1"/>
    </row>
    <row r="4331" spans="21:21" ht="26.4">
      <c r="U4331" s="394" ph="1"/>
    </row>
    <row r="4332" spans="21:21" ht="26.4">
      <c r="U4332" s="394" ph="1"/>
    </row>
    <row r="4333" spans="21:21" ht="26.4">
      <c r="U4333" s="394" ph="1"/>
    </row>
    <row r="4334" spans="21:21" ht="26.4">
      <c r="U4334" s="394" ph="1"/>
    </row>
    <row r="4335" spans="21:21" ht="26.4">
      <c r="U4335" s="394" ph="1"/>
    </row>
    <row r="4336" spans="21:21" ht="26.4">
      <c r="U4336" s="394" ph="1"/>
    </row>
    <row r="4337" spans="21:21" ht="26.4">
      <c r="U4337" s="394" ph="1"/>
    </row>
    <row r="4338" spans="21:21" ht="26.4">
      <c r="U4338" s="394" ph="1"/>
    </row>
    <row r="4339" spans="21:21" ht="26.4">
      <c r="U4339" s="394" ph="1"/>
    </row>
    <row r="4340" spans="21:21" ht="26.4">
      <c r="U4340" s="394" ph="1"/>
    </row>
    <row r="4341" spans="21:21" ht="26.4">
      <c r="U4341" s="394" ph="1"/>
    </row>
    <row r="4342" spans="21:21" ht="26.4">
      <c r="U4342" s="394" ph="1"/>
    </row>
    <row r="4343" spans="21:21" ht="26.4">
      <c r="U4343" s="394" ph="1"/>
    </row>
    <row r="4344" spans="21:21" ht="26.4">
      <c r="U4344" s="394" ph="1"/>
    </row>
    <row r="4345" spans="21:21" ht="26.4">
      <c r="U4345" s="394" ph="1"/>
    </row>
    <row r="4346" spans="21:21" ht="26.4">
      <c r="U4346" s="394" ph="1"/>
    </row>
    <row r="4347" spans="21:21" ht="26.4">
      <c r="U4347" s="394" ph="1"/>
    </row>
    <row r="4348" spans="21:21" ht="26.4">
      <c r="U4348" s="394" ph="1"/>
    </row>
    <row r="4349" spans="21:21" ht="26.4">
      <c r="U4349" s="394" ph="1"/>
    </row>
    <row r="4350" spans="21:21" ht="26.4">
      <c r="U4350" s="394" ph="1"/>
    </row>
    <row r="4351" spans="21:21" ht="26.4">
      <c r="U4351" s="394" ph="1"/>
    </row>
    <row r="4352" spans="21:21" ht="26.4">
      <c r="U4352" s="394" ph="1"/>
    </row>
    <row r="4353" spans="21:21" ht="26.4">
      <c r="U4353" s="394" ph="1"/>
    </row>
    <row r="4354" spans="21:21" ht="26.4">
      <c r="U4354" s="394" ph="1"/>
    </row>
    <row r="4355" spans="21:21" ht="26.4">
      <c r="U4355" s="394" ph="1"/>
    </row>
    <row r="4356" spans="21:21" ht="26.4">
      <c r="U4356" s="394" ph="1"/>
    </row>
    <row r="4357" spans="21:21" ht="26.4">
      <c r="U4357" s="394" ph="1"/>
    </row>
    <row r="4358" spans="21:21" ht="26.4">
      <c r="U4358" s="394" ph="1"/>
    </row>
    <row r="4359" spans="21:21" ht="26.4">
      <c r="U4359" s="394" ph="1"/>
    </row>
    <row r="4360" spans="21:21" ht="26.4">
      <c r="U4360" s="394" ph="1"/>
    </row>
    <row r="4361" spans="21:21" ht="26.4">
      <c r="U4361" s="394" ph="1"/>
    </row>
    <row r="4362" spans="21:21" ht="26.4">
      <c r="U4362" s="394" ph="1"/>
    </row>
    <row r="4363" spans="21:21" ht="26.4">
      <c r="U4363" s="394" ph="1"/>
    </row>
    <row r="4364" spans="21:21" ht="26.4">
      <c r="U4364" s="394" ph="1"/>
    </row>
    <row r="4365" spans="21:21" ht="26.4">
      <c r="U4365" s="394" ph="1"/>
    </row>
    <row r="4366" spans="21:21" ht="26.4">
      <c r="U4366" s="394" ph="1"/>
    </row>
    <row r="4367" spans="21:21" ht="26.4">
      <c r="U4367" s="394" ph="1"/>
    </row>
    <row r="4368" spans="21:21" ht="26.4">
      <c r="U4368" s="394" ph="1"/>
    </row>
    <row r="4369" spans="21:21" ht="26.4">
      <c r="U4369" s="394" ph="1"/>
    </row>
    <row r="4370" spans="21:21" ht="26.4">
      <c r="U4370" s="394" ph="1"/>
    </row>
    <row r="4371" spans="21:21" ht="26.4">
      <c r="U4371" s="394" ph="1"/>
    </row>
    <row r="4372" spans="21:21" ht="26.4">
      <c r="U4372" s="394" ph="1"/>
    </row>
    <row r="4373" spans="21:21" ht="26.4">
      <c r="U4373" s="394" ph="1"/>
    </row>
    <row r="4374" spans="21:21" ht="26.4">
      <c r="U4374" s="394" ph="1"/>
    </row>
    <row r="4375" spans="21:21" ht="26.4">
      <c r="U4375" s="394" ph="1"/>
    </row>
    <row r="4376" spans="21:21" ht="26.4">
      <c r="U4376" s="394" ph="1"/>
    </row>
    <row r="4377" spans="21:21" ht="26.4">
      <c r="U4377" s="394" ph="1"/>
    </row>
    <row r="4378" spans="21:21" ht="26.4">
      <c r="U4378" s="394" ph="1"/>
    </row>
    <row r="4379" spans="21:21" ht="26.4">
      <c r="U4379" s="394" ph="1"/>
    </row>
    <row r="4380" spans="21:21" ht="26.4">
      <c r="U4380" s="394" ph="1"/>
    </row>
    <row r="4381" spans="21:21" ht="26.4">
      <c r="U4381" s="394" ph="1"/>
    </row>
    <row r="4382" spans="21:21" ht="26.4">
      <c r="U4382" s="394" ph="1"/>
    </row>
    <row r="4383" spans="21:21" ht="26.4">
      <c r="U4383" s="394" ph="1"/>
    </row>
    <row r="4384" spans="21:21" ht="26.4">
      <c r="U4384" s="394" ph="1"/>
    </row>
    <row r="4385" spans="21:21" ht="26.4">
      <c r="U4385" s="394" ph="1"/>
    </row>
    <row r="4386" spans="21:21" ht="26.4">
      <c r="U4386" s="394" ph="1"/>
    </row>
    <row r="4387" spans="21:21" ht="26.4">
      <c r="U4387" s="394" ph="1"/>
    </row>
    <row r="4388" spans="21:21" ht="26.4">
      <c r="U4388" s="394" ph="1"/>
    </row>
    <row r="4389" spans="21:21" ht="26.4">
      <c r="U4389" s="394" ph="1"/>
    </row>
    <row r="4390" spans="21:21" ht="26.4">
      <c r="U4390" s="394" ph="1"/>
    </row>
    <row r="4391" spans="21:21" ht="26.4">
      <c r="U4391" s="394" ph="1"/>
    </row>
    <row r="4392" spans="21:21" ht="26.4">
      <c r="U4392" s="394" ph="1"/>
    </row>
    <row r="4393" spans="21:21" ht="26.4">
      <c r="U4393" s="394" ph="1"/>
    </row>
    <row r="4394" spans="21:21" ht="26.4">
      <c r="U4394" s="394" ph="1"/>
    </row>
    <row r="4395" spans="21:21" ht="26.4">
      <c r="U4395" s="394" ph="1"/>
    </row>
    <row r="4396" spans="21:21" ht="26.4">
      <c r="U4396" s="394" ph="1"/>
    </row>
    <row r="4397" spans="21:21" ht="26.4">
      <c r="U4397" s="394" ph="1"/>
    </row>
    <row r="4398" spans="21:21" ht="26.4">
      <c r="U4398" s="394" ph="1"/>
    </row>
    <row r="4399" spans="21:21" ht="26.4">
      <c r="U4399" s="394" ph="1"/>
    </row>
    <row r="4400" spans="21:21" ht="26.4">
      <c r="U4400" s="394" ph="1"/>
    </row>
    <row r="4401" spans="21:21" ht="26.4">
      <c r="U4401" s="394" ph="1"/>
    </row>
    <row r="4402" spans="21:21" ht="26.4">
      <c r="U4402" s="394" ph="1"/>
    </row>
    <row r="4403" spans="21:21" ht="26.4">
      <c r="U4403" s="394" ph="1"/>
    </row>
    <row r="4404" spans="21:21" ht="26.4">
      <c r="U4404" s="394" ph="1"/>
    </row>
    <row r="4405" spans="21:21" ht="26.4">
      <c r="U4405" s="394" ph="1"/>
    </row>
    <row r="4406" spans="21:21" ht="26.4">
      <c r="U4406" s="394" ph="1"/>
    </row>
    <row r="4407" spans="21:21" ht="26.4">
      <c r="U4407" s="394" ph="1"/>
    </row>
    <row r="4408" spans="21:21" ht="26.4">
      <c r="U4408" s="394" ph="1"/>
    </row>
    <row r="4409" spans="21:21" ht="26.4">
      <c r="U4409" s="394" ph="1"/>
    </row>
    <row r="4410" spans="21:21" ht="26.4">
      <c r="U4410" s="394" ph="1"/>
    </row>
    <row r="4411" spans="21:21" ht="26.4">
      <c r="U4411" s="394" ph="1"/>
    </row>
    <row r="4412" spans="21:21" ht="26.4">
      <c r="U4412" s="394" ph="1"/>
    </row>
    <row r="4413" spans="21:21" ht="26.4">
      <c r="U4413" s="394" ph="1"/>
    </row>
    <row r="4414" spans="21:21" ht="26.4">
      <c r="U4414" s="394" ph="1"/>
    </row>
    <row r="4415" spans="21:21" ht="26.4">
      <c r="U4415" s="394" ph="1"/>
    </row>
    <row r="4416" spans="21:21" ht="26.4">
      <c r="U4416" s="394" ph="1"/>
    </row>
    <row r="4417" spans="21:21" ht="26.4">
      <c r="U4417" s="394" ph="1"/>
    </row>
    <row r="4418" spans="21:21" ht="26.4">
      <c r="U4418" s="394" ph="1"/>
    </row>
    <row r="4419" spans="21:21" ht="26.4">
      <c r="U4419" s="394" ph="1"/>
    </row>
    <row r="4420" spans="21:21" ht="26.4">
      <c r="U4420" s="394" ph="1"/>
    </row>
    <row r="4421" spans="21:21" ht="26.4">
      <c r="U4421" s="394" ph="1"/>
    </row>
    <row r="4422" spans="21:21" ht="26.4">
      <c r="U4422" s="394" ph="1"/>
    </row>
    <row r="4423" spans="21:21" ht="26.4">
      <c r="U4423" s="394" ph="1"/>
    </row>
    <row r="4424" spans="21:21" ht="26.4">
      <c r="U4424" s="394" ph="1"/>
    </row>
    <row r="4425" spans="21:21" ht="26.4">
      <c r="U4425" s="394" ph="1"/>
    </row>
    <row r="4426" spans="21:21" ht="26.4">
      <c r="U4426" s="394" ph="1"/>
    </row>
    <row r="4427" spans="21:21" ht="26.4">
      <c r="U4427" s="394" ph="1"/>
    </row>
    <row r="4428" spans="21:21" ht="26.4">
      <c r="U4428" s="394" ph="1"/>
    </row>
    <row r="4429" spans="21:21" ht="26.4">
      <c r="U4429" s="394" ph="1"/>
    </row>
    <row r="4430" spans="21:21" ht="26.4">
      <c r="U4430" s="394" ph="1"/>
    </row>
    <row r="4431" spans="21:21" ht="26.4">
      <c r="U4431" s="394" ph="1"/>
    </row>
    <row r="4432" spans="21:21" ht="26.4">
      <c r="U4432" s="394" ph="1"/>
    </row>
    <row r="4433" spans="21:21" ht="26.4">
      <c r="U4433" s="394" ph="1"/>
    </row>
    <row r="4434" spans="21:21" ht="26.4">
      <c r="U4434" s="394" ph="1"/>
    </row>
    <row r="4435" spans="21:21" ht="26.4">
      <c r="U4435" s="394" ph="1"/>
    </row>
    <row r="4436" spans="21:21" ht="26.4">
      <c r="U4436" s="394" ph="1"/>
    </row>
    <row r="4437" spans="21:21" ht="26.4">
      <c r="U4437" s="394" ph="1"/>
    </row>
    <row r="4438" spans="21:21" ht="26.4">
      <c r="U4438" s="394" ph="1"/>
    </row>
    <row r="4439" spans="21:21" ht="26.4">
      <c r="U4439" s="394" ph="1"/>
    </row>
    <row r="4440" spans="21:21" ht="26.4">
      <c r="U4440" s="394" ph="1"/>
    </row>
    <row r="4441" spans="21:21" ht="26.4">
      <c r="U4441" s="394" ph="1"/>
    </row>
    <row r="4442" spans="21:21" ht="26.4">
      <c r="U4442" s="394" ph="1"/>
    </row>
    <row r="4443" spans="21:21" ht="26.4">
      <c r="U4443" s="394" ph="1"/>
    </row>
    <row r="4444" spans="21:21" ht="26.4">
      <c r="U4444" s="394" ph="1"/>
    </row>
    <row r="4445" spans="21:21" ht="26.4">
      <c r="U4445" s="394" ph="1"/>
    </row>
    <row r="4446" spans="21:21" ht="26.4">
      <c r="U4446" s="394" ph="1"/>
    </row>
    <row r="4447" spans="21:21" ht="26.4">
      <c r="U4447" s="394" ph="1"/>
    </row>
    <row r="4448" spans="21:21" ht="26.4">
      <c r="U4448" s="394" ph="1"/>
    </row>
    <row r="4449" spans="21:21" ht="26.4">
      <c r="U4449" s="394" ph="1"/>
    </row>
    <row r="4450" spans="21:21" ht="26.4">
      <c r="U4450" s="394" ph="1"/>
    </row>
    <row r="4451" spans="21:21" ht="26.4">
      <c r="U4451" s="394" ph="1"/>
    </row>
    <row r="4452" spans="21:21" ht="26.4">
      <c r="U4452" s="394" ph="1"/>
    </row>
    <row r="4453" spans="21:21" ht="26.4">
      <c r="U4453" s="394" ph="1"/>
    </row>
    <row r="4454" spans="21:21" ht="26.4">
      <c r="U4454" s="394" ph="1"/>
    </row>
    <row r="4455" spans="21:21" ht="26.4">
      <c r="U4455" s="394" ph="1"/>
    </row>
    <row r="4456" spans="21:21" ht="26.4">
      <c r="U4456" s="394" ph="1"/>
    </row>
    <row r="4457" spans="21:21" ht="26.4">
      <c r="U4457" s="394" ph="1"/>
    </row>
    <row r="4458" spans="21:21" ht="26.4">
      <c r="U4458" s="394" ph="1"/>
    </row>
    <row r="4459" spans="21:21" ht="26.4">
      <c r="U4459" s="394" ph="1"/>
    </row>
    <row r="4460" spans="21:21" ht="26.4">
      <c r="U4460" s="394" ph="1"/>
    </row>
    <row r="4461" spans="21:21" ht="26.4">
      <c r="U4461" s="394" ph="1"/>
    </row>
    <row r="4462" spans="21:21" ht="26.4">
      <c r="U4462" s="394" ph="1"/>
    </row>
    <row r="4463" spans="21:21" ht="26.4">
      <c r="U4463" s="394" ph="1"/>
    </row>
    <row r="4464" spans="21:21" ht="26.4">
      <c r="U4464" s="394" ph="1"/>
    </row>
    <row r="4465" spans="21:21" ht="26.4">
      <c r="U4465" s="394" ph="1"/>
    </row>
    <row r="4466" spans="21:21" ht="26.4">
      <c r="U4466" s="394" ph="1"/>
    </row>
    <row r="4467" spans="21:21" ht="26.4">
      <c r="U4467" s="394" ph="1"/>
    </row>
    <row r="4468" spans="21:21" ht="26.4">
      <c r="U4468" s="394" ph="1"/>
    </row>
    <row r="4469" spans="21:21" ht="26.4">
      <c r="U4469" s="394" ph="1"/>
    </row>
    <row r="4470" spans="21:21" ht="26.4">
      <c r="U4470" s="394" ph="1"/>
    </row>
    <row r="4471" spans="21:21" ht="26.4">
      <c r="U4471" s="394" ph="1"/>
    </row>
    <row r="4472" spans="21:21" ht="26.4">
      <c r="U4472" s="394" ph="1"/>
    </row>
    <row r="4473" spans="21:21" ht="26.4">
      <c r="U4473" s="394" ph="1"/>
    </row>
    <row r="4474" spans="21:21" ht="26.4">
      <c r="U4474" s="394" ph="1"/>
    </row>
    <row r="4475" spans="21:21" ht="26.4">
      <c r="U4475" s="394" ph="1"/>
    </row>
    <row r="4476" spans="21:21" ht="26.4">
      <c r="U4476" s="394" ph="1"/>
    </row>
    <row r="4477" spans="21:21" ht="26.4">
      <c r="U4477" s="394" ph="1"/>
    </row>
    <row r="4478" spans="21:21" ht="26.4">
      <c r="U4478" s="394" ph="1"/>
    </row>
    <row r="4479" spans="21:21" ht="26.4">
      <c r="U4479" s="394" ph="1"/>
    </row>
    <row r="4480" spans="21:21" ht="26.4">
      <c r="U4480" s="394" ph="1"/>
    </row>
    <row r="4481" spans="21:21" ht="26.4">
      <c r="U4481" s="394" ph="1"/>
    </row>
    <row r="4482" spans="21:21" ht="26.4">
      <c r="U4482" s="394" ph="1"/>
    </row>
    <row r="4483" spans="21:21" ht="26.4">
      <c r="U4483" s="394" ph="1"/>
    </row>
    <row r="4484" spans="21:21" ht="26.4">
      <c r="U4484" s="394" ph="1"/>
    </row>
    <row r="4485" spans="21:21" ht="26.4">
      <c r="U4485" s="394" ph="1"/>
    </row>
    <row r="4486" spans="21:21" ht="26.4">
      <c r="U4486" s="394" ph="1"/>
    </row>
    <row r="4487" spans="21:21" ht="26.4">
      <c r="U4487" s="394" ph="1"/>
    </row>
    <row r="4488" spans="21:21" ht="26.4">
      <c r="U4488" s="394" ph="1"/>
    </row>
    <row r="4489" spans="21:21" ht="26.4">
      <c r="U4489" s="394" ph="1"/>
    </row>
    <row r="4490" spans="21:21" ht="26.4">
      <c r="U4490" s="394" ph="1"/>
    </row>
    <row r="4491" spans="21:21" ht="26.4">
      <c r="U4491" s="394" ph="1"/>
    </row>
    <row r="4492" spans="21:21" ht="26.4">
      <c r="U4492" s="394" ph="1"/>
    </row>
    <row r="4493" spans="21:21" ht="26.4">
      <c r="U4493" s="394" ph="1"/>
    </row>
    <row r="4494" spans="21:21" ht="26.4">
      <c r="U4494" s="394" ph="1"/>
    </row>
    <row r="4495" spans="21:21" ht="26.4">
      <c r="U4495" s="394" ph="1"/>
    </row>
    <row r="4496" spans="21:21" ht="26.4">
      <c r="U4496" s="394" ph="1"/>
    </row>
    <row r="4497" spans="21:21" ht="26.4">
      <c r="U4497" s="394" ph="1"/>
    </row>
    <row r="4498" spans="21:21" ht="26.4">
      <c r="U4498" s="394" ph="1"/>
    </row>
    <row r="4499" spans="21:21" ht="26.4">
      <c r="U4499" s="394" ph="1"/>
    </row>
    <row r="4500" spans="21:21" ht="26.4">
      <c r="U4500" s="394" ph="1"/>
    </row>
    <row r="4501" spans="21:21" ht="26.4">
      <c r="U4501" s="394" ph="1"/>
    </row>
    <row r="4502" spans="21:21" ht="26.4">
      <c r="U4502" s="394" ph="1"/>
    </row>
    <row r="4503" spans="21:21" ht="26.4">
      <c r="U4503" s="394" ph="1"/>
    </row>
    <row r="4504" spans="21:21" ht="26.4">
      <c r="U4504" s="394" ph="1"/>
    </row>
    <row r="4505" spans="21:21" ht="26.4">
      <c r="U4505" s="394" ph="1"/>
    </row>
    <row r="4506" spans="21:21" ht="26.4">
      <c r="U4506" s="394" ph="1"/>
    </row>
    <row r="4507" spans="21:21" ht="26.4">
      <c r="U4507" s="394" ph="1"/>
    </row>
    <row r="4508" spans="21:21" ht="26.4">
      <c r="U4508" s="394" ph="1"/>
    </row>
    <row r="4509" spans="21:21" ht="26.4">
      <c r="U4509" s="394" ph="1"/>
    </row>
    <row r="4510" spans="21:21" ht="26.4">
      <c r="U4510" s="394" ph="1"/>
    </row>
    <row r="4511" spans="21:21" ht="26.4">
      <c r="U4511" s="394" ph="1"/>
    </row>
    <row r="4512" spans="21:21" ht="26.4">
      <c r="U4512" s="394" ph="1"/>
    </row>
    <row r="4513" spans="21:21" ht="26.4">
      <c r="U4513" s="394" ph="1"/>
    </row>
    <row r="4514" spans="21:21" ht="26.4">
      <c r="U4514" s="394" ph="1"/>
    </row>
    <row r="4515" spans="21:21" ht="26.4">
      <c r="U4515" s="394" ph="1"/>
    </row>
    <row r="4516" spans="21:21" ht="26.4">
      <c r="U4516" s="394" ph="1"/>
    </row>
    <row r="4517" spans="21:21" ht="26.4">
      <c r="U4517" s="394" ph="1"/>
    </row>
    <row r="4518" spans="21:21" ht="26.4">
      <c r="U4518" s="394" ph="1"/>
    </row>
    <row r="4519" spans="21:21" ht="26.4">
      <c r="U4519" s="394" ph="1"/>
    </row>
    <row r="4520" spans="21:21" ht="26.4">
      <c r="U4520" s="394" ph="1"/>
    </row>
    <row r="4521" spans="21:21" ht="26.4">
      <c r="U4521" s="394" ph="1"/>
    </row>
    <row r="4522" spans="21:21" ht="26.4">
      <c r="U4522" s="394" ph="1"/>
    </row>
    <row r="4523" spans="21:21" ht="26.4">
      <c r="U4523" s="394" ph="1"/>
    </row>
    <row r="4524" spans="21:21" ht="26.4">
      <c r="U4524" s="394" ph="1"/>
    </row>
    <row r="4525" spans="21:21" ht="26.4">
      <c r="U4525" s="394" ph="1"/>
    </row>
    <row r="4526" spans="21:21" ht="26.4">
      <c r="U4526" s="394" ph="1"/>
    </row>
    <row r="4527" spans="21:21" ht="26.4">
      <c r="U4527" s="394" ph="1"/>
    </row>
    <row r="4528" spans="21:21" ht="26.4">
      <c r="U4528" s="394" ph="1"/>
    </row>
    <row r="4529" spans="21:21" ht="26.4">
      <c r="U4529" s="394" ph="1"/>
    </row>
    <row r="4530" spans="21:21" ht="26.4">
      <c r="U4530" s="394" ph="1"/>
    </row>
    <row r="4531" spans="21:21" ht="26.4">
      <c r="U4531" s="394" ph="1"/>
    </row>
    <row r="4532" spans="21:21" ht="26.4">
      <c r="U4532" s="394" ph="1"/>
    </row>
    <row r="4533" spans="21:21" ht="26.4">
      <c r="U4533" s="394" ph="1"/>
    </row>
    <row r="4534" spans="21:21" ht="26.4">
      <c r="U4534" s="394" ph="1"/>
    </row>
    <row r="4535" spans="21:21" ht="26.4">
      <c r="U4535" s="394" ph="1"/>
    </row>
    <row r="4536" spans="21:21" ht="26.4">
      <c r="U4536" s="394" ph="1"/>
    </row>
    <row r="4537" spans="21:21" ht="26.4">
      <c r="U4537" s="394" ph="1"/>
    </row>
    <row r="4538" spans="21:21" ht="26.4">
      <c r="U4538" s="394" ph="1"/>
    </row>
    <row r="4539" spans="21:21" ht="26.4">
      <c r="U4539" s="394" ph="1"/>
    </row>
    <row r="4540" spans="21:21" ht="26.4">
      <c r="U4540" s="394" ph="1"/>
    </row>
    <row r="4541" spans="21:21" ht="26.4">
      <c r="U4541" s="394" ph="1"/>
    </row>
    <row r="4542" spans="21:21" ht="26.4">
      <c r="U4542" s="394" ph="1"/>
    </row>
    <row r="4543" spans="21:21" ht="26.4">
      <c r="U4543" s="394" ph="1"/>
    </row>
    <row r="4544" spans="21:21" ht="26.4">
      <c r="U4544" s="394" ph="1"/>
    </row>
    <row r="4545" spans="21:21" ht="26.4">
      <c r="U4545" s="394" ph="1"/>
    </row>
    <row r="4546" spans="21:21" ht="26.4">
      <c r="U4546" s="394" ph="1"/>
    </row>
    <row r="4547" spans="21:21" ht="26.4">
      <c r="U4547" s="394" ph="1"/>
    </row>
    <row r="4548" spans="21:21" ht="26.4">
      <c r="U4548" s="394" ph="1"/>
    </row>
    <row r="4549" spans="21:21" ht="26.4">
      <c r="U4549" s="394" ph="1"/>
    </row>
    <row r="4550" spans="21:21" ht="26.4">
      <c r="U4550" s="394" ph="1"/>
    </row>
    <row r="4551" spans="21:21" ht="26.4">
      <c r="U4551" s="394" ph="1"/>
    </row>
    <row r="4552" spans="21:21" ht="26.4">
      <c r="U4552" s="394" ph="1"/>
    </row>
    <row r="4553" spans="21:21" ht="26.4">
      <c r="U4553" s="394" ph="1"/>
    </row>
    <row r="4554" spans="21:21" ht="26.4">
      <c r="U4554" s="394" ph="1"/>
    </row>
    <row r="4555" spans="21:21" ht="26.4">
      <c r="U4555" s="394" ph="1"/>
    </row>
    <row r="4556" spans="21:21" ht="26.4">
      <c r="U4556" s="394" ph="1"/>
    </row>
    <row r="4557" spans="21:21" ht="26.4">
      <c r="U4557" s="394" ph="1"/>
    </row>
    <row r="4558" spans="21:21" ht="26.4">
      <c r="U4558" s="394" ph="1"/>
    </row>
    <row r="4559" spans="21:21" ht="26.4">
      <c r="U4559" s="394" ph="1"/>
    </row>
    <row r="4560" spans="21:21" ht="26.4">
      <c r="U4560" s="394" ph="1"/>
    </row>
    <row r="4561" spans="21:21" ht="26.4">
      <c r="U4561" s="394" ph="1"/>
    </row>
    <row r="4562" spans="21:21" ht="26.4">
      <c r="U4562" s="394" ph="1"/>
    </row>
    <row r="4563" spans="21:21" ht="26.4">
      <c r="U4563" s="394" ph="1"/>
    </row>
    <row r="4564" spans="21:21" ht="26.4">
      <c r="U4564" s="394" ph="1"/>
    </row>
    <row r="4565" spans="21:21" ht="26.4">
      <c r="U4565" s="394" ph="1"/>
    </row>
    <row r="4566" spans="21:21" ht="26.4">
      <c r="U4566" s="394" ph="1"/>
    </row>
    <row r="4567" spans="21:21" ht="26.4">
      <c r="U4567" s="394" ph="1"/>
    </row>
    <row r="4568" spans="21:21" ht="26.4">
      <c r="U4568" s="394" ph="1"/>
    </row>
    <row r="4569" spans="21:21" ht="26.4">
      <c r="U4569" s="394" ph="1"/>
    </row>
    <row r="4570" spans="21:21" ht="26.4">
      <c r="U4570" s="394" ph="1"/>
    </row>
    <row r="4571" spans="21:21" ht="26.4">
      <c r="U4571" s="394" ph="1"/>
    </row>
    <row r="4572" spans="21:21" ht="26.4">
      <c r="U4572" s="394" ph="1"/>
    </row>
    <row r="4573" spans="21:21" ht="26.4">
      <c r="U4573" s="394" ph="1"/>
    </row>
    <row r="4574" spans="21:21" ht="26.4">
      <c r="U4574" s="394" ph="1"/>
    </row>
    <row r="4575" spans="21:21" ht="26.4">
      <c r="U4575" s="394" ph="1"/>
    </row>
    <row r="4576" spans="21:21" ht="26.4">
      <c r="U4576" s="394" ph="1"/>
    </row>
    <row r="4577" spans="21:21" ht="26.4">
      <c r="U4577" s="394" ph="1"/>
    </row>
    <row r="4578" spans="21:21" ht="26.4">
      <c r="U4578" s="394" ph="1"/>
    </row>
    <row r="4579" spans="21:21" ht="26.4">
      <c r="U4579" s="394" ph="1"/>
    </row>
    <row r="4580" spans="21:21" ht="26.4">
      <c r="U4580" s="394" ph="1"/>
    </row>
    <row r="4581" spans="21:21" ht="26.4">
      <c r="U4581" s="394" ph="1"/>
    </row>
    <row r="4582" spans="21:21" ht="26.4">
      <c r="U4582" s="394" ph="1"/>
    </row>
    <row r="4583" spans="21:21" ht="26.4">
      <c r="U4583" s="394" ph="1"/>
    </row>
    <row r="4584" spans="21:21" ht="26.4">
      <c r="U4584" s="394" ph="1"/>
    </row>
    <row r="4585" spans="21:21" ht="26.4">
      <c r="U4585" s="394" ph="1"/>
    </row>
    <row r="4586" spans="21:21" ht="26.4">
      <c r="U4586" s="394" ph="1"/>
    </row>
    <row r="4587" spans="21:21" ht="26.4">
      <c r="U4587" s="394" ph="1"/>
    </row>
    <row r="4588" spans="21:21" ht="26.4">
      <c r="U4588" s="394" ph="1"/>
    </row>
    <row r="4589" spans="21:21" ht="26.4">
      <c r="U4589" s="394" ph="1"/>
    </row>
    <row r="4590" spans="21:21" ht="26.4">
      <c r="U4590" s="394" ph="1"/>
    </row>
    <row r="4591" spans="21:21" ht="26.4">
      <c r="U4591" s="394" ph="1"/>
    </row>
    <row r="4592" spans="21:21" ht="26.4">
      <c r="U4592" s="394" ph="1"/>
    </row>
    <row r="4593" spans="21:21" ht="26.4">
      <c r="U4593" s="394" ph="1"/>
    </row>
    <row r="4594" spans="21:21" ht="26.4">
      <c r="U4594" s="394" ph="1"/>
    </row>
    <row r="4595" spans="21:21" ht="26.4">
      <c r="U4595" s="394" ph="1"/>
    </row>
    <row r="4596" spans="21:21" ht="26.4">
      <c r="U4596" s="394" ph="1"/>
    </row>
    <row r="4597" spans="21:21" ht="26.4">
      <c r="U4597" s="394" ph="1"/>
    </row>
    <row r="4598" spans="21:21" ht="26.4">
      <c r="U4598" s="394" ph="1"/>
    </row>
    <row r="4599" spans="21:21" ht="26.4">
      <c r="U4599" s="394" ph="1"/>
    </row>
    <row r="4600" spans="21:21" ht="26.4">
      <c r="U4600" s="394" ph="1"/>
    </row>
    <row r="4601" spans="21:21" ht="26.4">
      <c r="U4601" s="394" ph="1"/>
    </row>
    <row r="4602" spans="21:21" ht="26.4">
      <c r="U4602" s="394" ph="1"/>
    </row>
    <row r="4603" spans="21:21" ht="26.4">
      <c r="U4603" s="394" ph="1"/>
    </row>
    <row r="4604" spans="21:21" ht="26.4">
      <c r="U4604" s="394" ph="1"/>
    </row>
    <row r="4605" spans="21:21" ht="26.4">
      <c r="U4605" s="394" ph="1"/>
    </row>
    <row r="4606" spans="21:21" ht="26.4">
      <c r="U4606" s="394" ph="1"/>
    </row>
    <row r="4607" spans="21:21" ht="26.4">
      <c r="U4607" s="394" ph="1"/>
    </row>
    <row r="4608" spans="21:21" ht="26.4">
      <c r="U4608" s="394" ph="1"/>
    </row>
    <row r="4609" spans="21:21" ht="26.4">
      <c r="U4609" s="394" ph="1"/>
    </row>
    <row r="4610" spans="21:21" ht="26.4">
      <c r="U4610" s="394" ph="1"/>
    </row>
    <row r="4611" spans="21:21" ht="26.4">
      <c r="U4611" s="394" ph="1"/>
    </row>
    <row r="4612" spans="21:21" ht="26.4">
      <c r="U4612" s="394" ph="1"/>
    </row>
    <row r="4613" spans="21:21" ht="26.4">
      <c r="U4613" s="394" ph="1"/>
    </row>
    <row r="4614" spans="21:21" ht="26.4">
      <c r="U4614" s="394" ph="1"/>
    </row>
    <row r="4615" spans="21:21" ht="26.4">
      <c r="U4615" s="394" ph="1"/>
    </row>
    <row r="4616" spans="21:21" ht="26.4">
      <c r="U4616" s="394" ph="1"/>
    </row>
    <row r="4617" spans="21:21" ht="26.4">
      <c r="U4617" s="394" ph="1"/>
    </row>
    <row r="4618" spans="21:21" ht="26.4">
      <c r="U4618" s="394" ph="1"/>
    </row>
    <row r="4619" spans="21:21" ht="26.4">
      <c r="U4619" s="394" ph="1"/>
    </row>
    <row r="4620" spans="21:21" ht="26.4">
      <c r="U4620" s="394" ph="1"/>
    </row>
    <row r="4621" spans="21:21" ht="26.4">
      <c r="U4621" s="394" ph="1"/>
    </row>
    <row r="4622" spans="21:21" ht="26.4">
      <c r="U4622" s="394" ph="1"/>
    </row>
    <row r="4623" spans="21:21" ht="26.4">
      <c r="U4623" s="394" ph="1"/>
    </row>
    <row r="4624" spans="21:21" ht="26.4">
      <c r="U4624" s="394" ph="1"/>
    </row>
    <row r="4625" spans="21:21" ht="26.4">
      <c r="U4625" s="394" ph="1"/>
    </row>
    <row r="4626" spans="21:21" ht="26.4">
      <c r="U4626" s="394" ph="1"/>
    </row>
    <row r="4627" spans="21:21" ht="26.4">
      <c r="U4627" s="394" ph="1"/>
    </row>
    <row r="4628" spans="21:21" ht="26.4">
      <c r="U4628" s="394" ph="1"/>
    </row>
    <row r="4629" spans="21:21" ht="26.4">
      <c r="U4629" s="394" ph="1"/>
    </row>
    <row r="4630" spans="21:21" ht="26.4">
      <c r="U4630" s="394" ph="1"/>
    </row>
    <row r="4631" spans="21:21" ht="26.4">
      <c r="U4631" s="394" ph="1"/>
    </row>
    <row r="4632" spans="21:21" ht="26.4">
      <c r="U4632" s="394" ph="1"/>
    </row>
    <row r="4633" spans="21:21" ht="26.4">
      <c r="U4633" s="394" ph="1"/>
    </row>
    <row r="4634" spans="21:21" ht="26.4">
      <c r="U4634" s="394" ph="1"/>
    </row>
    <row r="4635" spans="21:21" ht="26.4">
      <c r="U4635" s="394" ph="1"/>
    </row>
    <row r="4636" spans="21:21" ht="26.4">
      <c r="U4636" s="394" ph="1"/>
    </row>
    <row r="4637" spans="21:21" ht="26.4">
      <c r="U4637" s="394" ph="1"/>
    </row>
    <row r="4638" spans="21:21" ht="26.4">
      <c r="U4638" s="394" ph="1"/>
    </row>
    <row r="4639" spans="21:21" ht="26.4">
      <c r="U4639" s="394" ph="1"/>
    </row>
    <row r="4640" spans="21:21" ht="26.4">
      <c r="U4640" s="394" ph="1"/>
    </row>
    <row r="4641" spans="21:21" ht="26.4">
      <c r="U4641" s="394" ph="1"/>
    </row>
    <row r="4642" spans="21:21" ht="26.4">
      <c r="U4642" s="394" ph="1"/>
    </row>
    <row r="4643" spans="21:21" ht="26.4">
      <c r="U4643" s="394" ph="1"/>
    </row>
    <row r="4644" spans="21:21" ht="26.4">
      <c r="U4644" s="394" ph="1"/>
    </row>
    <row r="4645" spans="21:21" ht="26.4">
      <c r="U4645" s="394" ph="1"/>
    </row>
    <row r="4646" spans="21:21" ht="26.4">
      <c r="U4646" s="394" ph="1"/>
    </row>
    <row r="4647" spans="21:21" ht="26.4">
      <c r="U4647" s="394" ph="1"/>
    </row>
    <row r="4648" spans="21:21" ht="26.4">
      <c r="U4648" s="394" ph="1"/>
    </row>
    <row r="4649" spans="21:21" ht="26.4">
      <c r="U4649" s="394" ph="1"/>
    </row>
    <row r="4650" spans="21:21" ht="26.4">
      <c r="U4650" s="394" ph="1"/>
    </row>
    <row r="4651" spans="21:21" ht="26.4">
      <c r="U4651" s="394" ph="1"/>
    </row>
    <row r="4652" spans="21:21" ht="26.4">
      <c r="U4652" s="394" ph="1"/>
    </row>
    <row r="4653" spans="21:21" ht="26.4">
      <c r="U4653" s="394" ph="1"/>
    </row>
    <row r="4654" spans="21:21" ht="26.4">
      <c r="U4654" s="394" ph="1"/>
    </row>
    <row r="4655" spans="21:21" ht="26.4">
      <c r="U4655" s="394" ph="1"/>
    </row>
    <row r="4656" spans="21:21" ht="26.4">
      <c r="U4656" s="394" ph="1"/>
    </row>
    <row r="4657" spans="21:21" ht="26.4">
      <c r="U4657" s="394" ph="1"/>
    </row>
    <row r="4658" spans="21:21" ht="26.4">
      <c r="U4658" s="394" ph="1"/>
    </row>
    <row r="4659" spans="21:21" ht="26.4">
      <c r="U4659" s="394" ph="1"/>
    </row>
    <row r="4660" spans="21:21" ht="26.4">
      <c r="U4660" s="394" ph="1"/>
    </row>
    <row r="4661" spans="21:21" ht="26.4">
      <c r="U4661" s="394" ph="1"/>
    </row>
    <row r="4662" spans="21:21" ht="26.4">
      <c r="U4662" s="394" ph="1"/>
    </row>
    <row r="4663" spans="21:21" ht="26.4">
      <c r="U4663" s="394" ph="1"/>
    </row>
    <row r="4664" spans="21:21" ht="26.4">
      <c r="U4664" s="394" ph="1"/>
    </row>
    <row r="4665" spans="21:21" ht="26.4">
      <c r="U4665" s="394" ph="1"/>
    </row>
    <row r="4666" spans="21:21" ht="26.4">
      <c r="U4666" s="394" ph="1"/>
    </row>
    <row r="4667" spans="21:21" ht="26.4">
      <c r="U4667" s="394" ph="1"/>
    </row>
    <row r="4668" spans="21:21" ht="26.4">
      <c r="U4668" s="394" ph="1"/>
    </row>
    <row r="4669" spans="21:21" ht="26.4">
      <c r="U4669" s="394" ph="1"/>
    </row>
    <row r="4670" spans="21:21" ht="26.4">
      <c r="U4670" s="394" ph="1"/>
    </row>
    <row r="4671" spans="21:21" ht="26.4">
      <c r="U4671" s="394" ph="1"/>
    </row>
    <row r="4672" spans="21:21" ht="26.4">
      <c r="U4672" s="394" ph="1"/>
    </row>
    <row r="4673" spans="21:21" ht="26.4">
      <c r="U4673" s="394" ph="1"/>
    </row>
    <row r="4674" spans="21:21" ht="26.4">
      <c r="U4674" s="394" ph="1"/>
    </row>
    <row r="4675" spans="21:21" ht="26.4">
      <c r="U4675" s="394" ph="1"/>
    </row>
    <row r="4676" spans="21:21" ht="26.4">
      <c r="U4676" s="394" ph="1"/>
    </row>
    <row r="4677" spans="21:21" ht="26.4">
      <c r="U4677" s="394" ph="1"/>
    </row>
    <row r="4678" spans="21:21" ht="26.4">
      <c r="U4678" s="394" ph="1"/>
    </row>
    <row r="4679" spans="21:21" ht="26.4">
      <c r="U4679" s="394" ph="1"/>
    </row>
    <row r="4680" spans="21:21" ht="26.4">
      <c r="U4680" s="394" ph="1"/>
    </row>
    <row r="4681" spans="21:21" ht="26.4">
      <c r="U4681" s="394" ph="1"/>
    </row>
    <row r="4682" spans="21:21" ht="26.4">
      <c r="U4682" s="394" ph="1"/>
    </row>
    <row r="4683" spans="21:21" ht="26.4">
      <c r="U4683" s="394" ph="1"/>
    </row>
    <row r="4684" spans="21:21" ht="26.4">
      <c r="U4684" s="394" ph="1"/>
    </row>
    <row r="4685" spans="21:21" ht="26.4">
      <c r="U4685" s="394" ph="1"/>
    </row>
    <row r="4686" spans="21:21" ht="26.4">
      <c r="U4686" s="394" ph="1"/>
    </row>
    <row r="4687" spans="21:21" ht="26.4">
      <c r="U4687" s="394" ph="1"/>
    </row>
    <row r="4688" spans="21:21" ht="26.4">
      <c r="U4688" s="394" ph="1"/>
    </row>
    <row r="4689" spans="21:21" ht="26.4">
      <c r="U4689" s="394" ph="1"/>
    </row>
    <row r="4690" spans="21:21" ht="26.4">
      <c r="U4690" s="394" ph="1"/>
    </row>
    <row r="4691" spans="21:21" ht="26.4">
      <c r="U4691" s="394" ph="1"/>
    </row>
    <row r="4692" spans="21:21" ht="26.4">
      <c r="U4692" s="394" ph="1"/>
    </row>
    <row r="4693" spans="21:21" ht="26.4">
      <c r="U4693" s="394" ph="1"/>
    </row>
    <row r="4694" spans="21:21" ht="26.4">
      <c r="U4694" s="394" ph="1"/>
    </row>
    <row r="4695" spans="21:21" ht="26.4">
      <c r="U4695" s="394" ph="1"/>
    </row>
    <row r="4696" spans="21:21" ht="26.4">
      <c r="U4696" s="394" ph="1"/>
    </row>
    <row r="4697" spans="21:21" ht="26.4">
      <c r="U4697" s="394" ph="1"/>
    </row>
    <row r="4698" spans="21:21" ht="26.4">
      <c r="U4698" s="394" ph="1"/>
    </row>
    <row r="4699" spans="21:21" ht="26.4">
      <c r="U4699" s="394" ph="1"/>
    </row>
    <row r="4700" spans="21:21" ht="26.4">
      <c r="U4700" s="394" ph="1"/>
    </row>
    <row r="4701" spans="21:21" ht="26.4">
      <c r="U4701" s="394" ph="1"/>
    </row>
    <row r="4702" spans="21:21" ht="26.4">
      <c r="U4702" s="394" ph="1"/>
    </row>
    <row r="4703" spans="21:21" ht="26.4">
      <c r="U4703" s="394" ph="1"/>
    </row>
    <row r="4704" spans="21:21" ht="26.4">
      <c r="U4704" s="394" ph="1"/>
    </row>
    <row r="4705" spans="21:21" ht="26.4">
      <c r="U4705" s="394" ph="1"/>
    </row>
    <row r="4706" spans="21:21" ht="26.4">
      <c r="U4706" s="394" ph="1"/>
    </row>
    <row r="4707" spans="21:21" ht="26.4">
      <c r="U4707" s="394" ph="1"/>
    </row>
    <row r="4708" spans="21:21" ht="26.4">
      <c r="U4708" s="394" ph="1"/>
    </row>
    <row r="4709" spans="21:21" ht="26.4">
      <c r="U4709" s="394" ph="1"/>
    </row>
    <row r="4710" spans="21:21" ht="26.4">
      <c r="U4710" s="394" ph="1"/>
    </row>
    <row r="4711" spans="21:21" ht="26.4">
      <c r="U4711" s="394" ph="1"/>
    </row>
    <row r="4712" spans="21:21" ht="26.4">
      <c r="U4712" s="394" ph="1"/>
    </row>
    <row r="4713" spans="21:21" ht="26.4">
      <c r="U4713" s="394" ph="1"/>
    </row>
    <row r="4714" spans="21:21" ht="26.4">
      <c r="U4714" s="394" ph="1"/>
    </row>
    <row r="4715" spans="21:21" ht="26.4">
      <c r="U4715" s="394" ph="1"/>
    </row>
    <row r="4716" spans="21:21" ht="26.4">
      <c r="U4716" s="394" ph="1"/>
    </row>
    <row r="4717" spans="21:21" ht="26.4">
      <c r="U4717" s="394" ph="1"/>
    </row>
    <row r="4718" spans="21:21" ht="26.4">
      <c r="U4718" s="394" ph="1"/>
    </row>
    <row r="4719" spans="21:21" ht="26.4">
      <c r="U4719" s="394" ph="1"/>
    </row>
    <row r="4720" spans="21:21" ht="26.4">
      <c r="U4720" s="394" ph="1"/>
    </row>
    <row r="4721" spans="21:21" ht="26.4">
      <c r="U4721" s="394" ph="1"/>
    </row>
    <row r="4722" spans="21:21" ht="26.4">
      <c r="U4722" s="394" ph="1"/>
    </row>
    <row r="4723" spans="21:21" ht="26.4">
      <c r="U4723" s="394" ph="1"/>
    </row>
    <row r="4724" spans="21:21" ht="26.4">
      <c r="U4724" s="394" ph="1"/>
    </row>
    <row r="4725" spans="21:21" ht="26.4">
      <c r="U4725" s="394" ph="1"/>
    </row>
    <row r="4726" spans="21:21" ht="26.4">
      <c r="U4726" s="394" ph="1"/>
    </row>
    <row r="4727" spans="21:21" ht="26.4">
      <c r="U4727" s="394" ph="1"/>
    </row>
    <row r="4728" spans="21:21" ht="26.4">
      <c r="U4728" s="394" ph="1"/>
    </row>
    <row r="4729" spans="21:21" ht="26.4">
      <c r="U4729" s="394" ph="1"/>
    </row>
    <row r="4730" spans="21:21" ht="26.4">
      <c r="U4730" s="394" ph="1"/>
    </row>
    <row r="4731" spans="21:21" ht="26.4">
      <c r="U4731" s="394" ph="1"/>
    </row>
    <row r="4732" spans="21:21" ht="26.4">
      <c r="U4732" s="394" ph="1"/>
    </row>
    <row r="4733" spans="21:21" ht="26.4">
      <c r="U4733" s="394" ph="1"/>
    </row>
    <row r="4734" spans="21:21" ht="26.4">
      <c r="U4734" s="394" ph="1"/>
    </row>
    <row r="4735" spans="21:21" ht="26.4">
      <c r="U4735" s="394" ph="1"/>
    </row>
    <row r="4736" spans="21:21" ht="26.4">
      <c r="U4736" s="394" ph="1"/>
    </row>
    <row r="4737" spans="21:21" ht="26.4">
      <c r="U4737" s="394" ph="1"/>
    </row>
    <row r="4738" spans="21:21" ht="26.4">
      <c r="U4738" s="394" ph="1"/>
    </row>
    <row r="4739" spans="21:21" ht="26.4">
      <c r="U4739" s="394" ph="1"/>
    </row>
    <row r="4740" spans="21:21" ht="26.4">
      <c r="U4740" s="394" ph="1"/>
    </row>
    <row r="4741" spans="21:21" ht="26.4">
      <c r="U4741" s="394" ph="1"/>
    </row>
    <row r="4742" spans="21:21" ht="26.4">
      <c r="U4742" s="394" ph="1"/>
    </row>
    <row r="4743" spans="21:21" ht="26.4">
      <c r="U4743" s="394" ph="1"/>
    </row>
    <row r="4744" spans="21:21" ht="26.4">
      <c r="U4744" s="394" ph="1"/>
    </row>
    <row r="4745" spans="21:21" ht="26.4">
      <c r="U4745" s="394" ph="1"/>
    </row>
    <row r="4746" spans="21:21" ht="26.4">
      <c r="U4746" s="394" ph="1"/>
    </row>
    <row r="4747" spans="21:21" ht="26.4">
      <c r="U4747" s="394" ph="1"/>
    </row>
    <row r="4748" spans="21:21" ht="26.4">
      <c r="U4748" s="394" ph="1"/>
    </row>
    <row r="4749" spans="21:21" ht="26.4">
      <c r="U4749" s="394" ph="1"/>
    </row>
    <row r="4750" spans="21:21" ht="26.4">
      <c r="U4750" s="394" ph="1"/>
    </row>
    <row r="4751" spans="21:21" ht="26.4">
      <c r="U4751" s="394" ph="1"/>
    </row>
    <row r="4752" spans="21:21" ht="26.4">
      <c r="U4752" s="394" ph="1"/>
    </row>
    <row r="4753" spans="21:21" ht="26.4">
      <c r="U4753" s="394" ph="1"/>
    </row>
    <row r="4754" spans="21:21" ht="26.4">
      <c r="U4754" s="394" ph="1"/>
    </row>
    <row r="4755" spans="21:21" ht="26.4">
      <c r="U4755" s="394" ph="1"/>
    </row>
    <row r="4756" spans="21:21" ht="26.4">
      <c r="U4756" s="394" ph="1"/>
    </row>
    <row r="4757" spans="21:21" ht="26.4">
      <c r="U4757" s="394" ph="1"/>
    </row>
    <row r="4758" spans="21:21" ht="26.4">
      <c r="U4758" s="394" ph="1"/>
    </row>
    <row r="4759" spans="21:21" ht="26.4">
      <c r="U4759" s="394" ph="1"/>
    </row>
    <row r="4760" spans="21:21" ht="26.4">
      <c r="U4760" s="394" ph="1"/>
    </row>
    <row r="4761" spans="21:21" ht="26.4">
      <c r="U4761" s="394" ph="1"/>
    </row>
    <row r="4762" spans="21:21" ht="26.4">
      <c r="U4762" s="394" ph="1"/>
    </row>
    <row r="4763" spans="21:21" ht="26.4">
      <c r="U4763" s="394" ph="1"/>
    </row>
    <row r="4764" spans="21:21" ht="26.4">
      <c r="U4764" s="394" ph="1"/>
    </row>
    <row r="4765" spans="21:21" ht="26.4">
      <c r="U4765" s="394" ph="1"/>
    </row>
    <row r="4766" spans="21:21" ht="26.4">
      <c r="U4766" s="394" ph="1"/>
    </row>
    <row r="4767" spans="21:21" ht="26.4">
      <c r="U4767" s="394" ph="1"/>
    </row>
    <row r="4768" spans="21:21" ht="26.4">
      <c r="U4768" s="394" ph="1"/>
    </row>
    <row r="4769" spans="21:21" ht="26.4">
      <c r="U4769" s="394" ph="1"/>
    </row>
    <row r="4770" spans="21:21" ht="26.4">
      <c r="U4770" s="394" ph="1"/>
    </row>
    <row r="4771" spans="21:21" ht="26.4">
      <c r="U4771" s="394" ph="1"/>
    </row>
    <row r="4772" spans="21:21" ht="26.4">
      <c r="U4772" s="394" ph="1"/>
    </row>
    <row r="4773" spans="21:21" ht="26.4">
      <c r="U4773" s="394" ph="1"/>
    </row>
    <row r="4774" spans="21:21" ht="26.4">
      <c r="U4774" s="394" ph="1"/>
    </row>
    <row r="4775" spans="21:21" ht="26.4">
      <c r="U4775" s="394" ph="1"/>
    </row>
    <row r="4776" spans="21:21" ht="26.4">
      <c r="U4776" s="394" ph="1"/>
    </row>
    <row r="4777" spans="21:21" ht="26.4">
      <c r="U4777" s="394" ph="1"/>
    </row>
    <row r="4778" spans="21:21" ht="26.4">
      <c r="U4778" s="394" ph="1"/>
    </row>
    <row r="4779" spans="21:21" ht="26.4">
      <c r="U4779" s="394" ph="1"/>
    </row>
    <row r="4780" spans="21:21" ht="26.4">
      <c r="U4780" s="394" ph="1"/>
    </row>
    <row r="4781" spans="21:21" ht="26.4">
      <c r="U4781" s="394" ph="1"/>
    </row>
    <row r="4782" spans="21:21" ht="26.4">
      <c r="U4782" s="394" ph="1"/>
    </row>
    <row r="4783" spans="21:21" ht="26.4">
      <c r="U4783" s="394" ph="1"/>
    </row>
    <row r="4784" spans="21:21" ht="26.4">
      <c r="U4784" s="394" ph="1"/>
    </row>
    <row r="4785" spans="21:21" ht="26.4">
      <c r="U4785" s="394" ph="1"/>
    </row>
    <row r="4786" spans="21:21" ht="26.4">
      <c r="U4786" s="394" ph="1"/>
    </row>
    <row r="4787" spans="21:21" ht="26.4">
      <c r="U4787" s="394" ph="1"/>
    </row>
    <row r="4788" spans="21:21" ht="26.4">
      <c r="U4788" s="394" ph="1"/>
    </row>
    <row r="4789" spans="21:21" ht="26.4">
      <c r="U4789" s="394" ph="1"/>
    </row>
    <row r="4790" spans="21:21" ht="26.4">
      <c r="U4790" s="394" ph="1"/>
    </row>
    <row r="4791" spans="21:21" ht="26.4">
      <c r="U4791" s="394" ph="1"/>
    </row>
    <row r="4792" spans="21:21" ht="26.4">
      <c r="U4792" s="394" ph="1"/>
    </row>
    <row r="4793" spans="21:21" ht="26.4">
      <c r="U4793" s="394" ph="1"/>
    </row>
    <row r="4794" spans="21:21" ht="26.4">
      <c r="U4794" s="394" ph="1"/>
    </row>
    <row r="4795" spans="21:21" ht="26.4">
      <c r="U4795" s="394" ph="1"/>
    </row>
    <row r="4796" spans="21:21" ht="26.4">
      <c r="U4796" s="394" ph="1"/>
    </row>
    <row r="4797" spans="21:21" ht="26.4">
      <c r="U4797" s="394" ph="1"/>
    </row>
    <row r="4798" spans="21:21" ht="26.4">
      <c r="U4798" s="394" ph="1"/>
    </row>
    <row r="4799" spans="21:21" ht="26.4">
      <c r="U4799" s="394" ph="1"/>
    </row>
    <row r="4800" spans="21:21" ht="26.4">
      <c r="U4800" s="394" ph="1"/>
    </row>
    <row r="4801" spans="21:21" ht="26.4">
      <c r="U4801" s="394" ph="1"/>
    </row>
    <row r="4802" spans="21:21" ht="26.4">
      <c r="U4802" s="394" ph="1"/>
    </row>
    <row r="4803" spans="21:21" ht="26.4">
      <c r="U4803" s="394" ph="1"/>
    </row>
    <row r="4804" spans="21:21" ht="26.4">
      <c r="U4804" s="394" ph="1"/>
    </row>
    <row r="4805" spans="21:21" ht="26.4">
      <c r="U4805" s="394" ph="1"/>
    </row>
    <row r="4806" spans="21:21" ht="26.4">
      <c r="U4806" s="394" ph="1"/>
    </row>
    <row r="4807" spans="21:21" ht="26.4">
      <c r="U4807" s="394" ph="1"/>
    </row>
    <row r="4808" spans="21:21" ht="26.4">
      <c r="U4808" s="394" ph="1"/>
    </row>
    <row r="4809" spans="21:21" ht="26.4">
      <c r="U4809" s="394" ph="1"/>
    </row>
    <row r="4810" spans="21:21" ht="26.4">
      <c r="U4810" s="394" ph="1"/>
    </row>
    <row r="4811" spans="21:21" ht="26.4">
      <c r="U4811" s="394" ph="1"/>
    </row>
    <row r="4812" spans="21:21" ht="26.4">
      <c r="U4812" s="394" ph="1"/>
    </row>
    <row r="4813" spans="21:21" ht="26.4">
      <c r="U4813" s="394" ph="1"/>
    </row>
    <row r="4814" spans="21:21" ht="26.4">
      <c r="U4814" s="394" ph="1"/>
    </row>
    <row r="4815" spans="21:21" ht="26.4">
      <c r="U4815" s="394" ph="1"/>
    </row>
    <row r="4816" spans="21:21" ht="26.4">
      <c r="U4816" s="394" ph="1"/>
    </row>
    <row r="4817" spans="21:21" ht="26.4">
      <c r="U4817" s="394" ph="1"/>
    </row>
    <row r="4818" spans="21:21" ht="26.4">
      <c r="U4818" s="394" ph="1"/>
    </row>
    <row r="4819" spans="21:21" ht="26.4">
      <c r="U4819" s="394" ph="1"/>
    </row>
    <row r="4820" spans="21:21" ht="26.4">
      <c r="U4820" s="394" ph="1"/>
    </row>
    <row r="4821" spans="21:21" ht="26.4">
      <c r="U4821" s="394" ph="1"/>
    </row>
    <row r="4822" spans="21:21" ht="26.4">
      <c r="U4822" s="394" ph="1"/>
    </row>
    <row r="4823" spans="21:21" ht="26.4">
      <c r="U4823" s="394" ph="1"/>
    </row>
    <row r="4824" spans="21:21" ht="26.4">
      <c r="U4824" s="394" ph="1"/>
    </row>
    <row r="4825" spans="21:21" ht="26.4">
      <c r="U4825" s="394" ph="1"/>
    </row>
    <row r="4826" spans="21:21" ht="26.4">
      <c r="U4826" s="394" ph="1"/>
    </row>
    <row r="4827" spans="21:21" ht="26.4">
      <c r="U4827" s="394" ph="1"/>
    </row>
    <row r="4828" spans="21:21" ht="26.4">
      <c r="U4828" s="394" ph="1"/>
    </row>
    <row r="4829" spans="21:21" ht="26.4">
      <c r="U4829" s="394" ph="1"/>
    </row>
    <row r="4830" spans="21:21" ht="26.4">
      <c r="U4830" s="394" ph="1"/>
    </row>
    <row r="4831" spans="21:21" ht="26.4">
      <c r="U4831" s="394" ph="1"/>
    </row>
    <row r="4832" spans="21:21" ht="26.4">
      <c r="U4832" s="394" ph="1"/>
    </row>
    <row r="4833" spans="21:21" ht="26.4">
      <c r="U4833" s="394" ph="1"/>
    </row>
    <row r="4834" spans="21:21" ht="26.4">
      <c r="U4834" s="394" ph="1"/>
    </row>
    <row r="4835" spans="21:21" ht="26.4">
      <c r="U4835" s="394" ph="1"/>
    </row>
    <row r="4836" spans="21:21" ht="26.4">
      <c r="U4836" s="394" ph="1"/>
    </row>
    <row r="4837" spans="21:21" ht="26.4">
      <c r="U4837" s="394" ph="1"/>
    </row>
    <row r="4838" spans="21:21" ht="26.4">
      <c r="U4838" s="394" ph="1"/>
    </row>
    <row r="4839" spans="21:21" ht="26.4">
      <c r="U4839" s="394" ph="1"/>
    </row>
    <row r="4840" spans="21:21" ht="26.4">
      <c r="U4840" s="394" ph="1"/>
    </row>
    <row r="4841" spans="21:21" ht="26.4">
      <c r="U4841" s="394" ph="1"/>
    </row>
    <row r="4842" spans="21:21" ht="26.4">
      <c r="U4842" s="394" ph="1"/>
    </row>
    <row r="4843" spans="21:21" ht="26.4">
      <c r="U4843" s="394" ph="1"/>
    </row>
    <row r="4844" spans="21:21" ht="26.4">
      <c r="U4844" s="394" ph="1"/>
    </row>
    <row r="4845" spans="21:21" ht="26.4">
      <c r="U4845" s="394" ph="1"/>
    </row>
    <row r="4846" spans="21:21" ht="26.4">
      <c r="U4846" s="394" ph="1"/>
    </row>
    <row r="4847" spans="21:21" ht="26.4">
      <c r="U4847" s="394" ph="1"/>
    </row>
    <row r="4848" spans="21:21" ht="26.4">
      <c r="U4848" s="394" ph="1"/>
    </row>
    <row r="4849" spans="21:21" ht="26.4">
      <c r="U4849" s="394" ph="1"/>
    </row>
    <row r="4850" spans="21:21" ht="26.4">
      <c r="U4850" s="394" ph="1"/>
    </row>
    <row r="4851" spans="21:21" ht="26.4">
      <c r="U4851" s="394" ph="1"/>
    </row>
    <row r="4852" spans="21:21" ht="26.4">
      <c r="U4852" s="394" ph="1"/>
    </row>
    <row r="4853" spans="21:21" ht="26.4">
      <c r="U4853" s="394" ph="1"/>
    </row>
    <row r="4854" spans="21:21" ht="26.4">
      <c r="U4854" s="394" ph="1"/>
    </row>
    <row r="4855" spans="21:21" ht="26.4">
      <c r="U4855" s="394" ph="1"/>
    </row>
    <row r="4856" spans="21:21" ht="26.4">
      <c r="U4856" s="394" ph="1"/>
    </row>
    <row r="4857" spans="21:21" ht="26.4">
      <c r="U4857" s="394" ph="1"/>
    </row>
    <row r="4858" spans="21:21" ht="26.4">
      <c r="U4858" s="394" ph="1"/>
    </row>
    <row r="4859" spans="21:21" ht="26.4">
      <c r="U4859" s="394" ph="1"/>
    </row>
    <row r="4860" spans="21:21" ht="26.4">
      <c r="U4860" s="394" ph="1"/>
    </row>
    <row r="4861" spans="21:21" ht="26.4">
      <c r="U4861" s="394" ph="1"/>
    </row>
    <row r="4862" spans="21:21" ht="26.4">
      <c r="U4862" s="394" ph="1"/>
    </row>
    <row r="4863" spans="21:21" ht="26.4">
      <c r="U4863" s="394" ph="1"/>
    </row>
    <row r="4864" spans="21:21" ht="26.4">
      <c r="U4864" s="394" ph="1"/>
    </row>
    <row r="4865" spans="21:21" ht="26.4">
      <c r="U4865" s="394" ph="1"/>
    </row>
    <row r="4866" spans="21:21" ht="26.4">
      <c r="U4866" s="394" ph="1"/>
    </row>
    <row r="4867" spans="21:21" ht="26.4">
      <c r="U4867" s="394" ph="1"/>
    </row>
    <row r="4868" spans="21:21" ht="26.4">
      <c r="U4868" s="394" ph="1"/>
    </row>
    <row r="4869" spans="21:21" ht="26.4">
      <c r="U4869" s="394" ph="1"/>
    </row>
    <row r="4870" spans="21:21" ht="26.4">
      <c r="U4870" s="394" ph="1"/>
    </row>
    <row r="4871" spans="21:21" ht="26.4">
      <c r="U4871" s="394" ph="1"/>
    </row>
    <row r="4872" spans="21:21" ht="26.4">
      <c r="U4872" s="394" ph="1"/>
    </row>
    <row r="4873" spans="21:21" ht="26.4">
      <c r="U4873" s="394" ph="1"/>
    </row>
    <row r="4874" spans="21:21" ht="26.4">
      <c r="U4874" s="394" ph="1"/>
    </row>
    <row r="4875" spans="21:21" ht="26.4">
      <c r="U4875" s="394" ph="1"/>
    </row>
    <row r="4876" spans="21:21" ht="26.4">
      <c r="U4876" s="394" ph="1"/>
    </row>
    <row r="4877" spans="21:21" ht="26.4">
      <c r="U4877" s="394" ph="1"/>
    </row>
    <row r="4878" spans="21:21" ht="26.4">
      <c r="U4878" s="394" ph="1"/>
    </row>
    <row r="4879" spans="21:21" ht="26.4">
      <c r="U4879" s="394" ph="1"/>
    </row>
    <row r="4880" spans="21:21" ht="26.4">
      <c r="U4880" s="394" ph="1"/>
    </row>
    <row r="4881" spans="21:21" ht="26.4">
      <c r="U4881" s="394" ph="1"/>
    </row>
    <row r="4882" spans="21:21" ht="26.4">
      <c r="U4882" s="394" ph="1"/>
    </row>
    <row r="4883" spans="21:21" ht="26.4">
      <c r="U4883" s="394" ph="1"/>
    </row>
    <row r="4884" spans="21:21" ht="26.4">
      <c r="U4884" s="394" ph="1"/>
    </row>
    <row r="4885" spans="21:21" ht="26.4">
      <c r="U4885" s="394" ph="1"/>
    </row>
    <row r="4886" spans="21:21" ht="26.4">
      <c r="U4886" s="394" ph="1"/>
    </row>
    <row r="4887" spans="21:21" ht="26.4">
      <c r="U4887" s="394" ph="1"/>
    </row>
    <row r="4888" spans="21:21" ht="26.4">
      <c r="U4888" s="394" ph="1"/>
    </row>
    <row r="4889" spans="21:21" ht="26.4">
      <c r="U4889" s="394" ph="1"/>
    </row>
    <row r="4890" spans="21:21" ht="26.4">
      <c r="U4890" s="394" ph="1"/>
    </row>
    <row r="4891" spans="21:21" ht="26.4">
      <c r="U4891" s="394" ph="1"/>
    </row>
    <row r="4892" spans="21:21" ht="26.4">
      <c r="U4892" s="394" ph="1"/>
    </row>
    <row r="4893" spans="21:21" ht="26.4">
      <c r="U4893" s="394" ph="1"/>
    </row>
    <row r="4894" spans="21:21" ht="26.4">
      <c r="U4894" s="394" ph="1"/>
    </row>
    <row r="4895" spans="21:21" ht="26.4">
      <c r="U4895" s="394" ph="1"/>
    </row>
    <row r="4896" spans="21:21" ht="26.4">
      <c r="U4896" s="394" ph="1"/>
    </row>
    <row r="4897" spans="21:21" ht="26.4">
      <c r="U4897" s="394" ph="1"/>
    </row>
    <row r="4898" spans="21:21" ht="26.4">
      <c r="U4898" s="394" ph="1"/>
    </row>
    <row r="4899" spans="21:21" ht="26.4">
      <c r="U4899" s="394" ph="1"/>
    </row>
    <row r="4900" spans="21:21" ht="26.4">
      <c r="U4900" s="394" ph="1"/>
    </row>
    <row r="4901" spans="21:21" ht="26.4">
      <c r="U4901" s="394" ph="1"/>
    </row>
    <row r="4902" spans="21:21" ht="26.4">
      <c r="U4902" s="394" ph="1"/>
    </row>
    <row r="4903" spans="21:21" ht="26.4">
      <c r="U4903" s="394" ph="1"/>
    </row>
    <row r="4904" spans="21:21" ht="26.4">
      <c r="U4904" s="394" ph="1"/>
    </row>
    <row r="4905" spans="21:21" ht="26.4">
      <c r="U4905" s="394" ph="1"/>
    </row>
    <row r="4906" spans="21:21" ht="26.4">
      <c r="U4906" s="394" ph="1"/>
    </row>
    <row r="4907" spans="21:21" ht="26.4">
      <c r="U4907" s="394" ph="1"/>
    </row>
    <row r="4908" spans="21:21" ht="26.4">
      <c r="U4908" s="394" ph="1"/>
    </row>
    <row r="4909" spans="21:21" ht="26.4">
      <c r="U4909" s="394" ph="1"/>
    </row>
    <row r="4910" spans="21:21" ht="26.4">
      <c r="U4910" s="394" ph="1"/>
    </row>
    <row r="4911" spans="21:21" ht="26.4">
      <c r="U4911" s="394" ph="1"/>
    </row>
    <row r="4912" spans="21:21" ht="26.4">
      <c r="U4912" s="394" ph="1"/>
    </row>
    <row r="4913" spans="21:21" ht="26.4">
      <c r="U4913" s="394" ph="1"/>
    </row>
    <row r="4914" spans="21:21" ht="26.4">
      <c r="U4914" s="394" ph="1"/>
    </row>
    <row r="4915" spans="21:21" ht="26.4">
      <c r="U4915" s="394" ph="1"/>
    </row>
    <row r="4916" spans="21:21" ht="26.4">
      <c r="U4916" s="394" ph="1"/>
    </row>
    <row r="4917" spans="21:21" ht="26.4">
      <c r="U4917" s="394" ph="1"/>
    </row>
    <row r="4918" spans="21:21" ht="26.4">
      <c r="U4918" s="394" ph="1"/>
    </row>
    <row r="4919" spans="21:21" ht="26.4">
      <c r="U4919" s="394" ph="1"/>
    </row>
    <row r="4920" spans="21:21" ht="26.4">
      <c r="U4920" s="394" ph="1"/>
    </row>
    <row r="4921" spans="21:21" ht="26.4">
      <c r="U4921" s="394" ph="1"/>
    </row>
    <row r="4922" spans="21:21" ht="26.4">
      <c r="U4922" s="394" ph="1"/>
    </row>
    <row r="4923" spans="21:21" ht="26.4">
      <c r="U4923" s="394" ph="1"/>
    </row>
    <row r="4924" spans="21:21" ht="26.4">
      <c r="U4924" s="394" ph="1"/>
    </row>
    <row r="4925" spans="21:21" ht="26.4">
      <c r="U4925" s="394" ph="1"/>
    </row>
    <row r="4926" spans="21:21" ht="26.4">
      <c r="U4926" s="394" ph="1"/>
    </row>
    <row r="4927" spans="21:21" ht="26.4">
      <c r="U4927" s="394" ph="1"/>
    </row>
    <row r="4928" spans="21:21" ht="26.4">
      <c r="U4928" s="394" ph="1"/>
    </row>
    <row r="4929" spans="21:21" ht="26.4">
      <c r="U4929" s="394" ph="1"/>
    </row>
    <row r="4930" spans="21:21" ht="26.4">
      <c r="U4930" s="394" ph="1"/>
    </row>
    <row r="4931" spans="21:21" ht="26.4">
      <c r="U4931" s="394" ph="1"/>
    </row>
    <row r="4932" spans="21:21" ht="26.4">
      <c r="U4932" s="394" ph="1"/>
    </row>
    <row r="4933" spans="21:21" ht="26.4">
      <c r="U4933" s="394" ph="1"/>
    </row>
    <row r="4934" spans="21:21" ht="26.4">
      <c r="U4934" s="394" ph="1"/>
    </row>
    <row r="4935" spans="21:21" ht="26.4">
      <c r="U4935" s="394" ph="1"/>
    </row>
    <row r="4936" spans="21:21" ht="26.4">
      <c r="U4936" s="394" ph="1"/>
    </row>
    <row r="4937" spans="21:21" ht="26.4">
      <c r="U4937" s="394" ph="1"/>
    </row>
    <row r="4938" spans="21:21" ht="26.4">
      <c r="U4938" s="394" ph="1"/>
    </row>
    <row r="4939" spans="21:21" ht="26.4">
      <c r="U4939" s="394" ph="1"/>
    </row>
    <row r="4940" spans="21:21" ht="26.4">
      <c r="U4940" s="394" ph="1"/>
    </row>
    <row r="4941" spans="21:21" ht="26.4">
      <c r="U4941" s="394" ph="1"/>
    </row>
    <row r="4942" spans="21:21" ht="26.4">
      <c r="U4942" s="394" ph="1"/>
    </row>
    <row r="4943" spans="21:21" ht="26.4">
      <c r="U4943" s="394" ph="1"/>
    </row>
    <row r="4944" spans="21:21" ht="26.4">
      <c r="U4944" s="394" ph="1"/>
    </row>
    <row r="4945" spans="21:21" ht="26.4">
      <c r="U4945" s="394" ph="1"/>
    </row>
    <row r="4946" spans="21:21" ht="26.4">
      <c r="U4946" s="394" ph="1"/>
    </row>
    <row r="4947" spans="21:21" ht="26.4">
      <c r="U4947" s="394" ph="1"/>
    </row>
    <row r="4948" spans="21:21" ht="26.4">
      <c r="U4948" s="394" ph="1"/>
    </row>
    <row r="4949" spans="21:21" ht="26.4">
      <c r="U4949" s="394" ph="1"/>
    </row>
    <row r="4950" spans="21:21" ht="26.4">
      <c r="U4950" s="394" ph="1"/>
    </row>
    <row r="4951" spans="21:21" ht="26.4">
      <c r="U4951" s="394" ph="1"/>
    </row>
    <row r="4952" spans="21:21" ht="26.4">
      <c r="U4952" s="394" ph="1"/>
    </row>
    <row r="4953" spans="21:21" ht="26.4">
      <c r="U4953" s="394" ph="1"/>
    </row>
    <row r="4954" spans="21:21" ht="26.4">
      <c r="U4954" s="394" ph="1"/>
    </row>
    <row r="4955" spans="21:21" ht="26.4">
      <c r="U4955" s="394" ph="1"/>
    </row>
    <row r="4956" spans="21:21" ht="26.4">
      <c r="U4956" s="394" ph="1"/>
    </row>
    <row r="4957" spans="21:21" ht="26.4">
      <c r="U4957" s="394" ph="1"/>
    </row>
    <row r="4958" spans="21:21" ht="26.4">
      <c r="U4958" s="394" ph="1"/>
    </row>
    <row r="4959" spans="21:21" ht="26.4">
      <c r="U4959" s="394" ph="1"/>
    </row>
    <row r="4960" spans="21:21" ht="26.4">
      <c r="U4960" s="394" ph="1"/>
    </row>
    <row r="4961" spans="21:21" ht="26.4">
      <c r="U4961" s="394" ph="1"/>
    </row>
    <row r="4962" spans="21:21" ht="26.4">
      <c r="U4962" s="394" ph="1"/>
    </row>
    <row r="4963" spans="21:21" ht="26.4">
      <c r="U4963" s="394" ph="1"/>
    </row>
    <row r="4964" spans="21:21" ht="26.4">
      <c r="U4964" s="394" ph="1"/>
    </row>
    <row r="4965" spans="21:21" ht="26.4">
      <c r="U4965" s="394" ph="1"/>
    </row>
    <row r="4966" spans="21:21" ht="26.4">
      <c r="U4966" s="394" ph="1"/>
    </row>
    <row r="4967" spans="21:21" ht="26.4">
      <c r="U4967" s="394" ph="1"/>
    </row>
    <row r="4968" spans="21:21" ht="26.4">
      <c r="U4968" s="394" ph="1"/>
    </row>
    <row r="4969" spans="21:21" ht="26.4">
      <c r="U4969" s="394" ph="1"/>
    </row>
    <row r="4970" spans="21:21" ht="26.4">
      <c r="U4970" s="394" ph="1"/>
    </row>
    <row r="4971" spans="21:21" ht="26.4">
      <c r="U4971" s="394" ph="1"/>
    </row>
    <row r="4972" spans="21:21" ht="26.4">
      <c r="U4972" s="394" ph="1"/>
    </row>
    <row r="4973" spans="21:21" ht="26.4">
      <c r="U4973" s="394" ph="1"/>
    </row>
    <row r="4974" spans="21:21" ht="26.4">
      <c r="U4974" s="394" ph="1"/>
    </row>
    <row r="4975" spans="21:21" ht="26.4">
      <c r="U4975" s="394" ph="1"/>
    </row>
    <row r="4976" spans="21:21" ht="26.4">
      <c r="U4976" s="394" ph="1"/>
    </row>
    <row r="4977" spans="21:21" ht="26.4">
      <c r="U4977" s="394" ph="1"/>
    </row>
    <row r="4978" spans="21:21" ht="26.4">
      <c r="U4978" s="394" ph="1"/>
    </row>
    <row r="4979" spans="21:21" ht="26.4">
      <c r="U4979" s="394" ph="1"/>
    </row>
    <row r="4980" spans="21:21" ht="26.4">
      <c r="U4980" s="394" ph="1"/>
    </row>
    <row r="4981" spans="21:21" ht="26.4">
      <c r="U4981" s="394" ph="1"/>
    </row>
    <row r="4982" spans="21:21" ht="26.4">
      <c r="U4982" s="394" ph="1"/>
    </row>
    <row r="4983" spans="21:21" ht="26.4">
      <c r="U4983" s="394" ph="1"/>
    </row>
    <row r="4984" spans="21:21" ht="26.4">
      <c r="U4984" s="394" ph="1"/>
    </row>
    <row r="4985" spans="21:21" ht="26.4">
      <c r="U4985" s="394" ph="1"/>
    </row>
    <row r="4986" spans="21:21" ht="26.4">
      <c r="U4986" s="394" ph="1"/>
    </row>
    <row r="4987" spans="21:21" ht="26.4">
      <c r="U4987" s="394" ph="1"/>
    </row>
    <row r="4988" spans="21:21" ht="26.4">
      <c r="U4988" s="394" ph="1"/>
    </row>
    <row r="4989" spans="21:21" ht="26.4">
      <c r="U4989" s="394" ph="1"/>
    </row>
    <row r="4990" spans="21:21" ht="26.4">
      <c r="U4990" s="394" ph="1"/>
    </row>
    <row r="4991" spans="21:21" ht="26.4">
      <c r="U4991" s="394" ph="1"/>
    </row>
    <row r="4992" spans="21:21" ht="26.4">
      <c r="U4992" s="394" ph="1"/>
    </row>
    <row r="4993" spans="21:21" ht="26.4">
      <c r="U4993" s="394" ph="1"/>
    </row>
    <row r="4994" spans="21:21" ht="26.4">
      <c r="U4994" s="394" ph="1"/>
    </row>
    <row r="4995" spans="21:21" ht="26.4">
      <c r="U4995" s="394" ph="1"/>
    </row>
    <row r="4996" spans="21:21" ht="26.4">
      <c r="U4996" s="394" ph="1"/>
    </row>
    <row r="4997" spans="21:21" ht="26.4">
      <c r="U4997" s="394" ph="1"/>
    </row>
    <row r="4998" spans="21:21" ht="26.4">
      <c r="U4998" s="394" ph="1"/>
    </row>
    <row r="4999" spans="21:21" ht="26.4">
      <c r="U4999" s="394" ph="1"/>
    </row>
    <row r="5000" spans="21:21" ht="26.4">
      <c r="U5000" s="394" ph="1"/>
    </row>
    <row r="5001" spans="21:21" ht="26.4">
      <c r="U5001" s="394" ph="1"/>
    </row>
    <row r="5002" spans="21:21" ht="26.4">
      <c r="U5002" s="394" ph="1"/>
    </row>
    <row r="5003" spans="21:21" ht="26.4">
      <c r="U5003" s="394" ph="1"/>
    </row>
    <row r="5004" spans="21:21" ht="26.4">
      <c r="U5004" s="394" ph="1"/>
    </row>
    <row r="5005" spans="21:21" ht="26.4">
      <c r="U5005" s="394" ph="1"/>
    </row>
    <row r="5006" spans="21:21" ht="26.4">
      <c r="U5006" s="394" ph="1"/>
    </row>
    <row r="5007" spans="21:21" ht="26.4">
      <c r="U5007" s="394" ph="1"/>
    </row>
    <row r="5008" spans="21:21" ht="26.4">
      <c r="U5008" s="394" ph="1"/>
    </row>
    <row r="5009" spans="21:21" ht="26.4">
      <c r="U5009" s="394" ph="1"/>
    </row>
    <row r="5010" spans="21:21" ht="26.4">
      <c r="U5010" s="394" ph="1"/>
    </row>
    <row r="5011" spans="21:21" ht="26.4">
      <c r="U5011" s="394" ph="1"/>
    </row>
    <row r="5012" spans="21:21" ht="26.4">
      <c r="U5012" s="394" ph="1"/>
    </row>
    <row r="5013" spans="21:21" ht="26.4">
      <c r="U5013" s="394" ph="1"/>
    </row>
    <row r="5014" spans="21:21" ht="26.4">
      <c r="U5014" s="394" ph="1"/>
    </row>
    <row r="5015" spans="21:21" ht="26.4">
      <c r="U5015" s="394" ph="1"/>
    </row>
    <row r="5016" spans="21:21" ht="26.4">
      <c r="U5016" s="394" ph="1"/>
    </row>
    <row r="5017" spans="21:21" ht="26.4">
      <c r="U5017" s="394" ph="1"/>
    </row>
    <row r="5018" spans="21:21" ht="26.4">
      <c r="U5018" s="394" ph="1"/>
    </row>
    <row r="5019" spans="21:21" ht="26.4">
      <c r="U5019" s="394" ph="1"/>
    </row>
    <row r="5020" spans="21:21" ht="26.4">
      <c r="U5020" s="394" ph="1"/>
    </row>
    <row r="5021" spans="21:21" ht="26.4">
      <c r="U5021" s="394" ph="1"/>
    </row>
    <row r="5022" spans="21:21" ht="26.4">
      <c r="U5022" s="394" ph="1"/>
    </row>
    <row r="5023" spans="21:21" ht="26.4">
      <c r="U5023" s="394" ph="1"/>
    </row>
    <row r="5024" spans="21:21" ht="26.4">
      <c r="U5024" s="394" ph="1"/>
    </row>
    <row r="5025" spans="21:21" ht="26.4">
      <c r="U5025" s="394" ph="1"/>
    </row>
    <row r="5026" spans="21:21" ht="26.4">
      <c r="U5026" s="394" ph="1"/>
    </row>
    <row r="5027" spans="21:21" ht="26.4">
      <c r="U5027" s="394" ph="1"/>
    </row>
    <row r="5028" spans="21:21" ht="26.4">
      <c r="U5028" s="394" ph="1"/>
    </row>
    <row r="5029" spans="21:21" ht="26.4">
      <c r="U5029" s="394" ph="1"/>
    </row>
    <row r="5030" spans="21:21" ht="26.4">
      <c r="U5030" s="394" ph="1"/>
    </row>
    <row r="5031" spans="21:21" ht="26.4">
      <c r="U5031" s="394" ph="1"/>
    </row>
    <row r="5032" spans="21:21" ht="26.4">
      <c r="U5032" s="394" ph="1"/>
    </row>
    <row r="5033" spans="21:21" ht="26.4">
      <c r="U5033" s="394" ph="1"/>
    </row>
    <row r="5034" spans="21:21" ht="26.4">
      <c r="U5034" s="394" ph="1"/>
    </row>
    <row r="5035" spans="21:21" ht="26.4">
      <c r="U5035" s="394" ph="1"/>
    </row>
    <row r="5036" spans="21:21" ht="26.4">
      <c r="U5036" s="394" ph="1"/>
    </row>
    <row r="5037" spans="21:21" ht="26.4">
      <c r="U5037" s="394" ph="1"/>
    </row>
    <row r="5038" spans="21:21" ht="26.4">
      <c r="U5038" s="394" ph="1"/>
    </row>
    <row r="5039" spans="21:21" ht="26.4">
      <c r="U5039" s="394" ph="1"/>
    </row>
    <row r="5040" spans="21:21" ht="26.4">
      <c r="U5040" s="394" ph="1"/>
    </row>
    <row r="5041" spans="21:21" ht="26.4">
      <c r="U5041" s="394" ph="1"/>
    </row>
    <row r="5042" spans="21:21" ht="26.4">
      <c r="U5042" s="394" ph="1"/>
    </row>
    <row r="5043" spans="21:21" ht="26.4">
      <c r="U5043" s="394" ph="1"/>
    </row>
    <row r="5044" spans="21:21" ht="26.4">
      <c r="U5044" s="394" ph="1"/>
    </row>
    <row r="5045" spans="21:21" ht="26.4">
      <c r="U5045" s="394" ph="1"/>
    </row>
    <row r="5046" spans="21:21" ht="26.4">
      <c r="U5046" s="394" ph="1"/>
    </row>
    <row r="5047" spans="21:21" ht="26.4">
      <c r="U5047" s="394" ph="1"/>
    </row>
    <row r="5048" spans="21:21" ht="26.4">
      <c r="U5048" s="394" ph="1"/>
    </row>
    <row r="5049" spans="21:21" ht="26.4">
      <c r="U5049" s="394" ph="1"/>
    </row>
    <row r="5050" spans="21:21" ht="26.4">
      <c r="U5050" s="394" ph="1"/>
    </row>
    <row r="5051" spans="21:21" ht="26.4">
      <c r="U5051" s="394" ph="1"/>
    </row>
    <row r="5052" spans="21:21" ht="26.4">
      <c r="U5052" s="394" ph="1"/>
    </row>
    <row r="5053" spans="21:21" ht="26.4">
      <c r="U5053" s="394" ph="1"/>
    </row>
    <row r="5054" spans="21:21" ht="26.4">
      <c r="U5054" s="394" ph="1"/>
    </row>
    <row r="5055" spans="21:21" ht="26.4">
      <c r="U5055" s="394" ph="1"/>
    </row>
    <row r="5056" spans="21:21" ht="26.4">
      <c r="U5056" s="394" ph="1"/>
    </row>
    <row r="5057" spans="21:21" ht="26.4">
      <c r="U5057" s="394" ph="1"/>
    </row>
    <row r="5058" spans="21:21" ht="26.4">
      <c r="U5058" s="394" ph="1"/>
    </row>
    <row r="5059" spans="21:21" ht="26.4">
      <c r="U5059" s="394" ph="1"/>
    </row>
    <row r="5060" spans="21:21" ht="26.4">
      <c r="U5060" s="394" ph="1"/>
    </row>
    <row r="5061" spans="21:21" ht="26.4">
      <c r="U5061" s="394" ph="1"/>
    </row>
    <row r="5062" spans="21:21" ht="26.4">
      <c r="U5062" s="394" ph="1"/>
    </row>
    <row r="5063" spans="21:21" ht="26.4">
      <c r="U5063" s="394" ph="1"/>
    </row>
    <row r="5064" spans="21:21" ht="26.4">
      <c r="U5064" s="394" ph="1"/>
    </row>
    <row r="5065" spans="21:21" ht="26.4">
      <c r="U5065" s="394" ph="1"/>
    </row>
    <row r="5066" spans="21:21" ht="26.4">
      <c r="U5066" s="394" ph="1"/>
    </row>
    <row r="5067" spans="21:21" ht="26.4">
      <c r="U5067" s="394" ph="1"/>
    </row>
    <row r="5068" spans="21:21" ht="26.4">
      <c r="U5068" s="394" ph="1"/>
    </row>
    <row r="5069" spans="21:21" ht="26.4">
      <c r="U5069" s="394" ph="1"/>
    </row>
    <row r="5070" spans="21:21" ht="26.4">
      <c r="U5070" s="394" ph="1"/>
    </row>
    <row r="5071" spans="21:21" ht="26.4">
      <c r="U5071" s="394" ph="1"/>
    </row>
    <row r="5072" spans="21:21" ht="26.4">
      <c r="U5072" s="394" ph="1"/>
    </row>
    <row r="5073" spans="21:21" ht="26.4">
      <c r="U5073" s="394" ph="1"/>
    </row>
    <row r="5074" spans="21:21" ht="26.4">
      <c r="U5074" s="394" ph="1"/>
    </row>
    <row r="5075" spans="21:21" ht="26.4">
      <c r="U5075" s="394" ph="1"/>
    </row>
    <row r="5076" spans="21:21" ht="26.4">
      <c r="U5076" s="394" ph="1"/>
    </row>
    <row r="5077" spans="21:21" ht="26.4">
      <c r="U5077" s="394" ph="1"/>
    </row>
    <row r="5078" spans="21:21" ht="26.4">
      <c r="U5078" s="394" ph="1"/>
    </row>
    <row r="5079" spans="21:21" ht="26.4">
      <c r="U5079" s="394" ph="1"/>
    </row>
    <row r="5080" spans="21:21" ht="26.4">
      <c r="U5080" s="394" ph="1"/>
    </row>
    <row r="5081" spans="21:21" ht="26.4">
      <c r="U5081" s="394" ph="1"/>
    </row>
    <row r="5082" spans="21:21" ht="26.4">
      <c r="U5082" s="394" ph="1"/>
    </row>
    <row r="5083" spans="21:21" ht="26.4">
      <c r="U5083" s="394" ph="1"/>
    </row>
    <row r="5084" spans="21:21" ht="26.4">
      <c r="U5084" s="394" ph="1"/>
    </row>
    <row r="5085" spans="21:21" ht="26.4">
      <c r="U5085" s="394" ph="1"/>
    </row>
    <row r="5086" spans="21:21" ht="26.4">
      <c r="U5086" s="394" ph="1"/>
    </row>
    <row r="5087" spans="21:21" ht="26.4">
      <c r="U5087" s="394" ph="1"/>
    </row>
    <row r="5088" spans="21:21" ht="26.4">
      <c r="U5088" s="394" ph="1"/>
    </row>
    <row r="5089" spans="21:21" ht="26.4">
      <c r="U5089" s="394" ph="1"/>
    </row>
    <row r="5090" spans="21:21" ht="26.4">
      <c r="U5090" s="394" ph="1"/>
    </row>
    <row r="5091" spans="21:21" ht="26.4">
      <c r="U5091" s="394" ph="1"/>
    </row>
    <row r="5092" spans="21:21" ht="26.4">
      <c r="U5092" s="394" ph="1"/>
    </row>
    <row r="5093" spans="21:21" ht="26.4">
      <c r="U5093" s="394" ph="1"/>
    </row>
    <row r="5094" spans="21:21" ht="26.4">
      <c r="U5094" s="394" ph="1"/>
    </row>
    <row r="5095" spans="21:21" ht="26.4">
      <c r="U5095" s="394" ph="1"/>
    </row>
    <row r="5096" spans="21:21" ht="26.4">
      <c r="U5096" s="394" ph="1"/>
    </row>
    <row r="5097" spans="21:21" ht="26.4">
      <c r="U5097" s="394" ph="1"/>
    </row>
    <row r="5098" spans="21:21" ht="26.4">
      <c r="U5098" s="394" ph="1"/>
    </row>
    <row r="5099" spans="21:21" ht="26.4">
      <c r="U5099" s="394" ph="1"/>
    </row>
    <row r="5100" spans="21:21" ht="26.4">
      <c r="U5100" s="394" ph="1"/>
    </row>
    <row r="5101" spans="21:21" ht="26.4">
      <c r="U5101" s="394" ph="1"/>
    </row>
    <row r="5102" spans="21:21" ht="26.4">
      <c r="U5102" s="394" ph="1"/>
    </row>
    <row r="5103" spans="21:21" ht="26.4">
      <c r="U5103" s="394" ph="1"/>
    </row>
    <row r="5104" spans="21:21" ht="26.4">
      <c r="U5104" s="394" ph="1"/>
    </row>
    <row r="5105" spans="21:21" ht="26.4">
      <c r="U5105" s="394" ph="1"/>
    </row>
    <row r="5106" spans="21:21" ht="26.4">
      <c r="U5106" s="394" ph="1"/>
    </row>
    <row r="5107" spans="21:21" ht="26.4">
      <c r="U5107" s="394" ph="1"/>
    </row>
    <row r="5108" spans="21:21" ht="26.4">
      <c r="U5108" s="394" ph="1"/>
    </row>
    <row r="5109" spans="21:21" ht="26.4">
      <c r="U5109" s="394" ph="1"/>
    </row>
    <row r="5110" spans="21:21" ht="26.4">
      <c r="U5110" s="394" ph="1"/>
    </row>
    <row r="5111" spans="21:21" ht="26.4">
      <c r="U5111" s="394" ph="1"/>
    </row>
    <row r="5112" spans="21:21" ht="26.4">
      <c r="U5112" s="394" ph="1"/>
    </row>
    <row r="5113" spans="21:21" ht="26.4">
      <c r="U5113" s="394" ph="1"/>
    </row>
    <row r="5114" spans="21:21" ht="26.4">
      <c r="U5114" s="394" ph="1"/>
    </row>
    <row r="5115" spans="21:21" ht="26.4">
      <c r="U5115" s="394" ph="1"/>
    </row>
    <row r="5116" spans="21:21" ht="26.4">
      <c r="U5116" s="394" ph="1"/>
    </row>
    <row r="5117" spans="21:21" ht="26.4">
      <c r="U5117" s="394" ph="1"/>
    </row>
    <row r="5118" spans="21:21" ht="26.4">
      <c r="U5118" s="394" ph="1"/>
    </row>
    <row r="5119" spans="21:21" ht="26.4">
      <c r="U5119" s="394" ph="1"/>
    </row>
    <row r="5120" spans="21:21" ht="26.4">
      <c r="U5120" s="394" ph="1"/>
    </row>
    <row r="5121" spans="21:21" ht="26.4">
      <c r="U5121" s="394" ph="1"/>
    </row>
    <row r="5122" spans="21:21" ht="26.4">
      <c r="U5122" s="394" ph="1"/>
    </row>
    <row r="5123" spans="21:21" ht="26.4">
      <c r="U5123" s="394" ph="1"/>
    </row>
    <row r="5124" spans="21:21" ht="26.4">
      <c r="U5124" s="394" ph="1"/>
    </row>
    <row r="5125" spans="21:21" ht="26.4">
      <c r="U5125" s="394" ph="1"/>
    </row>
    <row r="5126" spans="21:21" ht="26.4">
      <c r="U5126" s="394" ph="1"/>
    </row>
    <row r="5127" spans="21:21" ht="26.4">
      <c r="U5127" s="394" ph="1"/>
    </row>
    <row r="5128" spans="21:21" ht="26.4">
      <c r="U5128" s="394" ph="1"/>
    </row>
    <row r="5129" spans="21:21" ht="26.4">
      <c r="U5129" s="394" ph="1"/>
    </row>
    <row r="5130" spans="21:21" ht="26.4">
      <c r="U5130" s="394" ph="1"/>
    </row>
    <row r="5131" spans="21:21" ht="26.4">
      <c r="U5131" s="394" ph="1"/>
    </row>
    <row r="5132" spans="21:21" ht="26.4">
      <c r="U5132" s="394" ph="1"/>
    </row>
    <row r="5133" spans="21:21" ht="26.4">
      <c r="U5133" s="394" ph="1"/>
    </row>
    <row r="5134" spans="21:21" ht="26.4">
      <c r="U5134" s="394" ph="1"/>
    </row>
    <row r="5135" spans="21:21" ht="26.4">
      <c r="U5135" s="394" ph="1"/>
    </row>
    <row r="5136" spans="21:21" ht="26.4">
      <c r="U5136" s="394" ph="1"/>
    </row>
    <row r="5137" spans="21:21" ht="26.4">
      <c r="U5137" s="394" ph="1"/>
    </row>
    <row r="5138" spans="21:21" ht="26.4">
      <c r="U5138" s="394" ph="1"/>
    </row>
    <row r="5139" spans="21:21" ht="26.4">
      <c r="U5139" s="394" ph="1"/>
    </row>
    <row r="5140" spans="21:21" ht="26.4">
      <c r="U5140" s="394" ph="1"/>
    </row>
    <row r="5141" spans="21:21" ht="26.4">
      <c r="U5141" s="394" ph="1"/>
    </row>
    <row r="5142" spans="21:21" ht="26.4">
      <c r="U5142" s="394" ph="1"/>
    </row>
    <row r="5143" spans="21:21" ht="26.4">
      <c r="U5143" s="394" ph="1"/>
    </row>
    <row r="5144" spans="21:21" ht="26.4">
      <c r="U5144" s="394" ph="1"/>
    </row>
    <row r="5145" spans="21:21" ht="26.4">
      <c r="U5145" s="394" ph="1"/>
    </row>
    <row r="5146" spans="21:21" ht="26.4">
      <c r="U5146" s="394" ph="1"/>
    </row>
    <row r="5147" spans="21:21" ht="26.4">
      <c r="U5147" s="394" ph="1"/>
    </row>
    <row r="5148" spans="21:21" ht="26.4">
      <c r="U5148" s="394" ph="1"/>
    </row>
    <row r="5149" spans="21:21" ht="26.4">
      <c r="U5149" s="394" ph="1"/>
    </row>
    <row r="5150" spans="21:21" ht="26.4">
      <c r="U5150" s="394" ph="1"/>
    </row>
    <row r="5151" spans="21:21" ht="26.4">
      <c r="U5151" s="394" ph="1"/>
    </row>
    <row r="5152" spans="21:21" ht="26.4">
      <c r="U5152" s="394" ph="1"/>
    </row>
    <row r="5153" spans="21:21" ht="26.4">
      <c r="U5153" s="394" ph="1"/>
    </row>
    <row r="5154" spans="21:21" ht="26.4">
      <c r="U5154" s="394" ph="1"/>
    </row>
    <row r="5155" spans="21:21" ht="26.4">
      <c r="U5155" s="394" ph="1"/>
    </row>
    <row r="5156" spans="21:21" ht="26.4">
      <c r="U5156" s="394" ph="1"/>
    </row>
    <row r="5157" spans="21:21" ht="26.4">
      <c r="U5157" s="394" ph="1"/>
    </row>
    <row r="5158" spans="21:21" ht="26.4">
      <c r="U5158" s="394" ph="1"/>
    </row>
    <row r="5159" spans="21:21" ht="26.4">
      <c r="U5159" s="394" ph="1"/>
    </row>
    <row r="5160" spans="21:21" ht="26.4">
      <c r="U5160" s="394" ph="1"/>
    </row>
    <row r="5161" spans="21:21" ht="26.4">
      <c r="U5161" s="394" ph="1"/>
    </row>
    <row r="5162" spans="21:21" ht="26.4">
      <c r="U5162" s="394" ph="1"/>
    </row>
    <row r="5163" spans="21:21" ht="26.4">
      <c r="U5163" s="394" ph="1"/>
    </row>
    <row r="5164" spans="21:21" ht="26.4">
      <c r="U5164" s="394" ph="1"/>
    </row>
    <row r="5165" spans="21:21" ht="26.4">
      <c r="U5165" s="394" ph="1"/>
    </row>
    <row r="5166" spans="21:21" ht="26.4">
      <c r="U5166" s="394" ph="1"/>
    </row>
    <row r="5167" spans="21:21" ht="26.4">
      <c r="U5167" s="394" ph="1"/>
    </row>
    <row r="5168" spans="21:21" ht="26.4">
      <c r="U5168" s="394" ph="1"/>
    </row>
    <row r="5169" spans="21:21" ht="26.4">
      <c r="U5169" s="394" ph="1"/>
    </row>
    <row r="5170" spans="21:21" ht="26.4">
      <c r="U5170" s="394" ph="1"/>
    </row>
    <row r="5171" spans="21:21" ht="26.4">
      <c r="U5171" s="394" ph="1"/>
    </row>
    <row r="5172" spans="21:21" ht="26.4">
      <c r="U5172" s="394" ph="1"/>
    </row>
    <row r="5173" spans="21:21" ht="26.4">
      <c r="U5173" s="394" ph="1"/>
    </row>
    <row r="5174" spans="21:21" ht="26.4">
      <c r="U5174" s="394" ph="1"/>
    </row>
    <row r="5175" spans="21:21" ht="26.4">
      <c r="U5175" s="394" ph="1"/>
    </row>
    <row r="5176" spans="21:21" ht="26.4">
      <c r="U5176" s="394" ph="1"/>
    </row>
    <row r="5177" spans="21:21" ht="26.4">
      <c r="U5177" s="394" ph="1"/>
    </row>
    <row r="5178" spans="21:21" ht="26.4">
      <c r="U5178" s="394" ph="1"/>
    </row>
    <row r="5179" spans="21:21" ht="26.4">
      <c r="U5179" s="394" ph="1"/>
    </row>
    <row r="5180" spans="21:21" ht="26.4">
      <c r="U5180" s="394" ph="1"/>
    </row>
    <row r="5181" spans="21:21" ht="26.4">
      <c r="U5181" s="394" ph="1"/>
    </row>
    <row r="5182" spans="21:21" ht="26.4">
      <c r="U5182" s="394" ph="1"/>
    </row>
    <row r="5183" spans="21:21" ht="26.4">
      <c r="U5183" s="394" ph="1"/>
    </row>
    <row r="5184" spans="21:21" ht="26.4">
      <c r="U5184" s="394" ph="1"/>
    </row>
    <row r="5185" spans="21:21" ht="26.4">
      <c r="U5185" s="394" ph="1"/>
    </row>
    <row r="5186" spans="21:21" ht="26.4">
      <c r="U5186" s="394" ph="1"/>
    </row>
    <row r="5187" spans="21:21" ht="26.4">
      <c r="U5187" s="394" ph="1"/>
    </row>
    <row r="5188" spans="21:21" ht="26.4">
      <c r="U5188" s="394" ph="1"/>
    </row>
    <row r="5189" spans="21:21" ht="26.4">
      <c r="U5189" s="394" ph="1"/>
    </row>
    <row r="5190" spans="21:21" ht="26.4">
      <c r="U5190" s="394" ph="1"/>
    </row>
    <row r="5191" spans="21:21" ht="26.4">
      <c r="U5191" s="394" ph="1"/>
    </row>
    <row r="5192" spans="21:21" ht="26.4">
      <c r="U5192" s="394" ph="1"/>
    </row>
    <row r="5193" spans="21:21" ht="26.4">
      <c r="U5193" s="394" ph="1"/>
    </row>
    <row r="5194" spans="21:21" ht="26.4">
      <c r="U5194" s="394" ph="1"/>
    </row>
    <row r="5195" spans="21:21" ht="26.4">
      <c r="U5195" s="394" ph="1"/>
    </row>
    <row r="5196" spans="21:21" ht="26.4">
      <c r="U5196" s="394" ph="1"/>
    </row>
    <row r="5197" spans="21:21" ht="26.4">
      <c r="U5197" s="394" ph="1"/>
    </row>
    <row r="5198" spans="21:21" ht="26.4">
      <c r="U5198" s="394" ph="1"/>
    </row>
    <row r="5199" spans="21:21" ht="26.4">
      <c r="U5199" s="394" ph="1"/>
    </row>
    <row r="5200" spans="21:21" ht="26.4">
      <c r="U5200" s="394" ph="1"/>
    </row>
    <row r="5201" spans="21:21" ht="26.4">
      <c r="U5201" s="394" ph="1"/>
    </row>
    <row r="5202" spans="21:21" ht="26.4">
      <c r="U5202" s="394" ph="1"/>
    </row>
    <row r="5203" spans="21:21" ht="26.4">
      <c r="U5203" s="394" ph="1"/>
    </row>
    <row r="5204" spans="21:21" ht="26.4">
      <c r="U5204" s="394" ph="1"/>
    </row>
    <row r="5205" spans="21:21" ht="26.4">
      <c r="U5205" s="394" ph="1"/>
    </row>
    <row r="5206" spans="21:21" ht="26.4">
      <c r="U5206" s="394" ph="1"/>
    </row>
    <row r="5207" spans="21:21" ht="26.4">
      <c r="U5207" s="394" ph="1"/>
    </row>
    <row r="5208" spans="21:21" ht="26.4">
      <c r="U5208" s="394" ph="1"/>
    </row>
    <row r="5209" spans="21:21" ht="26.4">
      <c r="U5209" s="394" ph="1"/>
    </row>
    <row r="5210" spans="21:21" ht="26.4">
      <c r="U5210" s="394" ph="1"/>
    </row>
    <row r="5211" spans="21:21" ht="26.4">
      <c r="U5211" s="394" ph="1"/>
    </row>
    <row r="5212" spans="21:21" ht="26.4">
      <c r="U5212" s="394" ph="1"/>
    </row>
    <row r="5213" spans="21:21" ht="26.4">
      <c r="U5213" s="394" ph="1"/>
    </row>
    <row r="5214" spans="21:21" ht="26.4">
      <c r="U5214" s="394" ph="1"/>
    </row>
    <row r="5215" spans="21:21" ht="26.4">
      <c r="U5215" s="394" ph="1"/>
    </row>
    <row r="5216" spans="21:21" ht="26.4">
      <c r="U5216" s="394" ph="1"/>
    </row>
    <row r="5217" spans="21:21" ht="26.4">
      <c r="U5217" s="394" ph="1"/>
    </row>
    <row r="5218" spans="21:21" ht="26.4">
      <c r="U5218" s="394" ph="1"/>
    </row>
    <row r="5219" spans="21:21" ht="26.4">
      <c r="U5219" s="394" ph="1"/>
    </row>
    <row r="5220" spans="21:21" ht="26.4">
      <c r="U5220" s="394" ph="1"/>
    </row>
    <row r="5221" spans="21:21" ht="26.4">
      <c r="U5221" s="394" ph="1"/>
    </row>
    <row r="5222" spans="21:21" ht="26.4">
      <c r="U5222" s="394" ph="1"/>
    </row>
    <row r="5223" spans="21:21" ht="26.4">
      <c r="U5223" s="394" ph="1"/>
    </row>
    <row r="5224" spans="21:21" ht="26.4">
      <c r="U5224" s="394" ph="1"/>
    </row>
    <row r="5225" spans="21:21" ht="26.4">
      <c r="U5225" s="394" ph="1"/>
    </row>
    <row r="5226" spans="21:21" ht="26.4">
      <c r="U5226" s="394" ph="1"/>
    </row>
    <row r="5227" spans="21:21" ht="26.4">
      <c r="U5227" s="394" ph="1"/>
    </row>
    <row r="5228" spans="21:21" ht="26.4">
      <c r="U5228" s="394" ph="1"/>
    </row>
    <row r="5229" spans="21:21" ht="26.4">
      <c r="U5229" s="394" ph="1"/>
    </row>
    <row r="5230" spans="21:21" ht="26.4">
      <c r="U5230" s="394" ph="1"/>
    </row>
    <row r="5231" spans="21:21" ht="26.4">
      <c r="U5231" s="394" ph="1"/>
    </row>
    <row r="5232" spans="21:21" ht="26.4">
      <c r="U5232" s="394" ph="1"/>
    </row>
    <row r="5233" spans="21:21" ht="26.4">
      <c r="U5233" s="394" ph="1"/>
    </row>
    <row r="5234" spans="21:21" ht="26.4">
      <c r="U5234" s="394" ph="1"/>
    </row>
    <row r="5235" spans="21:21" ht="26.4">
      <c r="U5235" s="394" ph="1"/>
    </row>
    <row r="5236" spans="21:21" ht="26.4">
      <c r="U5236" s="394" ph="1"/>
    </row>
    <row r="5237" spans="21:21" ht="26.4">
      <c r="U5237" s="394" ph="1"/>
    </row>
    <row r="5238" spans="21:21" ht="26.4">
      <c r="U5238" s="394" ph="1"/>
    </row>
    <row r="5239" spans="21:21" ht="26.4">
      <c r="U5239" s="394" ph="1"/>
    </row>
    <row r="5240" spans="21:21" ht="26.4">
      <c r="U5240" s="394" ph="1"/>
    </row>
    <row r="5241" spans="21:21" ht="26.4">
      <c r="U5241" s="394" ph="1"/>
    </row>
    <row r="5242" spans="21:21" ht="26.4">
      <c r="U5242" s="394" ph="1"/>
    </row>
    <row r="5243" spans="21:21" ht="26.4">
      <c r="U5243" s="394" ph="1"/>
    </row>
    <row r="5244" spans="21:21" ht="26.4">
      <c r="U5244" s="394" ph="1"/>
    </row>
    <row r="5245" spans="21:21" ht="26.4">
      <c r="U5245" s="394" ph="1"/>
    </row>
    <row r="5246" spans="21:21" ht="26.4">
      <c r="U5246" s="394" ph="1"/>
    </row>
    <row r="5247" spans="21:21" ht="26.4">
      <c r="U5247" s="394" ph="1"/>
    </row>
    <row r="5248" spans="21:21" ht="26.4">
      <c r="U5248" s="394" ph="1"/>
    </row>
    <row r="5249" spans="21:21" ht="26.4">
      <c r="U5249" s="394" ph="1"/>
    </row>
    <row r="5250" spans="21:21" ht="26.4">
      <c r="U5250" s="394" ph="1"/>
    </row>
    <row r="5251" spans="21:21" ht="26.4">
      <c r="U5251" s="394" ph="1"/>
    </row>
    <row r="5252" spans="21:21" ht="26.4">
      <c r="U5252" s="394" ph="1"/>
    </row>
    <row r="5253" spans="21:21" ht="26.4">
      <c r="U5253" s="394" ph="1"/>
    </row>
    <row r="5254" spans="21:21" ht="26.4">
      <c r="U5254" s="394" ph="1"/>
    </row>
    <row r="5255" spans="21:21" ht="26.4">
      <c r="U5255" s="394" ph="1"/>
    </row>
    <row r="5256" spans="21:21" ht="26.4">
      <c r="U5256" s="394" ph="1"/>
    </row>
    <row r="5257" spans="21:21" ht="26.4">
      <c r="U5257" s="394" ph="1"/>
    </row>
    <row r="5258" spans="21:21" ht="26.4">
      <c r="U5258" s="394" ph="1"/>
    </row>
    <row r="5259" spans="21:21" ht="26.4">
      <c r="U5259" s="394" ph="1"/>
    </row>
    <row r="5260" spans="21:21" ht="26.4">
      <c r="U5260" s="394" ph="1"/>
    </row>
    <row r="5261" spans="21:21" ht="26.4">
      <c r="U5261" s="394" ph="1"/>
    </row>
    <row r="5262" spans="21:21" ht="26.4">
      <c r="U5262" s="394" ph="1"/>
    </row>
    <row r="5263" spans="21:21" ht="26.4">
      <c r="U5263" s="394" ph="1"/>
    </row>
    <row r="5264" spans="21:21" ht="26.4">
      <c r="U5264" s="394" ph="1"/>
    </row>
    <row r="5265" spans="21:21" ht="26.4">
      <c r="U5265" s="394" ph="1"/>
    </row>
    <row r="5266" spans="21:21" ht="26.4">
      <c r="U5266" s="394" ph="1"/>
    </row>
    <row r="5267" spans="21:21" ht="26.4">
      <c r="U5267" s="394" ph="1"/>
    </row>
    <row r="5268" spans="21:21" ht="26.4">
      <c r="U5268" s="394" ph="1"/>
    </row>
    <row r="5269" spans="21:21" ht="26.4">
      <c r="U5269" s="394" ph="1"/>
    </row>
    <row r="5270" spans="21:21" ht="26.4">
      <c r="U5270" s="394" ph="1"/>
    </row>
    <row r="5271" spans="21:21" ht="26.4">
      <c r="U5271" s="394" ph="1"/>
    </row>
    <row r="5272" spans="21:21" ht="26.4">
      <c r="U5272" s="394" ph="1"/>
    </row>
    <row r="5273" spans="21:21" ht="26.4">
      <c r="U5273" s="394" ph="1"/>
    </row>
    <row r="5274" spans="21:21" ht="26.4">
      <c r="U5274" s="394" ph="1"/>
    </row>
    <row r="5275" spans="21:21" ht="26.4">
      <c r="U5275" s="394" ph="1"/>
    </row>
    <row r="5276" spans="21:21" ht="26.4">
      <c r="U5276" s="394" ph="1"/>
    </row>
    <row r="5277" spans="21:21" ht="26.4">
      <c r="U5277" s="394" ph="1"/>
    </row>
    <row r="5278" spans="21:21" ht="26.4">
      <c r="U5278" s="394" ph="1"/>
    </row>
    <row r="5279" spans="21:21" ht="26.4">
      <c r="U5279" s="394" ph="1"/>
    </row>
    <row r="5280" spans="21:21" ht="26.4">
      <c r="U5280" s="394" ph="1"/>
    </row>
    <row r="5281" spans="21:21" ht="26.4">
      <c r="U5281" s="394" ph="1"/>
    </row>
    <row r="5282" spans="21:21" ht="26.4">
      <c r="U5282" s="394" ph="1"/>
    </row>
    <row r="5283" spans="21:21" ht="26.4">
      <c r="U5283" s="394" ph="1"/>
    </row>
    <row r="5284" spans="21:21" ht="26.4">
      <c r="U5284" s="394" ph="1"/>
    </row>
    <row r="5285" spans="21:21" ht="26.4">
      <c r="U5285" s="394" ph="1"/>
    </row>
    <row r="5286" spans="21:21" ht="26.4">
      <c r="U5286" s="394" ph="1"/>
    </row>
    <row r="5287" spans="21:21" ht="26.4">
      <c r="U5287" s="394" ph="1"/>
    </row>
    <row r="5288" spans="21:21" ht="26.4">
      <c r="U5288" s="394" ph="1"/>
    </row>
    <row r="5289" spans="21:21" ht="26.4">
      <c r="U5289" s="394" ph="1"/>
    </row>
    <row r="5290" spans="21:21" ht="26.4">
      <c r="U5290" s="394" ph="1"/>
    </row>
    <row r="5291" spans="21:21" ht="26.4">
      <c r="U5291" s="394" ph="1"/>
    </row>
    <row r="5292" spans="21:21" ht="26.4">
      <c r="U5292" s="394" ph="1"/>
    </row>
    <row r="5293" spans="21:21" ht="26.4">
      <c r="U5293" s="394" ph="1"/>
    </row>
    <row r="5294" spans="21:21" ht="26.4">
      <c r="U5294" s="394" ph="1"/>
    </row>
    <row r="5295" spans="21:21" ht="26.4">
      <c r="U5295" s="394" ph="1"/>
    </row>
    <row r="5296" spans="21:21" ht="26.4">
      <c r="U5296" s="394" ph="1"/>
    </row>
    <row r="5297" spans="21:21" ht="26.4">
      <c r="U5297" s="394" ph="1"/>
    </row>
    <row r="5298" spans="21:21" ht="26.4">
      <c r="U5298" s="394" ph="1"/>
    </row>
    <row r="5299" spans="21:21" ht="26.4">
      <c r="U5299" s="394" ph="1"/>
    </row>
    <row r="5300" spans="21:21" ht="26.4">
      <c r="U5300" s="394" ph="1"/>
    </row>
    <row r="5301" spans="21:21" ht="26.4">
      <c r="U5301" s="394" ph="1"/>
    </row>
    <row r="5302" spans="21:21" ht="26.4">
      <c r="U5302" s="394" ph="1"/>
    </row>
    <row r="5303" spans="21:21" ht="26.4">
      <c r="U5303" s="394" ph="1"/>
    </row>
    <row r="5304" spans="21:21" ht="26.4">
      <c r="U5304" s="394" ph="1"/>
    </row>
    <row r="5305" spans="21:21" ht="26.4">
      <c r="U5305" s="394" ph="1"/>
    </row>
    <row r="5306" spans="21:21" ht="26.4">
      <c r="U5306" s="394" ph="1"/>
    </row>
    <row r="5307" spans="21:21" ht="26.4">
      <c r="U5307" s="394" ph="1"/>
    </row>
    <row r="5308" spans="21:21" ht="26.4">
      <c r="U5308" s="394" ph="1"/>
    </row>
    <row r="5309" spans="21:21" ht="26.4">
      <c r="U5309" s="394" ph="1"/>
    </row>
    <row r="5310" spans="21:21" ht="26.4">
      <c r="U5310" s="394" ph="1"/>
    </row>
    <row r="5311" spans="21:21" ht="26.4">
      <c r="U5311" s="394" ph="1"/>
    </row>
    <row r="5312" spans="21:21" ht="26.4">
      <c r="U5312" s="394" ph="1"/>
    </row>
    <row r="5313" spans="21:21" ht="26.4">
      <c r="U5313" s="394" ph="1"/>
    </row>
    <row r="5314" spans="21:21" ht="26.4">
      <c r="U5314" s="394" ph="1"/>
    </row>
    <row r="5315" spans="21:21" ht="26.4">
      <c r="U5315" s="394" ph="1"/>
    </row>
    <row r="5316" spans="21:21" ht="26.4">
      <c r="U5316" s="394" ph="1"/>
    </row>
    <row r="5317" spans="21:21" ht="26.4">
      <c r="U5317" s="394" ph="1"/>
    </row>
    <row r="5318" spans="21:21" ht="26.4">
      <c r="U5318" s="394" ph="1"/>
    </row>
    <row r="5319" spans="21:21" ht="26.4">
      <c r="U5319" s="394" ph="1"/>
    </row>
    <row r="5320" spans="21:21" ht="26.4">
      <c r="U5320" s="394" ph="1"/>
    </row>
    <row r="5321" spans="21:21" ht="26.4">
      <c r="U5321" s="394" ph="1"/>
    </row>
    <row r="5322" spans="21:21" ht="26.4">
      <c r="U5322" s="394" ph="1"/>
    </row>
    <row r="5323" spans="21:21" ht="26.4">
      <c r="U5323" s="394" ph="1"/>
    </row>
    <row r="5324" spans="21:21" ht="26.4">
      <c r="U5324" s="394" ph="1"/>
    </row>
    <row r="5325" spans="21:21" ht="26.4">
      <c r="U5325" s="394" ph="1"/>
    </row>
    <row r="5326" spans="21:21" ht="26.4">
      <c r="U5326" s="394" ph="1"/>
    </row>
    <row r="5327" spans="21:21" ht="26.4">
      <c r="U5327" s="394" ph="1"/>
    </row>
    <row r="5328" spans="21:21" ht="26.4">
      <c r="U5328" s="394" ph="1"/>
    </row>
    <row r="5329" spans="21:21" ht="26.4">
      <c r="U5329" s="394" ph="1"/>
    </row>
    <row r="5330" spans="21:21" ht="26.4">
      <c r="U5330" s="394" ph="1"/>
    </row>
    <row r="5331" spans="21:21" ht="26.4">
      <c r="U5331" s="394" ph="1"/>
    </row>
    <row r="5332" spans="21:21" ht="26.4">
      <c r="U5332" s="394" ph="1"/>
    </row>
    <row r="5333" spans="21:21" ht="26.4">
      <c r="U5333" s="394" ph="1"/>
    </row>
    <row r="5334" spans="21:21" ht="26.4">
      <c r="U5334" s="394" ph="1"/>
    </row>
    <row r="5335" spans="21:21" ht="26.4">
      <c r="U5335" s="394" ph="1"/>
    </row>
    <row r="5336" spans="21:21" ht="26.4">
      <c r="U5336" s="394" ph="1"/>
    </row>
    <row r="5337" spans="21:21" ht="26.4">
      <c r="U5337" s="394" ph="1"/>
    </row>
    <row r="5338" spans="21:21" ht="26.4">
      <c r="U5338" s="394" ph="1"/>
    </row>
    <row r="5339" spans="21:21" ht="26.4">
      <c r="U5339" s="394" ph="1"/>
    </row>
    <row r="5340" spans="21:21" ht="26.4">
      <c r="U5340" s="394" ph="1"/>
    </row>
    <row r="5341" spans="21:21" ht="26.4">
      <c r="U5341" s="394" ph="1"/>
    </row>
    <row r="5342" spans="21:21" ht="26.4">
      <c r="U5342" s="394" ph="1"/>
    </row>
    <row r="5343" spans="21:21" ht="26.4">
      <c r="U5343" s="394" ph="1"/>
    </row>
    <row r="5344" spans="21:21" ht="26.4">
      <c r="U5344" s="394" ph="1"/>
    </row>
    <row r="5345" spans="21:21" ht="26.4">
      <c r="U5345" s="394" ph="1"/>
    </row>
    <row r="5346" spans="21:21" ht="26.4">
      <c r="U5346" s="394" ph="1"/>
    </row>
    <row r="5347" spans="21:21" ht="26.4">
      <c r="U5347" s="394" ph="1"/>
    </row>
    <row r="5348" spans="21:21" ht="26.4">
      <c r="U5348" s="394" ph="1"/>
    </row>
    <row r="5349" spans="21:21" ht="26.4">
      <c r="U5349" s="394" ph="1"/>
    </row>
    <row r="5350" spans="21:21" ht="26.4">
      <c r="U5350" s="394" ph="1"/>
    </row>
    <row r="5351" spans="21:21" ht="26.4">
      <c r="U5351" s="394" ph="1"/>
    </row>
    <row r="5352" spans="21:21" ht="26.4">
      <c r="U5352" s="394" ph="1"/>
    </row>
    <row r="5353" spans="21:21" ht="26.4">
      <c r="U5353" s="394" ph="1"/>
    </row>
    <row r="5354" spans="21:21" ht="26.4">
      <c r="U5354" s="394" ph="1"/>
    </row>
    <row r="5355" spans="21:21" ht="26.4">
      <c r="U5355" s="394" ph="1"/>
    </row>
    <row r="5356" spans="21:21" ht="26.4">
      <c r="U5356" s="394" ph="1"/>
    </row>
    <row r="5357" spans="21:21" ht="26.4">
      <c r="U5357" s="394" ph="1"/>
    </row>
    <row r="5358" spans="21:21" ht="26.4">
      <c r="U5358" s="394" ph="1"/>
    </row>
    <row r="5359" spans="21:21" ht="26.4">
      <c r="U5359" s="394" ph="1"/>
    </row>
    <row r="5360" spans="21:21" ht="26.4">
      <c r="U5360" s="394" ph="1"/>
    </row>
    <row r="5361" spans="21:21" ht="26.4">
      <c r="U5361" s="394" ph="1"/>
    </row>
    <row r="5362" spans="21:21" ht="26.4">
      <c r="U5362" s="394" ph="1"/>
    </row>
    <row r="5363" spans="21:21" ht="26.4">
      <c r="U5363" s="394" ph="1"/>
    </row>
    <row r="5364" spans="21:21" ht="26.4">
      <c r="U5364" s="394" ph="1"/>
    </row>
    <row r="5365" spans="21:21" ht="26.4">
      <c r="U5365" s="394" ph="1"/>
    </row>
    <row r="5366" spans="21:21" ht="26.4">
      <c r="U5366" s="394" ph="1"/>
    </row>
    <row r="5367" spans="21:21" ht="26.4">
      <c r="U5367" s="394" ph="1"/>
    </row>
    <row r="5368" spans="21:21" ht="26.4">
      <c r="U5368" s="394" ph="1"/>
    </row>
    <row r="5369" spans="21:21" ht="26.4">
      <c r="U5369" s="394" ph="1"/>
    </row>
    <row r="5370" spans="21:21" ht="26.4">
      <c r="U5370" s="394" ph="1"/>
    </row>
    <row r="5371" spans="21:21" ht="26.4">
      <c r="U5371" s="394" ph="1"/>
    </row>
    <row r="5372" spans="21:21" ht="26.4">
      <c r="U5372" s="394" ph="1"/>
    </row>
    <row r="5373" spans="21:21" ht="26.4">
      <c r="U5373" s="394" ph="1"/>
    </row>
    <row r="5374" spans="21:21" ht="26.4">
      <c r="U5374" s="394" ph="1"/>
    </row>
    <row r="5375" spans="21:21" ht="26.4">
      <c r="U5375" s="394" ph="1"/>
    </row>
    <row r="5376" spans="21:21" ht="26.4">
      <c r="U5376" s="394" ph="1"/>
    </row>
    <row r="5377" spans="21:21" ht="26.4">
      <c r="U5377" s="394" ph="1"/>
    </row>
    <row r="5378" spans="21:21" ht="26.4">
      <c r="U5378" s="394" ph="1"/>
    </row>
    <row r="5379" spans="21:21" ht="26.4">
      <c r="U5379" s="394" ph="1"/>
    </row>
    <row r="5380" spans="21:21" ht="26.4">
      <c r="U5380" s="394" ph="1"/>
    </row>
    <row r="5381" spans="21:21" ht="26.4">
      <c r="U5381" s="394" ph="1"/>
    </row>
    <row r="5382" spans="21:21" ht="26.4">
      <c r="U5382" s="394" ph="1"/>
    </row>
    <row r="5383" spans="21:21" ht="26.4">
      <c r="U5383" s="394" ph="1"/>
    </row>
    <row r="5384" spans="21:21" ht="26.4">
      <c r="U5384" s="394" ph="1"/>
    </row>
    <row r="5385" spans="21:21" ht="26.4">
      <c r="U5385" s="394" ph="1"/>
    </row>
    <row r="5386" spans="21:21" ht="26.4">
      <c r="U5386" s="394" ph="1"/>
    </row>
    <row r="5387" spans="21:21" ht="26.4">
      <c r="U5387" s="394" ph="1"/>
    </row>
    <row r="5388" spans="21:21" ht="26.4">
      <c r="U5388" s="394" ph="1"/>
    </row>
    <row r="5389" spans="21:21" ht="26.4">
      <c r="U5389" s="394" ph="1"/>
    </row>
    <row r="5390" spans="21:21" ht="26.4">
      <c r="U5390" s="394" ph="1"/>
    </row>
    <row r="5391" spans="21:21" ht="26.4">
      <c r="U5391" s="394" ph="1"/>
    </row>
    <row r="5392" spans="21:21" ht="26.4">
      <c r="U5392" s="394" ph="1"/>
    </row>
    <row r="5393" spans="21:21" ht="26.4">
      <c r="U5393" s="394" ph="1"/>
    </row>
    <row r="5394" spans="21:21" ht="26.4">
      <c r="U5394" s="394" ph="1"/>
    </row>
    <row r="5395" spans="21:21" ht="26.4">
      <c r="U5395" s="394" ph="1"/>
    </row>
    <row r="5396" spans="21:21" ht="26.4">
      <c r="U5396" s="394" ph="1"/>
    </row>
    <row r="5397" spans="21:21" ht="26.4">
      <c r="U5397" s="394" ph="1"/>
    </row>
    <row r="5398" spans="21:21" ht="26.4">
      <c r="U5398" s="394" ph="1"/>
    </row>
    <row r="5399" spans="21:21" ht="26.4">
      <c r="U5399" s="394" ph="1"/>
    </row>
    <row r="5400" spans="21:21" ht="26.4">
      <c r="U5400" s="394" ph="1"/>
    </row>
    <row r="5401" spans="21:21" ht="26.4">
      <c r="U5401" s="394" ph="1"/>
    </row>
    <row r="5402" spans="21:21" ht="26.4">
      <c r="U5402" s="394" ph="1"/>
    </row>
    <row r="5403" spans="21:21" ht="26.4">
      <c r="U5403" s="394" ph="1"/>
    </row>
    <row r="5404" spans="21:21" ht="26.4">
      <c r="U5404" s="394" ph="1"/>
    </row>
    <row r="5405" spans="21:21" ht="26.4">
      <c r="U5405" s="394" ph="1"/>
    </row>
    <row r="5406" spans="21:21" ht="26.4">
      <c r="U5406" s="394" ph="1"/>
    </row>
    <row r="5407" spans="21:21" ht="26.4">
      <c r="U5407" s="394" ph="1"/>
    </row>
    <row r="5408" spans="21:21" ht="26.4">
      <c r="U5408" s="394" ph="1"/>
    </row>
    <row r="5409" spans="21:21" ht="26.4">
      <c r="U5409" s="394" ph="1"/>
    </row>
    <row r="5410" spans="21:21" ht="26.4">
      <c r="U5410" s="394" ph="1"/>
    </row>
    <row r="5411" spans="21:21" ht="26.4">
      <c r="U5411" s="394" ph="1"/>
    </row>
    <row r="5412" spans="21:21" ht="26.4">
      <c r="U5412" s="394" ph="1"/>
    </row>
    <row r="5413" spans="21:21" ht="26.4">
      <c r="U5413" s="394" ph="1"/>
    </row>
    <row r="5414" spans="21:21" ht="26.4">
      <c r="U5414" s="394" ph="1"/>
    </row>
    <row r="5415" spans="21:21" ht="26.4">
      <c r="U5415" s="394" ph="1"/>
    </row>
    <row r="5416" spans="21:21" ht="26.4">
      <c r="U5416" s="394" ph="1"/>
    </row>
    <row r="5417" spans="21:21" ht="26.4">
      <c r="U5417" s="394" ph="1"/>
    </row>
    <row r="5418" spans="21:21" ht="26.4">
      <c r="U5418" s="394" ph="1"/>
    </row>
    <row r="5419" spans="21:21" ht="26.4">
      <c r="U5419" s="394" ph="1"/>
    </row>
    <row r="5420" spans="21:21" ht="26.4">
      <c r="U5420" s="394" ph="1"/>
    </row>
    <row r="5421" spans="21:21" ht="26.4">
      <c r="U5421" s="394" ph="1"/>
    </row>
    <row r="5422" spans="21:21" ht="26.4">
      <c r="U5422" s="394" ph="1"/>
    </row>
    <row r="5423" spans="21:21" ht="26.4">
      <c r="U5423" s="394" ph="1"/>
    </row>
    <row r="5424" spans="21:21" ht="26.4">
      <c r="U5424" s="394" ph="1"/>
    </row>
    <row r="5425" spans="21:21" ht="26.4">
      <c r="U5425" s="394" ph="1"/>
    </row>
    <row r="5426" spans="21:21" ht="26.4">
      <c r="U5426" s="394" ph="1"/>
    </row>
    <row r="5427" spans="21:21" ht="26.4">
      <c r="U5427" s="394" ph="1"/>
    </row>
    <row r="5428" spans="21:21" ht="26.4">
      <c r="U5428" s="394" ph="1"/>
    </row>
    <row r="5429" spans="21:21" ht="26.4">
      <c r="U5429" s="394" ph="1"/>
    </row>
    <row r="5430" spans="21:21" ht="26.4">
      <c r="U5430" s="394" ph="1"/>
    </row>
    <row r="5431" spans="21:21" ht="26.4">
      <c r="U5431" s="394" ph="1"/>
    </row>
    <row r="5432" spans="21:21" ht="26.4">
      <c r="U5432" s="394" ph="1"/>
    </row>
    <row r="5433" spans="21:21" ht="26.4">
      <c r="U5433" s="394" ph="1"/>
    </row>
    <row r="5434" spans="21:21" ht="26.4">
      <c r="U5434" s="394" ph="1"/>
    </row>
    <row r="5435" spans="21:21" ht="26.4">
      <c r="U5435" s="394" ph="1"/>
    </row>
    <row r="5436" spans="21:21" ht="26.4">
      <c r="U5436" s="394" ph="1"/>
    </row>
    <row r="5437" spans="21:21" ht="26.4">
      <c r="U5437" s="394" ph="1"/>
    </row>
    <row r="5438" spans="21:21" ht="26.4">
      <c r="U5438" s="394" ph="1"/>
    </row>
    <row r="5439" spans="21:21" ht="26.4">
      <c r="U5439" s="394" ph="1"/>
    </row>
    <row r="5440" spans="21:21" ht="26.4">
      <c r="U5440" s="394" ph="1"/>
    </row>
    <row r="5441" spans="21:21" ht="26.4">
      <c r="U5441" s="394" ph="1"/>
    </row>
    <row r="5442" spans="21:21" ht="26.4">
      <c r="U5442" s="394" ph="1"/>
    </row>
    <row r="5443" spans="21:21" ht="26.4">
      <c r="U5443" s="394" ph="1"/>
    </row>
    <row r="5444" spans="21:21" ht="26.4">
      <c r="U5444" s="394" ph="1"/>
    </row>
    <row r="5445" spans="21:21" ht="26.4">
      <c r="U5445" s="394" ph="1"/>
    </row>
    <row r="5446" spans="21:21" ht="26.4">
      <c r="U5446" s="394" ph="1"/>
    </row>
    <row r="5447" spans="21:21" ht="26.4">
      <c r="U5447" s="394" ph="1"/>
    </row>
    <row r="5448" spans="21:21" ht="26.4">
      <c r="U5448" s="394" ph="1"/>
    </row>
    <row r="5449" spans="21:21" ht="26.4">
      <c r="U5449" s="394" ph="1"/>
    </row>
    <row r="5450" spans="21:21" ht="26.4">
      <c r="U5450" s="394" ph="1"/>
    </row>
    <row r="5451" spans="21:21" ht="26.4">
      <c r="U5451" s="394" ph="1"/>
    </row>
    <row r="5452" spans="21:21" ht="26.4">
      <c r="U5452" s="394" ph="1"/>
    </row>
    <row r="5453" spans="21:21" ht="26.4">
      <c r="U5453" s="394" ph="1"/>
    </row>
    <row r="5454" spans="21:21" ht="26.4">
      <c r="U5454" s="394" ph="1"/>
    </row>
    <row r="5455" spans="21:21" ht="26.4">
      <c r="U5455" s="394" ph="1"/>
    </row>
    <row r="5456" spans="21:21" ht="26.4">
      <c r="U5456" s="394" ph="1"/>
    </row>
    <row r="5457" spans="21:21" ht="26.4">
      <c r="U5457" s="394" ph="1"/>
    </row>
    <row r="5458" spans="21:21" ht="26.4">
      <c r="U5458" s="394" ph="1"/>
    </row>
    <row r="5459" spans="21:21" ht="26.4">
      <c r="U5459" s="394" ph="1"/>
    </row>
    <row r="5460" spans="21:21" ht="26.4">
      <c r="U5460" s="394" ph="1"/>
    </row>
    <row r="5461" spans="21:21" ht="26.4">
      <c r="U5461" s="394" ph="1"/>
    </row>
    <row r="5462" spans="21:21" ht="26.4">
      <c r="U5462" s="394" ph="1"/>
    </row>
    <row r="5463" spans="21:21" ht="26.4">
      <c r="U5463" s="394" ph="1"/>
    </row>
    <row r="5464" spans="21:21" ht="26.4">
      <c r="U5464" s="394" ph="1"/>
    </row>
    <row r="5465" spans="21:21" ht="26.4">
      <c r="U5465" s="394" ph="1"/>
    </row>
    <row r="5466" spans="21:21" ht="26.4">
      <c r="U5466" s="394" ph="1"/>
    </row>
    <row r="5467" spans="21:21" ht="26.4">
      <c r="U5467" s="394" ph="1"/>
    </row>
    <row r="5468" spans="21:21" ht="26.4">
      <c r="U5468" s="394" ph="1"/>
    </row>
    <row r="5469" spans="21:21" ht="26.4">
      <c r="U5469" s="394" ph="1"/>
    </row>
    <row r="5470" spans="21:21" ht="26.4">
      <c r="U5470" s="394" ph="1"/>
    </row>
    <row r="5471" spans="21:21" ht="26.4">
      <c r="U5471" s="394" ph="1"/>
    </row>
    <row r="5472" spans="21:21" ht="26.4">
      <c r="U5472" s="394" ph="1"/>
    </row>
    <row r="5473" spans="21:21" ht="26.4">
      <c r="U5473" s="394" ph="1"/>
    </row>
    <row r="5474" spans="21:21" ht="26.4">
      <c r="U5474" s="394" ph="1"/>
    </row>
    <row r="5475" spans="21:21" ht="26.4">
      <c r="U5475" s="394" ph="1"/>
    </row>
    <row r="5476" spans="21:21" ht="26.4">
      <c r="U5476" s="394" ph="1"/>
    </row>
    <row r="5477" spans="21:21" ht="26.4">
      <c r="U5477" s="394" ph="1"/>
    </row>
    <row r="5478" spans="21:21" ht="26.4">
      <c r="U5478" s="394" ph="1"/>
    </row>
    <row r="5479" spans="21:21" ht="26.4">
      <c r="U5479" s="394" ph="1"/>
    </row>
    <row r="5480" spans="21:21" ht="26.4">
      <c r="U5480" s="394" ph="1"/>
    </row>
    <row r="5481" spans="21:21" ht="26.4">
      <c r="U5481" s="394" ph="1"/>
    </row>
    <row r="5482" spans="21:21" ht="26.4">
      <c r="U5482" s="394" ph="1"/>
    </row>
    <row r="5483" spans="21:21" ht="26.4">
      <c r="U5483" s="394" ph="1"/>
    </row>
    <row r="5484" spans="21:21" ht="26.4">
      <c r="U5484" s="394" ph="1"/>
    </row>
    <row r="5485" spans="21:21" ht="26.4">
      <c r="U5485" s="394" ph="1"/>
    </row>
    <row r="5486" spans="21:21" ht="26.4">
      <c r="U5486" s="394" ph="1"/>
    </row>
    <row r="5487" spans="21:21" ht="26.4">
      <c r="U5487" s="394" ph="1"/>
    </row>
    <row r="5488" spans="21:21" ht="26.4">
      <c r="U5488" s="394" ph="1"/>
    </row>
    <row r="5489" spans="21:21" ht="26.4">
      <c r="U5489" s="394" ph="1"/>
    </row>
    <row r="5490" spans="21:21" ht="26.4">
      <c r="U5490" s="394" ph="1"/>
    </row>
    <row r="5491" spans="21:21" ht="26.4">
      <c r="U5491" s="394" ph="1"/>
    </row>
    <row r="5492" spans="21:21" ht="26.4">
      <c r="U5492" s="394" ph="1"/>
    </row>
    <row r="5493" spans="21:21" ht="26.4">
      <c r="U5493" s="394" ph="1"/>
    </row>
    <row r="5494" spans="21:21" ht="26.4">
      <c r="U5494" s="394" ph="1"/>
    </row>
    <row r="5495" spans="21:21" ht="26.4">
      <c r="U5495" s="394" ph="1"/>
    </row>
    <row r="5496" spans="21:21" ht="26.4">
      <c r="U5496" s="394" ph="1"/>
    </row>
    <row r="5497" spans="21:21" ht="26.4">
      <c r="U5497" s="394" ph="1"/>
    </row>
    <row r="5498" spans="21:21" ht="26.4">
      <c r="U5498" s="394" ph="1"/>
    </row>
    <row r="5499" spans="21:21" ht="26.4">
      <c r="U5499" s="394" ph="1"/>
    </row>
    <row r="5500" spans="21:21" ht="26.4">
      <c r="U5500" s="394" ph="1"/>
    </row>
    <row r="5501" spans="21:21" ht="26.4">
      <c r="U5501" s="394" ph="1"/>
    </row>
    <row r="5502" spans="21:21" ht="26.4">
      <c r="U5502" s="394" ph="1"/>
    </row>
    <row r="5503" spans="21:21" ht="26.4">
      <c r="U5503" s="394" ph="1"/>
    </row>
    <row r="5504" spans="21:21" ht="26.4">
      <c r="U5504" s="394" ph="1"/>
    </row>
    <row r="5505" spans="21:21" ht="26.4">
      <c r="U5505" s="394" ph="1"/>
    </row>
    <row r="5506" spans="21:21" ht="26.4">
      <c r="U5506" s="394" ph="1"/>
    </row>
    <row r="5507" spans="21:21" ht="26.4">
      <c r="U5507" s="394" ph="1"/>
    </row>
    <row r="5508" spans="21:21" ht="26.4">
      <c r="U5508" s="394" ph="1"/>
    </row>
    <row r="5509" spans="21:21" ht="26.4">
      <c r="U5509" s="394" ph="1"/>
    </row>
    <row r="5510" spans="21:21" ht="26.4">
      <c r="U5510" s="394" ph="1"/>
    </row>
    <row r="5511" spans="21:21" ht="26.4">
      <c r="U5511" s="394" ph="1"/>
    </row>
    <row r="5512" spans="21:21" ht="26.4">
      <c r="U5512" s="394" ph="1"/>
    </row>
    <row r="5513" spans="21:21" ht="26.4">
      <c r="U5513" s="394" ph="1"/>
    </row>
    <row r="5514" spans="21:21" ht="26.4">
      <c r="U5514" s="394" ph="1"/>
    </row>
    <row r="5515" spans="21:21" ht="26.4">
      <c r="U5515" s="394" ph="1"/>
    </row>
    <row r="5516" spans="21:21" ht="26.4">
      <c r="U5516" s="394" ph="1"/>
    </row>
    <row r="5517" spans="21:21" ht="26.4">
      <c r="U5517" s="394" ph="1"/>
    </row>
    <row r="5518" spans="21:21" ht="26.4">
      <c r="U5518" s="394" ph="1"/>
    </row>
    <row r="5519" spans="21:21" ht="26.4">
      <c r="U5519" s="394" ph="1"/>
    </row>
    <row r="5520" spans="21:21" ht="26.4">
      <c r="U5520" s="394" ph="1"/>
    </row>
    <row r="5521" spans="21:21" ht="26.4">
      <c r="U5521" s="394" ph="1"/>
    </row>
    <row r="5522" spans="21:21" ht="26.4">
      <c r="U5522" s="394" ph="1"/>
    </row>
    <row r="5523" spans="21:21" ht="26.4">
      <c r="U5523" s="394" ph="1"/>
    </row>
    <row r="5524" spans="21:21" ht="26.4">
      <c r="U5524" s="394" ph="1"/>
    </row>
    <row r="5525" spans="21:21" ht="26.4">
      <c r="U5525" s="394" ph="1"/>
    </row>
    <row r="5526" spans="21:21" ht="26.4">
      <c r="U5526" s="394" ph="1"/>
    </row>
    <row r="5527" spans="21:21" ht="26.4">
      <c r="U5527" s="394" ph="1"/>
    </row>
    <row r="5528" spans="21:21" ht="26.4">
      <c r="U5528" s="394" ph="1"/>
    </row>
    <row r="5529" spans="21:21" ht="26.4">
      <c r="U5529" s="394" ph="1"/>
    </row>
    <row r="5530" spans="21:21" ht="26.4">
      <c r="U5530" s="394" ph="1"/>
    </row>
    <row r="5531" spans="21:21" ht="26.4">
      <c r="U5531" s="394" ph="1"/>
    </row>
    <row r="5532" spans="21:21" ht="26.4">
      <c r="U5532" s="394" ph="1"/>
    </row>
    <row r="5533" spans="21:21" ht="26.4">
      <c r="U5533" s="394" ph="1"/>
    </row>
    <row r="5534" spans="21:21" ht="26.4">
      <c r="U5534" s="394" ph="1"/>
    </row>
    <row r="5535" spans="21:21" ht="26.4">
      <c r="U5535" s="394" ph="1"/>
    </row>
    <row r="5536" spans="21:21" ht="26.4">
      <c r="U5536" s="394" ph="1"/>
    </row>
    <row r="5537" spans="21:21" ht="26.4">
      <c r="U5537" s="394" ph="1"/>
    </row>
    <row r="5538" spans="21:21" ht="26.4">
      <c r="U5538" s="394" ph="1"/>
    </row>
    <row r="5539" spans="21:21" ht="26.4">
      <c r="U5539" s="394" ph="1"/>
    </row>
    <row r="5540" spans="21:21" ht="26.4">
      <c r="U5540" s="394" ph="1"/>
    </row>
    <row r="5541" spans="21:21" ht="26.4">
      <c r="U5541" s="394" ph="1"/>
    </row>
    <row r="5542" spans="21:21" ht="26.4">
      <c r="U5542" s="394" ph="1"/>
    </row>
    <row r="5543" spans="21:21" ht="26.4">
      <c r="U5543" s="394" ph="1"/>
    </row>
    <row r="5544" spans="21:21" ht="26.4">
      <c r="U5544" s="394" ph="1"/>
    </row>
    <row r="5545" spans="21:21" ht="26.4">
      <c r="U5545" s="394" ph="1"/>
    </row>
    <row r="5546" spans="21:21" ht="26.4">
      <c r="U5546" s="394" ph="1"/>
    </row>
    <row r="5547" spans="21:21" ht="26.4">
      <c r="U5547" s="394" ph="1"/>
    </row>
    <row r="5548" spans="21:21" ht="26.4">
      <c r="U5548" s="394" ph="1"/>
    </row>
    <row r="5549" spans="21:21" ht="26.4">
      <c r="U5549" s="394" ph="1"/>
    </row>
    <row r="5550" spans="21:21" ht="26.4">
      <c r="U5550" s="394" ph="1"/>
    </row>
    <row r="5551" spans="21:21" ht="26.4">
      <c r="U5551" s="394" ph="1"/>
    </row>
    <row r="5552" spans="21:21" ht="26.4">
      <c r="U5552" s="394" ph="1"/>
    </row>
    <row r="5553" spans="21:21" ht="26.4">
      <c r="U5553" s="394" ph="1"/>
    </row>
    <row r="5554" spans="21:21" ht="26.4">
      <c r="U5554" s="394" ph="1"/>
    </row>
    <row r="5555" spans="21:21" ht="26.4">
      <c r="U5555" s="394" ph="1"/>
    </row>
    <row r="5556" spans="21:21" ht="26.4">
      <c r="U5556" s="394" ph="1"/>
    </row>
    <row r="5557" spans="21:21" ht="26.4">
      <c r="U5557" s="394" ph="1"/>
    </row>
    <row r="5558" spans="21:21" ht="26.4">
      <c r="U5558" s="394" ph="1"/>
    </row>
    <row r="5559" spans="21:21" ht="26.4">
      <c r="U5559" s="394" ph="1"/>
    </row>
    <row r="5560" spans="21:21" ht="26.4">
      <c r="U5560" s="394" ph="1"/>
    </row>
    <row r="5561" spans="21:21" ht="26.4">
      <c r="U5561" s="394" ph="1"/>
    </row>
    <row r="5562" spans="21:21" ht="26.4">
      <c r="U5562" s="394" ph="1"/>
    </row>
    <row r="5563" spans="21:21" ht="26.4">
      <c r="U5563" s="394" ph="1"/>
    </row>
    <row r="5564" spans="21:21" ht="26.4">
      <c r="U5564" s="394" ph="1"/>
    </row>
    <row r="5565" spans="21:21" ht="26.4">
      <c r="U5565" s="394" ph="1"/>
    </row>
    <row r="5566" spans="21:21" ht="26.4">
      <c r="U5566" s="394" ph="1"/>
    </row>
    <row r="5567" spans="21:21" ht="26.4">
      <c r="U5567" s="394" ph="1"/>
    </row>
    <row r="5568" spans="21:21" ht="26.4">
      <c r="U5568" s="394" ph="1"/>
    </row>
    <row r="5569" spans="21:21" ht="26.4">
      <c r="U5569" s="394" ph="1"/>
    </row>
    <row r="5570" spans="21:21" ht="26.4">
      <c r="U5570" s="394" ph="1"/>
    </row>
    <row r="5571" spans="21:21" ht="26.4">
      <c r="U5571" s="394" ph="1"/>
    </row>
    <row r="5572" spans="21:21" ht="26.4">
      <c r="U5572" s="394" ph="1"/>
    </row>
    <row r="5573" spans="21:21" ht="26.4">
      <c r="U5573" s="394" ph="1"/>
    </row>
    <row r="5574" spans="21:21" ht="26.4">
      <c r="U5574" s="394" ph="1"/>
    </row>
    <row r="5575" spans="21:21" ht="26.4">
      <c r="U5575" s="394" ph="1"/>
    </row>
    <row r="5576" spans="21:21" ht="26.4">
      <c r="U5576" s="394" ph="1"/>
    </row>
    <row r="5577" spans="21:21" ht="26.4">
      <c r="U5577" s="394" ph="1"/>
    </row>
    <row r="5578" spans="21:21" ht="26.4">
      <c r="U5578" s="394" ph="1"/>
    </row>
    <row r="5579" spans="21:21" ht="26.4">
      <c r="U5579" s="394" ph="1"/>
    </row>
    <row r="5580" spans="21:21" ht="26.4">
      <c r="U5580" s="394" ph="1"/>
    </row>
    <row r="5581" spans="21:21" ht="26.4">
      <c r="U5581" s="394" ph="1"/>
    </row>
    <row r="5582" spans="21:21" ht="26.4">
      <c r="U5582" s="394" ph="1"/>
    </row>
    <row r="5583" spans="21:21" ht="26.4">
      <c r="U5583" s="394" ph="1"/>
    </row>
    <row r="5584" spans="21:21" ht="26.4">
      <c r="U5584" s="394" ph="1"/>
    </row>
    <row r="5585" spans="21:21" ht="26.4">
      <c r="U5585" s="394" ph="1"/>
    </row>
    <row r="5586" spans="21:21" ht="26.4">
      <c r="U5586" s="394" ph="1"/>
    </row>
    <row r="5587" spans="21:21" ht="26.4">
      <c r="U5587" s="394" ph="1"/>
    </row>
    <row r="5588" spans="21:21" ht="26.4">
      <c r="U5588" s="394" ph="1"/>
    </row>
    <row r="5589" spans="21:21" ht="26.4">
      <c r="U5589" s="394" ph="1"/>
    </row>
    <row r="5590" spans="21:21" ht="26.4">
      <c r="U5590" s="394" ph="1"/>
    </row>
    <row r="5591" spans="21:21" ht="26.4">
      <c r="U5591" s="394" ph="1"/>
    </row>
    <row r="5592" spans="21:21" ht="26.4">
      <c r="U5592" s="394" ph="1"/>
    </row>
    <row r="5593" spans="21:21" ht="26.4">
      <c r="U5593" s="394" ph="1"/>
    </row>
    <row r="5594" spans="21:21" ht="26.4">
      <c r="U5594" s="394" ph="1"/>
    </row>
    <row r="5595" spans="21:21" ht="26.4">
      <c r="U5595" s="394" ph="1"/>
    </row>
    <row r="5596" spans="21:21" ht="26.4">
      <c r="U5596" s="394" ph="1"/>
    </row>
    <row r="5597" spans="21:21" ht="26.4">
      <c r="U5597" s="394" ph="1"/>
    </row>
    <row r="5598" spans="21:21" ht="26.4">
      <c r="U5598" s="394" ph="1"/>
    </row>
    <row r="5599" spans="21:21" ht="26.4">
      <c r="U5599" s="394" ph="1"/>
    </row>
    <row r="5600" spans="21:21" ht="26.4">
      <c r="U5600" s="394" ph="1"/>
    </row>
    <row r="5601" spans="21:21" ht="26.4">
      <c r="U5601" s="394" ph="1"/>
    </row>
    <row r="5602" spans="21:21" ht="26.4">
      <c r="U5602" s="394" ph="1"/>
    </row>
    <row r="5603" spans="21:21" ht="26.4">
      <c r="U5603" s="394" ph="1"/>
    </row>
    <row r="5604" spans="21:21" ht="26.4">
      <c r="U5604" s="394" ph="1"/>
    </row>
    <row r="5605" spans="21:21" ht="26.4">
      <c r="U5605" s="394" ph="1"/>
    </row>
    <row r="5606" spans="21:21" ht="26.4">
      <c r="U5606" s="394" ph="1"/>
    </row>
    <row r="5607" spans="21:21" ht="26.4">
      <c r="U5607" s="394" ph="1"/>
    </row>
    <row r="5608" spans="21:21" ht="26.4">
      <c r="U5608" s="394" ph="1"/>
    </row>
    <row r="5609" spans="21:21" ht="26.4">
      <c r="U5609" s="394" ph="1"/>
    </row>
    <row r="5610" spans="21:21" ht="26.4">
      <c r="U5610" s="394" ph="1"/>
    </row>
    <row r="5611" spans="21:21" ht="26.4">
      <c r="U5611" s="394" ph="1"/>
    </row>
    <row r="5612" spans="21:21" ht="26.4">
      <c r="U5612" s="394" ph="1"/>
    </row>
    <row r="5613" spans="21:21" ht="26.4">
      <c r="U5613" s="394" ph="1"/>
    </row>
    <row r="5614" spans="21:21" ht="26.4">
      <c r="U5614" s="394" ph="1"/>
    </row>
    <row r="5615" spans="21:21" ht="26.4">
      <c r="U5615" s="394" ph="1"/>
    </row>
    <row r="5616" spans="21:21" ht="26.4">
      <c r="U5616" s="394" ph="1"/>
    </row>
    <row r="5617" spans="21:21" ht="26.4">
      <c r="U5617" s="394" ph="1"/>
    </row>
    <row r="5618" spans="21:21" ht="26.4">
      <c r="U5618" s="394" ph="1"/>
    </row>
    <row r="5619" spans="21:21" ht="26.4">
      <c r="U5619" s="394" ph="1"/>
    </row>
    <row r="5620" spans="21:21" ht="26.4">
      <c r="U5620" s="394" ph="1"/>
    </row>
    <row r="5621" spans="21:21" ht="26.4">
      <c r="U5621" s="394" ph="1"/>
    </row>
    <row r="5622" spans="21:21" ht="26.4">
      <c r="U5622" s="394" ph="1"/>
    </row>
    <row r="5623" spans="21:21" ht="26.4">
      <c r="U5623" s="394" ph="1"/>
    </row>
    <row r="5624" spans="21:21" ht="26.4">
      <c r="U5624" s="394" ph="1"/>
    </row>
    <row r="5625" spans="21:21" ht="26.4">
      <c r="U5625" s="394" ph="1"/>
    </row>
    <row r="5626" spans="21:21" ht="26.4">
      <c r="U5626" s="394" ph="1"/>
    </row>
    <row r="5627" spans="21:21" ht="26.4">
      <c r="U5627" s="394" ph="1"/>
    </row>
    <row r="5628" spans="21:21" ht="26.4">
      <c r="U5628" s="394" ph="1"/>
    </row>
    <row r="5629" spans="21:21" ht="26.4">
      <c r="U5629" s="394" ph="1"/>
    </row>
    <row r="5630" spans="21:21" ht="26.4">
      <c r="U5630" s="394" ph="1"/>
    </row>
    <row r="5631" spans="21:21" ht="26.4">
      <c r="U5631" s="394" ph="1"/>
    </row>
    <row r="5632" spans="21:21" ht="26.4">
      <c r="U5632" s="394" ph="1"/>
    </row>
    <row r="5633" spans="21:21" ht="26.4">
      <c r="U5633" s="394" ph="1"/>
    </row>
    <row r="5634" spans="21:21" ht="26.4">
      <c r="U5634" s="394" ph="1"/>
    </row>
    <row r="5635" spans="21:21" ht="26.4">
      <c r="U5635" s="394" ph="1"/>
    </row>
    <row r="5636" spans="21:21" ht="26.4">
      <c r="U5636" s="394" ph="1"/>
    </row>
    <row r="5637" spans="21:21" ht="26.4">
      <c r="U5637" s="394" ph="1"/>
    </row>
    <row r="5638" spans="21:21" ht="26.4">
      <c r="U5638" s="394" ph="1"/>
    </row>
    <row r="5639" spans="21:21" ht="26.4">
      <c r="U5639" s="394" ph="1"/>
    </row>
    <row r="5640" spans="21:21" ht="26.4">
      <c r="U5640" s="394" ph="1"/>
    </row>
    <row r="5641" spans="21:21" ht="26.4">
      <c r="U5641" s="394" ph="1"/>
    </row>
    <row r="5642" spans="21:21" ht="26.4">
      <c r="U5642" s="394" ph="1"/>
    </row>
    <row r="5643" spans="21:21" ht="26.4">
      <c r="U5643" s="394" ph="1"/>
    </row>
    <row r="5644" spans="21:21" ht="26.4">
      <c r="U5644" s="394" ph="1"/>
    </row>
    <row r="5645" spans="21:21" ht="26.4">
      <c r="U5645" s="394" ph="1"/>
    </row>
    <row r="5646" spans="21:21" ht="26.4">
      <c r="U5646" s="394" ph="1"/>
    </row>
    <row r="5647" spans="21:21" ht="26.4">
      <c r="U5647" s="394" ph="1"/>
    </row>
    <row r="5648" spans="21:21" ht="26.4">
      <c r="U5648" s="394" ph="1"/>
    </row>
    <row r="5649" spans="21:21" ht="26.4">
      <c r="U5649" s="394" ph="1"/>
    </row>
    <row r="5650" spans="21:21" ht="26.4">
      <c r="U5650" s="394" ph="1"/>
    </row>
    <row r="5651" spans="21:21" ht="26.4">
      <c r="U5651" s="394" ph="1"/>
    </row>
    <row r="5652" spans="21:21" ht="26.4">
      <c r="U5652" s="394" ph="1"/>
    </row>
    <row r="5653" spans="21:21" ht="26.4">
      <c r="U5653" s="394" ph="1"/>
    </row>
    <row r="5654" spans="21:21" ht="26.4">
      <c r="U5654" s="394" ph="1"/>
    </row>
    <row r="5655" spans="21:21" ht="26.4">
      <c r="U5655" s="394" ph="1"/>
    </row>
    <row r="5656" spans="21:21" ht="26.4">
      <c r="U5656" s="394" ph="1"/>
    </row>
    <row r="5657" spans="21:21" ht="26.4">
      <c r="U5657" s="394" ph="1"/>
    </row>
    <row r="5658" spans="21:21" ht="26.4">
      <c r="U5658" s="394" ph="1"/>
    </row>
    <row r="5659" spans="21:21" ht="26.4">
      <c r="U5659" s="394" ph="1"/>
    </row>
    <row r="5660" spans="21:21" ht="26.4">
      <c r="U5660" s="394" ph="1"/>
    </row>
    <row r="5661" spans="21:21" ht="26.4">
      <c r="U5661" s="394" ph="1"/>
    </row>
    <row r="5662" spans="21:21" ht="26.4">
      <c r="U5662" s="394" ph="1"/>
    </row>
    <row r="5663" spans="21:21" ht="26.4">
      <c r="U5663" s="394" ph="1"/>
    </row>
    <row r="5664" spans="21:21" ht="26.4">
      <c r="U5664" s="394" ph="1"/>
    </row>
    <row r="5665" spans="21:21" ht="26.4">
      <c r="U5665" s="394" ph="1"/>
    </row>
    <row r="5666" spans="21:21" ht="26.4">
      <c r="U5666" s="394" ph="1"/>
    </row>
    <row r="5667" spans="21:21" ht="26.4">
      <c r="U5667" s="394" ph="1"/>
    </row>
    <row r="5668" spans="21:21" ht="26.4">
      <c r="U5668" s="394" ph="1"/>
    </row>
    <row r="5669" spans="21:21" ht="26.4">
      <c r="U5669" s="394" ph="1"/>
    </row>
    <row r="5670" spans="21:21" ht="26.4">
      <c r="U5670" s="394" ph="1"/>
    </row>
    <row r="5671" spans="21:21" ht="26.4">
      <c r="U5671" s="394" ph="1"/>
    </row>
    <row r="5672" spans="21:21" ht="26.4">
      <c r="U5672" s="394" ph="1"/>
    </row>
    <row r="5673" spans="21:21" ht="26.4">
      <c r="U5673" s="394" ph="1"/>
    </row>
    <row r="5674" spans="21:21" ht="26.4">
      <c r="U5674" s="394" ph="1"/>
    </row>
    <row r="5675" spans="21:21" ht="26.4">
      <c r="U5675" s="394" ph="1"/>
    </row>
    <row r="5676" spans="21:21" ht="26.4">
      <c r="U5676" s="394" ph="1"/>
    </row>
    <row r="5677" spans="21:21" ht="26.4">
      <c r="U5677" s="394" ph="1"/>
    </row>
    <row r="5678" spans="21:21" ht="26.4">
      <c r="U5678" s="394" ph="1"/>
    </row>
    <row r="5679" spans="21:21" ht="26.4">
      <c r="U5679" s="394" ph="1"/>
    </row>
    <row r="5680" spans="21:21" ht="26.4">
      <c r="U5680" s="394" ph="1"/>
    </row>
    <row r="5681" spans="21:21" ht="26.4">
      <c r="U5681" s="394" ph="1"/>
    </row>
    <row r="5682" spans="21:21" ht="26.4">
      <c r="U5682" s="394" ph="1"/>
    </row>
    <row r="5683" spans="21:21" ht="26.4">
      <c r="U5683" s="394" ph="1"/>
    </row>
    <row r="5684" spans="21:21" ht="26.4">
      <c r="U5684" s="394" ph="1"/>
    </row>
    <row r="5685" spans="21:21" ht="26.4">
      <c r="U5685" s="394" ph="1"/>
    </row>
    <row r="5686" spans="21:21" ht="26.4">
      <c r="U5686" s="394" ph="1"/>
    </row>
    <row r="5687" spans="21:21" ht="26.4">
      <c r="U5687" s="394" ph="1"/>
    </row>
    <row r="5688" spans="21:21" ht="26.4">
      <c r="U5688" s="394" ph="1"/>
    </row>
    <row r="5689" spans="21:21" ht="26.4">
      <c r="U5689" s="394" ph="1"/>
    </row>
    <row r="5690" spans="21:21" ht="26.4">
      <c r="U5690" s="394" ph="1"/>
    </row>
    <row r="5691" spans="21:21" ht="26.4">
      <c r="U5691" s="394" ph="1"/>
    </row>
    <row r="5692" spans="21:21" ht="26.4">
      <c r="U5692" s="394" ph="1"/>
    </row>
    <row r="5693" spans="21:21" ht="26.4">
      <c r="U5693" s="394" ph="1"/>
    </row>
    <row r="5694" spans="21:21" ht="26.4">
      <c r="U5694" s="394" ph="1"/>
    </row>
    <row r="5695" spans="21:21" ht="26.4">
      <c r="U5695" s="394" ph="1"/>
    </row>
    <row r="5696" spans="21:21" ht="26.4">
      <c r="U5696" s="394" ph="1"/>
    </row>
    <row r="5697" spans="21:21" ht="26.4">
      <c r="U5697" s="394" ph="1"/>
    </row>
    <row r="5698" spans="21:21" ht="26.4">
      <c r="U5698" s="394" ph="1"/>
    </row>
    <row r="5699" spans="21:21" ht="26.4">
      <c r="U5699" s="394" ph="1"/>
    </row>
    <row r="5700" spans="21:21" ht="26.4">
      <c r="U5700" s="394" ph="1"/>
    </row>
    <row r="5701" spans="21:21" ht="26.4">
      <c r="U5701" s="394" ph="1"/>
    </row>
    <row r="5702" spans="21:21" ht="26.4">
      <c r="U5702" s="394" ph="1"/>
    </row>
    <row r="5703" spans="21:21" ht="26.4">
      <c r="U5703" s="394" ph="1"/>
    </row>
    <row r="5704" spans="21:21" ht="26.4">
      <c r="U5704" s="394" ph="1"/>
    </row>
    <row r="5705" spans="21:21" ht="26.4">
      <c r="U5705" s="394" ph="1"/>
    </row>
    <row r="5706" spans="21:21" ht="26.4">
      <c r="U5706" s="394" ph="1"/>
    </row>
    <row r="5707" spans="21:21" ht="26.4">
      <c r="U5707" s="394" ph="1"/>
    </row>
  </sheetData>
  <mergeCells count="1">
    <mergeCell ref="P1:S1"/>
  </mergeCells>
  <phoneticPr fontId="1" type="noConversion"/>
  <conditionalFormatting sqref="R2:R1048576">
    <cfRule type="cellIs" dxfId="204" priority="393" operator="between">
      <formula>200</formula>
      <formula>1</formula>
    </cfRule>
  </conditionalFormatting>
  <conditionalFormatting sqref="P2:Q1048576 S2:S1048576 P1">
    <cfRule type="cellIs" dxfId="203" priority="314" operator="between">
      <formula>100</formula>
      <formula>1</formula>
    </cfRule>
  </conditionalFormatting>
  <conditionalFormatting sqref="T1:T1048576">
    <cfRule type="cellIs" dxfId="202" priority="313" operator="between">
      <formula>100</formula>
      <formula>1</formula>
    </cfRule>
  </conditionalFormatting>
  <conditionalFormatting sqref="B1:E1048576">
    <cfRule type="cellIs" dxfId="201" priority="204" operator="lessThan">
      <formula>0</formula>
    </cfRule>
  </conditionalFormatting>
  <conditionalFormatting sqref="A17:A102 A112:A113">
    <cfRule type="expression" dxfId="200" priority="200">
      <formula>IF($F17&gt;10,$A17,"")</formula>
    </cfRule>
  </conditionalFormatting>
  <conditionalFormatting sqref="A114:A149">
    <cfRule type="expression" dxfId="199" priority="199">
      <formula>IF($F114&gt;10,$A114,"")</formula>
    </cfRule>
  </conditionalFormatting>
  <conditionalFormatting sqref="A152:A182">
    <cfRule type="expression" dxfId="198" priority="198">
      <formula>IF($F152&gt;10,$A152,"")</formula>
    </cfRule>
  </conditionalFormatting>
  <conditionalFormatting sqref="A185:A193">
    <cfRule type="expression" dxfId="197" priority="197">
      <formula>IF($F185&gt;10,$A185,"")</formula>
    </cfRule>
  </conditionalFormatting>
  <conditionalFormatting sqref="A196:A244">
    <cfRule type="expression" dxfId="196" priority="196">
      <formula>IF($F196&gt;10,$A196,"")</formula>
    </cfRule>
  </conditionalFormatting>
  <conditionalFormatting sqref="A247:A274">
    <cfRule type="expression" dxfId="195" priority="195">
      <formula>IF($F247&gt;10,$A247,"")</formula>
    </cfRule>
  </conditionalFormatting>
  <conditionalFormatting sqref="A277:A278">
    <cfRule type="expression" dxfId="194" priority="194">
      <formula>IF($F277&gt;10,$A277,"")</formula>
    </cfRule>
  </conditionalFormatting>
  <conditionalFormatting sqref="F1:F1048576">
    <cfRule type="cellIs" dxfId="193" priority="193" operator="greaterThan">
      <formula>10</formula>
    </cfRule>
  </conditionalFormatting>
  <conditionalFormatting sqref="U1:U1048576">
    <cfRule type="cellIs" dxfId="192" priority="192" operator="greaterThanOrEqual">
      <formula>3</formula>
    </cfRule>
  </conditionalFormatting>
  <conditionalFormatting sqref="W4:W102 W107:W113">
    <cfRule type="expression" dxfId="191" priority="189">
      <formula>IF($W4&lt;$U4,$W4,"")</formula>
    </cfRule>
  </conditionalFormatting>
  <conditionalFormatting sqref="W114:W149">
    <cfRule type="expression" dxfId="190" priority="188">
      <formula>IF($W114&lt;$U114,$W114,"")</formula>
    </cfRule>
  </conditionalFormatting>
  <conditionalFormatting sqref="W152:W182">
    <cfRule type="expression" dxfId="189" priority="187">
      <formula>IF($W152&lt;$U152,$W152,"")</formula>
    </cfRule>
  </conditionalFormatting>
  <conditionalFormatting sqref="W185:W193">
    <cfRule type="expression" dxfId="188" priority="186">
      <formula>IF($W185&lt;$U185,$W185,"")</formula>
    </cfRule>
  </conditionalFormatting>
  <conditionalFormatting sqref="W196:W244">
    <cfRule type="expression" dxfId="187" priority="185">
      <formula>IF($W196&lt;$U196,$W196,"")</formula>
    </cfRule>
  </conditionalFormatting>
  <conditionalFormatting sqref="W247:W274">
    <cfRule type="expression" dxfId="186" priority="184">
      <formula>IF($W247&lt;$U247,$W247,"")</formula>
    </cfRule>
  </conditionalFormatting>
  <conditionalFormatting sqref="W277:W278">
    <cfRule type="expression" dxfId="185" priority="183">
      <formula>IF($W277&lt;$U277,$W277,"")</formula>
    </cfRule>
  </conditionalFormatting>
  <conditionalFormatting sqref="A4:A16 A107:A111">
    <cfRule type="expression" dxfId="184" priority="177">
      <formula>IF($F4&gt;0,$A4,"")</formula>
    </cfRule>
  </conditionalFormatting>
  <conditionalFormatting sqref="A13:A16">
    <cfRule type="expression" dxfId="183" priority="121">
      <formula>IF($F13&gt;0,$A13,"")</formula>
    </cfRule>
  </conditionalFormatting>
  <conditionalFormatting sqref="W13:W16">
    <cfRule type="expression" dxfId="182" priority="119">
      <formula>IF($W13&lt;$U13,$W13,"")</formula>
    </cfRule>
  </conditionalFormatting>
  <conditionalFormatting sqref="A14:A16">
    <cfRule type="expression" dxfId="181" priority="113">
      <formula>IF($F14&gt;0,$A14,"")</formula>
    </cfRule>
  </conditionalFormatting>
  <conditionalFormatting sqref="W14:W16">
    <cfRule type="expression" dxfId="180" priority="111">
      <formula>IF($W14&lt;$U14,$W14,"")</formula>
    </cfRule>
  </conditionalFormatting>
  <conditionalFormatting sqref="A15:A16">
    <cfRule type="expression" dxfId="179" priority="105">
      <formula>IF($F15&gt;0,$A15,"")</formula>
    </cfRule>
  </conditionalFormatting>
  <conditionalFormatting sqref="W15:W16">
    <cfRule type="expression" dxfId="178" priority="103">
      <formula>IF($W15&lt;$U15,$W15,"")</formula>
    </cfRule>
  </conditionalFormatting>
  <conditionalFormatting sqref="A16">
    <cfRule type="expression" dxfId="177" priority="80">
      <formula>IF($F16&gt;0,$A16,"")</formula>
    </cfRule>
  </conditionalFormatting>
  <conditionalFormatting sqref="W16">
    <cfRule type="expression" dxfId="176" priority="78">
      <formula>IF($W16&lt;$U16,$W16,"")</formula>
    </cfRule>
  </conditionalFormatting>
  <conditionalFormatting sqref="A6">
    <cfRule type="expression" dxfId="175" priority="3">
      <formula>IF($F6&gt;0,$A6,"")</formula>
    </cfRule>
  </conditionalFormatting>
  <conditionalFormatting sqref="W6">
    <cfRule type="expression" dxfId="174" priority="1">
      <formula>IF($W6&lt;$U6,$W6,"")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93" r:id="rId4" name="TextBox1">
          <controlPr defaultSize="0" autoLine="0" autoPict="0" linkedCell="P1" r:id="rId5">
            <anchor moveWithCells="1">
              <from>
                <xdr:col>15</xdr:col>
                <xdr:colOff>7620</xdr:colOff>
                <xdr:row>0</xdr:row>
                <xdr:rowOff>22860</xdr:rowOff>
              </from>
              <to>
                <xdr:col>18</xdr:col>
                <xdr:colOff>335280</xdr:colOff>
                <xdr:row>0</xdr:row>
                <xdr:rowOff>228600</xdr:rowOff>
              </to>
            </anchor>
          </controlPr>
        </control>
      </mc:Choice>
      <mc:Fallback>
        <control shapeId="16393" r:id="rId4" name="TextBox1"/>
      </mc:Fallback>
    </mc:AlternateContent>
    <mc:AlternateContent xmlns:mc="http://schemas.openxmlformats.org/markup-compatibility/2006">
      <mc:Choice Requires="x14">
        <control shapeId="16385" r:id="rId6" name="Button 1">
          <controlPr defaultSize="0" print="0" autoFill="0" autoPict="0" macro="[0]!test">
            <anchor moveWithCells="1" sizeWithCells="1">
              <from>
                <xdr:col>19</xdr:col>
                <xdr:colOff>0</xdr:colOff>
                <xdr:row>0</xdr:row>
                <xdr:rowOff>7620</xdr:rowOff>
              </from>
              <to>
                <xdr:col>21</xdr:col>
                <xdr:colOff>0</xdr:colOff>
                <xdr:row>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M6129"/>
  <sheetViews>
    <sheetView workbookViewId="0">
      <selection activeCell="AK1" sqref="AK1:AK1048576"/>
    </sheetView>
  </sheetViews>
  <sheetFormatPr defaultColWidth="9.125" defaultRowHeight="16.2"/>
  <cols>
    <col min="1" max="1" width="7.75" style="94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0" width="5.75" style="1" customWidth="1"/>
    <col min="11" max="11" width="2.75" style="5" customWidth="1"/>
    <col min="12" max="12" width="3.75" style="121" customWidth="1"/>
    <col min="13" max="13" width="3.75" style="234" customWidth="1"/>
    <col min="14" max="14" width="4.75" style="234" customWidth="1"/>
    <col min="15" max="15" width="2.75" style="245" customWidth="1"/>
    <col min="16" max="16" width="6.75" style="89" customWidth="1"/>
    <col min="17" max="17" width="6.75" style="73" customWidth="1"/>
    <col min="18" max="18" width="6.75" style="354" customWidth="1"/>
    <col min="19" max="19" width="5.75" style="26" customWidth="1"/>
    <col min="20" max="20" width="7.75" style="322" customWidth="1"/>
    <col min="21" max="21" width="7.75" style="85" customWidth="1"/>
    <col min="22" max="22" width="7.75" style="311" customWidth="1"/>
    <col min="23" max="23" width="7.75" style="215" customWidth="1"/>
    <col min="24" max="24" width="9.75" style="246" customWidth="1"/>
    <col min="25" max="25" width="9.75" style="69" customWidth="1"/>
    <col min="26" max="26" width="9.75" style="58" customWidth="1"/>
    <col min="27" max="27" width="8.75" style="11" customWidth="1"/>
    <col min="28" max="28" width="6.75" style="100" customWidth="1"/>
    <col min="29" max="29" width="5.75" style="384" customWidth="1"/>
    <col min="30" max="30" width="8.75" style="9" customWidth="1"/>
    <col min="31" max="31" width="11.75" style="84" customWidth="1"/>
    <col min="32" max="32" width="11.75" style="83" customWidth="1"/>
    <col min="33" max="33" width="4.75" style="78" customWidth="1"/>
    <col min="34" max="34" width="8.75" style="245" customWidth="1"/>
    <col min="35" max="35" width="7.75" style="224" customWidth="1"/>
    <col min="36" max="36" width="7.75" style="245" customWidth="1"/>
    <col min="37" max="37" width="7.75" style="400" customWidth="1"/>
    <col min="38" max="38" width="2.75" style="279" customWidth="1"/>
    <col min="39" max="39" width="8.75" style="245" customWidth="1"/>
    <col min="40" max="16384" width="9.125" style="245"/>
  </cols>
  <sheetData>
    <row r="1" spans="1:39">
      <c r="A1" s="57" t="s">
        <v>1673</v>
      </c>
      <c r="B1" s="90" t="s">
        <v>1572</v>
      </c>
      <c r="C1" s="90" t="s">
        <v>1573</v>
      </c>
      <c r="D1" s="90" t="s">
        <v>1574</v>
      </c>
      <c r="E1" s="90" t="s">
        <v>1575</v>
      </c>
      <c r="F1" s="8" t="s">
        <v>1060</v>
      </c>
      <c r="G1" s="26" t="s">
        <v>3442</v>
      </c>
      <c r="H1" s="55" t="s">
        <v>320</v>
      </c>
      <c r="I1" s="50" t="s">
        <v>6247</v>
      </c>
      <c r="J1" s="8" t="s">
        <v>6221</v>
      </c>
      <c r="K1" s="5" t="s">
        <v>6222</v>
      </c>
      <c r="L1" s="337" t="s">
        <v>6206</v>
      </c>
      <c r="M1" s="338" t="s">
        <v>6207</v>
      </c>
      <c r="N1" s="339" t="s">
        <v>6208</v>
      </c>
      <c r="O1" s="4" t="s">
        <v>6713</v>
      </c>
      <c r="P1" s="89" t="s">
        <v>6285</v>
      </c>
      <c r="Q1" s="293" t="s">
        <v>6284</v>
      </c>
      <c r="R1" s="354" t="s">
        <v>6283</v>
      </c>
      <c r="S1" s="26" t="s">
        <v>6286</v>
      </c>
      <c r="T1" s="321" t="s">
        <v>4716</v>
      </c>
      <c r="U1" s="388" t="s">
        <v>66</v>
      </c>
      <c r="V1" s="308" t="s">
        <v>4731</v>
      </c>
      <c r="W1" s="68" t="s">
        <v>3273</v>
      </c>
      <c r="X1" s="28" t="s">
        <v>2</v>
      </c>
      <c r="Y1" s="17" t="s">
        <v>1399</v>
      </c>
      <c r="Z1" s="14" t="s">
        <v>2250</v>
      </c>
      <c r="AA1" s="21" t="s">
        <v>1470</v>
      </c>
      <c r="AB1" s="51" t="s">
        <v>6174</v>
      </c>
      <c r="AC1" s="384" t="s">
        <v>6420</v>
      </c>
      <c r="AD1" s="50" t="s">
        <v>6247</v>
      </c>
      <c r="AE1" s="71" t="s">
        <v>1400</v>
      </c>
      <c r="AF1" s="72" t="s">
        <v>1157</v>
      </c>
      <c r="AG1" s="32" t="s">
        <v>1158</v>
      </c>
      <c r="AH1" s="233" t="s">
        <v>4740</v>
      </c>
      <c r="AI1" s="8" t="s">
        <v>6731</v>
      </c>
      <c r="AJ1" s="50" t="s">
        <v>3361</v>
      </c>
      <c r="AK1" s="44" t="s">
        <v>6730</v>
      </c>
    </row>
    <row r="2" spans="1:39">
      <c r="A2" s="57"/>
      <c r="B2" s="90"/>
      <c r="C2" s="90"/>
      <c r="D2" s="90"/>
      <c r="E2" s="90"/>
      <c r="F2" s="8"/>
      <c r="G2" s="26"/>
      <c r="H2" s="55"/>
      <c r="I2" s="50"/>
      <c r="J2" s="8"/>
      <c r="L2" s="337"/>
      <c r="M2" s="338"/>
      <c r="N2" s="339"/>
      <c r="O2" s="4"/>
      <c r="Q2" s="293"/>
      <c r="T2" s="321"/>
      <c r="U2" s="388"/>
      <c r="V2" s="308"/>
      <c r="W2" s="68"/>
      <c r="X2" s="28"/>
      <c r="Y2" s="17"/>
      <c r="Z2" s="14"/>
      <c r="AA2" s="21"/>
      <c r="AB2" s="51"/>
      <c r="AD2" s="50"/>
      <c r="AE2" s="71"/>
      <c r="AF2" s="72"/>
      <c r="AG2" s="32"/>
      <c r="AH2" s="233"/>
      <c r="AI2" s="8"/>
      <c r="AJ2" s="50"/>
    </row>
    <row r="3" spans="1:39">
      <c r="A3" s="347">
        <v>18.989999999999998</v>
      </c>
      <c r="B3" s="79">
        <v>14</v>
      </c>
      <c r="C3" s="79">
        <v>23</v>
      </c>
      <c r="D3" s="79">
        <v>7</v>
      </c>
      <c r="E3" s="79">
        <v>7</v>
      </c>
      <c r="F3" s="6">
        <v>9.98</v>
      </c>
      <c r="G3" s="80">
        <v>4927</v>
      </c>
      <c r="H3" s="17" t="s">
        <v>308</v>
      </c>
      <c r="I3" s="22" t="s">
        <v>447</v>
      </c>
      <c r="J3" s="8">
        <v>6</v>
      </c>
      <c r="L3" s="156">
        <v>1</v>
      </c>
      <c r="M3" s="340">
        <v>0</v>
      </c>
      <c r="N3" s="240">
        <v>1</v>
      </c>
      <c r="O3" s="248"/>
      <c r="P3" s="365">
        <v>291</v>
      </c>
      <c r="Q3" s="79">
        <v>194</v>
      </c>
      <c r="R3" s="346">
        <v>283</v>
      </c>
      <c r="S3" s="81">
        <v>37</v>
      </c>
      <c r="T3" s="327">
        <v>51</v>
      </c>
      <c r="U3" s="186">
        <v>4</v>
      </c>
      <c r="V3" s="310">
        <f t="shared" ref="V3" si="0">$U3/$X3</f>
        <v>4.1580041580041575E-2</v>
      </c>
      <c r="W3" s="94">
        <v>7.25</v>
      </c>
      <c r="X3" s="36">
        <f>RTD("money.excel",,"4927","Price")</f>
        <v>96.2</v>
      </c>
      <c r="Y3" s="66">
        <v>97.2</v>
      </c>
      <c r="Z3" s="15">
        <f t="shared" ref="Z3" si="1">X3-Y3</f>
        <v>-1</v>
      </c>
      <c r="AA3" s="3">
        <f t="shared" ref="AA3" si="2">Z3/Y3</f>
        <v>-1.0288065843621399E-2</v>
      </c>
      <c r="AB3" s="344">
        <v>-29.57</v>
      </c>
      <c r="AC3" s="397">
        <v>41.99</v>
      </c>
      <c r="AD3" s="22" t="s">
        <v>447</v>
      </c>
      <c r="AE3" s="84">
        <v>44691</v>
      </c>
      <c r="AG3" s="33">
        <f t="shared" ref="AG3" si="3">AF3-AE3</f>
        <v>-44691</v>
      </c>
      <c r="AH3" s="43" t="s">
        <v>1044</v>
      </c>
      <c r="AI3" s="63">
        <f t="shared" ref="AI3" si="4">AJ3/(A3*10000)</f>
        <v>1.0968931016324382E-2</v>
      </c>
      <c r="AJ3" s="284">
        <f>RTD("money.excel",,$G3,"PredictVolume")</f>
        <v>2083</v>
      </c>
      <c r="AK3" s="399">
        <v>15.88</v>
      </c>
      <c r="AM3" s="239"/>
    </row>
    <row r="4" spans="1:39">
      <c r="A4" s="142">
        <v>4.4000000000000004</v>
      </c>
      <c r="B4" s="79">
        <v>194</v>
      </c>
      <c r="C4" s="79">
        <v>170</v>
      </c>
      <c r="D4" s="79">
        <v>0</v>
      </c>
      <c r="E4" s="79">
        <v>34.49</v>
      </c>
      <c r="F4" s="6">
        <v>32.71</v>
      </c>
      <c r="G4" s="80">
        <v>6485</v>
      </c>
      <c r="H4" s="18" t="s">
        <v>307</v>
      </c>
      <c r="I4" s="16" t="s">
        <v>232</v>
      </c>
      <c r="J4" s="102" t="s">
        <v>6439</v>
      </c>
      <c r="L4" s="156">
        <v>1</v>
      </c>
      <c r="M4" s="340">
        <v>0</v>
      </c>
      <c r="N4" s="240">
        <v>1</v>
      </c>
      <c r="O4" s="248"/>
      <c r="P4" s="365">
        <v>16</v>
      </c>
      <c r="Q4" s="79">
        <v>124</v>
      </c>
      <c r="R4" s="346">
        <v>805</v>
      </c>
      <c r="S4" s="81">
        <v>418</v>
      </c>
      <c r="T4" s="327">
        <v>69</v>
      </c>
      <c r="U4" s="186">
        <v>5</v>
      </c>
      <c r="V4" s="310">
        <f t="shared" ref="V4" si="5">$U4/$X4</f>
        <v>4.3290043290043288E-2</v>
      </c>
      <c r="W4" s="94">
        <v>14.29</v>
      </c>
      <c r="X4" s="36">
        <f>RTD("money.excel",,"6485","Price")</f>
        <v>115.5</v>
      </c>
      <c r="Y4" s="66">
        <v>118.5</v>
      </c>
      <c r="Z4" s="15">
        <f t="shared" ref="Z4" si="6">X4-Y4</f>
        <v>-3</v>
      </c>
      <c r="AA4" s="3">
        <f t="shared" ref="AA4" si="7">Z4/Y4</f>
        <v>-2.5316455696202531E-2</v>
      </c>
      <c r="AB4" s="344">
        <v>-37.43</v>
      </c>
      <c r="AC4" s="384">
        <v>26.12</v>
      </c>
      <c r="AD4" s="16" t="s">
        <v>232</v>
      </c>
      <c r="AE4" s="84">
        <v>44690</v>
      </c>
      <c r="AG4" s="33">
        <f t="shared" ref="AG4" si="8">AF4-AE4</f>
        <v>-44690</v>
      </c>
      <c r="AH4" s="43" t="s">
        <v>2365</v>
      </c>
      <c r="AI4" s="63">
        <f t="shared" ref="AI4" si="9">AJ4/(A4*10000)</f>
        <v>1.6409090909090908E-2</v>
      </c>
      <c r="AJ4" s="284">
        <f>RTD("money.excel",,$G4,"PredictVolume")</f>
        <v>722</v>
      </c>
      <c r="AK4" s="400">
        <v>69.739999999999995</v>
      </c>
    </row>
    <row r="5" spans="1:39">
      <c r="A5" s="94">
        <v>35.299999999999997</v>
      </c>
      <c r="B5" s="79">
        <v>60</v>
      </c>
      <c r="C5" s="79">
        <v>47</v>
      </c>
      <c r="D5" s="79">
        <v>3</v>
      </c>
      <c r="E5" s="80">
        <v>-3</v>
      </c>
      <c r="F5" s="6">
        <v>10.199999999999999</v>
      </c>
      <c r="G5" s="80">
        <v>3017</v>
      </c>
      <c r="H5" s="193" t="s">
        <v>1146</v>
      </c>
      <c r="I5" s="22" t="s">
        <v>117</v>
      </c>
      <c r="J5" s="8">
        <v>6</v>
      </c>
      <c r="L5" s="156">
        <v>1</v>
      </c>
      <c r="M5" s="340">
        <v>0</v>
      </c>
      <c r="N5" s="240">
        <v>1</v>
      </c>
      <c r="O5" s="248"/>
      <c r="P5" s="365">
        <v>482</v>
      </c>
      <c r="Q5" s="79">
        <v>384</v>
      </c>
      <c r="R5" s="346">
        <v>126</v>
      </c>
      <c r="S5" s="81">
        <v>7</v>
      </c>
      <c r="T5" s="327">
        <v>48</v>
      </c>
      <c r="U5" s="34">
        <v>4.3</v>
      </c>
      <c r="V5" s="310">
        <f t="shared" ref="V5:V9" si="10">U5/X5</f>
        <v>4.1545893719806763E-2</v>
      </c>
      <c r="W5" s="94">
        <v>8.2100000000000009</v>
      </c>
      <c r="X5" s="36">
        <f>RTD("money.excel",,"3017","Price")</f>
        <v>103.5</v>
      </c>
      <c r="Y5" s="66">
        <v>105.5</v>
      </c>
      <c r="Z5" s="15">
        <f t="shared" ref="Z5:Z9" si="11">X5-Y5</f>
        <v>-2</v>
      </c>
      <c r="AA5" s="3">
        <f t="shared" ref="AA5:AA9" si="12">Z5/Y5</f>
        <v>-1.8957345971563982E-2</v>
      </c>
      <c r="AB5" s="344">
        <v>-15.29</v>
      </c>
      <c r="AC5" s="384">
        <v>32.85</v>
      </c>
      <c r="AD5" s="22" t="s">
        <v>117</v>
      </c>
      <c r="AE5" s="84">
        <v>44687</v>
      </c>
      <c r="AG5" s="33">
        <f t="shared" ref="AG5:AG9" si="13">AF5-AE5</f>
        <v>-44687</v>
      </c>
      <c r="AH5" s="43" t="s">
        <v>2927</v>
      </c>
      <c r="AI5" s="63">
        <f t="shared" ref="AI5:AI9" si="14">AJ5/(A5*10000)</f>
        <v>2.0436260623229462E-2</v>
      </c>
      <c r="AJ5" s="284">
        <f>RTD("money.excel",,$G5,"PredictVolume")</f>
        <v>7214</v>
      </c>
      <c r="AK5" s="400">
        <v>20.69</v>
      </c>
    </row>
    <row r="6" spans="1:39">
      <c r="A6" s="254">
        <v>309</v>
      </c>
      <c r="B6" s="79">
        <v>142</v>
      </c>
      <c r="C6" s="79">
        <v>106</v>
      </c>
      <c r="D6" s="80">
        <v>-2</v>
      </c>
      <c r="E6" s="80">
        <v>-10</v>
      </c>
      <c r="F6" s="6">
        <v>31.39</v>
      </c>
      <c r="G6" s="80">
        <v>2408</v>
      </c>
      <c r="H6" s="18" t="s">
        <v>307</v>
      </c>
      <c r="I6" s="22" t="s">
        <v>209</v>
      </c>
      <c r="J6" s="102" t="s">
        <v>6435</v>
      </c>
      <c r="L6" s="156">
        <v>2</v>
      </c>
      <c r="M6" s="340">
        <v>0</v>
      </c>
      <c r="N6" s="240">
        <v>2</v>
      </c>
      <c r="O6" s="248"/>
      <c r="P6" s="365">
        <v>1127</v>
      </c>
      <c r="Q6" s="79">
        <v>274</v>
      </c>
      <c r="R6" s="346">
        <v>315</v>
      </c>
      <c r="S6" s="81">
        <v>113</v>
      </c>
      <c r="T6" s="327">
        <v>57</v>
      </c>
      <c r="U6" s="34">
        <v>3.7</v>
      </c>
      <c r="V6" s="310">
        <f t="shared" si="10"/>
        <v>5.674846625766871E-2</v>
      </c>
      <c r="W6" s="94">
        <v>8.64</v>
      </c>
      <c r="X6" s="36">
        <f>RTD("money.excel",,"2408","Price")</f>
        <v>65.2</v>
      </c>
      <c r="Y6" s="66">
        <v>65.8</v>
      </c>
      <c r="Z6" s="15">
        <f t="shared" si="11"/>
        <v>-0.59999999999999432</v>
      </c>
      <c r="AA6" s="3">
        <f t="shared" si="12"/>
        <v>-9.118541033434565E-3</v>
      </c>
      <c r="AB6" s="344">
        <v>-20.8</v>
      </c>
      <c r="AC6" s="384">
        <v>20.36</v>
      </c>
      <c r="AD6" s="22" t="s">
        <v>209</v>
      </c>
      <c r="AE6" s="84">
        <v>44687</v>
      </c>
      <c r="AG6" s="33">
        <f t="shared" si="13"/>
        <v>-44687</v>
      </c>
      <c r="AH6" s="117" t="s">
        <v>2558</v>
      </c>
      <c r="AI6" s="63">
        <f t="shared" si="14"/>
        <v>2.5928802588996765E-3</v>
      </c>
      <c r="AJ6" s="284">
        <f>RTD("money.excel",,$G6,"PredictVolume")</f>
        <v>8012</v>
      </c>
      <c r="AK6" s="400">
        <v>2.1</v>
      </c>
    </row>
    <row r="7" spans="1:39">
      <c r="A7" s="94">
        <v>10.7</v>
      </c>
      <c r="B7" s="79">
        <v>170</v>
      </c>
      <c r="C7" s="79">
        <v>170</v>
      </c>
      <c r="D7" s="79">
        <v>43</v>
      </c>
      <c r="E7" s="79">
        <v>62</v>
      </c>
      <c r="F7" s="6">
        <v>7.96</v>
      </c>
      <c r="G7" s="80">
        <v>4739</v>
      </c>
      <c r="H7" s="5" t="s">
        <v>3578</v>
      </c>
      <c r="I7" s="22" t="s">
        <v>171</v>
      </c>
      <c r="J7" s="8">
        <v>4</v>
      </c>
      <c r="L7" s="156">
        <v>1</v>
      </c>
      <c r="M7" s="340">
        <v>0</v>
      </c>
      <c r="N7" s="240">
        <v>1</v>
      </c>
      <c r="O7" s="248"/>
      <c r="P7" s="365">
        <v>66</v>
      </c>
      <c r="Q7" s="79" t="s">
        <v>6289</v>
      </c>
      <c r="R7" s="346">
        <v>978</v>
      </c>
      <c r="S7" s="81">
        <v>110</v>
      </c>
      <c r="T7" s="327">
        <v>78</v>
      </c>
      <c r="U7" s="34">
        <v>3</v>
      </c>
      <c r="V7" s="310">
        <f t="shared" si="10"/>
        <v>2.3715415019762844E-2</v>
      </c>
      <c r="W7" s="94">
        <v>4.7</v>
      </c>
      <c r="X7" s="36">
        <f>RTD("money.excel",,"4739","Price")</f>
        <v>126.5</v>
      </c>
      <c r="Y7" s="66">
        <v>131.5</v>
      </c>
      <c r="Z7" s="15">
        <f t="shared" si="11"/>
        <v>-5</v>
      </c>
      <c r="AA7" s="3">
        <f t="shared" si="12"/>
        <v>-3.8022813688212927E-2</v>
      </c>
      <c r="AB7" s="344">
        <v>-22.95</v>
      </c>
      <c r="AC7" s="384">
        <v>29.06</v>
      </c>
      <c r="AD7" s="22" t="s">
        <v>171</v>
      </c>
      <c r="AE7" s="84">
        <v>44687</v>
      </c>
      <c r="AG7" s="33">
        <f t="shared" si="13"/>
        <v>-44687</v>
      </c>
      <c r="AH7" s="117" t="s">
        <v>2290</v>
      </c>
      <c r="AI7" s="63">
        <f t="shared" si="14"/>
        <v>1.5757009345794392E-2</v>
      </c>
      <c r="AJ7" s="284">
        <f>RTD("money.excel",,$G7,"PredictVolume")</f>
        <v>1686</v>
      </c>
      <c r="AK7" s="400">
        <v>55.56</v>
      </c>
    </row>
    <row r="8" spans="1:39">
      <c r="A8" s="94">
        <v>19</v>
      </c>
      <c r="B8" s="80">
        <v>-31</v>
      </c>
      <c r="C8" s="80">
        <v>-32</v>
      </c>
      <c r="D8" s="79">
        <v>10</v>
      </c>
      <c r="E8" s="80">
        <v>-20</v>
      </c>
      <c r="F8" s="6">
        <v>12.26</v>
      </c>
      <c r="G8" s="80">
        <v>2404</v>
      </c>
      <c r="H8" s="5" t="s">
        <v>314</v>
      </c>
      <c r="I8" s="22" t="s">
        <v>494</v>
      </c>
      <c r="J8" s="102" t="s">
        <v>6439</v>
      </c>
      <c r="L8" s="156">
        <v>1</v>
      </c>
      <c r="M8" s="340">
        <v>0</v>
      </c>
      <c r="N8" s="240">
        <v>1</v>
      </c>
      <c r="P8" s="365">
        <v>941</v>
      </c>
      <c r="Q8" s="79">
        <v>22</v>
      </c>
      <c r="R8" s="346">
        <v>244</v>
      </c>
      <c r="S8" s="81">
        <v>136</v>
      </c>
      <c r="T8" s="327">
        <v>80</v>
      </c>
      <c r="U8" s="34">
        <v>13</v>
      </c>
      <c r="V8" s="310">
        <f t="shared" si="10"/>
        <v>7.407407407407407E-2</v>
      </c>
      <c r="W8" s="94">
        <v>14.53</v>
      </c>
      <c r="X8" s="36">
        <f>RTD("money.excel",,"2404","Price")</f>
        <v>175.5</v>
      </c>
      <c r="Y8" s="66">
        <v>178</v>
      </c>
      <c r="Z8" s="15">
        <f t="shared" si="11"/>
        <v>-2.5</v>
      </c>
      <c r="AA8" s="3">
        <f t="shared" si="12"/>
        <v>-1.4044943820224719E-2</v>
      </c>
      <c r="AB8" s="344">
        <v>-25.67</v>
      </c>
      <c r="AC8" s="384">
        <v>41.13</v>
      </c>
      <c r="AD8" s="22" t="s">
        <v>494</v>
      </c>
      <c r="AE8" s="84">
        <v>44687</v>
      </c>
      <c r="AG8" s="33">
        <f t="shared" si="13"/>
        <v>-44687</v>
      </c>
      <c r="AH8" s="43" t="s">
        <v>1445</v>
      </c>
      <c r="AI8" s="63">
        <f t="shared" si="14"/>
        <v>1.7105263157894738E-3</v>
      </c>
      <c r="AJ8" s="284">
        <f>RTD("money.excel",,$G8,"PredictVolume")</f>
        <v>325</v>
      </c>
      <c r="AK8" s="400">
        <v>4.53</v>
      </c>
    </row>
    <row r="9" spans="1:39">
      <c r="A9" s="94">
        <v>17.8</v>
      </c>
      <c r="B9" s="79">
        <v>120</v>
      </c>
      <c r="C9" s="79">
        <v>264</v>
      </c>
      <c r="D9" s="80">
        <v>-28</v>
      </c>
      <c r="E9" s="80">
        <v>-13</v>
      </c>
      <c r="F9" s="6">
        <v>12.77</v>
      </c>
      <c r="G9" s="80">
        <v>2436</v>
      </c>
      <c r="H9" s="18" t="s">
        <v>307</v>
      </c>
      <c r="I9" s="22" t="s">
        <v>112</v>
      </c>
      <c r="J9" s="102" t="s">
        <v>6439</v>
      </c>
      <c r="L9" s="156">
        <v>1</v>
      </c>
      <c r="M9" s="340">
        <v>0</v>
      </c>
      <c r="N9" s="240">
        <v>1</v>
      </c>
      <c r="P9" s="365">
        <v>53</v>
      </c>
      <c r="Q9" s="79">
        <v>378</v>
      </c>
      <c r="R9" s="346">
        <v>764</v>
      </c>
      <c r="S9" s="81">
        <v>345</v>
      </c>
      <c r="T9" s="327">
        <v>97</v>
      </c>
      <c r="U9" s="34">
        <v>3</v>
      </c>
      <c r="V9" s="310">
        <f t="shared" si="10"/>
        <v>4.4910179640718563E-2</v>
      </c>
      <c r="W9" s="94">
        <v>3.94</v>
      </c>
      <c r="X9" s="36">
        <f>RTD("money.excel",,"2436","Price")</f>
        <v>66.8</v>
      </c>
      <c r="Y9" s="66">
        <v>66.2</v>
      </c>
      <c r="Z9" s="15">
        <f t="shared" si="11"/>
        <v>0.59999999999999432</v>
      </c>
      <c r="AA9" s="3">
        <f t="shared" si="12"/>
        <v>9.0634441087612434E-3</v>
      </c>
      <c r="AB9" s="344">
        <v>-37.49</v>
      </c>
      <c r="AC9" s="384">
        <v>21.34</v>
      </c>
      <c r="AD9" s="22" t="s">
        <v>112</v>
      </c>
      <c r="AE9" s="84">
        <v>44687</v>
      </c>
      <c r="AG9" s="33">
        <f t="shared" si="13"/>
        <v>-44687</v>
      </c>
      <c r="AH9" s="43" t="s">
        <v>2194</v>
      </c>
      <c r="AI9" s="63">
        <f t="shared" si="14"/>
        <v>1.4623595505617978E-2</v>
      </c>
      <c r="AJ9" s="284">
        <f>RTD("money.excel",,$G9,"PredictVolume")</f>
        <v>2603</v>
      </c>
      <c r="AK9" s="400">
        <v>49.59</v>
      </c>
    </row>
    <row r="10" spans="1:39">
      <c r="A10" s="94">
        <v>56.8</v>
      </c>
      <c r="B10" s="79">
        <v>25</v>
      </c>
      <c r="C10" s="79">
        <v>22</v>
      </c>
      <c r="D10" s="79">
        <v>23</v>
      </c>
      <c r="E10" s="79">
        <v>6</v>
      </c>
      <c r="F10" s="6">
        <v>29.03</v>
      </c>
      <c r="G10" s="80">
        <v>2441</v>
      </c>
      <c r="H10" s="18" t="s">
        <v>3039</v>
      </c>
      <c r="I10" s="22" t="s">
        <v>275</v>
      </c>
      <c r="J10" s="102" t="s">
        <v>6422</v>
      </c>
      <c r="L10" s="156">
        <v>2</v>
      </c>
      <c r="M10" s="340">
        <v>0</v>
      </c>
      <c r="N10" s="240">
        <v>2</v>
      </c>
      <c r="O10" s="4"/>
      <c r="P10" s="365">
        <v>1171</v>
      </c>
      <c r="Q10" s="79">
        <v>53</v>
      </c>
      <c r="R10" s="346">
        <v>369</v>
      </c>
      <c r="S10" s="81">
        <v>57</v>
      </c>
      <c r="T10" s="327">
        <v>34</v>
      </c>
      <c r="U10" s="34">
        <v>5</v>
      </c>
      <c r="V10" s="310">
        <f t="shared" ref="V10" si="15">U10/X10</f>
        <v>7.0521861777150904E-2</v>
      </c>
      <c r="W10" s="94">
        <v>8.51</v>
      </c>
      <c r="X10" s="36">
        <f>RTD("money.excel",,"2441","Price")</f>
        <v>70.900000000000006</v>
      </c>
      <c r="Y10" s="66">
        <v>71.3</v>
      </c>
      <c r="Z10" s="15">
        <f t="shared" ref="Z10" si="16">X10-Y10</f>
        <v>-0.39999999999999147</v>
      </c>
      <c r="AA10" s="3">
        <f t="shared" ref="AA10" si="17">Z10/Y10</f>
        <v>-5.6100981767179736E-3</v>
      </c>
      <c r="AB10" s="344">
        <v>-29.15</v>
      </c>
      <c r="AC10" s="384">
        <v>30.68</v>
      </c>
      <c r="AD10" s="22" t="s">
        <v>275</v>
      </c>
      <c r="AE10" s="84">
        <v>44686</v>
      </c>
      <c r="AG10" s="33">
        <f t="shared" ref="AG10" si="18">AF10-AE10</f>
        <v>-44686</v>
      </c>
      <c r="AH10" s="117" t="s">
        <v>3020</v>
      </c>
      <c r="AI10" s="63">
        <f t="shared" ref="AI10" si="19">AJ10/(A10*10000)</f>
        <v>1.0915492957746479E-3</v>
      </c>
      <c r="AJ10" s="284">
        <f>RTD("money.excel",,$G10,"PredictVolume")</f>
        <v>620</v>
      </c>
      <c r="AK10" s="400">
        <v>5.31</v>
      </c>
    </row>
    <row r="11" spans="1:39">
      <c r="A11" s="94">
        <v>24.1</v>
      </c>
      <c r="B11" s="79">
        <v>28</v>
      </c>
      <c r="C11" s="79">
        <v>26</v>
      </c>
      <c r="D11" s="80">
        <v>-1</v>
      </c>
      <c r="E11" s="80">
        <v>-2</v>
      </c>
      <c r="F11" s="6">
        <v>11.69</v>
      </c>
      <c r="G11" s="80">
        <v>1477</v>
      </c>
      <c r="H11" s="8" t="s">
        <v>294</v>
      </c>
      <c r="I11" s="22" t="s">
        <v>3590</v>
      </c>
      <c r="J11" s="102" t="s">
        <v>3545</v>
      </c>
      <c r="L11" s="156">
        <v>1</v>
      </c>
      <c r="M11" s="340">
        <v>0</v>
      </c>
      <c r="N11" s="240">
        <f t="shared" ref="N11" si="20">L11-M11</f>
        <v>1</v>
      </c>
      <c r="P11" s="365">
        <v>1085</v>
      </c>
      <c r="Q11" s="79">
        <v>181</v>
      </c>
      <c r="R11" s="346">
        <v>237</v>
      </c>
      <c r="S11" s="81">
        <v>107</v>
      </c>
      <c r="T11" s="327">
        <v>538</v>
      </c>
      <c r="U11" s="34">
        <v>9.5</v>
      </c>
      <c r="V11" s="310">
        <f t="shared" ref="V11" si="21">U11/X11</f>
        <v>5.9374999999999997E-2</v>
      </c>
      <c r="W11" s="94">
        <v>11.25</v>
      </c>
      <c r="X11" s="36">
        <f>RTD("money.excel",,"1477","Price")</f>
        <v>160</v>
      </c>
      <c r="Y11" s="66">
        <v>185</v>
      </c>
      <c r="Z11" s="15">
        <f t="shared" ref="Z11" si="22">X11-Y11</f>
        <v>-25</v>
      </c>
      <c r="AA11" s="3">
        <f t="shared" ref="AA11" si="23">Z11/Y11</f>
        <v>-0.13513513513513514</v>
      </c>
      <c r="AB11" s="344">
        <v>-36.68</v>
      </c>
      <c r="AC11" s="384">
        <v>21.16</v>
      </c>
      <c r="AD11" s="22" t="s">
        <v>3590</v>
      </c>
      <c r="AE11" s="84">
        <v>44684</v>
      </c>
      <c r="AG11" s="33">
        <f t="shared" ref="AG11" si="24">AF11-AE11</f>
        <v>-44684</v>
      </c>
      <c r="AH11" s="117" t="s">
        <v>3333</v>
      </c>
      <c r="AI11" s="63">
        <f>AJ11/(A11*10000)</f>
        <v>1.2879668049792532E-2</v>
      </c>
      <c r="AJ11" s="284">
        <f>RTD("money.excel",,$G11,"PredictVolume")</f>
        <v>3104</v>
      </c>
      <c r="AK11" s="400">
        <v>3.53</v>
      </c>
    </row>
    <row r="12" spans="1:39">
      <c r="A12" s="94">
        <v>30.3</v>
      </c>
      <c r="B12" s="79">
        <v>57</v>
      </c>
      <c r="C12" s="79">
        <v>34</v>
      </c>
      <c r="D12" s="79">
        <v>47</v>
      </c>
      <c r="E12" s="80">
        <v>-3</v>
      </c>
      <c r="F12" s="6">
        <v>30.91</v>
      </c>
      <c r="G12" s="80">
        <v>2458</v>
      </c>
      <c r="H12" s="5" t="s">
        <v>3039</v>
      </c>
      <c r="I12" s="22" t="s">
        <v>57</v>
      </c>
      <c r="J12" s="102" t="s">
        <v>6249</v>
      </c>
      <c r="L12" s="156">
        <v>2</v>
      </c>
      <c r="M12" s="340">
        <v>0</v>
      </c>
      <c r="N12" s="240">
        <f t="shared" ref="N12" si="25">L12-M12</f>
        <v>2</v>
      </c>
      <c r="P12" s="365">
        <v>752</v>
      </c>
      <c r="Q12" s="79">
        <v>14</v>
      </c>
      <c r="R12" s="346">
        <v>270</v>
      </c>
      <c r="S12" s="81">
        <v>31</v>
      </c>
      <c r="T12" s="327">
        <v>48</v>
      </c>
      <c r="U12" s="34">
        <v>13.5</v>
      </c>
      <c r="V12" s="310">
        <f t="shared" ref="V12" si="26">U12/X12</f>
        <v>9.6428571428571433E-2</v>
      </c>
      <c r="W12" s="94">
        <v>17.57</v>
      </c>
      <c r="X12" s="36">
        <f>RTD("money.excel",,"2458","Price")</f>
        <v>140</v>
      </c>
      <c r="Y12" s="66">
        <v>152.5</v>
      </c>
      <c r="Z12" s="15">
        <f t="shared" ref="Z12" si="27">X12-Y12</f>
        <v>-12.5</v>
      </c>
      <c r="AA12" s="3">
        <f t="shared" ref="AA12" si="28">Z12/Y12</f>
        <v>-8.1967213114754092E-2</v>
      </c>
      <c r="AB12" s="344">
        <v>-30.47</v>
      </c>
      <c r="AC12" s="384">
        <v>22.27</v>
      </c>
      <c r="AD12" s="22" t="s">
        <v>57</v>
      </c>
      <c r="AE12" s="84">
        <v>44680</v>
      </c>
      <c r="AG12" s="33">
        <f t="shared" ref="AG12" si="29">AF12-AE12</f>
        <v>-44680</v>
      </c>
      <c r="AH12" s="117" t="s">
        <v>2344</v>
      </c>
      <c r="AI12" s="63">
        <f t="shared" ref="AI12:AI19" si="30">AJ12/(A12*10000)</f>
        <v>4.2376237623762379E-3</v>
      </c>
      <c r="AJ12" s="284">
        <f>RTD("money.excel",,$G12,"PredictVolume")</f>
        <v>1284</v>
      </c>
      <c r="AK12" s="400">
        <v>13.7</v>
      </c>
    </row>
    <row r="13" spans="1:39">
      <c r="A13" s="94">
        <v>18.399999999999999</v>
      </c>
      <c r="B13" s="79">
        <v>60</v>
      </c>
      <c r="C13" s="79">
        <v>53</v>
      </c>
      <c r="D13" s="79">
        <v>9</v>
      </c>
      <c r="E13" s="80">
        <v>-16</v>
      </c>
      <c r="F13" s="6">
        <v>29.28</v>
      </c>
      <c r="G13" s="80">
        <v>2455</v>
      </c>
      <c r="H13" s="236" t="s">
        <v>4315</v>
      </c>
      <c r="I13" s="22" t="s">
        <v>4333</v>
      </c>
      <c r="J13" s="8" t="s">
        <v>6245</v>
      </c>
      <c r="L13" s="156">
        <v>2</v>
      </c>
      <c r="M13" s="340">
        <v>0</v>
      </c>
      <c r="N13" s="240">
        <f t="shared" ref="N13" si="31">L13-M13</f>
        <v>2</v>
      </c>
      <c r="P13" s="365">
        <v>182</v>
      </c>
      <c r="Q13" s="79">
        <v>82</v>
      </c>
      <c r="R13" s="346">
        <v>191</v>
      </c>
      <c r="S13" s="81">
        <v>209</v>
      </c>
      <c r="T13" s="327">
        <v>76</v>
      </c>
      <c r="U13" s="34">
        <v>4</v>
      </c>
      <c r="V13" s="310">
        <f t="shared" ref="V13" si="32">U13/X13</f>
        <v>4.5146726862302484E-2</v>
      </c>
      <c r="W13" s="94">
        <v>4.62</v>
      </c>
      <c r="X13" s="36">
        <f>RTD("money.excel",,"2455","Price")</f>
        <v>88.6</v>
      </c>
      <c r="Y13" s="66">
        <v>94.8</v>
      </c>
      <c r="Z13" s="15">
        <f t="shared" ref="Z13" si="33">X13-Y13</f>
        <v>-6.2000000000000028</v>
      </c>
      <c r="AA13" s="3">
        <f t="shared" ref="AA13" si="34">Z13/Y13</f>
        <v>-6.5400843881856574E-2</v>
      </c>
      <c r="AB13" s="344">
        <v>-40.43</v>
      </c>
      <c r="AC13" s="384">
        <v>13.61</v>
      </c>
      <c r="AD13" s="22" t="s">
        <v>4333</v>
      </c>
      <c r="AE13" s="84">
        <v>44676</v>
      </c>
      <c r="AG13" s="33">
        <f t="shared" ref="AG13" si="35">AF13-AE13</f>
        <v>-44676</v>
      </c>
      <c r="AH13" s="117" t="s">
        <v>2325</v>
      </c>
      <c r="AI13" s="63">
        <f t="shared" si="30"/>
        <v>7.2934782608695655E-3</v>
      </c>
      <c r="AJ13" s="284">
        <f>RTD("money.excel",,$G13,"PredictVolume")</f>
        <v>1342</v>
      </c>
      <c r="AK13" s="400">
        <v>10.119999999999999</v>
      </c>
    </row>
    <row r="14" spans="1:39">
      <c r="A14" s="94">
        <v>28.6</v>
      </c>
      <c r="B14" s="79">
        <v>364</v>
      </c>
      <c r="C14" s="79">
        <v>408</v>
      </c>
      <c r="D14" s="79">
        <v>16</v>
      </c>
      <c r="E14" s="80">
        <v>-4</v>
      </c>
      <c r="F14" s="6">
        <v>24.64</v>
      </c>
      <c r="G14" s="80">
        <v>3006</v>
      </c>
      <c r="H14" s="5" t="s">
        <v>3039</v>
      </c>
      <c r="I14" s="22" t="s">
        <v>95</v>
      </c>
      <c r="J14" s="8" t="s">
        <v>3545</v>
      </c>
      <c r="L14" s="156">
        <v>1</v>
      </c>
      <c r="M14" s="340">
        <v>0</v>
      </c>
      <c r="N14" s="240">
        <f t="shared" ref="N14:N15" si="36">L14-M14</f>
        <v>1</v>
      </c>
      <c r="P14" s="365">
        <v>26</v>
      </c>
      <c r="Q14" s="79">
        <v>1054</v>
      </c>
      <c r="R14" s="346">
        <v>380</v>
      </c>
      <c r="S14" s="81">
        <v>172</v>
      </c>
      <c r="T14" s="327">
        <v>90</v>
      </c>
      <c r="U14" s="34">
        <v>8</v>
      </c>
      <c r="V14" s="310">
        <f t="shared" ref="V14:V15" si="37">U14/X14</f>
        <v>6.8376068376068383E-2</v>
      </c>
      <c r="W14" s="94">
        <v>17.760000000000002</v>
      </c>
      <c r="X14" s="36">
        <f>RTD("money.excel",,"3006","Price")</f>
        <v>117</v>
      </c>
      <c r="Y14" s="66">
        <v>129</v>
      </c>
      <c r="Z14" s="15">
        <f t="shared" ref="Z14:Z15" si="38">X14-Y14</f>
        <v>-12</v>
      </c>
      <c r="AA14" s="3">
        <f t="shared" ref="AA14:AA15" si="39">Z14/Y14</f>
        <v>-9.3023255813953487E-2</v>
      </c>
      <c r="AB14" s="344">
        <v>-37.56</v>
      </c>
      <c r="AC14" s="384">
        <v>28.49</v>
      </c>
      <c r="AD14" s="22" t="s">
        <v>95</v>
      </c>
      <c r="AE14" s="84">
        <v>44673</v>
      </c>
      <c r="AG14" s="33">
        <f t="shared" ref="AG14:AG15" si="40">AF14-AE14</f>
        <v>-44673</v>
      </c>
      <c r="AH14" s="117" t="s">
        <v>2129</v>
      </c>
      <c r="AI14" s="63">
        <f t="shared" si="30"/>
        <v>2.7087412587412589E-2</v>
      </c>
      <c r="AJ14" s="284">
        <f>RTD("money.excel",,$G14,"PredictVolume")</f>
        <v>7747</v>
      </c>
      <c r="AK14" s="400">
        <v>38.299999999999997</v>
      </c>
    </row>
    <row r="15" spans="1:39">
      <c r="A15" s="94">
        <v>6.22</v>
      </c>
      <c r="B15" s="79">
        <v>80</v>
      </c>
      <c r="C15" s="79">
        <v>24</v>
      </c>
      <c r="D15" s="79">
        <v>60</v>
      </c>
      <c r="E15" s="79">
        <v>29</v>
      </c>
      <c r="F15" s="6">
        <v>12.59</v>
      </c>
      <c r="G15" s="79">
        <v>3491</v>
      </c>
      <c r="H15" s="5" t="s">
        <v>4315</v>
      </c>
      <c r="I15" s="16" t="s">
        <v>4368</v>
      </c>
      <c r="J15" s="8" t="s">
        <v>3543</v>
      </c>
      <c r="L15" s="156">
        <v>1</v>
      </c>
      <c r="M15" s="340">
        <v>0</v>
      </c>
      <c r="N15" s="240">
        <f t="shared" si="36"/>
        <v>1</v>
      </c>
      <c r="O15" s="248"/>
      <c r="P15" s="365">
        <v>104</v>
      </c>
      <c r="Q15" s="79">
        <v>224</v>
      </c>
      <c r="R15" s="346">
        <v>419</v>
      </c>
      <c r="S15" s="81">
        <v>96</v>
      </c>
      <c r="T15" s="327">
        <v>52</v>
      </c>
      <c r="U15" s="34">
        <v>4</v>
      </c>
      <c r="V15" s="310">
        <f t="shared" si="37"/>
        <v>2.9629629629629631E-2</v>
      </c>
      <c r="W15" s="94">
        <v>3.81</v>
      </c>
      <c r="X15" s="36">
        <f>RTD("money.excel",,"3491","Price")</f>
        <v>135</v>
      </c>
      <c r="Y15" s="66">
        <v>169.5</v>
      </c>
      <c r="Z15" s="15">
        <f t="shared" si="38"/>
        <v>-34.5</v>
      </c>
      <c r="AA15" s="3">
        <f t="shared" si="39"/>
        <v>-0.20353982300884957</v>
      </c>
      <c r="AB15" s="344">
        <v>-24.24</v>
      </c>
      <c r="AC15" s="384">
        <v>58.58</v>
      </c>
      <c r="AD15" s="16" t="s">
        <v>4368</v>
      </c>
      <c r="AE15" s="84">
        <v>44673</v>
      </c>
      <c r="AG15" s="33">
        <f t="shared" si="40"/>
        <v>-44673</v>
      </c>
      <c r="AH15" s="117" t="s">
        <v>4369</v>
      </c>
      <c r="AI15" s="63">
        <f t="shared" si="30"/>
        <v>2.6543408360128619E-2</v>
      </c>
      <c r="AJ15" s="284">
        <f>RTD("money.excel",,$G15,"PredictVolume")</f>
        <v>1651</v>
      </c>
      <c r="AK15" s="400">
        <v>37.909999999999997</v>
      </c>
    </row>
    <row r="16" spans="1:39">
      <c r="A16" s="94">
        <v>8.07</v>
      </c>
      <c r="B16" s="79">
        <v>146</v>
      </c>
      <c r="C16" s="79">
        <v>356</v>
      </c>
      <c r="D16" s="79">
        <v>5</v>
      </c>
      <c r="E16" s="79">
        <v>2</v>
      </c>
      <c r="F16" s="6">
        <v>35.82</v>
      </c>
      <c r="G16" s="80">
        <v>6531</v>
      </c>
      <c r="H16" s="5" t="s">
        <v>3039</v>
      </c>
      <c r="I16" s="22" t="s">
        <v>354</v>
      </c>
      <c r="J16" s="102" t="s">
        <v>6242</v>
      </c>
      <c r="L16" s="156">
        <v>2</v>
      </c>
      <c r="M16" s="340">
        <v>0</v>
      </c>
      <c r="N16" s="240">
        <f t="shared" ref="N16" si="41">L16-M16</f>
        <v>2</v>
      </c>
      <c r="P16" s="365">
        <v>120</v>
      </c>
      <c r="Q16" s="79">
        <v>337</v>
      </c>
      <c r="R16" s="346">
        <v>335</v>
      </c>
      <c r="S16" s="81">
        <v>278</v>
      </c>
      <c r="T16" s="327">
        <v>84</v>
      </c>
      <c r="U16" s="34">
        <v>6</v>
      </c>
      <c r="V16" s="310">
        <f t="shared" ref="V16" si="42">U16/X16</f>
        <v>2.3300970873786409E-2</v>
      </c>
      <c r="W16" s="94">
        <v>10.94</v>
      </c>
      <c r="X16" s="36">
        <f>RTD("money.excel",,"6531","Price")</f>
        <v>257.5</v>
      </c>
      <c r="Y16" s="66">
        <v>278</v>
      </c>
      <c r="Z16" s="15">
        <f t="shared" ref="Z16" si="43">X16-Y16</f>
        <v>-20.5</v>
      </c>
      <c r="AA16" s="3">
        <f t="shared" ref="AA16" si="44">Z16/Y16</f>
        <v>-7.3741007194244604E-2</v>
      </c>
      <c r="AB16" s="344">
        <v>-65.66</v>
      </c>
      <c r="AC16" s="384">
        <v>8.51</v>
      </c>
      <c r="AD16" s="22" t="s">
        <v>354</v>
      </c>
      <c r="AE16" s="84">
        <v>44672</v>
      </c>
      <c r="AG16" s="33">
        <f t="shared" ref="AG16" si="45">AF16-AE16</f>
        <v>-44672</v>
      </c>
      <c r="AH16" s="43" t="s">
        <v>2129</v>
      </c>
      <c r="AI16" s="63">
        <f t="shared" si="30"/>
        <v>3.4423791821561335E-2</v>
      </c>
      <c r="AJ16" s="284">
        <f>RTD("money.excel",,$G16,"PredictVolume")</f>
        <v>2778</v>
      </c>
      <c r="AK16" s="400">
        <v>30.22</v>
      </c>
    </row>
    <row r="17" spans="1:37">
      <c r="A17" s="94">
        <v>46.5</v>
      </c>
      <c r="B17" s="80">
        <v>-1</v>
      </c>
      <c r="C17" s="80">
        <v>-5</v>
      </c>
      <c r="D17" s="79">
        <v>40</v>
      </c>
      <c r="E17" s="79">
        <v>15</v>
      </c>
      <c r="F17" s="6">
        <v>13.29</v>
      </c>
      <c r="G17" s="79">
        <v>6176</v>
      </c>
      <c r="H17" s="192" t="s">
        <v>1878</v>
      </c>
      <c r="I17" s="22" t="s">
        <v>4272</v>
      </c>
      <c r="J17" s="102" t="s">
        <v>6233</v>
      </c>
      <c r="L17" s="156">
        <v>2</v>
      </c>
      <c r="M17" s="340">
        <v>0</v>
      </c>
      <c r="N17" s="240">
        <f t="shared" ref="N17" si="46">L17-M17</f>
        <v>2</v>
      </c>
      <c r="P17" s="365">
        <v>1072</v>
      </c>
      <c r="Q17" s="79">
        <v>4</v>
      </c>
      <c r="R17" s="346">
        <v>176</v>
      </c>
      <c r="S17" s="81">
        <v>32</v>
      </c>
      <c r="T17" s="327">
        <v>62</v>
      </c>
      <c r="U17" s="34">
        <v>8</v>
      </c>
      <c r="V17" s="310">
        <f t="shared" ref="V17" si="47">U17/X17</f>
        <v>0.08</v>
      </c>
      <c r="W17" s="94">
        <v>11.16</v>
      </c>
      <c r="X17" s="36">
        <f>RTD("money.excel",,"6176","Price")</f>
        <v>100</v>
      </c>
      <c r="Y17" s="66">
        <v>106</v>
      </c>
      <c r="Z17" s="15">
        <f t="shared" ref="Z17" si="48">X17-Y17</f>
        <v>-6</v>
      </c>
      <c r="AA17" s="3">
        <f t="shared" ref="AA17" si="49">Z17/Y17</f>
        <v>-5.6603773584905662E-2</v>
      </c>
      <c r="AB17" s="344">
        <v>-19.54</v>
      </c>
      <c r="AC17" s="384">
        <v>71.39</v>
      </c>
      <c r="AD17" s="22" t="s">
        <v>4272</v>
      </c>
      <c r="AE17" s="84">
        <v>44671</v>
      </c>
      <c r="AG17" s="33">
        <f t="shared" ref="AG17" si="50">AF17-AE17</f>
        <v>-44671</v>
      </c>
      <c r="AH17" s="117" t="s">
        <v>4195</v>
      </c>
      <c r="AI17" s="63">
        <f t="shared" si="30"/>
        <v>3.7655913978494626E-3</v>
      </c>
      <c r="AJ17" s="284">
        <f>RTD("money.excel",,$G17,"PredictVolume")</f>
        <v>1751</v>
      </c>
      <c r="AK17" s="400">
        <v>3.84</v>
      </c>
    </row>
    <row r="18" spans="1:37">
      <c r="A18" s="94">
        <v>24.8</v>
      </c>
      <c r="B18" s="80">
        <v>-15</v>
      </c>
      <c r="C18" s="79">
        <v>19</v>
      </c>
      <c r="D18" s="79">
        <v>39</v>
      </c>
      <c r="E18" s="79">
        <v>13</v>
      </c>
      <c r="F18" s="6">
        <v>25.15</v>
      </c>
      <c r="G18" s="79">
        <v>4105</v>
      </c>
      <c r="H18" s="8" t="s">
        <v>309</v>
      </c>
      <c r="I18" s="16" t="s">
        <v>3721</v>
      </c>
      <c r="J18" s="50" t="s">
        <v>6214</v>
      </c>
      <c r="L18" s="156">
        <v>3</v>
      </c>
      <c r="M18" s="340">
        <v>0</v>
      </c>
      <c r="N18" s="240">
        <f t="shared" ref="N18" si="51">L18-M18</f>
        <v>3</v>
      </c>
      <c r="O18" s="248"/>
      <c r="P18" s="365">
        <v>866</v>
      </c>
      <c r="Q18" s="79">
        <v>541</v>
      </c>
      <c r="R18" s="346">
        <v>361</v>
      </c>
      <c r="S18" s="81">
        <v>180</v>
      </c>
      <c r="T18" s="327">
        <v>638</v>
      </c>
      <c r="U18" s="34">
        <v>3</v>
      </c>
      <c r="V18" s="310">
        <f t="shared" ref="V18" si="52">U18/X18</f>
        <v>4.405286343612335E-2</v>
      </c>
      <c r="W18" s="94">
        <v>3.35</v>
      </c>
      <c r="X18" s="36">
        <f>RTD("money.excel",,"4105","Price")</f>
        <v>68.099999999999994</v>
      </c>
      <c r="Y18" s="66">
        <v>76.8</v>
      </c>
      <c r="Z18" s="15">
        <f t="shared" ref="Z18" si="53">X18-Y18</f>
        <v>-8.7000000000000028</v>
      </c>
      <c r="AA18" s="3">
        <f t="shared" ref="AA18" si="54">Z18/Y18</f>
        <v>-0.11328125000000004</v>
      </c>
      <c r="AB18" s="344">
        <v>-19.43</v>
      </c>
      <c r="AC18" s="384">
        <v>73.37</v>
      </c>
      <c r="AD18" s="16" t="s">
        <v>3721</v>
      </c>
      <c r="AE18" s="84">
        <v>45401</v>
      </c>
      <c r="AG18" s="33">
        <f t="shared" ref="AG18" si="55">AF18-AE18</f>
        <v>-45401</v>
      </c>
      <c r="AH18" s="117" t="s">
        <v>3722</v>
      </c>
      <c r="AI18" s="63">
        <f t="shared" si="30"/>
        <v>2.7298387096774193E-3</v>
      </c>
      <c r="AJ18" s="284">
        <f>RTD("money.excel",,$G18,"PredictVolume")</f>
        <v>677</v>
      </c>
      <c r="AK18" s="400">
        <v>27.69</v>
      </c>
    </row>
    <row r="19" spans="1:37">
      <c r="A19" s="94">
        <v>18.100000000000001</v>
      </c>
      <c r="B19" s="79">
        <v>196</v>
      </c>
      <c r="C19" s="79">
        <v>190</v>
      </c>
      <c r="D19" s="79">
        <v>38</v>
      </c>
      <c r="E19" s="79">
        <v>10</v>
      </c>
      <c r="F19" s="6">
        <v>5.09</v>
      </c>
      <c r="G19" s="79">
        <v>2038</v>
      </c>
      <c r="H19" s="8" t="s">
        <v>299</v>
      </c>
      <c r="I19" s="22" t="s">
        <v>3956</v>
      </c>
      <c r="J19" s="50" t="s">
        <v>6214</v>
      </c>
      <c r="L19" s="156">
        <v>3</v>
      </c>
      <c r="M19" s="340">
        <v>0</v>
      </c>
      <c r="N19" s="240">
        <f t="shared" ref="N19" si="56">L19-M19</f>
        <v>3</v>
      </c>
      <c r="P19" s="365">
        <v>223</v>
      </c>
      <c r="Q19" s="79">
        <v>384</v>
      </c>
      <c r="R19" s="346">
        <v>1195</v>
      </c>
      <c r="S19" s="81" t="s">
        <v>6289</v>
      </c>
      <c r="T19" s="327">
        <v>217</v>
      </c>
      <c r="U19" s="34">
        <v>1.5</v>
      </c>
      <c r="V19" s="310">
        <f t="shared" ref="V19" si="57">U19/X19</f>
        <v>5.7581573896353162E-2</v>
      </c>
      <c r="W19" s="94">
        <v>2.54</v>
      </c>
      <c r="X19" s="36">
        <f>RTD("money.excel",,"2038","Price")</f>
        <v>26.05</v>
      </c>
      <c r="Y19" s="66">
        <v>34.950000000000003</v>
      </c>
      <c r="Z19" s="15">
        <f t="shared" ref="Z19" si="58">X19-Y19</f>
        <v>-8.9000000000000021</v>
      </c>
      <c r="AA19" s="3">
        <f t="shared" ref="AA19" si="59">Z19/Y19</f>
        <v>-0.25464949928469244</v>
      </c>
      <c r="AB19" s="344">
        <v>-49.49</v>
      </c>
      <c r="AC19" s="384">
        <v>65.34</v>
      </c>
      <c r="AD19" s="22" t="s">
        <v>3956</v>
      </c>
      <c r="AE19" s="84">
        <v>44669</v>
      </c>
      <c r="AG19" s="33">
        <f t="shared" ref="AG19" si="60">AF19-AE19</f>
        <v>-44669</v>
      </c>
      <c r="AH19" s="43" t="s">
        <v>2660</v>
      </c>
      <c r="AI19" s="63">
        <f t="shared" si="30"/>
        <v>3.845303867403315E-3</v>
      </c>
      <c r="AJ19" s="284">
        <f>RTD("money.excel",,$G19,"PredictVolume")</f>
        <v>696</v>
      </c>
      <c r="AK19" s="400">
        <v>66</v>
      </c>
    </row>
    <row r="20" spans="1:37" s="248" customFormat="1">
      <c r="A20" s="188" t="s">
        <v>6440</v>
      </c>
      <c r="B20" s="91"/>
      <c r="C20" s="91"/>
      <c r="D20" s="172"/>
      <c r="E20" s="172"/>
      <c r="F20" s="173"/>
      <c r="G20" s="313"/>
      <c r="H20" s="12"/>
      <c r="I20" s="228"/>
      <c r="J20" s="1"/>
      <c r="K20" s="5"/>
      <c r="L20" s="163"/>
      <c r="O20" s="245"/>
      <c r="P20" s="365"/>
      <c r="Q20" s="47"/>
      <c r="R20" s="346"/>
      <c r="S20" s="283"/>
      <c r="T20" s="322"/>
      <c r="U20" s="185"/>
      <c r="V20" s="308"/>
      <c r="W20" s="94"/>
      <c r="X20" s="307">
        <f>SUM(X3:X19)</f>
        <v>1912.3499999999997</v>
      </c>
      <c r="Y20" s="296">
        <f>SUM(Y3:Y19)</f>
        <v>2060.5499999999997</v>
      </c>
      <c r="Z20" s="226">
        <f t="shared" ref="Z20" si="61">X20-Y20</f>
        <v>-148.20000000000005</v>
      </c>
      <c r="AA20" s="158">
        <f t="shared" ref="AA20" si="62">Z20/Y20</f>
        <v>-7.1922544951590631E-2</v>
      </c>
      <c r="AB20" s="100"/>
      <c r="AC20" s="384"/>
      <c r="AD20" s="227">
        <f>X20*(0.001425*0.5)+X20*0.003+Y20*(0.001425*0.5)</f>
        <v>8.5677412499999992</v>
      </c>
      <c r="AE20" s="6">
        <f>Z20-AD20</f>
        <v>-156.76774125000006</v>
      </c>
      <c r="AF20" s="83"/>
      <c r="AG20" s="33"/>
      <c r="AH20" s="357" t="s">
        <v>6226</v>
      </c>
      <c r="AI20" s="337"/>
      <c r="AJ20" s="338"/>
      <c r="AK20" s="407"/>
    </row>
    <row r="21" spans="1:37">
      <c r="B21" s="90"/>
      <c r="C21" s="90"/>
      <c r="D21" s="90"/>
      <c r="E21" s="90"/>
      <c r="F21" s="8"/>
      <c r="G21" s="26"/>
      <c r="H21" s="55"/>
      <c r="I21" s="8"/>
      <c r="J21" s="8"/>
      <c r="L21" s="245"/>
      <c r="O21" s="248"/>
      <c r="P21" s="365"/>
      <c r="Q21" s="47"/>
      <c r="R21" s="346"/>
      <c r="T21" s="321"/>
      <c r="U21" s="388"/>
      <c r="V21" s="309"/>
      <c r="W21" s="68"/>
      <c r="X21" s="28"/>
      <c r="Y21" s="17"/>
      <c r="Z21" s="14"/>
      <c r="AA21" s="21"/>
      <c r="AD21" s="8"/>
      <c r="AE21" s="71"/>
      <c r="AF21" s="72"/>
      <c r="AG21" s="32"/>
      <c r="AH21" s="356"/>
      <c r="AI21" s="156"/>
      <c r="AJ21" s="340"/>
      <c r="AK21" s="239"/>
    </row>
    <row r="22" spans="1:37">
      <c r="A22" s="57" t="s">
        <v>1673</v>
      </c>
      <c r="B22" s="90" t="s">
        <v>1572</v>
      </c>
      <c r="C22" s="90" t="s">
        <v>1573</v>
      </c>
      <c r="D22" s="90" t="s">
        <v>1574</v>
      </c>
      <c r="E22" s="90" t="s">
        <v>1575</v>
      </c>
      <c r="F22" s="8" t="s">
        <v>1060</v>
      </c>
      <c r="G22" s="26" t="s">
        <v>3442</v>
      </c>
      <c r="H22" s="55" t="s">
        <v>320</v>
      </c>
      <c r="I22" s="50" t="s">
        <v>6247</v>
      </c>
      <c r="J22" s="8" t="s">
        <v>6221</v>
      </c>
      <c r="K22" s="5" t="s">
        <v>6222</v>
      </c>
      <c r="L22" s="337" t="s">
        <v>6206</v>
      </c>
      <c r="M22" s="338" t="s">
        <v>6207</v>
      </c>
      <c r="N22" s="339" t="s">
        <v>6208</v>
      </c>
      <c r="O22" s="4" t="s">
        <v>6713</v>
      </c>
      <c r="P22" s="89" t="s">
        <v>6285</v>
      </c>
      <c r="Q22" s="293" t="s">
        <v>6284</v>
      </c>
      <c r="R22" s="354" t="s">
        <v>6283</v>
      </c>
      <c r="S22" s="26" t="s">
        <v>6286</v>
      </c>
      <c r="T22" s="321" t="s">
        <v>4716</v>
      </c>
      <c r="U22" s="388" t="s">
        <v>66</v>
      </c>
      <c r="V22" s="308" t="s">
        <v>4731</v>
      </c>
      <c r="W22" s="68" t="s">
        <v>3273</v>
      </c>
      <c r="X22" s="28" t="s">
        <v>2</v>
      </c>
      <c r="Y22" s="17" t="s">
        <v>1399</v>
      </c>
      <c r="Z22" s="14" t="s">
        <v>2250</v>
      </c>
      <c r="AA22" s="21" t="s">
        <v>1470</v>
      </c>
      <c r="AB22" s="351" t="s">
        <v>6174</v>
      </c>
      <c r="AC22" s="384" t="s">
        <v>6420</v>
      </c>
      <c r="AD22" s="50" t="s">
        <v>6247</v>
      </c>
      <c r="AE22" s="71" t="s">
        <v>1400</v>
      </c>
      <c r="AF22" s="72" t="s">
        <v>1157</v>
      </c>
      <c r="AG22" s="32" t="s">
        <v>1158</v>
      </c>
      <c r="AH22" s="233" t="s">
        <v>4740</v>
      </c>
      <c r="AI22" s="8" t="s">
        <v>6731</v>
      </c>
      <c r="AJ22" s="50" t="s">
        <v>3361</v>
      </c>
      <c r="AK22" s="44" t="s">
        <v>6730</v>
      </c>
    </row>
    <row r="23" spans="1:37">
      <c r="A23" s="57"/>
      <c r="B23" s="90"/>
      <c r="C23" s="90"/>
      <c r="D23" s="90"/>
      <c r="E23" s="90"/>
      <c r="F23" s="8"/>
      <c r="G23" s="26"/>
      <c r="H23" s="55"/>
      <c r="I23" s="50"/>
      <c r="J23" s="8"/>
      <c r="L23" s="337"/>
      <c r="M23" s="338"/>
      <c r="N23" s="339"/>
      <c r="O23" s="4"/>
      <c r="Q23" s="293"/>
      <c r="T23" s="321"/>
      <c r="U23" s="388"/>
      <c r="V23" s="308"/>
      <c r="W23" s="68"/>
      <c r="X23" s="28"/>
      <c r="Y23" s="17"/>
      <c r="Z23" s="14"/>
      <c r="AA23" s="21"/>
      <c r="AB23" s="351"/>
      <c r="AD23" s="50"/>
      <c r="AE23" s="71"/>
      <c r="AF23" s="72"/>
      <c r="AG23" s="32"/>
      <c r="AH23" s="233"/>
      <c r="AI23" s="8"/>
      <c r="AJ23" s="50"/>
    </row>
    <row r="24" spans="1:37">
      <c r="A24" s="347">
        <v>4.9800000000000004</v>
      </c>
      <c r="B24" s="79">
        <v>-26</v>
      </c>
      <c r="C24" s="79">
        <v>-29</v>
      </c>
      <c r="D24" s="79">
        <v>1</v>
      </c>
      <c r="E24" s="79">
        <v>37</v>
      </c>
      <c r="F24" s="6">
        <v>15.7</v>
      </c>
      <c r="G24" s="80">
        <v>8155</v>
      </c>
      <c r="H24" s="8" t="s">
        <v>308</v>
      </c>
      <c r="I24" s="16" t="s">
        <v>84</v>
      </c>
      <c r="J24" s="8">
        <v>6</v>
      </c>
      <c r="L24" s="156">
        <v>1</v>
      </c>
      <c r="M24" s="340">
        <v>0</v>
      </c>
      <c r="N24" s="240">
        <v>1</v>
      </c>
      <c r="P24" s="365">
        <v>227</v>
      </c>
      <c r="Q24" s="79">
        <v>215</v>
      </c>
      <c r="R24" s="346">
        <v>1113</v>
      </c>
      <c r="S24" s="81">
        <v>1</v>
      </c>
      <c r="T24" s="327">
        <v>32</v>
      </c>
      <c r="U24" s="186">
        <v>6</v>
      </c>
      <c r="V24" s="310">
        <f>$U24/$X24</f>
        <v>3.7974683544303799E-2</v>
      </c>
      <c r="W24" s="94">
        <v>7.85</v>
      </c>
      <c r="X24" s="36">
        <v>158</v>
      </c>
      <c r="Y24" s="66">
        <v>154</v>
      </c>
      <c r="Z24" s="15">
        <f>X24-Y24</f>
        <v>4</v>
      </c>
      <c r="AA24" s="63">
        <f>Z24/Y24</f>
        <v>2.5974025974025976E-2</v>
      </c>
      <c r="AB24" s="344">
        <v>-29.33</v>
      </c>
      <c r="AC24" s="397">
        <v>22.1</v>
      </c>
      <c r="AD24" s="16" t="s">
        <v>84</v>
      </c>
      <c r="AE24" s="84">
        <v>44691</v>
      </c>
      <c r="AF24" s="86">
        <v>44691</v>
      </c>
      <c r="AG24" s="33">
        <f>AF24-AE24</f>
        <v>0</v>
      </c>
      <c r="AH24" s="117" t="s">
        <v>1049</v>
      </c>
      <c r="AI24" s="63"/>
      <c r="AJ24" s="284"/>
      <c r="AK24" s="399"/>
    </row>
    <row r="25" spans="1:37">
      <c r="A25" s="347">
        <v>122</v>
      </c>
      <c r="B25" s="79">
        <v>43</v>
      </c>
      <c r="C25" s="79">
        <v>42</v>
      </c>
      <c r="D25" s="79">
        <v>2</v>
      </c>
      <c r="E25" s="79">
        <v>22</v>
      </c>
      <c r="F25" s="6">
        <v>19.57</v>
      </c>
      <c r="G25" s="79">
        <v>2449</v>
      </c>
      <c r="H25" s="17" t="s">
        <v>307</v>
      </c>
      <c r="I25" s="22" t="s">
        <v>47</v>
      </c>
      <c r="J25" s="8">
        <v>4</v>
      </c>
      <c r="L25" s="156">
        <v>1</v>
      </c>
      <c r="M25" s="340">
        <v>0</v>
      </c>
      <c r="N25" s="240">
        <v>1</v>
      </c>
      <c r="P25" s="365">
        <v>999</v>
      </c>
      <c r="Q25" s="79">
        <v>8</v>
      </c>
      <c r="R25" s="346">
        <v>149</v>
      </c>
      <c r="S25" s="81">
        <v>56</v>
      </c>
      <c r="T25" s="327">
        <v>40</v>
      </c>
      <c r="U25" s="186">
        <v>3</v>
      </c>
      <c r="V25" s="310">
        <f>$U25/$X25</f>
        <v>7.0505287896592245E-2</v>
      </c>
      <c r="W25" s="94">
        <v>4.2300000000000004</v>
      </c>
      <c r="X25" s="36">
        <v>42.55</v>
      </c>
      <c r="Y25" s="66">
        <v>41.6</v>
      </c>
      <c r="Z25" s="15">
        <f>X25-Y25</f>
        <v>0.94999999999999574</v>
      </c>
      <c r="AA25" s="63">
        <f>Z25/Y25</f>
        <v>2.283653846153836E-2</v>
      </c>
      <c r="AB25" s="344">
        <v>-16.54</v>
      </c>
      <c r="AC25" s="397">
        <v>48.96</v>
      </c>
      <c r="AD25" s="22" t="s">
        <v>47</v>
      </c>
      <c r="AE25" s="84">
        <v>44691</v>
      </c>
      <c r="AF25" s="86">
        <v>44691</v>
      </c>
      <c r="AG25" s="33">
        <f>AF25-AE25</f>
        <v>0</v>
      </c>
      <c r="AH25" s="117" t="s">
        <v>2298</v>
      </c>
      <c r="AI25" s="63"/>
      <c r="AJ25" s="284"/>
      <c r="AK25" s="399"/>
    </row>
    <row r="26" spans="1:37">
      <c r="A26" s="94">
        <v>7.48</v>
      </c>
      <c r="B26" s="79">
        <v>238</v>
      </c>
      <c r="C26" s="79">
        <v>197</v>
      </c>
      <c r="D26" s="79">
        <v>0</v>
      </c>
      <c r="E26" s="79">
        <v>34</v>
      </c>
      <c r="F26" s="6">
        <v>32.159999999999997</v>
      </c>
      <c r="G26" s="80">
        <v>3141</v>
      </c>
      <c r="H26" s="183" t="s">
        <v>307</v>
      </c>
      <c r="I26" s="16" t="s">
        <v>181</v>
      </c>
      <c r="J26" s="8">
        <v>5</v>
      </c>
      <c r="L26" s="156">
        <v>1</v>
      </c>
      <c r="M26" s="340">
        <v>0</v>
      </c>
      <c r="N26" s="240">
        <v>1</v>
      </c>
      <c r="P26" s="365">
        <v>19</v>
      </c>
      <c r="Q26" s="79">
        <v>168</v>
      </c>
      <c r="R26" s="346">
        <v>686</v>
      </c>
      <c r="S26" s="81">
        <v>198</v>
      </c>
      <c r="T26" s="327">
        <v>12</v>
      </c>
      <c r="U26" s="34">
        <v>4</v>
      </c>
      <c r="V26" s="310">
        <f>U26/X26</f>
        <v>2.6936026936026935E-2</v>
      </c>
      <c r="W26" s="94">
        <v>11.99</v>
      </c>
      <c r="X26" s="36">
        <v>148.5</v>
      </c>
      <c r="Y26" s="66">
        <v>144.5</v>
      </c>
      <c r="Z26" s="15">
        <f>X26-Y26</f>
        <v>4</v>
      </c>
      <c r="AA26" s="63">
        <f>Z26/Y26</f>
        <v>2.768166089965398E-2</v>
      </c>
      <c r="AB26" s="344">
        <v>-48.21</v>
      </c>
      <c r="AC26" s="384">
        <v>25.39</v>
      </c>
      <c r="AD26" s="16" t="s">
        <v>181</v>
      </c>
      <c r="AE26" s="84">
        <v>44687</v>
      </c>
      <c r="AF26" s="83">
        <v>44691</v>
      </c>
      <c r="AG26" s="33">
        <f>AF26-AE26</f>
        <v>4</v>
      </c>
      <c r="AH26" s="119" t="s">
        <v>2146</v>
      </c>
      <c r="AI26" s="63"/>
      <c r="AJ26" s="284"/>
    </row>
    <row r="27" spans="1:37">
      <c r="A27" s="94">
        <v>84.4</v>
      </c>
      <c r="B27" s="79">
        <v>112</v>
      </c>
      <c r="C27" s="79">
        <v>117</v>
      </c>
      <c r="D27" s="79">
        <v>19</v>
      </c>
      <c r="E27" s="79">
        <v>0</v>
      </c>
      <c r="F27" s="6">
        <v>9.9</v>
      </c>
      <c r="G27" s="80">
        <v>2377</v>
      </c>
      <c r="H27" s="193" t="s">
        <v>1146</v>
      </c>
      <c r="I27" s="22" t="s">
        <v>3381</v>
      </c>
      <c r="J27" s="102" t="s">
        <v>6422</v>
      </c>
      <c r="L27" s="156">
        <v>2</v>
      </c>
      <c r="M27" s="340">
        <v>0</v>
      </c>
      <c r="N27" s="240">
        <v>2</v>
      </c>
      <c r="O27" s="248"/>
      <c r="P27" s="365">
        <v>1082</v>
      </c>
      <c r="Q27" s="79">
        <v>20</v>
      </c>
      <c r="R27" s="346">
        <v>142</v>
      </c>
      <c r="S27" s="81">
        <v>41</v>
      </c>
      <c r="T27" s="327">
        <v>57</v>
      </c>
      <c r="U27" s="34">
        <v>10.5</v>
      </c>
      <c r="V27" s="310">
        <f>U27/X27</f>
        <v>8.3333333333333329E-2</v>
      </c>
      <c r="W27" s="94">
        <v>20.03</v>
      </c>
      <c r="X27" s="36">
        <v>126</v>
      </c>
      <c r="Y27" s="66">
        <v>123.5</v>
      </c>
      <c r="Z27" s="15">
        <f>X27-Y27</f>
        <v>2.5</v>
      </c>
      <c r="AA27" s="63">
        <f>Z27/Y27</f>
        <v>2.0242914979757085E-2</v>
      </c>
      <c r="AB27" s="344">
        <v>-32.26</v>
      </c>
      <c r="AC27" s="384">
        <v>12.39</v>
      </c>
      <c r="AD27" s="22" t="s">
        <v>3381</v>
      </c>
      <c r="AE27" s="84">
        <v>44687</v>
      </c>
      <c r="AF27" s="83">
        <v>44690</v>
      </c>
      <c r="AG27" s="33">
        <f>AF27-AE27</f>
        <v>3</v>
      </c>
      <c r="AH27" s="43" t="s">
        <v>2718</v>
      </c>
      <c r="AI27" s="63"/>
      <c r="AJ27" s="284"/>
    </row>
    <row r="28" spans="1:37">
      <c r="A28" s="94">
        <v>41.9</v>
      </c>
      <c r="B28" s="79">
        <v>451</v>
      </c>
      <c r="C28" s="79">
        <v>932</v>
      </c>
      <c r="D28" s="79">
        <v>8</v>
      </c>
      <c r="E28" s="80">
        <v>-2</v>
      </c>
      <c r="F28" s="6">
        <v>8.0299999999999994</v>
      </c>
      <c r="G28" s="79">
        <v>4919</v>
      </c>
      <c r="H28" s="8" t="s">
        <v>307</v>
      </c>
      <c r="I28" s="22" t="s">
        <v>118</v>
      </c>
      <c r="J28" s="8" t="s">
        <v>6431</v>
      </c>
      <c r="L28" s="156">
        <v>2</v>
      </c>
      <c r="M28" s="340">
        <v>0</v>
      </c>
      <c r="N28" s="240">
        <v>2</v>
      </c>
      <c r="P28" s="365">
        <v>306</v>
      </c>
      <c r="Q28" s="79">
        <v>235</v>
      </c>
      <c r="R28" s="346">
        <v>573</v>
      </c>
      <c r="S28" s="81">
        <v>18</v>
      </c>
      <c r="T28" s="327">
        <v>44</v>
      </c>
      <c r="U28" s="34">
        <v>5</v>
      </c>
      <c r="V28" s="310">
        <f t="shared" ref="V28:V37" si="63">U28/X28</f>
        <v>2.976190476190476E-2</v>
      </c>
      <c r="W28" s="94">
        <v>9.48</v>
      </c>
      <c r="X28" s="36">
        <v>168</v>
      </c>
      <c r="Y28" s="66">
        <v>164.5</v>
      </c>
      <c r="Z28" s="15">
        <f t="shared" ref="Z28:Z37" si="64">X28-Y28</f>
        <v>3.5</v>
      </c>
      <c r="AA28" s="63">
        <f t="shared" ref="AA28:AA37" si="65">Z28/Y28</f>
        <v>2.1276595744680851E-2</v>
      </c>
      <c r="AB28" s="344">
        <v>-18.05</v>
      </c>
      <c r="AC28" s="384">
        <v>41.32</v>
      </c>
      <c r="AD28" s="22" t="s">
        <v>118</v>
      </c>
      <c r="AE28" s="84">
        <v>44687</v>
      </c>
      <c r="AF28" s="86">
        <v>44687</v>
      </c>
      <c r="AG28" s="33">
        <f t="shared" ref="AG28:AG37" si="66">AF28-AE28</f>
        <v>0</v>
      </c>
      <c r="AH28" s="117" t="s">
        <v>3021</v>
      </c>
      <c r="AI28" s="63"/>
      <c r="AJ28" s="284"/>
    </row>
    <row r="29" spans="1:37">
      <c r="A29" s="94">
        <v>4.9800000000000004</v>
      </c>
      <c r="B29" s="80">
        <v>-26</v>
      </c>
      <c r="C29" s="80">
        <v>-29</v>
      </c>
      <c r="D29" s="79">
        <v>0</v>
      </c>
      <c r="E29" s="79">
        <v>36</v>
      </c>
      <c r="F29" s="6">
        <v>15.7</v>
      </c>
      <c r="G29" s="80">
        <v>8155</v>
      </c>
      <c r="H29" s="5" t="s">
        <v>3389</v>
      </c>
      <c r="I29" s="16" t="s">
        <v>84</v>
      </c>
      <c r="J29" s="8" t="s">
        <v>6437</v>
      </c>
      <c r="L29" s="156">
        <v>2</v>
      </c>
      <c r="M29" s="340">
        <v>0</v>
      </c>
      <c r="N29" s="240">
        <v>2</v>
      </c>
      <c r="P29" s="365">
        <v>224</v>
      </c>
      <c r="Q29" s="79">
        <v>214</v>
      </c>
      <c r="R29" s="346">
        <v>1075</v>
      </c>
      <c r="S29" s="81">
        <v>2</v>
      </c>
      <c r="T29" s="327">
        <v>31</v>
      </c>
      <c r="U29" s="34">
        <v>6</v>
      </c>
      <c r="V29" s="310">
        <f t="shared" si="63"/>
        <v>3.8216560509554139E-2</v>
      </c>
      <c r="W29" s="94">
        <v>7.85</v>
      </c>
      <c r="X29" s="36">
        <v>157</v>
      </c>
      <c r="Y29" s="66">
        <v>154</v>
      </c>
      <c r="Z29" s="15">
        <f t="shared" si="64"/>
        <v>3</v>
      </c>
      <c r="AA29" s="63">
        <f t="shared" si="65"/>
        <v>1.948051948051948E-2</v>
      </c>
      <c r="AB29" s="344">
        <v>-27.12</v>
      </c>
      <c r="AC29" s="384">
        <v>25.13</v>
      </c>
      <c r="AD29" s="16" t="s">
        <v>84</v>
      </c>
      <c r="AE29" s="84">
        <v>44687</v>
      </c>
      <c r="AF29" s="86">
        <v>44687</v>
      </c>
      <c r="AG29" s="33">
        <f t="shared" si="66"/>
        <v>0</v>
      </c>
      <c r="AH29" s="117" t="s">
        <v>1049</v>
      </c>
      <c r="AI29" s="63"/>
      <c r="AJ29" s="284"/>
    </row>
    <row r="30" spans="1:37">
      <c r="A30" s="254">
        <v>122</v>
      </c>
      <c r="B30" s="79">
        <v>43</v>
      </c>
      <c r="C30" s="79">
        <v>42</v>
      </c>
      <c r="D30" s="79">
        <v>26</v>
      </c>
      <c r="E30" s="79">
        <v>23</v>
      </c>
      <c r="F30" s="6">
        <v>19.57</v>
      </c>
      <c r="G30" s="80">
        <v>2449</v>
      </c>
      <c r="H30" s="18" t="s">
        <v>3039</v>
      </c>
      <c r="I30" s="22" t="s">
        <v>47</v>
      </c>
      <c r="J30" s="102" t="s">
        <v>6248</v>
      </c>
      <c r="L30" s="156">
        <v>3</v>
      </c>
      <c r="M30" s="340">
        <v>0</v>
      </c>
      <c r="N30" s="240">
        <f>L30-M30</f>
        <v>3</v>
      </c>
      <c r="O30" s="248"/>
      <c r="P30" s="365">
        <v>993</v>
      </c>
      <c r="Q30" s="79">
        <v>8</v>
      </c>
      <c r="R30" s="346">
        <v>157</v>
      </c>
      <c r="S30" s="81">
        <v>54</v>
      </c>
      <c r="T30" s="327">
        <v>40</v>
      </c>
      <c r="U30" s="34">
        <v>3</v>
      </c>
      <c r="V30" s="310">
        <f t="shared" si="63"/>
        <v>7.1770334928229665E-2</v>
      </c>
      <c r="W30" s="94">
        <v>4.2300000000000004</v>
      </c>
      <c r="X30" s="36">
        <v>41.8</v>
      </c>
      <c r="Y30" s="66">
        <v>40.799999999999997</v>
      </c>
      <c r="Z30" s="15">
        <f t="shared" si="64"/>
        <v>1</v>
      </c>
      <c r="AA30" s="63">
        <f t="shared" si="65"/>
        <v>2.4509803921568631E-2</v>
      </c>
      <c r="AB30" s="344">
        <v>-20.14</v>
      </c>
      <c r="AC30" s="384">
        <v>19.16</v>
      </c>
      <c r="AD30" s="22" t="s">
        <v>47</v>
      </c>
      <c r="AE30" s="84">
        <v>44673</v>
      </c>
      <c r="AF30" s="83">
        <v>44687</v>
      </c>
      <c r="AG30" s="33">
        <f t="shared" si="66"/>
        <v>14</v>
      </c>
      <c r="AH30" s="117" t="s">
        <v>2298</v>
      </c>
      <c r="AI30" s="63"/>
      <c r="AJ30" s="284"/>
    </row>
    <row r="31" spans="1:37">
      <c r="A31" s="94">
        <v>9.18</v>
      </c>
      <c r="B31" s="79">
        <v>81</v>
      </c>
      <c r="C31" s="79">
        <v>87</v>
      </c>
      <c r="D31" s="79">
        <v>5</v>
      </c>
      <c r="E31" s="80">
        <v>-12</v>
      </c>
      <c r="F31" s="6">
        <v>27.55</v>
      </c>
      <c r="G31" s="80">
        <v>6411</v>
      </c>
      <c r="H31" s="183" t="s">
        <v>307</v>
      </c>
      <c r="I31" s="16" t="s">
        <v>251</v>
      </c>
      <c r="J31" s="8" t="s">
        <v>6438</v>
      </c>
      <c r="L31" s="156">
        <v>2</v>
      </c>
      <c r="M31" s="340">
        <v>0</v>
      </c>
      <c r="N31" s="240">
        <v>2</v>
      </c>
      <c r="P31" s="365">
        <v>88</v>
      </c>
      <c r="Q31" s="79">
        <v>519</v>
      </c>
      <c r="R31" s="346">
        <v>346</v>
      </c>
      <c r="S31" s="81">
        <v>297</v>
      </c>
      <c r="T31" s="327">
        <v>13</v>
      </c>
      <c r="U31" s="34">
        <v>7.22</v>
      </c>
      <c r="V31" s="310">
        <f t="shared" si="63"/>
        <v>4.8456375838926175E-2</v>
      </c>
      <c r="W31" s="94">
        <v>10.33</v>
      </c>
      <c r="X31" s="36">
        <v>149</v>
      </c>
      <c r="Y31" s="66">
        <v>145.5</v>
      </c>
      <c r="Z31" s="15">
        <f t="shared" si="64"/>
        <v>3.5</v>
      </c>
      <c r="AA31" s="63">
        <f t="shared" si="65"/>
        <v>2.4054982817869417E-2</v>
      </c>
      <c r="AB31" s="344">
        <v>-50.33</v>
      </c>
      <c r="AC31" s="384">
        <v>19.149999999999999</v>
      </c>
      <c r="AD31" s="16" t="s">
        <v>251</v>
      </c>
      <c r="AE31" s="84">
        <v>44687</v>
      </c>
      <c r="AF31" s="86">
        <v>44687</v>
      </c>
      <c r="AG31" s="33">
        <f t="shared" si="66"/>
        <v>0</v>
      </c>
      <c r="AH31" s="43" t="s">
        <v>2148</v>
      </c>
      <c r="AI31" s="63"/>
      <c r="AJ31" s="284"/>
    </row>
    <row r="32" spans="1:37">
      <c r="A32" s="94">
        <v>38.200000000000003</v>
      </c>
      <c r="B32" s="79">
        <v>119</v>
      </c>
      <c r="C32" s="79">
        <v>130</v>
      </c>
      <c r="D32" s="79">
        <v>17</v>
      </c>
      <c r="E32" s="79">
        <v>11</v>
      </c>
      <c r="F32" s="6">
        <v>16.52</v>
      </c>
      <c r="G32" s="80">
        <v>2481</v>
      </c>
      <c r="H32" s="5" t="s">
        <v>307</v>
      </c>
      <c r="I32" s="22" t="s">
        <v>183</v>
      </c>
      <c r="J32" s="8" t="s">
        <v>6432</v>
      </c>
      <c r="L32" s="156">
        <v>2</v>
      </c>
      <c r="M32" s="340">
        <v>0</v>
      </c>
      <c r="N32" s="240">
        <v>2</v>
      </c>
      <c r="P32" s="365">
        <v>163</v>
      </c>
      <c r="Q32" s="79">
        <v>424</v>
      </c>
      <c r="R32" s="346">
        <v>400</v>
      </c>
      <c r="S32" s="81">
        <v>158</v>
      </c>
      <c r="T32" s="327">
        <v>66</v>
      </c>
      <c r="U32" s="34">
        <v>3</v>
      </c>
      <c r="V32" s="310">
        <f t="shared" si="63"/>
        <v>3.7037037037037035E-2</v>
      </c>
      <c r="W32" s="94">
        <v>5.77</v>
      </c>
      <c r="X32" s="36">
        <v>81</v>
      </c>
      <c r="Y32" s="66">
        <v>79.2</v>
      </c>
      <c r="Z32" s="15">
        <f t="shared" si="64"/>
        <v>1.7999999999999972</v>
      </c>
      <c r="AA32" s="63">
        <f t="shared" si="65"/>
        <v>2.272727272727269E-2</v>
      </c>
      <c r="AB32" s="344">
        <v>-34.880000000000003</v>
      </c>
      <c r="AC32" s="384">
        <v>21.92</v>
      </c>
      <c r="AD32" s="22" t="s">
        <v>183</v>
      </c>
      <c r="AE32" s="84">
        <v>44687</v>
      </c>
      <c r="AF32" s="86">
        <v>44687</v>
      </c>
      <c r="AG32" s="33">
        <f t="shared" si="66"/>
        <v>0</v>
      </c>
      <c r="AH32" s="119" t="s">
        <v>2185</v>
      </c>
      <c r="AI32" s="63"/>
      <c r="AJ32" s="284"/>
    </row>
    <row r="33" spans="1:39">
      <c r="A33" s="94">
        <v>4.4000000000000004</v>
      </c>
      <c r="B33" s="79">
        <v>194</v>
      </c>
      <c r="C33" s="79">
        <v>170</v>
      </c>
      <c r="D33" s="79">
        <v>6</v>
      </c>
      <c r="E33" s="79">
        <v>47</v>
      </c>
      <c r="F33" s="6">
        <v>32.71</v>
      </c>
      <c r="G33" s="80">
        <v>6485</v>
      </c>
      <c r="H33" s="18" t="s">
        <v>307</v>
      </c>
      <c r="I33" s="16" t="s">
        <v>232</v>
      </c>
      <c r="J33" s="102" t="s">
        <v>6439</v>
      </c>
      <c r="L33" s="156">
        <v>1</v>
      </c>
      <c r="M33" s="340">
        <v>0</v>
      </c>
      <c r="N33" s="240">
        <v>1</v>
      </c>
      <c r="P33" s="365">
        <v>16</v>
      </c>
      <c r="Q33" s="79">
        <v>124</v>
      </c>
      <c r="R33" s="346">
        <v>805</v>
      </c>
      <c r="S33" s="81">
        <v>418</v>
      </c>
      <c r="T33" s="327">
        <v>69</v>
      </c>
      <c r="U33" s="34">
        <v>5</v>
      </c>
      <c r="V33" s="310">
        <f t="shared" si="63"/>
        <v>4.1841004184100417E-2</v>
      </c>
      <c r="W33" s="94">
        <v>14.29</v>
      </c>
      <c r="X33" s="36">
        <v>119.5</v>
      </c>
      <c r="Y33" s="66">
        <v>117</v>
      </c>
      <c r="Z33" s="15">
        <f t="shared" si="64"/>
        <v>2.5</v>
      </c>
      <c r="AA33" s="63">
        <f t="shared" si="65"/>
        <v>2.1367521367521368E-2</v>
      </c>
      <c r="AB33" s="344">
        <v>-36.39</v>
      </c>
      <c r="AC33" s="384">
        <v>27.49</v>
      </c>
      <c r="AD33" s="16" t="s">
        <v>232</v>
      </c>
      <c r="AE33" s="84">
        <v>44687</v>
      </c>
      <c r="AF33" s="86">
        <v>44687</v>
      </c>
      <c r="AG33" s="33">
        <f t="shared" si="66"/>
        <v>0</v>
      </c>
      <c r="AH33" s="43" t="s">
        <v>2365</v>
      </c>
      <c r="AI33" s="63"/>
      <c r="AJ33" s="284"/>
    </row>
    <row r="34" spans="1:39">
      <c r="A34" s="94">
        <v>41.9</v>
      </c>
      <c r="B34" s="79">
        <v>451</v>
      </c>
      <c r="C34" s="79">
        <v>932</v>
      </c>
      <c r="D34" s="79">
        <v>8</v>
      </c>
      <c r="E34" s="80">
        <v>-2</v>
      </c>
      <c r="F34" s="6">
        <v>8.0299999999999994</v>
      </c>
      <c r="G34" s="79">
        <v>4919</v>
      </c>
      <c r="H34" s="8" t="s">
        <v>3039</v>
      </c>
      <c r="I34" s="22" t="s">
        <v>118</v>
      </c>
      <c r="J34" s="8" t="s">
        <v>3545</v>
      </c>
      <c r="L34" s="156">
        <v>1</v>
      </c>
      <c r="M34" s="340">
        <v>0</v>
      </c>
      <c r="N34" s="240">
        <f>L34-M34</f>
        <v>1</v>
      </c>
      <c r="P34" s="365">
        <v>306</v>
      </c>
      <c r="Q34" s="79">
        <v>235</v>
      </c>
      <c r="R34" s="346">
        <v>573</v>
      </c>
      <c r="S34" s="81">
        <v>18</v>
      </c>
      <c r="T34" s="327">
        <v>44</v>
      </c>
      <c r="U34" s="34">
        <v>5</v>
      </c>
      <c r="V34" s="310">
        <f t="shared" si="63"/>
        <v>2.976190476190476E-2</v>
      </c>
      <c r="W34" s="94">
        <v>7.34</v>
      </c>
      <c r="X34" s="36">
        <v>168</v>
      </c>
      <c r="Y34" s="66">
        <v>161.5</v>
      </c>
      <c r="Z34" s="15">
        <f t="shared" si="64"/>
        <v>6.5</v>
      </c>
      <c r="AA34" s="63">
        <f t="shared" si="65"/>
        <v>4.0247678018575851E-2</v>
      </c>
      <c r="AB34" s="344">
        <v>-18.78</v>
      </c>
      <c r="AC34" s="384">
        <v>53.03</v>
      </c>
      <c r="AD34" s="22" t="s">
        <v>118</v>
      </c>
      <c r="AE34" s="84">
        <v>44673</v>
      </c>
      <c r="AF34" s="83">
        <v>44686</v>
      </c>
      <c r="AG34" s="33">
        <f t="shared" si="66"/>
        <v>13</v>
      </c>
      <c r="AH34" s="117" t="s">
        <v>3021</v>
      </c>
      <c r="AI34" s="63"/>
      <c r="AJ34" s="284"/>
    </row>
    <row r="35" spans="1:39">
      <c r="A35" s="94">
        <v>7.48</v>
      </c>
      <c r="B35" s="79">
        <v>238</v>
      </c>
      <c r="C35" s="79">
        <v>197</v>
      </c>
      <c r="D35" s="79">
        <v>11</v>
      </c>
      <c r="E35" s="79">
        <v>35</v>
      </c>
      <c r="F35" s="6">
        <v>32.159999999999997</v>
      </c>
      <c r="G35" s="80">
        <v>3141</v>
      </c>
      <c r="H35" s="145" t="s">
        <v>307</v>
      </c>
      <c r="I35" s="16" t="s">
        <v>181</v>
      </c>
      <c r="J35" s="8" t="s">
        <v>6388</v>
      </c>
      <c r="L35" s="156">
        <v>2</v>
      </c>
      <c r="M35" s="340">
        <v>0</v>
      </c>
      <c r="N35" s="240">
        <f>L35-M35</f>
        <v>2</v>
      </c>
      <c r="P35" s="365">
        <v>19</v>
      </c>
      <c r="Q35" s="79">
        <v>168</v>
      </c>
      <c r="R35" s="346">
        <v>686</v>
      </c>
      <c r="S35" s="81">
        <v>198</v>
      </c>
      <c r="T35" s="327">
        <v>12</v>
      </c>
      <c r="U35" s="34">
        <v>4</v>
      </c>
      <c r="V35" s="310">
        <f t="shared" si="63"/>
        <v>2.7027027027027029E-2</v>
      </c>
      <c r="W35" s="94">
        <v>11.99</v>
      </c>
      <c r="X35" s="36">
        <v>148</v>
      </c>
      <c r="Y35" s="66">
        <v>141</v>
      </c>
      <c r="Z35" s="15">
        <f t="shared" si="64"/>
        <v>7</v>
      </c>
      <c r="AA35" s="63">
        <f t="shared" si="65"/>
        <v>4.9645390070921988E-2</v>
      </c>
      <c r="AB35" s="344">
        <v>-51.11</v>
      </c>
      <c r="AC35" s="384">
        <v>21.66</v>
      </c>
      <c r="AD35" s="16" t="s">
        <v>181</v>
      </c>
      <c r="AE35" s="84">
        <v>44685</v>
      </c>
      <c r="AF35" s="83">
        <v>44686</v>
      </c>
      <c r="AG35" s="33">
        <f t="shared" si="66"/>
        <v>1</v>
      </c>
      <c r="AH35" s="119" t="s">
        <v>2146</v>
      </c>
      <c r="AI35" s="63"/>
      <c r="AJ35" s="284"/>
    </row>
    <row r="36" spans="1:39">
      <c r="A36" s="94">
        <v>84.4</v>
      </c>
      <c r="B36" s="79">
        <v>112</v>
      </c>
      <c r="C36" s="79">
        <v>117</v>
      </c>
      <c r="D36" s="79">
        <v>19</v>
      </c>
      <c r="E36" s="79">
        <v>0</v>
      </c>
      <c r="F36" s="6">
        <v>9.9</v>
      </c>
      <c r="G36" s="80">
        <v>2377</v>
      </c>
      <c r="H36" s="192" t="s">
        <v>1146</v>
      </c>
      <c r="I36" s="22" t="s">
        <v>3381</v>
      </c>
      <c r="J36" s="102" t="s">
        <v>3545</v>
      </c>
      <c r="L36" s="156">
        <v>1</v>
      </c>
      <c r="M36" s="340">
        <v>0</v>
      </c>
      <c r="N36" s="240">
        <f>L36-M36</f>
        <v>1</v>
      </c>
      <c r="P36" s="365">
        <v>1082</v>
      </c>
      <c r="Q36" s="79">
        <v>20</v>
      </c>
      <c r="R36" s="346">
        <v>142</v>
      </c>
      <c r="S36" s="81">
        <v>41</v>
      </c>
      <c r="T36" s="327">
        <v>57</v>
      </c>
      <c r="U36" s="34">
        <v>10.5</v>
      </c>
      <c r="V36" s="310">
        <f t="shared" si="63"/>
        <v>8.2677165354330714E-2</v>
      </c>
      <c r="W36" s="94">
        <v>20.03</v>
      </c>
      <c r="X36" s="36">
        <v>127</v>
      </c>
      <c r="Y36" s="66">
        <v>124</v>
      </c>
      <c r="Z36" s="15">
        <f t="shared" si="64"/>
        <v>3</v>
      </c>
      <c r="AA36" s="63">
        <f t="shared" si="65"/>
        <v>2.4193548387096774E-2</v>
      </c>
      <c r="AB36" s="344">
        <v>-33.869999999999997</v>
      </c>
      <c r="AC36" s="384">
        <v>8.94</v>
      </c>
      <c r="AD36" s="22" t="s">
        <v>3381</v>
      </c>
      <c r="AE36" s="84">
        <v>44672</v>
      </c>
      <c r="AF36" s="83">
        <v>44686</v>
      </c>
      <c r="AG36" s="33">
        <f t="shared" si="66"/>
        <v>14</v>
      </c>
      <c r="AH36" s="43" t="s">
        <v>2718</v>
      </c>
      <c r="AI36" s="63"/>
      <c r="AJ36" s="284"/>
    </row>
    <row r="37" spans="1:39">
      <c r="A37" s="254">
        <v>309</v>
      </c>
      <c r="B37" s="79">
        <v>197</v>
      </c>
      <c r="C37" s="79">
        <v>222</v>
      </c>
      <c r="D37" s="79">
        <v>4</v>
      </c>
      <c r="E37" s="79">
        <v>5</v>
      </c>
      <c r="F37" s="6">
        <v>31.76</v>
      </c>
      <c r="G37" s="80">
        <v>2408</v>
      </c>
      <c r="H37" s="18" t="s">
        <v>3039</v>
      </c>
      <c r="I37" s="22" t="s">
        <v>209</v>
      </c>
      <c r="J37" s="102" t="s">
        <v>3545</v>
      </c>
      <c r="L37" s="156">
        <v>1</v>
      </c>
      <c r="M37" s="340">
        <v>0</v>
      </c>
      <c r="N37" s="240">
        <f>L37-M37</f>
        <v>1</v>
      </c>
      <c r="P37" s="365">
        <v>1127</v>
      </c>
      <c r="Q37" s="79">
        <v>274</v>
      </c>
      <c r="R37" s="346">
        <v>315</v>
      </c>
      <c r="S37" s="81">
        <v>113</v>
      </c>
      <c r="T37" s="327">
        <v>57</v>
      </c>
      <c r="U37" s="34">
        <v>3.7</v>
      </c>
      <c r="V37" s="310">
        <f t="shared" si="63"/>
        <v>5.4977711738484404E-2</v>
      </c>
      <c r="W37" s="94">
        <v>7.41</v>
      </c>
      <c r="X37" s="36">
        <v>67.3</v>
      </c>
      <c r="Y37" s="66">
        <v>65.400000000000006</v>
      </c>
      <c r="Z37" s="15">
        <f t="shared" si="64"/>
        <v>1.8999999999999915</v>
      </c>
      <c r="AA37" s="63">
        <f t="shared" si="65"/>
        <v>2.9051987767583966E-2</v>
      </c>
      <c r="AB37" s="344">
        <v>-22.46</v>
      </c>
      <c r="AC37" s="384">
        <v>15.35</v>
      </c>
      <c r="AD37" s="22" t="s">
        <v>209</v>
      </c>
      <c r="AE37" s="84">
        <v>44684</v>
      </c>
      <c r="AF37" s="83">
        <v>44686</v>
      </c>
      <c r="AG37" s="33">
        <f t="shared" si="66"/>
        <v>2</v>
      </c>
      <c r="AH37" s="117" t="s">
        <v>2558</v>
      </c>
      <c r="AI37" s="63"/>
      <c r="AJ37" s="284"/>
    </row>
    <row r="38" spans="1:39">
      <c r="A38" s="94">
        <v>24.8</v>
      </c>
      <c r="B38" s="79">
        <v>298</v>
      </c>
      <c r="C38" s="79">
        <v>430</v>
      </c>
      <c r="D38" s="79">
        <v>5</v>
      </c>
      <c r="E38" s="79">
        <v>91</v>
      </c>
      <c r="F38" s="6">
        <v>22.94</v>
      </c>
      <c r="G38" s="80">
        <v>3035</v>
      </c>
      <c r="H38" s="8" t="s">
        <v>307</v>
      </c>
      <c r="I38" s="22" t="s">
        <v>1826</v>
      </c>
      <c r="J38" s="8" t="s">
        <v>3545</v>
      </c>
      <c r="L38" s="156">
        <v>1</v>
      </c>
      <c r="M38" s="340">
        <v>0</v>
      </c>
      <c r="N38" s="240">
        <f t="shared" ref="N38" si="67">L38-M38</f>
        <v>1</v>
      </c>
      <c r="P38" s="365">
        <v>333</v>
      </c>
      <c r="Q38" s="79">
        <v>75</v>
      </c>
      <c r="R38" s="346">
        <v>190</v>
      </c>
      <c r="S38" s="81">
        <v>1</v>
      </c>
      <c r="T38" s="327">
        <v>2</v>
      </c>
      <c r="U38" s="34">
        <v>3.3</v>
      </c>
      <c r="V38" s="310">
        <f t="shared" ref="V38" si="68">U38/X38</f>
        <v>1.206581352833638E-2</v>
      </c>
      <c r="W38" s="94">
        <v>6.66</v>
      </c>
      <c r="X38" s="36">
        <v>273.5</v>
      </c>
      <c r="Y38" s="66">
        <v>267.5</v>
      </c>
      <c r="Z38" s="15">
        <f t="shared" ref="Z38" si="69">X38-Y38</f>
        <v>6</v>
      </c>
      <c r="AA38" s="63">
        <f t="shared" ref="AA38" si="70">Z38/Y38</f>
        <v>2.2429906542056073E-2</v>
      </c>
      <c r="AB38" s="344">
        <v>-20.21</v>
      </c>
      <c r="AC38" s="384">
        <v>42.89</v>
      </c>
      <c r="AD38" s="22" t="s">
        <v>1826</v>
      </c>
      <c r="AE38" s="84">
        <v>44685</v>
      </c>
      <c r="AF38" s="83">
        <v>44686</v>
      </c>
      <c r="AG38" s="33">
        <f t="shared" ref="AG38" si="71">AF38-AE38</f>
        <v>1</v>
      </c>
      <c r="AH38" s="117" t="s">
        <v>2315</v>
      </c>
      <c r="AI38" s="63"/>
      <c r="AJ38" s="284"/>
    </row>
    <row r="39" spans="1:39">
      <c r="A39" s="94">
        <v>38.200000000000003</v>
      </c>
      <c r="B39" s="79">
        <v>119</v>
      </c>
      <c r="C39" s="79">
        <v>130</v>
      </c>
      <c r="D39" s="79">
        <v>17</v>
      </c>
      <c r="E39" s="79">
        <v>11</v>
      </c>
      <c r="F39" s="6">
        <v>16.52</v>
      </c>
      <c r="G39" s="80">
        <v>2481</v>
      </c>
      <c r="H39" s="8" t="s">
        <v>3039</v>
      </c>
      <c r="I39" s="22" t="s">
        <v>183</v>
      </c>
      <c r="J39" s="102" t="s">
        <v>6427</v>
      </c>
      <c r="L39" s="156">
        <v>1</v>
      </c>
      <c r="M39" s="340">
        <v>0</v>
      </c>
      <c r="N39" s="240">
        <v>1</v>
      </c>
      <c r="P39" s="365">
        <v>163</v>
      </c>
      <c r="Q39" s="79">
        <v>424</v>
      </c>
      <c r="R39" s="346">
        <v>400</v>
      </c>
      <c r="S39" s="81">
        <v>158</v>
      </c>
      <c r="T39" s="327">
        <v>66</v>
      </c>
      <c r="U39" s="34">
        <v>3</v>
      </c>
      <c r="V39" s="310">
        <f>U39/X39</f>
        <v>3.6452004860267319E-2</v>
      </c>
      <c r="W39" s="94">
        <v>5.77</v>
      </c>
      <c r="X39" s="36">
        <v>82.3</v>
      </c>
      <c r="Y39" s="66">
        <v>80.400000000000006</v>
      </c>
      <c r="Z39" s="15">
        <f>X39-Y39</f>
        <v>1.8999999999999915</v>
      </c>
      <c r="AA39" s="63">
        <f>Z39/Y39</f>
        <v>2.3631840796019793E-2</v>
      </c>
      <c r="AB39" s="344">
        <v>-37.119999999999997</v>
      </c>
      <c r="AC39" s="384">
        <v>19.38</v>
      </c>
      <c r="AD39" s="22" t="s">
        <v>183</v>
      </c>
      <c r="AE39" s="84">
        <v>44686</v>
      </c>
      <c r="AF39" s="86">
        <v>44686</v>
      </c>
      <c r="AG39" s="33">
        <f>AF39-AE39</f>
        <v>0</v>
      </c>
      <c r="AH39" s="119" t="s">
        <v>2185</v>
      </c>
      <c r="AI39" s="63"/>
      <c r="AJ39" s="284"/>
    </row>
    <row r="40" spans="1:39">
      <c r="A40" s="94">
        <v>63.5</v>
      </c>
      <c r="B40" s="79">
        <v>207</v>
      </c>
      <c r="C40" s="79">
        <v>243</v>
      </c>
      <c r="D40" s="79">
        <v>6</v>
      </c>
      <c r="E40" s="80">
        <v>-13</v>
      </c>
      <c r="F40" s="6">
        <v>11.88</v>
      </c>
      <c r="G40" s="80">
        <v>2376</v>
      </c>
      <c r="H40" s="192" t="s">
        <v>1146</v>
      </c>
      <c r="I40" s="22" t="s">
        <v>4078</v>
      </c>
      <c r="J40" s="102" t="s">
        <v>3544</v>
      </c>
      <c r="L40" s="156">
        <v>1</v>
      </c>
      <c r="M40" s="340">
        <v>0</v>
      </c>
      <c r="N40" s="240">
        <f>L40-M40</f>
        <v>1</v>
      </c>
      <c r="O40" s="248"/>
      <c r="P40" s="365">
        <v>707</v>
      </c>
      <c r="Q40" s="79">
        <v>7</v>
      </c>
      <c r="R40" s="346">
        <v>279</v>
      </c>
      <c r="S40" s="81">
        <v>38</v>
      </c>
      <c r="T40" s="327">
        <v>62</v>
      </c>
      <c r="U40" s="34">
        <v>12</v>
      </c>
      <c r="V40" s="310">
        <f>U40/X40</f>
        <v>0.10714285714285714</v>
      </c>
      <c r="W40" s="94">
        <v>21</v>
      </c>
      <c r="X40" s="36">
        <v>112</v>
      </c>
      <c r="Y40" s="66">
        <v>109.5</v>
      </c>
      <c r="Z40" s="15">
        <f>X40-Y40</f>
        <v>2.5</v>
      </c>
      <c r="AA40" s="63">
        <f>Z40/Y40</f>
        <v>2.2831050228310501E-2</v>
      </c>
      <c r="AB40" s="344">
        <v>-34.24</v>
      </c>
      <c r="AC40" s="384">
        <v>8.76</v>
      </c>
      <c r="AD40" s="22" t="s">
        <v>4078</v>
      </c>
      <c r="AE40" s="84">
        <v>44684</v>
      </c>
      <c r="AF40" s="83">
        <v>44685</v>
      </c>
      <c r="AG40" s="33">
        <f>AF40-AE40</f>
        <v>1</v>
      </c>
      <c r="AH40" s="43" t="s">
        <v>2718</v>
      </c>
      <c r="AI40" s="63"/>
      <c r="AJ40" s="284"/>
    </row>
    <row r="41" spans="1:39">
      <c r="A41" s="94">
        <v>6.22</v>
      </c>
      <c r="B41" s="79">
        <v>141</v>
      </c>
      <c r="C41" s="79">
        <v>145</v>
      </c>
      <c r="D41" s="79">
        <v>28</v>
      </c>
      <c r="E41" s="79">
        <v>51</v>
      </c>
      <c r="F41" s="6">
        <v>34.74</v>
      </c>
      <c r="G41" s="80">
        <v>3169</v>
      </c>
      <c r="H41" s="183" t="s">
        <v>3039</v>
      </c>
      <c r="I41" s="16" t="s">
        <v>359</v>
      </c>
      <c r="J41" s="8" t="s">
        <v>4720</v>
      </c>
      <c r="L41" s="156">
        <v>1</v>
      </c>
      <c r="M41" s="340">
        <v>0</v>
      </c>
      <c r="N41" s="240">
        <f>L41-M41</f>
        <v>1</v>
      </c>
      <c r="O41" s="248"/>
      <c r="P41" s="365">
        <v>17</v>
      </c>
      <c r="Q41" s="79">
        <v>223</v>
      </c>
      <c r="R41" s="346">
        <v>926</v>
      </c>
      <c r="S41" s="81">
        <v>385</v>
      </c>
      <c r="T41" s="327">
        <v>90</v>
      </c>
      <c r="U41" s="34">
        <v>5</v>
      </c>
      <c r="V41" s="310">
        <f>U41/X41</f>
        <v>3.1847133757961783E-2</v>
      </c>
      <c r="W41" s="94">
        <v>6.39</v>
      </c>
      <c r="X41" s="36">
        <v>157</v>
      </c>
      <c r="Y41" s="66">
        <v>153.5</v>
      </c>
      <c r="Z41" s="15">
        <f>X41-Y41</f>
        <v>3.5</v>
      </c>
      <c r="AA41" s="63">
        <f>Z41/Y41</f>
        <v>2.2801302931596091E-2</v>
      </c>
      <c r="AB41" s="344">
        <v>-50.58</v>
      </c>
      <c r="AC41" s="384">
        <v>16.829999999999998</v>
      </c>
      <c r="AD41" s="16" t="s">
        <v>359</v>
      </c>
      <c r="AE41" s="84">
        <v>44680</v>
      </c>
      <c r="AF41" s="83">
        <v>44685</v>
      </c>
      <c r="AG41" s="33">
        <f>AF41-AE41</f>
        <v>5</v>
      </c>
      <c r="AH41" s="43" t="s">
        <v>2893</v>
      </c>
      <c r="AI41" s="63"/>
      <c r="AJ41" s="284"/>
    </row>
    <row r="42" spans="1:39">
      <c r="A42" s="94">
        <v>27.1</v>
      </c>
      <c r="B42" s="79">
        <v>8</v>
      </c>
      <c r="C42" s="79">
        <v>25</v>
      </c>
      <c r="D42" s="79">
        <v>33</v>
      </c>
      <c r="E42" s="79">
        <v>6</v>
      </c>
      <c r="F42" s="6">
        <v>28.8</v>
      </c>
      <c r="G42" s="79">
        <v>3374</v>
      </c>
      <c r="H42" s="145" t="s">
        <v>3039</v>
      </c>
      <c r="I42" s="16" t="s">
        <v>167</v>
      </c>
      <c r="J42" s="8" t="s">
        <v>6245</v>
      </c>
      <c r="L42" s="156">
        <v>2</v>
      </c>
      <c r="M42" s="340">
        <v>0</v>
      </c>
      <c r="N42" s="240">
        <f t="shared" ref="N42" si="72">L42-M42</f>
        <v>2</v>
      </c>
      <c r="P42" s="365">
        <v>299</v>
      </c>
      <c r="Q42" s="79">
        <v>198</v>
      </c>
      <c r="R42" s="346">
        <v>701</v>
      </c>
      <c r="S42" s="81">
        <v>73</v>
      </c>
      <c r="T42" s="327">
        <v>318</v>
      </c>
      <c r="U42" s="34">
        <v>3</v>
      </c>
      <c r="V42" s="310">
        <f t="shared" ref="V42" si="73">U42/X42</f>
        <v>2.1201413427561839E-2</v>
      </c>
      <c r="W42" s="94">
        <v>6.92</v>
      </c>
      <c r="X42" s="36">
        <v>141.5</v>
      </c>
      <c r="Y42" s="66">
        <v>137.5</v>
      </c>
      <c r="Z42" s="15">
        <f t="shared" ref="Z42" si="74">X42-Y42</f>
        <v>4</v>
      </c>
      <c r="AA42" s="63">
        <f t="shared" ref="AA42" si="75">Z42/Y42</f>
        <v>2.9090909090909091E-2</v>
      </c>
      <c r="AB42" s="344">
        <v>-29.35</v>
      </c>
      <c r="AC42" s="384">
        <v>58.88</v>
      </c>
      <c r="AD42" s="16" t="s">
        <v>167</v>
      </c>
      <c r="AE42" s="84">
        <v>44679</v>
      </c>
      <c r="AF42" s="83">
        <v>44684</v>
      </c>
      <c r="AG42" s="33">
        <f t="shared" ref="AG42" si="76">AF42-AE42</f>
        <v>5</v>
      </c>
      <c r="AH42" s="117" t="s">
        <v>2322</v>
      </c>
      <c r="AI42" s="63"/>
      <c r="AJ42" s="284"/>
    </row>
    <row r="43" spans="1:39">
      <c r="A43" s="94">
        <v>29.2</v>
      </c>
      <c r="B43" s="79">
        <v>69</v>
      </c>
      <c r="C43" s="79">
        <v>88</v>
      </c>
      <c r="D43" s="79">
        <v>3</v>
      </c>
      <c r="E43" s="79">
        <v>36</v>
      </c>
      <c r="F43" s="6">
        <v>7.15</v>
      </c>
      <c r="G43" s="80">
        <v>6278</v>
      </c>
      <c r="H43" s="5" t="s">
        <v>1878</v>
      </c>
      <c r="I43" s="22" t="s">
        <v>4281</v>
      </c>
      <c r="J43" s="102" t="s">
        <v>3543</v>
      </c>
      <c r="L43" s="156">
        <v>1</v>
      </c>
      <c r="M43" s="340">
        <v>0</v>
      </c>
      <c r="N43" s="240">
        <f>L43-M43</f>
        <v>1</v>
      </c>
      <c r="P43" s="365">
        <v>379</v>
      </c>
      <c r="Q43" s="79">
        <v>273</v>
      </c>
      <c r="R43" s="346">
        <v>359</v>
      </c>
      <c r="S43" s="81">
        <v>142</v>
      </c>
      <c r="T43" s="327">
        <v>101</v>
      </c>
      <c r="U43" s="34">
        <v>6</v>
      </c>
      <c r="V43" s="310">
        <f>U43/X43</f>
        <v>5.6603773584905662E-2</v>
      </c>
      <c r="W43" s="94">
        <v>12.7</v>
      </c>
      <c r="X43" s="36">
        <v>106</v>
      </c>
      <c r="Y43" s="66">
        <v>103</v>
      </c>
      <c r="Z43" s="15">
        <f t="shared" ref="Z43" si="77">X43-Y43</f>
        <v>3</v>
      </c>
      <c r="AA43" s="63">
        <f t="shared" ref="AA43" si="78">Z43/Y43</f>
        <v>2.9126213592233011E-2</v>
      </c>
      <c r="AB43" s="344">
        <v>-25</v>
      </c>
      <c r="AC43" s="384">
        <v>14.1</v>
      </c>
      <c r="AD43" s="22" t="s">
        <v>4281</v>
      </c>
      <c r="AE43" s="84">
        <v>44676</v>
      </c>
      <c r="AF43" s="83">
        <v>44684</v>
      </c>
      <c r="AG43" s="33">
        <f t="shared" ref="AG43" si="79">AF43-AE43</f>
        <v>8</v>
      </c>
      <c r="AH43" s="43" t="s">
        <v>4282</v>
      </c>
      <c r="AI43" s="63"/>
      <c r="AJ43" s="284"/>
    </row>
    <row r="44" spans="1:39">
      <c r="A44" s="94">
        <v>7.41</v>
      </c>
      <c r="B44" s="79">
        <v>100</v>
      </c>
      <c r="C44" s="79">
        <v>109</v>
      </c>
      <c r="D44" s="79">
        <v>13</v>
      </c>
      <c r="E44" s="79">
        <v>32</v>
      </c>
      <c r="F44" s="6">
        <v>20.53</v>
      </c>
      <c r="G44" s="80">
        <v>6138</v>
      </c>
      <c r="H44" s="183" t="s">
        <v>3039</v>
      </c>
      <c r="I44" s="16" t="s">
        <v>159</v>
      </c>
      <c r="J44" s="102" t="s">
        <v>3544</v>
      </c>
      <c r="L44" s="156">
        <v>1</v>
      </c>
      <c r="M44" s="340">
        <v>0</v>
      </c>
      <c r="N44" s="240">
        <f>L44-M44</f>
        <v>1</v>
      </c>
      <c r="P44" s="365">
        <v>214</v>
      </c>
      <c r="Q44" s="79">
        <v>157</v>
      </c>
      <c r="R44" s="346">
        <v>307</v>
      </c>
      <c r="S44" s="81">
        <v>33</v>
      </c>
      <c r="T44" s="327">
        <v>75</v>
      </c>
      <c r="U44" s="34">
        <v>9.02</v>
      </c>
      <c r="V44" s="310">
        <f>U44/X44</f>
        <v>4.5903307888040708E-2</v>
      </c>
      <c r="W44" s="94">
        <v>12.9</v>
      </c>
      <c r="X44" s="36">
        <v>196.5</v>
      </c>
      <c r="Y44" s="66">
        <v>192</v>
      </c>
      <c r="Z44" s="15">
        <f>X44-Y44</f>
        <v>4.5</v>
      </c>
      <c r="AA44" s="63">
        <f>Z44/Y44</f>
        <v>2.34375E-2</v>
      </c>
      <c r="AB44" s="344">
        <v>-33.57</v>
      </c>
      <c r="AC44" s="384">
        <v>33.85</v>
      </c>
      <c r="AD44" s="16" t="s">
        <v>159</v>
      </c>
      <c r="AE44" s="84">
        <v>44684</v>
      </c>
      <c r="AF44" s="86">
        <v>44684</v>
      </c>
      <c r="AG44" s="33">
        <f>AF44-AE44</f>
        <v>0</v>
      </c>
      <c r="AH44" s="117" t="s">
        <v>3561</v>
      </c>
      <c r="AI44" s="63"/>
      <c r="AJ44" s="284"/>
    </row>
    <row r="45" spans="1:39" s="248" customFormat="1">
      <c r="A45" s="390"/>
      <c r="B45" s="79"/>
      <c r="C45" s="79"/>
      <c r="D45" s="79"/>
      <c r="E45" s="79"/>
      <c r="F45" s="6"/>
      <c r="G45" s="41"/>
      <c r="H45" s="375" t="s">
        <v>6240</v>
      </c>
      <c r="I45" s="5"/>
      <c r="J45" s="358" t="s">
        <v>6241</v>
      </c>
      <c r="K45" s="234"/>
      <c r="L45" s="163"/>
      <c r="O45" s="245"/>
      <c r="P45" s="365"/>
      <c r="Q45" s="47"/>
      <c r="R45" s="346"/>
      <c r="S45" s="283"/>
      <c r="T45" s="322"/>
      <c r="U45" s="185"/>
      <c r="V45" s="308"/>
      <c r="W45" s="94"/>
      <c r="X45" s="307">
        <f>SUM(X24:X44)</f>
        <v>2770.45</v>
      </c>
      <c r="Y45" s="296">
        <f>SUM(Y24:Y44)</f>
        <v>2699.9</v>
      </c>
      <c r="Z45" s="162">
        <f t="shared" ref="Z45" si="80">X45-Y45</f>
        <v>70.549999999999727</v>
      </c>
      <c r="AA45" s="158">
        <f t="shared" ref="AA45" si="81">Z45/Y45</f>
        <v>2.6130597429534327E-2</v>
      </c>
      <c r="AB45" s="100"/>
      <c r="AC45" s="384"/>
      <c r="AD45" s="227">
        <f>X45*(0.001425*0.5)+X45*0.003+Y45*(0.001425*0.5)</f>
        <v>12.208974375</v>
      </c>
      <c r="AE45" s="6">
        <f>Z45-AD45</f>
        <v>58.34102562499973</v>
      </c>
      <c r="AF45" s="301" t="s">
        <v>4708</v>
      </c>
      <c r="AG45" s="33"/>
      <c r="AH45" s="46" t="s">
        <v>6386</v>
      </c>
    </row>
    <row r="46" spans="1:39">
      <c r="B46" s="90"/>
      <c r="C46" s="90"/>
      <c r="D46" s="90"/>
      <c r="E46" s="90"/>
      <c r="F46" s="8"/>
      <c r="G46" s="26"/>
      <c r="H46" s="55"/>
      <c r="I46" s="50"/>
      <c r="J46" s="8"/>
      <c r="L46" s="337"/>
      <c r="M46" s="338"/>
      <c r="N46" s="339"/>
      <c r="P46" s="365"/>
      <c r="Q46" s="47"/>
      <c r="R46" s="346"/>
      <c r="T46" s="321"/>
      <c r="U46" s="388"/>
      <c r="V46" s="308"/>
      <c r="W46" s="68"/>
      <c r="X46" s="28"/>
      <c r="Y46" s="17"/>
      <c r="Z46" s="14"/>
      <c r="AA46" s="21"/>
      <c r="AB46" s="351"/>
      <c r="AD46" s="50"/>
      <c r="AE46" s="71"/>
      <c r="AF46" s="72"/>
      <c r="AG46" s="32"/>
      <c r="AH46" s="233"/>
      <c r="AI46" s="8"/>
      <c r="AJ46" s="50"/>
    </row>
    <row r="47" spans="1:39">
      <c r="A47" s="94">
        <v>4.4000000000000004</v>
      </c>
      <c r="B47" s="92">
        <v>1610</v>
      </c>
      <c r="C47" s="92">
        <v>2987</v>
      </c>
      <c r="D47" s="79">
        <v>6</v>
      </c>
      <c r="E47" s="79">
        <v>47</v>
      </c>
      <c r="F47" s="6">
        <v>31.91</v>
      </c>
      <c r="G47" s="80">
        <v>6485</v>
      </c>
      <c r="H47" s="18" t="s">
        <v>3039</v>
      </c>
      <c r="I47" s="16" t="s">
        <v>232</v>
      </c>
      <c r="J47" s="8" t="s">
        <v>3543</v>
      </c>
      <c r="L47" s="156">
        <v>1</v>
      </c>
      <c r="M47" s="340">
        <v>0</v>
      </c>
      <c r="N47" s="240">
        <f>L47-M47</f>
        <v>1</v>
      </c>
      <c r="P47" s="365">
        <v>16</v>
      </c>
      <c r="Q47" s="79">
        <v>124</v>
      </c>
      <c r="R47" s="346">
        <v>805</v>
      </c>
      <c r="S47" s="81">
        <v>418</v>
      </c>
      <c r="T47" s="327">
        <v>69</v>
      </c>
      <c r="U47" s="34">
        <v>5</v>
      </c>
      <c r="V47" s="310">
        <f>U47/X47</f>
        <v>4.2735042735042736E-2</v>
      </c>
      <c r="W47" s="94">
        <v>12.29</v>
      </c>
      <c r="X47" s="36">
        <v>117</v>
      </c>
      <c r="Y47" s="66">
        <v>114.5</v>
      </c>
      <c r="Z47" s="15">
        <f>X47-Y47</f>
        <v>2.5</v>
      </c>
      <c r="AA47" s="63">
        <f>Z47/Y47</f>
        <v>2.1834061135371178E-2</v>
      </c>
      <c r="AB47" s="344">
        <v>-40.58</v>
      </c>
      <c r="AC47" s="384">
        <v>25.26</v>
      </c>
      <c r="AD47" s="16" t="s">
        <v>232</v>
      </c>
      <c r="AE47" s="84">
        <v>44679</v>
      </c>
      <c r="AF47" s="83">
        <v>44680</v>
      </c>
      <c r="AG47" s="33">
        <f>AF47-AE47</f>
        <v>1</v>
      </c>
      <c r="AH47" s="43" t="s">
        <v>2365</v>
      </c>
      <c r="AI47" s="63"/>
      <c r="AJ47" s="284"/>
    </row>
    <row r="48" spans="1:39">
      <c r="A48" s="94">
        <v>18.899999999999999</v>
      </c>
      <c r="B48" s="79">
        <v>14</v>
      </c>
      <c r="C48" s="79">
        <v>23</v>
      </c>
      <c r="D48" s="80">
        <v>-1</v>
      </c>
      <c r="E48" s="79">
        <v>22</v>
      </c>
      <c r="F48" s="6">
        <v>9.98</v>
      </c>
      <c r="G48" s="80">
        <v>4927</v>
      </c>
      <c r="H48" s="18" t="s">
        <v>308</v>
      </c>
      <c r="I48" s="22" t="s">
        <v>447</v>
      </c>
      <c r="J48" s="102" t="s">
        <v>3545</v>
      </c>
      <c r="L48" s="156">
        <v>1</v>
      </c>
      <c r="M48" s="340">
        <v>0</v>
      </c>
      <c r="N48" s="240">
        <f>L48-M48</f>
        <v>1</v>
      </c>
      <c r="P48" s="365">
        <v>299</v>
      </c>
      <c r="Q48" s="79">
        <v>198</v>
      </c>
      <c r="R48" s="346">
        <v>274</v>
      </c>
      <c r="S48" s="81">
        <v>48</v>
      </c>
      <c r="T48" s="327">
        <v>52</v>
      </c>
      <c r="U48" s="34">
        <v>4</v>
      </c>
      <c r="V48" s="310">
        <f>U48/X48</f>
        <v>4.1407867494824016E-2</v>
      </c>
      <c r="W48" s="94">
        <v>7.25</v>
      </c>
      <c r="X48" s="36">
        <v>96.6</v>
      </c>
      <c r="Y48" s="66">
        <v>94.4</v>
      </c>
      <c r="Z48" s="15">
        <f>X48-Y48</f>
        <v>2.1999999999999886</v>
      </c>
      <c r="AA48" s="63">
        <f>Z48/Y48</f>
        <v>2.3305084745762591E-2</v>
      </c>
      <c r="AB48" s="344">
        <v>-31.88</v>
      </c>
      <c r="AC48" s="384">
        <v>33.47</v>
      </c>
      <c r="AD48" s="22" t="s">
        <v>447</v>
      </c>
      <c r="AE48" s="84">
        <v>44679</v>
      </c>
      <c r="AF48" s="83">
        <v>44680</v>
      </c>
      <c r="AG48" s="33">
        <f>AF48-AE48</f>
        <v>1</v>
      </c>
      <c r="AH48" s="43" t="s">
        <v>1044</v>
      </c>
      <c r="AI48" s="63"/>
      <c r="AJ48" s="284"/>
      <c r="AK48" s="402"/>
      <c r="AM48" s="239"/>
    </row>
    <row r="49" spans="1:37">
      <c r="A49" s="94">
        <v>49.2</v>
      </c>
      <c r="B49" s="79">
        <v>107</v>
      </c>
      <c r="C49" s="79">
        <v>105</v>
      </c>
      <c r="D49" s="79">
        <v>33</v>
      </c>
      <c r="E49" s="80">
        <v>-44</v>
      </c>
      <c r="F49" s="6">
        <v>42.15</v>
      </c>
      <c r="G49" s="80">
        <v>2108</v>
      </c>
      <c r="H49" s="5" t="s">
        <v>300</v>
      </c>
      <c r="I49" s="22" t="s">
        <v>4004</v>
      </c>
      <c r="J49" s="102" t="s">
        <v>3543</v>
      </c>
      <c r="L49" s="156">
        <v>1</v>
      </c>
      <c r="M49" s="340">
        <v>0</v>
      </c>
      <c r="N49" s="240">
        <f>L49-M49</f>
        <v>1</v>
      </c>
      <c r="O49" s="248"/>
      <c r="P49" s="365">
        <v>836</v>
      </c>
      <c r="Q49" s="79">
        <v>71</v>
      </c>
      <c r="R49" s="346">
        <v>565</v>
      </c>
      <c r="S49" s="81">
        <v>319</v>
      </c>
      <c r="T49" s="327">
        <v>50</v>
      </c>
      <c r="U49" s="34">
        <v>7</v>
      </c>
      <c r="V49" s="312">
        <f>U49/X49</f>
        <v>0.12773722627737227</v>
      </c>
      <c r="W49" s="94">
        <v>14.92</v>
      </c>
      <c r="X49" s="36">
        <v>54.8</v>
      </c>
      <c r="Y49" s="66">
        <v>53.5</v>
      </c>
      <c r="Z49" s="15">
        <f>X49-Y49</f>
        <v>1.2999999999999972</v>
      </c>
      <c r="AA49" s="63">
        <f>Z49/Y49</f>
        <v>2.4299065420560696E-2</v>
      </c>
      <c r="AB49" s="344">
        <v>-70.11</v>
      </c>
      <c r="AC49" s="384">
        <v>4.4800000000000004</v>
      </c>
      <c r="AD49" s="22" t="s">
        <v>4004</v>
      </c>
      <c r="AE49" s="84">
        <v>44679</v>
      </c>
      <c r="AF49" s="83">
        <v>44680</v>
      </c>
      <c r="AG49" s="33">
        <f>AF49-AE49</f>
        <v>1</v>
      </c>
      <c r="AH49" s="43" t="s">
        <v>4005</v>
      </c>
      <c r="AI49" s="63"/>
      <c r="AJ49" s="284"/>
    </row>
    <row r="50" spans="1:37">
      <c r="A50" s="94">
        <v>4.4400000000000004</v>
      </c>
      <c r="B50" s="79">
        <v>249</v>
      </c>
      <c r="C50" s="79">
        <v>154</v>
      </c>
      <c r="D50" s="79">
        <v>19</v>
      </c>
      <c r="E50" s="79">
        <v>16</v>
      </c>
      <c r="F50" s="6">
        <v>16.510000000000002</v>
      </c>
      <c r="G50" s="79">
        <v>3675</v>
      </c>
      <c r="H50" s="183" t="s">
        <v>3039</v>
      </c>
      <c r="I50" s="16" t="s">
        <v>365</v>
      </c>
      <c r="J50" s="8" t="s">
        <v>3545</v>
      </c>
      <c r="L50" s="156">
        <v>1</v>
      </c>
      <c r="M50" s="340">
        <v>0</v>
      </c>
      <c r="N50" s="240">
        <f t="shared" ref="N50" si="82">L50-M50</f>
        <v>1</v>
      </c>
      <c r="P50" s="365">
        <v>326</v>
      </c>
      <c r="Q50" s="79">
        <v>365</v>
      </c>
      <c r="R50" s="346">
        <v>69</v>
      </c>
      <c r="S50" s="81">
        <v>3</v>
      </c>
      <c r="T50" s="327">
        <v>88</v>
      </c>
      <c r="U50" s="34">
        <v>5</v>
      </c>
      <c r="V50" s="310">
        <f t="shared" ref="V50" si="83">U50/X50</f>
        <v>1.5197568389057751E-2</v>
      </c>
      <c r="W50" s="94">
        <v>7.36</v>
      </c>
      <c r="X50" s="36">
        <v>329</v>
      </c>
      <c r="Y50" s="66">
        <v>322.5</v>
      </c>
      <c r="Z50" s="15">
        <f t="shared" ref="Z50" si="84">X50-Y50</f>
        <v>6.5</v>
      </c>
      <c r="AA50" s="63">
        <f t="shared" ref="AA50" si="85">Z50/Y50</f>
        <v>2.0155038759689922E-2</v>
      </c>
      <c r="AB50" s="344">
        <v>-15.12</v>
      </c>
      <c r="AC50" s="384">
        <v>55.56</v>
      </c>
      <c r="AD50" s="16" t="s">
        <v>365</v>
      </c>
      <c r="AE50" s="84">
        <v>44677</v>
      </c>
      <c r="AF50" s="83">
        <v>44679</v>
      </c>
      <c r="AG50" s="33">
        <f t="shared" ref="AG50" si="86">AF50-AE50</f>
        <v>2</v>
      </c>
      <c r="AH50" s="43" t="s">
        <v>2940</v>
      </c>
      <c r="AI50" s="63"/>
      <c r="AJ50" s="284"/>
    </row>
    <row r="51" spans="1:37">
      <c r="A51" s="94">
        <v>4.4400000000000004</v>
      </c>
      <c r="B51" s="79">
        <v>249</v>
      </c>
      <c r="C51" s="79">
        <v>154</v>
      </c>
      <c r="D51" s="79">
        <v>19</v>
      </c>
      <c r="E51" s="79">
        <v>16</v>
      </c>
      <c r="F51" s="6">
        <v>16.510000000000002</v>
      </c>
      <c r="G51" s="79">
        <v>3675</v>
      </c>
      <c r="H51" s="183" t="s">
        <v>3039</v>
      </c>
      <c r="I51" s="16" t="s">
        <v>365</v>
      </c>
      <c r="J51" s="8" t="s">
        <v>3545</v>
      </c>
      <c r="L51" s="156">
        <v>1</v>
      </c>
      <c r="M51" s="340">
        <v>0</v>
      </c>
      <c r="N51" s="240">
        <f t="shared" ref="N51:N56" si="87">L51-M51</f>
        <v>1</v>
      </c>
      <c r="P51" s="365">
        <v>326</v>
      </c>
      <c r="Q51" s="79">
        <v>365</v>
      </c>
      <c r="R51" s="346">
        <v>69</v>
      </c>
      <c r="S51" s="81">
        <v>3</v>
      </c>
      <c r="T51" s="327">
        <v>88</v>
      </c>
      <c r="U51" s="34">
        <v>5</v>
      </c>
      <c r="V51" s="310">
        <f t="shared" ref="V51:V56" si="88">U51/X51</f>
        <v>1.6611295681063124E-2</v>
      </c>
      <c r="W51" s="94">
        <v>7.36</v>
      </c>
      <c r="X51" s="36">
        <v>301</v>
      </c>
      <c r="Y51" s="66">
        <v>294.5</v>
      </c>
      <c r="Z51" s="15">
        <f t="shared" ref="Z51:Z56" si="89">X51-Y51</f>
        <v>6.5</v>
      </c>
      <c r="AA51" s="63">
        <f t="shared" ref="AA51:AA56" si="90">Z51/Y51</f>
        <v>2.2071307300509338E-2</v>
      </c>
      <c r="AB51" s="344">
        <v>-16.489999999999998</v>
      </c>
      <c r="AC51" s="384">
        <v>59.28</v>
      </c>
      <c r="AD51" s="16" t="s">
        <v>365</v>
      </c>
      <c r="AE51" s="84">
        <v>44676</v>
      </c>
      <c r="AF51" s="86">
        <v>44676</v>
      </c>
      <c r="AG51" s="33">
        <f t="shared" ref="AG51:AG56" si="91">AF51-AE51</f>
        <v>0</v>
      </c>
      <c r="AH51" s="43" t="s">
        <v>2940</v>
      </c>
      <c r="AI51" s="63"/>
      <c r="AJ51" s="284"/>
    </row>
    <row r="52" spans="1:37">
      <c r="A52" s="94">
        <v>18.399999999999999</v>
      </c>
      <c r="B52" s="79">
        <v>60</v>
      </c>
      <c r="C52" s="79">
        <v>53</v>
      </c>
      <c r="D52" s="79">
        <v>9</v>
      </c>
      <c r="E52" s="80">
        <v>-19</v>
      </c>
      <c r="F52" s="6">
        <v>29.28</v>
      </c>
      <c r="G52" s="80">
        <v>2455</v>
      </c>
      <c r="H52" s="236" t="s">
        <v>4315</v>
      </c>
      <c r="I52" s="22" t="s">
        <v>4333</v>
      </c>
      <c r="J52" s="8" t="s">
        <v>6245</v>
      </c>
      <c r="L52" s="156">
        <v>2</v>
      </c>
      <c r="M52" s="340">
        <v>0</v>
      </c>
      <c r="N52" s="240">
        <f t="shared" si="87"/>
        <v>2</v>
      </c>
      <c r="P52" s="365">
        <v>182</v>
      </c>
      <c r="Q52" s="79">
        <v>82</v>
      </c>
      <c r="R52" s="346">
        <v>191</v>
      </c>
      <c r="S52" s="81">
        <v>209</v>
      </c>
      <c r="T52" s="327">
        <v>76</v>
      </c>
      <c r="U52" s="34">
        <v>4</v>
      </c>
      <c r="V52" s="310">
        <f t="shared" si="88"/>
        <v>4.145077720207254E-2</v>
      </c>
      <c r="W52" s="94">
        <v>4.62</v>
      </c>
      <c r="X52" s="36">
        <v>96.5</v>
      </c>
      <c r="Y52" s="66">
        <v>94.3</v>
      </c>
      <c r="Z52" s="15">
        <f t="shared" si="89"/>
        <v>2.2000000000000028</v>
      </c>
      <c r="AA52" s="63">
        <f t="shared" si="90"/>
        <v>2.332979851537649E-2</v>
      </c>
      <c r="AB52" s="344">
        <v>-40.92</v>
      </c>
      <c r="AC52" s="384">
        <v>13.61</v>
      </c>
      <c r="AD52" s="22" t="s">
        <v>4333</v>
      </c>
      <c r="AE52" s="84">
        <v>44673</v>
      </c>
      <c r="AF52" s="86">
        <v>44673</v>
      </c>
      <c r="AG52" s="33">
        <f t="shared" si="91"/>
        <v>0</v>
      </c>
      <c r="AH52" s="117" t="s">
        <v>2325</v>
      </c>
      <c r="AI52" s="63"/>
      <c r="AJ52" s="284"/>
    </row>
    <row r="53" spans="1:37">
      <c r="A53" s="254">
        <v>529</v>
      </c>
      <c r="B53" s="79">
        <v>814</v>
      </c>
      <c r="C53" s="79">
        <v>721</v>
      </c>
      <c r="D53" s="79">
        <v>6</v>
      </c>
      <c r="E53" s="79">
        <v>83</v>
      </c>
      <c r="F53" s="6">
        <v>58.21</v>
      </c>
      <c r="G53" s="79">
        <v>2603</v>
      </c>
      <c r="H53" s="8" t="s">
        <v>302</v>
      </c>
      <c r="I53" s="22" t="s">
        <v>264</v>
      </c>
      <c r="J53" s="102" t="s">
        <v>6176</v>
      </c>
      <c r="L53" s="156">
        <v>2</v>
      </c>
      <c r="M53" s="340">
        <v>0</v>
      </c>
      <c r="N53" s="240">
        <f t="shared" si="87"/>
        <v>2</v>
      </c>
      <c r="P53" s="365">
        <v>294</v>
      </c>
      <c r="Q53" s="79">
        <v>97</v>
      </c>
      <c r="R53" s="346">
        <v>203</v>
      </c>
      <c r="S53" s="81">
        <v>98</v>
      </c>
      <c r="T53" s="327">
        <v>117</v>
      </c>
      <c r="U53" s="34">
        <v>18</v>
      </c>
      <c r="V53" s="310">
        <f t="shared" si="88"/>
        <v>0.12203389830508475</v>
      </c>
      <c r="W53" s="94">
        <v>45.68</v>
      </c>
      <c r="X53" s="36">
        <v>147.5</v>
      </c>
      <c r="Y53" s="66">
        <v>144</v>
      </c>
      <c r="Z53" s="15">
        <f t="shared" si="89"/>
        <v>3.5</v>
      </c>
      <c r="AA53" s="63">
        <f t="shared" si="90"/>
        <v>2.4305555555555556E-2</v>
      </c>
      <c r="AB53" s="344">
        <v>-39.270000000000003</v>
      </c>
      <c r="AC53" s="384">
        <v>39.590000000000003</v>
      </c>
      <c r="AD53" s="22" t="s">
        <v>264</v>
      </c>
      <c r="AE53" s="84">
        <v>44671</v>
      </c>
      <c r="AF53" s="83">
        <v>44673</v>
      </c>
      <c r="AG53" s="33">
        <f t="shared" si="91"/>
        <v>2</v>
      </c>
      <c r="AH53" s="117" t="s">
        <v>3266</v>
      </c>
      <c r="AI53" s="63"/>
      <c r="AJ53" s="317"/>
    </row>
    <row r="54" spans="1:37">
      <c r="A54" s="94">
        <v>35.299999999999997</v>
      </c>
      <c r="B54" s="79">
        <v>60</v>
      </c>
      <c r="C54" s="79">
        <v>47</v>
      </c>
      <c r="D54" s="79">
        <v>3</v>
      </c>
      <c r="E54" s="80">
        <v>-3</v>
      </c>
      <c r="F54" s="6">
        <v>10.199999999999999</v>
      </c>
      <c r="G54" s="79">
        <v>3017</v>
      </c>
      <c r="H54" s="193" t="s">
        <v>6246</v>
      </c>
      <c r="I54" s="22" t="s">
        <v>117</v>
      </c>
      <c r="J54" s="102" t="s">
        <v>3545</v>
      </c>
      <c r="L54" s="156">
        <v>1</v>
      </c>
      <c r="M54" s="340">
        <v>0</v>
      </c>
      <c r="N54" s="240">
        <f t="shared" si="87"/>
        <v>1</v>
      </c>
      <c r="P54" s="365">
        <v>482</v>
      </c>
      <c r="Q54" s="79">
        <v>384</v>
      </c>
      <c r="R54" s="346">
        <v>126</v>
      </c>
      <c r="S54" s="81">
        <v>7</v>
      </c>
      <c r="T54" s="327">
        <v>48</v>
      </c>
      <c r="U54" s="34">
        <v>4.3</v>
      </c>
      <c r="V54" s="310">
        <f t="shared" si="88"/>
        <v>3.8392857142857138E-2</v>
      </c>
      <c r="W54" s="94">
        <v>8.2100000000000009</v>
      </c>
      <c r="X54" s="36">
        <v>112</v>
      </c>
      <c r="Y54" s="66">
        <v>109.5</v>
      </c>
      <c r="Z54" s="15">
        <f t="shared" si="89"/>
        <v>2.5</v>
      </c>
      <c r="AA54" s="63">
        <f t="shared" si="90"/>
        <v>2.2831050228310501E-2</v>
      </c>
      <c r="AB54" s="344">
        <v>-15.69</v>
      </c>
      <c r="AC54" s="384">
        <v>39.36</v>
      </c>
      <c r="AD54" s="22" t="s">
        <v>117</v>
      </c>
      <c r="AE54" s="84">
        <v>44672</v>
      </c>
      <c r="AF54" s="86">
        <v>44672</v>
      </c>
      <c r="AG54" s="33">
        <f t="shared" si="91"/>
        <v>0</v>
      </c>
      <c r="AH54" s="43" t="s">
        <v>2927</v>
      </c>
      <c r="AI54" s="63"/>
      <c r="AJ54" s="284"/>
    </row>
    <row r="55" spans="1:37">
      <c r="A55" s="94">
        <v>9.0299999999999994</v>
      </c>
      <c r="B55" s="79">
        <v>73</v>
      </c>
      <c r="C55" s="79">
        <v>79</v>
      </c>
      <c r="D55" s="79">
        <v>8</v>
      </c>
      <c r="E55" s="79">
        <v>75</v>
      </c>
      <c r="F55" s="6">
        <v>21.07</v>
      </c>
      <c r="G55" s="80">
        <v>6104</v>
      </c>
      <c r="H55" s="183" t="s">
        <v>3039</v>
      </c>
      <c r="I55" s="16" t="s">
        <v>372</v>
      </c>
      <c r="J55" s="50" t="s">
        <v>6214</v>
      </c>
      <c r="L55" s="156">
        <v>4</v>
      </c>
      <c r="M55" s="340">
        <v>0</v>
      </c>
      <c r="N55" s="240">
        <f t="shared" si="87"/>
        <v>4</v>
      </c>
      <c r="P55" s="365">
        <v>20</v>
      </c>
      <c r="Q55" s="79">
        <v>122</v>
      </c>
      <c r="R55" s="346">
        <v>571</v>
      </c>
      <c r="S55" s="81">
        <v>14</v>
      </c>
      <c r="T55" s="327">
        <v>4</v>
      </c>
      <c r="U55" s="34">
        <v>4.5</v>
      </c>
      <c r="V55" s="310">
        <f t="shared" si="88"/>
        <v>1.9313304721030045E-2</v>
      </c>
      <c r="W55" s="94">
        <v>6.41</v>
      </c>
      <c r="X55" s="36">
        <v>233</v>
      </c>
      <c r="Y55" s="66">
        <v>227.5</v>
      </c>
      <c r="Z55" s="15">
        <f t="shared" si="89"/>
        <v>5.5</v>
      </c>
      <c r="AA55" s="63">
        <f t="shared" si="90"/>
        <v>2.4175824175824177E-2</v>
      </c>
      <c r="AB55" s="344">
        <v>-31.33</v>
      </c>
      <c r="AC55" s="384">
        <v>34.35</v>
      </c>
      <c r="AD55" s="16" t="s">
        <v>372</v>
      </c>
      <c r="AE55" s="84">
        <v>44672</v>
      </c>
      <c r="AF55" s="86">
        <v>44672</v>
      </c>
      <c r="AG55" s="33">
        <f t="shared" si="91"/>
        <v>0</v>
      </c>
      <c r="AH55" s="43" t="s">
        <v>3046</v>
      </c>
      <c r="AI55" s="63"/>
      <c r="AJ55" s="284"/>
      <c r="AK55" s="289"/>
    </row>
    <row r="56" spans="1:37">
      <c r="A56" s="94">
        <v>84.5</v>
      </c>
      <c r="B56" s="79">
        <v>456</v>
      </c>
      <c r="C56" s="79">
        <v>649</v>
      </c>
      <c r="D56" s="79">
        <v>51</v>
      </c>
      <c r="E56" s="79">
        <v>24</v>
      </c>
      <c r="F56" s="6">
        <v>27.18</v>
      </c>
      <c r="G56" s="79">
        <v>2606</v>
      </c>
      <c r="H56" s="8" t="s">
        <v>302</v>
      </c>
      <c r="I56" s="22" t="s">
        <v>4619</v>
      </c>
      <c r="J56" s="50" t="s">
        <v>6214</v>
      </c>
      <c r="L56" s="156">
        <v>3</v>
      </c>
      <c r="M56" s="340">
        <v>0</v>
      </c>
      <c r="N56" s="240">
        <f t="shared" si="87"/>
        <v>3</v>
      </c>
      <c r="P56" s="365">
        <v>629</v>
      </c>
      <c r="Q56" s="79">
        <v>163</v>
      </c>
      <c r="R56" s="346">
        <v>454</v>
      </c>
      <c r="S56" s="81">
        <v>27</v>
      </c>
      <c r="T56" s="327">
        <v>101</v>
      </c>
      <c r="U56" s="34">
        <v>3</v>
      </c>
      <c r="V56" s="310">
        <f t="shared" si="88"/>
        <v>4.5180722891566258E-2</v>
      </c>
      <c r="W56" s="94">
        <v>5.79</v>
      </c>
      <c r="X56" s="36">
        <v>66.400000000000006</v>
      </c>
      <c r="Y56" s="66">
        <v>62.4</v>
      </c>
      <c r="Z56" s="15">
        <f t="shared" si="89"/>
        <v>4.0000000000000071</v>
      </c>
      <c r="AA56" s="63">
        <f t="shared" si="90"/>
        <v>6.4102564102564222E-2</v>
      </c>
      <c r="AB56" s="344">
        <v>-35.369999999999997</v>
      </c>
      <c r="AC56" s="384">
        <v>58.29</v>
      </c>
      <c r="AD56" s="22" t="s">
        <v>4619</v>
      </c>
      <c r="AE56" s="84">
        <v>44669</v>
      </c>
      <c r="AF56" s="83">
        <v>44671</v>
      </c>
      <c r="AG56" s="33">
        <f t="shared" si="91"/>
        <v>2</v>
      </c>
      <c r="AH56" s="117" t="s">
        <v>3267</v>
      </c>
      <c r="AI56" s="63"/>
      <c r="AJ56" s="284"/>
    </row>
    <row r="57" spans="1:37" s="248" customFormat="1">
      <c r="A57" s="390"/>
      <c r="B57" s="79"/>
      <c r="C57" s="79"/>
      <c r="D57" s="79"/>
      <c r="E57" s="79"/>
      <c r="F57" s="6"/>
      <c r="G57" s="41"/>
      <c r="H57" s="8"/>
      <c r="I57" s="153"/>
      <c r="J57" s="1"/>
      <c r="K57" s="5"/>
      <c r="L57" s="163"/>
      <c r="O57" s="245"/>
      <c r="P57" s="365"/>
      <c r="Q57" s="47"/>
      <c r="R57" s="346"/>
      <c r="S57" s="283"/>
      <c r="T57" s="322"/>
      <c r="U57" s="185"/>
      <c r="V57" s="308"/>
      <c r="W57" s="94"/>
      <c r="X57" s="307">
        <f>SUM(X47:X56)</f>
        <v>1553.8000000000002</v>
      </c>
      <c r="Y57" s="296">
        <f>SUM(Y47:Y56)</f>
        <v>1517.1</v>
      </c>
      <c r="Z57" s="162">
        <f t="shared" ref="Z57" si="92">X57-Y57</f>
        <v>36.700000000000273</v>
      </c>
      <c r="AA57" s="158">
        <f t="shared" ref="AA57" si="93">Z57/Y57</f>
        <v>2.4190890514798152E-2</v>
      </c>
      <c r="AB57" s="100"/>
      <c r="AC57" s="384"/>
      <c r="AD57" s="227">
        <f>X57*(0.001425*0.5)+X57*0.003+Y57*(0.001425*0.5)</f>
        <v>6.8494162500000009</v>
      </c>
      <c r="AE57" s="6">
        <f>Z57-AD57</f>
        <v>29.850583750000272</v>
      </c>
      <c r="AF57" s="83"/>
      <c r="AG57" s="33"/>
      <c r="AH57" s="46" t="s">
        <v>6225</v>
      </c>
    </row>
    <row r="58" spans="1:37">
      <c r="B58" s="90"/>
      <c r="C58" s="90"/>
      <c r="D58" s="90"/>
      <c r="E58" s="90"/>
      <c r="F58" s="8"/>
      <c r="G58" s="26"/>
      <c r="H58" s="55"/>
      <c r="I58" s="50"/>
      <c r="J58" s="8"/>
      <c r="L58" s="337"/>
      <c r="M58" s="338"/>
      <c r="N58" s="339"/>
      <c r="P58" s="365"/>
      <c r="Q58" s="47"/>
      <c r="R58" s="346"/>
      <c r="T58" s="321"/>
      <c r="U58" s="388"/>
      <c r="V58" s="308"/>
      <c r="W58" s="68"/>
      <c r="X58" s="28"/>
      <c r="Y58" s="17"/>
      <c r="Z58" s="14"/>
      <c r="AA58" s="21"/>
      <c r="AB58" s="351"/>
      <c r="AD58" s="50"/>
      <c r="AE58" s="71"/>
      <c r="AF58" s="72"/>
      <c r="AG58" s="32"/>
      <c r="AH58" s="233"/>
      <c r="AI58" s="8"/>
      <c r="AJ58" s="50"/>
    </row>
    <row r="59" spans="1:37">
      <c r="A59" s="94">
        <v>32.1</v>
      </c>
      <c r="B59" s="79">
        <v>227</v>
      </c>
      <c r="C59" s="79">
        <v>461</v>
      </c>
      <c r="D59" s="79">
        <v>62</v>
      </c>
      <c r="E59" s="79">
        <v>89</v>
      </c>
      <c r="F59" s="6">
        <v>17.739999999999998</v>
      </c>
      <c r="G59" s="79">
        <v>2031</v>
      </c>
      <c r="H59" s="8" t="s">
        <v>299</v>
      </c>
      <c r="I59" s="22" t="s">
        <v>3947</v>
      </c>
      <c r="J59" s="8" t="s">
        <v>4747</v>
      </c>
      <c r="L59" s="156">
        <v>5</v>
      </c>
      <c r="M59" s="340">
        <v>0</v>
      </c>
      <c r="N59" s="240">
        <f>L59-M59</f>
        <v>5</v>
      </c>
      <c r="P59" s="365">
        <v>348</v>
      </c>
      <c r="Q59" s="79">
        <v>332</v>
      </c>
      <c r="R59" s="346">
        <v>471</v>
      </c>
      <c r="S59" s="81">
        <v>77</v>
      </c>
      <c r="T59" s="327">
        <v>433</v>
      </c>
      <c r="U59" s="34">
        <v>4</v>
      </c>
      <c r="V59" s="310">
        <f>U59/X59</f>
        <v>5.2151238591916553E-2</v>
      </c>
      <c r="W59" s="94">
        <v>8.66</v>
      </c>
      <c r="X59" s="36">
        <v>76.7</v>
      </c>
      <c r="Y59" s="66">
        <v>74.900000000000006</v>
      </c>
      <c r="Z59" s="15">
        <f>X59-Y59</f>
        <v>1.7999999999999972</v>
      </c>
      <c r="AA59" s="63">
        <f>Z59/Y59</f>
        <v>2.4032042723631467E-2</v>
      </c>
      <c r="AB59" s="344">
        <v>-20.93</v>
      </c>
      <c r="AD59" s="22" t="s">
        <v>3947</v>
      </c>
      <c r="AE59" s="84">
        <v>44666</v>
      </c>
      <c r="AF59" s="86">
        <v>44666</v>
      </c>
      <c r="AG59" s="33">
        <f>AF59-AE59</f>
        <v>0</v>
      </c>
      <c r="AH59" s="43" t="s">
        <v>3948</v>
      </c>
      <c r="AI59" s="63"/>
      <c r="AJ59" s="284"/>
    </row>
    <row r="60" spans="1:37">
      <c r="A60" s="94">
        <v>17.8</v>
      </c>
      <c r="B60" s="79">
        <v>120</v>
      </c>
      <c r="C60" s="79">
        <v>264</v>
      </c>
      <c r="D60" s="79">
        <v>14</v>
      </c>
      <c r="E60" s="79">
        <v>8</v>
      </c>
      <c r="F60" s="6">
        <v>12.77</v>
      </c>
      <c r="G60" s="80">
        <v>2436</v>
      </c>
      <c r="H60" s="18" t="s">
        <v>3039</v>
      </c>
      <c r="I60" s="22" t="s">
        <v>112</v>
      </c>
      <c r="J60" s="8" t="s">
        <v>3543</v>
      </c>
      <c r="L60" s="156">
        <v>1</v>
      </c>
      <c r="M60" s="340">
        <v>0</v>
      </c>
      <c r="N60" s="240">
        <f>L60-M60</f>
        <v>1</v>
      </c>
      <c r="P60" s="365">
        <v>53</v>
      </c>
      <c r="Q60" s="79">
        <v>378</v>
      </c>
      <c r="R60" s="346">
        <v>764</v>
      </c>
      <c r="S60" s="81">
        <v>345</v>
      </c>
      <c r="T60" s="327">
        <v>97</v>
      </c>
      <c r="U60" s="34">
        <v>3</v>
      </c>
      <c r="V60" s="310">
        <f>U60/X60</f>
        <v>3.7267080745341616E-2</v>
      </c>
      <c r="W60" s="94">
        <v>4.25</v>
      </c>
      <c r="X60" s="36">
        <v>80.5</v>
      </c>
      <c r="Y60" s="66">
        <v>78.8</v>
      </c>
      <c r="Z60" s="15">
        <f>X60-Y60</f>
        <v>1.7000000000000028</v>
      </c>
      <c r="AA60" s="63">
        <f>Z60/Y60</f>
        <v>2.1573604060913742E-2</v>
      </c>
      <c r="AB60" s="344">
        <v>-32.64</v>
      </c>
      <c r="AD60" s="22" t="s">
        <v>112</v>
      </c>
      <c r="AE60" s="84">
        <v>44664</v>
      </c>
      <c r="AF60" s="83">
        <v>44665</v>
      </c>
      <c r="AG60" s="33">
        <f>AF60-AE60</f>
        <v>1</v>
      </c>
      <c r="AH60" s="43" t="s">
        <v>2194</v>
      </c>
      <c r="AI60" s="63"/>
      <c r="AJ60" s="284"/>
    </row>
    <row r="61" spans="1:37">
      <c r="A61" s="94">
        <v>23.1</v>
      </c>
      <c r="B61" s="79">
        <v>77</v>
      </c>
      <c r="C61" s="79">
        <v>55</v>
      </c>
      <c r="D61" s="80">
        <v>-23</v>
      </c>
      <c r="E61" s="79">
        <v>2</v>
      </c>
      <c r="F61" s="6">
        <v>17.600000000000001</v>
      </c>
      <c r="G61" s="79">
        <v>9958</v>
      </c>
      <c r="H61" s="8" t="s">
        <v>299</v>
      </c>
      <c r="I61" s="22" t="s">
        <v>3988</v>
      </c>
      <c r="J61" s="8" t="s">
        <v>6211</v>
      </c>
      <c r="L61" s="156">
        <v>2</v>
      </c>
      <c r="M61" s="340">
        <v>0</v>
      </c>
      <c r="N61" s="240">
        <f>L61-M61</f>
        <v>2</v>
      </c>
      <c r="P61" s="365">
        <v>181</v>
      </c>
      <c r="Q61" s="79">
        <v>553</v>
      </c>
      <c r="R61" s="346">
        <v>501</v>
      </c>
      <c r="S61" s="81">
        <v>60</v>
      </c>
      <c r="T61" s="327">
        <v>446</v>
      </c>
      <c r="U61" s="34">
        <v>3</v>
      </c>
      <c r="V61" s="310">
        <f>U61/X61</f>
        <v>2.5000000000000001E-2</v>
      </c>
      <c r="W61" s="94">
        <v>5.46</v>
      </c>
      <c r="X61" s="36">
        <v>120</v>
      </c>
      <c r="Y61" s="66">
        <v>117.5</v>
      </c>
      <c r="Z61" s="15">
        <f>X61-Y61</f>
        <v>2.5</v>
      </c>
      <c r="AA61" s="63">
        <f>Z61/Y61</f>
        <v>2.1276595744680851E-2</v>
      </c>
      <c r="AB61" s="344">
        <v>-17.71</v>
      </c>
      <c r="AD61" s="22" t="s">
        <v>3988</v>
      </c>
      <c r="AE61" s="84">
        <v>44664</v>
      </c>
      <c r="AF61" s="83">
        <v>44665</v>
      </c>
      <c r="AG61" s="33">
        <f>AF61-AE61</f>
        <v>1</v>
      </c>
      <c r="AH61" s="43" t="s">
        <v>3989</v>
      </c>
      <c r="AI61" s="63"/>
      <c r="AJ61" s="284"/>
    </row>
    <row r="62" spans="1:37">
      <c r="A62" s="94">
        <v>7.12</v>
      </c>
      <c r="B62" s="79">
        <v>78</v>
      </c>
      <c r="C62" s="79">
        <v>85</v>
      </c>
      <c r="D62" s="80">
        <v>-3</v>
      </c>
      <c r="E62" s="80">
        <v>-17</v>
      </c>
      <c r="F62" s="6">
        <v>17.53</v>
      </c>
      <c r="G62" s="80">
        <v>3661</v>
      </c>
      <c r="H62" s="5" t="s">
        <v>3039</v>
      </c>
      <c r="I62" s="22" t="s">
        <v>4052</v>
      </c>
      <c r="J62" s="8" t="s">
        <v>3544</v>
      </c>
      <c r="L62" s="156">
        <v>1</v>
      </c>
      <c r="M62" s="340">
        <v>1</v>
      </c>
      <c r="N62" s="240">
        <f t="shared" ref="N62" si="94">L62-M62</f>
        <v>0</v>
      </c>
      <c r="P62" s="365">
        <v>450</v>
      </c>
      <c r="Q62" s="79">
        <v>109</v>
      </c>
      <c r="R62" s="346">
        <v>51</v>
      </c>
      <c r="S62" s="81">
        <v>6</v>
      </c>
      <c r="T62" s="327">
        <v>36</v>
      </c>
      <c r="U62" s="34">
        <v>10.59</v>
      </c>
      <c r="V62" s="310">
        <f t="shared" ref="V62" si="95">U62/X62</f>
        <v>1.0433497536945812E-2</v>
      </c>
      <c r="W62" s="94">
        <v>21.4</v>
      </c>
      <c r="X62" s="372">
        <v>1015</v>
      </c>
      <c r="Y62" s="66">
        <v>991</v>
      </c>
      <c r="Z62" s="137">
        <f t="shared" ref="Z62" si="96">X62-Y62</f>
        <v>24</v>
      </c>
      <c r="AA62" s="63">
        <f t="shared" ref="AA62" si="97">Z62/Y62</f>
        <v>2.4217961654894045E-2</v>
      </c>
      <c r="AB62" s="344">
        <v>-25.74</v>
      </c>
      <c r="AD62" s="22" t="s">
        <v>4052</v>
      </c>
      <c r="AE62" s="84">
        <v>44665</v>
      </c>
      <c r="AF62" s="86">
        <v>44665</v>
      </c>
      <c r="AG62" s="33">
        <f t="shared" ref="AG62" si="98">AF62-AE62</f>
        <v>0</v>
      </c>
      <c r="AH62" s="43" t="s">
        <v>3041</v>
      </c>
      <c r="AI62" s="63"/>
      <c r="AJ62" s="284"/>
    </row>
    <row r="63" spans="1:37">
      <c r="A63" s="94">
        <v>8.85</v>
      </c>
      <c r="B63" s="80">
        <v>-46</v>
      </c>
      <c r="C63" s="80">
        <v>-47</v>
      </c>
      <c r="D63" s="79">
        <v>32</v>
      </c>
      <c r="E63" s="80">
        <v>-44</v>
      </c>
      <c r="F63" s="6">
        <v>10.039999999999999</v>
      </c>
      <c r="G63" s="80">
        <v>4968</v>
      </c>
      <c r="H63" s="8" t="s">
        <v>3039</v>
      </c>
      <c r="I63" s="22" t="s">
        <v>350</v>
      </c>
      <c r="J63" s="8" t="s">
        <v>3543</v>
      </c>
      <c r="L63" s="156">
        <v>1</v>
      </c>
      <c r="M63" s="340">
        <v>0</v>
      </c>
      <c r="N63" s="240">
        <f>L63-M63</f>
        <v>1</v>
      </c>
      <c r="P63" s="365">
        <v>134</v>
      </c>
      <c r="Q63" s="79">
        <v>99</v>
      </c>
      <c r="R63" s="346">
        <v>171</v>
      </c>
      <c r="S63" s="81">
        <v>100</v>
      </c>
      <c r="T63" s="327">
        <v>283</v>
      </c>
      <c r="U63" s="34">
        <v>3.5</v>
      </c>
      <c r="V63" s="310">
        <f>U63/X63</f>
        <v>1.7156862745098041E-2</v>
      </c>
      <c r="W63" s="94">
        <v>6.14</v>
      </c>
      <c r="X63" s="36">
        <v>204</v>
      </c>
      <c r="Y63" s="66">
        <v>200</v>
      </c>
      <c r="Z63" s="15">
        <f>X63-Y63</f>
        <v>4</v>
      </c>
      <c r="AA63" s="63">
        <f>Z63/Y63</f>
        <v>0.02</v>
      </c>
      <c r="AB63" s="344">
        <v>-63.98</v>
      </c>
      <c r="AD63" s="22" t="s">
        <v>350</v>
      </c>
      <c r="AE63" s="84">
        <v>44664</v>
      </c>
      <c r="AF63" s="86">
        <v>44664</v>
      </c>
      <c r="AG63" s="33">
        <f>AF63-AE63</f>
        <v>0</v>
      </c>
      <c r="AH63" s="43" t="s">
        <v>2008</v>
      </c>
      <c r="AI63" s="63"/>
      <c r="AJ63" s="284"/>
      <c r="AK63" s="399"/>
    </row>
    <row r="64" spans="1:37">
      <c r="A64" s="94">
        <v>6.22</v>
      </c>
      <c r="B64" s="79">
        <v>80</v>
      </c>
      <c r="C64" s="79">
        <v>24</v>
      </c>
      <c r="D64" s="79">
        <v>60</v>
      </c>
      <c r="E64" s="79">
        <v>29</v>
      </c>
      <c r="F64" s="6">
        <v>12.59</v>
      </c>
      <c r="G64" s="79">
        <v>3491</v>
      </c>
      <c r="H64" s="8" t="s">
        <v>311</v>
      </c>
      <c r="I64" s="16" t="s">
        <v>4368</v>
      </c>
      <c r="J64" s="8" t="s">
        <v>4720</v>
      </c>
      <c r="L64" s="156">
        <v>1</v>
      </c>
      <c r="M64" s="340">
        <v>0</v>
      </c>
      <c r="N64" s="240">
        <f t="shared" ref="N64" si="99">L64-M64</f>
        <v>1</v>
      </c>
      <c r="P64" s="365">
        <v>104</v>
      </c>
      <c r="Q64" s="79">
        <v>224</v>
      </c>
      <c r="R64" s="346">
        <v>419</v>
      </c>
      <c r="S64" s="81">
        <v>96</v>
      </c>
      <c r="T64" s="327">
        <v>52</v>
      </c>
      <c r="U64" s="34">
        <v>4</v>
      </c>
      <c r="V64" s="310">
        <f t="shared" ref="V64" si="100">U64/X64</f>
        <v>2.1333333333333333E-2</v>
      </c>
      <c r="W64" s="94">
        <v>3.81</v>
      </c>
      <c r="X64" s="36">
        <v>187.5</v>
      </c>
      <c r="Y64" s="66">
        <v>183</v>
      </c>
      <c r="Z64" s="15">
        <f t="shared" ref="Z64" si="101">X64-Y64</f>
        <v>4.5</v>
      </c>
      <c r="AA64" s="63">
        <f t="shared" ref="AA64" si="102">Z64/Y64</f>
        <v>2.4590163934426229E-2</v>
      </c>
      <c r="AB64" s="344">
        <v>-19.43</v>
      </c>
      <c r="AD64" s="16" t="s">
        <v>4368</v>
      </c>
      <c r="AE64" s="84">
        <v>44663</v>
      </c>
      <c r="AF64" s="83">
        <v>44664</v>
      </c>
      <c r="AG64" s="33">
        <f t="shared" ref="AG64" si="103">AF64-AE64</f>
        <v>1</v>
      </c>
      <c r="AH64" s="117" t="s">
        <v>4369</v>
      </c>
      <c r="AI64" s="156"/>
      <c r="AJ64" s="340"/>
      <c r="AK64" s="239"/>
    </row>
    <row r="65" spans="1:37">
      <c r="A65" s="94">
        <v>8.85</v>
      </c>
      <c r="B65" s="80">
        <v>-46</v>
      </c>
      <c r="C65" s="80">
        <v>-47</v>
      </c>
      <c r="D65" s="79">
        <v>32</v>
      </c>
      <c r="E65" s="80">
        <v>-44</v>
      </c>
      <c r="F65" s="6">
        <v>10.039999999999999</v>
      </c>
      <c r="G65" s="80">
        <v>4968</v>
      </c>
      <c r="H65" s="5" t="s">
        <v>3039</v>
      </c>
      <c r="I65" s="22" t="s">
        <v>350</v>
      </c>
      <c r="J65" s="8" t="s">
        <v>3543</v>
      </c>
      <c r="L65" s="156">
        <v>2</v>
      </c>
      <c r="M65" s="340">
        <v>0</v>
      </c>
      <c r="N65" s="240">
        <f>L65-M65</f>
        <v>2</v>
      </c>
      <c r="P65" s="365">
        <v>134</v>
      </c>
      <c r="Q65" s="79">
        <v>99</v>
      </c>
      <c r="R65" s="346">
        <v>171</v>
      </c>
      <c r="S65" s="81">
        <v>100</v>
      </c>
      <c r="T65" s="327">
        <v>283</v>
      </c>
      <c r="U65" s="34">
        <v>3.5</v>
      </c>
      <c r="V65" s="310">
        <f t="shared" ref="V65:V71" si="104">U65/X65</f>
        <v>1.7587939698492462E-2</v>
      </c>
      <c r="W65" s="94">
        <v>6.14</v>
      </c>
      <c r="X65" s="36">
        <v>199</v>
      </c>
      <c r="Y65" s="66">
        <v>195</v>
      </c>
      <c r="Z65" s="15">
        <f t="shared" ref="Z65:Z71" si="105">X65-Y65</f>
        <v>4</v>
      </c>
      <c r="AA65" s="63">
        <f t="shared" ref="AA65:AA71" si="106">Z65/Y65</f>
        <v>2.0512820512820513E-2</v>
      </c>
      <c r="AB65" s="344">
        <v>-65.5</v>
      </c>
      <c r="AD65" s="22" t="s">
        <v>350</v>
      </c>
      <c r="AE65" s="84">
        <v>44662</v>
      </c>
      <c r="AF65" s="83">
        <v>44663</v>
      </c>
      <c r="AG65" s="33">
        <f t="shared" ref="AG65:AG71" si="107">AF65-AE65</f>
        <v>1</v>
      </c>
      <c r="AH65" s="43" t="s">
        <v>2008</v>
      </c>
      <c r="AI65" s="156"/>
      <c r="AJ65" s="340"/>
      <c r="AK65" s="239"/>
    </row>
    <row r="66" spans="1:37">
      <c r="A66" s="94">
        <v>13.1</v>
      </c>
      <c r="B66" s="79">
        <v>108</v>
      </c>
      <c r="C66" s="79">
        <v>91</v>
      </c>
      <c r="D66" s="80">
        <v>-38</v>
      </c>
      <c r="E66" s="79">
        <v>29</v>
      </c>
      <c r="F66" s="6">
        <v>13.53</v>
      </c>
      <c r="G66" s="79">
        <v>6670</v>
      </c>
      <c r="H66" s="8" t="s">
        <v>235</v>
      </c>
      <c r="I66" s="22" t="s">
        <v>1091</v>
      </c>
      <c r="J66" s="102" t="s">
        <v>6175</v>
      </c>
      <c r="L66" s="156">
        <v>1</v>
      </c>
      <c r="M66" s="340">
        <v>0</v>
      </c>
      <c r="N66" s="240">
        <f>L66-M66</f>
        <v>1</v>
      </c>
      <c r="P66" s="365">
        <v>1134</v>
      </c>
      <c r="Q66" s="79">
        <v>541</v>
      </c>
      <c r="R66" s="346">
        <v>255</v>
      </c>
      <c r="S66" s="81">
        <v>254</v>
      </c>
      <c r="T66" s="327">
        <v>733</v>
      </c>
      <c r="U66" s="34">
        <v>12</v>
      </c>
      <c r="V66" s="310">
        <f t="shared" si="104"/>
        <v>5.7831325301204821E-2</v>
      </c>
      <c r="W66" s="94">
        <v>18.03</v>
      </c>
      <c r="X66" s="36">
        <v>207.5</v>
      </c>
      <c r="Y66" s="66">
        <v>202.5</v>
      </c>
      <c r="Z66" s="15">
        <f t="shared" si="105"/>
        <v>5</v>
      </c>
      <c r="AA66" s="63">
        <f t="shared" si="106"/>
        <v>2.4691358024691357E-2</v>
      </c>
      <c r="AB66" s="344">
        <v>-15.97</v>
      </c>
      <c r="AD66" s="22" t="s">
        <v>1091</v>
      </c>
      <c r="AE66" s="84">
        <v>44650</v>
      </c>
      <c r="AF66" s="83">
        <v>44663</v>
      </c>
      <c r="AG66" s="33">
        <f t="shared" si="107"/>
        <v>13</v>
      </c>
      <c r="AH66" s="43" t="s">
        <v>3060</v>
      </c>
      <c r="AI66" s="156"/>
      <c r="AJ66" s="340"/>
      <c r="AK66" s="239"/>
    </row>
    <row r="67" spans="1:37">
      <c r="A67" s="94">
        <v>8.89</v>
      </c>
      <c r="B67" s="79">
        <v>804</v>
      </c>
      <c r="C67" s="79">
        <v>317</v>
      </c>
      <c r="D67" s="79">
        <v>7</v>
      </c>
      <c r="E67" s="79">
        <v>81</v>
      </c>
      <c r="F67" s="6">
        <v>20.85</v>
      </c>
      <c r="G67" s="79">
        <v>8478</v>
      </c>
      <c r="H67" s="5" t="s">
        <v>235</v>
      </c>
      <c r="I67" s="22" t="s">
        <v>1095</v>
      </c>
      <c r="J67" s="102" t="s">
        <v>4720</v>
      </c>
      <c r="L67" s="247"/>
      <c r="P67" s="365">
        <v>762</v>
      </c>
      <c r="Q67" s="79">
        <v>372</v>
      </c>
      <c r="R67" s="346">
        <v>95</v>
      </c>
      <c r="S67" s="81">
        <v>215</v>
      </c>
      <c r="T67" s="327">
        <v>256</v>
      </c>
      <c r="U67" s="34">
        <v>5</v>
      </c>
      <c r="V67" s="310">
        <f t="shared" si="104"/>
        <v>3.3222591362126248E-2</v>
      </c>
      <c r="W67" s="94">
        <v>9.5500000000000007</v>
      </c>
      <c r="X67" s="36">
        <v>150.5</v>
      </c>
      <c r="Y67" s="66">
        <v>147.5</v>
      </c>
      <c r="Z67" s="15">
        <f t="shared" si="105"/>
        <v>3</v>
      </c>
      <c r="AA67" s="63">
        <f t="shared" si="106"/>
        <v>2.0338983050847456E-2</v>
      </c>
      <c r="AB67" s="344">
        <v>-19.510000000000002</v>
      </c>
      <c r="AD67" s="22" t="s">
        <v>1095</v>
      </c>
      <c r="AE67" s="84">
        <v>44651</v>
      </c>
      <c r="AF67" s="83">
        <v>44662</v>
      </c>
      <c r="AG67" s="33">
        <f t="shared" si="107"/>
        <v>11</v>
      </c>
      <c r="AH67" s="43" t="s">
        <v>2834</v>
      </c>
      <c r="AI67" s="337"/>
      <c r="AJ67" s="338"/>
      <c r="AK67" s="407"/>
    </row>
    <row r="68" spans="1:37">
      <c r="A68" s="94">
        <v>8.89</v>
      </c>
      <c r="B68" s="79">
        <v>804</v>
      </c>
      <c r="C68" s="79">
        <v>317</v>
      </c>
      <c r="D68" s="79">
        <v>7</v>
      </c>
      <c r="E68" s="79">
        <v>81</v>
      </c>
      <c r="F68" s="6">
        <v>20.85</v>
      </c>
      <c r="G68" s="79">
        <v>8478</v>
      </c>
      <c r="H68" s="5" t="s">
        <v>235</v>
      </c>
      <c r="I68" s="22" t="s">
        <v>1095</v>
      </c>
      <c r="J68" s="102" t="s">
        <v>4720</v>
      </c>
      <c r="L68" s="247"/>
      <c r="P68" s="365">
        <v>762</v>
      </c>
      <c r="Q68" s="79">
        <v>372</v>
      </c>
      <c r="R68" s="346">
        <v>95</v>
      </c>
      <c r="S68" s="81">
        <v>215</v>
      </c>
      <c r="T68" s="327">
        <v>256</v>
      </c>
      <c r="U68" s="34">
        <v>5</v>
      </c>
      <c r="V68" s="310">
        <f t="shared" si="104"/>
        <v>3.3222591362126248E-2</v>
      </c>
      <c r="W68" s="94">
        <v>9.5500000000000007</v>
      </c>
      <c r="X68" s="36">
        <v>150.5</v>
      </c>
      <c r="Y68" s="66">
        <v>146.5</v>
      </c>
      <c r="Z68" s="15">
        <f t="shared" si="105"/>
        <v>4</v>
      </c>
      <c r="AA68" s="63">
        <f t="shared" si="106"/>
        <v>2.7303754266211604E-2</v>
      </c>
      <c r="AB68" s="344">
        <v>-21.95</v>
      </c>
      <c r="AD68" s="22" t="s">
        <v>1095</v>
      </c>
      <c r="AE68" s="84">
        <v>44650</v>
      </c>
      <c r="AF68" s="83">
        <v>44662</v>
      </c>
      <c r="AG68" s="33">
        <f t="shared" si="107"/>
        <v>12</v>
      </c>
      <c r="AH68" s="43" t="s">
        <v>2834</v>
      </c>
      <c r="AI68" s="63"/>
      <c r="AJ68" s="284"/>
    </row>
    <row r="69" spans="1:37">
      <c r="A69" s="94">
        <v>4.18</v>
      </c>
      <c r="B69" s="79">
        <v>40</v>
      </c>
      <c r="C69" s="79">
        <v>35</v>
      </c>
      <c r="D69" s="80">
        <v>-72</v>
      </c>
      <c r="E69" s="80">
        <v>-52</v>
      </c>
      <c r="F69" s="6">
        <v>47.66</v>
      </c>
      <c r="G69" s="79">
        <v>4171</v>
      </c>
      <c r="H69" s="8" t="s">
        <v>1038</v>
      </c>
      <c r="I69" s="16" t="s">
        <v>1039</v>
      </c>
      <c r="J69" s="8" t="s">
        <v>6175</v>
      </c>
      <c r="L69" s="123"/>
      <c r="P69" s="365">
        <v>37</v>
      </c>
      <c r="Q69" s="79">
        <v>138</v>
      </c>
      <c r="R69" s="346">
        <v>262</v>
      </c>
      <c r="S69" s="81" t="s">
        <v>6289</v>
      </c>
      <c r="T69" s="327">
        <v>659</v>
      </c>
      <c r="U69" s="34">
        <v>6</v>
      </c>
      <c r="V69" s="310">
        <f t="shared" si="104"/>
        <v>5.0632911392405063E-2</v>
      </c>
      <c r="W69" s="94">
        <v>9.14</v>
      </c>
      <c r="X69" s="36">
        <v>118.5</v>
      </c>
      <c r="Y69" s="66">
        <v>116</v>
      </c>
      <c r="Z69" s="15">
        <f t="shared" si="105"/>
        <v>2.5</v>
      </c>
      <c r="AA69" s="63">
        <f t="shared" si="106"/>
        <v>2.1551724137931036E-2</v>
      </c>
      <c r="AB69" s="344">
        <v>-34.92</v>
      </c>
      <c r="AD69" s="16" t="s">
        <v>1039</v>
      </c>
      <c r="AE69" s="84">
        <v>44659</v>
      </c>
      <c r="AF69" s="86">
        <v>44659</v>
      </c>
      <c r="AG69" s="33">
        <f t="shared" si="107"/>
        <v>0</v>
      </c>
      <c r="AH69" s="43" t="s">
        <v>2703</v>
      </c>
      <c r="AI69" s="63"/>
      <c r="AJ69" s="284"/>
    </row>
    <row r="70" spans="1:37">
      <c r="A70" s="94">
        <v>6.6</v>
      </c>
      <c r="B70" s="80">
        <v>-17</v>
      </c>
      <c r="C70" s="80">
        <v>-14</v>
      </c>
      <c r="D70" s="80">
        <v>-14</v>
      </c>
      <c r="E70" s="79">
        <v>11</v>
      </c>
      <c r="F70" s="6">
        <v>10.97</v>
      </c>
      <c r="G70" s="79">
        <v>2753</v>
      </c>
      <c r="H70" s="8" t="s">
        <v>303</v>
      </c>
      <c r="I70" s="22" t="s">
        <v>3421</v>
      </c>
      <c r="J70" s="102" t="s">
        <v>4720</v>
      </c>
      <c r="L70" s="123"/>
      <c r="P70" s="365">
        <v>581</v>
      </c>
      <c r="Q70" s="79" t="s">
        <v>6289</v>
      </c>
      <c r="R70" s="346">
        <v>1043</v>
      </c>
      <c r="S70" s="81" t="s">
        <v>6289</v>
      </c>
      <c r="T70" s="327">
        <v>1002</v>
      </c>
      <c r="U70" s="34">
        <v>4.2300000000000004</v>
      </c>
      <c r="V70" s="310">
        <f t="shared" si="104"/>
        <v>3.1449814126394054E-2</v>
      </c>
      <c r="W70" s="94">
        <v>8.89</v>
      </c>
      <c r="X70" s="36">
        <v>134.5</v>
      </c>
      <c r="Y70" s="66">
        <v>131</v>
      </c>
      <c r="Z70" s="15">
        <f t="shared" si="105"/>
        <v>3.5</v>
      </c>
      <c r="AA70" s="63">
        <f t="shared" si="106"/>
        <v>2.6717557251908396E-2</v>
      </c>
      <c r="AB70" s="344">
        <v>-35.71</v>
      </c>
      <c r="AD70" s="22" t="s">
        <v>3421</v>
      </c>
      <c r="AE70" s="84">
        <v>44651</v>
      </c>
      <c r="AF70" s="83">
        <v>44657</v>
      </c>
      <c r="AG70" s="33">
        <f t="shared" si="107"/>
        <v>6</v>
      </c>
      <c r="AH70" s="43" t="s">
        <v>2999</v>
      </c>
      <c r="AI70" s="63"/>
      <c r="AJ70" s="284"/>
    </row>
    <row r="71" spans="1:37">
      <c r="A71" s="94">
        <v>7.09</v>
      </c>
      <c r="B71" s="79">
        <v>78</v>
      </c>
      <c r="C71" s="79">
        <v>85</v>
      </c>
      <c r="D71" s="79">
        <v>1</v>
      </c>
      <c r="E71" s="79">
        <v>1</v>
      </c>
      <c r="F71" s="6">
        <v>17.53</v>
      </c>
      <c r="G71" s="79">
        <v>3661</v>
      </c>
      <c r="H71" s="8" t="s">
        <v>3039</v>
      </c>
      <c r="I71" s="22" t="s">
        <v>4052</v>
      </c>
      <c r="J71" s="102" t="s">
        <v>3545</v>
      </c>
      <c r="L71" s="123"/>
      <c r="P71" s="365">
        <v>450</v>
      </c>
      <c r="Q71" s="79">
        <v>109</v>
      </c>
      <c r="R71" s="346">
        <v>51</v>
      </c>
      <c r="S71" s="81">
        <v>6</v>
      </c>
      <c r="T71" s="327">
        <v>36</v>
      </c>
      <c r="U71" s="34">
        <v>10.59</v>
      </c>
      <c r="V71" s="310">
        <f t="shared" si="104"/>
        <v>9.371681415929204E-3</v>
      </c>
      <c r="W71" s="94">
        <v>21.4</v>
      </c>
      <c r="X71" s="372">
        <v>1130</v>
      </c>
      <c r="Y71" s="66">
        <v>1090</v>
      </c>
      <c r="Z71" s="137">
        <f t="shared" si="105"/>
        <v>40</v>
      </c>
      <c r="AA71" s="63">
        <f t="shared" si="106"/>
        <v>3.669724770642202E-2</v>
      </c>
      <c r="AB71" s="344">
        <v>-17.739999999999998</v>
      </c>
      <c r="AD71" s="22" t="s">
        <v>4052</v>
      </c>
      <c r="AE71" s="84">
        <v>44651</v>
      </c>
      <c r="AF71" s="83">
        <v>44652</v>
      </c>
      <c r="AG71" s="33">
        <f t="shared" si="107"/>
        <v>1</v>
      </c>
      <c r="AH71" s="43" t="s">
        <v>3041</v>
      </c>
      <c r="AI71" s="63"/>
      <c r="AJ71" s="284"/>
    </row>
    <row r="72" spans="1:37">
      <c r="A72" s="94">
        <v>7.09</v>
      </c>
      <c r="B72" s="79">
        <v>78</v>
      </c>
      <c r="C72" s="79">
        <v>85</v>
      </c>
      <c r="D72" s="79">
        <v>1</v>
      </c>
      <c r="E72" s="79">
        <v>1</v>
      </c>
      <c r="F72" s="6">
        <v>17.53</v>
      </c>
      <c r="G72" s="79">
        <v>3661</v>
      </c>
      <c r="H72" s="8" t="s">
        <v>3039</v>
      </c>
      <c r="I72" s="22" t="s">
        <v>4052</v>
      </c>
      <c r="J72" s="102" t="s">
        <v>3545</v>
      </c>
      <c r="L72" s="123"/>
      <c r="P72" s="365">
        <v>450</v>
      </c>
      <c r="Q72" s="79">
        <v>109</v>
      </c>
      <c r="R72" s="346">
        <v>51</v>
      </c>
      <c r="S72" s="81">
        <v>6</v>
      </c>
      <c r="T72" s="327">
        <v>36</v>
      </c>
      <c r="U72" s="34">
        <v>10.59</v>
      </c>
      <c r="V72" s="310">
        <f t="shared" ref="V72" si="108">U72/X72</f>
        <v>9.371681415929204E-3</v>
      </c>
      <c r="W72" s="94">
        <v>21.4</v>
      </c>
      <c r="X72" s="372">
        <v>1130</v>
      </c>
      <c r="Y72" s="66">
        <v>1090</v>
      </c>
      <c r="Z72" s="137">
        <f t="shared" ref="Z72" si="109">X72-Y72</f>
        <v>40</v>
      </c>
      <c r="AA72" s="63">
        <f t="shared" ref="AA72" si="110">Z72/Y72</f>
        <v>3.669724770642202E-2</v>
      </c>
      <c r="AB72" s="344">
        <v>-17.739999999999998</v>
      </c>
      <c r="AD72" s="22" t="s">
        <v>4052</v>
      </c>
      <c r="AE72" s="84">
        <v>44651</v>
      </c>
      <c r="AF72" s="83">
        <v>44652</v>
      </c>
      <c r="AG72" s="33">
        <f t="shared" ref="AG72" si="111">AF72-AE72</f>
        <v>1</v>
      </c>
      <c r="AH72" s="43" t="s">
        <v>3041</v>
      </c>
      <c r="AI72" s="63"/>
      <c r="AJ72" s="284"/>
    </row>
    <row r="73" spans="1:37">
      <c r="A73" s="94">
        <v>7.09</v>
      </c>
      <c r="B73" s="79">
        <v>78</v>
      </c>
      <c r="C73" s="79">
        <v>85</v>
      </c>
      <c r="D73" s="79">
        <v>1</v>
      </c>
      <c r="E73" s="79">
        <v>1</v>
      </c>
      <c r="F73" s="6">
        <v>17.53</v>
      </c>
      <c r="G73" s="79">
        <v>3661</v>
      </c>
      <c r="H73" s="8" t="s">
        <v>3039</v>
      </c>
      <c r="I73" s="22" t="s">
        <v>4052</v>
      </c>
      <c r="J73" s="102" t="s">
        <v>3545</v>
      </c>
      <c r="L73" s="123"/>
      <c r="P73" s="365">
        <v>450</v>
      </c>
      <c r="Q73" s="79">
        <v>109</v>
      </c>
      <c r="R73" s="346">
        <v>51</v>
      </c>
      <c r="S73" s="81">
        <v>6</v>
      </c>
      <c r="T73" s="327">
        <v>36</v>
      </c>
      <c r="U73" s="34">
        <v>10.59</v>
      </c>
      <c r="V73" s="310">
        <f>U73/X73</f>
        <v>9.4133333333333326E-3</v>
      </c>
      <c r="W73" s="94">
        <v>21.4</v>
      </c>
      <c r="X73" s="372">
        <v>1125</v>
      </c>
      <c r="Y73" s="66">
        <v>1130</v>
      </c>
      <c r="Z73" s="137">
        <f>X73-Y73</f>
        <v>-5</v>
      </c>
      <c r="AA73" s="63">
        <f>Z73/Y73</f>
        <v>-4.4247787610619468E-3</v>
      </c>
      <c r="AB73" s="344">
        <v>-17.36</v>
      </c>
      <c r="AD73" s="22" t="s">
        <v>4052</v>
      </c>
      <c r="AE73" s="84">
        <v>44650</v>
      </c>
      <c r="AF73" s="83">
        <v>44652</v>
      </c>
      <c r="AG73" s="33">
        <f>AF73-AE73</f>
        <v>2</v>
      </c>
      <c r="AH73" s="43" t="s">
        <v>3041</v>
      </c>
      <c r="AI73" s="63"/>
      <c r="AJ73" s="284"/>
    </row>
    <row r="74" spans="1:37">
      <c r="A74" s="94">
        <v>6.22</v>
      </c>
      <c r="B74" s="79">
        <v>80</v>
      </c>
      <c r="C74" s="79">
        <v>24</v>
      </c>
      <c r="D74" s="80">
        <v>-23</v>
      </c>
      <c r="E74" s="79">
        <v>26</v>
      </c>
      <c r="F74" s="6">
        <v>12.59</v>
      </c>
      <c r="G74" s="79">
        <v>3491</v>
      </c>
      <c r="H74" s="8" t="s">
        <v>311</v>
      </c>
      <c r="I74" s="16" t="s">
        <v>4368</v>
      </c>
      <c r="J74" s="102" t="s">
        <v>3543</v>
      </c>
      <c r="L74" s="123"/>
      <c r="P74" s="365">
        <v>104</v>
      </c>
      <c r="Q74" s="79">
        <v>224</v>
      </c>
      <c r="R74" s="346">
        <v>419</v>
      </c>
      <c r="S74" s="81">
        <v>96</v>
      </c>
      <c r="T74" s="327">
        <v>52</v>
      </c>
      <c r="U74" s="34">
        <v>4</v>
      </c>
      <c r="V74" s="310">
        <f>U74/X74</f>
        <v>2.0671834625322998E-2</v>
      </c>
      <c r="W74" s="94">
        <v>3.81</v>
      </c>
      <c r="X74" s="36">
        <v>193.5</v>
      </c>
      <c r="Y74" s="66">
        <v>189.5</v>
      </c>
      <c r="Z74" s="15">
        <f>X74-Y74</f>
        <v>4</v>
      </c>
      <c r="AA74" s="63">
        <f>Z74/Y74</f>
        <v>2.1108179419525065E-2</v>
      </c>
      <c r="AB74" s="344">
        <v>-16.38</v>
      </c>
      <c r="AD74" s="16" t="s">
        <v>4368</v>
      </c>
      <c r="AE74" s="84">
        <v>44651</v>
      </c>
      <c r="AF74" s="83">
        <v>44652</v>
      </c>
      <c r="AG74" s="33">
        <f>AF74-AE74</f>
        <v>1</v>
      </c>
      <c r="AH74" s="117" t="s">
        <v>4369</v>
      </c>
      <c r="AI74" s="63"/>
      <c r="AJ74" s="284"/>
    </row>
    <row r="75" spans="1:37" s="248" customFormat="1">
      <c r="A75" s="390"/>
      <c r="B75" s="79"/>
      <c r="C75" s="79"/>
      <c r="D75" s="79"/>
      <c r="E75" s="79"/>
      <c r="F75" s="6"/>
      <c r="G75" s="41"/>
      <c r="H75" s="8"/>
      <c r="I75" s="153"/>
      <c r="J75" s="1"/>
      <c r="K75" s="5"/>
      <c r="L75" s="163"/>
      <c r="O75" s="245"/>
      <c r="P75" s="365"/>
      <c r="Q75" s="47"/>
      <c r="R75" s="346"/>
      <c r="S75" s="283"/>
      <c r="T75" s="322"/>
      <c r="U75" s="185"/>
      <c r="V75" s="308"/>
      <c r="W75" s="94"/>
      <c r="X75" s="307">
        <f>SUM(X60:X74)</f>
        <v>6146</v>
      </c>
      <c r="Y75" s="296">
        <f>SUM(Y60:Y74)</f>
        <v>6008.3</v>
      </c>
      <c r="Z75" s="162">
        <f t="shared" ref="Z75" si="112">X75-Y75</f>
        <v>137.69999999999982</v>
      </c>
      <c r="AA75" s="158">
        <f t="shared" ref="AA75" si="113">Z75/Y75</f>
        <v>2.2918296356706527E-2</v>
      </c>
      <c r="AB75" s="100"/>
      <c r="AC75" s="384"/>
      <c r="AD75" s="227">
        <f>X75*(0.001425*0.5)+X75*0.003+Y75*(0.001425*0.5)</f>
        <v>27.097938750000001</v>
      </c>
      <c r="AE75" s="6">
        <f>Z75-AD75</f>
        <v>110.60206124999982</v>
      </c>
      <c r="AF75" s="83"/>
      <c r="AG75" s="33"/>
      <c r="AH75" s="46" t="s">
        <v>6223</v>
      </c>
    </row>
    <row r="76" spans="1:37">
      <c r="B76" s="79"/>
      <c r="C76" s="79"/>
      <c r="D76" s="80"/>
      <c r="E76" s="79"/>
      <c r="F76" s="6"/>
      <c r="G76" s="79"/>
      <c r="H76" s="8"/>
      <c r="I76" s="16"/>
      <c r="J76" s="102"/>
      <c r="L76" s="123"/>
      <c r="P76" s="365"/>
      <c r="Q76" s="47"/>
      <c r="R76" s="346"/>
      <c r="S76" s="81"/>
      <c r="T76" s="327"/>
      <c r="U76" s="34"/>
      <c r="V76" s="310"/>
      <c r="W76" s="94"/>
      <c r="X76" s="36"/>
      <c r="Y76" s="66"/>
      <c r="Z76" s="15"/>
      <c r="AA76" s="63"/>
      <c r="AD76" s="16"/>
      <c r="AG76" s="33"/>
      <c r="AH76" s="117"/>
      <c r="AI76" s="63"/>
      <c r="AJ76" s="284"/>
    </row>
    <row r="77" spans="1:37">
      <c r="A77" s="94">
        <v>29.3</v>
      </c>
      <c r="B77" s="79">
        <v>11</v>
      </c>
      <c r="C77" s="79">
        <v>11</v>
      </c>
      <c r="D77" s="80">
        <v>-10</v>
      </c>
      <c r="E77" s="79">
        <v>9</v>
      </c>
      <c r="F77" s="6">
        <v>26.71</v>
      </c>
      <c r="G77" s="80">
        <v>8464</v>
      </c>
      <c r="H77" s="192" t="s">
        <v>235</v>
      </c>
      <c r="I77" s="22" t="s">
        <v>257</v>
      </c>
      <c r="J77" s="102" t="s">
        <v>4720</v>
      </c>
      <c r="L77" s="245"/>
      <c r="P77" s="365">
        <v>703</v>
      </c>
      <c r="Q77" s="79">
        <v>693</v>
      </c>
      <c r="R77" s="346">
        <v>88</v>
      </c>
      <c r="S77" s="81">
        <v>293</v>
      </c>
      <c r="T77" s="327">
        <v>318</v>
      </c>
      <c r="U77" s="34">
        <v>11</v>
      </c>
      <c r="V77" s="310">
        <f>U77/X77</f>
        <v>3.2448377581120944E-2</v>
      </c>
      <c r="W77" s="94">
        <v>18.16</v>
      </c>
      <c r="X77" s="36">
        <v>339</v>
      </c>
      <c r="Y77" s="66">
        <v>334.5</v>
      </c>
      <c r="Z77" s="15">
        <f t="shared" ref="Z77:Z82" si="114">X77-Y77</f>
        <v>4.5</v>
      </c>
      <c r="AA77" s="63">
        <f t="shared" ref="AA77:AA82" si="115">Z77/Y77</f>
        <v>1.3452914798206279E-2</v>
      </c>
      <c r="AB77" s="344">
        <v>-34.33</v>
      </c>
      <c r="AD77" s="22" t="s">
        <v>257</v>
      </c>
      <c r="AE77" s="84">
        <v>44650</v>
      </c>
      <c r="AF77" s="83">
        <v>44651</v>
      </c>
      <c r="AG77" s="33">
        <f t="shared" ref="AG77:AG82" si="116">AF77-AE77</f>
        <v>1</v>
      </c>
      <c r="AH77" s="117" t="s">
        <v>1418</v>
      </c>
      <c r="AI77" s="63"/>
      <c r="AJ77" s="284"/>
    </row>
    <row r="78" spans="1:37">
      <c r="A78" s="94">
        <v>29.8</v>
      </c>
      <c r="B78" s="79">
        <v>61</v>
      </c>
      <c r="C78" s="79">
        <v>56</v>
      </c>
      <c r="D78" s="80">
        <v>-16</v>
      </c>
      <c r="E78" s="79">
        <v>25</v>
      </c>
      <c r="F78" s="6">
        <v>23.18</v>
      </c>
      <c r="G78" s="80">
        <v>9938</v>
      </c>
      <c r="H78" s="8" t="s">
        <v>235</v>
      </c>
      <c r="I78" s="22" t="s">
        <v>136</v>
      </c>
      <c r="J78" s="102" t="s">
        <v>4720</v>
      </c>
      <c r="L78" s="123"/>
      <c r="P78" s="365">
        <v>1075</v>
      </c>
      <c r="Q78" s="79">
        <v>437</v>
      </c>
      <c r="R78" s="346">
        <v>177</v>
      </c>
      <c r="S78" s="81">
        <v>491</v>
      </c>
      <c r="T78" s="327">
        <v>705</v>
      </c>
      <c r="U78" s="34">
        <v>3.5</v>
      </c>
      <c r="V78" s="310">
        <f>U78/X78</f>
        <v>4.8814504881450484E-2</v>
      </c>
      <c r="W78" s="94">
        <v>6.8</v>
      </c>
      <c r="X78" s="36">
        <v>71.7</v>
      </c>
      <c r="Y78" s="66">
        <v>70.099999999999994</v>
      </c>
      <c r="Z78" s="15">
        <f t="shared" si="114"/>
        <v>1.6000000000000085</v>
      </c>
      <c r="AA78" s="63">
        <f t="shared" si="115"/>
        <v>2.2824536376604972E-2</v>
      </c>
      <c r="AB78" s="344">
        <v>-36.42</v>
      </c>
      <c r="AD78" s="22" t="s">
        <v>136</v>
      </c>
      <c r="AE78" s="84">
        <v>44650</v>
      </c>
      <c r="AF78" s="83">
        <v>44651</v>
      </c>
      <c r="AG78" s="33">
        <f t="shared" si="116"/>
        <v>1</v>
      </c>
      <c r="AH78" s="117" t="s">
        <v>2849</v>
      </c>
      <c r="AI78" s="63"/>
      <c r="AJ78" s="284"/>
    </row>
    <row r="79" spans="1:37">
      <c r="A79" s="94">
        <v>6.6</v>
      </c>
      <c r="B79" s="80">
        <v>-17</v>
      </c>
      <c r="C79" s="80">
        <v>-14</v>
      </c>
      <c r="D79" s="80">
        <v>-14</v>
      </c>
      <c r="E79" s="79">
        <v>11</v>
      </c>
      <c r="F79" s="6">
        <v>10.97</v>
      </c>
      <c r="G79" s="79">
        <v>2753</v>
      </c>
      <c r="H79" s="8" t="s">
        <v>303</v>
      </c>
      <c r="I79" s="22" t="s">
        <v>3421</v>
      </c>
      <c r="J79" s="102" t="s">
        <v>4720</v>
      </c>
      <c r="L79" s="123"/>
      <c r="P79" s="365">
        <v>581</v>
      </c>
      <c r="Q79" s="79" t="s">
        <v>6289</v>
      </c>
      <c r="R79" s="346">
        <v>1043</v>
      </c>
      <c r="S79" s="81" t="s">
        <v>6289</v>
      </c>
      <c r="T79" s="327">
        <v>1002</v>
      </c>
      <c r="U79" s="34">
        <v>4.2300000000000004</v>
      </c>
      <c r="V79" s="310">
        <f>U79/X79</f>
        <v>3.1804511278195495E-2</v>
      </c>
      <c r="W79" s="94">
        <v>8.89</v>
      </c>
      <c r="X79" s="36">
        <v>133</v>
      </c>
      <c r="Y79" s="66">
        <v>130</v>
      </c>
      <c r="Z79" s="15">
        <f t="shared" si="114"/>
        <v>3</v>
      </c>
      <c r="AA79" s="63">
        <f t="shared" si="115"/>
        <v>2.3076923076923078E-2</v>
      </c>
      <c r="AB79" s="344">
        <v>-36.450000000000003</v>
      </c>
      <c r="AD79" s="22" t="s">
        <v>3421</v>
      </c>
      <c r="AE79" s="84">
        <v>44650</v>
      </c>
      <c r="AF79" s="83">
        <v>44651</v>
      </c>
      <c r="AG79" s="33">
        <f t="shared" si="116"/>
        <v>1</v>
      </c>
      <c r="AH79" s="43" t="s">
        <v>2999</v>
      </c>
      <c r="AI79" s="63"/>
      <c r="AJ79" s="284"/>
    </row>
    <row r="80" spans="1:37">
      <c r="A80" s="94">
        <v>8.1300000000000008</v>
      </c>
      <c r="B80" s="79">
        <v>231</v>
      </c>
      <c r="C80" s="79">
        <v>245</v>
      </c>
      <c r="D80" s="80">
        <v>-6</v>
      </c>
      <c r="E80" s="79">
        <v>28</v>
      </c>
      <c r="F80" s="6">
        <v>19.72</v>
      </c>
      <c r="G80" s="79">
        <v>8261</v>
      </c>
      <c r="H80" s="5" t="s">
        <v>3039</v>
      </c>
      <c r="I80" s="22" t="s">
        <v>322</v>
      </c>
      <c r="J80" s="8" t="s">
        <v>3543</v>
      </c>
      <c r="L80" s="123"/>
      <c r="P80" s="365">
        <v>40</v>
      </c>
      <c r="Q80" s="79">
        <v>114</v>
      </c>
      <c r="R80" s="346">
        <v>407</v>
      </c>
      <c r="S80" s="81">
        <v>491</v>
      </c>
      <c r="T80" s="327">
        <v>151</v>
      </c>
      <c r="U80" s="34">
        <v>6</v>
      </c>
      <c r="V80" s="310">
        <f>U80/X80</f>
        <v>5.2173913043478258E-2</v>
      </c>
      <c r="W80" s="94">
        <v>8.0299999999999994</v>
      </c>
      <c r="X80" s="36">
        <v>115</v>
      </c>
      <c r="Y80" s="66">
        <v>112.5</v>
      </c>
      <c r="Z80" s="15">
        <f t="shared" si="114"/>
        <v>2.5</v>
      </c>
      <c r="AA80" s="63">
        <f t="shared" si="115"/>
        <v>2.2222222222222223E-2</v>
      </c>
      <c r="AB80" s="344">
        <v>-19.34</v>
      </c>
      <c r="AD80" s="22" t="s">
        <v>322</v>
      </c>
      <c r="AE80" s="84">
        <v>44649</v>
      </c>
      <c r="AF80" s="83">
        <v>44650</v>
      </c>
      <c r="AG80" s="33">
        <f t="shared" si="116"/>
        <v>1</v>
      </c>
      <c r="AH80" s="43" t="s">
        <v>2176</v>
      </c>
      <c r="AI80" s="63"/>
      <c r="AJ80" s="284"/>
    </row>
    <row r="81" spans="1:36">
      <c r="A81" s="94">
        <v>19.7</v>
      </c>
      <c r="B81" s="80">
        <v>-6</v>
      </c>
      <c r="C81" s="79">
        <v>133</v>
      </c>
      <c r="D81" s="80">
        <v>-2</v>
      </c>
      <c r="E81" s="79">
        <v>45</v>
      </c>
      <c r="F81" s="6">
        <v>14.52</v>
      </c>
      <c r="G81" s="79">
        <v>8299</v>
      </c>
      <c r="H81" s="193" t="s">
        <v>3039</v>
      </c>
      <c r="I81" s="16" t="s">
        <v>4073</v>
      </c>
      <c r="J81" s="8" t="s">
        <v>3545</v>
      </c>
      <c r="L81" s="123"/>
      <c r="P81" s="365">
        <v>404</v>
      </c>
      <c r="Q81" s="79">
        <v>104</v>
      </c>
      <c r="R81" s="346">
        <v>132</v>
      </c>
      <c r="S81" s="81">
        <v>79</v>
      </c>
      <c r="T81" s="327">
        <v>217</v>
      </c>
      <c r="U81" s="34">
        <v>13</v>
      </c>
      <c r="V81" s="310">
        <f t="shared" ref="V81" si="117">U81/X81</f>
        <v>2.6262626262626262E-2</v>
      </c>
      <c r="W81" s="94">
        <v>51.35</v>
      </c>
      <c r="X81" s="36">
        <v>495</v>
      </c>
      <c r="Y81" s="66">
        <v>483.5</v>
      </c>
      <c r="Z81" s="15">
        <f t="shared" si="114"/>
        <v>11.5</v>
      </c>
      <c r="AA81" s="63">
        <f t="shared" si="115"/>
        <v>2.3784901758014478E-2</v>
      </c>
      <c r="AB81" s="344">
        <v>-21.61</v>
      </c>
      <c r="AD81" s="16" t="s">
        <v>4073</v>
      </c>
      <c r="AE81" s="84">
        <v>44638</v>
      </c>
      <c r="AF81" s="83">
        <v>44650</v>
      </c>
      <c r="AG81" s="33">
        <f t="shared" si="116"/>
        <v>12</v>
      </c>
      <c r="AH81" s="117" t="s">
        <v>2129</v>
      </c>
      <c r="AI81" s="63"/>
      <c r="AJ81" s="284"/>
    </row>
    <row r="82" spans="1:36">
      <c r="A82" s="94">
        <v>9.01</v>
      </c>
      <c r="B82" s="79">
        <v>8</v>
      </c>
      <c r="C82" s="79">
        <v>1</v>
      </c>
      <c r="D82" s="79">
        <v>0</v>
      </c>
      <c r="E82" s="79">
        <v>50</v>
      </c>
      <c r="F82" s="6">
        <v>25.71</v>
      </c>
      <c r="G82" s="80">
        <v>3217</v>
      </c>
      <c r="H82" s="8" t="s">
        <v>308</v>
      </c>
      <c r="I82" s="16" t="s">
        <v>402</v>
      </c>
      <c r="J82" s="50" t="s">
        <v>4748</v>
      </c>
      <c r="L82" s="123"/>
      <c r="P82" s="365">
        <v>440</v>
      </c>
      <c r="Q82" s="79">
        <v>767</v>
      </c>
      <c r="R82" s="346">
        <v>888</v>
      </c>
      <c r="S82" s="81">
        <v>62</v>
      </c>
      <c r="T82" s="327">
        <v>256</v>
      </c>
      <c r="U82" s="34">
        <v>5.6</v>
      </c>
      <c r="V82" s="310">
        <f>U82/X82</f>
        <v>4.8695652173913043E-2</v>
      </c>
      <c r="W82" s="94">
        <v>7.11</v>
      </c>
      <c r="X82" s="36">
        <v>115</v>
      </c>
      <c r="Y82" s="66">
        <v>110.5</v>
      </c>
      <c r="Z82" s="15">
        <f t="shared" si="114"/>
        <v>4.5</v>
      </c>
      <c r="AA82" s="63">
        <f t="shared" si="115"/>
        <v>4.072398190045249E-2</v>
      </c>
      <c r="AB82" s="344">
        <v>-24.33</v>
      </c>
      <c r="AD82" s="16" t="s">
        <v>402</v>
      </c>
      <c r="AE82" s="84">
        <v>44648</v>
      </c>
      <c r="AF82" s="83">
        <v>44649</v>
      </c>
      <c r="AG82" s="33">
        <f t="shared" si="116"/>
        <v>1</v>
      </c>
      <c r="AH82" s="43" t="s">
        <v>4553</v>
      </c>
      <c r="AI82" s="63"/>
      <c r="AJ82" s="284"/>
    </row>
    <row r="83" spans="1:36">
      <c r="A83" s="94">
        <v>7.5</v>
      </c>
      <c r="B83" s="79">
        <v>192</v>
      </c>
      <c r="C83" s="79">
        <v>175</v>
      </c>
      <c r="D83" s="80">
        <v>-11</v>
      </c>
      <c r="E83" s="79">
        <v>117</v>
      </c>
      <c r="F83" s="6">
        <v>10.11</v>
      </c>
      <c r="G83" s="79">
        <v>4721</v>
      </c>
      <c r="H83" s="8" t="s">
        <v>3578</v>
      </c>
      <c r="I83" s="16" t="s">
        <v>3629</v>
      </c>
      <c r="J83" s="50" t="s">
        <v>4748</v>
      </c>
      <c r="L83" s="123"/>
      <c r="P83" s="365">
        <v>113</v>
      </c>
      <c r="Q83" s="79">
        <v>221</v>
      </c>
      <c r="R83" s="346">
        <v>1198</v>
      </c>
      <c r="S83" s="81">
        <v>460</v>
      </c>
      <c r="T83" s="327">
        <v>120</v>
      </c>
      <c r="U83" s="34">
        <v>3.8</v>
      </c>
      <c r="V83" s="310">
        <f t="shared" ref="V83" si="118">U83/X83</f>
        <v>2.4050632911392405E-2</v>
      </c>
      <c r="W83" s="94">
        <v>4.8099999999999996</v>
      </c>
      <c r="X83" s="36">
        <v>158</v>
      </c>
      <c r="Y83" s="66">
        <v>155</v>
      </c>
      <c r="Z83" s="15">
        <f t="shared" ref="Z83" si="119">X83-Y83</f>
        <v>3</v>
      </c>
      <c r="AA83" s="63">
        <f t="shared" ref="AA83" si="120">Z83/Y83</f>
        <v>1.935483870967742E-2</v>
      </c>
      <c r="AB83" s="344">
        <v>-15.99</v>
      </c>
      <c r="AD83" s="16" t="s">
        <v>3629</v>
      </c>
      <c r="AE83" s="84">
        <v>44645</v>
      </c>
      <c r="AF83" s="83">
        <v>44649</v>
      </c>
      <c r="AG83" s="33">
        <f t="shared" ref="AG83" si="121">AF83-AE83</f>
        <v>4</v>
      </c>
      <c r="AH83" s="117" t="s">
        <v>2290</v>
      </c>
      <c r="AI83" s="63"/>
      <c r="AJ83" s="284"/>
    </row>
    <row r="84" spans="1:36">
      <c r="A84" s="94">
        <v>10.8</v>
      </c>
      <c r="B84" s="79">
        <v>133</v>
      </c>
      <c r="C84" s="79">
        <v>144</v>
      </c>
      <c r="D84" s="79">
        <v>10</v>
      </c>
      <c r="E84" s="79">
        <v>58</v>
      </c>
      <c r="F84" s="6">
        <v>22.08</v>
      </c>
      <c r="G84" s="79">
        <v>4952</v>
      </c>
      <c r="H84" s="8" t="s">
        <v>3039</v>
      </c>
      <c r="I84" s="22" t="s">
        <v>176</v>
      </c>
      <c r="J84" s="8" t="s">
        <v>3543</v>
      </c>
      <c r="L84" s="123"/>
      <c r="P84" s="365">
        <v>306</v>
      </c>
      <c r="Q84" s="79">
        <v>553</v>
      </c>
      <c r="R84" s="346">
        <v>688</v>
      </c>
      <c r="S84" s="81">
        <v>403</v>
      </c>
      <c r="T84" s="327">
        <v>560</v>
      </c>
      <c r="U84" s="34">
        <v>5.4</v>
      </c>
      <c r="V84" s="310">
        <f t="shared" ref="V84" si="122">U84/X84</f>
        <v>6.4593301435406703E-2</v>
      </c>
      <c r="W84" s="94">
        <v>2.59</v>
      </c>
      <c r="X84" s="36">
        <v>83.6</v>
      </c>
      <c r="Y84" s="66">
        <v>82</v>
      </c>
      <c r="Z84" s="15">
        <f t="shared" ref="Z84" si="123">X84-Y84</f>
        <v>1.5999999999999943</v>
      </c>
      <c r="AA84" s="63">
        <f t="shared" ref="AA84" si="124">Z84/Y84</f>
        <v>1.951219512195115E-2</v>
      </c>
      <c r="AB84" s="344">
        <v>-16.2</v>
      </c>
      <c r="AD84" s="22" t="s">
        <v>176</v>
      </c>
      <c r="AE84" s="84">
        <v>44648</v>
      </c>
      <c r="AF84" s="83">
        <v>44649</v>
      </c>
      <c r="AG84" s="33">
        <f t="shared" ref="AG84" si="125">AF84-AE84</f>
        <v>1</v>
      </c>
      <c r="AH84" s="117" t="s">
        <v>2105</v>
      </c>
      <c r="AI84" s="63"/>
      <c r="AJ84" s="284"/>
    </row>
    <row r="85" spans="1:36">
      <c r="A85" s="94">
        <v>17.8</v>
      </c>
      <c r="B85" s="79">
        <v>120</v>
      </c>
      <c r="C85" s="79">
        <v>264</v>
      </c>
      <c r="D85" s="80">
        <v>-16</v>
      </c>
      <c r="E85" s="79">
        <v>46</v>
      </c>
      <c r="F85" s="6">
        <v>12.77</v>
      </c>
      <c r="G85" s="80">
        <v>2436</v>
      </c>
      <c r="H85" s="17" t="s">
        <v>3039</v>
      </c>
      <c r="I85" s="22" t="s">
        <v>112</v>
      </c>
      <c r="J85" s="50" t="s">
        <v>4748</v>
      </c>
      <c r="L85" s="123"/>
      <c r="P85" s="365">
        <v>53</v>
      </c>
      <c r="Q85" s="79">
        <v>378</v>
      </c>
      <c r="R85" s="346">
        <v>764</v>
      </c>
      <c r="S85" s="81">
        <v>345</v>
      </c>
      <c r="T85" s="327">
        <v>97</v>
      </c>
      <c r="U85" s="34">
        <v>3</v>
      </c>
      <c r="V85" s="310">
        <f>U85/X85</f>
        <v>3.2967032967032968E-2</v>
      </c>
      <c r="W85" s="94">
        <v>4.25</v>
      </c>
      <c r="X85" s="36">
        <v>91</v>
      </c>
      <c r="Y85" s="66">
        <v>89.4</v>
      </c>
      <c r="Z85" s="15">
        <f>X85-Y85</f>
        <v>1.5999999999999943</v>
      </c>
      <c r="AA85" s="63">
        <f>Z85/Y85</f>
        <v>1.7897091722595012E-2</v>
      </c>
      <c r="AB85" s="344">
        <v>-20.079999999999998</v>
      </c>
      <c r="AD85" s="22" t="s">
        <v>112</v>
      </c>
      <c r="AE85" s="84">
        <v>44644</v>
      </c>
      <c r="AF85" s="83">
        <v>44645</v>
      </c>
      <c r="AG85" s="33">
        <f>AF85-AE85</f>
        <v>1</v>
      </c>
      <c r="AH85" s="43" t="s">
        <v>2194</v>
      </c>
      <c r="AI85" s="63"/>
      <c r="AJ85" s="284"/>
    </row>
    <row r="86" spans="1:36">
      <c r="A86" s="94">
        <v>29.2</v>
      </c>
      <c r="B86" s="79">
        <v>64</v>
      </c>
      <c r="C86" s="79">
        <v>64</v>
      </c>
      <c r="D86" s="80">
        <v>-6</v>
      </c>
      <c r="E86" s="79">
        <v>68</v>
      </c>
      <c r="F86" s="6">
        <v>6.45</v>
      </c>
      <c r="G86" s="79">
        <v>6278</v>
      </c>
      <c r="H86" s="5" t="s">
        <v>306</v>
      </c>
      <c r="I86" s="22" t="s">
        <v>4281</v>
      </c>
      <c r="J86" s="8" t="s">
        <v>4741</v>
      </c>
      <c r="L86" s="123"/>
      <c r="P86" s="365">
        <v>379</v>
      </c>
      <c r="Q86" s="79">
        <v>273</v>
      </c>
      <c r="R86" s="346">
        <v>359</v>
      </c>
      <c r="S86" s="81">
        <v>142</v>
      </c>
      <c r="T86" s="327">
        <v>101</v>
      </c>
      <c r="U86" s="34">
        <v>3.3</v>
      </c>
      <c r="V86" s="310">
        <f t="shared" ref="V86" si="126">U86/X86</f>
        <v>2.7848101265822784E-2</v>
      </c>
      <c r="W86" s="94">
        <v>10.73</v>
      </c>
      <c r="X86" s="36">
        <v>118.5</v>
      </c>
      <c r="Y86" s="66">
        <v>116.5</v>
      </c>
      <c r="Z86" s="15">
        <f t="shared" ref="Z86" si="127">X86-Y86</f>
        <v>2</v>
      </c>
      <c r="AA86" s="63">
        <f t="shared" ref="AA86" si="128">Z86/Y86</f>
        <v>1.7167381974248927E-2</v>
      </c>
      <c r="AB86" s="344">
        <v>-3.47</v>
      </c>
      <c r="AD86" s="22" t="s">
        <v>4281</v>
      </c>
      <c r="AE86" s="84">
        <v>44602</v>
      </c>
      <c r="AF86" s="83">
        <v>44645</v>
      </c>
      <c r="AG86" s="33">
        <f t="shared" ref="AG86" si="129">AF86-AE86</f>
        <v>43</v>
      </c>
      <c r="AH86" s="43" t="s">
        <v>4282</v>
      </c>
      <c r="AI86" s="63"/>
      <c r="AJ86" s="284"/>
    </row>
    <row r="87" spans="1:36">
      <c r="A87" s="94">
        <v>3.41</v>
      </c>
      <c r="B87" s="79">
        <v>33</v>
      </c>
      <c r="C87" s="79">
        <v>11</v>
      </c>
      <c r="D87" s="79">
        <v>1</v>
      </c>
      <c r="E87" s="79">
        <v>85</v>
      </c>
      <c r="F87" s="6">
        <v>18.12</v>
      </c>
      <c r="G87" s="79">
        <v>6591</v>
      </c>
      <c r="H87" s="46" t="s">
        <v>1146</v>
      </c>
      <c r="I87" s="22" t="s">
        <v>470</v>
      </c>
      <c r="J87" s="8" t="s">
        <v>3543</v>
      </c>
      <c r="L87" s="123"/>
      <c r="P87" s="365">
        <v>92</v>
      </c>
      <c r="Q87" s="79">
        <v>117</v>
      </c>
      <c r="R87" s="346">
        <v>234</v>
      </c>
      <c r="S87" s="81">
        <v>240</v>
      </c>
      <c r="T87" s="327">
        <v>705</v>
      </c>
      <c r="U87" s="34">
        <v>4</v>
      </c>
      <c r="V87" s="310">
        <f t="shared" ref="V87" si="130">U87/X87</f>
        <v>6.4516129032258063E-2</v>
      </c>
      <c r="W87" s="94">
        <v>6.84</v>
      </c>
      <c r="X87" s="36">
        <v>62</v>
      </c>
      <c r="Y87" s="66">
        <v>60.9</v>
      </c>
      <c r="Z87" s="15">
        <f t="shared" ref="Z87" si="131">X87-Y87</f>
        <v>1.1000000000000014</v>
      </c>
      <c r="AA87" s="63">
        <f t="shared" ref="AA87" si="132">Z87/Y87</f>
        <v>1.8062397372742223E-2</v>
      </c>
      <c r="AB87" s="344">
        <v>-24.36</v>
      </c>
      <c r="AD87" s="22" t="s">
        <v>470</v>
      </c>
      <c r="AE87" s="84">
        <v>44637</v>
      </c>
      <c r="AF87" s="83">
        <v>44645</v>
      </c>
      <c r="AG87" s="33">
        <f t="shared" ref="AG87" si="133">AF87-AE87</f>
        <v>8</v>
      </c>
      <c r="AH87" s="43" t="s">
        <v>2316</v>
      </c>
      <c r="AI87" s="63"/>
      <c r="AJ87" s="284"/>
    </row>
    <row r="88" spans="1:36">
      <c r="A88" s="94">
        <v>4.4000000000000004</v>
      </c>
      <c r="B88" s="92">
        <v>1610</v>
      </c>
      <c r="C88" s="92">
        <v>2987</v>
      </c>
      <c r="D88" s="80">
        <v>-2</v>
      </c>
      <c r="E88" s="79">
        <v>51</v>
      </c>
      <c r="F88" s="6">
        <v>31.91</v>
      </c>
      <c r="G88" s="79">
        <v>6485</v>
      </c>
      <c r="H88" s="17" t="s">
        <v>3039</v>
      </c>
      <c r="I88" s="16" t="s">
        <v>232</v>
      </c>
      <c r="J88" s="50" t="s">
        <v>4748</v>
      </c>
      <c r="L88" s="123"/>
      <c r="P88" s="365">
        <v>16</v>
      </c>
      <c r="Q88" s="79">
        <v>124</v>
      </c>
      <c r="R88" s="346">
        <v>805</v>
      </c>
      <c r="S88" s="81">
        <v>418</v>
      </c>
      <c r="T88" s="327">
        <v>69</v>
      </c>
      <c r="U88" s="34">
        <v>5</v>
      </c>
      <c r="V88" s="310">
        <f>U88/X88</f>
        <v>3.2786885245901641E-2</v>
      </c>
      <c r="W88" s="94">
        <v>12.29</v>
      </c>
      <c r="X88" s="36">
        <v>152.5</v>
      </c>
      <c r="Y88" s="66">
        <v>150</v>
      </c>
      <c r="Z88" s="15">
        <f>X88-Y88</f>
        <v>2.5</v>
      </c>
      <c r="AA88" s="63">
        <f>Z88/Y88</f>
        <v>1.6666666666666666E-2</v>
      </c>
      <c r="AB88" s="344">
        <v>-20.94</v>
      </c>
      <c r="AD88" s="16" t="s">
        <v>232</v>
      </c>
      <c r="AE88" s="84">
        <v>44644</v>
      </c>
      <c r="AF88" s="86">
        <v>44644</v>
      </c>
      <c r="AG88" s="33">
        <f>AF88-AE88</f>
        <v>0</v>
      </c>
      <c r="AH88" s="43" t="s">
        <v>2365</v>
      </c>
      <c r="AI88" s="63"/>
      <c r="AJ88" s="284"/>
    </row>
    <row r="89" spans="1:36">
      <c r="A89" s="94">
        <v>7.5</v>
      </c>
      <c r="B89" s="79">
        <v>148</v>
      </c>
      <c r="C89" s="79">
        <v>148</v>
      </c>
      <c r="D89" s="80">
        <v>-11</v>
      </c>
      <c r="E89" s="79">
        <v>117</v>
      </c>
      <c r="F89" s="6">
        <v>10.91</v>
      </c>
      <c r="G89" s="79">
        <v>4721</v>
      </c>
      <c r="H89" s="8" t="s">
        <v>3578</v>
      </c>
      <c r="I89" s="16" t="s">
        <v>3629</v>
      </c>
      <c r="J89" s="8" t="s">
        <v>3543</v>
      </c>
      <c r="L89" s="123"/>
      <c r="P89" s="365">
        <v>113</v>
      </c>
      <c r="Q89" s="79">
        <v>221</v>
      </c>
      <c r="R89" s="346">
        <v>1198</v>
      </c>
      <c r="S89" s="81">
        <v>460</v>
      </c>
      <c r="T89" s="327">
        <v>120</v>
      </c>
      <c r="U89" s="34">
        <v>3.8</v>
      </c>
      <c r="V89" s="310">
        <f t="shared" ref="V89" si="134">U89/X89</f>
        <v>2.4203821656050954E-2</v>
      </c>
      <c r="W89" s="94">
        <v>4.8099999999999996</v>
      </c>
      <c r="X89" s="36">
        <v>157</v>
      </c>
      <c r="Y89" s="66">
        <v>154</v>
      </c>
      <c r="Z89" s="15">
        <f t="shared" ref="Z89" si="135">X89-Y89</f>
        <v>3</v>
      </c>
      <c r="AA89" s="63">
        <f t="shared" ref="AA89" si="136">Z89/Y89</f>
        <v>1.948051948051948E-2</v>
      </c>
      <c r="AB89" s="344">
        <v>-17.34</v>
      </c>
      <c r="AD89" s="16" t="s">
        <v>3629</v>
      </c>
      <c r="AE89" s="84">
        <v>44643</v>
      </c>
      <c r="AF89" s="83">
        <v>44644</v>
      </c>
      <c r="AG89" s="33">
        <f t="shared" ref="AG89" si="137">AF89-AE89</f>
        <v>1</v>
      </c>
      <c r="AH89" s="117" t="s">
        <v>2290</v>
      </c>
      <c r="AI89" s="63"/>
      <c r="AJ89" s="284"/>
    </row>
    <row r="90" spans="1:36">
      <c r="A90" s="94">
        <v>10.8</v>
      </c>
      <c r="B90" s="79">
        <v>133</v>
      </c>
      <c r="C90" s="79">
        <v>144</v>
      </c>
      <c r="D90" s="79">
        <v>10</v>
      </c>
      <c r="E90" s="79">
        <v>58</v>
      </c>
      <c r="F90" s="6">
        <v>22.08</v>
      </c>
      <c r="G90" s="79">
        <v>4952</v>
      </c>
      <c r="H90" s="8" t="s">
        <v>3039</v>
      </c>
      <c r="I90" s="22" t="s">
        <v>176</v>
      </c>
      <c r="J90" s="8" t="s">
        <v>3543</v>
      </c>
      <c r="L90" s="123"/>
      <c r="P90" s="365">
        <v>306</v>
      </c>
      <c r="Q90" s="79">
        <v>553</v>
      </c>
      <c r="R90" s="346">
        <v>688</v>
      </c>
      <c r="S90" s="81">
        <v>403</v>
      </c>
      <c r="T90" s="327">
        <v>560</v>
      </c>
      <c r="U90" s="34">
        <v>5.4</v>
      </c>
      <c r="V90" s="310">
        <f>U90/X90</f>
        <v>7.2972972972972977E-2</v>
      </c>
      <c r="W90" s="94">
        <v>2.59</v>
      </c>
      <c r="X90" s="36">
        <v>74</v>
      </c>
      <c r="Y90" s="66">
        <v>72.7</v>
      </c>
      <c r="Z90" s="15">
        <f t="shared" ref="Z90" si="138">X90-Y90</f>
        <v>1.2999999999999972</v>
      </c>
      <c r="AA90" s="63">
        <f t="shared" ref="AA90" si="139">Z90/Y90</f>
        <v>1.7881705639614817E-2</v>
      </c>
      <c r="AB90" s="344">
        <v>-25.9</v>
      </c>
      <c r="AD90" s="22" t="s">
        <v>176</v>
      </c>
      <c r="AE90" s="84">
        <v>44638</v>
      </c>
      <c r="AF90" s="83">
        <v>44643</v>
      </c>
      <c r="AG90" s="33">
        <f t="shared" ref="AG90" si="140">AF90-AE90</f>
        <v>5</v>
      </c>
      <c r="AH90" s="117" t="s">
        <v>2105</v>
      </c>
      <c r="AI90" s="63"/>
      <c r="AJ90" s="284"/>
    </row>
    <row r="91" spans="1:36">
      <c r="A91" s="94">
        <v>3.89</v>
      </c>
      <c r="B91" s="92">
        <v>1262</v>
      </c>
      <c r="C91" s="92">
        <v>1058</v>
      </c>
      <c r="D91" s="80">
        <v>-45</v>
      </c>
      <c r="E91" s="79">
        <v>32</v>
      </c>
      <c r="F91" s="6">
        <v>17.05</v>
      </c>
      <c r="G91" s="79">
        <v>3122</v>
      </c>
      <c r="H91" s="183" t="s">
        <v>3039</v>
      </c>
      <c r="I91" s="16" t="s">
        <v>358</v>
      </c>
      <c r="J91" s="8" t="s">
        <v>3543</v>
      </c>
      <c r="L91" s="123"/>
      <c r="P91" s="365">
        <v>62</v>
      </c>
      <c r="Q91" s="79">
        <v>49</v>
      </c>
      <c r="R91" s="346">
        <v>980</v>
      </c>
      <c r="S91" s="81" t="s">
        <v>6289</v>
      </c>
      <c r="T91" s="327">
        <v>97</v>
      </c>
      <c r="U91" s="34">
        <v>2.2000000000000002</v>
      </c>
      <c r="V91" s="310">
        <f>U91/X91</f>
        <v>3.7735849056603779E-2</v>
      </c>
      <c r="W91" s="94">
        <v>3.38</v>
      </c>
      <c r="X91" s="36">
        <v>58.3</v>
      </c>
      <c r="Y91" s="66">
        <v>57.1</v>
      </c>
      <c r="Z91" s="15">
        <f>X91-Y91</f>
        <v>1.1999999999999957</v>
      </c>
      <c r="AA91" s="63">
        <f>Z91/Y91</f>
        <v>2.1015761821365948E-2</v>
      </c>
      <c r="AB91" s="344">
        <v>-22.94</v>
      </c>
      <c r="AD91" s="16" t="s">
        <v>358</v>
      </c>
      <c r="AE91" s="84">
        <v>44643</v>
      </c>
      <c r="AF91" s="86">
        <v>44643</v>
      </c>
      <c r="AG91" s="33">
        <f>AF91-AE91</f>
        <v>0</v>
      </c>
      <c r="AH91" s="43" t="s">
        <v>2352</v>
      </c>
      <c r="AI91" s="63"/>
      <c r="AJ91" s="284"/>
    </row>
    <row r="92" spans="1:36">
      <c r="A92" s="94">
        <v>8.1300000000000008</v>
      </c>
      <c r="B92" s="79">
        <v>231</v>
      </c>
      <c r="C92" s="79">
        <v>245</v>
      </c>
      <c r="D92" s="80">
        <v>-6</v>
      </c>
      <c r="E92" s="79">
        <v>28</v>
      </c>
      <c r="F92" s="6">
        <v>19.72</v>
      </c>
      <c r="G92" s="79">
        <v>8261</v>
      </c>
      <c r="H92" s="8" t="s">
        <v>3039</v>
      </c>
      <c r="I92" s="22" t="s">
        <v>322</v>
      </c>
      <c r="J92" s="8" t="s">
        <v>3543</v>
      </c>
      <c r="L92" s="123"/>
      <c r="P92" s="365">
        <v>40</v>
      </c>
      <c r="Q92" s="79">
        <v>114</v>
      </c>
      <c r="R92" s="346">
        <v>407</v>
      </c>
      <c r="S92" s="81">
        <v>491</v>
      </c>
      <c r="T92" s="327">
        <v>151</v>
      </c>
      <c r="U92" s="34">
        <v>6</v>
      </c>
      <c r="V92" s="310">
        <f>U92/X92</f>
        <v>5.0847457627118647E-2</v>
      </c>
      <c r="W92" s="94">
        <v>8.0299999999999994</v>
      </c>
      <c r="X92" s="36">
        <v>118</v>
      </c>
      <c r="Y92" s="66">
        <v>115.5</v>
      </c>
      <c r="Z92" s="15">
        <f>X92-Y92</f>
        <v>2.5</v>
      </c>
      <c r="AA92" s="63">
        <f>Z92/Y92</f>
        <v>2.1645021645021644E-2</v>
      </c>
      <c r="AB92" s="344">
        <v>-16.420000000000002</v>
      </c>
      <c r="AD92" s="22" t="s">
        <v>322</v>
      </c>
      <c r="AE92" s="84">
        <v>44643</v>
      </c>
      <c r="AF92" s="86">
        <v>44643</v>
      </c>
      <c r="AG92" s="33">
        <f>AF92-AE92</f>
        <v>0</v>
      </c>
      <c r="AH92" s="43" t="s">
        <v>2176</v>
      </c>
      <c r="AI92" s="63"/>
      <c r="AJ92" s="284"/>
    </row>
    <row r="93" spans="1:36">
      <c r="A93" s="94">
        <v>3.95</v>
      </c>
      <c r="B93" s="79">
        <v>64</v>
      </c>
      <c r="C93" s="79">
        <v>168</v>
      </c>
      <c r="D93" s="80">
        <v>-26</v>
      </c>
      <c r="E93" s="80">
        <v>-32</v>
      </c>
      <c r="F93" s="6">
        <v>17.600000000000001</v>
      </c>
      <c r="G93" s="79">
        <v>3580</v>
      </c>
      <c r="H93" s="8" t="s">
        <v>314</v>
      </c>
      <c r="I93" s="16" t="s">
        <v>4680</v>
      </c>
      <c r="J93" s="8" t="s">
        <v>3543</v>
      </c>
      <c r="L93" s="123"/>
      <c r="P93" s="365">
        <v>45</v>
      </c>
      <c r="Q93" s="79">
        <v>494</v>
      </c>
      <c r="R93" s="346">
        <v>685</v>
      </c>
      <c r="S93" s="81" t="s">
        <v>6289</v>
      </c>
      <c r="T93" s="327">
        <v>515</v>
      </c>
      <c r="U93" s="34">
        <v>2.1</v>
      </c>
      <c r="V93" s="310">
        <f>U93/X93</f>
        <v>3.0346820809248554E-2</v>
      </c>
      <c r="W93" s="94">
        <v>3.02</v>
      </c>
      <c r="X93" s="36">
        <v>69.2</v>
      </c>
      <c r="Y93" s="66">
        <v>67.7</v>
      </c>
      <c r="Z93" s="15">
        <f>X93-Y93</f>
        <v>1.5</v>
      </c>
      <c r="AA93" s="63">
        <f>Z93/Y93</f>
        <v>2.2156573116691284E-2</v>
      </c>
      <c r="AB93" s="344">
        <v>-16.21</v>
      </c>
      <c r="AD93" s="16" t="s">
        <v>4680</v>
      </c>
      <c r="AE93" s="84">
        <v>44641</v>
      </c>
      <c r="AF93" s="83">
        <v>44643</v>
      </c>
      <c r="AG93" s="33">
        <f>AF93-AE93</f>
        <v>2</v>
      </c>
      <c r="AH93" s="117" t="s">
        <v>2323</v>
      </c>
      <c r="AI93" s="63"/>
      <c r="AJ93" s="284"/>
    </row>
    <row r="94" spans="1:36">
      <c r="A94" s="94">
        <v>9.15</v>
      </c>
      <c r="B94" s="79">
        <v>164</v>
      </c>
      <c r="C94" s="79">
        <v>92</v>
      </c>
      <c r="D94" s="80">
        <v>-9</v>
      </c>
      <c r="E94" s="79">
        <v>14</v>
      </c>
      <c r="F94" s="6">
        <v>11.14</v>
      </c>
      <c r="G94" s="79">
        <v>8255</v>
      </c>
      <c r="H94" s="8" t="s">
        <v>295</v>
      </c>
      <c r="I94" s="16" t="s">
        <v>3597</v>
      </c>
      <c r="J94" s="50" t="s">
        <v>4748</v>
      </c>
      <c r="L94" s="123"/>
      <c r="P94" s="365">
        <v>321</v>
      </c>
      <c r="Q94" s="79">
        <v>300</v>
      </c>
      <c r="R94" s="346">
        <v>590</v>
      </c>
      <c r="S94" s="81">
        <v>84</v>
      </c>
      <c r="T94" s="327">
        <v>52</v>
      </c>
      <c r="U94" s="34">
        <v>4</v>
      </c>
      <c r="V94" s="310">
        <f t="shared" ref="V94:V101" si="141">U94/X94</f>
        <v>1.6129032258064516E-2</v>
      </c>
      <c r="W94" s="94">
        <v>5.25</v>
      </c>
      <c r="X94" s="36">
        <v>248</v>
      </c>
      <c r="Y94" s="66">
        <v>244</v>
      </c>
      <c r="Z94" s="15">
        <f t="shared" ref="Z94:Z101" si="142">X94-Y94</f>
        <v>4</v>
      </c>
      <c r="AA94" s="63">
        <f t="shared" ref="AA94:AA101" si="143">Z94/Y94</f>
        <v>1.6393442622950821E-2</v>
      </c>
      <c r="AB94" s="344">
        <v>-18.86</v>
      </c>
      <c r="AD94" s="16" t="s">
        <v>3597</v>
      </c>
      <c r="AE94" s="84">
        <v>44641</v>
      </c>
      <c r="AF94" s="83">
        <v>44642</v>
      </c>
      <c r="AG94" s="33">
        <f t="shared" ref="AG94:AG101" si="144">AF94-AE94</f>
        <v>1</v>
      </c>
      <c r="AH94" s="117" t="s">
        <v>2341</v>
      </c>
      <c r="AI94" s="63"/>
      <c r="AJ94" s="284"/>
    </row>
    <row r="95" spans="1:36">
      <c r="A95" s="94">
        <v>7</v>
      </c>
      <c r="B95" s="79">
        <v>74</v>
      </c>
      <c r="C95" s="79">
        <v>70</v>
      </c>
      <c r="D95" s="79">
        <v>2</v>
      </c>
      <c r="E95" s="79">
        <v>58</v>
      </c>
      <c r="F95" s="6">
        <v>26.09</v>
      </c>
      <c r="G95" s="79">
        <v>6491</v>
      </c>
      <c r="H95" s="192" t="s">
        <v>309</v>
      </c>
      <c r="I95" s="22" t="s">
        <v>3827</v>
      </c>
      <c r="J95" s="8" t="s">
        <v>3544</v>
      </c>
      <c r="L95" s="123"/>
      <c r="P95" s="365">
        <v>997</v>
      </c>
      <c r="Q95" s="79">
        <v>1118</v>
      </c>
      <c r="R95" s="346">
        <v>373</v>
      </c>
      <c r="S95" s="81">
        <v>74</v>
      </c>
      <c r="T95" s="327">
        <v>482</v>
      </c>
      <c r="U95" s="34">
        <v>8.5</v>
      </c>
      <c r="V95" s="310">
        <f t="shared" si="141"/>
        <v>1.7241379310344827E-2</v>
      </c>
      <c r="W95" s="94">
        <v>17.84</v>
      </c>
      <c r="X95" s="36">
        <v>493</v>
      </c>
      <c r="Y95" s="66">
        <v>483.5</v>
      </c>
      <c r="Z95" s="15">
        <f t="shared" si="142"/>
        <v>9.5</v>
      </c>
      <c r="AA95" s="63">
        <f t="shared" si="143"/>
        <v>1.9648397104446741E-2</v>
      </c>
      <c r="AB95" s="344">
        <v>-28.54</v>
      </c>
      <c r="AD95" s="22" t="s">
        <v>3827</v>
      </c>
      <c r="AE95" s="84">
        <v>44642</v>
      </c>
      <c r="AF95" s="86">
        <v>44642</v>
      </c>
      <c r="AG95" s="33">
        <f t="shared" si="144"/>
        <v>0</v>
      </c>
      <c r="AH95" s="117" t="s">
        <v>3828</v>
      </c>
      <c r="AI95" s="63"/>
      <c r="AJ95" s="284"/>
    </row>
    <row r="96" spans="1:36">
      <c r="A96" s="94">
        <v>3.89</v>
      </c>
      <c r="B96" s="92">
        <v>1262</v>
      </c>
      <c r="C96" s="92">
        <v>1058</v>
      </c>
      <c r="D96" s="80">
        <v>-45</v>
      </c>
      <c r="E96" s="79">
        <v>32</v>
      </c>
      <c r="F96" s="6">
        <v>17.05</v>
      </c>
      <c r="G96" s="79">
        <v>3122</v>
      </c>
      <c r="H96" s="183" t="s">
        <v>3039</v>
      </c>
      <c r="I96" s="16" t="s">
        <v>358</v>
      </c>
      <c r="J96" s="8" t="s">
        <v>3543</v>
      </c>
      <c r="L96" s="123"/>
      <c r="P96" s="365">
        <v>62</v>
      </c>
      <c r="Q96" s="79">
        <v>49</v>
      </c>
      <c r="R96" s="346">
        <v>980</v>
      </c>
      <c r="S96" s="81" t="s">
        <v>6289</v>
      </c>
      <c r="T96" s="327">
        <v>97</v>
      </c>
      <c r="U96" s="34">
        <v>2.2000000000000002</v>
      </c>
      <c r="V96" s="310">
        <f t="shared" si="141"/>
        <v>3.9007092198581561E-2</v>
      </c>
      <c r="W96" s="94">
        <v>3.38</v>
      </c>
      <c r="X96" s="36">
        <v>56.4</v>
      </c>
      <c r="Y96" s="66">
        <v>55.4</v>
      </c>
      <c r="Z96" s="15">
        <f t="shared" si="142"/>
        <v>1</v>
      </c>
      <c r="AA96" s="63">
        <f t="shared" si="143"/>
        <v>1.8050541516245487E-2</v>
      </c>
      <c r="AB96" s="344">
        <v>-24.73</v>
      </c>
      <c r="AD96" s="16" t="s">
        <v>358</v>
      </c>
      <c r="AE96" s="84">
        <v>44638</v>
      </c>
      <c r="AF96" s="83">
        <v>44642</v>
      </c>
      <c r="AG96" s="33">
        <f t="shared" si="144"/>
        <v>4</v>
      </c>
      <c r="AH96" s="43" t="s">
        <v>2352</v>
      </c>
      <c r="AI96" s="63"/>
      <c r="AJ96" s="284"/>
    </row>
    <row r="97" spans="1:37">
      <c r="A97" s="94">
        <v>28.6</v>
      </c>
      <c r="B97" s="79">
        <v>364</v>
      </c>
      <c r="C97" s="79">
        <v>408</v>
      </c>
      <c r="D97" s="80">
        <v>-7</v>
      </c>
      <c r="E97" s="79">
        <v>9</v>
      </c>
      <c r="F97" s="6">
        <v>24.64</v>
      </c>
      <c r="G97" s="79">
        <v>3006</v>
      </c>
      <c r="H97" s="8" t="s">
        <v>3039</v>
      </c>
      <c r="I97" s="22" t="s">
        <v>95</v>
      </c>
      <c r="J97" s="50" t="s">
        <v>4748</v>
      </c>
      <c r="L97" s="123"/>
      <c r="P97" s="365">
        <v>26</v>
      </c>
      <c r="Q97" s="79">
        <v>1054</v>
      </c>
      <c r="R97" s="346">
        <v>380</v>
      </c>
      <c r="S97" s="81">
        <v>172</v>
      </c>
      <c r="T97" s="327">
        <v>90</v>
      </c>
      <c r="U97" s="34">
        <v>8</v>
      </c>
      <c r="V97" s="310">
        <f t="shared" si="141"/>
        <v>4.4444444444444446E-2</v>
      </c>
      <c r="W97" s="94">
        <v>17.760000000000002</v>
      </c>
      <c r="X97" s="36">
        <v>180</v>
      </c>
      <c r="Y97" s="66">
        <v>175.5</v>
      </c>
      <c r="Z97" s="15">
        <f t="shared" si="142"/>
        <v>4.5</v>
      </c>
      <c r="AA97" s="63">
        <f t="shared" si="143"/>
        <v>2.564102564102564E-2</v>
      </c>
      <c r="AB97" s="344">
        <v>-18.309999999999999</v>
      </c>
      <c r="AD97" s="22" t="s">
        <v>95</v>
      </c>
      <c r="AE97" s="84">
        <v>44638</v>
      </c>
      <c r="AF97" s="83">
        <v>44641</v>
      </c>
      <c r="AG97" s="33">
        <f t="shared" si="144"/>
        <v>3</v>
      </c>
      <c r="AH97" s="117" t="s">
        <v>2129</v>
      </c>
      <c r="AI97" s="63"/>
      <c r="AJ97" s="284"/>
    </row>
    <row r="98" spans="1:37">
      <c r="A98" s="94">
        <v>41.9</v>
      </c>
      <c r="B98" s="79">
        <v>451</v>
      </c>
      <c r="C98" s="79">
        <v>932</v>
      </c>
      <c r="D98" s="79">
        <v>1</v>
      </c>
      <c r="E98" s="79">
        <v>17</v>
      </c>
      <c r="F98" s="6">
        <v>8.0299999999999994</v>
      </c>
      <c r="G98" s="79">
        <v>4919</v>
      </c>
      <c r="H98" s="8" t="s">
        <v>3039</v>
      </c>
      <c r="I98" s="22" t="s">
        <v>118</v>
      </c>
      <c r="J98" s="8" t="s">
        <v>3543</v>
      </c>
      <c r="L98" s="123"/>
      <c r="P98" s="365">
        <v>306</v>
      </c>
      <c r="Q98" s="79">
        <v>235</v>
      </c>
      <c r="R98" s="346">
        <v>573</v>
      </c>
      <c r="S98" s="81">
        <v>18</v>
      </c>
      <c r="T98" s="327">
        <v>44</v>
      </c>
      <c r="U98" s="34">
        <v>5</v>
      </c>
      <c r="V98" s="310">
        <f t="shared" si="141"/>
        <v>3.3003300330033E-2</v>
      </c>
      <c r="W98" s="94">
        <v>2.52</v>
      </c>
      <c r="X98" s="36">
        <v>151.5</v>
      </c>
      <c r="Y98" s="66">
        <v>149</v>
      </c>
      <c r="Z98" s="15">
        <f t="shared" si="142"/>
        <v>2.5</v>
      </c>
      <c r="AA98" s="63">
        <f t="shared" si="143"/>
        <v>1.6778523489932886E-2</v>
      </c>
      <c r="AB98" s="344">
        <v>-15.14</v>
      </c>
      <c r="AD98" s="22" t="s">
        <v>118</v>
      </c>
      <c r="AE98" s="84">
        <v>44638</v>
      </c>
      <c r="AF98" s="83">
        <v>44641</v>
      </c>
      <c r="AG98" s="33">
        <f t="shared" si="144"/>
        <v>3</v>
      </c>
      <c r="AH98" s="117" t="s">
        <v>3021</v>
      </c>
      <c r="AI98" s="63"/>
      <c r="AJ98" s="284"/>
    </row>
    <row r="99" spans="1:37">
      <c r="A99" s="94">
        <v>3.44</v>
      </c>
      <c r="B99" s="79">
        <v>30</v>
      </c>
      <c r="C99" s="79">
        <v>30</v>
      </c>
      <c r="D99" s="80">
        <v>-13</v>
      </c>
      <c r="E99" s="79">
        <v>32</v>
      </c>
      <c r="F99" s="6">
        <v>45.42</v>
      </c>
      <c r="G99" s="80">
        <v>5274</v>
      </c>
      <c r="H99" s="145" t="s">
        <v>3039</v>
      </c>
      <c r="I99" s="16" t="s">
        <v>217</v>
      </c>
      <c r="J99" s="8" t="s">
        <v>3545</v>
      </c>
      <c r="L99" s="123"/>
      <c r="P99" s="365">
        <v>1167</v>
      </c>
      <c r="Q99" s="79">
        <v>577</v>
      </c>
      <c r="R99" s="346">
        <v>47</v>
      </c>
      <c r="S99" s="81">
        <v>28</v>
      </c>
      <c r="T99" s="327">
        <v>405</v>
      </c>
      <c r="U99" s="34">
        <v>36</v>
      </c>
      <c r="V99" s="310">
        <f t="shared" si="141"/>
        <v>1.2182741116751269E-2</v>
      </c>
      <c r="W99" s="94">
        <v>38.32</v>
      </c>
      <c r="X99" s="372">
        <v>2955</v>
      </c>
      <c r="Y99" s="66">
        <v>2935</v>
      </c>
      <c r="Z99" s="137">
        <f t="shared" si="142"/>
        <v>20</v>
      </c>
      <c r="AA99" s="63">
        <f t="shared" si="143"/>
        <v>6.8143100511073255E-3</v>
      </c>
      <c r="AB99" s="344">
        <v>-19.59</v>
      </c>
      <c r="AD99" s="16" t="s">
        <v>217</v>
      </c>
      <c r="AE99" s="84">
        <v>44631</v>
      </c>
      <c r="AF99" s="83">
        <v>44641</v>
      </c>
      <c r="AG99" s="33">
        <f t="shared" si="144"/>
        <v>10</v>
      </c>
      <c r="AH99" s="117" t="s">
        <v>2358</v>
      </c>
      <c r="AI99" s="63"/>
      <c r="AJ99" s="284"/>
    </row>
    <row r="100" spans="1:37">
      <c r="A100" s="94">
        <v>8.1300000000000008</v>
      </c>
      <c r="B100" s="79">
        <v>231</v>
      </c>
      <c r="C100" s="79">
        <v>245</v>
      </c>
      <c r="D100" s="80">
        <v>-6</v>
      </c>
      <c r="E100" s="79">
        <v>28</v>
      </c>
      <c r="F100" s="6">
        <v>19.72</v>
      </c>
      <c r="G100" s="79">
        <v>8261</v>
      </c>
      <c r="H100" s="8" t="s">
        <v>3039</v>
      </c>
      <c r="I100" s="22" t="s">
        <v>322</v>
      </c>
      <c r="J100" s="50" t="s">
        <v>4748</v>
      </c>
      <c r="L100" s="123"/>
      <c r="P100" s="365">
        <v>40</v>
      </c>
      <c r="Q100" s="79">
        <v>114</v>
      </c>
      <c r="R100" s="346">
        <v>407</v>
      </c>
      <c r="S100" s="81">
        <v>491</v>
      </c>
      <c r="T100" s="327">
        <v>151</v>
      </c>
      <c r="U100" s="34">
        <v>6</v>
      </c>
      <c r="V100" s="310">
        <f t="shared" si="141"/>
        <v>5.2173913043478258E-2</v>
      </c>
      <c r="W100" s="94">
        <v>8.0299999999999994</v>
      </c>
      <c r="X100" s="36">
        <v>115</v>
      </c>
      <c r="Y100" s="66">
        <v>111.5</v>
      </c>
      <c r="Z100" s="15">
        <f t="shared" si="142"/>
        <v>3.5</v>
      </c>
      <c r="AA100" s="63">
        <f t="shared" si="143"/>
        <v>3.1390134529147982E-2</v>
      </c>
      <c r="AB100" s="344">
        <v>-18.25</v>
      </c>
      <c r="AD100" s="22" t="s">
        <v>322</v>
      </c>
      <c r="AE100" s="84">
        <v>44638</v>
      </c>
      <c r="AF100" s="83">
        <v>44641</v>
      </c>
      <c r="AG100" s="33">
        <f t="shared" si="144"/>
        <v>3</v>
      </c>
      <c r="AH100" s="43" t="s">
        <v>2176</v>
      </c>
      <c r="AI100" s="63"/>
      <c r="AJ100" s="284"/>
    </row>
    <row r="101" spans="1:37">
      <c r="A101" s="94">
        <v>18.2</v>
      </c>
      <c r="B101" s="79">
        <v>166</v>
      </c>
      <c r="C101" s="79">
        <v>154</v>
      </c>
      <c r="D101" s="80">
        <v>-8</v>
      </c>
      <c r="E101" s="79">
        <v>12</v>
      </c>
      <c r="F101" s="6">
        <v>11.56</v>
      </c>
      <c r="G101" s="80">
        <v>2351</v>
      </c>
      <c r="H101" s="192" t="s">
        <v>3039</v>
      </c>
      <c r="I101" s="22" t="s">
        <v>61</v>
      </c>
      <c r="J101" s="8" t="s">
        <v>3544</v>
      </c>
      <c r="L101" s="245"/>
      <c r="P101" s="365">
        <v>714</v>
      </c>
      <c r="Q101" s="79">
        <v>693</v>
      </c>
      <c r="R101" s="346">
        <v>298</v>
      </c>
      <c r="S101" s="81">
        <v>21</v>
      </c>
      <c r="T101" s="327">
        <v>117</v>
      </c>
      <c r="U101" s="34">
        <v>3</v>
      </c>
      <c r="V101" s="310">
        <f t="shared" si="141"/>
        <v>2.097902097902098E-2</v>
      </c>
      <c r="W101" s="94">
        <v>4.3099999999999996</v>
      </c>
      <c r="X101" s="36">
        <v>143</v>
      </c>
      <c r="Y101" s="66">
        <v>141</v>
      </c>
      <c r="Z101" s="15">
        <f t="shared" si="142"/>
        <v>2</v>
      </c>
      <c r="AA101" s="63">
        <f t="shared" si="143"/>
        <v>1.4184397163120567E-2</v>
      </c>
      <c r="AB101" s="344">
        <v>-29.25</v>
      </c>
      <c r="AD101" s="22" t="s">
        <v>61</v>
      </c>
      <c r="AE101" s="84">
        <v>44624</v>
      </c>
      <c r="AF101" s="83">
        <v>44641</v>
      </c>
      <c r="AG101" s="33">
        <f t="shared" si="144"/>
        <v>17</v>
      </c>
      <c r="AH101" s="117" t="s">
        <v>3368</v>
      </c>
      <c r="AI101" s="63"/>
      <c r="AJ101" s="284"/>
    </row>
    <row r="102" spans="1:37">
      <c r="A102" s="94">
        <v>24.8</v>
      </c>
      <c r="B102" s="79">
        <v>403</v>
      </c>
      <c r="C102" s="79">
        <v>840</v>
      </c>
      <c r="D102" s="80">
        <v>-1</v>
      </c>
      <c r="E102" s="79">
        <v>122</v>
      </c>
      <c r="F102" s="6">
        <v>17.34</v>
      </c>
      <c r="G102" s="79">
        <v>3035</v>
      </c>
      <c r="H102" s="5" t="s">
        <v>3039</v>
      </c>
      <c r="I102" s="22" t="s">
        <v>1826</v>
      </c>
      <c r="J102" s="50" t="s">
        <v>4748</v>
      </c>
      <c r="L102" s="123"/>
      <c r="P102" s="365">
        <v>333</v>
      </c>
      <c r="Q102" s="79">
        <v>75</v>
      </c>
      <c r="R102" s="346">
        <v>190</v>
      </c>
      <c r="S102" s="81">
        <v>1</v>
      </c>
      <c r="T102" s="327">
        <v>2</v>
      </c>
      <c r="U102" s="34">
        <v>3.3</v>
      </c>
      <c r="V102" s="310">
        <f t="shared" ref="V102" si="145">U102/X102</f>
        <v>1.1764705882352941E-2</v>
      </c>
      <c r="W102" s="94">
        <v>2.82</v>
      </c>
      <c r="X102" s="36">
        <v>280.5</v>
      </c>
      <c r="Y102" s="66">
        <v>275.5</v>
      </c>
      <c r="Z102" s="15">
        <f t="shared" ref="Z102" si="146">X102-Y102</f>
        <v>5</v>
      </c>
      <c r="AA102" s="63">
        <f t="shared" ref="AA102" si="147">Z102/Y102</f>
        <v>1.8148820326678767E-2</v>
      </c>
      <c r="AB102" s="344">
        <v>-16.16</v>
      </c>
      <c r="AD102" s="22" t="s">
        <v>1826</v>
      </c>
      <c r="AE102" s="84">
        <v>44638</v>
      </c>
      <c r="AF102" s="83">
        <v>44641</v>
      </c>
      <c r="AG102" s="33">
        <f t="shared" ref="AG102" si="148">AF102-AE102</f>
        <v>3</v>
      </c>
      <c r="AH102" s="117" t="s">
        <v>2315</v>
      </c>
      <c r="AI102" s="63"/>
      <c r="AJ102" s="284"/>
    </row>
    <row r="103" spans="1:37">
      <c r="A103" s="94">
        <v>28.6</v>
      </c>
      <c r="B103" s="79">
        <v>364</v>
      </c>
      <c r="C103" s="79">
        <v>408</v>
      </c>
      <c r="D103" s="80">
        <v>-7</v>
      </c>
      <c r="E103" s="79">
        <v>9</v>
      </c>
      <c r="F103" s="6">
        <v>24.64</v>
      </c>
      <c r="G103" s="79">
        <v>3006</v>
      </c>
      <c r="H103" s="8" t="s">
        <v>3039</v>
      </c>
      <c r="I103" s="22" t="s">
        <v>95</v>
      </c>
      <c r="J103" s="50" t="s">
        <v>4748</v>
      </c>
      <c r="L103" s="123"/>
      <c r="P103" s="365">
        <v>26</v>
      </c>
      <c r="Q103" s="79">
        <v>1054</v>
      </c>
      <c r="R103" s="346">
        <v>380</v>
      </c>
      <c r="S103" s="81">
        <v>172</v>
      </c>
      <c r="T103" s="327">
        <v>90</v>
      </c>
      <c r="U103" s="34">
        <v>8</v>
      </c>
      <c r="V103" s="310">
        <f t="shared" ref="V103:V104" si="149">U103/X103</f>
        <v>4.8192771084337352E-2</v>
      </c>
      <c r="W103" s="94">
        <v>17.760000000000002</v>
      </c>
      <c r="X103" s="36">
        <v>166</v>
      </c>
      <c r="Y103" s="66">
        <v>162.5</v>
      </c>
      <c r="Z103" s="15">
        <f t="shared" ref="Z103:Z104" si="150">X103-Y103</f>
        <v>3.5</v>
      </c>
      <c r="AA103" s="63">
        <f t="shared" ref="AA103:AA104" si="151">Z103/Y103</f>
        <v>2.1538461538461538E-2</v>
      </c>
      <c r="AB103" s="344">
        <v>-23</v>
      </c>
      <c r="AD103" s="22" t="s">
        <v>95</v>
      </c>
      <c r="AE103" s="84">
        <v>44635</v>
      </c>
      <c r="AF103" s="83">
        <v>44637</v>
      </c>
      <c r="AG103" s="33">
        <f t="shared" ref="AG103:AG104" si="152">AF103-AE103</f>
        <v>2</v>
      </c>
      <c r="AH103" s="117" t="s">
        <v>2129</v>
      </c>
      <c r="AI103" s="63"/>
      <c r="AJ103" s="284"/>
    </row>
    <row r="104" spans="1:37">
      <c r="A104" s="94">
        <v>8.84</v>
      </c>
      <c r="B104" s="79">
        <v>2</v>
      </c>
      <c r="C104" s="80">
        <v>-11</v>
      </c>
      <c r="D104" s="80">
        <v>-34</v>
      </c>
      <c r="E104" s="79">
        <v>11</v>
      </c>
      <c r="F104" s="6">
        <v>9.67</v>
      </c>
      <c r="G104" s="79">
        <v>3324</v>
      </c>
      <c r="H104" s="5" t="s">
        <v>3354</v>
      </c>
      <c r="I104" s="16" t="s">
        <v>228</v>
      </c>
      <c r="J104" s="8" t="s">
        <v>3545</v>
      </c>
      <c r="L104" s="123"/>
      <c r="P104" s="365">
        <v>51</v>
      </c>
      <c r="Q104" s="79">
        <v>80</v>
      </c>
      <c r="R104" s="346">
        <v>421</v>
      </c>
      <c r="S104" s="81">
        <v>85</v>
      </c>
      <c r="T104" s="327">
        <v>76</v>
      </c>
      <c r="U104" s="34">
        <v>6</v>
      </c>
      <c r="V104" s="310">
        <f t="shared" si="149"/>
        <v>2.6966292134831461E-2</v>
      </c>
      <c r="W104" s="94">
        <v>13.12</v>
      </c>
      <c r="X104" s="36">
        <v>222.5</v>
      </c>
      <c r="Y104" s="66">
        <v>219.5</v>
      </c>
      <c r="Z104" s="15">
        <f t="shared" si="150"/>
        <v>3</v>
      </c>
      <c r="AA104" s="63">
        <f t="shared" si="151"/>
        <v>1.366742596810934E-2</v>
      </c>
      <c r="AB104" s="344">
        <v>-16.23</v>
      </c>
      <c r="AD104" s="16" t="s">
        <v>228</v>
      </c>
      <c r="AE104" s="84">
        <v>44635</v>
      </c>
      <c r="AF104" s="83">
        <v>44637</v>
      </c>
      <c r="AG104" s="33">
        <f t="shared" si="152"/>
        <v>2</v>
      </c>
      <c r="AH104" s="43" t="s">
        <v>2925</v>
      </c>
      <c r="AI104" s="63"/>
      <c r="AJ104" s="284"/>
    </row>
    <row r="105" spans="1:37">
      <c r="A105" s="94">
        <v>8.33</v>
      </c>
      <c r="B105" s="79">
        <v>119</v>
      </c>
      <c r="C105" s="79">
        <v>111</v>
      </c>
      <c r="D105" s="79">
        <v>30</v>
      </c>
      <c r="E105" s="79">
        <v>43</v>
      </c>
      <c r="F105" s="6">
        <v>24.41</v>
      </c>
      <c r="G105" s="79">
        <v>6187</v>
      </c>
      <c r="H105" s="5" t="s">
        <v>314</v>
      </c>
      <c r="I105" s="16" t="s">
        <v>4687</v>
      </c>
      <c r="J105" s="50" t="s">
        <v>4748</v>
      </c>
      <c r="L105" s="123"/>
      <c r="P105" s="365">
        <v>204</v>
      </c>
      <c r="Q105" s="79">
        <v>46</v>
      </c>
      <c r="R105" s="346">
        <v>1096</v>
      </c>
      <c r="S105" s="81">
        <v>4</v>
      </c>
      <c r="T105" s="327">
        <v>164</v>
      </c>
      <c r="U105" s="34">
        <v>4.5</v>
      </c>
      <c r="V105" s="310">
        <f t="shared" ref="V105" si="153">U105/X105</f>
        <v>3.0716723549488054E-2</v>
      </c>
      <c r="W105" s="94">
        <v>6.65</v>
      </c>
      <c r="X105" s="36">
        <v>146.5</v>
      </c>
      <c r="Y105" s="66">
        <v>144</v>
      </c>
      <c r="Z105" s="15">
        <f t="shared" ref="Z105" si="154">X105-Y105</f>
        <v>2.5</v>
      </c>
      <c r="AA105" s="63">
        <f t="shared" ref="AA105" si="155">Z105/Y105</f>
        <v>1.7361111111111112E-2</v>
      </c>
      <c r="AB105" s="344">
        <v>-17.75</v>
      </c>
      <c r="AD105" s="16" t="s">
        <v>4687</v>
      </c>
      <c r="AE105" s="84">
        <v>44634</v>
      </c>
      <c r="AF105" s="83">
        <v>44637</v>
      </c>
      <c r="AG105" s="33">
        <f t="shared" ref="AG105" si="156">AF105-AE105</f>
        <v>3</v>
      </c>
      <c r="AH105" s="43" t="s">
        <v>2309</v>
      </c>
      <c r="AI105" s="63"/>
      <c r="AJ105" s="284"/>
    </row>
    <row r="106" spans="1:37">
      <c r="A106" s="94">
        <v>3.19</v>
      </c>
      <c r="B106" s="79">
        <v>109</v>
      </c>
      <c r="C106" s="79">
        <v>89</v>
      </c>
      <c r="D106" s="80">
        <v>-9</v>
      </c>
      <c r="E106" s="80">
        <v>-4</v>
      </c>
      <c r="F106" s="6">
        <v>32.36</v>
      </c>
      <c r="G106" s="80">
        <v>6457</v>
      </c>
      <c r="H106" s="145" t="s">
        <v>3039</v>
      </c>
      <c r="I106" s="16" t="s">
        <v>379</v>
      </c>
      <c r="J106" s="8" t="s">
        <v>4720</v>
      </c>
      <c r="L106" s="123"/>
      <c r="P106" s="365">
        <v>693</v>
      </c>
      <c r="Q106" s="79">
        <v>767</v>
      </c>
      <c r="R106" s="346">
        <v>812</v>
      </c>
      <c r="S106" s="81" t="s">
        <v>6289</v>
      </c>
      <c r="T106" s="327">
        <v>211</v>
      </c>
      <c r="U106" s="34">
        <v>6.32</v>
      </c>
      <c r="V106" s="310">
        <f t="shared" ref="V106:V113" si="157">U106/X106</f>
        <v>4.1442622950819671E-2</v>
      </c>
      <c r="W106" s="94">
        <v>12.2</v>
      </c>
      <c r="X106" s="36">
        <v>152.5</v>
      </c>
      <c r="Y106" s="66">
        <v>150</v>
      </c>
      <c r="Z106" s="15">
        <f t="shared" ref="Z106:Z121" si="158">X106-Y106</f>
        <v>2.5</v>
      </c>
      <c r="AA106" s="63">
        <f t="shared" ref="AA106:AA121" si="159">Z106/Y106</f>
        <v>1.6666666666666666E-2</v>
      </c>
      <c r="AB106" s="344">
        <v>-36.53</v>
      </c>
      <c r="AD106" s="16" t="s">
        <v>379</v>
      </c>
      <c r="AE106" s="84">
        <v>44624</v>
      </c>
      <c r="AF106" s="83">
        <v>44631</v>
      </c>
      <c r="AG106" s="33">
        <f t="shared" ref="AG106:AG120" si="160">AF106-AE106</f>
        <v>7</v>
      </c>
      <c r="AH106" s="43" t="s">
        <v>2364</v>
      </c>
      <c r="AI106" s="63"/>
      <c r="AJ106" s="284"/>
    </row>
    <row r="107" spans="1:37">
      <c r="A107" s="94">
        <v>19</v>
      </c>
      <c r="B107" s="80">
        <v>-37</v>
      </c>
      <c r="C107" s="80">
        <v>-40</v>
      </c>
      <c r="D107" s="80">
        <v>-24</v>
      </c>
      <c r="E107" s="79">
        <v>17</v>
      </c>
      <c r="F107" s="6">
        <v>12.63</v>
      </c>
      <c r="G107" s="79">
        <v>2404</v>
      </c>
      <c r="H107" s="8" t="s">
        <v>314</v>
      </c>
      <c r="I107" s="22" t="s">
        <v>494</v>
      </c>
      <c r="J107" s="8" t="s">
        <v>4734</v>
      </c>
      <c r="L107" s="123"/>
      <c r="P107" s="365">
        <v>941</v>
      </c>
      <c r="Q107" s="79">
        <v>22</v>
      </c>
      <c r="R107" s="346">
        <v>244</v>
      </c>
      <c r="S107" s="81">
        <v>136</v>
      </c>
      <c r="T107" s="327">
        <v>80</v>
      </c>
      <c r="U107" s="34">
        <v>17</v>
      </c>
      <c r="V107" s="310">
        <f>U107/X107</f>
        <v>8.9947089947089942E-2</v>
      </c>
      <c r="W107" s="94">
        <v>14.98</v>
      </c>
      <c r="X107" s="36">
        <v>189</v>
      </c>
      <c r="Y107" s="66">
        <v>185</v>
      </c>
      <c r="Z107" s="15">
        <f>X107-Y107</f>
        <v>4</v>
      </c>
      <c r="AA107" s="63">
        <f>Z107/Y107</f>
        <v>2.1621621621621623E-2</v>
      </c>
      <c r="AB107" s="344">
        <v>-32.49</v>
      </c>
      <c r="AD107" s="22" t="s">
        <v>494</v>
      </c>
      <c r="AE107" s="84">
        <v>44571</v>
      </c>
      <c r="AF107" s="83">
        <v>44631</v>
      </c>
      <c r="AG107" s="33">
        <f>AF107-AE107</f>
        <v>60</v>
      </c>
      <c r="AH107" s="43" t="s">
        <v>1445</v>
      </c>
      <c r="AI107" s="63"/>
      <c r="AJ107" s="284"/>
    </row>
    <row r="108" spans="1:37">
      <c r="A108" s="94">
        <v>10.7</v>
      </c>
      <c r="B108" s="79">
        <v>170</v>
      </c>
      <c r="C108" s="79">
        <v>170</v>
      </c>
      <c r="D108" s="79">
        <v>1</v>
      </c>
      <c r="E108" s="79">
        <v>41</v>
      </c>
      <c r="F108" s="6">
        <v>7.96</v>
      </c>
      <c r="G108" s="79">
        <v>4739</v>
      </c>
      <c r="H108" s="5" t="s">
        <v>3578</v>
      </c>
      <c r="I108" s="22" t="s">
        <v>3632</v>
      </c>
      <c r="J108" s="8" t="s">
        <v>3544</v>
      </c>
      <c r="L108" s="123"/>
      <c r="P108" s="365">
        <v>66</v>
      </c>
      <c r="Q108" s="79" t="s">
        <v>6289</v>
      </c>
      <c r="R108" s="346">
        <v>978</v>
      </c>
      <c r="S108" s="81">
        <v>110</v>
      </c>
      <c r="T108" s="327">
        <v>78</v>
      </c>
      <c r="U108" s="34">
        <v>3</v>
      </c>
      <c r="V108" s="310">
        <f t="shared" si="157"/>
        <v>1.9108280254777069E-2</v>
      </c>
      <c r="W108" s="94">
        <v>4.7</v>
      </c>
      <c r="X108" s="36">
        <v>157</v>
      </c>
      <c r="Y108" s="66">
        <v>148</v>
      </c>
      <c r="Z108" s="15">
        <f t="shared" si="158"/>
        <v>9</v>
      </c>
      <c r="AA108" s="63">
        <f t="shared" si="159"/>
        <v>6.0810810810810814E-2</v>
      </c>
      <c r="AB108" s="344">
        <v>-18.98</v>
      </c>
      <c r="AD108" s="22" t="s">
        <v>3632</v>
      </c>
      <c r="AE108" s="84">
        <v>44629</v>
      </c>
      <c r="AF108" s="83">
        <v>44630</v>
      </c>
      <c r="AG108" s="33">
        <f t="shared" si="160"/>
        <v>1</v>
      </c>
      <c r="AH108" s="117" t="s">
        <v>2290</v>
      </c>
      <c r="AI108" s="63"/>
      <c r="AJ108" s="284"/>
    </row>
    <row r="109" spans="1:37">
      <c r="A109" s="94">
        <v>3.8</v>
      </c>
      <c r="B109" s="79">
        <v>46</v>
      </c>
      <c r="C109" s="79">
        <v>43</v>
      </c>
      <c r="D109" s="80">
        <v>-15</v>
      </c>
      <c r="E109" s="79">
        <v>29</v>
      </c>
      <c r="F109" s="6">
        <v>22.68</v>
      </c>
      <c r="G109" s="79">
        <v>6231</v>
      </c>
      <c r="H109" s="5" t="s">
        <v>3436</v>
      </c>
      <c r="I109" s="16" t="s">
        <v>1009</v>
      </c>
      <c r="J109" s="8" t="s">
        <v>3543</v>
      </c>
      <c r="L109" s="123"/>
      <c r="P109" s="365">
        <v>125</v>
      </c>
      <c r="Q109" s="79">
        <v>340</v>
      </c>
      <c r="R109" s="346">
        <v>347</v>
      </c>
      <c r="S109" s="81">
        <v>211</v>
      </c>
      <c r="T109" s="327">
        <v>659</v>
      </c>
      <c r="U109" s="34">
        <v>5.2</v>
      </c>
      <c r="V109" s="310">
        <f t="shared" si="157"/>
        <v>5.2000000000000005E-2</v>
      </c>
      <c r="W109" s="94">
        <v>5.94</v>
      </c>
      <c r="X109" s="36">
        <v>100</v>
      </c>
      <c r="Y109" s="66">
        <v>98.6</v>
      </c>
      <c r="Z109" s="15">
        <f t="shared" si="158"/>
        <v>1.4000000000000057</v>
      </c>
      <c r="AA109" s="63">
        <f t="shared" si="159"/>
        <v>1.4198782961460505E-2</v>
      </c>
      <c r="AB109" s="344">
        <v>-16.43</v>
      </c>
      <c r="AD109" s="16" t="s">
        <v>1009</v>
      </c>
      <c r="AE109" s="84">
        <v>44629</v>
      </c>
      <c r="AF109" s="86">
        <v>44629</v>
      </c>
      <c r="AG109" s="33">
        <f t="shared" si="160"/>
        <v>0</v>
      </c>
      <c r="AH109" s="43" t="s">
        <v>2160</v>
      </c>
      <c r="AI109" s="63"/>
      <c r="AJ109" s="284"/>
    </row>
    <row r="110" spans="1:37">
      <c r="A110" s="94">
        <v>12.7</v>
      </c>
      <c r="B110" s="79">
        <v>295</v>
      </c>
      <c r="C110" s="80">
        <v>-50</v>
      </c>
      <c r="D110" s="80">
        <v>-3</v>
      </c>
      <c r="E110" s="80">
        <v>-1</v>
      </c>
      <c r="F110" s="6">
        <v>-0.41</v>
      </c>
      <c r="G110" s="79">
        <v>2707</v>
      </c>
      <c r="H110" s="5" t="s">
        <v>303</v>
      </c>
      <c r="I110" s="22" t="s">
        <v>973</v>
      </c>
      <c r="J110" s="8" t="s">
        <v>3543</v>
      </c>
      <c r="L110" s="245"/>
      <c r="P110" s="365">
        <v>1015</v>
      </c>
      <c r="Q110" s="79">
        <v>271</v>
      </c>
      <c r="R110" s="346">
        <v>363</v>
      </c>
      <c r="S110" s="81">
        <v>228</v>
      </c>
      <c r="T110" s="327">
        <v>482</v>
      </c>
      <c r="U110" s="34">
        <v>4.3899999999999997</v>
      </c>
      <c r="V110" s="310">
        <f t="shared" si="157"/>
        <v>2.6445783132530119E-2</v>
      </c>
      <c r="W110" s="94">
        <v>16.52</v>
      </c>
      <c r="X110" s="36">
        <v>166</v>
      </c>
      <c r="Y110" s="66">
        <v>160</v>
      </c>
      <c r="Z110" s="15">
        <f t="shared" si="158"/>
        <v>6</v>
      </c>
      <c r="AA110" s="63">
        <f t="shared" si="159"/>
        <v>3.7499999999999999E-2</v>
      </c>
      <c r="AB110" s="344">
        <v>-15.9</v>
      </c>
      <c r="AD110" s="22" t="s">
        <v>973</v>
      </c>
      <c r="AE110" s="84">
        <v>44628</v>
      </c>
      <c r="AF110" s="83">
        <v>44629</v>
      </c>
      <c r="AG110" s="33">
        <f t="shared" si="160"/>
        <v>1</v>
      </c>
      <c r="AH110" s="43" t="s">
        <v>2681</v>
      </c>
      <c r="AI110" s="63"/>
      <c r="AJ110" s="284"/>
    </row>
    <row r="111" spans="1:37">
      <c r="A111" s="94">
        <v>5.99</v>
      </c>
      <c r="B111" s="79">
        <v>135</v>
      </c>
      <c r="C111" s="79">
        <v>168</v>
      </c>
      <c r="D111" s="80">
        <v>-52</v>
      </c>
      <c r="E111" s="79">
        <v>14</v>
      </c>
      <c r="F111" s="6">
        <v>14.8</v>
      </c>
      <c r="G111" s="79">
        <v>3455</v>
      </c>
      <c r="H111" s="5" t="s">
        <v>306</v>
      </c>
      <c r="I111" s="16" t="s">
        <v>4187</v>
      </c>
      <c r="J111" s="8" t="s">
        <v>3543</v>
      </c>
      <c r="L111" s="123"/>
      <c r="P111" s="365">
        <v>107</v>
      </c>
      <c r="Q111" s="79">
        <v>308</v>
      </c>
      <c r="R111" s="346">
        <v>912</v>
      </c>
      <c r="S111" s="81">
        <v>129</v>
      </c>
      <c r="T111" s="327">
        <v>144</v>
      </c>
      <c r="U111" s="34">
        <v>4</v>
      </c>
      <c r="V111" s="310">
        <f t="shared" si="157"/>
        <v>4.1623309053069719E-2</v>
      </c>
      <c r="W111" s="94">
        <v>6.76</v>
      </c>
      <c r="X111" s="36">
        <v>96.1</v>
      </c>
      <c r="Y111" s="66">
        <v>94.5</v>
      </c>
      <c r="Z111" s="15">
        <f t="shared" si="158"/>
        <v>1.5999999999999943</v>
      </c>
      <c r="AA111" s="63">
        <f t="shared" si="159"/>
        <v>1.693121693121687E-2</v>
      </c>
      <c r="AB111" s="344">
        <v>-19.059999999999999</v>
      </c>
      <c r="AD111" s="16" t="s">
        <v>4187</v>
      </c>
      <c r="AE111" s="84">
        <v>44628</v>
      </c>
      <c r="AF111" s="86">
        <v>44628</v>
      </c>
      <c r="AG111" s="33">
        <f t="shared" si="160"/>
        <v>0</v>
      </c>
      <c r="AH111" s="43" t="s">
        <v>2434</v>
      </c>
      <c r="AI111" s="63"/>
      <c r="AJ111" s="284"/>
      <c r="AK111" s="44"/>
    </row>
    <row r="112" spans="1:37">
      <c r="A112" s="94">
        <v>28.6</v>
      </c>
      <c r="B112" s="79">
        <v>364</v>
      </c>
      <c r="C112" s="79">
        <v>408</v>
      </c>
      <c r="D112" s="80">
        <v>-12</v>
      </c>
      <c r="E112" s="79">
        <v>3</v>
      </c>
      <c r="F112" s="6">
        <v>24.64</v>
      </c>
      <c r="G112" s="79">
        <v>3006</v>
      </c>
      <c r="H112" s="5" t="s">
        <v>3039</v>
      </c>
      <c r="I112" s="22" t="s">
        <v>95</v>
      </c>
      <c r="J112" s="50" t="s">
        <v>4748</v>
      </c>
      <c r="L112" s="123"/>
      <c r="P112" s="365">
        <v>26</v>
      </c>
      <c r="Q112" s="79">
        <v>1054</v>
      </c>
      <c r="R112" s="346">
        <v>380</v>
      </c>
      <c r="S112" s="81">
        <v>172</v>
      </c>
      <c r="T112" s="327">
        <v>90</v>
      </c>
      <c r="U112" s="34">
        <v>8</v>
      </c>
      <c r="V112" s="310">
        <f t="shared" si="157"/>
        <v>4.6647230320699708E-2</v>
      </c>
      <c r="W112" s="94">
        <v>17.760000000000002</v>
      </c>
      <c r="X112" s="36">
        <v>171.5</v>
      </c>
      <c r="Y112" s="66">
        <v>165</v>
      </c>
      <c r="Z112" s="15">
        <f t="shared" si="158"/>
        <v>6.5</v>
      </c>
      <c r="AA112" s="63">
        <f t="shared" si="159"/>
        <v>3.9393939393939391E-2</v>
      </c>
      <c r="AB112" s="344">
        <v>-24.88</v>
      </c>
      <c r="AD112" s="22" t="s">
        <v>95</v>
      </c>
      <c r="AE112" s="84">
        <v>44623</v>
      </c>
      <c r="AF112" s="83">
        <v>44624</v>
      </c>
      <c r="AG112" s="33">
        <f t="shared" si="160"/>
        <v>1</v>
      </c>
      <c r="AH112" s="117" t="s">
        <v>2129</v>
      </c>
      <c r="AI112" s="63"/>
      <c r="AJ112" s="284"/>
    </row>
    <row r="113" spans="1:37">
      <c r="A113" s="94">
        <v>6.22</v>
      </c>
      <c r="B113" s="79">
        <v>159</v>
      </c>
      <c r="C113" s="79">
        <v>141</v>
      </c>
      <c r="D113" s="79">
        <v>3</v>
      </c>
      <c r="E113" s="79">
        <v>59</v>
      </c>
      <c r="F113" s="6">
        <v>32.9</v>
      </c>
      <c r="G113" s="80">
        <v>3169</v>
      </c>
      <c r="H113" s="145" t="s">
        <v>3039</v>
      </c>
      <c r="I113" s="16" t="s">
        <v>359</v>
      </c>
      <c r="J113" s="50" t="s">
        <v>4748</v>
      </c>
      <c r="L113" s="123"/>
      <c r="P113" s="365">
        <v>17</v>
      </c>
      <c r="Q113" s="79">
        <v>223</v>
      </c>
      <c r="R113" s="346">
        <v>926</v>
      </c>
      <c r="S113" s="81">
        <v>385</v>
      </c>
      <c r="T113" s="327">
        <v>90</v>
      </c>
      <c r="U113" s="34">
        <v>2.5</v>
      </c>
      <c r="V113" s="310">
        <f t="shared" si="157"/>
        <v>1.1061946902654867E-2</v>
      </c>
      <c r="W113" s="94">
        <v>5.5</v>
      </c>
      <c r="X113" s="36">
        <v>226</v>
      </c>
      <c r="Y113" s="66">
        <v>222</v>
      </c>
      <c r="Z113" s="15">
        <f t="shared" si="158"/>
        <v>4</v>
      </c>
      <c r="AA113" s="63">
        <f t="shared" si="159"/>
        <v>1.8018018018018018E-2</v>
      </c>
      <c r="AB113" s="344">
        <v>-26.54</v>
      </c>
      <c r="AD113" s="16" t="s">
        <v>359</v>
      </c>
      <c r="AE113" s="84">
        <v>44602</v>
      </c>
      <c r="AF113" s="83">
        <v>44624</v>
      </c>
      <c r="AG113" s="33">
        <f t="shared" si="160"/>
        <v>22</v>
      </c>
      <c r="AH113" s="43" t="s">
        <v>2893</v>
      </c>
      <c r="AI113" s="63"/>
      <c r="AJ113" s="284"/>
    </row>
    <row r="114" spans="1:37">
      <c r="A114" s="94">
        <v>3.88</v>
      </c>
      <c r="B114" s="92">
        <v>1262</v>
      </c>
      <c r="C114" s="92">
        <v>1058</v>
      </c>
      <c r="D114" s="79">
        <v>0</v>
      </c>
      <c r="E114" s="79">
        <v>47</v>
      </c>
      <c r="F114" s="6">
        <v>17.05</v>
      </c>
      <c r="G114" s="80">
        <v>3122</v>
      </c>
      <c r="H114" s="145" t="s">
        <v>3039</v>
      </c>
      <c r="I114" s="16" t="s">
        <v>358</v>
      </c>
      <c r="J114" s="8" t="s">
        <v>3543</v>
      </c>
      <c r="L114" s="123"/>
      <c r="P114" s="365">
        <v>62</v>
      </c>
      <c r="Q114" s="79">
        <v>49</v>
      </c>
      <c r="R114" s="346">
        <v>980</v>
      </c>
      <c r="S114" s="81" t="s">
        <v>6289</v>
      </c>
      <c r="T114" s="327">
        <v>97</v>
      </c>
      <c r="U114" s="34">
        <v>2.2000000000000002</v>
      </c>
      <c r="V114" s="310">
        <f t="shared" ref="V114:V120" si="161">U114/X114</f>
        <v>3.8938053097345139E-2</v>
      </c>
      <c r="W114" s="94">
        <v>3.38</v>
      </c>
      <c r="X114" s="36">
        <v>56.5</v>
      </c>
      <c r="Y114" s="66">
        <v>54.8</v>
      </c>
      <c r="Z114" s="15">
        <f t="shared" si="158"/>
        <v>1.7000000000000028</v>
      </c>
      <c r="AA114" s="63">
        <f t="shared" si="159"/>
        <v>3.102189781021903E-2</v>
      </c>
      <c r="AB114" s="344">
        <v>-24.04</v>
      </c>
      <c r="AD114" s="16" t="s">
        <v>358</v>
      </c>
      <c r="AE114" s="84">
        <v>44613</v>
      </c>
      <c r="AF114" s="83">
        <v>44623</v>
      </c>
      <c r="AG114" s="33">
        <f t="shared" si="160"/>
        <v>10</v>
      </c>
      <c r="AH114" s="43" t="s">
        <v>2352</v>
      </c>
      <c r="AI114" s="63"/>
      <c r="AJ114" s="284"/>
    </row>
    <row r="115" spans="1:37">
      <c r="A115" s="94">
        <v>8.3800000000000008</v>
      </c>
      <c r="B115" s="79">
        <v>299</v>
      </c>
      <c r="C115" s="79">
        <v>207</v>
      </c>
      <c r="D115" s="80">
        <v>-18</v>
      </c>
      <c r="E115" s="79">
        <v>8</v>
      </c>
      <c r="F115" s="6">
        <v>25.92</v>
      </c>
      <c r="G115" s="79">
        <v>8924</v>
      </c>
      <c r="H115" s="5" t="s">
        <v>1960</v>
      </c>
      <c r="I115" s="16" t="s">
        <v>662</v>
      </c>
      <c r="J115" s="8" t="s">
        <v>3543</v>
      </c>
      <c r="L115" s="123"/>
      <c r="P115" s="365">
        <v>462</v>
      </c>
      <c r="Q115" s="79">
        <v>127</v>
      </c>
      <c r="R115" s="346">
        <v>902</v>
      </c>
      <c r="S115" s="81">
        <v>88</v>
      </c>
      <c r="T115" s="327">
        <v>318</v>
      </c>
      <c r="U115" s="34">
        <v>5</v>
      </c>
      <c r="V115" s="310">
        <f t="shared" si="161"/>
        <v>3.2258064516129031E-2</v>
      </c>
      <c r="W115" s="94">
        <v>17.37</v>
      </c>
      <c r="X115" s="36">
        <v>155</v>
      </c>
      <c r="Y115" s="66">
        <v>149.5</v>
      </c>
      <c r="Z115" s="15">
        <f t="shared" si="158"/>
        <v>5.5</v>
      </c>
      <c r="AA115" s="63">
        <f t="shared" si="159"/>
        <v>3.678929765886288E-2</v>
      </c>
      <c r="AB115" s="344">
        <v>-19.03</v>
      </c>
      <c r="AD115" s="16" t="s">
        <v>662</v>
      </c>
      <c r="AE115" s="84">
        <v>44622</v>
      </c>
      <c r="AF115" s="83">
        <v>44623</v>
      </c>
      <c r="AG115" s="33">
        <f t="shared" si="160"/>
        <v>1</v>
      </c>
      <c r="AH115" s="43" t="s">
        <v>3060</v>
      </c>
      <c r="AI115" s="63"/>
      <c r="AJ115" s="284"/>
    </row>
    <row r="116" spans="1:37">
      <c r="A116" s="94">
        <v>4.4400000000000004</v>
      </c>
      <c r="B116" s="79">
        <v>193</v>
      </c>
      <c r="C116" s="79">
        <v>122</v>
      </c>
      <c r="D116" s="79">
        <v>0</v>
      </c>
      <c r="E116" s="79">
        <v>18</v>
      </c>
      <c r="F116" s="6">
        <v>15.78</v>
      </c>
      <c r="G116" s="79">
        <v>3675</v>
      </c>
      <c r="H116" s="145" t="s">
        <v>3039</v>
      </c>
      <c r="I116" s="16" t="s">
        <v>365</v>
      </c>
      <c r="J116" s="8" t="s">
        <v>3543</v>
      </c>
      <c r="L116" s="123"/>
      <c r="P116" s="365">
        <v>326</v>
      </c>
      <c r="Q116" s="79">
        <v>365</v>
      </c>
      <c r="R116" s="346">
        <v>69</v>
      </c>
      <c r="S116" s="81">
        <v>3</v>
      </c>
      <c r="T116" s="327">
        <v>88</v>
      </c>
      <c r="U116" s="34">
        <v>5</v>
      </c>
      <c r="V116" s="310">
        <f t="shared" si="161"/>
        <v>1.7182130584192441E-2</v>
      </c>
      <c r="W116" s="94">
        <v>7.36</v>
      </c>
      <c r="X116" s="36">
        <v>291</v>
      </c>
      <c r="Y116" s="66">
        <v>271.5</v>
      </c>
      <c r="Z116" s="15">
        <f t="shared" si="158"/>
        <v>19.5</v>
      </c>
      <c r="AA116" s="63">
        <f t="shared" si="159"/>
        <v>7.18232044198895E-2</v>
      </c>
      <c r="AB116" s="344">
        <v>-16.41</v>
      </c>
      <c r="AD116" s="16" t="s">
        <v>365</v>
      </c>
      <c r="AE116" s="84">
        <v>44621</v>
      </c>
      <c r="AF116" s="83">
        <v>44623</v>
      </c>
      <c r="AG116" s="33">
        <f t="shared" si="160"/>
        <v>2</v>
      </c>
      <c r="AH116" s="43" t="s">
        <v>2940</v>
      </c>
      <c r="AI116" s="63"/>
      <c r="AJ116" s="284"/>
    </row>
    <row r="117" spans="1:37">
      <c r="A117" s="94">
        <v>15</v>
      </c>
      <c r="B117" s="79">
        <v>691</v>
      </c>
      <c r="C117" s="79">
        <v>515</v>
      </c>
      <c r="D117" s="79">
        <v>16</v>
      </c>
      <c r="E117" s="79">
        <v>81</v>
      </c>
      <c r="F117" s="6">
        <v>11.81</v>
      </c>
      <c r="G117" s="79">
        <v>2636</v>
      </c>
      <c r="H117" s="5" t="s">
        <v>302</v>
      </c>
      <c r="I117" s="22" t="s">
        <v>1922</v>
      </c>
      <c r="J117" s="8" t="s">
        <v>3543</v>
      </c>
      <c r="L117" s="123"/>
      <c r="P117" s="365">
        <v>94</v>
      </c>
      <c r="Q117" s="79">
        <v>167</v>
      </c>
      <c r="R117" s="346">
        <v>412</v>
      </c>
      <c r="S117" s="81">
        <v>491</v>
      </c>
      <c r="T117" s="327">
        <v>128</v>
      </c>
      <c r="U117" s="34">
        <v>3.02</v>
      </c>
      <c r="V117" s="310">
        <f t="shared" si="161"/>
        <v>2.1884057971014493E-2</v>
      </c>
      <c r="W117" s="94">
        <v>24.5</v>
      </c>
      <c r="X117" s="36">
        <v>138</v>
      </c>
      <c r="Y117" s="66">
        <v>135.5</v>
      </c>
      <c r="Z117" s="15">
        <f t="shared" si="158"/>
        <v>2.5</v>
      </c>
      <c r="AA117" s="63">
        <f t="shared" si="159"/>
        <v>1.8450184501845018E-2</v>
      </c>
      <c r="AB117" s="344">
        <v>-58.57</v>
      </c>
      <c r="AD117" s="22" t="s">
        <v>1922</v>
      </c>
      <c r="AE117" s="84">
        <v>44621</v>
      </c>
      <c r="AF117" s="83">
        <v>44623</v>
      </c>
      <c r="AG117" s="33">
        <f t="shared" si="160"/>
        <v>2</v>
      </c>
      <c r="AH117" s="43" t="s">
        <v>2014</v>
      </c>
      <c r="AI117" s="63"/>
      <c r="AJ117" s="284"/>
    </row>
    <row r="118" spans="1:37">
      <c r="A118" s="94">
        <v>28.6</v>
      </c>
      <c r="B118" s="79">
        <v>364</v>
      </c>
      <c r="C118" s="79">
        <v>371</v>
      </c>
      <c r="D118" s="80">
        <v>-12</v>
      </c>
      <c r="E118" s="79">
        <v>3</v>
      </c>
      <c r="F118" s="6">
        <v>24.55</v>
      </c>
      <c r="G118" s="79">
        <v>3006</v>
      </c>
      <c r="H118" s="8" t="s">
        <v>3039</v>
      </c>
      <c r="I118" s="22" t="s">
        <v>95</v>
      </c>
      <c r="J118" s="50" t="s">
        <v>4748</v>
      </c>
      <c r="L118" s="123"/>
      <c r="P118" s="365">
        <v>26</v>
      </c>
      <c r="Q118" s="79">
        <v>1054</v>
      </c>
      <c r="R118" s="346">
        <v>380</v>
      </c>
      <c r="S118" s="81">
        <v>172</v>
      </c>
      <c r="T118" s="327">
        <v>90</v>
      </c>
      <c r="U118" s="34">
        <v>2</v>
      </c>
      <c r="V118" s="310">
        <f t="shared" si="161"/>
        <v>1.2121212121212121E-2</v>
      </c>
      <c r="W118" s="94">
        <v>14.61</v>
      </c>
      <c r="X118" s="36">
        <v>165</v>
      </c>
      <c r="Y118" s="66">
        <v>162.5</v>
      </c>
      <c r="Z118" s="15">
        <f t="shared" si="158"/>
        <v>2.5</v>
      </c>
      <c r="AA118" s="63">
        <f t="shared" si="159"/>
        <v>1.5384615384615385E-2</v>
      </c>
      <c r="AB118" s="344">
        <v>-23.71</v>
      </c>
      <c r="AD118" s="22" t="s">
        <v>95</v>
      </c>
      <c r="AE118" s="84">
        <v>44613</v>
      </c>
      <c r="AF118" s="83">
        <v>44623</v>
      </c>
      <c r="AG118" s="33">
        <f t="shared" si="160"/>
        <v>10</v>
      </c>
      <c r="AH118" s="117" t="s">
        <v>2129</v>
      </c>
      <c r="AI118" s="63"/>
      <c r="AJ118" s="284"/>
    </row>
    <row r="119" spans="1:37">
      <c r="A119" s="94">
        <v>8.33</v>
      </c>
      <c r="B119" s="79">
        <v>119</v>
      </c>
      <c r="C119" s="79">
        <v>111</v>
      </c>
      <c r="D119" s="79">
        <v>31</v>
      </c>
      <c r="E119" s="79">
        <v>-5</v>
      </c>
      <c r="F119" s="6">
        <v>24.41</v>
      </c>
      <c r="G119" s="79">
        <v>6187</v>
      </c>
      <c r="H119" s="8" t="s">
        <v>314</v>
      </c>
      <c r="I119" s="16" t="s">
        <v>4687</v>
      </c>
      <c r="J119" s="50" t="s">
        <v>4748</v>
      </c>
      <c r="L119" s="123"/>
      <c r="P119" s="365">
        <v>204</v>
      </c>
      <c r="Q119" s="79">
        <v>46</v>
      </c>
      <c r="R119" s="346">
        <v>1096</v>
      </c>
      <c r="S119" s="81">
        <v>4</v>
      </c>
      <c r="T119" s="327">
        <v>164</v>
      </c>
      <c r="U119" s="34">
        <v>4.5</v>
      </c>
      <c r="V119" s="310">
        <f t="shared" si="161"/>
        <v>3.2258064516129031E-2</v>
      </c>
      <c r="W119" s="94">
        <v>6.37</v>
      </c>
      <c r="X119" s="36">
        <v>139.5</v>
      </c>
      <c r="Y119" s="66">
        <v>137</v>
      </c>
      <c r="Z119" s="15">
        <f t="shared" si="158"/>
        <v>2.5</v>
      </c>
      <c r="AA119" s="63">
        <f t="shared" si="159"/>
        <v>1.824817518248175E-2</v>
      </c>
      <c r="AB119" s="344">
        <v>-18.34</v>
      </c>
      <c r="AD119" s="16" t="s">
        <v>4687</v>
      </c>
      <c r="AE119" s="84">
        <v>44616</v>
      </c>
      <c r="AF119" s="83">
        <v>44621</v>
      </c>
      <c r="AG119" s="33">
        <f t="shared" si="160"/>
        <v>5</v>
      </c>
      <c r="AH119" s="43" t="s">
        <v>2309</v>
      </c>
      <c r="AI119" s="63"/>
      <c r="AJ119" s="284"/>
    </row>
    <row r="120" spans="1:37">
      <c r="A120" s="94">
        <v>0.01</v>
      </c>
      <c r="B120" s="79">
        <v>433</v>
      </c>
      <c r="C120" s="79">
        <v>605</v>
      </c>
      <c r="D120" s="218">
        <v>11693</v>
      </c>
      <c r="E120" s="80">
        <v>-65</v>
      </c>
      <c r="F120" s="6">
        <v>78.790000000000006</v>
      </c>
      <c r="G120" s="79">
        <v>4157</v>
      </c>
      <c r="H120" s="8" t="s">
        <v>309</v>
      </c>
      <c r="I120" s="16" t="s">
        <v>3772</v>
      </c>
      <c r="J120" s="50" t="s">
        <v>4748</v>
      </c>
      <c r="L120" s="123"/>
      <c r="P120" s="365">
        <v>1011</v>
      </c>
      <c r="Q120" s="79">
        <v>594</v>
      </c>
      <c r="R120" s="346">
        <v>869</v>
      </c>
      <c r="S120" s="81" t="s">
        <v>6289</v>
      </c>
      <c r="T120" s="327">
        <v>1</v>
      </c>
      <c r="U120" s="34">
        <v>0</v>
      </c>
      <c r="V120" s="310">
        <f t="shared" si="161"/>
        <v>0</v>
      </c>
      <c r="W120" s="94">
        <v>1.1000000000000001</v>
      </c>
      <c r="X120" s="36">
        <v>17.55</v>
      </c>
      <c r="Y120" s="66">
        <v>17.25</v>
      </c>
      <c r="Z120" s="15">
        <f t="shared" si="158"/>
        <v>0.30000000000000071</v>
      </c>
      <c r="AA120" s="63">
        <f t="shared" si="159"/>
        <v>1.7391304347826129E-2</v>
      </c>
      <c r="AB120" s="344">
        <v>-31.33</v>
      </c>
      <c r="AD120" s="16" t="s">
        <v>3772</v>
      </c>
      <c r="AE120" s="84">
        <v>44614</v>
      </c>
      <c r="AF120" s="83">
        <v>44621</v>
      </c>
      <c r="AG120" s="33">
        <f t="shared" si="160"/>
        <v>7</v>
      </c>
      <c r="AH120" s="43" t="s">
        <v>3773</v>
      </c>
      <c r="AI120" s="318"/>
      <c r="AJ120" s="284"/>
      <c r="AK120" s="408"/>
    </row>
    <row r="121" spans="1:37" s="248" customFormat="1">
      <c r="A121" s="390"/>
      <c r="B121" s="79"/>
      <c r="C121" s="79"/>
      <c r="D121" s="79"/>
      <c r="E121" s="79"/>
      <c r="F121" s="6"/>
      <c r="G121" s="41"/>
      <c r="H121" s="8"/>
      <c r="I121" s="153"/>
      <c r="J121" s="1"/>
      <c r="K121" s="5"/>
      <c r="L121" s="163"/>
      <c r="O121" s="245"/>
      <c r="P121" s="365"/>
      <c r="Q121" s="79"/>
      <c r="R121" s="346"/>
      <c r="S121" s="81"/>
      <c r="T121" s="322"/>
      <c r="U121" s="185"/>
      <c r="V121" s="308"/>
      <c r="W121" s="94"/>
      <c r="X121" s="307">
        <f>SUM(X77:X120)</f>
        <v>9788.85</v>
      </c>
      <c r="Y121" s="296">
        <f>SUM(Y77:Y120)</f>
        <v>9609.4499999999989</v>
      </c>
      <c r="Z121" s="162">
        <f t="shared" si="158"/>
        <v>179.40000000000146</v>
      </c>
      <c r="AA121" s="158">
        <f t="shared" si="159"/>
        <v>1.8669122582458047E-2</v>
      </c>
      <c r="AB121" s="100"/>
      <c r="AC121" s="384"/>
      <c r="AD121" s="227">
        <f>X121*(0.001425*0.5)+X121*0.003+Y121*(0.001425*0.5)</f>
        <v>43.187838749999997</v>
      </c>
      <c r="AE121" s="6">
        <f>Z121-AD121</f>
        <v>136.21216125000146</v>
      </c>
      <c r="AF121" s="83"/>
      <c r="AG121" s="33"/>
      <c r="AH121" s="46" t="s">
        <v>4756</v>
      </c>
    </row>
    <row r="122" spans="1:37" s="248" customFormat="1">
      <c r="A122" s="390"/>
      <c r="B122" s="79"/>
      <c r="C122" s="79"/>
      <c r="D122" s="79"/>
      <c r="E122" s="79"/>
      <c r="F122" s="6"/>
      <c r="G122" s="41"/>
      <c r="H122" s="8"/>
      <c r="I122" s="153"/>
      <c r="J122" s="1"/>
      <c r="K122" s="5"/>
      <c r="L122" s="163"/>
      <c r="O122" s="245"/>
      <c r="P122" s="365"/>
      <c r="Q122" s="79"/>
      <c r="R122" s="346"/>
      <c r="S122" s="81"/>
      <c r="T122" s="322"/>
      <c r="U122" s="185"/>
      <c r="V122" s="308"/>
      <c r="W122" s="94"/>
      <c r="X122" s="307"/>
      <c r="Y122" s="296"/>
      <c r="Z122" s="162"/>
      <c r="AA122" s="158"/>
      <c r="AB122" s="100"/>
      <c r="AC122" s="384"/>
      <c r="AD122" s="227"/>
      <c r="AE122" s="6"/>
      <c r="AF122" s="83"/>
      <c r="AG122" s="33"/>
      <c r="AH122" s="46"/>
    </row>
    <row r="123" spans="1:37">
      <c r="A123" s="94">
        <v>6.01</v>
      </c>
      <c r="B123" s="80">
        <v>-60</v>
      </c>
      <c r="C123" s="80">
        <v>-58</v>
      </c>
      <c r="D123" s="80">
        <v>-9</v>
      </c>
      <c r="E123" s="79">
        <v>72</v>
      </c>
      <c r="F123" s="6">
        <v>1.66</v>
      </c>
      <c r="G123" s="79">
        <v>3548</v>
      </c>
      <c r="H123" s="5" t="s">
        <v>3389</v>
      </c>
      <c r="I123" s="16" t="s">
        <v>141</v>
      </c>
      <c r="J123" s="8" t="s">
        <v>3543</v>
      </c>
      <c r="L123" s="123"/>
      <c r="P123" s="365">
        <v>48</v>
      </c>
      <c r="Q123" s="79">
        <v>308</v>
      </c>
      <c r="R123" s="346">
        <v>664</v>
      </c>
      <c r="S123" s="81">
        <v>475</v>
      </c>
      <c r="T123" s="327">
        <v>560</v>
      </c>
      <c r="U123" s="34">
        <v>2.5</v>
      </c>
      <c r="V123" s="310">
        <f t="shared" ref="V123:V148" si="162">U123/X123</f>
        <v>3.3783783783783786E-2</v>
      </c>
      <c r="W123" s="94">
        <v>2.6</v>
      </c>
      <c r="X123" s="36">
        <v>74</v>
      </c>
      <c r="Y123" s="66">
        <v>72.599999999999994</v>
      </c>
      <c r="Z123" s="15">
        <f t="shared" ref="Z123:Z149" si="163">X123-Y123</f>
        <v>1.4000000000000057</v>
      </c>
      <c r="AA123" s="63">
        <f t="shared" ref="AA123:AA149" si="164">Z123/Y123</f>
        <v>1.928374655647391E-2</v>
      </c>
      <c r="AB123" s="344">
        <v>-23.78</v>
      </c>
      <c r="AD123" s="16" t="s">
        <v>141</v>
      </c>
      <c r="AE123" s="84">
        <v>44617</v>
      </c>
      <c r="AF123" s="86">
        <v>44617</v>
      </c>
      <c r="AG123" s="33">
        <f t="shared" ref="AG123:AG148" si="165">AF123-AE123</f>
        <v>0</v>
      </c>
      <c r="AH123" s="117" t="s">
        <v>2890</v>
      </c>
      <c r="AI123" s="63"/>
      <c r="AJ123" s="284"/>
    </row>
    <row r="124" spans="1:37">
      <c r="A124" s="94">
        <v>25.2</v>
      </c>
      <c r="B124" s="79">
        <v>181</v>
      </c>
      <c r="C124" s="79">
        <v>158</v>
      </c>
      <c r="D124" s="80">
        <v>-7</v>
      </c>
      <c r="E124" s="79">
        <v>27</v>
      </c>
      <c r="F124" s="6">
        <v>21.4</v>
      </c>
      <c r="G124" s="79">
        <v>8358</v>
      </c>
      <c r="H124" s="8" t="s">
        <v>308</v>
      </c>
      <c r="I124" s="16" t="s">
        <v>222</v>
      </c>
      <c r="J124" s="50" t="s">
        <v>4748</v>
      </c>
      <c r="L124" s="123"/>
      <c r="P124" s="365">
        <v>308</v>
      </c>
      <c r="Q124" s="79">
        <v>314</v>
      </c>
      <c r="R124" s="346">
        <v>636</v>
      </c>
      <c r="S124" s="81">
        <v>36</v>
      </c>
      <c r="T124" s="327">
        <v>256</v>
      </c>
      <c r="U124" s="34">
        <v>4.2</v>
      </c>
      <c r="V124" s="310">
        <f t="shared" si="162"/>
        <v>5.5702917771883284E-2</v>
      </c>
      <c r="W124" s="94">
        <v>2.14</v>
      </c>
      <c r="X124" s="36">
        <v>75.400000000000006</v>
      </c>
      <c r="Y124" s="66">
        <v>74.099999999999994</v>
      </c>
      <c r="Z124" s="15">
        <f t="shared" si="163"/>
        <v>1.3000000000000114</v>
      </c>
      <c r="AA124" s="63">
        <f t="shared" si="164"/>
        <v>1.7543859649122962E-2</v>
      </c>
      <c r="AB124" s="344">
        <v>-20.13</v>
      </c>
      <c r="AD124" s="16" t="s">
        <v>222</v>
      </c>
      <c r="AE124" s="84">
        <v>44616</v>
      </c>
      <c r="AF124" s="83">
        <v>44617</v>
      </c>
      <c r="AG124" s="33">
        <f t="shared" si="165"/>
        <v>1</v>
      </c>
      <c r="AH124" s="117" t="s">
        <v>2431</v>
      </c>
      <c r="AI124" s="63"/>
      <c r="AJ124" s="284"/>
    </row>
    <row r="125" spans="1:37">
      <c r="A125" s="94">
        <v>10</v>
      </c>
      <c r="B125" s="79">
        <v>21</v>
      </c>
      <c r="C125" s="79">
        <v>4</v>
      </c>
      <c r="D125" s="79">
        <v>14</v>
      </c>
      <c r="E125" s="79">
        <v>79</v>
      </c>
      <c r="F125" s="6">
        <v>11.75</v>
      </c>
      <c r="G125" s="79">
        <v>4755</v>
      </c>
      <c r="H125" s="8" t="s">
        <v>755</v>
      </c>
      <c r="I125" s="22" t="s">
        <v>767</v>
      </c>
      <c r="J125" s="8" t="s">
        <v>3543</v>
      </c>
      <c r="L125" s="123"/>
      <c r="P125" s="365">
        <v>596</v>
      </c>
      <c r="Q125" s="79">
        <v>606</v>
      </c>
      <c r="R125" s="346">
        <v>179</v>
      </c>
      <c r="S125" s="81">
        <v>223</v>
      </c>
      <c r="T125" s="327">
        <v>294</v>
      </c>
      <c r="U125" s="34">
        <v>3</v>
      </c>
      <c r="V125" s="310">
        <f t="shared" si="162"/>
        <v>1.9867549668874173E-2</v>
      </c>
      <c r="W125" s="94">
        <v>4.74</v>
      </c>
      <c r="X125" s="36">
        <v>151</v>
      </c>
      <c r="Y125" s="66">
        <v>148.5</v>
      </c>
      <c r="Z125" s="15">
        <f t="shared" si="163"/>
        <v>2.5</v>
      </c>
      <c r="AA125" s="63">
        <f t="shared" si="164"/>
        <v>1.6835016835016835E-2</v>
      </c>
      <c r="AB125" s="344">
        <v>-22.13</v>
      </c>
      <c r="AD125" s="22" t="s">
        <v>767</v>
      </c>
      <c r="AE125" s="84">
        <v>44615</v>
      </c>
      <c r="AF125" s="86">
        <v>44615</v>
      </c>
      <c r="AG125" s="33">
        <f t="shared" si="165"/>
        <v>0</v>
      </c>
      <c r="AH125" s="43" t="s">
        <v>3637</v>
      </c>
      <c r="AI125" s="63"/>
      <c r="AJ125" s="284"/>
    </row>
    <row r="126" spans="1:37">
      <c r="A126" s="94">
        <v>0.01</v>
      </c>
      <c r="B126" s="79">
        <v>433</v>
      </c>
      <c r="C126" s="79">
        <v>605</v>
      </c>
      <c r="D126" s="218">
        <v>11693</v>
      </c>
      <c r="E126" s="80">
        <v>-65</v>
      </c>
      <c r="F126" s="6">
        <v>78.790000000000006</v>
      </c>
      <c r="G126" s="79">
        <v>4157</v>
      </c>
      <c r="H126" s="8" t="s">
        <v>309</v>
      </c>
      <c r="I126" s="16" t="s">
        <v>3772</v>
      </c>
      <c r="J126" s="50" t="s">
        <v>4748</v>
      </c>
      <c r="L126" s="123"/>
      <c r="P126" s="365">
        <v>1011</v>
      </c>
      <c r="Q126" s="79">
        <v>594</v>
      </c>
      <c r="R126" s="346">
        <v>869</v>
      </c>
      <c r="S126" s="81" t="s">
        <v>6289</v>
      </c>
      <c r="T126" s="327">
        <v>1</v>
      </c>
      <c r="U126" s="34">
        <v>0</v>
      </c>
      <c r="V126" s="310">
        <f t="shared" si="162"/>
        <v>0</v>
      </c>
      <c r="W126" s="94">
        <v>1.1000000000000001</v>
      </c>
      <c r="X126" s="36">
        <v>17.25</v>
      </c>
      <c r="Y126" s="66">
        <v>15.95</v>
      </c>
      <c r="Z126" s="15">
        <f t="shared" si="163"/>
        <v>1.3000000000000007</v>
      </c>
      <c r="AA126" s="63">
        <f t="shared" si="164"/>
        <v>8.1504702194357417E-2</v>
      </c>
      <c r="AB126" s="344">
        <v>-37.549999999999997</v>
      </c>
      <c r="AD126" s="16" t="s">
        <v>3772</v>
      </c>
      <c r="AE126" s="84">
        <v>44613</v>
      </c>
      <c r="AF126" s="83">
        <v>44614</v>
      </c>
      <c r="AG126" s="33">
        <f t="shared" si="165"/>
        <v>1</v>
      </c>
      <c r="AH126" s="43" t="s">
        <v>3773</v>
      </c>
      <c r="AI126" s="318"/>
      <c r="AJ126" s="284"/>
      <c r="AK126" s="408"/>
    </row>
    <row r="127" spans="1:37">
      <c r="A127" s="94">
        <v>3.8</v>
      </c>
      <c r="B127" s="80">
        <v>-3</v>
      </c>
      <c r="C127" s="79">
        <v>6</v>
      </c>
      <c r="D127" s="80">
        <v>-15</v>
      </c>
      <c r="E127" s="79">
        <v>29</v>
      </c>
      <c r="F127" s="6">
        <v>19.690000000000001</v>
      </c>
      <c r="G127" s="79">
        <v>6231</v>
      </c>
      <c r="H127" s="8" t="s">
        <v>313</v>
      </c>
      <c r="I127" s="16" t="s">
        <v>1009</v>
      </c>
      <c r="J127" s="8" t="s">
        <v>3543</v>
      </c>
      <c r="L127" s="123"/>
      <c r="P127" s="365">
        <v>125</v>
      </c>
      <c r="Q127" s="79">
        <v>340</v>
      </c>
      <c r="R127" s="346">
        <v>347</v>
      </c>
      <c r="S127" s="81">
        <v>211</v>
      </c>
      <c r="T127" s="327">
        <v>659</v>
      </c>
      <c r="U127" s="34">
        <v>3.5</v>
      </c>
      <c r="V127" s="310">
        <f t="shared" si="162"/>
        <v>3.7353255069370331E-2</v>
      </c>
      <c r="W127" s="94">
        <v>3.92</v>
      </c>
      <c r="X127" s="36">
        <v>93.7</v>
      </c>
      <c r="Y127" s="66">
        <v>92.6</v>
      </c>
      <c r="Z127" s="15">
        <f t="shared" si="163"/>
        <v>1.1000000000000085</v>
      </c>
      <c r="AA127" s="63">
        <f t="shared" si="164"/>
        <v>1.187904967602601E-2</v>
      </c>
      <c r="AB127" s="344">
        <v>-16.13</v>
      </c>
      <c r="AD127" s="16" t="s">
        <v>1009</v>
      </c>
      <c r="AE127" s="84">
        <v>44609</v>
      </c>
      <c r="AF127" s="83">
        <v>44614</v>
      </c>
      <c r="AG127" s="33">
        <f t="shared" si="165"/>
        <v>5</v>
      </c>
      <c r="AH127" s="43" t="s">
        <v>2160</v>
      </c>
      <c r="AI127" s="63"/>
      <c r="AJ127" s="284"/>
    </row>
    <row r="128" spans="1:37">
      <c r="A128" s="94">
        <v>7</v>
      </c>
      <c r="B128" s="79">
        <v>102</v>
      </c>
      <c r="C128" s="79">
        <v>102</v>
      </c>
      <c r="D128" s="79">
        <v>5</v>
      </c>
      <c r="E128" s="79">
        <v>16</v>
      </c>
      <c r="F128" s="6">
        <v>25.41</v>
      </c>
      <c r="G128" s="79">
        <v>6491</v>
      </c>
      <c r="H128" s="192" t="s">
        <v>309</v>
      </c>
      <c r="I128" s="22" t="s">
        <v>3827</v>
      </c>
      <c r="J128" s="8" t="s">
        <v>3544</v>
      </c>
      <c r="L128" s="123"/>
      <c r="P128" s="365">
        <v>997</v>
      </c>
      <c r="Q128" s="79">
        <v>1118</v>
      </c>
      <c r="R128" s="346">
        <v>373</v>
      </c>
      <c r="S128" s="81">
        <v>74</v>
      </c>
      <c r="T128" s="327">
        <v>482</v>
      </c>
      <c r="U128" s="34">
        <v>8.5</v>
      </c>
      <c r="V128" s="310">
        <f t="shared" si="162"/>
        <v>1.8279569892473119E-2</v>
      </c>
      <c r="W128" s="94">
        <v>16.61</v>
      </c>
      <c r="X128" s="36">
        <v>465</v>
      </c>
      <c r="Y128" s="66">
        <v>445</v>
      </c>
      <c r="Z128" s="15">
        <f t="shared" si="163"/>
        <v>20</v>
      </c>
      <c r="AA128" s="63">
        <f t="shared" si="164"/>
        <v>4.49438202247191E-2</v>
      </c>
      <c r="AB128" s="344">
        <v>-33.33</v>
      </c>
      <c r="AD128" s="22" t="s">
        <v>3827</v>
      </c>
      <c r="AE128" s="84">
        <v>44610</v>
      </c>
      <c r="AF128" s="83">
        <v>44613</v>
      </c>
      <c r="AG128" s="33">
        <f t="shared" si="165"/>
        <v>3</v>
      </c>
      <c r="AH128" s="117" t="s">
        <v>3828</v>
      </c>
      <c r="AI128" s="63"/>
      <c r="AJ128" s="284"/>
    </row>
    <row r="129" spans="1:37">
      <c r="A129" s="94">
        <v>4.4400000000000004</v>
      </c>
      <c r="B129" s="92">
        <v>1166</v>
      </c>
      <c r="C129" s="218">
        <v>25679</v>
      </c>
      <c r="D129" s="79">
        <v>5</v>
      </c>
      <c r="E129" s="79">
        <v>26</v>
      </c>
      <c r="F129" s="6">
        <v>18.239999999999998</v>
      </c>
      <c r="G129" s="79">
        <v>3527</v>
      </c>
      <c r="H129" s="8" t="s">
        <v>3039</v>
      </c>
      <c r="I129" s="16" t="s">
        <v>326</v>
      </c>
      <c r="J129" s="50" t="s">
        <v>4748</v>
      </c>
      <c r="L129" s="123"/>
      <c r="P129" s="365">
        <v>135</v>
      </c>
      <c r="Q129" s="79">
        <v>378</v>
      </c>
      <c r="R129" s="346">
        <v>603</v>
      </c>
      <c r="S129" s="81">
        <v>195</v>
      </c>
      <c r="T129" s="327">
        <v>139</v>
      </c>
      <c r="U129" s="34">
        <v>2</v>
      </c>
      <c r="V129" s="310">
        <f t="shared" si="162"/>
        <v>1.0335917312661499E-2</v>
      </c>
      <c r="W129" s="94">
        <v>10.47</v>
      </c>
      <c r="X129" s="36">
        <v>193.5</v>
      </c>
      <c r="Y129" s="66">
        <v>190</v>
      </c>
      <c r="Z129" s="15">
        <f t="shared" si="163"/>
        <v>3.5</v>
      </c>
      <c r="AA129" s="63">
        <f t="shared" si="164"/>
        <v>1.8421052631578946E-2</v>
      </c>
      <c r="AB129" s="344">
        <v>-31.18</v>
      </c>
      <c r="AD129" s="16" t="s">
        <v>326</v>
      </c>
      <c r="AE129" s="84">
        <v>44609</v>
      </c>
      <c r="AF129" s="83">
        <v>44613</v>
      </c>
      <c r="AG129" s="33">
        <f t="shared" si="165"/>
        <v>4</v>
      </c>
      <c r="AH129" s="43" t="s">
        <v>2356</v>
      </c>
      <c r="AI129" s="63"/>
      <c r="AJ129" s="284"/>
    </row>
    <row r="130" spans="1:37">
      <c r="A130" s="94">
        <v>15.2</v>
      </c>
      <c r="B130" s="79">
        <v>691</v>
      </c>
      <c r="C130" s="79">
        <v>515</v>
      </c>
      <c r="D130" s="80">
        <v>-6</v>
      </c>
      <c r="E130" s="79">
        <v>89</v>
      </c>
      <c r="F130" s="6">
        <v>11.81</v>
      </c>
      <c r="G130" s="80">
        <v>2636</v>
      </c>
      <c r="H130" s="8" t="s">
        <v>302</v>
      </c>
      <c r="I130" s="22" t="s">
        <v>1922</v>
      </c>
      <c r="J130" s="8" t="s">
        <v>3543</v>
      </c>
      <c r="L130" s="123"/>
      <c r="P130" s="365">
        <v>94</v>
      </c>
      <c r="Q130" s="79">
        <v>167</v>
      </c>
      <c r="R130" s="346">
        <v>412</v>
      </c>
      <c r="S130" s="81">
        <v>491</v>
      </c>
      <c r="T130" s="327">
        <v>128</v>
      </c>
      <c r="U130" s="34">
        <v>3.02</v>
      </c>
      <c r="V130" s="310">
        <f t="shared" si="162"/>
        <v>2.3053435114503817E-2</v>
      </c>
      <c r="W130" s="94">
        <v>24.5</v>
      </c>
      <c r="X130" s="36">
        <v>131</v>
      </c>
      <c r="Y130" s="66">
        <v>128.5</v>
      </c>
      <c r="Z130" s="15">
        <f t="shared" si="163"/>
        <v>2.5</v>
      </c>
      <c r="AA130" s="63">
        <f t="shared" si="164"/>
        <v>1.9455252918287938E-2</v>
      </c>
      <c r="AB130" s="344">
        <v>-60.9</v>
      </c>
      <c r="AD130" s="22" t="s">
        <v>1922</v>
      </c>
      <c r="AE130" s="84">
        <v>44602</v>
      </c>
      <c r="AF130" s="83">
        <v>44610</v>
      </c>
      <c r="AG130" s="33">
        <f t="shared" si="165"/>
        <v>8</v>
      </c>
      <c r="AH130" s="43" t="s">
        <v>2014</v>
      </c>
      <c r="AI130" s="63"/>
      <c r="AJ130" s="284"/>
    </row>
    <row r="131" spans="1:37">
      <c r="A131" s="94">
        <v>6.81</v>
      </c>
      <c r="B131" s="79">
        <v>169</v>
      </c>
      <c r="C131" s="79">
        <v>171</v>
      </c>
      <c r="D131" s="79">
        <v>16</v>
      </c>
      <c r="E131" s="79">
        <v>29</v>
      </c>
      <c r="F131" s="6">
        <v>30.9</v>
      </c>
      <c r="G131" s="79">
        <v>6756</v>
      </c>
      <c r="H131" s="8" t="s">
        <v>3039</v>
      </c>
      <c r="I131" s="22" t="s">
        <v>2133</v>
      </c>
      <c r="J131" s="8" t="s">
        <v>3544</v>
      </c>
      <c r="L131" s="123"/>
      <c r="P131" s="365">
        <v>506</v>
      </c>
      <c r="Q131" s="79">
        <v>934</v>
      </c>
      <c r="R131" s="346">
        <v>765</v>
      </c>
      <c r="S131" s="81">
        <v>316</v>
      </c>
      <c r="T131" s="327">
        <v>164</v>
      </c>
      <c r="U131" s="34">
        <v>4.5</v>
      </c>
      <c r="V131" s="310">
        <f t="shared" si="162"/>
        <v>9.1093117408906875E-3</v>
      </c>
      <c r="W131" s="94">
        <v>10.91</v>
      </c>
      <c r="X131" s="36">
        <v>494</v>
      </c>
      <c r="Y131" s="66">
        <v>481.5</v>
      </c>
      <c r="Z131" s="15">
        <f t="shared" si="163"/>
        <v>12.5</v>
      </c>
      <c r="AA131" s="63">
        <f t="shared" si="164"/>
        <v>2.5960539979231569E-2</v>
      </c>
      <c r="AB131" s="344">
        <v>-23.84</v>
      </c>
      <c r="AD131" s="22" t="s">
        <v>2133</v>
      </c>
      <c r="AE131" s="84">
        <v>44601</v>
      </c>
      <c r="AF131" s="83">
        <v>44609</v>
      </c>
      <c r="AG131" s="33">
        <f t="shared" si="165"/>
        <v>8</v>
      </c>
      <c r="AH131" s="43" t="s">
        <v>2134</v>
      </c>
      <c r="AI131" s="63"/>
      <c r="AJ131" s="284"/>
    </row>
    <row r="132" spans="1:37">
      <c r="A132" s="94">
        <v>4.3</v>
      </c>
      <c r="B132" s="92">
        <v>7630</v>
      </c>
      <c r="C132" s="92">
        <v>2113</v>
      </c>
      <c r="D132" s="80">
        <v>-9</v>
      </c>
      <c r="E132" s="79">
        <v>58</v>
      </c>
      <c r="F132" s="6">
        <v>29.19</v>
      </c>
      <c r="G132" s="80">
        <v>6485</v>
      </c>
      <c r="H132" s="17" t="s">
        <v>3039</v>
      </c>
      <c r="I132" s="16" t="s">
        <v>232</v>
      </c>
      <c r="J132" s="50" t="s">
        <v>4748</v>
      </c>
      <c r="L132" s="123"/>
      <c r="P132" s="365">
        <v>16</v>
      </c>
      <c r="Q132" s="79">
        <v>124</v>
      </c>
      <c r="R132" s="346">
        <v>805</v>
      </c>
      <c r="S132" s="81">
        <v>418</v>
      </c>
      <c r="T132" s="327">
        <v>69</v>
      </c>
      <c r="U132" s="34">
        <v>0.49</v>
      </c>
      <c r="V132" s="310">
        <f t="shared" si="162"/>
        <v>3.3793103448275861E-3</v>
      </c>
      <c r="W132" s="94">
        <v>8.48</v>
      </c>
      <c r="X132" s="36">
        <v>145</v>
      </c>
      <c r="Y132" s="66">
        <v>141.5</v>
      </c>
      <c r="Z132" s="15">
        <f t="shared" si="163"/>
        <v>3.5</v>
      </c>
      <c r="AA132" s="63">
        <f t="shared" si="164"/>
        <v>2.4734982332155476E-2</v>
      </c>
      <c r="AB132" s="344">
        <v>-28.01</v>
      </c>
      <c r="AD132" s="16" t="s">
        <v>232</v>
      </c>
      <c r="AE132" s="84">
        <v>44608</v>
      </c>
      <c r="AF132" s="86">
        <v>44608</v>
      </c>
      <c r="AG132" s="33">
        <f t="shared" si="165"/>
        <v>0</v>
      </c>
      <c r="AH132" s="43" t="s">
        <v>2365</v>
      </c>
      <c r="AI132" s="63"/>
      <c r="AJ132" s="284"/>
    </row>
    <row r="133" spans="1:37">
      <c r="A133" s="94">
        <v>26.3</v>
      </c>
      <c r="B133" s="79">
        <v>116</v>
      </c>
      <c r="C133" s="79">
        <v>35</v>
      </c>
      <c r="D133" s="79">
        <v>1</v>
      </c>
      <c r="E133" s="79">
        <v>13</v>
      </c>
      <c r="F133" s="6">
        <v>7.23</v>
      </c>
      <c r="G133" s="79">
        <v>3260</v>
      </c>
      <c r="H133" s="145" t="s">
        <v>3039</v>
      </c>
      <c r="I133" s="16" t="s">
        <v>215</v>
      </c>
      <c r="J133" s="50" t="s">
        <v>4748</v>
      </c>
      <c r="L133" s="123"/>
      <c r="P133" s="365">
        <v>180</v>
      </c>
      <c r="Q133" s="79">
        <v>300</v>
      </c>
      <c r="R133" s="346">
        <v>624</v>
      </c>
      <c r="S133" s="81">
        <v>397</v>
      </c>
      <c r="T133" s="327">
        <v>433</v>
      </c>
      <c r="U133" s="34">
        <v>3.18</v>
      </c>
      <c r="V133" s="310">
        <f t="shared" si="162"/>
        <v>3.4678298800436207E-2</v>
      </c>
      <c r="W133" s="94">
        <v>10.55</v>
      </c>
      <c r="X133" s="36">
        <v>91.7</v>
      </c>
      <c r="Y133" s="66">
        <v>90</v>
      </c>
      <c r="Z133" s="15">
        <f t="shared" si="163"/>
        <v>1.7000000000000028</v>
      </c>
      <c r="AA133" s="63">
        <f t="shared" si="164"/>
        <v>1.888888888888892E-2</v>
      </c>
      <c r="AB133" s="344">
        <v>-30.98</v>
      </c>
      <c r="AD133" s="16" t="s">
        <v>215</v>
      </c>
      <c r="AE133" s="84">
        <v>44603</v>
      </c>
      <c r="AF133" s="83">
        <v>44608</v>
      </c>
      <c r="AG133" s="33">
        <f t="shared" si="165"/>
        <v>5</v>
      </c>
      <c r="AH133" s="117" t="s">
        <v>1414</v>
      </c>
      <c r="AI133" s="63"/>
      <c r="AJ133" s="284"/>
    </row>
    <row r="134" spans="1:37">
      <c r="A134" s="94">
        <v>4.4400000000000004</v>
      </c>
      <c r="B134" s="92">
        <v>1166</v>
      </c>
      <c r="C134" s="218">
        <v>25679</v>
      </c>
      <c r="D134" s="80">
        <v>-1</v>
      </c>
      <c r="E134" s="79">
        <v>11</v>
      </c>
      <c r="F134" s="6">
        <v>18.239999999999998</v>
      </c>
      <c r="G134" s="80">
        <v>3527</v>
      </c>
      <c r="H134" s="8" t="s">
        <v>3039</v>
      </c>
      <c r="I134" s="16" t="s">
        <v>326</v>
      </c>
      <c r="J134" s="50" t="s">
        <v>4748</v>
      </c>
      <c r="L134" s="123"/>
      <c r="P134" s="365">
        <v>135</v>
      </c>
      <c r="Q134" s="79">
        <v>378</v>
      </c>
      <c r="R134" s="346">
        <v>603</v>
      </c>
      <c r="S134" s="81">
        <v>195</v>
      </c>
      <c r="T134" s="327">
        <v>139</v>
      </c>
      <c r="U134" s="34">
        <v>2</v>
      </c>
      <c r="V134" s="310">
        <f t="shared" si="162"/>
        <v>1.06951871657754E-2</v>
      </c>
      <c r="W134" s="94">
        <v>10.47</v>
      </c>
      <c r="X134" s="36">
        <v>187</v>
      </c>
      <c r="Y134" s="66">
        <v>183.5</v>
      </c>
      <c r="Z134" s="15">
        <f t="shared" si="163"/>
        <v>3.5</v>
      </c>
      <c r="AA134" s="63">
        <f t="shared" si="164"/>
        <v>1.9073569482288829E-2</v>
      </c>
      <c r="AB134" s="344">
        <v>-34.950000000000003</v>
      </c>
      <c r="AD134" s="16" t="s">
        <v>326</v>
      </c>
      <c r="AE134" s="84">
        <v>44602</v>
      </c>
      <c r="AF134" s="83">
        <v>44608</v>
      </c>
      <c r="AG134" s="33">
        <f t="shared" si="165"/>
        <v>6</v>
      </c>
      <c r="AH134" s="43" t="s">
        <v>2356</v>
      </c>
      <c r="AI134" s="63"/>
      <c r="AJ134" s="284"/>
    </row>
    <row r="135" spans="1:37">
      <c r="A135" s="94">
        <v>16.100000000000001</v>
      </c>
      <c r="B135" s="79">
        <v>101</v>
      </c>
      <c r="C135" s="79">
        <v>100</v>
      </c>
      <c r="D135" s="79">
        <v>8</v>
      </c>
      <c r="E135" s="79">
        <v>12</v>
      </c>
      <c r="F135" s="6">
        <v>29.73</v>
      </c>
      <c r="G135" s="79">
        <v>3014</v>
      </c>
      <c r="H135" s="8" t="s">
        <v>3039</v>
      </c>
      <c r="I135" s="22" t="s">
        <v>97</v>
      </c>
      <c r="J135" s="50" t="s">
        <v>4748</v>
      </c>
      <c r="L135" s="123"/>
      <c r="P135" s="365">
        <v>565</v>
      </c>
      <c r="Q135" s="79">
        <v>639</v>
      </c>
      <c r="R135" s="346">
        <v>551</v>
      </c>
      <c r="S135" s="81">
        <v>354</v>
      </c>
      <c r="T135" s="327">
        <v>202</v>
      </c>
      <c r="U135" s="34">
        <v>6</v>
      </c>
      <c r="V135" s="310">
        <f t="shared" si="162"/>
        <v>5.2863436123348019E-2</v>
      </c>
      <c r="W135" s="94">
        <v>10.19</v>
      </c>
      <c r="X135" s="36">
        <v>113.5</v>
      </c>
      <c r="Y135" s="66">
        <v>111.5</v>
      </c>
      <c r="Z135" s="15">
        <f t="shared" si="163"/>
        <v>2</v>
      </c>
      <c r="AA135" s="63">
        <f t="shared" si="164"/>
        <v>1.7937219730941704E-2</v>
      </c>
      <c r="AB135" s="344">
        <v>-21.6</v>
      </c>
      <c r="AD135" s="22" t="s">
        <v>97</v>
      </c>
      <c r="AE135" s="84">
        <v>44606</v>
      </c>
      <c r="AF135" s="86">
        <v>44606</v>
      </c>
      <c r="AG135" s="33">
        <f t="shared" si="165"/>
        <v>0</v>
      </c>
      <c r="AH135" s="117" t="s">
        <v>1438</v>
      </c>
      <c r="AI135" s="63"/>
      <c r="AJ135" s="284"/>
    </row>
    <row r="136" spans="1:37">
      <c r="A136" s="94">
        <v>6.13</v>
      </c>
      <c r="B136" s="79">
        <v>56</v>
      </c>
      <c r="C136" s="79">
        <v>58</v>
      </c>
      <c r="D136" s="79">
        <v>25</v>
      </c>
      <c r="E136" s="79">
        <v>47</v>
      </c>
      <c r="F136" s="6">
        <v>28.75</v>
      </c>
      <c r="G136" s="79">
        <v>3556</v>
      </c>
      <c r="H136" s="183" t="s">
        <v>3039</v>
      </c>
      <c r="I136" s="16" t="s">
        <v>363</v>
      </c>
      <c r="J136" s="8" t="s">
        <v>3543</v>
      </c>
      <c r="L136" s="123"/>
      <c r="P136" s="365">
        <v>232</v>
      </c>
      <c r="Q136" s="79">
        <v>337</v>
      </c>
      <c r="R136" s="346">
        <v>680</v>
      </c>
      <c r="S136" s="81">
        <v>304</v>
      </c>
      <c r="T136" s="327">
        <v>283</v>
      </c>
      <c r="U136" s="34">
        <v>3.45</v>
      </c>
      <c r="V136" s="310">
        <f t="shared" si="162"/>
        <v>4.0445486518171161E-2</v>
      </c>
      <c r="W136" s="94">
        <v>5.72</v>
      </c>
      <c r="X136" s="36">
        <v>85.3</v>
      </c>
      <c r="Y136" s="66">
        <v>83.9</v>
      </c>
      <c r="Z136" s="15">
        <f t="shared" si="163"/>
        <v>1.3999999999999915</v>
      </c>
      <c r="AA136" s="63">
        <f t="shared" si="164"/>
        <v>1.6686531585220397E-2</v>
      </c>
      <c r="AB136" s="344">
        <v>-35.75</v>
      </c>
      <c r="AD136" s="16" t="s">
        <v>363</v>
      </c>
      <c r="AE136" s="84">
        <v>44602</v>
      </c>
      <c r="AF136" s="83">
        <v>44603</v>
      </c>
      <c r="AG136" s="33">
        <f t="shared" si="165"/>
        <v>1</v>
      </c>
      <c r="AH136" s="43" t="s">
        <v>2357</v>
      </c>
      <c r="AI136" s="63"/>
      <c r="AJ136" s="284"/>
    </row>
    <row r="137" spans="1:37">
      <c r="A137" s="94">
        <v>19.7</v>
      </c>
      <c r="B137" s="79">
        <v>28</v>
      </c>
      <c r="C137" s="79">
        <v>80</v>
      </c>
      <c r="D137" s="80">
        <v>-13</v>
      </c>
      <c r="E137" s="79">
        <v>19</v>
      </c>
      <c r="F137" s="6">
        <v>15.8</v>
      </c>
      <c r="G137" s="79">
        <v>8299</v>
      </c>
      <c r="H137" s="192" t="s">
        <v>3039</v>
      </c>
      <c r="I137" s="16" t="s">
        <v>4073</v>
      </c>
      <c r="J137" s="8" t="s">
        <v>4734</v>
      </c>
      <c r="L137" s="123"/>
      <c r="P137" s="365">
        <v>404</v>
      </c>
      <c r="Q137" s="79">
        <v>104</v>
      </c>
      <c r="R137" s="346">
        <v>132</v>
      </c>
      <c r="S137" s="81">
        <v>79</v>
      </c>
      <c r="T137" s="327">
        <v>217</v>
      </c>
      <c r="U137" s="34">
        <v>10</v>
      </c>
      <c r="V137" s="310">
        <f t="shared" si="162"/>
        <v>2.100840336134454E-2</v>
      </c>
      <c r="W137" s="94">
        <v>51.35</v>
      </c>
      <c r="X137" s="36">
        <v>476</v>
      </c>
      <c r="Y137" s="66">
        <v>456</v>
      </c>
      <c r="Z137" s="15">
        <f t="shared" si="163"/>
        <v>20</v>
      </c>
      <c r="AA137" s="63">
        <f t="shared" si="164"/>
        <v>4.3859649122807015E-2</v>
      </c>
      <c r="AB137" s="344">
        <v>-27.66</v>
      </c>
      <c r="AD137" s="16" t="s">
        <v>4073</v>
      </c>
      <c r="AE137" s="84">
        <v>44599</v>
      </c>
      <c r="AF137" s="83">
        <v>44601</v>
      </c>
      <c r="AG137" s="33">
        <f t="shared" si="165"/>
        <v>2</v>
      </c>
      <c r="AH137" s="117" t="s">
        <v>2129</v>
      </c>
      <c r="AI137" s="63"/>
      <c r="AJ137" s="284"/>
    </row>
    <row r="138" spans="1:37">
      <c r="A138" s="94">
        <v>9.35</v>
      </c>
      <c r="B138" s="80">
        <v>-82</v>
      </c>
      <c r="C138" s="80">
        <v>-86</v>
      </c>
      <c r="D138" s="79">
        <v>21</v>
      </c>
      <c r="E138" s="79">
        <v>2</v>
      </c>
      <c r="F138" s="6">
        <v>1.01</v>
      </c>
      <c r="G138" s="79">
        <v>3708</v>
      </c>
      <c r="H138" s="5" t="s">
        <v>755</v>
      </c>
      <c r="I138" s="22" t="s">
        <v>3616</v>
      </c>
      <c r="J138" s="8" t="s">
        <v>3543</v>
      </c>
      <c r="L138" s="123"/>
      <c r="P138" s="365">
        <v>74</v>
      </c>
      <c r="Q138" s="79">
        <v>207</v>
      </c>
      <c r="R138" s="346">
        <v>431</v>
      </c>
      <c r="S138" s="81">
        <v>20</v>
      </c>
      <c r="T138" s="327">
        <v>249</v>
      </c>
      <c r="U138" s="34">
        <v>3.5</v>
      </c>
      <c r="V138" s="310">
        <f t="shared" si="162"/>
        <v>3.668763102725367E-2</v>
      </c>
      <c r="W138" s="94">
        <v>2.09</v>
      </c>
      <c r="X138" s="36">
        <v>95.4</v>
      </c>
      <c r="Y138" s="66">
        <v>93.9</v>
      </c>
      <c r="Z138" s="15">
        <f t="shared" si="163"/>
        <v>1.5</v>
      </c>
      <c r="AA138" s="63">
        <f t="shared" si="164"/>
        <v>1.5974440894568689E-2</v>
      </c>
      <c r="AB138" s="344">
        <v>-36.549999999999997</v>
      </c>
      <c r="AD138" s="22" t="s">
        <v>3616</v>
      </c>
      <c r="AE138" s="84">
        <v>44600</v>
      </c>
      <c r="AF138" s="83">
        <v>44601</v>
      </c>
      <c r="AG138" s="33">
        <f t="shared" si="165"/>
        <v>1</v>
      </c>
      <c r="AH138" s="43" t="s">
        <v>3617</v>
      </c>
      <c r="AI138" s="63"/>
      <c r="AJ138" s="284"/>
    </row>
    <row r="139" spans="1:37">
      <c r="A139" s="94">
        <v>14.2</v>
      </c>
      <c r="B139" s="79">
        <v>15</v>
      </c>
      <c r="C139" s="79">
        <v>25</v>
      </c>
      <c r="D139" s="79">
        <v>0</v>
      </c>
      <c r="E139" s="79">
        <v>12</v>
      </c>
      <c r="F139" s="6">
        <v>14.68</v>
      </c>
      <c r="G139" s="79">
        <v>1560</v>
      </c>
      <c r="H139" s="5" t="s">
        <v>295</v>
      </c>
      <c r="I139" s="22" t="s">
        <v>172</v>
      </c>
      <c r="J139" s="8" t="s">
        <v>3543</v>
      </c>
      <c r="L139" s="123"/>
      <c r="P139" s="365">
        <v>233</v>
      </c>
      <c r="Q139" s="79">
        <v>168</v>
      </c>
      <c r="R139" s="346">
        <v>486</v>
      </c>
      <c r="S139" s="81">
        <v>40</v>
      </c>
      <c r="T139" s="327">
        <v>144</v>
      </c>
      <c r="U139" s="34">
        <v>2.8</v>
      </c>
      <c r="V139" s="310">
        <f t="shared" si="162"/>
        <v>2.6923076923076921E-2</v>
      </c>
      <c r="W139" s="94">
        <v>4.0199999999999996</v>
      </c>
      <c r="X139" s="36">
        <v>104</v>
      </c>
      <c r="Y139" s="66">
        <v>99.9</v>
      </c>
      <c r="Z139" s="15">
        <f t="shared" si="163"/>
        <v>4.0999999999999943</v>
      </c>
      <c r="AA139" s="63">
        <f t="shared" si="164"/>
        <v>4.1041041041040983E-2</v>
      </c>
      <c r="AB139" s="344">
        <v>-20.55</v>
      </c>
      <c r="AD139" s="22" t="s">
        <v>172</v>
      </c>
      <c r="AE139" s="84">
        <v>44585</v>
      </c>
      <c r="AF139" s="83">
        <v>44601</v>
      </c>
      <c r="AG139" s="33">
        <f t="shared" si="165"/>
        <v>16</v>
      </c>
      <c r="AH139" s="117" t="s">
        <v>2005</v>
      </c>
      <c r="AI139" s="63"/>
      <c r="AJ139" s="284"/>
    </row>
    <row r="140" spans="1:37">
      <c r="A140" s="94">
        <v>9.15</v>
      </c>
      <c r="B140" s="79">
        <v>75</v>
      </c>
      <c r="C140" s="79">
        <v>77</v>
      </c>
      <c r="D140" s="79">
        <v>3</v>
      </c>
      <c r="E140" s="79">
        <v>24</v>
      </c>
      <c r="F140" s="6">
        <v>24.43</v>
      </c>
      <c r="G140" s="80">
        <v>6411</v>
      </c>
      <c r="H140" s="145" t="s">
        <v>3039</v>
      </c>
      <c r="I140" s="16" t="s">
        <v>251</v>
      </c>
      <c r="J140" s="8" t="s">
        <v>3543</v>
      </c>
      <c r="L140" s="123"/>
      <c r="P140" s="365">
        <v>88</v>
      </c>
      <c r="Q140" s="79">
        <v>519</v>
      </c>
      <c r="R140" s="346">
        <v>346</v>
      </c>
      <c r="S140" s="81">
        <v>297</v>
      </c>
      <c r="T140" s="327">
        <v>13</v>
      </c>
      <c r="U140" s="34">
        <v>5.03</v>
      </c>
      <c r="V140" s="310">
        <f t="shared" si="162"/>
        <v>2.3449883449883451E-2</v>
      </c>
      <c r="W140" s="94">
        <v>8.82</v>
      </c>
      <c r="X140" s="36">
        <v>214.5</v>
      </c>
      <c r="Y140" s="66">
        <v>210</v>
      </c>
      <c r="Z140" s="15">
        <f t="shared" si="163"/>
        <v>4.5</v>
      </c>
      <c r="AA140" s="63">
        <f t="shared" si="164"/>
        <v>2.1428571428571429E-2</v>
      </c>
      <c r="AB140" s="344">
        <v>-29.97</v>
      </c>
      <c r="AD140" s="16" t="s">
        <v>251</v>
      </c>
      <c r="AE140" s="84">
        <v>44581</v>
      </c>
      <c r="AF140" s="83">
        <v>44601</v>
      </c>
      <c r="AG140" s="33">
        <f t="shared" si="165"/>
        <v>20</v>
      </c>
      <c r="AH140" s="43" t="s">
        <v>2148</v>
      </c>
      <c r="AI140" s="63"/>
      <c r="AJ140" s="284"/>
    </row>
    <row r="141" spans="1:37">
      <c r="A141" s="94">
        <v>19.7</v>
      </c>
      <c r="B141" s="79">
        <v>28</v>
      </c>
      <c r="C141" s="79">
        <v>80</v>
      </c>
      <c r="D141" s="80">
        <v>-13</v>
      </c>
      <c r="E141" s="79">
        <v>19</v>
      </c>
      <c r="F141" s="6">
        <v>15.8</v>
      </c>
      <c r="G141" s="79">
        <v>8299</v>
      </c>
      <c r="H141" s="193" t="s">
        <v>3039</v>
      </c>
      <c r="I141" s="16" t="s">
        <v>4073</v>
      </c>
      <c r="J141" s="8" t="s">
        <v>4734</v>
      </c>
      <c r="L141" s="123"/>
      <c r="P141" s="365">
        <v>404</v>
      </c>
      <c r="Q141" s="79">
        <v>104</v>
      </c>
      <c r="R141" s="346">
        <v>132</v>
      </c>
      <c r="S141" s="81">
        <v>79</v>
      </c>
      <c r="T141" s="327">
        <v>217</v>
      </c>
      <c r="U141" s="34">
        <v>10</v>
      </c>
      <c r="V141" s="310">
        <f t="shared" si="162"/>
        <v>2.0920502092050208E-2</v>
      </c>
      <c r="W141" s="94">
        <v>51.35</v>
      </c>
      <c r="X141" s="36">
        <v>478</v>
      </c>
      <c r="Y141" s="66">
        <v>451</v>
      </c>
      <c r="Z141" s="15">
        <f t="shared" si="163"/>
        <v>27</v>
      </c>
      <c r="AA141" s="63">
        <f t="shared" si="164"/>
        <v>5.9866962305986697E-2</v>
      </c>
      <c r="AB141" s="344">
        <v>-27.1</v>
      </c>
      <c r="AD141" s="16" t="s">
        <v>4073</v>
      </c>
      <c r="AE141" s="84">
        <v>44586</v>
      </c>
      <c r="AF141" s="83">
        <v>44601</v>
      </c>
      <c r="AG141" s="33">
        <f t="shared" si="165"/>
        <v>15</v>
      </c>
      <c r="AH141" s="117" t="s">
        <v>2129</v>
      </c>
      <c r="AI141" s="63"/>
      <c r="AJ141" s="284"/>
    </row>
    <row r="142" spans="1:37">
      <c r="A142" s="94">
        <v>7.05</v>
      </c>
      <c r="B142" s="80">
        <v>-32</v>
      </c>
      <c r="C142" s="80">
        <v>-28</v>
      </c>
      <c r="D142" s="79">
        <v>17</v>
      </c>
      <c r="E142" s="79">
        <v>35</v>
      </c>
      <c r="F142" s="6">
        <v>4.46</v>
      </c>
      <c r="G142" s="79">
        <v>3479</v>
      </c>
      <c r="H142" s="145" t="s">
        <v>1146</v>
      </c>
      <c r="I142" s="16" t="s">
        <v>2208</v>
      </c>
      <c r="J142" s="8" t="s">
        <v>4734</v>
      </c>
      <c r="L142" s="123"/>
      <c r="P142" s="365">
        <v>532</v>
      </c>
      <c r="Q142" s="79">
        <v>327</v>
      </c>
      <c r="R142" s="346">
        <v>825</v>
      </c>
      <c r="S142" s="81">
        <v>178</v>
      </c>
      <c r="T142" s="327">
        <v>339</v>
      </c>
      <c r="U142" s="34">
        <v>2.58</v>
      </c>
      <c r="V142" s="310">
        <f t="shared" si="162"/>
        <v>4.518388791593695E-2</v>
      </c>
      <c r="W142" s="94">
        <v>2.23</v>
      </c>
      <c r="X142" s="36">
        <v>57.1</v>
      </c>
      <c r="Y142" s="66">
        <v>55.7</v>
      </c>
      <c r="Z142" s="15">
        <f t="shared" si="163"/>
        <v>1.3999999999999986</v>
      </c>
      <c r="AA142" s="63">
        <f t="shared" si="164"/>
        <v>2.5134649910233366E-2</v>
      </c>
      <c r="AB142" s="344">
        <v>-15.86</v>
      </c>
      <c r="AD142" s="16" t="s">
        <v>2208</v>
      </c>
      <c r="AE142" s="84">
        <v>44582</v>
      </c>
      <c r="AF142" s="83">
        <v>44601</v>
      </c>
      <c r="AG142" s="33">
        <f t="shared" si="165"/>
        <v>19</v>
      </c>
      <c r="AH142" s="117" t="s">
        <v>2287</v>
      </c>
      <c r="AI142" s="63"/>
      <c r="AJ142" s="284"/>
    </row>
    <row r="143" spans="1:37">
      <c r="A143" s="94">
        <v>5.99</v>
      </c>
      <c r="B143" s="79">
        <v>135</v>
      </c>
      <c r="C143" s="79">
        <v>168</v>
      </c>
      <c r="D143" s="79">
        <v>0</v>
      </c>
      <c r="E143" s="79">
        <v>29</v>
      </c>
      <c r="F143" s="6">
        <v>18.399999999999999</v>
      </c>
      <c r="G143" s="79">
        <v>3455</v>
      </c>
      <c r="H143" s="8" t="s">
        <v>306</v>
      </c>
      <c r="I143" s="16" t="s">
        <v>4187</v>
      </c>
      <c r="J143" s="8" t="s">
        <v>3543</v>
      </c>
      <c r="L143" s="123"/>
      <c r="P143" s="365">
        <v>107</v>
      </c>
      <c r="Q143" s="79">
        <v>308</v>
      </c>
      <c r="R143" s="346">
        <v>912</v>
      </c>
      <c r="S143" s="81">
        <v>129</v>
      </c>
      <c r="T143" s="327">
        <v>144</v>
      </c>
      <c r="U143" s="34">
        <v>4</v>
      </c>
      <c r="V143" s="310">
        <f t="shared" si="162"/>
        <v>3.8461538461538464E-2</v>
      </c>
      <c r="W143" s="94">
        <v>6.76</v>
      </c>
      <c r="X143" s="36">
        <v>104</v>
      </c>
      <c r="Y143" s="66">
        <v>100</v>
      </c>
      <c r="Z143" s="15">
        <f t="shared" si="163"/>
        <v>4</v>
      </c>
      <c r="AA143" s="63">
        <f t="shared" si="164"/>
        <v>0.04</v>
      </c>
      <c r="AB143" s="344">
        <v>-9.33</v>
      </c>
      <c r="AD143" s="16" t="s">
        <v>4187</v>
      </c>
      <c r="AE143" s="84">
        <v>44586</v>
      </c>
      <c r="AF143" s="83">
        <v>44600</v>
      </c>
      <c r="AG143" s="33">
        <f t="shared" si="165"/>
        <v>14</v>
      </c>
      <c r="AH143" s="43" t="s">
        <v>2434</v>
      </c>
      <c r="AI143" s="63"/>
      <c r="AJ143" s="284"/>
      <c r="AK143" s="44"/>
    </row>
    <row r="144" spans="1:37">
      <c r="A144" s="94">
        <v>6.01</v>
      </c>
      <c r="B144" s="80">
        <v>-60</v>
      </c>
      <c r="C144" s="80">
        <v>-58</v>
      </c>
      <c r="D144" s="79">
        <v>15</v>
      </c>
      <c r="E144" s="79">
        <v>70</v>
      </c>
      <c r="F144" s="6">
        <v>1.66</v>
      </c>
      <c r="G144" s="79">
        <v>3548</v>
      </c>
      <c r="H144" s="5" t="s">
        <v>3389</v>
      </c>
      <c r="I144" s="16" t="s">
        <v>141</v>
      </c>
      <c r="J144" s="8" t="s">
        <v>4734</v>
      </c>
      <c r="L144" s="123"/>
      <c r="P144" s="365">
        <v>48</v>
      </c>
      <c r="Q144" s="79">
        <v>308</v>
      </c>
      <c r="R144" s="346">
        <v>664</v>
      </c>
      <c r="S144" s="81">
        <v>475</v>
      </c>
      <c r="T144" s="327">
        <v>560</v>
      </c>
      <c r="U144" s="34">
        <v>2.5</v>
      </c>
      <c r="V144" s="310">
        <f t="shared" si="162"/>
        <v>3.7537537537537538E-2</v>
      </c>
      <c r="W144" s="94">
        <v>2.6</v>
      </c>
      <c r="X144" s="36">
        <v>66.599999999999994</v>
      </c>
      <c r="Y144" s="66">
        <v>64.900000000000006</v>
      </c>
      <c r="Z144" s="15">
        <f t="shared" si="163"/>
        <v>1.6999999999999886</v>
      </c>
      <c r="AA144" s="63">
        <f t="shared" si="164"/>
        <v>2.6194144838212457E-2</v>
      </c>
      <c r="AB144" s="344">
        <v>-25.41</v>
      </c>
      <c r="AD144" s="16" t="s">
        <v>141</v>
      </c>
      <c r="AE144" s="84">
        <v>44599</v>
      </c>
      <c r="AF144" s="86">
        <v>44599</v>
      </c>
      <c r="AG144" s="33">
        <f t="shared" si="165"/>
        <v>0</v>
      </c>
      <c r="AH144" s="117" t="s">
        <v>2890</v>
      </c>
      <c r="AI144" s="63"/>
      <c r="AJ144" s="284"/>
    </row>
    <row r="145" spans="1:37">
      <c r="A145" s="94">
        <v>25</v>
      </c>
      <c r="B145" s="80">
        <v>-63</v>
      </c>
      <c r="C145" s="80">
        <v>-72</v>
      </c>
      <c r="D145" s="80">
        <v>-1</v>
      </c>
      <c r="E145" s="79">
        <v>7</v>
      </c>
      <c r="F145" s="6">
        <v>2.48</v>
      </c>
      <c r="G145" s="79">
        <v>2421</v>
      </c>
      <c r="H145" s="5" t="s">
        <v>3389</v>
      </c>
      <c r="I145" s="22" t="s">
        <v>4498</v>
      </c>
      <c r="J145" s="8" t="s">
        <v>4734</v>
      </c>
      <c r="L145" s="123"/>
      <c r="P145" s="365">
        <v>782</v>
      </c>
      <c r="Q145" s="79">
        <v>622</v>
      </c>
      <c r="R145" s="346">
        <v>301</v>
      </c>
      <c r="S145" s="81" t="s">
        <v>6289</v>
      </c>
      <c r="T145" s="327">
        <v>538</v>
      </c>
      <c r="U145" s="34">
        <v>2.4</v>
      </c>
      <c r="V145" s="310">
        <f t="shared" si="162"/>
        <v>5.5109070034443174E-2</v>
      </c>
      <c r="W145" s="94">
        <v>1.63</v>
      </c>
      <c r="X145" s="36">
        <v>43.55</v>
      </c>
      <c r="Y145" s="66">
        <v>42.6</v>
      </c>
      <c r="Z145" s="15">
        <f t="shared" si="163"/>
        <v>0.94999999999999574</v>
      </c>
      <c r="AA145" s="63">
        <f t="shared" si="164"/>
        <v>2.2300469483567974E-2</v>
      </c>
      <c r="AB145" s="344">
        <v>-21.67</v>
      </c>
      <c r="AD145" s="22" t="s">
        <v>4498</v>
      </c>
      <c r="AE145" s="84">
        <v>44599</v>
      </c>
      <c r="AF145" s="86">
        <v>44599</v>
      </c>
      <c r="AG145" s="33">
        <f t="shared" si="165"/>
        <v>0</v>
      </c>
      <c r="AH145" s="117" t="s">
        <v>2275</v>
      </c>
      <c r="AI145" s="63"/>
      <c r="AJ145" s="284"/>
    </row>
    <row r="146" spans="1:37">
      <c r="A146" s="94">
        <v>5.85</v>
      </c>
      <c r="B146" s="79">
        <v>18</v>
      </c>
      <c r="C146" s="79">
        <v>10</v>
      </c>
      <c r="D146" s="80">
        <v>-3</v>
      </c>
      <c r="E146" s="79">
        <v>10</v>
      </c>
      <c r="F146" s="6">
        <v>26.73</v>
      </c>
      <c r="G146" s="79">
        <v>3526</v>
      </c>
      <c r="H146" s="8" t="s">
        <v>308</v>
      </c>
      <c r="I146" s="16" t="s">
        <v>156</v>
      </c>
      <c r="J146" s="50" t="s">
        <v>4748</v>
      </c>
      <c r="P146" s="365">
        <v>528</v>
      </c>
      <c r="Q146" s="79">
        <v>83</v>
      </c>
      <c r="R146" s="346">
        <v>847</v>
      </c>
      <c r="S146" s="81">
        <v>65</v>
      </c>
      <c r="T146" s="327">
        <v>249</v>
      </c>
      <c r="U146" s="34">
        <v>9.1300000000000008</v>
      </c>
      <c r="V146" s="310">
        <f t="shared" si="162"/>
        <v>4.5310173697270473E-2</v>
      </c>
      <c r="W146" s="94">
        <v>9.74</v>
      </c>
      <c r="X146" s="36">
        <v>201.5</v>
      </c>
      <c r="Y146" s="66">
        <v>197</v>
      </c>
      <c r="Z146" s="15">
        <f t="shared" si="163"/>
        <v>4.5</v>
      </c>
      <c r="AA146" s="63">
        <f t="shared" si="164"/>
        <v>2.2842639593908629E-2</v>
      </c>
      <c r="AB146" s="344">
        <v>-16.52</v>
      </c>
      <c r="AD146" s="16" t="s">
        <v>156</v>
      </c>
      <c r="AE146" s="84">
        <v>44599</v>
      </c>
      <c r="AF146" s="86">
        <v>44599</v>
      </c>
      <c r="AG146" s="33">
        <f t="shared" si="165"/>
        <v>0</v>
      </c>
      <c r="AH146" s="117" t="s">
        <v>1903</v>
      </c>
      <c r="AI146" s="63"/>
      <c r="AJ146" s="284"/>
      <c r="AK146" s="403"/>
    </row>
    <row r="147" spans="1:37">
      <c r="A147" s="94">
        <v>9.01</v>
      </c>
      <c r="B147" s="79">
        <v>8</v>
      </c>
      <c r="C147" s="79">
        <v>1</v>
      </c>
      <c r="D147" s="80">
        <v>-12</v>
      </c>
      <c r="E147" s="79">
        <v>12</v>
      </c>
      <c r="F147" s="6">
        <v>25.71</v>
      </c>
      <c r="G147" s="79">
        <v>3217</v>
      </c>
      <c r="H147" s="8" t="s">
        <v>308</v>
      </c>
      <c r="I147" s="16" t="s">
        <v>4552</v>
      </c>
      <c r="J147" s="8" t="s">
        <v>3545</v>
      </c>
      <c r="L147" s="123"/>
      <c r="P147" s="365">
        <v>440</v>
      </c>
      <c r="Q147" s="79">
        <v>767</v>
      </c>
      <c r="R147" s="346">
        <v>888</v>
      </c>
      <c r="S147" s="81">
        <v>62</v>
      </c>
      <c r="T147" s="327">
        <v>256</v>
      </c>
      <c r="U147" s="34">
        <v>5.6</v>
      </c>
      <c r="V147" s="310">
        <f t="shared" si="162"/>
        <v>4.2264150943396223E-2</v>
      </c>
      <c r="W147" s="94">
        <v>7.33</v>
      </c>
      <c r="X147" s="36">
        <v>132.5</v>
      </c>
      <c r="Y147" s="66">
        <v>130</v>
      </c>
      <c r="Z147" s="15">
        <f t="shared" si="163"/>
        <v>2.5</v>
      </c>
      <c r="AA147" s="63">
        <f t="shared" si="164"/>
        <v>1.9230769230769232E-2</v>
      </c>
      <c r="AB147" s="344">
        <v>-16.670000000000002</v>
      </c>
      <c r="AD147" s="16" t="s">
        <v>4552</v>
      </c>
      <c r="AE147" s="84">
        <v>44599</v>
      </c>
      <c r="AF147" s="86">
        <v>44599</v>
      </c>
      <c r="AG147" s="33">
        <f t="shared" si="165"/>
        <v>0</v>
      </c>
      <c r="AH147" s="43" t="s">
        <v>4553</v>
      </c>
      <c r="AI147" s="63"/>
      <c r="AJ147" s="284"/>
    </row>
    <row r="148" spans="1:37">
      <c r="A148" s="94">
        <v>20</v>
      </c>
      <c r="B148" s="80">
        <v>-31</v>
      </c>
      <c r="C148" s="79">
        <v>78</v>
      </c>
      <c r="D148" s="79">
        <v>34</v>
      </c>
      <c r="E148" s="79">
        <v>59</v>
      </c>
      <c r="F148" s="6">
        <v>2.06</v>
      </c>
      <c r="G148" s="79">
        <v>2013</v>
      </c>
      <c r="H148" s="5" t="s">
        <v>299</v>
      </c>
      <c r="I148" s="22" t="s">
        <v>3926</v>
      </c>
      <c r="J148" s="8" t="s">
        <v>4734</v>
      </c>
      <c r="L148" s="123"/>
      <c r="P148" s="365">
        <v>231</v>
      </c>
      <c r="Q148" s="79">
        <v>238</v>
      </c>
      <c r="R148" s="346">
        <v>613</v>
      </c>
      <c r="S148" s="81" t="s">
        <v>6289</v>
      </c>
      <c r="T148" s="327">
        <v>274</v>
      </c>
      <c r="U148" s="34">
        <v>2.8</v>
      </c>
      <c r="V148" s="310">
        <f t="shared" si="162"/>
        <v>4.6589018302828612E-2</v>
      </c>
      <c r="W148" s="94">
        <v>2.52</v>
      </c>
      <c r="X148" s="36">
        <v>60.1</v>
      </c>
      <c r="Y148" s="66">
        <v>58.3</v>
      </c>
      <c r="Z148" s="15">
        <f t="shared" si="163"/>
        <v>1.8000000000000043</v>
      </c>
      <c r="AA148" s="63">
        <f t="shared" si="164"/>
        <v>3.0874785591766797E-2</v>
      </c>
      <c r="AB148" s="344">
        <v>-29.01</v>
      </c>
      <c r="AD148" s="22" t="s">
        <v>3926</v>
      </c>
      <c r="AE148" s="84">
        <v>44587</v>
      </c>
      <c r="AF148" s="83">
        <v>44599</v>
      </c>
      <c r="AG148" s="33">
        <f t="shared" si="165"/>
        <v>12</v>
      </c>
      <c r="AH148" s="117" t="s">
        <v>3927</v>
      </c>
      <c r="AI148" s="63"/>
      <c r="AJ148" s="284"/>
    </row>
    <row r="149" spans="1:37" s="248" customFormat="1">
      <c r="A149" s="390"/>
      <c r="B149" s="79"/>
      <c r="C149" s="79"/>
      <c r="D149" s="79"/>
      <c r="E149" s="79"/>
      <c r="F149" s="6"/>
      <c r="G149" s="41"/>
      <c r="H149" s="8"/>
      <c r="I149" s="153"/>
      <c r="J149" s="1"/>
      <c r="K149" s="5"/>
      <c r="L149" s="163"/>
      <c r="O149" s="245"/>
      <c r="P149" s="365"/>
      <c r="Q149" s="47"/>
      <c r="R149" s="346"/>
      <c r="S149" s="283"/>
      <c r="T149" s="322"/>
      <c r="U149" s="185"/>
      <c r="V149" s="308"/>
      <c r="W149" s="94"/>
      <c r="X149" s="307">
        <f>SUM(X123:X148)</f>
        <v>4350.6000000000004</v>
      </c>
      <c r="Y149" s="296">
        <f>SUM(Y123:Y148)</f>
        <v>4218.45</v>
      </c>
      <c r="Z149" s="162">
        <f t="shared" si="163"/>
        <v>132.15000000000055</v>
      </c>
      <c r="AA149" s="158">
        <f t="shared" si="164"/>
        <v>3.1326672118906364E-2</v>
      </c>
      <c r="AB149" s="100"/>
      <c r="AC149" s="384"/>
      <c r="AD149" s="227">
        <f>X149*(0.001425*0.5)+X149*0.003+Y149*(0.001425*0.5)</f>
        <v>19.157248125000002</v>
      </c>
      <c r="AE149" s="6">
        <f>Z149-AD149</f>
        <v>112.99275187500055</v>
      </c>
      <c r="AF149" s="83"/>
      <c r="AG149" s="33"/>
      <c r="AH149" s="46" t="s">
        <v>4746</v>
      </c>
    </row>
    <row r="150" spans="1:37" s="248" customFormat="1">
      <c r="A150" s="390"/>
      <c r="B150" s="79"/>
      <c r="C150" s="79"/>
      <c r="D150" s="79"/>
      <c r="E150" s="79"/>
      <c r="F150" s="6"/>
      <c r="G150" s="41"/>
      <c r="H150" s="8"/>
      <c r="I150" s="153"/>
      <c r="J150" s="1"/>
      <c r="K150" s="5"/>
      <c r="L150" s="163"/>
      <c r="O150" s="245"/>
      <c r="P150" s="365"/>
      <c r="Q150" s="47"/>
      <c r="R150" s="346"/>
      <c r="S150" s="283"/>
      <c r="T150" s="322"/>
      <c r="U150" s="185"/>
      <c r="V150" s="308"/>
      <c r="W150" s="94"/>
      <c r="X150" s="307"/>
      <c r="Y150" s="296"/>
      <c r="Z150" s="162"/>
      <c r="AA150" s="158"/>
      <c r="AB150" s="100"/>
      <c r="AC150" s="384"/>
      <c r="AD150" s="227"/>
      <c r="AE150" s="6"/>
      <c r="AF150" s="83"/>
      <c r="AG150" s="33"/>
      <c r="AH150" s="46"/>
    </row>
    <row r="151" spans="1:37">
      <c r="A151" s="94">
        <v>9.01</v>
      </c>
      <c r="B151" s="79">
        <v>8</v>
      </c>
      <c r="C151" s="79">
        <v>1</v>
      </c>
      <c r="D151" s="80">
        <v>-12</v>
      </c>
      <c r="E151" s="79">
        <v>12</v>
      </c>
      <c r="F151" s="6">
        <v>25.71</v>
      </c>
      <c r="G151" s="79">
        <v>3217</v>
      </c>
      <c r="H151" s="5" t="s">
        <v>3389</v>
      </c>
      <c r="I151" s="16" t="s">
        <v>4552</v>
      </c>
      <c r="J151" s="8" t="s">
        <v>3545</v>
      </c>
      <c r="L151" s="123"/>
      <c r="P151" s="365">
        <v>440</v>
      </c>
      <c r="Q151" s="79">
        <v>767</v>
      </c>
      <c r="R151" s="346">
        <v>888</v>
      </c>
      <c r="S151" s="81">
        <v>62</v>
      </c>
      <c r="T151" s="327">
        <v>256</v>
      </c>
      <c r="U151" s="34">
        <v>5.6</v>
      </c>
      <c r="V151" s="310">
        <f t="shared" ref="V151:V164" si="166">U151/X151</f>
        <v>4.5344129554655867E-2</v>
      </c>
      <c r="W151" s="94">
        <v>7.33</v>
      </c>
      <c r="X151" s="36">
        <v>123.5</v>
      </c>
      <c r="Y151" s="66">
        <v>120.5</v>
      </c>
      <c r="Z151" s="15">
        <f t="shared" ref="Z151:Z165" si="167">X151-Y151</f>
        <v>3</v>
      </c>
      <c r="AA151" s="63">
        <f t="shared" ref="AA151:AA165" si="168">Z151/Y151</f>
        <v>2.4896265560165973E-2</v>
      </c>
      <c r="AB151" s="344">
        <v>-19.329999999999998</v>
      </c>
      <c r="AD151" s="16" t="s">
        <v>4552</v>
      </c>
      <c r="AE151" s="84">
        <v>44587</v>
      </c>
      <c r="AF151" s="86">
        <v>44587</v>
      </c>
      <c r="AG151" s="33">
        <f t="shared" ref="AG151:AG164" si="169">AF151-AE151</f>
        <v>0</v>
      </c>
      <c r="AH151" s="43" t="s">
        <v>4553</v>
      </c>
      <c r="AI151" s="63"/>
      <c r="AJ151" s="284"/>
    </row>
    <row r="152" spans="1:37">
      <c r="A152" s="94">
        <v>8.84</v>
      </c>
      <c r="B152" s="80">
        <v>-8</v>
      </c>
      <c r="C152" s="80">
        <v>-16</v>
      </c>
      <c r="D152" s="79">
        <v>1</v>
      </c>
      <c r="E152" s="79">
        <v>19</v>
      </c>
      <c r="F152" s="6">
        <v>9.17</v>
      </c>
      <c r="G152" s="79">
        <v>3324</v>
      </c>
      <c r="H152" s="8" t="s">
        <v>314</v>
      </c>
      <c r="I152" s="16" t="s">
        <v>228</v>
      </c>
      <c r="J152" s="8" t="s">
        <v>3543</v>
      </c>
      <c r="L152" s="123"/>
      <c r="P152" s="365">
        <v>51</v>
      </c>
      <c r="Q152" s="79">
        <v>80</v>
      </c>
      <c r="R152" s="346">
        <v>421</v>
      </c>
      <c r="S152" s="81">
        <v>85</v>
      </c>
      <c r="T152" s="327">
        <v>76</v>
      </c>
      <c r="U152" s="34">
        <v>5.6</v>
      </c>
      <c r="V152" s="310">
        <f t="shared" si="166"/>
        <v>2.557077625570776E-2</v>
      </c>
      <c r="W152" s="94">
        <v>12.05</v>
      </c>
      <c r="X152" s="36">
        <v>219</v>
      </c>
      <c r="Y152" s="66">
        <v>215</v>
      </c>
      <c r="Z152" s="15">
        <f t="shared" si="167"/>
        <v>4</v>
      </c>
      <c r="AA152" s="63">
        <f t="shared" si="168"/>
        <v>1.8604651162790697E-2</v>
      </c>
      <c r="AB152" s="344">
        <v>-3.28</v>
      </c>
      <c r="AD152" s="16" t="s">
        <v>228</v>
      </c>
      <c r="AE152" s="84">
        <v>44582</v>
      </c>
      <c r="AF152" s="83">
        <v>44587</v>
      </c>
      <c r="AG152" s="33">
        <f t="shared" si="169"/>
        <v>5</v>
      </c>
      <c r="AH152" s="43" t="s">
        <v>2925</v>
      </c>
      <c r="AI152" s="63"/>
      <c r="AJ152" s="284"/>
    </row>
    <row r="153" spans="1:37">
      <c r="A153" s="94">
        <v>9.0299999999999994</v>
      </c>
      <c r="B153" s="79">
        <v>23</v>
      </c>
      <c r="C153" s="79">
        <v>31</v>
      </c>
      <c r="D153" s="79">
        <v>12</v>
      </c>
      <c r="E153" s="79">
        <v>90</v>
      </c>
      <c r="F153" s="6">
        <v>18.86</v>
      </c>
      <c r="G153" s="79">
        <v>6104</v>
      </c>
      <c r="H153" s="145" t="s">
        <v>3039</v>
      </c>
      <c r="I153" s="16" t="s">
        <v>372</v>
      </c>
      <c r="J153" s="8" t="s">
        <v>3543</v>
      </c>
      <c r="L153" s="123"/>
      <c r="P153" s="365">
        <v>20</v>
      </c>
      <c r="Q153" s="79">
        <v>122</v>
      </c>
      <c r="R153" s="346">
        <v>571</v>
      </c>
      <c r="S153" s="81">
        <v>14</v>
      </c>
      <c r="T153" s="327">
        <v>4</v>
      </c>
      <c r="U153" s="34">
        <v>3</v>
      </c>
      <c r="V153" s="310">
        <f t="shared" si="166"/>
        <v>1.4492753623188406E-2</v>
      </c>
      <c r="W153" s="94">
        <v>4.42</v>
      </c>
      <c r="X153" s="36">
        <v>207</v>
      </c>
      <c r="Y153" s="66">
        <v>202.5</v>
      </c>
      <c r="Z153" s="15">
        <f t="shared" si="167"/>
        <v>4.5</v>
      </c>
      <c r="AA153" s="63">
        <f t="shared" si="168"/>
        <v>2.2222222222222223E-2</v>
      </c>
      <c r="AB153" s="344">
        <v>-7.88</v>
      </c>
      <c r="AD153" s="16" t="s">
        <v>372</v>
      </c>
      <c r="AE153" s="84">
        <v>44586</v>
      </c>
      <c r="AF153" s="86">
        <v>44586</v>
      </c>
      <c r="AG153" s="33">
        <f t="shared" si="169"/>
        <v>0</v>
      </c>
      <c r="AH153" s="43" t="s">
        <v>3046</v>
      </c>
      <c r="AI153" s="63"/>
      <c r="AJ153" s="284"/>
      <c r="AK153" s="289"/>
    </row>
    <row r="154" spans="1:37">
      <c r="A154" s="94">
        <v>6.22</v>
      </c>
      <c r="B154" s="79">
        <v>159</v>
      </c>
      <c r="C154" s="79">
        <v>141</v>
      </c>
      <c r="D154" s="80">
        <v>-20</v>
      </c>
      <c r="E154" s="79">
        <v>61</v>
      </c>
      <c r="F154" s="6">
        <v>32.9</v>
      </c>
      <c r="G154" s="80">
        <v>3169</v>
      </c>
      <c r="H154" s="183" t="s">
        <v>3039</v>
      </c>
      <c r="I154" s="16" t="s">
        <v>359</v>
      </c>
      <c r="J154" s="8" t="s">
        <v>3543</v>
      </c>
      <c r="L154" s="123"/>
      <c r="P154" s="365">
        <v>17</v>
      </c>
      <c r="Q154" s="79">
        <v>223</v>
      </c>
      <c r="R154" s="346">
        <v>926</v>
      </c>
      <c r="S154" s="81">
        <v>385</v>
      </c>
      <c r="T154" s="327">
        <v>90</v>
      </c>
      <c r="U154" s="34">
        <v>2.5</v>
      </c>
      <c r="V154" s="310">
        <f t="shared" si="166"/>
        <v>1.201923076923077E-2</v>
      </c>
      <c r="W154" s="94">
        <v>5.5</v>
      </c>
      <c r="X154" s="36">
        <v>208</v>
      </c>
      <c r="Y154" s="66">
        <v>204</v>
      </c>
      <c r="Z154" s="15">
        <f t="shared" si="167"/>
        <v>4</v>
      </c>
      <c r="AA154" s="63">
        <f t="shared" si="168"/>
        <v>1.9607843137254902E-2</v>
      </c>
      <c r="AB154" s="344">
        <v>-31.05</v>
      </c>
      <c r="AD154" s="16" t="s">
        <v>359</v>
      </c>
      <c r="AE154" s="84">
        <v>44585</v>
      </c>
      <c r="AF154" s="83">
        <v>44586</v>
      </c>
      <c r="AG154" s="33">
        <f t="shared" si="169"/>
        <v>1</v>
      </c>
      <c r="AH154" s="43" t="s">
        <v>2893</v>
      </c>
      <c r="AI154" s="63"/>
      <c r="AJ154" s="284"/>
    </row>
    <row r="155" spans="1:37">
      <c r="A155" s="94">
        <v>7.41</v>
      </c>
      <c r="B155" s="79">
        <v>102</v>
      </c>
      <c r="C155" s="79">
        <v>118</v>
      </c>
      <c r="D155" s="80">
        <v>-3</v>
      </c>
      <c r="E155" s="79">
        <v>26</v>
      </c>
      <c r="F155" s="6">
        <v>19.43</v>
      </c>
      <c r="G155" s="79">
        <v>6138</v>
      </c>
      <c r="H155" s="145" t="s">
        <v>3039</v>
      </c>
      <c r="I155" s="16" t="s">
        <v>159</v>
      </c>
      <c r="J155" s="8" t="s">
        <v>3544</v>
      </c>
      <c r="L155" s="245"/>
      <c r="P155" s="365">
        <v>214</v>
      </c>
      <c r="Q155" s="79">
        <v>157</v>
      </c>
      <c r="R155" s="346">
        <v>307</v>
      </c>
      <c r="S155" s="81">
        <v>33</v>
      </c>
      <c r="T155" s="327">
        <v>75</v>
      </c>
      <c r="U155" s="34">
        <v>5.2</v>
      </c>
      <c r="V155" s="310">
        <f t="shared" si="166"/>
        <v>2.1095334685598377E-2</v>
      </c>
      <c r="W155" s="94">
        <v>11.03</v>
      </c>
      <c r="X155" s="36">
        <v>246.5</v>
      </c>
      <c r="Y155" s="66">
        <v>241.5</v>
      </c>
      <c r="Z155" s="15">
        <f t="shared" si="167"/>
        <v>5</v>
      </c>
      <c r="AA155" s="63">
        <f t="shared" si="168"/>
        <v>2.0703933747412008E-2</v>
      </c>
      <c r="AB155" s="344">
        <v>-13.29</v>
      </c>
      <c r="AD155" s="16" t="s">
        <v>159</v>
      </c>
      <c r="AE155" s="84">
        <v>44582</v>
      </c>
      <c r="AF155" s="86">
        <v>44582</v>
      </c>
      <c r="AG155" s="33">
        <f t="shared" si="169"/>
        <v>0</v>
      </c>
      <c r="AH155" s="117" t="s">
        <v>3561</v>
      </c>
      <c r="AI155" s="63"/>
      <c r="AJ155" s="284"/>
    </row>
    <row r="156" spans="1:37">
      <c r="A156" s="94">
        <v>6.03</v>
      </c>
      <c r="B156" s="79">
        <v>67</v>
      </c>
      <c r="C156" s="79">
        <v>108</v>
      </c>
      <c r="D156" s="80">
        <v>-2</v>
      </c>
      <c r="E156" s="80">
        <v>-15</v>
      </c>
      <c r="F156" s="6">
        <v>21.5</v>
      </c>
      <c r="G156" s="79">
        <v>2233</v>
      </c>
      <c r="H156" s="8" t="s">
        <v>301</v>
      </c>
      <c r="I156" s="22" t="s">
        <v>154</v>
      </c>
      <c r="J156" s="8" t="s">
        <v>3545</v>
      </c>
      <c r="L156" s="123"/>
      <c r="P156" s="365">
        <v>73</v>
      </c>
      <c r="Q156" s="79">
        <v>411</v>
      </c>
      <c r="R156" s="346">
        <v>482</v>
      </c>
      <c r="S156" s="81">
        <v>101</v>
      </c>
      <c r="T156" s="327">
        <v>224</v>
      </c>
      <c r="U156" s="34">
        <v>3.74</v>
      </c>
      <c r="V156" s="310">
        <f t="shared" si="166"/>
        <v>3.3392857142857148E-2</v>
      </c>
      <c r="W156" s="94">
        <v>9.02</v>
      </c>
      <c r="X156" s="36">
        <v>112</v>
      </c>
      <c r="Y156" s="66">
        <v>109.5</v>
      </c>
      <c r="Z156" s="15">
        <f t="shared" si="167"/>
        <v>2.5</v>
      </c>
      <c r="AA156" s="63">
        <f t="shared" si="168"/>
        <v>2.2831050228310501E-2</v>
      </c>
      <c r="AB156" s="344">
        <v>-24.48</v>
      </c>
      <c r="AD156" s="22" t="s">
        <v>154</v>
      </c>
      <c r="AE156" s="84">
        <v>44581</v>
      </c>
      <c r="AF156" s="86">
        <v>44581</v>
      </c>
      <c r="AG156" s="33">
        <f t="shared" si="169"/>
        <v>0</v>
      </c>
      <c r="AH156" s="117" t="s">
        <v>2791</v>
      </c>
      <c r="AI156" s="63"/>
      <c r="AJ156" s="284"/>
    </row>
    <row r="157" spans="1:37">
      <c r="A157" s="94">
        <v>25</v>
      </c>
      <c r="B157" s="80">
        <v>-63</v>
      </c>
      <c r="C157" s="80">
        <v>-72</v>
      </c>
      <c r="D157" s="80">
        <v>-1</v>
      </c>
      <c r="E157" s="79">
        <v>7</v>
      </c>
      <c r="F157" s="6">
        <v>2.48</v>
      </c>
      <c r="G157" s="79">
        <v>2421</v>
      </c>
      <c r="H157" s="5" t="s">
        <v>3389</v>
      </c>
      <c r="I157" s="22" t="s">
        <v>4498</v>
      </c>
      <c r="J157" s="8" t="s">
        <v>3543</v>
      </c>
      <c r="L157" s="123"/>
      <c r="P157" s="365">
        <v>782</v>
      </c>
      <c r="Q157" s="79">
        <v>622</v>
      </c>
      <c r="R157" s="346">
        <v>301</v>
      </c>
      <c r="S157" s="81" t="s">
        <v>6289</v>
      </c>
      <c r="T157" s="327">
        <v>538</v>
      </c>
      <c r="U157" s="34">
        <v>2.4</v>
      </c>
      <c r="V157" s="310">
        <f t="shared" si="166"/>
        <v>5.106382978723404E-2</v>
      </c>
      <c r="W157" s="94">
        <v>1.63</v>
      </c>
      <c r="X157" s="36">
        <v>47</v>
      </c>
      <c r="Y157" s="66">
        <v>45.85</v>
      </c>
      <c r="Z157" s="15">
        <f t="shared" si="167"/>
        <v>1.1499999999999986</v>
      </c>
      <c r="AA157" s="63">
        <f t="shared" si="168"/>
        <v>2.5081788440567035E-2</v>
      </c>
      <c r="AB157" s="344">
        <v>-15.28</v>
      </c>
      <c r="AD157" s="22" t="s">
        <v>4498</v>
      </c>
      <c r="AE157" s="84">
        <v>44580</v>
      </c>
      <c r="AF157" s="86">
        <v>44580</v>
      </c>
      <c r="AG157" s="33">
        <f t="shared" si="169"/>
        <v>0</v>
      </c>
      <c r="AH157" s="117" t="s">
        <v>2275</v>
      </c>
      <c r="AI157" s="63"/>
      <c r="AJ157" s="284"/>
    </row>
    <row r="158" spans="1:37">
      <c r="A158" s="94">
        <v>3.3</v>
      </c>
      <c r="B158" s="79">
        <v>150</v>
      </c>
      <c r="C158" s="79">
        <v>123</v>
      </c>
      <c r="D158" s="79">
        <v>16</v>
      </c>
      <c r="E158" s="79">
        <v>43</v>
      </c>
      <c r="F158" s="6">
        <v>20.53</v>
      </c>
      <c r="G158" s="79">
        <v>6651</v>
      </c>
      <c r="H158" s="192" t="s">
        <v>3039</v>
      </c>
      <c r="I158" s="16" t="s">
        <v>2337</v>
      </c>
      <c r="J158" s="8" t="s">
        <v>4720</v>
      </c>
      <c r="L158" s="123"/>
      <c r="P158" s="365">
        <v>785</v>
      </c>
      <c r="Q158" s="79" t="s">
        <v>6289</v>
      </c>
      <c r="R158" s="346">
        <v>1300</v>
      </c>
      <c r="S158" s="81" t="s">
        <v>6289</v>
      </c>
      <c r="T158" s="327">
        <v>820</v>
      </c>
      <c r="U158" s="34">
        <v>3</v>
      </c>
      <c r="V158" s="310">
        <f t="shared" si="166"/>
        <v>2.5974025974025976E-2</v>
      </c>
      <c r="W158" s="94">
        <v>7.46</v>
      </c>
      <c r="X158" s="36">
        <v>115.5</v>
      </c>
      <c r="Y158" s="66">
        <v>113.5</v>
      </c>
      <c r="Z158" s="15">
        <f t="shared" si="167"/>
        <v>2</v>
      </c>
      <c r="AA158" s="63">
        <f t="shared" si="168"/>
        <v>1.7621145374449341E-2</v>
      </c>
      <c r="AB158" s="344">
        <v>-25.82</v>
      </c>
      <c r="AD158" s="16" t="s">
        <v>2337</v>
      </c>
      <c r="AE158" s="84">
        <v>44575</v>
      </c>
      <c r="AF158" s="83">
        <v>44578</v>
      </c>
      <c r="AG158" s="33">
        <f t="shared" si="169"/>
        <v>3</v>
      </c>
      <c r="AH158" s="43" t="s">
        <v>2176</v>
      </c>
      <c r="AI158" s="63"/>
      <c r="AJ158" s="284"/>
    </row>
    <row r="159" spans="1:37">
      <c r="A159" s="94">
        <v>3.73</v>
      </c>
      <c r="B159" s="80">
        <v>-66</v>
      </c>
      <c r="C159" s="80">
        <v>-67</v>
      </c>
      <c r="D159" s="80">
        <v>-7</v>
      </c>
      <c r="E159" s="80">
        <v>-16</v>
      </c>
      <c r="F159" s="6">
        <v>16.88</v>
      </c>
      <c r="G159" s="79">
        <v>6538</v>
      </c>
      <c r="H159" s="8" t="s">
        <v>308</v>
      </c>
      <c r="I159" s="16" t="s">
        <v>439</v>
      </c>
      <c r="J159" s="8" t="s">
        <v>4720</v>
      </c>
      <c r="L159" s="123"/>
      <c r="P159" s="365">
        <v>177</v>
      </c>
      <c r="Q159" s="79">
        <v>308</v>
      </c>
      <c r="R159" s="346">
        <v>866</v>
      </c>
      <c r="S159" s="81">
        <v>358</v>
      </c>
      <c r="T159" s="327">
        <v>688</v>
      </c>
      <c r="U159" s="34">
        <v>7</v>
      </c>
      <c r="V159" s="310">
        <f t="shared" si="166"/>
        <v>6.6037735849056603E-2</v>
      </c>
      <c r="W159" s="94">
        <v>5.16</v>
      </c>
      <c r="X159" s="36">
        <v>106</v>
      </c>
      <c r="Y159" s="66">
        <v>104</v>
      </c>
      <c r="Z159" s="15">
        <f t="shared" si="167"/>
        <v>2</v>
      </c>
      <c r="AA159" s="63">
        <f t="shared" si="168"/>
        <v>1.9230769230769232E-2</v>
      </c>
      <c r="AB159" s="344">
        <v>-40.72</v>
      </c>
      <c r="AD159" s="16" t="s">
        <v>439</v>
      </c>
      <c r="AE159" s="84">
        <v>44578</v>
      </c>
      <c r="AF159" s="86">
        <v>44578</v>
      </c>
      <c r="AG159" s="33">
        <f t="shared" si="169"/>
        <v>0</v>
      </c>
      <c r="AH159" s="43" t="s">
        <v>1714</v>
      </c>
      <c r="AI159" s="63"/>
      <c r="AJ159" s="284"/>
    </row>
    <row r="160" spans="1:37">
      <c r="A160" s="94">
        <v>9.41</v>
      </c>
      <c r="B160" s="80">
        <v>-19</v>
      </c>
      <c r="C160" s="80">
        <v>-18</v>
      </c>
      <c r="D160" s="79">
        <v>15</v>
      </c>
      <c r="E160" s="79">
        <v>17</v>
      </c>
      <c r="F160" s="6">
        <v>12.25</v>
      </c>
      <c r="G160" s="79">
        <v>6223</v>
      </c>
      <c r="H160" s="195" t="s">
        <v>3039</v>
      </c>
      <c r="I160" s="16" t="s">
        <v>4061</v>
      </c>
      <c r="J160" s="8" t="s">
        <v>3543</v>
      </c>
      <c r="L160" s="123"/>
      <c r="P160" s="365">
        <v>59</v>
      </c>
      <c r="Q160" s="79">
        <v>693</v>
      </c>
      <c r="R160" s="346">
        <v>909</v>
      </c>
      <c r="S160" s="81">
        <v>37</v>
      </c>
      <c r="T160" s="327">
        <v>159</v>
      </c>
      <c r="U160" s="34">
        <v>4.47</v>
      </c>
      <c r="V160" s="310">
        <f t="shared" si="166"/>
        <v>3.6489795918367346E-2</v>
      </c>
      <c r="W160" s="94">
        <v>6.6</v>
      </c>
      <c r="X160" s="36">
        <v>122.5</v>
      </c>
      <c r="Y160" s="66">
        <v>120.5</v>
      </c>
      <c r="Z160" s="15">
        <f t="shared" si="167"/>
        <v>2</v>
      </c>
      <c r="AA160" s="63">
        <f t="shared" si="168"/>
        <v>1.6597510373443983E-2</v>
      </c>
      <c r="AB160" s="344">
        <v>-30.92</v>
      </c>
      <c r="AD160" s="16" t="s">
        <v>4061</v>
      </c>
      <c r="AE160" s="84">
        <v>44575</v>
      </c>
      <c r="AF160" s="83">
        <v>44578</v>
      </c>
      <c r="AG160" s="33">
        <f t="shared" si="169"/>
        <v>3</v>
      </c>
      <c r="AH160" s="117" t="s">
        <v>2350</v>
      </c>
      <c r="AI160" s="63"/>
      <c r="AJ160" s="284"/>
    </row>
    <row r="161" spans="1:38">
      <c r="A161" s="94">
        <v>9.41</v>
      </c>
      <c r="B161" s="80">
        <v>-19</v>
      </c>
      <c r="C161" s="80">
        <v>-18</v>
      </c>
      <c r="D161" s="79">
        <v>15</v>
      </c>
      <c r="E161" s="79">
        <v>17</v>
      </c>
      <c r="F161" s="6">
        <v>12.25</v>
      </c>
      <c r="G161" s="79">
        <v>6223</v>
      </c>
      <c r="H161" s="195" t="s">
        <v>3039</v>
      </c>
      <c r="I161" s="16" t="s">
        <v>4061</v>
      </c>
      <c r="J161" s="8" t="s">
        <v>3544</v>
      </c>
      <c r="L161" s="123"/>
      <c r="P161" s="365">
        <v>59</v>
      </c>
      <c r="Q161" s="79">
        <v>693</v>
      </c>
      <c r="R161" s="346">
        <v>909</v>
      </c>
      <c r="S161" s="81">
        <v>37</v>
      </c>
      <c r="T161" s="327">
        <v>159</v>
      </c>
      <c r="U161" s="34">
        <v>4.47</v>
      </c>
      <c r="V161" s="310">
        <f t="shared" si="166"/>
        <v>3.6489795918367346E-2</v>
      </c>
      <c r="W161" s="94">
        <v>6.6</v>
      </c>
      <c r="X161" s="36">
        <v>122.5</v>
      </c>
      <c r="Y161" s="66">
        <v>120.5</v>
      </c>
      <c r="Z161" s="15">
        <f t="shared" si="167"/>
        <v>2</v>
      </c>
      <c r="AA161" s="63">
        <f t="shared" si="168"/>
        <v>1.6597510373443983E-2</v>
      </c>
      <c r="AB161" s="344">
        <v>-30.92</v>
      </c>
      <c r="AD161" s="16" t="s">
        <v>4061</v>
      </c>
      <c r="AE161" s="84">
        <v>44575</v>
      </c>
      <c r="AF161" s="83">
        <v>44578</v>
      </c>
      <c r="AG161" s="33">
        <f t="shared" si="169"/>
        <v>3</v>
      </c>
      <c r="AH161" s="117" t="s">
        <v>2350</v>
      </c>
      <c r="AI161" s="63"/>
      <c r="AJ161" s="284"/>
    </row>
    <row r="162" spans="1:38">
      <c r="A162" s="94">
        <v>4.18</v>
      </c>
      <c r="B162" s="79">
        <v>70</v>
      </c>
      <c r="C162" s="79">
        <v>70</v>
      </c>
      <c r="D162" s="79">
        <v>67</v>
      </c>
      <c r="E162" s="80">
        <v>-3</v>
      </c>
      <c r="F162" s="6">
        <v>50.14</v>
      </c>
      <c r="G162" s="79">
        <v>4171</v>
      </c>
      <c r="H162" s="8" t="s">
        <v>1038</v>
      </c>
      <c r="I162" s="16" t="s">
        <v>1039</v>
      </c>
      <c r="J162" s="8" t="s">
        <v>3543</v>
      </c>
      <c r="L162" s="123"/>
      <c r="P162" s="365">
        <v>37</v>
      </c>
      <c r="Q162" s="79">
        <v>138</v>
      </c>
      <c r="R162" s="346">
        <v>262</v>
      </c>
      <c r="S162" s="81" t="s">
        <v>6289</v>
      </c>
      <c r="T162" s="327">
        <v>659</v>
      </c>
      <c r="U162" s="34">
        <v>3.83</v>
      </c>
      <c r="V162" s="310">
        <f t="shared" si="166"/>
        <v>3.4196428571428572E-2</v>
      </c>
      <c r="W162" s="94">
        <v>9.8800000000000008</v>
      </c>
      <c r="X162" s="36">
        <v>112</v>
      </c>
      <c r="Y162" s="66">
        <v>110</v>
      </c>
      <c r="Z162" s="15">
        <f t="shared" si="167"/>
        <v>2</v>
      </c>
      <c r="AA162" s="63">
        <f t="shared" si="168"/>
        <v>1.8181818181818181E-2</v>
      </c>
      <c r="AB162" s="344">
        <v>-37.71</v>
      </c>
      <c r="AD162" s="16" t="s">
        <v>1039</v>
      </c>
      <c r="AE162" s="84">
        <v>44575</v>
      </c>
      <c r="AF162" s="86">
        <v>44575</v>
      </c>
      <c r="AG162" s="33">
        <f t="shared" si="169"/>
        <v>0</v>
      </c>
      <c r="AH162" s="43" t="s">
        <v>2703</v>
      </c>
      <c r="AI162" s="63"/>
      <c r="AJ162" s="284"/>
    </row>
    <row r="163" spans="1:38">
      <c r="A163" s="94">
        <v>8.5299999999999994</v>
      </c>
      <c r="B163" s="80">
        <v>-81</v>
      </c>
      <c r="C163" s="80">
        <v>-79</v>
      </c>
      <c r="D163" s="79">
        <v>11</v>
      </c>
      <c r="E163" s="80">
        <v>-81</v>
      </c>
      <c r="F163" s="6">
        <v>35.44</v>
      </c>
      <c r="G163" s="79">
        <v>1325</v>
      </c>
      <c r="H163" s="8" t="s">
        <v>293</v>
      </c>
      <c r="I163" s="22" t="s">
        <v>602</v>
      </c>
      <c r="J163" s="8" t="s">
        <v>3544</v>
      </c>
      <c r="L163" s="123"/>
      <c r="P163" s="365">
        <v>296</v>
      </c>
      <c r="Q163" s="79">
        <v>23</v>
      </c>
      <c r="R163" s="346">
        <v>847</v>
      </c>
      <c r="S163" s="81" t="s">
        <v>6289</v>
      </c>
      <c r="T163" s="327">
        <v>482</v>
      </c>
      <c r="U163" s="34">
        <v>12</v>
      </c>
      <c r="V163" s="310">
        <f t="shared" si="166"/>
        <v>0.21818181818181817</v>
      </c>
      <c r="W163" s="94">
        <v>9.64</v>
      </c>
      <c r="X163" s="36">
        <v>55</v>
      </c>
      <c r="Y163" s="66">
        <v>53.8</v>
      </c>
      <c r="Z163" s="15">
        <f t="shared" si="167"/>
        <v>1.2000000000000028</v>
      </c>
      <c r="AA163" s="63">
        <f t="shared" si="168"/>
        <v>2.2304832713754701E-2</v>
      </c>
      <c r="AB163" s="344">
        <v>-55.65</v>
      </c>
      <c r="AD163" s="22" t="s">
        <v>602</v>
      </c>
      <c r="AE163" s="84">
        <v>44574</v>
      </c>
      <c r="AF163" s="86">
        <v>44574</v>
      </c>
      <c r="AG163" s="33">
        <f t="shared" si="169"/>
        <v>0</v>
      </c>
      <c r="AH163" s="43" t="s">
        <v>2535</v>
      </c>
      <c r="AI163" s="63"/>
      <c r="AJ163" s="284"/>
      <c r="AL163" s="245"/>
    </row>
    <row r="164" spans="1:38">
      <c r="A164" s="94">
        <v>6.03</v>
      </c>
      <c r="B164" s="79">
        <v>67</v>
      </c>
      <c r="C164" s="79">
        <v>108</v>
      </c>
      <c r="D164" s="80">
        <v>-2</v>
      </c>
      <c r="E164" s="80">
        <v>-15</v>
      </c>
      <c r="F164" s="6">
        <v>21.5</v>
      </c>
      <c r="G164" s="79">
        <v>2233</v>
      </c>
      <c r="H164" s="5" t="s">
        <v>301</v>
      </c>
      <c r="I164" s="22" t="s">
        <v>154</v>
      </c>
      <c r="J164" s="8" t="s">
        <v>4734</v>
      </c>
      <c r="L164" s="123"/>
      <c r="P164" s="365">
        <v>73</v>
      </c>
      <c r="Q164" s="79">
        <v>411</v>
      </c>
      <c r="R164" s="346">
        <v>482</v>
      </c>
      <c r="S164" s="81">
        <v>101</v>
      </c>
      <c r="T164" s="327">
        <v>224</v>
      </c>
      <c r="U164" s="34">
        <v>3.3</v>
      </c>
      <c r="V164" s="310">
        <f t="shared" si="166"/>
        <v>0.03</v>
      </c>
      <c r="W164" s="94">
        <v>6.23</v>
      </c>
      <c r="X164" s="36">
        <v>110</v>
      </c>
      <c r="Y164" s="66">
        <v>108</v>
      </c>
      <c r="Z164" s="15">
        <f t="shared" si="167"/>
        <v>2</v>
      </c>
      <c r="AA164" s="63">
        <f t="shared" si="168"/>
        <v>1.8518518518518517E-2</v>
      </c>
      <c r="AB164" s="344">
        <v>-23.43</v>
      </c>
      <c r="AD164" s="22" t="s">
        <v>154</v>
      </c>
      <c r="AE164" s="84">
        <v>44580</v>
      </c>
      <c r="AF164" s="86">
        <v>44581</v>
      </c>
      <c r="AG164" s="33">
        <f t="shared" si="169"/>
        <v>1</v>
      </c>
      <c r="AH164" s="117" t="s">
        <v>2791</v>
      </c>
      <c r="AI164" s="63"/>
      <c r="AJ164" s="284"/>
    </row>
    <row r="165" spans="1:38" s="248" customFormat="1">
      <c r="A165" s="390"/>
      <c r="B165" s="79"/>
      <c r="C165" s="79"/>
      <c r="D165" s="79"/>
      <c r="E165" s="79"/>
      <c r="F165" s="6"/>
      <c r="G165" s="41"/>
      <c r="H165" s="8"/>
      <c r="I165" s="153"/>
      <c r="J165" s="1"/>
      <c r="K165" s="5"/>
      <c r="L165" s="163"/>
      <c r="O165" s="245"/>
      <c r="P165" s="365"/>
      <c r="Q165" s="47"/>
      <c r="R165" s="346"/>
      <c r="S165" s="283"/>
      <c r="T165" s="322"/>
      <c r="U165" s="185"/>
      <c r="V165" s="308"/>
      <c r="W165" s="94"/>
      <c r="X165" s="307">
        <f>SUM(X151:X164)</f>
        <v>1906.5</v>
      </c>
      <c r="Y165" s="296">
        <f>SUM(Y151:Y164)</f>
        <v>1869.1499999999999</v>
      </c>
      <c r="Z165" s="162">
        <f t="shared" si="167"/>
        <v>37.350000000000136</v>
      </c>
      <c r="AA165" s="158">
        <f t="shared" si="168"/>
        <v>1.9982344916138425E-2</v>
      </c>
      <c r="AB165" s="100"/>
      <c r="AC165" s="384"/>
      <c r="AD165" s="227">
        <f>X165*(0.001425*0.5)+X165*0.003+Y165*(0.001425*0.5)</f>
        <v>8.4096506249999994</v>
      </c>
      <c r="AE165" s="6">
        <f>Z165-AD165</f>
        <v>28.940349375000139</v>
      </c>
      <c r="AF165" s="83"/>
      <c r="AG165" s="33"/>
      <c r="AH165" s="46" t="s">
        <v>4745</v>
      </c>
    </row>
    <row r="166" spans="1:38">
      <c r="B166" s="90"/>
      <c r="C166" s="90"/>
      <c r="D166" s="90"/>
      <c r="E166" s="90"/>
      <c r="F166" s="8"/>
      <c r="G166" s="26"/>
      <c r="H166" s="55"/>
      <c r="I166" s="8"/>
      <c r="J166" s="8"/>
      <c r="P166" s="365"/>
      <c r="Q166" s="47"/>
      <c r="R166" s="346"/>
      <c r="T166" s="321"/>
      <c r="U166" s="388"/>
      <c r="V166" s="310"/>
      <c r="W166" s="68"/>
      <c r="X166" s="28"/>
      <c r="Y166" s="17"/>
      <c r="Z166" s="14"/>
      <c r="AA166" s="21"/>
      <c r="AB166" s="330"/>
      <c r="AD166" s="8"/>
      <c r="AE166" s="71"/>
      <c r="AF166" s="72"/>
      <c r="AG166" s="32"/>
      <c r="AH166" s="292"/>
      <c r="AI166" s="8"/>
      <c r="AJ166" s="50"/>
    </row>
    <row r="167" spans="1:38">
      <c r="L167" s="123"/>
      <c r="P167" s="365"/>
      <c r="Q167" s="47"/>
      <c r="R167" s="346"/>
      <c r="V167" s="310"/>
    </row>
    <row r="168" spans="1:38">
      <c r="L168" s="123"/>
      <c r="P168" s="365"/>
      <c r="Q168" s="47"/>
      <c r="R168" s="346"/>
      <c r="V168" s="310"/>
    </row>
    <row r="169" spans="1:38">
      <c r="L169" s="123"/>
      <c r="P169" s="365"/>
      <c r="Q169" s="47"/>
      <c r="R169" s="346"/>
      <c r="V169" s="310"/>
    </row>
    <row r="170" spans="1:38">
      <c r="L170" s="123"/>
      <c r="P170" s="365"/>
      <c r="Q170" s="47"/>
      <c r="R170" s="346"/>
      <c r="V170" s="310"/>
    </row>
    <row r="171" spans="1:38">
      <c r="L171" s="123"/>
      <c r="P171" s="365"/>
      <c r="Q171" s="47"/>
      <c r="R171" s="346"/>
      <c r="V171" s="310"/>
    </row>
    <row r="172" spans="1:38">
      <c r="L172" s="123"/>
      <c r="P172" s="365"/>
      <c r="Q172" s="47"/>
      <c r="R172" s="346"/>
      <c r="V172" s="310"/>
    </row>
    <row r="173" spans="1:38">
      <c r="L173" s="123"/>
      <c r="P173" s="365"/>
      <c r="Q173" s="47"/>
      <c r="R173" s="346"/>
      <c r="V173" s="310"/>
    </row>
    <row r="174" spans="1:38">
      <c r="L174" s="123"/>
      <c r="P174" s="365"/>
      <c r="Q174" s="47"/>
      <c r="R174" s="346"/>
      <c r="V174" s="310"/>
    </row>
    <row r="175" spans="1:38">
      <c r="L175" s="123"/>
      <c r="P175" s="365"/>
      <c r="Q175" s="47"/>
      <c r="R175" s="346"/>
      <c r="V175" s="310"/>
    </row>
    <row r="176" spans="1:38">
      <c r="L176" s="123"/>
      <c r="P176" s="365"/>
      <c r="Q176" s="47"/>
      <c r="R176" s="346"/>
      <c r="V176" s="310"/>
    </row>
    <row r="177" spans="12:38">
      <c r="L177" s="123"/>
      <c r="P177" s="365"/>
      <c r="Q177" s="47"/>
      <c r="R177" s="346"/>
      <c r="V177" s="310"/>
    </row>
    <row r="178" spans="12:38">
      <c r="L178" s="123"/>
      <c r="P178" s="365"/>
      <c r="Q178" s="47"/>
      <c r="R178" s="346"/>
      <c r="V178" s="310"/>
    </row>
    <row r="179" spans="12:38">
      <c r="L179" s="123"/>
      <c r="P179" s="365"/>
      <c r="Q179" s="47"/>
      <c r="R179" s="346"/>
      <c r="V179" s="310"/>
    </row>
    <row r="180" spans="12:38">
      <c r="L180" s="123"/>
      <c r="P180" s="365"/>
      <c r="Q180" s="47"/>
      <c r="R180" s="346"/>
      <c r="V180" s="310"/>
    </row>
    <row r="181" spans="12:38">
      <c r="L181" s="123"/>
      <c r="P181" s="365"/>
      <c r="Q181" s="47"/>
      <c r="R181" s="346"/>
      <c r="V181" s="310"/>
    </row>
    <row r="182" spans="12:38">
      <c r="L182" s="123"/>
      <c r="P182" s="365"/>
      <c r="Q182" s="47"/>
      <c r="R182" s="346"/>
      <c r="V182" s="310"/>
    </row>
    <row r="183" spans="12:38">
      <c r="L183" s="123"/>
      <c r="P183" s="365"/>
      <c r="Q183" s="47"/>
      <c r="R183" s="346"/>
      <c r="V183" s="310"/>
    </row>
    <row r="184" spans="12:38">
      <c r="L184" s="123"/>
      <c r="P184" s="365"/>
      <c r="Q184" s="47"/>
      <c r="R184" s="346"/>
      <c r="V184" s="310"/>
    </row>
    <row r="185" spans="12:38">
      <c r="L185" s="123"/>
      <c r="P185" s="365"/>
      <c r="Q185" s="47"/>
      <c r="R185" s="346"/>
      <c r="V185" s="312"/>
    </row>
    <row r="186" spans="12:38">
      <c r="L186" s="123"/>
      <c r="P186" s="365"/>
      <c r="Q186" s="47"/>
      <c r="R186" s="346"/>
      <c r="V186" s="312"/>
    </row>
    <row r="187" spans="12:38">
      <c r="L187" s="123"/>
      <c r="P187" s="365"/>
      <c r="Q187" s="47"/>
      <c r="R187" s="346"/>
      <c r="V187" s="308"/>
    </row>
    <row r="188" spans="12:38">
      <c r="L188" s="123"/>
      <c r="P188" s="365"/>
      <c r="Q188" s="47"/>
      <c r="R188" s="346"/>
      <c r="V188" s="308"/>
    </row>
    <row r="189" spans="12:38">
      <c r="L189" s="123"/>
      <c r="P189" s="365"/>
      <c r="Q189" s="47"/>
      <c r="R189" s="346"/>
      <c r="V189" s="308"/>
    </row>
    <row r="190" spans="12:38">
      <c r="L190" s="123"/>
      <c r="P190" s="365"/>
      <c r="Q190" s="47"/>
      <c r="R190" s="346"/>
      <c r="V190" s="308"/>
    </row>
    <row r="191" spans="12:38">
      <c r="L191" s="123"/>
      <c r="P191" s="365"/>
      <c r="Q191" s="47"/>
      <c r="R191" s="346"/>
      <c r="V191" s="310"/>
      <c r="AL191" s="280"/>
    </row>
    <row r="192" spans="12:38">
      <c r="L192" s="123"/>
      <c r="P192" s="365"/>
      <c r="Q192" s="47"/>
      <c r="R192" s="346"/>
      <c r="V192" s="310"/>
      <c r="AL192" s="245"/>
    </row>
    <row r="193" spans="12:38">
      <c r="L193" s="123"/>
      <c r="P193" s="365"/>
      <c r="Q193" s="47"/>
      <c r="R193" s="346"/>
      <c r="V193" s="310"/>
      <c r="AL193" s="245"/>
    </row>
    <row r="194" spans="12:38">
      <c r="L194" s="123"/>
      <c r="P194" s="365"/>
      <c r="Q194" s="47"/>
      <c r="R194" s="346"/>
      <c r="V194" s="310"/>
      <c r="AL194" s="245"/>
    </row>
    <row r="195" spans="12:38">
      <c r="L195" s="123"/>
      <c r="P195" s="365"/>
      <c r="Q195" s="47"/>
      <c r="R195" s="346"/>
      <c r="V195" s="310"/>
      <c r="AL195" s="245"/>
    </row>
    <row r="196" spans="12:38">
      <c r="L196" s="123"/>
      <c r="P196" s="365"/>
      <c r="Q196" s="47"/>
      <c r="R196" s="346"/>
      <c r="V196" s="310"/>
      <c r="AL196" s="245"/>
    </row>
    <row r="197" spans="12:38">
      <c r="L197" s="123"/>
      <c r="P197" s="365"/>
      <c r="Q197" s="47"/>
      <c r="R197" s="346"/>
      <c r="V197" s="310"/>
      <c r="AL197" s="245"/>
    </row>
    <row r="198" spans="12:38">
      <c r="L198" s="33"/>
      <c r="P198" s="365"/>
      <c r="Q198" s="47"/>
      <c r="R198" s="346"/>
      <c r="V198" s="310"/>
      <c r="AL198" s="245"/>
    </row>
    <row r="199" spans="12:38">
      <c r="L199" s="123"/>
      <c r="P199" s="365"/>
      <c r="Q199" s="47"/>
      <c r="R199" s="346"/>
      <c r="V199" s="310"/>
      <c r="AL199" s="245"/>
    </row>
    <row r="200" spans="12:38">
      <c r="L200" s="123"/>
      <c r="P200" s="365"/>
      <c r="Q200" s="47"/>
      <c r="R200" s="346"/>
      <c r="V200" s="310"/>
      <c r="AL200" s="245"/>
    </row>
    <row r="201" spans="12:38">
      <c r="L201" s="245"/>
      <c r="P201" s="365"/>
      <c r="Q201" s="47"/>
      <c r="R201" s="346"/>
      <c r="V201" s="310"/>
      <c r="AL201" s="245"/>
    </row>
    <row r="202" spans="12:38">
      <c r="L202" s="123"/>
      <c r="P202" s="365"/>
      <c r="Q202" s="47"/>
      <c r="R202" s="346"/>
      <c r="V202" s="310"/>
      <c r="AL202" s="245"/>
    </row>
    <row r="203" spans="12:38">
      <c r="L203" s="123"/>
      <c r="P203" s="365"/>
      <c r="Q203" s="47"/>
      <c r="R203" s="346"/>
      <c r="V203" s="310"/>
      <c r="AL203" s="245"/>
    </row>
    <row r="204" spans="12:38">
      <c r="L204" s="123"/>
      <c r="P204" s="365"/>
      <c r="Q204" s="47"/>
      <c r="R204" s="346"/>
      <c r="V204" s="310"/>
      <c r="AL204" s="245"/>
    </row>
    <row r="205" spans="12:38">
      <c r="L205" s="123"/>
      <c r="P205" s="365"/>
      <c r="Q205" s="47"/>
      <c r="R205" s="346"/>
      <c r="V205" s="310"/>
      <c r="AL205" s="245"/>
    </row>
    <row r="206" spans="12:38">
      <c r="L206" s="123"/>
      <c r="P206" s="365"/>
      <c r="Q206" s="47"/>
      <c r="R206" s="346"/>
      <c r="AL206" s="245"/>
    </row>
    <row r="207" spans="12:38">
      <c r="L207" s="245"/>
      <c r="P207" s="365"/>
      <c r="Q207" s="47"/>
      <c r="R207" s="346"/>
      <c r="AL207" s="245"/>
    </row>
    <row r="208" spans="12:38">
      <c r="L208" s="123"/>
      <c r="P208" s="365"/>
      <c r="Q208" s="47"/>
      <c r="R208" s="346"/>
      <c r="AL208" s="245"/>
    </row>
    <row r="209" spans="12:38">
      <c r="L209" s="123"/>
      <c r="P209" s="365"/>
      <c r="Q209" s="47"/>
      <c r="R209" s="346"/>
    </row>
    <row r="210" spans="12:38">
      <c r="L210" s="123"/>
      <c r="P210" s="365"/>
      <c r="Q210" s="47"/>
      <c r="R210" s="346"/>
    </row>
    <row r="211" spans="12:38">
      <c r="L211" s="123"/>
      <c r="P211" s="365"/>
      <c r="Q211" s="47"/>
      <c r="R211" s="346"/>
    </row>
    <row r="212" spans="12:38">
      <c r="L212" s="123"/>
      <c r="P212" s="365"/>
      <c r="Q212" s="47"/>
      <c r="R212" s="346"/>
    </row>
    <row r="213" spans="12:38">
      <c r="L213" s="123"/>
      <c r="P213" s="365"/>
      <c r="Q213" s="47"/>
      <c r="R213" s="346"/>
    </row>
    <row r="214" spans="12:38">
      <c r="L214" s="123"/>
      <c r="P214" s="365"/>
      <c r="Q214" s="47"/>
      <c r="R214" s="346"/>
      <c r="V214" s="308"/>
    </row>
    <row r="215" spans="12:38">
      <c r="L215" s="123"/>
      <c r="P215" s="365"/>
      <c r="Q215" s="47"/>
      <c r="R215" s="346"/>
      <c r="V215" s="310"/>
    </row>
    <row r="216" spans="12:38">
      <c r="L216" s="123"/>
      <c r="P216" s="365"/>
      <c r="Q216" s="47"/>
      <c r="R216" s="346"/>
      <c r="V216" s="310"/>
    </row>
    <row r="217" spans="12:38">
      <c r="L217" s="123"/>
      <c r="P217" s="365"/>
      <c r="Q217" s="47"/>
      <c r="R217" s="346"/>
      <c r="V217" s="310"/>
      <c r="AL217" s="280"/>
    </row>
    <row r="218" spans="12:38">
      <c r="L218" s="245"/>
      <c r="P218" s="365"/>
      <c r="Q218" s="47"/>
      <c r="R218" s="346"/>
      <c r="V218" s="310"/>
      <c r="AL218" s="245"/>
    </row>
    <row r="219" spans="12:38">
      <c r="L219" s="123"/>
      <c r="P219" s="365"/>
      <c r="Q219" s="47"/>
      <c r="R219" s="346"/>
      <c r="V219" s="310"/>
      <c r="AL219" s="245"/>
    </row>
    <row r="220" spans="12:38">
      <c r="L220" s="123"/>
      <c r="P220" s="365"/>
      <c r="Q220" s="47"/>
      <c r="R220" s="346"/>
      <c r="V220" s="310"/>
      <c r="AL220" s="245"/>
    </row>
    <row r="221" spans="12:38">
      <c r="L221" s="123"/>
      <c r="P221" s="365"/>
      <c r="Q221" s="47"/>
      <c r="R221" s="346"/>
      <c r="V221" s="310"/>
      <c r="AL221" s="245"/>
    </row>
    <row r="222" spans="12:38">
      <c r="L222" s="123"/>
      <c r="P222" s="365"/>
      <c r="Q222" s="47"/>
      <c r="R222" s="346"/>
      <c r="V222" s="310"/>
      <c r="AL222" s="245"/>
    </row>
    <row r="223" spans="12:38">
      <c r="L223" s="123"/>
      <c r="P223" s="365"/>
      <c r="Q223" s="47"/>
      <c r="R223" s="346"/>
      <c r="V223" s="310"/>
      <c r="AL223" s="245"/>
    </row>
    <row r="224" spans="12:38">
      <c r="L224" s="123"/>
      <c r="P224" s="365"/>
      <c r="Q224" s="47"/>
      <c r="R224" s="346"/>
    </row>
    <row r="225" spans="12:38">
      <c r="L225" s="123"/>
      <c r="P225" s="365"/>
      <c r="Q225" s="47"/>
      <c r="R225" s="346"/>
    </row>
    <row r="226" spans="12:38">
      <c r="L226" s="123"/>
      <c r="P226" s="365"/>
      <c r="Q226" s="47"/>
      <c r="R226" s="346"/>
      <c r="V226" s="308"/>
    </row>
    <row r="227" spans="12:38">
      <c r="L227" s="123"/>
      <c r="P227" s="365"/>
      <c r="Q227" s="47"/>
      <c r="R227" s="346"/>
      <c r="V227" s="310"/>
      <c r="AL227" s="280"/>
    </row>
    <row r="228" spans="12:38">
      <c r="L228" s="245"/>
      <c r="P228" s="365"/>
      <c r="Q228" s="47"/>
      <c r="R228" s="346"/>
      <c r="V228" s="310"/>
    </row>
    <row r="229" spans="12:38">
      <c r="L229" s="123"/>
      <c r="P229" s="365"/>
      <c r="Q229" s="47"/>
      <c r="R229" s="346"/>
      <c r="V229" s="310"/>
    </row>
    <row r="230" spans="12:38">
      <c r="L230" s="123"/>
      <c r="P230" s="365"/>
      <c r="Q230" s="47"/>
      <c r="R230" s="346"/>
      <c r="V230" s="310"/>
    </row>
    <row r="231" spans="12:38">
      <c r="L231" s="123"/>
      <c r="P231" s="365"/>
      <c r="Q231" s="47"/>
      <c r="R231" s="346"/>
      <c r="V231" s="310"/>
    </row>
    <row r="232" spans="12:38">
      <c r="L232" s="123"/>
      <c r="P232" s="365"/>
      <c r="Q232" s="47"/>
      <c r="R232" s="346"/>
      <c r="V232" s="310"/>
    </row>
    <row r="233" spans="12:38">
      <c r="L233" s="123"/>
      <c r="P233" s="365"/>
      <c r="Q233" s="47"/>
      <c r="R233" s="346"/>
      <c r="AL233" s="280"/>
    </row>
    <row r="234" spans="12:38">
      <c r="L234" s="123"/>
      <c r="P234" s="365"/>
      <c r="Q234" s="47"/>
      <c r="R234" s="346"/>
    </row>
    <row r="235" spans="12:38">
      <c r="L235" s="123"/>
      <c r="P235" s="365"/>
      <c r="Q235" s="47"/>
      <c r="R235" s="346"/>
    </row>
    <row r="236" spans="12:38">
      <c r="L236" s="245"/>
      <c r="P236" s="365"/>
      <c r="Q236" s="47"/>
      <c r="R236" s="346"/>
    </row>
    <row r="237" spans="12:38">
      <c r="L237" s="123"/>
      <c r="P237" s="365"/>
      <c r="Q237" s="47"/>
      <c r="R237" s="346"/>
    </row>
    <row r="238" spans="12:38">
      <c r="L238" s="123"/>
      <c r="P238" s="365"/>
      <c r="Q238" s="47"/>
      <c r="R238" s="346"/>
    </row>
    <row r="239" spans="12:38">
      <c r="L239" s="123"/>
      <c r="P239" s="365"/>
      <c r="Q239" s="47"/>
      <c r="R239" s="346"/>
    </row>
    <row r="240" spans="12:38">
      <c r="L240" s="123"/>
      <c r="O240" s="7"/>
      <c r="P240" s="365"/>
      <c r="Q240" s="47"/>
      <c r="R240" s="346"/>
    </row>
    <row r="241" spans="12:18">
      <c r="L241" s="123"/>
      <c r="P241" s="365"/>
      <c r="Q241" s="47"/>
      <c r="R241" s="346"/>
    </row>
    <row r="242" spans="12:18">
      <c r="L242" s="123"/>
      <c r="P242" s="365"/>
      <c r="Q242" s="47"/>
      <c r="R242" s="346"/>
    </row>
    <row r="243" spans="12:18">
      <c r="L243" s="123"/>
      <c r="P243" s="365"/>
      <c r="Q243" s="47"/>
      <c r="R243" s="346"/>
    </row>
    <row r="244" spans="12:18">
      <c r="L244" s="123"/>
      <c r="P244" s="365"/>
      <c r="Q244" s="47"/>
      <c r="R244" s="346"/>
    </row>
    <row r="245" spans="12:18">
      <c r="L245" s="123"/>
      <c r="P245" s="365"/>
      <c r="Q245" s="47"/>
      <c r="R245" s="346"/>
    </row>
    <row r="246" spans="12:18">
      <c r="L246" s="245"/>
      <c r="P246" s="365"/>
      <c r="Q246" s="47"/>
      <c r="R246" s="346"/>
    </row>
    <row r="247" spans="12:18">
      <c r="L247" s="123"/>
      <c r="P247" s="365"/>
      <c r="Q247" s="47"/>
      <c r="R247" s="346"/>
    </row>
    <row r="248" spans="12:18">
      <c r="L248" s="123"/>
      <c r="P248" s="365"/>
      <c r="Q248" s="47"/>
      <c r="R248" s="346"/>
    </row>
    <row r="249" spans="12:18">
      <c r="L249" s="123"/>
      <c r="P249" s="365"/>
      <c r="Q249" s="47"/>
      <c r="R249" s="346"/>
    </row>
    <row r="250" spans="12:18">
      <c r="L250" s="123"/>
      <c r="P250" s="365"/>
      <c r="Q250" s="47"/>
      <c r="R250" s="346"/>
    </row>
    <row r="251" spans="12:18">
      <c r="L251" s="123"/>
      <c r="P251" s="365"/>
      <c r="Q251" s="47"/>
      <c r="R251" s="346"/>
    </row>
    <row r="252" spans="12:18">
      <c r="L252" s="123"/>
      <c r="P252" s="365"/>
      <c r="Q252" s="47"/>
      <c r="R252" s="346"/>
    </row>
    <row r="253" spans="12:18">
      <c r="L253" s="123"/>
      <c r="P253" s="365"/>
      <c r="Q253" s="47"/>
      <c r="R253" s="346"/>
    </row>
    <row r="254" spans="12:18">
      <c r="L254" s="123"/>
      <c r="P254" s="365"/>
      <c r="Q254" s="47"/>
      <c r="R254" s="346"/>
    </row>
    <row r="255" spans="12:18">
      <c r="L255" s="123"/>
      <c r="P255" s="365"/>
      <c r="Q255" s="47"/>
      <c r="R255" s="346"/>
    </row>
    <row r="256" spans="12:18">
      <c r="L256" s="123"/>
      <c r="P256" s="365"/>
      <c r="Q256" s="47"/>
      <c r="R256" s="346"/>
    </row>
    <row r="257" spans="12:18">
      <c r="L257" s="123"/>
      <c r="P257" s="365"/>
      <c r="Q257" s="47"/>
      <c r="R257" s="346"/>
    </row>
    <row r="258" spans="12:18">
      <c r="L258" s="123"/>
      <c r="P258" s="365"/>
      <c r="Q258" s="47"/>
      <c r="R258" s="346"/>
    </row>
    <row r="259" spans="12:18">
      <c r="L259" s="123"/>
      <c r="P259" s="365"/>
      <c r="Q259" s="47"/>
      <c r="R259" s="346"/>
    </row>
    <row r="260" spans="12:18">
      <c r="L260" s="123"/>
      <c r="P260" s="365"/>
      <c r="Q260" s="47"/>
      <c r="R260" s="346"/>
    </row>
    <row r="261" spans="12:18">
      <c r="L261" s="123"/>
      <c r="P261" s="365"/>
      <c r="Q261" s="47"/>
      <c r="R261" s="346"/>
    </row>
    <row r="262" spans="12:18">
      <c r="L262" s="123"/>
      <c r="P262" s="365"/>
      <c r="Q262" s="47"/>
      <c r="R262" s="346"/>
    </row>
    <row r="263" spans="12:18">
      <c r="L263" s="123"/>
      <c r="P263" s="365"/>
      <c r="Q263" s="47"/>
      <c r="R263" s="346"/>
    </row>
    <row r="264" spans="12:18">
      <c r="L264" s="123"/>
      <c r="P264" s="365"/>
      <c r="Q264" s="47"/>
      <c r="R264" s="346"/>
    </row>
    <row r="265" spans="12:18">
      <c r="L265" s="123"/>
      <c r="P265" s="365"/>
      <c r="Q265" s="47"/>
      <c r="R265" s="346"/>
    </row>
    <row r="266" spans="12:18">
      <c r="L266" s="123"/>
      <c r="P266" s="365"/>
      <c r="Q266" s="47"/>
      <c r="R266" s="346"/>
    </row>
    <row r="267" spans="12:18">
      <c r="L267" s="245"/>
      <c r="P267" s="365"/>
      <c r="Q267" s="47"/>
      <c r="R267" s="346"/>
    </row>
    <row r="268" spans="12:18">
      <c r="L268" s="123"/>
      <c r="P268" s="365"/>
      <c r="Q268" s="47"/>
      <c r="R268" s="346"/>
    </row>
    <row r="269" spans="12:18">
      <c r="L269" s="123"/>
      <c r="P269" s="365"/>
      <c r="Q269" s="47"/>
      <c r="R269" s="346"/>
    </row>
    <row r="270" spans="12:18">
      <c r="L270" s="123"/>
      <c r="P270" s="365"/>
      <c r="Q270" s="47"/>
      <c r="R270" s="346"/>
    </row>
    <row r="271" spans="12:18">
      <c r="O271" s="7"/>
      <c r="P271" s="365"/>
      <c r="Q271" s="47"/>
      <c r="R271" s="346"/>
    </row>
    <row r="272" spans="12:18">
      <c r="L272" s="123"/>
      <c r="P272" s="365"/>
      <c r="Q272" s="47"/>
      <c r="R272" s="346"/>
    </row>
    <row r="273" spans="12:18">
      <c r="L273" s="123"/>
      <c r="P273" s="365"/>
      <c r="Q273" s="47"/>
      <c r="R273" s="346"/>
    </row>
    <row r="274" spans="12:18">
      <c r="L274" s="123"/>
      <c r="P274" s="365"/>
      <c r="Q274" s="47"/>
      <c r="R274" s="346"/>
    </row>
    <row r="275" spans="12:18">
      <c r="L275" s="123"/>
      <c r="P275" s="365"/>
      <c r="Q275" s="47"/>
      <c r="R275" s="346"/>
    </row>
    <row r="276" spans="12:18">
      <c r="L276" s="123"/>
      <c r="P276" s="365"/>
      <c r="Q276" s="47"/>
      <c r="R276" s="346"/>
    </row>
    <row r="277" spans="12:18">
      <c r="L277" s="123"/>
      <c r="P277" s="365"/>
      <c r="Q277" s="47"/>
      <c r="R277" s="346"/>
    </row>
    <row r="278" spans="12:18">
      <c r="L278" s="123"/>
      <c r="P278" s="365"/>
      <c r="Q278" s="47"/>
      <c r="R278" s="346"/>
    </row>
    <row r="279" spans="12:18">
      <c r="L279" s="123"/>
      <c r="P279" s="365"/>
      <c r="Q279" s="47"/>
      <c r="R279" s="346"/>
    </row>
    <row r="280" spans="12:18">
      <c r="L280" s="245"/>
      <c r="P280" s="365"/>
      <c r="Q280" s="47"/>
      <c r="R280" s="346"/>
    </row>
    <row r="281" spans="12:18">
      <c r="L281" s="123"/>
      <c r="P281" s="365"/>
      <c r="Q281" s="47"/>
      <c r="R281" s="346"/>
    </row>
    <row r="282" spans="12:18">
      <c r="L282" s="123"/>
      <c r="P282" s="365"/>
      <c r="Q282" s="47"/>
      <c r="R282" s="346"/>
    </row>
    <row r="283" spans="12:18">
      <c r="L283" s="123"/>
      <c r="P283" s="365"/>
      <c r="Q283" s="47"/>
      <c r="R283" s="346"/>
    </row>
    <row r="284" spans="12:18">
      <c r="L284" s="245"/>
      <c r="P284" s="365"/>
      <c r="Q284" s="47"/>
      <c r="R284" s="346"/>
    </row>
    <row r="285" spans="12:18">
      <c r="L285" s="123"/>
      <c r="P285" s="365"/>
      <c r="Q285" s="47"/>
      <c r="R285" s="346"/>
    </row>
    <row r="286" spans="12:18">
      <c r="L286" s="123"/>
      <c r="P286" s="365"/>
      <c r="Q286" s="47"/>
      <c r="R286" s="346"/>
    </row>
    <row r="287" spans="12:18">
      <c r="L287" s="123"/>
      <c r="P287" s="365"/>
      <c r="Q287" s="47"/>
      <c r="R287" s="346"/>
    </row>
    <row r="288" spans="12:18">
      <c r="L288" s="123"/>
      <c r="P288" s="365"/>
      <c r="Q288" s="47"/>
      <c r="R288" s="346"/>
    </row>
    <row r="289" spans="12:18">
      <c r="L289" s="123"/>
      <c r="P289" s="365"/>
      <c r="Q289" s="47"/>
      <c r="R289" s="346"/>
    </row>
    <row r="290" spans="12:18">
      <c r="L290" s="123"/>
      <c r="P290" s="365"/>
      <c r="Q290" s="47"/>
      <c r="R290" s="346"/>
    </row>
    <row r="291" spans="12:18">
      <c r="L291" s="123"/>
      <c r="P291" s="365"/>
      <c r="Q291" s="47"/>
      <c r="R291" s="346"/>
    </row>
    <row r="292" spans="12:18">
      <c r="L292" s="123"/>
      <c r="P292" s="365"/>
      <c r="Q292" s="47"/>
      <c r="R292" s="346"/>
    </row>
    <row r="293" spans="12:18">
      <c r="L293" s="123"/>
      <c r="P293" s="365"/>
      <c r="Q293" s="47"/>
      <c r="R293" s="346"/>
    </row>
    <row r="294" spans="12:18">
      <c r="L294" s="123"/>
      <c r="P294" s="365"/>
      <c r="Q294" s="47"/>
      <c r="R294" s="346"/>
    </row>
    <row r="295" spans="12:18">
      <c r="L295" s="123"/>
      <c r="P295" s="365"/>
      <c r="Q295" s="47"/>
      <c r="R295" s="346"/>
    </row>
    <row r="296" spans="12:18">
      <c r="L296" s="123"/>
      <c r="P296" s="365"/>
      <c r="Q296" s="47"/>
      <c r="R296" s="346"/>
    </row>
    <row r="297" spans="12:18">
      <c r="L297" s="123"/>
      <c r="P297" s="365"/>
      <c r="Q297" s="47"/>
      <c r="R297" s="346"/>
    </row>
    <row r="298" spans="12:18">
      <c r="L298" s="123"/>
      <c r="P298" s="365"/>
      <c r="Q298" s="47"/>
      <c r="R298" s="346"/>
    </row>
    <row r="299" spans="12:18">
      <c r="L299" s="123"/>
      <c r="P299" s="365"/>
      <c r="Q299" s="47"/>
      <c r="R299" s="346"/>
    </row>
    <row r="300" spans="12:18">
      <c r="L300" s="123"/>
      <c r="P300" s="365"/>
      <c r="Q300" s="47"/>
      <c r="R300" s="346"/>
    </row>
    <row r="301" spans="12:18">
      <c r="L301" s="123"/>
      <c r="P301" s="365"/>
      <c r="Q301" s="47"/>
      <c r="R301" s="346"/>
    </row>
    <row r="302" spans="12:18">
      <c r="L302" s="123"/>
      <c r="P302" s="365"/>
      <c r="Q302" s="47"/>
      <c r="R302" s="346"/>
    </row>
    <row r="303" spans="12:18">
      <c r="L303" s="123"/>
      <c r="P303" s="365"/>
      <c r="Q303" s="47"/>
      <c r="R303" s="346"/>
    </row>
    <row r="304" spans="12:18">
      <c r="L304" s="123"/>
      <c r="P304" s="365"/>
      <c r="Q304" s="47"/>
      <c r="R304" s="346"/>
    </row>
    <row r="305" spans="12:18">
      <c r="L305" s="123"/>
      <c r="P305" s="365"/>
      <c r="Q305" s="47"/>
      <c r="R305" s="346"/>
    </row>
    <row r="306" spans="12:18">
      <c r="L306" s="123"/>
      <c r="P306" s="365"/>
      <c r="Q306" s="47"/>
      <c r="R306" s="346"/>
    </row>
    <row r="307" spans="12:18">
      <c r="L307" s="123"/>
      <c r="P307" s="365"/>
      <c r="Q307" s="47"/>
      <c r="R307" s="346"/>
    </row>
    <row r="308" spans="12:18">
      <c r="L308" s="123"/>
      <c r="O308" s="7"/>
      <c r="P308" s="365"/>
      <c r="Q308" s="47"/>
      <c r="R308" s="346"/>
    </row>
    <row r="309" spans="12:18">
      <c r="L309" s="123"/>
      <c r="P309" s="365"/>
      <c r="Q309" s="47"/>
      <c r="R309" s="346"/>
    </row>
    <row r="310" spans="12:18">
      <c r="L310" s="123"/>
      <c r="P310" s="365"/>
      <c r="Q310" s="47"/>
      <c r="R310" s="346"/>
    </row>
    <row r="311" spans="12:18">
      <c r="L311" s="123"/>
      <c r="P311" s="365"/>
      <c r="Q311" s="47"/>
      <c r="R311" s="346"/>
    </row>
    <row r="312" spans="12:18">
      <c r="L312" s="123"/>
      <c r="P312" s="365"/>
      <c r="Q312" s="47"/>
      <c r="R312" s="346"/>
    </row>
    <row r="313" spans="12:18">
      <c r="L313" s="123"/>
      <c r="P313" s="365"/>
      <c r="Q313" s="47"/>
      <c r="R313" s="346"/>
    </row>
    <row r="314" spans="12:18">
      <c r="L314" s="123"/>
      <c r="P314" s="365"/>
      <c r="Q314" s="47"/>
      <c r="R314" s="346"/>
    </row>
    <row r="315" spans="12:18">
      <c r="L315" s="123"/>
      <c r="P315" s="365"/>
      <c r="Q315" s="47"/>
      <c r="R315" s="346"/>
    </row>
    <row r="316" spans="12:18">
      <c r="L316" s="123"/>
      <c r="P316" s="365"/>
      <c r="Q316" s="47"/>
      <c r="R316" s="346"/>
    </row>
    <row r="317" spans="12:18">
      <c r="L317" s="123"/>
      <c r="P317" s="365"/>
      <c r="Q317" s="47"/>
      <c r="R317" s="346"/>
    </row>
    <row r="318" spans="12:18">
      <c r="L318" s="123"/>
      <c r="O318" s="7"/>
      <c r="P318" s="365"/>
      <c r="Q318" s="47"/>
      <c r="R318" s="346"/>
    </row>
    <row r="319" spans="12:18">
      <c r="L319" s="123"/>
      <c r="P319" s="365"/>
      <c r="Q319" s="47"/>
      <c r="R319" s="346"/>
    </row>
    <row r="320" spans="12:18">
      <c r="L320" s="123"/>
      <c r="P320" s="365"/>
      <c r="Q320" s="47"/>
      <c r="R320" s="346"/>
    </row>
    <row r="321" spans="12:18">
      <c r="L321" s="123"/>
      <c r="P321" s="365"/>
      <c r="Q321" s="47"/>
      <c r="R321" s="346"/>
    </row>
    <row r="322" spans="12:18">
      <c r="L322" s="123"/>
      <c r="P322" s="365"/>
      <c r="Q322" s="47"/>
      <c r="R322" s="346"/>
    </row>
    <row r="323" spans="12:18">
      <c r="L323" s="123"/>
      <c r="P323" s="365"/>
      <c r="Q323" s="47"/>
      <c r="R323" s="346"/>
    </row>
    <row r="324" spans="12:18">
      <c r="L324" s="123"/>
      <c r="P324" s="365"/>
      <c r="Q324" s="47"/>
      <c r="R324" s="346"/>
    </row>
    <row r="325" spans="12:18">
      <c r="L325" s="123"/>
      <c r="P325" s="365"/>
      <c r="Q325" s="47"/>
      <c r="R325" s="346"/>
    </row>
    <row r="326" spans="12:18">
      <c r="L326" s="123"/>
      <c r="P326" s="365"/>
      <c r="Q326" s="47"/>
      <c r="R326" s="346"/>
    </row>
    <row r="327" spans="12:18">
      <c r="L327" s="123"/>
      <c r="P327" s="365"/>
      <c r="Q327" s="47"/>
      <c r="R327" s="346"/>
    </row>
    <row r="328" spans="12:18">
      <c r="L328" s="123"/>
      <c r="P328" s="365"/>
      <c r="Q328" s="47"/>
      <c r="R328" s="346"/>
    </row>
    <row r="329" spans="12:18">
      <c r="L329" s="27"/>
      <c r="P329" s="365"/>
      <c r="Q329" s="47"/>
      <c r="R329" s="346"/>
    </row>
    <row r="330" spans="12:18">
      <c r="L330" s="123"/>
      <c r="P330" s="365"/>
      <c r="Q330" s="47"/>
      <c r="R330" s="346"/>
    </row>
    <row r="331" spans="12:18">
      <c r="L331" s="123"/>
      <c r="P331" s="365"/>
      <c r="Q331" s="47"/>
      <c r="R331" s="346"/>
    </row>
    <row r="332" spans="12:18">
      <c r="L332" s="123"/>
      <c r="P332" s="365"/>
      <c r="Q332" s="47"/>
      <c r="R332" s="346"/>
    </row>
    <row r="333" spans="12:18">
      <c r="L333" s="123"/>
      <c r="P333" s="365"/>
      <c r="Q333" s="47"/>
      <c r="R333" s="346"/>
    </row>
    <row r="334" spans="12:18">
      <c r="L334" s="123"/>
      <c r="P334" s="365"/>
      <c r="Q334" s="47"/>
      <c r="R334" s="346"/>
    </row>
    <row r="335" spans="12:18">
      <c r="L335" s="123"/>
      <c r="P335" s="365"/>
      <c r="Q335" s="47"/>
      <c r="R335" s="346"/>
    </row>
    <row r="336" spans="12:18">
      <c r="L336" s="123"/>
      <c r="P336" s="365"/>
      <c r="Q336" s="47"/>
      <c r="R336" s="346"/>
    </row>
    <row r="337" spans="12:18">
      <c r="L337" s="123"/>
      <c r="P337" s="365"/>
      <c r="Q337" s="47"/>
      <c r="R337" s="346"/>
    </row>
    <row r="338" spans="12:18">
      <c r="L338" s="123"/>
      <c r="P338" s="365"/>
      <c r="Q338" s="47"/>
      <c r="R338" s="346"/>
    </row>
    <row r="339" spans="12:18">
      <c r="L339" s="123"/>
      <c r="P339" s="365"/>
      <c r="Q339" s="47"/>
      <c r="R339" s="346"/>
    </row>
    <row r="340" spans="12:18">
      <c r="L340" s="123"/>
      <c r="P340" s="365"/>
      <c r="Q340" s="47"/>
      <c r="R340" s="346"/>
    </row>
    <row r="341" spans="12:18">
      <c r="L341" s="123"/>
      <c r="P341" s="365"/>
      <c r="Q341" s="47"/>
      <c r="R341" s="346"/>
    </row>
    <row r="342" spans="12:18">
      <c r="L342" s="123"/>
      <c r="P342" s="365"/>
      <c r="Q342" s="47"/>
      <c r="R342" s="346"/>
    </row>
    <row r="343" spans="12:18">
      <c r="L343" s="123"/>
      <c r="P343" s="365"/>
      <c r="Q343" s="47"/>
      <c r="R343" s="346"/>
    </row>
    <row r="344" spans="12:18">
      <c r="L344" s="123"/>
      <c r="P344" s="365"/>
      <c r="Q344" s="47"/>
      <c r="R344" s="346"/>
    </row>
    <row r="345" spans="12:18">
      <c r="L345" s="123"/>
      <c r="P345" s="365"/>
      <c r="Q345" s="47"/>
      <c r="R345" s="346"/>
    </row>
    <row r="346" spans="12:18">
      <c r="L346" s="123"/>
      <c r="P346" s="365"/>
      <c r="Q346" s="47"/>
      <c r="R346" s="346"/>
    </row>
    <row r="347" spans="12:18">
      <c r="L347" s="123"/>
      <c r="P347" s="365"/>
      <c r="Q347" s="47"/>
      <c r="R347" s="346"/>
    </row>
    <row r="348" spans="12:18">
      <c r="L348" s="123"/>
      <c r="P348" s="365"/>
      <c r="Q348" s="47"/>
      <c r="R348" s="346"/>
    </row>
    <row r="349" spans="12:18">
      <c r="L349" s="123"/>
      <c r="P349" s="365"/>
      <c r="Q349" s="47"/>
      <c r="R349" s="346"/>
    </row>
    <row r="350" spans="12:18">
      <c r="L350" s="123"/>
      <c r="P350" s="365"/>
      <c r="Q350" s="47"/>
      <c r="R350" s="346"/>
    </row>
    <row r="351" spans="12:18">
      <c r="L351" s="123"/>
      <c r="P351" s="365"/>
      <c r="Q351" s="47"/>
      <c r="R351" s="346"/>
    </row>
    <row r="352" spans="12:18">
      <c r="L352" s="123"/>
      <c r="P352" s="365"/>
      <c r="Q352" s="47"/>
      <c r="R352" s="346"/>
    </row>
    <row r="353" spans="12:18">
      <c r="L353" s="123"/>
      <c r="P353" s="365"/>
      <c r="Q353" s="47"/>
      <c r="R353" s="346"/>
    </row>
    <row r="354" spans="12:18">
      <c r="L354" s="123"/>
      <c r="P354" s="365"/>
      <c r="Q354" s="47"/>
      <c r="R354" s="346"/>
    </row>
    <row r="355" spans="12:18">
      <c r="L355" s="123"/>
      <c r="P355" s="365"/>
      <c r="Q355" s="47"/>
      <c r="R355" s="346"/>
    </row>
    <row r="356" spans="12:18">
      <c r="L356" s="123"/>
      <c r="P356" s="365"/>
      <c r="Q356" s="47"/>
      <c r="R356" s="346"/>
    </row>
    <row r="357" spans="12:18">
      <c r="L357" s="123"/>
      <c r="P357" s="365"/>
      <c r="Q357" s="47"/>
      <c r="R357" s="346"/>
    </row>
    <row r="358" spans="12:18">
      <c r="L358" s="123"/>
      <c r="P358" s="365"/>
      <c r="Q358" s="47"/>
      <c r="R358" s="346"/>
    </row>
    <row r="359" spans="12:18">
      <c r="L359" s="123"/>
      <c r="P359" s="365"/>
      <c r="Q359" s="47"/>
      <c r="R359" s="346"/>
    </row>
    <row r="360" spans="12:18">
      <c r="L360" s="123"/>
    </row>
    <row r="361" spans="12:18">
      <c r="L361" s="123"/>
    </row>
    <row r="362" spans="12:18">
      <c r="L362" s="245"/>
    </row>
    <row r="363" spans="12:18">
      <c r="L363" s="245"/>
    </row>
    <row r="364" spans="12:18">
      <c r="L364" s="123"/>
    </row>
    <row r="365" spans="12:18">
      <c r="L365" s="123"/>
    </row>
    <row r="366" spans="12:18">
      <c r="L366" s="123"/>
    </row>
    <row r="367" spans="12:18">
      <c r="L367" s="123"/>
    </row>
    <row r="368" spans="12:18">
      <c r="L368" s="123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245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245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245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225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245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9" spans="12:12">
      <c r="L569" s="123"/>
    </row>
    <row r="570" spans="12:12">
      <c r="L570" s="123"/>
    </row>
    <row r="571" spans="12:12">
      <c r="L571" s="245"/>
    </row>
    <row r="572" spans="12:12">
      <c r="L572" s="123"/>
    </row>
    <row r="573" spans="12:12">
      <c r="L573" s="245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245"/>
    </row>
    <row r="578" spans="12:12">
      <c r="L578" s="120"/>
    </row>
    <row r="580" spans="12:12">
      <c r="L580" s="123"/>
    </row>
    <row r="581" spans="12:12">
      <c r="L581" s="245"/>
    </row>
    <row r="582" spans="12:12">
      <c r="L582" s="123"/>
    </row>
    <row r="583" spans="12:12">
      <c r="L583" s="123"/>
    </row>
    <row r="584" spans="12:12">
      <c r="L584" s="245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245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26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245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245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0"/>
    </row>
    <row r="639" spans="12:12">
      <c r="L639" s="120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245"/>
    </row>
    <row r="652" spans="12:12">
      <c r="L652" s="123"/>
    </row>
    <row r="653" spans="12:12">
      <c r="L653" s="123"/>
    </row>
    <row r="654" spans="12:12">
      <c r="L654" s="245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4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0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245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0"/>
    </row>
    <row r="690" spans="12:12">
      <c r="L690" s="123"/>
    </row>
    <row r="691" spans="12:12">
      <c r="L691" s="245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12">
      <c r="L705" s="123"/>
    </row>
    <row r="706" spans="12:12">
      <c r="L706" s="123"/>
    </row>
    <row r="707" spans="12:12">
      <c r="L707" s="123"/>
    </row>
    <row r="708" spans="12:12">
      <c r="L708" s="123"/>
    </row>
    <row r="709" spans="12:12">
      <c r="L709" s="123"/>
    </row>
    <row r="710" spans="12:12">
      <c r="L710" s="120"/>
    </row>
    <row r="711" spans="12:12">
      <c r="L711" s="123"/>
    </row>
    <row r="712" spans="12:12">
      <c r="L712" s="123"/>
    </row>
    <row r="713" spans="12:12">
      <c r="L713" s="123"/>
    </row>
    <row r="714" spans="12:12">
      <c r="L714" s="123"/>
    </row>
    <row r="715" spans="12:12">
      <c r="L715" s="123"/>
    </row>
    <row r="716" spans="12:12">
      <c r="L716" s="27"/>
    </row>
    <row r="717" spans="12:12">
      <c r="L717" s="120"/>
    </row>
    <row r="718" spans="12:12">
      <c r="L718" s="245"/>
    </row>
    <row r="719" spans="12:12">
      <c r="L719" s="245"/>
    </row>
    <row r="720" spans="12:12">
      <c r="L720" s="123"/>
    </row>
    <row r="721" spans="12:12">
      <c r="L721" s="120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43"/>
    </row>
    <row r="726" spans="12:12">
      <c r="L726" s="123"/>
    </row>
    <row r="728" spans="12:12">
      <c r="L728" s="123"/>
    </row>
    <row r="729" spans="12:12">
      <c r="L729" s="120"/>
    </row>
    <row r="730" spans="12:12">
      <c r="L730" s="123"/>
    </row>
    <row r="731" spans="12:12">
      <c r="L731" s="123"/>
    </row>
    <row r="732" spans="12:12">
      <c r="L732" s="120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9">
      <c r="L737" s="123"/>
      <c r="AC737" s="385"/>
    </row>
    <row r="738" spans="12:29">
      <c r="L738" s="123"/>
    </row>
    <row r="739" spans="12:29">
      <c r="L739" s="123"/>
    </row>
    <row r="740" spans="12:29">
      <c r="L740" s="123"/>
    </row>
    <row r="741" spans="12:29">
      <c r="L741" s="123"/>
    </row>
    <row r="742" spans="12:29">
      <c r="L742" s="123"/>
    </row>
    <row r="743" spans="12:29">
      <c r="L743" s="245"/>
    </row>
    <row r="744" spans="12:29">
      <c r="L744" s="123"/>
    </row>
    <row r="745" spans="12:29">
      <c r="L745" s="123"/>
    </row>
    <row r="746" spans="12:29">
      <c r="L746" s="123"/>
    </row>
    <row r="747" spans="12:29">
      <c r="L747" s="123"/>
    </row>
    <row r="748" spans="12:29">
      <c r="L748" s="123"/>
      <c r="M748" s="234" t="s">
        <v>3323</v>
      </c>
      <c r="N748" s="234" t="s">
        <v>3323</v>
      </c>
    </row>
    <row r="749" spans="12:29">
      <c r="L749" s="123"/>
    </row>
    <row r="750" spans="12:29">
      <c r="L750" s="120"/>
    </row>
    <row r="751" spans="12:29">
      <c r="L751" s="123"/>
    </row>
    <row r="752" spans="12:29">
      <c r="L752" s="123"/>
    </row>
    <row r="753" spans="12:29">
      <c r="L753" s="123"/>
    </row>
    <row r="754" spans="12:29">
      <c r="L754" s="123"/>
    </row>
    <row r="755" spans="12:29">
      <c r="L755" s="245"/>
    </row>
    <row r="757" spans="12:29">
      <c r="L757" s="123"/>
    </row>
    <row r="758" spans="12:29">
      <c r="L758" s="123"/>
    </row>
    <row r="759" spans="12:29">
      <c r="L759" s="123"/>
    </row>
    <row r="760" spans="12:29">
      <c r="L760" s="27"/>
    </row>
    <row r="761" spans="12:29">
      <c r="L761" s="123"/>
    </row>
    <row r="762" spans="12:29">
      <c r="L762" s="245"/>
    </row>
    <row r="763" spans="12:29">
      <c r="L763" s="120"/>
    </row>
    <row r="764" spans="12:29">
      <c r="L764" s="123"/>
    </row>
    <row r="765" spans="12:29">
      <c r="L765" s="123"/>
    </row>
    <row r="766" spans="12:29">
      <c r="L766" s="123"/>
    </row>
    <row r="767" spans="12:29">
      <c r="L767" s="123"/>
      <c r="AC767" s="385"/>
    </row>
    <row r="768" spans="12:29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245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4" spans="12:12">
      <c r="L794" s="123"/>
    </row>
    <row r="795" spans="12:12">
      <c r="L795" s="120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0"/>
    </row>
    <row r="813" spans="12:12">
      <c r="L813" s="123"/>
    </row>
    <row r="814" spans="12:12">
      <c r="L814" s="123"/>
    </row>
    <row r="815" spans="12:12">
      <c r="L815" s="123"/>
    </row>
    <row r="817" spans="12:12">
      <c r="L817" s="123"/>
    </row>
    <row r="818" spans="12:12">
      <c r="L818" s="123"/>
    </row>
    <row r="819" spans="12:12">
      <c r="L819" s="245"/>
    </row>
    <row r="820" spans="12:12">
      <c r="L820" s="123"/>
    </row>
    <row r="821" spans="12:12">
      <c r="L821" s="245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245"/>
    </row>
    <row r="826" spans="12:12">
      <c r="L826" s="245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245"/>
    </row>
    <row r="832" spans="12:12">
      <c r="L832" s="123"/>
    </row>
    <row r="833" spans="12:12">
      <c r="L833" s="245"/>
    </row>
    <row r="834" spans="12:12">
      <c r="L834" s="123"/>
    </row>
    <row r="835" spans="12:12">
      <c r="L835" s="245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245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245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0"/>
    </row>
    <row r="872" spans="12:12">
      <c r="L872" s="123"/>
    </row>
    <row r="873" spans="12:12">
      <c r="L873" s="123"/>
    </row>
    <row r="874" spans="12:12">
      <c r="L874" s="245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245"/>
    </row>
    <row r="883" spans="12:12">
      <c r="L883" s="245"/>
    </row>
    <row r="884" spans="12:12">
      <c r="L884" s="123"/>
    </row>
    <row r="885" spans="12:12">
      <c r="L885" s="245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245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4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245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245"/>
    </row>
    <row r="929" spans="12:12">
      <c r="L929" s="245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245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0"/>
    </row>
    <row r="947" spans="12:12">
      <c r="L947" s="123"/>
    </row>
    <row r="949" spans="12:12">
      <c r="L949" s="123"/>
    </row>
    <row r="950" spans="12:12">
      <c r="L950" s="245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5" spans="12:12">
      <c r="L975" s="123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51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123"/>
    </row>
    <row r="993" spans="12:12">
      <c r="L993" s="123"/>
    </row>
    <row r="994" spans="12:12">
      <c r="L994" s="245"/>
    </row>
    <row r="995" spans="12:12">
      <c r="L995" s="26"/>
    </row>
    <row r="996" spans="12:12">
      <c r="L996" s="245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123"/>
    </row>
    <row r="1009" spans="12:19">
      <c r="L1009" s="123"/>
    </row>
    <row r="1010" spans="12:19">
      <c r="L1010" s="123"/>
    </row>
    <row r="1011" spans="12:19">
      <c r="L1011" s="123"/>
    </row>
    <row r="1012" spans="12:19">
      <c r="L1012" s="123"/>
    </row>
    <row r="1013" spans="12:19">
      <c r="L1013" s="123"/>
    </row>
    <row r="1014" spans="12:19">
      <c r="L1014" s="123"/>
    </row>
    <row r="1015" spans="12:19">
      <c r="L1015" s="123"/>
    </row>
    <row r="1016" spans="12:19">
      <c r="L1016" s="123"/>
    </row>
    <row r="1017" spans="12:19">
      <c r="L1017" s="123"/>
    </row>
    <row r="1018" spans="12:19">
      <c r="L1018" s="245"/>
    </row>
    <row r="1019" spans="12:19">
      <c r="L1019" s="245"/>
    </row>
    <row r="1020" spans="12:19">
      <c r="L1020" s="27"/>
    </row>
    <row r="1021" spans="12:19">
      <c r="L1021" s="123"/>
      <c r="S1021" s="369"/>
    </row>
    <row r="1022" spans="12:19">
      <c r="L1022" s="123"/>
    </row>
    <row r="1023" spans="12:19">
      <c r="L1023" s="123"/>
    </row>
    <row r="1024" spans="12:19">
      <c r="L1024" s="123"/>
    </row>
    <row r="1025" spans="12:19">
      <c r="L1025" s="123"/>
    </row>
    <row r="1026" spans="12:19">
      <c r="L1026" s="123"/>
    </row>
    <row r="1027" spans="12:19">
      <c r="L1027" s="123"/>
    </row>
    <row r="1028" spans="12:19">
      <c r="L1028" s="123"/>
    </row>
    <row r="1029" spans="12:19">
      <c r="L1029" s="123"/>
    </row>
    <row r="1030" spans="12:19">
      <c r="L1030" s="123"/>
    </row>
    <row r="1031" spans="12:19">
      <c r="L1031" s="123"/>
      <c r="S1031" s="369"/>
    </row>
    <row r="1032" spans="12:19">
      <c r="L1032" s="123"/>
    </row>
    <row r="1033" spans="12:19">
      <c r="L1033" s="123"/>
    </row>
    <row r="1034" spans="12:19">
      <c r="L1034" s="245"/>
    </row>
    <row r="1035" spans="12:19">
      <c r="L1035" s="123"/>
      <c r="S1035" s="369"/>
    </row>
    <row r="1036" spans="12:19">
      <c r="L1036" s="123"/>
    </row>
    <row r="1037" spans="12:19">
      <c r="L1037" s="123"/>
    </row>
    <row r="1038" spans="12:19">
      <c r="L1038" s="123"/>
    </row>
    <row r="1039" spans="12:19">
      <c r="L1039" s="123"/>
    </row>
    <row r="1040" spans="12:19">
      <c r="L1040" s="123"/>
      <c r="S1040" s="369"/>
    </row>
    <row r="1041" spans="12:19">
      <c r="L1041" s="123"/>
      <c r="S1041" s="369"/>
    </row>
    <row r="1042" spans="12:19">
      <c r="L1042" s="123"/>
      <c r="S1042" s="369"/>
    </row>
    <row r="1043" spans="12:19">
      <c r="L1043" s="123"/>
    </row>
    <row r="1044" spans="12:19">
      <c r="L1044" s="123"/>
      <c r="S1044" s="369"/>
    </row>
    <row r="1045" spans="12:19">
      <c r="L1045" s="123"/>
      <c r="S1045" s="369"/>
    </row>
    <row r="1046" spans="12:19">
      <c r="L1046" s="27"/>
    </row>
    <row r="1047" spans="12:19">
      <c r="L1047" s="123"/>
      <c r="S1047" s="369"/>
    </row>
    <row r="1048" spans="12:19">
      <c r="L1048" s="123"/>
    </row>
    <row r="1049" spans="12:19">
      <c r="L1049" s="123"/>
      <c r="S1049" s="369"/>
    </row>
    <row r="1050" spans="12:19">
      <c r="L1050" s="123"/>
      <c r="S1050" s="369"/>
    </row>
    <row r="1051" spans="12:19">
      <c r="L1051" s="123"/>
      <c r="S1051" s="369"/>
    </row>
    <row r="1052" spans="12:19">
      <c r="L1052" s="123"/>
      <c r="S1052" s="369"/>
    </row>
    <row r="1053" spans="12:19">
      <c r="L1053" s="120"/>
      <c r="S1053" s="369"/>
    </row>
    <row r="1054" spans="12:19">
      <c r="L1054" s="123"/>
      <c r="S1054" s="369"/>
    </row>
    <row r="1055" spans="12:19">
      <c r="L1055" s="123"/>
      <c r="S1055" s="369"/>
    </row>
    <row r="1056" spans="12:19">
      <c r="L1056" s="123"/>
      <c r="S1056" s="369"/>
    </row>
    <row r="1057" spans="12:19">
      <c r="L1057" s="123"/>
    </row>
    <row r="1058" spans="12:19">
      <c r="L1058" s="123"/>
    </row>
    <row r="1059" spans="12:19">
      <c r="L1059" s="123"/>
    </row>
    <row r="1060" spans="12:19">
      <c r="L1060" s="123"/>
    </row>
    <row r="1061" spans="12:19">
      <c r="L1061" s="123"/>
    </row>
    <row r="1062" spans="12:19">
      <c r="L1062" s="123"/>
    </row>
    <row r="1063" spans="12:19">
      <c r="L1063" s="123"/>
    </row>
    <row r="1064" spans="12:19">
      <c r="L1064" s="123"/>
    </row>
    <row r="1065" spans="12:19">
      <c r="L1065" s="123"/>
      <c r="S1065" s="369"/>
    </row>
    <row r="1066" spans="12:19">
      <c r="L1066" s="123"/>
      <c r="S1066" s="369"/>
    </row>
    <row r="1067" spans="12:19">
      <c r="L1067" s="123"/>
      <c r="S1067" s="369"/>
    </row>
    <row r="1068" spans="12:19">
      <c r="L1068" s="123"/>
    </row>
    <row r="1069" spans="12:19">
      <c r="L1069" s="123"/>
      <c r="S1069" s="369"/>
    </row>
    <row r="1070" spans="12:19">
      <c r="L1070" s="123"/>
      <c r="S1070" s="369"/>
    </row>
    <row r="1071" spans="12:19">
      <c r="L1071" s="123"/>
      <c r="S1071" s="369"/>
    </row>
    <row r="1072" spans="12:19">
      <c r="L1072" s="123"/>
      <c r="S1072" s="369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245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247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211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245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12">
      <c r="L1121" s="123"/>
    </row>
    <row r="1122" spans="12:12">
      <c r="L1122" s="123"/>
    </row>
    <row r="1123" spans="12:12">
      <c r="L1123" s="123"/>
    </row>
    <row r="1124" spans="12:12">
      <c r="L1124" s="123"/>
    </row>
    <row r="1125" spans="12:12">
      <c r="L1125" s="123"/>
    </row>
    <row r="1126" spans="12:12">
      <c r="L1126" s="123"/>
    </row>
    <row r="1127" spans="12:12">
      <c r="L1127" s="123"/>
    </row>
    <row r="1128" spans="12:12">
      <c r="L1128" s="245"/>
    </row>
    <row r="1129" spans="12:12">
      <c r="L1129" s="123"/>
    </row>
    <row r="1130" spans="12:12">
      <c r="L1130" s="27"/>
    </row>
    <row r="1131" spans="12:12">
      <c r="L1131" s="245"/>
    </row>
    <row r="1132" spans="12:12">
      <c r="L1132" s="123"/>
    </row>
    <row r="1133" spans="12:12">
      <c r="L1133" s="123"/>
    </row>
    <row r="1134" spans="12:12">
      <c r="L1134" s="123"/>
    </row>
    <row r="1135" spans="12:12">
      <c r="L1135" s="123"/>
    </row>
    <row r="1136" spans="12:12">
      <c r="L1136" s="245"/>
    </row>
    <row r="1137" spans="12:29">
      <c r="L1137" s="123"/>
    </row>
    <row r="1138" spans="12:29">
      <c r="L1138" s="123"/>
    </row>
    <row r="1139" spans="12:29">
      <c r="L1139" s="123"/>
    </row>
    <row r="1140" spans="12:29">
      <c r="L1140" s="123"/>
    </row>
    <row r="1141" spans="12:29">
      <c r="L1141" s="123"/>
    </row>
    <row r="1142" spans="12:29">
      <c r="L1142" s="123"/>
    </row>
    <row r="1143" spans="12:29">
      <c r="L1143" s="123"/>
    </row>
    <row r="1144" spans="12:29">
      <c r="L1144" s="123"/>
    </row>
    <row r="1145" spans="12:29">
      <c r="L1145" s="123"/>
    </row>
    <row r="1146" spans="12:29">
      <c r="L1146" s="123"/>
    </row>
    <row r="1147" spans="12:29">
      <c r="L1147" s="123"/>
      <c r="AC1147" s="385"/>
    </row>
    <row r="1148" spans="12:29">
      <c r="L1148" s="123"/>
    </row>
    <row r="1149" spans="12:29">
      <c r="L1149" s="123"/>
    </row>
    <row r="1150" spans="12:29">
      <c r="L1150" s="123"/>
    </row>
    <row r="1151" spans="12:29">
      <c r="L1151" s="123"/>
    </row>
    <row r="1152" spans="12:29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245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9">
      <c r="L1185" s="123"/>
    </row>
    <row r="1186" spans="12:19">
      <c r="L1186" s="123"/>
    </row>
    <row r="1187" spans="12:19">
      <c r="L1187" s="123"/>
    </row>
    <row r="1188" spans="12:19">
      <c r="L1188" s="123"/>
    </row>
    <row r="1189" spans="12:19">
      <c r="L1189" s="123"/>
    </row>
    <row r="1190" spans="12:19">
      <c r="L1190" s="123"/>
    </row>
    <row r="1191" spans="12:19">
      <c r="L1191" s="123"/>
    </row>
    <row r="1192" spans="12:19">
      <c r="L1192" s="123"/>
    </row>
    <row r="1193" spans="12:19">
      <c r="L1193" s="123"/>
    </row>
    <row r="1194" spans="12:19">
      <c r="L1194" s="123"/>
    </row>
    <row r="1195" spans="12:19">
      <c r="L1195" s="245"/>
    </row>
    <row r="1196" spans="12:19">
      <c r="L1196" s="123"/>
    </row>
    <row r="1197" spans="12:19">
      <c r="L1197" s="123"/>
    </row>
    <row r="1198" spans="12:19">
      <c r="L1198" s="123"/>
      <c r="S1198" s="369"/>
    </row>
    <row r="1199" spans="12:19">
      <c r="L1199" s="123"/>
    </row>
    <row r="1200" spans="12:19">
      <c r="L1200" s="123"/>
    </row>
    <row r="1201" spans="12:19">
      <c r="L1201" s="123"/>
    </row>
    <row r="1202" spans="12:19">
      <c r="L1202" s="123"/>
    </row>
    <row r="1203" spans="12:19">
      <c r="L1203" s="123"/>
    </row>
    <row r="1204" spans="12:19">
      <c r="L1204" s="123"/>
    </row>
    <row r="1205" spans="12:19">
      <c r="L1205" s="123"/>
    </row>
    <row r="1206" spans="12:19">
      <c r="L1206" s="123"/>
    </row>
    <row r="1207" spans="12:19">
      <c r="L1207" s="123"/>
    </row>
    <row r="1208" spans="12:19">
      <c r="L1208" s="123"/>
      <c r="S1208" s="369"/>
    </row>
    <row r="1209" spans="12:19">
      <c r="L1209" s="123"/>
    </row>
    <row r="1210" spans="12:19">
      <c r="L1210" s="123"/>
    </row>
    <row r="1211" spans="12:19">
      <c r="L1211" s="123"/>
    </row>
    <row r="1212" spans="12:19">
      <c r="L1212" s="123"/>
      <c r="S1212" s="369"/>
    </row>
    <row r="1213" spans="12:19">
      <c r="L1213" s="123"/>
    </row>
    <row r="1214" spans="12:19">
      <c r="L1214" s="123"/>
    </row>
    <row r="1215" spans="12:19">
      <c r="L1215" s="123"/>
    </row>
    <row r="1216" spans="12:19">
      <c r="L1216" s="123"/>
    </row>
    <row r="1217" spans="12:19">
      <c r="L1217" s="123"/>
      <c r="S1217" s="369"/>
    </row>
    <row r="1218" spans="12:19">
      <c r="L1218" s="123"/>
      <c r="S1218" s="369"/>
    </row>
    <row r="1219" spans="12:19">
      <c r="L1219" s="123"/>
      <c r="S1219" s="369"/>
    </row>
    <row r="1220" spans="12:19">
      <c r="L1220" s="123"/>
    </row>
    <row r="1221" spans="12:19">
      <c r="L1221" s="123"/>
      <c r="S1221" s="369"/>
    </row>
    <row r="1222" spans="12:19">
      <c r="L1222" s="123"/>
      <c r="S1222" s="369"/>
    </row>
    <row r="1223" spans="12:19">
      <c r="L1223" s="123"/>
    </row>
    <row r="1224" spans="12:19">
      <c r="L1224" s="123"/>
      <c r="S1224" s="369"/>
    </row>
    <row r="1225" spans="12:19">
      <c r="L1225" s="123"/>
    </row>
    <row r="1226" spans="12:19">
      <c r="L1226" s="123"/>
      <c r="S1226" s="369"/>
    </row>
    <row r="1227" spans="12:19">
      <c r="L1227" s="123"/>
      <c r="S1227" s="369"/>
    </row>
    <row r="1228" spans="12:19">
      <c r="L1228" s="120"/>
      <c r="S1228" s="369"/>
    </row>
    <row r="1229" spans="12:19">
      <c r="L1229" s="123"/>
      <c r="S1229" s="369"/>
    </row>
    <row r="1230" spans="12:19">
      <c r="L1230" s="123"/>
      <c r="S1230" s="369"/>
    </row>
    <row r="1231" spans="12:19">
      <c r="L1231" s="123"/>
      <c r="S1231" s="369"/>
    </row>
    <row r="1232" spans="12:19">
      <c r="L1232" s="123"/>
      <c r="S1232" s="369"/>
    </row>
    <row r="1233" spans="12:19">
      <c r="L1233" s="123"/>
      <c r="S1233" s="369"/>
    </row>
    <row r="1234" spans="12:19">
      <c r="L1234" s="123"/>
      <c r="S1234" s="369"/>
    </row>
    <row r="1235" spans="12:19">
      <c r="L1235" s="123"/>
      <c r="S1235" s="369"/>
    </row>
    <row r="1236" spans="12:19">
      <c r="L1236" s="123"/>
    </row>
    <row r="1237" spans="12:19">
      <c r="L1237" s="123"/>
      <c r="S1237" s="369"/>
    </row>
    <row r="1238" spans="12:19">
      <c r="L1238" s="123"/>
      <c r="S1238" s="369"/>
    </row>
    <row r="1239" spans="12:19">
      <c r="L1239" s="123"/>
      <c r="S1239" s="369"/>
    </row>
    <row r="1240" spans="12:19">
      <c r="L1240" s="123"/>
      <c r="S1240" s="369"/>
    </row>
    <row r="1241" spans="12:19">
      <c r="L1241" s="123"/>
      <c r="S1241" s="369"/>
    </row>
    <row r="1242" spans="12:19">
      <c r="L1242" s="245"/>
      <c r="S1242" s="369"/>
    </row>
    <row r="1243" spans="12:19">
      <c r="L1243" s="123"/>
      <c r="S1243" s="369"/>
    </row>
    <row r="1244" spans="12:19">
      <c r="L1244" s="123"/>
      <c r="S1244" s="369"/>
    </row>
    <row r="1245" spans="12:19">
      <c r="L1245" s="123"/>
    </row>
    <row r="1246" spans="12:19">
      <c r="L1246" s="123"/>
      <c r="S1246" s="369"/>
    </row>
    <row r="1247" spans="12:19">
      <c r="L1247" s="123"/>
      <c r="S1247" s="369"/>
    </row>
    <row r="1248" spans="12:19">
      <c r="L1248" s="123"/>
      <c r="S1248" s="369"/>
    </row>
    <row r="1249" spans="12:19">
      <c r="L1249" s="123"/>
      <c r="S1249" s="369"/>
    </row>
    <row r="1250" spans="12:19">
      <c r="L1250" s="123"/>
      <c r="S1250" s="369"/>
    </row>
    <row r="1251" spans="12:19">
      <c r="L1251" s="123"/>
      <c r="S1251" s="369"/>
    </row>
    <row r="1252" spans="12:19">
      <c r="L1252" s="123"/>
      <c r="S1252" s="369"/>
    </row>
    <row r="1253" spans="12:19">
      <c r="L1253" s="123"/>
      <c r="S1253" s="369"/>
    </row>
    <row r="1254" spans="12:19">
      <c r="L1254" s="123"/>
      <c r="S1254" s="369"/>
    </row>
    <row r="1255" spans="12:19">
      <c r="L1255" s="123"/>
      <c r="S1255" s="369"/>
    </row>
    <row r="1256" spans="12:19">
      <c r="L1256" s="123"/>
      <c r="S1256" s="369"/>
    </row>
    <row r="1257" spans="12:19">
      <c r="L1257" s="27"/>
    </row>
    <row r="1258" spans="12:19">
      <c r="L1258" s="123"/>
      <c r="S1258" s="369"/>
    </row>
    <row r="1259" spans="12:19">
      <c r="L1259" s="123"/>
      <c r="S1259" s="369"/>
    </row>
    <row r="1260" spans="12:19">
      <c r="L1260" s="123"/>
      <c r="S1260" s="369"/>
    </row>
    <row r="1261" spans="12:19">
      <c r="L1261" s="123"/>
      <c r="S1261" s="369"/>
    </row>
    <row r="1262" spans="12:19">
      <c r="L1262" s="123"/>
      <c r="S1262" s="369"/>
    </row>
    <row r="1263" spans="12:19">
      <c r="L1263" s="123"/>
      <c r="S1263" s="369"/>
    </row>
    <row r="1264" spans="12:19">
      <c r="L1264" s="123"/>
      <c r="S1264" s="369"/>
    </row>
    <row r="1265" spans="12:19">
      <c r="L1265" s="123"/>
      <c r="S1265" s="369"/>
    </row>
    <row r="1266" spans="12:19">
      <c r="L1266" s="123"/>
    </row>
    <row r="1267" spans="12:19">
      <c r="L1267" s="123"/>
      <c r="S1267" s="369"/>
    </row>
    <row r="1268" spans="12:19">
      <c r="L1268" s="123"/>
      <c r="S1268" s="369"/>
    </row>
    <row r="1269" spans="12:19">
      <c r="L1269" s="123"/>
      <c r="S1269" s="369"/>
    </row>
    <row r="1270" spans="12:19">
      <c r="L1270" s="123"/>
      <c r="S1270" s="369"/>
    </row>
    <row r="1271" spans="12:19">
      <c r="L1271" s="245"/>
      <c r="S1271" s="369"/>
    </row>
    <row r="1272" spans="12:19">
      <c r="L1272" s="123"/>
      <c r="S1272" s="369"/>
    </row>
    <row r="1273" spans="12:19">
      <c r="L1273" s="123"/>
      <c r="S1273" s="369"/>
    </row>
    <row r="1274" spans="12:19">
      <c r="L1274" s="123"/>
      <c r="S1274" s="369"/>
    </row>
    <row r="1275" spans="12:19">
      <c r="L1275" s="123"/>
      <c r="S1275" s="369"/>
    </row>
    <row r="1276" spans="12:19">
      <c r="L1276" s="123"/>
      <c r="S1276" s="369"/>
    </row>
    <row r="1277" spans="12:19">
      <c r="L1277" s="123"/>
      <c r="S1277" s="369"/>
    </row>
    <row r="1278" spans="12:19">
      <c r="L1278" s="123"/>
      <c r="S1278" s="369"/>
    </row>
    <row r="1279" spans="12:19">
      <c r="L1279" s="123"/>
      <c r="S1279" s="369"/>
    </row>
    <row r="1280" spans="12:19">
      <c r="L1280" s="123"/>
      <c r="S1280" s="369"/>
    </row>
    <row r="1281" spans="1:33">
      <c r="L1281" s="123"/>
      <c r="S1281" s="369"/>
    </row>
    <row r="1282" spans="1:33">
      <c r="L1282" s="245"/>
      <c r="S1282" s="369"/>
    </row>
    <row r="1283" spans="1:33">
      <c r="L1283" s="123"/>
      <c r="S1283" s="369"/>
    </row>
    <row r="1284" spans="1:33">
      <c r="L1284" s="123"/>
      <c r="S1284" s="369"/>
    </row>
    <row r="1285" spans="1:33">
      <c r="L1285" s="245"/>
      <c r="S1285" s="369"/>
    </row>
    <row r="1286" spans="1:33">
      <c r="L1286" s="123"/>
      <c r="S1286" s="369"/>
    </row>
    <row r="1287" spans="1:33">
      <c r="L1287" s="123"/>
      <c r="S1287" s="369"/>
    </row>
    <row r="1288" spans="1:33">
      <c r="L1288" s="123"/>
      <c r="S1288" s="369"/>
    </row>
    <row r="1289" spans="1:33">
      <c r="L1289" s="123"/>
      <c r="S1289" s="369"/>
    </row>
    <row r="1290" spans="1:33">
      <c r="L1290" s="123"/>
      <c r="S1290" s="369"/>
    </row>
    <row r="1291" spans="1:33">
      <c r="L1291" s="123"/>
      <c r="S1291" s="369"/>
    </row>
    <row r="1292" spans="1:33">
      <c r="L1292" s="123"/>
      <c r="S1292" s="369"/>
    </row>
    <row r="1293" spans="1:33">
      <c r="L1293" s="123"/>
      <c r="S1293" s="369"/>
    </row>
    <row r="1294" spans="1:33">
      <c r="L1294" s="123"/>
      <c r="S1294" s="369"/>
    </row>
    <row r="1295" spans="1:33">
      <c r="L1295" s="123"/>
      <c r="S1295" s="369"/>
    </row>
    <row r="1296" spans="1:33" ht="26.4">
      <c r="A1296" s="246"/>
      <c r="B1296" s="245"/>
      <c r="C1296" s="245"/>
      <c r="D1296" s="245"/>
      <c r="E1296" s="245"/>
      <c r="F1296" s="187"/>
      <c r="H1296" s="245"/>
      <c r="I1296" s="245"/>
      <c r="L1296" s="123"/>
      <c r="S1296" s="369"/>
      <c r="T1296" s="324"/>
      <c r="U1296" s="85" ph="1"/>
      <c r="W1296" s="216"/>
      <c r="Z1296" s="245"/>
      <c r="AA1296" s="245"/>
      <c r="AB1296" s="332"/>
      <c r="AD1296" s="245"/>
      <c r="AE1296" s="245"/>
      <c r="AF1296" s="245"/>
      <c r="AG1296" s="7"/>
    </row>
    <row r="1297" spans="1:33">
      <c r="A1297" s="246"/>
      <c r="L1297" s="123"/>
      <c r="S1297" s="369"/>
      <c r="X1297" s="245"/>
      <c r="Y1297" s="187"/>
    </row>
    <row r="1298" spans="1:33">
      <c r="L1298" s="123"/>
      <c r="S1298" s="369"/>
    </row>
    <row r="1299" spans="1:33">
      <c r="L1299" s="123"/>
      <c r="S1299" s="369"/>
    </row>
    <row r="1300" spans="1:33">
      <c r="L1300" s="123"/>
      <c r="S1300" s="369"/>
    </row>
    <row r="1301" spans="1:33">
      <c r="L1301" s="123"/>
      <c r="S1301" s="369"/>
    </row>
    <row r="1302" spans="1:33">
      <c r="L1302" s="123"/>
      <c r="S1302" s="369"/>
    </row>
    <row r="1303" spans="1:33">
      <c r="A1303" s="246"/>
      <c r="G1303" s="245"/>
      <c r="L1303" s="123"/>
      <c r="S1303" s="369"/>
    </row>
    <row r="1304" spans="1:33">
      <c r="L1304" s="123"/>
      <c r="S1304" s="369"/>
    </row>
    <row r="1305" spans="1:33">
      <c r="L1305" s="123"/>
      <c r="S1305" s="369"/>
    </row>
    <row r="1306" spans="1:33" ht="26.4">
      <c r="A1306" s="246"/>
      <c r="B1306" s="245"/>
      <c r="C1306" s="245"/>
      <c r="D1306" s="245"/>
      <c r="E1306" s="245"/>
      <c r="F1306" s="187"/>
      <c r="H1306" s="245"/>
      <c r="I1306" s="245"/>
      <c r="L1306" s="123"/>
      <c r="S1306" s="369"/>
      <c r="T1306" s="324"/>
      <c r="U1306" s="85" ph="1"/>
      <c r="W1306" s="216"/>
      <c r="Z1306" s="245"/>
      <c r="AA1306" s="245"/>
      <c r="AB1306" s="332"/>
      <c r="AD1306" s="245"/>
      <c r="AE1306" s="245"/>
      <c r="AF1306" s="245"/>
      <c r="AG1306" s="7"/>
    </row>
    <row r="1307" spans="1:33">
      <c r="A1307" s="246"/>
      <c r="L1307" s="123"/>
      <c r="S1307" s="369"/>
      <c r="X1307" s="245"/>
      <c r="Y1307" s="187"/>
    </row>
    <row r="1308" spans="1:33">
      <c r="L1308" s="245"/>
      <c r="S1308" s="369"/>
    </row>
    <row r="1309" spans="1:33">
      <c r="L1309" s="123"/>
      <c r="S1309" s="369"/>
    </row>
    <row r="1310" spans="1:33" ht="26.4">
      <c r="A1310" s="246"/>
      <c r="B1310" s="245"/>
      <c r="C1310" s="245"/>
      <c r="D1310" s="245"/>
      <c r="E1310" s="245"/>
      <c r="F1310" s="187"/>
      <c r="H1310" s="245"/>
      <c r="I1310" s="245"/>
      <c r="L1310" s="123"/>
      <c r="S1310" s="369"/>
      <c r="T1310" s="324"/>
      <c r="U1310" s="85" ph="1"/>
      <c r="W1310" s="216"/>
      <c r="Z1310" s="245"/>
      <c r="AA1310" s="245"/>
      <c r="AB1310" s="332"/>
      <c r="AD1310" s="245"/>
      <c r="AE1310" s="245"/>
      <c r="AF1310" s="245"/>
      <c r="AG1310" s="7"/>
    </row>
    <row r="1311" spans="1:33">
      <c r="A1311" s="246"/>
      <c r="L1311" s="123"/>
      <c r="S1311" s="369"/>
      <c r="X1311" s="245"/>
      <c r="Y1311" s="187"/>
    </row>
    <row r="1312" spans="1:33">
      <c r="L1312" s="123"/>
      <c r="S1312" s="369"/>
    </row>
    <row r="1313" spans="1:33">
      <c r="A1313" s="246"/>
      <c r="G1313" s="245"/>
      <c r="L1313" s="123"/>
      <c r="S1313" s="369"/>
    </row>
    <row r="1314" spans="1:33">
      <c r="L1314" s="123"/>
      <c r="S1314" s="369"/>
    </row>
    <row r="1315" spans="1:33" ht="26.4">
      <c r="A1315" s="246"/>
      <c r="B1315" s="245"/>
      <c r="C1315" s="245"/>
      <c r="D1315" s="245"/>
      <c r="E1315" s="245"/>
      <c r="F1315" s="187"/>
      <c r="H1315" s="245"/>
      <c r="I1315" s="245"/>
      <c r="L1315" s="123"/>
      <c r="S1315" s="369"/>
      <c r="T1315" s="324"/>
      <c r="U1315" s="85" ph="1"/>
      <c r="W1315" s="216"/>
      <c r="Z1315" s="245"/>
      <c r="AA1315" s="245"/>
      <c r="AB1315" s="332"/>
      <c r="AD1315" s="245"/>
      <c r="AE1315" s="245"/>
      <c r="AF1315" s="245"/>
      <c r="AG1315" s="7"/>
    </row>
    <row r="1316" spans="1:33" ht="26.4">
      <c r="A1316" s="246"/>
      <c r="B1316" s="245"/>
      <c r="C1316" s="245"/>
      <c r="D1316" s="245"/>
      <c r="E1316" s="245"/>
      <c r="F1316" s="187"/>
      <c r="H1316" s="245"/>
      <c r="I1316" s="245"/>
      <c r="L1316" s="123"/>
      <c r="S1316" s="369"/>
      <c r="T1316" s="324"/>
      <c r="U1316" s="85" ph="1"/>
      <c r="W1316" s="216"/>
      <c r="X1316" s="245"/>
      <c r="Y1316" s="187"/>
      <c r="Z1316" s="245"/>
      <c r="AA1316" s="245"/>
      <c r="AB1316" s="332"/>
      <c r="AD1316" s="245"/>
      <c r="AE1316" s="245"/>
      <c r="AF1316" s="245"/>
      <c r="AG1316" s="7"/>
    </row>
    <row r="1317" spans="1:33" ht="26.4">
      <c r="A1317" s="246"/>
      <c r="B1317" s="245"/>
      <c r="C1317" s="245"/>
      <c r="D1317" s="245"/>
      <c r="E1317" s="245"/>
      <c r="F1317" s="187"/>
      <c r="G1317" s="245"/>
      <c r="H1317" s="245"/>
      <c r="I1317" s="245"/>
      <c r="L1317" s="123"/>
      <c r="S1317" s="369"/>
      <c r="T1317" s="324"/>
      <c r="U1317" s="85" ph="1"/>
      <c r="W1317" s="216"/>
      <c r="X1317" s="245"/>
      <c r="Y1317" s="187"/>
      <c r="Z1317" s="245"/>
      <c r="AA1317" s="245"/>
      <c r="AB1317" s="332"/>
      <c r="AD1317" s="245"/>
      <c r="AE1317" s="245"/>
      <c r="AF1317" s="245"/>
      <c r="AG1317" s="7"/>
    </row>
    <row r="1318" spans="1:33">
      <c r="A1318" s="246"/>
      <c r="L1318" s="123"/>
      <c r="S1318" s="369"/>
      <c r="X1318" s="245"/>
      <c r="Y1318" s="187"/>
    </row>
    <row r="1319" spans="1:33" ht="26.4">
      <c r="A1319" s="246"/>
      <c r="B1319" s="245"/>
      <c r="C1319" s="245"/>
      <c r="D1319" s="245"/>
      <c r="E1319" s="245"/>
      <c r="F1319" s="187"/>
      <c r="H1319" s="245"/>
      <c r="I1319" s="245"/>
      <c r="L1319" s="123"/>
      <c r="S1319" s="369"/>
      <c r="T1319" s="324"/>
      <c r="U1319" s="85" ph="1"/>
      <c r="W1319" s="216"/>
      <c r="Z1319" s="245"/>
      <c r="AA1319" s="245"/>
      <c r="AB1319" s="332"/>
      <c r="AD1319" s="245"/>
      <c r="AE1319" s="245"/>
      <c r="AF1319" s="245"/>
      <c r="AG1319" s="7"/>
    </row>
    <row r="1320" spans="1:33" ht="26.4">
      <c r="A1320" s="246"/>
      <c r="B1320" s="245"/>
      <c r="C1320" s="245"/>
      <c r="D1320" s="245"/>
      <c r="E1320" s="245"/>
      <c r="F1320" s="187"/>
      <c r="H1320" s="245"/>
      <c r="I1320" s="245"/>
      <c r="L1320" s="123"/>
      <c r="S1320" s="369"/>
      <c r="T1320" s="324"/>
      <c r="U1320" s="85" ph="1"/>
      <c r="W1320" s="216"/>
      <c r="X1320" s="245"/>
      <c r="Y1320" s="187"/>
      <c r="Z1320" s="245"/>
      <c r="AA1320" s="245"/>
      <c r="AB1320" s="332"/>
      <c r="AD1320" s="245"/>
      <c r="AE1320" s="245"/>
      <c r="AF1320" s="245"/>
      <c r="AG1320" s="7"/>
    </row>
    <row r="1321" spans="1:33">
      <c r="A1321" s="246"/>
      <c r="L1321" s="123"/>
      <c r="S1321" s="369"/>
      <c r="X1321" s="245"/>
      <c r="Y1321" s="187"/>
    </row>
    <row r="1322" spans="1:33" ht="26.4">
      <c r="A1322" s="246"/>
      <c r="B1322" s="245"/>
      <c r="C1322" s="245"/>
      <c r="D1322" s="245"/>
      <c r="E1322" s="245"/>
      <c r="F1322" s="187"/>
      <c r="G1322" s="245"/>
      <c r="H1322" s="245"/>
      <c r="I1322" s="245"/>
      <c r="L1322" s="123"/>
      <c r="S1322" s="369"/>
      <c r="T1322" s="324"/>
      <c r="U1322" s="85" ph="1"/>
      <c r="W1322" s="216"/>
      <c r="Z1322" s="245"/>
      <c r="AA1322" s="245"/>
      <c r="AB1322" s="332"/>
      <c r="AD1322" s="245"/>
      <c r="AE1322" s="245"/>
      <c r="AF1322" s="245"/>
      <c r="AG1322" s="7"/>
    </row>
    <row r="1323" spans="1:33">
      <c r="A1323" s="246"/>
      <c r="G1323" s="245"/>
      <c r="L1323" s="123"/>
      <c r="S1323" s="369"/>
      <c r="X1323" s="245"/>
      <c r="Y1323" s="187"/>
    </row>
    <row r="1324" spans="1:33" ht="26.4">
      <c r="A1324" s="246"/>
      <c r="B1324" s="245"/>
      <c r="C1324" s="245"/>
      <c r="D1324" s="245"/>
      <c r="E1324" s="245"/>
      <c r="F1324" s="187"/>
      <c r="G1324" s="245"/>
      <c r="H1324" s="245"/>
      <c r="I1324" s="245"/>
      <c r="L1324" s="123"/>
      <c r="S1324" s="369"/>
      <c r="T1324" s="324"/>
      <c r="U1324" s="85" ph="1"/>
      <c r="W1324" s="216"/>
      <c r="Z1324" s="245"/>
      <c r="AA1324" s="245"/>
      <c r="AB1324" s="332"/>
      <c r="AD1324" s="245"/>
      <c r="AE1324" s="245"/>
      <c r="AF1324" s="245"/>
      <c r="AG1324" s="7"/>
    </row>
    <row r="1325" spans="1:33" ht="26.4">
      <c r="A1325" s="246"/>
      <c r="B1325" s="245"/>
      <c r="C1325" s="245"/>
      <c r="D1325" s="245"/>
      <c r="E1325" s="245"/>
      <c r="F1325" s="187"/>
      <c r="H1325" s="245"/>
      <c r="I1325" s="245"/>
      <c r="L1325" s="123"/>
      <c r="P1325" s="366"/>
      <c r="R1325" s="355"/>
      <c r="S1325" s="369"/>
      <c r="T1325" s="324"/>
      <c r="U1325" s="85" ph="1"/>
      <c r="W1325" s="216"/>
      <c r="X1325" s="245"/>
      <c r="Y1325" s="187"/>
      <c r="Z1325" s="245"/>
      <c r="AA1325" s="245"/>
      <c r="AB1325" s="332"/>
      <c r="AD1325" s="245"/>
      <c r="AE1325" s="245"/>
      <c r="AF1325" s="245"/>
      <c r="AG1325" s="7"/>
    </row>
    <row r="1326" spans="1:33" ht="26.4">
      <c r="A1326" s="246"/>
      <c r="B1326" s="245"/>
      <c r="C1326" s="245"/>
      <c r="D1326" s="245"/>
      <c r="E1326" s="245"/>
      <c r="F1326" s="187"/>
      <c r="G1326" s="245"/>
      <c r="H1326" s="245"/>
      <c r="I1326" s="245"/>
      <c r="L1326" s="123"/>
      <c r="S1326" s="369"/>
      <c r="T1326" s="324"/>
      <c r="U1326" s="85" ph="1"/>
      <c r="W1326" s="216"/>
      <c r="X1326" s="245"/>
      <c r="Y1326" s="187"/>
      <c r="Z1326" s="245"/>
      <c r="AA1326" s="245"/>
      <c r="AB1326" s="332"/>
      <c r="AD1326" s="245"/>
      <c r="AE1326" s="245"/>
      <c r="AF1326" s="245"/>
      <c r="AG1326" s="7"/>
    </row>
    <row r="1327" spans="1:33" ht="26.4">
      <c r="A1327" s="246"/>
      <c r="B1327" s="245"/>
      <c r="C1327" s="245"/>
      <c r="D1327" s="245"/>
      <c r="E1327" s="245"/>
      <c r="F1327" s="187"/>
      <c r="G1327" s="245"/>
      <c r="H1327" s="245"/>
      <c r="I1327" s="245"/>
      <c r="L1327" s="123"/>
      <c r="S1327" s="369"/>
      <c r="T1327" s="324"/>
      <c r="U1327" s="85" ph="1"/>
      <c r="W1327" s="216"/>
      <c r="X1327" s="245"/>
      <c r="Y1327" s="187"/>
      <c r="Z1327" s="245"/>
      <c r="AA1327" s="245"/>
      <c r="AB1327" s="332"/>
      <c r="AD1327" s="245"/>
      <c r="AE1327" s="245"/>
      <c r="AF1327" s="245"/>
      <c r="AG1327" s="7"/>
    </row>
    <row r="1328" spans="1:33" ht="26.4">
      <c r="A1328" s="246"/>
      <c r="B1328" s="245"/>
      <c r="C1328" s="245"/>
      <c r="D1328" s="245"/>
      <c r="E1328" s="245"/>
      <c r="F1328" s="187"/>
      <c r="H1328" s="245"/>
      <c r="I1328" s="245"/>
      <c r="L1328" s="123"/>
      <c r="S1328" s="369"/>
      <c r="T1328" s="324"/>
      <c r="U1328" s="85" ph="1"/>
      <c r="W1328" s="216"/>
      <c r="X1328" s="245"/>
      <c r="Y1328" s="187"/>
      <c r="Z1328" s="245"/>
      <c r="AA1328" s="245"/>
      <c r="AB1328" s="332"/>
      <c r="AD1328" s="245"/>
      <c r="AE1328" s="245"/>
      <c r="AF1328" s="245"/>
      <c r="AG1328" s="7"/>
    </row>
    <row r="1329" spans="1:33" ht="26.4">
      <c r="A1329" s="246"/>
      <c r="B1329" s="245"/>
      <c r="C1329" s="245"/>
      <c r="D1329" s="245"/>
      <c r="E1329" s="245"/>
      <c r="F1329" s="187"/>
      <c r="G1329" s="245"/>
      <c r="H1329" s="245"/>
      <c r="I1329" s="245"/>
      <c r="L1329" s="123"/>
      <c r="S1329" s="369"/>
      <c r="T1329" s="324"/>
      <c r="U1329" s="85" ph="1"/>
      <c r="W1329" s="216"/>
      <c r="X1329" s="245"/>
      <c r="Y1329" s="187"/>
      <c r="Z1329" s="245"/>
      <c r="AA1329" s="245"/>
      <c r="AB1329" s="332"/>
      <c r="AD1329" s="245"/>
      <c r="AE1329" s="245"/>
      <c r="AF1329" s="245"/>
      <c r="AG1329" s="7"/>
    </row>
    <row r="1330" spans="1:33" ht="26.4">
      <c r="A1330" s="246"/>
      <c r="B1330" s="245"/>
      <c r="C1330" s="245"/>
      <c r="D1330" s="245"/>
      <c r="E1330" s="245"/>
      <c r="F1330" s="187"/>
      <c r="H1330" s="245"/>
      <c r="I1330" s="245"/>
      <c r="L1330" s="123"/>
      <c r="S1330" s="369"/>
      <c r="T1330" s="324"/>
      <c r="U1330" s="85" ph="1"/>
      <c r="W1330" s="216"/>
      <c r="X1330" s="245"/>
      <c r="Y1330" s="187"/>
      <c r="Z1330" s="245"/>
      <c r="AA1330" s="245"/>
      <c r="AB1330" s="332"/>
      <c r="AD1330" s="245"/>
      <c r="AE1330" s="245"/>
      <c r="AF1330" s="245"/>
      <c r="AG1330" s="7"/>
    </row>
    <row r="1331" spans="1:33" ht="26.4">
      <c r="A1331" s="246"/>
      <c r="B1331" s="245"/>
      <c r="C1331" s="245"/>
      <c r="D1331" s="245"/>
      <c r="E1331" s="245"/>
      <c r="F1331" s="187"/>
      <c r="G1331" s="245"/>
      <c r="H1331" s="245"/>
      <c r="I1331" s="245"/>
      <c r="L1331" s="123"/>
      <c r="S1331" s="369"/>
      <c r="T1331" s="324"/>
      <c r="U1331" s="85" ph="1"/>
      <c r="W1331" s="216"/>
      <c r="X1331" s="245"/>
      <c r="Y1331" s="187"/>
      <c r="Z1331" s="245"/>
      <c r="AA1331" s="245"/>
      <c r="AB1331" s="332"/>
      <c r="AD1331" s="245"/>
      <c r="AE1331" s="245"/>
      <c r="AF1331" s="245"/>
      <c r="AG1331" s="7"/>
    </row>
    <row r="1332" spans="1:33" ht="26.4">
      <c r="A1332" s="246"/>
      <c r="G1332" s="245"/>
      <c r="L1332" s="123"/>
      <c r="S1332" s="369"/>
      <c r="U1332" s="85" ph="1"/>
      <c r="X1332" s="245"/>
      <c r="Y1332" s="187"/>
    </row>
    <row r="1333" spans="1:33" ht="26.4">
      <c r="A1333" s="246"/>
      <c r="G1333" s="245"/>
      <c r="L1333" s="123"/>
      <c r="S1333" s="369"/>
      <c r="U1333" s="85" ph="1"/>
    </row>
    <row r="1334" spans="1:33">
      <c r="A1334" s="246"/>
      <c r="G1334" s="245"/>
      <c r="L1334" s="123"/>
      <c r="S1334" s="369"/>
    </row>
    <row r="1335" spans="1:33" ht="26.4">
      <c r="A1335" s="246"/>
      <c r="G1335" s="245"/>
      <c r="L1335" s="123"/>
      <c r="P1335" s="366"/>
      <c r="R1335" s="355"/>
      <c r="S1335" s="369"/>
      <c r="U1335" s="85" ph="1"/>
    </row>
    <row r="1336" spans="1:33" ht="26.4">
      <c r="A1336" s="246"/>
      <c r="G1336" s="245"/>
      <c r="L1336" s="123"/>
      <c r="S1336" s="369"/>
      <c r="U1336" s="85" ph="1"/>
    </row>
    <row r="1337" spans="1:33" ht="26.4">
      <c r="A1337" s="246"/>
      <c r="G1337" s="245"/>
      <c r="L1337" s="123"/>
      <c r="S1337" s="369"/>
      <c r="U1337" s="85" ph="1"/>
    </row>
    <row r="1338" spans="1:33" ht="26.4">
      <c r="A1338" s="246"/>
      <c r="G1338" s="245"/>
      <c r="L1338" s="123"/>
      <c r="S1338" s="369"/>
      <c r="U1338" s="85" ph="1"/>
    </row>
    <row r="1339" spans="1:33" ht="26.4">
      <c r="A1339" s="246"/>
      <c r="L1339" s="123"/>
      <c r="P1339" s="366"/>
      <c r="R1339" s="355"/>
      <c r="S1339" s="369"/>
      <c r="U1339" s="85" ph="1"/>
    </row>
    <row r="1340" spans="1:33" ht="26.4">
      <c r="A1340" s="246"/>
      <c r="B1340" s="245"/>
      <c r="C1340" s="245"/>
      <c r="D1340" s="245"/>
      <c r="E1340" s="245"/>
      <c r="F1340" s="187"/>
      <c r="G1340" s="245"/>
      <c r="H1340" s="245"/>
      <c r="I1340" s="245"/>
      <c r="L1340" s="123"/>
      <c r="S1340" s="369"/>
      <c r="T1340" s="324"/>
      <c r="U1340" s="85" ph="1"/>
      <c r="W1340" s="216"/>
      <c r="X1340" s="245"/>
      <c r="Y1340" s="187"/>
      <c r="Z1340" s="245"/>
      <c r="AA1340" s="245"/>
      <c r="AB1340" s="332"/>
      <c r="AD1340" s="245"/>
      <c r="AE1340" s="245"/>
      <c r="AF1340" s="245"/>
      <c r="AG1340" s="245"/>
    </row>
    <row r="1341" spans="1:33" ht="26.4">
      <c r="A1341" s="246"/>
      <c r="B1341" s="245"/>
      <c r="C1341" s="245"/>
      <c r="D1341" s="245"/>
      <c r="E1341" s="245"/>
      <c r="F1341" s="187"/>
      <c r="G1341" s="245"/>
      <c r="H1341" s="245"/>
      <c r="I1341" s="245"/>
      <c r="L1341" s="245"/>
      <c r="S1341" s="369"/>
      <c r="T1341" s="324"/>
      <c r="U1341" s="85" ph="1"/>
      <c r="W1341" s="216"/>
      <c r="X1341" s="245"/>
      <c r="Y1341" s="187"/>
      <c r="Z1341" s="245"/>
      <c r="AA1341" s="245"/>
      <c r="AB1341" s="332"/>
      <c r="AD1341" s="245"/>
      <c r="AE1341" s="245"/>
      <c r="AF1341" s="245"/>
      <c r="AG1341" s="245"/>
    </row>
    <row r="1342" spans="1:33" ht="26.4">
      <c r="A1342" s="246"/>
      <c r="B1342" s="245"/>
      <c r="C1342" s="245"/>
      <c r="D1342" s="245"/>
      <c r="E1342" s="245"/>
      <c r="F1342" s="187"/>
      <c r="G1342" s="245"/>
      <c r="H1342" s="245"/>
      <c r="I1342" s="245"/>
      <c r="L1342" s="245"/>
      <c r="S1342" s="369"/>
      <c r="T1342" s="324"/>
      <c r="U1342" s="85" ph="1"/>
      <c r="W1342" s="216"/>
      <c r="X1342" s="245"/>
      <c r="Y1342" s="187"/>
      <c r="Z1342" s="245"/>
      <c r="AA1342" s="245"/>
      <c r="AB1342" s="332"/>
      <c r="AD1342" s="245"/>
      <c r="AE1342" s="245"/>
      <c r="AF1342" s="245"/>
      <c r="AG1342" s="245"/>
    </row>
    <row r="1343" spans="1:33">
      <c r="L1343" s="123"/>
      <c r="S1343" s="369"/>
    </row>
    <row r="1344" spans="1:33" ht="26.4">
      <c r="A1344" s="246"/>
      <c r="B1344" s="245"/>
      <c r="C1344" s="245"/>
      <c r="D1344" s="245"/>
      <c r="E1344" s="245"/>
      <c r="F1344" s="187"/>
      <c r="G1344" s="245"/>
      <c r="H1344" s="245"/>
      <c r="I1344" s="245"/>
      <c r="L1344" s="123"/>
      <c r="P1344" s="366"/>
      <c r="R1344" s="355"/>
      <c r="S1344" s="369"/>
      <c r="T1344" s="324"/>
      <c r="U1344" s="85" ph="1"/>
      <c r="W1344" s="216"/>
      <c r="X1344" s="245"/>
      <c r="Y1344" s="187"/>
      <c r="Z1344" s="245"/>
      <c r="AA1344" s="245"/>
      <c r="AB1344" s="332"/>
      <c r="AD1344" s="245"/>
      <c r="AE1344" s="245"/>
      <c r="AF1344" s="245"/>
      <c r="AG1344" s="245"/>
    </row>
    <row r="1345" spans="1:33" ht="26.4">
      <c r="A1345" s="246"/>
      <c r="B1345" s="245"/>
      <c r="C1345" s="245"/>
      <c r="D1345" s="245"/>
      <c r="E1345" s="245"/>
      <c r="F1345" s="187"/>
      <c r="G1345" s="245"/>
      <c r="H1345" s="245"/>
      <c r="I1345" s="245"/>
      <c r="L1345" s="123"/>
      <c r="P1345" s="366"/>
      <c r="R1345" s="355"/>
      <c r="S1345" s="369"/>
      <c r="T1345" s="324"/>
      <c r="U1345" s="85" ph="1"/>
      <c r="W1345" s="216"/>
      <c r="X1345" s="245"/>
      <c r="Y1345" s="187"/>
      <c r="Z1345" s="245"/>
      <c r="AA1345" s="245"/>
      <c r="AB1345" s="332"/>
      <c r="AD1345" s="245"/>
      <c r="AE1345" s="245"/>
      <c r="AF1345" s="245"/>
      <c r="AG1345" s="245"/>
    </row>
    <row r="1346" spans="1:33" ht="26.4">
      <c r="A1346" s="246"/>
      <c r="B1346" s="245"/>
      <c r="C1346" s="245"/>
      <c r="D1346" s="245"/>
      <c r="E1346" s="245"/>
      <c r="F1346" s="187"/>
      <c r="G1346" s="245"/>
      <c r="H1346" s="245"/>
      <c r="I1346" s="245"/>
      <c r="L1346" s="123"/>
      <c r="P1346" s="366"/>
      <c r="R1346" s="355"/>
      <c r="S1346" s="369"/>
      <c r="T1346" s="324"/>
      <c r="U1346" s="85" ph="1"/>
      <c r="W1346" s="216"/>
      <c r="X1346" s="245"/>
      <c r="Y1346" s="187"/>
      <c r="Z1346" s="245"/>
      <c r="AA1346" s="245"/>
      <c r="AB1346" s="332"/>
      <c r="AD1346" s="245"/>
      <c r="AE1346" s="245"/>
      <c r="AF1346" s="245"/>
      <c r="AG1346" s="245"/>
    </row>
    <row r="1347" spans="1:33" ht="26.4">
      <c r="A1347" s="246"/>
      <c r="B1347" s="245"/>
      <c r="C1347" s="245"/>
      <c r="D1347" s="245"/>
      <c r="E1347" s="245"/>
      <c r="F1347" s="187"/>
      <c r="G1347" s="245"/>
      <c r="H1347" s="245"/>
      <c r="I1347" s="245"/>
      <c r="L1347" s="123"/>
      <c r="S1347" s="369"/>
      <c r="T1347" s="324"/>
      <c r="U1347" s="85" ph="1"/>
      <c r="W1347" s="216"/>
      <c r="X1347" s="245"/>
      <c r="Y1347" s="187"/>
      <c r="Z1347" s="245"/>
      <c r="AA1347" s="245"/>
      <c r="AB1347" s="332"/>
      <c r="AD1347" s="245"/>
      <c r="AE1347" s="245"/>
      <c r="AF1347" s="245"/>
      <c r="AG1347" s="245"/>
    </row>
    <row r="1348" spans="1:33">
      <c r="L1348" s="123"/>
      <c r="P1348" s="366"/>
      <c r="R1348" s="355"/>
      <c r="S1348" s="369"/>
    </row>
    <row r="1349" spans="1:33">
      <c r="L1349" s="123"/>
      <c r="P1349" s="366"/>
      <c r="R1349" s="355"/>
      <c r="S1349" s="369"/>
    </row>
    <row r="1350" spans="1:33">
      <c r="L1350" s="123"/>
      <c r="S1350" s="369"/>
    </row>
    <row r="1351" spans="1:33">
      <c r="L1351" s="245"/>
      <c r="P1351" s="366"/>
      <c r="R1351" s="355"/>
      <c r="S1351" s="369"/>
    </row>
    <row r="1352" spans="1:33">
      <c r="L1352" s="123"/>
      <c r="S1352" s="369"/>
    </row>
    <row r="1353" spans="1:33">
      <c r="L1353" s="123"/>
      <c r="P1353" s="366"/>
      <c r="R1353" s="355"/>
      <c r="S1353" s="369"/>
    </row>
    <row r="1354" spans="1:33">
      <c r="L1354" s="123"/>
      <c r="P1354" s="366"/>
      <c r="R1354" s="355"/>
      <c r="S1354" s="369"/>
    </row>
    <row r="1355" spans="1:33">
      <c r="L1355" s="123"/>
      <c r="P1355" s="366"/>
      <c r="R1355" s="355"/>
      <c r="S1355" s="369"/>
    </row>
    <row r="1356" spans="1:33">
      <c r="L1356" s="123"/>
      <c r="P1356" s="366"/>
      <c r="R1356" s="355"/>
      <c r="S1356" s="369"/>
    </row>
    <row r="1357" spans="1:33">
      <c r="L1357" s="123"/>
      <c r="P1357" s="366"/>
      <c r="R1357" s="355"/>
      <c r="S1357" s="369"/>
    </row>
    <row r="1358" spans="1:33">
      <c r="L1358" s="123"/>
      <c r="P1358" s="366"/>
      <c r="R1358" s="355"/>
      <c r="S1358" s="369"/>
    </row>
    <row r="1359" spans="1:33">
      <c r="L1359" s="123"/>
      <c r="P1359" s="366"/>
      <c r="R1359" s="355"/>
      <c r="S1359" s="369"/>
    </row>
    <row r="1360" spans="1:33">
      <c r="L1360" s="123"/>
      <c r="P1360" s="366"/>
      <c r="R1360" s="355"/>
      <c r="S1360" s="369"/>
    </row>
    <row r="1361" spans="12:19">
      <c r="L1361" s="245"/>
      <c r="S1361" s="369"/>
    </row>
    <row r="1362" spans="12:19">
      <c r="L1362" s="123"/>
      <c r="S1362" s="369"/>
    </row>
    <row r="1363" spans="12:19">
      <c r="L1363" s="123"/>
      <c r="S1363" s="369"/>
    </row>
    <row r="1364" spans="12:19">
      <c r="L1364" s="123"/>
      <c r="S1364" s="369"/>
    </row>
    <row r="1365" spans="12:19">
      <c r="L1365" s="245"/>
      <c r="S1365" s="369"/>
    </row>
    <row r="1366" spans="12:19">
      <c r="L1366" s="123"/>
      <c r="S1366" s="369"/>
    </row>
    <row r="1367" spans="12:19">
      <c r="L1367" s="123"/>
      <c r="S1367" s="369"/>
    </row>
    <row r="1368" spans="12:19">
      <c r="L1368" s="123"/>
      <c r="S1368" s="369"/>
    </row>
    <row r="1369" spans="12:19">
      <c r="L1369" s="123"/>
      <c r="P1369" s="366"/>
      <c r="R1369" s="355"/>
      <c r="S1369" s="369"/>
    </row>
    <row r="1370" spans="12:19">
      <c r="L1370" s="123"/>
      <c r="P1370" s="366"/>
      <c r="R1370" s="355"/>
      <c r="S1370" s="369"/>
    </row>
    <row r="1371" spans="12:19">
      <c r="L1371" s="123"/>
      <c r="P1371" s="366"/>
      <c r="R1371" s="355"/>
      <c r="S1371" s="369"/>
    </row>
    <row r="1372" spans="12:19">
      <c r="L1372" s="123"/>
      <c r="S1372" s="369"/>
    </row>
    <row r="1373" spans="12:19">
      <c r="L1373" s="123"/>
      <c r="P1373" s="366"/>
      <c r="R1373" s="355"/>
      <c r="S1373" s="369"/>
    </row>
    <row r="1374" spans="12:19">
      <c r="L1374" s="123"/>
      <c r="P1374" s="366"/>
      <c r="R1374" s="355"/>
      <c r="S1374" s="369"/>
    </row>
    <row r="1375" spans="12:19">
      <c r="L1375" s="123"/>
      <c r="P1375" s="366"/>
      <c r="R1375" s="355"/>
      <c r="S1375" s="369"/>
    </row>
    <row r="1376" spans="12:19">
      <c r="L1376" s="123"/>
      <c r="P1376" s="366"/>
      <c r="R1376" s="355"/>
      <c r="S1376" s="369"/>
    </row>
    <row r="1377" spans="12:29">
      <c r="L1377" s="123"/>
      <c r="S1377" s="369"/>
    </row>
    <row r="1378" spans="12:29">
      <c r="L1378" s="123"/>
      <c r="S1378" s="369"/>
    </row>
    <row r="1379" spans="12:29">
      <c r="L1379" s="123"/>
      <c r="S1379" s="369"/>
    </row>
    <row r="1380" spans="12:29">
      <c r="L1380" s="123"/>
      <c r="S1380" s="369"/>
    </row>
    <row r="1381" spans="12:29">
      <c r="L1381" s="123"/>
      <c r="S1381" s="369"/>
    </row>
    <row r="1382" spans="12:29">
      <c r="L1382" s="123"/>
      <c r="S1382" s="369"/>
    </row>
    <row r="1383" spans="12:29">
      <c r="L1383" s="123"/>
      <c r="S1383" s="369"/>
    </row>
    <row r="1384" spans="12:29">
      <c r="L1384" s="123"/>
      <c r="S1384" s="369"/>
      <c r="AC1384" s="385"/>
    </row>
    <row r="1385" spans="12:29">
      <c r="L1385" s="123"/>
      <c r="S1385" s="369"/>
    </row>
    <row r="1386" spans="12:29">
      <c r="L1386" s="123"/>
      <c r="S1386" s="369"/>
    </row>
    <row r="1387" spans="12:29">
      <c r="S1387" s="369"/>
    </row>
    <row r="1388" spans="12:29">
      <c r="L1388" s="123"/>
      <c r="S1388" s="369"/>
    </row>
    <row r="1389" spans="12:29">
      <c r="L1389" s="123"/>
      <c r="S1389" s="369"/>
    </row>
    <row r="1390" spans="12:29">
      <c r="L1390" s="123"/>
      <c r="S1390" s="369"/>
    </row>
    <row r="1391" spans="12:29">
      <c r="L1391" s="123"/>
      <c r="S1391" s="369"/>
    </row>
    <row r="1392" spans="12:29">
      <c r="L1392" s="123"/>
      <c r="S1392" s="369"/>
    </row>
    <row r="1393" spans="12:19">
      <c r="L1393" s="123"/>
      <c r="S1393" s="369"/>
    </row>
    <row r="1394" spans="12:19">
      <c r="L1394" s="123"/>
      <c r="S1394" s="369"/>
    </row>
    <row r="1395" spans="12:19">
      <c r="L1395" s="123"/>
      <c r="S1395" s="369"/>
    </row>
    <row r="1396" spans="12:19">
      <c r="L1396" s="123"/>
      <c r="S1396" s="369"/>
    </row>
    <row r="1397" spans="12:19">
      <c r="L1397" s="123"/>
      <c r="S1397" s="369"/>
    </row>
    <row r="1398" spans="12:19">
      <c r="L1398" s="123"/>
      <c r="S1398" s="369"/>
    </row>
    <row r="1399" spans="12:19">
      <c r="L1399" s="123"/>
      <c r="S1399" s="369"/>
    </row>
    <row r="1400" spans="12:19">
      <c r="L1400" s="123"/>
      <c r="S1400" s="369"/>
    </row>
    <row r="1401" spans="12:19">
      <c r="L1401" s="123"/>
      <c r="S1401" s="369"/>
    </row>
    <row r="1402" spans="12:19">
      <c r="L1402" s="123"/>
      <c r="S1402" s="369"/>
    </row>
    <row r="1403" spans="12:19">
      <c r="L1403" s="123"/>
      <c r="S1403" s="369"/>
    </row>
    <row r="1404" spans="12:19">
      <c r="L1404" s="123"/>
      <c r="S1404" s="369"/>
    </row>
    <row r="1405" spans="12:19">
      <c r="L1405" s="123"/>
      <c r="S1405" s="369"/>
    </row>
    <row r="1406" spans="12:19">
      <c r="L1406" s="123"/>
      <c r="S1406" s="369"/>
    </row>
    <row r="1407" spans="12:19">
      <c r="L1407" s="123"/>
      <c r="S1407" s="369"/>
    </row>
    <row r="1408" spans="12:19">
      <c r="L1408" s="123"/>
      <c r="S1408" s="369"/>
    </row>
    <row r="1409" spans="12:19">
      <c r="L1409" s="123"/>
      <c r="S1409" s="369"/>
    </row>
    <row r="1410" spans="12:19">
      <c r="L1410" s="123"/>
      <c r="S1410" s="369"/>
    </row>
    <row r="1411" spans="12:19">
      <c r="L1411" s="123"/>
      <c r="S1411" s="369"/>
    </row>
    <row r="1412" spans="12:19">
      <c r="L1412" s="123"/>
      <c r="S1412" s="369"/>
    </row>
    <row r="1413" spans="12:19">
      <c r="L1413" s="123"/>
      <c r="S1413" s="369"/>
    </row>
    <row r="1414" spans="12:19">
      <c r="L1414" s="123"/>
      <c r="S1414" s="369"/>
    </row>
    <row r="1415" spans="12:19">
      <c r="L1415" s="123"/>
      <c r="S1415" s="369"/>
    </row>
    <row r="1416" spans="12:19">
      <c r="L1416" s="123"/>
      <c r="S1416" s="369"/>
    </row>
    <row r="1417" spans="12:19">
      <c r="L1417" s="123"/>
      <c r="S1417" s="369"/>
    </row>
    <row r="1418" spans="12:19">
      <c r="L1418" s="123"/>
      <c r="S1418" s="369"/>
    </row>
    <row r="1419" spans="12:19">
      <c r="L1419" s="123"/>
      <c r="S1419" s="369"/>
    </row>
    <row r="1420" spans="12:19">
      <c r="L1420" s="123"/>
      <c r="S1420" s="369"/>
    </row>
    <row r="1421" spans="12:19">
      <c r="L1421" s="123"/>
      <c r="S1421" s="369"/>
    </row>
    <row r="1422" spans="12:19">
      <c r="L1422" s="123"/>
      <c r="S1422" s="369"/>
    </row>
    <row r="1423" spans="12:19">
      <c r="L1423" s="123"/>
      <c r="S1423" s="369"/>
    </row>
    <row r="1424" spans="12:19">
      <c r="L1424" s="123"/>
      <c r="S1424" s="369"/>
    </row>
    <row r="1425" spans="12:19">
      <c r="L1425" s="123"/>
      <c r="S1425" s="369"/>
    </row>
    <row r="1426" spans="12:19">
      <c r="L1426" s="123"/>
      <c r="S1426" s="369"/>
    </row>
    <row r="1427" spans="12:19">
      <c r="L1427" s="123"/>
      <c r="S1427" s="369"/>
    </row>
    <row r="1428" spans="12:19">
      <c r="L1428" s="123"/>
      <c r="S1428" s="369"/>
    </row>
    <row r="1429" spans="12:19">
      <c r="L1429" s="123"/>
      <c r="S1429" s="369"/>
    </row>
    <row r="1430" spans="12:19">
      <c r="L1430" s="123"/>
      <c r="S1430" s="369"/>
    </row>
    <row r="1431" spans="12:19">
      <c r="L1431" s="123"/>
      <c r="S1431" s="369"/>
    </row>
    <row r="1432" spans="12:19">
      <c r="L1432" s="245"/>
      <c r="S1432" s="369"/>
    </row>
    <row r="1433" spans="12:19">
      <c r="L1433" s="123"/>
      <c r="S1433" s="369"/>
    </row>
    <row r="1434" spans="12:19">
      <c r="L1434" s="123"/>
      <c r="S1434" s="369"/>
    </row>
    <row r="1435" spans="12:19">
      <c r="L1435" s="123"/>
      <c r="S1435" s="369"/>
    </row>
    <row r="1436" spans="12:19">
      <c r="L1436" s="123"/>
      <c r="S1436" s="369"/>
    </row>
    <row r="1437" spans="12:19">
      <c r="L1437" s="123"/>
      <c r="S1437" s="369"/>
    </row>
    <row r="1438" spans="12:19">
      <c r="L1438" s="123"/>
      <c r="S1438" s="369"/>
    </row>
    <row r="1439" spans="12:19">
      <c r="L1439" s="123"/>
      <c r="S1439" s="369"/>
    </row>
    <row r="1440" spans="12:19">
      <c r="L1440" s="123"/>
      <c r="S1440" s="369"/>
    </row>
    <row r="1441" spans="12:19">
      <c r="L1441" s="123"/>
      <c r="S1441" s="369"/>
    </row>
    <row r="1442" spans="12:19">
      <c r="L1442" s="123"/>
      <c r="S1442" s="369"/>
    </row>
    <row r="1443" spans="12:19">
      <c r="L1443" s="123"/>
      <c r="S1443" s="369"/>
    </row>
    <row r="1444" spans="12:19">
      <c r="L1444" s="123"/>
      <c r="S1444" s="369"/>
    </row>
    <row r="1445" spans="12:19">
      <c r="L1445" s="123"/>
      <c r="S1445" s="369"/>
    </row>
    <row r="1446" spans="12:19">
      <c r="L1446" s="123"/>
      <c r="S1446" s="369"/>
    </row>
    <row r="1447" spans="12:19">
      <c r="L1447" s="123"/>
      <c r="S1447" s="369"/>
    </row>
    <row r="1448" spans="12:19">
      <c r="L1448" s="123"/>
      <c r="S1448" s="369"/>
    </row>
    <row r="1449" spans="12:19">
      <c r="L1449" s="123"/>
      <c r="S1449" s="369"/>
    </row>
    <row r="1450" spans="12:19">
      <c r="L1450" s="123"/>
      <c r="S1450" s="369"/>
    </row>
    <row r="1451" spans="12:19">
      <c r="L1451" s="123"/>
      <c r="S1451" s="369"/>
    </row>
    <row r="1452" spans="12:19">
      <c r="L1452" s="123"/>
      <c r="S1452" s="369"/>
    </row>
    <row r="1453" spans="12:19">
      <c r="L1453" s="123"/>
      <c r="S1453" s="369"/>
    </row>
    <row r="1454" spans="12:19">
      <c r="L1454" s="123"/>
      <c r="S1454" s="369"/>
    </row>
    <row r="1455" spans="12:19">
      <c r="L1455" s="123"/>
      <c r="S1455" s="369"/>
    </row>
    <row r="1456" spans="12:19">
      <c r="L1456" s="123"/>
      <c r="S1456" s="369"/>
    </row>
    <row r="1457" spans="12:19">
      <c r="L1457" s="123"/>
      <c r="S1457" s="369"/>
    </row>
    <row r="1458" spans="12:19">
      <c r="L1458" s="123"/>
      <c r="S1458" s="369"/>
    </row>
    <row r="1459" spans="12:19">
      <c r="L1459" s="123"/>
      <c r="S1459" s="369"/>
    </row>
    <row r="1460" spans="12:19">
      <c r="L1460" s="123"/>
      <c r="S1460" s="369"/>
    </row>
    <row r="1461" spans="12:19">
      <c r="L1461" s="123"/>
      <c r="S1461" s="369"/>
    </row>
    <row r="1462" spans="12:19">
      <c r="L1462" s="123"/>
      <c r="S1462" s="369"/>
    </row>
    <row r="1463" spans="12:19">
      <c r="L1463" s="123"/>
      <c r="S1463" s="369"/>
    </row>
    <row r="1464" spans="12:19">
      <c r="L1464" s="123"/>
      <c r="S1464" s="369"/>
    </row>
    <row r="1465" spans="12:19">
      <c r="L1465" s="123"/>
      <c r="S1465" s="369"/>
    </row>
    <row r="1466" spans="12:19">
      <c r="L1466" s="123"/>
      <c r="S1466" s="369"/>
    </row>
    <row r="1467" spans="12:19">
      <c r="L1467" s="123"/>
      <c r="S1467" s="369"/>
    </row>
    <row r="1468" spans="12:19">
      <c r="L1468" s="123"/>
      <c r="S1468" s="369"/>
    </row>
    <row r="1469" spans="12:19">
      <c r="L1469" s="123"/>
      <c r="S1469" s="369"/>
    </row>
    <row r="1470" spans="12:19">
      <c r="L1470" s="123"/>
      <c r="S1470" s="369"/>
    </row>
    <row r="1471" spans="12:19">
      <c r="L1471" s="123"/>
      <c r="S1471" s="369"/>
    </row>
    <row r="1472" spans="12:19">
      <c r="L1472" s="123"/>
      <c r="S1472" s="369"/>
    </row>
    <row r="1473" spans="1:33" ht="26.4">
      <c r="A1473" s="246"/>
      <c r="B1473" s="245"/>
      <c r="C1473" s="245"/>
      <c r="D1473" s="245"/>
      <c r="E1473" s="245"/>
      <c r="F1473" s="187"/>
      <c r="G1473" s="245"/>
      <c r="H1473" s="245"/>
      <c r="I1473" s="245"/>
      <c r="L1473" s="123"/>
      <c r="S1473" s="369"/>
      <c r="T1473" s="324"/>
      <c r="U1473" s="85" ph="1"/>
      <c r="W1473" s="216"/>
      <c r="X1473" s="245"/>
      <c r="Y1473" s="187"/>
      <c r="Z1473" s="245"/>
      <c r="AA1473" s="245"/>
      <c r="AB1473" s="332"/>
      <c r="AD1473" s="245"/>
      <c r="AE1473" s="245"/>
      <c r="AF1473" s="245"/>
      <c r="AG1473" s="245"/>
    </row>
    <row r="1474" spans="1:33">
      <c r="L1474" s="123"/>
      <c r="S1474" s="369"/>
    </row>
    <row r="1475" spans="1:33">
      <c r="L1475" s="245"/>
      <c r="S1475" s="369"/>
    </row>
    <row r="1476" spans="1:33">
      <c r="L1476" s="245"/>
      <c r="S1476" s="369"/>
    </row>
    <row r="1477" spans="1:33">
      <c r="L1477" s="123"/>
      <c r="S1477" s="369"/>
    </row>
    <row r="1478" spans="1:33">
      <c r="L1478" s="123"/>
      <c r="S1478" s="369"/>
    </row>
    <row r="1479" spans="1:33">
      <c r="L1479" s="123"/>
      <c r="S1479" s="369"/>
    </row>
    <row r="1480" spans="1:33">
      <c r="L1480" s="123"/>
      <c r="S1480" s="369"/>
    </row>
    <row r="1481" spans="1:33">
      <c r="L1481" s="123"/>
      <c r="S1481" s="369"/>
    </row>
    <row r="1482" spans="1:33">
      <c r="L1482" s="123"/>
      <c r="S1482" s="369"/>
    </row>
    <row r="1483" spans="1:33" ht="26.4">
      <c r="A1483" s="246"/>
      <c r="B1483" s="245"/>
      <c r="C1483" s="245"/>
      <c r="D1483" s="245"/>
      <c r="E1483" s="245"/>
      <c r="F1483" s="187"/>
      <c r="G1483" s="245"/>
      <c r="H1483" s="245"/>
      <c r="I1483" s="245"/>
      <c r="L1483" s="123"/>
      <c r="S1483" s="369"/>
      <c r="T1483" s="324"/>
      <c r="U1483" s="85" ph="1"/>
      <c r="W1483" s="216"/>
      <c r="X1483" s="245"/>
      <c r="Y1483" s="187"/>
      <c r="Z1483" s="245"/>
      <c r="AA1483" s="245"/>
      <c r="AB1483" s="332"/>
      <c r="AD1483" s="245"/>
      <c r="AE1483" s="245"/>
      <c r="AF1483" s="245"/>
      <c r="AG1483" s="245"/>
    </row>
    <row r="1484" spans="1:33">
      <c r="L1484" s="123"/>
      <c r="S1484" s="369"/>
    </row>
    <row r="1485" spans="1:33">
      <c r="L1485" s="123"/>
      <c r="S1485" s="369"/>
    </row>
    <row r="1486" spans="1:33">
      <c r="L1486" s="123"/>
      <c r="S1486" s="369"/>
    </row>
    <row r="1487" spans="1:33" ht="26.4">
      <c r="A1487" s="246"/>
      <c r="B1487" s="245"/>
      <c r="C1487" s="245"/>
      <c r="D1487" s="245"/>
      <c r="E1487" s="245"/>
      <c r="F1487" s="187"/>
      <c r="G1487" s="245"/>
      <c r="H1487" s="245"/>
      <c r="I1487" s="245"/>
      <c r="L1487" s="123"/>
      <c r="S1487" s="369"/>
      <c r="T1487" s="324"/>
      <c r="U1487" s="85" ph="1"/>
      <c r="W1487" s="216"/>
      <c r="X1487" s="245"/>
      <c r="Y1487" s="187"/>
      <c r="Z1487" s="245"/>
      <c r="AA1487" s="245"/>
      <c r="AB1487" s="332"/>
      <c r="AD1487" s="245"/>
      <c r="AE1487" s="245"/>
      <c r="AF1487" s="245"/>
      <c r="AG1487" s="245"/>
    </row>
    <row r="1488" spans="1:33">
      <c r="L1488" s="123"/>
      <c r="S1488" s="369"/>
    </row>
    <row r="1489" spans="1:33">
      <c r="L1489" s="245"/>
      <c r="S1489" s="369"/>
    </row>
    <row r="1490" spans="1:33">
      <c r="L1490" s="123"/>
      <c r="S1490" s="369"/>
    </row>
    <row r="1491" spans="1:33">
      <c r="L1491" s="123"/>
      <c r="S1491" s="369"/>
    </row>
    <row r="1492" spans="1:33" ht="26.4">
      <c r="A1492" s="246"/>
      <c r="B1492" s="245"/>
      <c r="C1492" s="245"/>
      <c r="D1492" s="245"/>
      <c r="E1492" s="245"/>
      <c r="F1492" s="187"/>
      <c r="G1492" s="245"/>
      <c r="H1492" s="245"/>
      <c r="I1492" s="245"/>
      <c r="L1492" s="123"/>
      <c r="S1492" s="369"/>
      <c r="T1492" s="324"/>
      <c r="U1492" s="85" ph="1"/>
      <c r="W1492" s="216"/>
      <c r="X1492" s="245"/>
      <c r="Y1492" s="187"/>
      <c r="Z1492" s="245"/>
      <c r="AA1492" s="245"/>
      <c r="AB1492" s="332"/>
      <c r="AD1492" s="245"/>
      <c r="AE1492" s="245"/>
      <c r="AF1492" s="245"/>
      <c r="AG1492" s="245"/>
    </row>
    <row r="1493" spans="1:33" ht="26.4">
      <c r="A1493" s="246"/>
      <c r="B1493" s="245"/>
      <c r="C1493" s="245"/>
      <c r="D1493" s="245"/>
      <c r="E1493" s="245"/>
      <c r="F1493" s="187"/>
      <c r="G1493" s="245"/>
      <c r="H1493" s="245"/>
      <c r="I1493" s="245"/>
      <c r="L1493" s="123"/>
      <c r="S1493" s="369"/>
      <c r="T1493" s="324"/>
      <c r="U1493" s="85" ph="1"/>
      <c r="W1493" s="216"/>
      <c r="X1493" s="245"/>
      <c r="Y1493" s="187"/>
      <c r="Z1493" s="245"/>
      <c r="AA1493" s="245"/>
      <c r="AB1493" s="332"/>
      <c r="AD1493" s="245"/>
      <c r="AE1493" s="245"/>
      <c r="AF1493" s="245"/>
      <c r="AG1493" s="245"/>
    </row>
    <row r="1494" spans="1:33" ht="26.4">
      <c r="A1494" s="246"/>
      <c r="B1494" s="245"/>
      <c r="C1494" s="245"/>
      <c r="D1494" s="245"/>
      <c r="E1494" s="245"/>
      <c r="F1494" s="187"/>
      <c r="G1494" s="245"/>
      <c r="H1494" s="245"/>
      <c r="I1494" s="245"/>
      <c r="L1494" s="123"/>
      <c r="S1494" s="369"/>
      <c r="T1494" s="324"/>
      <c r="U1494" s="85" ph="1"/>
      <c r="W1494" s="216"/>
      <c r="X1494" s="245"/>
      <c r="Y1494" s="187"/>
      <c r="Z1494" s="245"/>
      <c r="AA1494" s="245"/>
      <c r="AB1494" s="332"/>
      <c r="AD1494" s="245"/>
      <c r="AE1494" s="245"/>
      <c r="AF1494" s="245"/>
      <c r="AG1494" s="245"/>
    </row>
    <row r="1495" spans="1:33">
      <c r="L1495" s="123"/>
      <c r="S1495" s="369"/>
    </row>
    <row r="1496" spans="1:33" ht="26.4">
      <c r="A1496" s="246"/>
      <c r="B1496" s="245"/>
      <c r="C1496" s="245"/>
      <c r="D1496" s="245"/>
      <c r="E1496" s="245"/>
      <c r="F1496" s="187"/>
      <c r="G1496" s="245"/>
      <c r="H1496" s="245"/>
      <c r="I1496" s="245"/>
      <c r="L1496" s="51"/>
      <c r="S1496" s="369"/>
      <c r="T1496" s="324"/>
      <c r="U1496" s="85" ph="1"/>
      <c r="W1496" s="216"/>
      <c r="X1496" s="245"/>
      <c r="Y1496" s="187"/>
      <c r="Z1496" s="245"/>
      <c r="AA1496" s="245"/>
      <c r="AB1496" s="332"/>
      <c r="AD1496" s="245"/>
      <c r="AE1496" s="245"/>
      <c r="AF1496" s="245"/>
      <c r="AG1496" s="245"/>
    </row>
    <row r="1497" spans="1:33" ht="26.4">
      <c r="A1497" s="246"/>
      <c r="B1497" s="245"/>
      <c r="C1497" s="245"/>
      <c r="D1497" s="245"/>
      <c r="E1497" s="245"/>
      <c r="F1497" s="187"/>
      <c r="G1497" s="245"/>
      <c r="H1497" s="245"/>
      <c r="I1497" s="245"/>
      <c r="L1497" s="123"/>
      <c r="S1497" s="369"/>
      <c r="T1497" s="324"/>
      <c r="U1497" s="85" ph="1"/>
      <c r="W1497" s="216"/>
      <c r="X1497" s="245"/>
      <c r="Y1497" s="187"/>
      <c r="Z1497" s="245"/>
      <c r="AA1497" s="245"/>
      <c r="AB1497" s="332"/>
      <c r="AD1497" s="245"/>
      <c r="AE1497" s="245"/>
      <c r="AF1497" s="245"/>
      <c r="AG1497" s="245"/>
    </row>
    <row r="1498" spans="1:33">
      <c r="L1498" s="123"/>
      <c r="S1498" s="369"/>
    </row>
    <row r="1499" spans="1:33" ht="26.4">
      <c r="A1499" s="246"/>
      <c r="B1499" s="245"/>
      <c r="C1499" s="245"/>
      <c r="D1499" s="245"/>
      <c r="E1499" s="245"/>
      <c r="F1499" s="187"/>
      <c r="G1499" s="245"/>
      <c r="H1499" s="245"/>
      <c r="I1499" s="245"/>
      <c r="L1499" s="123"/>
      <c r="S1499" s="369"/>
      <c r="T1499" s="324"/>
      <c r="U1499" s="85" ph="1"/>
      <c r="W1499" s="216"/>
      <c r="X1499" s="245"/>
      <c r="Y1499" s="187"/>
      <c r="Z1499" s="245"/>
      <c r="AA1499" s="245"/>
      <c r="AB1499" s="332"/>
      <c r="AD1499" s="245"/>
      <c r="AE1499" s="245"/>
      <c r="AF1499" s="245"/>
      <c r="AG1499" s="245"/>
    </row>
    <row r="1500" spans="1:33">
      <c r="L1500" s="123"/>
      <c r="S1500" s="369"/>
    </row>
    <row r="1501" spans="1:33" ht="26.4">
      <c r="A1501" s="246"/>
      <c r="B1501" s="245"/>
      <c r="C1501" s="245"/>
      <c r="D1501" s="245"/>
      <c r="E1501" s="245"/>
      <c r="F1501" s="187"/>
      <c r="G1501" s="245"/>
      <c r="H1501" s="245"/>
      <c r="I1501" s="245"/>
      <c r="L1501" s="123"/>
      <c r="S1501" s="369"/>
      <c r="T1501" s="324"/>
      <c r="U1501" s="85" ph="1"/>
      <c r="W1501" s="216"/>
      <c r="X1501" s="245"/>
      <c r="Y1501" s="187"/>
      <c r="Z1501" s="245"/>
      <c r="AA1501" s="245"/>
      <c r="AB1501" s="332"/>
      <c r="AD1501" s="245"/>
      <c r="AE1501" s="245"/>
      <c r="AF1501" s="245"/>
      <c r="AG1501" s="245"/>
    </row>
    <row r="1502" spans="1:33" ht="26.4">
      <c r="A1502" s="246"/>
      <c r="B1502" s="245"/>
      <c r="C1502" s="245"/>
      <c r="D1502" s="245"/>
      <c r="E1502" s="245"/>
      <c r="F1502" s="187"/>
      <c r="G1502" s="245"/>
      <c r="H1502" s="245"/>
      <c r="I1502" s="245"/>
      <c r="L1502" s="123"/>
      <c r="P1502" s="366"/>
      <c r="R1502" s="355"/>
      <c r="S1502" s="369"/>
      <c r="T1502" s="324"/>
      <c r="U1502" s="85" ph="1"/>
      <c r="W1502" s="216"/>
      <c r="X1502" s="245"/>
      <c r="Y1502" s="187"/>
      <c r="Z1502" s="245"/>
      <c r="AA1502" s="245"/>
      <c r="AB1502" s="332"/>
      <c r="AD1502" s="245"/>
      <c r="AE1502" s="245"/>
      <c r="AF1502" s="245"/>
      <c r="AG1502" s="245"/>
    </row>
    <row r="1503" spans="1:33" ht="26.4">
      <c r="A1503" s="246"/>
      <c r="B1503" s="245"/>
      <c r="C1503" s="245"/>
      <c r="D1503" s="245"/>
      <c r="E1503" s="245"/>
      <c r="F1503" s="187"/>
      <c r="G1503" s="245"/>
      <c r="H1503" s="245"/>
      <c r="I1503" s="245"/>
      <c r="L1503" s="123"/>
      <c r="S1503" s="369"/>
      <c r="T1503" s="324"/>
      <c r="U1503" s="85" ph="1"/>
      <c r="W1503" s="216"/>
      <c r="X1503" s="245"/>
      <c r="Y1503" s="187"/>
      <c r="Z1503" s="245"/>
      <c r="AA1503" s="245"/>
      <c r="AB1503" s="332"/>
      <c r="AD1503" s="245"/>
      <c r="AE1503" s="245"/>
      <c r="AF1503" s="245"/>
      <c r="AG1503" s="245"/>
    </row>
    <row r="1504" spans="1:33" ht="26.4">
      <c r="A1504" s="246"/>
      <c r="B1504" s="245"/>
      <c r="C1504" s="245"/>
      <c r="D1504" s="245"/>
      <c r="E1504" s="245"/>
      <c r="F1504" s="187"/>
      <c r="G1504" s="245"/>
      <c r="H1504" s="245"/>
      <c r="I1504" s="245"/>
      <c r="L1504" s="123"/>
      <c r="S1504" s="369"/>
      <c r="T1504" s="324"/>
      <c r="U1504" s="85" ph="1"/>
      <c r="W1504" s="216"/>
      <c r="X1504" s="245"/>
      <c r="Y1504" s="187"/>
      <c r="Z1504" s="245"/>
      <c r="AA1504" s="245"/>
      <c r="AB1504" s="332"/>
      <c r="AD1504" s="245"/>
      <c r="AE1504" s="245"/>
      <c r="AF1504" s="245"/>
      <c r="AG1504" s="245"/>
    </row>
    <row r="1505" spans="1:33" ht="26.4">
      <c r="A1505" s="246"/>
      <c r="B1505" s="245"/>
      <c r="C1505" s="245"/>
      <c r="D1505" s="245"/>
      <c r="E1505" s="245"/>
      <c r="F1505" s="187"/>
      <c r="G1505" s="245"/>
      <c r="H1505" s="245"/>
      <c r="I1505" s="245"/>
      <c r="L1505" s="123"/>
      <c r="S1505" s="369"/>
      <c r="T1505" s="324"/>
      <c r="U1505" s="85" ph="1"/>
      <c r="W1505" s="216"/>
      <c r="X1505" s="245"/>
      <c r="Y1505" s="187"/>
      <c r="Z1505" s="245"/>
      <c r="AA1505" s="245"/>
      <c r="AB1505" s="332"/>
      <c r="AD1505" s="245"/>
      <c r="AE1505" s="245"/>
      <c r="AF1505" s="245"/>
      <c r="AG1505" s="245"/>
    </row>
    <row r="1506" spans="1:33" ht="26.4">
      <c r="A1506" s="246"/>
      <c r="B1506" s="245"/>
      <c r="C1506" s="245"/>
      <c r="D1506" s="245"/>
      <c r="E1506" s="245"/>
      <c r="F1506" s="187"/>
      <c r="G1506" s="245"/>
      <c r="H1506" s="245"/>
      <c r="I1506" s="245"/>
      <c r="L1506" s="123"/>
      <c r="S1506" s="369"/>
      <c r="T1506" s="324"/>
      <c r="U1506" s="85" ph="1"/>
      <c r="W1506" s="216"/>
      <c r="X1506" s="245"/>
      <c r="Y1506" s="187"/>
      <c r="Z1506" s="245"/>
      <c r="AA1506" s="245"/>
      <c r="AB1506" s="332"/>
      <c r="AD1506" s="245"/>
      <c r="AE1506" s="245"/>
      <c r="AF1506" s="245"/>
      <c r="AG1506" s="245"/>
    </row>
    <row r="1507" spans="1:33" ht="26.4">
      <c r="A1507" s="246"/>
      <c r="B1507" s="245"/>
      <c r="C1507" s="245"/>
      <c r="D1507" s="245"/>
      <c r="E1507" s="245"/>
      <c r="F1507" s="187"/>
      <c r="G1507" s="245"/>
      <c r="H1507" s="245"/>
      <c r="I1507" s="245"/>
      <c r="L1507" s="123"/>
      <c r="S1507" s="369"/>
      <c r="T1507" s="324"/>
      <c r="U1507" s="85" ph="1"/>
      <c r="W1507" s="216"/>
      <c r="X1507" s="245"/>
      <c r="Y1507" s="187"/>
      <c r="Z1507" s="245"/>
      <c r="AA1507" s="245"/>
      <c r="AB1507" s="332"/>
      <c r="AD1507" s="245"/>
      <c r="AE1507" s="245"/>
      <c r="AF1507" s="245"/>
      <c r="AG1507" s="245"/>
    </row>
    <row r="1508" spans="1:33" ht="26.4">
      <c r="A1508" s="246"/>
      <c r="B1508" s="245"/>
      <c r="C1508" s="245"/>
      <c r="D1508" s="245"/>
      <c r="E1508" s="245"/>
      <c r="F1508" s="187"/>
      <c r="G1508" s="245"/>
      <c r="H1508" s="245"/>
      <c r="I1508" s="245"/>
      <c r="L1508" s="123"/>
      <c r="S1508" s="369"/>
      <c r="T1508" s="324"/>
      <c r="U1508" s="85" ph="1"/>
      <c r="W1508" s="216"/>
      <c r="X1508" s="245"/>
      <c r="Y1508" s="187"/>
      <c r="Z1508" s="245"/>
      <c r="AA1508" s="245"/>
      <c r="AB1508" s="332"/>
      <c r="AD1508" s="245"/>
      <c r="AE1508" s="245"/>
      <c r="AF1508" s="245"/>
      <c r="AG1508" s="245"/>
    </row>
    <row r="1509" spans="1:33" ht="26.4">
      <c r="A1509" s="246"/>
      <c r="B1509" s="245"/>
      <c r="C1509" s="245"/>
      <c r="D1509" s="245"/>
      <c r="E1509" s="245"/>
      <c r="F1509" s="187"/>
      <c r="G1509" s="245"/>
      <c r="H1509" s="245"/>
      <c r="I1509" s="245"/>
      <c r="L1509" s="123"/>
      <c r="S1509" s="369"/>
      <c r="T1509" s="324"/>
      <c r="U1509" s="85" ph="1"/>
      <c r="W1509" s="216"/>
      <c r="X1509" s="245"/>
      <c r="Y1509" s="187"/>
      <c r="Z1509" s="245"/>
      <c r="AA1509" s="245"/>
      <c r="AB1509" s="332"/>
      <c r="AD1509" s="245"/>
      <c r="AE1509" s="245"/>
      <c r="AF1509" s="245"/>
      <c r="AG1509" s="245"/>
    </row>
    <row r="1510" spans="1:33" ht="26.4">
      <c r="A1510" s="246"/>
      <c r="B1510" s="245"/>
      <c r="C1510" s="245"/>
      <c r="D1510" s="245"/>
      <c r="E1510" s="245"/>
      <c r="F1510" s="187"/>
      <c r="G1510" s="245"/>
      <c r="H1510" s="245"/>
      <c r="I1510" s="245"/>
      <c r="L1510" s="123"/>
      <c r="S1510" s="369"/>
      <c r="T1510" s="324"/>
      <c r="U1510" s="85" ph="1"/>
      <c r="W1510" s="216"/>
      <c r="X1510" s="245"/>
      <c r="Y1510" s="187"/>
      <c r="Z1510" s="245"/>
      <c r="AA1510" s="245"/>
      <c r="AB1510" s="332"/>
      <c r="AD1510" s="245"/>
      <c r="AE1510" s="245"/>
      <c r="AF1510" s="245"/>
      <c r="AG1510" s="245"/>
    </row>
    <row r="1511" spans="1:33">
      <c r="L1511" s="123"/>
      <c r="S1511" s="369"/>
    </row>
    <row r="1512" spans="1:33" ht="26.4">
      <c r="A1512" s="246"/>
      <c r="B1512" s="245"/>
      <c r="C1512" s="245"/>
      <c r="D1512" s="245"/>
      <c r="E1512" s="245"/>
      <c r="F1512" s="187"/>
      <c r="G1512" s="245"/>
      <c r="H1512" s="245"/>
      <c r="I1512" s="245"/>
      <c r="L1512" s="123"/>
      <c r="P1512" s="366"/>
      <c r="R1512" s="355"/>
      <c r="S1512" s="369"/>
      <c r="T1512" s="324"/>
      <c r="U1512" s="85" ph="1"/>
      <c r="W1512" s="216"/>
      <c r="X1512" s="245"/>
      <c r="Y1512" s="187"/>
      <c r="Z1512" s="245"/>
      <c r="AA1512" s="245"/>
      <c r="AB1512" s="332"/>
      <c r="AD1512" s="245"/>
      <c r="AE1512" s="245"/>
      <c r="AF1512" s="245"/>
      <c r="AG1512" s="245"/>
    </row>
    <row r="1513" spans="1:33" ht="26.4">
      <c r="A1513" s="246"/>
      <c r="B1513" s="245"/>
      <c r="C1513" s="245"/>
      <c r="D1513" s="245"/>
      <c r="E1513" s="245"/>
      <c r="F1513" s="187"/>
      <c r="G1513" s="245"/>
      <c r="H1513" s="245"/>
      <c r="I1513" s="245"/>
      <c r="L1513" s="123"/>
      <c r="S1513" s="369"/>
      <c r="T1513" s="324"/>
      <c r="U1513" s="85" ph="1"/>
      <c r="W1513" s="216"/>
      <c r="X1513" s="245"/>
      <c r="Y1513" s="187"/>
      <c r="Z1513" s="245"/>
      <c r="AA1513" s="245"/>
      <c r="AB1513" s="332"/>
      <c r="AD1513" s="245"/>
      <c r="AE1513" s="245"/>
      <c r="AF1513" s="245"/>
      <c r="AG1513" s="245"/>
    </row>
    <row r="1514" spans="1:33" ht="26.4">
      <c r="A1514" s="246"/>
      <c r="B1514" s="245"/>
      <c r="C1514" s="245"/>
      <c r="D1514" s="245"/>
      <c r="E1514" s="245"/>
      <c r="F1514" s="187"/>
      <c r="G1514" s="245"/>
      <c r="H1514" s="245"/>
      <c r="I1514" s="245"/>
      <c r="L1514" s="123"/>
      <c r="S1514" s="369"/>
      <c r="T1514" s="324"/>
      <c r="U1514" s="85" ph="1"/>
      <c r="W1514" s="216"/>
      <c r="X1514" s="245"/>
      <c r="Y1514" s="187"/>
      <c r="Z1514" s="245"/>
      <c r="AA1514" s="245"/>
      <c r="AB1514" s="332"/>
      <c r="AD1514" s="245"/>
      <c r="AE1514" s="245"/>
      <c r="AF1514" s="245"/>
      <c r="AG1514" s="245"/>
    </row>
    <row r="1515" spans="1:33" ht="26.4">
      <c r="A1515" s="246"/>
      <c r="B1515" s="245"/>
      <c r="C1515" s="245"/>
      <c r="D1515" s="245"/>
      <c r="E1515" s="245"/>
      <c r="F1515" s="187"/>
      <c r="G1515" s="245"/>
      <c r="H1515" s="245"/>
      <c r="I1515" s="245"/>
      <c r="L1515" s="123"/>
      <c r="S1515" s="369"/>
      <c r="T1515" s="324"/>
      <c r="U1515" s="85" ph="1"/>
      <c r="W1515" s="216"/>
      <c r="X1515" s="245"/>
      <c r="Y1515" s="187"/>
      <c r="Z1515" s="245"/>
      <c r="AA1515" s="245"/>
      <c r="AB1515" s="332"/>
      <c r="AD1515" s="245"/>
      <c r="AE1515" s="245"/>
      <c r="AF1515" s="245"/>
      <c r="AG1515" s="245"/>
    </row>
    <row r="1516" spans="1:33" ht="26.4">
      <c r="A1516" s="246"/>
      <c r="B1516" s="245"/>
      <c r="C1516" s="245"/>
      <c r="D1516" s="245"/>
      <c r="E1516" s="245"/>
      <c r="F1516" s="187"/>
      <c r="G1516" s="245"/>
      <c r="H1516" s="245"/>
      <c r="I1516" s="245"/>
      <c r="L1516" s="123"/>
      <c r="P1516" s="366"/>
      <c r="R1516" s="355"/>
      <c r="S1516" s="369"/>
      <c r="T1516" s="324"/>
      <c r="U1516" s="85" ph="1"/>
      <c r="W1516" s="216"/>
      <c r="X1516" s="245"/>
      <c r="Y1516" s="187"/>
      <c r="Z1516" s="245"/>
      <c r="AA1516" s="245"/>
      <c r="AB1516" s="332"/>
      <c r="AD1516" s="245"/>
      <c r="AE1516" s="245"/>
      <c r="AF1516" s="245"/>
      <c r="AG1516" s="245"/>
    </row>
    <row r="1517" spans="1:33" ht="26.4">
      <c r="A1517" s="246"/>
      <c r="B1517" s="245"/>
      <c r="C1517" s="245"/>
      <c r="D1517" s="245"/>
      <c r="E1517" s="245"/>
      <c r="F1517" s="187"/>
      <c r="G1517" s="245"/>
      <c r="H1517" s="245"/>
      <c r="I1517" s="245"/>
      <c r="L1517" s="123"/>
      <c r="S1517" s="369"/>
      <c r="T1517" s="324"/>
      <c r="U1517" s="85" ph="1"/>
      <c r="W1517" s="216"/>
      <c r="X1517" s="245"/>
      <c r="Y1517" s="187"/>
      <c r="Z1517" s="245"/>
      <c r="AA1517" s="245"/>
      <c r="AB1517" s="332"/>
      <c r="AD1517" s="245"/>
      <c r="AE1517" s="245"/>
      <c r="AF1517" s="245"/>
      <c r="AG1517" s="245"/>
    </row>
    <row r="1518" spans="1:33" ht="26.4">
      <c r="A1518" s="246"/>
      <c r="B1518" s="245"/>
      <c r="C1518" s="245"/>
      <c r="D1518" s="245"/>
      <c r="E1518" s="245"/>
      <c r="F1518" s="187"/>
      <c r="G1518" s="245"/>
      <c r="H1518" s="245"/>
      <c r="I1518" s="245"/>
      <c r="L1518" s="123"/>
      <c r="S1518" s="369"/>
      <c r="T1518" s="324"/>
      <c r="U1518" s="85" ph="1"/>
      <c r="W1518" s="216"/>
      <c r="X1518" s="245"/>
      <c r="Y1518" s="187"/>
      <c r="Z1518" s="245"/>
      <c r="AA1518" s="245"/>
      <c r="AB1518" s="332"/>
      <c r="AD1518" s="245"/>
      <c r="AE1518" s="245"/>
      <c r="AF1518" s="245"/>
      <c r="AG1518" s="245"/>
    </row>
    <row r="1519" spans="1:33" ht="26.4">
      <c r="A1519" s="246"/>
      <c r="B1519" s="245"/>
      <c r="C1519" s="245"/>
      <c r="D1519" s="245"/>
      <c r="E1519" s="245"/>
      <c r="F1519" s="187"/>
      <c r="G1519" s="245"/>
      <c r="H1519" s="245"/>
      <c r="I1519" s="245"/>
      <c r="L1519" s="123"/>
      <c r="S1519" s="369"/>
      <c r="T1519" s="324"/>
      <c r="U1519" s="85" ph="1"/>
      <c r="W1519" s="216"/>
      <c r="X1519" s="245"/>
      <c r="Y1519" s="187"/>
      <c r="Z1519" s="245"/>
      <c r="AA1519" s="245"/>
      <c r="AB1519" s="332"/>
      <c r="AD1519" s="245"/>
      <c r="AE1519" s="245"/>
      <c r="AF1519" s="245"/>
      <c r="AG1519" s="245"/>
    </row>
    <row r="1520" spans="1:33">
      <c r="L1520" s="123"/>
      <c r="S1520" s="369"/>
    </row>
    <row r="1521" spans="1:33" ht="26.4">
      <c r="A1521" s="246"/>
      <c r="B1521" s="245"/>
      <c r="C1521" s="245"/>
      <c r="D1521" s="245"/>
      <c r="E1521" s="245"/>
      <c r="F1521" s="187"/>
      <c r="G1521" s="245"/>
      <c r="H1521" s="245"/>
      <c r="I1521" s="245"/>
      <c r="L1521" s="123"/>
      <c r="P1521" s="366"/>
      <c r="R1521" s="355"/>
      <c r="S1521" s="369"/>
      <c r="T1521" s="324"/>
      <c r="U1521" s="85" ph="1"/>
      <c r="W1521" s="216"/>
      <c r="X1521" s="245"/>
      <c r="Y1521" s="187"/>
      <c r="Z1521" s="245"/>
      <c r="AA1521" s="245"/>
      <c r="AB1521" s="332"/>
      <c r="AD1521" s="245"/>
      <c r="AE1521" s="245"/>
      <c r="AF1521" s="245"/>
      <c r="AG1521" s="245"/>
    </row>
    <row r="1522" spans="1:33" ht="26.4">
      <c r="A1522" s="246"/>
      <c r="B1522" s="245"/>
      <c r="C1522" s="245"/>
      <c r="D1522" s="245"/>
      <c r="E1522" s="245"/>
      <c r="F1522" s="187"/>
      <c r="G1522" s="245"/>
      <c r="H1522" s="245"/>
      <c r="I1522" s="245"/>
      <c r="L1522" s="123"/>
      <c r="P1522" s="366"/>
      <c r="R1522" s="355"/>
      <c r="S1522" s="369"/>
      <c r="T1522" s="324"/>
      <c r="U1522" s="85" ph="1"/>
      <c r="W1522" s="216"/>
      <c r="X1522" s="245"/>
      <c r="Y1522" s="187"/>
      <c r="Z1522" s="245"/>
      <c r="AA1522" s="245"/>
      <c r="AB1522" s="332"/>
      <c r="AD1522" s="245"/>
      <c r="AE1522" s="245"/>
      <c r="AF1522" s="245"/>
      <c r="AG1522" s="245"/>
    </row>
    <row r="1523" spans="1:33" ht="26.4">
      <c r="A1523" s="246"/>
      <c r="B1523" s="245"/>
      <c r="C1523" s="245"/>
      <c r="D1523" s="245"/>
      <c r="E1523" s="245"/>
      <c r="F1523" s="187"/>
      <c r="G1523" s="245"/>
      <c r="H1523" s="245"/>
      <c r="I1523" s="245"/>
      <c r="L1523" s="123"/>
      <c r="P1523" s="366"/>
      <c r="R1523" s="355"/>
      <c r="S1523" s="369"/>
      <c r="T1523" s="324"/>
      <c r="U1523" s="85" ph="1"/>
      <c r="W1523" s="216"/>
      <c r="X1523" s="245"/>
      <c r="Y1523" s="187"/>
      <c r="Z1523" s="245"/>
      <c r="AA1523" s="245"/>
      <c r="AB1523" s="332"/>
      <c r="AD1523" s="245"/>
      <c r="AE1523" s="245"/>
      <c r="AF1523" s="245"/>
      <c r="AG1523" s="245"/>
    </row>
    <row r="1524" spans="1:33" ht="26.4">
      <c r="A1524" s="246"/>
      <c r="B1524" s="245"/>
      <c r="C1524" s="245"/>
      <c r="D1524" s="245"/>
      <c r="E1524" s="245"/>
      <c r="F1524" s="187"/>
      <c r="G1524" s="245"/>
      <c r="H1524" s="245"/>
      <c r="I1524" s="245"/>
      <c r="L1524" s="123"/>
      <c r="S1524" s="369"/>
      <c r="T1524" s="324"/>
      <c r="U1524" s="85" ph="1"/>
      <c r="W1524" s="216"/>
      <c r="X1524" s="245"/>
      <c r="Y1524" s="187"/>
      <c r="Z1524" s="245"/>
      <c r="AA1524" s="245"/>
      <c r="AB1524" s="332"/>
      <c r="AD1524" s="245"/>
      <c r="AE1524" s="245"/>
      <c r="AF1524" s="245"/>
      <c r="AG1524" s="245"/>
    </row>
    <row r="1525" spans="1:33" ht="26.4">
      <c r="A1525" s="246"/>
      <c r="B1525" s="245"/>
      <c r="C1525" s="245"/>
      <c r="D1525" s="245"/>
      <c r="E1525" s="245"/>
      <c r="F1525" s="187"/>
      <c r="G1525" s="245"/>
      <c r="H1525" s="245"/>
      <c r="I1525" s="245"/>
      <c r="L1525" s="123"/>
      <c r="P1525" s="366"/>
      <c r="R1525" s="355"/>
      <c r="S1525" s="369"/>
      <c r="T1525" s="324"/>
      <c r="U1525" s="85" ph="1"/>
      <c r="W1525" s="216"/>
      <c r="X1525" s="245"/>
      <c r="Y1525" s="187"/>
      <c r="Z1525" s="245"/>
      <c r="AA1525" s="245"/>
      <c r="AB1525" s="332"/>
      <c r="AD1525" s="245"/>
      <c r="AE1525" s="245"/>
      <c r="AF1525" s="245"/>
      <c r="AG1525" s="245"/>
    </row>
    <row r="1526" spans="1:33" ht="26.4">
      <c r="A1526" s="246"/>
      <c r="B1526" s="245"/>
      <c r="C1526" s="245"/>
      <c r="D1526" s="245"/>
      <c r="E1526" s="245"/>
      <c r="F1526" s="187"/>
      <c r="G1526" s="245"/>
      <c r="H1526" s="245"/>
      <c r="I1526" s="245"/>
      <c r="L1526" s="123"/>
      <c r="P1526" s="366"/>
      <c r="R1526" s="355"/>
      <c r="S1526" s="369"/>
      <c r="T1526" s="324"/>
      <c r="U1526" s="85" ph="1"/>
      <c r="W1526" s="216"/>
      <c r="X1526" s="245"/>
      <c r="Y1526" s="187"/>
      <c r="Z1526" s="245"/>
      <c r="AA1526" s="245"/>
      <c r="AB1526" s="332"/>
      <c r="AD1526" s="245"/>
      <c r="AE1526" s="245"/>
      <c r="AF1526" s="245"/>
      <c r="AG1526" s="245"/>
    </row>
    <row r="1527" spans="1:33" ht="26.4">
      <c r="A1527" s="246"/>
      <c r="B1527" s="245"/>
      <c r="C1527" s="245"/>
      <c r="D1527" s="245"/>
      <c r="E1527" s="245"/>
      <c r="F1527" s="187"/>
      <c r="G1527" s="245"/>
      <c r="H1527" s="245"/>
      <c r="I1527" s="245"/>
      <c r="L1527" s="123"/>
      <c r="S1527" s="369"/>
      <c r="T1527" s="324"/>
      <c r="U1527" s="85" ph="1"/>
      <c r="W1527" s="216"/>
      <c r="X1527" s="245"/>
      <c r="Y1527" s="187"/>
      <c r="Z1527" s="245"/>
      <c r="AA1527" s="245"/>
      <c r="AB1527" s="332"/>
      <c r="AD1527" s="245"/>
      <c r="AE1527" s="245"/>
      <c r="AF1527" s="245"/>
      <c r="AG1527" s="245"/>
    </row>
    <row r="1528" spans="1:33" ht="26.4">
      <c r="A1528" s="246"/>
      <c r="B1528" s="245"/>
      <c r="C1528" s="245"/>
      <c r="D1528" s="245"/>
      <c r="E1528" s="245"/>
      <c r="F1528" s="187"/>
      <c r="G1528" s="245"/>
      <c r="H1528" s="245"/>
      <c r="I1528" s="245"/>
      <c r="L1528" s="123"/>
      <c r="P1528" s="366"/>
      <c r="R1528" s="355"/>
      <c r="S1528" s="369"/>
      <c r="T1528" s="324"/>
      <c r="U1528" s="85" ph="1"/>
      <c r="W1528" s="216"/>
      <c r="X1528" s="245"/>
      <c r="Y1528" s="187"/>
      <c r="Z1528" s="245"/>
      <c r="AA1528" s="245"/>
      <c r="AB1528" s="332"/>
      <c r="AD1528" s="245"/>
      <c r="AE1528" s="245"/>
      <c r="AF1528" s="245"/>
      <c r="AG1528" s="245"/>
    </row>
    <row r="1529" spans="1:33" ht="26.4">
      <c r="A1529" s="246"/>
      <c r="B1529" s="245"/>
      <c r="C1529" s="245"/>
      <c r="D1529" s="245"/>
      <c r="E1529" s="245"/>
      <c r="F1529" s="187"/>
      <c r="G1529" s="245"/>
      <c r="H1529" s="245"/>
      <c r="I1529" s="245"/>
      <c r="L1529" s="120"/>
      <c r="S1529" s="369"/>
      <c r="T1529" s="324"/>
      <c r="U1529" s="85" ph="1"/>
      <c r="W1529" s="216"/>
      <c r="X1529" s="245"/>
      <c r="Y1529" s="187"/>
      <c r="Z1529" s="245"/>
      <c r="AA1529" s="245"/>
      <c r="AB1529" s="332"/>
      <c r="AD1529" s="245"/>
      <c r="AE1529" s="245"/>
      <c r="AF1529" s="245"/>
      <c r="AG1529" s="245"/>
    </row>
    <row r="1530" spans="1:33" ht="26.4">
      <c r="A1530" s="246"/>
      <c r="B1530" s="245"/>
      <c r="C1530" s="245"/>
      <c r="D1530" s="245"/>
      <c r="E1530" s="245"/>
      <c r="F1530" s="187"/>
      <c r="G1530" s="245"/>
      <c r="H1530" s="245"/>
      <c r="I1530" s="245"/>
      <c r="L1530" s="123"/>
      <c r="P1530" s="366"/>
      <c r="R1530" s="355"/>
      <c r="S1530" s="369"/>
      <c r="T1530" s="324"/>
      <c r="U1530" s="85" ph="1"/>
      <c r="W1530" s="216"/>
      <c r="X1530" s="245"/>
      <c r="Y1530" s="187"/>
      <c r="Z1530" s="245"/>
      <c r="AA1530" s="245"/>
      <c r="AB1530" s="332"/>
      <c r="AD1530" s="245"/>
      <c r="AE1530" s="245"/>
      <c r="AF1530" s="245"/>
      <c r="AG1530" s="245"/>
    </row>
    <row r="1531" spans="1:33" ht="26.4">
      <c r="A1531" s="246"/>
      <c r="B1531" s="245"/>
      <c r="C1531" s="245"/>
      <c r="D1531" s="245"/>
      <c r="E1531" s="245"/>
      <c r="F1531" s="187"/>
      <c r="G1531" s="245"/>
      <c r="H1531" s="245"/>
      <c r="I1531" s="245"/>
      <c r="L1531" s="123"/>
      <c r="P1531" s="366"/>
      <c r="R1531" s="355"/>
      <c r="S1531" s="369"/>
      <c r="T1531" s="324"/>
      <c r="U1531" s="85" ph="1"/>
      <c r="W1531" s="216"/>
      <c r="X1531" s="245"/>
      <c r="Y1531" s="187"/>
      <c r="Z1531" s="245"/>
      <c r="AA1531" s="245"/>
      <c r="AB1531" s="332"/>
      <c r="AD1531" s="245"/>
      <c r="AE1531" s="245"/>
      <c r="AF1531" s="245"/>
      <c r="AG1531" s="245"/>
    </row>
    <row r="1532" spans="1:33">
      <c r="L1532" s="123"/>
      <c r="P1532" s="366"/>
      <c r="R1532" s="355"/>
      <c r="S1532" s="369"/>
    </row>
    <row r="1533" spans="1:33" ht="26.4">
      <c r="A1533" s="246"/>
      <c r="B1533" s="245"/>
      <c r="C1533" s="245"/>
      <c r="D1533" s="245"/>
      <c r="E1533" s="245"/>
      <c r="F1533" s="187"/>
      <c r="G1533" s="245"/>
      <c r="H1533" s="245"/>
      <c r="I1533" s="245"/>
      <c r="L1533" s="123"/>
      <c r="P1533" s="366"/>
      <c r="R1533" s="355"/>
      <c r="S1533" s="369"/>
      <c r="T1533" s="324"/>
      <c r="U1533" s="85" ph="1"/>
      <c r="W1533" s="216"/>
      <c r="X1533" s="245"/>
      <c r="Y1533" s="187"/>
      <c r="Z1533" s="245"/>
      <c r="AA1533" s="245"/>
      <c r="AB1533" s="332"/>
      <c r="AD1533" s="245"/>
      <c r="AE1533" s="245"/>
      <c r="AF1533" s="245"/>
      <c r="AG1533" s="245"/>
    </row>
    <row r="1534" spans="1:33" ht="26.4">
      <c r="A1534" s="246"/>
      <c r="B1534" s="245"/>
      <c r="C1534" s="245"/>
      <c r="D1534" s="245"/>
      <c r="E1534" s="245"/>
      <c r="F1534" s="187"/>
      <c r="G1534" s="245"/>
      <c r="H1534" s="245"/>
      <c r="I1534" s="245"/>
      <c r="L1534" s="123"/>
      <c r="P1534" s="366"/>
      <c r="R1534" s="355"/>
      <c r="S1534" s="369"/>
      <c r="T1534" s="324"/>
      <c r="U1534" s="85" ph="1"/>
      <c r="W1534" s="216"/>
      <c r="X1534" s="245"/>
      <c r="Y1534" s="187"/>
      <c r="Z1534" s="245"/>
      <c r="AA1534" s="245"/>
      <c r="AB1534" s="332"/>
      <c r="AD1534" s="245"/>
      <c r="AE1534" s="245"/>
      <c r="AF1534" s="245"/>
      <c r="AG1534" s="245"/>
    </row>
    <row r="1535" spans="1:33" ht="26.4">
      <c r="A1535" s="246"/>
      <c r="B1535" s="245"/>
      <c r="C1535" s="245"/>
      <c r="D1535" s="245"/>
      <c r="E1535" s="245"/>
      <c r="F1535" s="187"/>
      <c r="G1535" s="245"/>
      <c r="H1535" s="245"/>
      <c r="I1535" s="245"/>
      <c r="L1535" s="123"/>
      <c r="P1535" s="366"/>
      <c r="R1535" s="355"/>
      <c r="S1535" s="369"/>
      <c r="T1535" s="324"/>
      <c r="U1535" s="85" ph="1"/>
      <c r="W1535" s="216"/>
      <c r="X1535" s="245"/>
      <c r="Y1535" s="187"/>
      <c r="Z1535" s="245"/>
      <c r="AA1535" s="245"/>
      <c r="AB1535" s="332"/>
      <c r="AD1535" s="245"/>
      <c r="AE1535" s="245"/>
      <c r="AF1535" s="245"/>
      <c r="AG1535" s="245"/>
    </row>
    <row r="1536" spans="1:33" ht="26.4">
      <c r="A1536" s="246"/>
      <c r="B1536" s="245"/>
      <c r="C1536" s="245"/>
      <c r="D1536" s="245"/>
      <c r="E1536" s="245"/>
      <c r="F1536" s="187"/>
      <c r="G1536" s="245"/>
      <c r="H1536" s="245"/>
      <c r="I1536" s="245"/>
      <c r="L1536" s="123"/>
      <c r="P1536" s="366"/>
      <c r="R1536" s="355"/>
      <c r="S1536" s="369"/>
      <c r="T1536" s="324"/>
      <c r="U1536" s="85" ph="1"/>
      <c r="W1536" s="216"/>
      <c r="X1536" s="245"/>
      <c r="Y1536" s="187"/>
      <c r="Z1536" s="245"/>
      <c r="AA1536" s="245"/>
      <c r="AB1536" s="332"/>
      <c r="AD1536" s="245"/>
      <c r="AE1536" s="245"/>
      <c r="AF1536" s="245"/>
      <c r="AG1536" s="245"/>
    </row>
    <row r="1537" spans="1:33" ht="26.4">
      <c r="A1537" s="246"/>
      <c r="B1537" s="245"/>
      <c r="C1537" s="245"/>
      <c r="D1537" s="245"/>
      <c r="E1537" s="245"/>
      <c r="F1537" s="187"/>
      <c r="G1537" s="245"/>
      <c r="H1537" s="245"/>
      <c r="I1537" s="245"/>
      <c r="L1537" s="123"/>
      <c r="P1537" s="366"/>
      <c r="R1537" s="355"/>
      <c r="S1537" s="369"/>
      <c r="T1537" s="324"/>
      <c r="U1537" s="85" ph="1"/>
      <c r="W1537" s="216"/>
      <c r="X1537" s="245"/>
      <c r="Y1537" s="187"/>
      <c r="Z1537" s="245"/>
      <c r="AA1537" s="245"/>
      <c r="AB1537" s="332"/>
      <c r="AD1537" s="245"/>
      <c r="AE1537" s="245"/>
      <c r="AF1537" s="245"/>
      <c r="AG1537" s="245"/>
    </row>
    <row r="1538" spans="1:33" ht="26.4">
      <c r="A1538" s="246"/>
      <c r="B1538" s="245"/>
      <c r="C1538" s="245"/>
      <c r="D1538" s="245"/>
      <c r="E1538" s="245"/>
      <c r="F1538" s="187"/>
      <c r="G1538" s="245"/>
      <c r="H1538" s="245"/>
      <c r="I1538" s="245"/>
      <c r="L1538" s="123"/>
      <c r="P1538" s="366"/>
      <c r="R1538" s="355"/>
      <c r="S1538" s="369"/>
      <c r="T1538" s="324"/>
      <c r="U1538" s="85" ph="1"/>
      <c r="W1538" s="216"/>
      <c r="X1538" s="245"/>
      <c r="Y1538" s="187"/>
      <c r="Z1538" s="245"/>
      <c r="AA1538" s="245"/>
      <c r="AB1538" s="332"/>
      <c r="AD1538" s="245"/>
      <c r="AE1538" s="245"/>
      <c r="AF1538" s="245"/>
      <c r="AG1538" s="245"/>
    </row>
    <row r="1539" spans="1:33" ht="26.4">
      <c r="A1539" s="246"/>
      <c r="B1539" s="245"/>
      <c r="C1539" s="245"/>
      <c r="D1539" s="245"/>
      <c r="E1539" s="245"/>
      <c r="F1539" s="187"/>
      <c r="G1539" s="245"/>
      <c r="H1539" s="245"/>
      <c r="I1539" s="245"/>
      <c r="L1539" s="123"/>
      <c r="P1539" s="366"/>
      <c r="R1539" s="355"/>
      <c r="S1539" s="369"/>
      <c r="T1539" s="324"/>
      <c r="U1539" s="85" ph="1"/>
      <c r="W1539" s="216"/>
      <c r="X1539" s="245"/>
      <c r="Y1539" s="187"/>
      <c r="Z1539" s="245"/>
      <c r="AA1539" s="245"/>
      <c r="AB1539" s="332"/>
      <c r="AD1539" s="245"/>
      <c r="AE1539" s="245"/>
      <c r="AF1539" s="245"/>
      <c r="AG1539" s="245"/>
    </row>
    <row r="1540" spans="1:33" ht="26.4">
      <c r="A1540" s="246"/>
      <c r="B1540" s="245"/>
      <c r="C1540" s="245"/>
      <c r="D1540" s="245"/>
      <c r="E1540" s="245"/>
      <c r="F1540" s="187"/>
      <c r="G1540" s="245"/>
      <c r="H1540" s="245"/>
      <c r="I1540" s="245"/>
      <c r="L1540" s="123"/>
      <c r="S1540" s="369"/>
      <c r="T1540" s="324"/>
      <c r="U1540" s="85" ph="1"/>
      <c r="W1540" s="216"/>
      <c r="X1540" s="245"/>
      <c r="Y1540" s="187"/>
      <c r="Z1540" s="245"/>
      <c r="AA1540" s="245"/>
      <c r="AB1540" s="332"/>
      <c r="AD1540" s="245"/>
      <c r="AE1540" s="245"/>
      <c r="AF1540" s="245"/>
      <c r="AG1540" s="245"/>
    </row>
    <row r="1541" spans="1:33">
      <c r="L1541" s="123"/>
      <c r="P1541" s="366"/>
      <c r="R1541" s="355"/>
      <c r="S1541" s="369"/>
    </row>
    <row r="1542" spans="1:33" ht="26.4">
      <c r="A1542" s="246"/>
      <c r="B1542" s="245"/>
      <c r="C1542" s="245"/>
      <c r="D1542" s="245"/>
      <c r="E1542" s="245"/>
      <c r="F1542" s="187"/>
      <c r="G1542" s="245"/>
      <c r="H1542" s="245"/>
      <c r="I1542" s="245"/>
      <c r="L1542" s="123"/>
      <c r="P1542" s="366"/>
      <c r="R1542" s="355"/>
      <c r="S1542" s="369"/>
      <c r="T1542" s="324"/>
      <c r="U1542" s="85" ph="1"/>
      <c r="W1542" s="216"/>
      <c r="X1542" s="245"/>
      <c r="Y1542" s="187"/>
      <c r="Z1542" s="245"/>
      <c r="AA1542" s="245"/>
      <c r="AB1542" s="332"/>
      <c r="AD1542" s="245"/>
      <c r="AE1542" s="245"/>
      <c r="AF1542" s="245"/>
      <c r="AG1542" s="245"/>
    </row>
    <row r="1543" spans="1:33" ht="26.4">
      <c r="A1543" s="246"/>
      <c r="B1543" s="245"/>
      <c r="C1543" s="245"/>
      <c r="D1543" s="245"/>
      <c r="E1543" s="245"/>
      <c r="F1543" s="187"/>
      <c r="G1543" s="245"/>
      <c r="H1543" s="245"/>
      <c r="I1543" s="245"/>
      <c r="L1543" s="123"/>
      <c r="P1543" s="366"/>
      <c r="R1543" s="355"/>
      <c r="S1543" s="369"/>
      <c r="T1543" s="324"/>
      <c r="U1543" s="85" ph="1"/>
      <c r="W1543" s="216"/>
      <c r="X1543" s="245"/>
      <c r="Y1543" s="187"/>
      <c r="Z1543" s="245"/>
      <c r="AA1543" s="245"/>
      <c r="AB1543" s="332"/>
      <c r="AD1543" s="245"/>
      <c r="AE1543" s="245"/>
      <c r="AF1543" s="245"/>
      <c r="AG1543" s="245"/>
    </row>
    <row r="1544" spans="1:33" ht="26.4">
      <c r="A1544" s="246"/>
      <c r="B1544" s="245"/>
      <c r="C1544" s="245"/>
      <c r="D1544" s="245"/>
      <c r="E1544" s="245"/>
      <c r="F1544" s="187"/>
      <c r="G1544" s="245"/>
      <c r="H1544" s="245"/>
      <c r="I1544" s="245"/>
      <c r="L1544" s="123"/>
      <c r="P1544" s="366"/>
      <c r="R1544" s="355"/>
      <c r="S1544" s="369"/>
      <c r="T1544" s="324"/>
      <c r="U1544" s="85" ph="1"/>
      <c r="W1544" s="216"/>
      <c r="X1544" s="245"/>
      <c r="Y1544" s="187"/>
      <c r="Z1544" s="245"/>
      <c r="AA1544" s="245"/>
      <c r="AB1544" s="332"/>
      <c r="AD1544" s="245"/>
      <c r="AE1544" s="245"/>
      <c r="AF1544" s="245"/>
      <c r="AG1544" s="245"/>
    </row>
    <row r="1545" spans="1:33" ht="26.4">
      <c r="A1545" s="246"/>
      <c r="B1545" s="245"/>
      <c r="C1545" s="245"/>
      <c r="D1545" s="245"/>
      <c r="E1545" s="245"/>
      <c r="F1545" s="187"/>
      <c r="G1545" s="245"/>
      <c r="H1545" s="245"/>
      <c r="I1545" s="245"/>
      <c r="L1545" s="123"/>
      <c r="P1545" s="366"/>
      <c r="R1545" s="355"/>
      <c r="S1545" s="369"/>
      <c r="T1545" s="324"/>
      <c r="U1545" s="85" ph="1"/>
      <c r="W1545" s="216"/>
      <c r="X1545" s="245"/>
      <c r="Y1545" s="187"/>
      <c r="Z1545" s="245"/>
      <c r="AA1545" s="245"/>
      <c r="AB1545" s="332"/>
      <c r="AD1545" s="245"/>
      <c r="AE1545" s="245"/>
      <c r="AF1545" s="245"/>
      <c r="AG1545" s="245"/>
    </row>
    <row r="1546" spans="1:33" ht="26.4">
      <c r="A1546" s="246"/>
      <c r="B1546" s="245"/>
      <c r="C1546" s="245"/>
      <c r="D1546" s="245"/>
      <c r="E1546" s="245"/>
      <c r="F1546" s="187"/>
      <c r="G1546" s="245"/>
      <c r="H1546" s="245"/>
      <c r="I1546" s="245"/>
      <c r="L1546" s="123"/>
      <c r="P1546" s="366"/>
      <c r="R1546" s="355"/>
      <c r="S1546" s="369"/>
      <c r="T1546" s="324"/>
      <c r="U1546" s="85" ph="1"/>
      <c r="W1546" s="216"/>
      <c r="X1546" s="245"/>
      <c r="Y1546" s="187"/>
      <c r="Z1546" s="245"/>
      <c r="AA1546" s="245"/>
      <c r="AB1546" s="332"/>
      <c r="AD1546" s="245"/>
      <c r="AE1546" s="245"/>
      <c r="AF1546" s="245"/>
      <c r="AG1546" s="245"/>
    </row>
    <row r="1547" spans="1:33" ht="26.4">
      <c r="A1547" s="246"/>
      <c r="B1547" s="245"/>
      <c r="C1547" s="245"/>
      <c r="D1547" s="245"/>
      <c r="E1547" s="245"/>
      <c r="F1547" s="187"/>
      <c r="G1547" s="245"/>
      <c r="H1547" s="245"/>
      <c r="I1547" s="245"/>
      <c r="L1547" s="123"/>
      <c r="P1547" s="366"/>
      <c r="R1547" s="355"/>
      <c r="S1547" s="369"/>
      <c r="T1547" s="324"/>
      <c r="U1547" s="85" ph="1"/>
      <c r="W1547" s="216"/>
      <c r="X1547" s="245"/>
      <c r="Y1547" s="187"/>
      <c r="Z1547" s="245"/>
      <c r="AA1547" s="245"/>
      <c r="AB1547" s="332"/>
      <c r="AD1547" s="245"/>
      <c r="AE1547" s="245"/>
      <c r="AF1547" s="245"/>
      <c r="AG1547" s="245"/>
    </row>
    <row r="1548" spans="1:33" ht="26.4">
      <c r="A1548" s="246"/>
      <c r="B1548" s="245"/>
      <c r="C1548" s="245"/>
      <c r="D1548" s="245"/>
      <c r="E1548" s="245"/>
      <c r="F1548" s="187"/>
      <c r="G1548" s="245"/>
      <c r="H1548" s="245"/>
      <c r="I1548" s="245"/>
      <c r="L1548" s="123"/>
      <c r="P1548" s="366"/>
      <c r="R1548" s="355"/>
      <c r="S1548" s="369"/>
      <c r="T1548" s="324"/>
      <c r="U1548" s="85" ph="1"/>
      <c r="W1548" s="216"/>
      <c r="X1548" s="245"/>
      <c r="Y1548" s="187"/>
      <c r="Z1548" s="245"/>
      <c r="AA1548" s="245"/>
      <c r="AB1548" s="332"/>
      <c r="AD1548" s="245"/>
      <c r="AE1548" s="245"/>
      <c r="AF1548" s="245"/>
      <c r="AG1548" s="245"/>
    </row>
    <row r="1549" spans="1:33" ht="26.4">
      <c r="A1549" s="246"/>
      <c r="B1549" s="245"/>
      <c r="C1549" s="245"/>
      <c r="D1549" s="245"/>
      <c r="E1549" s="245"/>
      <c r="F1549" s="187"/>
      <c r="G1549" s="245"/>
      <c r="H1549" s="245"/>
      <c r="I1549" s="245"/>
      <c r="L1549" s="123"/>
      <c r="S1549" s="369"/>
      <c r="T1549" s="324"/>
      <c r="U1549" s="85" ph="1"/>
      <c r="W1549" s="216"/>
      <c r="X1549" s="245"/>
      <c r="Y1549" s="187"/>
      <c r="Z1549" s="245"/>
      <c r="AA1549" s="245"/>
      <c r="AB1549" s="332"/>
      <c r="AD1549" s="245"/>
      <c r="AE1549" s="245"/>
      <c r="AF1549" s="245"/>
      <c r="AG1549" s="245"/>
    </row>
    <row r="1550" spans="1:33" ht="26.4">
      <c r="A1550" s="246"/>
      <c r="B1550" s="245"/>
      <c r="C1550" s="245"/>
      <c r="D1550" s="245"/>
      <c r="E1550" s="245"/>
      <c r="F1550" s="187"/>
      <c r="G1550" s="245"/>
      <c r="H1550" s="245"/>
      <c r="I1550" s="245"/>
      <c r="L1550" s="123"/>
      <c r="P1550" s="366"/>
      <c r="R1550" s="355"/>
      <c r="S1550" s="369"/>
      <c r="T1550" s="324"/>
      <c r="U1550" s="85" ph="1"/>
      <c r="W1550" s="216"/>
      <c r="X1550" s="245"/>
      <c r="Y1550" s="187"/>
      <c r="Z1550" s="245"/>
      <c r="AA1550" s="245"/>
      <c r="AB1550" s="332"/>
      <c r="AD1550" s="245"/>
      <c r="AE1550" s="245"/>
      <c r="AF1550" s="245"/>
      <c r="AG1550" s="245"/>
    </row>
    <row r="1551" spans="1:33" ht="26.4">
      <c r="A1551" s="246"/>
      <c r="B1551" s="245"/>
      <c r="C1551" s="245"/>
      <c r="D1551" s="245"/>
      <c r="E1551" s="245"/>
      <c r="F1551" s="187"/>
      <c r="G1551" s="245"/>
      <c r="H1551" s="245"/>
      <c r="I1551" s="245"/>
      <c r="L1551" s="123"/>
      <c r="P1551" s="366"/>
      <c r="R1551" s="355"/>
      <c r="S1551" s="369"/>
      <c r="T1551" s="324"/>
      <c r="U1551" s="85" ph="1"/>
      <c r="W1551" s="216"/>
      <c r="X1551" s="245"/>
      <c r="Y1551" s="187"/>
      <c r="Z1551" s="245"/>
      <c r="AA1551" s="245"/>
      <c r="AB1551" s="332"/>
      <c r="AD1551" s="245"/>
      <c r="AE1551" s="245"/>
      <c r="AF1551" s="245"/>
      <c r="AG1551" s="245"/>
    </row>
    <row r="1552" spans="1:33" ht="26.4">
      <c r="A1552" s="246"/>
      <c r="B1552" s="245"/>
      <c r="C1552" s="245"/>
      <c r="D1552" s="245"/>
      <c r="E1552" s="245"/>
      <c r="F1552" s="187"/>
      <c r="G1552" s="245"/>
      <c r="H1552" s="245"/>
      <c r="I1552" s="245"/>
      <c r="L1552" s="123"/>
      <c r="P1552" s="366"/>
      <c r="R1552" s="355"/>
      <c r="S1552" s="369"/>
      <c r="T1552" s="324"/>
      <c r="U1552" s="85" ph="1"/>
      <c r="W1552" s="216"/>
      <c r="X1552" s="245"/>
      <c r="Y1552" s="187"/>
      <c r="Z1552" s="245"/>
      <c r="AA1552" s="245"/>
      <c r="AB1552" s="332"/>
      <c r="AD1552" s="245"/>
      <c r="AE1552" s="245"/>
      <c r="AF1552" s="245"/>
      <c r="AG1552" s="245"/>
    </row>
    <row r="1553" spans="1:33" ht="26.4">
      <c r="A1553" s="246"/>
      <c r="B1553" s="245"/>
      <c r="C1553" s="245"/>
      <c r="D1553" s="245"/>
      <c r="E1553" s="245"/>
      <c r="F1553" s="187"/>
      <c r="G1553" s="245"/>
      <c r="H1553" s="245"/>
      <c r="I1553" s="245"/>
      <c r="L1553" s="245"/>
      <c r="P1553" s="366"/>
      <c r="R1553" s="355"/>
      <c r="S1553" s="369"/>
      <c r="T1553" s="324"/>
      <c r="U1553" s="85" ph="1"/>
      <c r="W1553" s="216"/>
      <c r="X1553" s="245"/>
      <c r="Y1553" s="187"/>
      <c r="Z1553" s="245"/>
      <c r="AA1553" s="245"/>
      <c r="AB1553" s="332"/>
      <c r="AD1553" s="245"/>
      <c r="AE1553" s="245"/>
      <c r="AF1553" s="245"/>
      <c r="AG1553" s="245"/>
    </row>
    <row r="1554" spans="1:33" ht="26.4">
      <c r="A1554" s="246"/>
      <c r="B1554" s="245"/>
      <c r="C1554" s="245"/>
      <c r="D1554" s="245"/>
      <c r="E1554" s="245"/>
      <c r="F1554" s="187"/>
      <c r="G1554" s="245"/>
      <c r="H1554" s="245"/>
      <c r="I1554" s="245"/>
      <c r="L1554" s="123"/>
      <c r="P1554" s="366"/>
      <c r="R1554" s="355"/>
      <c r="S1554" s="369"/>
      <c r="T1554" s="324"/>
      <c r="U1554" s="85" ph="1"/>
      <c r="W1554" s="216"/>
      <c r="X1554" s="245"/>
      <c r="Y1554" s="187"/>
      <c r="Z1554" s="245"/>
      <c r="AA1554" s="245"/>
      <c r="AB1554" s="332"/>
      <c r="AD1554" s="245"/>
      <c r="AE1554" s="245"/>
      <c r="AF1554" s="245"/>
      <c r="AG1554" s="245"/>
    </row>
    <row r="1555" spans="1:33" ht="26.4">
      <c r="A1555" s="246"/>
      <c r="B1555" s="245"/>
      <c r="C1555" s="245"/>
      <c r="D1555" s="245"/>
      <c r="E1555" s="245"/>
      <c r="F1555" s="187"/>
      <c r="G1555" s="245"/>
      <c r="H1555" s="245"/>
      <c r="I1555" s="245"/>
      <c r="L1555" s="123"/>
      <c r="P1555" s="366"/>
      <c r="R1555" s="355"/>
      <c r="S1555" s="369"/>
      <c r="T1555" s="324"/>
      <c r="U1555" s="85" ph="1"/>
      <c r="W1555" s="216"/>
      <c r="X1555" s="245"/>
      <c r="Y1555" s="187"/>
      <c r="Z1555" s="245"/>
      <c r="AA1555" s="245"/>
      <c r="AB1555" s="332"/>
      <c r="AD1555" s="245"/>
      <c r="AE1555" s="245"/>
      <c r="AF1555" s="245"/>
      <c r="AG1555" s="245"/>
    </row>
    <row r="1556" spans="1:33" ht="26.4">
      <c r="A1556" s="246"/>
      <c r="B1556" s="245"/>
      <c r="C1556" s="245"/>
      <c r="D1556" s="245"/>
      <c r="E1556" s="245"/>
      <c r="F1556" s="187"/>
      <c r="G1556" s="245"/>
      <c r="H1556" s="245"/>
      <c r="I1556" s="245"/>
      <c r="L1556" s="123"/>
      <c r="P1556" s="366"/>
      <c r="R1556" s="355"/>
      <c r="S1556" s="369"/>
      <c r="T1556" s="324"/>
      <c r="U1556" s="85" ph="1"/>
      <c r="W1556" s="216"/>
      <c r="X1556" s="245"/>
      <c r="Y1556" s="187"/>
      <c r="Z1556" s="245"/>
      <c r="AA1556" s="245"/>
      <c r="AB1556" s="332"/>
      <c r="AD1556" s="245"/>
      <c r="AE1556" s="245"/>
      <c r="AF1556" s="245"/>
      <c r="AG1556" s="245"/>
    </row>
    <row r="1557" spans="1:33" ht="26.4">
      <c r="A1557" s="246"/>
      <c r="B1557" s="245"/>
      <c r="C1557" s="245"/>
      <c r="D1557" s="245"/>
      <c r="E1557" s="245"/>
      <c r="F1557" s="187"/>
      <c r="G1557" s="245"/>
      <c r="H1557" s="245"/>
      <c r="I1557" s="245"/>
      <c r="L1557" s="123"/>
      <c r="P1557" s="366"/>
      <c r="R1557" s="355"/>
      <c r="S1557" s="369"/>
      <c r="T1557" s="324"/>
      <c r="U1557" s="85" ph="1"/>
      <c r="W1557" s="216"/>
      <c r="X1557" s="245"/>
      <c r="Y1557" s="187"/>
      <c r="Z1557" s="245"/>
      <c r="AA1557" s="245"/>
      <c r="AB1557" s="332"/>
      <c r="AD1557" s="245"/>
      <c r="AE1557" s="245"/>
      <c r="AF1557" s="245"/>
      <c r="AG1557" s="245"/>
    </row>
    <row r="1558" spans="1:33" ht="26.4">
      <c r="A1558" s="246"/>
      <c r="B1558" s="245"/>
      <c r="C1558" s="245"/>
      <c r="D1558" s="245"/>
      <c r="E1558" s="245"/>
      <c r="F1558" s="187"/>
      <c r="G1558" s="245"/>
      <c r="H1558" s="245"/>
      <c r="I1558" s="245"/>
      <c r="L1558" s="245"/>
      <c r="P1558" s="366"/>
      <c r="R1558" s="355"/>
      <c r="S1558" s="369"/>
      <c r="T1558" s="324"/>
      <c r="U1558" s="85" ph="1"/>
      <c r="W1558" s="216"/>
      <c r="X1558" s="245"/>
      <c r="Y1558" s="187"/>
      <c r="Z1558" s="245"/>
      <c r="AA1558" s="245"/>
      <c r="AB1558" s="332"/>
      <c r="AD1558" s="245"/>
      <c r="AE1558" s="245"/>
      <c r="AF1558" s="245"/>
      <c r="AG1558" s="245"/>
    </row>
    <row r="1559" spans="1:33" ht="26.4">
      <c r="A1559" s="246"/>
      <c r="B1559" s="245"/>
      <c r="C1559" s="245"/>
      <c r="D1559" s="245"/>
      <c r="E1559" s="245"/>
      <c r="F1559" s="187"/>
      <c r="G1559" s="245"/>
      <c r="H1559" s="245"/>
      <c r="I1559" s="245"/>
      <c r="L1559" s="123"/>
      <c r="P1559" s="366"/>
      <c r="R1559" s="355"/>
      <c r="S1559" s="369"/>
      <c r="T1559" s="324"/>
      <c r="U1559" s="85" ph="1"/>
      <c r="W1559" s="216"/>
      <c r="X1559" s="245"/>
      <c r="Y1559" s="187"/>
      <c r="Z1559" s="245"/>
      <c r="AA1559" s="245"/>
      <c r="AB1559" s="332"/>
      <c r="AD1559" s="245"/>
      <c r="AE1559" s="245"/>
      <c r="AF1559" s="245"/>
      <c r="AG1559" s="245"/>
    </row>
    <row r="1560" spans="1:33" ht="26.4">
      <c r="A1560" s="246"/>
      <c r="B1560" s="245"/>
      <c r="C1560" s="245"/>
      <c r="D1560" s="245"/>
      <c r="E1560" s="245"/>
      <c r="F1560" s="187"/>
      <c r="G1560" s="245"/>
      <c r="H1560" s="245"/>
      <c r="I1560" s="245"/>
      <c r="L1560" s="123"/>
      <c r="P1560" s="366"/>
      <c r="R1560" s="355"/>
      <c r="S1560" s="369"/>
      <c r="T1560" s="324"/>
      <c r="U1560" s="85" ph="1"/>
      <c r="W1560" s="216"/>
      <c r="X1560" s="245"/>
      <c r="Y1560" s="187"/>
      <c r="Z1560" s="245"/>
      <c r="AA1560" s="245"/>
      <c r="AB1560" s="332"/>
      <c r="AD1560" s="245"/>
      <c r="AE1560" s="245"/>
      <c r="AF1560" s="245"/>
      <c r="AG1560" s="245"/>
    </row>
    <row r="1561" spans="1:33" ht="26.4">
      <c r="A1561" s="246"/>
      <c r="B1561" s="245"/>
      <c r="C1561" s="245"/>
      <c r="D1561" s="245"/>
      <c r="E1561" s="245"/>
      <c r="F1561" s="187"/>
      <c r="G1561" s="245"/>
      <c r="H1561" s="245"/>
      <c r="I1561" s="245"/>
      <c r="L1561" s="123"/>
      <c r="S1561" s="369"/>
      <c r="T1561" s="324"/>
      <c r="U1561" s="85" ph="1"/>
      <c r="W1561" s="216"/>
      <c r="X1561" s="245"/>
      <c r="Y1561" s="187"/>
      <c r="Z1561" s="245"/>
      <c r="AA1561" s="245"/>
      <c r="AB1561" s="332"/>
      <c r="AD1561" s="245"/>
      <c r="AE1561" s="245"/>
      <c r="AF1561" s="245"/>
      <c r="AG1561" s="245"/>
    </row>
    <row r="1562" spans="1:33" ht="26.4">
      <c r="A1562" s="246"/>
      <c r="B1562" s="245"/>
      <c r="C1562" s="245"/>
      <c r="D1562" s="245"/>
      <c r="E1562" s="245"/>
      <c r="F1562" s="187"/>
      <c r="G1562" s="245"/>
      <c r="H1562" s="245"/>
      <c r="I1562" s="245"/>
      <c r="L1562" s="123"/>
      <c r="P1562" s="366"/>
      <c r="R1562" s="355"/>
      <c r="S1562" s="369"/>
      <c r="T1562" s="324"/>
      <c r="U1562" s="85" ph="1"/>
      <c r="W1562" s="216"/>
      <c r="X1562" s="245"/>
      <c r="Y1562" s="187"/>
      <c r="Z1562" s="245"/>
      <c r="AA1562" s="245"/>
      <c r="AB1562" s="332"/>
      <c r="AD1562" s="245"/>
      <c r="AE1562" s="245"/>
      <c r="AF1562" s="245"/>
      <c r="AG1562" s="245"/>
    </row>
    <row r="1563" spans="1:33" ht="26.4">
      <c r="A1563" s="246"/>
      <c r="B1563" s="245"/>
      <c r="C1563" s="245"/>
      <c r="D1563" s="245"/>
      <c r="E1563" s="245"/>
      <c r="F1563" s="187"/>
      <c r="G1563" s="245"/>
      <c r="H1563" s="245"/>
      <c r="I1563" s="245"/>
      <c r="L1563" s="123"/>
      <c r="P1563" s="366"/>
      <c r="R1563" s="355"/>
      <c r="S1563" s="369"/>
      <c r="T1563" s="324"/>
      <c r="U1563" s="85" ph="1"/>
      <c r="W1563" s="216"/>
      <c r="X1563" s="245"/>
      <c r="Y1563" s="187"/>
      <c r="Z1563" s="245"/>
      <c r="AA1563" s="245"/>
      <c r="AB1563" s="332"/>
      <c r="AD1563" s="245"/>
      <c r="AE1563" s="245"/>
      <c r="AF1563" s="245"/>
      <c r="AG1563" s="245"/>
    </row>
    <row r="1564" spans="1:33" ht="26.4">
      <c r="A1564" s="246"/>
      <c r="B1564" s="245"/>
      <c r="C1564" s="245"/>
      <c r="D1564" s="245"/>
      <c r="E1564" s="245"/>
      <c r="F1564" s="187"/>
      <c r="G1564" s="245"/>
      <c r="H1564" s="245"/>
      <c r="I1564" s="245"/>
      <c r="L1564" s="123"/>
      <c r="P1564" s="366"/>
      <c r="R1564" s="355"/>
      <c r="S1564" s="369"/>
      <c r="T1564" s="324"/>
      <c r="U1564" s="85" ph="1"/>
      <c r="W1564" s="216"/>
      <c r="X1564" s="245"/>
      <c r="Y1564" s="187"/>
      <c r="Z1564" s="245"/>
      <c r="AA1564" s="245"/>
      <c r="AB1564" s="332"/>
      <c r="AD1564" s="245"/>
      <c r="AE1564" s="245"/>
      <c r="AF1564" s="245"/>
      <c r="AG1564" s="245"/>
    </row>
    <row r="1565" spans="1:33" ht="26.4">
      <c r="A1565" s="246"/>
      <c r="B1565" s="245"/>
      <c r="C1565" s="245"/>
      <c r="D1565" s="245"/>
      <c r="E1565" s="245"/>
      <c r="F1565" s="187"/>
      <c r="G1565" s="245"/>
      <c r="H1565" s="245"/>
      <c r="I1565" s="245"/>
      <c r="L1565" s="123"/>
      <c r="P1565" s="366"/>
      <c r="R1565" s="355"/>
      <c r="S1565" s="369"/>
      <c r="T1565" s="324"/>
      <c r="U1565" s="85" ph="1"/>
      <c r="W1565" s="216"/>
      <c r="X1565" s="245"/>
      <c r="Y1565" s="187"/>
      <c r="Z1565" s="245"/>
      <c r="AA1565" s="245"/>
      <c r="AB1565" s="332"/>
      <c r="AD1565" s="245"/>
      <c r="AE1565" s="245"/>
      <c r="AF1565" s="245"/>
      <c r="AG1565" s="245"/>
    </row>
    <row r="1566" spans="1:33" ht="26.4">
      <c r="A1566" s="246"/>
      <c r="B1566" s="245"/>
      <c r="C1566" s="245"/>
      <c r="D1566" s="245"/>
      <c r="E1566" s="245"/>
      <c r="F1566" s="187"/>
      <c r="G1566" s="245"/>
      <c r="H1566" s="245"/>
      <c r="I1566" s="245"/>
      <c r="L1566" s="123"/>
      <c r="P1566" s="366"/>
      <c r="R1566" s="355"/>
      <c r="S1566" s="369"/>
      <c r="T1566" s="324"/>
      <c r="U1566" s="85" ph="1"/>
      <c r="W1566" s="216"/>
      <c r="X1566" s="245"/>
      <c r="Y1566" s="187"/>
      <c r="Z1566" s="245"/>
      <c r="AA1566" s="245"/>
      <c r="AB1566" s="332"/>
      <c r="AD1566" s="245"/>
      <c r="AE1566" s="245"/>
      <c r="AF1566" s="245"/>
      <c r="AG1566" s="245"/>
    </row>
    <row r="1567" spans="1:33" ht="26.4">
      <c r="A1567" s="246"/>
      <c r="B1567" s="245"/>
      <c r="C1567" s="245"/>
      <c r="D1567" s="245"/>
      <c r="E1567" s="245"/>
      <c r="F1567" s="187"/>
      <c r="G1567" s="245"/>
      <c r="H1567" s="245"/>
      <c r="I1567" s="245"/>
      <c r="L1567" s="123"/>
      <c r="P1567" s="366"/>
      <c r="R1567" s="355"/>
      <c r="S1567" s="369"/>
      <c r="T1567" s="324"/>
      <c r="U1567" s="85" ph="1"/>
      <c r="W1567" s="216"/>
      <c r="X1567" s="245"/>
      <c r="Y1567" s="187"/>
      <c r="Z1567" s="245"/>
      <c r="AA1567" s="245"/>
      <c r="AB1567" s="332"/>
      <c r="AD1567" s="245"/>
      <c r="AE1567" s="245"/>
      <c r="AF1567" s="245"/>
      <c r="AG1567" s="245"/>
    </row>
    <row r="1568" spans="1:33" ht="26.4">
      <c r="A1568" s="246"/>
      <c r="B1568" s="245"/>
      <c r="C1568" s="245"/>
      <c r="D1568" s="245"/>
      <c r="E1568" s="245"/>
      <c r="F1568" s="187"/>
      <c r="G1568" s="245"/>
      <c r="H1568" s="245"/>
      <c r="I1568" s="245"/>
      <c r="L1568" s="123"/>
      <c r="P1568" s="366"/>
      <c r="R1568" s="355"/>
      <c r="S1568" s="369"/>
      <c r="T1568" s="324"/>
      <c r="U1568" s="85" ph="1"/>
      <c r="W1568" s="216"/>
      <c r="X1568" s="245"/>
      <c r="Y1568" s="187"/>
      <c r="Z1568" s="245"/>
      <c r="AA1568" s="245"/>
      <c r="AB1568" s="332"/>
      <c r="AD1568" s="245"/>
      <c r="AE1568" s="245"/>
      <c r="AF1568" s="245"/>
      <c r="AG1568" s="245"/>
    </row>
    <row r="1569" spans="1:33" ht="26.4">
      <c r="A1569" s="246"/>
      <c r="B1569" s="245"/>
      <c r="C1569" s="245"/>
      <c r="D1569" s="245"/>
      <c r="E1569" s="245"/>
      <c r="F1569" s="187"/>
      <c r="G1569" s="245"/>
      <c r="H1569" s="245"/>
      <c r="I1569" s="245"/>
      <c r="L1569" s="123"/>
      <c r="P1569" s="366"/>
      <c r="R1569" s="355"/>
      <c r="S1569" s="369"/>
      <c r="T1569" s="324"/>
      <c r="U1569" s="85" ph="1"/>
      <c r="W1569" s="216"/>
      <c r="X1569" s="245"/>
      <c r="Y1569" s="187"/>
      <c r="Z1569" s="245"/>
      <c r="AA1569" s="245"/>
      <c r="AB1569" s="332"/>
      <c r="AD1569" s="245"/>
      <c r="AE1569" s="245"/>
      <c r="AF1569" s="245"/>
      <c r="AG1569" s="245"/>
    </row>
    <row r="1570" spans="1:33" ht="26.4">
      <c r="A1570" s="246"/>
      <c r="B1570" s="245"/>
      <c r="C1570" s="245"/>
      <c r="D1570" s="245"/>
      <c r="E1570" s="245"/>
      <c r="F1570" s="187"/>
      <c r="G1570" s="245"/>
      <c r="H1570" s="245"/>
      <c r="I1570" s="245"/>
      <c r="L1570" s="245"/>
      <c r="S1570" s="369"/>
      <c r="T1570" s="324"/>
      <c r="U1570" s="85" ph="1"/>
      <c r="W1570" s="216"/>
      <c r="X1570" s="245"/>
      <c r="Y1570" s="187"/>
      <c r="Z1570" s="245"/>
      <c r="AA1570" s="245"/>
      <c r="AB1570" s="332"/>
      <c r="AD1570" s="245"/>
      <c r="AE1570" s="245"/>
      <c r="AF1570" s="245"/>
      <c r="AG1570" s="245"/>
    </row>
    <row r="1571" spans="1:33" ht="26.4">
      <c r="A1571" s="246"/>
      <c r="B1571" s="245"/>
      <c r="C1571" s="245"/>
      <c r="D1571" s="245"/>
      <c r="E1571" s="245"/>
      <c r="F1571" s="187"/>
      <c r="G1571" s="245"/>
      <c r="H1571" s="245"/>
      <c r="I1571" s="245"/>
      <c r="L1571" s="245"/>
      <c r="P1571" s="366"/>
      <c r="R1571" s="355"/>
      <c r="S1571" s="369"/>
      <c r="T1571" s="324"/>
      <c r="U1571" s="85" ph="1"/>
      <c r="W1571" s="216"/>
      <c r="X1571" s="245"/>
      <c r="Y1571" s="187"/>
      <c r="Z1571" s="245"/>
      <c r="AA1571" s="245"/>
      <c r="AB1571" s="332"/>
      <c r="AD1571" s="245"/>
      <c r="AE1571" s="245"/>
      <c r="AF1571" s="245"/>
      <c r="AG1571" s="245"/>
    </row>
    <row r="1572" spans="1:33" ht="26.4">
      <c r="A1572" s="246"/>
      <c r="B1572" s="245"/>
      <c r="C1572" s="245"/>
      <c r="D1572" s="245"/>
      <c r="E1572" s="245"/>
      <c r="F1572" s="187"/>
      <c r="G1572" s="245"/>
      <c r="H1572" s="245"/>
      <c r="I1572" s="245"/>
      <c r="L1572" s="245"/>
      <c r="P1572" s="366"/>
      <c r="R1572" s="355"/>
      <c r="S1572" s="369"/>
      <c r="T1572" s="324"/>
      <c r="U1572" s="85" ph="1"/>
      <c r="W1572" s="216"/>
      <c r="X1572" s="245"/>
      <c r="Y1572" s="187"/>
      <c r="Z1572" s="245"/>
      <c r="AA1572" s="245"/>
      <c r="AB1572" s="332"/>
      <c r="AD1572" s="245"/>
      <c r="AE1572" s="245"/>
      <c r="AF1572" s="245"/>
      <c r="AG1572" s="245"/>
    </row>
    <row r="1573" spans="1:33" ht="26.4">
      <c r="A1573" s="246"/>
      <c r="B1573" s="245"/>
      <c r="C1573" s="245"/>
      <c r="D1573" s="245"/>
      <c r="E1573" s="245"/>
      <c r="F1573" s="187"/>
      <c r="G1573" s="245"/>
      <c r="H1573" s="245"/>
      <c r="I1573" s="245"/>
      <c r="L1573" s="245"/>
      <c r="P1573" s="366"/>
      <c r="R1573" s="355"/>
      <c r="S1573" s="369"/>
      <c r="T1573" s="324"/>
      <c r="U1573" s="85" ph="1"/>
      <c r="W1573" s="216"/>
      <c r="X1573" s="245"/>
      <c r="Y1573" s="187"/>
      <c r="Z1573" s="245"/>
      <c r="AA1573" s="245"/>
      <c r="AB1573" s="332"/>
      <c r="AD1573" s="245"/>
      <c r="AE1573" s="245"/>
      <c r="AF1573" s="245"/>
      <c r="AG1573" s="245"/>
    </row>
    <row r="1574" spans="1:33" ht="26.4">
      <c r="A1574" s="246"/>
      <c r="B1574" s="245"/>
      <c r="C1574" s="245"/>
      <c r="D1574" s="245"/>
      <c r="E1574" s="245"/>
      <c r="F1574" s="187"/>
      <c r="G1574" s="245"/>
      <c r="H1574" s="245"/>
      <c r="I1574" s="245"/>
      <c r="L1574" s="245"/>
      <c r="P1574" s="366"/>
      <c r="R1574" s="355"/>
      <c r="S1574" s="369"/>
      <c r="T1574" s="324"/>
      <c r="U1574" s="85" ph="1"/>
      <c r="W1574" s="216"/>
      <c r="X1574" s="245"/>
      <c r="Y1574" s="187"/>
      <c r="Z1574" s="245"/>
      <c r="AA1574" s="245"/>
      <c r="AB1574" s="332"/>
      <c r="AD1574" s="245"/>
      <c r="AE1574" s="245"/>
      <c r="AF1574" s="245"/>
      <c r="AG1574" s="245"/>
    </row>
    <row r="1575" spans="1:33" ht="26.4">
      <c r="A1575" s="246"/>
      <c r="B1575" s="245"/>
      <c r="C1575" s="245"/>
      <c r="D1575" s="245"/>
      <c r="E1575" s="245"/>
      <c r="F1575" s="187"/>
      <c r="G1575" s="245"/>
      <c r="H1575" s="245"/>
      <c r="I1575" s="245"/>
      <c r="L1575" s="245"/>
      <c r="P1575" s="366"/>
      <c r="R1575" s="355"/>
      <c r="S1575" s="369"/>
      <c r="T1575" s="324"/>
      <c r="U1575" s="85" ph="1"/>
      <c r="W1575" s="216"/>
      <c r="X1575" s="245"/>
      <c r="Y1575" s="187"/>
      <c r="Z1575" s="245"/>
      <c r="AA1575" s="245"/>
      <c r="AB1575" s="332"/>
      <c r="AD1575" s="245"/>
      <c r="AE1575" s="245"/>
      <c r="AF1575" s="245"/>
      <c r="AG1575" s="245"/>
    </row>
    <row r="1576" spans="1:33" ht="26.4">
      <c r="A1576" s="246"/>
      <c r="B1576" s="245"/>
      <c r="C1576" s="245"/>
      <c r="D1576" s="245"/>
      <c r="E1576" s="245"/>
      <c r="F1576" s="187"/>
      <c r="G1576" s="245"/>
      <c r="H1576" s="245"/>
      <c r="I1576" s="245"/>
      <c r="L1576" s="245"/>
      <c r="P1576" s="366"/>
      <c r="R1576" s="355"/>
      <c r="S1576" s="369"/>
      <c r="T1576" s="324"/>
      <c r="U1576" s="85" ph="1"/>
      <c r="W1576" s="216"/>
      <c r="X1576" s="245"/>
      <c r="Y1576" s="187"/>
      <c r="Z1576" s="245"/>
      <c r="AA1576" s="245"/>
      <c r="AB1576" s="332"/>
      <c r="AD1576" s="245"/>
      <c r="AE1576" s="245"/>
      <c r="AF1576" s="245"/>
      <c r="AG1576" s="245"/>
    </row>
    <row r="1577" spans="1:33" ht="26.4">
      <c r="A1577" s="246"/>
      <c r="B1577" s="245"/>
      <c r="C1577" s="245"/>
      <c r="D1577" s="245"/>
      <c r="E1577" s="245"/>
      <c r="F1577" s="187"/>
      <c r="G1577" s="245"/>
      <c r="H1577" s="245"/>
      <c r="I1577" s="245"/>
      <c r="L1577" s="245"/>
      <c r="P1577" s="366"/>
      <c r="R1577" s="355"/>
      <c r="S1577" s="369"/>
      <c r="T1577" s="324"/>
      <c r="U1577" s="85" ph="1"/>
      <c r="W1577" s="216"/>
      <c r="X1577" s="245"/>
      <c r="Y1577" s="187"/>
      <c r="Z1577" s="245"/>
      <c r="AA1577" s="245"/>
      <c r="AB1577" s="332"/>
      <c r="AD1577" s="245"/>
      <c r="AE1577" s="245"/>
      <c r="AF1577" s="245"/>
      <c r="AG1577" s="245"/>
    </row>
    <row r="1578" spans="1:33" ht="26.4">
      <c r="A1578" s="246"/>
      <c r="B1578" s="245"/>
      <c r="C1578" s="245"/>
      <c r="D1578" s="245"/>
      <c r="E1578" s="245"/>
      <c r="F1578" s="187"/>
      <c r="G1578" s="245"/>
      <c r="H1578" s="245"/>
      <c r="I1578" s="245"/>
      <c r="L1578" s="245"/>
      <c r="P1578" s="366"/>
      <c r="R1578" s="355"/>
      <c r="S1578" s="369"/>
      <c r="T1578" s="324"/>
      <c r="U1578" s="85" ph="1"/>
      <c r="W1578" s="216"/>
      <c r="X1578" s="245"/>
      <c r="Y1578" s="187"/>
      <c r="Z1578" s="245"/>
      <c r="AA1578" s="245"/>
      <c r="AB1578" s="332"/>
      <c r="AD1578" s="245"/>
      <c r="AE1578" s="245"/>
      <c r="AF1578" s="245"/>
      <c r="AG1578" s="245"/>
    </row>
    <row r="1579" spans="1:33" ht="26.4">
      <c r="A1579" s="246"/>
      <c r="B1579" s="245"/>
      <c r="C1579" s="245"/>
      <c r="D1579" s="245"/>
      <c r="E1579" s="245"/>
      <c r="F1579" s="187"/>
      <c r="G1579" s="245"/>
      <c r="H1579" s="245"/>
      <c r="I1579" s="245"/>
      <c r="L1579" s="123"/>
      <c r="P1579" s="366"/>
      <c r="R1579" s="355"/>
      <c r="S1579" s="369"/>
      <c r="T1579" s="324"/>
      <c r="U1579" s="85" ph="1"/>
      <c r="W1579" s="216"/>
      <c r="X1579" s="245"/>
      <c r="Y1579" s="187"/>
      <c r="Z1579" s="245"/>
      <c r="AA1579" s="245"/>
      <c r="AB1579" s="332"/>
      <c r="AD1579" s="245"/>
      <c r="AE1579" s="245"/>
      <c r="AF1579" s="245"/>
      <c r="AG1579" s="245"/>
    </row>
    <row r="1580" spans="1:33" ht="26.4">
      <c r="A1580" s="246"/>
      <c r="B1580" s="245"/>
      <c r="C1580" s="245"/>
      <c r="D1580" s="245"/>
      <c r="E1580" s="245"/>
      <c r="F1580" s="187"/>
      <c r="G1580" s="245"/>
      <c r="H1580" s="245"/>
      <c r="I1580" s="245"/>
      <c r="L1580" s="245"/>
      <c r="P1580" s="366"/>
      <c r="R1580" s="355"/>
      <c r="S1580" s="369"/>
      <c r="T1580" s="324"/>
      <c r="U1580" s="85" ph="1"/>
      <c r="W1580" s="216"/>
      <c r="X1580" s="245"/>
      <c r="Y1580" s="187"/>
      <c r="Z1580" s="245"/>
      <c r="AA1580" s="245"/>
      <c r="AB1580" s="332"/>
      <c r="AD1580" s="245"/>
      <c r="AE1580" s="245"/>
      <c r="AF1580" s="245"/>
      <c r="AG1580" s="245"/>
    </row>
    <row r="1581" spans="1:33" ht="26.4">
      <c r="A1581" s="246"/>
      <c r="B1581" s="245"/>
      <c r="C1581" s="245"/>
      <c r="D1581" s="245"/>
      <c r="E1581" s="245"/>
      <c r="F1581" s="187"/>
      <c r="G1581" s="245"/>
      <c r="H1581" s="245"/>
      <c r="I1581" s="245"/>
      <c r="L1581" s="245"/>
      <c r="P1581" s="366"/>
      <c r="R1581" s="355"/>
      <c r="S1581" s="369"/>
      <c r="T1581" s="324"/>
      <c r="U1581" s="85" ph="1"/>
      <c r="W1581" s="216"/>
      <c r="X1581" s="245"/>
      <c r="Y1581" s="187"/>
      <c r="Z1581" s="245"/>
      <c r="AA1581" s="245"/>
      <c r="AB1581" s="332"/>
      <c r="AD1581" s="245"/>
      <c r="AE1581" s="245"/>
      <c r="AF1581" s="245"/>
      <c r="AG1581" s="245"/>
    </row>
    <row r="1582" spans="1:33" ht="26.4">
      <c r="A1582" s="246"/>
      <c r="B1582" s="245"/>
      <c r="C1582" s="245"/>
      <c r="D1582" s="245"/>
      <c r="E1582" s="245"/>
      <c r="F1582" s="187"/>
      <c r="G1582" s="245"/>
      <c r="H1582" s="245"/>
      <c r="I1582" s="245"/>
      <c r="L1582" s="245"/>
      <c r="P1582" s="366"/>
      <c r="R1582" s="355"/>
      <c r="S1582" s="369"/>
      <c r="T1582" s="324"/>
      <c r="U1582" s="85" ph="1"/>
      <c r="W1582" s="216"/>
      <c r="X1582" s="245"/>
      <c r="Y1582" s="187"/>
      <c r="Z1582" s="245"/>
      <c r="AA1582" s="245"/>
      <c r="AB1582" s="332"/>
      <c r="AD1582" s="245"/>
      <c r="AE1582" s="245"/>
      <c r="AF1582" s="245"/>
      <c r="AG1582" s="245"/>
    </row>
    <row r="1583" spans="1:33" ht="26.4">
      <c r="A1583" s="246"/>
      <c r="B1583" s="245"/>
      <c r="C1583" s="245"/>
      <c r="D1583" s="245"/>
      <c r="E1583" s="245"/>
      <c r="F1583" s="187"/>
      <c r="G1583" s="245"/>
      <c r="H1583" s="245"/>
      <c r="I1583" s="245"/>
      <c r="L1583" s="123"/>
      <c r="P1583" s="366"/>
      <c r="R1583" s="355"/>
      <c r="S1583" s="369"/>
      <c r="T1583" s="324"/>
      <c r="U1583" s="85" ph="1"/>
      <c r="W1583" s="216"/>
      <c r="X1583" s="245"/>
      <c r="Y1583" s="187"/>
      <c r="Z1583" s="245"/>
      <c r="AA1583" s="245"/>
      <c r="AB1583" s="332"/>
      <c r="AD1583" s="245"/>
      <c r="AE1583" s="245"/>
      <c r="AF1583" s="245"/>
      <c r="AG1583" s="245"/>
    </row>
    <row r="1584" spans="1:33" ht="26.4">
      <c r="A1584" s="246"/>
      <c r="B1584" s="245"/>
      <c r="C1584" s="245"/>
      <c r="D1584" s="245"/>
      <c r="E1584" s="245"/>
      <c r="F1584" s="187"/>
      <c r="G1584" s="245"/>
      <c r="H1584" s="245"/>
      <c r="I1584" s="245"/>
      <c r="L1584" s="245"/>
      <c r="P1584" s="366"/>
      <c r="R1584" s="355"/>
      <c r="S1584" s="369"/>
      <c r="T1584" s="324"/>
      <c r="U1584" s="85" ph="1"/>
      <c r="W1584" s="216"/>
      <c r="X1584" s="245"/>
      <c r="Y1584" s="187"/>
      <c r="Z1584" s="245"/>
      <c r="AA1584" s="245"/>
      <c r="AB1584" s="332"/>
      <c r="AD1584" s="245"/>
      <c r="AE1584" s="245"/>
      <c r="AF1584" s="245"/>
      <c r="AG1584" s="245"/>
    </row>
    <row r="1585" spans="1:33" ht="26.4">
      <c r="A1585" s="246"/>
      <c r="B1585" s="245"/>
      <c r="C1585" s="245"/>
      <c r="D1585" s="245"/>
      <c r="E1585" s="245"/>
      <c r="F1585" s="187"/>
      <c r="G1585" s="245"/>
      <c r="H1585" s="245"/>
      <c r="I1585" s="245"/>
      <c r="L1585" s="245"/>
      <c r="P1585" s="366"/>
      <c r="R1585" s="355"/>
      <c r="S1585" s="369"/>
      <c r="T1585" s="324"/>
      <c r="U1585" s="85" ph="1"/>
      <c r="W1585" s="216"/>
      <c r="X1585" s="245"/>
      <c r="Y1585" s="187"/>
      <c r="Z1585" s="245"/>
      <c r="AA1585" s="245"/>
      <c r="AB1585" s="332"/>
      <c r="AD1585" s="245"/>
      <c r="AE1585" s="245"/>
      <c r="AF1585" s="245"/>
      <c r="AG1585" s="245"/>
    </row>
    <row r="1586" spans="1:33" ht="26.4">
      <c r="A1586" s="246"/>
      <c r="B1586" s="245"/>
      <c r="C1586" s="245"/>
      <c r="D1586" s="245"/>
      <c r="E1586" s="245"/>
      <c r="F1586" s="187"/>
      <c r="G1586" s="245"/>
      <c r="H1586" s="245"/>
      <c r="I1586" s="245"/>
      <c r="L1586" s="123"/>
      <c r="P1586" s="366"/>
      <c r="R1586" s="355"/>
      <c r="S1586" s="369"/>
      <c r="T1586" s="324"/>
      <c r="U1586" s="85" ph="1"/>
      <c r="W1586" s="216"/>
      <c r="X1586" s="245"/>
      <c r="Y1586" s="187"/>
      <c r="Z1586" s="245"/>
      <c r="AA1586" s="245"/>
      <c r="AB1586" s="332"/>
      <c r="AD1586" s="245"/>
      <c r="AE1586" s="245"/>
      <c r="AF1586" s="245"/>
      <c r="AG1586" s="245"/>
    </row>
    <row r="1587" spans="1:33" ht="26.4">
      <c r="A1587" s="246"/>
      <c r="B1587" s="245"/>
      <c r="C1587" s="245"/>
      <c r="D1587" s="245"/>
      <c r="E1587" s="245"/>
      <c r="F1587" s="187"/>
      <c r="G1587" s="245"/>
      <c r="H1587" s="245"/>
      <c r="I1587" s="245"/>
      <c r="L1587" s="123"/>
      <c r="P1587" s="366"/>
      <c r="R1587" s="355"/>
      <c r="S1587" s="369"/>
      <c r="T1587" s="324"/>
      <c r="U1587" s="85" ph="1"/>
      <c r="W1587" s="216"/>
      <c r="X1587" s="245"/>
      <c r="Y1587" s="187"/>
      <c r="Z1587" s="245"/>
      <c r="AA1587" s="245"/>
      <c r="AB1587" s="332"/>
      <c r="AD1587" s="245"/>
      <c r="AE1587" s="245"/>
      <c r="AF1587" s="245"/>
      <c r="AG1587" s="245"/>
    </row>
    <row r="1588" spans="1:33" ht="26.4">
      <c r="A1588" s="246"/>
      <c r="B1588" s="245"/>
      <c r="C1588" s="245"/>
      <c r="D1588" s="245"/>
      <c r="E1588" s="245"/>
      <c r="F1588" s="187"/>
      <c r="G1588" s="245"/>
      <c r="H1588" s="245"/>
      <c r="I1588" s="245"/>
      <c r="P1588" s="366"/>
      <c r="R1588" s="355"/>
      <c r="S1588" s="369"/>
      <c r="T1588" s="324"/>
      <c r="U1588" s="85" ph="1"/>
      <c r="W1588" s="216"/>
      <c r="X1588" s="245"/>
      <c r="Y1588" s="187"/>
      <c r="Z1588" s="245"/>
      <c r="AA1588" s="245"/>
      <c r="AB1588" s="332"/>
      <c r="AD1588" s="245"/>
      <c r="AE1588" s="245"/>
      <c r="AF1588" s="245"/>
      <c r="AG1588" s="245"/>
    </row>
    <row r="1589" spans="1:33" ht="26.4">
      <c r="A1589" s="246"/>
      <c r="B1589" s="245"/>
      <c r="C1589" s="245"/>
      <c r="D1589" s="245"/>
      <c r="E1589" s="245"/>
      <c r="F1589" s="187"/>
      <c r="G1589" s="245"/>
      <c r="H1589" s="245"/>
      <c r="I1589" s="245"/>
      <c r="P1589" s="366"/>
      <c r="R1589" s="355"/>
      <c r="S1589" s="369"/>
      <c r="T1589" s="324"/>
      <c r="U1589" s="85" ph="1"/>
      <c r="W1589" s="216"/>
      <c r="X1589" s="245"/>
      <c r="Y1589" s="187"/>
      <c r="Z1589" s="245"/>
      <c r="AA1589" s="245"/>
      <c r="AB1589" s="332"/>
      <c r="AD1589" s="245"/>
      <c r="AE1589" s="245"/>
      <c r="AF1589" s="245"/>
      <c r="AG1589" s="245"/>
    </row>
    <row r="1590" spans="1:33" ht="26.4">
      <c r="A1590" s="246"/>
      <c r="B1590" s="245"/>
      <c r="C1590" s="245"/>
      <c r="D1590" s="245"/>
      <c r="E1590" s="245"/>
      <c r="F1590" s="187"/>
      <c r="G1590" s="245"/>
      <c r="H1590" s="245"/>
      <c r="I1590" s="245"/>
      <c r="P1590" s="366"/>
      <c r="R1590" s="355"/>
      <c r="S1590" s="369"/>
      <c r="T1590" s="324"/>
      <c r="U1590" s="85" ph="1"/>
      <c r="W1590" s="216"/>
      <c r="X1590" s="245"/>
      <c r="Y1590" s="187"/>
      <c r="Z1590" s="245"/>
      <c r="AA1590" s="245"/>
      <c r="AB1590" s="332"/>
      <c r="AD1590" s="245"/>
      <c r="AE1590" s="245"/>
      <c r="AF1590" s="245"/>
      <c r="AG1590" s="245"/>
    </row>
    <row r="1591" spans="1:33" ht="26.4">
      <c r="A1591" s="246"/>
      <c r="B1591" s="245"/>
      <c r="C1591" s="245"/>
      <c r="D1591" s="245"/>
      <c r="E1591" s="245"/>
      <c r="F1591" s="187"/>
      <c r="G1591" s="245"/>
      <c r="H1591" s="245"/>
      <c r="I1591" s="245"/>
      <c r="P1591" s="366"/>
      <c r="R1591" s="355"/>
      <c r="S1591" s="369"/>
      <c r="T1591" s="324"/>
      <c r="U1591" s="85" ph="1"/>
      <c r="W1591" s="216"/>
      <c r="X1591" s="245"/>
      <c r="Y1591" s="187"/>
      <c r="Z1591" s="245"/>
      <c r="AA1591" s="245"/>
      <c r="AB1591" s="332"/>
      <c r="AD1591" s="245"/>
      <c r="AE1591" s="245"/>
      <c r="AF1591" s="245"/>
      <c r="AG1591" s="245"/>
    </row>
    <row r="1592" spans="1:33" ht="26.4">
      <c r="A1592" s="246"/>
      <c r="B1592" s="245"/>
      <c r="C1592" s="245"/>
      <c r="D1592" s="245"/>
      <c r="E1592" s="245"/>
      <c r="F1592" s="187"/>
      <c r="G1592" s="245"/>
      <c r="H1592" s="245"/>
      <c r="I1592" s="245"/>
      <c r="P1592" s="366"/>
      <c r="R1592" s="355"/>
      <c r="S1592" s="369"/>
      <c r="T1592" s="324"/>
      <c r="U1592" s="85" ph="1"/>
      <c r="W1592" s="216"/>
      <c r="X1592" s="245"/>
      <c r="Y1592" s="187"/>
      <c r="Z1592" s="245"/>
      <c r="AA1592" s="245"/>
      <c r="AB1592" s="332"/>
      <c r="AD1592" s="245"/>
      <c r="AE1592" s="245"/>
      <c r="AF1592" s="245"/>
      <c r="AG1592" s="245"/>
    </row>
    <row r="1593" spans="1:33" ht="26.4">
      <c r="A1593" s="246"/>
      <c r="B1593" s="245"/>
      <c r="C1593" s="245"/>
      <c r="D1593" s="245"/>
      <c r="E1593" s="245"/>
      <c r="F1593" s="187"/>
      <c r="G1593" s="245"/>
      <c r="H1593" s="245"/>
      <c r="I1593" s="245"/>
      <c r="P1593" s="366"/>
      <c r="R1593" s="355"/>
      <c r="S1593" s="369"/>
      <c r="T1593" s="324"/>
      <c r="U1593" s="85" ph="1"/>
      <c r="W1593" s="216"/>
      <c r="X1593" s="245"/>
      <c r="Y1593" s="187"/>
      <c r="Z1593" s="245"/>
      <c r="AA1593" s="245"/>
      <c r="AB1593" s="332"/>
      <c r="AD1593" s="245"/>
      <c r="AE1593" s="245"/>
      <c r="AF1593" s="245"/>
      <c r="AG1593" s="245"/>
    </row>
    <row r="1594" spans="1:33" ht="26.4">
      <c r="A1594" s="246"/>
      <c r="B1594" s="245"/>
      <c r="C1594" s="245"/>
      <c r="D1594" s="245"/>
      <c r="E1594" s="245"/>
      <c r="F1594" s="187"/>
      <c r="G1594" s="245"/>
      <c r="H1594" s="245"/>
      <c r="I1594" s="245"/>
      <c r="P1594" s="366"/>
      <c r="R1594" s="355"/>
      <c r="S1594" s="369"/>
      <c r="T1594" s="324"/>
      <c r="U1594" s="85" ph="1"/>
      <c r="W1594" s="216"/>
      <c r="X1594" s="245"/>
      <c r="Y1594" s="187"/>
      <c r="Z1594" s="245"/>
      <c r="AA1594" s="245"/>
      <c r="AB1594" s="332"/>
      <c r="AD1594" s="245"/>
      <c r="AE1594" s="245"/>
      <c r="AF1594" s="245"/>
      <c r="AG1594" s="245"/>
    </row>
    <row r="1595" spans="1:33" ht="26.4">
      <c r="A1595" s="246"/>
      <c r="B1595" s="245"/>
      <c r="C1595" s="245"/>
      <c r="D1595" s="245"/>
      <c r="E1595" s="245"/>
      <c r="F1595" s="187"/>
      <c r="G1595" s="245"/>
      <c r="H1595" s="245"/>
      <c r="I1595" s="245"/>
      <c r="P1595" s="366"/>
      <c r="R1595" s="355"/>
      <c r="S1595" s="369"/>
      <c r="T1595" s="324"/>
      <c r="U1595" s="85" ph="1"/>
      <c r="W1595" s="216"/>
      <c r="X1595" s="245"/>
      <c r="Y1595" s="187"/>
      <c r="Z1595" s="245"/>
      <c r="AA1595" s="245"/>
      <c r="AB1595" s="332"/>
      <c r="AD1595" s="245"/>
      <c r="AE1595" s="245"/>
      <c r="AF1595" s="245"/>
      <c r="AG1595" s="245"/>
    </row>
    <row r="1596" spans="1:33" ht="26.4">
      <c r="A1596" s="246"/>
      <c r="B1596" s="245"/>
      <c r="C1596" s="245"/>
      <c r="D1596" s="245"/>
      <c r="E1596" s="245"/>
      <c r="F1596" s="187"/>
      <c r="G1596" s="245"/>
      <c r="H1596" s="245"/>
      <c r="I1596" s="245"/>
      <c r="P1596" s="366"/>
      <c r="R1596" s="355"/>
      <c r="S1596" s="369"/>
      <c r="T1596" s="324"/>
      <c r="U1596" s="85" ph="1"/>
      <c r="W1596" s="216"/>
      <c r="X1596" s="245"/>
      <c r="Y1596" s="187"/>
      <c r="Z1596" s="245"/>
      <c r="AA1596" s="245"/>
      <c r="AB1596" s="332"/>
      <c r="AD1596" s="245"/>
      <c r="AE1596" s="245"/>
      <c r="AF1596" s="245"/>
      <c r="AG1596" s="245"/>
    </row>
    <row r="1597" spans="1:33" ht="26.4">
      <c r="A1597" s="246"/>
      <c r="B1597" s="245"/>
      <c r="C1597" s="245"/>
      <c r="D1597" s="245"/>
      <c r="E1597" s="245"/>
      <c r="F1597" s="187"/>
      <c r="G1597" s="245"/>
      <c r="H1597" s="245"/>
      <c r="I1597" s="245"/>
      <c r="P1597" s="366"/>
      <c r="R1597" s="355"/>
      <c r="S1597" s="369"/>
      <c r="T1597" s="324"/>
      <c r="U1597" s="85" ph="1"/>
      <c r="W1597" s="216"/>
      <c r="X1597" s="245"/>
      <c r="Y1597" s="187"/>
      <c r="Z1597" s="245"/>
      <c r="AA1597" s="245"/>
      <c r="AB1597" s="332"/>
      <c r="AD1597" s="245"/>
      <c r="AE1597" s="245"/>
      <c r="AF1597" s="245"/>
      <c r="AG1597" s="245"/>
    </row>
    <row r="1598" spans="1:33" ht="26.4">
      <c r="A1598" s="246"/>
      <c r="B1598" s="245"/>
      <c r="C1598" s="245"/>
      <c r="D1598" s="245"/>
      <c r="E1598" s="245"/>
      <c r="F1598" s="187"/>
      <c r="G1598" s="245"/>
      <c r="H1598" s="245"/>
      <c r="I1598" s="245"/>
      <c r="P1598" s="366"/>
      <c r="R1598" s="355"/>
      <c r="S1598" s="369"/>
      <c r="T1598" s="324"/>
      <c r="U1598" s="85" ph="1"/>
      <c r="W1598" s="216"/>
      <c r="X1598" s="245"/>
      <c r="Y1598" s="187"/>
      <c r="Z1598" s="245"/>
      <c r="AA1598" s="245"/>
      <c r="AB1598" s="332"/>
      <c r="AD1598" s="245"/>
      <c r="AE1598" s="245"/>
      <c r="AF1598" s="245"/>
      <c r="AG1598" s="245"/>
    </row>
    <row r="1599" spans="1:33" ht="26.4">
      <c r="A1599" s="246"/>
      <c r="B1599" s="245"/>
      <c r="C1599" s="245"/>
      <c r="D1599" s="245"/>
      <c r="E1599" s="245"/>
      <c r="F1599" s="187"/>
      <c r="G1599" s="245"/>
      <c r="H1599" s="245"/>
      <c r="I1599" s="245"/>
      <c r="P1599" s="366"/>
      <c r="R1599" s="355"/>
      <c r="S1599" s="369"/>
      <c r="T1599" s="324"/>
      <c r="U1599" s="85" ph="1"/>
      <c r="W1599" s="216"/>
      <c r="X1599" s="245"/>
      <c r="Y1599" s="187"/>
      <c r="Z1599" s="245"/>
      <c r="AA1599" s="245"/>
      <c r="AB1599" s="332"/>
      <c r="AD1599" s="245"/>
      <c r="AE1599" s="245"/>
      <c r="AF1599" s="245"/>
      <c r="AG1599" s="245"/>
    </row>
    <row r="1600" spans="1:33" ht="26.4">
      <c r="A1600" s="246"/>
      <c r="B1600" s="245"/>
      <c r="C1600" s="245"/>
      <c r="D1600" s="245"/>
      <c r="E1600" s="245"/>
      <c r="F1600" s="187"/>
      <c r="G1600" s="245"/>
      <c r="H1600" s="245"/>
      <c r="I1600" s="245"/>
      <c r="P1600" s="366"/>
      <c r="R1600" s="355"/>
      <c r="S1600" s="369"/>
      <c r="T1600" s="324"/>
      <c r="U1600" s="85" ph="1"/>
      <c r="W1600" s="216"/>
      <c r="X1600" s="245"/>
      <c r="Y1600" s="187"/>
      <c r="Z1600" s="245"/>
      <c r="AA1600" s="245"/>
      <c r="AB1600" s="332"/>
      <c r="AD1600" s="245"/>
      <c r="AE1600" s="245"/>
      <c r="AF1600" s="245"/>
      <c r="AG1600" s="245"/>
    </row>
    <row r="1601" spans="1:33" ht="26.4">
      <c r="A1601" s="246"/>
      <c r="B1601" s="245"/>
      <c r="C1601" s="245"/>
      <c r="D1601" s="245"/>
      <c r="E1601" s="245"/>
      <c r="F1601" s="187"/>
      <c r="G1601" s="245"/>
      <c r="H1601" s="245"/>
      <c r="I1601" s="245"/>
      <c r="P1601" s="366"/>
      <c r="R1601" s="355"/>
      <c r="S1601" s="369"/>
      <c r="T1601" s="324"/>
      <c r="U1601" s="85" ph="1"/>
      <c r="W1601" s="216"/>
      <c r="X1601" s="245"/>
      <c r="Y1601" s="187"/>
      <c r="Z1601" s="245"/>
      <c r="AA1601" s="245"/>
      <c r="AB1601" s="332"/>
      <c r="AD1601" s="245"/>
      <c r="AE1601" s="245"/>
      <c r="AF1601" s="245"/>
      <c r="AG1601" s="245"/>
    </row>
    <row r="1602" spans="1:33" ht="26.4">
      <c r="A1602" s="246"/>
      <c r="B1602" s="245"/>
      <c r="C1602" s="245"/>
      <c r="D1602" s="245"/>
      <c r="E1602" s="245"/>
      <c r="F1602" s="187"/>
      <c r="G1602" s="245"/>
      <c r="H1602" s="245"/>
      <c r="I1602" s="245"/>
      <c r="P1602" s="366"/>
      <c r="R1602" s="355"/>
      <c r="S1602" s="369"/>
      <c r="T1602" s="324"/>
      <c r="U1602" s="85" ph="1"/>
      <c r="W1602" s="216"/>
      <c r="X1602" s="245"/>
      <c r="Y1602" s="187"/>
      <c r="Z1602" s="245"/>
      <c r="AA1602" s="245"/>
      <c r="AB1602" s="332"/>
      <c r="AD1602" s="245"/>
      <c r="AE1602" s="245"/>
      <c r="AF1602" s="245"/>
      <c r="AG1602" s="245"/>
    </row>
    <row r="1603" spans="1:33" ht="26.4">
      <c r="A1603" s="246"/>
      <c r="B1603" s="245"/>
      <c r="C1603" s="245"/>
      <c r="D1603" s="245"/>
      <c r="E1603" s="245"/>
      <c r="F1603" s="187"/>
      <c r="G1603" s="245"/>
      <c r="H1603" s="245"/>
      <c r="I1603" s="245"/>
      <c r="P1603" s="366"/>
      <c r="R1603" s="355"/>
      <c r="S1603" s="369"/>
      <c r="T1603" s="324"/>
      <c r="U1603" s="85" ph="1"/>
      <c r="W1603" s="216"/>
      <c r="X1603" s="245"/>
      <c r="Y1603" s="187"/>
      <c r="Z1603" s="245"/>
      <c r="AA1603" s="245"/>
      <c r="AB1603" s="332"/>
      <c r="AD1603" s="245"/>
      <c r="AE1603" s="245"/>
      <c r="AF1603" s="245"/>
      <c r="AG1603" s="245"/>
    </row>
    <row r="1604" spans="1:33" ht="26.4">
      <c r="A1604" s="246"/>
      <c r="B1604" s="245"/>
      <c r="C1604" s="245"/>
      <c r="D1604" s="245"/>
      <c r="E1604" s="245"/>
      <c r="F1604" s="187"/>
      <c r="G1604" s="245"/>
      <c r="H1604" s="245"/>
      <c r="I1604" s="245"/>
      <c r="P1604" s="366"/>
      <c r="R1604" s="355"/>
      <c r="S1604" s="369"/>
      <c r="T1604" s="324"/>
      <c r="U1604" s="85" ph="1"/>
      <c r="W1604" s="216"/>
      <c r="X1604" s="245"/>
      <c r="Y1604" s="187"/>
      <c r="Z1604" s="245"/>
      <c r="AA1604" s="245"/>
      <c r="AB1604" s="332"/>
      <c r="AD1604" s="245"/>
      <c r="AE1604" s="245"/>
      <c r="AF1604" s="245"/>
      <c r="AG1604" s="245"/>
    </row>
    <row r="1605" spans="1:33" ht="26.4">
      <c r="A1605" s="246"/>
      <c r="B1605" s="245"/>
      <c r="C1605" s="245"/>
      <c r="D1605" s="245"/>
      <c r="E1605" s="245"/>
      <c r="F1605" s="187"/>
      <c r="G1605" s="245"/>
      <c r="H1605" s="245"/>
      <c r="I1605" s="245"/>
      <c r="P1605" s="366"/>
      <c r="R1605" s="355"/>
      <c r="S1605" s="369"/>
      <c r="T1605" s="324"/>
      <c r="U1605" s="85" ph="1"/>
      <c r="W1605" s="216"/>
      <c r="X1605" s="245"/>
      <c r="Y1605" s="187"/>
      <c r="Z1605" s="245"/>
      <c r="AA1605" s="245"/>
      <c r="AB1605" s="332"/>
      <c r="AD1605" s="245"/>
      <c r="AE1605" s="245"/>
      <c r="AF1605" s="245"/>
      <c r="AG1605" s="245"/>
    </row>
    <row r="1606" spans="1:33" ht="26.4">
      <c r="A1606" s="246"/>
      <c r="B1606" s="245"/>
      <c r="C1606" s="245"/>
      <c r="D1606" s="245"/>
      <c r="E1606" s="245"/>
      <c r="F1606" s="187"/>
      <c r="G1606" s="245"/>
      <c r="H1606" s="245"/>
      <c r="I1606" s="245"/>
      <c r="P1606" s="366"/>
      <c r="R1606" s="355"/>
      <c r="S1606" s="369"/>
      <c r="T1606" s="324"/>
      <c r="U1606" s="85" ph="1"/>
      <c r="W1606" s="216"/>
      <c r="X1606" s="245"/>
      <c r="Y1606" s="187"/>
      <c r="Z1606" s="245"/>
      <c r="AA1606" s="245"/>
      <c r="AB1606" s="332"/>
      <c r="AD1606" s="245"/>
      <c r="AE1606" s="245"/>
      <c r="AF1606" s="245"/>
      <c r="AG1606" s="245"/>
    </row>
    <row r="1607" spans="1:33" ht="26.4">
      <c r="A1607" s="246"/>
      <c r="B1607" s="245"/>
      <c r="C1607" s="245"/>
      <c r="D1607" s="245"/>
      <c r="E1607" s="245"/>
      <c r="F1607" s="187"/>
      <c r="G1607" s="245"/>
      <c r="H1607" s="245"/>
      <c r="I1607" s="245"/>
      <c r="P1607" s="366"/>
      <c r="R1607" s="355"/>
      <c r="S1607" s="369"/>
      <c r="T1607" s="324"/>
      <c r="U1607" s="85" ph="1"/>
      <c r="W1607" s="216"/>
      <c r="X1607" s="245"/>
      <c r="Y1607" s="187"/>
      <c r="Z1607" s="245"/>
      <c r="AA1607" s="245"/>
      <c r="AB1607" s="332"/>
      <c r="AD1607" s="245"/>
      <c r="AE1607" s="245"/>
      <c r="AF1607" s="245"/>
      <c r="AG1607" s="245"/>
    </row>
    <row r="1608" spans="1:33" ht="26.4">
      <c r="A1608" s="246"/>
      <c r="B1608" s="245"/>
      <c r="C1608" s="245"/>
      <c r="D1608" s="245"/>
      <c r="E1608" s="245"/>
      <c r="F1608" s="187"/>
      <c r="G1608" s="245"/>
      <c r="H1608" s="245"/>
      <c r="I1608" s="245"/>
      <c r="P1608" s="366"/>
      <c r="R1608" s="355"/>
      <c r="S1608" s="369"/>
      <c r="T1608" s="324"/>
      <c r="U1608" s="85" ph="1"/>
      <c r="W1608" s="216"/>
      <c r="X1608" s="245"/>
      <c r="Y1608" s="187"/>
      <c r="Z1608" s="245"/>
      <c r="AA1608" s="245"/>
      <c r="AB1608" s="332"/>
      <c r="AD1608" s="245"/>
      <c r="AE1608" s="245"/>
      <c r="AF1608" s="245"/>
      <c r="AG1608" s="245"/>
    </row>
    <row r="1609" spans="1:33" ht="26.4">
      <c r="A1609" s="246"/>
      <c r="B1609" s="245"/>
      <c r="C1609" s="245"/>
      <c r="D1609" s="245"/>
      <c r="E1609" s="245"/>
      <c r="F1609" s="187"/>
      <c r="G1609" s="245"/>
      <c r="H1609" s="245"/>
      <c r="I1609" s="245"/>
      <c r="P1609" s="366"/>
      <c r="R1609" s="355"/>
      <c r="S1609" s="369"/>
      <c r="T1609" s="324"/>
      <c r="U1609" s="85" ph="1"/>
      <c r="W1609" s="216"/>
      <c r="X1609" s="245"/>
      <c r="Y1609" s="187"/>
      <c r="Z1609" s="245"/>
      <c r="AA1609" s="245"/>
      <c r="AB1609" s="332"/>
      <c r="AD1609" s="245"/>
      <c r="AE1609" s="245"/>
      <c r="AF1609" s="245"/>
      <c r="AG1609" s="245"/>
    </row>
    <row r="1610" spans="1:33" ht="26.4">
      <c r="A1610" s="246"/>
      <c r="B1610" s="245"/>
      <c r="C1610" s="245"/>
      <c r="D1610" s="245"/>
      <c r="E1610" s="245"/>
      <c r="F1610" s="187"/>
      <c r="G1610" s="245"/>
      <c r="H1610" s="245"/>
      <c r="I1610" s="245"/>
      <c r="P1610" s="366"/>
      <c r="R1610" s="355"/>
      <c r="S1610" s="369"/>
      <c r="T1610" s="324"/>
      <c r="U1610" s="85" ph="1"/>
      <c r="W1610" s="216"/>
      <c r="X1610" s="245"/>
      <c r="Y1610" s="187"/>
      <c r="Z1610" s="245"/>
      <c r="AA1610" s="245"/>
      <c r="AB1610" s="332"/>
      <c r="AD1610" s="245"/>
      <c r="AE1610" s="245"/>
      <c r="AF1610" s="245"/>
      <c r="AG1610" s="245"/>
    </row>
    <row r="1611" spans="1:33" ht="26.4">
      <c r="A1611" s="246"/>
      <c r="B1611" s="245"/>
      <c r="C1611" s="245"/>
      <c r="D1611" s="245"/>
      <c r="E1611" s="245"/>
      <c r="F1611" s="187"/>
      <c r="G1611" s="245"/>
      <c r="H1611" s="245"/>
      <c r="I1611" s="245"/>
      <c r="P1611" s="366"/>
      <c r="R1611" s="355"/>
      <c r="S1611" s="369"/>
      <c r="T1611" s="324"/>
      <c r="U1611" s="85" ph="1"/>
      <c r="W1611" s="216"/>
      <c r="X1611" s="245"/>
      <c r="Y1611" s="187"/>
      <c r="Z1611" s="245"/>
      <c r="AA1611" s="245"/>
      <c r="AB1611" s="332"/>
      <c r="AD1611" s="245"/>
      <c r="AE1611" s="245"/>
      <c r="AF1611" s="245"/>
      <c r="AG1611" s="245"/>
    </row>
    <row r="1612" spans="1:33" ht="26.4">
      <c r="A1612" s="246"/>
      <c r="B1612" s="245"/>
      <c r="C1612" s="245"/>
      <c r="D1612" s="245"/>
      <c r="E1612" s="245"/>
      <c r="F1612" s="187"/>
      <c r="G1612" s="245"/>
      <c r="H1612" s="245"/>
      <c r="I1612" s="245"/>
      <c r="P1612" s="366"/>
      <c r="R1612" s="355"/>
      <c r="S1612" s="369"/>
      <c r="T1612" s="324"/>
      <c r="U1612" s="85" ph="1"/>
      <c r="W1612" s="216"/>
      <c r="X1612" s="245"/>
      <c r="Y1612" s="187"/>
      <c r="Z1612" s="245"/>
      <c r="AA1612" s="245"/>
      <c r="AB1612" s="332"/>
      <c r="AD1612" s="245"/>
      <c r="AE1612" s="245"/>
      <c r="AF1612" s="245"/>
      <c r="AG1612" s="245"/>
    </row>
    <row r="1613" spans="1:33" ht="26.4">
      <c r="A1613" s="246"/>
      <c r="B1613" s="245"/>
      <c r="C1613" s="245"/>
      <c r="D1613" s="245"/>
      <c r="E1613" s="245"/>
      <c r="F1613" s="187"/>
      <c r="G1613" s="245"/>
      <c r="H1613" s="245"/>
      <c r="I1613" s="245"/>
      <c r="P1613" s="366"/>
      <c r="R1613" s="355"/>
      <c r="S1613" s="369"/>
      <c r="T1613" s="324"/>
      <c r="U1613" s="85" ph="1"/>
      <c r="W1613" s="216"/>
      <c r="X1613" s="245"/>
      <c r="Y1613" s="187"/>
      <c r="Z1613" s="245"/>
      <c r="AA1613" s="245"/>
      <c r="AB1613" s="332"/>
      <c r="AD1613" s="245"/>
      <c r="AE1613" s="245"/>
      <c r="AF1613" s="245"/>
      <c r="AG1613" s="245"/>
    </row>
    <row r="1614" spans="1:33" ht="26.4">
      <c r="A1614" s="246"/>
      <c r="B1614" s="245"/>
      <c r="C1614" s="245"/>
      <c r="D1614" s="245"/>
      <c r="E1614" s="245"/>
      <c r="F1614" s="187"/>
      <c r="G1614" s="245"/>
      <c r="H1614" s="245"/>
      <c r="I1614" s="245"/>
      <c r="P1614" s="366"/>
      <c r="R1614" s="355"/>
      <c r="S1614" s="369"/>
      <c r="T1614" s="324"/>
      <c r="U1614" s="85" ph="1"/>
      <c r="W1614" s="216"/>
      <c r="X1614" s="245"/>
      <c r="Y1614" s="187"/>
      <c r="Z1614" s="245"/>
      <c r="AA1614" s="245"/>
      <c r="AB1614" s="332"/>
      <c r="AD1614" s="245"/>
      <c r="AE1614" s="245"/>
      <c r="AF1614" s="245"/>
      <c r="AG1614" s="245"/>
    </row>
    <row r="1615" spans="1:33" ht="26.4">
      <c r="A1615" s="246"/>
      <c r="B1615" s="245"/>
      <c r="C1615" s="245"/>
      <c r="D1615" s="245"/>
      <c r="E1615" s="245"/>
      <c r="F1615" s="187"/>
      <c r="G1615" s="245"/>
      <c r="H1615" s="245"/>
      <c r="I1615" s="245"/>
      <c r="P1615" s="366"/>
      <c r="R1615" s="355"/>
      <c r="S1615" s="369"/>
      <c r="T1615" s="324"/>
      <c r="U1615" s="85" ph="1"/>
      <c r="W1615" s="216"/>
      <c r="X1615" s="245"/>
      <c r="Y1615" s="187"/>
      <c r="Z1615" s="245"/>
      <c r="AA1615" s="245"/>
      <c r="AB1615" s="332"/>
      <c r="AD1615" s="245"/>
      <c r="AE1615" s="245"/>
      <c r="AF1615" s="245"/>
      <c r="AG1615" s="245"/>
    </row>
    <row r="1616" spans="1:33" ht="26.4">
      <c r="A1616" s="246"/>
      <c r="B1616" s="245"/>
      <c r="C1616" s="245"/>
      <c r="D1616" s="245"/>
      <c r="E1616" s="245"/>
      <c r="F1616" s="187"/>
      <c r="G1616" s="245"/>
      <c r="H1616" s="245"/>
      <c r="I1616" s="245"/>
      <c r="P1616" s="366"/>
      <c r="R1616" s="355"/>
      <c r="S1616" s="369"/>
      <c r="T1616" s="324"/>
      <c r="U1616" s="85" ph="1"/>
      <c r="W1616" s="216"/>
      <c r="X1616" s="245"/>
      <c r="Y1616" s="187"/>
      <c r="Z1616" s="245"/>
      <c r="AA1616" s="245"/>
      <c r="AB1616" s="332"/>
      <c r="AD1616" s="245"/>
      <c r="AE1616" s="245"/>
      <c r="AF1616" s="245"/>
      <c r="AG1616" s="245"/>
    </row>
    <row r="1617" spans="1:33" ht="26.4">
      <c r="A1617" s="246"/>
      <c r="B1617" s="245"/>
      <c r="C1617" s="245"/>
      <c r="D1617" s="245"/>
      <c r="E1617" s="245"/>
      <c r="F1617" s="187"/>
      <c r="G1617" s="245"/>
      <c r="H1617" s="245"/>
      <c r="I1617" s="245"/>
      <c r="P1617" s="366"/>
      <c r="R1617" s="355"/>
      <c r="S1617" s="369"/>
      <c r="T1617" s="324"/>
      <c r="U1617" s="85" ph="1"/>
      <c r="W1617" s="216"/>
      <c r="X1617" s="245"/>
      <c r="Y1617" s="187"/>
      <c r="Z1617" s="245"/>
      <c r="AA1617" s="245"/>
      <c r="AB1617" s="332"/>
      <c r="AD1617" s="245"/>
      <c r="AE1617" s="245"/>
      <c r="AF1617" s="245"/>
      <c r="AG1617" s="245"/>
    </row>
    <row r="1618" spans="1:33" ht="26.4">
      <c r="A1618" s="246"/>
      <c r="B1618" s="245"/>
      <c r="C1618" s="245"/>
      <c r="D1618" s="245"/>
      <c r="E1618" s="245"/>
      <c r="F1618" s="187"/>
      <c r="G1618" s="245"/>
      <c r="H1618" s="245"/>
      <c r="I1618" s="245"/>
      <c r="P1618" s="366"/>
      <c r="R1618" s="355"/>
      <c r="S1618" s="369"/>
      <c r="T1618" s="324"/>
      <c r="U1618" s="85" ph="1"/>
      <c r="W1618" s="216"/>
      <c r="X1618" s="245"/>
      <c r="Y1618" s="187"/>
      <c r="Z1618" s="245"/>
      <c r="AA1618" s="245"/>
      <c r="AB1618" s="332"/>
      <c r="AD1618" s="245"/>
      <c r="AE1618" s="245"/>
      <c r="AF1618" s="245"/>
      <c r="AG1618" s="245"/>
    </row>
    <row r="1619" spans="1:33" ht="26.4">
      <c r="A1619" s="246"/>
      <c r="B1619" s="245"/>
      <c r="C1619" s="245"/>
      <c r="D1619" s="245"/>
      <c r="E1619" s="245"/>
      <c r="F1619" s="187"/>
      <c r="G1619" s="245"/>
      <c r="H1619" s="245"/>
      <c r="I1619" s="245"/>
      <c r="P1619" s="366"/>
      <c r="R1619" s="355"/>
      <c r="S1619" s="369"/>
      <c r="T1619" s="324"/>
      <c r="U1619" s="85" ph="1"/>
      <c r="W1619" s="216"/>
      <c r="X1619" s="245"/>
      <c r="Y1619" s="187"/>
      <c r="Z1619" s="245"/>
      <c r="AA1619" s="245"/>
      <c r="AB1619" s="332"/>
      <c r="AD1619" s="245"/>
      <c r="AE1619" s="245"/>
      <c r="AF1619" s="245"/>
      <c r="AG1619" s="245"/>
    </row>
    <row r="1620" spans="1:33" ht="26.4">
      <c r="A1620" s="246"/>
      <c r="B1620" s="245"/>
      <c r="C1620" s="245"/>
      <c r="D1620" s="245"/>
      <c r="E1620" s="245"/>
      <c r="F1620" s="187"/>
      <c r="G1620" s="245"/>
      <c r="H1620" s="245"/>
      <c r="I1620" s="245"/>
      <c r="P1620" s="366"/>
      <c r="R1620" s="355"/>
      <c r="S1620" s="369"/>
      <c r="T1620" s="324"/>
      <c r="U1620" s="85" ph="1"/>
      <c r="W1620" s="216"/>
      <c r="X1620" s="245"/>
      <c r="Y1620" s="187"/>
      <c r="Z1620" s="245"/>
      <c r="AA1620" s="245"/>
      <c r="AB1620" s="332"/>
      <c r="AD1620" s="245"/>
      <c r="AE1620" s="245"/>
      <c r="AF1620" s="245"/>
      <c r="AG1620" s="245"/>
    </row>
    <row r="1621" spans="1:33" ht="26.4">
      <c r="A1621" s="246"/>
      <c r="B1621" s="245"/>
      <c r="C1621" s="245"/>
      <c r="D1621" s="245"/>
      <c r="E1621" s="245"/>
      <c r="F1621" s="187"/>
      <c r="G1621" s="245"/>
      <c r="H1621" s="245"/>
      <c r="I1621" s="245"/>
      <c r="P1621" s="366"/>
      <c r="R1621" s="355"/>
      <c r="S1621" s="369"/>
      <c r="T1621" s="324"/>
      <c r="U1621" s="85" ph="1"/>
      <c r="W1621" s="216"/>
      <c r="X1621" s="245"/>
      <c r="Y1621" s="187"/>
      <c r="Z1621" s="245"/>
      <c r="AA1621" s="245"/>
      <c r="AB1621" s="332"/>
      <c r="AD1621" s="245"/>
      <c r="AE1621" s="245"/>
      <c r="AF1621" s="245"/>
      <c r="AG1621" s="245"/>
    </row>
    <row r="1622" spans="1:33" ht="26.4">
      <c r="A1622" s="246"/>
      <c r="B1622" s="245"/>
      <c r="C1622" s="245"/>
      <c r="D1622" s="245"/>
      <c r="E1622" s="245"/>
      <c r="F1622" s="187"/>
      <c r="G1622" s="245"/>
      <c r="H1622" s="245"/>
      <c r="I1622" s="245"/>
      <c r="P1622" s="366"/>
      <c r="R1622" s="355"/>
      <c r="S1622" s="369"/>
      <c r="T1622" s="324"/>
      <c r="U1622" s="85" ph="1"/>
      <c r="W1622" s="216"/>
      <c r="X1622" s="245"/>
      <c r="Y1622" s="187"/>
      <c r="Z1622" s="245"/>
      <c r="AA1622" s="245"/>
      <c r="AB1622" s="332"/>
      <c r="AD1622" s="245"/>
      <c r="AE1622" s="245"/>
      <c r="AF1622" s="245"/>
      <c r="AG1622" s="245"/>
    </row>
    <row r="1623" spans="1:33" ht="26.4">
      <c r="A1623" s="246"/>
      <c r="B1623" s="245"/>
      <c r="C1623" s="245"/>
      <c r="D1623" s="245"/>
      <c r="E1623" s="245"/>
      <c r="F1623" s="187"/>
      <c r="G1623" s="245"/>
      <c r="H1623" s="245"/>
      <c r="I1623" s="245"/>
      <c r="P1623" s="366"/>
      <c r="R1623" s="355"/>
      <c r="S1623" s="369"/>
      <c r="T1623" s="324"/>
      <c r="U1623" s="85" ph="1"/>
      <c r="W1623" s="216"/>
      <c r="X1623" s="245"/>
      <c r="Y1623" s="187"/>
      <c r="Z1623" s="245"/>
      <c r="AA1623" s="245"/>
      <c r="AB1623" s="332"/>
      <c r="AD1623" s="245"/>
      <c r="AE1623" s="245"/>
      <c r="AF1623" s="245"/>
      <c r="AG1623" s="245"/>
    </row>
    <row r="1624" spans="1:33" ht="26.4">
      <c r="A1624" s="246"/>
      <c r="B1624" s="245"/>
      <c r="C1624" s="245"/>
      <c r="D1624" s="245"/>
      <c r="E1624" s="245"/>
      <c r="F1624" s="187"/>
      <c r="G1624" s="245"/>
      <c r="H1624" s="245"/>
      <c r="I1624" s="245"/>
      <c r="P1624" s="366"/>
      <c r="R1624" s="355"/>
      <c r="S1624" s="369"/>
      <c r="T1624" s="324"/>
      <c r="U1624" s="85" ph="1"/>
      <c r="W1624" s="216"/>
      <c r="X1624" s="245"/>
      <c r="Y1624" s="187"/>
      <c r="Z1624" s="245"/>
      <c r="AA1624" s="245"/>
      <c r="AB1624" s="332"/>
      <c r="AD1624" s="245"/>
      <c r="AE1624" s="245"/>
      <c r="AF1624" s="245"/>
      <c r="AG1624" s="245"/>
    </row>
    <row r="1625" spans="1:33" ht="26.4">
      <c r="A1625" s="246"/>
      <c r="B1625" s="245"/>
      <c r="C1625" s="245"/>
      <c r="D1625" s="245"/>
      <c r="E1625" s="245"/>
      <c r="F1625" s="187"/>
      <c r="G1625" s="245"/>
      <c r="H1625" s="245"/>
      <c r="I1625" s="245"/>
      <c r="P1625" s="366"/>
      <c r="R1625" s="355"/>
      <c r="S1625" s="369"/>
      <c r="T1625" s="324"/>
      <c r="U1625" s="85" ph="1"/>
      <c r="W1625" s="216"/>
      <c r="X1625" s="245"/>
      <c r="Y1625" s="187"/>
      <c r="Z1625" s="245"/>
      <c r="AA1625" s="245"/>
      <c r="AB1625" s="332"/>
      <c r="AD1625" s="245"/>
      <c r="AE1625" s="245"/>
      <c r="AF1625" s="245"/>
      <c r="AG1625" s="245"/>
    </row>
    <row r="1626" spans="1:33" ht="26.4">
      <c r="A1626" s="246"/>
      <c r="B1626" s="245"/>
      <c r="C1626" s="245"/>
      <c r="D1626" s="245"/>
      <c r="E1626" s="245"/>
      <c r="F1626" s="187"/>
      <c r="G1626" s="245"/>
      <c r="H1626" s="245"/>
      <c r="I1626" s="245"/>
      <c r="P1626" s="366"/>
      <c r="R1626" s="355"/>
      <c r="S1626" s="369"/>
      <c r="T1626" s="324"/>
      <c r="U1626" s="85" ph="1"/>
      <c r="W1626" s="216"/>
      <c r="X1626" s="245"/>
      <c r="Y1626" s="187"/>
      <c r="Z1626" s="245"/>
      <c r="AA1626" s="245"/>
      <c r="AB1626" s="332"/>
      <c r="AD1626" s="245"/>
      <c r="AE1626" s="245"/>
      <c r="AF1626" s="245"/>
      <c r="AG1626" s="245"/>
    </row>
    <row r="1627" spans="1:33" ht="26.4">
      <c r="A1627" s="246"/>
      <c r="B1627" s="245"/>
      <c r="C1627" s="245"/>
      <c r="D1627" s="245"/>
      <c r="E1627" s="245"/>
      <c r="F1627" s="187"/>
      <c r="G1627" s="245"/>
      <c r="H1627" s="245"/>
      <c r="I1627" s="245"/>
      <c r="P1627" s="366"/>
      <c r="R1627" s="355"/>
      <c r="S1627" s="369"/>
      <c r="T1627" s="324"/>
      <c r="U1627" s="85" ph="1"/>
      <c r="W1627" s="216"/>
      <c r="X1627" s="245"/>
      <c r="Y1627" s="187"/>
      <c r="Z1627" s="245"/>
      <c r="AA1627" s="245"/>
      <c r="AB1627" s="332"/>
      <c r="AD1627" s="245"/>
      <c r="AE1627" s="245"/>
      <c r="AF1627" s="245"/>
      <c r="AG1627" s="245"/>
    </row>
    <row r="1628" spans="1:33" ht="26.4">
      <c r="A1628" s="246"/>
      <c r="B1628" s="245"/>
      <c r="C1628" s="245"/>
      <c r="D1628" s="245"/>
      <c r="E1628" s="245"/>
      <c r="F1628" s="187"/>
      <c r="G1628" s="245"/>
      <c r="H1628" s="245"/>
      <c r="I1628" s="245"/>
      <c r="P1628" s="366"/>
      <c r="R1628" s="355"/>
      <c r="S1628" s="369"/>
      <c r="T1628" s="324"/>
      <c r="U1628" s="85" ph="1"/>
      <c r="W1628" s="216"/>
      <c r="X1628" s="245"/>
      <c r="Y1628" s="187"/>
      <c r="Z1628" s="245"/>
      <c r="AA1628" s="245"/>
      <c r="AB1628" s="332"/>
      <c r="AD1628" s="245"/>
      <c r="AE1628" s="245"/>
      <c r="AF1628" s="245"/>
      <c r="AG1628" s="245"/>
    </row>
    <row r="1629" spans="1:33" ht="26.4">
      <c r="A1629" s="246"/>
      <c r="B1629" s="245"/>
      <c r="C1629" s="245"/>
      <c r="D1629" s="245"/>
      <c r="E1629" s="245"/>
      <c r="F1629" s="187"/>
      <c r="G1629" s="245"/>
      <c r="H1629" s="245"/>
      <c r="I1629" s="245"/>
      <c r="P1629" s="366"/>
      <c r="R1629" s="355"/>
      <c r="S1629" s="369"/>
      <c r="T1629" s="324"/>
      <c r="U1629" s="85" ph="1"/>
      <c r="W1629" s="216"/>
      <c r="X1629" s="245"/>
      <c r="Y1629" s="187"/>
      <c r="Z1629" s="245"/>
      <c r="AA1629" s="245"/>
      <c r="AB1629" s="332"/>
      <c r="AD1629" s="245"/>
      <c r="AE1629" s="245"/>
      <c r="AF1629" s="245"/>
      <c r="AG1629" s="245"/>
    </row>
    <row r="1630" spans="1:33" ht="26.4">
      <c r="A1630" s="246"/>
      <c r="B1630" s="245"/>
      <c r="C1630" s="245"/>
      <c r="D1630" s="245"/>
      <c r="E1630" s="245"/>
      <c r="F1630" s="187"/>
      <c r="G1630" s="245"/>
      <c r="H1630" s="245"/>
      <c r="I1630" s="245"/>
      <c r="P1630" s="366"/>
      <c r="R1630" s="355"/>
      <c r="S1630" s="369"/>
      <c r="T1630" s="324"/>
      <c r="U1630" s="85" ph="1"/>
      <c r="W1630" s="216"/>
      <c r="X1630" s="245"/>
      <c r="Y1630" s="187"/>
      <c r="Z1630" s="245"/>
      <c r="AA1630" s="245"/>
      <c r="AB1630" s="332"/>
      <c r="AD1630" s="245"/>
      <c r="AE1630" s="245"/>
      <c r="AF1630" s="245"/>
      <c r="AG1630" s="245"/>
    </row>
    <row r="1631" spans="1:33" ht="26.4">
      <c r="A1631" s="246"/>
      <c r="B1631" s="245"/>
      <c r="C1631" s="245"/>
      <c r="D1631" s="245"/>
      <c r="E1631" s="245"/>
      <c r="F1631" s="187"/>
      <c r="G1631" s="245"/>
      <c r="H1631" s="245"/>
      <c r="I1631" s="245"/>
      <c r="P1631" s="366"/>
      <c r="R1631" s="355"/>
      <c r="S1631" s="369"/>
      <c r="T1631" s="324"/>
      <c r="U1631" s="85" ph="1"/>
      <c r="W1631" s="216"/>
      <c r="X1631" s="245"/>
      <c r="Y1631" s="187"/>
      <c r="Z1631" s="245"/>
      <c r="AA1631" s="245"/>
      <c r="AB1631" s="332"/>
      <c r="AD1631" s="245"/>
      <c r="AE1631" s="245"/>
      <c r="AF1631" s="245"/>
      <c r="AG1631" s="245"/>
    </row>
    <row r="1632" spans="1:33" ht="26.4">
      <c r="A1632" s="246"/>
      <c r="B1632" s="245"/>
      <c r="C1632" s="245"/>
      <c r="D1632" s="245"/>
      <c r="E1632" s="245"/>
      <c r="F1632" s="187"/>
      <c r="G1632" s="245"/>
      <c r="H1632" s="245"/>
      <c r="I1632" s="245"/>
      <c r="P1632" s="366"/>
      <c r="R1632" s="355"/>
      <c r="S1632" s="369"/>
      <c r="T1632" s="324"/>
      <c r="U1632" s="85" ph="1"/>
      <c r="W1632" s="216"/>
      <c r="X1632" s="245"/>
      <c r="Y1632" s="187"/>
      <c r="Z1632" s="245"/>
      <c r="AA1632" s="245"/>
      <c r="AB1632" s="332"/>
      <c r="AD1632" s="245"/>
      <c r="AE1632" s="245"/>
      <c r="AF1632" s="245"/>
      <c r="AG1632" s="245"/>
    </row>
    <row r="1633" spans="1:33" ht="26.4">
      <c r="A1633" s="246"/>
      <c r="B1633" s="245"/>
      <c r="C1633" s="245"/>
      <c r="D1633" s="245"/>
      <c r="E1633" s="245"/>
      <c r="F1633" s="187"/>
      <c r="G1633" s="245"/>
      <c r="H1633" s="245"/>
      <c r="I1633" s="245"/>
      <c r="P1633" s="366"/>
      <c r="R1633" s="355"/>
      <c r="S1633" s="369"/>
      <c r="T1633" s="324"/>
      <c r="U1633" s="85" ph="1"/>
      <c r="W1633" s="216"/>
      <c r="X1633" s="245"/>
      <c r="Y1633" s="187"/>
      <c r="Z1633" s="245"/>
      <c r="AA1633" s="245"/>
      <c r="AB1633" s="332"/>
      <c r="AD1633" s="245"/>
      <c r="AE1633" s="245"/>
      <c r="AF1633" s="245"/>
      <c r="AG1633" s="245"/>
    </row>
    <row r="1634" spans="1:33" ht="26.4">
      <c r="A1634" s="246"/>
      <c r="B1634" s="245"/>
      <c r="C1634" s="245"/>
      <c r="D1634" s="245"/>
      <c r="E1634" s="245"/>
      <c r="F1634" s="187"/>
      <c r="G1634" s="245"/>
      <c r="H1634" s="245"/>
      <c r="I1634" s="245"/>
      <c r="P1634" s="366"/>
      <c r="R1634" s="355"/>
      <c r="S1634" s="369"/>
      <c r="T1634" s="324"/>
      <c r="U1634" s="85" ph="1"/>
      <c r="W1634" s="216"/>
      <c r="X1634" s="245"/>
      <c r="Y1634" s="187"/>
      <c r="Z1634" s="245"/>
      <c r="AA1634" s="245"/>
      <c r="AB1634" s="332"/>
      <c r="AD1634" s="245"/>
      <c r="AE1634" s="245"/>
      <c r="AF1634" s="245"/>
      <c r="AG1634" s="245"/>
    </row>
    <row r="1635" spans="1:33" ht="26.4">
      <c r="A1635" s="246"/>
      <c r="B1635" s="245"/>
      <c r="C1635" s="245"/>
      <c r="D1635" s="245"/>
      <c r="E1635" s="245"/>
      <c r="F1635" s="187"/>
      <c r="G1635" s="245"/>
      <c r="H1635" s="245"/>
      <c r="I1635" s="245"/>
      <c r="P1635" s="366"/>
      <c r="R1635" s="355"/>
      <c r="S1635" s="369"/>
      <c r="T1635" s="324"/>
      <c r="U1635" s="85" ph="1"/>
      <c r="W1635" s="216"/>
      <c r="X1635" s="245"/>
      <c r="Y1635" s="187"/>
      <c r="Z1635" s="245"/>
      <c r="AA1635" s="245"/>
      <c r="AB1635" s="332"/>
      <c r="AD1635" s="245"/>
      <c r="AE1635" s="245"/>
      <c r="AF1635" s="245"/>
      <c r="AG1635" s="245"/>
    </row>
    <row r="1636" spans="1:33" ht="26.4">
      <c r="A1636" s="246"/>
      <c r="B1636" s="245"/>
      <c r="C1636" s="245"/>
      <c r="D1636" s="245"/>
      <c r="E1636" s="245"/>
      <c r="F1636" s="187"/>
      <c r="G1636" s="245"/>
      <c r="H1636" s="245"/>
      <c r="I1636" s="245"/>
      <c r="P1636" s="366"/>
      <c r="R1636" s="355"/>
      <c r="S1636" s="369"/>
      <c r="T1636" s="324"/>
      <c r="U1636" s="85" ph="1"/>
      <c r="W1636" s="216"/>
      <c r="X1636" s="245"/>
      <c r="Y1636" s="187"/>
      <c r="Z1636" s="245"/>
      <c r="AA1636" s="245"/>
      <c r="AB1636" s="332"/>
      <c r="AD1636" s="245"/>
      <c r="AE1636" s="245"/>
      <c r="AF1636" s="245"/>
      <c r="AG1636" s="245"/>
    </row>
    <row r="1637" spans="1:33" ht="26.4">
      <c r="A1637" s="246"/>
      <c r="B1637" s="245"/>
      <c r="C1637" s="245"/>
      <c r="D1637" s="245"/>
      <c r="E1637" s="245"/>
      <c r="F1637" s="187"/>
      <c r="G1637" s="245"/>
      <c r="H1637" s="245"/>
      <c r="I1637" s="245"/>
      <c r="P1637" s="366"/>
      <c r="R1637" s="355"/>
      <c r="S1637" s="369"/>
      <c r="T1637" s="324"/>
      <c r="U1637" s="85" ph="1"/>
      <c r="W1637" s="216"/>
      <c r="X1637" s="245"/>
      <c r="Y1637" s="187"/>
      <c r="Z1637" s="245"/>
      <c r="AA1637" s="245"/>
      <c r="AB1637" s="332"/>
      <c r="AD1637" s="245"/>
      <c r="AE1637" s="245"/>
      <c r="AF1637" s="245"/>
      <c r="AG1637" s="245"/>
    </row>
    <row r="1638" spans="1:33" ht="26.4">
      <c r="A1638" s="246"/>
      <c r="B1638" s="245"/>
      <c r="C1638" s="245"/>
      <c r="D1638" s="245"/>
      <c r="E1638" s="245"/>
      <c r="F1638" s="187"/>
      <c r="G1638" s="245"/>
      <c r="H1638" s="245"/>
      <c r="I1638" s="245"/>
      <c r="P1638" s="366"/>
      <c r="R1638" s="355"/>
      <c r="S1638" s="369"/>
      <c r="T1638" s="324"/>
      <c r="U1638" s="85" ph="1"/>
      <c r="W1638" s="216"/>
      <c r="X1638" s="245"/>
      <c r="Y1638" s="187"/>
      <c r="Z1638" s="245"/>
      <c r="AA1638" s="245"/>
      <c r="AB1638" s="332"/>
      <c r="AD1638" s="245"/>
      <c r="AE1638" s="245"/>
      <c r="AF1638" s="245"/>
      <c r="AG1638" s="245"/>
    </row>
    <row r="1639" spans="1:33" ht="26.4">
      <c r="A1639" s="246"/>
      <c r="B1639" s="245"/>
      <c r="C1639" s="245"/>
      <c r="D1639" s="245"/>
      <c r="E1639" s="245"/>
      <c r="F1639" s="187"/>
      <c r="G1639" s="245"/>
      <c r="H1639" s="245"/>
      <c r="I1639" s="245"/>
      <c r="P1639" s="366"/>
      <c r="R1639" s="355"/>
      <c r="S1639" s="369"/>
      <c r="T1639" s="324"/>
      <c r="U1639" s="85" ph="1"/>
      <c r="W1639" s="216"/>
      <c r="X1639" s="245"/>
      <c r="Y1639" s="187"/>
      <c r="Z1639" s="245"/>
      <c r="AA1639" s="245"/>
      <c r="AB1639" s="332"/>
      <c r="AD1639" s="245"/>
      <c r="AE1639" s="245"/>
      <c r="AF1639" s="245"/>
      <c r="AG1639" s="245"/>
    </row>
    <row r="1640" spans="1:33" ht="26.4">
      <c r="A1640" s="246"/>
      <c r="B1640" s="245"/>
      <c r="C1640" s="245"/>
      <c r="D1640" s="245"/>
      <c r="E1640" s="245"/>
      <c r="F1640" s="187"/>
      <c r="G1640" s="245"/>
      <c r="H1640" s="245"/>
      <c r="I1640" s="245"/>
      <c r="P1640" s="366"/>
      <c r="R1640" s="355"/>
      <c r="S1640" s="369"/>
      <c r="T1640" s="324"/>
      <c r="U1640" s="85" ph="1"/>
      <c r="W1640" s="216"/>
      <c r="X1640" s="245"/>
      <c r="Y1640" s="187"/>
      <c r="Z1640" s="245"/>
      <c r="AA1640" s="245"/>
      <c r="AB1640" s="332"/>
      <c r="AD1640" s="245"/>
      <c r="AE1640" s="245"/>
      <c r="AF1640" s="245"/>
      <c r="AG1640" s="245"/>
    </row>
    <row r="1641" spans="1:33" ht="26.4">
      <c r="A1641" s="246"/>
      <c r="B1641" s="245"/>
      <c r="C1641" s="245"/>
      <c r="D1641" s="245"/>
      <c r="E1641" s="245"/>
      <c r="F1641" s="187"/>
      <c r="G1641" s="245"/>
      <c r="H1641" s="245"/>
      <c r="I1641" s="245"/>
      <c r="P1641" s="366"/>
      <c r="R1641" s="355"/>
      <c r="S1641" s="369"/>
      <c r="T1641" s="324"/>
      <c r="U1641" s="85" ph="1"/>
      <c r="W1641" s="216"/>
      <c r="X1641" s="245"/>
      <c r="Y1641" s="187"/>
      <c r="Z1641" s="245"/>
      <c r="AA1641" s="245"/>
      <c r="AB1641" s="332"/>
      <c r="AD1641" s="245"/>
      <c r="AE1641" s="245"/>
      <c r="AF1641" s="245"/>
      <c r="AG1641" s="245"/>
    </row>
    <row r="1642" spans="1:33" ht="26.4">
      <c r="A1642" s="246"/>
      <c r="B1642" s="245"/>
      <c r="C1642" s="245"/>
      <c r="D1642" s="245"/>
      <c r="E1642" s="245"/>
      <c r="F1642" s="187"/>
      <c r="G1642" s="245"/>
      <c r="H1642" s="245"/>
      <c r="I1642" s="245"/>
      <c r="P1642" s="366"/>
      <c r="R1642" s="355"/>
      <c r="S1642" s="369"/>
      <c r="T1642" s="324"/>
      <c r="U1642" s="85" ph="1"/>
      <c r="W1642" s="216"/>
      <c r="X1642" s="245"/>
      <c r="Y1642" s="187"/>
      <c r="Z1642" s="245"/>
      <c r="AA1642" s="245"/>
      <c r="AB1642" s="332"/>
      <c r="AD1642" s="245"/>
      <c r="AE1642" s="245"/>
      <c r="AF1642" s="245"/>
      <c r="AG1642" s="245"/>
    </row>
    <row r="1643" spans="1:33" ht="26.4">
      <c r="A1643" s="246"/>
      <c r="B1643" s="245"/>
      <c r="C1643" s="245"/>
      <c r="D1643" s="245"/>
      <c r="E1643" s="245"/>
      <c r="F1643" s="187"/>
      <c r="G1643" s="245"/>
      <c r="H1643" s="245"/>
      <c r="I1643" s="245"/>
      <c r="P1643" s="366"/>
      <c r="R1643" s="355"/>
      <c r="S1643" s="369"/>
      <c r="T1643" s="324"/>
      <c r="U1643" s="85" ph="1"/>
      <c r="W1643" s="216"/>
      <c r="X1643" s="245"/>
      <c r="Y1643" s="187"/>
      <c r="Z1643" s="245"/>
      <c r="AA1643" s="245"/>
      <c r="AB1643" s="332"/>
      <c r="AD1643" s="245"/>
      <c r="AE1643" s="245"/>
      <c r="AF1643" s="245"/>
      <c r="AG1643" s="245"/>
    </row>
    <row r="1644" spans="1:33" ht="26.4">
      <c r="A1644" s="246"/>
      <c r="B1644" s="245"/>
      <c r="C1644" s="245"/>
      <c r="D1644" s="245"/>
      <c r="E1644" s="245"/>
      <c r="F1644" s="187"/>
      <c r="G1644" s="245"/>
      <c r="H1644" s="245"/>
      <c r="I1644" s="245"/>
      <c r="P1644" s="366"/>
      <c r="R1644" s="355"/>
      <c r="S1644" s="369"/>
      <c r="T1644" s="324"/>
      <c r="U1644" s="85" ph="1"/>
      <c r="W1644" s="216"/>
      <c r="X1644" s="245"/>
      <c r="Y1644" s="187"/>
      <c r="Z1644" s="245"/>
      <c r="AA1644" s="245"/>
      <c r="AB1644" s="332"/>
      <c r="AD1644" s="245"/>
      <c r="AE1644" s="245"/>
      <c r="AF1644" s="245"/>
      <c r="AG1644" s="245"/>
    </row>
    <row r="1645" spans="1:33" ht="26.4">
      <c r="A1645" s="246"/>
      <c r="B1645" s="245"/>
      <c r="C1645" s="245"/>
      <c r="D1645" s="245"/>
      <c r="E1645" s="245"/>
      <c r="F1645" s="187"/>
      <c r="G1645" s="245"/>
      <c r="H1645" s="245"/>
      <c r="I1645" s="245"/>
      <c r="P1645" s="366"/>
      <c r="R1645" s="355"/>
      <c r="S1645" s="369"/>
      <c r="T1645" s="324"/>
      <c r="U1645" s="85" ph="1"/>
      <c r="W1645" s="216"/>
      <c r="X1645" s="245"/>
      <c r="Y1645" s="187"/>
      <c r="Z1645" s="245"/>
      <c r="AA1645" s="245"/>
      <c r="AB1645" s="332"/>
      <c r="AD1645" s="245"/>
      <c r="AE1645" s="245"/>
      <c r="AF1645" s="245"/>
      <c r="AG1645" s="245"/>
    </row>
    <row r="1646" spans="1:33" ht="26.4">
      <c r="A1646" s="246"/>
      <c r="B1646" s="245"/>
      <c r="C1646" s="245"/>
      <c r="D1646" s="245"/>
      <c r="E1646" s="245"/>
      <c r="F1646" s="187"/>
      <c r="G1646" s="245"/>
      <c r="H1646" s="245"/>
      <c r="I1646" s="245"/>
      <c r="P1646" s="366"/>
      <c r="R1646" s="355"/>
      <c r="S1646" s="369"/>
      <c r="T1646" s="324"/>
      <c r="U1646" s="85" ph="1"/>
      <c r="W1646" s="216"/>
      <c r="X1646" s="245"/>
      <c r="Y1646" s="187"/>
      <c r="Z1646" s="245"/>
      <c r="AA1646" s="245"/>
      <c r="AB1646" s="332"/>
      <c r="AD1646" s="245"/>
      <c r="AE1646" s="245"/>
      <c r="AF1646" s="245"/>
      <c r="AG1646" s="245"/>
    </row>
    <row r="1647" spans="1:33" ht="26.4">
      <c r="A1647" s="246"/>
      <c r="B1647" s="245"/>
      <c r="C1647" s="245"/>
      <c r="D1647" s="245"/>
      <c r="E1647" s="245"/>
      <c r="F1647" s="187"/>
      <c r="G1647" s="245"/>
      <c r="H1647" s="245"/>
      <c r="I1647" s="245"/>
      <c r="P1647" s="366"/>
      <c r="R1647" s="355"/>
      <c r="S1647" s="369"/>
      <c r="T1647" s="324"/>
      <c r="U1647" s="85" ph="1"/>
      <c r="W1647" s="216"/>
      <c r="X1647" s="245"/>
      <c r="Y1647" s="187"/>
      <c r="Z1647" s="245"/>
      <c r="AA1647" s="245"/>
      <c r="AB1647" s="332"/>
      <c r="AD1647" s="245"/>
      <c r="AE1647" s="245"/>
      <c r="AF1647" s="245"/>
      <c r="AG1647" s="245"/>
    </row>
    <row r="1648" spans="1:33" ht="26.4">
      <c r="A1648" s="246"/>
      <c r="B1648" s="245"/>
      <c r="C1648" s="245"/>
      <c r="D1648" s="245"/>
      <c r="E1648" s="245"/>
      <c r="F1648" s="187"/>
      <c r="G1648" s="245"/>
      <c r="H1648" s="245"/>
      <c r="I1648" s="245"/>
      <c r="P1648" s="366"/>
      <c r="R1648" s="355"/>
      <c r="S1648" s="369"/>
      <c r="T1648" s="324"/>
      <c r="U1648" s="85" ph="1"/>
      <c r="W1648" s="216"/>
      <c r="X1648" s="245"/>
      <c r="Y1648" s="187"/>
      <c r="Z1648" s="245"/>
      <c r="AA1648" s="245"/>
      <c r="AB1648" s="332"/>
      <c r="AD1648" s="245"/>
      <c r="AE1648" s="245"/>
      <c r="AF1648" s="245"/>
      <c r="AG1648" s="245"/>
    </row>
    <row r="1649" spans="1:33" ht="26.4">
      <c r="A1649" s="246"/>
      <c r="B1649" s="245"/>
      <c r="C1649" s="245"/>
      <c r="D1649" s="245"/>
      <c r="E1649" s="245"/>
      <c r="F1649" s="187"/>
      <c r="G1649" s="245"/>
      <c r="H1649" s="245"/>
      <c r="I1649" s="245"/>
      <c r="P1649" s="366"/>
      <c r="R1649" s="355"/>
      <c r="S1649" s="369"/>
      <c r="T1649" s="324"/>
      <c r="U1649" s="85" ph="1"/>
      <c r="W1649" s="216"/>
      <c r="X1649" s="245"/>
      <c r="Y1649" s="187"/>
      <c r="Z1649" s="245"/>
      <c r="AA1649" s="245"/>
      <c r="AB1649" s="332"/>
      <c r="AD1649" s="245"/>
      <c r="AE1649" s="245"/>
      <c r="AF1649" s="245"/>
      <c r="AG1649" s="245"/>
    </row>
    <row r="1650" spans="1:33" ht="26.4">
      <c r="A1650" s="246"/>
      <c r="B1650" s="245"/>
      <c r="C1650" s="245"/>
      <c r="D1650" s="245"/>
      <c r="E1650" s="245"/>
      <c r="F1650" s="187"/>
      <c r="G1650" s="245"/>
      <c r="H1650" s="245"/>
      <c r="I1650" s="245"/>
      <c r="P1650" s="366"/>
      <c r="R1650" s="355"/>
      <c r="S1650" s="369"/>
      <c r="T1650" s="324"/>
      <c r="U1650" s="85" ph="1"/>
      <c r="W1650" s="216"/>
      <c r="X1650" s="245"/>
      <c r="Y1650" s="187"/>
      <c r="Z1650" s="245"/>
      <c r="AA1650" s="245"/>
      <c r="AB1650" s="332"/>
      <c r="AD1650" s="245"/>
      <c r="AE1650" s="245"/>
      <c r="AF1650" s="245"/>
      <c r="AG1650" s="245"/>
    </row>
    <row r="1651" spans="1:33" ht="26.4">
      <c r="A1651" s="246"/>
      <c r="B1651" s="245"/>
      <c r="C1651" s="245"/>
      <c r="D1651" s="245"/>
      <c r="E1651" s="245"/>
      <c r="F1651" s="187"/>
      <c r="G1651" s="245"/>
      <c r="H1651" s="245"/>
      <c r="I1651" s="245"/>
      <c r="P1651" s="366"/>
      <c r="R1651" s="355"/>
      <c r="S1651" s="369"/>
      <c r="T1651" s="324"/>
      <c r="U1651" s="85" ph="1"/>
      <c r="W1651" s="216"/>
      <c r="X1651" s="245"/>
      <c r="Y1651" s="187"/>
      <c r="Z1651" s="245"/>
      <c r="AA1651" s="245"/>
      <c r="AB1651" s="332"/>
      <c r="AD1651" s="245"/>
      <c r="AE1651" s="245"/>
      <c r="AF1651" s="245"/>
      <c r="AG1651" s="245"/>
    </row>
    <row r="1652" spans="1:33" ht="26.4">
      <c r="A1652" s="246"/>
      <c r="B1652" s="245"/>
      <c r="C1652" s="245"/>
      <c r="D1652" s="245"/>
      <c r="E1652" s="245"/>
      <c r="F1652" s="187"/>
      <c r="G1652" s="245"/>
      <c r="H1652" s="245"/>
      <c r="I1652" s="245"/>
      <c r="P1652" s="366"/>
      <c r="R1652" s="355"/>
      <c r="S1652" s="369"/>
      <c r="T1652" s="324"/>
      <c r="U1652" s="85" ph="1"/>
      <c r="W1652" s="216"/>
      <c r="X1652" s="245"/>
      <c r="Y1652" s="187"/>
      <c r="Z1652" s="245"/>
      <c r="AA1652" s="245"/>
      <c r="AB1652" s="332"/>
      <c r="AD1652" s="245"/>
      <c r="AE1652" s="245"/>
      <c r="AF1652" s="245"/>
      <c r="AG1652" s="245"/>
    </row>
    <row r="1653" spans="1:33" ht="26.4">
      <c r="A1653" s="246"/>
      <c r="B1653" s="245"/>
      <c r="C1653" s="245"/>
      <c r="D1653" s="245"/>
      <c r="E1653" s="245"/>
      <c r="F1653" s="187"/>
      <c r="G1653" s="245"/>
      <c r="H1653" s="245"/>
      <c r="I1653" s="245"/>
      <c r="P1653" s="366"/>
      <c r="R1653" s="355"/>
      <c r="S1653" s="369"/>
      <c r="T1653" s="324"/>
      <c r="U1653" s="85" ph="1"/>
      <c r="W1653" s="216"/>
      <c r="X1653" s="245"/>
      <c r="Y1653" s="187"/>
      <c r="Z1653" s="245"/>
      <c r="AA1653" s="245"/>
      <c r="AB1653" s="332"/>
      <c r="AD1653" s="245"/>
      <c r="AE1653" s="245"/>
      <c r="AF1653" s="245"/>
      <c r="AG1653" s="245"/>
    </row>
    <row r="1654" spans="1:33" ht="26.4">
      <c r="A1654" s="246"/>
      <c r="B1654" s="245"/>
      <c r="C1654" s="245"/>
      <c r="D1654" s="245"/>
      <c r="E1654" s="245"/>
      <c r="F1654" s="187"/>
      <c r="G1654" s="245"/>
      <c r="H1654" s="245"/>
      <c r="I1654" s="245"/>
      <c r="P1654" s="366"/>
      <c r="R1654" s="355"/>
      <c r="S1654" s="369"/>
      <c r="T1654" s="324"/>
      <c r="U1654" s="85" ph="1"/>
      <c r="W1654" s="216"/>
      <c r="X1654" s="245"/>
      <c r="Y1654" s="187"/>
      <c r="Z1654" s="245"/>
      <c r="AA1654" s="245"/>
      <c r="AB1654" s="332"/>
      <c r="AD1654" s="245"/>
      <c r="AE1654" s="245"/>
      <c r="AF1654" s="245"/>
      <c r="AG1654" s="245"/>
    </row>
    <row r="1655" spans="1:33" ht="26.4">
      <c r="A1655" s="246"/>
      <c r="B1655" s="245"/>
      <c r="C1655" s="245"/>
      <c r="D1655" s="245"/>
      <c r="E1655" s="245"/>
      <c r="F1655" s="187"/>
      <c r="G1655" s="245"/>
      <c r="H1655" s="245"/>
      <c r="I1655" s="245"/>
      <c r="P1655" s="366"/>
      <c r="R1655" s="355"/>
      <c r="S1655" s="369"/>
      <c r="T1655" s="324"/>
      <c r="U1655" s="85" ph="1"/>
      <c r="W1655" s="216"/>
      <c r="X1655" s="245"/>
      <c r="Y1655" s="187"/>
      <c r="Z1655" s="245"/>
      <c r="AA1655" s="245"/>
      <c r="AB1655" s="332"/>
      <c r="AD1655" s="245"/>
      <c r="AE1655" s="245"/>
      <c r="AF1655" s="245"/>
      <c r="AG1655" s="245"/>
    </row>
    <row r="1656" spans="1:33" ht="26.4">
      <c r="A1656" s="246"/>
      <c r="B1656" s="245"/>
      <c r="C1656" s="245"/>
      <c r="D1656" s="245"/>
      <c r="E1656" s="245"/>
      <c r="F1656" s="187"/>
      <c r="G1656" s="245"/>
      <c r="H1656" s="245"/>
      <c r="I1656" s="245"/>
      <c r="P1656" s="366"/>
      <c r="R1656" s="355"/>
      <c r="S1656" s="369"/>
      <c r="T1656" s="324"/>
      <c r="U1656" s="85" ph="1"/>
      <c r="W1656" s="216"/>
      <c r="X1656" s="245"/>
      <c r="Y1656" s="187"/>
      <c r="Z1656" s="245"/>
      <c r="AA1656" s="245"/>
      <c r="AB1656" s="332"/>
      <c r="AD1656" s="245"/>
      <c r="AE1656" s="245"/>
      <c r="AF1656" s="245"/>
      <c r="AG1656" s="245"/>
    </row>
    <row r="1657" spans="1:33" ht="26.4">
      <c r="A1657" s="246"/>
      <c r="B1657" s="245"/>
      <c r="C1657" s="245"/>
      <c r="D1657" s="245"/>
      <c r="E1657" s="245"/>
      <c r="F1657" s="187"/>
      <c r="G1657" s="245"/>
      <c r="H1657" s="245"/>
      <c r="I1657" s="245"/>
      <c r="P1657" s="366"/>
      <c r="R1657" s="355"/>
      <c r="S1657" s="369"/>
      <c r="T1657" s="324"/>
      <c r="U1657" s="85" ph="1"/>
      <c r="W1657" s="216"/>
      <c r="X1657" s="245"/>
      <c r="Y1657" s="187"/>
      <c r="Z1657" s="245"/>
      <c r="AA1657" s="245"/>
      <c r="AB1657" s="332"/>
      <c r="AD1657" s="245"/>
      <c r="AE1657" s="245"/>
      <c r="AF1657" s="245"/>
      <c r="AG1657" s="245"/>
    </row>
    <row r="1658" spans="1:33" ht="26.4">
      <c r="A1658" s="246"/>
      <c r="B1658" s="245"/>
      <c r="C1658" s="245"/>
      <c r="D1658" s="245"/>
      <c r="E1658" s="245"/>
      <c r="F1658" s="187"/>
      <c r="G1658" s="245"/>
      <c r="H1658" s="245"/>
      <c r="I1658" s="245"/>
      <c r="P1658" s="366"/>
      <c r="R1658" s="355"/>
      <c r="S1658" s="369"/>
      <c r="T1658" s="324"/>
      <c r="U1658" s="85" ph="1"/>
      <c r="W1658" s="216"/>
      <c r="X1658" s="245"/>
      <c r="Y1658" s="187"/>
      <c r="Z1658" s="245"/>
      <c r="AA1658" s="245"/>
      <c r="AB1658" s="332"/>
      <c r="AD1658" s="245"/>
      <c r="AE1658" s="245"/>
      <c r="AF1658" s="245"/>
      <c r="AG1658" s="245"/>
    </row>
    <row r="1659" spans="1:33" ht="26.4">
      <c r="A1659" s="246"/>
      <c r="B1659" s="245"/>
      <c r="C1659" s="245"/>
      <c r="D1659" s="245"/>
      <c r="E1659" s="245"/>
      <c r="F1659" s="187"/>
      <c r="G1659" s="245"/>
      <c r="H1659" s="245"/>
      <c r="I1659" s="245"/>
      <c r="P1659" s="366"/>
      <c r="R1659" s="355"/>
      <c r="S1659" s="369"/>
      <c r="T1659" s="324"/>
      <c r="U1659" s="85" ph="1"/>
      <c r="W1659" s="216"/>
      <c r="X1659" s="245"/>
      <c r="Y1659" s="187"/>
      <c r="Z1659" s="245"/>
      <c r="AA1659" s="245"/>
      <c r="AB1659" s="332"/>
      <c r="AD1659" s="245"/>
      <c r="AE1659" s="245"/>
      <c r="AF1659" s="245"/>
      <c r="AG1659" s="245"/>
    </row>
    <row r="1660" spans="1:33" ht="26.4">
      <c r="A1660" s="246"/>
      <c r="B1660" s="245"/>
      <c r="C1660" s="245"/>
      <c r="D1660" s="245"/>
      <c r="E1660" s="245"/>
      <c r="F1660" s="187"/>
      <c r="G1660" s="245"/>
      <c r="H1660" s="245"/>
      <c r="I1660" s="245"/>
      <c r="P1660" s="366"/>
      <c r="R1660" s="355"/>
      <c r="S1660" s="369"/>
      <c r="T1660" s="324"/>
      <c r="U1660" s="85" ph="1"/>
      <c r="W1660" s="216"/>
      <c r="X1660" s="245"/>
      <c r="Y1660" s="187"/>
      <c r="Z1660" s="245"/>
      <c r="AA1660" s="245"/>
      <c r="AB1660" s="332"/>
      <c r="AD1660" s="245"/>
      <c r="AE1660" s="245"/>
      <c r="AF1660" s="245"/>
      <c r="AG1660" s="245"/>
    </row>
    <row r="1661" spans="1:33" ht="26.4">
      <c r="A1661" s="246"/>
      <c r="B1661" s="245"/>
      <c r="C1661" s="245"/>
      <c r="D1661" s="245"/>
      <c r="E1661" s="245"/>
      <c r="F1661" s="187"/>
      <c r="G1661" s="245"/>
      <c r="H1661" s="245"/>
      <c r="I1661" s="245"/>
      <c r="P1661" s="366"/>
      <c r="R1661" s="355"/>
      <c r="S1661" s="369"/>
      <c r="T1661" s="324"/>
      <c r="U1661" s="85" ph="1"/>
      <c r="W1661" s="216"/>
      <c r="X1661" s="245"/>
      <c r="Y1661" s="187"/>
      <c r="Z1661" s="245"/>
      <c r="AA1661" s="245"/>
      <c r="AB1661" s="332"/>
      <c r="AD1661" s="245"/>
      <c r="AE1661" s="245"/>
      <c r="AF1661" s="245"/>
      <c r="AG1661" s="245"/>
    </row>
    <row r="1662" spans="1:33" ht="26.4">
      <c r="A1662" s="246"/>
      <c r="B1662" s="245"/>
      <c r="C1662" s="245"/>
      <c r="D1662" s="245"/>
      <c r="E1662" s="245"/>
      <c r="F1662" s="187"/>
      <c r="G1662" s="245"/>
      <c r="H1662" s="245"/>
      <c r="I1662" s="245"/>
      <c r="P1662" s="366"/>
      <c r="R1662" s="355"/>
      <c r="S1662" s="369"/>
      <c r="T1662" s="324"/>
      <c r="U1662" s="85" ph="1"/>
      <c r="W1662" s="216"/>
      <c r="X1662" s="245"/>
      <c r="Y1662" s="187"/>
      <c r="Z1662" s="245"/>
      <c r="AA1662" s="245"/>
      <c r="AB1662" s="332"/>
      <c r="AD1662" s="245"/>
      <c r="AE1662" s="245"/>
      <c r="AF1662" s="245"/>
      <c r="AG1662" s="245"/>
    </row>
    <row r="1663" spans="1:33" ht="26.4">
      <c r="A1663" s="246"/>
      <c r="B1663" s="245"/>
      <c r="C1663" s="245"/>
      <c r="D1663" s="245"/>
      <c r="E1663" s="245"/>
      <c r="F1663" s="187"/>
      <c r="G1663" s="245"/>
      <c r="H1663" s="245"/>
      <c r="I1663" s="245"/>
      <c r="P1663" s="366"/>
      <c r="R1663" s="355"/>
      <c r="S1663" s="369"/>
      <c r="T1663" s="324"/>
      <c r="U1663" s="85" ph="1"/>
      <c r="W1663" s="216"/>
      <c r="X1663" s="245"/>
      <c r="Y1663" s="187"/>
      <c r="Z1663" s="245"/>
      <c r="AA1663" s="245"/>
      <c r="AB1663" s="332"/>
      <c r="AD1663" s="245"/>
      <c r="AE1663" s="245"/>
      <c r="AF1663" s="245"/>
      <c r="AG1663" s="245"/>
    </row>
    <row r="1664" spans="1:33" ht="26.4">
      <c r="A1664" s="246"/>
      <c r="B1664" s="245"/>
      <c r="C1664" s="245"/>
      <c r="D1664" s="245"/>
      <c r="E1664" s="245"/>
      <c r="F1664" s="187"/>
      <c r="G1664" s="245"/>
      <c r="H1664" s="245"/>
      <c r="I1664" s="245"/>
      <c r="P1664" s="366"/>
      <c r="R1664" s="355"/>
      <c r="S1664" s="369"/>
      <c r="T1664" s="324"/>
      <c r="U1664" s="85" ph="1"/>
      <c r="W1664" s="216"/>
      <c r="X1664" s="245"/>
      <c r="Y1664" s="187"/>
      <c r="Z1664" s="245"/>
      <c r="AA1664" s="245"/>
      <c r="AB1664" s="332"/>
      <c r="AD1664" s="245"/>
      <c r="AE1664" s="245"/>
      <c r="AF1664" s="245"/>
      <c r="AG1664" s="245"/>
    </row>
    <row r="1665" spans="1:33" ht="26.4">
      <c r="A1665" s="246"/>
      <c r="B1665" s="245"/>
      <c r="C1665" s="245"/>
      <c r="D1665" s="245"/>
      <c r="E1665" s="245"/>
      <c r="F1665" s="187"/>
      <c r="G1665" s="245"/>
      <c r="H1665" s="245"/>
      <c r="I1665" s="245"/>
      <c r="P1665" s="366"/>
      <c r="R1665" s="355"/>
      <c r="S1665" s="369"/>
      <c r="T1665" s="324"/>
      <c r="U1665" s="85" ph="1"/>
      <c r="W1665" s="216"/>
      <c r="X1665" s="245"/>
      <c r="Y1665" s="187"/>
      <c r="Z1665" s="245"/>
      <c r="AA1665" s="245"/>
      <c r="AB1665" s="332"/>
      <c r="AD1665" s="245"/>
      <c r="AE1665" s="245"/>
      <c r="AF1665" s="245"/>
      <c r="AG1665" s="245"/>
    </row>
    <row r="1666" spans="1:33" ht="26.4">
      <c r="A1666" s="246"/>
      <c r="B1666" s="245"/>
      <c r="C1666" s="245"/>
      <c r="D1666" s="245"/>
      <c r="E1666" s="245"/>
      <c r="F1666" s="187"/>
      <c r="G1666" s="245"/>
      <c r="H1666" s="245"/>
      <c r="I1666" s="245"/>
      <c r="P1666" s="366"/>
      <c r="R1666" s="355"/>
      <c r="S1666" s="369"/>
      <c r="T1666" s="324"/>
      <c r="U1666" s="85" ph="1"/>
      <c r="W1666" s="216"/>
      <c r="X1666" s="245"/>
      <c r="Y1666" s="187"/>
      <c r="Z1666" s="245"/>
      <c r="AA1666" s="245"/>
      <c r="AB1666" s="332"/>
      <c r="AD1666" s="245"/>
      <c r="AE1666" s="245"/>
      <c r="AF1666" s="245"/>
      <c r="AG1666" s="245"/>
    </row>
    <row r="1667" spans="1:33" ht="26.4">
      <c r="A1667" s="246"/>
      <c r="B1667" s="245"/>
      <c r="C1667" s="245"/>
      <c r="D1667" s="245"/>
      <c r="E1667" s="245"/>
      <c r="F1667" s="187"/>
      <c r="G1667" s="245"/>
      <c r="H1667" s="245"/>
      <c r="I1667" s="245"/>
      <c r="P1667" s="366"/>
      <c r="R1667" s="355"/>
      <c r="S1667" s="369"/>
      <c r="T1667" s="324"/>
      <c r="U1667" s="85" ph="1"/>
      <c r="W1667" s="216"/>
      <c r="X1667" s="245"/>
      <c r="Y1667" s="187"/>
      <c r="Z1667" s="245"/>
      <c r="AA1667" s="245"/>
      <c r="AB1667" s="332"/>
      <c r="AD1667" s="245"/>
      <c r="AE1667" s="245"/>
      <c r="AF1667" s="245"/>
      <c r="AG1667" s="245"/>
    </row>
    <row r="1668" spans="1:33" ht="26.4">
      <c r="A1668" s="246"/>
      <c r="B1668" s="245"/>
      <c r="C1668" s="245"/>
      <c r="D1668" s="245"/>
      <c r="E1668" s="245"/>
      <c r="F1668" s="187"/>
      <c r="G1668" s="245"/>
      <c r="H1668" s="245"/>
      <c r="I1668" s="245"/>
      <c r="P1668" s="366"/>
      <c r="R1668" s="355"/>
      <c r="S1668" s="369"/>
      <c r="T1668" s="324"/>
      <c r="U1668" s="85" ph="1"/>
      <c r="W1668" s="216"/>
      <c r="X1668" s="245"/>
      <c r="Y1668" s="187"/>
      <c r="Z1668" s="245"/>
      <c r="AA1668" s="245"/>
      <c r="AB1668" s="332"/>
      <c r="AD1668" s="245"/>
      <c r="AE1668" s="245"/>
      <c r="AF1668" s="245"/>
      <c r="AG1668" s="245"/>
    </row>
    <row r="1669" spans="1:33" ht="26.4">
      <c r="A1669" s="246"/>
      <c r="B1669" s="245"/>
      <c r="C1669" s="245"/>
      <c r="D1669" s="245"/>
      <c r="E1669" s="245"/>
      <c r="F1669" s="187"/>
      <c r="G1669" s="245"/>
      <c r="H1669" s="245"/>
      <c r="I1669" s="245"/>
      <c r="P1669" s="366"/>
      <c r="R1669" s="355"/>
      <c r="S1669" s="369"/>
      <c r="T1669" s="324"/>
      <c r="U1669" s="85" ph="1"/>
      <c r="W1669" s="216"/>
      <c r="X1669" s="245"/>
      <c r="Y1669" s="187"/>
      <c r="Z1669" s="245"/>
      <c r="AA1669" s="245"/>
      <c r="AB1669" s="332"/>
      <c r="AD1669" s="245"/>
      <c r="AE1669" s="245"/>
      <c r="AF1669" s="245"/>
      <c r="AG1669" s="245"/>
    </row>
    <row r="1670" spans="1:33" ht="26.4">
      <c r="A1670" s="246"/>
      <c r="B1670" s="245"/>
      <c r="C1670" s="245"/>
      <c r="D1670" s="245"/>
      <c r="E1670" s="245"/>
      <c r="F1670" s="187"/>
      <c r="G1670" s="245"/>
      <c r="H1670" s="245"/>
      <c r="I1670" s="245"/>
      <c r="P1670" s="366"/>
      <c r="R1670" s="355"/>
      <c r="S1670" s="369"/>
      <c r="T1670" s="324"/>
      <c r="U1670" s="85" ph="1"/>
      <c r="W1670" s="216"/>
      <c r="X1670" s="245"/>
      <c r="Y1670" s="187"/>
      <c r="Z1670" s="245"/>
      <c r="AA1670" s="245"/>
      <c r="AB1670" s="332"/>
      <c r="AD1670" s="245"/>
      <c r="AE1670" s="245"/>
      <c r="AF1670" s="245"/>
      <c r="AG1670" s="245"/>
    </row>
    <row r="1671" spans="1:33" ht="26.4">
      <c r="A1671" s="246"/>
      <c r="B1671" s="245"/>
      <c r="C1671" s="245"/>
      <c r="D1671" s="245"/>
      <c r="E1671" s="245"/>
      <c r="F1671" s="187"/>
      <c r="G1671" s="245"/>
      <c r="H1671" s="245"/>
      <c r="I1671" s="245"/>
      <c r="P1671" s="366"/>
      <c r="R1671" s="355"/>
      <c r="S1671" s="369"/>
      <c r="T1671" s="324"/>
      <c r="U1671" s="85" ph="1"/>
      <c r="W1671" s="216"/>
      <c r="X1671" s="245"/>
      <c r="Y1671" s="187"/>
      <c r="Z1671" s="245"/>
      <c r="AA1671" s="245"/>
      <c r="AB1671" s="332"/>
      <c r="AD1671" s="245"/>
      <c r="AE1671" s="245"/>
      <c r="AF1671" s="245"/>
      <c r="AG1671" s="245"/>
    </row>
    <row r="1672" spans="1:33" ht="26.4">
      <c r="A1672" s="246"/>
      <c r="B1672" s="245"/>
      <c r="C1672" s="245"/>
      <c r="D1672" s="245"/>
      <c r="E1672" s="245"/>
      <c r="F1672" s="187"/>
      <c r="G1672" s="245"/>
      <c r="H1672" s="245"/>
      <c r="I1672" s="245"/>
      <c r="P1672" s="366"/>
      <c r="R1672" s="355"/>
      <c r="S1672" s="369"/>
      <c r="T1672" s="324"/>
      <c r="U1672" s="85" ph="1"/>
      <c r="W1672" s="216"/>
      <c r="X1672" s="245"/>
      <c r="Y1672" s="187"/>
      <c r="Z1672" s="245"/>
      <c r="AA1672" s="245"/>
      <c r="AB1672" s="332"/>
      <c r="AD1672" s="245"/>
      <c r="AE1672" s="245"/>
      <c r="AF1672" s="245"/>
      <c r="AG1672" s="245"/>
    </row>
    <row r="1673" spans="1:33" ht="26.4">
      <c r="A1673" s="246"/>
      <c r="B1673" s="245"/>
      <c r="C1673" s="245"/>
      <c r="D1673" s="245"/>
      <c r="E1673" s="245"/>
      <c r="F1673" s="187"/>
      <c r="G1673" s="245"/>
      <c r="H1673" s="245"/>
      <c r="I1673" s="245"/>
      <c r="P1673" s="366"/>
      <c r="R1673" s="355"/>
      <c r="S1673" s="369"/>
      <c r="T1673" s="324"/>
      <c r="U1673" s="85" ph="1"/>
      <c r="W1673" s="216"/>
      <c r="X1673" s="245"/>
      <c r="Y1673" s="187"/>
      <c r="Z1673" s="245"/>
      <c r="AA1673" s="245"/>
      <c r="AB1673" s="332"/>
      <c r="AD1673" s="245"/>
      <c r="AE1673" s="245"/>
      <c r="AF1673" s="245"/>
      <c r="AG1673" s="245"/>
    </row>
    <row r="1674" spans="1:33" ht="26.4">
      <c r="A1674" s="246"/>
      <c r="B1674" s="245"/>
      <c r="C1674" s="245"/>
      <c r="D1674" s="245"/>
      <c r="E1674" s="245"/>
      <c r="F1674" s="187"/>
      <c r="G1674" s="245"/>
      <c r="H1674" s="245"/>
      <c r="I1674" s="245"/>
      <c r="P1674" s="366"/>
      <c r="R1674" s="355"/>
      <c r="S1674" s="369"/>
      <c r="T1674" s="324"/>
      <c r="U1674" s="85" ph="1"/>
      <c r="W1674" s="216"/>
      <c r="X1674" s="245"/>
      <c r="Y1674" s="187"/>
      <c r="Z1674" s="245"/>
      <c r="AA1674" s="245"/>
      <c r="AB1674" s="332"/>
      <c r="AD1674" s="245"/>
      <c r="AE1674" s="245"/>
      <c r="AF1674" s="245"/>
      <c r="AG1674" s="245"/>
    </row>
    <row r="1675" spans="1:33" ht="26.4">
      <c r="A1675" s="246"/>
      <c r="B1675" s="245"/>
      <c r="C1675" s="245"/>
      <c r="D1675" s="245"/>
      <c r="E1675" s="245"/>
      <c r="F1675" s="187"/>
      <c r="G1675" s="245"/>
      <c r="H1675" s="245"/>
      <c r="I1675" s="245"/>
      <c r="P1675" s="366"/>
      <c r="R1675" s="355"/>
      <c r="S1675" s="369"/>
      <c r="T1675" s="324"/>
      <c r="U1675" s="85" ph="1"/>
      <c r="W1675" s="216"/>
      <c r="X1675" s="245"/>
      <c r="Y1675" s="187"/>
      <c r="Z1675" s="245"/>
      <c r="AA1675" s="245"/>
      <c r="AB1675" s="332"/>
      <c r="AD1675" s="245"/>
      <c r="AE1675" s="245"/>
      <c r="AF1675" s="245"/>
      <c r="AG1675" s="245"/>
    </row>
    <row r="1676" spans="1:33" ht="26.4">
      <c r="A1676" s="246"/>
      <c r="B1676" s="245"/>
      <c r="C1676" s="245"/>
      <c r="D1676" s="245"/>
      <c r="E1676" s="245"/>
      <c r="F1676" s="187"/>
      <c r="G1676" s="245"/>
      <c r="H1676" s="245"/>
      <c r="I1676" s="245"/>
      <c r="P1676" s="366"/>
      <c r="R1676" s="355"/>
      <c r="S1676" s="369"/>
      <c r="T1676" s="324"/>
      <c r="U1676" s="85" ph="1"/>
      <c r="W1676" s="216"/>
      <c r="X1676" s="245"/>
      <c r="Y1676" s="187"/>
      <c r="Z1676" s="245"/>
      <c r="AA1676" s="245"/>
      <c r="AB1676" s="332"/>
      <c r="AD1676" s="245"/>
      <c r="AE1676" s="245"/>
      <c r="AF1676" s="245"/>
      <c r="AG1676" s="245"/>
    </row>
    <row r="1677" spans="1:33" ht="26.4">
      <c r="A1677" s="246"/>
      <c r="B1677" s="245"/>
      <c r="C1677" s="245"/>
      <c r="D1677" s="245"/>
      <c r="E1677" s="245"/>
      <c r="F1677" s="187"/>
      <c r="G1677" s="245"/>
      <c r="H1677" s="245"/>
      <c r="I1677" s="245"/>
      <c r="P1677" s="366"/>
      <c r="R1677" s="355"/>
      <c r="S1677" s="369"/>
      <c r="T1677" s="324"/>
      <c r="U1677" s="85" ph="1"/>
      <c r="W1677" s="216"/>
      <c r="X1677" s="245"/>
      <c r="Y1677" s="187"/>
      <c r="Z1677" s="245"/>
      <c r="AA1677" s="245"/>
      <c r="AB1677" s="332"/>
      <c r="AD1677" s="245"/>
      <c r="AE1677" s="245"/>
      <c r="AF1677" s="245"/>
      <c r="AG1677" s="245"/>
    </row>
    <row r="1678" spans="1:33" ht="26.4">
      <c r="A1678" s="246"/>
      <c r="B1678" s="245"/>
      <c r="C1678" s="245"/>
      <c r="D1678" s="245"/>
      <c r="E1678" s="245"/>
      <c r="F1678" s="187"/>
      <c r="G1678" s="245"/>
      <c r="H1678" s="245"/>
      <c r="I1678" s="245"/>
      <c r="P1678" s="366"/>
      <c r="R1678" s="355"/>
      <c r="S1678" s="369"/>
      <c r="T1678" s="324"/>
      <c r="U1678" s="85" ph="1"/>
      <c r="W1678" s="216"/>
      <c r="X1678" s="245"/>
      <c r="Y1678" s="187"/>
      <c r="Z1678" s="245"/>
      <c r="AA1678" s="245"/>
      <c r="AB1678" s="332"/>
      <c r="AD1678" s="245"/>
      <c r="AE1678" s="245"/>
      <c r="AF1678" s="245"/>
      <c r="AG1678" s="245"/>
    </row>
    <row r="1679" spans="1:33" ht="26.4">
      <c r="A1679" s="246"/>
      <c r="B1679" s="245"/>
      <c r="C1679" s="245"/>
      <c r="D1679" s="245"/>
      <c r="E1679" s="245"/>
      <c r="F1679" s="187"/>
      <c r="G1679" s="245"/>
      <c r="H1679" s="245"/>
      <c r="I1679" s="245"/>
      <c r="P1679" s="366"/>
      <c r="R1679" s="355"/>
      <c r="S1679" s="369"/>
      <c r="T1679" s="324"/>
      <c r="U1679" s="85" ph="1"/>
      <c r="W1679" s="216"/>
      <c r="X1679" s="245"/>
      <c r="Y1679" s="187"/>
      <c r="Z1679" s="245"/>
      <c r="AA1679" s="245"/>
      <c r="AB1679" s="332"/>
      <c r="AD1679" s="245"/>
      <c r="AE1679" s="245"/>
      <c r="AF1679" s="245"/>
      <c r="AG1679" s="245"/>
    </row>
    <row r="1680" spans="1:33" ht="26.4">
      <c r="A1680" s="246"/>
      <c r="B1680" s="245"/>
      <c r="C1680" s="245"/>
      <c r="D1680" s="245"/>
      <c r="E1680" s="245"/>
      <c r="F1680" s="187"/>
      <c r="G1680" s="245"/>
      <c r="H1680" s="245"/>
      <c r="I1680" s="245"/>
      <c r="P1680" s="366"/>
      <c r="R1680" s="355"/>
      <c r="S1680" s="369"/>
      <c r="T1680" s="324"/>
      <c r="U1680" s="85" ph="1"/>
      <c r="W1680" s="216"/>
      <c r="X1680" s="245"/>
      <c r="Y1680" s="187"/>
      <c r="Z1680" s="245"/>
      <c r="AA1680" s="245"/>
      <c r="AB1680" s="332"/>
      <c r="AD1680" s="245"/>
      <c r="AE1680" s="245"/>
      <c r="AF1680" s="245"/>
      <c r="AG1680" s="245"/>
    </row>
    <row r="1681" spans="1:33" ht="26.4">
      <c r="A1681" s="246"/>
      <c r="B1681" s="245"/>
      <c r="C1681" s="245"/>
      <c r="D1681" s="245"/>
      <c r="E1681" s="245"/>
      <c r="F1681" s="187"/>
      <c r="G1681" s="245"/>
      <c r="H1681" s="245"/>
      <c r="I1681" s="245"/>
      <c r="P1681" s="366"/>
      <c r="R1681" s="355"/>
      <c r="S1681" s="369"/>
      <c r="T1681" s="324"/>
      <c r="U1681" s="85" ph="1"/>
      <c r="W1681" s="216"/>
      <c r="X1681" s="245"/>
      <c r="Y1681" s="187"/>
      <c r="Z1681" s="245"/>
      <c r="AA1681" s="245"/>
      <c r="AB1681" s="332"/>
      <c r="AD1681" s="245"/>
      <c r="AE1681" s="245"/>
      <c r="AF1681" s="245"/>
      <c r="AG1681" s="245"/>
    </row>
    <row r="1682" spans="1:33" ht="26.4">
      <c r="A1682" s="246"/>
      <c r="B1682" s="245"/>
      <c r="C1682" s="245"/>
      <c r="D1682" s="245"/>
      <c r="E1682" s="245"/>
      <c r="F1682" s="187"/>
      <c r="G1682" s="245"/>
      <c r="H1682" s="245"/>
      <c r="I1682" s="245"/>
      <c r="P1682" s="366"/>
      <c r="R1682" s="355"/>
      <c r="S1682" s="369"/>
      <c r="T1682" s="324"/>
      <c r="U1682" s="85" ph="1"/>
      <c r="W1682" s="216"/>
      <c r="X1682" s="245"/>
      <c r="Y1682" s="187"/>
      <c r="Z1682" s="245"/>
      <c r="AA1682" s="245"/>
      <c r="AB1682" s="332"/>
      <c r="AD1682" s="245"/>
      <c r="AE1682" s="245"/>
      <c r="AF1682" s="245"/>
      <c r="AG1682" s="245"/>
    </row>
    <row r="1683" spans="1:33" ht="26.4">
      <c r="A1683" s="246"/>
      <c r="B1683" s="245"/>
      <c r="C1683" s="245"/>
      <c r="D1683" s="245"/>
      <c r="E1683" s="245"/>
      <c r="F1683" s="187"/>
      <c r="G1683" s="245"/>
      <c r="H1683" s="245"/>
      <c r="I1683" s="245"/>
      <c r="P1683" s="366"/>
      <c r="R1683" s="355"/>
      <c r="S1683" s="369"/>
      <c r="T1683" s="324"/>
      <c r="U1683" s="85" ph="1"/>
      <c r="W1683" s="216"/>
      <c r="X1683" s="245"/>
      <c r="Y1683" s="187"/>
      <c r="Z1683" s="245"/>
      <c r="AA1683" s="245"/>
      <c r="AB1683" s="332"/>
      <c r="AD1683" s="245"/>
      <c r="AE1683" s="245"/>
      <c r="AF1683" s="245"/>
      <c r="AG1683" s="245"/>
    </row>
    <row r="1684" spans="1:33" ht="26.4">
      <c r="A1684" s="246"/>
      <c r="B1684" s="245"/>
      <c r="C1684" s="245"/>
      <c r="D1684" s="245"/>
      <c r="E1684" s="245"/>
      <c r="F1684" s="187"/>
      <c r="G1684" s="245"/>
      <c r="H1684" s="245"/>
      <c r="I1684" s="245"/>
      <c r="P1684" s="366"/>
      <c r="R1684" s="355"/>
      <c r="S1684" s="369"/>
      <c r="T1684" s="324"/>
      <c r="U1684" s="85" ph="1"/>
      <c r="W1684" s="216"/>
      <c r="X1684" s="245"/>
      <c r="Y1684" s="187"/>
      <c r="Z1684" s="245"/>
      <c r="AA1684" s="245"/>
      <c r="AB1684" s="332"/>
      <c r="AD1684" s="245"/>
      <c r="AE1684" s="245"/>
      <c r="AF1684" s="245"/>
      <c r="AG1684" s="245"/>
    </row>
    <row r="1685" spans="1:33" ht="26.4">
      <c r="A1685" s="246"/>
      <c r="B1685" s="245"/>
      <c r="C1685" s="245"/>
      <c r="D1685" s="245"/>
      <c r="E1685" s="245"/>
      <c r="F1685" s="187"/>
      <c r="G1685" s="245"/>
      <c r="H1685" s="245"/>
      <c r="I1685" s="245"/>
      <c r="P1685" s="366"/>
      <c r="R1685" s="355"/>
      <c r="S1685" s="369"/>
      <c r="T1685" s="324"/>
      <c r="U1685" s="85" ph="1"/>
      <c r="W1685" s="216"/>
      <c r="X1685" s="245"/>
      <c r="Y1685" s="187"/>
      <c r="Z1685" s="245"/>
      <c r="AA1685" s="245"/>
      <c r="AB1685" s="332"/>
      <c r="AD1685" s="245"/>
      <c r="AE1685" s="245"/>
      <c r="AF1685" s="245"/>
      <c r="AG1685" s="245"/>
    </row>
    <row r="1686" spans="1:33" ht="26.4">
      <c r="A1686" s="246"/>
      <c r="B1686" s="245"/>
      <c r="C1686" s="245"/>
      <c r="D1686" s="245"/>
      <c r="E1686" s="245"/>
      <c r="F1686" s="187"/>
      <c r="G1686" s="245"/>
      <c r="H1686" s="245"/>
      <c r="I1686" s="245"/>
      <c r="P1686" s="366"/>
      <c r="R1686" s="355"/>
      <c r="S1686" s="369"/>
      <c r="T1686" s="324"/>
      <c r="U1686" s="85" ph="1"/>
      <c r="W1686" s="216"/>
      <c r="X1686" s="245"/>
      <c r="Y1686" s="187"/>
      <c r="Z1686" s="245"/>
      <c r="AA1686" s="245"/>
      <c r="AB1686" s="332"/>
      <c r="AD1686" s="245"/>
      <c r="AE1686" s="245"/>
      <c r="AF1686" s="245"/>
      <c r="AG1686" s="245"/>
    </row>
    <row r="1687" spans="1:33" ht="26.4">
      <c r="A1687" s="246"/>
      <c r="B1687" s="245"/>
      <c r="C1687" s="245"/>
      <c r="D1687" s="245"/>
      <c r="E1687" s="245"/>
      <c r="F1687" s="187"/>
      <c r="G1687" s="245"/>
      <c r="H1687" s="245"/>
      <c r="I1687" s="245"/>
      <c r="P1687" s="366"/>
      <c r="R1687" s="355"/>
      <c r="S1687" s="369"/>
      <c r="T1687" s="324"/>
      <c r="U1687" s="85" ph="1"/>
      <c r="W1687" s="216"/>
      <c r="X1687" s="245"/>
      <c r="Y1687" s="187"/>
      <c r="Z1687" s="245"/>
      <c r="AA1687" s="245"/>
      <c r="AB1687" s="332"/>
      <c r="AD1687" s="245"/>
      <c r="AE1687" s="245"/>
      <c r="AF1687" s="245"/>
      <c r="AG1687" s="245"/>
    </row>
    <row r="1688" spans="1:33" ht="26.4">
      <c r="A1688" s="246"/>
      <c r="B1688" s="245"/>
      <c r="C1688" s="245"/>
      <c r="D1688" s="245"/>
      <c r="E1688" s="245"/>
      <c r="F1688" s="187"/>
      <c r="G1688" s="245"/>
      <c r="H1688" s="245"/>
      <c r="I1688" s="245"/>
      <c r="P1688" s="366"/>
      <c r="R1688" s="355"/>
      <c r="S1688" s="369"/>
      <c r="T1688" s="324"/>
      <c r="U1688" s="85" ph="1"/>
      <c r="W1688" s="216"/>
      <c r="X1688" s="245"/>
      <c r="Y1688" s="187"/>
      <c r="Z1688" s="245"/>
      <c r="AA1688" s="245"/>
      <c r="AB1688" s="332"/>
      <c r="AD1688" s="245"/>
      <c r="AE1688" s="245"/>
      <c r="AF1688" s="245"/>
      <c r="AG1688" s="245"/>
    </row>
    <row r="1689" spans="1:33" ht="26.4">
      <c r="A1689" s="246"/>
      <c r="B1689" s="245"/>
      <c r="C1689" s="245"/>
      <c r="D1689" s="245"/>
      <c r="E1689" s="245"/>
      <c r="F1689" s="187"/>
      <c r="G1689" s="245"/>
      <c r="H1689" s="245"/>
      <c r="I1689" s="245"/>
      <c r="P1689" s="366"/>
      <c r="R1689" s="355"/>
      <c r="S1689" s="369"/>
      <c r="T1689" s="324"/>
      <c r="U1689" s="85" ph="1"/>
      <c r="W1689" s="216"/>
      <c r="X1689" s="245"/>
      <c r="Y1689" s="187"/>
      <c r="Z1689" s="245"/>
      <c r="AA1689" s="245"/>
      <c r="AB1689" s="332"/>
      <c r="AD1689" s="245"/>
      <c r="AE1689" s="245"/>
      <c r="AF1689" s="245"/>
      <c r="AG1689" s="245"/>
    </row>
    <row r="1690" spans="1:33" ht="26.4">
      <c r="A1690" s="246"/>
      <c r="B1690" s="245"/>
      <c r="C1690" s="245"/>
      <c r="D1690" s="245"/>
      <c r="E1690" s="245"/>
      <c r="F1690" s="187"/>
      <c r="G1690" s="245"/>
      <c r="H1690" s="245"/>
      <c r="I1690" s="245"/>
      <c r="P1690" s="366"/>
      <c r="R1690" s="355"/>
      <c r="S1690" s="369"/>
      <c r="T1690" s="324"/>
      <c r="U1690" s="85" ph="1"/>
      <c r="W1690" s="216"/>
      <c r="X1690" s="245"/>
      <c r="Y1690" s="187"/>
      <c r="Z1690" s="245"/>
      <c r="AA1690" s="245"/>
      <c r="AB1690" s="332"/>
      <c r="AD1690" s="245"/>
      <c r="AE1690" s="245"/>
      <c r="AF1690" s="245"/>
      <c r="AG1690" s="245"/>
    </row>
    <row r="1691" spans="1:33" ht="26.4">
      <c r="A1691" s="246"/>
      <c r="B1691" s="245"/>
      <c r="C1691" s="245"/>
      <c r="D1691" s="245"/>
      <c r="E1691" s="245"/>
      <c r="F1691" s="187"/>
      <c r="G1691" s="245"/>
      <c r="H1691" s="245"/>
      <c r="I1691" s="245"/>
      <c r="P1691" s="366"/>
      <c r="R1691" s="355"/>
      <c r="S1691" s="369"/>
      <c r="T1691" s="324"/>
      <c r="U1691" s="85" ph="1"/>
      <c r="W1691" s="216"/>
      <c r="X1691" s="245"/>
      <c r="Y1691" s="187"/>
      <c r="Z1691" s="245"/>
      <c r="AA1691" s="245"/>
      <c r="AB1691" s="332"/>
      <c r="AD1691" s="245"/>
      <c r="AE1691" s="245"/>
      <c r="AF1691" s="245"/>
      <c r="AG1691" s="245"/>
    </row>
    <row r="1692" spans="1:33" ht="26.4">
      <c r="A1692" s="246"/>
      <c r="B1692" s="245"/>
      <c r="C1692" s="245"/>
      <c r="D1692" s="245"/>
      <c r="E1692" s="245"/>
      <c r="F1692" s="187"/>
      <c r="G1692" s="245"/>
      <c r="H1692" s="245"/>
      <c r="I1692" s="245"/>
      <c r="P1692" s="366"/>
      <c r="R1692" s="355"/>
      <c r="S1692" s="369"/>
      <c r="T1692" s="324"/>
      <c r="U1692" s="85" ph="1"/>
      <c r="W1692" s="216"/>
      <c r="X1692" s="245"/>
      <c r="Y1692" s="187"/>
      <c r="Z1692" s="245"/>
      <c r="AA1692" s="245"/>
      <c r="AB1692" s="332"/>
      <c r="AD1692" s="245"/>
      <c r="AE1692" s="245"/>
      <c r="AF1692" s="245"/>
      <c r="AG1692" s="245"/>
    </row>
    <row r="1693" spans="1:33" ht="26.4">
      <c r="A1693" s="246"/>
      <c r="B1693" s="245"/>
      <c r="C1693" s="245"/>
      <c r="D1693" s="245"/>
      <c r="E1693" s="245"/>
      <c r="F1693" s="187"/>
      <c r="G1693" s="245"/>
      <c r="H1693" s="245"/>
      <c r="I1693" s="245"/>
      <c r="P1693" s="366"/>
      <c r="R1693" s="355"/>
      <c r="S1693" s="369"/>
      <c r="T1693" s="324"/>
      <c r="U1693" s="85" ph="1"/>
      <c r="W1693" s="216"/>
      <c r="X1693" s="245"/>
      <c r="Y1693" s="187"/>
      <c r="Z1693" s="245"/>
      <c r="AA1693" s="245"/>
      <c r="AB1693" s="332"/>
      <c r="AD1693" s="245"/>
      <c r="AE1693" s="245"/>
      <c r="AF1693" s="245"/>
      <c r="AG1693" s="245"/>
    </row>
    <row r="1694" spans="1:33" ht="26.4">
      <c r="A1694" s="246"/>
      <c r="B1694" s="245"/>
      <c r="C1694" s="245"/>
      <c r="D1694" s="245"/>
      <c r="E1694" s="245"/>
      <c r="F1694" s="187"/>
      <c r="G1694" s="245"/>
      <c r="H1694" s="245"/>
      <c r="I1694" s="245"/>
      <c r="P1694" s="366"/>
      <c r="R1694" s="355"/>
      <c r="S1694" s="369"/>
      <c r="T1694" s="324"/>
      <c r="U1694" s="85" ph="1"/>
      <c r="W1694" s="216"/>
      <c r="X1694" s="245"/>
      <c r="Y1694" s="187"/>
      <c r="Z1694" s="245"/>
      <c r="AA1694" s="245"/>
      <c r="AB1694" s="332"/>
      <c r="AD1694" s="245"/>
      <c r="AE1694" s="245"/>
      <c r="AF1694" s="245"/>
      <c r="AG1694" s="245"/>
    </row>
    <row r="1695" spans="1:33" ht="26.4">
      <c r="A1695" s="246"/>
      <c r="B1695" s="245"/>
      <c r="C1695" s="245"/>
      <c r="D1695" s="245"/>
      <c r="E1695" s="245"/>
      <c r="F1695" s="187"/>
      <c r="G1695" s="245"/>
      <c r="H1695" s="245"/>
      <c r="I1695" s="245"/>
      <c r="P1695" s="366"/>
      <c r="R1695" s="355"/>
      <c r="S1695" s="369"/>
      <c r="T1695" s="324"/>
      <c r="U1695" s="85" ph="1"/>
      <c r="W1695" s="216"/>
      <c r="X1695" s="245"/>
      <c r="Y1695" s="187"/>
      <c r="Z1695" s="245"/>
      <c r="AA1695" s="245"/>
      <c r="AB1695" s="332"/>
      <c r="AD1695" s="245"/>
      <c r="AE1695" s="245"/>
      <c r="AF1695" s="245"/>
      <c r="AG1695" s="245"/>
    </row>
    <row r="1696" spans="1:33" ht="26.4">
      <c r="A1696" s="246"/>
      <c r="B1696" s="245"/>
      <c r="C1696" s="245"/>
      <c r="D1696" s="245"/>
      <c r="E1696" s="245"/>
      <c r="F1696" s="187"/>
      <c r="G1696" s="245"/>
      <c r="H1696" s="245"/>
      <c r="I1696" s="245"/>
      <c r="P1696" s="366"/>
      <c r="R1696" s="355"/>
      <c r="S1696" s="369"/>
      <c r="T1696" s="324"/>
      <c r="U1696" s="85" ph="1"/>
      <c r="W1696" s="216"/>
      <c r="X1696" s="245"/>
      <c r="Y1696" s="187"/>
      <c r="Z1696" s="245"/>
      <c r="AA1696" s="245"/>
      <c r="AB1696" s="332"/>
      <c r="AD1696" s="245"/>
      <c r="AE1696" s="245"/>
      <c r="AF1696" s="245"/>
      <c r="AG1696" s="245"/>
    </row>
    <row r="1697" spans="1:33" ht="26.4">
      <c r="A1697" s="246"/>
      <c r="B1697" s="245"/>
      <c r="C1697" s="245"/>
      <c r="D1697" s="245"/>
      <c r="E1697" s="245"/>
      <c r="F1697" s="187"/>
      <c r="G1697" s="245"/>
      <c r="H1697" s="245"/>
      <c r="I1697" s="245"/>
      <c r="P1697" s="366"/>
      <c r="R1697" s="355"/>
      <c r="S1697" s="369"/>
      <c r="T1697" s="324"/>
      <c r="U1697" s="85" ph="1"/>
      <c r="W1697" s="216"/>
      <c r="X1697" s="245"/>
      <c r="Y1697" s="187"/>
      <c r="Z1697" s="245"/>
      <c r="AA1697" s="245"/>
      <c r="AB1697" s="332"/>
      <c r="AD1697" s="245"/>
      <c r="AE1697" s="245"/>
      <c r="AF1697" s="245"/>
      <c r="AG1697" s="245"/>
    </row>
    <row r="1698" spans="1:33" ht="26.4">
      <c r="A1698" s="246"/>
      <c r="B1698" s="245"/>
      <c r="C1698" s="245"/>
      <c r="D1698" s="245"/>
      <c r="E1698" s="245"/>
      <c r="F1698" s="187"/>
      <c r="G1698" s="245"/>
      <c r="H1698" s="245"/>
      <c r="I1698" s="245"/>
      <c r="P1698" s="366"/>
      <c r="R1698" s="355"/>
      <c r="S1698" s="369"/>
      <c r="T1698" s="324"/>
      <c r="U1698" s="85" ph="1"/>
      <c r="W1698" s="216"/>
      <c r="X1698" s="245"/>
      <c r="Y1698" s="187"/>
      <c r="Z1698" s="245"/>
      <c r="AA1698" s="245"/>
      <c r="AB1698" s="332"/>
      <c r="AD1698" s="245"/>
      <c r="AE1698" s="245"/>
      <c r="AF1698" s="245"/>
      <c r="AG1698" s="245"/>
    </row>
    <row r="1699" spans="1:33" ht="26.4">
      <c r="A1699" s="246"/>
      <c r="B1699" s="245"/>
      <c r="C1699" s="245"/>
      <c r="D1699" s="245"/>
      <c r="E1699" s="245"/>
      <c r="F1699" s="187"/>
      <c r="G1699" s="245"/>
      <c r="H1699" s="245"/>
      <c r="I1699" s="245"/>
      <c r="P1699" s="366"/>
      <c r="R1699" s="355"/>
      <c r="S1699" s="369"/>
      <c r="T1699" s="324"/>
      <c r="U1699" s="85" ph="1"/>
      <c r="W1699" s="216"/>
      <c r="X1699" s="245"/>
      <c r="Y1699" s="187"/>
      <c r="Z1699" s="245"/>
      <c r="AA1699" s="245"/>
      <c r="AB1699" s="332"/>
      <c r="AD1699" s="245"/>
      <c r="AE1699" s="245"/>
      <c r="AF1699" s="245"/>
      <c r="AG1699" s="245"/>
    </row>
    <row r="1700" spans="1:33" ht="26.4">
      <c r="A1700" s="246"/>
      <c r="B1700" s="245"/>
      <c r="C1700" s="245"/>
      <c r="D1700" s="245"/>
      <c r="E1700" s="245"/>
      <c r="F1700" s="187"/>
      <c r="G1700" s="245"/>
      <c r="H1700" s="245"/>
      <c r="I1700" s="245"/>
      <c r="P1700" s="366"/>
      <c r="R1700" s="355"/>
      <c r="S1700" s="369"/>
      <c r="T1700" s="324"/>
      <c r="U1700" s="85" ph="1"/>
      <c r="W1700" s="216"/>
      <c r="X1700" s="245"/>
      <c r="Y1700" s="187"/>
      <c r="Z1700" s="245"/>
      <c r="AA1700" s="245"/>
      <c r="AB1700" s="332"/>
      <c r="AD1700" s="245"/>
      <c r="AE1700" s="245"/>
      <c r="AF1700" s="245"/>
      <c r="AG1700" s="245"/>
    </row>
    <row r="1701" spans="1:33" ht="26.4">
      <c r="A1701" s="246"/>
      <c r="B1701" s="245"/>
      <c r="C1701" s="245"/>
      <c r="D1701" s="245"/>
      <c r="E1701" s="245"/>
      <c r="F1701" s="187"/>
      <c r="G1701" s="245"/>
      <c r="H1701" s="245"/>
      <c r="I1701" s="245"/>
      <c r="P1701" s="366"/>
      <c r="R1701" s="355"/>
      <c r="S1701" s="369"/>
      <c r="T1701" s="324"/>
      <c r="U1701" s="85" ph="1"/>
      <c r="W1701" s="216"/>
      <c r="X1701" s="245"/>
      <c r="Y1701" s="187"/>
      <c r="Z1701" s="245"/>
      <c r="AA1701" s="245"/>
      <c r="AB1701" s="332"/>
      <c r="AD1701" s="245"/>
      <c r="AE1701" s="245"/>
      <c r="AF1701" s="245"/>
      <c r="AG1701" s="245"/>
    </row>
    <row r="1702" spans="1:33" ht="26.4">
      <c r="A1702" s="246"/>
      <c r="B1702" s="245"/>
      <c r="C1702" s="245"/>
      <c r="D1702" s="245"/>
      <c r="E1702" s="245"/>
      <c r="F1702" s="187"/>
      <c r="G1702" s="245"/>
      <c r="H1702" s="245"/>
      <c r="I1702" s="245"/>
      <c r="P1702" s="366"/>
      <c r="R1702" s="355"/>
      <c r="S1702" s="369"/>
      <c r="T1702" s="324"/>
      <c r="U1702" s="85" ph="1"/>
      <c r="W1702" s="216"/>
      <c r="X1702" s="245"/>
      <c r="Y1702" s="187"/>
      <c r="Z1702" s="245"/>
      <c r="AA1702" s="245"/>
      <c r="AB1702" s="332"/>
      <c r="AD1702" s="245"/>
      <c r="AE1702" s="245"/>
      <c r="AF1702" s="245"/>
      <c r="AG1702" s="245"/>
    </row>
    <row r="1703" spans="1:33" ht="26.4">
      <c r="A1703" s="246"/>
      <c r="B1703" s="245"/>
      <c r="C1703" s="245"/>
      <c r="D1703" s="245"/>
      <c r="E1703" s="245"/>
      <c r="F1703" s="187"/>
      <c r="G1703" s="245"/>
      <c r="H1703" s="245"/>
      <c r="I1703" s="245"/>
      <c r="P1703" s="366"/>
      <c r="R1703" s="355"/>
      <c r="S1703" s="369"/>
      <c r="T1703" s="324"/>
      <c r="U1703" s="85" ph="1"/>
      <c r="W1703" s="216"/>
      <c r="X1703" s="245"/>
      <c r="Y1703" s="187"/>
      <c r="Z1703" s="245"/>
      <c r="AA1703" s="245"/>
      <c r="AB1703" s="332"/>
      <c r="AD1703" s="245"/>
      <c r="AE1703" s="245"/>
      <c r="AF1703" s="245"/>
      <c r="AG1703" s="245"/>
    </row>
    <row r="1704" spans="1:33" ht="26.4">
      <c r="A1704" s="246"/>
      <c r="B1704" s="245"/>
      <c r="C1704" s="245"/>
      <c r="D1704" s="245"/>
      <c r="E1704" s="245"/>
      <c r="F1704" s="187"/>
      <c r="G1704" s="245"/>
      <c r="H1704" s="245"/>
      <c r="I1704" s="245"/>
      <c r="P1704" s="366"/>
      <c r="R1704" s="355"/>
      <c r="S1704" s="369"/>
      <c r="T1704" s="324"/>
      <c r="U1704" s="85" ph="1"/>
      <c r="W1704" s="216"/>
      <c r="X1704" s="245"/>
      <c r="Y1704" s="187"/>
      <c r="Z1704" s="245"/>
      <c r="AA1704" s="245"/>
      <c r="AB1704" s="332"/>
      <c r="AD1704" s="245"/>
      <c r="AE1704" s="245"/>
      <c r="AF1704" s="245"/>
      <c r="AG1704" s="245"/>
    </row>
    <row r="1705" spans="1:33" ht="26.4">
      <c r="A1705" s="246"/>
      <c r="B1705" s="245"/>
      <c r="C1705" s="245"/>
      <c r="D1705" s="245"/>
      <c r="E1705" s="245"/>
      <c r="F1705" s="187"/>
      <c r="G1705" s="245"/>
      <c r="H1705" s="245"/>
      <c r="I1705" s="245"/>
      <c r="P1705" s="366"/>
      <c r="R1705" s="355"/>
      <c r="S1705" s="369"/>
      <c r="T1705" s="324"/>
      <c r="U1705" s="85" ph="1"/>
      <c r="W1705" s="216"/>
      <c r="X1705" s="245"/>
      <c r="Y1705" s="187"/>
      <c r="Z1705" s="245"/>
      <c r="AA1705" s="245"/>
      <c r="AB1705" s="332"/>
      <c r="AD1705" s="245"/>
      <c r="AE1705" s="245"/>
      <c r="AF1705" s="245"/>
      <c r="AG1705" s="245"/>
    </row>
    <row r="1706" spans="1:33" ht="26.4">
      <c r="A1706" s="246"/>
      <c r="B1706" s="245"/>
      <c r="C1706" s="245"/>
      <c r="D1706" s="245"/>
      <c r="E1706" s="245"/>
      <c r="F1706" s="187"/>
      <c r="G1706" s="245"/>
      <c r="H1706" s="245"/>
      <c r="I1706" s="245"/>
      <c r="P1706" s="366"/>
      <c r="R1706" s="355"/>
      <c r="S1706" s="369"/>
      <c r="T1706" s="324"/>
      <c r="U1706" s="85" ph="1"/>
      <c r="W1706" s="216"/>
      <c r="X1706" s="245"/>
      <c r="Y1706" s="187"/>
      <c r="Z1706" s="245"/>
      <c r="AA1706" s="245"/>
      <c r="AB1706" s="332"/>
      <c r="AD1706" s="245"/>
      <c r="AE1706" s="245"/>
      <c r="AF1706" s="245"/>
      <c r="AG1706" s="245"/>
    </row>
    <row r="1707" spans="1:33" ht="26.4">
      <c r="A1707" s="246"/>
      <c r="B1707" s="245"/>
      <c r="C1707" s="245"/>
      <c r="D1707" s="245"/>
      <c r="E1707" s="245"/>
      <c r="F1707" s="187"/>
      <c r="G1707" s="245"/>
      <c r="H1707" s="245"/>
      <c r="I1707" s="245"/>
      <c r="P1707" s="366"/>
      <c r="R1707" s="355"/>
      <c r="S1707" s="369"/>
      <c r="T1707" s="324"/>
      <c r="U1707" s="85" ph="1"/>
      <c r="W1707" s="216"/>
      <c r="X1707" s="245"/>
      <c r="Y1707" s="187"/>
      <c r="Z1707" s="245"/>
      <c r="AA1707" s="245"/>
      <c r="AB1707" s="332"/>
      <c r="AD1707" s="245"/>
      <c r="AE1707" s="245"/>
      <c r="AF1707" s="245"/>
      <c r="AG1707" s="245"/>
    </row>
    <row r="1708" spans="1:33" ht="26.4">
      <c r="A1708" s="246"/>
      <c r="B1708" s="245"/>
      <c r="C1708" s="245"/>
      <c r="D1708" s="245"/>
      <c r="E1708" s="245"/>
      <c r="F1708" s="187"/>
      <c r="G1708" s="245"/>
      <c r="H1708" s="245"/>
      <c r="I1708" s="245"/>
      <c r="P1708" s="366"/>
      <c r="R1708" s="355"/>
      <c r="S1708" s="369"/>
      <c r="T1708" s="324"/>
      <c r="U1708" s="85" ph="1"/>
      <c r="W1708" s="216"/>
      <c r="X1708" s="245"/>
      <c r="Y1708" s="187"/>
      <c r="Z1708" s="245"/>
      <c r="AA1708" s="245"/>
      <c r="AB1708" s="332"/>
      <c r="AD1708" s="245"/>
      <c r="AE1708" s="245"/>
      <c r="AF1708" s="245"/>
      <c r="AG1708" s="245"/>
    </row>
    <row r="1709" spans="1:33" ht="26.4">
      <c r="A1709" s="246"/>
      <c r="B1709" s="245"/>
      <c r="C1709" s="245"/>
      <c r="D1709" s="245"/>
      <c r="E1709" s="245"/>
      <c r="F1709" s="187"/>
      <c r="G1709" s="245"/>
      <c r="H1709" s="245"/>
      <c r="I1709" s="245"/>
      <c r="P1709" s="366"/>
      <c r="R1709" s="355"/>
      <c r="S1709" s="369"/>
      <c r="T1709" s="324"/>
      <c r="U1709" s="85" ph="1"/>
      <c r="W1709" s="216"/>
      <c r="X1709" s="245"/>
      <c r="Y1709" s="187"/>
      <c r="Z1709" s="245"/>
      <c r="AA1709" s="245"/>
      <c r="AB1709" s="332"/>
      <c r="AD1709" s="245"/>
      <c r="AE1709" s="245"/>
      <c r="AF1709" s="245"/>
      <c r="AG1709" s="245"/>
    </row>
    <row r="1710" spans="1:33" ht="26.4">
      <c r="A1710" s="246"/>
      <c r="B1710" s="245"/>
      <c r="C1710" s="245"/>
      <c r="D1710" s="245"/>
      <c r="E1710" s="245"/>
      <c r="F1710" s="187"/>
      <c r="G1710" s="245"/>
      <c r="H1710" s="245"/>
      <c r="I1710" s="245"/>
      <c r="P1710" s="366"/>
      <c r="R1710" s="355"/>
      <c r="S1710" s="369"/>
      <c r="T1710" s="324"/>
      <c r="U1710" s="85" ph="1"/>
      <c r="W1710" s="216"/>
      <c r="X1710" s="245"/>
      <c r="Y1710" s="187"/>
      <c r="Z1710" s="245"/>
      <c r="AA1710" s="245"/>
      <c r="AB1710" s="332"/>
      <c r="AD1710" s="245"/>
      <c r="AE1710" s="245"/>
      <c r="AF1710" s="245"/>
      <c r="AG1710" s="245"/>
    </row>
    <row r="1711" spans="1:33" ht="26.4">
      <c r="A1711" s="246"/>
      <c r="B1711" s="245"/>
      <c r="C1711" s="245"/>
      <c r="D1711" s="245"/>
      <c r="E1711" s="245"/>
      <c r="F1711" s="187"/>
      <c r="G1711" s="245"/>
      <c r="H1711" s="245"/>
      <c r="I1711" s="245"/>
      <c r="P1711" s="366"/>
      <c r="R1711" s="355"/>
      <c r="S1711" s="369"/>
      <c r="T1711" s="324"/>
      <c r="U1711" s="85" ph="1"/>
      <c r="W1711" s="216"/>
      <c r="X1711" s="245"/>
      <c r="Y1711" s="187"/>
      <c r="Z1711" s="245"/>
      <c r="AA1711" s="245"/>
      <c r="AB1711" s="332"/>
      <c r="AD1711" s="245"/>
      <c r="AE1711" s="245"/>
      <c r="AF1711" s="245"/>
      <c r="AG1711" s="245"/>
    </row>
    <row r="1712" spans="1:33" ht="26.4">
      <c r="A1712" s="246"/>
      <c r="B1712" s="245"/>
      <c r="C1712" s="245"/>
      <c r="D1712" s="245"/>
      <c r="E1712" s="245"/>
      <c r="F1712" s="187"/>
      <c r="G1712" s="245"/>
      <c r="H1712" s="245"/>
      <c r="I1712" s="245"/>
      <c r="P1712" s="366"/>
      <c r="R1712" s="355"/>
      <c r="S1712" s="369"/>
      <c r="T1712" s="324"/>
      <c r="U1712" s="85" ph="1"/>
      <c r="W1712" s="216"/>
      <c r="X1712" s="245"/>
      <c r="Y1712" s="187"/>
      <c r="Z1712" s="245"/>
      <c r="AA1712" s="245"/>
      <c r="AB1712" s="332"/>
      <c r="AD1712" s="245"/>
      <c r="AE1712" s="245"/>
      <c r="AF1712" s="245"/>
      <c r="AG1712" s="245"/>
    </row>
    <row r="1713" spans="1:33" ht="26.4">
      <c r="A1713" s="246"/>
      <c r="B1713" s="245"/>
      <c r="C1713" s="245"/>
      <c r="D1713" s="245"/>
      <c r="E1713" s="245"/>
      <c r="F1713" s="187"/>
      <c r="G1713" s="245"/>
      <c r="H1713" s="245"/>
      <c r="I1713" s="245"/>
      <c r="P1713" s="366"/>
      <c r="R1713" s="355"/>
      <c r="S1713" s="369"/>
      <c r="T1713" s="324"/>
      <c r="U1713" s="85" ph="1"/>
      <c r="W1713" s="216"/>
      <c r="X1713" s="245"/>
      <c r="Y1713" s="187"/>
      <c r="Z1713" s="245"/>
      <c r="AA1713" s="245"/>
      <c r="AB1713" s="332"/>
      <c r="AD1713" s="245"/>
      <c r="AE1713" s="245"/>
      <c r="AF1713" s="245"/>
      <c r="AG1713" s="245"/>
    </row>
    <row r="1714" spans="1:33" ht="26.4">
      <c r="A1714" s="246"/>
      <c r="B1714" s="245"/>
      <c r="C1714" s="245"/>
      <c r="D1714" s="245"/>
      <c r="E1714" s="245"/>
      <c r="F1714" s="187"/>
      <c r="G1714" s="245"/>
      <c r="H1714" s="245"/>
      <c r="I1714" s="245"/>
      <c r="P1714" s="366"/>
      <c r="R1714" s="355"/>
      <c r="S1714" s="369"/>
      <c r="T1714" s="324"/>
      <c r="U1714" s="85" ph="1"/>
      <c r="W1714" s="216"/>
      <c r="X1714" s="245"/>
      <c r="Y1714" s="187"/>
      <c r="Z1714" s="245"/>
      <c r="AA1714" s="245"/>
      <c r="AB1714" s="332"/>
      <c r="AD1714" s="245"/>
      <c r="AE1714" s="245"/>
      <c r="AF1714" s="245"/>
      <c r="AG1714" s="245"/>
    </row>
    <row r="1715" spans="1:33" ht="26.4">
      <c r="A1715" s="246"/>
      <c r="B1715" s="245"/>
      <c r="C1715" s="245"/>
      <c r="D1715" s="245"/>
      <c r="E1715" s="245"/>
      <c r="F1715" s="187"/>
      <c r="G1715" s="245"/>
      <c r="H1715" s="245"/>
      <c r="I1715" s="245"/>
      <c r="P1715" s="366"/>
      <c r="R1715" s="355"/>
      <c r="S1715" s="369"/>
      <c r="T1715" s="324"/>
      <c r="U1715" s="85" ph="1"/>
      <c r="W1715" s="216"/>
      <c r="X1715" s="245"/>
      <c r="Y1715" s="187"/>
      <c r="Z1715" s="245"/>
      <c r="AA1715" s="245"/>
      <c r="AB1715" s="332"/>
      <c r="AD1715" s="245"/>
      <c r="AE1715" s="245"/>
      <c r="AF1715" s="245"/>
      <c r="AG1715" s="245"/>
    </row>
    <row r="1716" spans="1:33" ht="26.4">
      <c r="A1716" s="246"/>
      <c r="B1716" s="245"/>
      <c r="C1716" s="245"/>
      <c r="D1716" s="245"/>
      <c r="E1716" s="245"/>
      <c r="F1716" s="187"/>
      <c r="G1716" s="245"/>
      <c r="H1716" s="245"/>
      <c r="I1716" s="245"/>
      <c r="P1716" s="366"/>
      <c r="R1716" s="355"/>
      <c r="S1716" s="369"/>
      <c r="T1716" s="324"/>
      <c r="U1716" s="85" ph="1"/>
      <c r="W1716" s="216"/>
      <c r="X1716" s="245"/>
      <c r="Y1716" s="187"/>
      <c r="Z1716" s="245"/>
      <c r="AA1716" s="245"/>
      <c r="AB1716" s="332"/>
      <c r="AD1716" s="245"/>
      <c r="AE1716" s="245"/>
      <c r="AF1716" s="245"/>
      <c r="AG1716" s="245"/>
    </row>
    <row r="1717" spans="1:33" ht="26.4">
      <c r="A1717" s="246"/>
      <c r="B1717" s="245"/>
      <c r="C1717" s="245"/>
      <c r="D1717" s="245"/>
      <c r="E1717" s="245"/>
      <c r="F1717" s="187"/>
      <c r="G1717" s="245"/>
      <c r="H1717" s="245"/>
      <c r="I1717" s="245"/>
      <c r="P1717" s="366"/>
      <c r="R1717" s="355"/>
      <c r="S1717" s="369"/>
      <c r="T1717" s="324"/>
      <c r="U1717" s="85" ph="1"/>
      <c r="W1717" s="216"/>
      <c r="X1717" s="245"/>
      <c r="Y1717" s="187"/>
      <c r="Z1717" s="245"/>
      <c r="AA1717" s="245"/>
      <c r="AB1717" s="332"/>
      <c r="AD1717" s="245"/>
      <c r="AE1717" s="245"/>
      <c r="AF1717" s="245"/>
      <c r="AG1717" s="245"/>
    </row>
    <row r="1718" spans="1:33" ht="26.4">
      <c r="A1718" s="246"/>
      <c r="B1718" s="245"/>
      <c r="C1718" s="245"/>
      <c r="D1718" s="245"/>
      <c r="E1718" s="245"/>
      <c r="F1718" s="187"/>
      <c r="G1718" s="245"/>
      <c r="H1718" s="245"/>
      <c r="I1718" s="245"/>
      <c r="P1718" s="366"/>
      <c r="R1718" s="355"/>
      <c r="S1718" s="369"/>
      <c r="T1718" s="324"/>
      <c r="U1718" s="85" ph="1"/>
      <c r="W1718" s="216"/>
      <c r="X1718" s="245"/>
      <c r="Y1718" s="187"/>
      <c r="Z1718" s="245"/>
      <c r="AA1718" s="245"/>
      <c r="AB1718" s="332"/>
      <c r="AD1718" s="245"/>
      <c r="AE1718" s="245"/>
      <c r="AF1718" s="245"/>
      <c r="AG1718" s="245"/>
    </row>
    <row r="1719" spans="1:33" ht="26.4">
      <c r="A1719" s="246"/>
      <c r="B1719" s="245"/>
      <c r="C1719" s="245"/>
      <c r="D1719" s="245"/>
      <c r="E1719" s="245"/>
      <c r="F1719" s="187"/>
      <c r="G1719" s="245"/>
      <c r="H1719" s="245"/>
      <c r="I1719" s="245"/>
      <c r="P1719" s="366"/>
      <c r="R1719" s="355"/>
      <c r="S1719" s="369"/>
      <c r="T1719" s="324"/>
      <c r="U1719" s="85" ph="1"/>
      <c r="W1719" s="216"/>
      <c r="X1719" s="245"/>
      <c r="Y1719" s="187"/>
      <c r="Z1719" s="245"/>
      <c r="AA1719" s="245"/>
      <c r="AB1719" s="332"/>
      <c r="AD1719" s="245"/>
      <c r="AE1719" s="245"/>
      <c r="AF1719" s="245"/>
      <c r="AG1719" s="245"/>
    </row>
    <row r="1720" spans="1:33" ht="26.4">
      <c r="A1720" s="246"/>
      <c r="B1720" s="245"/>
      <c r="C1720" s="245"/>
      <c r="D1720" s="245"/>
      <c r="E1720" s="245"/>
      <c r="F1720" s="187"/>
      <c r="G1720" s="245"/>
      <c r="H1720" s="245"/>
      <c r="I1720" s="245"/>
      <c r="P1720" s="366"/>
      <c r="R1720" s="355"/>
      <c r="S1720" s="369"/>
      <c r="T1720" s="324"/>
      <c r="U1720" s="85" ph="1"/>
      <c r="W1720" s="216"/>
      <c r="X1720" s="245"/>
      <c r="Y1720" s="187"/>
      <c r="Z1720" s="245"/>
      <c r="AA1720" s="245"/>
      <c r="AB1720" s="332"/>
      <c r="AD1720" s="245"/>
      <c r="AE1720" s="245"/>
      <c r="AF1720" s="245"/>
      <c r="AG1720" s="245"/>
    </row>
    <row r="1721" spans="1:33" ht="26.4">
      <c r="A1721" s="246"/>
      <c r="B1721" s="245"/>
      <c r="C1721" s="245"/>
      <c r="D1721" s="245"/>
      <c r="E1721" s="245"/>
      <c r="F1721" s="187"/>
      <c r="G1721" s="245"/>
      <c r="H1721" s="245"/>
      <c r="I1721" s="245"/>
      <c r="P1721" s="366"/>
      <c r="R1721" s="355"/>
      <c r="S1721" s="369"/>
      <c r="T1721" s="324"/>
      <c r="U1721" s="85" ph="1"/>
      <c r="W1721" s="216"/>
      <c r="X1721" s="245"/>
      <c r="Y1721" s="187"/>
      <c r="Z1721" s="245"/>
      <c r="AA1721" s="245"/>
      <c r="AB1721" s="332"/>
      <c r="AD1721" s="245"/>
      <c r="AE1721" s="245"/>
      <c r="AF1721" s="245"/>
      <c r="AG1721" s="245"/>
    </row>
    <row r="1722" spans="1:33" ht="26.4">
      <c r="A1722" s="246"/>
      <c r="B1722" s="245"/>
      <c r="C1722" s="245"/>
      <c r="D1722" s="245"/>
      <c r="E1722" s="245"/>
      <c r="F1722" s="187"/>
      <c r="G1722" s="245"/>
      <c r="H1722" s="245"/>
      <c r="I1722" s="245"/>
      <c r="P1722" s="366"/>
      <c r="R1722" s="355"/>
      <c r="S1722" s="369"/>
      <c r="T1722" s="324"/>
      <c r="U1722" s="85" ph="1"/>
      <c r="W1722" s="216"/>
      <c r="X1722" s="245"/>
      <c r="Y1722" s="187"/>
      <c r="Z1722" s="245"/>
      <c r="AA1722" s="245"/>
      <c r="AB1722" s="332"/>
      <c r="AD1722" s="245"/>
      <c r="AE1722" s="245"/>
      <c r="AF1722" s="245"/>
      <c r="AG1722" s="245"/>
    </row>
    <row r="1723" spans="1:33" ht="26.4">
      <c r="A1723" s="246"/>
      <c r="B1723" s="245"/>
      <c r="C1723" s="245"/>
      <c r="D1723" s="245"/>
      <c r="E1723" s="245"/>
      <c r="F1723" s="187"/>
      <c r="G1723" s="245"/>
      <c r="H1723" s="245"/>
      <c r="I1723" s="245"/>
      <c r="P1723" s="366"/>
      <c r="R1723" s="355"/>
      <c r="S1723" s="369"/>
      <c r="T1723" s="324"/>
      <c r="U1723" s="85" ph="1"/>
      <c r="W1723" s="216"/>
      <c r="X1723" s="245"/>
      <c r="Y1723" s="187"/>
      <c r="Z1723" s="245"/>
      <c r="AA1723" s="245"/>
      <c r="AB1723" s="332"/>
      <c r="AD1723" s="245"/>
      <c r="AE1723" s="245"/>
      <c r="AF1723" s="245"/>
      <c r="AG1723" s="245"/>
    </row>
    <row r="1724" spans="1:33" ht="26.4">
      <c r="A1724" s="246"/>
      <c r="B1724" s="245"/>
      <c r="C1724" s="245"/>
      <c r="D1724" s="245"/>
      <c r="E1724" s="245"/>
      <c r="F1724" s="187"/>
      <c r="G1724" s="245"/>
      <c r="H1724" s="245"/>
      <c r="I1724" s="245"/>
      <c r="P1724" s="366"/>
      <c r="R1724" s="355"/>
      <c r="S1724" s="369"/>
      <c r="T1724" s="324"/>
      <c r="U1724" s="85" ph="1"/>
      <c r="W1724" s="216"/>
      <c r="X1724" s="245"/>
      <c r="Y1724" s="187"/>
      <c r="Z1724" s="245"/>
      <c r="AA1724" s="245"/>
      <c r="AB1724" s="332"/>
      <c r="AD1724" s="245"/>
      <c r="AE1724" s="245"/>
      <c r="AF1724" s="245"/>
      <c r="AG1724" s="245"/>
    </row>
    <row r="1725" spans="1:33" ht="26.4">
      <c r="A1725" s="246"/>
      <c r="B1725" s="245"/>
      <c r="C1725" s="245"/>
      <c r="D1725" s="245"/>
      <c r="E1725" s="245"/>
      <c r="F1725" s="187"/>
      <c r="G1725" s="245"/>
      <c r="H1725" s="245"/>
      <c r="I1725" s="245"/>
      <c r="P1725" s="366"/>
      <c r="R1725" s="355"/>
      <c r="S1725" s="369"/>
      <c r="T1725" s="324"/>
      <c r="U1725" s="85" ph="1"/>
      <c r="W1725" s="216"/>
      <c r="X1725" s="245"/>
      <c r="Y1725" s="187"/>
      <c r="Z1725" s="245"/>
      <c r="AA1725" s="245"/>
      <c r="AB1725" s="332"/>
      <c r="AD1725" s="245"/>
      <c r="AE1725" s="245"/>
      <c r="AF1725" s="245"/>
      <c r="AG1725" s="245"/>
    </row>
    <row r="1726" spans="1:33" ht="26.4">
      <c r="A1726" s="246"/>
      <c r="B1726" s="245"/>
      <c r="C1726" s="245"/>
      <c r="D1726" s="245"/>
      <c r="E1726" s="245"/>
      <c r="F1726" s="187"/>
      <c r="G1726" s="245"/>
      <c r="H1726" s="245"/>
      <c r="I1726" s="245"/>
      <c r="P1726" s="366"/>
      <c r="R1726" s="355"/>
      <c r="S1726" s="369"/>
      <c r="T1726" s="324"/>
      <c r="U1726" s="85" ph="1"/>
      <c r="W1726" s="216"/>
      <c r="X1726" s="245"/>
      <c r="Y1726" s="187"/>
      <c r="Z1726" s="245"/>
      <c r="AA1726" s="245"/>
      <c r="AB1726" s="332"/>
      <c r="AD1726" s="245"/>
      <c r="AE1726" s="245"/>
      <c r="AF1726" s="245"/>
      <c r="AG1726" s="245"/>
    </row>
    <row r="1727" spans="1:33" ht="26.4">
      <c r="A1727" s="246"/>
      <c r="B1727" s="245"/>
      <c r="C1727" s="245"/>
      <c r="D1727" s="245"/>
      <c r="E1727" s="245"/>
      <c r="F1727" s="187"/>
      <c r="G1727" s="245"/>
      <c r="H1727" s="245"/>
      <c r="I1727" s="245"/>
      <c r="P1727" s="366"/>
      <c r="R1727" s="355"/>
      <c r="S1727" s="369"/>
      <c r="T1727" s="324"/>
      <c r="U1727" s="85" ph="1"/>
      <c r="W1727" s="216"/>
      <c r="X1727" s="245"/>
      <c r="Y1727" s="187"/>
      <c r="Z1727" s="245"/>
      <c r="AA1727" s="245"/>
      <c r="AB1727" s="332"/>
      <c r="AD1727" s="245"/>
      <c r="AE1727" s="245"/>
      <c r="AF1727" s="245"/>
      <c r="AG1727" s="245"/>
    </row>
    <row r="1728" spans="1:33" ht="26.4">
      <c r="A1728" s="246"/>
      <c r="B1728" s="245"/>
      <c r="C1728" s="245"/>
      <c r="D1728" s="245"/>
      <c r="E1728" s="245"/>
      <c r="F1728" s="187"/>
      <c r="G1728" s="245"/>
      <c r="H1728" s="245"/>
      <c r="I1728" s="245"/>
      <c r="P1728" s="366"/>
      <c r="R1728" s="355"/>
      <c r="S1728" s="369"/>
      <c r="T1728" s="324"/>
      <c r="U1728" s="85" ph="1"/>
      <c r="W1728" s="216"/>
      <c r="X1728" s="245"/>
      <c r="Y1728" s="187"/>
      <c r="Z1728" s="245"/>
      <c r="AA1728" s="245"/>
      <c r="AB1728" s="332"/>
      <c r="AD1728" s="245"/>
      <c r="AE1728" s="245"/>
      <c r="AF1728" s="245"/>
      <c r="AG1728" s="245"/>
    </row>
    <row r="1729" spans="1:33" ht="26.4">
      <c r="A1729" s="246"/>
      <c r="B1729" s="245"/>
      <c r="C1729" s="245"/>
      <c r="D1729" s="245"/>
      <c r="E1729" s="245"/>
      <c r="F1729" s="187"/>
      <c r="G1729" s="245"/>
      <c r="H1729" s="245"/>
      <c r="I1729" s="245"/>
      <c r="P1729" s="366"/>
      <c r="R1729" s="355"/>
      <c r="S1729" s="369"/>
      <c r="T1729" s="324"/>
      <c r="U1729" s="85" ph="1"/>
      <c r="W1729" s="216"/>
      <c r="X1729" s="245"/>
      <c r="Y1729" s="187"/>
      <c r="Z1729" s="245"/>
      <c r="AA1729" s="245"/>
      <c r="AB1729" s="332"/>
      <c r="AD1729" s="245"/>
      <c r="AE1729" s="245"/>
      <c r="AF1729" s="245"/>
      <c r="AG1729" s="245"/>
    </row>
    <row r="1730" spans="1:33" ht="26.4">
      <c r="A1730" s="246"/>
      <c r="B1730" s="245"/>
      <c r="C1730" s="245"/>
      <c r="D1730" s="245"/>
      <c r="E1730" s="245"/>
      <c r="F1730" s="187"/>
      <c r="G1730" s="245"/>
      <c r="H1730" s="245"/>
      <c r="I1730" s="245"/>
      <c r="P1730" s="366"/>
      <c r="R1730" s="355"/>
      <c r="S1730" s="369"/>
      <c r="T1730" s="324"/>
      <c r="U1730" s="85" ph="1"/>
      <c r="W1730" s="216"/>
      <c r="X1730" s="245"/>
      <c r="Y1730" s="187"/>
      <c r="Z1730" s="245"/>
      <c r="AA1730" s="245"/>
      <c r="AB1730" s="332"/>
      <c r="AD1730" s="245"/>
      <c r="AE1730" s="245"/>
      <c r="AF1730" s="245"/>
      <c r="AG1730" s="245"/>
    </row>
    <row r="1731" spans="1:33" ht="26.4">
      <c r="A1731" s="246"/>
      <c r="B1731" s="245"/>
      <c r="C1731" s="245"/>
      <c r="D1731" s="245"/>
      <c r="E1731" s="245"/>
      <c r="F1731" s="187"/>
      <c r="G1731" s="245"/>
      <c r="H1731" s="245"/>
      <c r="I1731" s="245"/>
      <c r="P1731" s="366"/>
      <c r="R1731" s="355"/>
      <c r="S1731" s="369"/>
      <c r="T1731" s="324"/>
      <c r="U1731" s="85" ph="1"/>
      <c r="W1731" s="216"/>
      <c r="X1731" s="245"/>
      <c r="Y1731" s="187"/>
      <c r="Z1731" s="245"/>
      <c r="AA1731" s="245"/>
      <c r="AB1731" s="332"/>
      <c r="AD1731" s="245"/>
      <c r="AE1731" s="245"/>
      <c r="AF1731" s="245"/>
      <c r="AG1731" s="245"/>
    </row>
    <row r="1732" spans="1:33" ht="26.4">
      <c r="A1732" s="246"/>
      <c r="B1732" s="245"/>
      <c r="C1732" s="245"/>
      <c r="D1732" s="245"/>
      <c r="E1732" s="245"/>
      <c r="F1732" s="187"/>
      <c r="G1732" s="245"/>
      <c r="H1732" s="245"/>
      <c r="I1732" s="245"/>
      <c r="P1732" s="366"/>
      <c r="R1732" s="355"/>
      <c r="S1732" s="369"/>
      <c r="T1732" s="324"/>
      <c r="U1732" s="85" ph="1"/>
      <c r="W1732" s="216"/>
      <c r="X1732" s="245"/>
      <c r="Y1732" s="187"/>
      <c r="Z1732" s="245"/>
      <c r="AA1732" s="245"/>
      <c r="AB1732" s="332"/>
      <c r="AD1732" s="245"/>
      <c r="AE1732" s="245"/>
      <c r="AF1732" s="245"/>
      <c r="AG1732" s="245"/>
    </row>
    <row r="1733" spans="1:33" ht="26.4">
      <c r="A1733" s="246"/>
      <c r="B1733" s="245"/>
      <c r="C1733" s="245"/>
      <c r="D1733" s="245"/>
      <c r="E1733" s="245"/>
      <c r="F1733" s="187"/>
      <c r="G1733" s="245"/>
      <c r="H1733" s="245"/>
      <c r="I1733" s="245"/>
      <c r="P1733" s="366"/>
      <c r="R1733" s="355"/>
      <c r="S1733" s="369"/>
      <c r="T1733" s="324"/>
      <c r="U1733" s="85" ph="1"/>
      <c r="W1733" s="216"/>
      <c r="X1733" s="245"/>
      <c r="Y1733" s="187"/>
      <c r="Z1733" s="245"/>
      <c r="AA1733" s="245"/>
      <c r="AB1733" s="332"/>
      <c r="AD1733" s="245"/>
      <c r="AE1733" s="245"/>
      <c r="AF1733" s="245"/>
      <c r="AG1733" s="245"/>
    </row>
    <row r="1734" spans="1:33" ht="26.4">
      <c r="A1734" s="246"/>
      <c r="B1734" s="245"/>
      <c r="C1734" s="245"/>
      <c r="D1734" s="245"/>
      <c r="E1734" s="245"/>
      <c r="F1734" s="187"/>
      <c r="G1734" s="245"/>
      <c r="H1734" s="245"/>
      <c r="I1734" s="245"/>
      <c r="P1734" s="366"/>
      <c r="R1734" s="355"/>
      <c r="S1734" s="369"/>
      <c r="T1734" s="324"/>
      <c r="U1734" s="85" ph="1"/>
      <c r="W1734" s="216"/>
      <c r="X1734" s="245"/>
      <c r="Y1734" s="187"/>
      <c r="Z1734" s="245"/>
      <c r="AA1734" s="245"/>
      <c r="AB1734" s="332"/>
      <c r="AD1734" s="245"/>
      <c r="AE1734" s="245"/>
      <c r="AF1734" s="245"/>
      <c r="AG1734" s="245"/>
    </row>
    <row r="1735" spans="1:33" ht="26.4">
      <c r="A1735" s="246"/>
      <c r="B1735" s="245"/>
      <c r="C1735" s="245"/>
      <c r="D1735" s="245"/>
      <c r="E1735" s="245"/>
      <c r="F1735" s="187"/>
      <c r="G1735" s="245"/>
      <c r="H1735" s="245"/>
      <c r="I1735" s="245"/>
      <c r="P1735" s="366"/>
      <c r="R1735" s="355"/>
      <c r="S1735" s="369"/>
      <c r="T1735" s="324"/>
      <c r="U1735" s="85" ph="1"/>
      <c r="W1735" s="216"/>
      <c r="X1735" s="245"/>
      <c r="Y1735" s="187"/>
      <c r="Z1735" s="245"/>
      <c r="AA1735" s="245"/>
      <c r="AB1735" s="332"/>
      <c r="AD1735" s="245"/>
      <c r="AE1735" s="245"/>
      <c r="AF1735" s="245"/>
      <c r="AG1735" s="245"/>
    </row>
    <row r="1736" spans="1:33" ht="26.4">
      <c r="A1736" s="246"/>
      <c r="B1736" s="245"/>
      <c r="C1736" s="245"/>
      <c r="D1736" s="245"/>
      <c r="E1736" s="245"/>
      <c r="F1736" s="187"/>
      <c r="G1736" s="245"/>
      <c r="H1736" s="245"/>
      <c r="I1736" s="245"/>
      <c r="P1736" s="366"/>
      <c r="R1736" s="355"/>
      <c r="S1736" s="369"/>
      <c r="T1736" s="324"/>
      <c r="U1736" s="85" ph="1"/>
      <c r="W1736" s="216"/>
      <c r="X1736" s="245"/>
      <c r="Y1736" s="187"/>
      <c r="Z1736" s="245"/>
      <c r="AA1736" s="245"/>
      <c r="AB1736" s="332"/>
      <c r="AD1736" s="245"/>
      <c r="AE1736" s="245"/>
      <c r="AF1736" s="245"/>
      <c r="AG1736" s="245"/>
    </row>
    <row r="1737" spans="1:33" ht="26.4">
      <c r="A1737" s="246"/>
      <c r="B1737" s="245"/>
      <c r="C1737" s="245"/>
      <c r="D1737" s="245"/>
      <c r="E1737" s="245"/>
      <c r="F1737" s="187"/>
      <c r="G1737" s="245"/>
      <c r="H1737" s="245"/>
      <c r="I1737" s="245"/>
      <c r="P1737" s="366"/>
      <c r="R1737" s="355"/>
      <c r="S1737" s="369"/>
      <c r="T1737" s="324"/>
      <c r="U1737" s="85" ph="1"/>
      <c r="W1737" s="216"/>
      <c r="X1737" s="245"/>
      <c r="Y1737" s="187"/>
      <c r="Z1737" s="245"/>
      <c r="AA1737" s="245"/>
      <c r="AB1737" s="332"/>
      <c r="AD1737" s="245"/>
      <c r="AE1737" s="245"/>
      <c r="AF1737" s="245"/>
      <c r="AG1737" s="245"/>
    </row>
    <row r="1738" spans="1:33" ht="26.4">
      <c r="A1738" s="246"/>
      <c r="B1738" s="245"/>
      <c r="C1738" s="245"/>
      <c r="D1738" s="245"/>
      <c r="E1738" s="245"/>
      <c r="F1738" s="187"/>
      <c r="G1738" s="245"/>
      <c r="H1738" s="245"/>
      <c r="I1738" s="245"/>
      <c r="P1738" s="366"/>
      <c r="R1738" s="355"/>
      <c r="S1738" s="369"/>
      <c r="T1738" s="324"/>
      <c r="U1738" s="85" ph="1"/>
      <c r="W1738" s="216"/>
      <c r="X1738" s="245"/>
      <c r="Y1738" s="187"/>
      <c r="Z1738" s="245"/>
      <c r="AA1738" s="245"/>
      <c r="AB1738" s="332"/>
      <c r="AD1738" s="245"/>
      <c r="AE1738" s="245"/>
      <c r="AF1738" s="245"/>
      <c r="AG1738" s="245"/>
    </row>
    <row r="1739" spans="1:33" ht="26.4">
      <c r="A1739" s="246"/>
      <c r="B1739" s="245"/>
      <c r="C1739" s="245"/>
      <c r="D1739" s="245"/>
      <c r="E1739" s="245"/>
      <c r="F1739" s="187"/>
      <c r="G1739" s="245"/>
      <c r="H1739" s="245"/>
      <c r="I1739" s="245"/>
      <c r="P1739" s="366"/>
      <c r="R1739" s="355"/>
      <c r="S1739" s="369"/>
      <c r="T1739" s="324"/>
      <c r="U1739" s="85" ph="1"/>
      <c r="W1739" s="216"/>
      <c r="X1739" s="245"/>
      <c r="Y1739" s="187"/>
      <c r="Z1739" s="245"/>
      <c r="AA1739" s="245"/>
      <c r="AB1739" s="332"/>
      <c r="AD1739" s="245"/>
      <c r="AE1739" s="245"/>
      <c r="AF1739" s="245"/>
      <c r="AG1739" s="245"/>
    </row>
    <row r="1740" spans="1:33" ht="26.4">
      <c r="A1740" s="246"/>
      <c r="B1740" s="245"/>
      <c r="C1740" s="245"/>
      <c r="D1740" s="245"/>
      <c r="E1740" s="245"/>
      <c r="F1740" s="187"/>
      <c r="G1740" s="245"/>
      <c r="H1740" s="245"/>
      <c r="I1740" s="245"/>
      <c r="P1740" s="366"/>
      <c r="R1740" s="355"/>
      <c r="S1740" s="369"/>
      <c r="T1740" s="324"/>
      <c r="U1740" s="85" ph="1"/>
      <c r="W1740" s="216"/>
      <c r="X1740" s="245"/>
      <c r="Y1740" s="187"/>
      <c r="Z1740" s="245"/>
      <c r="AA1740" s="245"/>
      <c r="AB1740" s="332"/>
      <c r="AD1740" s="245"/>
      <c r="AE1740" s="245"/>
      <c r="AF1740" s="245"/>
      <c r="AG1740" s="245"/>
    </row>
    <row r="1741" spans="1:33" ht="26.4">
      <c r="A1741" s="246"/>
      <c r="B1741" s="245"/>
      <c r="C1741" s="245"/>
      <c r="D1741" s="245"/>
      <c r="E1741" s="245"/>
      <c r="F1741" s="187"/>
      <c r="G1741" s="245"/>
      <c r="H1741" s="245"/>
      <c r="I1741" s="245"/>
      <c r="P1741" s="366"/>
      <c r="R1741" s="355"/>
      <c r="S1741" s="369"/>
      <c r="T1741" s="324"/>
      <c r="U1741" s="85" ph="1"/>
      <c r="W1741" s="216"/>
      <c r="X1741" s="245"/>
      <c r="Y1741" s="187"/>
      <c r="Z1741" s="245"/>
      <c r="AA1741" s="245"/>
      <c r="AB1741" s="332"/>
      <c r="AD1741" s="245"/>
      <c r="AE1741" s="245"/>
      <c r="AF1741" s="245"/>
      <c r="AG1741" s="245"/>
    </row>
    <row r="1742" spans="1:33" ht="26.4">
      <c r="A1742" s="246"/>
      <c r="B1742" s="245"/>
      <c r="C1742" s="245"/>
      <c r="D1742" s="245"/>
      <c r="E1742" s="245"/>
      <c r="F1742" s="187"/>
      <c r="G1742" s="245"/>
      <c r="H1742" s="245"/>
      <c r="I1742" s="245"/>
      <c r="P1742" s="366"/>
      <c r="R1742" s="355"/>
      <c r="S1742" s="369"/>
      <c r="T1742" s="324"/>
      <c r="U1742" s="85" ph="1"/>
      <c r="W1742" s="216"/>
      <c r="X1742" s="245"/>
      <c r="Y1742" s="187"/>
      <c r="Z1742" s="245"/>
      <c r="AA1742" s="245"/>
      <c r="AB1742" s="332"/>
      <c r="AD1742" s="245"/>
      <c r="AE1742" s="245"/>
      <c r="AF1742" s="245"/>
      <c r="AG1742" s="245"/>
    </row>
    <row r="1743" spans="1:33" ht="26.4">
      <c r="A1743" s="246"/>
      <c r="B1743" s="245"/>
      <c r="C1743" s="245"/>
      <c r="D1743" s="245"/>
      <c r="E1743" s="245"/>
      <c r="F1743" s="187"/>
      <c r="G1743" s="245"/>
      <c r="H1743" s="245"/>
      <c r="I1743" s="245"/>
      <c r="P1743" s="366"/>
      <c r="R1743" s="355"/>
      <c r="S1743" s="369"/>
      <c r="T1743" s="324"/>
      <c r="U1743" s="85" ph="1"/>
      <c r="W1743" s="216"/>
      <c r="X1743" s="245"/>
      <c r="Y1743" s="187"/>
      <c r="Z1743" s="245"/>
      <c r="AA1743" s="245"/>
      <c r="AB1743" s="332"/>
      <c r="AD1743" s="245"/>
      <c r="AE1743" s="245"/>
      <c r="AF1743" s="245"/>
      <c r="AG1743" s="245"/>
    </row>
    <row r="1744" spans="1:33" ht="26.4">
      <c r="A1744" s="246"/>
      <c r="B1744" s="245"/>
      <c r="C1744" s="245"/>
      <c r="D1744" s="245"/>
      <c r="E1744" s="245"/>
      <c r="F1744" s="187"/>
      <c r="G1744" s="245"/>
      <c r="H1744" s="245"/>
      <c r="I1744" s="245"/>
      <c r="P1744" s="366"/>
      <c r="R1744" s="355"/>
      <c r="S1744" s="369"/>
      <c r="T1744" s="324"/>
      <c r="U1744" s="85" ph="1"/>
      <c r="W1744" s="216"/>
      <c r="X1744" s="245"/>
      <c r="Y1744" s="187"/>
      <c r="Z1744" s="245"/>
      <c r="AA1744" s="245"/>
      <c r="AB1744" s="332"/>
      <c r="AD1744" s="245"/>
      <c r="AE1744" s="245"/>
      <c r="AF1744" s="245"/>
      <c r="AG1744" s="245"/>
    </row>
    <row r="1745" spans="1:33" ht="26.4">
      <c r="A1745" s="246"/>
      <c r="B1745" s="245"/>
      <c r="C1745" s="245"/>
      <c r="D1745" s="245"/>
      <c r="E1745" s="245"/>
      <c r="F1745" s="187"/>
      <c r="G1745" s="245"/>
      <c r="H1745" s="245"/>
      <c r="I1745" s="245"/>
      <c r="P1745" s="366"/>
      <c r="R1745" s="355"/>
      <c r="S1745" s="369"/>
      <c r="T1745" s="324"/>
      <c r="U1745" s="85" ph="1"/>
      <c r="W1745" s="216"/>
      <c r="X1745" s="245"/>
      <c r="Y1745" s="187"/>
      <c r="Z1745" s="245"/>
      <c r="AA1745" s="245"/>
      <c r="AB1745" s="332"/>
      <c r="AD1745" s="245"/>
      <c r="AE1745" s="245"/>
      <c r="AF1745" s="245"/>
      <c r="AG1745" s="245"/>
    </row>
    <row r="1746" spans="1:33" ht="26.4">
      <c r="A1746" s="246"/>
      <c r="B1746" s="245"/>
      <c r="C1746" s="245"/>
      <c r="D1746" s="245"/>
      <c r="E1746" s="245"/>
      <c r="F1746" s="187"/>
      <c r="G1746" s="245"/>
      <c r="H1746" s="245"/>
      <c r="I1746" s="245"/>
      <c r="P1746" s="366"/>
      <c r="R1746" s="355"/>
      <c r="S1746" s="369"/>
      <c r="T1746" s="324"/>
      <c r="U1746" s="85" ph="1"/>
      <c r="W1746" s="216"/>
      <c r="X1746" s="245"/>
      <c r="Y1746" s="187"/>
      <c r="Z1746" s="245"/>
      <c r="AA1746" s="245"/>
      <c r="AB1746" s="332"/>
      <c r="AD1746" s="245"/>
      <c r="AE1746" s="245"/>
      <c r="AF1746" s="245"/>
      <c r="AG1746" s="245"/>
    </row>
    <row r="1747" spans="1:33" ht="26.4">
      <c r="A1747" s="246"/>
      <c r="B1747" s="245"/>
      <c r="C1747" s="245"/>
      <c r="D1747" s="245"/>
      <c r="E1747" s="245"/>
      <c r="F1747" s="187"/>
      <c r="G1747" s="245"/>
      <c r="H1747" s="245"/>
      <c r="I1747" s="245"/>
      <c r="P1747" s="366"/>
      <c r="R1747" s="355"/>
      <c r="S1747" s="369"/>
      <c r="T1747" s="324"/>
      <c r="U1747" s="85" ph="1"/>
      <c r="W1747" s="216"/>
      <c r="X1747" s="245"/>
      <c r="Y1747" s="187"/>
      <c r="Z1747" s="245"/>
      <c r="AA1747" s="245"/>
      <c r="AB1747" s="332"/>
      <c r="AD1747" s="245"/>
      <c r="AE1747" s="245"/>
      <c r="AF1747" s="245"/>
      <c r="AG1747" s="245"/>
    </row>
    <row r="1748" spans="1:33" ht="26.4">
      <c r="A1748" s="246"/>
      <c r="B1748" s="245"/>
      <c r="C1748" s="245"/>
      <c r="D1748" s="245"/>
      <c r="E1748" s="245"/>
      <c r="F1748" s="187"/>
      <c r="G1748" s="245"/>
      <c r="H1748" s="245"/>
      <c r="I1748" s="245"/>
      <c r="P1748" s="366"/>
      <c r="R1748" s="355"/>
      <c r="S1748" s="369"/>
      <c r="T1748" s="324"/>
      <c r="U1748" s="85" ph="1"/>
      <c r="W1748" s="216"/>
      <c r="X1748" s="245"/>
      <c r="Y1748" s="187"/>
      <c r="Z1748" s="245"/>
      <c r="AA1748" s="245"/>
      <c r="AB1748" s="332"/>
      <c r="AD1748" s="245"/>
      <c r="AE1748" s="245"/>
      <c r="AF1748" s="245"/>
      <c r="AG1748" s="245"/>
    </row>
    <row r="1749" spans="1:33" ht="26.4">
      <c r="A1749" s="246"/>
      <c r="B1749" s="245"/>
      <c r="C1749" s="245"/>
      <c r="D1749" s="245"/>
      <c r="E1749" s="245"/>
      <c r="F1749" s="187"/>
      <c r="G1749" s="245"/>
      <c r="H1749" s="245"/>
      <c r="I1749" s="245"/>
      <c r="P1749" s="366"/>
      <c r="R1749" s="355"/>
      <c r="S1749" s="369"/>
      <c r="T1749" s="324"/>
      <c r="U1749" s="85" ph="1"/>
      <c r="W1749" s="216"/>
      <c r="X1749" s="245"/>
      <c r="Y1749" s="187"/>
      <c r="Z1749" s="245"/>
      <c r="AA1749" s="245"/>
      <c r="AB1749" s="332"/>
      <c r="AD1749" s="245"/>
      <c r="AE1749" s="245"/>
      <c r="AF1749" s="245"/>
      <c r="AG1749" s="245"/>
    </row>
    <row r="1750" spans="1:33" ht="26.4">
      <c r="A1750" s="246"/>
      <c r="B1750" s="245"/>
      <c r="C1750" s="245"/>
      <c r="D1750" s="245"/>
      <c r="E1750" s="245"/>
      <c r="F1750" s="187"/>
      <c r="G1750" s="245"/>
      <c r="H1750" s="245"/>
      <c r="I1750" s="245"/>
      <c r="P1750" s="366"/>
      <c r="R1750" s="355"/>
      <c r="S1750" s="369"/>
      <c r="T1750" s="324"/>
      <c r="U1750" s="85" ph="1"/>
      <c r="W1750" s="216"/>
      <c r="X1750" s="245"/>
      <c r="Y1750" s="187"/>
      <c r="Z1750" s="245"/>
      <c r="AA1750" s="245"/>
      <c r="AB1750" s="332"/>
      <c r="AD1750" s="245"/>
      <c r="AE1750" s="245"/>
      <c r="AF1750" s="245"/>
      <c r="AG1750" s="245"/>
    </row>
    <row r="1751" spans="1:33" ht="26.4">
      <c r="A1751" s="246"/>
      <c r="B1751" s="245"/>
      <c r="C1751" s="245"/>
      <c r="D1751" s="245"/>
      <c r="E1751" s="245"/>
      <c r="F1751" s="187"/>
      <c r="G1751" s="245"/>
      <c r="H1751" s="245"/>
      <c r="I1751" s="245"/>
      <c r="P1751" s="366"/>
      <c r="R1751" s="355"/>
      <c r="S1751" s="369"/>
      <c r="T1751" s="324"/>
      <c r="U1751" s="85" ph="1"/>
      <c r="W1751" s="216"/>
      <c r="X1751" s="245"/>
      <c r="Y1751" s="187"/>
      <c r="Z1751" s="245"/>
      <c r="AA1751" s="245"/>
      <c r="AB1751" s="332"/>
      <c r="AD1751" s="245"/>
      <c r="AE1751" s="245"/>
      <c r="AF1751" s="245"/>
      <c r="AG1751" s="245"/>
    </row>
    <row r="1752" spans="1:33" ht="26.4">
      <c r="A1752" s="246"/>
      <c r="B1752" s="245"/>
      <c r="C1752" s="245"/>
      <c r="D1752" s="245"/>
      <c r="E1752" s="245"/>
      <c r="F1752" s="187"/>
      <c r="G1752" s="245"/>
      <c r="H1752" s="245"/>
      <c r="I1752" s="245"/>
      <c r="P1752" s="366"/>
      <c r="R1752" s="355"/>
      <c r="S1752" s="369"/>
      <c r="T1752" s="324"/>
      <c r="U1752" s="85" ph="1"/>
      <c r="W1752" s="216"/>
      <c r="X1752" s="245"/>
      <c r="Y1752" s="187"/>
      <c r="Z1752" s="245"/>
      <c r="AA1752" s="245"/>
      <c r="AB1752" s="332"/>
      <c r="AD1752" s="245"/>
      <c r="AE1752" s="245"/>
      <c r="AF1752" s="245"/>
      <c r="AG1752" s="245"/>
    </row>
    <row r="1753" spans="1:33" ht="26.4">
      <c r="A1753" s="246"/>
      <c r="B1753" s="245"/>
      <c r="C1753" s="245"/>
      <c r="D1753" s="245"/>
      <c r="E1753" s="245"/>
      <c r="F1753" s="187"/>
      <c r="G1753" s="245"/>
      <c r="H1753" s="245"/>
      <c r="I1753" s="245"/>
      <c r="P1753" s="366"/>
      <c r="R1753" s="355"/>
      <c r="S1753" s="369"/>
      <c r="T1753" s="324"/>
      <c r="U1753" s="85" ph="1"/>
      <c r="W1753" s="216"/>
      <c r="X1753" s="245"/>
      <c r="Y1753" s="187"/>
      <c r="Z1753" s="245"/>
      <c r="AA1753" s="245"/>
      <c r="AB1753" s="332"/>
      <c r="AD1753" s="245"/>
      <c r="AE1753" s="245"/>
      <c r="AF1753" s="245"/>
      <c r="AG1753" s="245"/>
    </row>
    <row r="1754" spans="1:33" ht="26.4">
      <c r="A1754" s="246"/>
      <c r="B1754" s="245"/>
      <c r="C1754" s="245"/>
      <c r="D1754" s="245"/>
      <c r="E1754" s="245"/>
      <c r="F1754" s="187"/>
      <c r="G1754" s="245"/>
      <c r="H1754" s="245"/>
      <c r="I1754" s="245"/>
      <c r="P1754" s="366"/>
      <c r="R1754" s="355"/>
      <c r="S1754" s="369"/>
      <c r="T1754" s="324"/>
      <c r="U1754" s="85" ph="1"/>
      <c r="W1754" s="216"/>
      <c r="X1754" s="245"/>
      <c r="Y1754" s="187"/>
      <c r="Z1754" s="245"/>
      <c r="AA1754" s="245"/>
      <c r="AB1754" s="332"/>
      <c r="AD1754" s="245"/>
      <c r="AE1754" s="245"/>
      <c r="AF1754" s="245"/>
      <c r="AG1754" s="245"/>
    </row>
    <row r="1755" spans="1:33" ht="26.4">
      <c r="A1755" s="246"/>
      <c r="B1755" s="245"/>
      <c r="C1755" s="245"/>
      <c r="D1755" s="245"/>
      <c r="E1755" s="245"/>
      <c r="F1755" s="187"/>
      <c r="G1755" s="245"/>
      <c r="H1755" s="245"/>
      <c r="I1755" s="245"/>
      <c r="P1755" s="366"/>
      <c r="R1755" s="355"/>
      <c r="S1755" s="369"/>
      <c r="T1755" s="324"/>
      <c r="U1755" s="85" ph="1"/>
      <c r="W1755" s="216"/>
      <c r="X1755" s="245"/>
      <c r="Y1755" s="187"/>
      <c r="Z1755" s="245"/>
      <c r="AA1755" s="245"/>
      <c r="AB1755" s="332"/>
      <c r="AD1755" s="245"/>
      <c r="AE1755" s="245"/>
      <c r="AF1755" s="245"/>
      <c r="AG1755" s="245"/>
    </row>
    <row r="1756" spans="1:33" ht="26.4">
      <c r="A1756" s="246"/>
      <c r="B1756" s="245"/>
      <c r="C1756" s="245"/>
      <c r="D1756" s="245"/>
      <c r="E1756" s="245"/>
      <c r="F1756" s="187"/>
      <c r="G1756" s="245"/>
      <c r="H1756" s="245"/>
      <c r="I1756" s="245"/>
      <c r="P1756" s="366"/>
      <c r="R1756" s="355"/>
      <c r="S1756" s="369"/>
      <c r="T1756" s="324"/>
      <c r="U1756" s="85" ph="1"/>
      <c r="W1756" s="216"/>
      <c r="X1756" s="245"/>
      <c r="Y1756" s="187"/>
      <c r="Z1756" s="245"/>
      <c r="AA1756" s="245"/>
      <c r="AB1756" s="332"/>
      <c r="AD1756" s="245"/>
      <c r="AE1756" s="245"/>
      <c r="AF1756" s="245"/>
      <c r="AG1756" s="245"/>
    </row>
    <row r="1757" spans="1:33" ht="26.4">
      <c r="A1757" s="246"/>
      <c r="B1757" s="245"/>
      <c r="C1757" s="245"/>
      <c r="D1757" s="245"/>
      <c r="E1757" s="245"/>
      <c r="F1757" s="187"/>
      <c r="G1757" s="245"/>
      <c r="H1757" s="245"/>
      <c r="I1757" s="245"/>
      <c r="P1757" s="366"/>
      <c r="R1757" s="355"/>
      <c r="S1757" s="369"/>
      <c r="T1757" s="324"/>
      <c r="U1757" s="85" ph="1"/>
      <c r="W1757" s="216"/>
      <c r="X1757" s="245"/>
      <c r="Y1757" s="187"/>
      <c r="Z1757" s="245"/>
      <c r="AA1757" s="245"/>
      <c r="AB1757" s="332"/>
      <c r="AD1757" s="245"/>
      <c r="AE1757" s="245"/>
      <c r="AF1757" s="245"/>
      <c r="AG1757" s="245"/>
    </row>
    <row r="1758" spans="1:33" ht="26.4">
      <c r="A1758" s="246"/>
      <c r="B1758" s="245"/>
      <c r="C1758" s="245"/>
      <c r="D1758" s="245"/>
      <c r="E1758" s="245"/>
      <c r="F1758" s="187"/>
      <c r="G1758" s="245"/>
      <c r="H1758" s="245"/>
      <c r="I1758" s="245"/>
      <c r="P1758" s="366"/>
      <c r="R1758" s="355"/>
      <c r="S1758" s="369"/>
      <c r="T1758" s="324"/>
      <c r="U1758" s="85" ph="1"/>
      <c r="W1758" s="216"/>
      <c r="X1758" s="245"/>
      <c r="Y1758" s="187"/>
      <c r="Z1758" s="245"/>
      <c r="AA1758" s="245"/>
      <c r="AB1758" s="332"/>
      <c r="AD1758" s="245"/>
      <c r="AE1758" s="245"/>
      <c r="AF1758" s="245"/>
      <c r="AG1758" s="245"/>
    </row>
    <row r="1759" spans="1:33" ht="26.4">
      <c r="A1759" s="246"/>
      <c r="B1759" s="245"/>
      <c r="C1759" s="245"/>
      <c r="D1759" s="245"/>
      <c r="E1759" s="245"/>
      <c r="F1759" s="187"/>
      <c r="G1759" s="245"/>
      <c r="H1759" s="245"/>
      <c r="I1759" s="245"/>
      <c r="P1759" s="366"/>
      <c r="R1759" s="355"/>
      <c r="S1759" s="369"/>
      <c r="T1759" s="324"/>
      <c r="U1759" s="85" ph="1"/>
      <c r="W1759" s="216"/>
      <c r="X1759" s="245"/>
      <c r="Y1759" s="187"/>
      <c r="Z1759" s="245"/>
      <c r="AA1759" s="245"/>
      <c r="AB1759" s="332"/>
      <c r="AD1759" s="245"/>
      <c r="AE1759" s="245"/>
      <c r="AF1759" s="245"/>
      <c r="AG1759" s="245"/>
    </row>
    <row r="1760" spans="1:33" ht="26.4">
      <c r="A1760" s="246"/>
      <c r="B1760" s="245"/>
      <c r="C1760" s="245"/>
      <c r="D1760" s="245"/>
      <c r="E1760" s="245"/>
      <c r="F1760" s="187"/>
      <c r="G1760" s="245"/>
      <c r="H1760" s="245"/>
      <c r="I1760" s="245"/>
      <c r="P1760" s="366"/>
      <c r="R1760" s="355"/>
      <c r="S1760" s="369"/>
      <c r="T1760" s="324"/>
      <c r="U1760" s="85" ph="1"/>
      <c r="W1760" s="216"/>
      <c r="X1760" s="245"/>
      <c r="Y1760" s="187"/>
      <c r="Z1760" s="245"/>
      <c r="AA1760" s="245"/>
      <c r="AB1760" s="332"/>
      <c r="AD1760" s="245"/>
      <c r="AE1760" s="245"/>
      <c r="AF1760" s="245"/>
      <c r="AG1760" s="245"/>
    </row>
    <row r="1761" spans="1:33" ht="26.4">
      <c r="A1761" s="246"/>
      <c r="B1761" s="245"/>
      <c r="C1761" s="245"/>
      <c r="D1761" s="245"/>
      <c r="E1761" s="245"/>
      <c r="F1761" s="187"/>
      <c r="G1761" s="245"/>
      <c r="H1761" s="245"/>
      <c r="I1761" s="245"/>
      <c r="P1761" s="366"/>
      <c r="R1761" s="355"/>
      <c r="S1761" s="369"/>
      <c r="T1761" s="324"/>
      <c r="U1761" s="85" ph="1"/>
      <c r="W1761" s="216"/>
      <c r="X1761" s="245"/>
      <c r="Y1761" s="187"/>
      <c r="Z1761" s="245"/>
      <c r="AA1761" s="245"/>
      <c r="AB1761" s="332"/>
      <c r="AD1761" s="245"/>
      <c r="AE1761" s="245"/>
      <c r="AF1761" s="245"/>
      <c r="AG1761" s="245"/>
    </row>
    <row r="1762" spans="1:33" ht="26.4">
      <c r="A1762" s="246"/>
      <c r="B1762" s="245"/>
      <c r="C1762" s="245"/>
      <c r="D1762" s="245"/>
      <c r="E1762" s="245"/>
      <c r="F1762" s="187"/>
      <c r="G1762" s="245"/>
      <c r="H1762" s="245"/>
      <c r="I1762" s="245"/>
      <c r="P1762" s="366"/>
      <c r="R1762" s="355"/>
      <c r="S1762" s="369"/>
      <c r="T1762" s="324"/>
      <c r="U1762" s="85" ph="1"/>
      <c r="W1762" s="216"/>
      <c r="X1762" s="245"/>
      <c r="Y1762" s="187"/>
      <c r="Z1762" s="245"/>
      <c r="AA1762" s="245"/>
      <c r="AB1762" s="332"/>
      <c r="AD1762" s="245"/>
      <c r="AE1762" s="245"/>
      <c r="AF1762" s="245"/>
      <c r="AG1762" s="245"/>
    </row>
    <row r="1763" spans="1:33" ht="26.4">
      <c r="A1763" s="246"/>
      <c r="B1763" s="245"/>
      <c r="C1763" s="245"/>
      <c r="D1763" s="245"/>
      <c r="E1763" s="245"/>
      <c r="F1763" s="187"/>
      <c r="G1763" s="245"/>
      <c r="H1763" s="245"/>
      <c r="I1763" s="245"/>
      <c r="P1763" s="366"/>
      <c r="R1763" s="355"/>
      <c r="S1763" s="369"/>
      <c r="T1763" s="324"/>
      <c r="U1763" s="85" ph="1"/>
      <c r="W1763" s="216"/>
      <c r="X1763" s="245"/>
      <c r="Y1763" s="187"/>
      <c r="Z1763" s="245"/>
      <c r="AA1763" s="245"/>
      <c r="AB1763" s="332"/>
      <c r="AD1763" s="245"/>
      <c r="AE1763" s="245"/>
      <c r="AF1763" s="245"/>
      <c r="AG1763" s="245"/>
    </row>
    <row r="1764" spans="1:33" ht="26.4">
      <c r="A1764" s="246"/>
      <c r="B1764" s="245"/>
      <c r="C1764" s="245"/>
      <c r="D1764" s="245"/>
      <c r="E1764" s="245"/>
      <c r="F1764" s="187"/>
      <c r="G1764" s="245"/>
      <c r="H1764" s="245"/>
      <c r="I1764" s="245"/>
      <c r="P1764" s="366"/>
      <c r="R1764" s="355"/>
      <c r="S1764" s="369"/>
      <c r="T1764" s="324"/>
      <c r="U1764" s="85" ph="1"/>
      <c r="W1764" s="216"/>
      <c r="X1764" s="245"/>
      <c r="Y1764" s="187"/>
      <c r="Z1764" s="245"/>
      <c r="AA1764" s="245"/>
      <c r="AB1764" s="332"/>
      <c r="AD1764" s="245"/>
      <c r="AE1764" s="245"/>
      <c r="AF1764" s="245"/>
      <c r="AG1764" s="245"/>
    </row>
    <row r="1765" spans="1:33" ht="26.4">
      <c r="A1765" s="246"/>
      <c r="B1765" s="245"/>
      <c r="C1765" s="245"/>
      <c r="D1765" s="245"/>
      <c r="E1765" s="245"/>
      <c r="F1765" s="187"/>
      <c r="G1765" s="245"/>
      <c r="H1765" s="245"/>
      <c r="I1765" s="245"/>
      <c r="P1765" s="366"/>
      <c r="R1765" s="355"/>
      <c r="S1765" s="369"/>
      <c r="T1765" s="324"/>
      <c r="U1765" s="85" ph="1"/>
      <c r="W1765" s="216"/>
      <c r="X1765" s="245"/>
      <c r="Y1765" s="187"/>
      <c r="Z1765" s="245"/>
      <c r="AA1765" s="245"/>
      <c r="AB1765" s="332"/>
      <c r="AD1765" s="245"/>
      <c r="AE1765" s="245"/>
      <c r="AF1765" s="245"/>
      <c r="AG1765" s="245"/>
    </row>
    <row r="1766" spans="1:33" ht="26.4">
      <c r="A1766" s="246"/>
      <c r="B1766" s="245"/>
      <c r="C1766" s="245"/>
      <c r="D1766" s="245"/>
      <c r="E1766" s="245"/>
      <c r="F1766" s="187"/>
      <c r="G1766" s="245"/>
      <c r="H1766" s="245"/>
      <c r="I1766" s="245"/>
      <c r="P1766" s="366"/>
      <c r="R1766" s="355"/>
      <c r="S1766" s="369"/>
      <c r="T1766" s="324"/>
      <c r="U1766" s="85" ph="1"/>
      <c r="W1766" s="216"/>
      <c r="X1766" s="245"/>
      <c r="Y1766" s="187"/>
      <c r="Z1766" s="245"/>
      <c r="AA1766" s="245"/>
      <c r="AB1766" s="332"/>
      <c r="AD1766" s="245"/>
      <c r="AE1766" s="245"/>
      <c r="AF1766" s="245"/>
      <c r="AG1766" s="245"/>
    </row>
    <row r="1767" spans="1:33" ht="26.4">
      <c r="A1767" s="246"/>
      <c r="B1767" s="245"/>
      <c r="C1767" s="245"/>
      <c r="D1767" s="245"/>
      <c r="E1767" s="245"/>
      <c r="F1767" s="187"/>
      <c r="G1767" s="245"/>
      <c r="H1767" s="245"/>
      <c r="I1767" s="245"/>
      <c r="P1767" s="366"/>
      <c r="R1767" s="355"/>
      <c r="S1767" s="369"/>
      <c r="T1767" s="324"/>
      <c r="U1767" s="85" ph="1"/>
      <c r="W1767" s="216"/>
      <c r="X1767" s="245"/>
      <c r="Y1767" s="187"/>
      <c r="Z1767" s="245"/>
      <c r="AA1767" s="245"/>
      <c r="AB1767" s="332"/>
      <c r="AD1767" s="245"/>
      <c r="AE1767" s="245"/>
      <c r="AF1767" s="245"/>
      <c r="AG1767" s="245"/>
    </row>
    <row r="1768" spans="1:33" ht="26.4">
      <c r="A1768" s="246"/>
      <c r="B1768" s="245"/>
      <c r="C1768" s="245"/>
      <c r="D1768" s="245"/>
      <c r="E1768" s="245"/>
      <c r="F1768" s="187"/>
      <c r="G1768" s="245"/>
      <c r="H1768" s="245"/>
      <c r="I1768" s="245"/>
      <c r="P1768" s="366"/>
      <c r="R1768" s="355"/>
      <c r="S1768" s="369"/>
      <c r="T1768" s="324"/>
      <c r="U1768" s="85" ph="1"/>
      <c r="W1768" s="216"/>
      <c r="X1768" s="245"/>
      <c r="Y1768" s="187"/>
      <c r="Z1768" s="245"/>
      <c r="AA1768" s="245"/>
      <c r="AB1768" s="332"/>
      <c r="AD1768" s="245"/>
      <c r="AE1768" s="245"/>
      <c r="AF1768" s="245"/>
      <c r="AG1768" s="245"/>
    </row>
    <row r="1769" spans="1:33" ht="26.4">
      <c r="A1769" s="246"/>
      <c r="B1769" s="245"/>
      <c r="C1769" s="245"/>
      <c r="D1769" s="245"/>
      <c r="E1769" s="245"/>
      <c r="F1769" s="187"/>
      <c r="G1769" s="245"/>
      <c r="H1769" s="245"/>
      <c r="I1769" s="245"/>
      <c r="P1769" s="366"/>
      <c r="R1769" s="355"/>
      <c r="S1769" s="369"/>
      <c r="T1769" s="324"/>
      <c r="U1769" s="85" ph="1"/>
      <c r="W1769" s="216"/>
      <c r="X1769" s="245"/>
      <c r="Y1769" s="187"/>
      <c r="Z1769" s="245"/>
      <c r="AA1769" s="245"/>
      <c r="AB1769" s="332"/>
      <c r="AD1769" s="245"/>
      <c r="AE1769" s="245"/>
      <c r="AF1769" s="245"/>
      <c r="AG1769" s="245"/>
    </row>
    <row r="1770" spans="1:33" ht="26.4">
      <c r="A1770" s="246"/>
      <c r="B1770" s="245"/>
      <c r="C1770" s="245"/>
      <c r="D1770" s="245"/>
      <c r="E1770" s="245"/>
      <c r="F1770" s="187"/>
      <c r="G1770" s="245"/>
      <c r="H1770" s="245"/>
      <c r="I1770" s="245"/>
      <c r="P1770" s="366"/>
      <c r="R1770" s="355"/>
      <c r="S1770" s="369"/>
      <c r="T1770" s="324"/>
      <c r="U1770" s="85" ph="1"/>
      <c r="W1770" s="216"/>
      <c r="X1770" s="245"/>
      <c r="Y1770" s="187"/>
      <c r="Z1770" s="245"/>
      <c r="AA1770" s="245"/>
      <c r="AB1770" s="332"/>
      <c r="AD1770" s="245"/>
      <c r="AE1770" s="245"/>
      <c r="AF1770" s="245"/>
      <c r="AG1770" s="245"/>
    </row>
    <row r="1771" spans="1:33" ht="26.4">
      <c r="A1771" s="246"/>
      <c r="B1771" s="245"/>
      <c r="C1771" s="245"/>
      <c r="D1771" s="245"/>
      <c r="E1771" s="245"/>
      <c r="F1771" s="187"/>
      <c r="G1771" s="245"/>
      <c r="H1771" s="245"/>
      <c r="I1771" s="245"/>
      <c r="P1771" s="366"/>
      <c r="R1771" s="355"/>
      <c r="S1771" s="369"/>
      <c r="T1771" s="324"/>
      <c r="U1771" s="85" ph="1"/>
      <c r="W1771" s="216"/>
      <c r="X1771" s="245"/>
      <c r="Y1771" s="187"/>
      <c r="Z1771" s="245"/>
      <c r="AA1771" s="245"/>
      <c r="AB1771" s="332"/>
      <c r="AD1771" s="245"/>
      <c r="AE1771" s="245"/>
      <c r="AF1771" s="245"/>
      <c r="AG1771" s="245"/>
    </row>
    <row r="1772" spans="1:33" ht="26.4">
      <c r="A1772" s="246"/>
      <c r="B1772" s="245"/>
      <c r="C1772" s="245"/>
      <c r="D1772" s="245"/>
      <c r="E1772" s="245"/>
      <c r="F1772" s="187"/>
      <c r="G1772" s="245"/>
      <c r="H1772" s="245"/>
      <c r="I1772" s="245"/>
      <c r="P1772" s="366"/>
      <c r="R1772" s="355"/>
      <c r="S1772" s="369"/>
      <c r="T1772" s="324"/>
      <c r="U1772" s="85" ph="1"/>
      <c r="W1772" s="216"/>
      <c r="X1772" s="245"/>
      <c r="Y1772" s="187"/>
      <c r="Z1772" s="245"/>
      <c r="AA1772" s="245"/>
      <c r="AB1772" s="332"/>
      <c r="AD1772" s="245"/>
      <c r="AE1772" s="245"/>
      <c r="AF1772" s="245"/>
      <c r="AG1772" s="245"/>
    </row>
    <row r="1773" spans="1:33" ht="26.4">
      <c r="A1773" s="246"/>
      <c r="B1773" s="245"/>
      <c r="C1773" s="245"/>
      <c r="D1773" s="245"/>
      <c r="E1773" s="245"/>
      <c r="F1773" s="187"/>
      <c r="G1773" s="245"/>
      <c r="H1773" s="245"/>
      <c r="I1773" s="245"/>
      <c r="P1773" s="366"/>
      <c r="R1773" s="355"/>
      <c r="S1773" s="369"/>
      <c r="T1773" s="324"/>
      <c r="U1773" s="85" ph="1"/>
      <c r="W1773" s="216"/>
      <c r="X1773" s="245"/>
      <c r="Y1773" s="187"/>
      <c r="Z1773" s="245"/>
      <c r="AA1773" s="245"/>
      <c r="AB1773" s="332"/>
      <c r="AD1773" s="245"/>
      <c r="AE1773" s="245"/>
      <c r="AF1773" s="245"/>
      <c r="AG1773" s="245"/>
    </row>
    <row r="1774" spans="1:33" ht="26.4">
      <c r="A1774" s="246"/>
      <c r="B1774" s="245"/>
      <c r="C1774" s="245"/>
      <c r="D1774" s="245"/>
      <c r="E1774" s="245"/>
      <c r="F1774" s="187"/>
      <c r="G1774" s="245"/>
      <c r="H1774" s="245"/>
      <c r="I1774" s="245"/>
      <c r="P1774" s="366"/>
      <c r="R1774" s="355"/>
      <c r="S1774" s="369"/>
      <c r="T1774" s="324"/>
      <c r="U1774" s="85" ph="1"/>
      <c r="W1774" s="216"/>
      <c r="X1774" s="245"/>
      <c r="Y1774" s="187"/>
      <c r="Z1774" s="245"/>
      <c r="AA1774" s="245"/>
      <c r="AB1774" s="332"/>
      <c r="AD1774" s="245"/>
      <c r="AE1774" s="245"/>
      <c r="AF1774" s="245"/>
      <c r="AG1774" s="245"/>
    </row>
    <row r="1775" spans="1:33" ht="26.4">
      <c r="A1775" s="246"/>
      <c r="B1775" s="245"/>
      <c r="C1775" s="245"/>
      <c r="D1775" s="245"/>
      <c r="E1775" s="245"/>
      <c r="F1775" s="187"/>
      <c r="G1775" s="245"/>
      <c r="H1775" s="245"/>
      <c r="I1775" s="245"/>
      <c r="P1775" s="366"/>
      <c r="R1775" s="355"/>
      <c r="S1775" s="369"/>
      <c r="T1775" s="324"/>
      <c r="U1775" s="85" ph="1"/>
      <c r="W1775" s="216"/>
      <c r="X1775" s="245"/>
      <c r="Y1775" s="187"/>
      <c r="Z1775" s="245"/>
      <c r="AA1775" s="245"/>
      <c r="AB1775" s="332"/>
      <c r="AD1775" s="245"/>
      <c r="AE1775" s="245"/>
      <c r="AF1775" s="245"/>
      <c r="AG1775" s="245"/>
    </row>
    <row r="1776" spans="1:33" ht="26.4">
      <c r="A1776" s="246"/>
      <c r="B1776" s="245"/>
      <c r="C1776" s="245"/>
      <c r="D1776" s="245"/>
      <c r="E1776" s="245"/>
      <c r="F1776" s="187"/>
      <c r="G1776" s="245"/>
      <c r="H1776" s="245"/>
      <c r="I1776" s="245"/>
      <c r="P1776" s="366"/>
      <c r="R1776" s="355"/>
      <c r="S1776" s="369"/>
      <c r="T1776" s="324"/>
      <c r="U1776" s="85" ph="1"/>
      <c r="W1776" s="216"/>
      <c r="X1776" s="245"/>
      <c r="Y1776" s="187"/>
      <c r="Z1776" s="245"/>
      <c r="AA1776" s="245"/>
      <c r="AB1776" s="332"/>
      <c r="AD1776" s="245"/>
      <c r="AE1776" s="245"/>
      <c r="AF1776" s="245"/>
      <c r="AG1776" s="245"/>
    </row>
    <row r="1777" spans="1:33" ht="26.4">
      <c r="A1777" s="246"/>
      <c r="B1777" s="245"/>
      <c r="C1777" s="245"/>
      <c r="D1777" s="245"/>
      <c r="E1777" s="245"/>
      <c r="F1777" s="187"/>
      <c r="G1777" s="245"/>
      <c r="H1777" s="245"/>
      <c r="I1777" s="245"/>
      <c r="P1777" s="366"/>
      <c r="R1777" s="355"/>
      <c r="S1777" s="369"/>
      <c r="T1777" s="324"/>
      <c r="U1777" s="85" ph="1"/>
      <c r="W1777" s="216"/>
      <c r="X1777" s="245"/>
      <c r="Y1777" s="187"/>
      <c r="Z1777" s="245"/>
      <c r="AA1777" s="245"/>
      <c r="AB1777" s="332"/>
      <c r="AD1777" s="245"/>
      <c r="AE1777" s="245"/>
      <c r="AF1777" s="245"/>
      <c r="AG1777" s="245"/>
    </row>
    <row r="1778" spans="1:33" ht="26.4">
      <c r="A1778" s="246"/>
      <c r="B1778" s="245"/>
      <c r="C1778" s="245"/>
      <c r="D1778" s="245"/>
      <c r="E1778" s="245"/>
      <c r="F1778" s="187"/>
      <c r="G1778" s="245"/>
      <c r="H1778" s="245"/>
      <c r="I1778" s="245"/>
      <c r="P1778" s="366"/>
      <c r="R1778" s="355"/>
      <c r="S1778" s="369"/>
      <c r="T1778" s="324"/>
      <c r="U1778" s="85" ph="1"/>
      <c r="W1778" s="216"/>
      <c r="X1778" s="245"/>
      <c r="Y1778" s="187"/>
      <c r="Z1778" s="245"/>
      <c r="AA1778" s="245"/>
      <c r="AB1778" s="332"/>
      <c r="AD1778" s="245"/>
      <c r="AE1778" s="245"/>
      <c r="AF1778" s="245"/>
      <c r="AG1778" s="245"/>
    </row>
    <row r="1779" spans="1:33" ht="26.4">
      <c r="A1779" s="246"/>
      <c r="B1779" s="245"/>
      <c r="C1779" s="245"/>
      <c r="D1779" s="245"/>
      <c r="E1779" s="245"/>
      <c r="F1779" s="187"/>
      <c r="G1779" s="245"/>
      <c r="H1779" s="245"/>
      <c r="I1779" s="245"/>
      <c r="P1779" s="366"/>
      <c r="R1779" s="355"/>
      <c r="S1779" s="369"/>
      <c r="T1779" s="324"/>
      <c r="U1779" s="85" ph="1"/>
      <c r="W1779" s="216"/>
      <c r="X1779" s="245"/>
      <c r="Y1779" s="187"/>
      <c r="Z1779" s="245"/>
      <c r="AA1779" s="245"/>
      <c r="AB1779" s="332"/>
      <c r="AD1779" s="245"/>
      <c r="AE1779" s="245"/>
      <c r="AF1779" s="245"/>
      <c r="AG1779" s="245"/>
    </row>
    <row r="1780" spans="1:33" ht="26.4">
      <c r="A1780" s="246"/>
      <c r="B1780" s="245"/>
      <c r="C1780" s="245"/>
      <c r="D1780" s="245"/>
      <c r="E1780" s="245"/>
      <c r="F1780" s="187"/>
      <c r="G1780" s="245"/>
      <c r="H1780" s="245"/>
      <c r="I1780" s="245"/>
      <c r="P1780" s="366"/>
      <c r="R1780" s="355"/>
      <c r="S1780" s="369"/>
      <c r="T1780" s="324"/>
      <c r="U1780" s="85" ph="1"/>
      <c r="W1780" s="216"/>
      <c r="X1780" s="245"/>
      <c r="Y1780" s="187"/>
      <c r="Z1780" s="245"/>
      <c r="AA1780" s="245"/>
      <c r="AB1780" s="332"/>
      <c r="AD1780" s="245"/>
      <c r="AE1780" s="245"/>
      <c r="AF1780" s="245"/>
      <c r="AG1780" s="245"/>
    </row>
    <row r="1781" spans="1:33" ht="26.4">
      <c r="A1781" s="246"/>
      <c r="B1781" s="245"/>
      <c r="C1781" s="245"/>
      <c r="D1781" s="245"/>
      <c r="E1781" s="245"/>
      <c r="F1781" s="187"/>
      <c r="G1781" s="245"/>
      <c r="H1781" s="245"/>
      <c r="I1781" s="245"/>
      <c r="P1781" s="366"/>
      <c r="R1781" s="355"/>
      <c r="S1781" s="369"/>
      <c r="T1781" s="324"/>
      <c r="U1781" s="85" ph="1"/>
      <c r="W1781" s="216"/>
      <c r="X1781" s="245"/>
      <c r="Y1781" s="187"/>
      <c r="Z1781" s="245"/>
      <c r="AA1781" s="245"/>
      <c r="AB1781" s="332"/>
      <c r="AD1781" s="245"/>
      <c r="AE1781" s="245"/>
      <c r="AF1781" s="245"/>
      <c r="AG1781" s="245"/>
    </row>
    <row r="1782" spans="1:33" ht="26.4">
      <c r="A1782" s="246"/>
      <c r="B1782" s="245"/>
      <c r="C1782" s="245"/>
      <c r="D1782" s="245"/>
      <c r="E1782" s="245"/>
      <c r="F1782" s="187"/>
      <c r="G1782" s="245"/>
      <c r="H1782" s="245"/>
      <c r="I1782" s="245"/>
      <c r="P1782" s="366"/>
      <c r="R1782" s="355"/>
      <c r="S1782" s="369"/>
      <c r="T1782" s="324"/>
      <c r="U1782" s="85" ph="1"/>
      <c r="W1782" s="216"/>
      <c r="X1782" s="245"/>
      <c r="Y1782" s="187"/>
      <c r="Z1782" s="245"/>
      <c r="AA1782" s="245"/>
      <c r="AB1782" s="332"/>
      <c r="AD1782" s="245"/>
      <c r="AE1782" s="245"/>
      <c r="AF1782" s="245"/>
      <c r="AG1782" s="245"/>
    </row>
    <row r="1783" spans="1:33" ht="26.4">
      <c r="A1783" s="246"/>
      <c r="B1783" s="245"/>
      <c r="C1783" s="245"/>
      <c r="D1783" s="245"/>
      <c r="E1783" s="245"/>
      <c r="F1783" s="187"/>
      <c r="G1783" s="245"/>
      <c r="H1783" s="245"/>
      <c r="I1783" s="245"/>
      <c r="P1783" s="366"/>
      <c r="R1783" s="355"/>
      <c r="S1783" s="369"/>
      <c r="T1783" s="324"/>
      <c r="U1783" s="85" ph="1"/>
      <c r="W1783" s="216"/>
      <c r="X1783" s="245"/>
      <c r="Y1783" s="187"/>
      <c r="Z1783" s="245"/>
      <c r="AA1783" s="245"/>
      <c r="AB1783" s="332"/>
      <c r="AD1783" s="245"/>
      <c r="AE1783" s="245"/>
      <c r="AF1783" s="245"/>
      <c r="AG1783" s="245"/>
    </row>
    <row r="1784" spans="1:33" ht="26.4">
      <c r="A1784" s="246"/>
      <c r="B1784" s="245"/>
      <c r="C1784" s="245"/>
      <c r="D1784" s="245"/>
      <c r="E1784" s="245"/>
      <c r="F1784" s="187"/>
      <c r="G1784" s="245"/>
      <c r="H1784" s="245"/>
      <c r="I1784" s="245"/>
      <c r="P1784" s="366"/>
      <c r="R1784" s="355"/>
      <c r="S1784" s="369"/>
      <c r="T1784" s="324"/>
      <c r="U1784" s="85" ph="1"/>
      <c r="W1784" s="216"/>
      <c r="X1784" s="245"/>
      <c r="Y1784" s="187"/>
      <c r="Z1784" s="245"/>
      <c r="AA1784" s="245"/>
      <c r="AB1784" s="332"/>
      <c r="AD1784" s="245"/>
      <c r="AE1784" s="245"/>
      <c r="AF1784" s="245"/>
      <c r="AG1784" s="245"/>
    </row>
    <row r="1785" spans="1:33" ht="26.4">
      <c r="A1785" s="246"/>
      <c r="B1785" s="245"/>
      <c r="C1785" s="245"/>
      <c r="D1785" s="245"/>
      <c r="E1785" s="245"/>
      <c r="F1785" s="187"/>
      <c r="G1785" s="245"/>
      <c r="H1785" s="245"/>
      <c r="I1785" s="245"/>
      <c r="P1785" s="366"/>
      <c r="R1785" s="355"/>
      <c r="S1785" s="369"/>
      <c r="T1785" s="324"/>
      <c r="U1785" s="85" ph="1"/>
      <c r="W1785" s="216"/>
      <c r="X1785" s="245"/>
      <c r="Y1785" s="187"/>
      <c r="Z1785" s="245"/>
      <c r="AA1785" s="245"/>
      <c r="AB1785" s="332"/>
      <c r="AD1785" s="245"/>
      <c r="AE1785" s="245"/>
      <c r="AF1785" s="245"/>
      <c r="AG1785" s="245"/>
    </row>
    <row r="1786" spans="1:33" ht="26.4">
      <c r="A1786" s="246"/>
      <c r="B1786" s="245"/>
      <c r="C1786" s="245"/>
      <c r="D1786" s="245"/>
      <c r="E1786" s="245"/>
      <c r="F1786" s="187"/>
      <c r="G1786" s="245"/>
      <c r="H1786" s="245"/>
      <c r="I1786" s="245"/>
      <c r="P1786" s="366"/>
      <c r="R1786" s="355"/>
      <c r="S1786" s="369"/>
      <c r="T1786" s="324"/>
      <c r="U1786" s="85" ph="1"/>
      <c r="W1786" s="216"/>
      <c r="X1786" s="245"/>
      <c r="Y1786" s="187"/>
      <c r="Z1786" s="245"/>
      <c r="AA1786" s="245"/>
      <c r="AB1786" s="332"/>
      <c r="AD1786" s="245"/>
      <c r="AE1786" s="245"/>
      <c r="AF1786" s="245"/>
      <c r="AG1786" s="245"/>
    </row>
    <row r="1787" spans="1:33" ht="26.4">
      <c r="A1787" s="246"/>
      <c r="B1787" s="245"/>
      <c r="C1787" s="245"/>
      <c r="D1787" s="245"/>
      <c r="E1787" s="245"/>
      <c r="F1787" s="187"/>
      <c r="G1787" s="245"/>
      <c r="H1787" s="245"/>
      <c r="I1787" s="245"/>
      <c r="P1787" s="366"/>
      <c r="R1787" s="355"/>
      <c r="S1787" s="369"/>
      <c r="T1787" s="324"/>
      <c r="U1787" s="85" ph="1"/>
      <c r="W1787" s="216"/>
      <c r="X1787" s="245"/>
      <c r="Y1787" s="187"/>
      <c r="Z1787" s="245"/>
      <c r="AA1787" s="245"/>
      <c r="AB1787" s="332"/>
      <c r="AD1787" s="245"/>
      <c r="AE1787" s="245"/>
      <c r="AF1787" s="245"/>
      <c r="AG1787" s="245"/>
    </row>
    <row r="1788" spans="1:33" ht="26.4">
      <c r="A1788" s="246"/>
      <c r="B1788" s="245"/>
      <c r="C1788" s="245"/>
      <c r="D1788" s="245"/>
      <c r="E1788" s="245"/>
      <c r="F1788" s="187"/>
      <c r="G1788" s="245"/>
      <c r="H1788" s="245"/>
      <c r="I1788" s="245"/>
      <c r="P1788" s="366"/>
      <c r="R1788" s="355"/>
      <c r="S1788" s="369"/>
      <c r="T1788" s="324"/>
      <c r="U1788" s="85" ph="1"/>
      <c r="W1788" s="216"/>
      <c r="X1788" s="245"/>
      <c r="Y1788" s="187"/>
      <c r="Z1788" s="245"/>
      <c r="AA1788" s="245"/>
      <c r="AB1788" s="332"/>
      <c r="AD1788" s="245"/>
      <c r="AE1788" s="245"/>
      <c r="AF1788" s="245"/>
      <c r="AG1788" s="245"/>
    </row>
    <row r="1789" spans="1:33" ht="26.4">
      <c r="A1789" s="246"/>
      <c r="B1789" s="245"/>
      <c r="C1789" s="245"/>
      <c r="D1789" s="245"/>
      <c r="E1789" s="245"/>
      <c r="F1789" s="187"/>
      <c r="G1789" s="245"/>
      <c r="H1789" s="245"/>
      <c r="I1789" s="245"/>
      <c r="P1789" s="366"/>
      <c r="R1789" s="355"/>
      <c r="S1789" s="369"/>
      <c r="T1789" s="324"/>
      <c r="U1789" s="85" ph="1"/>
      <c r="W1789" s="216"/>
      <c r="X1789" s="245"/>
      <c r="Y1789" s="187"/>
      <c r="Z1789" s="245"/>
      <c r="AA1789" s="245"/>
      <c r="AB1789" s="332"/>
      <c r="AD1789" s="245"/>
      <c r="AE1789" s="245"/>
      <c r="AF1789" s="245"/>
      <c r="AG1789" s="245"/>
    </row>
    <row r="1790" spans="1:33" ht="26.4">
      <c r="A1790" s="246"/>
      <c r="B1790" s="245"/>
      <c r="C1790" s="245"/>
      <c r="D1790" s="245"/>
      <c r="E1790" s="245"/>
      <c r="F1790" s="187"/>
      <c r="G1790" s="245"/>
      <c r="H1790" s="245"/>
      <c r="I1790" s="245"/>
      <c r="P1790" s="366"/>
      <c r="R1790" s="355"/>
      <c r="S1790" s="369"/>
      <c r="T1790" s="324"/>
      <c r="U1790" s="85" ph="1"/>
      <c r="W1790" s="216"/>
      <c r="X1790" s="245"/>
      <c r="Y1790" s="187"/>
      <c r="Z1790" s="245"/>
      <c r="AA1790" s="245"/>
      <c r="AB1790" s="332"/>
      <c r="AD1790" s="245"/>
      <c r="AE1790" s="245"/>
      <c r="AF1790" s="245"/>
      <c r="AG1790" s="245"/>
    </row>
    <row r="1791" spans="1:33" ht="26.4">
      <c r="A1791" s="246"/>
      <c r="B1791" s="245"/>
      <c r="C1791" s="245"/>
      <c r="D1791" s="245"/>
      <c r="E1791" s="245"/>
      <c r="F1791" s="187"/>
      <c r="G1791" s="245"/>
      <c r="H1791" s="245"/>
      <c r="I1791" s="245"/>
      <c r="P1791" s="366"/>
      <c r="R1791" s="355"/>
      <c r="S1791" s="369"/>
      <c r="T1791" s="324"/>
      <c r="U1791" s="85" ph="1"/>
      <c r="W1791" s="216"/>
      <c r="X1791" s="245"/>
      <c r="Y1791" s="187"/>
      <c r="Z1791" s="245"/>
      <c r="AA1791" s="245"/>
      <c r="AB1791" s="332"/>
      <c r="AD1791" s="245"/>
      <c r="AE1791" s="245"/>
      <c r="AF1791" s="245"/>
      <c r="AG1791" s="245"/>
    </row>
    <row r="1792" spans="1:33" ht="26.4">
      <c r="A1792" s="246"/>
      <c r="B1792" s="245"/>
      <c r="C1792" s="245"/>
      <c r="D1792" s="245"/>
      <c r="E1792" s="245"/>
      <c r="F1792" s="187"/>
      <c r="G1792" s="245"/>
      <c r="H1792" s="245"/>
      <c r="I1792" s="245"/>
      <c r="P1792" s="366"/>
      <c r="R1792" s="355"/>
      <c r="S1792" s="369"/>
      <c r="T1792" s="324"/>
      <c r="U1792" s="85" ph="1"/>
      <c r="W1792" s="216"/>
      <c r="X1792" s="245"/>
      <c r="Y1792" s="187"/>
      <c r="Z1792" s="245"/>
      <c r="AA1792" s="245"/>
      <c r="AB1792" s="332"/>
      <c r="AD1792" s="245"/>
      <c r="AE1792" s="245"/>
      <c r="AF1792" s="245"/>
      <c r="AG1792" s="245"/>
    </row>
    <row r="1793" spans="1:33" ht="26.4">
      <c r="A1793" s="246"/>
      <c r="B1793" s="245"/>
      <c r="C1793" s="245"/>
      <c r="D1793" s="245"/>
      <c r="E1793" s="245"/>
      <c r="F1793" s="187"/>
      <c r="G1793" s="245"/>
      <c r="H1793" s="245"/>
      <c r="I1793" s="245"/>
      <c r="P1793" s="366"/>
      <c r="R1793" s="355"/>
      <c r="S1793" s="369"/>
      <c r="T1793" s="324"/>
      <c r="U1793" s="85" ph="1"/>
      <c r="W1793" s="216"/>
      <c r="X1793" s="245"/>
      <c r="Y1793" s="187"/>
      <c r="Z1793" s="245"/>
      <c r="AA1793" s="245"/>
      <c r="AB1793" s="332"/>
      <c r="AD1793" s="245"/>
      <c r="AE1793" s="245"/>
      <c r="AF1793" s="245"/>
      <c r="AG1793" s="245"/>
    </row>
    <row r="1794" spans="1:33" ht="26.4">
      <c r="A1794" s="246"/>
      <c r="B1794" s="245"/>
      <c r="C1794" s="245"/>
      <c r="D1794" s="245"/>
      <c r="E1794" s="245"/>
      <c r="F1794" s="187"/>
      <c r="G1794" s="245"/>
      <c r="H1794" s="245"/>
      <c r="I1794" s="245"/>
      <c r="P1794" s="366"/>
      <c r="R1794" s="355"/>
      <c r="S1794" s="369"/>
      <c r="T1794" s="324"/>
      <c r="U1794" s="85" ph="1"/>
      <c r="W1794" s="216"/>
      <c r="X1794" s="245"/>
      <c r="Y1794" s="187"/>
      <c r="Z1794" s="245"/>
      <c r="AA1794" s="245"/>
      <c r="AB1794" s="332"/>
      <c r="AD1794" s="245"/>
      <c r="AE1794" s="245"/>
      <c r="AF1794" s="245"/>
      <c r="AG1794" s="245"/>
    </row>
    <row r="1795" spans="1:33" ht="26.4">
      <c r="A1795" s="246"/>
      <c r="B1795" s="245"/>
      <c r="C1795" s="245"/>
      <c r="D1795" s="245"/>
      <c r="E1795" s="245"/>
      <c r="F1795" s="187"/>
      <c r="G1795" s="245"/>
      <c r="H1795" s="245"/>
      <c r="I1795" s="245"/>
      <c r="P1795" s="366"/>
      <c r="R1795" s="355"/>
      <c r="S1795" s="369"/>
      <c r="T1795" s="324"/>
      <c r="U1795" s="85" ph="1"/>
      <c r="W1795" s="216"/>
      <c r="X1795" s="245"/>
      <c r="Y1795" s="187"/>
      <c r="Z1795" s="245"/>
      <c r="AA1795" s="245"/>
      <c r="AB1795" s="332"/>
      <c r="AD1795" s="245"/>
      <c r="AE1795" s="245"/>
      <c r="AF1795" s="245"/>
      <c r="AG1795" s="245"/>
    </row>
    <row r="1796" spans="1:33" ht="26.4">
      <c r="A1796" s="246"/>
      <c r="B1796" s="245"/>
      <c r="C1796" s="245"/>
      <c r="D1796" s="245"/>
      <c r="E1796" s="245"/>
      <c r="F1796" s="187"/>
      <c r="G1796" s="245"/>
      <c r="H1796" s="245"/>
      <c r="I1796" s="245"/>
      <c r="P1796" s="366"/>
      <c r="R1796" s="355"/>
      <c r="S1796" s="369"/>
      <c r="T1796" s="324"/>
      <c r="U1796" s="85" ph="1"/>
      <c r="W1796" s="216"/>
      <c r="X1796" s="245"/>
      <c r="Y1796" s="187"/>
      <c r="Z1796" s="245"/>
      <c r="AA1796" s="245"/>
      <c r="AB1796" s="332"/>
      <c r="AD1796" s="245"/>
      <c r="AE1796" s="245"/>
      <c r="AF1796" s="245"/>
      <c r="AG1796" s="245"/>
    </row>
    <row r="1797" spans="1:33" ht="26.4">
      <c r="A1797" s="246"/>
      <c r="B1797" s="245"/>
      <c r="C1797" s="245"/>
      <c r="D1797" s="245"/>
      <c r="E1797" s="245"/>
      <c r="F1797" s="187"/>
      <c r="G1797" s="245"/>
      <c r="H1797" s="245"/>
      <c r="I1797" s="245"/>
      <c r="P1797" s="366"/>
      <c r="R1797" s="355"/>
      <c r="S1797" s="369"/>
      <c r="T1797" s="324"/>
      <c r="U1797" s="85" ph="1"/>
      <c r="W1797" s="216"/>
      <c r="X1797" s="245"/>
      <c r="Y1797" s="187"/>
      <c r="Z1797" s="245"/>
      <c r="AA1797" s="245"/>
      <c r="AB1797" s="332"/>
      <c r="AD1797" s="245"/>
      <c r="AE1797" s="245"/>
      <c r="AF1797" s="245"/>
      <c r="AG1797" s="245"/>
    </row>
    <row r="1798" spans="1:33" ht="26.4">
      <c r="A1798" s="246"/>
      <c r="B1798" s="245"/>
      <c r="C1798" s="245"/>
      <c r="D1798" s="245"/>
      <c r="E1798" s="245"/>
      <c r="F1798" s="187"/>
      <c r="G1798" s="245"/>
      <c r="H1798" s="245"/>
      <c r="I1798" s="245"/>
      <c r="P1798" s="366"/>
      <c r="R1798" s="355"/>
      <c r="S1798" s="369"/>
      <c r="T1798" s="324"/>
      <c r="U1798" s="85" ph="1"/>
      <c r="W1798" s="216"/>
      <c r="X1798" s="245"/>
      <c r="Y1798" s="187"/>
      <c r="Z1798" s="245"/>
      <c r="AA1798" s="245"/>
      <c r="AB1798" s="332"/>
      <c r="AD1798" s="245"/>
      <c r="AE1798" s="245"/>
      <c r="AF1798" s="245"/>
      <c r="AG1798" s="245"/>
    </row>
    <row r="1799" spans="1:33" ht="26.4">
      <c r="A1799" s="246"/>
      <c r="B1799" s="245"/>
      <c r="C1799" s="245"/>
      <c r="D1799" s="245"/>
      <c r="E1799" s="245"/>
      <c r="F1799" s="187"/>
      <c r="G1799" s="245"/>
      <c r="H1799" s="245"/>
      <c r="I1799" s="245"/>
      <c r="P1799" s="366"/>
      <c r="R1799" s="355"/>
      <c r="S1799" s="369"/>
      <c r="T1799" s="324"/>
      <c r="U1799" s="85" ph="1"/>
      <c r="W1799" s="216"/>
      <c r="X1799" s="245"/>
      <c r="Y1799" s="187"/>
      <c r="Z1799" s="245"/>
      <c r="AA1799" s="245"/>
      <c r="AB1799" s="332"/>
      <c r="AD1799" s="245"/>
      <c r="AE1799" s="245"/>
      <c r="AF1799" s="245"/>
      <c r="AG1799" s="245"/>
    </row>
    <row r="1800" spans="1:33" ht="26.4">
      <c r="A1800" s="246"/>
      <c r="B1800" s="245"/>
      <c r="C1800" s="245"/>
      <c r="D1800" s="245"/>
      <c r="E1800" s="245"/>
      <c r="F1800" s="187"/>
      <c r="G1800" s="245"/>
      <c r="H1800" s="245"/>
      <c r="I1800" s="245"/>
      <c r="P1800" s="366"/>
      <c r="R1800" s="355"/>
      <c r="S1800" s="369"/>
      <c r="T1800" s="324"/>
      <c r="U1800" s="85" ph="1"/>
      <c r="W1800" s="216"/>
      <c r="X1800" s="245"/>
      <c r="Y1800" s="187"/>
      <c r="Z1800" s="245"/>
      <c r="AA1800" s="245"/>
      <c r="AB1800" s="332"/>
      <c r="AD1800" s="245"/>
      <c r="AE1800" s="245"/>
      <c r="AF1800" s="245"/>
      <c r="AG1800" s="245"/>
    </row>
    <row r="1801" spans="1:33" ht="26.4">
      <c r="A1801" s="246"/>
      <c r="B1801" s="245"/>
      <c r="C1801" s="245"/>
      <c r="D1801" s="245"/>
      <c r="E1801" s="245"/>
      <c r="F1801" s="187"/>
      <c r="G1801" s="245"/>
      <c r="H1801" s="245"/>
      <c r="I1801" s="245"/>
      <c r="P1801" s="366"/>
      <c r="R1801" s="355"/>
      <c r="S1801" s="369"/>
      <c r="T1801" s="324"/>
      <c r="U1801" s="85" ph="1"/>
      <c r="W1801" s="216"/>
      <c r="X1801" s="245"/>
      <c r="Y1801" s="187"/>
      <c r="Z1801" s="245"/>
      <c r="AA1801" s="245"/>
      <c r="AB1801" s="332"/>
      <c r="AD1801" s="245"/>
      <c r="AE1801" s="245"/>
      <c r="AF1801" s="245"/>
      <c r="AG1801" s="245"/>
    </row>
    <row r="1802" spans="1:33" ht="26.4">
      <c r="A1802" s="246"/>
      <c r="B1802" s="245"/>
      <c r="C1802" s="245"/>
      <c r="D1802" s="245"/>
      <c r="E1802" s="245"/>
      <c r="F1802" s="187"/>
      <c r="G1802" s="245"/>
      <c r="H1802" s="245"/>
      <c r="I1802" s="245"/>
      <c r="P1802" s="366"/>
      <c r="R1802" s="355"/>
      <c r="S1802" s="369"/>
      <c r="T1802" s="324"/>
      <c r="U1802" s="85" ph="1"/>
      <c r="W1802" s="216"/>
      <c r="X1802" s="245"/>
      <c r="Y1802" s="187"/>
      <c r="Z1802" s="245"/>
      <c r="AA1802" s="245"/>
      <c r="AB1802" s="332"/>
      <c r="AD1802" s="245"/>
      <c r="AE1802" s="245"/>
      <c r="AF1802" s="245"/>
      <c r="AG1802" s="245"/>
    </row>
    <row r="1803" spans="1:33" ht="26.4">
      <c r="A1803" s="246"/>
      <c r="B1803" s="245"/>
      <c r="C1803" s="245"/>
      <c r="D1803" s="245"/>
      <c r="E1803" s="245"/>
      <c r="F1803" s="187"/>
      <c r="G1803" s="245"/>
      <c r="H1803" s="245"/>
      <c r="I1803" s="245"/>
      <c r="P1803" s="366"/>
      <c r="R1803" s="355"/>
      <c r="S1803" s="369"/>
      <c r="T1803" s="324"/>
      <c r="U1803" s="85" ph="1"/>
      <c r="W1803" s="216"/>
      <c r="X1803" s="245"/>
      <c r="Y1803" s="187"/>
      <c r="Z1803" s="245"/>
      <c r="AA1803" s="245"/>
      <c r="AB1803" s="332"/>
      <c r="AD1803" s="245"/>
      <c r="AE1803" s="245"/>
      <c r="AF1803" s="245"/>
      <c r="AG1803" s="245"/>
    </row>
    <row r="1804" spans="1:33" ht="26.4">
      <c r="A1804" s="246"/>
      <c r="B1804" s="245"/>
      <c r="C1804" s="245"/>
      <c r="D1804" s="245"/>
      <c r="E1804" s="245"/>
      <c r="F1804" s="187"/>
      <c r="G1804" s="245"/>
      <c r="H1804" s="245"/>
      <c r="I1804" s="245"/>
      <c r="P1804" s="366"/>
      <c r="R1804" s="355"/>
      <c r="S1804" s="369"/>
      <c r="T1804" s="324"/>
      <c r="U1804" s="85" ph="1"/>
      <c r="W1804" s="216"/>
      <c r="X1804" s="245"/>
      <c r="Y1804" s="187"/>
      <c r="Z1804" s="245"/>
      <c r="AA1804" s="245"/>
      <c r="AB1804" s="332"/>
      <c r="AD1804" s="245"/>
      <c r="AE1804" s="245"/>
      <c r="AF1804" s="245"/>
      <c r="AG1804" s="245"/>
    </row>
    <row r="1805" spans="1:33" ht="26.4">
      <c r="A1805" s="246"/>
      <c r="B1805" s="245"/>
      <c r="C1805" s="245"/>
      <c r="D1805" s="245"/>
      <c r="E1805" s="245"/>
      <c r="F1805" s="187"/>
      <c r="G1805" s="245"/>
      <c r="H1805" s="245"/>
      <c r="I1805" s="245"/>
      <c r="P1805" s="366"/>
      <c r="R1805" s="355"/>
      <c r="S1805" s="369"/>
      <c r="T1805" s="324"/>
      <c r="U1805" s="85" ph="1"/>
      <c r="W1805" s="216"/>
      <c r="X1805" s="245"/>
      <c r="Y1805" s="187"/>
      <c r="Z1805" s="245"/>
      <c r="AA1805" s="245"/>
      <c r="AB1805" s="332"/>
      <c r="AD1805" s="245"/>
      <c r="AE1805" s="245"/>
      <c r="AF1805" s="245"/>
      <c r="AG1805" s="245"/>
    </row>
    <row r="1806" spans="1:33" ht="26.4">
      <c r="A1806" s="246"/>
      <c r="B1806" s="245"/>
      <c r="C1806" s="245"/>
      <c r="D1806" s="245"/>
      <c r="E1806" s="245"/>
      <c r="F1806" s="187"/>
      <c r="G1806" s="245"/>
      <c r="H1806" s="245"/>
      <c r="I1806" s="245"/>
      <c r="P1806" s="366"/>
      <c r="R1806" s="355"/>
      <c r="S1806" s="369"/>
      <c r="T1806" s="324"/>
      <c r="U1806" s="85" ph="1"/>
      <c r="W1806" s="216"/>
      <c r="X1806" s="245"/>
      <c r="Y1806" s="187"/>
      <c r="Z1806" s="245"/>
      <c r="AA1806" s="245"/>
      <c r="AB1806" s="332"/>
      <c r="AD1806" s="245"/>
      <c r="AE1806" s="245"/>
      <c r="AF1806" s="245"/>
      <c r="AG1806" s="245"/>
    </row>
    <row r="1807" spans="1:33" ht="26.4">
      <c r="A1807" s="246"/>
      <c r="B1807" s="245"/>
      <c r="C1807" s="245"/>
      <c r="D1807" s="245"/>
      <c r="E1807" s="245"/>
      <c r="F1807" s="187"/>
      <c r="G1807" s="245"/>
      <c r="H1807" s="245"/>
      <c r="I1807" s="245"/>
      <c r="P1807" s="366"/>
      <c r="R1807" s="355"/>
      <c r="S1807" s="369"/>
      <c r="T1807" s="324"/>
      <c r="U1807" s="85" ph="1"/>
      <c r="W1807" s="216"/>
      <c r="X1807" s="245"/>
      <c r="Y1807" s="187"/>
      <c r="Z1807" s="245"/>
      <c r="AA1807" s="245"/>
      <c r="AB1807" s="332"/>
      <c r="AD1807" s="245"/>
      <c r="AE1807" s="245"/>
      <c r="AF1807" s="245"/>
      <c r="AG1807" s="245"/>
    </row>
    <row r="1808" spans="1:33" ht="26.4">
      <c r="A1808" s="246"/>
      <c r="B1808" s="245"/>
      <c r="C1808" s="245"/>
      <c r="D1808" s="245"/>
      <c r="E1808" s="245"/>
      <c r="F1808" s="187"/>
      <c r="G1808" s="245"/>
      <c r="H1808" s="245"/>
      <c r="I1808" s="245"/>
      <c r="P1808" s="366"/>
      <c r="R1808" s="355"/>
      <c r="S1808" s="369"/>
      <c r="T1808" s="324"/>
      <c r="U1808" s="85" ph="1"/>
      <c r="W1808" s="216"/>
      <c r="X1808" s="245"/>
      <c r="Y1808" s="187"/>
      <c r="Z1808" s="245"/>
      <c r="AA1808" s="245"/>
      <c r="AB1808" s="332"/>
      <c r="AD1808" s="245"/>
      <c r="AE1808" s="245"/>
      <c r="AF1808" s="245"/>
      <c r="AG1808" s="245"/>
    </row>
    <row r="1809" spans="1:33" ht="26.4">
      <c r="A1809" s="246"/>
      <c r="B1809" s="245"/>
      <c r="C1809" s="245"/>
      <c r="D1809" s="245"/>
      <c r="E1809" s="245"/>
      <c r="F1809" s="187"/>
      <c r="G1809" s="245"/>
      <c r="H1809" s="245"/>
      <c r="I1809" s="245"/>
      <c r="P1809" s="366"/>
      <c r="R1809" s="355"/>
      <c r="S1809" s="369"/>
      <c r="T1809" s="324"/>
      <c r="U1809" s="85" ph="1"/>
      <c r="W1809" s="216"/>
      <c r="X1809" s="245"/>
      <c r="Y1809" s="187"/>
      <c r="Z1809" s="245"/>
      <c r="AA1809" s="245"/>
      <c r="AB1809" s="332"/>
      <c r="AD1809" s="245"/>
      <c r="AE1809" s="245"/>
      <c r="AF1809" s="245"/>
      <c r="AG1809" s="245"/>
    </row>
    <row r="1810" spans="1:33" ht="26.4">
      <c r="A1810" s="246"/>
      <c r="B1810" s="245"/>
      <c r="C1810" s="245"/>
      <c r="D1810" s="245"/>
      <c r="E1810" s="245"/>
      <c r="F1810" s="187"/>
      <c r="G1810" s="245"/>
      <c r="H1810" s="245"/>
      <c r="I1810" s="245"/>
      <c r="P1810" s="366"/>
      <c r="R1810" s="355"/>
      <c r="S1810" s="369"/>
      <c r="T1810" s="324"/>
      <c r="U1810" s="85" ph="1"/>
      <c r="W1810" s="216"/>
      <c r="X1810" s="245"/>
      <c r="Y1810" s="187"/>
      <c r="Z1810" s="245"/>
      <c r="AA1810" s="245"/>
      <c r="AB1810" s="332"/>
      <c r="AD1810" s="245"/>
      <c r="AE1810" s="245"/>
      <c r="AF1810" s="245"/>
      <c r="AG1810" s="245"/>
    </row>
    <row r="1811" spans="1:33" ht="26.4">
      <c r="A1811" s="246"/>
      <c r="B1811" s="245"/>
      <c r="C1811" s="245"/>
      <c r="D1811" s="245"/>
      <c r="E1811" s="245"/>
      <c r="F1811" s="187"/>
      <c r="G1811" s="245"/>
      <c r="H1811" s="245"/>
      <c r="I1811" s="245"/>
      <c r="P1811" s="366"/>
      <c r="R1811" s="355"/>
      <c r="S1811" s="369"/>
      <c r="T1811" s="324"/>
      <c r="U1811" s="85" ph="1"/>
      <c r="W1811" s="216"/>
      <c r="X1811" s="245"/>
      <c r="Y1811" s="187"/>
      <c r="Z1811" s="245"/>
      <c r="AA1811" s="245"/>
      <c r="AB1811" s="332"/>
      <c r="AD1811" s="245"/>
      <c r="AE1811" s="245"/>
      <c r="AF1811" s="245"/>
      <c r="AG1811" s="245"/>
    </row>
    <row r="1812" spans="1:33" ht="26.4">
      <c r="A1812" s="246"/>
      <c r="B1812" s="245"/>
      <c r="C1812" s="245"/>
      <c r="D1812" s="245"/>
      <c r="E1812" s="245"/>
      <c r="F1812" s="187"/>
      <c r="G1812" s="245"/>
      <c r="H1812" s="245"/>
      <c r="I1812" s="245"/>
      <c r="P1812" s="366"/>
      <c r="R1812" s="355"/>
      <c r="S1812" s="369"/>
      <c r="T1812" s="324"/>
      <c r="U1812" s="85" ph="1"/>
      <c r="W1812" s="216"/>
      <c r="X1812" s="245"/>
      <c r="Y1812" s="187"/>
      <c r="Z1812" s="245"/>
      <c r="AA1812" s="245"/>
      <c r="AB1812" s="332"/>
      <c r="AD1812" s="245"/>
      <c r="AE1812" s="245"/>
      <c r="AF1812" s="245"/>
      <c r="AG1812" s="245"/>
    </row>
    <row r="1813" spans="1:33" ht="26.4">
      <c r="A1813" s="246"/>
      <c r="B1813" s="245"/>
      <c r="C1813" s="245"/>
      <c r="D1813" s="245"/>
      <c r="E1813" s="245"/>
      <c r="F1813" s="187"/>
      <c r="G1813" s="245"/>
      <c r="H1813" s="245"/>
      <c r="I1813" s="245"/>
      <c r="P1813" s="366"/>
      <c r="R1813" s="355"/>
      <c r="S1813" s="369"/>
      <c r="T1813" s="324"/>
      <c r="U1813" s="85" ph="1"/>
      <c r="W1813" s="216"/>
      <c r="X1813" s="245"/>
      <c r="Y1813" s="187"/>
      <c r="Z1813" s="245"/>
      <c r="AA1813" s="245"/>
      <c r="AB1813" s="332"/>
      <c r="AD1813" s="245"/>
      <c r="AE1813" s="245"/>
      <c r="AF1813" s="245"/>
      <c r="AG1813" s="245"/>
    </row>
    <row r="1814" spans="1:33" ht="26.4">
      <c r="A1814" s="246"/>
      <c r="B1814" s="245"/>
      <c r="C1814" s="245"/>
      <c r="D1814" s="245"/>
      <c r="E1814" s="245"/>
      <c r="F1814" s="187"/>
      <c r="G1814" s="245"/>
      <c r="H1814" s="245"/>
      <c r="I1814" s="245"/>
      <c r="P1814" s="366"/>
      <c r="R1814" s="355"/>
      <c r="S1814" s="369"/>
      <c r="T1814" s="324"/>
      <c r="U1814" s="85" ph="1"/>
      <c r="W1814" s="216"/>
      <c r="X1814" s="245"/>
      <c r="Y1814" s="187"/>
      <c r="Z1814" s="245"/>
      <c r="AA1814" s="245"/>
      <c r="AB1814" s="332"/>
      <c r="AD1814" s="245"/>
      <c r="AE1814" s="245"/>
      <c r="AF1814" s="245"/>
      <c r="AG1814" s="245"/>
    </row>
    <row r="1815" spans="1:33" ht="26.4">
      <c r="A1815" s="246"/>
      <c r="B1815" s="245"/>
      <c r="C1815" s="245"/>
      <c r="D1815" s="245"/>
      <c r="E1815" s="245"/>
      <c r="F1815" s="187"/>
      <c r="G1815" s="245"/>
      <c r="H1815" s="245"/>
      <c r="I1815" s="245"/>
      <c r="P1815" s="366"/>
      <c r="R1815" s="355"/>
      <c r="S1815" s="369"/>
      <c r="T1815" s="324"/>
      <c r="U1815" s="85" ph="1"/>
      <c r="W1815" s="216"/>
      <c r="X1815" s="245"/>
      <c r="Y1815" s="187"/>
      <c r="Z1815" s="245"/>
      <c r="AA1815" s="245"/>
      <c r="AB1815" s="332"/>
      <c r="AD1815" s="245"/>
      <c r="AE1815" s="245"/>
      <c r="AF1815" s="245"/>
      <c r="AG1815" s="245"/>
    </row>
    <row r="1816" spans="1:33" ht="26.4">
      <c r="A1816" s="246"/>
      <c r="B1816" s="245"/>
      <c r="C1816" s="245"/>
      <c r="D1816" s="245"/>
      <c r="E1816" s="245"/>
      <c r="F1816" s="187"/>
      <c r="G1816" s="245"/>
      <c r="H1816" s="245"/>
      <c r="I1816" s="245"/>
      <c r="P1816" s="366"/>
      <c r="R1816" s="355"/>
      <c r="S1816" s="369"/>
      <c r="T1816" s="324"/>
      <c r="U1816" s="85" ph="1"/>
      <c r="W1816" s="216"/>
      <c r="X1816" s="245"/>
      <c r="Y1816" s="187"/>
      <c r="Z1816" s="245"/>
      <c r="AA1816" s="245"/>
      <c r="AB1816" s="332"/>
      <c r="AD1816" s="245"/>
      <c r="AE1816" s="245"/>
      <c r="AF1816" s="245"/>
      <c r="AG1816" s="245"/>
    </row>
    <row r="1817" spans="1:33" ht="26.4">
      <c r="A1817" s="246"/>
      <c r="B1817" s="245"/>
      <c r="C1817" s="245"/>
      <c r="D1817" s="245"/>
      <c r="E1817" s="245"/>
      <c r="F1817" s="187"/>
      <c r="G1817" s="245"/>
      <c r="H1817" s="245"/>
      <c r="I1817" s="245"/>
      <c r="P1817" s="366"/>
      <c r="R1817" s="355"/>
      <c r="S1817" s="369"/>
      <c r="T1817" s="324"/>
      <c r="U1817" s="85" ph="1"/>
      <c r="W1817" s="216"/>
      <c r="X1817" s="245"/>
      <c r="Y1817" s="187"/>
      <c r="Z1817" s="245"/>
      <c r="AA1817" s="245"/>
      <c r="AB1817" s="332"/>
      <c r="AD1817" s="245"/>
      <c r="AE1817" s="245"/>
      <c r="AF1817" s="245"/>
      <c r="AG1817" s="245"/>
    </row>
    <row r="1818" spans="1:33" ht="26.4">
      <c r="A1818" s="246"/>
      <c r="B1818" s="245"/>
      <c r="C1818" s="245"/>
      <c r="D1818" s="245"/>
      <c r="E1818" s="245"/>
      <c r="F1818" s="187"/>
      <c r="G1818" s="245"/>
      <c r="H1818" s="245"/>
      <c r="I1818" s="245"/>
      <c r="P1818" s="366"/>
      <c r="R1818" s="355"/>
      <c r="S1818" s="369"/>
      <c r="T1818" s="324"/>
      <c r="U1818" s="85" ph="1"/>
      <c r="W1818" s="216"/>
      <c r="X1818" s="245"/>
      <c r="Y1818" s="187"/>
      <c r="Z1818" s="245"/>
      <c r="AA1818" s="245"/>
      <c r="AB1818" s="332"/>
      <c r="AD1818" s="245"/>
      <c r="AE1818" s="245"/>
      <c r="AF1818" s="245"/>
      <c r="AG1818" s="245"/>
    </row>
    <row r="1819" spans="1:33" ht="26.4">
      <c r="A1819" s="246"/>
      <c r="B1819" s="245"/>
      <c r="C1819" s="245"/>
      <c r="D1819" s="245"/>
      <c r="E1819" s="245"/>
      <c r="F1819" s="187"/>
      <c r="G1819" s="245"/>
      <c r="H1819" s="245"/>
      <c r="I1819" s="245"/>
      <c r="P1819" s="366"/>
      <c r="R1819" s="355"/>
      <c r="S1819" s="369"/>
      <c r="T1819" s="324"/>
      <c r="U1819" s="85" ph="1"/>
      <c r="W1819" s="216"/>
      <c r="X1819" s="245"/>
      <c r="Y1819" s="187"/>
      <c r="Z1819" s="245"/>
      <c r="AA1819" s="245"/>
      <c r="AB1819" s="332"/>
      <c r="AD1819" s="245"/>
      <c r="AE1819" s="245"/>
      <c r="AF1819" s="245"/>
      <c r="AG1819" s="245"/>
    </row>
    <row r="1820" spans="1:33" ht="26.4">
      <c r="A1820" s="246"/>
      <c r="B1820" s="245"/>
      <c r="C1820" s="245"/>
      <c r="D1820" s="245"/>
      <c r="E1820" s="245"/>
      <c r="F1820" s="187"/>
      <c r="G1820" s="245"/>
      <c r="H1820" s="245"/>
      <c r="I1820" s="245"/>
      <c r="P1820" s="366"/>
      <c r="R1820" s="355"/>
      <c r="S1820" s="369"/>
      <c r="T1820" s="324"/>
      <c r="U1820" s="85" ph="1"/>
      <c r="W1820" s="216"/>
      <c r="X1820" s="245"/>
      <c r="Y1820" s="187"/>
      <c r="Z1820" s="245"/>
      <c r="AA1820" s="245"/>
      <c r="AB1820" s="332"/>
      <c r="AD1820" s="245"/>
      <c r="AE1820" s="245"/>
      <c r="AF1820" s="245"/>
      <c r="AG1820" s="245"/>
    </row>
    <row r="1821" spans="1:33" ht="26.4">
      <c r="A1821" s="246"/>
      <c r="B1821" s="245"/>
      <c r="C1821" s="245"/>
      <c r="D1821" s="245"/>
      <c r="E1821" s="245"/>
      <c r="F1821" s="187"/>
      <c r="G1821" s="245"/>
      <c r="H1821" s="245"/>
      <c r="I1821" s="245"/>
      <c r="P1821" s="366"/>
      <c r="R1821" s="355"/>
      <c r="S1821" s="369"/>
      <c r="T1821" s="324"/>
      <c r="U1821" s="85" ph="1"/>
      <c r="W1821" s="216"/>
      <c r="X1821" s="245"/>
      <c r="Y1821" s="187"/>
      <c r="Z1821" s="245"/>
      <c r="AA1821" s="245"/>
      <c r="AB1821" s="332"/>
      <c r="AD1821" s="245"/>
      <c r="AE1821" s="245"/>
      <c r="AF1821" s="245"/>
      <c r="AG1821" s="245"/>
    </row>
    <row r="1822" spans="1:33" ht="26.4">
      <c r="A1822" s="246"/>
      <c r="B1822" s="245"/>
      <c r="C1822" s="245"/>
      <c r="D1822" s="245"/>
      <c r="E1822" s="245"/>
      <c r="F1822" s="187"/>
      <c r="G1822" s="245"/>
      <c r="H1822" s="245"/>
      <c r="I1822" s="245"/>
      <c r="P1822" s="366"/>
      <c r="R1822" s="355"/>
      <c r="S1822" s="369"/>
      <c r="T1822" s="324"/>
      <c r="U1822" s="85" ph="1"/>
      <c r="W1822" s="216"/>
      <c r="X1822" s="245"/>
      <c r="Y1822" s="187"/>
      <c r="Z1822" s="245"/>
      <c r="AA1822" s="245"/>
      <c r="AB1822" s="332"/>
      <c r="AD1822" s="245"/>
      <c r="AE1822" s="245"/>
      <c r="AF1822" s="245"/>
      <c r="AG1822" s="245"/>
    </row>
    <row r="1823" spans="1:33" ht="26.4">
      <c r="A1823" s="246"/>
      <c r="B1823" s="245"/>
      <c r="C1823" s="245"/>
      <c r="D1823" s="245"/>
      <c r="E1823" s="245"/>
      <c r="F1823" s="187"/>
      <c r="G1823" s="245"/>
      <c r="H1823" s="245"/>
      <c r="I1823" s="245"/>
      <c r="P1823" s="366"/>
      <c r="R1823" s="355"/>
      <c r="S1823" s="369"/>
      <c r="T1823" s="324"/>
      <c r="U1823" s="85" ph="1"/>
      <c r="W1823" s="216"/>
      <c r="X1823" s="245"/>
      <c r="Y1823" s="187"/>
      <c r="Z1823" s="245"/>
      <c r="AA1823" s="245"/>
      <c r="AB1823" s="332"/>
      <c r="AD1823" s="245"/>
      <c r="AE1823" s="245"/>
      <c r="AF1823" s="245"/>
      <c r="AG1823" s="245"/>
    </row>
    <row r="1824" spans="1:33" ht="26.4">
      <c r="A1824" s="246"/>
      <c r="B1824" s="245"/>
      <c r="C1824" s="245"/>
      <c r="D1824" s="245"/>
      <c r="E1824" s="245"/>
      <c r="F1824" s="187"/>
      <c r="G1824" s="245"/>
      <c r="H1824" s="245"/>
      <c r="I1824" s="245"/>
      <c r="P1824" s="366"/>
      <c r="R1824" s="355"/>
      <c r="S1824" s="369"/>
      <c r="T1824" s="324"/>
      <c r="U1824" s="85" ph="1"/>
      <c r="W1824" s="216"/>
      <c r="X1824" s="245"/>
      <c r="Y1824" s="187"/>
      <c r="Z1824" s="245"/>
      <c r="AA1824" s="245"/>
      <c r="AB1824" s="332"/>
      <c r="AD1824" s="245"/>
      <c r="AE1824" s="245"/>
      <c r="AF1824" s="245"/>
      <c r="AG1824" s="245"/>
    </row>
    <row r="1825" spans="1:33" ht="26.4">
      <c r="A1825" s="246"/>
      <c r="B1825" s="245"/>
      <c r="C1825" s="245"/>
      <c r="D1825" s="245"/>
      <c r="E1825" s="245"/>
      <c r="F1825" s="187"/>
      <c r="G1825" s="245"/>
      <c r="H1825" s="245"/>
      <c r="I1825" s="245"/>
      <c r="P1825" s="366"/>
      <c r="R1825" s="355"/>
      <c r="S1825" s="369"/>
      <c r="T1825" s="324"/>
      <c r="U1825" s="85" ph="1"/>
      <c r="W1825" s="216"/>
      <c r="X1825" s="245"/>
      <c r="Y1825" s="187"/>
      <c r="Z1825" s="245"/>
      <c r="AA1825" s="245"/>
      <c r="AB1825" s="332"/>
      <c r="AD1825" s="245"/>
      <c r="AE1825" s="245"/>
      <c r="AF1825" s="245"/>
      <c r="AG1825" s="245"/>
    </row>
    <row r="1826" spans="1:33" ht="26.4">
      <c r="A1826" s="246"/>
      <c r="B1826" s="245"/>
      <c r="C1826" s="245"/>
      <c r="D1826" s="245"/>
      <c r="E1826" s="245"/>
      <c r="F1826" s="187"/>
      <c r="G1826" s="245"/>
      <c r="H1826" s="245"/>
      <c r="I1826" s="245"/>
      <c r="P1826" s="366"/>
      <c r="R1826" s="355"/>
      <c r="S1826" s="369"/>
      <c r="T1826" s="324"/>
      <c r="U1826" s="85" ph="1"/>
      <c r="W1826" s="216"/>
      <c r="X1826" s="245"/>
      <c r="Y1826" s="187"/>
      <c r="Z1826" s="245"/>
      <c r="AA1826" s="245"/>
      <c r="AB1826" s="332"/>
      <c r="AD1826" s="245"/>
      <c r="AE1826" s="245"/>
      <c r="AF1826" s="245"/>
      <c r="AG1826" s="245"/>
    </row>
    <row r="1827" spans="1:33" ht="26.4">
      <c r="A1827" s="246"/>
      <c r="B1827" s="245"/>
      <c r="C1827" s="245"/>
      <c r="D1827" s="245"/>
      <c r="E1827" s="245"/>
      <c r="F1827" s="187"/>
      <c r="G1827" s="245"/>
      <c r="H1827" s="245"/>
      <c r="I1827" s="245"/>
      <c r="P1827" s="366"/>
      <c r="R1827" s="355"/>
      <c r="S1827" s="369"/>
      <c r="T1827" s="324"/>
      <c r="U1827" s="85" ph="1"/>
      <c r="W1827" s="216"/>
      <c r="X1827" s="245"/>
      <c r="Y1827" s="187"/>
      <c r="Z1827" s="245"/>
      <c r="AA1827" s="245"/>
      <c r="AB1827" s="332"/>
      <c r="AD1827" s="245"/>
      <c r="AE1827" s="245"/>
      <c r="AF1827" s="245"/>
      <c r="AG1827" s="245"/>
    </row>
    <row r="1828" spans="1:33" ht="26.4">
      <c r="A1828" s="246"/>
      <c r="B1828" s="245"/>
      <c r="C1828" s="245"/>
      <c r="D1828" s="245"/>
      <c r="E1828" s="245"/>
      <c r="F1828" s="187"/>
      <c r="G1828" s="245"/>
      <c r="H1828" s="245"/>
      <c r="I1828" s="245"/>
      <c r="P1828" s="366"/>
      <c r="R1828" s="355"/>
      <c r="S1828" s="369"/>
      <c r="T1828" s="324"/>
      <c r="U1828" s="85" ph="1"/>
      <c r="W1828" s="216"/>
      <c r="X1828" s="245"/>
      <c r="Y1828" s="187"/>
      <c r="Z1828" s="245"/>
      <c r="AA1828" s="245"/>
      <c r="AB1828" s="332"/>
      <c r="AD1828" s="245"/>
      <c r="AE1828" s="245"/>
      <c r="AF1828" s="245"/>
      <c r="AG1828" s="245"/>
    </row>
    <row r="1829" spans="1:33" ht="26.4">
      <c r="A1829" s="246"/>
      <c r="B1829" s="245"/>
      <c r="C1829" s="245"/>
      <c r="D1829" s="245"/>
      <c r="E1829" s="245"/>
      <c r="F1829" s="187"/>
      <c r="G1829" s="245"/>
      <c r="H1829" s="245"/>
      <c r="I1829" s="245"/>
      <c r="P1829" s="366"/>
      <c r="R1829" s="355"/>
      <c r="S1829" s="369"/>
      <c r="T1829" s="324"/>
      <c r="U1829" s="85" ph="1"/>
      <c r="W1829" s="216"/>
      <c r="X1829" s="245"/>
      <c r="Y1829" s="187"/>
      <c r="Z1829" s="245"/>
      <c r="AA1829" s="245"/>
      <c r="AB1829" s="332"/>
      <c r="AD1829" s="245"/>
      <c r="AE1829" s="245"/>
      <c r="AF1829" s="245"/>
      <c r="AG1829" s="245"/>
    </row>
    <row r="1830" spans="1:33" ht="26.4">
      <c r="A1830" s="246"/>
      <c r="B1830" s="245"/>
      <c r="C1830" s="245"/>
      <c r="D1830" s="245"/>
      <c r="E1830" s="245"/>
      <c r="F1830" s="187"/>
      <c r="G1830" s="245"/>
      <c r="H1830" s="245"/>
      <c r="I1830" s="245"/>
      <c r="P1830" s="366"/>
      <c r="R1830" s="355"/>
      <c r="S1830" s="369"/>
      <c r="T1830" s="324"/>
      <c r="U1830" s="85" ph="1"/>
      <c r="W1830" s="216"/>
      <c r="X1830" s="245"/>
      <c r="Y1830" s="187"/>
      <c r="Z1830" s="245"/>
      <c r="AA1830" s="245"/>
      <c r="AB1830" s="332"/>
      <c r="AD1830" s="245"/>
      <c r="AE1830" s="245"/>
      <c r="AF1830" s="245"/>
      <c r="AG1830" s="245"/>
    </row>
    <row r="1831" spans="1:33" ht="26.4">
      <c r="A1831" s="246"/>
      <c r="B1831" s="245"/>
      <c r="C1831" s="245"/>
      <c r="D1831" s="245"/>
      <c r="E1831" s="245"/>
      <c r="F1831" s="187"/>
      <c r="G1831" s="245"/>
      <c r="H1831" s="245"/>
      <c r="I1831" s="245"/>
      <c r="P1831" s="366"/>
      <c r="R1831" s="355"/>
      <c r="S1831" s="369"/>
      <c r="T1831" s="324"/>
      <c r="U1831" s="85" ph="1"/>
      <c r="W1831" s="216"/>
      <c r="X1831" s="245"/>
      <c r="Y1831" s="187"/>
      <c r="Z1831" s="245"/>
      <c r="AA1831" s="245"/>
      <c r="AB1831" s="332"/>
      <c r="AD1831" s="245"/>
      <c r="AE1831" s="245"/>
      <c r="AF1831" s="245"/>
      <c r="AG1831" s="245"/>
    </row>
    <row r="1832" spans="1:33" ht="26.4">
      <c r="A1832" s="246"/>
      <c r="B1832" s="245"/>
      <c r="C1832" s="245"/>
      <c r="D1832" s="245"/>
      <c r="E1832" s="245"/>
      <c r="F1832" s="187"/>
      <c r="G1832" s="245"/>
      <c r="H1832" s="245"/>
      <c r="I1832" s="245"/>
      <c r="P1832" s="366"/>
      <c r="R1832" s="355"/>
      <c r="S1832" s="369"/>
      <c r="T1832" s="324"/>
      <c r="U1832" s="85" ph="1"/>
      <c r="W1832" s="216"/>
      <c r="X1832" s="245"/>
      <c r="Y1832" s="187"/>
      <c r="Z1832" s="245"/>
      <c r="AA1832" s="245"/>
      <c r="AB1832" s="332"/>
      <c r="AD1832" s="245"/>
      <c r="AE1832" s="245"/>
      <c r="AF1832" s="245"/>
      <c r="AG1832" s="245"/>
    </row>
    <row r="1833" spans="1:33" ht="26.4">
      <c r="A1833" s="246"/>
      <c r="B1833" s="245"/>
      <c r="C1833" s="245"/>
      <c r="D1833" s="245"/>
      <c r="E1833" s="245"/>
      <c r="F1833" s="187"/>
      <c r="G1833" s="245"/>
      <c r="H1833" s="245"/>
      <c r="I1833" s="245"/>
      <c r="P1833" s="366"/>
      <c r="R1833" s="355"/>
      <c r="S1833" s="369"/>
      <c r="T1833" s="324"/>
      <c r="U1833" s="85" ph="1"/>
      <c r="W1833" s="216"/>
      <c r="X1833" s="245"/>
      <c r="Y1833" s="187"/>
      <c r="Z1833" s="245"/>
      <c r="AA1833" s="245"/>
      <c r="AB1833" s="332"/>
      <c r="AD1833" s="245"/>
      <c r="AE1833" s="245"/>
      <c r="AF1833" s="245"/>
      <c r="AG1833" s="245"/>
    </row>
    <row r="1834" spans="1:33" ht="26.4">
      <c r="A1834" s="246"/>
      <c r="B1834" s="245"/>
      <c r="C1834" s="245"/>
      <c r="D1834" s="245"/>
      <c r="E1834" s="245"/>
      <c r="F1834" s="187"/>
      <c r="G1834" s="245"/>
      <c r="H1834" s="245"/>
      <c r="I1834" s="245"/>
      <c r="P1834" s="366"/>
      <c r="R1834" s="355"/>
      <c r="S1834" s="369"/>
      <c r="T1834" s="324"/>
      <c r="U1834" s="85" ph="1"/>
      <c r="W1834" s="216"/>
      <c r="X1834" s="245"/>
      <c r="Y1834" s="187"/>
      <c r="Z1834" s="245"/>
      <c r="AA1834" s="245"/>
      <c r="AB1834" s="332"/>
      <c r="AD1834" s="245"/>
      <c r="AE1834" s="245"/>
      <c r="AF1834" s="245"/>
      <c r="AG1834" s="245"/>
    </row>
    <row r="1835" spans="1:33" ht="26.4">
      <c r="A1835" s="246"/>
      <c r="B1835" s="245"/>
      <c r="C1835" s="245"/>
      <c r="D1835" s="245"/>
      <c r="E1835" s="245"/>
      <c r="F1835" s="187"/>
      <c r="G1835" s="245"/>
      <c r="H1835" s="245"/>
      <c r="I1835" s="245"/>
      <c r="P1835" s="366"/>
      <c r="R1835" s="355"/>
      <c r="S1835" s="369"/>
      <c r="T1835" s="324"/>
      <c r="U1835" s="85" ph="1"/>
      <c r="W1835" s="216"/>
      <c r="X1835" s="245"/>
      <c r="Y1835" s="187"/>
      <c r="Z1835" s="245"/>
      <c r="AA1835" s="245"/>
      <c r="AB1835" s="332"/>
      <c r="AD1835" s="245"/>
      <c r="AE1835" s="245"/>
      <c r="AF1835" s="245"/>
      <c r="AG1835" s="245"/>
    </row>
    <row r="1836" spans="1:33" ht="26.4">
      <c r="A1836" s="246"/>
      <c r="B1836" s="245"/>
      <c r="C1836" s="245"/>
      <c r="D1836" s="245"/>
      <c r="E1836" s="245"/>
      <c r="F1836" s="187"/>
      <c r="G1836" s="245"/>
      <c r="H1836" s="245"/>
      <c r="I1836" s="245"/>
      <c r="P1836" s="366"/>
      <c r="R1836" s="355"/>
      <c r="S1836" s="369"/>
      <c r="T1836" s="324"/>
      <c r="U1836" s="85" ph="1"/>
      <c r="W1836" s="216"/>
      <c r="X1836" s="245"/>
      <c r="Y1836" s="187"/>
      <c r="Z1836" s="245"/>
      <c r="AA1836" s="245"/>
      <c r="AB1836" s="332"/>
      <c r="AD1836" s="245"/>
      <c r="AE1836" s="245"/>
      <c r="AF1836" s="245"/>
      <c r="AG1836" s="245"/>
    </row>
    <row r="1837" spans="1:33" ht="26.4">
      <c r="A1837" s="246"/>
      <c r="B1837" s="245"/>
      <c r="C1837" s="245"/>
      <c r="D1837" s="245"/>
      <c r="E1837" s="245"/>
      <c r="F1837" s="187"/>
      <c r="G1837" s="245"/>
      <c r="H1837" s="245"/>
      <c r="I1837" s="245"/>
      <c r="P1837" s="366"/>
      <c r="R1837" s="355"/>
      <c r="S1837" s="369"/>
      <c r="T1837" s="324"/>
      <c r="U1837" s="85" ph="1"/>
      <c r="W1837" s="216"/>
      <c r="X1837" s="245"/>
      <c r="Y1837" s="187"/>
      <c r="Z1837" s="245"/>
      <c r="AA1837" s="245"/>
      <c r="AB1837" s="332"/>
      <c r="AD1837" s="245"/>
      <c r="AE1837" s="245"/>
      <c r="AF1837" s="245"/>
      <c r="AG1837" s="245"/>
    </row>
    <row r="1838" spans="1:33" ht="26.4">
      <c r="A1838" s="246"/>
      <c r="B1838" s="245"/>
      <c r="C1838" s="245"/>
      <c r="D1838" s="245"/>
      <c r="E1838" s="245"/>
      <c r="F1838" s="187"/>
      <c r="G1838" s="245"/>
      <c r="H1838" s="245"/>
      <c r="I1838" s="245"/>
      <c r="P1838" s="366"/>
      <c r="R1838" s="355"/>
      <c r="S1838" s="369"/>
      <c r="T1838" s="324"/>
      <c r="U1838" s="85" ph="1"/>
      <c r="W1838" s="216"/>
      <c r="X1838" s="245"/>
      <c r="Y1838" s="187"/>
      <c r="Z1838" s="245"/>
      <c r="AA1838" s="245"/>
      <c r="AB1838" s="332"/>
      <c r="AD1838" s="245"/>
      <c r="AE1838" s="245"/>
      <c r="AF1838" s="245"/>
      <c r="AG1838" s="245"/>
    </row>
    <row r="1839" spans="1:33" ht="26.4">
      <c r="A1839" s="246"/>
      <c r="B1839" s="245"/>
      <c r="C1839" s="245"/>
      <c r="D1839" s="245"/>
      <c r="E1839" s="245"/>
      <c r="F1839" s="187"/>
      <c r="G1839" s="245"/>
      <c r="H1839" s="245"/>
      <c r="I1839" s="245"/>
      <c r="P1839" s="366"/>
      <c r="R1839" s="355"/>
      <c r="S1839" s="369"/>
      <c r="T1839" s="324"/>
      <c r="U1839" s="85" ph="1"/>
      <c r="W1839" s="216"/>
      <c r="X1839" s="245"/>
      <c r="Y1839" s="187"/>
      <c r="Z1839" s="245"/>
      <c r="AA1839" s="245"/>
      <c r="AB1839" s="332"/>
      <c r="AD1839" s="245"/>
      <c r="AE1839" s="245"/>
      <c r="AF1839" s="245"/>
      <c r="AG1839" s="245"/>
    </row>
    <row r="1840" spans="1:33" ht="26.4">
      <c r="A1840" s="246"/>
      <c r="B1840" s="245"/>
      <c r="C1840" s="245"/>
      <c r="D1840" s="245"/>
      <c r="E1840" s="245"/>
      <c r="F1840" s="187"/>
      <c r="G1840" s="245"/>
      <c r="H1840" s="245"/>
      <c r="I1840" s="245"/>
      <c r="P1840" s="366"/>
      <c r="R1840" s="355"/>
      <c r="S1840" s="369"/>
      <c r="T1840" s="324"/>
      <c r="U1840" s="85" ph="1"/>
      <c r="W1840" s="216"/>
      <c r="X1840" s="245"/>
      <c r="Y1840" s="187"/>
      <c r="Z1840" s="245"/>
      <c r="AA1840" s="245"/>
      <c r="AB1840" s="332"/>
      <c r="AD1840" s="245"/>
      <c r="AE1840" s="245"/>
      <c r="AF1840" s="245"/>
      <c r="AG1840" s="245"/>
    </row>
    <row r="1841" spans="1:33" ht="26.4">
      <c r="A1841" s="246"/>
      <c r="B1841" s="245"/>
      <c r="C1841" s="245"/>
      <c r="D1841" s="245"/>
      <c r="E1841" s="245"/>
      <c r="F1841" s="187"/>
      <c r="G1841" s="245"/>
      <c r="H1841" s="245"/>
      <c r="I1841" s="245"/>
      <c r="P1841" s="366"/>
      <c r="R1841" s="355"/>
      <c r="S1841" s="369"/>
      <c r="T1841" s="324"/>
      <c r="U1841" s="85" ph="1"/>
      <c r="W1841" s="216"/>
      <c r="X1841" s="245"/>
      <c r="Y1841" s="187"/>
      <c r="Z1841" s="245"/>
      <c r="AA1841" s="245"/>
      <c r="AB1841" s="332"/>
      <c r="AD1841" s="245"/>
      <c r="AE1841" s="245"/>
      <c r="AF1841" s="245"/>
      <c r="AG1841" s="245"/>
    </row>
    <row r="1842" spans="1:33" ht="26.4">
      <c r="A1842" s="246"/>
      <c r="B1842" s="245"/>
      <c r="C1842" s="245"/>
      <c r="D1842" s="245"/>
      <c r="E1842" s="245"/>
      <c r="F1842" s="187"/>
      <c r="G1842" s="245"/>
      <c r="H1842" s="245"/>
      <c r="I1842" s="245"/>
      <c r="P1842" s="366"/>
      <c r="R1842" s="355"/>
      <c r="S1842" s="369"/>
      <c r="T1842" s="324"/>
      <c r="U1842" s="85" ph="1"/>
      <c r="W1842" s="216"/>
      <c r="X1842" s="245"/>
      <c r="Y1842" s="187"/>
      <c r="Z1842" s="245"/>
      <c r="AA1842" s="245"/>
      <c r="AB1842" s="332"/>
      <c r="AD1842" s="245"/>
      <c r="AE1842" s="245"/>
      <c r="AF1842" s="245"/>
      <c r="AG1842" s="245"/>
    </row>
    <row r="1843" spans="1:33" ht="26.4">
      <c r="A1843" s="246"/>
      <c r="B1843" s="245"/>
      <c r="C1843" s="245"/>
      <c r="D1843" s="245"/>
      <c r="E1843" s="245"/>
      <c r="F1843" s="187"/>
      <c r="G1843" s="245"/>
      <c r="H1843" s="245"/>
      <c r="I1843" s="245"/>
      <c r="P1843" s="366"/>
      <c r="R1843" s="355"/>
      <c r="S1843" s="369"/>
      <c r="T1843" s="324"/>
      <c r="U1843" s="85" ph="1"/>
      <c r="W1843" s="216"/>
      <c r="X1843" s="245"/>
      <c r="Y1843" s="187"/>
      <c r="Z1843" s="245"/>
      <c r="AA1843" s="245"/>
      <c r="AB1843" s="332"/>
      <c r="AD1843" s="245"/>
      <c r="AE1843" s="245"/>
      <c r="AF1843" s="245"/>
      <c r="AG1843" s="245"/>
    </row>
    <row r="1844" spans="1:33" ht="26.4">
      <c r="A1844" s="246"/>
      <c r="B1844" s="245"/>
      <c r="C1844" s="245"/>
      <c r="D1844" s="245"/>
      <c r="E1844" s="245"/>
      <c r="F1844" s="187"/>
      <c r="G1844" s="245"/>
      <c r="H1844" s="245"/>
      <c r="I1844" s="245"/>
      <c r="P1844" s="366"/>
      <c r="R1844" s="355"/>
      <c r="S1844" s="369"/>
      <c r="T1844" s="324"/>
      <c r="U1844" s="85" ph="1"/>
      <c r="W1844" s="216"/>
      <c r="X1844" s="245"/>
      <c r="Y1844" s="187"/>
      <c r="Z1844" s="245"/>
      <c r="AA1844" s="245"/>
      <c r="AB1844" s="332"/>
      <c r="AD1844" s="245"/>
      <c r="AE1844" s="245"/>
      <c r="AF1844" s="245"/>
      <c r="AG1844" s="245"/>
    </row>
    <row r="1845" spans="1:33" ht="26.4">
      <c r="A1845" s="246"/>
      <c r="B1845" s="245"/>
      <c r="C1845" s="245"/>
      <c r="D1845" s="245"/>
      <c r="E1845" s="245"/>
      <c r="F1845" s="187"/>
      <c r="G1845" s="245"/>
      <c r="H1845" s="245"/>
      <c r="I1845" s="245"/>
      <c r="P1845" s="366"/>
      <c r="R1845" s="355"/>
      <c r="S1845" s="369"/>
      <c r="T1845" s="324"/>
      <c r="U1845" s="85" ph="1"/>
      <c r="W1845" s="216"/>
      <c r="X1845" s="245"/>
      <c r="Y1845" s="187"/>
      <c r="Z1845" s="245"/>
      <c r="AA1845" s="245"/>
      <c r="AB1845" s="332"/>
      <c r="AD1845" s="245"/>
      <c r="AE1845" s="245"/>
      <c r="AF1845" s="245"/>
      <c r="AG1845" s="245"/>
    </row>
    <row r="1846" spans="1:33" ht="26.4">
      <c r="A1846" s="246"/>
      <c r="B1846" s="245"/>
      <c r="C1846" s="245"/>
      <c r="D1846" s="245"/>
      <c r="E1846" s="245"/>
      <c r="F1846" s="187"/>
      <c r="G1846" s="245"/>
      <c r="H1846" s="245"/>
      <c r="I1846" s="245"/>
      <c r="P1846" s="366"/>
      <c r="R1846" s="355"/>
      <c r="S1846" s="369"/>
      <c r="T1846" s="324"/>
      <c r="U1846" s="85" ph="1"/>
      <c r="W1846" s="216"/>
      <c r="X1846" s="245"/>
      <c r="Y1846" s="187"/>
      <c r="Z1846" s="245"/>
      <c r="AA1846" s="245"/>
      <c r="AB1846" s="332"/>
      <c r="AD1846" s="245"/>
      <c r="AE1846" s="245"/>
      <c r="AF1846" s="245"/>
      <c r="AG1846" s="245"/>
    </row>
    <row r="1847" spans="1:33" ht="26.4">
      <c r="A1847" s="246"/>
      <c r="B1847" s="245"/>
      <c r="C1847" s="245"/>
      <c r="D1847" s="245"/>
      <c r="E1847" s="245"/>
      <c r="F1847" s="187"/>
      <c r="G1847" s="245"/>
      <c r="H1847" s="245"/>
      <c r="I1847" s="245"/>
      <c r="P1847" s="366"/>
      <c r="R1847" s="355"/>
      <c r="S1847" s="369"/>
      <c r="T1847" s="324"/>
      <c r="U1847" s="85" ph="1"/>
      <c r="W1847" s="216"/>
      <c r="X1847" s="245"/>
      <c r="Y1847" s="187"/>
      <c r="Z1847" s="245"/>
      <c r="AA1847" s="245"/>
      <c r="AB1847" s="332"/>
      <c r="AD1847" s="245"/>
      <c r="AE1847" s="245"/>
      <c r="AF1847" s="245"/>
      <c r="AG1847" s="245"/>
    </row>
    <row r="1848" spans="1:33" ht="26.4">
      <c r="A1848" s="246"/>
      <c r="B1848" s="245"/>
      <c r="C1848" s="245"/>
      <c r="D1848" s="245"/>
      <c r="E1848" s="245"/>
      <c r="F1848" s="187"/>
      <c r="G1848" s="245"/>
      <c r="H1848" s="245"/>
      <c r="I1848" s="245"/>
      <c r="P1848" s="366"/>
      <c r="R1848" s="355"/>
      <c r="S1848" s="369"/>
      <c r="T1848" s="324"/>
      <c r="U1848" s="85" ph="1"/>
      <c r="W1848" s="216"/>
      <c r="X1848" s="245"/>
      <c r="Y1848" s="187"/>
      <c r="Z1848" s="245"/>
      <c r="AA1848" s="245"/>
      <c r="AB1848" s="332"/>
      <c r="AD1848" s="245"/>
      <c r="AE1848" s="245"/>
      <c r="AF1848" s="245"/>
      <c r="AG1848" s="245"/>
    </row>
    <row r="1849" spans="1:33" ht="26.4">
      <c r="A1849" s="246"/>
      <c r="B1849" s="245"/>
      <c r="C1849" s="245"/>
      <c r="D1849" s="245"/>
      <c r="E1849" s="245"/>
      <c r="F1849" s="187"/>
      <c r="G1849" s="245"/>
      <c r="H1849" s="245"/>
      <c r="I1849" s="245"/>
      <c r="P1849" s="366"/>
      <c r="R1849" s="355"/>
      <c r="S1849" s="369"/>
      <c r="T1849" s="324"/>
      <c r="U1849" s="85" ph="1"/>
      <c r="W1849" s="216"/>
      <c r="X1849" s="245"/>
      <c r="Y1849" s="187"/>
      <c r="Z1849" s="245"/>
      <c r="AA1849" s="245"/>
      <c r="AB1849" s="332"/>
      <c r="AD1849" s="245"/>
      <c r="AE1849" s="245"/>
      <c r="AF1849" s="245"/>
      <c r="AG1849" s="245"/>
    </row>
    <row r="1850" spans="1:33" ht="26.4">
      <c r="A1850" s="246"/>
      <c r="B1850" s="245"/>
      <c r="C1850" s="245"/>
      <c r="D1850" s="245"/>
      <c r="E1850" s="245"/>
      <c r="F1850" s="187"/>
      <c r="G1850" s="245"/>
      <c r="H1850" s="245"/>
      <c r="I1850" s="245"/>
      <c r="P1850" s="366"/>
      <c r="R1850" s="355"/>
      <c r="S1850" s="369"/>
      <c r="T1850" s="324"/>
      <c r="U1850" s="85" ph="1"/>
      <c r="W1850" s="216"/>
      <c r="X1850" s="245"/>
      <c r="Y1850" s="187"/>
      <c r="Z1850" s="245"/>
      <c r="AA1850" s="245"/>
      <c r="AB1850" s="332"/>
      <c r="AD1850" s="245"/>
      <c r="AE1850" s="245"/>
      <c r="AF1850" s="245"/>
      <c r="AG1850" s="245"/>
    </row>
    <row r="1851" spans="1:33" ht="26.4">
      <c r="A1851" s="246"/>
      <c r="B1851" s="245"/>
      <c r="C1851" s="245"/>
      <c r="D1851" s="245"/>
      <c r="E1851" s="245"/>
      <c r="F1851" s="187"/>
      <c r="G1851" s="245"/>
      <c r="H1851" s="245"/>
      <c r="I1851" s="245"/>
      <c r="P1851" s="366"/>
      <c r="R1851" s="355"/>
      <c r="S1851" s="369"/>
      <c r="T1851" s="324"/>
      <c r="U1851" s="85" ph="1"/>
      <c r="W1851" s="216"/>
      <c r="X1851" s="245"/>
      <c r="Y1851" s="187"/>
      <c r="Z1851" s="245"/>
      <c r="AA1851" s="245"/>
      <c r="AB1851" s="332"/>
      <c r="AD1851" s="245"/>
      <c r="AE1851" s="245"/>
      <c r="AF1851" s="245"/>
      <c r="AG1851" s="245"/>
    </row>
    <row r="1852" spans="1:33" ht="26.4">
      <c r="A1852" s="246"/>
      <c r="B1852" s="245"/>
      <c r="C1852" s="245"/>
      <c r="D1852" s="245"/>
      <c r="E1852" s="245"/>
      <c r="F1852" s="187"/>
      <c r="G1852" s="245"/>
      <c r="H1852" s="245"/>
      <c r="I1852" s="245"/>
      <c r="P1852" s="366"/>
      <c r="R1852" s="355"/>
      <c r="S1852" s="369"/>
      <c r="T1852" s="324"/>
      <c r="U1852" s="85" ph="1"/>
      <c r="W1852" s="216"/>
      <c r="X1852" s="245"/>
      <c r="Y1852" s="187"/>
      <c r="Z1852" s="245"/>
      <c r="AA1852" s="245"/>
      <c r="AB1852" s="332"/>
      <c r="AD1852" s="245"/>
      <c r="AE1852" s="245"/>
      <c r="AF1852" s="245"/>
      <c r="AG1852" s="245"/>
    </row>
    <row r="1853" spans="1:33" ht="26.4">
      <c r="A1853" s="246"/>
      <c r="B1853" s="245"/>
      <c r="C1853" s="245"/>
      <c r="D1853" s="245"/>
      <c r="E1853" s="245"/>
      <c r="F1853" s="187"/>
      <c r="G1853" s="245"/>
      <c r="H1853" s="245"/>
      <c r="I1853" s="245"/>
      <c r="P1853" s="366"/>
      <c r="R1853" s="355"/>
      <c r="S1853" s="369"/>
      <c r="T1853" s="324"/>
      <c r="U1853" s="85" ph="1"/>
      <c r="W1853" s="216"/>
      <c r="X1853" s="245"/>
      <c r="Y1853" s="187"/>
      <c r="Z1853" s="245"/>
      <c r="AA1853" s="245"/>
      <c r="AB1853" s="332"/>
      <c r="AD1853" s="245"/>
      <c r="AE1853" s="245"/>
      <c r="AF1853" s="245"/>
      <c r="AG1853" s="245"/>
    </row>
    <row r="1854" spans="1:33" ht="26.4">
      <c r="A1854" s="246"/>
      <c r="B1854" s="245"/>
      <c r="C1854" s="245"/>
      <c r="D1854" s="245"/>
      <c r="E1854" s="245"/>
      <c r="F1854" s="187"/>
      <c r="G1854" s="245"/>
      <c r="H1854" s="245"/>
      <c r="I1854" s="245"/>
      <c r="P1854" s="366"/>
      <c r="R1854" s="355"/>
      <c r="S1854" s="369"/>
      <c r="T1854" s="324"/>
      <c r="U1854" s="85" ph="1"/>
      <c r="W1854" s="216"/>
      <c r="X1854" s="245"/>
      <c r="Y1854" s="187"/>
      <c r="Z1854" s="245"/>
      <c r="AA1854" s="245"/>
      <c r="AB1854" s="332"/>
      <c r="AD1854" s="245"/>
      <c r="AE1854" s="245"/>
      <c r="AF1854" s="245"/>
      <c r="AG1854" s="245"/>
    </row>
    <row r="1855" spans="1:33" ht="26.4">
      <c r="A1855" s="246"/>
      <c r="B1855" s="245"/>
      <c r="C1855" s="245"/>
      <c r="D1855" s="245"/>
      <c r="E1855" s="245"/>
      <c r="F1855" s="187"/>
      <c r="G1855" s="245"/>
      <c r="H1855" s="245"/>
      <c r="I1855" s="245"/>
      <c r="P1855" s="366"/>
      <c r="R1855" s="355"/>
      <c r="S1855" s="369"/>
      <c r="T1855" s="324"/>
      <c r="U1855" s="85" ph="1"/>
      <c r="W1855" s="216"/>
      <c r="X1855" s="245"/>
      <c r="Y1855" s="187"/>
      <c r="Z1855" s="245"/>
      <c r="AA1855" s="245"/>
      <c r="AB1855" s="332"/>
      <c r="AD1855" s="245"/>
      <c r="AE1855" s="245"/>
      <c r="AF1855" s="245"/>
      <c r="AG1855" s="245"/>
    </row>
    <row r="1856" spans="1:33" ht="26.4">
      <c r="A1856" s="246"/>
      <c r="B1856" s="245"/>
      <c r="C1856" s="245"/>
      <c r="D1856" s="245"/>
      <c r="E1856" s="245"/>
      <c r="F1856" s="187"/>
      <c r="G1856" s="245"/>
      <c r="H1856" s="245"/>
      <c r="I1856" s="245"/>
      <c r="P1856" s="366"/>
      <c r="R1856" s="355"/>
      <c r="S1856" s="369"/>
      <c r="T1856" s="324"/>
      <c r="U1856" s="85" ph="1"/>
      <c r="W1856" s="216"/>
      <c r="X1856" s="245"/>
      <c r="Y1856" s="187"/>
      <c r="Z1856" s="245"/>
      <c r="AA1856" s="245"/>
      <c r="AB1856" s="332"/>
      <c r="AD1856" s="245"/>
      <c r="AE1856" s="245"/>
      <c r="AF1856" s="245"/>
      <c r="AG1856" s="245"/>
    </row>
    <row r="1857" spans="1:33" ht="26.4">
      <c r="A1857" s="246"/>
      <c r="B1857" s="245"/>
      <c r="C1857" s="245"/>
      <c r="D1857" s="245"/>
      <c r="E1857" s="245"/>
      <c r="F1857" s="187"/>
      <c r="G1857" s="245"/>
      <c r="H1857" s="245"/>
      <c r="I1857" s="245"/>
      <c r="P1857" s="366"/>
      <c r="R1857" s="355"/>
      <c r="S1857" s="369"/>
      <c r="T1857" s="324"/>
      <c r="U1857" s="85" ph="1"/>
      <c r="W1857" s="216"/>
      <c r="X1857" s="245"/>
      <c r="Y1857" s="187"/>
      <c r="Z1857" s="245"/>
      <c r="AA1857" s="245"/>
      <c r="AB1857" s="332"/>
      <c r="AD1857" s="245"/>
      <c r="AE1857" s="245"/>
      <c r="AF1857" s="245"/>
      <c r="AG1857" s="245"/>
    </row>
    <row r="1858" spans="1:33" ht="26.4">
      <c r="A1858" s="246"/>
      <c r="B1858" s="245"/>
      <c r="C1858" s="245"/>
      <c r="D1858" s="245"/>
      <c r="E1858" s="245"/>
      <c r="F1858" s="187"/>
      <c r="G1858" s="245"/>
      <c r="H1858" s="245"/>
      <c r="I1858" s="245"/>
      <c r="P1858" s="366"/>
      <c r="R1858" s="355"/>
      <c r="S1858" s="369"/>
      <c r="T1858" s="324"/>
      <c r="U1858" s="85" ph="1"/>
      <c r="W1858" s="216"/>
      <c r="X1858" s="245"/>
      <c r="Y1858" s="187"/>
      <c r="Z1858" s="245"/>
      <c r="AA1858" s="245"/>
      <c r="AB1858" s="332"/>
      <c r="AD1858" s="245"/>
      <c r="AE1858" s="245"/>
      <c r="AF1858" s="245"/>
      <c r="AG1858" s="245"/>
    </row>
    <row r="1859" spans="1:33" ht="26.4">
      <c r="A1859" s="246"/>
      <c r="B1859" s="245"/>
      <c r="C1859" s="245"/>
      <c r="D1859" s="245"/>
      <c r="E1859" s="245"/>
      <c r="F1859" s="187"/>
      <c r="G1859" s="245"/>
      <c r="H1859" s="245"/>
      <c r="I1859" s="245"/>
      <c r="P1859" s="366"/>
      <c r="R1859" s="355"/>
      <c r="S1859" s="369"/>
      <c r="T1859" s="324"/>
      <c r="U1859" s="85" ph="1"/>
      <c r="W1859" s="216"/>
      <c r="X1859" s="245"/>
      <c r="Y1859" s="187"/>
      <c r="Z1859" s="245"/>
      <c r="AA1859" s="245"/>
      <c r="AB1859" s="332"/>
      <c r="AD1859" s="245"/>
      <c r="AE1859" s="245"/>
      <c r="AF1859" s="245"/>
      <c r="AG1859" s="245"/>
    </row>
    <row r="1860" spans="1:33" ht="26.4">
      <c r="A1860" s="246"/>
      <c r="B1860" s="245"/>
      <c r="C1860" s="245"/>
      <c r="D1860" s="245"/>
      <c r="E1860" s="245"/>
      <c r="F1860" s="187"/>
      <c r="G1860" s="245"/>
      <c r="H1860" s="245"/>
      <c r="I1860" s="245"/>
      <c r="P1860" s="366"/>
      <c r="R1860" s="355"/>
      <c r="S1860" s="369"/>
      <c r="T1860" s="324"/>
      <c r="U1860" s="85" ph="1"/>
      <c r="W1860" s="216"/>
      <c r="X1860" s="245"/>
      <c r="Y1860" s="187"/>
      <c r="Z1860" s="245"/>
      <c r="AA1860" s="245"/>
      <c r="AB1860" s="332"/>
      <c r="AD1860" s="245"/>
      <c r="AE1860" s="245"/>
      <c r="AF1860" s="245"/>
      <c r="AG1860" s="245"/>
    </row>
    <row r="1861" spans="1:33" ht="26.4">
      <c r="A1861" s="246"/>
      <c r="B1861" s="245"/>
      <c r="C1861" s="245"/>
      <c r="D1861" s="245"/>
      <c r="E1861" s="245"/>
      <c r="F1861" s="187"/>
      <c r="G1861" s="245"/>
      <c r="H1861" s="245"/>
      <c r="I1861" s="245"/>
      <c r="P1861" s="366"/>
      <c r="R1861" s="355"/>
      <c r="S1861" s="369"/>
      <c r="T1861" s="324"/>
      <c r="U1861" s="85" ph="1"/>
      <c r="W1861" s="216"/>
      <c r="X1861" s="245"/>
      <c r="Y1861" s="187"/>
      <c r="Z1861" s="245"/>
      <c r="AA1861" s="245"/>
      <c r="AB1861" s="332"/>
      <c r="AD1861" s="245"/>
      <c r="AE1861" s="245"/>
      <c r="AF1861" s="245"/>
      <c r="AG1861" s="245"/>
    </row>
    <row r="1862" spans="1:33" ht="26.4">
      <c r="A1862" s="246"/>
      <c r="B1862" s="245"/>
      <c r="C1862" s="245"/>
      <c r="D1862" s="245"/>
      <c r="E1862" s="245"/>
      <c r="F1862" s="187"/>
      <c r="G1862" s="245"/>
      <c r="H1862" s="245"/>
      <c r="I1862" s="245"/>
      <c r="P1862" s="366"/>
      <c r="R1862" s="355"/>
      <c r="S1862" s="369"/>
      <c r="T1862" s="324"/>
      <c r="U1862" s="85" ph="1"/>
      <c r="W1862" s="216"/>
      <c r="X1862" s="245"/>
      <c r="Y1862" s="187"/>
      <c r="Z1862" s="245"/>
      <c r="AA1862" s="245"/>
      <c r="AB1862" s="332"/>
      <c r="AD1862" s="245"/>
      <c r="AE1862" s="245"/>
      <c r="AF1862" s="245"/>
      <c r="AG1862" s="245"/>
    </row>
    <row r="1863" spans="1:33" ht="26.4">
      <c r="A1863" s="246"/>
      <c r="B1863" s="245"/>
      <c r="C1863" s="245"/>
      <c r="D1863" s="245"/>
      <c r="E1863" s="245"/>
      <c r="F1863" s="187"/>
      <c r="G1863" s="245"/>
      <c r="H1863" s="245"/>
      <c r="I1863" s="245"/>
      <c r="P1863" s="366"/>
      <c r="R1863" s="355"/>
      <c r="S1863" s="369"/>
      <c r="T1863" s="324"/>
      <c r="U1863" s="85" ph="1"/>
      <c r="W1863" s="216"/>
      <c r="X1863" s="245"/>
      <c r="Y1863" s="187"/>
      <c r="Z1863" s="245"/>
      <c r="AA1863" s="245"/>
      <c r="AB1863" s="332"/>
      <c r="AD1863" s="245"/>
      <c r="AE1863" s="245"/>
      <c r="AF1863" s="245"/>
      <c r="AG1863" s="245"/>
    </row>
    <row r="1864" spans="1:33" ht="26.4">
      <c r="A1864" s="246"/>
      <c r="B1864" s="245"/>
      <c r="C1864" s="245"/>
      <c r="D1864" s="245"/>
      <c r="E1864" s="245"/>
      <c r="F1864" s="187"/>
      <c r="G1864" s="245"/>
      <c r="H1864" s="245"/>
      <c r="I1864" s="245"/>
      <c r="P1864" s="366"/>
      <c r="R1864" s="355"/>
      <c r="S1864" s="369"/>
      <c r="T1864" s="324"/>
      <c r="U1864" s="85" ph="1"/>
      <c r="W1864" s="216"/>
      <c r="X1864" s="245"/>
      <c r="Y1864" s="187"/>
      <c r="Z1864" s="245"/>
      <c r="AA1864" s="245"/>
      <c r="AB1864" s="332"/>
      <c r="AD1864" s="245"/>
      <c r="AE1864" s="245"/>
      <c r="AF1864" s="245"/>
      <c r="AG1864" s="245"/>
    </row>
    <row r="1865" spans="1:33" ht="26.4">
      <c r="A1865" s="246"/>
      <c r="B1865" s="245"/>
      <c r="C1865" s="245"/>
      <c r="D1865" s="245"/>
      <c r="E1865" s="245"/>
      <c r="F1865" s="187"/>
      <c r="G1865" s="245"/>
      <c r="H1865" s="245"/>
      <c r="I1865" s="245"/>
      <c r="P1865" s="366"/>
      <c r="R1865" s="355"/>
      <c r="S1865" s="369"/>
      <c r="T1865" s="324"/>
      <c r="U1865" s="85" ph="1"/>
      <c r="W1865" s="216"/>
      <c r="X1865" s="245"/>
      <c r="Y1865" s="187"/>
      <c r="Z1865" s="245"/>
      <c r="AA1865" s="245"/>
      <c r="AB1865" s="332"/>
      <c r="AD1865" s="245"/>
      <c r="AE1865" s="245"/>
      <c r="AF1865" s="245"/>
      <c r="AG1865" s="245"/>
    </row>
    <row r="1866" spans="1:33" ht="26.4">
      <c r="A1866" s="246"/>
      <c r="B1866" s="245"/>
      <c r="C1866" s="245"/>
      <c r="D1866" s="245"/>
      <c r="E1866" s="245"/>
      <c r="F1866" s="187"/>
      <c r="G1866" s="245"/>
      <c r="H1866" s="245"/>
      <c r="I1866" s="245"/>
      <c r="P1866" s="366"/>
      <c r="R1866" s="355"/>
      <c r="S1866" s="369"/>
      <c r="T1866" s="324"/>
      <c r="U1866" s="85" ph="1"/>
      <c r="W1866" s="216"/>
      <c r="X1866" s="245"/>
      <c r="Y1866" s="187"/>
      <c r="Z1866" s="245"/>
      <c r="AA1866" s="245"/>
      <c r="AB1866" s="332"/>
      <c r="AD1866" s="245"/>
      <c r="AE1866" s="245"/>
      <c r="AF1866" s="245"/>
      <c r="AG1866" s="245"/>
    </row>
    <row r="1867" spans="1:33" ht="26.4">
      <c r="A1867" s="246"/>
      <c r="B1867" s="245"/>
      <c r="C1867" s="245"/>
      <c r="D1867" s="245"/>
      <c r="E1867" s="245"/>
      <c r="F1867" s="187"/>
      <c r="G1867" s="245"/>
      <c r="H1867" s="245"/>
      <c r="I1867" s="245"/>
      <c r="P1867" s="366"/>
      <c r="R1867" s="355"/>
      <c r="S1867" s="369"/>
      <c r="T1867" s="324"/>
      <c r="U1867" s="85" ph="1"/>
      <c r="W1867" s="216"/>
      <c r="X1867" s="245"/>
      <c r="Y1867" s="187"/>
      <c r="Z1867" s="245"/>
      <c r="AA1867" s="245"/>
      <c r="AB1867" s="332"/>
      <c r="AD1867" s="245"/>
      <c r="AE1867" s="245"/>
      <c r="AF1867" s="245"/>
      <c r="AG1867" s="245"/>
    </row>
    <row r="1868" spans="1:33" ht="26.4">
      <c r="A1868" s="246"/>
      <c r="B1868" s="245"/>
      <c r="C1868" s="245"/>
      <c r="D1868" s="245"/>
      <c r="E1868" s="245"/>
      <c r="F1868" s="187"/>
      <c r="G1868" s="245"/>
      <c r="H1868" s="245"/>
      <c r="I1868" s="245"/>
      <c r="P1868" s="366"/>
      <c r="R1868" s="355"/>
      <c r="S1868" s="369"/>
      <c r="T1868" s="324"/>
      <c r="U1868" s="85" ph="1"/>
      <c r="W1868" s="216"/>
      <c r="X1868" s="245"/>
      <c r="Y1868" s="187"/>
      <c r="Z1868" s="245"/>
      <c r="AA1868" s="245"/>
      <c r="AB1868" s="332"/>
      <c r="AD1868" s="245"/>
      <c r="AE1868" s="245"/>
      <c r="AF1868" s="245"/>
      <c r="AG1868" s="245"/>
    </row>
    <row r="1869" spans="1:33" ht="26.4">
      <c r="A1869" s="246"/>
      <c r="B1869" s="245"/>
      <c r="C1869" s="245"/>
      <c r="D1869" s="245"/>
      <c r="E1869" s="245"/>
      <c r="F1869" s="187"/>
      <c r="G1869" s="245"/>
      <c r="H1869" s="245"/>
      <c r="I1869" s="245"/>
      <c r="P1869" s="366"/>
      <c r="R1869" s="355"/>
      <c r="S1869" s="369"/>
      <c r="T1869" s="324"/>
      <c r="U1869" s="85" ph="1"/>
      <c r="W1869" s="216"/>
      <c r="X1869" s="245"/>
      <c r="Y1869" s="187"/>
      <c r="Z1869" s="245"/>
      <c r="AA1869" s="245"/>
      <c r="AB1869" s="332"/>
      <c r="AD1869" s="245"/>
      <c r="AE1869" s="245"/>
      <c r="AF1869" s="245"/>
      <c r="AG1869" s="245"/>
    </row>
    <row r="1870" spans="1:33" ht="26.4">
      <c r="A1870" s="246"/>
      <c r="B1870" s="245"/>
      <c r="C1870" s="245"/>
      <c r="D1870" s="245"/>
      <c r="E1870" s="245"/>
      <c r="F1870" s="187"/>
      <c r="G1870" s="245"/>
      <c r="H1870" s="245"/>
      <c r="I1870" s="245"/>
      <c r="P1870" s="366"/>
      <c r="R1870" s="355"/>
      <c r="S1870" s="369"/>
      <c r="T1870" s="324"/>
      <c r="U1870" s="85" ph="1"/>
      <c r="W1870" s="216"/>
      <c r="X1870" s="245"/>
      <c r="Y1870" s="187"/>
      <c r="Z1870" s="245"/>
      <c r="AA1870" s="245"/>
      <c r="AB1870" s="332"/>
      <c r="AD1870" s="245"/>
      <c r="AE1870" s="245"/>
      <c r="AF1870" s="245"/>
      <c r="AG1870" s="245"/>
    </row>
    <row r="1871" spans="1:33" ht="26.4">
      <c r="A1871" s="246"/>
      <c r="B1871" s="245"/>
      <c r="C1871" s="245"/>
      <c r="D1871" s="245"/>
      <c r="E1871" s="245"/>
      <c r="F1871" s="187"/>
      <c r="G1871" s="245"/>
      <c r="H1871" s="245"/>
      <c r="I1871" s="245"/>
      <c r="P1871" s="366"/>
      <c r="R1871" s="355"/>
      <c r="S1871" s="369"/>
      <c r="T1871" s="324"/>
      <c r="U1871" s="85" ph="1"/>
      <c r="W1871" s="216"/>
      <c r="X1871" s="245"/>
      <c r="Y1871" s="187"/>
      <c r="Z1871" s="245"/>
      <c r="AA1871" s="245"/>
      <c r="AB1871" s="332"/>
      <c r="AD1871" s="245"/>
      <c r="AE1871" s="245"/>
      <c r="AF1871" s="245"/>
      <c r="AG1871" s="245"/>
    </row>
    <row r="1872" spans="1:33" ht="26.4">
      <c r="A1872" s="246"/>
      <c r="B1872" s="245"/>
      <c r="C1872" s="245"/>
      <c r="D1872" s="245"/>
      <c r="E1872" s="245"/>
      <c r="F1872" s="187"/>
      <c r="G1872" s="245"/>
      <c r="H1872" s="245"/>
      <c r="I1872" s="245"/>
      <c r="P1872" s="366"/>
      <c r="R1872" s="355"/>
      <c r="S1872" s="369"/>
      <c r="T1872" s="324"/>
      <c r="U1872" s="85" ph="1"/>
      <c r="W1872" s="216"/>
      <c r="X1872" s="245"/>
      <c r="Y1872" s="187"/>
      <c r="Z1872" s="245"/>
      <c r="AA1872" s="245"/>
      <c r="AB1872" s="332"/>
      <c r="AD1872" s="245"/>
      <c r="AE1872" s="245"/>
      <c r="AF1872" s="245"/>
      <c r="AG1872" s="245"/>
    </row>
    <row r="1873" spans="1:33" ht="26.4">
      <c r="A1873" s="246"/>
      <c r="B1873" s="245"/>
      <c r="C1873" s="245"/>
      <c r="D1873" s="245"/>
      <c r="E1873" s="245"/>
      <c r="F1873" s="187"/>
      <c r="G1873" s="245"/>
      <c r="H1873" s="245"/>
      <c r="I1873" s="245"/>
      <c r="P1873" s="366"/>
      <c r="R1873" s="355"/>
      <c r="S1873" s="369"/>
      <c r="T1873" s="324"/>
      <c r="U1873" s="85" ph="1"/>
      <c r="W1873" s="216"/>
      <c r="X1873" s="245"/>
      <c r="Y1873" s="187"/>
      <c r="Z1873" s="245"/>
      <c r="AA1873" s="245"/>
      <c r="AB1873" s="332"/>
      <c r="AD1873" s="245"/>
      <c r="AE1873" s="245"/>
      <c r="AF1873" s="245"/>
      <c r="AG1873" s="245"/>
    </row>
    <row r="1874" spans="1:33" ht="26.4">
      <c r="A1874" s="246"/>
      <c r="B1874" s="245"/>
      <c r="C1874" s="245"/>
      <c r="D1874" s="245"/>
      <c r="E1874" s="245"/>
      <c r="F1874" s="187"/>
      <c r="G1874" s="245"/>
      <c r="H1874" s="245"/>
      <c r="I1874" s="245"/>
      <c r="P1874" s="366"/>
      <c r="R1874" s="355"/>
      <c r="S1874" s="369"/>
      <c r="T1874" s="324"/>
      <c r="U1874" s="85" ph="1"/>
      <c r="W1874" s="216"/>
      <c r="X1874" s="245"/>
      <c r="Y1874" s="187"/>
      <c r="Z1874" s="245"/>
      <c r="AA1874" s="245"/>
      <c r="AB1874" s="332"/>
      <c r="AD1874" s="245"/>
      <c r="AE1874" s="245"/>
      <c r="AF1874" s="245"/>
      <c r="AG1874" s="245"/>
    </row>
    <row r="1875" spans="1:33" ht="26.4">
      <c r="A1875" s="246"/>
      <c r="B1875" s="245"/>
      <c r="C1875" s="245"/>
      <c r="D1875" s="245"/>
      <c r="E1875" s="245"/>
      <c r="F1875" s="187"/>
      <c r="G1875" s="245"/>
      <c r="H1875" s="245"/>
      <c r="I1875" s="245"/>
      <c r="P1875" s="366"/>
      <c r="R1875" s="355"/>
      <c r="S1875" s="369"/>
      <c r="T1875" s="324"/>
      <c r="U1875" s="85" ph="1"/>
      <c r="W1875" s="216"/>
      <c r="X1875" s="245"/>
      <c r="Y1875" s="187"/>
      <c r="Z1875" s="245"/>
      <c r="AA1875" s="245"/>
      <c r="AB1875" s="332"/>
      <c r="AD1875" s="245"/>
      <c r="AE1875" s="245"/>
      <c r="AF1875" s="245"/>
      <c r="AG1875" s="245"/>
    </row>
    <row r="1876" spans="1:33" ht="26.4">
      <c r="A1876" s="246"/>
      <c r="B1876" s="245"/>
      <c r="C1876" s="245"/>
      <c r="D1876" s="245"/>
      <c r="E1876" s="245"/>
      <c r="F1876" s="187"/>
      <c r="G1876" s="245"/>
      <c r="H1876" s="245"/>
      <c r="I1876" s="245"/>
      <c r="P1876" s="366"/>
      <c r="R1876" s="355"/>
      <c r="S1876" s="369"/>
      <c r="T1876" s="324"/>
      <c r="U1876" s="85" ph="1"/>
      <c r="W1876" s="216"/>
      <c r="X1876" s="245"/>
      <c r="Y1876" s="187"/>
      <c r="Z1876" s="245"/>
      <c r="AA1876" s="245"/>
      <c r="AB1876" s="332"/>
      <c r="AD1876" s="245"/>
      <c r="AE1876" s="245"/>
      <c r="AF1876" s="245"/>
      <c r="AG1876" s="245"/>
    </row>
    <row r="1877" spans="1:33" ht="26.4">
      <c r="A1877" s="246"/>
      <c r="B1877" s="245"/>
      <c r="C1877" s="245"/>
      <c r="D1877" s="245"/>
      <c r="E1877" s="245"/>
      <c r="F1877" s="187"/>
      <c r="G1877" s="245"/>
      <c r="H1877" s="245"/>
      <c r="I1877" s="245"/>
      <c r="P1877" s="366"/>
      <c r="R1877" s="355"/>
      <c r="S1877" s="369"/>
      <c r="T1877" s="324"/>
      <c r="U1877" s="85" ph="1"/>
      <c r="W1877" s="216"/>
      <c r="X1877" s="245"/>
      <c r="Y1877" s="187"/>
      <c r="Z1877" s="245"/>
      <c r="AA1877" s="245"/>
      <c r="AB1877" s="332"/>
      <c r="AD1877" s="245"/>
      <c r="AE1877" s="245"/>
      <c r="AF1877" s="245"/>
      <c r="AG1877" s="245"/>
    </row>
    <row r="1878" spans="1:33" ht="26.4">
      <c r="A1878" s="246"/>
      <c r="B1878" s="245"/>
      <c r="C1878" s="245"/>
      <c r="D1878" s="245"/>
      <c r="E1878" s="245"/>
      <c r="F1878" s="187"/>
      <c r="G1878" s="245"/>
      <c r="H1878" s="245"/>
      <c r="I1878" s="245"/>
      <c r="P1878" s="366"/>
      <c r="R1878" s="355"/>
      <c r="S1878" s="369"/>
      <c r="T1878" s="324"/>
      <c r="U1878" s="85" ph="1"/>
      <c r="W1878" s="216"/>
      <c r="X1878" s="245"/>
      <c r="Y1878" s="187"/>
      <c r="Z1878" s="245"/>
      <c r="AA1878" s="245"/>
      <c r="AB1878" s="332"/>
      <c r="AD1878" s="245"/>
      <c r="AE1878" s="245"/>
      <c r="AF1878" s="245"/>
      <c r="AG1878" s="245"/>
    </row>
    <row r="1879" spans="1:33" ht="26.4">
      <c r="A1879" s="246"/>
      <c r="B1879" s="245"/>
      <c r="C1879" s="245"/>
      <c r="D1879" s="245"/>
      <c r="E1879" s="245"/>
      <c r="F1879" s="187"/>
      <c r="G1879" s="245"/>
      <c r="H1879" s="245"/>
      <c r="I1879" s="245"/>
      <c r="P1879" s="366"/>
      <c r="R1879" s="355"/>
      <c r="S1879" s="369"/>
      <c r="T1879" s="324"/>
      <c r="U1879" s="85" ph="1"/>
      <c r="W1879" s="216"/>
      <c r="X1879" s="245"/>
      <c r="Y1879" s="187"/>
      <c r="Z1879" s="245"/>
      <c r="AA1879" s="245"/>
      <c r="AB1879" s="332"/>
      <c r="AD1879" s="245"/>
      <c r="AE1879" s="245"/>
      <c r="AF1879" s="245"/>
      <c r="AG1879" s="245"/>
    </row>
    <row r="1880" spans="1:33" ht="26.4">
      <c r="A1880" s="246"/>
      <c r="B1880" s="245"/>
      <c r="C1880" s="245"/>
      <c r="D1880" s="245"/>
      <c r="E1880" s="245"/>
      <c r="F1880" s="187"/>
      <c r="G1880" s="245"/>
      <c r="H1880" s="245"/>
      <c r="I1880" s="245"/>
      <c r="P1880" s="366"/>
      <c r="R1880" s="355"/>
      <c r="S1880" s="369"/>
      <c r="T1880" s="324"/>
      <c r="U1880" s="85" ph="1"/>
      <c r="W1880" s="216"/>
      <c r="X1880" s="245"/>
      <c r="Y1880" s="187"/>
      <c r="Z1880" s="245"/>
      <c r="AA1880" s="245"/>
      <c r="AB1880" s="332"/>
      <c r="AD1880" s="245"/>
      <c r="AE1880" s="245"/>
      <c r="AF1880" s="245"/>
      <c r="AG1880" s="245"/>
    </row>
    <row r="1881" spans="1:33" ht="26.4">
      <c r="A1881" s="246"/>
      <c r="B1881" s="245"/>
      <c r="C1881" s="245"/>
      <c r="D1881" s="245"/>
      <c r="E1881" s="245"/>
      <c r="F1881" s="187"/>
      <c r="G1881" s="245"/>
      <c r="H1881" s="245"/>
      <c r="I1881" s="245"/>
      <c r="P1881" s="366"/>
      <c r="R1881" s="355"/>
      <c r="S1881" s="369"/>
      <c r="T1881" s="324"/>
      <c r="U1881" s="85" ph="1"/>
      <c r="W1881" s="216"/>
      <c r="X1881" s="245"/>
      <c r="Y1881" s="187"/>
      <c r="Z1881" s="245"/>
      <c r="AA1881" s="245"/>
      <c r="AB1881" s="332"/>
      <c r="AD1881" s="245"/>
      <c r="AE1881" s="245"/>
      <c r="AF1881" s="245"/>
      <c r="AG1881" s="245"/>
    </row>
    <row r="1882" spans="1:33" ht="26.4">
      <c r="A1882" s="246"/>
      <c r="B1882" s="245"/>
      <c r="C1882" s="245"/>
      <c r="D1882" s="245"/>
      <c r="E1882" s="245"/>
      <c r="F1882" s="187"/>
      <c r="G1882" s="245"/>
      <c r="H1882" s="245"/>
      <c r="I1882" s="245"/>
      <c r="P1882" s="366"/>
      <c r="R1882" s="355"/>
      <c r="S1882" s="369"/>
      <c r="T1882" s="324"/>
      <c r="U1882" s="85" ph="1"/>
      <c r="W1882" s="216"/>
      <c r="X1882" s="245"/>
      <c r="Y1882" s="187"/>
      <c r="Z1882" s="245"/>
      <c r="AA1882" s="245"/>
      <c r="AB1882" s="332"/>
      <c r="AD1882" s="245"/>
      <c r="AE1882" s="245"/>
      <c r="AF1882" s="245"/>
      <c r="AG1882" s="245"/>
    </row>
    <row r="1883" spans="1:33" ht="26.4">
      <c r="A1883" s="246"/>
      <c r="B1883" s="245"/>
      <c r="C1883" s="245"/>
      <c r="D1883" s="245"/>
      <c r="E1883" s="245"/>
      <c r="F1883" s="187"/>
      <c r="G1883" s="245"/>
      <c r="H1883" s="245"/>
      <c r="I1883" s="245"/>
      <c r="P1883" s="366"/>
      <c r="R1883" s="355"/>
      <c r="S1883" s="369"/>
      <c r="T1883" s="324"/>
      <c r="U1883" s="85" ph="1"/>
      <c r="W1883" s="216"/>
      <c r="X1883" s="245"/>
      <c r="Y1883" s="187"/>
      <c r="Z1883" s="245"/>
      <c r="AA1883" s="245"/>
      <c r="AB1883" s="332"/>
      <c r="AD1883" s="245"/>
      <c r="AE1883" s="245"/>
      <c r="AF1883" s="245"/>
      <c r="AG1883" s="245"/>
    </row>
    <row r="1884" spans="1:33" ht="26.4">
      <c r="A1884" s="246"/>
      <c r="B1884" s="245"/>
      <c r="C1884" s="245"/>
      <c r="D1884" s="245"/>
      <c r="E1884" s="245"/>
      <c r="F1884" s="187"/>
      <c r="G1884" s="245"/>
      <c r="H1884" s="245"/>
      <c r="I1884" s="245"/>
      <c r="P1884" s="366"/>
      <c r="R1884" s="355"/>
      <c r="S1884" s="369"/>
      <c r="T1884" s="324"/>
      <c r="U1884" s="85" ph="1"/>
      <c r="W1884" s="216"/>
      <c r="X1884" s="245"/>
      <c r="Y1884" s="187"/>
      <c r="Z1884" s="245"/>
      <c r="AA1884" s="245"/>
      <c r="AB1884" s="332"/>
      <c r="AD1884" s="245"/>
      <c r="AE1884" s="245"/>
      <c r="AF1884" s="245"/>
      <c r="AG1884" s="245"/>
    </row>
    <row r="1885" spans="1:33" ht="26.4">
      <c r="A1885" s="246"/>
      <c r="B1885" s="245"/>
      <c r="C1885" s="245"/>
      <c r="D1885" s="245"/>
      <c r="E1885" s="245"/>
      <c r="F1885" s="187"/>
      <c r="G1885" s="245"/>
      <c r="H1885" s="245"/>
      <c r="I1885" s="245"/>
      <c r="P1885" s="366"/>
      <c r="R1885" s="355"/>
      <c r="S1885" s="369"/>
      <c r="T1885" s="324"/>
      <c r="U1885" s="85" ph="1"/>
      <c r="W1885" s="216"/>
      <c r="X1885" s="245"/>
      <c r="Y1885" s="187"/>
      <c r="Z1885" s="245"/>
      <c r="AA1885" s="245"/>
      <c r="AB1885" s="332"/>
      <c r="AD1885" s="245"/>
      <c r="AE1885" s="245"/>
      <c r="AF1885" s="245"/>
      <c r="AG1885" s="245"/>
    </row>
    <row r="1886" spans="1:33" ht="26.4">
      <c r="A1886" s="246"/>
      <c r="B1886" s="245"/>
      <c r="C1886" s="245"/>
      <c r="D1886" s="245"/>
      <c r="E1886" s="245"/>
      <c r="F1886" s="187"/>
      <c r="G1886" s="245"/>
      <c r="H1886" s="245"/>
      <c r="I1886" s="245"/>
      <c r="P1886" s="366"/>
      <c r="R1886" s="355"/>
      <c r="S1886" s="369"/>
      <c r="T1886" s="324"/>
      <c r="U1886" s="85" ph="1"/>
      <c r="W1886" s="216"/>
      <c r="X1886" s="245"/>
      <c r="Y1886" s="187"/>
      <c r="Z1886" s="245"/>
      <c r="AA1886" s="245"/>
      <c r="AB1886" s="332"/>
      <c r="AD1886" s="245"/>
      <c r="AE1886" s="245"/>
      <c r="AF1886" s="245"/>
      <c r="AG1886" s="245"/>
    </row>
    <row r="1887" spans="1:33" ht="26.4">
      <c r="A1887" s="246"/>
      <c r="B1887" s="245"/>
      <c r="C1887" s="245"/>
      <c r="D1887" s="245"/>
      <c r="E1887" s="245"/>
      <c r="F1887" s="187"/>
      <c r="G1887" s="245"/>
      <c r="H1887" s="245"/>
      <c r="I1887" s="245"/>
      <c r="P1887" s="366"/>
      <c r="R1887" s="355"/>
      <c r="S1887" s="369"/>
      <c r="T1887" s="324"/>
      <c r="U1887" s="85" ph="1"/>
      <c r="W1887" s="216"/>
      <c r="X1887" s="245"/>
      <c r="Y1887" s="187"/>
      <c r="Z1887" s="245"/>
      <c r="AA1887" s="245"/>
      <c r="AB1887" s="332"/>
      <c r="AD1887" s="245"/>
      <c r="AE1887" s="245"/>
      <c r="AF1887" s="245"/>
      <c r="AG1887" s="245"/>
    </row>
    <row r="1888" spans="1:33" ht="26.4">
      <c r="A1888" s="246"/>
      <c r="B1888" s="245"/>
      <c r="C1888" s="245"/>
      <c r="D1888" s="245"/>
      <c r="E1888" s="245"/>
      <c r="F1888" s="187"/>
      <c r="G1888" s="245"/>
      <c r="H1888" s="245"/>
      <c r="I1888" s="245"/>
      <c r="P1888" s="366"/>
      <c r="R1888" s="355"/>
      <c r="S1888" s="369"/>
      <c r="T1888" s="324"/>
      <c r="U1888" s="85" ph="1"/>
      <c r="W1888" s="216"/>
      <c r="X1888" s="245"/>
      <c r="Y1888" s="187"/>
      <c r="Z1888" s="245"/>
      <c r="AA1888" s="245"/>
      <c r="AB1888" s="332"/>
      <c r="AD1888" s="245"/>
      <c r="AE1888" s="245"/>
      <c r="AF1888" s="245"/>
      <c r="AG1888" s="245"/>
    </row>
    <row r="1889" spans="1:33" ht="26.4">
      <c r="A1889" s="246"/>
      <c r="B1889" s="245"/>
      <c r="C1889" s="245"/>
      <c r="D1889" s="245"/>
      <c r="E1889" s="245"/>
      <c r="F1889" s="187"/>
      <c r="G1889" s="245"/>
      <c r="H1889" s="245"/>
      <c r="I1889" s="245"/>
      <c r="P1889" s="366"/>
      <c r="R1889" s="355"/>
      <c r="S1889" s="369"/>
      <c r="T1889" s="324"/>
      <c r="U1889" s="85" ph="1"/>
      <c r="W1889" s="216"/>
      <c r="X1889" s="245"/>
      <c r="Y1889" s="187"/>
      <c r="Z1889" s="245"/>
      <c r="AA1889" s="245"/>
      <c r="AB1889" s="332"/>
      <c r="AD1889" s="245"/>
      <c r="AE1889" s="245"/>
      <c r="AF1889" s="245"/>
      <c r="AG1889" s="245"/>
    </row>
    <row r="1890" spans="1:33" ht="26.4">
      <c r="A1890" s="246"/>
      <c r="B1890" s="245"/>
      <c r="C1890" s="245"/>
      <c r="D1890" s="245"/>
      <c r="E1890" s="245"/>
      <c r="F1890" s="187"/>
      <c r="G1890" s="245"/>
      <c r="H1890" s="245"/>
      <c r="I1890" s="245"/>
      <c r="P1890" s="366"/>
      <c r="R1890" s="355"/>
      <c r="S1890" s="369"/>
      <c r="T1890" s="324"/>
      <c r="U1890" s="85" ph="1"/>
      <c r="W1890" s="216"/>
      <c r="X1890" s="245"/>
      <c r="Y1890" s="187"/>
      <c r="Z1890" s="245"/>
      <c r="AA1890" s="245"/>
      <c r="AB1890" s="332"/>
      <c r="AD1890" s="245"/>
      <c r="AE1890" s="245"/>
      <c r="AF1890" s="245"/>
      <c r="AG1890" s="245"/>
    </row>
    <row r="1891" spans="1:33" ht="26.4">
      <c r="A1891" s="246"/>
      <c r="B1891" s="245"/>
      <c r="C1891" s="245"/>
      <c r="D1891" s="245"/>
      <c r="E1891" s="245"/>
      <c r="F1891" s="187"/>
      <c r="G1891" s="245"/>
      <c r="H1891" s="245"/>
      <c r="I1891" s="245"/>
      <c r="P1891" s="366"/>
      <c r="R1891" s="355"/>
      <c r="S1891" s="369"/>
      <c r="T1891" s="324"/>
      <c r="U1891" s="85" ph="1"/>
      <c r="W1891" s="216"/>
      <c r="X1891" s="245"/>
      <c r="Y1891" s="187"/>
      <c r="Z1891" s="245"/>
      <c r="AA1891" s="245"/>
      <c r="AB1891" s="332"/>
      <c r="AD1891" s="245"/>
      <c r="AE1891" s="245"/>
      <c r="AF1891" s="245"/>
      <c r="AG1891" s="245"/>
    </row>
    <row r="1892" spans="1:33" ht="26.4">
      <c r="A1892" s="246"/>
      <c r="B1892" s="245"/>
      <c r="C1892" s="245"/>
      <c r="D1892" s="245"/>
      <c r="E1892" s="245"/>
      <c r="F1892" s="187"/>
      <c r="G1892" s="245"/>
      <c r="H1892" s="245"/>
      <c r="I1892" s="245"/>
      <c r="P1892" s="366"/>
      <c r="R1892" s="355"/>
      <c r="S1892" s="369"/>
      <c r="T1892" s="324"/>
      <c r="U1892" s="85" ph="1"/>
      <c r="W1892" s="216"/>
      <c r="X1892" s="245"/>
      <c r="Y1892" s="187"/>
      <c r="Z1892" s="245"/>
      <c r="AA1892" s="245"/>
      <c r="AB1892" s="332"/>
      <c r="AD1892" s="245"/>
      <c r="AE1892" s="245"/>
      <c r="AF1892" s="245"/>
      <c r="AG1892" s="245"/>
    </row>
    <row r="1893" spans="1:33" ht="26.4">
      <c r="A1893" s="246"/>
      <c r="B1893" s="245"/>
      <c r="C1893" s="245"/>
      <c r="D1893" s="245"/>
      <c r="E1893" s="245"/>
      <c r="F1893" s="187"/>
      <c r="G1893" s="245"/>
      <c r="H1893" s="245"/>
      <c r="I1893" s="245"/>
      <c r="P1893" s="366"/>
      <c r="R1893" s="355"/>
      <c r="S1893" s="369"/>
      <c r="T1893" s="324"/>
      <c r="U1893" s="85" ph="1"/>
      <c r="W1893" s="216"/>
      <c r="X1893" s="245"/>
      <c r="Y1893" s="187"/>
      <c r="Z1893" s="245"/>
      <c r="AA1893" s="245"/>
      <c r="AB1893" s="332"/>
      <c r="AD1893" s="245"/>
      <c r="AE1893" s="245"/>
      <c r="AF1893" s="245"/>
      <c r="AG1893" s="245"/>
    </row>
    <row r="1894" spans="1:33" ht="26.4">
      <c r="A1894" s="246"/>
      <c r="B1894" s="245"/>
      <c r="C1894" s="245"/>
      <c r="D1894" s="245"/>
      <c r="E1894" s="245"/>
      <c r="F1894" s="187"/>
      <c r="G1894" s="245"/>
      <c r="H1894" s="245"/>
      <c r="I1894" s="245"/>
      <c r="P1894" s="366"/>
      <c r="R1894" s="355"/>
      <c r="S1894" s="369"/>
      <c r="T1894" s="324"/>
      <c r="U1894" s="85" ph="1"/>
      <c r="W1894" s="216"/>
      <c r="X1894" s="245"/>
      <c r="Y1894" s="187"/>
      <c r="Z1894" s="245"/>
      <c r="AA1894" s="245"/>
      <c r="AB1894" s="332"/>
      <c r="AD1894" s="245"/>
      <c r="AE1894" s="245"/>
      <c r="AF1894" s="245"/>
      <c r="AG1894" s="245"/>
    </row>
    <row r="1895" spans="1:33" ht="26.4">
      <c r="A1895" s="246"/>
      <c r="B1895" s="245"/>
      <c r="C1895" s="245"/>
      <c r="D1895" s="245"/>
      <c r="E1895" s="245"/>
      <c r="F1895" s="187"/>
      <c r="G1895" s="245"/>
      <c r="H1895" s="245"/>
      <c r="I1895" s="245"/>
      <c r="P1895" s="366"/>
      <c r="R1895" s="355"/>
      <c r="S1895" s="369"/>
      <c r="T1895" s="324"/>
      <c r="U1895" s="85" ph="1"/>
      <c r="W1895" s="216"/>
      <c r="X1895" s="245"/>
      <c r="Y1895" s="187"/>
      <c r="Z1895" s="245"/>
      <c r="AA1895" s="245"/>
      <c r="AB1895" s="332"/>
      <c r="AD1895" s="245"/>
      <c r="AE1895" s="245"/>
      <c r="AF1895" s="245"/>
      <c r="AG1895" s="245"/>
    </row>
    <row r="1896" spans="1:33" ht="26.4">
      <c r="A1896" s="246"/>
      <c r="B1896" s="245"/>
      <c r="C1896" s="245"/>
      <c r="D1896" s="245"/>
      <c r="E1896" s="245"/>
      <c r="F1896" s="187"/>
      <c r="G1896" s="245"/>
      <c r="H1896" s="245"/>
      <c r="I1896" s="245"/>
      <c r="P1896" s="366"/>
      <c r="R1896" s="355"/>
      <c r="S1896" s="369"/>
      <c r="T1896" s="324"/>
      <c r="U1896" s="85" ph="1"/>
      <c r="W1896" s="216"/>
      <c r="X1896" s="245"/>
      <c r="Y1896" s="187"/>
      <c r="Z1896" s="245"/>
      <c r="AA1896" s="245"/>
      <c r="AB1896" s="332"/>
      <c r="AD1896" s="245"/>
      <c r="AE1896" s="245"/>
      <c r="AF1896" s="245"/>
      <c r="AG1896" s="245"/>
    </row>
    <row r="1897" spans="1:33" ht="26.4">
      <c r="A1897" s="246"/>
      <c r="B1897" s="245"/>
      <c r="C1897" s="245"/>
      <c r="D1897" s="245"/>
      <c r="E1897" s="245"/>
      <c r="F1897" s="187"/>
      <c r="G1897" s="245"/>
      <c r="H1897" s="245"/>
      <c r="I1897" s="245"/>
      <c r="P1897" s="366"/>
      <c r="R1897" s="355"/>
      <c r="S1897" s="369"/>
      <c r="T1897" s="324"/>
      <c r="U1897" s="85" ph="1"/>
      <c r="W1897" s="216"/>
      <c r="X1897" s="245"/>
      <c r="Y1897" s="187"/>
      <c r="Z1897" s="245"/>
      <c r="AA1897" s="245"/>
      <c r="AB1897" s="332"/>
      <c r="AD1897" s="245"/>
      <c r="AE1897" s="245"/>
      <c r="AF1897" s="245"/>
      <c r="AG1897" s="245"/>
    </row>
    <row r="1898" spans="1:33" ht="26.4">
      <c r="A1898" s="246"/>
      <c r="B1898" s="245"/>
      <c r="C1898" s="245"/>
      <c r="D1898" s="245"/>
      <c r="E1898" s="245"/>
      <c r="F1898" s="187"/>
      <c r="G1898" s="245"/>
      <c r="H1898" s="245"/>
      <c r="I1898" s="245"/>
      <c r="P1898" s="366"/>
      <c r="R1898" s="355"/>
      <c r="S1898" s="369"/>
      <c r="T1898" s="324"/>
      <c r="U1898" s="85" ph="1"/>
      <c r="W1898" s="216"/>
      <c r="X1898" s="245"/>
      <c r="Y1898" s="187"/>
      <c r="Z1898" s="245"/>
      <c r="AA1898" s="245"/>
      <c r="AB1898" s="332"/>
      <c r="AD1898" s="245"/>
      <c r="AE1898" s="245"/>
      <c r="AF1898" s="245"/>
      <c r="AG1898" s="245"/>
    </row>
    <row r="1899" spans="1:33" ht="26.4">
      <c r="A1899" s="246"/>
      <c r="B1899" s="245"/>
      <c r="C1899" s="245"/>
      <c r="D1899" s="245"/>
      <c r="E1899" s="245"/>
      <c r="F1899" s="187"/>
      <c r="G1899" s="245"/>
      <c r="H1899" s="245"/>
      <c r="I1899" s="245"/>
      <c r="P1899" s="366"/>
      <c r="R1899" s="355"/>
      <c r="S1899" s="369"/>
      <c r="T1899" s="324"/>
      <c r="U1899" s="85" ph="1"/>
      <c r="W1899" s="216"/>
      <c r="X1899" s="245"/>
      <c r="Y1899" s="187"/>
      <c r="Z1899" s="245"/>
      <c r="AA1899" s="245"/>
      <c r="AB1899" s="332"/>
      <c r="AD1899" s="245"/>
      <c r="AE1899" s="245"/>
      <c r="AF1899" s="245"/>
      <c r="AG1899" s="245"/>
    </row>
    <row r="1900" spans="1:33" ht="26.4">
      <c r="A1900" s="246"/>
      <c r="B1900" s="245"/>
      <c r="C1900" s="245"/>
      <c r="D1900" s="245"/>
      <c r="E1900" s="245"/>
      <c r="F1900" s="187"/>
      <c r="G1900" s="245"/>
      <c r="H1900" s="245"/>
      <c r="I1900" s="245"/>
      <c r="P1900" s="366"/>
      <c r="R1900" s="355"/>
      <c r="S1900" s="369"/>
      <c r="T1900" s="324"/>
      <c r="U1900" s="85" ph="1"/>
      <c r="W1900" s="216"/>
      <c r="X1900" s="245"/>
      <c r="Y1900" s="187"/>
      <c r="Z1900" s="245"/>
      <c r="AA1900" s="245"/>
      <c r="AB1900" s="332"/>
      <c r="AD1900" s="245"/>
      <c r="AE1900" s="245"/>
      <c r="AF1900" s="245"/>
      <c r="AG1900" s="245"/>
    </row>
    <row r="1901" spans="1:33" ht="26.4">
      <c r="A1901" s="246"/>
      <c r="B1901" s="245"/>
      <c r="C1901" s="245"/>
      <c r="D1901" s="245"/>
      <c r="E1901" s="245"/>
      <c r="F1901" s="187"/>
      <c r="G1901" s="245"/>
      <c r="H1901" s="245"/>
      <c r="I1901" s="245"/>
      <c r="P1901" s="366"/>
      <c r="R1901" s="355"/>
      <c r="S1901" s="369"/>
      <c r="T1901" s="324"/>
      <c r="U1901" s="85" ph="1"/>
      <c r="W1901" s="216"/>
      <c r="X1901" s="245"/>
      <c r="Y1901" s="187"/>
      <c r="Z1901" s="245"/>
      <c r="AA1901" s="245"/>
      <c r="AB1901" s="332"/>
      <c r="AD1901" s="245"/>
      <c r="AE1901" s="245"/>
      <c r="AF1901" s="245"/>
      <c r="AG1901" s="245"/>
    </row>
    <row r="1902" spans="1:33" ht="26.4">
      <c r="A1902" s="246"/>
      <c r="B1902" s="245"/>
      <c r="C1902" s="245"/>
      <c r="D1902" s="245"/>
      <c r="E1902" s="245"/>
      <c r="F1902" s="187"/>
      <c r="G1902" s="245"/>
      <c r="H1902" s="245"/>
      <c r="I1902" s="245"/>
      <c r="P1902" s="366"/>
      <c r="R1902" s="355"/>
      <c r="S1902" s="369"/>
      <c r="T1902" s="324"/>
      <c r="U1902" s="85" ph="1"/>
      <c r="W1902" s="216"/>
      <c r="X1902" s="245"/>
      <c r="Y1902" s="187"/>
      <c r="Z1902" s="245"/>
      <c r="AA1902" s="245"/>
      <c r="AB1902" s="332"/>
      <c r="AD1902" s="245"/>
      <c r="AE1902" s="245"/>
      <c r="AF1902" s="245"/>
      <c r="AG1902" s="245"/>
    </row>
    <row r="1903" spans="1:33" ht="26.4">
      <c r="A1903" s="246"/>
      <c r="B1903" s="245"/>
      <c r="C1903" s="245"/>
      <c r="D1903" s="245"/>
      <c r="E1903" s="245"/>
      <c r="F1903" s="187"/>
      <c r="G1903" s="245"/>
      <c r="H1903" s="245"/>
      <c r="I1903" s="245"/>
      <c r="P1903" s="366"/>
      <c r="R1903" s="355"/>
      <c r="S1903" s="369"/>
      <c r="T1903" s="324"/>
      <c r="U1903" s="85" ph="1"/>
      <c r="W1903" s="216"/>
      <c r="X1903" s="245"/>
      <c r="Y1903" s="187"/>
      <c r="Z1903" s="245"/>
      <c r="AA1903" s="245"/>
      <c r="AB1903" s="332"/>
      <c r="AD1903" s="245"/>
      <c r="AE1903" s="245"/>
      <c r="AF1903" s="245"/>
      <c r="AG1903" s="245"/>
    </row>
    <row r="1904" spans="1:33" ht="26.4">
      <c r="A1904" s="246"/>
      <c r="B1904" s="245"/>
      <c r="C1904" s="245"/>
      <c r="D1904" s="245"/>
      <c r="E1904" s="245"/>
      <c r="F1904" s="187"/>
      <c r="G1904" s="245"/>
      <c r="H1904" s="245"/>
      <c r="I1904" s="245"/>
      <c r="P1904" s="366"/>
      <c r="R1904" s="355"/>
      <c r="S1904" s="369"/>
      <c r="T1904" s="324"/>
      <c r="U1904" s="85" ph="1"/>
      <c r="W1904" s="216"/>
      <c r="X1904" s="245"/>
      <c r="Y1904" s="187"/>
      <c r="Z1904" s="245"/>
      <c r="AA1904" s="245"/>
      <c r="AB1904" s="332"/>
      <c r="AD1904" s="245"/>
      <c r="AE1904" s="245"/>
      <c r="AF1904" s="245"/>
      <c r="AG1904" s="245"/>
    </row>
    <row r="1905" spans="1:33" ht="26.4">
      <c r="A1905" s="246"/>
      <c r="B1905" s="245"/>
      <c r="C1905" s="245"/>
      <c r="D1905" s="245"/>
      <c r="E1905" s="245"/>
      <c r="F1905" s="187"/>
      <c r="G1905" s="245"/>
      <c r="H1905" s="245"/>
      <c r="I1905" s="245"/>
      <c r="P1905" s="366"/>
      <c r="R1905" s="355"/>
      <c r="S1905" s="369"/>
      <c r="T1905" s="324"/>
      <c r="U1905" s="85" ph="1"/>
      <c r="W1905" s="216"/>
      <c r="X1905" s="245"/>
      <c r="Y1905" s="187"/>
      <c r="Z1905" s="245"/>
      <c r="AA1905" s="245"/>
      <c r="AB1905" s="332"/>
      <c r="AD1905" s="245"/>
      <c r="AE1905" s="245"/>
      <c r="AF1905" s="245"/>
      <c r="AG1905" s="245"/>
    </row>
    <row r="1906" spans="1:33" ht="26.4">
      <c r="A1906" s="246"/>
      <c r="B1906" s="245"/>
      <c r="C1906" s="245"/>
      <c r="D1906" s="245"/>
      <c r="E1906" s="245"/>
      <c r="F1906" s="187"/>
      <c r="G1906" s="245"/>
      <c r="H1906" s="245"/>
      <c r="I1906" s="245"/>
      <c r="P1906" s="366"/>
      <c r="R1906" s="355"/>
      <c r="S1906" s="369"/>
      <c r="T1906" s="324"/>
      <c r="U1906" s="85" ph="1"/>
      <c r="W1906" s="216"/>
      <c r="X1906" s="245"/>
      <c r="Y1906" s="187"/>
      <c r="Z1906" s="245"/>
      <c r="AA1906" s="245"/>
      <c r="AB1906" s="332"/>
      <c r="AD1906" s="245"/>
      <c r="AE1906" s="245"/>
      <c r="AF1906" s="245"/>
      <c r="AG1906" s="245"/>
    </row>
    <row r="1907" spans="1:33" ht="26.4">
      <c r="A1907" s="246"/>
      <c r="B1907" s="245"/>
      <c r="C1907" s="245"/>
      <c r="D1907" s="245"/>
      <c r="E1907" s="245"/>
      <c r="F1907" s="187"/>
      <c r="G1907" s="245"/>
      <c r="H1907" s="245"/>
      <c r="I1907" s="245"/>
      <c r="P1907" s="366"/>
      <c r="R1907" s="355"/>
      <c r="S1907" s="369"/>
      <c r="T1907" s="324"/>
      <c r="U1907" s="85" ph="1"/>
      <c r="W1907" s="216"/>
      <c r="X1907" s="245"/>
      <c r="Y1907" s="187"/>
      <c r="Z1907" s="245"/>
      <c r="AA1907" s="245"/>
      <c r="AB1907" s="332"/>
      <c r="AD1907" s="245"/>
      <c r="AE1907" s="245"/>
      <c r="AF1907" s="245"/>
      <c r="AG1907" s="245"/>
    </row>
    <row r="1908" spans="1:33" ht="26.4">
      <c r="A1908" s="246"/>
      <c r="B1908" s="245"/>
      <c r="C1908" s="245"/>
      <c r="D1908" s="245"/>
      <c r="E1908" s="245"/>
      <c r="F1908" s="187"/>
      <c r="G1908" s="245"/>
      <c r="H1908" s="245"/>
      <c r="I1908" s="245"/>
      <c r="P1908" s="366"/>
      <c r="R1908" s="355"/>
      <c r="S1908" s="369"/>
      <c r="T1908" s="324"/>
      <c r="U1908" s="85" ph="1"/>
      <c r="W1908" s="216"/>
      <c r="X1908" s="245"/>
      <c r="Y1908" s="187"/>
      <c r="Z1908" s="245"/>
      <c r="AA1908" s="245"/>
      <c r="AB1908" s="332"/>
      <c r="AD1908" s="245"/>
      <c r="AE1908" s="245"/>
      <c r="AF1908" s="245"/>
      <c r="AG1908" s="245"/>
    </row>
    <row r="1909" spans="1:33" ht="26.4">
      <c r="A1909" s="246"/>
      <c r="B1909" s="245"/>
      <c r="C1909" s="245"/>
      <c r="D1909" s="245"/>
      <c r="E1909" s="245"/>
      <c r="F1909" s="187"/>
      <c r="G1909" s="245"/>
      <c r="H1909" s="245"/>
      <c r="I1909" s="245"/>
      <c r="P1909" s="366"/>
      <c r="R1909" s="355"/>
      <c r="S1909" s="369"/>
      <c r="T1909" s="324"/>
      <c r="U1909" s="85" ph="1"/>
      <c r="W1909" s="216"/>
      <c r="X1909" s="245"/>
      <c r="Y1909" s="187"/>
      <c r="Z1909" s="245"/>
      <c r="AA1909" s="245"/>
      <c r="AB1909" s="332"/>
      <c r="AD1909" s="245"/>
      <c r="AE1909" s="245"/>
      <c r="AF1909" s="245"/>
      <c r="AG1909" s="245"/>
    </row>
    <row r="1910" spans="1:33" ht="26.4">
      <c r="A1910" s="246"/>
      <c r="B1910" s="245"/>
      <c r="C1910" s="245"/>
      <c r="D1910" s="245"/>
      <c r="E1910" s="245"/>
      <c r="F1910" s="187"/>
      <c r="G1910" s="245"/>
      <c r="H1910" s="245"/>
      <c r="I1910" s="245"/>
      <c r="P1910" s="366"/>
      <c r="R1910" s="355"/>
      <c r="S1910" s="369"/>
      <c r="T1910" s="324"/>
      <c r="U1910" s="85" ph="1"/>
      <c r="W1910" s="216"/>
      <c r="X1910" s="245"/>
      <c r="Y1910" s="187"/>
      <c r="Z1910" s="245"/>
      <c r="AA1910" s="245"/>
      <c r="AB1910" s="332"/>
      <c r="AD1910" s="245"/>
      <c r="AE1910" s="245"/>
      <c r="AF1910" s="245"/>
      <c r="AG1910" s="245"/>
    </row>
    <row r="1911" spans="1:33" ht="26.4">
      <c r="A1911" s="246"/>
      <c r="B1911" s="245"/>
      <c r="C1911" s="245"/>
      <c r="D1911" s="245"/>
      <c r="E1911" s="245"/>
      <c r="F1911" s="187"/>
      <c r="G1911" s="245"/>
      <c r="H1911" s="245"/>
      <c r="I1911" s="245"/>
      <c r="P1911" s="366"/>
      <c r="R1911" s="355"/>
      <c r="S1911" s="369"/>
      <c r="T1911" s="324"/>
      <c r="U1911" s="85" ph="1"/>
      <c r="W1911" s="216"/>
      <c r="X1911" s="245"/>
      <c r="Y1911" s="187"/>
      <c r="Z1911" s="245"/>
      <c r="AA1911" s="245"/>
      <c r="AB1911" s="332"/>
      <c r="AD1911" s="245"/>
      <c r="AE1911" s="245"/>
      <c r="AF1911" s="245"/>
      <c r="AG1911" s="245"/>
    </row>
    <row r="1912" spans="1:33" ht="26.4">
      <c r="A1912" s="246"/>
      <c r="B1912" s="245"/>
      <c r="C1912" s="245"/>
      <c r="D1912" s="245"/>
      <c r="E1912" s="245"/>
      <c r="F1912" s="187"/>
      <c r="G1912" s="245"/>
      <c r="H1912" s="245"/>
      <c r="I1912" s="245"/>
      <c r="P1912" s="366"/>
      <c r="R1912" s="355"/>
      <c r="S1912" s="369"/>
      <c r="T1912" s="324"/>
      <c r="U1912" s="85" ph="1"/>
      <c r="W1912" s="216"/>
      <c r="X1912" s="245"/>
      <c r="Y1912" s="187"/>
      <c r="Z1912" s="245"/>
      <c r="AA1912" s="245"/>
      <c r="AB1912" s="332"/>
      <c r="AD1912" s="245"/>
      <c r="AE1912" s="245"/>
      <c r="AF1912" s="245"/>
      <c r="AG1912" s="245"/>
    </row>
    <row r="1913" spans="1:33" ht="26.4">
      <c r="A1913" s="246"/>
      <c r="B1913" s="245"/>
      <c r="C1913" s="245"/>
      <c r="D1913" s="245"/>
      <c r="E1913" s="245"/>
      <c r="F1913" s="187"/>
      <c r="G1913" s="245"/>
      <c r="H1913" s="245"/>
      <c r="I1913" s="245"/>
      <c r="P1913" s="366"/>
      <c r="R1913" s="355"/>
      <c r="S1913" s="369"/>
      <c r="T1913" s="324"/>
      <c r="U1913" s="85" ph="1"/>
      <c r="W1913" s="216"/>
      <c r="X1913" s="245"/>
      <c r="Y1913" s="187"/>
      <c r="Z1913" s="245"/>
      <c r="AA1913" s="245"/>
      <c r="AB1913" s="332"/>
      <c r="AD1913" s="245"/>
      <c r="AE1913" s="245"/>
      <c r="AF1913" s="245"/>
      <c r="AG1913" s="245"/>
    </row>
    <row r="1914" spans="1:33" ht="26.4">
      <c r="A1914" s="246"/>
      <c r="B1914" s="245"/>
      <c r="C1914" s="245"/>
      <c r="D1914" s="245"/>
      <c r="E1914" s="245"/>
      <c r="F1914" s="187"/>
      <c r="G1914" s="245"/>
      <c r="H1914" s="245"/>
      <c r="I1914" s="245"/>
      <c r="P1914" s="366"/>
      <c r="R1914" s="355"/>
      <c r="S1914" s="369"/>
      <c r="T1914" s="324"/>
      <c r="U1914" s="85" ph="1"/>
      <c r="W1914" s="216"/>
      <c r="X1914" s="245"/>
      <c r="Y1914" s="187"/>
      <c r="Z1914" s="245"/>
      <c r="AA1914" s="245"/>
      <c r="AB1914" s="332"/>
      <c r="AD1914" s="245"/>
      <c r="AE1914" s="245"/>
      <c r="AF1914" s="245"/>
      <c r="AG1914" s="245"/>
    </row>
    <row r="1915" spans="1:33" ht="26.4">
      <c r="A1915" s="246"/>
      <c r="B1915" s="245"/>
      <c r="C1915" s="245"/>
      <c r="D1915" s="245"/>
      <c r="E1915" s="245"/>
      <c r="F1915" s="187"/>
      <c r="G1915" s="245"/>
      <c r="H1915" s="245"/>
      <c r="I1915" s="245"/>
      <c r="P1915" s="366"/>
      <c r="R1915" s="355"/>
      <c r="S1915" s="369"/>
      <c r="T1915" s="324"/>
      <c r="U1915" s="85" ph="1"/>
      <c r="W1915" s="216"/>
      <c r="X1915" s="245"/>
      <c r="Y1915" s="187"/>
      <c r="Z1915" s="245"/>
      <c r="AA1915" s="245"/>
      <c r="AB1915" s="332"/>
      <c r="AD1915" s="245"/>
      <c r="AE1915" s="245"/>
      <c r="AF1915" s="245"/>
      <c r="AG1915" s="245"/>
    </row>
    <row r="1916" spans="1:33" ht="26.4">
      <c r="A1916" s="246"/>
      <c r="B1916" s="245"/>
      <c r="C1916" s="245"/>
      <c r="D1916" s="245"/>
      <c r="E1916" s="245"/>
      <c r="F1916" s="187"/>
      <c r="G1916" s="245"/>
      <c r="H1916" s="245"/>
      <c r="I1916" s="245"/>
      <c r="P1916" s="366"/>
      <c r="R1916" s="355"/>
      <c r="S1916" s="369"/>
      <c r="T1916" s="324"/>
      <c r="U1916" s="85" ph="1"/>
      <c r="W1916" s="216"/>
      <c r="X1916" s="245"/>
      <c r="Y1916" s="187"/>
      <c r="Z1916" s="245"/>
      <c r="AA1916" s="245"/>
      <c r="AB1916" s="332"/>
      <c r="AD1916" s="245"/>
      <c r="AE1916" s="245"/>
      <c r="AF1916" s="245"/>
      <c r="AG1916" s="245"/>
    </row>
    <row r="1917" spans="1:33" ht="26.4">
      <c r="A1917" s="246"/>
      <c r="B1917" s="245"/>
      <c r="C1917" s="245"/>
      <c r="D1917" s="245"/>
      <c r="E1917" s="245"/>
      <c r="F1917" s="187"/>
      <c r="G1917" s="245"/>
      <c r="H1917" s="245"/>
      <c r="I1917" s="245"/>
      <c r="P1917" s="366"/>
      <c r="R1917" s="355"/>
      <c r="S1917" s="369"/>
      <c r="T1917" s="324"/>
      <c r="U1917" s="85" ph="1"/>
      <c r="W1917" s="216"/>
      <c r="X1917" s="245"/>
      <c r="Y1917" s="187"/>
      <c r="Z1917" s="245"/>
      <c r="AA1917" s="245"/>
      <c r="AB1917" s="332"/>
      <c r="AD1917" s="245"/>
      <c r="AE1917" s="245"/>
      <c r="AF1917" s="245"/>
      <c r="AG1917" s="245"/>
    </row>
    <row r="1918" spans="1:33" ht="26.4">
      <c r="A1918" s="246"/>
      <c r="B1918" s="245"/>
      <c r="C1918" s="245"/>
      <c r="D1918" s="245"/>
      <c r="E1918" s="245"/>
      <c r="F1918" s="187"/>
      <c r="G1918" s="245"/>
      <c r="H1918" s="245"/>
      <c r="I1918" s="245"/>
      <c r="P1918" s="366"/>
      <c r="R1918" s="355"/>
      <c r="S1918" s="369"/>
      <c r="T1918" s="324"/>
      <c r="U1918" s="85" ph="1"/>
      <c r="W1918" s="216"/>
      <c r="X1918" s="245"/>
      <c r="Y1918" s="187"/>
      <c r="Z1918" s="245"/>
      <c r="AA1918" s="245"/>
      <c r="AB1918" s="332"/>
      <c r="AD1918" s="245"/>
      <c r="AE1918" s="245"/>
      <c r="AF1918" s="245"/>
      <c r="AG1918" s="245"/>
    </row>
    <row r="1919" spans="1:33" ht="26.4">
      <c r="A1919" s="246"/>
      <c r="B1919" s="245"/>
      <c r="C1919" s="245"/>
      <c r="D1919" s="245"/>
      <c r="E1919" s="245"/>
      <c r="F1919" s="187"/>
      <c r="G1919" s="245"/>
      <c r="H1919" s="245"/>
      <c r="I1919" s="245"/>
      <c r="P1919" s="366"/>
      <c r="R1919" s="355"/>
      <c r="S1919" s="369"/>
      <c r="T1919" s="324"/>
      <c r="U1919" s="85" ph="1"/>
      <c r="W1919" s="216"/>
      <c r="X1919" s="245"/>
      <c r="Y1919" s="187"/>
      <c r="Z1919" s="245"/>
      <c r="AA1919" s="245"/>
      <c r="AB1919" s="332"/>
      <c r="AD1919" s="245"/>
      <c r="AE1919" s="245"/>
      <c r="AF1919" s="245"/>
      <c r="AG1919" s="245"/>
    </row>
    <row r="1920" spans="1:33" ht="26.4">
      <c r="A1920" s="246"/>
      <c r="B1920" s="245"/>
      <c r="C1920" s="245"/>
      <c r="D1920" s="245"/>
      <c r="E1920" s="245"/>
      <c r="F1920" s="187"/>
      <c r="G1920" s="245"/>
      <c r="H1920" s="245"/>
      <c r="I1920" s="245"/>
      <c r="P1920" s="366"/>
      <c r="R1920" s="355"/>
      <c r="S1920" s="369"/>
      <c r="T1920" s="324"/>
      <c r="U1920" s="85" ph="1"/>
      <c r="W1920" s="216"/>
      <c r="X1920" s="245"/>
      <c r="Y1920" s="187"/>
      <c r="Z1920" s="245"/>
      <c r="AA1920" s="245"/>
      <c r="AB1920" s="332"/>
      <c r="AD1920" s="245"/>
      <c r="AE1920" s="245"/>
      <c r="AF1920" s="245"/>
      <c r="AG1920" s="245"/>
    </row>
    <row r="1921" spans="1:33" ht="26.4">
      <c r="A1921" s="246"/>
      <c r="B1921" s="245"/>
      <c r="C1921" s="245"/>
      <c r="D1921" s="245"/>
      <c r="E1921" s="245"/>
      <c r="F1921" s="187"/>
      <c r="G1921" s="245"/>
      <c r="H1921" s="245"/>
      <c r="I1921" s="245"/>
      <c r="P1921" s="366"/>
      <c r="R1921" s="355"/>
      <c r="S1921" s="369"/>
      <c r="T1921" s="324"/>
      <c r="U1921" s="85" ph="1"/>
      <c r="W1921" s="216"/>
      <c r="X1921" s="245"/>
      <c r="Y1921" s="187"/>
      <c r="Z1921" s="245"/>
      <c r="AA1921" s="245"/>
      <c r="AB1921" s="332"/>
      <c r="AD1921" s="245"/>
      <c r="AE1921" s="245"/>
      <c r="AF1921" s="245"/>
      <c r="AG1921" s="245"/>
    </row>
    <row r="1922" spans="1:33" ht="26.4">
      <c r="A1922" s="246"/>
      <c r="B1922" s="245"/>
      <c r="C1922" s="245"/>
      <c r="D1922" s="245"/>
      <c r="E1922" s="245"/>
      <c r="F1922" s="187"/>
      <c r="G1922" s="245"/>
      <c r="H1922" s="245"/>
      <c r="I1922" s="245"/>
      <c r="P1922" s="366"/>
      <c r="R1922" s="355"/>
      <c r="S1922" s="369"/>
      <c r="T1922" s="324"/>
      <c r="U1922" s="85" ph="1"/>
      <c r="W1922" s="216"/>
      <c r="X1922" s="245"/>
      <c r="Y1922" s="187"/>
      <c r="Z1922" s="245"/>
      <c r="AA1922" s="245"/>
      <c r="AB1922" s="332"/>
      <c r="AD1922" s="245"/>
      <c r="AE1922" s="245"/>
      <c r="AF1922" s="245"/>
      <c r="AG1922" s="245"/>
    </row>
    <row r="1923" spans="1:33" ht="26.4">
      <c r="A1923" s="246"/>
      <c r="B1923" s="245"/>
      <c r="C1923" s="245"/>
      <c r="D1923" s="245"/>
      <c r="E1923" s="245"/>
      <c r="F1923" s="187"/>
      <c r="G1923" s="245"/>
      <c r="H1923" s="245"/>
      <c r="I1923" s="245"/>
      <c r="P1923" s="366"/>
      <c r="R1923" s="355"/>
      <c r="S1923" s="369"/>
      <c r="T1923" s="324"/>
      <c r="U1923" s="85" ph="1"/>
      <c r="W1923" s="216"/>
      <c r="X1923" s="245"/>
      <c r="Y1923" s="187"/>
      <c r="Z1923" s="245"/>
      <c r="AA1923" s="245"/>
      <c r="AB1923" s="332"/>
      <c r="AD1923" s="245"/>
      <c r="AE1923" s="245"/>
      <c r="AF1923" s="245"/>
      <c r="AG1923" s="245"/>
    </row>
    <row r="1924" spans="1:33" ht="26.4">
      <c r="A1924" s="246"/>
      <c r="B1924" s="245"/>
      <c r="C1924" s="245"/>
      <c r="D1924" s="245"/>
      <c r="E1924" s="245"/>
      <c r="F1924" s="187"/>
      <c r="G1924" s="245"/>
      <c r="H1924" s="245"/>
      <c r="I1924" s="245"/>
      <c r="P1924" s="366"/>
      <c r="R1924" s="355"/>
      <c r="S1924" s="369"/>
      <c r="T1924" s="324"/>
      <c r="U1924" s="85" ph="1"/>
      <c r="W1924" s="216"/>
      <c r="X1924" s="245"/>
      <c r="Y1924" s="187"/>
      <c r="Z1924" s="245"/>
      <c r="AA1924" s="245"/>
      <c r="AB1924" s="332"/>
      <c r="AD1924" s="245"/>
      <c r="AE1924" s="245"/>
      <c r="AF1924" s="245"/>
      <c r="AG1924" s="245"/>
    </row>
    <row r="1925" spans="1:33" ht="26.4">
      <c r="A1925" s="246"/>
      <c r="B1925" s="245"/>
      <c r="C1925" s="245"/>
      <c r="D1925" s="245"/>
      <c r="E1925" s="245"/>
      <c r="F1925" s="187"/>
      <c r="G1925" s="245"/>
      <c r="H1925" s="245"/>
      <c r="I1925" s="245"/>
      <c r="P1925" s="366"/>
      <c r="R1925" s="355"/>
      <c r="S1925" s="369"/>
      <c r="T1925" s="324"/>
      <c r="U1925" s="85" ph="1"/>
      <c r="W1925" s="216"/>
      <c r="X1925" s="245"/>
      <c r="Y1925" s="187"/>
      <c r="Z1925" s="245"/>
      <c r="AA1925" s="245"/>
      <c r="AB1925" s="332"/>
      <c r="AD1925" s="245"/>
      <c r="AE1925" s="245"/>
      <c r="AF1925" s="245"/>
      <c r="AG1925" s="245"/>
    </row>
    <row r="1926" spans="1:33" ht="26.4">
      <c r="A1926" s="246"/>
      <c r="B1926" s="245"/>
      <c r="C1926" s="245"/>
      <c r="D1926" s="245"/>
      <c r="E1926" s="245"/>
      <c r="F1926" s="187"/>
      <c r="G1926" s="245"/>
      <c r="H1926" s="245"/>
      <c r="I1926" s="245"/>
      <c r="P1926" s="366"/>
      <c r="R1926" s="355"/>
      <c r="S1926" s="369"/>
      <c r="T1926" s="324"/>
      <c r="U1926" s="85" ph="1"/>
      <c r="W1926" s="216"/>
      <c r="X1926" s="245"/>
      <c r="Y1926" s="187"/>
      <c r="Z1926" s="245"/>
      <c r="AA1926" s="245"/>
      <c r="AB1926" s="332"/>
      <c r="AD1926" s="245"/>
      <c r="AE1926" s="245"/>
      <c r="AF1926" s="245"/>
      <c r="AG1926" s="245"/>
    </row>
    <row r="1927" spans="1:33" ht="26.4">
      <c r="A1927" s="246"/>
      <c r="B1927" s="245"/>
      <c r="C1927" s="245"/>
      <c r="D1927" s="245"/>
      <c r="E1927" s="245"/>
      <c r="F1927" s="187"/>
      <c r="G1927" s="245"/>
      <c r="H1927" s="245"/>
      <c r="I1927" s="245"/>
      <c r="P1927" s="366"/>
      <c r="R1927" s="355"/>
      <c r="S1927" s="369"/>
      <c r="T1927" s="324"/>
      <c r="U1927" s="85" ph="1"/>
      <c r="W1927" s="216"/>
      <c r="X1927" s="245"/>
      <c r="Y1927" s="187"/>
      <c r="Z1927" s="245"/>
      <c r="AA1927" s="245"/>
      <c r="AB1927" s="332"/>
      <c r="AD1927" s="245"/>
      <c r="AE1927" s="245"/>
      <c r="AF1927" s="245"/>
      <c r="AG1927" s="245"/>
    </row>
    <row r="1928" spans="1:33" ht="26.4">
      <c r="A1928" s="246"/>
      <c r="B1928" s="245"/>
      <c r="C1928" s="245"/>
      <c r="D1928" s="245"/>
      <c r="E1928" s="245"/>
      <c r="F1928" s="187"/>
      <c r="G1928" s="245"/>
      <c r="H1928" s="245"/>
      <c r="I1928" s="245"/>
      <c r="P1928" s="366"/>
      <c r="R1928" s="355"/>
      <c r="S1928" s="369"/>
      <c r="T1928" s="324"/>
      <c r="U1928" s="85" ph="1"/>
      <c r="W1928" s="216"/>
      <c r="X1928" s="245"/>
      <c r="Y1928" s="187"/>
      <c r="Z1928" s="245"/>
      <c r="AA1928" s="245"/>
      <c r="AB1928" s="332"/>
      <c r="AD1928" s="245"/>
      <c r="AE1928" s="245"/>
      <c r="AF1928" s="245"/>
      <c r="AG1928" s="245"/>
    </row>
    <row r="1929" spans="1:33" ht="26.4">
      <c r="A1929" s="246"/>
      <c r="B1929" s="245"/>
      <c r="C1929" s="245"/>
      <c r="D1929" s="245"/>
      <c r="E1929" s="245"/>
      <c r="F1929" s="187"/>
      <c r="G1929" s="245"/>
      <c r="H1929" s="245"/>
      <c r="I1929" s="245"/>
      <c r="P1929" s="366"/>
      <c r="R1929" s="355"/>
      <c r="S1929" s="369"/>
      <c r="T1929" s="324"/>
      <c r="U1929" s="85" ph="1"/>
      <c r="W1929" s="216"/>
      <c r="X1929" s="245"/>
      <c r="Y1929" s="187"/>
      <c r="Z1929" s="245"/>
      <c r="AA1929" s="245"/>
      <c r="AB1929" s="332"/>
      <c r="AD1929" s="245"/>
      <c r="AE1929" s="245"/>
      <c r="AF1929" s="245"/>
      <c r="AG1929" s="245"/>
    </row>
    <row r="1930" spans="1:33" ht="26.4">
      <c r="A1930" s="246"/>
      <c r="B1930" s="245"/>
      <c r="C1930" s="245"/>
      <c r="D1930" s="245"/>
      <c r="E1930" s="245"/>
      <c r="F1930" s="187"/>
      <c r="G1930" s="245"/>
      <c r="H1930" s="245"/>
      <c r="I1930" s="245"/>
      <c r="P1930" s="366"/>
      <c r="R1930" s="355"/>
      <c r="S1930" s="369"/>
      <c r="T1930" s="324"/>
      <c r="U1930" s="85" ph="1"/>
      <c r="W1930" s="216"/>
      <c r="X1930" s="245"/>
      <c r="Y1930" s="187"/>
      <c r="Z1930" s="245"/>
      <c r="AA1930" s="245"/>
      <c r="AB1930" s="332"/>
      <c r="AD1930" s="245"/>
      <c r="AE1930" s="245"/>
      <c r="AF1930" s="245"/>
      <c r="AG1930" s="245"/>
    </row>
    <row r="1931" spans="1:33" ht="26.4">
      <c r="A1931" s="246"/>
      <c r="B1931" s="245"/>
      <c r="C1931" s="245"/>
      <c r="D1931" s="245"/>
      <c r="E1931" s="245"/>
      <c r="F1931" s="187"/>
      <c r="G1931" s="245"/>
      <c r="H1931" s="245"/>
      <c r="I1931" s="245"/>
      <c r="P1931" s="366"/>
      <c r="R1931" s="355"/>
      <c r="S1931" s="369"/>
      <c r="T1931" s="324"/>
      <c r="U1931" s="85" ph="1"/>
      <c r="W1931" s="216"/>
      <c r="X1931" s="245"/>
      <c r="Y1931" s="187"/>
      <c r="Z1931" s="245"/>
      <c r="AA1931" s="245"/>
      <c r="AB1931" s="332"/>
      <c r="AD1931" s="245"/>
      <c r="AE1931" s="245"/>
      <c r="AF1931" s="245"/>
      <c r="AG1931" s="245"/>
    </row>
    <row r="1932" spans="1:33" ht="26.4">
      <c r="A1932" s="246"/>
      <c r="B1932" s="245"/>
      <c r="C1932" s="245"/>
      <c r="D1932" s="245"/>
      <c r="E1932" s="245"/>
      <c r="F1932" s="187"/>
      <c r="G1932" s="245"/>
      <c r="H1932" s="245"/>
      <c r="I1932" s="245"/>
      <c r="P1932" s="366"/>
      <c r="R1932" s="355"/>
      <c r="S1932" s="369"/>
      <c r="T1932" s="324"/>
      <c r="U1932" s="85" ph="1"/>
      <c r="W1932" s="216"/>
      <c r="X1932" s="245"/>
      <c r="Y1932" s="187"/>
      <c r="Z1932" s="245"/>
      <c r="AA1932" s="245"/>
      <c r="AB1932" s="332"/>
      <c r="AD1932" s="245"/>
      <c r="AE1932" s="245"/>
      <c r="AF1932" s="245"/>
      <c r="AG1932" s="245"/>
    </row>
    <row r="1933" spans="1:33" ht="26.4">
      <c r="A1933" s="246"/>
      <c r="B1933" s="245"/>
      <c r="C1933" s="245"/>
      <c r="D1933" s="245"/>
      <c r="E1933" s="245"/>
      <c r="F1933" s="187"/>
      <c r="G1933" s="245"/>
      <c r="H1933" s="245"/>
      <c r="I1933" s="245"/>
      <c r="P1933" s="366"/>
      <c r="R1933" s="355"/>
      <c r="S1933" s="369"/>
      <c r="T1933" s="324"/>
      <c r="U1933" s="85" ph="1"/>
      <c r="W1933" s="216"/>
      <c r="X1933" s="245"/>
      <c r="Y1933" s="187"/>
      <c r="Z1933" s="245"/>
      <c r="AA1933" s="245"/>
      <c r="AB1933" s="332"/>
      <c r="AD1933" s="245"/>
      <c r="AE1933" s="245"/>
      <c r="AF1933" s="245"/>
      <c r="AG1933" s="245"/>
    </row>
    <row r="1934" spans="1:33" ht="26.4">
      <c r="A1934" s="246"/>
      <c r="B1934" s="245"/>
      <c r="C1934" s="245"/>
      <c r="D1934" s="245"/>
      <c r="E1934" s="245"/>
      <c r="F1934" s="187"/>
      <c r="G1934" s="245"/>
      <c r="H1934" s="245"/>
      <c r="I1934" s="245"/>
      <c r="P1934" s="366"/>
      <c r="R1934" s="355"/>
      <c r="S1934" s="369"/>
      <c r="T1934" s="324"/>
      <c r="U1934" s="85" ph="1"/>
      <c r="W1934" s="216"/>
      <c r="X1934" s="245"/>
      <c r="Y1934" s="187"/>
      <c r="Z1934" s="245"/>
      <c r="AA1934" s="245"/>
      <c r="AB1934" s="332"/>
      <c r="AD1934" s="245"/>
      <c r="AE1934" s="245"/>
      <c r="AF1934" s="245"/>
      <c r="AG1934" s="245"/>
    </row>
    <row r="1935" spans="1:33" ht="26.4">
      <c r="A1935" s="246"/>
      <c r="B1935" s="245"/>
      <c r="C1935" s="245"/>
      <c r="D1935" s="245"/>
      <c r="E1935" s="245"/>
      <c r="F1935" s="187"/>
      <c r="G1935" s="245"/>
      <c r="H1935" s="245"/>
      <c r="I1935" s="245"/>
      <c r="P1935" s="366"/>
      <c r="R1935" s="355"/>
      <c r="S1935" s="369"/>
      <c r="T1935" s="324"/>
      <c r="U1935" s="85" ph="1"/>
      <c r="W1935" s="216"/>
      <c r="X1935" s="245"/>
      <c r="Y1935" s="187"/>
      <c r="Z1935" s="245"/>
      <c r="AA1935" s="245"/>
      <c r="AB1935" s="332"/>
      <c r="AD1935" s="245"/>
      <c r="AE1935" s="245"/>
      <c r="AF1935" s="245"/>
      <c r="AG1935" s="245"/>
    </row>
    <row r="1936" spans="1:33" ht="26.4">
      <c r="A1936" s="246"/>
      <c r="B1936" s="245"/>
      <c r="C1936" s="245"/>
      <c r="D1936" s="245"/>
      <c r="E1936" s="245"/>
      <c r="F1936" s="187"/>
      <c r="G1936" s="245"/>
      <c r="H1936" s="245"/>
      <c r="I1936" s="245"/>
      <c r="P1936" s="366"/>
      <c r="R1936" s="355"/>
      <c r="S1936" s="369"/>
      <c r="T1936" s="324"/>
      <c r="U1936" s="85" ph="1"/>
      <c r="W1936" s="216"/>
      <c r="X1936" s="245"/>
      <c r="Y1936" s="187"/>
      <c r="Z1936" s="245"/>
      <c r="AA1936" s="245"/>
      <c r="AB1936" s="332"/>
      <c r="AD1936" s="245"/>
      <c r="AE1936" s="245"/>
      <c r="AF1936" s="245"/>
      <c r="AG1936" s="245"/>
    </row>
    <row r="1937" spans="1:33" ht="26.4">
      <c r="A1937" s="246"/>
      <c r="B1937" s="245"/>
      <c r="C1937" s="245"/>
      <c r="D1937" s="245"/>
      <c r="E1937" s="245"/>
      <c r="F1937" s="187"/>
      <c r="G1937" s="245"/>
      <c r="H1937" s="245"/>
      <c r="I1937" s="245"/>
      <c r="P1937" s="366"/>
      <c r="R1937" s="355"/>
      <c r="S1937" s="369"/>
      <c r="T1937" s="324"/>
      <c r="U1937" s="85" ph="1"/>
      <c r="W1937" s="216"/>
      <c r="X1937" s="245"/>
      <c r="Y1937" s="187"/>
      <c r="Z1937" s="245"/>
      <c r="AA1937" s="245"/>
      <c r="AB1937" s="332"/>
      <c r="AD1937" s="245"/>
      <c r="AE1937" s="245"/>
      <c r="AF1937" s="245"/>
      <c r="AG1937" s="245"/>
    </row>
    <row r="1938" spans="1:33" ht="26.4">
      <c r="A1938" s="246"/>
      <c r="B1938" s="245"/>
      <c r="C1938" s="245"/>
      <c r="D1938" s="245"/>
      <c r="E1938" s="245"/>
      <c r="F1938" s="187"/>
      <c r="G1938" s="245"/>
      <c r="H1938" s="245"/>
      <c r="I1938" s="245"/>
      <c r="P1938" s="366"/>
      <c r="R1938" s="355"/>
      <c r="S1938" s="369"/>
      <c r="T1938" s="324"/>
      <c r="U1938" s="85" ph="1"/>
      <c r="W1938" s="216"/>
      <c r="X1938" s="245"/>
      <c r="Y1938" s="187"/>
      <c r="Z1938" s="245"/>
      <c r="AA1938" s="245"/>
      <c r="AB1938" s="332"/>
      <c r="AD1938" s="245"/>
      <c r="AE1938" s="245"/>
      <c r="AF1938" s="245"/>
      <c r="AG1938" s="245"/>
    </row>
    <row r="1939" spans="1:33" ht="26.4">
      <c r="A1939" s="246"/>
      <c r="B1939" s="245"/>
      <c r="C1939" s="245"/>
      <c r="D1939" s="245"/>
      <c r="E1939" s="245"/>
      <c r="F1939" s="187"/>
      <c r="G1939" s="245"/>
      <c r="H1939" s="245"/>
      <c r="I1939" s="245"/>
      <c r="P1939" s="366"/>
      <c r="R1939" s="355"/>
      <c r="S1939" s="369"/>
      <c r="T1939" s="324"/>
      <c r="U1939" s="85" ph="1"/>
      <c r="W1939" s="216"/>
      <c r="X1939" s="245"/>
      <c r="Y1939" s="187"/>
      <c r="Z1939" s="245"/>
      <c r="AA1939" s="245"/>
      <c r="AB1939" s="332"/>
      <c r="AD1939" s="245"/>
      <c r="AE1939" s="245"/>
      <c r="AF1939" s="245"/>
      <c r="AG1939" s="245"/>
    </row>
    <row r="1940" spans="1:33" ht="26.4">
      <c r="A1940" s="246"/>
      <c r="B1940" s="245"/>
      <c r="C1940" s="245"/>
      <c r="D1940" s="245"/>
      <c r="E1940" s="245"/>
      <c r="F1940" s="187"/>
      <c r="G1940" s="245"/>
      <c r="H1940" s="245"/>
      <c r="I1940" s="245"/>
      <c r="P1940" s="366"/>
      <c r="R1940" s="355"/>
      <c r="S1940" s="369"/>
      <c r="T1940" s="324"/>
      <c r="U1940" s="85" ph="1"/>
      <c r="W1940" s="216"/>
      <c r="X1940" s="245"/>
      <c r="Y1940" s="187"/>
      <c r="Z1940" s="245"/>
      <c r="AA1940" s="245"/>
      <c r="AB1940" s="332"/>
      <c r="AD1940" s="245"/>
      <c r="AE1940" s="245"/>
      <c r="AF1940" s="245"/>
      <c r="AG1940" s="245"/>
    </row>
    <row r="1941" spans="1:33" ht="26.4">
      <c r="A1941" s="246"/>
      <c r="B1941" s="245"/>
      <c r="C1941" s="245"/>
      <c r="D1941" s="245"/>
      <c r="E1941" s="245"/>
      <c r="F1941" s="187"/>
      <c r="G1941" s="245"/>
      <c r="H1941" s="245"/>
      <c r="I1941" s="245"/>
      <c r="P1941" s="366"/>
      <c r="R1941" s="355"/>
      <c r="S1941" s="369"/>
      <c r="T1941" s="324"/>
      <c r="U1941" s="85" ph="1"/>
      <c r="W1941" s="216"/>
      <c r="X1941" s="245"/>
      <c r="Y1941" s="187"/>
      <c r="Z1941" s="245"/>
      <c r="AA1941" s="245"/>
      <c r="AB1941" s="332"/>
      <c r="AD1941" s="245"/>
      <c r="AE1941" s="245"/>
      <c r="AF1941" s="245"/>
      <c r="AG1941" s="245"/>
    </row>
    <row r="1942" spans="1:33" ht="26.4">
      <c r="A1942" s="246"/>
      <c r="B1942" s="245"/>
      <c r="C1942" s="245"/>
      <c r="D1942" s="245"/>
      <c r="E1942" s="245"/>
      <c r="F1942" s="187"/>
      <c r="G1942" s="245"/>
      <c r="H1942" s="245"/>
      <c r="I1942" s="245"/>
      <c r="P1942" s="366"/>
      <c r="R1942" s="355"/>
      <c r="S1942" s="369"/>
      <c r="T1942" s="324"/>
      <c r="U1942" s="85" ph="1"/>
      <c r="W1942" s="216"/>
      <c r="X1942" s="245"/>
      <c r="Y1942" s="187"/>
      <c r="Z1942" s="245"/>
      <c r="AA1942" s="245"/>
      <c r="AB1942" s="332"/>
      <c r="AD1942" s="245"/>
      <c r="AE1942" s="245"/>
      <c r="AF1942" s="245"/>
      <c r="AG1942" s="245"/>
    </row>
    <row r="1943" spans="1:33" ht="26.4">
      <c r="A1943" s="246"/>
      <c r="B1943" s="245"/>
      <c r="C1943" s="245"/>
      <c r="D1943" s="245"/>
      <c r="E1943" s="245"/>
      <c r="F1943" s="187"/>
      <c r="G1943" s="245"/>
      <c r="H1943" s="245"/>
      <c r="I1943" s="245"/>
      <c r="P1943" s="366"/>
      <c r="R1943" s="355"/>
      <c r="S1943" s="369"/>
      <c r="T1943" s="324"/>
      <c r="U1943" s="85" ph="1"/>
      <c r="W1943" s="216"/>
      <c r="X1943" s="245"/>
      <c r="Y1943" s="187"/>
      <c r="Z1943" s="245"/>
      <c r="AA1943" s="245"/>
      <c r="AB1943" s="332"/>
      <c r="AD1943" s="245"/>
      <c r="AE1943" s="245"/>
      <c r="AF1943" s="245"/>
      <c r="AG1943" s="245"/>
    </row>
    <row r="1944" spans="1:33" ht="26.4">
      <c r="A1944" s="246"/>
      <c r="B1944" s="245"/>
      <c r="C1944" s="245"/>
      <c r="D1944" s="245"/>
      <c r="E1944" s="245"/>
      <c r="F1944" s="187"/>
      <c r="G1944" s="245"/>
      <c r="H1944" s="245"/>
      <c r="I1944" s="245"/>
      <c r="P1944" s="366"/>
      <c r="R1944" s="355"/>
      <c r="S1944" s="369"/>
      <c r="T1944" s="324"/>
      <c r="U1944" s="85" ph="1"/>
      <c r="W1944" s="216"/>
      <c r="X1944" s="245"/>
      <c r="Y1944" s="187"/>
      <c r="Z1944" s="245"/>
      <c r="AA1944" s="245"/>
      <c r="AB1944" s="332"/>
      <c r="AD1944" s="245"/>
      <c r="AE1944" s="245"/>
      <c r="AF1944" s="245"/>
      <c r="AG1944" s="245"/>
    </row>
    <row r="1945" spans="1:33" ht="26.4">
      <c r="A1945" s="246"/>
      <c r="B1945" s="245"/>
      <c r="C1945" s="245"/>
      <c r="D1945" s="245"/>
      <c r="E1945" s="245"/>
      <c r="F1945" s="187"/>
      <c r="G1945" s="245"/>
      <c r="H1945" s="245"/>
      <c r="I1945" s="245"/>
      <c r="P1945" s="366"/>
      <c r="R1945" s="355"/>
      <c r="S1945" s="369"/>
      <c r="T1945" s="324"/>
      <c r="U1945" s="85" ph="1"/>
      <c r="W1945" s="216"/>
      <c r="X1945" s="245"/>
      <c r="Y1945" s="187"/>
      <c r="Z1945" s="245"/>
      <c r="AA1945" s="245"/>
      <c r="AB1945" s="332"/>
      <c r="AD1945" s="245"/>
      <c r="AE1945" s="245"/>
      <c r="AF1945" s="245"/>
      <c r="AG1945" s="245"/>
    </row>
    <row r="1946" spans="1:33" ht="26.4">
      <c r="A1946" s="246"/>
      <c r="B1946" s="245"/>
      <c r="C1946" s="245"/>
      <c r="D1946" s="245"/>
      <c r="E1946" s="245"/>
      <c r="F1946" s="187"/>
      <c r="G1946" s="245"/>
      <c r="H1946" s="245"/>
      <c r="I1946" s="245"/>
      <c r="P1946" s="366"/>
      <c r="R1946" s="355"/>
      <c r="S1946" s="369"/>
      <c r="T1946" s="324"/>
      <c r="U1946" s="85" ph="1"/>
      <c r="W1946" s="216"/>
      <c r="X1946" s="245"/>
      <c r="Y1946" s="187"/>
      <c r="Z1946" s="245"/>
      <c r="AA1946" s="245"/>
      <c r="AB1946" s="332"/>
      <c r="AD1946" s="245"/>
      <c r="AE1946" s="245"/>
      <c r="AF1946" s="245"/>
      <c r="AG1946" s="245"/>
    </row>
    <row r="1947" spans="1:33" ht="26.4">
      <c r="A1947" s="246"/>
      <c r="B1947" s="245"/>
      <c r="C1947" s="245"/>
      <c r="D1947" s="245"/>
      <c r="E1947" s="245"/>
      <c r="F1947" s="187"/>
      <c r="G1947" s="245"/>
      <c r="H1947" s="245"/>
      <c r="I1947" s="245"/>
      <c r="P1947" s="366"/>
      <c r="R1947" s="355"/>
      <c r="S1947" s="369"/>
      <c r="T1947" s="324"/>
      <c r="U1947" s="85" ph="1"/>
      <c r="W1947" s="216"/>
      <c r="X1947" s="245"/>
      <c r="Y1947" s="187"/>
      <c r="Z1947" s="245"/>
      <c r="AA1947" s="245"/>
      <c r="AB1947" s="332"/>
      <c r="AD1947" s="245"/>
      <c r="AE1947" s="245"/>
      <c r="AF1947" s="245"/>
      <c r="AG1947" s="245"/>
    </row>
    <row r="1948" spans="1:33" ht="26.4">
      <c r="A1948" s="246"/>
      <c r="B1948" s="245"/>
      <c r="C1948" s="245"/>
      <c r="D1948" s="245"/>
      <c r="E1948" s="245"/>
      <c r="F1948" s="187"/>
      <c r="G1948" s="245"/>
      <c r="H1948" s="245"/>
      <c r="I1948" s="245"/>
      <c r="P1948" s="366"/>
      <c r="R1948" s="355"/>
      <c r="S1948" s="369"/>
      <c r="T1948" s="324"/>
      <c r="U1948" s="85" ph="1"/>
      <c r="W1948" s="216"/>
      <c r="X1948" s="245"/>
      <c r="Y1948" s="187"/>
      <c r="Z1948" s="245"/>
      <c r="AA1948" s="245"/>
      <c r="AB1948" s="332"/>
      <c r="AD1948" s="245"/>
      <c r="AE1948" s="245"/>
      <c r="AF1948" s="245"/>
      <c r="AG1948" s="245"/>
    </row>
    <row r="1949" spans="1:33" ht="26.4">
      <c r="A1949" s="246"/>
      <c r="B1949" s="245"/>
      <c r="C1949" s="245"/>
      <c r="D1949" s="245"/>
      <c r="E1949" s="245"/>
      <c r="F1949" s="187"/>
      <c r="G1949" s="245"/>
      <c r="H1949" s="245"/>
      <c r="I1949" s="245"/>
      <c r="P1949" s="366"/>
      <c r="R1949" s="355"/>
      <c r="S1949" s="369"/>
      <c r="T1949" s="324"/>
      <c r="U1949" s="85" ph="1"/>
      <c r="W1949" s="216"/>
      <c r="X1949" s="245"/>
      <c r="Y1949" s="187"/>
      <c r="Z1949" s="245"/>
      <c r="AA1949" s="245"/>
      <c r="AB1949" s="332"/>
      <c r="AD1949" s="245"/>
      <c r="AE1949" s="245"/>
      <c r="AF1949" s="245"/>
      <c r="AG1949" s="245"/>
    </row>
    <row r="1950" spans="1:33" ht="26.4">
      <c r="A1950" s="246"/>
      <c r="B1950" s="245"/>
      <c r="C1950" s="245"/>
      <c r="D1950" s="245"/>
      <c r="E1950" s="245"/>
      <c r="F1950" s="187"/>
      <c r="G1950" s="245"/>
      <c r="H1950" s="245"/>
      <c r="I1950" s="245"/>
      <c r="P1950" s="366"/>
      <c r="R1950" s="355"/>
      <c r="S1950" s="369"/>
      <c r="T1950" s="324"/>
      <c r="U1950" s="85" ph="1"/>
      <c r="W1950" s="216"/>
      <c r="X1950" s="245"/>
      <c r="Y1950" s="187"/>
      <c r="Z1950" s="245"/>
      <c r="AA1950" s="245"/>
      <c r="AB1950" s="332"/>
      <c r="AD1950" s="245"/>
      <c r="AE1950" s="245"/>
      <c r="AF1950" s="245"/>
      <c r="AG1950" s="245"/>
    </row>
    <row r="1951" spans="1:33" ht="26.4">
      <c r="A1951" s="246"/>
      <c r="B1951" s="245"/>
      <c r="C1951" s="245"/>
      <c r="D1951" s="245"/>
      <c r="E1951" s="245"/>
      <c r="F1951" s="187"/>
      <c r="G1951" s="245"/>
      <c r="H1951" s="245"/>
      <c r="I1951" s="245"/>
      <c r="P1951" s="366"/>
      <c r="R1951" s="355"/>
      <c r="S1951" s="369"/>
      <c r="T1951" s="324"/>
      <c r="U1951" s="85" ph="1"/>
      <c r="W1951" s="216"/>
      <c r="X1951" s="245"/>
      <c r="Y1951" s="187"/>
      <c r="Z1951" s="245"/>
      <c r="AA1951" s="245"/>
      <c r="AB1951" s="332"/>
      <c r="AD1951" s="245"/>
      <c r="AE1951" s="245"/>
      <c r="AF1951" s="245"/>
      <c r="AG1951" s="245"/>
    </row>
    <row r="1952" spans="1:33" ht="26.4">
      <c r="A1952" s="246"/>
      <c r="B1952" s="245"/>
      <c r="C1952" s="245"/>
      <c r="D1952" s="245"/>
      <c r="E1952" s="245"/>
      <c r="F1952" s="187"/>
      <c r="G1952" s="245"/>
      <c r="H1952" s="245"/>
      <c r="I1952" s="245"/>
      <c r="P1952" s="366"/>
      <c r="R1952" s="355"/>
      <c r="S1952" s="369"/>
      <c r="T1952" s="324"/>
      <c r="U1952" s="85" ph="1"/>
      <c r="W1952" s="216"/>
      <c r="X1952" s="245"/>
      <c r="Y1952" s="187"/>
      <c r="Z1952" s="245"/>
      <c r="AA1952" s="245"/>
      <c r="AB1952" s="332"/>
      <c r="AD1952" s="245"/>
      <c r="AE1952" s="245"/>
      <c r="AF1952" s="245"/>
      <c r="AG1952" s="245"/>
    </row>
    <row r="1953" spans="1:33" ht="26.4">
      <c r="A1953" s="246"/>
      <c r="B1953" s="245"/>
      <c r="C1953" s="245"/>
      <c r="D1953" s="245"/>
      <c r="E1953" s="245"/>
      <c r="F1953" s="187"/>
      <c r="G1953" s="245"/>
      <c r="H1953" s="245"/>
      <c r="I1953" s="245"/>
      <c r="P1953" s="366"/>
      <c r="R1953" s="355"/>
      <c r="S1953" s="369"/>
      <c r="T1953" s="324"/>
      <c r="U1953" s="85" ph="1"/>
      <c r="W1953" s="216"/>
      <c r="X1953" s="245"/>
      <c r="Y1953" s="187"/>
      <c r="Z1953" s="245"/>
      <c r="AA1953" s="245"/>
      <c r="AB1953" s="332"/>
      <c r="AD1953" s="245"/>
      <c r="AE1953" s="245"/>
      <c r="AF1953" s="245"/>
      <c r="AG1953" s="245"/>
    </row>
    <row r="1954" spans="1:33" ht="26.4">
      <c r="A1954" s="246"/>
      <c r="B1954" s="245"/>
      <c r="C1954" s="245"/>
      <c r="D1954" s="245"/>
      <c r="E1954" s="245"/>
      <c r="F1954" s="187"/>
      <c r="G1954" s="245"/>
      <c r="H1954" s="245"/>
      <c r="I1954" s="245"/>
      <c r="P1954" s="366"/>
      <c r="R1954" s="355"/>
      <c r="S1954" s="369"/>
      <c r="T1954" s="324"/>
      <c r="U1954" s="85" ph="1"/>
      <c r="W1954" s="216"/>
      <c r="X1954" s="245"/>
      <c r="Y1954" s="187"/>
      <c r="Z1954" s="245"/>
      <c r="AA1954" s="245"/>
      <c r="AB1954" s="332"/>
      <c r="AD1954" s="245"/>
      <c r="AE1954" s="245"/>
      <c r="AF1954" s="245"/>
      <c r="AG1954" s="245"/>
    </row>
    <row r="1955" spans="1:33" ht="26.4">
      <c r="A1955" s="246"/>
      <c r="B1955" s="245"/>
      <c r="C1955" s="245"/>
      <c r="D1955" s="245"/>
      <c r="E1955" s="245"/>
      <c r="F1955" s="187"/>
      <c r="G1955" s="245"/>
      <c r="H1955" s="245"/>
      <c r="I1955" s="245"/>
      <c r="P1955" s="366"/>
      <c r="R1955" s="355"/>
      <c r="S1955" s="369"/>
      <c r="T1955" s="324"/>
      <c r="U1955" s="85" ph="1"/>
      <c r="W1955" s="216"/>
      <c r="X1955" s="245"/>
      <c r="Y1955" s="187"/>
      <c r="Z1955" s="245"/>
      <c r="AA1955" s="245"/>
      <c r="AB1955" s="332"/>
      <c r="AD1955" s="245"/>
      <c r="AE1955" s="245"/>
      <c r="AF1955" s="245"/>
      <c r="AG1955" s="245"/>
    </row>
    <row r="1956" spans="1:33" ht="26.4">
      <c r="A1956" s="246"/>
      <c r="B1956" s="245"/>
      <c r="C1956" s="245"/>
      <c r="D1956" s="245"/>
      <c r="E1956" s="245"/>
      <c r="F1956" s="187"/>
      <c r="G1956" s="245"/>
      <c r="H1956" s="245"/>
      <c r="I1956" s="245"/>
      <c r="P1956" s="366"/>
      <c r="R1956" s="355"/>
      <c r="S1956" s="369"/>
      <c r="T1956" s="324"/>
      <c r="U1956" s="85" ph="1"/>
      <c r="W1956" s="216"/>
      <c r="X1956" s="245"/>
      <c r="Y1956" s="187"/>
      <c r="Z1956" s="245"/>
      <c r="AA1956" s="245"/>
      <c r="AB1956" s="332"/>
      <c r="AD1956" s="245"/>
      <c r="AE1956" s="245"/>
      <c r="AF1956" s="245"/>
      <c r="AG1956" s="245"/>
    </row>
    <row r="1957" spans="1:33" ht="26.4">
      <c r="A1957" s="246"/>
      <c r="B1957" s="245"/>
      <c r="C1957" s="245"/>
      <c r="D1957" s="245"/>
      <c r="E1957" s="245"/>
      <c r="F1957" s="187"/>
      <c r="G1957" s="245"/>
      <c r="H1957" s="245"/>
      <c r="I1957" s="245"/>
      <c r="P1957" s="366"/>
      <c r="R1957" s="355"/>
      <c r="S1957" s="369"/>
      <c r="T1957" s="324"/>
      <c r="U1957" s="85" ph="1"/>
      <c r="W1957" s="216"/>
      <c r="X1957" s="245"/>
      <c r="Y1957" s="187"/>
      <c r="Z1957" s="245"/>
      <c r="AA1957" s="245"/>
      <c r="AB1957" s="332"/>
      <c r="AD1957" s="245"/>
      <c r="AE1957" s="245"/>
      <c r="AF1957" s="245"/>
      <c r="AG1957" s="245"/>
    </row>
    <row r="1958" spans="1:33" ht="26.4">
      <c r="A1958" s="246"/>
      <c r="B1958" s="245"/>
      <c r="C1958" s="245"/>
      <c r="D1958" s="245"/>
      <c r="E1958" s="245"/>
      <c r="F1958" s="187"/>
      <c r="G1958" s="245"/>
      <c r="H1958" s="245"/>
      <c r="I1958" s="245"/>
      <c r="P1958" s="366"/>
      <c r="R1958" s="355"/>
      <c r="S1958" s="369"/>
      <c r="T1958" s="324"/>
      <c r="U1958" s="85" ph="1"/>
      <c r="W1958" s="216"/>
      <c r="X1958" s="245"/>
      <c r="Y1958" s="187"/>
      <c r="Z1958" s="245"/>
      <c r="AA1958" s="245"/>
      <c r="AB1958" s="332"/>
      <c r="AD1958" s="245"/>
      <c r="AE1958" s="245"/>
      <c r="AF1958" s="245"/>
      <c r="AG1958" s="245"/>
    </row>
    <row r="1959" spans="1:33" ht="26.4">
      <c r="A1959" s="246"/>
      <c r="B1959" s="245"/>
      <c r="C1959" s="245"/>
      <c r="D1959" s="245"/>
      <c r="E1959" s="245"/>
      <c r="F1959" s="187"/>
      <c r="G1959" s="245"/>
      <c r="H1959" s="245"/>
      <c r="I1959" s="245"/>
      <c r="P1959" s="366"/>
      <c r="R1959" s="355"/>
      <c r="S1959" s="369"/>
      <c r="T1959" s="324"/>
      <c r="U1959" s="85" ph="1"/>
      <c r="W1959" s="216"/>
      <c r="X1959" s="245"/>
      <c r="Y1959" s="187"/>
      <c r="Z1959" s="245"/>
      <c r="AA1959" s="245"/>
      <c r="AB1959" s="332"/>
      <c r="AD1959" s="245"/>
      <c r="AE1959" s="245"/>
      <c r="AF1959" s="245"/>
      <c r="AG1959" s="245"/>
    </row>
    <row r="1960" spans="1:33" ht="26.4">
      <c r="A1960" s="246"/>
      <c r="B1960" s="245"/>
      <c r="C1960" s="245"/>
      <c r="D1960" s="245"/>
      <c r="E1960" s="245"/>
      <c r="F1960" s="187"/>
      <c r="G1960" s="245"/>
      <c r="H1960" s="245"/>
      <c r="I1960" s="245"/>
      <c r="P1960" s="366"/>
      <c r="R1960" s="355"/>
      <c r="S1960" s="369"/>
      <c r="T1960" s="324"/>
      <c r="U1960" s="85" ph="1"/>
      <c r="W1960" s="216"/>
      <c r="X1960" s="245"/>
      <c r="Y1960" s="187"/>
      <c r="Z1960" s="245"/>
      <c r="AA1960" s="245"/>
      <c r="AB1960" s="332"/>
      <c r="AD1960" s="245"/>
      <c r="AE1960" s="245"/>
      <c r="AF1960" s="245"/>
      <c r="AG1960" s="245"/>
    </row>
    <row r="1961" spans="1:33" ht="26.4">
      <c r="A1961" s="246"/>
      <c r="B1961" s="245"/>
      <c r="C1961" s="245"/>
      <c r="D1961" s="245"/>
      <c r="E1961" s="245"/>
      <c r="F1961" s="187"/>
      <c r="G1961" s="245"/>
      <c r="H1961" s="245"/>
      <c r="I1961" s="245"/>
      <c r="P1961" s="366"/>
      <c r="R1961" s="355"/>
      <c r="S1961" s="369"/>
      <c r="T1961" s="324"/>
      <c r="U1961" s="85" ph="1"/>
      <c r="W1961" s="216"/>
      <c r="X1961" s="245"/>
      <c r="Y1961" s="187"/>
      <c r="Z1961" s="245"/>
      <c r="AA1961" s="245"/>
      <c r="AB1961" s="332"/>
      <c r="AD1961" s="245"/>
      <c r="AE1961" s="245"/>
      <c r="AF1961" s="245"/>
      <c r="AG1961" s="245"/>
    </row>
    <row r="1962" spans="1:33" ht="26.4">
      <c r="A1962" s="246"/>
      <c r="B1962" s="245"/>
      <c r="C1962" s="245"/>
      <c r="D1962" s="245"/>
      <c r="E1962" s="245"/>
      <c r="F1962" s="187"/>
      <c r="G1962" s="245"/>
      <c r="H1962" s="245"/>
      <c r="I1962" s="245"/>
      <c r="P1962" s="366"/>
      <c r="R1962" s="355"/>
      <c r="S1962" s="369"/>
      <c r="T1962" s="324"/>
      <c r="U1962" s="85" ph="1"/>
      <c r="W1962" s="216"/>
      <c r="X1962" s="245"/>
      <c r="Y1962" s="187"/>
      <c r="Z1962" s="245"/>
      <c r="AA1962" s="245"/>
      <c r="AB1962" s="332"/>
      <c r="AD1962" s="245"/>
      <c r="AE1962" s="245"/>
      <c r="AF1962" s="245"/>
      <c r="AG1962" s="245"/>
    </row>
    <row r="1963" spans="1:33" ht="26.4">
      <c r="A1963" s="246"/>
      <c r="B1963" s="245"/>
      <c r="C1963" s="245"/>
      <c r="D1963" s="245"/>
      <c r="E1963" s="245"/>
      <c r="F1963" s="187"/>
      <c r="G1963" s="245"/>
      <c r="H1963" s="245"/>
      <c r="I1963" s="245"/>
      <c r="P1963" s="366"/>
      <c r="R1963" s="355"/>
      <c r="S1963" s="369"/>
      <c r="T1963" s="324"/>
      <c r="U1963" s="85" ph="1"/>
      <c r="W1963" s="216"/>
      <c r="X1963" s="245"/>
      <c r="Y1963" s="187"/>
      <c r="Z1963" s="245"/>
      <c r="AA1963" s="245"/>
      <c r="AB1963" s="332"/>
      <c r="AD1963" s="245"/>
      <c r="AE1963" s="245"/>
      <c r="AF1963" s="245"/>
      <c r="AG1963" s="245"/>
    </row>
    <row r="1964" spans="1:33" ht="26.4">
      <c r="A1964" s="246"/>
      <c r="B1964" s="245"/>
      <c r="C1964" s="245"/>
      <c r="D1964" s="245"/>
      <c r="E1964" s="245"/>
      <c r="F1964" s="187"/>
      <c r="G1964" s="245"/>
      <c r="H1964" s="245"/>
      <c r="I1964" s="245"/>
      <c r="P1964" s="366"/>
      <c r="R1964" s="355"/>
      <c r="S1964" s="369"/>
      <c r="T1964" s="324"/>
      <c r="U1964" s="85" ph="1"/>
      <c r="W1964" s="216"/>
      <c r="X1964" s="245"/>
      <c r="Y1964" s="187"/>
      <c r="Z1964" s="245"/>
      <c r="AA1964" s="245"/>
      <c r="AB1964" s="332"/>
      <c r="AD1964" s="245"/>
      <c r="AE1964" s="245"/>
      <c r="AF1964" s="245"/>
      <c r="AG1964" s="245"/>
    </row>
    <row r="1965" spans="1:33" ht="26.4">
      <c r="A1965" s="246"/>
      <c r="B1965" s="245"/>
      <c r="C1965" s="245"/>
      <c r="D1965" s="245"/>
      <c r="E1965" s="245"/>
      <c r="F1965" s="187"/>
      <c r="G1965" s="245"/>
      <c r="H1965" s="245"/>
      <c r="I1965" s="245"/>
      <c r="P1965" s="366"/>
      <c r="R1965" s="355"/>
      <c r="S1965" s="369"/>
      <c r="T1965" s="324"/>
      <c r="U1965" s="85" ph="1"/>
      <c r="W1965" s="216"/>
      <c r="X1965" s="245"/>
      <c r="Y1965" s="187"/>
      <c r="Z1965" s="245"/>
      <c r="AA1965" s="245"/>
      <c r="AB1965" s="332"/>
      <c r="AD1965" s="245"/>
      <c r="AE1965" s="245"/>
      <c r="AF1965" s="245"/>
      <c r="AG1965" s="245"/>
    </row>
    <row r="1966" spans="1:33" ht="26.4">
      <c r="A1966" s="246"/>
      <c r="B1966" s="245"/>
      <c r="C1966" s="245"/>
      <c r="D1966" s="245"/>
      <c r="E1966" s="245"/>
      <c r="F1966" s="187"/>
      <c r="G1966" s="245"/>
      <c r="H1966" s="245"/>
      <c r="I1966" s="245"/>
      <c r="P1966" s="366"/>
      <c r="R1966" s="355"/>
      <c r="S1966" s="369"/>
      <c r="T1966" s="324"/>
      <c r="U1966" s="85" ph="1"/>
      <c r="W1966" s="216"/>
      <c r="X1966" s="245"/>
      <c r="Y1966" s="187"/>
      <c r="Z1966" s="245"/>
      <c r="AA1966" s="245"/>
      <c r="AB1966" s="332"/>
      <c r="AD1966" s="245"/>
      <c r="AE1966" s="245"/>
      <c r="AF1966" s="245"/>
      <c r="AG1966" s="245"/>
    </row>
    <row r="1967" spans="1:33" ht="26.4">
      <c r="A1967" s="246"/>
      <c r="B1967" s="245"/>
      <c r="C1967" s="245"/>
      <c r="D1967" s="245"/>
      <c r="E1967" s="245"/>
      <c r="F1967" s="187"/>
      <c r="G1967" s="245"/>
      <c r="H1967" s="245"/>
      <c r="I1967" s="245"/>
      <c r="P1967" s="366"/>
      <c r="R1967" s="355"/>
      <c r="S1967" s="369"/>
      <c r="T1967" s="324"/>
      <c r="U1967" s="85" ph="1"/>
      <c r="W1967" s="216"/>
      <c r="X1967" s="245"/>
      <c r="Y1967" s="187"/>
      <c r="Z1967" s="245"/>
      <c r="AA1967" s="245"/>
      <c r="AB1967" s="332"/>
      <c r="AD1967" s="245"/>
      <c r="AE1967" s="245"/>
      <c r="AF1967" s="245"/>
      <c r="AG1967" s="245"/>
    </row>
    <row r="1968" spans="1:33" ht="26.4">
      <c r="A1968" s="246"/>
      <c r="B1968" s="245"/>
      <c r="C1968" s="245"/>
      <c r="D1968" s="245"/>
      <c r="E1968" s="245"/>
      <c r="F1968" s="187"/>
      <c r="G1968" s="245"/>
      <c r="H1968" s="245"/>
      <c r="I1968" s="245"/>
      <c r="P1968" s="366"/>
      <c r="R1968" s="355"/>
      <c r="S1968" s="369"/>
      <c r="T1968" s="324"/>
      <c r="U1968" s="85" ph="1"/>
      <c r="W1968" s="216"/>
      <c r="X1968" s="245"/>
      <c r="Y1968" s="187"/>
      <c r="Z1968" s="245"/>
      <c r="AA1968" s="245"/>
      <c r="AB1968" s="332"/>
      <c r="AD1968" s="245"/>
      <c r="AE1968" s="245"/>
      <c r="AF1968" s="245"/>
      <c r="AG1968" s="245"/>
    </row>
    <row r="1969" spans="1:33" ht="26.4">
      <c r="A1969" s="246"/>
      <c r="B1969" s="245"/>
      <c r="C1969" s="245"/>
      <c r="D1969" s="245"/>
      <c r="E1969" s="245"/>
      <c r="F1969" s="187"/>
      <c r="G1969" s="245"/>
      <c r="H1969" s="245"/>
      <c r="I1969" s="245"/>
      <c r="P1969" s="366"/>
      <c r="R1969" s="355"/>
      <c r="S1969" s="369"/>
      <c r="T1969" s="324"/>
      <c r="U1969" s="85" ph="1"/>
      <c r="W1969" s="216"/>
      <c r="X1969" s="245"/>
      <c r="Y1969" s="187"/>
      <c r="Z1969" s="245"/>
      <c r="AA1969" s="245"/>
      <c r="AB1969" s="332"/>
      <c r="AD1969" s="245"/>
      <c r="AE1969" s="245"/>
      <c r="AF1969" s="245"/>
      <c r="AG1969" s="245"/>
    </row>
    <row r="1970" spans="1:33" ht="26.4">
      <c r="A1970" s="246"/>
      <c r="B1970" s="245"/>
      <c r="C1970" s="245"/>
      <c r="D1970" s="245"/>
      <c r="E1970" s="245"/>
      <c r="F1970" s="187"/>
      <c r="G1970" s="245"/>
      <c r="H1970" s="245"/>
      <c r="I1970" s="245"/>
      <c r="P1970" s="366"/>
      <c r="R1970" s="355"/>
      <c r="S1970" s="369"/>
      <c r="T1970" s="324"/>
      <c r="U1970" s="85" ph="1"/>
      <c r="W1970" s="216"/>
      <c r="X1970" s="245"/>
      <c r="Y1970" s="187"/>
      <c r="Z1970" s="245"/>
      <c r="AA1970" s="245"/>
      <c r="AB1970" s="332"/>
      <c r="AD1970" s="245"/>
      <c r="AE1970" s="245"/>
      <c r="AF1970" s="245"/>
      <c r="AG1970" s="245"/>
    </row>
    <row r="1971" spans="1:33" ht="26.4">
      <c r="A1971" s="246"/>
      <c r="B1971" s="245"/>
      <c r="C1971" s="245"/>
      <c r="D1971" s="245"/>
      <c r="E1971" s="245"/>
      <c r="F1971" s="187"/>
      <c r="G1971" s="245"/>
      <c r="H1971" s="245"/>
      <c r="I1971" s="245"/>
      <c r="P1971" s="366"/>
      <c r="R1971" s="355"/>
      <c r="S1971" s="369"/>
      <c r="T1971" s="324"/>
      <c r="U1971" s="85" ph="1"/>
      <c r="W1971" s="216"/>
      <c r="X1971" s="245"/>
      <c r="Y1971" s="187"/>
      <c r="Z1971" s="245"/>
      <c r="AA1971" s="245"/>
      <c r="AB1971" s="332"/>
      <c r="AD1971" s="245"/>
      <c r="AE1971" s="245"/>
      <c r="AF1971" s="245"/>
      <c r="AG1971" s="245"/>
    </row>
    <row r="1972" spans="1:33" ht="26.4">
      <c r="A1972" s="246"/>
      <c r="B1972" s="245"/>
      <c r="C1972" s="245"/>
      <c r="D1972" s="245"/>
      <c r="E1972" s="245"/>
      <c r="F1972" s="187"/>
      <c r="G1972" s="245"/>
      <c r="H1972" s="245"/>
      <c r="I1972" s="245"/>
      <c r="P1972" s="366"/>
      <c r="R1972" s="355"/>
      <c r="S1972" s="369"/>
      <c r="T1972" s="324"/>
      <c r="U1972" s="85" ph="1"/>
      <c r="W1972" s="216"/>
      <c r="X1972" s="245"/>
      <c r="Y1972" s="187"/>
      <c r="Z1972" s="245"/>
      <c r="AA1972" s="245"/>
      <c r="AB1972" s="332"/>
      <c r="AD1972" s="245"/>
      <c r="AE1972" s="245"/>
      <c r="AF1972" s="245"/>
      <c r="AG1972" s="245"/>
    </row>
    <row r="1973" spans="1:33" ht="26.4">
      <c r="A1973" s="246"/>
      <c r="B1973" s="245"/>
      <c r="C1973" s="245"/>
      <c r="D1973" s="245"/>
      <c r="E1973" s="245"/>
      <c r="F1973" s="187"/>
      <c r="G1973" s="245"/>
      <c r="H1973" s="245"/>
      <c r="I1973" s="245"/>
      <c r="P1973" s="366"/>
      <c r="R1973" s="355"/>
      <c r="S1973" s="369"/>
      <c r="T1973" s="324"/>
      <c r="U1973" s="85" ph="1"/>
      <c r="W1973" s="216"/>
      <c r="X1973" s="245"/>
      <c r="Y1973" s="187"/>
      <c r="Z1973" s="245"/>
      <c r="AA1973" s="245"/>
      <c r="AB1973" s="332"/>
      <c r="AD1973" s="245"/>
      <c r="AE1973" s="245"/>
      <c r="AF1973" s="245"/>
      <c r="AG1973" s="245"/>
    </row>
    <row r="1974" spans="1:33" ht="26.4">
      <c r="A1974" s="246"/>
      <c r="B1974" s="245"/>
      <c r="C1974" s="245"/>
      <c r="D1974" s="245"/>
      <c r="E1974" s="245"/>
      <c r="F1974" s="187"/>
      <c r="G1974" s="245"/>
      <c r="H1974" s="245"/>
      <c r="I1974" s="245"/>
      <c r="P1974" s="366"/>
      <c r="R1974" s="355"/>
      <c r="S1974" s="369"/>
      <c r="T1974" s="324"/>
      <c r="U1974" s="85" ph="1"/>
      <c r="W1974" s="216"/>
      <c r="X1974" s="245"/>
      <c r="Y1974" s="187"/>
      <c r="Z1974" s="245"/>
      <c r="AA1974" s="245"/>
      <c r="AB1974" s="332"/>
      <c r="AD1974" s="245"/>
      <c r="AE1974" s="245"/>
      <c r="AF1974" s="245"/>
      <c r="AG1974" s="245"/>
    </row>
    <row r="1975" spans="1:33" ht="26.4">
      <c r="A1975" s="246"/>
      <c r="B1975" s="245"/>
      <c r="C1975" s="245"/>
      <c r="D1975" s="245"/>
      <c r="E1975" s="245"/>
      <c r="F1975" s="187"/>
      <c r="G1975" s="245"/>
      <c r="H1975" s="245"/>
      <c r="I1975" s="245"/>
      <c r="P1975" s="366"/>
      <c r="R1975" s="355"/>
      <c r="S1975" s="369"/>
      <c r="T1975" s="324"/>
      <c r="U1975" s="85" ph="1"/>
      <c r="W1975" s="216"/>
      <c r="X1975" s="245"/>
      <c r="Y1975" s="187"/>
      <c r="Z1975" s="245"/>
      <c r="AA1975" s="245"/>
      <c r="AB1975" s="332"/>
      <c r="AD1975" s="245"/>
      <c r="AE1975" s="245"/>
      <c r="AF1975" s="245"/>
      <c r="AG1975" s="245"/>
    </row>
    <row r="1976" spans="1:33" ht="26.4">
      <c r="A1976" s="246"/>
      <c r="B1976" s="245"/>
      <c r="C1976" s="245"/>
      <c r="D1976" s="245"/>
      <c r="E1976" s="245"/>
      <c r="F1976" s="187"/>
      <c r="G1976" s="245"/>
      <c r="H1976" s="245"/>
      <c r="I1976" s="245"/>
      <c r="P1976" s="366"/>
      <c r="R1976" s="355"/>
      <c r="S1976" s="369"/>
      <c r="T1976" s="324"/>
      <c r="U1976" s="85" ph="1"/>
      <c r="W1976" s="216"/>
      <c r="X1976" s="245"/>
      <c r="Y1976" s="187"/>
      <c r="Z1976" s="245"/>
      <c r="AA1976" s="245"/>
      <c r="AB1976" s="332"/>
      <c r="AD1976" s="245"/>
      <c r="AE1976" s="245"/>
      <c r="AF1976" s="245"/>
      <c r="AG1976" s="245"/>
    </row>
    <row r="1977" spans="1:33" ht="26.4">
      <c r="A1977" s="246"/>
      <c r="B1977" s="245"/>
      <c r="C1977" s="245"/>
      <c r="D1977" s="245"/>
      <c r="E1977" s="245"/>
      <c r="F1977" s="187"/>
      <c r="G1977" s="245"/>
      <c r="H1977" s="245"/>
      <c r="I1977" s="245"/>
      <c r="P1977" s="366"/>
      <c r="R1977" s="355"/>
      <c r="S1977" s="369"/>
      <c r="T1977" s="324"/>
      <c r="U1977" s="85" ph="1"/>
      <c r="W1977" s="216"/>
      <c r="X1977" s="245"/>
      <c r="Y1977" s="187"/>
      <c r="Z1977" s="245"/>
      <c r="AA1977" s="245"/>
      <c r="AB1977" s="332"/>
      <c r="AD1977" s="245"/>
      <c r="AE1977" s="245"/>
      <c r="AF1977" s="245"/>
      <c r="AG1977" s="245"/>
    </row>
    <row r="1978" spans="1:33" ht="26.4">
      <c r="A1978" s="246"/>
      <c r="B1978" s="245"/>
      <c r="C1978" s="245"/>
      <c r="D1978" s="245"/>
      <c r="E1978" s="245"/>
      <c r="F1978" s="187"/>
      <c r="G1978" s="245"/>
      <c r="H1978" s="245"/>
      <c r="I1978" s="245"/>
      <c r="P1978" s="366"/>
      <c r="R1978" s="355"/>
      <c r="S1978" s="369"/>
      <c r="T1978" s="324"/>
      <c r="U1978" s="85" ph="1"/>
      <c r="W1978" s="216"/>
      <c r="X1978" s="245"/>
      <c r="Y1978" s="187"/>
      <c r="Z1978" s="245"/>
      <c r="AA1978" s="245"/>
      <c r="AB1978" s="332"/>
      <c r="AD1978" s="245"/>
      <c r="AE1978" s="245"/>
      <c r="AF1978" s="245"/>
      <c r="AG1978" s="245"/>
    </row>
    <row r="1979" spans="1:33" ht="26.4">
      <c r="A1979" s="246"/>
      <c r="B1979" s="245"/>
      <c r="C1979" s="245"/>
      <c r="D1979" s="245"/>
      <c r="E1979" s="245"/>
      <c r="F1979" s="187"/>
      <c r="G1979" s="245"/>
      <c r="H1979" s="245"/>
      <c r="I1979" s="245"/>
      <c r="P1979" s="366"/>
      <c r="R1979" s="355"/>
      <c r="S1979" s="369"/>
      <c r="T1979" s="324"/>
      <c r="U1979" s="85" ph="1"/>
      <c r="W1979" s="216"/>
      <c r="X1979" s="245"/>
      <c r="Y1979" s="187"/>
      <c r="Z1979" s="245"/>
      <c r="AA1979" s="245"/>
      <c r="AB1979" s="332"/>
      <c r="AD1979" s="245"/>
      <c r="AE1979" s="245"/>
      <c r="AF1979" s="245"/>
      <c r="AG1979" s="245"/>
    </row>
    <row r="1980" spans="1:33" ht="26.4">
      <c r="A1980" s="246"/>
      <c r="B1980" s="245"/>
      <c r="C1980" s="245"/>
      <c r="D1980" s="245"/>
      <c r="E1980" s="245"/>
      <c r="F1980" s="187"/>
      <c r="G1980" s="245"/>
      <c r="H1980" s="245"/>
      <c r="I1980" s="245"/>
      <c r="P1980" s="366"/>
      <c r="R1980" s="355"/>
      <c r="S1980" s="369"/>
      <c r="T1980" s="324"/>
      <c r="U1980" s="85" ph="1"/>
      <c r="W1980" s="216"/>
      <c r="X1980" s="245"/>
      <c r="Y1980" s="187"/>
      <c r="Z1980" s="245"/>
      <c r="AA1980" s="245"/>
      <c r="AB1980" s="332"/>
      <c r="AD1980" s="245"/>
      <c r="AE1980" s="245"/>
      <c r="AF1980" s="245"/>
      <c r="AG1980" s="245"/>
    </row>
    <row r="1981" spans="1:33" ht="26.4">
      <c r="A1981" s="246"/>
      <c r="B1981" s="245"/>
      <c r="C1981" s="245"/>
      <c r="D1981" s="245"/>
      <c r="E1981" s="245"/>
      <c r="F1981" s="187"/>
      <c r="G1981" s="245"/>
      <c r="H1981" s="245"/>
      <c r="I1981" s="245"/>
      <c r="P1981" s="366"/>
      <c r="R1981" s="355"/>
      <c r="S1981" s="369"/>
      <c r="T1981" s="324"/>
      <c r="U1981" s="85" ph="1"/>
      <c r="W1981" s="216"/>
      <c r="X1981" s="245"/>
      <c r="Y1981" s="187"/>
      <c r="Z1981" s="245"/>
      <c r="AA1981" s="245"/>
      <c r="AB1981" s="332"/>
      <c r="AD1981" s="245"/>
      <c r="AE1981" s="245"/>
      <c r="AF1981" s="245"/>
      <c r="AG1981" s="245"/>
    </row>
    <row r="1982" spans="1:33" ht="26.4">
      <c r="A1982" s="246"/>
      <c r="B1982" s="245"/>
      <c r="C1982" s="245"/>
      <c r="D1982" s="245"/>
      <c r="E1982" s="245"/>
      <c r="F1982" s="187"/>
      <c r="G1982" s="245"/>
      <c r="H1982" s="245"/>
      <c r="I1982" s="245"/>
      <c r="P1982" s="366"/>
      <c r="R1982" s="355"/>
      <c r="S1982" s="369"/>
      <c r="T1982" s="324"/>
      <c r="U1982" s="85" ph="1"/>
      <c r="W1982" s="216"/>
      <c r="X1982" s="245"/>
      <c r="Y1982" s="187"/>
      <c r="Z1982" s="245"/>
      <c r="AA1982" s="245"/>
      <c r="AB1982" s="332"/>
      <c r="AD1982" s="245"/>
      <c r="AE1982" s="245"/>
      <c r="AF1982" s="245"/>
      <c r="AG1982" s="245"/>
    </row>
    <row r="1983" spans="1:33" ht="26.4">
      <c r="A1983" s="246"/>
      <c r="B1983" s="245"/>
      <c r="C1983" s="245"/>
      <c r="D1983" s="245"/>
      <c r="E1983" s="245"/>
      <c r="F1983" s="187"/>
      <c r="G1983" s="245"/>
      <c r="H1983" s="245"/>
      <c r="I1983" s="245"/>
      <c r="P1983" s="366"/>
      <c r="R1983" s="355"/>
      <c r="S1983" s="369"/>
      <c r="T1983" s="324"/>
      <c r="U1983" s="85" ph="1"/>
      <c r="W1983" s="216"/>
      <c r="X1983" s="245"/>
      <c r="Y1983" s="187"/>
      <c r="Z1983" s="245"/>
      <c r="AA1983" s="245"/>
      <c r="AB1983" s="332"/>
      <c r="AD1983" s="245"/>
      <c r="AE1983" s="245"/>
      <c r="AF1983" s="245"/>
      <c r="AG1983" s="245"/>
    </row>
    <row r="1984" spans="1:33" ht="26.4">
      <c r="A1984" s="246"/>
      <c r="B1984" s="245"/>
      <c r="C1984" s="245"/>
      <c r="D1984" s="245"/>
      <c r="E1984" s="245"/>
      <c r="F1984" s="187"/>
      <c r="G1984" s="245"/>
      <c r="H1984" s="245"/>
      <c r="I1984" s="245"/>
      <c r="P1984" s="366"/>
      <c r="R1984" s="355"/>
      <c r="S1984" s="369"/>
      <c r="T1984" s="324"/>
      <c r="U1984" s="85" ph="1"/>
      <c r="W1984" s="216"/>
      <c r="X1984" s="245"/>
      <c r="Y1984" s="187"/>
      <c r="Z1984" s="245"/>
      <c r="AA1984" s="245"/>
      <c r="AB1984" s="332"/>
      <c r="AD1984" s="245"/>
      <c r="AE1984" s="245"/>
      <c r="AF1984" s="245"/>
      <c r="AG1984" s="245"/>
    </row>
    <row r="1985" spans="1:33" ht="26.4">
      <c r="A1985" s="246"/>
      <c r="B1985" s="245"/>
      <c r="C1985" s="245"/>
      <c r="D1985" s="245"/>
      <c r="E1985" s="245"/>
      <c r="F1985" s="187"/>
      <c r="G1985" s="245"/>
      <c r="H1985" s="245"/>
      <c r="I1985" s="245"/>
      <c r="P1985" s="366"/>
      <c r="R1985" s="355"/>
      <c r="S1985" s="369"/>
      <c r="T1985" s="324"/>
      <c r="U1985" s="85" ph="1"/>
      <c r="W1985" s="216"/>
      <c r="X1985" s="245"/>
      <c r="Y1985" s="187"/>
      <c r="Z1985" s="245"/>
      <c r="AA1985" s="245"/>
      <c r="AB1985" s="332"/>
      <c r="AD1985" s="245"/>
      <c r="AE1985" s="245"/>
      <c r="AF1985" s="245"/>
      <c r="AG1985" s="245"/>
    </row>
    <row r="1986" spans="1:33" ht="26.4">
      <c r="A1986" s="246"/>
      <c r="B1986" s="245"/>
      <c r="C1986" s="245"/>
      <c r="D1986" s="245"/>
      <c r="E1986" s="245"/>
      <c r="F1986" s="187"/>
      <c r="G1986" s="245"/>
      <c r="H1986" s="245"/>
      <c r="I1986" s="245"/>
      <c r="P1986" s="366"/>
      <c r="R1986" s="355"/>
      <c r="S1986" s="369"/>
      <c r="T1986" s="324"/>
      <c r="U1986" s="85" ph="1"/>
      <c r="W1986" s="216"/>
      <c r="X1986" s="245"/>
      <c r="Y1986" s="187"/>
      <c r="Z1986" s="245"/>
      <c r="AA1986" s="245"/>
      <c r="AB1986" s="332"/>
      <c r="AD1986" s="245"/>
      <c r="AE1986" s="245"/>
      <c r="AF1986" s="245"/>
      <c r="AG1986" s="245"/>
    </row>
    <row r="1987" spans="1:33" ht="26.4">
      <c r="A1987" s="246"/>
      <c r="B1987" s="245"/>
      <c r="C1987" s="245"/>
      <c r="D1987" s="245"/>
      <c r="E1987" s="245"/>
      <c r="F1987" s="187"/>
      <c r="G1987" s="245"/>
      <c r="H1987" s="245"/>
      <c r="I1987" s="245"/>
      <c r="P1987" s="366"/>
      <c r="R1987" s="355"/>
      <c r="S1987" s="369"/>
      <c r="T1987" s="324"/>
      <c r="U1987" s="85" ph="1"/>
      <c r="W1987" s="216"/>
      <c r="X1987" s="245"/>
      <c r="Y1987" s="187"/>
      <c r="Z1987" s="245"/>
      <c r="AA1987" s="245"/>
      <c r="AB1987" s="332"/>
      <c r="AD1987" s="245"/>
      <c r="AE1987" s="245"/>
      <c r="AF1987" s="245"/>
      <c r="AG1987" s="245"/>
    </row>
    <row r="1988" spans="1:33" ht="26.4">
      <c r="A1988" s="246"/>
      <c r="B1988" s="245"/>
      <c r="C1988" s="245"/>
      <c r="D1988" s="245"/>
      <c r="E1988" s="245"/>
      <c r="F1988" s="187"/>
      <c r="G1988" s="245"/>
      <c r="H1988" s="245"/>
      <c r="I1988" s="245"/>
      <c r="P1988" s="366"/>
      <c r="R1988" s="355"/>
      <c r="S1988" s="369"/>
      <c r="T1988" s="324"/>
      <c r="U1988" s="85" ph="1"/>
      <c r="W1988" s="216"/>
      <c r="X1988" s="245"/>
      <c r="Y1988" s="187"/>
      <c r="Z1988" s="245"/>
      <c r="AA1988" s="245"/>
      <c r="AB1988" s="332"/>
      <c r="AD1988" s="245"/>
      <c r="AE1988" s="245"/>
      <c r="AF1988" s="245"/>
      <c r="AG1988" s="245"/>
    </row>
    <row r="1989" spans="1:33" ht="26.4">
      <c r="A1989" s="246"/>
      <c r="B1989" s="245"/>
      <c r="C1989" s="245"/>
      <c r="D1989" s="245"/>
      <c r="E1989" s="245"/>
      <c r="F1989" s="187"/>
      <c r="G1989" s="245"/>
      <c r="H1989" s="245"/>
      <c r="I1989" s="245"/>
      <c r="P1989" s="366"/>
      <c r="R1989" s="355"/>
      <c r="S1989" s="369"/>
      <c r="T1989" s="324"/>
      <c r="U1989" s="85" ph="1"/>
      <c r="W1989" s="216"/>
      <c r="X1989" s="245"/>
      <c r="Y1989" s="187"/>
      <c r="Z1989" s="245"/>
      <c r="AA1989" s="245"/>
      <c r="AB1989" s="332"/>
      <c r="AD1989" s="245"/>
      <c r="AE1989" s="245"/>
      <c r="AF1989" s="245"/>
      <c r="AG1989" s="245"/>
    </row>
    <row r="1990" spans="1:33" ht="26.4">
      <c r="A1990" s="246"/>
      <c r="B1990" s="245"/>
      <c r="C1990" s="245"/>
      <c r="D1990" s="245"/>
      <c r="E1990" s="245"/>
      <c r="F1990" s="187"/>
      <c r="G1990" s="245"/>
      <c r="H1990" s="245"/>
      <c r="I1990" s="245"/>
      <c r="P1990" s="366"/>
      <c r="R1990" s="355"/>
      <c r="S1990" s="369"/>
      <c r="T1990" s="324"/>
      <c r="U1990" s="85" ph="1"/>
      <c r="W1990" s="216"/>
      <c r="X1990" s="245"/>
      <c r="Y1990" s="187"/>
      <c r="Z1990" s="245"/>
      <c r="AA1990" s="245"/>
      <c r="AB1990" s="332"/>
      <c r="AD1990" s="245"/>
      <c r="AE1990" s="245"/>
      <c r="AF1990" s="245"/>
      <c r="AG1990" s="245"/>
    </row>
    <row r="1991" spans="1:33" ht="26.4">
      <c r="A1991" s="246"/>
      <c r="B1991" s="245"/>
      <c r="C1991" s="245"/>
      <c r="D1991" s="245"/>
      <c r="E1991" s="245"/>
      <c r="F1991" s="187"/>
      <c r="G1991" s="245"/>
      <c r="H1991" s="245"/>
      <c r="I1991" s="245"/>
      <c r="P1991" s="366"/>
      <c r="R1991" s="355"/>
      <c r="S1991" s="369"/>
      <c r="T1991" s="324"/>
      <c r="U1991" s="85" ph="1"/>
      <c r="W1991" s="216"/>
      <c r="X1991" s="245"/>
      <c r="Y1991" s="187"/>
      <c r="Z1991" s="245"/>
      <c r="AA1991" s="245"/>
      <c r="AB1991" s="332"/>
      <c r="AD1991" s="245"/>
      <c r="AE1991" s="245"/>
      <c r="AF1991" s="245"/>
      <c r="AG1991" s="245"/>
    </row>
    <row r="1992" spans="1:33" ht="26.4">
      <c r="A1992" s="246"/>
      <c r="B1992" s="245"/>
      <c r="C1992" s="245"/>
      <c r="D1992" s="245"/>
      <c r="E1992" s="245"/>
      <c r="F1992" s="187"/>
      <c r="G1992" s="245"/>
      <c r="H1992" s="245"/>
      <c r="I1992" s="245"/>
      <c r="P1992" s="366"/>
      <c r="R1992" s="355"/>
      <c r="S1992" s="369"/>
      <c r="T1992" s="324"/>
      <c r="U1992" s="85" ph="1"/>
      <c r="W1992" s="216"/>
      <c r="X1992" s="245"/>
      <c r="Y1992" s="187"/>
      <c r="Z1992" s="245"/>
      <c r="AA1992" s="245"/>
      <c r="AB1992" s="332"/>
      <c r="AD1992" s="245"/>
      <c r="AE1992" s="245"/>
      <c r="AF1992" s="245"/>
      <c r="AG1992" s="245"/>
    </row>
    <row r="1993" spans="1:33" ht="26.4">
      <c r="A1993" s="246"/>
      <c r="B1993" s="245"/>
      <c r="C1993" s="245"/>
      <c r="D1993" s="245"/>
      <c r="E1993" s="245"/>
      <c r="F1993" s="187"/>
      <c r="G1993" s="245"/>
      <c r="H1993" s="245"/>
      <c r="I1993" s="245"/>
      <c r="P1993" s="366"/>
      <c r="R1993" s="355"/>
      <c r="S1993" s="369"/>
      <c r="T1993" s="324"/>
      <c r="U1993" s="85" ph="1"/>
      <c r="W1993" s="216"/>
      <c r="X1993" s="245"/>
      <c r="Y1993" s="187"/>
      <c r="Z1993" s="245"/>
      <c r="AA1993" s="245"/>
      <c r="AB1993" s="332"/>
      <c r="AD1993" s="245"/>
      <c r="AE1993" s="245"/>
      <c r="AF1993" s="245"/>
      <c r="AG1993" s="245"/>
    </row>
    <row r="1994" spans="1:33" ht="26.4">
      <c r="A1994" s="246"/>
      <c r="B1994" s="245"/>
      <c r="C1994" s="245"/>
      <c r="D1994" s="245"/>
      <c r="E1994" s="245"/>
      <c r="F1994" s="187"/>
      <c r="G1994" s="245"/>
      <c r="H1994" s="245"/>
      <c r="I1994" s="245"/>
      <c r="P1994" s="366"/>
      <c r="R1994" s="355"/>
      <c r="S1994" s="369"/>
      <c r="T1994" s="324"/>
      <c r="U1994" s="85" ph="1"/>
      <c r="W1994" s="216"/>
      <c r="X1994" s="245"/>
      <c r="Y1994" s="187"/>
      <c r="Z1994" s="245"/>
      <c r="AA1994" s="245"/>
      <c r="AB1994" s="332"/>
      <c r="AD1994" s="245"/>
      <c r="AE1994" s="245"/>
      <c r="AF1994" s="245"/>
      <c r="AG1994" s="245"/>
    </row>
    <row r="1995" spans="1:33" ht="26.4">
      <c r="A1995" s="246"/>
      <c r="B1995" s="245"/>
      <c r="C1995" s="245"/>
      <c r="D1995" s="245"/>
      <c r="E1995" s="245"/>
      <c r="F1995" s="187"/>
      <c r="G1995" s="245"/>
      <c r="H1995" s="245"/>
      <c r="I1995" s="245"/>
      <c r="P1995" s="366"/>
      <c r="R1995" s="355"/>
      <c r="S1995" s="369"/>
      <c r="T1995" s="324"/>
      <c r="U1995" s="85" ph="1"/>
      <c r="W1995" s="216"/>
      <c r="X1995" s="245"/>
      <c r="Y1995" s="187"/>
      <c r="Z1995" s="245"/>
      <c r="AA1995" s="245"/>
      <c r="AB1995" s="332"/>
      <c r="AD1995" s="245"/>
      <c r="AE1995" s="245"/>
      <c r="AF1995" s="245"/>
      <c r="AG1995" s="245"/>
    </row>
    <row r="1996" spans="1:33" ht="26.4">
      <c r="A1996" s="246"/>
      <c r="B1996" s="245"/>
      <c r="C1996" s="245"/>
      <c r="D1996" s="245"/>
      <c r="E1996" s="245"/>
      <c r="F1996" s="187"/>
      <c r="G1996" s="245"/>
      <c r="H1996" s="245"/>
      <c r="I1996" s="245"/>
      <c r="P1996" s="366"/>
      <c r="R1996" s="355"/>
      <c r="S1996" s="369"/>
      <c r="T1996" s="324"/>
      <c r="U1996" s="85" ph="1"/>
      <c r="W1996" s="216"/>
      <c r="X1996" s="245"/>
      <c r="Y1996" s="187"/>
      <c r="Z1996" s="245"/>
      <c r="AA1996" s="245"/>
      <c r="AB1996" s="332"/>
      <c r="AD1996" s="245"/>
      <c r="AE1996" s="245"/>
      <c r="AF1996" s="245"/>
      <c r="AG1996" s="245"/>
    </row>
    <row r="1997" spans="1:33" ht="26.4">
      <c r="A1997" s="246"/>
      <c r="B1997" s="245"/>
      <c r="C1997" s="245"/>
      <c r="D1997" s="245"/>
      <c r="E1997" s="245"/>
      <c r="F1997" s="187"/>
      <c r="G1997" s="245"/>
      <c r="H1997" s="245"/>
      <c r="I1997" s="245"/>
      <c r="P1997" s="366"/>
      <c r="R1997" s="355"/>
      <c r="S1997" s="369"/>
      <c r="T1997" s="324"/>
      <c r="U1997" s="85" ph="1"/>
      <c r="W1997" s="216"/>
      <c r="X1997" s="245"/>
      <c r="Y1997" s="187"/>
      <c r="Z1997" s="245"/>
      <c r="AA1997" s="245"/>
      <c r="AB1997" s="332"/>
      <c r="AD1997" s="245"/>
      <c r="AE1997" s="245"/>
      <c r="AF1997" s="245"/>
      <c r="AG1997" s="245"/>
    </row>
    <row r="1998" spans="1:33" ht="26.4">
      <c r="A1998" s="246"/>
      <c r="B1998" s="245"/>
      <c r="C1998" s="245"/>
      <c r="D1998" s="245"/>
      <c r="E1998" s="245"/>
      <c r="F1998" s="187"/>
      <c r="G1998" s="245"/>
      <c r="H1998" s="245"/>
      <c r="I1998" s="245"/>
      <c r="P1998" s="366"/>
      <c r="R1998" s="355"/>
      <c r="S1998" s="369"/>
      <c r="T1998" s="324"/>
      <c r="U1998" s="85" ph="1"/>
      <c r="W1998" s="216"/>
      <c r="X1998" s="245"/>
      <c r="Y1998" s="187"/>
      <c r="Z1998" s="245"/>
      <c r="AA1998" s="245"/>
      <c r="AB1998" s="332"/>
      <c r="AD1998" s="245"/>
      <c r="AE1998" s="245"/>
      <c r="AF1998" s="245"/>
      <c r="AG1998" s="245"/>
    </row>
    <row r="1999" spans="1:33" ht="26.4">
      <c r="A1999" s="246"/>
      <c r="B1999" s="245"/>
      <c r="C1999" s="245"/>
      <c r="D1999" s="245"/>
      <c r="E1999" s="245"/>
      <c r="F1999" s="187"/>
      <c r="G1999" s="245"/>
      <c r="H1999" s="245"/>
      <c r="I1999" s="245"/>
      <c r="P1999" s="366"/>
      <c r="R1999" s="355"/>
      <c r="S1999" s="369"/>
      <c r="T1999" s="324"/>
      <c r="U1999" s="85" ph="1"/>
      <c r="W1999" s="216"/>
      <c r="X1999" s="245"/>
      <c r="Y1999" s="187"/>
      <c r="Z1999" s="245"/>
      <c r="AA1999" s="245"/>
      <c r="AB1999" s="332"/>
      <c r="AD1999" s="245"/>
      <c r="AE1999" s="245"/>
      <c r="AF1999" s="245"/>
      <c r="AG1999" s="245"/>
    </row>
    <row r="2000" spans="1:33" ht="26.4">
      <c r="A2000" s="246"/>
      <c r="B2000" s="245"/>
      <c r="C2000" s="245"/>
      <c r="D2000" s="245"/>
      <c r="E2000" s="245"/>
      <c r="F2000" s="187"/>
      <c r="G2000" s="245"/>
      <c r="H2000" s="245"/>
      <c r="I2000" s="245"/>
      <c r="P2000" s="366"/>
      <c r="R2000" s="355"/>
      <c r="S2000" s="369"/>
      <c r="T2000" s="324"/>
      <c r="U2000" s="85" ph="1"/>
      <c r="W2000" s="216"/>
      <c r="X2000" s="245"/>
      <c r="Y2000" s="187"/>
      <c r="Z2000" s="245"/>
      <c r="AA2000" s="245"/>
      <c r="AB2000" s="332"/>
      <c r="AD2000" s="245"/>
      <c r="AE2000" s="245"/>
      <c r="AF2000" s="245"/>
      <c r="AG2000" s="245"/>
    </row>
    <row r="2001" spans="1:33" ht="26.4">
      <c r="A2001" s="246"/>
      <c r="B2001" s="245"/>
      <c r="C2001" s="245"/>
      <c r="D2001" s="245"/>
      <c r="E2001" s="245"/>
      <c r="F2001" s="187"/>
      <c r="G2001" s="245"/>
      <c r="H2001" s="245"/>
      <c r="I2001" s="245"/>
      <c r="P2001" s="366"/>
      <c r="R2001" s="355"/>
      <c r="S2001" s="369"/>
      <c r="T2001" s="324"/>
      <c r="U2001" s="85" ph="1"/>
      <c r="W2001" s="216"/>
      <c r="X2001" s="245"/>
      <c r="Y2001" s="187"/>
      <c r="Z2001" s="245"/>
      <c r="AA2001" s="245"/>
      <c r="AB2001" s="332"/>
      <c r="AD2001" s="245"/>
      <c r="AE2001" s="245"/>
      <c r="AF2001" s="245"/>
      <c r="AG2001" s="245"/>
    </row>
    <row r="2002" spans="1:33" ht="26.4">
      <c r="A2002" s="246"/>
      <c r="B2002" s="245"/>
      <c r="C2002" s="245"/>
      <c r="D2002" s="245"/>
      <c r="E2002" s="245"/>
      <c r="F2002" s="187"/>
      <c r="G2002" s="245"/>
      <c r="H2002" s="245"/>
      <c r="I2002" s="245"/>
      <c r="P2002" s="366"/>
      <c r="R2002" s="355"/>
      <c r="S2002" s="369"/>
      <c r="T2002" s="324"/>
      <c r="U2002" s="85" ph="1"/>
      <c r="W2002" s="216"/>
      <c r="X2002" s="245"/>
      <c r="Y2002" s="187"/>
      <c r="Z2002" s="245"/>
      <c r="AA2002" s="245"/>
      <c r="AB2002" s="332"/>
      <c r="AD2002" s="245"/>
      <c r="AE2002" s="245"/>
      <c r="AF2002" s="245"/>
      <c r="AG2002" s="245"/>
    </row>
    <row r="2003" spans="1:33" ht="26.4">
      <c r="A2003" s="246"/>
      <c r="B2003" s="245"/>
      <c r="C2003" s="245"/>
      <c r="D2003" s="245"/>
      <c r="E2003" s="245"/>
      <c r="F2003" s="187"/>
      <c r="G2003" s="245"/>
      <c r="H2003" s="245"/>
      <c r="I2003" s="245"/>
      <c r="P2003" s="366"/>
      <c r="R2003" s="355"/>
      <c r="S2003" s="369"/>
      <c r="T2003" s="324"/>
      <c r="U2003" s="85" ph="1"/>
      <c r="W2003" s="216"/>
      <c r="X2003" s="245"/>
      <c r="Y2003" s="187"/>
      <c r="Z2003" s="245"/>
      <c r="AA2003" s="245"/>
      <c r="AB2003" s="332"/>
      <c r="AD2003" s="245"/>
      <c r="AE2003" s="245"/>
      <c r="AF2003" s="245"/>
      <c r="AG2003" s="245"/>
    </row>
    <row r="2004" spans="1:33" ht="26.4">
      <c r="A2004" s="246"/>
      <c r="B2004" s="245"/>
      <c r="C2004" s="245"/>
      <c r="D2004" s="245"/>
      <c r="E2004" s="245"/>
      <c r="F2004" s="187"/>
      <c r="G2004" s="245"/>
      <c r="H2004" s="245"/>
      <c r="I2004" s="245"/>
      <c r="P2004" s="366"/>
      <c r="R2004" s="355"/>
      <c r="S2004" s="369"/>
      <c r="T2004" s="324"/>
      <c r="U2004" s="85" ph="1"/>
      <c r="W2004" s="216"/>
      <c r="X2004" s="245"/>
      <c r="Y2004" s="187"/>
      <c r="Z2004" s="245"/>
      <c r="AA2004" s="245"/>
      <c r="AB2004" s="332"/>
      <c r="AD2004" s="245"/>
      <c r="AE2004" s="245"/>
      <c r="AF2004" s="245"/>
      <c r="AG2004" s="245"/>
    </row>
    <row r="2005" spans="1:33" ht="26.4">
      <c r="A2005" s="246"/>
      <c r="B2005" s="245"/>
      <c r="C2005" s="245"/>
      <c r="D2005" s="245"/>
      <c r="E2005" s="245"/>
      <c r="F2005" s="187"/>
      <c r="G2005" s="245"/>
      <c r="H2005" s="245"/>
      <c r="I2005" s="245"/>
      <c r="P2005" s="366"/>
      <c r="R2005" s="355"/>
      <c r="S2005" s="369"/>
      <c r="T2005" s="324"/>
      <c r="U2005" s="85" ph="1"/>
      <c r="W2005" s="216"/>
      <c r="X2005" s="245"/>
      <c r="Y2005" s="187"/>
      <c r="Z2005" s="245"/>
      <c r="AA2005" s="245"/>
      <c r="AB2005" s="332"/>
      <c r="AD2005" s="245"/>
      <c r="AE2005" s="245"/>
      <c r="AF2005" s="245"/>
      <c r="AG2005" s="245"/>
    </row>
    <row r="2006" spans="1:33" ht="26.4">
      <c r="A2006" s="246"/>
      <c r="B2006" s="245"/>
      <c r="C2006" s="245"/>
      <c r="D2006" s="245"/>
      <c r="E2006" s="245"/>
      <c r="F2006" s="187"/>
      <c r="G2006" s="245"/>
      <c r="H2006" s="245"/>
      <c r="I2006" s="245"/>
      <c r="P2006" s="366"/>
      <c r="R2006" s="355"/>
      <c r="S2006" s="369"/>
      <c r="T2006" s="324"/>
      <c r="U2006" s="85" ph="1"/>
      <c r="W2006" s="216"/>
      <c r="X2006" s="245"/>
      <c r="Y2006" s="187"/>
      <c r="Z2006" s="245"/>
      <c r="AA2006" s="245"/>
      <c r="AB2006" s="332"/>
      <c r="AD2006" s="245"/>
      <c r="AE2006" s="245"/>
      <c r="AF2006" s="245"/>
      <c r="AG2006" s="245"/>
    </row>
    <row r="2007" spans="1:33" ht="26.4">
      <c r="A2007" s="246"/>
      <c r="B2007" s="245"/>
      <c r="C2007" s="245"/>
      <c r="D2007" s="245"/>
      <c r="E2007" s="245"/>
      <c r="F2007" s="187"/>
      <c r="G2007" s="245"/>
      <c r="H2007" s="245"/>
      <c r="I2007" s="245"/>
      <c r="P2007" s="366"/>
      <c r="R2007" s="355"/>
      <c r="S2007" s="369"/>
      <c r="T2007" s="324"/>
      <c r="U2007" s="85" ph="1"/>
      <c r="W2007" s="216"/>
      <c r="X2007" s="245"/>
      <c r="Y2007" s="187"/>
      <c r="Z2007" s="245"/>
      <c r="AA2007" s="245"/>
      <c r="AB2007" s="332"/>
      <c r="AD2007" s="245"/>
      <c r="AE2007" s="245"/>
      <c r="AF2007" s="245"/>
      <c r="AG2007" s="245"/>
    </row>
    <row r="2008" spans="1:33" ht="26.4">
      <c r="A2008" s="246"/>
      <c r="B2008" s="245"/>
      <c r="C2008" s="245"/>
      <c r="D2008" s="245"/>
      <c r="E2008" s="245"/>
      <c r="F2008" s="187"/>
      <c r="G2008" s="245"/>
      <c r="H2008" s="245"/>
      <c r="I2008" s="245"/>
      <c r="P2008" s="366"/>
      <c r="R2008" s="355"/>
      <c r="S2008" s="369"/>
      <c r="T2008" s="324"/>
      <c r="U2008" s="85" ph="1"/>
      <c r="W2008" s="216"/>
      <c r="X2008" s="245"/>
      <c r="Y2008" s="187"/>
      <c r="Z2008" s="245"/>
      <c r="AA2008" s="245"/>
      <c r="AB2008" s="332"/>
      <c r="AD2008" s="245"/>
      <c r="AE2008" s="245"/>
      <c r="AF2008" s="245"/>
      <c r="AG2008" s="245"/>
    </row>
    <row r="2009" spans="1:33" ht="26.4">
      <c r="A2009" s="246"/>
      <c r="B2009" s="245"/>
      <c r="C2009" s="245"/>
      <c r="D2009" s="245"/>
      <c r="E2009" s="245"/>
      <c r="F2009" s="187"/>
      <c r="G2009" s="245"/>
      <c r="H2009" s="245"/>
      <c r="I2009" s="245"/>
      <c r="P2009" s="366"/>
      <c r="R2009" s="355"/>
      <c r="S2009" s="369"/>
      <c r="T2009" s="324"/>
      <c r="U2009" s="85" ph="1"/>
      <c r="W2009" s="216"/>
      <c r="X2009" s="245"/>
      <c r="Y2009" s="187"/>
      <c r="Z2009" s="245"/>
      <c r="AA2009" s="245"/>
      <c r="AB2009" s="332"/>
      <c r="AD2009" s="245"/>
      <c r="AE2009" s="245"/>
      <c r="AF2009" s="245"/>
      <c r="AG2009" s="245"/>
    </row>
    <row r="2010" spans="1:33" ht="26.4">
      <c r="A2010" s="246"/>
      <c r="B2010" s="245"/>
      <c r="C2010" s="245"/>
      <c r="D2010" s="245"/>
      <c r="E2010" s="245"/>
      <c r="F2010" s="187"/>
      <c r="G2010" s="245"/>
      <c r="H2010" s="245"/>
      <c r="I2010" s="245"/>
      <c r="P2010" s="366"/>
      <c r="R2010" s="355"/>
      <c r="S2010" s="369"/>
      <c r="T2010" s="324"/>
      <c r="U2010" s="85" ph="1"/>
      <c r="W2010" s="216"/>
      <c r="X2010" s="245"/>
      <c r="Y2010" s="187"/>
      <c r="Z2010" s="245"/>
      <c r="AA2010" s="245"/>
      <c r="AB2010" s="332"/>
      <c r="AD2010" s="245"/>
      <c r="AE2010" s="245"/>
      <c r="AF2010" s="245"/>
      <c r="AG2010" s="245"/>
    </row>
    <row r="2011" spans="1:33" ht="26.4">
      <c r="A2011" s="246"/>
      <c r="B2011" s="245"/>
      <c r="C2011" s="245"/>
      <c r="D2011" s="245"/>
      <c r="E2011" s="245"/>
      <c r="F2011" s="187"/>
      <c r="G2011" s="245"/>
      <c r="H2011" s="245"/>
      <c r="I2011" s="245"/>
      <c r="P2011" s="366"/>
      <c r="R2011" s="355"/>
      <c r="S2011" s="369"/>
      <c r="T2011" s="324"/>
      <c r="U2011" s="85" ph="1"/>
      <c r="W2011" s="216"/>
      <c r="X2011" s="245"/>
      <c r="Y2011" s="187"/>
      <c r="Z2011" s="245"/>
      <c r="AA2011" s="245"/>
      <c r="AB2011" s="332"/>
      <c r="AD2011" s="245"/>
      <c r="AE2011" s="245"/>
      <c r="AF2011" s="245"/>
      <c r="AG2011" s="245"/>
    </row>
    <row r="2012" spans="1:33" ht="26.4">
      <c r="A2012" s="246"/>
      <c r="B2012" s="245"/>
      <c r="C2012" s="245"/>
      <c r="D2012" s="245"/>
      <c r="E2012" s="245"/>
      <c r="F2012" s="187"/>
      <c r="G2012" s="245"/>
      <c r="H2012" s="245"/>
      <c r="I2012" s="245"/>
      <c r="P2012" s="366"/>
      <c r="R2012" s="355"/>
      <c r="S2012" s="369"/>
      <c r="T2012" s="324"/>
      <c r="U2012" s="85" ph="1"/>
      <c r="W2012" s="216"/>
      <c r="X2012" s="245"/>
      <c r="Y2012" s="187"/>
      <c r="Z2012" s="245"/>
      <c r="AA2012" s="245"/>
      <c r="AB2012" s="332"/>
      <c r="AD2012" s="245"/>
      <c r="AE2012" s="245"/>
      <c r="AF2012" s="245"/>
      <c r="AG2012" s="245"/>
    </row>
    <row r="2013" spans="1:33" ht="26.4">
      <c r="A2013" s="246"/>
      <c r="B2013" s="245"/>
      <c r="C2013" s="245"/>
      <c r="D2013" s="245"/>
      <c r="E2013" s="245"/>
      <c r="F2013" s="187"/>
      <c r="G2013" s="245"/>
      <c r="H2013" s="245"/>
      <c r="I2013" s="245"/>
      <c r="P2013" s="366"/>
      <c r="R2013" s="355"/>
      <c r="S2013" s="369"/>
      <c r="T2013" s="324"/>
      <c r="U2013" s="85" ph="1"/>
      <c r="W2013" s="216"/>
      <c r="X2013" s="245"/>
      <c r="Y2013" s="187"/>
      <c r="Z2013" s="245"/>
      <c r="AA2013" s="245"/>
      <c r="AB2013" s="332"/>
      <c r="AD2013" s="245"/>
      <c r="AE2013" s="245"/>
      <c r="AF2013" s="245"/>
      <c r="AG2013" s="245"/>
    </row>
    <row r="2014" spans="1:33" ht="26.4">
      <c r="A2014" s="246"/>
      <c r="B2014" s="245"/>
      <c r="C2014" s="245"/>
      <c r="D2014" s="245"/>
      <c r="E2014" s="245"/>
      <c r="F2014" s="187"/>
      <c r="G2014" s="245"/>
      <c r="H2014" s="245"/>
      <c r="I2014" s="245"/>
      <c r="P2014" s="366"/>
      <c r="R2014" s="355"/>
      <c r="S2014" s="369"/>
      <c r="T2014" s="324"/>
      <c r="U2014" s="85" ph="1"/>
      <c r="W2014" s="216"/>
      <c r="X2014" s="245"/>
      <c r="Y2014" s="187"/>
      <c r="Z2014" s="245"/>
      <c r="AA2014" s="245"/>
      <c r="AB2014" s="332"/>
      <c r="AD2014" s="245"/>
      <c r="AE2014" s="245"/>
      <c r="AF2014" s="245"/>
      <c r="AG2014" s="245"/>
    </row>
    <row r="2015" spans="1:33" ht="26.4">
      <c r="A2015" s="246"/>
      <c r="B2015" s="245"/>
      <c r="C2015" s="245"/>
      <c r="D2015" s="245"/>
      <c r="E2015" s="245"/>
      <c r="F2015" s="187"/>
      <c r="G2015" s="245"/>
      <c r="H2015" s="245"/>
      <c r="I2015" s="245"/>
      <c r="P2015" s="366"/>
      <c r="R2015" s="355"/>
      <c r="S2015" s="369"/>
      <c r="T2015" s="324"/>
      <c r="U2015" s="85" ph="1"/>
      <c r="W2015" s="216"/>
      <c r="X2015" s="245"/>
      <c r="Y2015" s="187"/>
      <c r="Z2015" s="245"/>
      <c r="AA2015" s="245"/>
      <c r="AB2015" s="332"/>
      <c r="AD2015" s="245"/>
      <c r="AE2015" s="245"/>
      <c r="AF2015" s="245"/>
      <c r="AG2015" s="245"/>
    </row>
    <row r="2016" spans="1:33" ht="26.4">
      <c r="A2016" s="246"/>
      <c r="B2016" s="245"/>
      <c r="C2016" s="245"/>
      <c r="D2016" s="245"/>
      <c r="E2016" s="245"/>
      <c r="F2016" s="187"/>
      <c r="G2016" s="245"/>
      <c r="H2016" s="245"/>
      <c r="I2016" s="245"/>
      <c r="P2016" s="366"/>
      <c r="R2016" s="355"/>
      <c r="S2016" s="369"/>
      <c r="T2016" s="324"/>
      <c r="U2016" s="85" ph="1"/>
      <c r="W2016" s="216"/>
      <c r="X2016" s="245"/>
      <c r="Y2016" s="187"/>
      <c r="Z2016" s="245"/>
      <c r="AA2016" s="245"/>
      <c r="AB2016" s="332"/>
      <c r="AD2016" s="245"/>
      <c r="AE2016" s="245"/>
      <c r="AF2016" s="245"/>
      <c r="AG2016" s="245"/>
    </row>
    <row r="2017" spans="1:33" ht="26.4">
      <c r="A2017" s="246"/>
      <c r="B2017" s="245"/>
      <c r="C2017" s="245"/>
      <c r="D2017" s="245"/>
      <c r="E2017" s="245"/>
      <c r="F2017" s="187"/>
      <c r="G2017" s="245"/>
      <c r="H2017" s="245"/>
      <c r="I2017" s="245"/>
      <c r="P2017" s="366"/>
      <c r="R2017" s="355"/>
      <c r="S2017" s="369"/>
      <c r="T2017" s="324"/>
      <c r="U2017" s="85" ph="1"/>
      <c r="W2017" s="216"/>
      <c r="X2017" s="245"/>
      <c r="Y2017" s="187"/>
      <c r="Z2017" s="245"/>
      <c r="AA2017" s="245"/>
      <c r="AB2017" s="332"/>
      <c r="AD2017" s="245"/>
      <c r="AE2017" s="245"/>
      <c r="AF2017" s="245"/>
      <c r="AG2017" s="245"/>
    </row>
    <row r="2018" spans="1:33" ht="26.4">
      <c r="A2018" s="246"/>
      <c r="B2018" s="245"/>
      <c r="C2018" s="245"/>
      <c r="D2018" s="245"/>
      <c r="E2018" s="245"/>
      <c r="F2018" s="187"/>
      <c r="G2018" s="245"/>
      <c r="H2018" s="245"/>
      <c r="I2018" s="245"/>
      <c r="P2018" s="366"/>
      <c r="R2018" s="355"/>
      <c r="S2018" s="369"/>
      <c r="T2018" s="324"/>
      <c r="U2018" s="85" ph="1"/>
      <c r="W2018" s="216"/>
      <c r="X2018" s="245"/>
      <c r="Y2018" s="187"/>
      <c r="Z2018" s="245"/>
      <c r="AA2018" s="245"/>
      <c r="AB2018" s="332"/>
      <c r="AD2018" s="245"/>
      <c r="AE2018" s="245"/>
      <c r="AF2018" s="245"/>
      <c r="AG2018" s="245"/>
    </row>
    <row r="2019" spans="1:33" ht="26.4">
      <c r="A2019" s="246"/>
      <c r="B2019" s="245"/>
      <c r="C2019" s="245"/>
      <c r="D2019" s="245"/>
      <c r="E2019" s="245"/>
      <c r="F2019" s="187"/>
      <c r="G2019" s="245"/>
      <c r="H2019" s="245"/>
      <c r="I2019" s="245"/>
      <c r="P2019" s="366"/>
      <c r="R2019" s="355"/>
      <c r="S2019" s="369"/>
      <c r="T2019" s="324"/>
      <c r="U2019" s="85" ph="1"/>
      <c r="W2019" s="216"/>
      <c r="X2019" s="245"/>
      <c r="Y2019" s="187"/>
      <c r="Z2019" s="245"/>
      <c r="AA2019" s="245"/>
      <c r="AB2019" s="332"/>
      <c r="AD2019" s="245"/>
      <c r="AE2019" s="245"/>
      <c r="AF2019" s="245"/>
      <c r="AG2019" s="245"/>
    </row>
    <row r="2020" spans="1:33" ht="26.4">
      <c r="A2020" s="246"/>
      <c r="B2020" s="245"/>
      <c r="C2020" s="245"/>
      <c r="D2020" s="245"/>
      <c r="E2020" s="245"/>
      <c r="F2020" s="187"/>
      <c r="G2020" s="245"/>
      <c r="H2020" s="245"/>
      <c r="I2020" s="245"/>
      <c r="P2020" s="366"/>
      <c r="R2020" s="355"/>
      <c r="S2020" s="369"/>
      <c r="T2020" s="324"/>
      <c r="U2020" s="85" ph="1"/>
      <c r="W2020" s="216"/>
      <c r="X2020" s="245"/>
      <c r="Y2020" s="187"/>
      <c r="Z2020" s="245"/>
      <c r="AA2020" s="245"/>
      <c r="AB2020" s="332"/>
      <c r="AD2020" s="245"/>
      <c r="AE2020" s="245"/>
      <c r="AF2020" s="245"/>
      <c r="AG2020" s="245"/>
    </row>
    <row r="2021" spans="1:33" ht="26.4">
      <c r="A2021" s="246"/>
      <c r="B2021" s="245"/>
      <c r="C2021" s="245"/>
      <c r="D2021" s="245"/>
      <c r="E2021" s="245"/>
      <c r="F2021" s="187"/>
      <c r="G2021" s="245"/>
      <c r="H2021" s="245"/>
      <c r="I2021" s="245"/>
      <c r="P2021" s="366"/>
      <c r="R2021" s="355"/>
      <c r="S2021" s="369"/>
      <c r="T2021" s="324"/>
      <c r="U2021" s="85" ph="1"/>
      <c r="W2021" s="216"/>
      <c r="X2021" s="245"/>
      <c r="Y2021" s="187"/>
      <c r="Z2021" s="245"/>
      <c r="AA2021" s="245"/>
      <c r="AB2021" s="332"/>
      <c r="AD2021" s="245"/>
      <c r="AE2021" s="245"/>
      <c r="AF2021" s="245"/>
      <c r="AG2021" s="245"/>
    </row>
    <row r="2022" spans="1:33" ht="26.4">
      <c r="A2022" s="246"/>
      <c r="B2022" s="245"/>
      <c r="C2022" s="245"/>
      <c r="D2022" s="245"/>
      <c r="E2022" s="245"/>
      <c r="F2022" s="187"/>
      <c r="G2022" s="245"/>
      <c r="H2022" s="245"/>
      <c r="I2022" s="245"/>
      <c r="P2022" s="366"/>
      <c r="R2022" s="355"/>
      <c r="S2022" s="369"/>
      <c r="T2022" s="324"/>
      <c r="U2022" s="85" ph="1"/>
      <c r="W2022" s="216"/>
      <c r="X2022" s="245"/>
      <c r="Y2022" s="187"/>
      <c r="Z2022" s="245"/>
      <c r="AA2022" s="245"/>
      <c r="AB2022" s="332"/>
      <c r="AD2022" s="245"/>
      <c r="AE2022" s="245"/>
      <c r="AF2022" s="245"/>
      <c r="AG2022" s="245"/>
    </row>
    <row r="2023" spans="1:33" ht="26.4">
      <c r="A2023" s="246"/>
      <c r="B2023" s="245"/>
      <c r="C2023" s="245"/>
      <c r="D2023" s="245"/>
      <c r="E2023" s="245"/>
      <c r="F2023" s="187"/>
      <c r="G2023" s="245"/>
      <c r="H2023" s="245"/>
      <c r="I2023" s="245"/>
      <c r="P2023" s="366"/>
      <c r="R2023" s="355"/>
      <c r="S2023" s="369"/>
      <c r="T2023" s="324"/>
      <c r="U2023" s="85" ph="1"/>
      <c r="W2023" s="216"/>
      <c r="X2023" s="245"/>
      <c r="Y2023" s="187"/>
      <c r="Z2023" s="245"/>
      <c r="AA2023" s="245"/>
      <c r="AB2023" s="332"/>
      <c r="AD2023" s="245"/>
      <c r="AE2023" s="245"/>
      <c r="AF2023" s="245"/>
      <c r="AG2023" s="245"/>
    </row>
    <row r="2024" spans="1:33" ht="26.4">
      <c r="A2024" s="246"/>
      <c r="B2024" s="245"/>
      <c r="C2024" s="245"/>
      <c r="D2024" s="245"/>
      <c r="E2024" s="245"/>
      <c r="F2024" s="187"/>
      <c r="G2024" s="245"/>
      <c r="H2024" s="245"/>
      <c r="I2024" s="245"/>
      <c r="P2024" s="366"/>
      <c r="R2024" s="355"/>
      <c r="S2024" s="369"/>
      <c r="T2024" s="324"/>
      <c r="U2024" s="85" ph="1"/>
      <c r="W2024" s="216"/>
      <c r="X2024" s="245"/>
      <c r="Y2024" s="187"/>
      <c r="Z2024" s="245"/>
      <c r="AA2024" s="245"/>
      <c r="AB2024" s="332"/>
      <c r="AD2024" s="245"/>
      <c r="AE2024" s="245"/>
      <c r="AF2024" s="245"/>
      <c r="AG2024" s="245"/>
    </row>
    <row r="2025" spans="1:33" ht="26.4">
      <c r="A2025" s="246"/>
      <c r="B2025" s="245"/>
      <c r="C2025" s="245"/>
      <c r="D2025" s="245"/>
      <c r="E2025" s="245"/>
      <c r="F2025" s="187"/>
      <c r="G2025" s="245"/>
      <c r="H2025" s="245"/>
      <c r="I2025" s="245"/>
      <c r="P2025" s="366"/>
      <c r="R2025" s="355"/>
      <c r="S2025" s="369"/>
      <c r="T2025" s="324"/>
      <c r="U2025" s="85" ph="1"/>
      <c r="W2025" s="216"/>
      <c r="X2025" s="245"/>
      <c r="Y2025" s="187"/>
      <c r="Z2025" s="245"/>
      <c r="AA2025" s="245"/>
      <c r="AB2025" s="332"/>
      <c r="AD2025" s="245"/>
      <c r="AE2025" s="245"/>
      <c r="AF2025" s="245"/>
      <c r="AG2025" s="245"/>
    </row>
    <row r="2026" spans="1:33" ht="26.4">
      <c r="A2026" s="246"/>
      <c r="B2026" s="245"/>
      <c r="C2026" s="245"/>
      <c r="D2026" s="245"/>
      <c r="E2026" s="245"/>
      <c r="F2026" s="187"/>
      <c r="G2026" s="245"/>
      <c r="H2026" s="245"/>
      <c r="I2026" s="245"/>
      <c r="P2026" s="366"/>
      <c r="R2026" s="355"/>
      <c r="S2026" s="369"/>
      <c r="T2026" s="324"/>
      <c r="U2026" s="85" ph="1"/>
      <c r="W2026" s="216"/>
      <c r="X2026" s="245"/>
      <c r="Y2026" s="187"/>
      <c r="Z2026" s="245"/>
      <c r="AA2026" s="245"/>
      <c r="AB2026" s="332"/>
      <c r="AD2026" s="245"/>
      <c r="AE2026" s="245"/>
      <c r="AF2026" s="245"/>
      <c r="AG2026" s="245"/>
    </row>
    <row r="2027" spans="1:33" ht="26.4">
      <c r="A2027" s="246"/>
      <c r="B2027" s="245"/>
      <c r="C2027" s="245"/>
      <c r="D2027" s="245"/>
      <c r="E2027" s="245"/>
      <c r="F2027" s="187"/>
      <c r="G2027" s="245"/>
      <c r="H2027" s="245"/>
      <c r="I2027" s="245"/>
      <c r="P2027" s="366"/>
      <c r="R2027" s="355"/>
      <c r="S2027" s="369"/>
      <c r="T2027" s="324"/>
      <c r="U2027" s="85" ph="1"/>
      <c r="W2027" s="216"/>
      <c r="X2027" s="245"/>
      <c r="Y2027" s="187"/>
      <c r="Z2027" s="245"/>
      <c r="AA2027" s="245"/>
      <c r="AB2027" s="332"/>
      <c r="AD2027" s="245"/>
      <c r="AE2027" s="245"/>
      <c r="AF2027" s="245"/>
      <c r="AG2027" s="245"/>
    </row>
    <row r="2028" spans="1:33" ht="26.4">
      <c r="A2028" s="246"/>
      <c r="B2028" s="245"/>
      <c r="C2028" s="245"/>
      <c r="D2028" s="245"/>
      <c r="E2028" s="245"/>
      <c r="F2028" s="187"/>
      <c r="G2028" s="245"/>
      <c r="H2028" s="245"/>
      <c r="I2028" s="245"/>
      <c r="P2028" s="366"/>
      <c r="R2028" s="355"/>
      <c r="S2028" s="369"/>
      <c r="T2028" s="324"/>
      <c r="U2028" s="85" ph="1"/>
      <c r="W2028" s="216"/>
      <c r="X2028" s="245"/>
      <c r="Y2028" s="187"/>
      <c r="Z2028" s="245"/>
      <c r="AA2028" s="245"/>
      <c r="AB2028" s="332"/>
      <c r="AD2028" s="245"/>
      <c r="AE2028" s="245"/>
      <c r="AF2028" s="245"/>
      <c r="AG2028" s="245"/>
    </row>
    <row r="2029" spans="1:33" ht="26.4">
      <c r="A2029" s="246"/>
      <c r="B2029" s="245"/>
      <c r="C2029" s="245"/>
      <c r="D2029" s="245"/>
      <c r="E2029" s="245"/>
      <c r="F2029" s="187"/>
      <c r="G2029" s="245"/>
      <c r="H2029" s="245"/>
      <c r="I2029" s="245"/>
      <c r="P2029" s="366"/>
      <c r="R2029" s="355"/>
      <c r="S2029" s="369"/>
      <c r="T2029" s="324"/>
      <c r="U2029" s="85" ph="1"/>
      <c r="W2029" s="216"/>
      <c r="X2029" s="245"/>
      <c r="Y2029" s="187"/>
      <c r="Z2029" s="245"/>
      <c r="AA2029" s="245"/>
      <c r="AB2029" s="332"/>
      <c r="AD2029" s="245"/>
      <c r="AE2029" s="245"/>
      <c r="AF2029" s="245"/>
      <c r="AG2029" s="245"/>
    </row>
    <row r="2030" spans="1:33" ht="26.4">
      <c r="A2030" s="246"/>
      <c r="B2030" s="245"/>
      <c r="C2030" s="245"/>
      <c r="D2030" s="245"/>
      <c r="E2030" s="245"/>
      <c r="F2030" s="187"/>
      <c r="G2030" s="245"/>
      <c r="H2030" s="245"/>
      <c r="I2030" s="245"/>
      <c r="P2030" s="366"/>
      <c r="R2030" s="355"/>
      <c r="S2030" s="369"/>
      <c r="T2030" s="324"/>
      <c r="U2030" s="85" ph="1"/>
      <c r="W2030" s="216"/>
      <c r="X2030" s="245"/>
      <c r="Y2030" s="187"/>
      <c r="Z2030" s="245"/>
      <c r="AA2030" s="245"/>
      <c r="AB2030" s="332"/>
      <c r="AD2030" s="245"/>
      <c r="AE2030" s="245"/>
      <c r="AF2030" s="245"/>
      <c r="AG2030" s="245"/>
    </row>
    <row r="2031" spans="1:33" ht="26.4">
      <c r="A2031" s="246"/>
      <c r="B2031" s="245"/>
      <c r="C2031" s="245"/>
      <c r="D2031" s="245"/>
      <c r="E2031" s="245"/>
      <c r="F2031" s="187"/>
      <c r="G2031" s="245"/>
      <c r="H2031" s="245"/>
      <c r="I2031" s="245"/>
      <c r="P2031" s="366"/>
      <c r="R2031" s="355"/>
      <c r="S2031" s="369"/>
      <c r="T2031" s="324"/>
      <c r="U2031" s="85" ph="1"/>
      <c r="W2031" s="216"/>
      <c r="X2031" s="245"/>
      <c r="Y2031" s="187"/>
      <c r="Z2031" s="245"/>
      <c r="AA2031" s="245"/>
      <c r="AB2031" s="332"/>
      <c r="AD2031" s="245"/>
      <c r="AE2031" s="245"/>
      <c r="AF2031" s="245"/>
      <c r="AG2031" s="245"/>
    </row>
    <row r="2032" spans="1:33" ht="26.4">
      <c r="A2032" s="246"/>
      <c r="B2032" s="245"/>
      <c r="C2032" s="245"/>
      <c r="D2032" s="245"/>
      <c r="E2032" s="245"/>
      <c r="F2032" s="187"/>
      <c r="G2032" s="245"/>
      <c r="H2032" s="245"/>
      <c r="I2032" s="245"/>
      <c r="P2032" s="366"/>
      <c r="R2032" s="355"/>
      <c r="S2032" s="369"/>
      <c r="T2032" s="324"/>
      <c r="U2032" s="85" ph="1"/>
      <c r="W2032" s="216"/>
      <c r="X2032" s="245"/>
      <c r="Y2032" s="187"/>
      <c r="Z2032" s="245"/>
      <c r="AA2032" s="245"/>
      <c r="AB2032" s="332"/>
      <c r="AD2032" s="245"/>
      <c r="AE2032" s="245"/>
      <c r="AF2032" s="245"/>
      <c r="AG2032" s="245"/>
    </row>
    <row r="2033" spans="1:33" ht="26.4">
      <c r="A2033" s="246"/>
      <c r="B2033" s="245"/>
      <c r="C2033" s="245"/>
      <c r="D2033" s="245"/>
      <c r="E2033" s="245"/>
      <c r="F2033" s="187"/>
      <c r="G2033" s="245"/>
      <c r="H2033" s="245"/>
      <c r="I2033" s="245"/>
      <c r="P2033" s="366"/>
      <c r="R2033" s="355"/>
      <c r="S2033" s="369"/>
      <c r="T2033" s="324"/>
      <c r="U2033" s="85" ph="1"/>
      <c r="W2033" s="216"/>
      <c r="X2033" s="245"/>
      <c r="Y2033" s="187"/>
      <c r="Z2033" s="245"/>
      <c r="AA2033" s="245"/>
      <c r="AB2033" s="332"/>
      <c r="AD2033" s="245"/>
      <c r="AE2033" s="245"/>
      <c r="AF2033" s="245"/>
      <c r="AG2033" s="245"/>
    </row>
    <row r="2034" spans="1:33" ht="26.4">
      <c r="A2034" s="246"/>
      <c r="B2034" s="245"/>
      <c r="C2034" s="245"/>
      <c r="D2034" s="245"/>
      <c r="E2034" s="245"/>
      <c r="F2034" s="187"/>
      <c r="G2034" s="245"/>
      <c r="H2034" s="245"/>
      <c r="I2034" s="245"/>
      <c r="P2034" s="366"/>
      <c r="R2034" s="355"/>
      <c r="T2034" s="324"/>
      <c r="U2034" s="85" ph="1"/>
      <c r="W2034" s="216"/>
      <c r="X2034" s="245"/>
      <c r="Y2034" s="187"/>
      <c r="Z2034" s="245"/>
      <c r="AA2034" s="245"/>
      <c r="AB2034" s="332"/>
      <c r="AD2034" s="245"/>
      <c r="AE2034" s="245"/>
      <c r="AF2034" s="245"/>
      <c r="AG2034" s="245"/>
    </row>
    <row r="2035" spans="1:33" ht="26.4">
      <c r="A2035" s="246"/>
      <c r="B2035" s="245"/>
      <c r="C2035" s="245"/>
      <c r="D2035" s="245"/>
      <c r="E2035" s="245"/>
      <c r="F2035" s="187"/>
      <c r="G2035" s="245"/>
      <c r="H2035" s="245"/>
      <c r="I2035" s="245"/>
      <c r="P2035" s="366"/>
      <c r="R2035" s="355"/>
      <c r="T2035" s="324"/>
      <c r="U2035" s="85" ph="1"/>
      <c r="W2035" s="216"/>
      <c r="X2035" s="245"/>
      <c r="Y2035" s="187"/>
      <c r="Z2035" s="245"/>
      <c r="AA2035" s="245"/>
      <c r="AB2035" s="332"/>
      <c r="AD2035" s="245"/>
      <c r="AE2035" s="245"/>
      <c r="AF2035" s="245"/>
      <c r="AG2035" s="245"/>
    </row>
    <row r="2036" spans="1:33" ht="26.4">
      <c r="A2036" s="246"/>
      <c r="B2036" s="245"/>
      <c r="C2036" s="245"/>
      <c r="D2036" s="245"/>
      <c r="E2036" s="245"/>
      <c r="F2036" s="187"/>
      <c r="G2036" s="245"/>
      <c r="H2036" s="245"/>
      <c r="I2036" s="245"/>
      <c r="P2036" s="366"/>
      <c r="R2036" s="355"/>
      <c r="T2036" s="324"/>
      <c r="U2036" s="85" ph="1"/>
      <c r="W2036" s="216"/>
      <c r="X2036" s="245"/>
      <c r="Y2036" s="187"/>
      <c r="Z2036" s="245"/>
      <c r="AA2036" s="245"/>
      <c r="AB2036" s="332"/>
      <c r="AD2036" s="245"/>
      <c r="AE2036" s="245"/>
      <c r="AF2036" s="245"/>
      <c r="AG2036" s="245"/>
    </row>
    <row r="2037" spans="1:33" ht="26.4">
      <c r="A2037" s="246"/>
      <c r="B2037" s="245"/>
      <c r="C2037" s="245"/>
      <c r="D2037" s="245"/>
      <c r="E2037" s="245"/>
      <c r="F2037" s="187"/>
      <c r="G2037" s="245"/>
      <c r="H2037" s="245"/>
      <c r="I2037" s="245"/>
      <c r="P2037" s="366"/>
      <c r="R2037" s="355"/>
      <c r="T2037" s="324"/>
      <c r="U2037" s="85" ph="1"/>
      <c r="W2037" s="216"/>
      <c r="X2037" s="245"/>
      <c r="Y2037" s="187"/>
      <c r="Z2037" s="245"/>
      <c r="AA2037" s="245"/>
      <c r="AB2037" s="332"/>
      <c r="AD2037" s="245"/>
      <c r="AE2037" s="245"/>
      <c r="AF2037" s="245"/>
      <c r="AG2037" s="245"/>
    </row>
    <row r="2038" spans="1:33" ht="26.4">
      <c r="A2038" s="246"/>
      <c r="B2038" s="245"/>
      <c r="C2038" s="245"/>
      <c r="D2038" s="245"/>
      <c r="E2038" s="245"/>
      <c r="F2038" s="187"/>
      <c r="G2038" s="245"/>
      <c r="H2038" s="245"/>
      <c r="I2038" s="245"/>
      <c r="P2038" s="366"/>
      <c r="R2038" s="355"/>
      <c r="T2038" s="324"/>
      <c r="U2038" s="85" ph="1"/>
      <c r="W2038" s="216"/>
      <c r="X2038" s="245"/>
      <c r="Y2038" s="187"/>
      <c r="Z2038" s="245"/>
      <c r="AA2038" s="245"/>
      <c r="AB2038" s="332"/>
      <c r="AD2038" s="245"/>
      <c r="AE2038" s="245"/>
      <c r="AF2038" s="245"/>
      <c r="AG2038" s="245"/>
    </row>
    <row r="2039" spans="1:33" ht="26.4">
      <c r="A2039" s="246"/>
      <c r="B2039" s="245"/>
      <c r="C2039" s="245"/>
      <c r="D2039" s="245"/>
      <c r="E2039" s="245"/>
      <c r="F2039" s="187"/>
      <c r="G2039" s="245"/>
      <c r="H2039" s="245"/>
      <c r="I2039" s="245"/>
      <c r="P2039" s="366"/>
      <c r="R2039" s="355"/>
      <c r="T2039" s="324"/>
      <c r="U2039" s="85" ph="1"/>
      <c r="W2039" s="216"/>
      <c r="X2039" s="245"/>
      <c r="Y2039" s="187"/>
      <c r="Z2039" s="245"/>
      <c r="AA2039" s="245"/>
      <c r="AB2039" s="332"/>
      <c r="AD2039" s="245"/>
      <c r="AE2039" s="245"/>
      <c r="AF2039" s="245"/>
      <c r="AG2039" s="245"/>
    </row>
    <row r="2040" spans="1:33" ht="26.4">
      <c r="A2040" s="246"/>
      <c r="B2040" s="245"/>
      <c r="C2040" s="245"/>
      <c r="D2040" s="245"/>
      <c r="E2040" s="245"/>
      <c r="F2040" s="187"/>
      <c r="G2040" s="245"/>
      <c r="H2040" s="245"/>
      <c r="I2040" s="245"/>
      <c r="P2040" s="366"/>
      <c r="R2040" s="355"/>
      <c r="T2040" s="324"/>
      <c r="U2040" s="85" ph="1"/>
      <c r="W2040" s="216"/>
      <c r="X2040" s="245"/>
      <c r="Y2040" s="187"/>
      <c r="Z2040" s="245"/>
      <c r="AA2040" s="245"/>
      <c r="AB2040" s="332"/>
      <c r="AD2040" s="245"/>
      <c r="AE2040" s="245"/>
      <c r="AF2040" s="245"/>
      <c r="AG2040" s="245"/>
    </row>
    <row r="2041" spans="1:33" ht="26.4">
      <c r="A2041" s="246"/>
      <c r="B2041" s="245"/>
      <c r="C2041" s="245"/>
      <c r="D2041" s="245"/>
      <c r="E2041" s="245"/>
      <c r="F2041" s="187"/>
      <c r="G2041" s="245"/>
      <c r="H2041" s="245"/>
      <c r="I2041" s="245"/>
      <c r="P2041" s="366"/>
      <c r="R2041" s="355"/>
      <c r="T2041" s="324"/>
      <c r="U2041" s="85" ph="1"/>
      <c r="W2041" s="216"/>
      <c r="X2041" s="245"/>
      <c r="Y2041" s="187"/>
      <c r="Z2041" s="245"/>
      <c r="AA2041" s="245"/>
      <c r="AB2041" s="332"/>
      <c r="AD2041" s="245"/>
      <c r="AE2041" s="245"/>
      <c r="AF2041" s="245"/>
      <c r="AG2041" s="245"/>
    </row>
    <row r="2042" spans="1:33" ht="26.4">
      <c r="A2042" s="246"/>
      <c r="B2042" s="245"/>
      <c r="C2042" s="245"/>
      <c r="D2042" s="245"/>
      <c r="E2042" s="245"/>
      <c r="F2042" s="187"/>
      <c r="G2042" s="245"/>
      <c r="H2042" s="245"/>
      <c r="I2042" s="245"/>
      <c r="P2042" s="366"/>
      <c r="R2042" s="355"/>
      <c r="T2042" s="324"/>
      <c r="U2042" s="85" ph="1"/>
      <c r="W2042" s="216"/>
      <c r="X2042" s="245"/>
      <c r="Y2042" s="187"/>
      <c r="Z2042" s="245"/>
      <c r="AA2042" s="245"/>
      <c r="AB2042" s="332"/>
      <c r="AD2042" s="245"/>
      <c r="AE2042" s="245"/>
      <c r="AF2042" s="245"/>
      <c r="AG2042" s="245"/>
    </row>
    <row r="2043" spans="1:33" ht="26.4">
      <c r="A2043" s="246"/>
      <c r="B2043" s="245"/>
      <c r="C2043" s="245"/>
      <c r="D2043" s="245"/>
      <c r="E2043" s="245"/>
      <c r="F2043" s="187"/>
      <c r="G2043" s="245"/>
      <c r="H2043" s="245"/>
      <c r="I2043" s="245"/>
      <c r="P2043" s="366"/>
      <c r="R2043" s="355"/>
      <c r="T2043" s="324"/>
      <c r="U2043" s="85" ph="1"/>
      <c r="W2043" s="216"/>
      <c r="X2043" s="245"/>
      <c r="Y2043" s="187"/>
      <c r="Z2043" s="245"/>
      <c r="AA2043" s="245"/>
      <c r="AB2043" s="332"/>
      <c r="AD2043" s="245"/>
      <c r="AE2043" s="245"/>
      <c r="AF2043" s="245"/>
      <c r="AG2043" s="245"/>
    </row>
    <row r="2044" spans="1:33" ht="26.4">
      <c r="A2044" s="246"/>
      <c r="B2044" s="245"/>
      <c r="C2044" s="245"/>
      <c r="D2044" s="245"/>
      <c r="E2044" s="245"/>
      <c r="F2044" s="187"/>
      <c r="G2044" s="245"/>
      <c r="H2044" s="245"/>
      <c r="I2044" s="245"/>
      <c r="P2044" s="366"/>
      <c r="R2044" s="355"/>
      <c r="T2044" s="324"/>
      <c r="U2044" s="85" ph="1"/>
      <c r="W2044" s="216"/>
      <c r="X2044" s="245"/>
      <c r="Y2044" s="187"/>
      <c r="Z2044" s="245"/>
      <c r="AA2044" s="245"/>
      <c r="AB2044" s="332"/>
      <c r="AD2044" s="245"/>
      <c r="AE2044" s="245"/>
      <c r="AF2044" s="245"/>
      <c r="AG2044" s="245"/>
    </row>
    <row r="2045" spans="1:33" ht="26.4">
      <c r="A2045" s="246"/>
      <c r="B2045" s="245"/>
      <c r="C2045" s="245"/>
      <c r="D2045" s="245"/>
      <c r="E2045" s="245"/>
      <c r="F2045" s="187"/>
      <c r="G2045" s="245"/>
      <c r="H2045" s="245"/>
      <c r="I2045" s="245"/>
      <c r="P2045" s="366"/>
      <c r="R2045" s="355"/>
      <c r="T2045" s="324"/>
      <c r="U2045" s="85" ph="1"/>
      <c r="W2045" s="216"/>
      <c r="X2045" s="245"/>
      <c r="Y2045" s="187"/>
      <c r="Z2045" s="245"/>
      <c r="AA2045" s="245"/>
      <c r="AB2045" s="332"/>
      <c r="AD2045" s="245"/>
      <c r="AE2045" s="245"/>
      <c r="AF2045" s="245"/>
      <c r="AG2045" s="245"/>
    </row>
    <row r="2046" spans="1:33" ht="26.4">
      <c r="A2046" s="246"/>
      <c r="B2046" s="245"/>
      <c r="C2046" s="245"/>
      <c r="D2046" s="245"/>
      <c r="E2046" s="245"/>
      <c r="F2046" s="187"/>
      <c r="G2046" s="245"/>
      <c r="H2046" s="245"/>
      <c r="I2046" s="245"/>
      <c r="P2046" s="366"/>
      <c r="R2046" s="355"/>
      <c r="T2046" s="324"/>
      <c r="U2046" s="85" ph="1"/>
      <c r="W2046" s="216"/>
      <c r="X2046" s="245"/>
      <c r="Y2046" s="187"/>
      <c r="Z2046" s="245"/>
      <c r="AA2046" s="245"/>
      <c r="AB2046" s="332"/>
      <c r="AD2046" s="245"/>
      <c r="AE2046" s="245"/>
      <c r="AF2046" s="245"/>
      <c r="AG2046" s="245"/>
    </row>
    <row r="2047" spans="1:33" ht="26.4">
      <c r="A2047" s="246"/>
      <c r="B2047" s="245"/>
      <c r="C2047" s="245"/>
      <c r="D2047" s="245"/>
      <c r="E2047" s="245"/>
      <c r="F2047" s="187"/>
      <c r="G2047" s="245"/>
      <c r="H2047" s="245"/>
      <c r="I2047" s="245"/>
      <c r="P2047" s="366"/>
      <c r="R2047" s="355"/>
      <c r="T2047" s="324"/>
      <c r="U2047" s="85" ph="1"/>
      <c r="W2047" s="216"/>
      <c r="X2047" s="245"/>
      <c r="Y2047" s="187"/>
      <c r="Z2047" s="245"/>
      <c r="AA2047" s="245"/>
      <c r="AB2047" s="332"/>
      <c r="AD2047" s="245"/>
      <c r="AE2047" s="245"/>
      <c r="AF2047" s="245"/>
      <c r="AG2047" s="245"/>
    </row>
    <row r="2048" spans="1:33" ht="26.4">
      <c r="A2048" s="246"/>
      <c r="B2048" s="245"/>
      <c r="C2048" s="245"/>
      <c r="D2048" s="245"/>
      <c r="E2048" s="245"/>
      <c r="F2048" s="187"/>
      <c r="G2048" s="245"/>
      <c r="H2048" s="245"/>
      <c r="I2048" s="245"/>
      <c r="P2048" s="366"/>
      <c r="R2048" s="355"/>
      <c r="T2048" s="324"/>
      <c r="U2048" s="85" ph="1"/>
      <c r="W2048" s="216"/>
      <c r="X2048" s="245"/>
      <c r="Y2048" s="187"/>
      <c r="Z2048" s="245"/>
      <c r="AA2048" s="245"/>
      <c r="AB2048" s="332"/>
      <c r="AD2048" s="245"/>
      <c r="AE2048" s="245"/>
      <c r="AF2048" s="245"/>
      <c r="AG2048" s="245"/>
    </row>
    <row r="2049" spans="1:33" ht="26.4">
      <c r="A2049" s="246"/>
      <c r="B2049" s="245"/>
      <c r="C2049" s="245"/>
      <c r="D2049" s="245"/>
      <c r="E2049" s="245"/>
      <c r="F2049" s="187"/>
      <c r="G2049" s="245"/>
      <c r="H2049" s="245"/>
      <c r="I2049" s="245"/>
      <c r="P2049" s="366"/>
      <c r="R2049" s="355"/>
      <c r="T2049" s="324"/>
      <c r="U2049" s="85" ph="1"/>
      <c r="W2049" s="216"/>
      <c r="X2049" s="245"/>
      <c r="Y2049" s="187"/>
      <c r="Z2049" s="245"/>
      <c r="AA2049" s="245"/>
      <c r="AB2049" s="332"/>
      <c r="AD2049" s="245"/>
      <c r="AE2049" s="245"/>
      <c r="AF2049" s="245"/>
      <c r="AG2049" s="245"/>
    </row>
    <row r="2050" spans="1:33" ht="26.4">
      <c r="A2050" s="246"/>
      <c r="B2050" s="245"/>
      <c r="C2050" s="245"/>
      <c r="D2050" s="245"/>
      <c r="E2050" s="245"/>
      <c r="F2050" s="187"/>
      <c r="G2050" s="245"/>
      <c r="H2050" s="245"/>
      <c r="I2050" s="245"/>
      <c r="P2050" s="366"/>
      <c r="R2050" s="355"/>
      <c r="T2050" s="324"/>
      <c r="U2050" s="85" ph="1"/>
      <c r="W2050" s="216"/>
      <c r="X2050" s="245"/>
      <c r="Y2050" s="187"/>
      <c r="Z2050" s="245"/>
      <c r="AA2050" s="245"/>
      <c r="AB2050" s="332"/>
      <c r="AD2050" s="245"/>
      <c r="AE2050" s="245"/>
      <c r="AF2050" s="245"/>
      <c r="AG2050" s="245"/>
    </row>
    <row r="2051" spans="1:33" ht="26.4">
      <c r="A2051" s="246"/>
      <c r="B2051" s="245"/>
      <c r="C2051" s="245"/>
      <c r="D2051" s="245"/>
      <c r="E2051" s="245"/>
      <c r="F2051" s="187"/>
      <c r="G2051" s="245"/>
      <c r="H2051" s="245"/>
      <c r="I2051" s="245"/>
      <c r="P2051" s="366"/>
      <c r="R2051" s="355"/>
      <c r="T2051" s="324"/>
      <c r="U2051" s="85" ph="1"/>
      <c r="W2051" s="216"/>
      <c r="X2051" s="245"/>
      <c r="Y2051" s="187"/>
      <c r="Z2051" s="245"/>
      <c r="AA2051" s="245"/>
      <c r="AB2051" s="332"/>
      <c r="AD2051" s="245"/>
      <c r="AE2051" s="245"/>
      <c r="AF2051" s="245"/>
      <c r="AG2051" s="245"/>
    </row>
    <row r="2052" spans="1:33" ht="26.4">
      <c r="A2052" s="246"/>
      <c r="B2052" s="245"/>
      <c r="C2052" s="245"/>
      <c r="D2052" s="245"/>
      <c r="E2052" s="245"/>
      <c r="F2052" s="187"/>
      <c r="G2052" s="245"/>
      <c r="H2052" s="245"/>
      <c r="I2052" s="245"/>
      <c r="P2052" s="366"/>
      <c r="R2052" s="355"/>
      <c r="T2052" s="324"/>
      <c r="U2052" s="85" ph="1"/>
      <c r="W2052" s="216"/>
      <c r="X2052" s="245"/>
      <c r="Y2052" s="187"/>
      <c r="Z2052" s="245"/>
      <c r="AA2052" s="245"/>
      <c r="AB2052" s="332"/>
      <c r="AD2052" s="245"/>
      <c r="AE2052" s="245"/>
      <c r="AF2052" s="245"/>
      <c r="AG2052" s="245"/>
    </row>
    <row r="2053" spans="1:33" ht="26.4">
      <c r="A2053" s="246"/>
      <c r="B2053" s="245"/>
      <c r="C2053" s="245"/>
      <c r="D2053" s="245"/>
      <c r="E2053" s="245"/>
      <c r="F2053" s="187"/>
      <c r="G2053" s="245"/>
      <c r="H2053" s="245"/>
      <c r="I2053" s="245"/>
      <c r="P2053" s="366"/>
      <c r="R2053" s="355"/>
      <c r="T2053" s="324"/>
      <c r="U2053" s="85" ph="1"/>
      <c r="W2053" s="216"/>
      <c r="X2053" s="245"/>
      <c r="Y2053" s="187"/>
      <c r="Z2053" s="245"/>
      <c r="AA2053" s="245"/>
      <c r="AB2053" s="332"/>
      <c r="AD2053" s="245"/>
      <c r="AE2053" s="245"/>
      <c r="AF2053" s="245"/>
      <c r="AG2053" s="245"/>
    </row>
    <row r="2054" spans="1:33" ht="26.4">
      <c r="A2054" s="246"/>
      <c r="B2054" s="245"/>
      <c r="C2054" s="245"/>
      <c r="D2054" s="245"/>
      <c r="E2054" s="245"/>
      <c r="F2054" s="187"/>
      <c r="G2054" s="245"/>
      <c r="H2054" s="245"/>
      <c r="I2054" s="245"/>
      <c r="P2054" s="366"/>
      <c r="R2054" s="355"/>
      <c r="T2054" s="324"/>
      <c r="U2054" s="85" ph="1"/>
      <c r="W2054" s="216"/>
      <c r="X2054" s="245"/>
      <c r="Y2054" s="187"/>
      <c r="Z2054" s="245"/>
      <c r="AA2054" s="245"/>
      <c r="AB2054" s="332"/>
      <c r="AD2054" s="245"/>
      <c r="AE2054" s="245"/>
      <c r="AF2054" s="245"/>
      <c r="AG2054" s="245"/>
    </row>
    <row r="2055" spans="1:33" ht="26.4">
      <c r="A2055" s="246"/>
      <c r="B2055" s="245"/>
      <c r="C2055" s="245"/>
      <c r="D2055" s="245"/>
      <c r="E2055" s="245"/>
      <c r="F2055" s="187"/>
      <c r="G2055" s="245"/>
      <c r="H2055" s="245"/>
      <c r="I2055" s="245"/>
      <c r="P2055" s="366"/>
      <c r="R2055" s="355"/>
      <c r="T2055" s="324"/>
      <c r="U2055" s="85" ph="1"/>
      <c r="W2055" s="216"/>
      <c r="X2055" s="245"/>
      <c r="Y2055" s="187"/>
      <c r="Z2055" s="245"/>
      <c r="AA2055" s="245"/>
      <c r="AB2055" s="332"/>
      <c r="AD2055" s="245"/>
      <c r="AE2055" s="245"/>
      <c r="AF2055" s="245"/>
      <c r="AG2055" s="245"/>
    </row>
    <row r="2056" spans="1:33" ht="26.4">
      <c r="A2056" s="246"/>
      <c r="B2056" s="245"/>
      <c r="C2056" s="245"/>
      <c r="D2056" s="245"/>
      <c r="E2056" s="245"/>
      <c r="F2056" s="187"/>
      <c r="G2056" s="245"/>
      <c r="H2056" s="245"/>
      <c r="I2056" s="245"/>
      <c r="P2056" s="366"/>
      <c r="R2056" s="355"/>
      <c r="T2056" s="324"/>
      <c r="U2056" s="85" ph="1"/>
      <c r="W2056" s="216"/>
      <c r="X2056" s="245"/>
      <c r="Y2056" s="187"/>
      <c r="Z2056" s="245"/>
      <c r="AA2056" s="245"/>
      <c r="AB2056" s="332"/>
      <c r="AD2056" s="245"/>
      <c r="AE2056" s="245"/>
      <c r="AF2056" s="245"/>
      <c r="AG2056" s="245"/>
    </row>
    <row r="2057" spans="1:33" ht="26.4">
      <c r="A2057" s="246"/>
      <c r="B2057" s="245"/>
      <c r="C2057" s="245"/>
      <c r="D2057" s="245"/>
      <c r="E2057" s="245"/>
      <c r="F2057" s="187"/>
      <c r="G2057" s="245"/>
      <c r="H2057" s="245"/>
      <c r="I2057" s="245"/>
      <c r="P2057" s="366"/>
      <c r="R2057" s="355"/>
      <c r="T2057" s="324"/>
      <c r="U2057" s="85" ph="1"/>
      <c r="W2057" s="216"/>
      <c r="X2057" s="245"/>
      <c r="Y2057" s="187"/>
      <c r="Z2057" s="245"/>
      <c r="AA2057" s="245"/>
      <c r="AB2057" s="332"/>
      <c r="AD2057" s="245"/>
      <c r="AE2057" s="245"/>
      <c r="AF2057" s="245"/>
      <c r="AG2057" s="245"/>
    </row>
    <row r="2058" spans="1:33" ht="26.4">
      <c r="A2058" s="246"/>
      <c r="B2058" s="245"/>
      <c r="C2058" s="245"/>
      <c r="D2058" s="245"/>
      <c r="E2058" s="245"/>
      <c r="F2058" s="187"/>
      <c r="G2058" s="245"/>
      <c r="H2058" s="245"/>
      <c r="I2058" s="245"/>
      <c r="P2058" s="366"/>
      <c r="R2058" s="355"/>
      <c r="T2058" s="324"/>
      <c r="U2058" s="85" ph="1"/>
      <c r="W2058" s="216"/>
      <c r="X2058" s="245"/>
      <c r="Y2058" s="187"/>
      <c r="Z2058" s="245"/>
      <c r="AA2058" s="245"/>
      <c r="AB2058" s="332"/>
      <c r="AD2058" s="245"/>
      <c r="AE2058" s="245"/>
      <c r="AF2058" s="245"/>
      <c r="AG2058" s="245"/>
    </row>
    <row r="2059" spans="1:33" ht="26.4">
      <c r="A2059" s="246"/>
      <c r="B2059" s="245"/>
      <c r="C2059" s="245"/>
      <c r="D2059" s="245"/>
      <c r="E2059" s="245"/>
      <c r="F2059" s="187"/>
      <c r="G2059" s="245"/>
      <c r="H2059" s="245"/>
      <c r="I2059" s="245"/>
      <c r="P2059" s="366"/>
      <c r="R2059" s="355"/>
      <c r="T2059" s="324"/>
      <c r="U2059" s="85" ph="1"/>
      <c r="W2059" s="216"/>
      <c r="X2059" s="245"/>
      <c r="Y2059" s="187"/>
      <c r="Z2059" s="245"/>
      <c r="AA2059" s="245"/>
      <c r="AB2059" s="332"/>
      <c r="AD2059" s="245"/>
      <c r="AE2059" s="245"/>
      <c r="AF2059" s="245"/>
      <c r="AG2059" s="245"/>
    </row>
    <row r="2060" spans="1:33" ht="26.4">
      <c r="A2060" s="246"/>
      <c r="B2060" s="245"/>
      <c r="C2060" s="245"/>
      <c r="D2060" s="245"/>
      <c r="E2060" s="245"/>
      <c r="F2060" s="187"/>
      <c r="G2060" s="245"/>
      <c r="H2060" s="245"/>
      <c r="I2060" s="245"/>
      <c r="P2060" s="366"/>
      <c r="R2060" s="355"/>
      <c r="T2060" s="324"/>
      <c r="U2060" s="85" ph="1"/>
      <c r="W2060" s="216"/>
      <c r="X2060" s="245"/>
      <c r="Y2060" s="187"/>
      <c r="Z2060" s="245"/>
      <c r="AA2060" s="245"/>
      <c r="AB2060" s="332"/>
      <c r="AD2060" s="245"/>
      <c r="AE2060" s="245"/>
      <c r="AF2060" s="245"/>
      <c r="AG2060" s="245"/>
    </row>
    <row r="2061" spans="1:33" ht="26.4">
      <c r="A2061" s="246"/>
      <c r="B2061" s="245"/>
      <c r="C2061" s="245"/>
      <c r="D2061" s="245"/>
      <c r="E2061" s="245"/>
      <c r="F2061" s="187"/>
      <c r="G2061" s="245"/>
      <c r="H2061" s="245"/>
      <c r="I2061" s="245"/>
      <c r="P2061" s="366"/>
      <c r="R2061" s="355"/>
      <c r="T2061" s="324"/>
      <c r="U2061" s="85" ph="1"/>
      <c r="W2061" s="216"/>
      <c r="X2061" s="245"/>
      <c r="Y2061" s="187"/>
      <c r="Z2061" s="245"/>
      <c r="AA2061" s="245"/>
      <c r="AB2061" s="332"/>
      <c r="AD2061" s="245"/>
      <c r="AE2061" s="245"/>
      <c r="AF2061" s="245"/>
      <c r="AG2061" s="245"/>
    </row>
    <row r="2062" spans="1:33" ht="26.4">
      <c r="A2062" s="246"/>
      <c r="B2062" s="245"/>
      <c r="C2062" s="245"/>
      <c r="D2062" s="245"/>
      <c r="E2062" s="245"/>
      <c r="F2062" s="187"/>
      <c r="G2062" s="245"/>
      <c r="H2062" s="245"/>
      <c r="I2062" s="245"/>
      <c r="P2062" s="366"/>
      <c r="R2062" s="355"/>
      <c r="T2062" s="324"/>
      <c r="U2062" s="85" ph="1"/>
      <c r="W2062" s="216"/>
      <c r="X2062" s="245"/>
      <c r="Y2062" s="187"/>
      <c r="Z2062" s="245"/>
      <c r="AA2062" s="245"/>
      <c r="AB2062" s="332"/>
      <c r="AD2062" s="245"/>
      <c r="AE2062" s="245"/>
      <c r="AF2062" s="245"/>
      <c r="AG2062" s="245"/>
    </row>
    <row r="2063" spans="1:33" ht="26.4">
      <c r="A2063" s="246"/>
      <c r="B2063" s="245"/>
      <c r="C2063" s="245"/>
      <c r="D2063" s="245"/>
      <c r="E2063" s="245"/>
      <c r="F2063" s="187"/>
      <c r="G2063" s="245"/>
      <c r="H2063" s="245"/>
      <c r="I2063" s="245"/>
      <c r="P2063" s="366"/>
      <c r="R2063" s="355"/>
      <c r="T2063" s="324"/>
      <c r="U2063" s="85" ph="1"/>
      <c r="W2063" s="216"/>
      <c r="X2063" s="245"/>
      <c r="Y2063" s="187"/>
      <c r="Z2063" s="245"/>
      <c r="AA2063" s="245"/>
      <c r="AB2063" s="332"/>
      <c r="AD2063" s="245"/>
      <c r="AE2063" s="245"/>
      <c r="AF2063" s="245"/>
      <c r="AG2063" s="245"/>
    </row>
    <row r="2064" spans="1:33" ht="26.4">
      <c r="A2064" s="246"/>
      <c r="B2064" s="245"/>
      <c r="C2064" s="245"/>
      <c r="D2064" s="245"/>
      <c r="E2064" s="245"/>
      <c r="F2064" s="187"/>
      <c r="G2064" s="245"/>
      <c r="H2064" s="245"/>
      <c r="I2064" s="245"/>
      <c r="P2064" s="366"/>
      <c r="R2064" s="355"/>
      <c r="T2064" s="324"/>
      <c r="U2064" s="85" ph="1"/>
      <c r="W2064" s="216"/>
      <c r="X2064" s="245"/>
      <c r="Y2064" s="187"/>
      <c r="Z2064" s="245"/>
      <c r="AA2064" s="245"/>
      <c r="AB2064" s="332"/>
      <c r="AD2064" s="245"/>
      <c r="AE2064" s="245"/>
      <c r="AF2064" s="245"/>
      <c r="AG2064" s="245"/>
    </row>
    <row r="2065" spans="1:33" ht="26.4">
      <c r="A2065" s="246"/>
      <c r="B2065" s="245"/>
      <c r="C2065" s="245"/>
      <c r="D2065" s="245"/>
      <c r="E2065" s="245"/>
      <c r="F2065" s="187"/>
      <c r="G2065" s="245"/>
      <c r="H2065" s="245"/>
      <c r="I2065" s="245"/>
      <c r="P2065" s="366"/>
      <c r="R2065" s="355"/>
      <c r="T2065" s="324"/>
      <c r="U2065" s="85" ph="1"/>
      <c r="W2065" s="216"/>
      <c r="X2065" s="245"/>
      <c r="Y2065" s="187"/>
      <c r="Z2065" s="245"/>
      <c r="AA2065" s="245"/>
      <c r="AB2065" s="332"/>
      <c r="AD2065" s="245"/>
      <c r="AE2065" s="245"/>
      <c r="AF2065" s="245"/>
      <c r="AG2065" s="245"/>
    </row>
    <row r="2066" spans="1:33" ht="26.4">
      <c r="A2066" s="246"/>
      <c r="B2066" s="245"/>
      <c r="C2066" s="245"/>
      <c r="D2066" s="245"/>
      <c r="E2066" s="245"/>
      <c r="F2066" s="187"/>
      <c r="G2066" s="245"/>
      <c r="H2066" s="245"/>
      <c r="I2066" s="245"/>
      <c r="P2066" s="366"/>
      <c r="R2066" s="355"/>
      <c r="T2066" s="324"/>
      <c r="U2066" s="85" ph="1"/>
      <c r="W2066" s="216"/>
      <c r="X2066" s="245"/>
      <c r="Y2066" s="187"/>
      <c r="Z2066" s="245"/>
      <c r="AA2066" s="245"/>
      <c r="AB2066" s="332"/>
      <c r="AD2066" s="245"/>
      <c r="AE2066" s="245"/>
      <c r="AF2066" s="245"/>
      <c r="AG2066" s="245"/>
    </row>
    <row r="2067" spans="1:33" ht="26.4">
      <c r="A2067" s="246"/>
      <c r="B2067" s="245"/>
      <c r="C2067" s="245"/>
      <c r="D2067" s="245"/>
      <c r="E2067" s="245"/>
      <c r="F2067" s="187"/>
      <c r="G2067" s="245"/>
      <c r="H2067" s="245"/>
      <c r="I2067" s="245"/>
      <c r="P2067" s="366"/>
      <c r="R2067" s="355"/>
      <c r="T2067" s="324"/>
      <c r="U2067" s="85" ph="1"/>
      <c r="W2067" s="216"/>
      <c r="X2067" s="245"/>
      <c r="Y2067" s="187"/>
      <c r="Z2067" s="245"/>
      <c r="AA2067" s="245"/>
      <c r="AB2067" s="332"/>
      <c r="AD2067" s="245"/>
      <c r="AE2067" s="245"/>
      <c r="AF2067" s="245"/>
      <c r="AG2067" s="245"/>
    </row>
    <row r="2068" spans="1:33" ht="26.4">
      <c r="A2068" s="246"/>
      <c r="B2068" s="245"/>
      <c r="C2068" s="245"/>
      <c r="D2068" s="245"/>
      <c r="E2068" s="245"/>
      <c r="F2068" s="187"/>
      <c r="G2068" s="245"/>
      <c r="H2068" s="245"/>
      <c r="I2068" s="245"/>
      <c r="P2068" s="366"/>
      <c r="R2068" s="355"/>
      <c r="T2068" s="324"/>
      <c r="U2068" s="85" ph="1"/>
      <c r="W2068" s="216"/>
      <c r="X2068" s="245"/>
      <c r="Y2068" s="187"/>
      <c r="Z2068" s="245"/>
      <c r="AA2068" s="245"/>
      <c r="AB2068" s="332"/>
      <c r="AD2068" s="245"/>
      <c r="AE2068" s="245"/>
      <c r="AF2068" s="245"/>
      <c r="AG2068" s="245"/>
    </row>
    <row r="2069" spans="1:33" ht="26.4">
      <c r="A2069" s="246"/>
      <c r="B2069" s="245"/>
      <c r="C2069" s="245"/>
      <c r="D2069" s="245"/>
      <c r="E2069" s="245"/>
      <c r="F2069" s="187"/>
      <c r="G2069" s="245"/>
      <c r="H2069" s="245"/>
      <c r="I2069" s="245"/>
      <c r="P2069" s="366"/>
      <c r="R2069" s="355"/>
      <c r="T2069" s="324"/>
      <c r="U2069" s="85" ph="1"/>
      <c r="W2069" s="216"/>
      <c r="X2069" s="245"/>
      <c r="Y2069" s="187"/>
      <c r="Z2069" s="245"/>
      <c r="AA2069" s="245"/>
      <c r="AB2069" s="332"/>
      <c r="AD2069" s="245"/>
      <c r="AE2069" s="245"/>
      <c r="AF2069" s="245"/>
      <c r="AG2069" s="245"/>
    </row>
    <row r="2070" spans="1:33" ht="26.4">
      <c r="A2070" s="246"/>
      <c r="B2070" s="245"/>
      <c r="C2070" s="245"/>
      <c r="D2070" s="245"/>
      <c r="E2070" s="245"/>
      <c r="F2070" s="187"/>
      <c r="G2070" s="245"/>
      <c r="H2070" s="245"/>
      <c r="I2070" s="245"/>
      <c r="P2070" s="366"/>
      <c r="R2070" s="355"/>
      <c r="T2070" s="324"/>
      <c r="U2070" s="85" ph="1"/>
      <c r="W2070" s="216"/>
      <c r="X2070" s="245"/>
      <c r="Y2070" s="187"/>
      <c r="Z2070" s="245"/>
      <c r="AA2070" s="245"/>
      <c r="AB2070" s="332"/>
      <c r="AD2070" s="245"/>
      <c r="AE2070" s="245"/>
      <c r="AF2070" s="245"/>
      <c r="AG2070" s="245"/>
    </row>
    <row r="2071" spans="1:33" ht="26.4">
      <c r="A2071" s="246"/>
      <c r="B2071" s="245"/>
      <c r="C2071" s="245"/>
      <c r="D2071" s="245"/>
      <c r="E2071" s="245"/>
      <c r="F2071" s="187"/>
      <c r="G2071" s="245"/>
      <c r="H2071" s="245"/>
      <c r="I2071" s="245"/>
      <c r="P2071" s="366"/>
      <c r="R2071" s="355"/>
      <c r="T2071" s="324"/>
      <c r="U2071" s="85" ph="1"/>
      <c r="W2071" s="216"/>
      <c r="X2071" s="245"/>
      <c r="Y2071" s="187"/>
      <c r="Z2071" s="245"/>
      <c r="AA2071" s="245"/>
      <c r="AB2071" s="332"/>
      <c r="AD2071" s="245"/>
      <c r="AE2071" s="245"/>
      <c r="AF2071" s="245"/>
      <c r="AG2071" s="245"/>
    </row>
    <row r="2072" spans="1:33" ht="26.4">
      <c r="A2072" s="246"/>
      <c r="B2072" s="245"/>
      <c r="C2072" s="245"/>
      <c r="D2072" s="245"/>
      <c r="E2072" s="245"/>
      <c r="F2072" s="187"/>
      <c r="G2072" s="245"/>
      <c r="H2072" s="245"/>
      <c r="I2072" s="245"/>
      <c r="P2072" s="366"/>
      <c r="R2072" s="355"/>
      <c r="T2072" s="324"/>
      <c r="U2072" s="85" ph="1"/>
      <c r="W2072" s="216"/>
      <c r="X2072" s="245"/>
      <c r="Y2072" s="187"/>
      <c r="Z2072" s="245"/>
      <c r="AA2072" s="245"/>
      <c r="AB2072" s="332"/>
      <c r="AD2072" s="245"/>
      <c r="AE2072" s="245"/>
      <c r="AF2072" s="245"/>
      <c r="AG2072" s="245"/>
    </row>
    <row r="2073" spans="1:33" ht="26.4">
      <c r="A2073" s="246"/>
      <c r="B2073" s="245"/>
      <c r="C2073" s="245"/>
      <c r="D2073" s="245"/>
      <c r="E2073" s="245"/>
      <c r="F2073" s="187"/>
      <c r="G2073" s="245"/>
      <c r="H2073" s="245"/>
      <c r="I2073" s="245"/>
      <c r="P2073" s="366"/>
      <c r="R2073" s="355"/>
      <c r="T2073" s="324"/>
      <c r="U2073" s="85" ph="1"/>
      <c r="W2073" s="216"/>
      <c r="X2073" s="245"/>
      <c r="Y2073" s="187"/>
      <c r="Z2073" s="245"/>
      <c r="AA2073" s="245"/>
      <c r="AB2073" s="332"/>
      <c r="AD2073" s="245"/>
      <c r="AE2073" s="245"/>
      <c r="AF2073" s="245"/>
      <c r="AG2073" s="245"/>
    </row>
    <row r="2074" spans="1:33" ht="26.4">
      <c r="A2074" s="246"/>
      <c r="B2074" s="245"/>
      <c r="C2074" s="245"/>
      <c r="D2074" s="245"/>
      <c r="E2074" s="245"/>
      <c r="F2074" s="187"/>
      <c r="G2074" s="245"/>
      <c r="H2074" s="245"/>
      <c r="I2074" s="245"/>
      <c r="P2074" s="366"/>
      <c r="R2074" s="355"/>
      <c r="T2074" s="324"/>
      <c r="U2074" s="85" ph="1"/>
      <c r="W2074" s="216"/>
      <c r="X2074" s="245"/>
      <c r="Y2074" s="187"/>
      <c r="Z2074" s="245"/>
      <c r="AA2074" s="245"/>
      <c r="AB2074" s="332"/>
      <c r="AD2074" s="245"/>
      <c r="AE2074" s="245"/>
      <c r="AF2074" s="245"/>
      <c r="AG2074" s="245"/>
    </row>
    <row r="2075" spans="1:33" ht="26.4">
      <c r="A2075" s="246"/>
      <c r="B2075" s="245"/>
      <c r="C2075" s="245"/>
      <c r="D2075" s="245"/>
      <c r="E2075" s="245"/>
      <c r="F2075" s="187"/>
      <c r="G2075" s="245"/>
      <c r="H2075" s="245"/>
      <c r="I2075" s="245"/>
      <c r="P2075" s="366"/>
      <c r="R2075" s="355"/>
      <c r="T2075" s="324"/>
      <c r="U2075" s="85" ph="1"/>
      <c r="W2075" s="216"/>
      <c r="X2075" s="245"/>
      <c r="Y2075" s="187"/>
      <c r="Z2075" s="245"/>
      <c r="AA2075" s="245"/>
      <c r="AB2075" s="332"/>
      <c r="AD2075" s="245"/>
      <c r="AE2075" s="245"/>
      <c r="AF2075" s="245"/>
      <c r="AG2075" s="245"/>
    </row>
    <row r="2076" spans="1:33" ht="26.4">
      <c r="A2076" s="246"/>
      <c r="B2076" s="245"/>
      <c r="C2076" s="245"/>
      <c r="D2076" s="245"/>
      <c r="E2076" s="245"/>
      <c r="F2076" s="187"/>
      <c r="G2076" s="245"/>
      <c r="H2076" s="245"/>
      <c r="I2076" s="245"/>
      <c r="P2076" s="366"/>
      <c r="R2076" s="355"/>
      <c r="T2076" s="324"/>
      <c r="U2076" s="85" ph="1"/>
      <c r="W2076" s="216"/>
      <c r="X2076" s="245"/>
      <c r="Y2076" s="187"/>
      <c r="Z2076" s="245"/>
      <c r="AA2076" s="245"/>
      <c r="AB2076" s="332"/>
      <c r="AD2076" s="245"/>
      <c r="AE2076" s="245"/>
      <c r="AF2076" s="245"/>
      <c r="AG2076" s="245"/>
    </row>
    <row r="2077" spans="1:33" ht="26.4">
      <c r="A2077" s="246"/>
      <c r="B2077" s="245"/>
      <c r="C2077" s="245"/>
      <c r="D2077" s="245"/>
      <c r="E2077" s="245"/>
      <c r="F2077" s="187"/>
      <c r="G2077" s="245"/>
      <c r="H2077" s="245"/>
      <c r="I2077" s="245"/>
      <c r="P2077" s="366"/>
      <c r="R2077" s="355"/>
      <c r="T2077" s="324"/>
      <c r="U2077" s="85" ph="1"/>
      <c r="W2077" s="216"/>
      <c r="X2077" s="245"/>
      <c r="Y2077" s="187"/>
      <c r="Z2077" s="245"/>
      <c r="AA2077" s="245"/>
      <c r="AB2077" s="332"/>
      <c r="AD2077" s="245"/>
      <c r="AE2077" s="245"/>
      <c r="AF2077" s="245"/>
      <c r="AG2077" s="245"/>
    </row>
    <row r="2078" spans="1:33" ht="26.4">
      <c r="A2078" s="246"/>
      <c r="B2078" s="245"/>
      <c r="C2078" s="245"/>
      <c r="D2078" s="245"/>
      <c r="E2078" s="245"/>
      <c r="F2078" s="187"/>
      <c r="G2078" s="245"/>
      <c r="H2078" s="245"/>
      <c r="I2078" s="245"/>
      <c r="P2078" s="366"/>
      <c r="R2078" s="355"/>
      <c r="T2078" s="324"/>
      <c r="U2078" s="85" ph="1"/>
      <c r="W2078" s="216"/>
      <c r="X2078" s="245"/>
      <c r="Y2078" s="187"/>
      <c r="Z2078" s="245"/>
      <c r="AA2078" s="245"/>
      <c r="AB2078" s="332"/>
      <c r="AD2078" s="245"/>
      <c r="AE2078" s="245"/>
      <c r="AF2078" s="245"/>
      <c r="AG2078" s="245"/>
    </row>
    <row r="2079" spans="1:33" ht="26.4">
      <c r="A2079" s="246"/>
      <c r="B2079" s="245"/>
      <c r="C2079" s="245"/>
      <c r="D2079" s="245"/>
      <c r="E2079" s="245"/>
      <c r="F2079" s="187"/>
      <c r="G2079" s="245"/>
      <c r="H2079" s="245"/>
      <c r="I2079" s="245"/>
      <c r="P2079" s="366"/>
      <c r="R2079" s="355"/>
      <c r="T2079" s="324"/>
      <c r="U2079" s="85" ph="1"/>
      <c r="W2079" s="216"/>
      <c r="X2079" s="245"/>
      <c r="Y2079" s="187"/>
      <c r="Z2079" s="245"/>
      <c r="AA2079" s="245"/>
      <c r="AB2079" s="332"/>
      <c r="AD2079" s="245"/>
      <c r="AE2079" s="245"/>
      <c r="AF2079" s="245"/>
      <c r="AG2079" s="245"/>
    </row>
    <row r="2080" spans="1:33" ht="26.4">
      <c r="A2080" s="246"/>
      <c r="B2080" s="245"/>
      <c r="C2080" s="245"/>
      <c r="D2080" s="245"/>
      <c r="E2080" s="245"/>
      <c r="F2080" s="187"/>
      <c r="G2080" s="245"/>
      <c r="H2080" s="245"/>
      <c r="I2080" s="245"/>
      <c r="P2080" s="366"/>
      <c r="R2080" s="355"/>
      <c r="T2080" s="324"/>
      <c r="U2080" s="85" ph="1"/>
      <c r="W2080" s="216"/>
      <c r="X2080" s="245"/>
      <c r="Y2080" s="187"/>
      <c r="Z2080" s="245"/>
      <c r="AA2080" s="245"/>
      <c r="AB2080" s="332"/>
      <c r="AD2080" s="245"/>
      <c r="AE2080" s="245"/>
      <c r="AF2080" s="245"/>
      <c r="AG2080" s="245"/>
    </row>
    <row r="2081" spans="1:33" ht="26.4">
      <c r="A2081" s="246"/>
      <c r="B2081" s="245"/>
      <c r="C2081" s="245"/>
      <c r="D2081" s="245"/>
      <c r="E2081" s="245"/>
      <c r="F2081" s="187"/>
      <c r="G2081" s="245"/>
      <c r="H2081" s="245"/>
      <c r="I2081" s="245"/>
      <c r="P2081" s="366"/>
      <c r="R2081" s="355"/>
      <c r="T2081" s="324"/>
      <c r="U2081" s="85" ph="1"/>
      <c r="W2081" s="216"/>
      <c r="X2081" s="245"/>
      <c r="Y2081" s="187"/>
      <c r="Z2081" s="245"/>
      <c r="AA2081" s="245"/>
      <c r="AB2081" s="332"/>
      <c r="AD2081" s="245"/>
      <c r="AE2081" s="245"/>
      <c r="AF2081" s="245"/>
      <c r="AG2081" s="245"/>
    </row>
    <row r="2082" spans="1:33" ht="26.4">
      <c r="A2082" s="246"/>
      <c r="B2082" s="245"/>
      <c r="C2082" s="245"/>
      <c r="D2082" s="245"/>
      <c r="E2082" s="245"/>
      <c r="F2082" s="187"/>
      <c r="G2082" s="245"/>
      <c r="H2082" s="245"/>
      <c r="I2082" s="245"/>
      <c r="P2082" s="366"/>
      <c r="R2082" s="355"/>
      <c r="T2082" s="324"/>
      <c r="U2082" s="85" ph="1"/>
      <c r="W2082" s="216"/>
      <c r="X2082" s="245"/>
      <c r="Y2082" s="187"/>
      <c r="Z2082" s="245"/>
      <c r="AA2082" s="245"/>
      <c r="AB2082" s="332"/>
      <c r="AD2082" s="245"/>
      <c r="AE2082" s="245"/>
      <c r="AF2082" s="245"/>
      <c r="AG2082" s="245"/>
    </row>
    <row r="2083" spans="1:33" ht="26.4">
      <c r="A2083" s="246"/>
      <c r="B2083" s="245"/>
      <c r="C2083" s="245"/>
      <c r="D2083" s="245"/>
      <c r="E2083" s="245"/>
      <c r="F2083" s="187"/>
      <c r="G2083" s="245"/>
      <c r="H2083" s="245"/>
      <c r="I2083" s="245"/>
      <c r="P2083" s="366"/>
      <c r="R2083" s="355"/>
      <c r="T2083" s="324"/>
      <c r="U2083" s="85" ph="1"/>
      <c r="W2083" s="216"/>
      <c r="X2083" s="245"/>
      <c r="Y2083" s="187"/>
      <c r="Z2083" s="245"/>
      <c r="AA2083" s="245"/>
      <c r="AB2083" s="332"/>
      <c r="AD2083" s="245"/>
      <c r="AE2083" s="245"/>
      <c r="AF2083" s="245"/>
      <c r="AG2083" s="245"/>
    </row>
    <row r="2084" spans="1:33" ht="26.4">
      <c r="A2084" s="246"/>
      <c r="B2084" s="245"/>
      <c r="C2084" s="245"/>
      <c r="D2084" s="245"/>
      <c r="E2084" s="245"/>
      <c r="F2084" s="187"/>
      <c r="G2084" s="245"/>
      <c r="H2084" s="245"/>
      <c r="I2084" s="245"/>
      <c r="P2084" s="366"/>
      <c r="R2084" s="355"/>
      <c r="T2084" s="324"/>
      <c r="U2084" s="85" ph="1"/>
      <c r="W2084" s="216"/>
      <c r="X2084" s="245"/>
      <c r="Y2084" s="187"/>
      <c r="Z2084" s="245"/>
      <c r="AA2084" s="245"/>
      <c r="AB2084" s="332"/>
      <c r="AD2084" s="245"/>
      <c r="AE2084" s="245"/>
      <c r="AF2084" s="245"/>
      <c r="AG2084" s="245"/>
    </row>
    <row r="2085" spans="1:33" ht="26.4">
      <c r="A2085" s="246"/>
      <c r="B2085" s="245"/>
      <c r="C2085" s="245"/>
      <c r="D2085" s="245"/>
      <c r="E2085" s="245"/>
      <c r="F2085" s="187"/>
      <c r="G2085" s="245"/>
      <c r="H2085" s="245"/>
      <c r="I2085" s="245"/>
      <c r="P2085" s="366"/>
      <c r="R2085" s="355"/>
      <c r="T2085" s="324"/>
      <c r="U2085" s="85" ph="1"/>
      <c r="W2085" s="216"/>
      <c r="X2085" s="245"/>
      <c r="Y2085" s="187"/>
      <c r="Z2085" s="245"/>
      <c r="AA2085" s="245"/>
      <c r="AB2085" s="332"/>
      <c r="AD2085" s="245"/>
      <c r="AE2085" s="245"/>
      <c r="AF2085" s="245"/>
      <c r="AG2085" s="245"/>
    </row>
    <row r="2086" spans="1:33" ht="26.4">
      <c r="A2086" s="246"/>
      <c r="B2086" s="245"/>
      <c r="C2086" s="245"/>
      <c r="D2086" s="245"/>
      <c r="E2086" s="245"/>
      <c r="F2086" s="187"/>
      <c r="G2086" s="245"/>
      <c r="H2086" s="245"/>
      <c r="I2086" s="245"/>
      <c r="P2086" s="366"/>
      <c r="R2086" s="355"/>
      <c r="T2086" s="324"/>
      <c r="U2086" s="85" ph="1"/>
      <c r="W2086" s="216"/>
      <c r="X2086" s="245"/>
      <c r="Y2086" s="187"/>
      <c r="Z2086" s="245"/>
      <c r="AA2086" s="245"/>
      <c r="AB2086" s="332"/>
      <c r="AD2086" s="245"/>
      <c r="AE2086" s="245"/>
      <c r="AF2086" s="245"/>
      <c r="AG2086" s="245"/>
    </row>
    <row r="2087" spans="1:33" ht="26.4">
      <c r="A2087" s="246"/>
      <c r="B2087" s="245"/>
      <c r="C2087" s="245"/>
      <c r="D2087" s="245"/>
      <c r="E2087" s="245"/>
      <c r="F2087" s="187"/>
      <c r="G2087" s="245"/>
      <c r="H2087" s="245"/>
      <c r="I2087" s="245"/>
      <c r="P2087" s="366"/>
      <c r="R2087" s="355"/>
      <c r="T2087" s="324"/>
      <c r="U2087" s="85" ph="1"/>
      <c r="W2087" s="216"/>
      <c r="X2087" s="245"/>
      <c r="Y2087" s="187"/>
      <c r="Z2087" s="245"/>
      <c r="AA2087" s="245"/>
      <c r="AB2087" s="332"/>
      <c r="AD2087" s="245"/>
      <c r="AE2087" s="245"/>
      <c r="AF2087" s="245"/>
      <c r="AG2087" s="245"/>
    </row>
    <row r="2088" spans="1:33" ht="26.4">
      <c r="A2088" s="246"/>
      <c r="B2088" s="245"/>
      <c r="C2088" s="245"/>
      <c r="D2088" s="245"/>
      <c r="E2088" s="245"/>
      <c r="F2088" s="187"/>
      <c r="G2088" s="245"/>
      <c r="H2088" s="245"/>
      <c r="I2088" s="245"/>
      <c r="P2088" s="366"/>
      <c r="R2088" s="355"/>
      <c r="T2088" s="324"/>
      <c r="U2088" s="85" ph="1"/>
      <c r="W2088" s="216"/>
      <c r="X2088" s="245"/>
      <c r="Y2088" s="187"/>
      <c r="Z2088" s="245"/>
      <c r="AA2088" s="245"/>
      <c r="AB2088" s="332"/>
      <c r="AD2088" s="245"/>
      <c r="AE2088" s="245"/>
      <c r="AF2088" s="245"/>
      <c r="AG2088" s="245"/>
    </row>
    <row r="2089" spans="1:33" ht="26.4">
      <c r="A2089" s="246"/>
      <c r="B2089" s="245"/>
      <c r="C2089" s="245"/>
      <c r="D2089" s="245"/>
      <c r="E2089" s="245"/>
      <c r="F2089" s="187"/>
      <c r="G2089" s="245"/>
      <c r="H2089" s="245"/>
      <c r="I2089" s="245"/>
      <c r="P2089" s="366"/>
      <c r="R2089" s="355"/>
      <c r="T2089" s="324"/>
      <c r="U2089" s="85" ph="1"/>
      <c r="W2089" s="216"/>
      <c r="X2089" s="245"/>
      <c r="Y2089" s="187"/>
      <c r="Z2089" s="245"/>
      <c r="AA2089" s="245"/>
      <c r="AB2089" s="332"/>
      <c r="AD2089" s="245"/>
      <c r="AE2089" s="245"/>
      <c r="AF2089" s="245"/>
      <c r="AG2089" s="245"/>
    </row>
    <row r="2090" spans="1:33" ht="26.4">
      <c r="A2090" s="246"/>
      <c r="B2090" s="245"/>
      <c r="C2090" s="245"/>
      <c r="D2090" s="245"/>
      <c r="E2090" s="245"/>
      <c r="F2090" s="187"/>
      <c r="G2090" s="245"/>
      <c r="H2090" s="245"/>
      <c r="I2090" s="245"/>
      <c r="P2090" s="366"/>
      <c r="R2090" s="355"/>
      <c r="T2090" s="324"/>
      <c r="U2090" s="85" ph="1"/>
      <c r="W2090" s="216"/>
      <c r="X2090" s="245"/>
      <c r="Y2090" s="187"/>
      <c r="Z2090" s="245"/>
      <c r="AA2090" s="245"/>
      <c r="AB2090" s="332"/>
      <c r="AD2090" s="245"/>
      <c r="AE2090" s="245"/>
      <c r="AF2090" s="245"/>
      <c r="AG2090" s="245"/>
    </row>
    <row r="2091" spans="1:33" ht="26.4">
      <c r="A2091" s="246"/>
      <c r="B2091" s="245"/>
      <c r="C2091" s="245"/>
      <c r="D2091" s="245"/>
      <c r="E2091" s="245"/>
      <c r="F2091" s="187"/>
      <c r="G2091" s="245"/>
      <c r="H2091" s="245"/>
      <c r="I2091" s="245"/>
      <c r="P2091" s="366"/>
      <c r="R2091" s="355"/>
      <c r="T2091" s="324"/>
      <c r="U2091" s="85" ph="1"/>
      <c r="W2091" s="216"/>
      <c r="X2091" s="245"/>
      <c r="Y2091" s="187"/>
      <c r="Z2091" s="245"/>
      <c r="AA2091" s="245"/>
      <c r="AB2091" s="332"/>
      <c r="AD2091" s="245"/>
      <c r="AE2091" s="245"/>
      <c r="AF2091" s="245"/>
      <c r="AG2091" s="245"/>
    </row>
    <row r="2092" spans="1:33" ht="26.4">
      <c r="A2092" s="246"/>
      <c r="B2092" s="245"/>
      <c r="C2092" s="245"/>
      <c r="D2092" s="245"/>
      <c r="E2092" s="245"/>
      <c r="F2092" s="187"/>
      <c r="G2092" s="245"/>
      <c r="H2092" s="245"/>
      <c r="I2092" s="245"/>
      <c r="P2092" s="366"/>
      <c r="R2092" s="355"/>
      <c r="T2092" s="324"/>
      <c r="U2092" s="85" ph="1"/>
      <c r="W2092" s="216"/>
      <c r="X2092" s="245"/>
      <c r="Y2092" s="187"/>
      <c r="Z2092" s="245"/>
      <c r="AA2092" s="245"/>
      <c r="AB2092" s="332"/>
      <c r="AD2092" s="245"/>
      <c r="AE2092" s="245"/>
      <c r="AF2092" s="245"/>
      <c r="AG2092" s="245"/>
    </row>
    <row r="2093" spans="1:33" ht="26.4">
      <c r="A2093" s="246"/>
      <c r="B2093" s="245"/>
      <c r="C2093" s="245"/>
      <c r="D2093" s="245"/>
      <c r="E2093" s="245"/>
      <c r="F2093" s="187"/>
      <c r="G2093" s="245"/>
      <c r="H2093" s="245"/>
      <c r="I2093" s="245"/>
      <c r="P2093" s="366"/>
      <c r="R2093" s="355"/>
      <c r="T2093" s="324"/>
      <c r="U2093" s="85" ph="1"/>
      <c r="W2093" s="216"/>
      <c r="X2093" s="245"/>
      <c r="Y2093" s="187"/>
      <c r="Z2093" s="245"/>
      <c r="AA2093" s="245"/>
      <c r="AB2093" s="332"/>
      <c r="AD2093" s="245"/>
      <c r="AE2093" s="245"/>
      <c r="AF2093" s="245"/>
      <c r="AG2093" s="245"/>
    </row>
    <row r="2094" spans="1:33" ht="26.4">
      <c r="A2094" s="246"/>
      <c r="B2094" s="245"/>
      <c r="C2094" s="245"/>
      <c r="D2094" s="245"/>
      <c r="E2094" s="245"/>
      <c r="F2094" s="187"/>
      <c r="G2094" s="245"/>
      <c r="H2094" s="245"/>
      <c r="I2094" s="245"/>
      <c r="P2094" s="366"/>
      <c r="R2094" s="355"/>
      <c r="T2094" s="324"/>
      <c r="U2094" s="85" ph="1"/>
      <c r="W2094" s="216"/>
      <c r="X2094" s="245"/>
      <c r="Y2094" s="187"/>
      <c r="Z2094" s="245"/>
      <c r="AA2094" s="245"/>
      <c r="AB2094" s="332"/>
      <c r="AD2094" s="245"/>
      <c r="AE2094" s="245"/>
      <c r="AF2094" s="245"/>
      <c r="AG2094" s="245"/>
    </row>
    <row r="2095" spans="1:33" ht="26.4">
      <c r="A2095" s="246"/>
      <c r="B2095" s="245"/>
      <c r="C2095" s="245"/>
      <c r="D2095" s="245"/>
      <c r="E2095" s="245"/>
      <c r="F2095" s="187"/>
      <c r="G2095" s="245"/>
      <c r="H2095" s="245"/>
      <c r="I2095" s="245"/>
      <c r="P2095" s="366"/>
      <c r="R2095" s="355"/>
      <c r="T2095" s="324"/>
      <c r="U2095" s="85" ph="1"/>
      <c r="W2095" s="216"/>
      <c r="X2095" s="245"/>
      <c r="Y2095" s="187"/>
      <c r="Z2095" s="245"/>
      <c r="AA2095" s="245"/>
      <c r="AB2095" s="332"/>
      <c r="AD2095" s="245"/>
      <c r="AE2095" s="245"/>
      <c r="AF2095" s="245"/>
      <c r="AG2095" s="245"/>
    </row>
    <row r="2096" spans="1:33" ht="26.4">
      <c r="A2096" s="246"/>
      <c r="B2096" s="245"/>
      <c r="C2096" s="245"/>
      <c r="D2096" s="245"/>
      <c r="E2096" s="245"/>
      <c r="F2096" s="187"/>
      <c r="G2096" s="245"/>
      <c r="H2096" s="245"/>
      <c r="I2096" s="245"/>
      <c r="P2096" s="366"/>
      <c r="R2096" s="355"/>
      <c r="T2096" s="324"/>
      <c r="U2096" s="85" ph="1"/>
      <c r="W2096" s="216"/>
      <c r="X2096" s="245"/>
      <c r="Y2096" s="187"/>
      <c r="Z2096" s="245"/>
      <c r="AA2096" s="245"/>
      <c r="AB2096" s="332"/>
      <c r="AD2096" s="245"/>
      <c r="AE2096" s="245"/>
      <c r="AF2096" s="245"/>
      <c r="AG2096" s="245"/>
    </row>
    <row r="2097" spans="1:33" ht="26.4">
      <c r="A2097" s="246"/>
      <c r="B2097" s="245"/>
      <c r="C2097" s="245"/>
      <c r="D2097" s="245"/>
      <c r="E2097" s="245"/>
      <c r="F2097" s="187"/>
      <c r="G2097" s="245"/>
      <c r="H2097" s="245"/>
      <c r="I2097" s="245"/>
      <c r="P2097" s="366"/>
      <c r="R2097" s="355"/>
      <c r="T2097" s="324"/>
      <c r="U2097" s="85" ph="1"/>
      <c r="W2097" s="216"/>
      <c r="X2097" s="245"/>
      <c r="Y2097" s="187"/>
      <c r="Z2097" s="245"/>
      <c r="AA2097" s="245"/>
      <c r="AB2097" s="332"/>
      <c r="AD2097" s="245"/>
      <c r="AE2097" s="245"/>
      <c r="AF2097" s="245"/>
      <c r="AG2097" s="245"/>
    </row>
    <row r="2098" spans="1:33" ht="26.4">
      <c r="A2098" s="246"/>
      <c r="B2098" s="245"/>
      <c r="C2098" s="245"/>
      <c r="D2098" s="245"/>
      <c r="E2098" s="245"/>
      <c r="F2098" s="187"/>
      <c r="G2098" s="245"/>
      <c r="H2098" s="245"/>
      <c r="I2098" s="245"/>
      <c r="P2098" s="366"/>
      <c r="R2098" s="355"/>
      <c r="T2098" s="324"/>
      <c r="U2098" s="85" ph="1"/>
      <c r="W2098" s="216"/>
      <c r="X2098" s="245"/>
      <c r="Y2098" s="187"/>
      <c r="Z2098" s="245"/>
      <c r="AA2098" s="245"/>
      <c r="AB2098" s="332"/>
      <c r="AD2098" s="245"/>
      <c r="AE2098" s="245"/>
      <c r="AF2098" s="245"/>
      <c r="AG2098" s="245"/>
    </row>
    <row r="2099" spans="1:33" ht="26.4">
      <c r="A2099" s="246"/>
      <c r="B2099" s="245"/>
      <c r="C2099" s="245"/>
      <c r="D2099" s="245"/>
      <c r="E2099" s="245"/>
      <c r="F2099" s="187"/>
      <c r="G2099" s="245"/>
      <c r="H2099" s="245"/>
      <c r="I2099" s="245"/>
      <c r="P2099" s="366"/>
      <c r="R2099" s="355"/>
      <c r="T2099" s="324"/>
      <c r="U2099" s="85" ph="1"/>
      <c r="W2099" s="216"/>
      <c r="X2099" s="245"/>
      <c r="Y2099" s="187"/>
      <c r="Z2099" s="245"/>
      <c r="AA2099" s="245"/>
      <c r="AB2099" s="332"/>
      <c r="AD2099" s="245"/>
      <c r="AE2099" s="245"/>
      <c r="AF2099" s="245"/>
      <c r="AG2099" s="245"/>
    </row>
    <row r="2100" spans="1:33" ht="26.4">
      <c r="A2100" s="246"/>
      <c r="B2100" s="245"/>
      <c r="C2100" s="245"/>
      <c r="D2100" s="245"/>
      <c r="E2100" s="245"/>
      <c r="F2100" s="187"/>
      <c r="G2100" s="245"/>
      <c r="H2100" s="245"/>
      <c r="I2100" s="245"/>
      <c r="P2100" s="366"/>
      <c r="R2100" s="355"/>
      <c r="T2100" s="324"/>
      <c r="U2100" s="85" ph="1"/>
      <c r="W2100" s="216"/>
      <c r="X2100" s="245"/>
      <c r="Y2100" s="187"/>
      <c r="Z2100" s="245"/>
      <c r="AA2100" s="245"/>
      <c r="AB2100" s="332"/>
      <c r="AD2100" s="245"/>
      <c r="AE2100" s="245"/>
      <c r="AF2100" s="245"/>
      <c r="AG2100" s="245"/>
    </row>
    <row r="2101" spans="1:33" ht="26.4">
      <c r="A2101" s="246"/>
      <c r="B2101" s="245"/>
      <c r="C2101" s="245"/>
      <c r="D2101" s="245"/>
      <c r="E2101" s="245"/>
      <c r="F2101" s="187"/>
      <c r="G2101" s="245"/>
      <c r="H2101" s="245"/>
      <c r="I2101" s="245"/>
      <c r="P2101" s="366"/>
      <c r="R2101" s="355"/>
      <c r="T2101" s="324"/>
      <c r="U2101" s="85" ph="1"/>
      <c r="W2101" s="216"/>
      <c r="X2101" s="245"/>
      <c r="Y2101" s="187"/>
      <c r="Z2101" s="245"/>
      <c r="AA2101" s="245"/>
      <c r="AB2101" s="332"/>
      <c r="AD2101" s="245"/>
      <c r="AE2101" s="245"/>
      <c r="AF2101" s="245"/>
      <c r="AG2101" s="245"/>
    </row>
    <row r="2102" spans="1:33" ht="26.4">
      <c r="A2102" s="246"/>
      <c r="B2102" s="245"/>
      <c r="C2102" s="245"/>
      <c r="D2102" s="245"/>
      <c r="E2102" s="245"/>
      <c r="F2102" s="187"/>
      <c r="G2102" s="245"/>
      <c r="H2102" s="245"/>
      <c r="I2102" s="245"/>
      <c r="P2102" s="366"/>
      <c r="R2102" s="355"/>
      <c r="T2102" s="324"/>
      <c r="U2102" s="85" ph="1"/>
      <c r="W2102" s="216"/>
      <c r="X2102" s="245"/>
      <c r="Y2102" s="187"/>
      <c r="Z2102" s="245"/>
      <c r="AA2102" s="245"/>
      <c r="AB2102" s="332"/>
      <c r="AD2102" s="245"/>
      <c r="AE2102" s="245"/>
      <c r="AF2102" s="245"/>
      <c r="AG2102" s="245"/>
    </row>
    <row r="2103" spans="1:33" ht="26.4">
      <c r="A2103" s="246"/>
      <c r="B2103" s="245"/>
      <c r="C2103" s="245"/>
      <c r="D2103" s="245"/>
      <c r="E2103" s="245"/>
      <c r="F2103" s="187"/>
      <c r="G2103" s="245"/>
      <c r="H2103" s="245"/>
      <c r="I2103" s="245"/>
      <c r="P2103" s="366"/>
      <c r="R2103" s="355"/>
      <c r="T2103" s="324"/>
      <c r="U2103" s="85" ph="1"/>
      <c r="W2103" s="216"/>
      <c r="X2103" s="245"/>
      <c r="Y2103" s="187"/>
      <c r="Z2103" s="245"/>
      <c r="AA2103" s="245"/>
      <c r="AB2103" s="332"/>
      <c r="AD2103" s="245"/>
      <c r="AE2103" s="245"/>
      <c r="AF2103" s="245"/>
      <c r="AG2103" s="245"/>
    </row>
    <row r="2104" spans="1:33" ht="26.4">
      <c r="A2104" s="246"/>
      <c r="B2104" s="245"/>
      <c r="C2104" s="245"/>
      <c r="D2104" s="245"/>
      <c r="E2104" s="245"/>
      <c r="F2104" s="187"/>
      <c r="G2104" s="245"/>
      <c r="H2104" s="245"/>
      <c r="I2104" s="245"/>
      <c r="P2104" s="366"/>
      <c r="R2104" s="355"/>
      <c r="T2104" s="324"/>
      <c r="U2104" s="85" ph="1"/>
      <c r="W2104" s="216"/>
      <c r="X2104" s="245"/>
      <c r="Y2104" s="187"/>
      <c r="Z2104" s="245"/>
      <c r="AA2104" s="245"/>
      <c r="AB2104" s="332"/>
      <c r="AD2104" s="245"/>
      <c r="AE2104" s="245"/>
      <c r="AF2104" s="245"/>
      <c r="AG2104" s="245"/>
    </row>
    <row r="2105" spans="1:33" ht="26.4">
      <c r="A2105" s="246"/>
      <c r="B2105" s="245"/>
      <c r="C2105" s="245"/>
      <c r="D2105" s="245"/>
      <c r="E2105" s="245"/>
      <c r="F2105" s="187"/>
      <c r="G2105" s="245"/>
      <c r="H2105" s="245"/>
      <c r="I2105" s="245"/>
      <c r="P2105" s="366"/>
      <c r="R2105" s="355"/>
      <c r="T2105" s="324"/>
      <c r="U2105" s="85" ph="1"/>
      <c r="W2105" s="216"/>
      <c r="X2105" s="245"/>
      <c r="Y2105" s="187"/>
      <c r="Z2105" s="245"/>
      <c r="AA2105" s="245"/>
      <c r="AB2105" s="332"/>
      <c r="AD2105" s="245"/>
      <c r="AE2105" s="245"/>
      <c r="AF2105" s="245"/>
      <c r="AG2105" s="245"/>
    </row>
    <row r="2106" spans="1:33" ht="26.4">
      <c r="A2106" s="246"/>
      <c r="B2106" s="245"/>
      <c r="C2106" s="245"/>
      <c r="D2106" s="245"/>
      <c r="E2106" s="245"/>
      <c r="F2106" s="187"/>
      <c r="G2106" s="245"/>
      <c r="H2106" s="245"/>
      <c r="I2106" s="245"/>
      <c r="P2106" s="366"/>
      <c r="R2106" s="355"/>
      <c r="T2106" s="324"/>
      <c r="U2106" s="85" ph="1"/>
      <c r="W2106" s="216"/>
      <c r="X2106" s="245"/>
      <c r="Y2106" s="187"/>
      <c r="Z2106" s="245"/>
      <c r="AA2106" s="245"/>
      <c r="AB2106" s="332"/>
      <c r="AD2106" s="245"/>
      <c r="AE2106" s="245"/>
      <c r="AF2106" s="245"/>
      <c r="AG2106" s="245"/>
    </row>
    <row r="2107" spans="1:33" ht="26.4">
      <c r="A2107" s="246"/>
      <c r="B2107" s="245"/>
      <c r="C2107" s="245"/>
      <c r="D2107" s="245"/>
      <c r="E2107" s="245"/>
      <c r="F2107" s="187"/>
      <c r="G2107" s="245"/>
      <c r="H2107" s="245"/>
      <c r="I2107" s="245"/>
      <c r="P2107" s="366"/>
      <c r="R2107" s="355"/>
      <c r="T2107" s="324"/>
      <c r="U2107" s="85" ph="1"/>
      <c r="W2107" s="216"/>
      <c r="X2107" s="245"/>
      <c r="Y2107" s="187"/>
      <c r="Z2107" s="245"/>
      <c r="AA2107" s="245"/>
      <c r="AB2107" s="332"/>
      <c r="AD2107" s="245"/>
      <c r="AE2107" s="245"/>
      <c r="AF2107" s="245"/>
      <c r="AG2107" s="245"/>
    </row>
    <row r="2108" spans="1:33" ht="26.4">
      <c r="A2108" s="246"/>
      <c r="B2108" s="245"/>
      <c r="C2108" s="245"/>
      <c r="D2108" s="245"/>
      <c r="E2108" s="245"/>
      <c r="F2108" s="187"/>
      <c r="G2108" s="245"/>
      <c r="H2108" s="245"/>
      <c r="I2108" s="245"/>
      <c r="P2108" s="366"/>
      <c r="R2108" s="355"/>
      <c r="T2108" s="324"/>
      <c r="U2108" s="85" ph="1"/>
      <c r="W2108" s="216"/>
      <c r="X2108" s="245"/>
      <c r="Y2108" s="187"/>
      <c r="Z2108" s="245"/>
      <c r="AA2108" s="245"/>
      <c r="AB2108" s="332"/>
      <c r="AD2108" s="245"/>
      <c r="AE2108" s="245"/>
      <c r="AF2108" s="245"/>
      <c r="AG2108" s="245"/>
    </row>
    <row r="2109" spans="1:33" ht="26.4">
      <c r="A2109" s="246"/>
      <c r="B2109" s="245"/>
      <c r="C2109" s="245"/>
      <c r="D2109" s="245"/>
      <c r="E2109" s="245"/>
      <c r="F2109" s="187"/>
      <c r="G2109" s="245"/>
      <c r="H2109" s="245"/>
      <c r="I2109" s="245"/>
      <c r="P2109" s="366"/>
      <c r="R2109" s="355"/>
      <c r="T2109" s="324"/>
      <c r="U2109" s="85" ph="1"/>
      <c r="W2109" s="216"/>
      <c r="X2109" s="245"/>
      <c r="Y2109" s="187"/>
      <c r="Z2109" s="245"/>
      <c r="AA2109" s="245"/>
      <c r="AB2109" s="332"/>
      <c r="AD2109" s="245"/>
      <c r="AE2109" s="245"/>
      <c r="AF2109" s="245"/>
      <c r="AG2109" s="245"/>
    </row>
    <row r="2110" spans="1:33" ht="26.4">
      <c r="A2110" s="246"/>
      <c r="B2110" s="245"/>
      <c r="C2110" s="245"/>
      <c r="D2110" s="245"/>
      <c r="E2110" s="245"/>
      <c r="F2110" s="187"/>
      <c r="G2110" s="245"/>
      <c r="H2110" s="245"/>
      <c r="I2110" s="245"/>
      <c r="P2110" s="366"/>
      <c r="R2110" s="355"/>
      <c r="T2110" s="324"/>
      <c r="U2110" s="85" ph="1"/>
      <c r="W2110" s="216"/>
      <c r="X2110" s="245"/>
      <c r="Y2110" s="187"/>
      <c r="Z2110" s="245"/>
      <c r="AA2110" s="245"/>
      <c r="AB2110" s="332"/>
      <c r="AD2110" s="245"/>
      <c r="AE2110" s="245"/>
      <c r="AF2110" s="245"/>
      <c r="AG2110" s="245"/>
    </row>
    <row r="2111" spans="1:33" ht="26.4">
      <c r="A2111" s="246"/>
      <c r="B2111" s="245"/>
      <c r="C2111" s="245"/>
      <c r="D2111" s="245"/>
      <c r="E2111" s="245"/>
      <c r="F2111" s="187"/>
      <c r="G2111" s="245"/>
      <c r="H2111" s="245"/>
      <c r="I2111" s="245"/>
      <c r="P2111" s="366"/>
      <c r="R2111" s="355"/>
      <c r="T2111" s="324"/>
      <c r="U2111" s="85" ph="1"/>
      <c r="W2111" s="216"/>
      <c r="X2111" s="245"/>
      <c r="Y2111" s="187"/>
      <c r="Z2111" s="245"/>
      <c r="AA2111" s="245"/>
      <c r="AB2111" s="332"/>
      <c r="AD2111" s="245"/>
      <c r="AE2111" s="245"/>
      <c r="AF2111" s="245"/>
      <c r="AG2111" s="245"/>
    </row>
    <row r="2112" spans="1:33" ht="26.4">
      <c r="A2112" s="246"/>
      <c r="B2112" s="245"/>
      <c r="C2112" s="245"/>
      <c r="D2112" s="245"/>
      <c r="E2112" s="245"/>
      <c r="F2112" s="187"/>
      <c r="G2112" s="245"/>
      <c r="H2112" s="245"/>
      <c r="I2112" s="245"/>
      <c r="P2112" s="366"/>
      <c r="R2112" s="355"/>
      <c r="T2112" s="324"/>
      <c r="U2112" s="85" ph="1"/>
      <c r="W2112" s="216"/>
      <c r="X2112" s="245"/>
      <c r="Y2112" s="187"/>
      <c r="Z2112" s="245"/>
      <c r="AA2112" s="245"/>
      <c r="AB2112" s="332"/>
      <c r="AD2112" s="245"/>
      <c r="AE2112" s="245"/>
      <c r="AF2112" s="245"/>
      <c r="AG2112" s="245"/>
    </row>
    <row r="2113" spans="1:33" ht="26.4">
      <c r="A2113" s="246"/>
      <c r="B2113" s="245"/>
      <c r="C2113" s="245"/>
      <c r="D2113" s="245"/>
      <c r="E2113" s="245"/>
      <c r="F2113" s="187"/>
      <c r="G2113" s="245"/>
      <c r="H2113" s="245"/>
      <c r="I2113" s="245"/>
      <c r="P2113" s="366"/>
      <c r="R2113" s="355"/>
      <c r="T2113" s="324"/>
      <c r="U2113" s="85" ph="1"/>
      <c r="W2113" s="216"/>
      <c r="X2113" s="245"/>
      <c r="Y2113" s="187"/>
      <c r="Z2113" s="245"/>
      <c r="AA2113" s="245"/>
      <c r="AB2113" s="332"/>
      <c r="AD2113" s="245"/>
      <c r="AE2113" s="245"/>
      <c r="AF2113" s="245"/>
      <c r="AG2113" s="245"/>
    </row>
    <row r="2114" spans="1:33" ht="26.4">
      <c r="A2114" s="246"/>
      <c r="B2114" s="245"/>
      <c r="C2114" s="245"/>
      <c r="D2114" s="245"/>
      <c r="E2114" s="245"/>
      <c r="F2114" s="187"/>
      <c r="G2114" s="245"/>
      <c r="H2114" s="245"/>
      <c r="I2114" s="245"/>
      <c r="P2114" s="366"/>
      <c r="R2114" s="355"/>
      <c r="T2114" s="324"/>
      <c r="U2114" s="85" ph="1"/>
      <c r="W2114" s="216"/>
      <c r="X2114" s="245"/>
      <c r="Y2114" s="187"/>
      <c r="Z2114" s="245"/>
      <c r="AA2114" s="245"/>
      <c r="AB2114" s="332"/>
      <c r="AD2114" s="245"/>
      <c r="AE2114" s="245"/>
      <c r="AF2114" s="245"/>
      <c r="AG2114" s="245"/>
    </row>
    <row r="2115" spans="1:33" ht="26.4">
      <c r="A2115" s="246"/>
      <c r="B2115" s="245"/>
      <c r="C2115" s="245"/>
      <c r="D2115" s="245"/>
      <c r="E2115" s="245"/>
      <c r="F2115" s="187"/>
      <c r="G2115" s="245"/>
      <c r="H2115" s="245"/>
      <c r="I2115" s="245"/>
      <c r="P2115" s="366"/>
      <c r="R2115" s="355"/>
      <c r="T2115" s="324"/>
      <c r="U2115" s="85" ph="1"/>
      <c r="W2115" s="216"/>
      <c r="X2115" s="245"/>
      <c r="Y2115" s="187"/>
      <c r="Z2115" s="245"/>
      <c r="AA2115" s="245"/>
      <c r="AB2115" s="332"/>
      <c r="AD2115" s="245"/>
      <c r="AE2115" s="245"/>
      <c r="AF2115" s="245"/>
      <c r="AG2115" s="245"/>
    </row>
    <row r="2116" spans="1:33" ht="26.4">
      <c r="A2116" s="246"/>
      <c r="B2116" s="245"/>
      <c r="C2116" s="245"/>
      <c r="D2116" s="245"/>
      <c r="E2116" s="245"/>
      <c r="F2116" s="187"/>
      <c r="G2116" s="245"/>
      <c r="H2116" s="245"/>
      <c r="I2116" s="245"/>
      <c r="P2116" s="366"/>
      <c r="R2116" s="355"/>
      <c r="T2116" s="324"/>
      <c r="U2116" s="85" ph="1"/>
      <c r="W2116" s="216"/>
      <c r="X2116" s="245"/>
      <c r="Y2116" s="187"/>
      <c r="Z2116" s="245"/>
      <c r="AA2116" s="245"/>
      <c r="AB2116" s="332"/>
      <c r="AD2116" s="245"/>
      <c r="AE2116" s="245"/>
      <c r="AF2116" s="245"/>
      <c r="AG2116" s="245"/>
    </row>
    <row r="2117" spans="1:33" ht="26.4">
      <c r="A2117" s="246"/>
      <c r="B2117" s="245"/>
      <c r="C2117" s="245"/>
      <c r="D2117" s="245"/>
      <c r="E2117" s="245"/>
      <c r="F2117" s="187"/>
      <c r="G2117" s="245"/>
      <c r="H2117" s="245"/>
      <c r="I2117" s="245"/>
      <c r="P2117" s="366"/>
      <c r="R2117" s="355"/>
      <c r="T2117" s="324"/>
      <c r="U2117" s="85" ph="1"/>
      <c r="W2117" s="216"/>
      <c r="X2117" s="245"/>
      <c r="Y2117" s="187"/>
      <c r="Z2117" s="245"/>
      <c r="AA2117" s="245"/>
      <c r="AB2117" s="332"/>
      <c r="AD2117" s="245"/>
      <c r="AE2117" s="245"/>
      <c r="AF2117" s="245"/>
      <c r="AG2117" s="245"/>
    </row>
    <row r="2118" spans="1:33" ht="26.4">
      <c r="A2118" s="246"/>
      <c r="B2118" s="245"/>
      <c r="C2118" s="245"/>
      <c r="D2118" s="245"/>
      <c r="E2118" s="245"/>
      <c r="F2118" s="187"/>
      <c r="G2118" s="245"/>
      <c r="H2118" s="245"/>
      <c r="I2118" s="245"/>
      <c r="P2118" s="366"/>
      <c r="R2118" s="355"/>
      <c r="T2118" s="324"/>
      <c r="U2118" s="85" ph="1"/>
      <c r="W2118" s="216"/>
      <c r="X2118" s="245"/>
      <c r="Y2118" s="187"/>
      <c r="Z2118" s="245"/>
      <c r="AA2118" s="245"/>
      <c r="AB2118" s="332"/>
      <c r="AD2118" s="245"/>
      <c r="AE2118" s="245"/>
      <c r="AF2118" s="245"/>
      <c r="AG2118" s="245"/>
    </row>
    <row r="2119" spans="1:33" ht="26.4">
      <c r="A2119" s="246"/>
      <c r="B2119" s="245"/>
      <c r="C2119" s="245"/>
      <c r="D2119" s="245"/>
      <c r="E2119" s="245"/>
      <c r="F2119" s="187"/>
      <c r="G2119" s="245"/>
      <c r="H2119" s="245"/>
      <c r="I2119" s="245"/>
      <c r="P2119" s="366"/>
      <c r="R2119" s="355"/>
      <c r="T2119" s="324"/>
      <c r="U2119" s="85" ph="1"/>
      <c r="W2119" s="216"/>
      <c r="X2119" s="245"/>
      <c r="Y2119" s="187"/>
      <c r="Z2119" s="245"/>
      <c r="AA2119" s="245"/>
      <c r="AB2119" s="332"/>
      <c r="AD2119" s="245"/>
      <c r="AE2119" s="245"/>
      <c r="AF2119" s="245"/>
      <c r="AG2119" s="245"/>
    </row>
    <row r="2120" spans="1:33" ht="26.4">
      <c r="A2120" s="246"/>
      <c r="B2120" s="245"/>
      <c r="C2120" s="245"/>
      <c r="D2120" s="245"/>
      <c r="E2120" s="245"/>
      <c r="F2120" s="187"/>
      <c r="G2120" s="245"/>
      <c r="H2120" s="245"/>
      <c r="I2120" s="245"/>
      <c r="P2120" s="366"/>
      <c r="R2120" s="355"/>
      <c r="T2120" s="324"/>
      <c r="U2120" s="85" ph="1"/>
      <c r="W2120" s="216"/>
      <c r="X2120" s="245"/>
      <c r="Y2120" s="187"/>
      <c r="Z2120" s="245"/>
      <c r="AA2120" s="245"/>
      <c r="AB2120" s="332"/>
      <c r="AD2120" s="245"/>
      <c r="AE2120" s="245"/>
      <c r="AF2120" s="245"/>
      <c r="AG2120" s="245"/>
    </row>
    <row r="2121" spans="1:33" ht="26.4">
      <c r="A2121" s="246"/>
      <c r="B2121" s="245"/>
      <c r="C2121" s="245"/>
      <c r="D2121" s="245"/>
      <c r="E2121" s="245"/>
      <c r="F2121" s="187"/>
      <c r="G2121" s="245"/>
      <c r="H2121" s="245"/>
      <c r="I2121" s="245"/>
      <c r="P2121" s="366"/>
      <c r="R2121" s="355"/>
      <c r="T2121" s="324"/>
      <c r="U2121" s="85" ph="1"/>
      <c r="W2121" s="216"/>
      <c r="X2121" s="245"/>
      <c r="Y2121" s="187"/>
      <c r="Z2121" s="245"/>
      <c r="AA2121" s="245"/>
      <c r="AB2121" s="332"/>
      <c r="AD2121" s="245"/>
      <c r="AE2121" s="245"/>
      <c r="AF2121" s="245"/>
      <c r="AG2121" s="245"/>
    </row>
    <row r="2122" spans="1:33" ht="26.4">
      <c r="A2122" s="246"/>
      <c r="B2122" s="245"/>
      <c r="C2122" s="245"/>
      <c r="D2122" s="245"/>
      <c r="E2122" s="245"/>
      <c r="F2122" s="187"/>
      <c r="G2122" s="245"/>
      <c r="H2122" s="245"/>
      <c r="I2122" s="245"/>
      <c r="P2122" s="366"/>
      <c r="R2122" s="355"/>
      <c r="T2122" s="324"/>
      <c r="U2122" s="85" ph="1"/>
      <c r="W2122" s="216"/>
      <c r="X2122" s="245"/>
      <c r="Y2122" s="187"/>
      <c r="Z2122" s="245"/>
      <c r="AA2122" s="245"/>
      <c r="AB2122" s="332"/>
      <c r="AD2122" s="245"/>
      <c r="AE2122" s="245"/>
      <c r="AF2122" s="245"/>
      <c r="AG2122" s="245"/>
    </row>
    <row r="2123" spans="1:33" ht="26.4">
      <c r="A2123" s="246"/>
      <c r="B2123" s="245"/>
      <c r="C2123" s="245"/>
      <c r="D2123" s="245"/>
      <c r="E2123" s="245"/>
      <c r="F2123" s="187"/>
      <c r="G2123" s="245"/>
      <c r="H2123" s="245"/>
      <c r="I2123" s="245"/>
      <c r="P2123" s="366"/>
      <c r="R2123" s="355"/>
      <c r="T2123" s="324"/>
      <c r="U2123" s="85" ph="1"/>
      <c r="W2123" s="216"/>
      <c r="X2123" s="245"/>
      <c r="Y2123" s="187"/>
      <c r="Z2123" s="245"/>
      <c r="AA2123" s="245"/>
      <c r="AB2123" s="332"/>
      <c r="AD2123" s="245"/>
      <c r="AE2123" s="245"/>
      <c r="AF2123" s="245"/>
      <c r="AG2123" s="245"/>
    </row>
    <row r="2124" spans="1:33" ht="26.4">
      <c r="A2124" s="246"/>
      <c r="B2124" s="245"/>
      <c r="C2124" s="245"/>
      <c r="D2124" s="245"/>
      <c r="E2124" s="245"/>
      <c r="F2124" s="187"/>
      <c r="G2124" s="245"/>
      <c r="H2124" s="245"/>
      <c r="I2124" s="245"/>
      <c r="P2124" s="366"/>
      <c r="R2124" s="355"/>
      <c r="T2124" s="324"/>
      <c r="U2124" s="85" ph="1"/>
      <c r="W2124" s="216"/>
      <c r="X2124" s="245"/>
      <c r="Y2124" s="187"/>
      <c r="Z2124" s="245"/>
      <c r="AA2124" s="245"/>
      <c r="AB2124" s="332"/>
      <c r="AD2124" s="245"/>
      <c r="AE2124" s="245"/>
      <c r="AF2124" s="245"/>
      <c r="AG2124" s="245"/>
    </row>
    <row r="2125" spans="1:33" ht="26.4">
      <c r="A2125" s="246"/>
      <c r="B2125" s="245"/>
      <c r="C2125" s="245"/>
      <c r="D2125" s="245"/>
      <c r="E2125" s="245"/>
      <c r="F2125" s="187"/>
      <c r="G2125" s="245"/>
      <c r="H2125" s="245"/>
      <c r="I2125" s="245"/>
      <c r="P2125" s="366"/>
      <c r="R2125" s="355"/>
      <c r="T2125" s="324"/>
      <c r="U2125" s="85" ph="1"/>
      <c r="W2125" s="216"/>
      <c r="X2125" s="245"/>
      <c r="Y2125" s="187"/>
      <c r="Z2125" s="245"/>
      <c r="AA2125" s="245"/>
      <c r="AB2125" s="332"/>
      <c r="AD2125" s="245"/>
      <c r="AE2125" s="245"/>
      <c r="AF2125" s="245"/>
      <c r="AG2125" s="245"/>
    </row>
    <row r="2126" spans="1:33" ht="26.4">
      <c r="A2126" s="246"/>
      <c r="B2126" s="245"/>
      <c r="C2126" s="245"/>
      <c r="D2126" s="245"/>
      <c r="E2126" s="245"/>
      <c r="F2126" s="187"/>
      <c r="G2126" s="245"/>
      <c r="H2126" s="245"/>
      <c r="I2126" s="245"/>
      <c r="P2126" s="366"/>
      <c r="R2126" s="355"/>
      <c r="T2126" s="324"/>
      <c r="U2126" s="85" ph="1"/>
      <c r="W2126" s="216"/>
      <c r="X2126" s="245"/>
      <c r="Y2126" s="187"/>
      <c r="Z2126" s="245"/>
      <c r="AA2126" s="245"/>
      <c r="AB2126" s="332"/>
      <c r="AD2126" s="245"/>
      <c r="AE2126" s="245"/>
      <c r="AF2126" s="245"/>
      <c r="AG2126" s="245"/>
    </row>
    <row r="2127" spans="1:33" ht="26.4">
      <c r="A2127" s="246"/>
      <c r="B2127" s="245"/>
      <c r="C2127" s="245"/>
      <c r="D2127" s="245"/>
      <c r="E2127" s="245"/>
      <c r="F2127" s="187"/>
      <c r="G2127" s="245"/>
      <c r="H2127" s="245"/>
      <c r="I2127" s="245"/>
      <c r="P2127" s="366"/>
      <c r="R2127" s="355"/>
      <c r="T2127" s="324"/>
      <c r="U2127" s="85" ph="1"/>
      <c r="W2127" s="216"/>
      <c r="X2127" s="245"/>
      <c r="Y2127" s="187"/>
      <c r="Z2127" s="245"/>
      <c r="AA2127" s="245"/>
      <c r="AB2127" s="332"/>
      <c r="AD2127" s="245"/>
      <c r="AE2127" s="245"/>
      <c r="AF2127" s="245"/>
      <c r="AG2127" s="245"/>
    </row>
    <row r="2128" spans="1:33" ht="26.4">
      <c r="A2128" s="246"/>
      <c r="B2128" s="245"/>
      <c r="C2128" s="245"/>
      <c r="D2128" s="245"/>
      <c r="E2128" s="245"/>
      <c r="F2128" s="187"/>
      <c r="G2128" s="245"/>
      <c r="H2128" s="245"/>
      <c r="I2128" s="245"/>
      <c r="P2128" s="366"/>
      <c r="R2128" s="355"/>
      <c r="T2128" s="324"/>
      <c r="U2128" s="85" ph="1"/>
      <c r="W2128" s="216"/>
      <c r="X2128" s="245"/>
      <c r="Y2128" s="187"/>
      <c r="Z2128" s="245"/>
      <c r="AA2128" s="245"/>
      <c r="AB2128" s="332"/>
      <c r="AD2128" s="245"/>
      <c r="AE2128" s="245"/>
      <c r="AF2128" s="245"/>
      <c r="AG2128" s="245"/>
    </row>
    <row r="2129" spans="1:33" ht="26.4">
      <c r="A2129" s="246"/>
      <c r="B2129" s="245"/>
      <c r="C2129" s="245"/>
      <c r="D2129" s="245"/>
      <c r="E2129" s="245"/>
      <c r="F2129" s="187"/>
      <c r="G2129" s="245"/>
      <c r="H2129" s="245"/>
      <c r="I2129" s="245"/>
      <c r="P2129" s="366"/>
      <c r="R2129" s="355"/>
      <c r="T2129" s="324"/>
      <c r="U2129" s="85" ph="1"/>
      <c r="W2129" s="216"/>
      <c r="X2129" s="245"/>
      <c r="Y2129" s="187"/>
      <c r="Z2129" s="245"/>
      <c r="AA2129" s="245"/>
      <c r="AB2129" s="332"/>
      <c r="AD2129" s="245"/>
      <c r="AE2129" s="245"/>
      <c r="AF2129" s="245"/>
      <c r="AG2129" s="245"/>
    </row>
    <row r="2130" spans="1:33" ht="26.4">
      <c r="A2130" s="246"/>
      <c r="B2130" s="245"/>
      <c r="C2130" s="245"/>
      <c r="D2130" s="245"/>
      <c r="E2130" s="245"/>
      <c r="F2130" s="187"/>
      <c r="G2130" s="245"/>
      <c r="H2130" s="245"/>
      <c r="I2130" s="245"/>
      <c r="P2130" s="366"/>
      <c r="R2130" s="355"/>
      <c r="T2130" s="324"/>
      <c r="U2130" s="85" ph="1"/>
      <c r="W2130" s="216"/>
      <c r="X2130" s="245"/>
      <c r="Y2130" s="187"/>
      <c r="Z2130" s="245"/>
      <c r="AA2130" s="245"/>
      <c r="AB2130" s="332"/>
      <c r="AD2130" s="245"/>
      <c r="AE2130" s="245"/>
      <c r="AF2130" s="245"/>
      <c r="AG2130" s="245"/>
    </row>
    <row r="2131" spans="1:33" ht="26.4">
      <c r="A2131" s="246"/>
      <c r="B2131" s="245"/>
      <c r="C2131" s="245"/>
      <c r="D2131" s="245"/>
      <c r="E2131" s="245"/>
      <c r="F2131" s="187"/>
      <c r="G2131" s="245"/>
      <c r="H2131" s="245"/>
      <c r="I2131" s="245"/>
      <c r="P2131" s="366"/>
      <c r="R2131" s="355"/>
      <c r="T2131" s="324"/>
      <c r="U2131" s="85" ph="1"/>
      <c r="W2131" s="216"/>
      <c r="X2131" s="245"/>
      <c r="Y2131" s="187"/>
      <c r="Z2131" s="245"/>
      <c r="AA2131" s="245"/>
      <c r="AB2131" s="332"/>
      <c r="AD2131" s="245"/>
      <c r="AE2131" s="245"/>
      <c r="AF2131" s="245"/>
      <c r="AG2131" s="245"/>
    </row>
    <row r="2132" spans="1:33" ht="26.4">
      <c r="A2132" s="246"/>
      <c r="B2132" s="245"/>
      <c r="C2132" s="245"/>
      <c r="D2132" s="245"/>
      <c r="E2132" s="245"/>
      <c r="F2132" s="187"/>
      <c r="G2132" s="245"/>
      <c r="H2132" s="245"/>
      <c r="I2132" s="245"/>
      <c r="P2132" s="366"/>
      <c r="R2132" s="355"/>
      <c r="T2132" s="324"/>
      <c r="U2132" s="85" ph="1"/>
      <c r="W2132" s="216"/>
      <c r="X2132" s="245"/>
      <c r="Y2132" s="187"/>
      <c r="Z2132" s="245"/>
      <c r="AA2132" s="245"/>
      <c r="AB2132" s="332"/>
      <c r="AD2132" s="245"/>
      <c r="AE2132" s="245"/>
      <c r="AF2132" s="245"/>
      <c r="AG2132" s="245"/>
    </row>
    <row r="2133" spans="1:33" ht="26.4">
      <c r="A2133" s="246"/>
      <c r="B2133" s="245"/>
      <c r="C2133" s="245"/>
      <c r="D2133" s="245"/>
      <c r="E2133" s="245"/>
      <c r="F2133" s="187"/>
      <c r="G2133" s="245"/>
      <c r="H2133" s="245"/>
      <c r="I2133" s="245"/>
      <c r="P2133" s="366"/>
      <c r="R2133" s="355"/>
      <c r="T2133" s="324"/>
      <c r="U2133" s="85" ph="1"/>
      <c r="W2133" s="216"/>
      <c r="X2133" s="245"/>
      <c r="Y2133" s="187"/>
      <c r="Z2133" s="245"/>
      <c r="AA2133" s="245"/>
      <c r="AB2133" s="332"/>
      <c r="AD2133" s="245"/>
      <c r="AE2133" s="245"/>
      <c r="AF2133" s="245"/>
      <c r="AG2133" s="245"/>
    </row>
    <row r="2134" spans="1:33" ht="26.4">
      <c r="A2134" s="246"/>
      <c r="B2134" s="245"/>
      <c r="C2134" s="245"/>
      <c r="D2134" s="245"/>
      <c r="E2134" s="245"/>
      <c r="F2134" s="187"/>
      <c r="G2134" s="245"/>
      <c r="H2134" s="245"/>
      <c r="I2134" s="245"/>
      <c r="P2134" s="366"/>
      <c r="R2134" s="355"/>
      <c r="T2134" s="324"/>
      <c r="U2134" s="85" ph="1"/>
      <c r="W2134" s="216"/>
      <c r="X2134" s="245"/>
      <c r="Y2134" s="187"/>
      <c r="Z2134" s="245"/>
      <c r="AA2134" s="245"/>
      <c r="AB2134" s="332"/>
      <c r="AD2134" s="245"/>
      <c r="AE2134" s="245"/>
      <c r="AF2134" s="245"/>
      <c r="AG2134" s="245"/>
    </row>
    <row r="2135" spans="1:33" ht="26.4">
      <c r="A2135" s="246"/>
      <c r="B2135" s="245"/>
      <c r="C2135" s="245"/>
      <c r="D2135" s="245"/>
      <c r="E2135" s="245"/>
      <c r="F2135" s="187"/>
      <c r="G2135" s="245"/>
      <c r="H2135" s="245"/>
      <c r="I2135" s="245"/>
      <c r="P2135" s="366"/>
      <c r="R2135" s="355"/>
      <c r="T2135" s="324"/>
      <c r="U2135" s="85" ph="1"/>
      <c r="W2135" s="216"/>
      <c r="X2135" s="245"/>
      <c r="Y2135" s="187"/>
      <c r="Z2135" s="245"/>
      <c r="AA2135" s="245"/>
      <c r="AB2135" s="332"/>
      <c r="AD2135" s="245"/>
      <c r="AE2135" s="245"/>
      <c r="AF2135" s="245"/>
      <c r="AG2135" s="245"/>
    </row>
    <row r="2136" spans="1:33" ht="26.4">
      <c r="A2136" s="246"/>
      <c r="B2136" s="245"/>
      <c r="C2136" s="245"/>
      <c r="D2136" s="245"/>
      <c r="E2136" s="245"/>
      <c r="F2136" s="187"/>
      <c r="G2136" s="245"/>
      <c r="H2136" s="245"/>
      <c r="I2136" s="245"/>
      <c r="P2136" s="366"/>
      <c r="R2136" s="355"/>
      <c r="T2136" s="324"/>
      <c r="U2136" s="85" ph="1"/>
      <c r="W2136" s="216"/>
      <c r="X2136" s="245"/>
      <c r="Y2136" s="187"/>
      <c r="Z2136" s="245"/>
      <c r="AA2136" s="245"/>
      <c r="AB2136" s="332"/>
      <c r="AD2136" s="245"/>
      <c r="AE2136" s="245"/>
      <c r="AF2136" s="245"/>
      <c r="AG2136" s="245"/>
    </row>
    <row r="2137" spans="1:33" ht="26.4">
      <c r="A2137" s="246"/>
      <c r="B2137" s="245"/>
      <c r="C2137" s="245"/>
      <c r="D2137" s="245"/>
      <c r="E2137" s="245"/>
      <c r="F2137" s="187"/>
      <c r="G2137" s="245"/>
      <c r="H2137" s="245"/>
      <c r="I2137" s="245"/>
      <c r="P2137" s="366"/>
      <c r="R2137" s="355"/>
      <c r="T2137" s="324"/>
      <c r="U2137" s="85" ph="1"/>
      <c r="W2137" s="216"/>
      <c r="X2137" s="245"/>
      <c r="Y2137" s="187"/>
      <c r="Z2137" s="245"/>
      <c r="AA2137" s="245"/>
      <c r="AB2137" s="332"/>
      <c r="AD2137" s="245"/>
      <c r="AE2137" s="245"/>
      <c r="AF2137" s="245"/>
      <c r="AG2137" s="245"/>
    </row>
    <row r="2138" spans="1:33" ht="26.4">
      <c r="A2138" s="246"/>
      <c r="B2138" s="245"/>
      <c r="C2138" s="245"/>
      <c r="D2138" s="245"/>
      <c r="E2138" s="245"/>
      <c r="F2138" s="187"/>
      <c r="G2138" s="245"/>
      <c r="H2138" s="245"/>
      <c r="I2138" s="245"/>
      <c r="P2138" s="366"/>
      <c r="R2138" s="355"/>
      <c r="T2138" s="324"/>
      <c r="U2138" s="85" ph="1"/>
      <c r="W2138" s="216"/>
      <c r="X2138" s="245"/>
      <c r="Y2138" s="187"/>
      <c r="Z2138" s="245"/>
      <c r="AA2138" s="245"/>
      <c r="AB2138" s="332"/>
      <c r="AD2138" s="245"/>
      <c r="AE2138" s="245"/>
      <c r="AF2138" s="245"/>
      <c r="AG2138" s="245"/>
    </row>
    <row r="2139" spans="1:33" ht="26.4">
      <c r="A2139" s="246"/>
      <c r="B2139" s="245"/>
      <c r="C2139" s="245"/>
      <c r="D2139" s="245"/>
      <c r="E2139" s="245"/>
      <c r="F2139" s="187"/>
      <c r="G2139" s="245"/>
      <c r="H2139" s="245"/>
      <c r="I2139" s="245"/>
      <c r="P2139" s="366"/>
      <c r="R2139" s="355"/>
      <c r="T2139" s="324"/>
      <c r="U2139" s="85" ph="1"/>
      <c r="W2139" s="216"/>
      <c r="X2139" s="245"/>
      <c r="Y2139" s="187"/>
      <c r="Z2139" s="245"/>
      <c r="AA2139" s="245"/>
      <c r="AB2139" s="332"/>
      <c r="AD2139" s="245"/>
      <c r="AE2139" s="245"/>
      <c r="AF2139" s="245"/>
      <c r="AG2139" s="245"/>
    </row>
    <row r="2140" spans="1:33" ht="26.4">
      <c r="A2140" s="246"/>
      <c r="B2140" s="245"/>
      <c r="C2140" s="245"/>
      <c r="D2140" s="245"/>
      <c r="E2140" s="245"/>
      <c r="F2140" s="187"/>
      <c r="G2140" s="245"/>
      <c r="H2140" s="245"/>
      <c r="I2140" s="245"/>
      <c r="P2140" s="366"/>
      <c r="R2140" s="355"/>
      <c r="T2140" s="324"/>
      <c r="U2140" s="85" ph="1"/>
      <c r="W2140" s="216"/>
      <c r="X2140" s="245"/>
      <c r="Y2140" s="187"/>
      <c r="Z2140" s="245"/>
      <c r="AA2140" s="245"/>
      <c r="AB2140" s="332"/>
      <c r="AD2140" s="245"/>
      <c r="AE2140" s="245"/>
      <c r="AF2140" s="245"/>
      <c r="AG2140" s="245"/>
    </row>
    <row r="2141" spans="1:33" ht="26.4">
      <c r="A2141" s="246"/>
      <c r="B2141" s="245"/>
      <c r="C2141" s="245"/>
      <c r="D2141" s="245"/>
      <c r="E2141" s="245"/>
      <c r="F2141" s="187"/>
      <c r="G2141" s="245"/>
      <c r="H2141" s="245"/>
      <c r="I2141" s="245"/>
      <c r="P2141" s="366"/>
      <c r="R2141" s="355"/>
      <c r="T2141" s="324"/>
      <c r="U2141" s="85" ph="1"/>
      <c r="W2141" s="216"/>
      <c r="X2141" s="245"/>
      <c r="Y2141" s="187"/>
      <c r="Z2141" s="245"/>
      <c r="AA2141" s="245"/>
      <c r="AB2141" s="332"/>
      <c r="AD2141" s="245"/>
      <c r="AE2141" s="245"/>
      <c r="AF2141" s="245"/>
      <c r="AG2141" s="245"/>
    </row>
    <row r="2142" spans="1:33" ht="26.4">
      <c r="A2142" s="246"/>
      <c r="B2142" s="245"/>
      <c r="C2142" s="245"/>
      <c r="D2142" s="245"/>
      <c r="E2142" s="245"/>
      <c r="F2142" s="187"/>
      <c r="G2142" s="245"/>
      <c r="H2142" s="245"/>
      <c r="I2142" s="245"/>
      <c r="P2142" s="366"/>
      <c r="R2142" s="355"/>
      <c r="T2142" s="324"/>
      <c r="U2142" s="85" ph="1"/>
      <c r="W2142" s="216"/>
      <c r="X2142" s="245"/>
      <c r="Y2142" s="187"/>
      <c r="Z2142" s="245"/>
      <c r="AA2142" s="245"/>
      <c r="AB2142" s="332"/>
      <c r="AD2142" s="245"/>
      <c r="AE2142" s="245"/>
      <c r="AF2142" s="245"/>
      <c r="AG2142" s="245"/>
    </row>
    <row r="2143" spans="1:33" ht="26.4">
      <c r="A2143" s="246"/>
      <c r="B2143" s="245"/>
      <c r="C2143" s="245"/>
      <c r="D2143" s="245"/>
      <c r="E2143" s="245"/>
      <c r="F2143" s="187"/>
      <c r="G2143" s="245"/>
      <c r="H2143" s="245"/>
      <c r="I2143" s="245"/>
      <c r="P2143" s="366"/>
      <c r="R2143" s="355"/>
      <c r="T2143" s="324"/>
      <c r="U2143" s="85" ph="1"/>
      <c r="W2143" s="216"/>
      <c r="X2143" s="245"/>
      <c r="Y2143" s="187"/>
      <c r="Z2143" s="245"/>
      <c r="AA2143" s="245"/>
      <c r="AB2143" s="332"/>
      <c r="AD2143" s="245"/>
      <c r="AE2143" s="245"/>
      <c r="AF2143" s="245"/>
      <c r="AG2143" s="245"/>
    </row>
    <row r="2144" spans="1:33" ht="26.4">
      <c r="A2144" s="246"/>
      <c r="B2144" s="245"/>
      <c r="C2144" s="245"/>
      <c r="D2144" s="245"/>
      <c r="E2144" s="245"/>
      <c r="F2144" s="187"/>
      <c r="G2144" s="245"/>
      <c r="H2144" s="245"/>
      <c r="I2144" s="245"/>
      <c r="P2144" s="366"/>
      <c r="R2144" s="355"/>
      <c r="T2144" s="324"/>
      <c r="U2144" s="85" ph="1"/>
      <c r="W2144" s="216"/>
      <c r="X2144" s="245"/>
      <c r="Y2144" s="187"/>
      <c r="Z2144" s="245"/>
      <c r="AA2144" s="245"/>
      <c r="AB2144" s="332"/>
      <c r="AD2144" s="245"/>
      <c r="AE2144" s="245"/>
      <c r="AF2144" s="245"/>
      <c r="AG2144" s="245"/>
    </row>
    <row r="2145" spans="1:33" ht="26.4">
      <c r="A2145" s="246"/>
      <c r="B2145" s="245"/>
      <c r="C2145" s="245"/>
      <c r="D2145" s="245"/>
      <c r="E2145" s="245"/>
      <c r="F2145" s="187"/>
      <c r="G2145" s="245"/>
      <c r="H2145" s="245"/>
      <c r="I2145" s="245"/>
      <c r="P2145" s="366"/>
      <c r="R2145" s="355"/>
      <c r="T2145" s="324"/>
      <c r="U2145" s="85" ph="1"/>
      <c r="W2145" s="216"/>
      <c r="X2145" s="245"/>
      <c r="Y2145" s="187"/>
      <c r="Z2145" s="245"/>
      <c r="AA2145" s="245"/>
      <c r="AB2145" s="332"/>
      <c r="AD2145" s="245"/>
      <c r="AE2145" s="245"/>
      <c r="AF2145" s="245"/>
      <c r="AG2145" s="245"/>
    </row>
    <row r="2146" spans="1:33" ht="26.4">
      <c r="A2146" s="246"/>
      <c r="B2146" s="245"/>
      <c r="C2146" s="245"/>
      <c r="D2146" s="245"/>
      <c r="E2146" s="245"/>
      <c r="F2146" s="187"/>
      <c r="G2146" s="245"/>
      <c r="H2146" s="245"/>
      <c r="I2146" s="245"/>
      <c r="P2146" s="366"/>
      <c r="R2146" s="355"/>
      <c r="T2146" s="324"/>
      <c r="U2146" s="85" ph="1"/>
      <c r="W2146" s="216"/>
      <c r="X2146" s="245"/>
      <c r="Y2146" s="187"/>
      <c r="Z2146" s="245"/>
      <c r="AA2146" s="245"/>
      <c r="AB2146" s="332"/>
      <c r="AD2146" s="245"/>
      <c r="AE2146" s="245"/>
      <c r="AF2146" s="245"/>
      <c r="AG2146" s="245"/>
    </row>
    <row r="2147" spans="1:33" ht="26.4">
      <c r="A2147" s="246"/>
      <c r="B2147" s="245"/>
      <c r="C2147" s="245"/>
      <c r="D2147" s="245"/>
      <c r="E2147" s="245"/>
      <c r="F2147" s="187"/>
      <c r="G2147" s="245"/>
      <c r="H2147" s="245"/>
      <c r="I2147" s="245"/>
      <c r="P2147" s="366"/>
      <c r="R2147" s="355"/>
      <c r="T2147" s="324"/>
      <c r="U2147" s="85" ph="1"/>
      <c r="W2147" s="216"/>
      <c r="X2147" s="245"/>
      <c r="Y2147" s="187"/>
      <c r="Z2147" s="245"/>
      <c r="AA2147" s="245"/>
      <c r="AB2147" s="332"/>
      <c r="AD2147" s="245"/>
      <c r="AE2147" s="245"/>
      <c r="AF2147" s="245"/>
      <c r="AG2147" s="245"/>
    </row>
    <row r="2148" spans="1:33" ht="26.4">
      <c r="A2148" s="246"/>
      <c r="B2148" s="245"/>
      <c r="C2148" s="245"/>
      <c r="D2148" s="245"/>
      <c r="E2148" s="245"/>
      <c r="F2148" s="187"/>
      <c r="G2148" s="245"/>
      <c r="H2148" s="245"/>
      <c r="I2148" s="245"/>
      <c r="P2148" s="366"/>
      <c r="R2148" s="355"/>
      <c r="T2148" s="324"/>
      <c r="U2148" s="85" ph="1"/>
      <c r="W2148" s="216"/>
      <c r="X2148" s="245"/>
      <c r="Y2148" s="187"/>
      <c r="Z2148" s="245"/>
      <c r="AA2148" s="245"/>
      <c r="AB2148" s="332"/>
      <c r="AD2148" s="245"/>
      <c r="AE2148" s="245"/>
      <c r="AF2148" s="245"/>
      <c r="AG2148" s="245"/>
    </row>
    <row r="2149" spans="1:33" ht="26.4">
      <c r="A2149" s="246"/>
      <c r="B2149" s="245"/>
      <c r="C2149" s="245"/>
      <c r="D2149" s="245"/>
      <c r="E2149" s="245"/>
      <c r="F2149" s="187"/>
      <c r="G2149" s="245"/>
      <c r="H2149" s="245"/>
      <c r="I2149" s="245"/>
      <c r="P2149" s="366"/>
      <c r="R2149" s="355"/>
      <c r="T2149" s="324"/>
      <c r="U2149" s="85" ph="1"/>
      <c r="W2149" s="216"/>
      <c r="X2149" s="245"/>
      <c r="Y2149" s="187"/>
      <c r="Z2149" s="245"/>
      <c r="AA2149" s="245"/>
      <c r="AB2149" s="332"/>
      <c r="AD2149" s="245"/>
      <c r="AE2149" s="245"/>
      <c r="AF2149" s="245"/>
      <c r="AG2149" s="245"/>
    </row>
    <row r="2150" spans="1:33" ht="26.4">
      <c r="A2150" s="246"/>
      <c r="B2150" s="245"/>
      <c r="C2150" s="245"/>
      <c r="D2150" s="245"/>
      <c r="E2150" s="245"/>
      <c r="F2150" s="187"/>
      <c r="G2150" s="245"/>
      <c r="H2150" s="245"/>
      <c r="I2150" s="245"/>
      <c r="P2150" s="366"/>
      <c r="R2150" s="355"/>
      <c r="T2150" s="324"/>
      <c r="U2150" s="85" ph="1"/>
      <c r="W2150" s="216"/>
      <c r="X2150" s="245"/>
      <c r="Y2150" s="187"/>
      <c r="Z2150" s="245"/>
      <c r="AA2150" s="245"/>
      <c r="AB2150" s="332"/>
      <c r="AD2150" s="245"/>
      <c r="AE2150" s="245"/>
      <c r="AF2150" s="245"/>
      <c r="AG2150" s="245"/>
    </row>
    <row r="2151" spans="1:33" ht="26.4">
      <c r="A2151" s="246"/>
      <c r="B2151" s="245"/>
      <c r="C2151" s="245"/>
      <c r="D2151" s="245"/>
      <c r="E2151" s="245"/>
      <c r="F2151" s="187"/>
      <c r="G2151" s="245"/>
      <c r="H2151" s="245"/>
      <c r="I2151" s="245"/>
      <c r="P2151" s="366"/>
      <c r="R2151" s="355"/>
      <c r="T2151" s="324"/>
      <c r="U2151" s="85" ph="1"/>
      <c r="W2151" s="216"/>
      <c r="X2151" s="245"/>
      <c r="Y2151" s="187"/>
      <c r="Z2151" s="245"/>
      <c r="AA2151" s="245"/>
      <c r="AB2151" s="332"/>
      <c r="AD2151" s="245"/>
      <c r="AE2151" s="245"/>
      <c r="AF2151" s="245"/>
      <c r="AG2151" s="245"/>
    </row>
    <row r="2152" spans="1:33" ht="26.4">
      <c r="A2152" s="246"/>
      <c r="B2152" s="245"/>
      <c r="C2152" s="245"/>
      <c r="D2152" s="245"/>
      <c r="E2152" s="245"/>
      <c r="F2152" s="187"/>
      <c r="G2152" s="245"/>
      <c r="H2152" s="245"/>
      <c r="I2152" s="245"/>
      <c r="P2152" s="366"/>
      <c r="R2152" s="355"/>
      <c r="T2152" s="324"/>
      <c r="U2152" s="85" ph="1"/>
      <c r="W2152" s="216"/>
      <c r="X2152" s="245"/>
      <c r="Y2152" s="187"/>
      <c r="Z2152" s="245"/>
      <c r="AA2152" s="245"/>
      <c r="AB2152" s="332"/>
      <c r="AD2152" s="245"/>
      <c r="AE2152" s="245"/>
      <c r="AF2152" s="245"/>
      <c r="AG2152" s="245"/>
    </row>
    <row r="2153" spans="1:33" ht="26.4">
      <c r="A2153" s="246"/>
      <c r="B2153" s="245"/>
      <c r="C2153" s="245"/>
      <c r="D2153" s="245"/>
      <c r="E2153" s="245"/>
      <c r="F2153" s="187"/>
      <c r="G2153" s="245"/>
      <c r="H2153" s="245"/>
      <c r="I2153" s="245"/>
      <c r="P2153" s="366"/>
      <c r="R2153" s="355"/>
      <c r="T2153" s="324"/>
      <c r="U2153" s="85" ph="1"/>
      <c r="W2153" s="216"/>
      <c r="X2153" s="245"/>
      <c r="Y2153" s="187"/>
      <c r="Z2153" s="245"/>
      <c r="AA2153" s="245"/>
      <c r="AB2153" s="332"/>
      <c r="AD2153" s="245"/>
      <c r="AE2153" s="245"/>
      <c r="AF2153" s="245"/>
      <c r="AG2153" s="245"/>
    </row>
    <row r="2154" spans="1:33" ht="26.4">
      <c r="A2154" s="246"/>
      <c r="B2154" s="245"/>
      <c r="C2154" s="245"/>
      <c r="D2154" s="245"/>
      <c r="E2154" s="245"/>
      <c r="F2154" s="187"/>
      <c r="G2154" s="245"/>
      <c r="H2154" s="245"/>
      <c r="I2154" s="245"/>
      <c r="P2154" s="366"/>
      <c r="R2154" s="355"/>
      <c r="T2154" s="324"/>
      <c r="U2154" s="85" ph="1"/>
      <c r="W2154" s="216"/>
      <c r="X2154" s="245"/>
      <c r="Y2154" s="187"/>
      <c r="Z2154" s="245"/>
      <c r="AA2154" s="245"/>
      <c r="AB2154" s="332"/>
      <c r="AD2154" s="245"/>
      <c r="AE2154" s="245"/>
      <c r="AF2154" s="245"/>
      <c r="AG2154" s="245"/>
    </row>
    <row r="2155" spans="1:33" ht="26.4">
      <c r="A2155" s="246"/>
      <c r="B2155" s="245"/>
      <c r="C2155" s="245"/>
      <c r="D2155" s="245"/>
      <c r="E2155" s="245"/>
      <c r="F2155" s="187"/>
      <c r="G2155" s="245"/>
      <c r="H2155" s="245"/>
      <c r="I2155" s="245"/>
      <c r="P2155" s="366"/>
      <c r="R2155" s="355"/>
      <c r="T2155" s="324"/>
      <c r="U2155" s="85" ph="1"/>
      <c r="W2155" s="216"/>
      <c r="X2155" s="245"/>
      <c r="Y2155" s="187"/>
      <c r="Z2155" s="245"/>
      <c r="AA2155" s="245"/>
      <c r="AB2155" s="332"/>
      <c r="AD2155" s="245"/>
      <c r="AE2155" s="245"/>
      <c r="AF2155" s="245"/>
      <c r="AG2155" s="245"/>
    </row>
    <row r="2156" spans="1:33" ht="26.4">
      <c r="A2156" s="246"/>
      <c r="B2156" s="245"/>
      <c r="C2156" s="245"/>
      <c r="D2156" s="245"/>
      <c r="E2156" s="245"/>
      <c r="F2156" s="187"/>
      <c r="G2156" s="245"/>
      <c r="H2156" s="245"/>
      <c r="I2156" s="245"/>
      <c r="P2156" s="366"/>
      <c r="R2156" s="355"/>
      <c r="T2156" s="324"/>
      <c r="U2156" s="85" ph="1"/>
      <c r="W2156" s="216"/>
      <c r="X2156" s="245"/>
      <c r="Y2156" s="187"/>
      <c r="Z2156" s="245"/>
      <c r="AA2156" s="245"/>
      <c r="AB2156" s="332"/>
      <c r="AD2156" s="245"/>
      <c r="AE2156" s="245"/>
      <c r="AF2156" s="245"/>
      <c r="AG2156" s="245"/>
    </row>
    <row r="2157" spans="1:33" ht="26.4">
      <c r="A2157" s="246"/>
      <c r="B2157" s="245"/>
      <c r="C2157" s="245"/>
      <c r="D2157" s="245"/>
      <c r="E2157" s="245"/>
      <c r="F2157" s="187"/>
      <c r="G2157" s="245"/>
      <c r="H2157" s="245"/>
      <c r="I2157" s="245"/>
      <c r="P2157" s="366"/>
      <c r="R2157" s="355"/>
      <c r="T2157" s="324"/>
      <c r="U2157" s="85" ph="1"/>
      <c r="W2157" s="216"/>
      <c r="X2157" s="245"/>
      <c r="Y2157" s="187"/>
      <c r="Z2157" s="245"/>
      <c r="AA2157" s="245"/>
      <c r="AB2157" s="332"/>
      <c r="AD2157" s="245"/>
      <c r="AE2157" s="245"/>
      <c r="AF2157" s="245"/>
      <c r="AG2157" s="245"/>
    </row>
    <row r="2158" spans="1:33" ht="26.4">
      <c r="A2158" s="246"/>
      <c r="B2158" s="245"/>
      <c r="C2158" s="245"/>
      <c r="D2158" s="245"/>
      <c r="E2158" s="245"/>
      <c r="F2158" s="187"/>
      <c r="G2158" s="245"/>
      <c r="H2158" s="245"/>
      <c r="I2158" s="245"/>
      <c r="P2158" s="366"/>
      <c r="R2158" s="355"/>
      <c r="T2158" s="324"/>
      <c r="U2158" s="85" ph="1"/>
      <c r="W2158" s="216"/>
      <c r="X2158" s="245"/>
      <c r="Y2158" s="187"/>
      <c r="Z2158" s="245"/>
      <c r="AA2158" s="245"/>
      <c r="AB2158" s="332"/>
      <c r="AD2158" s="245"/>
      <c r="AE2158" s="245"/>
      <c r="AF2158" s="245"/>
      <c r="AG2158" s="245"/>
    </row>
    <row r="2159" spans="1:33" ht="26.4">
      <c r="A2159" s="246"/>
      <c r="B2159" s="245"/>
      <c r="C2159" s="245"/>
      <c r="D2159" s="245"/>
      <c r="E2159" s="245"/>
      <c r="F2159" s="187"/>
      <c r="G2159" s="245"/>
      <c r="H2159" s="245"/>
      <c r="I2159" s="245"/>
      <c r="P2159" s="366"/>
      <c r="R2159" s="355"/>
      <c r="T2159" s="324"/>
      <c r="U2159" s="85" ph="1"/>
      <c r="W2159" s="216"/>
      <c r="X2159" s="245"/>
      <c r="Y2159" s="187"/>
      <c r="Z2159" s="245"/>
      <c r="AA2159" s="245"/>
      <c r="AB2159" s="332"/>
      <c r="AD2159" s="245"/>
      <c r="AE2159" s="245"/>
      <c r="AF2159" s="245"/>
      <c r="AG2159" s="245"/>
    </row>
    <row r="2160" spans="1:33" ht="26.4">
      <c r="A2160" s="246"/>
      <c r="B2160" s="245"/>
      <c r="C2160" s="245"/>
      <c r="D2160" s="245"/>
      <c r="E2160" s="245"/>
      <c r="F2160" s="187"/>
      <c r="G2160" s="245"/>
      <c r="H2160" s="245"/>
      <c r="I2160" s="245"/>
      <c r="P2160" s="366"/>
      <c r="R2160" s="355"/>
      <c r="T2160" s="324"/>
      <c r="U2160" s="85" ph="1"/>
      <c r="W2160" s="216"/>
      <c r="X2160" s="245"/>
      <c r="Y2160" s="187"/>
      <c r="Z2160" s="245"/>
      <c r="AA2160" s="245"/>
      <c r="AB2160" s="332"/>
      <c r="AD2160" s="245"/>
      <c r="AE2160" s="245"/>
      <c r="AF2160" s="245"/>
      <c r="AG2160" s="245"/>
    </row>
    <row r="2161" spans="1:33" ht="26.4">
      <c r="A2161" s="246"/>
      <c r="B2161" s="245"/>
      <c r="C2161" s="245"/>
      <c r="D2161" s="245"/>
      <c r="E2161" s="245"/>
      <c r="F2161" s="187"/>
      <c r="G2161" s="245"/>
      <c r="H2161" s="245"/>
      <c r="I2161" s="245"/>
      <c r="P2161" s="366"/>
      <c r="R2161" s="355"/>
      <c r="T2161" s="324"/>
      <c r="U2161" s="85" ph="1"/>
      <c r="W2161" s="216"/>
      <c r="X2161" s="245"/>
      <c r="Y2161" s="187"/>
      <c r="Z2161" s="245"/>
      <c r="AA2161" s="245"/>
      <c r="AB2161" s="332"/>
      <c r="AD2161" s="245"/>
      <c r="AE2161" s="245"/>
      <c r="AF2161" s="245"/>
      <c r="AG2161" s="245"/>
    </row>
    <row r="2162" spans="1:33" ht="26.4">
      <c r="A2162" s="246"/>
      <c r="B2162" s="245"/>
      <c r="C2162" s="245"/>
      <c r="D2162" s="245"/>
      <c r="E2162" s="245"/>
      <c r="F2162" s="187"/>
      <c r="G2162" s="245"/>
      <c r="H2162" s="245"/>
      <c r="I2162" s="245"/>
      <c r="P2162" s="366"/>
      <c r="R2162" s="355"/>
      <c r="T2162" s="324"/>
      <c r="U2162" s="85" ph="1"/>
      <c r="W2162" s="216"/>
      <c r="X2162" s="245"/>
      <c r="Y2162" s="187"/>
      <c r="Z2162" s="245"/>
      <c r="AA2162" s="245"/>
      <c r="AB2162" s="332"/>
      <c r="AD2162" s="245"/>
      <c r="AE2162" s="245"/>
      <c r="AF2162" s="245"/>
      <c r="AG2162" s="245"/>
    </row>
    <row r="2163" spans="1:33" ht="26.4">
      <c r="A2163" s="246"/>
      <c r="B2163" s="245"/>
      <c r="C2163" s="245"/>
      <c r="D2163" s="245"/>
      <c r="E2163" s="245"/>
      <c r="F2163" s="187"/>
      <c r="G2163" s="245"/>
      <c r="H2163" s="245"/>
      <c r="I2163" s="245"/>
      <c r="P2163" s="366"/>
      <c r="R2163" s="355"/>
      <c r="T2163" s="324"/>
      <c r="U2163" s="85" ph="1"/>
      <c r="W2163" s="216"/>
      <c r="X2163" s="245"/>
      <c r="Y2163" s="187"/>
      <c r="Z2163" s="245"/>
      <c r="AA2163" s="245"/>
      <c r="AB2163" s="332"/>
      <c r="AD2163" s="245"/>
      <c r="AE2163" s="245"/>
      <c r="AF2163" s="245"/>
      <c r="AG2163" s="245"/>
    </row>
    <row r="2164" spans="1:33" ht="26.4">
      <c r="A2164" s="246"/>
      <c r="B2164" s="245"/>
      <c r="C2164" s="245"/>
      <c r="D2164" s="245"/>
      <c r="E2164" s="245"/>
      <c r="F2164" s="187"/>
      <c r="G2164" s="245"/>
      <c r="H2164" s="245"/>
      <c r="I2164" s="245"/>
      <c r="P2164" s="366"/>
      <c r="R2164" s="355"/>
      <c r="T2164" s="324"/>
      <c r="U2164" s="85" ph="1"/>
      <c r="W2164" s="216"/>
      <c r="X2164" s="245"/>
      <c r="Y2164" s="187"/>
      <c r="Z2164" s="245"/>
      <c r="AA2164" s="245"/>
      <c r="AB2164" s="332"/>
      <c r="AD2164" s="245"/>
      <c r="AE2164" s="245"/>
      <c r="AF2164" s="245"/>
      <c r="AG2164" s="245"/>
    </row>
    <row r="2165" spans="1:33" ht="26.4">
      <c r="A2165" s="246"/>
      <c r="B2165" s="245"/>
      <c r="C2165" s="245"/>
      <c r="D2165" s="245"/>
      <c r="E2165" s="245"/>
      <c r="F2165" s="187"/>
      <c r="G2165" s="245"/>
      <c r="H2165" s="245"/>
      <c r="I2165" s="245"/>
      <c r="P2165" s="366"/>
      <c r="R2165" s="355"/>
      <c r="T2165" s="324"/>
      <c r="U2165" s="85" ph="1"/>
      <c r="W2165" s="216"/>
      <c r="X2165" s="245"/>
      <c r="Y2165" s="187"/>
      <c r="Z2165" s="245"/>
      <c r="AA2165" s="245"/>
      <c r="AB2165" s="332"/>
      <c r="AD2165" s="245"/>
      <c r="AE2165" s="245"/>
      <c r="AF2165" s="245"/>
      <c r="AG2165" s="245"/>
    </row>
    <row r="2166" spans="1:33" ht="26.4">
      <c r="A2166" s="246"/>
      <c r="B2166" s="245"/>
      <c r="C2166" s="245"/>
      <c r="D2166" s="245"/>
      <c r="E2166" s="245"/>
      <c r="F2166" s="187"/>
      <c r="G2166" s="245"/>
      <c r="H2166" s="245"/>
      <c r="I2166" s="245"/>
      <c r="P2166" s="366"/>
      <c r="R2166" s="355"/>
      <c r="T2166" s="324"/>
      <c r="U2166" s="85" ph="1"/>
      <c r="W2166" s="216"/>
      <c r="X2166" s="245"/>
      <c r="Y2166" s="187"/>
      <c r="Z2166" s="245"/>
      <c r="AA2166" s="245"/>
      <c r="AB2166" s="332"/>
      <c r="AD2166" s="245"/>
      <c r="AE2166" s="245"/>
      <c r="AF2166" s="245"/>
      <c r="AG2166" s="245"/>
    </row>
    <row r="2167" spans="1:33" ht="26.4">
      <c r="A2167" s="246"/>
      <c r="B2167" s="245"/>
      <c r="C2167" s="245"/>
      <c r="D2167" s="245"/>
      <c r="E2167" s="245"/>
      <c r="F2167" s="187"/>
      <c r="G2167" s="245"/>
      <c r="H2167" s="245"/>
      <c r="I2167" s="245"/>
      <c r="P2167" s="366"/>
      <c r="R2167" s="355"/>
      <c r="T2167" s="324"/>
      <c r="U2167" s="85" ph="1"/>
      <c r="W2167" s="216"/>
      <c r="X2167" s="245"/>
      <c r="Y2167" s="187"/>
      <c r="Z2167" s="245"/>
      <c r="AA2167" s="245"/>
      <c r="AB2167" s="332"/>
      <c r="AD2167" s="245"/>
      <c r="AE2167" s="245"/>
      <c r="AF2167" s="245"/>
      <c r="AG2167" s="245"/>
    </row>
    <row r="2168" spans="1:33" ht="26.4">
      <c r="A2168" s="246"/>
      <c r="B2168" s="245"/>
      <c r="C2168" s="245"/>
      <c r="D2168" s="245"/>
      <c r="E2168" s="245"/>
      <c r="F2168" s="187"/>
      <c r="G2168" s="245"/>
      <c r="H2168" s="245"/>
      <c r="I2168" s="245"/>
      <c r="P2168" s="366"/>
      <c r="R2168" s="355"/>
      <c r="T2168" s="324"/>
      <c r="U2168" s="85" ph="1"/>
      <c r="W2168" s="216"/>
      <c r="X2168" s="245"/>
      <c r="Y2168" s="187"/>
      <c r="Z2168" s="245"/>
      <c r="AA2168" s="245"/>
      <c r="AB2168" s="332"/>
      <c r="AD2168" s="245"/>
      <c r="AE2168" s="245"/>
      <c r="AF2168" s="245"/>
      <c r="AG2168" s="245"/>
    </row>
    <row r="2169" spans="1:33" ht="26.4">
      <c r="A2169" s="246"/>
      <c r="B2169" s="245"/>
      <c r="C2169" s="245"/>
      <c r="D2169" s="245"/>
      <c r="E2169" s="245"/>
      <c r="F2169" s="187"/>
      <c r="G2169" s="245"/>
      <c r="H2169" s="245"/>
      <c r="I2169" s="245"/>
      <c r="P2169" s="366"/>
      <c r="R2169" s="355"/>
      <c r="T2169" s="324"/>
      <c r="U2169" s="85" ph="1"/>
      <c r="W2169" s="216"/>
      <c r="X2169" s="245"/>
      <c r="Y2169" s="187"/>
      <c r="Z2169" s="245"/>
      <c r="AA2169" s="245"/>
      <c r="AB2169" s="332"/>
      <c r="AD2169" s="245"/>
      <c r="AE2169" s="245"/>
      <c r="AF2169" s="245"/>
      <c r="AG2169" s="245"/>
    </row>
    <row r="2170" spans="1:33" ht="26.4">
      <c r="A2170" s="246"/>
      <c r="B2170" s="245"/>
      <c r="C2170" s="245"/>
      <c r="D2170" s="245"/>
      <c r="E2170" s="245"/>
      <c r="F2170" s="187"/>
      <c r="G2170" s="245"/>
      <c r="H2170" s="245"/>
      <c r="I2170" s="245"/>
      <c r="P2170" s="366"/>
      <c r="R2170" s="355"/>
      <c r="T2170" s="324"/>
      <c r="U2170" s="85" ph="1"/>
      <c r="W2170" s="216"/>
      <c r="X2170" s="245"/>
      <c r="Y2170" s="187"/>
      <c r="Z2170" s="245"/>
      <c r="AA2170" s="245"/>
      <c r="AB2170" s="332"/>
      <c r="AD2170" s="245"/>
      <c r="AE2170" s="245"/>
      <c r="AF2170" s="245"/>
      <c r="AG2170" s="245"/>
    </row>
    <row r="2171" spans="1:33" ht="26.4">
      <c r="A2171" s="246"/>
      <c r="B2171" s="245"/>
      <c r="C2171" s="245"/>
      <c r="D2171" s="245"/>
      <c r="E2171" s="245"/>
      <c r="F2171" s="187"/>
      <c r="G2171" s="245"/>
      <c r="H2171" s="245"/>
      <c r="I2171" s="245"/>
      <c r="P2171" s="366"/>
      <c r="R2171" s="355"/>
      <c r="T2171" s="324"/>
      <c r="U2171" s="85" ph="1"/>
      <c r="W2171" s="216"/>
      <c r="X2171" s="245"/>
      <c r="Y2171" s="187"/>
      <c r="Z2171" s="245"/>
      <c r="AA2171" s="245"/>
      <c r="AB2171" s="332"/>
      <c r="AD2171" s="245"/>
      <c r="AE2171" s="245"/>
      <c r="AF2171" s="245"/>
      <c r="AG2171" s="245"/>
    </row>
    <row r="2172" spans="1:33" ht="26.4">
      <c r="A2172" s="246"/>
      <c r="B2172" s="245"/>
      <c r="C2172" s="245"/>
      <c r="D2172" s="245"/>
      <c r="E2172" s="245"/>
      <c r="F2172" s="187"/>
      <c r="G2172" s="245"/>
      <c r="H2172" s="245"/>
      <c r="I2172" s="245"/>
      <c r="P2172" s="366"/>
      <c r="R2172" s="355"/>
      <c r="T2172" s="324"/>
      <c r="U2172" s="85" ph="1"/>
      <c r="W2172" s="216"/>
      <c r="X2172" s="245"/>
      <c r="Y2172" s="187"/>
      <c r="Z2172" s="245"/>
      <c r="AA2172" s="245"/>
      <c r="AB2172" s="332"/>
      <c r="AD2172" s="245"/>
      <c r="AE2172" s="245"/>
      <c r="AF2172" s="245"/>
      <c r="AG2172" s="245"/>
    </row>
    <row r="2173" spans="1:33" ht="26.4">
      <c r="A2173" s="246"/>
      <c r="B2173" s="245"/>
      <c r="C2173" s="245"/>
      <c r="D2173" s="245"/>
      <c r="E2173" s="245"/>
      <c r="F2173" s="187"/>
      <c r="G2173" s="245"/>
      <c r="H2173" s="245"/>
      <c r="I2173" s="245"/>
      <c r="P2173" s="366"/>
      <c r="R2173" s="355"/>
      <c r="T2173" s="324"/>
      <c r="U2173" s="85" ph="1"/>
      <c r="W2173" s="216"/>
      <c r="X2173" s="245"/>
      <c r="Y2173" s="187"/>
      <c r="Z2173" s="245"/>
      <c r="AA2173" s="245"/>
      <c r="AB2173" s="332"/>
      <c r="AD2173" s="245"/>
      <c r="AE2173" s="245"/>
      <c r="AF2173" s="245"/>
      <c r="AG2173" s="245"/>
    </row>
    <row r="2174" spans="1:33" ht="26.4">
      <c r="A2174" s="246"/>
      <c r="B2174" s="245"/>
      <c r="C2174" s="245"/>
      <c r="D2174" s="245"/>
      <c r="E2174" s="245"/>
      <c r="F2174" s="187"/>
      <c r="G2174" s="245"/>
      <c r="H2174" s="245"/>
      <c r="I2174" s="245"/>
      <c r="P2174" s="366"/>
      <c r="R2174" s="355"/>
      <c r="T2174" s="324"/>
      <c r="U2174" s="85" ph="1"/>
      <c r="W2174" s="216"/>
      <c r="X2174" s="245"/>
      <c r="Y2174" s="187"/>
      <c r="Z2174" s="245"/>
      <c r="AA2174" s="245"/>
      <c r="AB2174" s="332"/>
      <c r="AD2174" s="245"/>
      <c r="AE2174" s="245"/>
      <c r="AF2174" s="245"/>
      <c r="AG2174" s="245"/>
    </row>
    <row r="2175" spans="1:33" ht="26.4">
      <c r="A2175" s="246"/>
      <c r="B2175" s="245"/>
      <c r="C2175" s="245"/>
      <c r="D2175" s="245"/>
      <c r="E2175" s="245"/>
      <c r="F2175" s="187"/>
      <c r="G2175" s="245"/>
      <c r="H2175" s="245"/>
      <c r="I2175" s="245"/>
      <c r="P2175" s="366"/>
      <c r="R2175" s="355"/>
      <c r="T2175" s="324"/>
      <c r="U2175" s="85" ph="1"/>
      <c r="W2175" s="216"/>
      <c r="X2175" s="245"/>
      <c r="Y2175" s="187"/>
      <c r="Z2175" s="245"/>
      <c r="AA2175" s="245"/>
      <c r="AB2175" s="332"/>
      <c r="AD2175" s="245"/>
      <c r="AE2175" s="245"/>
      <c r="AF2175" s="245"/>
      <c r="AG2175" s="245"/>
    </row>
    <row r="2176" spans="1:33" ht="26.4">
      <c r="A2176" s="246"/>
      <c r="B2176" s="245"/>
      <c r="C2176" s="245"/>
      <c r="D2176" s="245"/>
      <c r="E2176" s="245"/>
      <c r="F2176" s="187"/>
      <c r="G2176" s="245"/>
      <c r="H2176" s="245"/>
      <c r="I2176" s="245"/>
      <c r="P2176" s="366"/>
      <c r="R2176" s="355"/>
      <c r="T2176" s="324"/>
      <c r="U2176" s="85" ph="1"/>
      <c r="W2176" s="216"/>
      <c r="X2176" s="245"/>
      <c r="Y2176" s="187"/>
      <c r="Z2176" s="245"/>
      <c r="AA2176" s="245"/>
      <c r="AB2176" s="332"/>
      <c r="AD2176" s="245"/>
      <c r="AE2176" s="245"/>
      <c r="AF2176" s="245"/>
      <c r="AG2176" s="245"/>
    </row>
    <row r="2177" spans="1:33" ht="26.4">
      <c r="A2177" s="246"/>
      <c r="B2177" s="245"/>
      <c r="C2177" s="245"/>
      <c r="D2177" s="245"/>
      <c r="E2177" s="245"/>
      <c r="F2177" s="187"/>
      <c r="G2177" s="245"/>
      <c r="H2177" s="245"/>
      <c r="I2177" s="245"/>
      <c r="P2177" s="366"/>
      <c r="R2177" s="355"/>
      <c r="T2177" s="324"/>
      <c r="U2177" s="85" ph="1"/>
      <c r="W2177" s="216"/>
      <c r="X2177" s="245"/>
      <c r="Y2177" s="187"/>
      <c r="Z2177" s="245"/>
      <c r="AA2177" s="245"/>
      <c r="AB2177" s="332"/>
      <c r="AD2177" s="245"/>
      <c r="AE2177" s="245"/>
      <c r="AF2177" s="245"/>
      <c r="AG2177" s="245"/>
    </row>
    <row r="2178" spans="1:33" ht="26.4">
      <c r="A2178" s="246"/>
      <c r="B2178" s="245"/>
      <c r="C2178" s="245"/>
      <c r="D2178" s="245"/>
      <c r="E2178" s="245"/>
      <c r="F2178" s="187"/>
      <c r="G2178" s="245"/>
      <c r="H2178" s="245"/>
      <c r="I2178" s="245"/>
      <c r="P2178" s="366"/>
      <c r="R2178" s="355"/>
      <c r="T2178" s="324"/>
      <c r="U2178" s="85" ph="1"/>
      <c r="W2178" s="216"/>
      <c r="X2178" s="245"/>
      <c r="Y2178" s="187"/>
      <c r="Z2178" s="245"/>
      <c r="AA2178" s="245"/>
      <c r="AB2178" s="332"/>
      <c r="AD2178" s="245"/>
      <c r="AE2178" s="245"/>
      <c r="AF2178" s="245"/>
      <c r="AG2178" s="245"/>
    </row>
    <row r="2179" spans="1:33" ht="26.4">
      <c r="A2179" s="246"/>
      <c r="B2179" s="245"/>
      <c r="C2179" s="245"/>
      <c r="D2179" s="245"/>
      <c r="E2179" s="245"/>
      <c r="F2179" s="187"/>
      <c r="G2179" s="245"/>
      <c r="H2179" s="245"/>
      <c r="I2179" s="245"/>
      <c r="P2179" s="366"/>
      <c r="R2179" s="355"/>
      <c r="T2179" s="324"/>
      <c r="U2179" s="85" ph="1"/>
      <c r="W2179" s="216"/>
      <c r="X2179" s="245"/>
      <c r="Y2179" s="187"/>
      <c r="Z2179" s="245"/>
      <c r="AA2179" s="245"/>
      <c r="AB2179" s="332"/>
      <c r="AD2179" s="245"/>
      <c r="AE2179" s="245"/>
      <c r="AF2179" s="245"/>
      <c r="AG2179" s="245"/>
    </row>
    <row r="2180" spans="1:33" ht="26.4">
      <c r="A2180" s="246"/>
      <c r="B2180" s="245"/>
      <c r="C2180" s="245"/>
      <c r="D2180" s="245"/>
      <c r="E2180" s="245"/>
      <c r="F2180" s="187"/>
      <c r="G2180" s="245"/>
      <c r="H2180" s="245"/>
      <c r="I2180" s="245"/>
      <c r="P2180" s="366"/>
      <c r="R2180" s="355"/>
      <c r="T2180" s="324"/>
      <c r="U2180" s="85" ph="1"/>
      <c r="W2180" s="216"/>
      <c r="X2180" s="245"/>
      <c r="Y2180" s="187"/>
      <c r="Z2180" s="245"/>
      <c r="AA2180" s="245"/>
      <c r="AB2180" s="332"/>
      <c r="AD2180" s="245"/>
      <c r="AE2180" s="245"/>
      <c r="AF2180" s="245"/>
      <c r="AG2180" s="245"/>
    </row>
    <row r="2181" spans="1:33" ht="26.4">
      <c r="A2181" s="246"/>
      <c r="B2181" s="245"/>
      <c r="C2181" s="245"/>
      <c r="D2181" s="245"/>
      <c r="E2181" s="245"/>
      <c r="F2181" s="187"/>
      <c r="G2181" s="245"/>
      <c r="H2181" s="245"/>
      <c r="I2181" s="245"/>
      <c r="P2181" s="366"/>
      <c r="R2181" s="355"/>
      <c r="T2181" s="324"/>
      <c r="U2181" s="85" ph="1"/>
      <c r="W2181" s="216"/>
      <c r="X2181" s="245"/>
      <c r="Y2181" s="187"/>
      <c r="Z2181" s="245"/>
      <c r="AA2181" s="245"/>
      <c r="AB2181" s="332"/>
      <c r="AD2181" s="245"/>
      <c r="AE2181" s="245"/>
      <c r="AF2181" s="245"/>
      <c r="AG2181" s="245"/>
    </row>
    <row r="2182" spans="1:33" ht="26.4">
      <c r="A2182" s="246"/>
      <c r="B2182" s="245"/>
      <c r="C2182" s="245"/>
      <c r="D2182" s="245"/>
      <c r="E2182" s="245"/>
      <c r="F2182" s="187"/>
      <c r="G2182" s="245"/>
      <c r="H2182" s="245"/>
      <c r="I2182" s="245"/>
      <c r="P2182" s="366"/>
      <c r="R2182" s="355"/>
      <c r="T2182" s="324"/>
      <c r="U2182" s="85" ph="1"/>
      <c r="W2182" s="216"/>
      <c r="X2182" s="245"/>
      <c r="Y2182" s="187"/>
      <c r="Z2182" s="245"/>
      <c r="AA2182" s="245"/>
      <c r="AB2182" s="332"/>
      <c r="AD2182" s="245"/>
      <c r="AE2182" s="245"/>
      <c r="AF2182" s="245"/>
      <c r="AG2182" s="245"/>
    </row>
    <row r="2183" spans="1:33" ht="26.4">
      <c r="A2183" s="246"/>
      <c r="B2183" s="245"/>
      <c r="C2183" s="245"/>
      <c r="D2183" s="245"/>
      <c r="E2183" s="245"/>
      <c r="F2183" s="187"/>
      <c r="G2183" s="245"/>
      <c r="H2183" s="245"/>
      <c r="I2183" s="245"/>
      <c r="P2183" s="366"/>
      <c r="R2183" s="355"/>
      <c r="T2183" s="324"/>
      <c r="U2183" s="85" ph="1"/>
      <c r="W2183" s="216"/>
      <c r="X2183" s="245"/>
      <c r="Y2183" s="187"/>
      <c r="Z2183" s="245"/>
      <c r="AA2183" s="245"/>
      <c r="AB2183" s="332"/>
      <c r="AD2183" s="245"/>
      <c r="AE2183" s="245"/>
      <c r="AF2183" s="245"/>
      <c r="AG2183" s="245"/>
    </row>
    <row r="2184" spans="1:33" ht="26.4">
      <c r="A2184" s="246"/>
      <c r="B2184" s="245"/>
      <c r="C2184" s="245"/>
      <c r="D2184" s="245"/>
      <c r="E2184" s="245"/>
      <c r="F2184" s="187"/>
      <c r="G2184" s="245"/>
      <c r="H2184" s="245"/>
      <c r="I2184" s="245"/>
      <c r="P2184" s="366"/>
      <c r="R2184" s="355"/>
      <c r="T2184" s="324"/>
      <c r="U2184" s="85" ph="1"/>
      <c r="W2184" s="216"/>
      <c r="X2184" s="245"/>
      <c r="Y2184" s="187"/>
      <c r="Z2184" s="245"/>
      <c r="AA2184" s="245"/>
      <c r="AB2184" s="332"/>
      <c r="AD2184" s="245"/>
      <c r="AE2184" s="245"/>
      <c r="AF2184" s="245"/>
      <c r="AG2184" s="245"/>
    </row>
    <row r="2185" spans="1:33" ht="26.4">
      <c r="A2185" s="246"/>
      <c r="B2185" s="245"/>
      <c r="C2185" s="245"/>
      <c r="D2185" s="245"/>
      <c r="E2185" s="245"/>
      <c r="F2185" s="187"/>
      <c r="G2185" s="245"/>
      <c r="H2185" s="245"/>
      <c r="I2185" s="245"/>
      <c r="P2185" s="366"/>
      <c r="R2185" s="355"/>
      <c r="T2185" s="324"/>
      <c r="U2185" s="85" ph="1"/>
      <c r="W2185" s="216"/>
      <c r="X2185" s="245"/>
      <c r="Y2185" s="187"/>
      <c r="Z2185" s="245"/>
      <c r="AA2185" s="245"/>
      <c r="AB2185" s="332"/>
      <c r="AD2185" s="245"/>
      <c r="AE2185" s="245"/>
      <c r="AF2185" s="245"/>
      <c r="AG2185" s="245"/>
    </row>
    <row r="2186" spans="1:33" ht="26.4">
      <c r="A2186" s="246"/>
      <c r="B2186" s="245"/>
      <c r="C2186" s="245"/>
      <c r="D2186" s="245"/>
      <c r="E2186" s="245"/>
      <c r="F2186" s="187"/>
      <c r="G2186" s="245"/>
      <c r="H2186" s="245"/>
      <c r="I2186" s="245"/>
      <c r="P2186" s="366"/>
      <c r="R2186" s="355"/>
      <c r="T2186" s="324"/>
      <c r="U2186" s="85" ph="1"/>
      <c r="W2186" s="216"/>
      <c r="X2186" s="245"/>
      <c r="Y2186" s="187"/>
      <c r="Z2186" s="245"/>
      <c r="AA2186" s="245"/>
      <c r="AB2186" s="332"/>
      <c r="AD2186" s="245"/>
      <c r="AE2186" s="245"/>
      <c r="AF2186" s="245"/>
      <c r="AG2186" s="245"/>
    </row>
    <row r="2187" spans="1:33" ht="26.4">
      <c r="A2187" s="246"/>
      <c r="B2187" s="245"/>
      <c r="C2187" s="245"/>
      <c r="D2187" s="245"/>
      <c r="E2187" s="245"/>
      <c r="F2187" s="187"/>
      <c r="G2187" s="245"/>
      <c r="H2187" s="245"/>
      <c r="I2187" s="245"/>
      <c r="P2187" s="366"/>
      <c r="R2187" s="355"/>
      <c r="T2187" s="324"/>
      <c r="U2187" s="85" ph="1"/>
      <c r="W2187" s="216"/>
      <c r="X2187" s="245"/>
      <c r="Y2187" s="187"/>
      <c r="Z2187" s="245"/>
      <c r="AA2187" s="245"/>
      <c r="AB2187" s="332"/>
      <c r="AD2187" s="245"/>
      <c r="AE2187" s="245"/>
      <c r="AF2187" s="245"/>
      <c r="AG2187" s="245"/>
    </row>
    <row r="2188" spans="1:33" ht="26.4">
      <c r="A2188" s="246"/>
      <c r="B2188" s="245"/>
      <c r="C2188" s="245"/>
      <c r="D2188" s="245"/>
      <c r="E2188" s="245"/>
      <c r="F2188" s="187"/>
      <c r="G2188" s="245"/>
      <c r="H2188" s="245"/>
      <c r="I2188" s="245"/>
      <c r="P2188" s="366"/>
      <c r="R2188" s="355"/>
      <c r="T2188" s="324"/>
      <c r="U2188" s="85" ph="1"/>
      <c r="W2188" s="216"/>
      <c r="X2188" s="245"/>
      <c r="Y2188" s="187"/>
      <c r="Z2188" s="245"/>
      <c r="AA2188" s="245"/>
      <c r="AB2188" s="332"/>
      <c r="AD2188" s="245"/>
      <c r="AE2188" s="245"/>
      <c r="AF2188" s="245"/>
      <c r="AG2188" s="245"/>
    </row>
    <row r="2189" spans="1:33" ht="26.4">
      <c r="A2189" s="246"/>
      <c r="B2189" s="245"/>
      <c r="C2189" s="245"/>
      <c r="D2189" s="245"/>
      <c r="E2189" s="245"/>
      <c r="F2189" s="187"/>
      <c r="G2189" s="245"/>
      <c r="H2189" s="245"/>
      <c r="I2189" s="245"/>
      <c r="P2189" s="366"/>
      <c r="R2189" s="355"/>
      <c r="T2189" s="324"/>
      <c r="U2189" s="85" ph="1"/>
      <c r="W2189" s="216"/>
      <c r="X2189" s="245"/>
      <c r="Y2189" s="187"/>
      <c r="Z2189" s="245"/>
      <c r="AA2189" s="245"/>
      <c r="AB2189" s="332"/>
      <c r="AD2189" s="245"/>
      <c r="AE2189" s="245"/>
      <c r="AF2189" s="245"/>
      <c r="AG2189" s="245"/>
    </row>
    <row r="2190" spans="1:33" ht="26.4">
      <c r="A2190" s="246"/>
      <c r="B2190" s="245"/>
      <c r="C2190" s="245"/>
      <c r="D2190" s="245"/>
      <c r="E2190" s="245"/>
      <c r="F2190" s="187"/>
      <c r="G2190" s="245"/>
      <c r="H2190" s="245"/>
      <c r="I2190" s="245"/>
      <c r="P2190" s="366"/>
      <c r="R2190" s="355"/>
      <c r="T2190" s="324"/>
      <c r="U2190" s="85" ph="1"/>
      <c r="W2190" s="216"/>
      <c r="X2190" s="245"/>
      <c r="Y2190" s="187"/>
      <c r="Z2190" s="245"/>
      <c r="AA2190" s="245"/>
      <c r="AB2190" s="332"/>
      <c r="AD2190" s="245"/>
      <c r="AE2190" s="245"/>
      <c r="AF2190" s="245"/>
      <c r="AG2190" s="245"/>
    </row>
    <row r="2191" spans="1:33" ht="26.4">
      <c r="A2191" s="246"/>
      <c r="B2191" s="245"/>
      <c r="C2191" s="245"/>
      <c r="D2191" s="245"/>
      <c r="E2191" s="245"/>
      <c r="F2191" s="187"/>
      <c r="G2191" s="245"/>
      <c r="H2191" s="245"/>
      <c r="I2191" s="245"/>
      <c r="P2191" s="366"/>
      <c r="R2191" s="355"/>
      <c r="T2191" s="324"/>
      <c r="U2191" s="85" ph="1"/>
      <c r="W2191" s="216"/>
      <c r="X2191" s="245"/>
      <c r="Y2191" s="187"/>
      <c r="Z2191" s="245"/>
      <c r="AA2191" s="245"/>
      <c r="AB2191" s="332"/>
      <c r="AD2191" s="245"/>
      <c r="AE2191" s="245"/>
      <c r="AF2191" s="245"/>
      <c r="AG2191" s="245"/>
    </row>
    <row r="2192" spans="1:33" ht="26.4">
      <c r="A2192" s="246"/>
      <c r="B2192" s="245"/>
      <c r="C2192" s="245"/>
      <c r="D2192" s="245"/>
      <c r="E2192" s="245"/>
      <c r="F2192" s="187"/>
      <c r="G2192" s="245"/>
      <c r="H2192" s="245"/>
      <c r="I2192" s="245"/>
      <c r="P2192" s="366"/>
      <c r="R2192" s="355"/>
      <c r="T2192" s="324"/>
      <c r="U2192" s="85" ph="1"/>
      <c r="W2192" s="216"/>
      <c r="X2192" s="245"/>
      <c r="Y2192" s="187"/>
      <c r="Z2192" s="245"/>
      <c r="AA2192" s="245"/>
      <c r="AB2192" s="332"/>
      <c r="AD2192" s="245"/>
      <c r="AE2192" s="245"/>
      <c r="AF2192" s="245"/>
      <c r="AG2192" s="245"/>
    </row>
    <row r="2193" spans="1:33" ht="26.4">
      <c r="A2193" s="246"/>
      <c r="B2193" s="245"/>
      <c r="C2193" s="245"/>
      <c r="D2193" s="245"/>
      <c r="E2193" s="245"/>
      <c r="F2193" s="187"/>
      <c r="G2193" s="245"/>
      <c r="H2193" s="245"/>
      <c r="I2193" s="245"/>
      <c r="P2193" s="366"/>
      <c r="R2193" s="355"/>
      <c r="T2193" s="324"/>
      <c r="U2193" s="85" ph="1"/>
      <c r="W2193" s="216"/>
      <c r="X2193" s="245"/>
      <c r="Y2193" s="187"/>
      <c r="Z2193" s="245"/>
      <c r="AA2193" s="245"/>
      <c r="AB2193" s="332"/>
      <c r="AD2193" s="245"/>
      <c r="AE2193" s="245"/>
      <c r="AF2193" s="245"/>
      <c r="AG2193" s="245"/>
    </row>
    <row r="2194" spans="1:33" ht="26.4">
      <c r="A2194" s="246"/>
      <c r="B2194" s="245"/>
      <c r="C2194" s="245"/>
      <c r="D2194" s="245"/>
      <c r="E2194" s="245"/>
      <c r="F2194" s="187"/>
      <c r="G2194" s="245"/>
      <c r="H2194" s="245"/>
      <c r="I2194" s="245"/>
      <c r="P2194" s="366"/>
      <c r="R2194" s="355"/>
      <c r="T2194" s="324"/>
      <c r="U2194" s="85" ph="1"/>
      <c r="W2194" s="216"/>
      <c r="X2194" s="245"/>
      <c r="Y2194" s="187"/>
      <c r="Z2194" s="245"/>
      <c r="AA2194" s="245"/>
      <c r="AB2194" s="332"/>
      <c r="AD2194" s="245"/>
      <c r="AE2194" s="245"/>
      <c r="AF2194" s="245"/>
      <c r="AG2194" s="245"/>
    </row>
    <row r="2195" spans="1:33" ht="26.4">
      <c r="A2195" s="246"/>
      <c r="B2195" s="245"/>
      <c r="C2195" s="245"/>
      <c r="D2195" s="245"/>
      <c r="E2195" s="245"/>
      <c r="F2195" s="187"/>
      <c r="G2195" s="245"/>
      <c r="H2195" s="245"/>
      <c r="I2195" s="245"/>
      <c r="P2195" s="366"/>
      <c r="R2195" s="355"/>
      <c r="T2195" s="324"/>
      <c r="U2195" s="85" ph="1"/>
      <c r="W2195" s="216"/>
      <c r="X2195" s="245"/>
      <c r="Y2195" s="187"/>
      <c r="Z2195" s="245"/>
      <c r="AA2195" s="245"/>
      <c r="AB2195" s="332"/>
      <c r="AD2195" s="245"/>
      <c r="AE2195" s="245"/>
      <c r="AF2195" s="245"/>
      <c r="AG2195" s="245"/>
    </row>
    <row r="2196" spans="1:33" ht="26.4">
      <c r="A2196" s="246"/>
      <c r="B2196" s="245"/>
      <c r="C2196" s="245"/>
      <c r="D2196" s="245"/>
      <c r="E2196" s="245"/>
      <c r="F2196" s="187"/>
      <c r="G2196" s="245"/>
      <c r="H2196" s="245"/>
      <c r="I2196" s="245"/>
      <c r="P2196" s="366"/>
      <c r="R2196" s="355"/>
      <c r="T2196" s="324"/>
      <c r="U2196" s="85" ph="1"/>
      <c r="W2196" s="216"/>
      <c r="X2196" s="245"/>
      <c r="Y2196" s="187"/>
      <c r="Z2196" s="245"/>
      <c r="AA2196" s="245"/>
      <c r="AB2196" s="332"/>
      <c r="AD2196" s="245"/>
      <c r="AE2196" s="245"/>
      <c r="AF2196" s="245"/>
      <c r="AG2196" s="245"/>
    </row>
    <row r="2197" spans="1:33" ht="26.4">
      <c r="A2197" s="246"/>
      <c r="B2197" s="245"/>
      <c r="C2197" s="245"/>
      <c r="D2197" s="245"/>
      <c r="E2197" s="245"/>
      <c r="F2197" s="187"/>
      <c r="G2197" s="245"/>
      <c r="H2197" s="245"/>
      <c r="I2197" s="245"/>
      <c r="P2197" s="366"/>
      <c r="R2197" s="355"/>
      <c r="T2197" s="324"/>
      <c r="U2197" s="85" ph="1"/>
      <c r="W2197" s="216"/>
      <c r="X2197" s="245"/>
      <c r="Y2197" s="187"/>
      <c r="Z2197" s="245"/>
      <c r="AA2197" s="245"/>
      <c r="AB2197" s="332"/>
      <c r="AD2197" s="245"/>
      <c r="AE2197" s="245"/>
      <c r="AF2197" s="245"/>
      <c r="AG2197" s="245"/>
    </row>
    <row r="2198" spans="1:33" ht="26.4">
      <c r="A2198" s="246"/>
      <c r="B2198" s="245"/>
      <c r="C2198" s="245"/>
      <c r="D2198" s="245"/>
      <c r="E2198" s="245"/>
      <c r="F2198" s="187"/>
      <c r="G2198" s="245"/>
      <c r="H2198" s="245"/>
      <c r="I2198" s="245"/>
      <c r="P2198" s="366"/>
      <c r="R2198" s="355"/>
      <c r="T2198" s="324"/>
      <c r="U2198" s="85" ph="1"/>
      <c r="W2198" s="216"/>
      <c r="X2198" s="245"/>
      <c r="Y2198" s="187"/>
      <c r="Z2198" s="245"/>
      <c r="AA2198" s="245"/>
      <c r="AB2198" s="332"/>
      <c r="AD2198" s="245"/>
      <c r="AE2198" s="245"/>
      <c r="AF2198" s="245"/>
      <c r="AG2198" s="245"/>
    </row>
    <row r="2199" spans="1:33" ht="26.4">
      <c r="A2199" s="246"/>
      <c r="B2199" s="245"/>
      <c r="C2199" s="245"/>
      <c r="D2199" s="245"/>
      <c r="E2199" s="245"/>
      <c r="F2199" s="187"/>
      <c r="G2199" s="245"/>
      <c r="H2199" s="245"/>
      <c r="I2199" s="245"/>
      <c r="P2199" s="366"/>
      <c r="R2199" s="355"/>
      <c r="T2199" s="324"/>
      <c r="U2199" s="85" ph="1"/>
      <c r="W2199" s="216"/>
      <c r="X2199" s="245"/>
      <c r="Y2199" s="187"/>
      <c r="Z2199" s="245"/>
      <c r="AA2199" s="245"/>
      <c r="AB2199" s="332"/>
      <c r="AD2199" s="245"/>
      <c r="AE2199" s="245"/>
      <c r="AF2199" s="245"/>
      <c r="AG2199" s="245"/>
    </row>
    <row r="2200" spans="1:33" ht="26.4">
      <c r="A2200" s="246"/>
      <c r="B2200" s="245"/>
      <c r="C2200" s="245"/>
      <c r="D2200" s="245"/>
      <c r="E2200" s="245"/>
      <c r="F2200" s="187"/>
      <c r="G2200" s="245"/>
      <c r="H2200" s="245"/>
      <c r="I2200" s="245"/>
      <c r="P2200" s="366"/>
      <c r="R2200" s="355"/>
      <c r="T2200" s="324"/>
      <c r="U2200" s="85" ph="1"/>
      <c r="W2200" s="216"/>
      <c r="X2200" s="245"/>
      <c r="Y2200" s="187"/>
      <c r="Z2200" s="245"/>
      <c r="AA2200" s="245"/>
      <c r="AB2200" s="332"/>
      <c r="AD2200" s="245"/>
      <c r="AE2200" s="245"/>
      <c r="AF2200" s="245"/>
      <c r="AG2200" s="245"/>
    </row>
    <row r="2201" spans="1:33" ht="26.4">
      <c r="A2201" s="246"/>
      <c r="B2201" s="245"/>
      <c r="C2201" s="245"/>
      <c r="D2201" s="245"/>
      <c r="E2201" s="245"/>
      <c r="F2201" s="187"/>
      <c r="G2201" s="245"/>
      <c r="H2201" s="245"/>
      <c r="I2201" s="245"/>
      <c r="P2201" s="366"/>
      <c r="R2201" s="355"/>
      <c r="T2201" s="324"/>
      <c r="U2201" s="85" ph="1"/>
      <c r="W2201" s="216"/>
      <c r="X2201" s="245"/>
      <c r="Y2201" s="187"/>
      <c r="Z2201" s="245"/>
      <c r="AA2201" s="245"/>
      <c r="AB2201" s="332"/>
      <c r="AD2201" s="245"/>
      <c r="AE2201" s="245"/>
      <c r="AF2201" s="245"/>
      <c r="AG2201" s="245"/>
    </row>
    <row r="2202" spans="1:33" ht="26.4">
      <c r="A2202" s="246"/>
      <c r="B2202" s="245"/>
      <c r="C2202" s="245"/>
      <c r="D2202" s="245"/>
      <c r="E2202" s="245"/>
      <c r="F2202" s="187"/>
      <c r="G2202" s="245"/>
      <c r="H2202" s="245"/>
      <c r="I2202" s="245"/>
      <c r="P2202" s="366"/>
      <c r="R2202" s="355"/>
      <c r="T2202" s="324"/>
      <c r="U2202" s="85" ph="1"/>
      <c r="W2202" s="216"/>
      <c r="X2202" s="245"/>
      <c r="Y2202" s="187"/>
      <c r="Z2202" s="245"/>
      <c r="AA2202" s="245"/>
      <c r="AB2202" s="332"/>
      <c r="AD2202" s="245"/>
      <c r="AE2202" s="245"/>
      <c r="AF2202" s="245"/>
      <c r="AG2202" s="245"/>
    </row>
    <row r="2203" spans="1:33" ht="26.4">
      <c r="A2203" s="246"/>
      <c r="B2203" s="245"/>
      <c r="C2203" s="245"/>
      <c r="D2203" s="245"/>
      <c r="E2203" s="245"/>
      <c r="F2203" s="187"/>
      <c r="G2203" s="245"/>
      <c r="H2203" s="245"/>
      <c r="I2203" s="245"/>
      <c r="P2203" s="366"/>
      <c r="R2203" s="355"/>
      <c r="T2203" s="324"/>
      <c r="U2203" s="85" ph="1"/>
      <c r="W2203" s="216"/>
      <c r="X2203" s="245"/>
      <c r="Y2203" s="187"/>
      <c r="Z2203" s="245"/>
      <c r="AA2203" s="245"/>
      <c r="AB2203" s="332"/>
      <c r="AD2203" s="245"/>
      <c r="AE2203" s="245"/>
      <c r="AF2203" s="245"/>
      <c r="AG2203" s="245"/>
    </row>
    <row r="2204" spans="1:33" ht="26.4">
      <c r="A2204" s="246"/>
      <c r="B2204" s="245"/>
      <c r="C2204" s="245"/>
      <c r="D2204" s="245"/>
      <c r="E2204" s="245"/>
      <c r="F2204" s="187"/>
      <c r="G2204" s="245"/>
      <c r="H2204" s="245"/>
      <c r="I2204" s="245"/>
      <c r="P2204" s="366"/>
      <c r="R2204" s="355"/>
      <c r="T2204" s="324"/>
      <c r="U2204" s="85" ph="1"/>
      <c r="W2204" s="216"/>
      <c r="X2204" s="245"/>
      <c r="Y2204" s="187"/>
      <c r="Z2204" s="245"/>
      <c r="AA2204" s="245"/>
      <c r="AB2204" s="332"/>
      <c r="AD2204" s="245"/>
      <c r="AE2204" s="245"/>
      <c r="AF2204" s="245"/>
      <c r="AG2204" s="245"/>
    </row>
    <row r="2205" spans="1:33" ht="26.4">
      <c r="A2205" s="246"/>
      <c r="B2205" s="245"/>
      <c r="C2205" s="245"/>
      <c r="D2205" s="245"/>
      <c r="E2205" s="245"/>
      <c r="F2205" s="187"/>
      <c r="G2205" s="245"/>
      <c r="H2205" s="245"/>
      <c r="I2205" s="245"/>
      <c r="P2205" s="366"/>
      <c r="R2205" s="355"/>
      <c r="T2205" s="324"/>
      <c r="U2205" s="85" ph="1"/>
      <c r="W2205" s="216"/>
      <c r="X2205" s="245"/>
      <c r="Y2205" s="187"/>
      <c r="Z2205" s="245"/>
      <c r="AA2205" s="245"/>
      <c r="AB2205" s="332"/>
      <c r="AD2205" s="245"/>
      <c r="AE2205" s="245"/>
      <c r="AF2205" s="245"/>
      <c r="AG2205" s="245"/>
    </row>
    <row r="2206" spans="1:33" ht="26.4">
      <c r="A2206" s="246"/>
      <c r="B2206" s="245"/>
      <c r="C2206" s="245"/>
      <c r="D2206" s="245"/>
      <c r="E2206" s="245"/>
      <c r="F2206" s="187"/>
      <c r="G2206" s="245"/>
      <c r="H2206" s="245"/>
      <c r="I2206" s="245"/>
      <c r="P2206" s="366"/>
      <c r="R2206" s="355"/>
      <c r="T2206" s="324"/>
      <c r="U2206" s="85" ph="1"/>
      <c r="W2206" s="216"/>
      <c r="X2206" s="245"/>
      <c r="Y2206" s="187"/>
      <c r="Z2206" s="245"/>
      <c r="AA2206" s="245"/>
      <c r="AB2206" s="332"/>
      <c r="AD2206" s="245"/>
      <c r="AE2206" s="245"/>
      <c r="AF2206" s="245"/>
      <c r="AG2206" s="245"/>
    </row>
    <row r="2207" spans="1:33" ht="26.4">
      <c r="A2207" s="246"/>
      <c r="B2207" s="245"/>
      <c r="C2207" s="245"/>
      <c r="D2207" s="245"/>
      <c r="E2207" s="245"/>
      <c r="F2207" s="187"/>
      <c r="G2207" s="245"/>
      <c r="H2207" s="245"/>
      <c r="I2207" s="245"/>
      <c r="P2207" s="366"/>
      <c r="R2207" s="355"/>
      <c r="T2207" s="324"/>
      <c r="U2207" s="85" ph="1"/>
      <c r="W2207" s="216"/>
      <c r="X2207" s="245"/>
      <c r="Y2207" s="187"/>
      <c r="Z2207" s="245"/>
      <c r="AA2207" s="245"/>
      <c r="AB2207" s="332"/>
      <c r="AD2207" s="245"/>
      <c r="AE2207" s="245"/>
      <c r="AF2207" s="245"/>
      <c r="AG2207" s="245"/>
    </row>
    <row r="2208" spans="1:33" ht="26.4">
      <c r="A2208" s="246"/>
      <c r="B2208" s="245"/>
      <c r="C2208" s="245"/>
      <c r="D2208" s="245"/>
      <c r="E2208" s="245"/>
      <c r="F2208" s="187"/>
      <c r="G2208" s="245"/>
      <c r="H2208" s="245"/>
      <c r="I2208" s="245"/>
      <c r="P2208" s="366"/>
      <c r="R2208" s="355"/>
      <c r="T2208" s="324"/>
      <c r="U2208" s="85" ph="1"/>
      <c r="W2208" s="216"/>
      <c r="X2208" s="245"/>
      <c r="Y2208" s="187"/>
      <c r="Z2208" s="245"/>
      <c r="AA2208" s="245"/>
      <c r="AB2208" s="332"/>
      <c r="AD2208" s="245"/>
      <c r="AE2208" s="245"/>
      <c r="AF2208" s="245"/>
      <c r="AG2208" s="245"/>
    </row>
    <row r="2209" spans="1:33" ht="26.4">
      <c r="A2209" s="246"/>
      <c r="B2209" s="245"/>
      <c r="C2209" s="245"/>
      <c r="D2209" s="245"/>
      <c r="E2209" s="245"/>
      <c r="F2209" s="187"/>
      <c r="G2209" s="245"/>
      <c r="H2209" s="245"/>
      <c r="I2209" s="245"/>
      <c r="P2209" s="366"/>
      <c r="R2209" s="355"/>
      <c r="T2209" s="324"/>
      <c r="U2209" s="85" ph="1"/>
      <c r="W2209" s="216"/>
      <c r="X2209" s="245"/>
      <c r="Y2209" s="187"/>
      <c r="Z2209" s="245"/>
      <c r="AA2209" s="245"/>
      <c r="AB2209" s="332"/>
      <c r="AD2209" s="245"/>
      <c r="AE2209" s="245"/>
      <c r="AF2209" s="245"/>
      <c r="AG2209" s="245"/>
    </row>
    <row r="2210" spans="1:33" ht="26.4">
      <c r="A2210" s="246"/>
      <c r="B2210" s="245"/>
      <c r="C2210" s="245"/>
      <c r="D2210" s="245"/>
      <c r="E2210" s="245"/>
      <c r="F2210" s="187"/>
      <c r="G2210" s="245"/>
      <c r="H2210" s="245"/>
      <c r="I2210" s="245"/>
      <c r="P2210" s="366"/>
      <c r="R2210" s="355"/>
      <c r="T2210" s="324"/>
      <c r="U2210" s="85" ph="1"/>
      <c r="W2210" s="216"/>
      <c r="X2210" s="245"/>
      <c r="Y2210" s="187"/>
      <c r="Z2210" s="245"/>
      <c r="AA2210" s="245"/>
      <c r="AB2210" s="332"/>
      <c r="AD2210" s="245"/>
      <c r="AE2210" s="245"/>
      <c r="AF2210" s="245"/>
      <c r="AG2210" s="245"/>
    </row>
    <row r="2211" spans="1:33" ht="26.4">
      <c r="A2211" s="246"/>
      <c r="B2211" s="245"/>
      <c r="C2211" s="245"/>
      <c r="D2211" s="245"/>
      <c r="E2211" s="245"/>
      <c r="F2211" s="187"/>
      <c r="G2211" s="245"/>
      <c r="H2211" s="245"/>
      <c r="I2211" s="245"/>
      <c r="P2211" s="366"/>
      <c r="R2211" s="355"/>
      <c r="T2211" s="324"/>
      <c r="U2211" s="85" ph="1"/>
      <c r="W2211" s="216"/>
      <c r="X2211" s="245"/>
      <c r="Y2211" s="187"/>
      <c r="Z2211" s="245"/>
      <c r="AA2211" s="245"/>
      <c r="AB2211" s="332"/>
      <c r="AD2211" s="245"/>
      <c r="AE2211" s="245"/>
      <c r="AF2211" s="245"/>
      <c r="AG2211" s="245"/>
    </row>
    <row r="2212" spans="1:33" ht="26.4">
      <c r="A2212" s="246"/>
      <c r="B2212" s="245"/>
      <c r="C2212" s="245"/>
      <c r="D2212" s="245"/>
      <c r="E2212" s="245"/>
      <c r="F2212" s="187"/>
      <c r="G2212" s="245"/>
      <c r="H2212" s="245"/>
      <c r="I2212" s="245"/>
      <c r="P2212" s="366"/>
      <c r="R2212" s="355"/>
      <c r="T2212" s="324"/>
      <c r="U2212" s="85" ph="1"/>
      <c r="W2212" s="216"/>
      <c r="X2212" s="245"/>
      <c r="Y2212" s="187"/>
      <c r="Z2212" s="245"/>
      <c r="AA2212" s="245"/>
      <c r="AB2212" s="332"/>
      <c r="AD2212" s="245"/>
      <c r="AE2212" s="245"/>
      <c r="AF2212" s="245"/>
      <c r="AG2212" s="245"/>
    </row>
    <row r="2213" spans="1:33" ht="26.4">
      <c r="A2213" s="246"/>
      <c r="B2213" s="245"/>
      <c r="C2213" s="245"/>
      <c r="D2213" s="245"/>
      <c r="E2213" s="245"/>
      <c r="F2213" s="187"/>
      <c r="G2213" s="245"/>
      <c r="H2213" s="245"/>
      <c r="I2213" s="245"/>
      <c r="P2213" s="366"/>
      <c r="R2213" s="355"/>
      <c r="T2213" s="324"/>
      <c r="U2213" s="85" ph="1"/>
      <c r="W2213" s="216"/>
      <c r="X2213" s="245"/>
      <c r="Y2213" s="187"/>
      <c r="Z2213" s="245"/>
      <c r="AA2213" s="245"/>
      <c r="AB2213" s="332"/>
      <c r="AD2213" s="245"/>
      <c r="AE2213" s="245"/>
      <c r="AF2213" s="245"/>
      <c r="AG2213" s="245"/>
    </row>
    <row r="2214" spans="1:33" ht="26.4">
      <c r="A2214" s="246"/>
      <c r="B2214" s="245"/>
      <c r="C2214" s="245"/>
      <c r="D2214" s="245"/>
      <c r="E2214" s="245"/>
      <c r="F2214" s="187"/>
      <c r="G2214" s="245"/>
      <c r="H2214" s="245"/>
      <c r="I2214" s="245"/>
      <c r="P2214" s="366"/>
      <c r="R2214" s="355"/>
      <c r="T2214" s="324"/>
      <c r="U2214" s="85" ph="1"/>
      <c r="W2214" s="216"/>
      <c r="X2214" s="245"/>
      <c r="Y2214" s="187"/>
      <c r="Z2214" s="245"/>
      <c r="AA2214" s="245"/>
      <c r="AB2214" s="332"/>
      <c r="AD2214" s="245"/>
      <c r="AE2214" s="245"/>
      <c r="AF2214" s="245"/>
      <c r="AG2214" s="245"/>
    </row>
    <row r="2215" spans="1:33" ht="26.4">
      <c r="A2215" s="246"/>
      <c r="B2215" s="245"/>
      <c r="C2215" s="245"/>
      <c r="D2215" s="245"/>
      <c r="E2215" s="245"/>
      <c r="F2215" s="187"/>
      <c r="G2215" s="245"/>
      <c r="H2215" s="245"/>
      <c r="I2215" s="245"/>
      <c r="P2215" s="366"/>
      <c r="R2215" s="355"/>
      <c r="T2215" s="324"/>
      <c r="U2215" s="85" ph="1"/>
      <c r="W2215" s="216"/>
      <c r="X2215" s="245"/>
      <c r="Y2215" s="187"/>
      <c r="Z2215" s="245"/>
      <c r="AA2215" s="245"/>
      <c r="AB2215" s="332"/>
      <c r="AD2215" s="245"/>
      <c r="AE2215" s="245"/>
      <c r="AF2215" s="245"/>
      <c r="AG2215" s="245"/>
    </row>
    <row r="2216" spans="1:33" ht="26.4">
      <c r="A2216" s="246"/>
      <c r="B2216" s="245"/>
      <c r="C2216" s="245"/>
      <c r="D2216" s="245"/>
      <c r="E2216" s="245"/>
      <c r="F2216" s="187"/>
      <c r="G2216" s="245"/>
      <c r="H2216" s="245"/>
      <c r="I2216" s="245"/>
      <c r="P2216" s="366"/>
      <c r="R2216" s="355"/>
      <c r="T2216" s="324"/>
      <c r="U2216" s="85" ph="1"/>
      <c r="W2216" s="216"/>
      <c r="X2216" s="245"/>
      <c r="Y2216" s="187"/>
      <c r="Z2216" s="245"/>
      <c r="AA2216" s="245"/>
      <c r="AB2216" s="332"/>
      <c r="AD2216" s="245"/>
      <c r="AE2216" s="245"/>
      <c r="AF2216" s="245"/>
      <c r="AG2216" s="245"/>
    </row>
    <row r="2217" spans="1:33" ht="26.4">
      <c r="A2217" s="246"/>
      <c r="B2217" s="245"/>
      <c r="C2217" s="245"/>
      <c r="D2217" s="245"/>
      <c r="E2217" s="245"/>
      <c r="F2217" s="187"/>
      <c r="G2217" s="245"/>
      <c r="H2217" s="245"/>
      <c r="I2217" s="245"/>
      <c r="P2217" s="366"/>
      <c r="R2217" s="355"/>
      <c r="T2217" s="324"/>
      <c r="U2217" s="85" ph="1"/>
      <c r="W2217" s="216"/>
      <c r="X2217" s="245"/>
      <c r="Y2217" s="187"/>
      <c r="Z2217" s="245"/>
      <c r="AA2217" s="245"/>
      <c r="AB2217" s="332"/>
      <c r="AD2217" s="245"/>
      <c r="AE2217" s="245"/>
      <c r="AF2217" s="245"/>
      <c r="AG2217" s="245"/>
    </row>
    <row r="2218" spans="1:33" ht="26.4">
      <c r="A2218" s="246"/>
      <c r="B2218" s="245"/>
      <c r="C2218" s="245"/>
      <c r="D2218" s="245"/>
      <c r="E2218" s="245"/>
      <c r="F2218" s="187"/>
      <c r="G2218" s="245"/>
      <c r="H2218" s="245"/>
      <c r="I2218" s="245"/>
      <c r="P2218" s="366"/>
      <c r="R2218" s="355"/>
      <c r="T2218" s="324"/>
      <c r="U2218" s="85" ph="1"/>
      <c r="W2218" s="216"/>
      <c r="X2218" s="245"/>
      <c r="Y2218" s="187"/>
      <c r="Z2218" s="245"/>
      <c r="AA2218" s="245"/>
      <c r="AB2218" s="332"/>
      <c r="AD2218" s="245"/>
      <c r="AE2218" s="245"/>
      <c r="AF2218" s="245"/>
      <c r="AG2218" s="245"/>
    </row>
    <row r="2219" spans="1:33" ht="26.4">
      <c r="A2219" s="246"/>
      <c r="B2219" s="245"/>
      <c r="C2219" s="245"/>
      <c r="D2219" s="245"/>
      <c r="E2219" s="245"/>
      <c r="F2219" s="187"/>
      <c r="G2219" s="245"/>
      <c r="H2219" s="245"/>
      <c r="I2219" s="245"/>
      <c r="P2219" s="366"/>
      <c r="R2219" s="355"/>
      <c r="T2219" s="324"/>
      <c r="U2219" s="85" ph="1"/>
      <c r="W2219" s="216"/>
      <c r="X2219" s="245"/>
      <c r="Y2219" s="187"/>
      <c r="Z2219" s="245"/>
      <c r="AA2219" s="245"/>
      <c r="AB2219" s="332"/>
      <c r="AD2219" s="245"/>
      <c r="AE2219" s="245"/>
      <c r="AF2219" s="245"/>
      <c r="AG2219" s="245"/>
    </row>
    <row r="2220" spans="1:33" ht="26.4">
      <c r="A2220" s="246"/>
      <c r="B2220" s="245"/>
      <c r="C2220" s="245"/>
      <c r="D2220" s="245"/>
      <c r="E2220" s="245"/>
      <c r="F2220" s="187"/>
      <c r="G2220" s="245"/>
      <c r="H2220" s="245"/>
      <c r="I2220" s="245"/>
      <c r="P2220" s="366"/>
      <c r="R2220" s="355"/>
      <c r="T2220" s="324"/>
      <c r="U2220" s="85" ph="1"/>
      <c r="W2220" s="216"/>
      <c r="X2220" s="245"/>
      <c r="Y2220" s="187"/>
      <c r="Z2220" s="245"/>
      <c r="AA2220" s="245"/>
      <c r="AB2220" s="332"/>
      <c r="AD2220" s="245"/>
      <c r="AE2220" s="245"/>
      <c r="AF2220" s="245"/>
      <c r="AG2220" s="245"/>
    </row>
    <row r="2221" spans="1:33" ht="26.4">
      <c r="A2221" s="246"/>
      <c r="B2221" s="245"/>
      <c r="C2221" s="245"/>
      <c r="D2221" s="245"/>
      <c r="E2221" s="245"/>
      <c r="F2221" s="187"/>
      <c r="G2221" s="245"/>
      <c r="H2221" s="245"/>
      <c r="I2221" s="245"/>
      <c r="P2221" s="366"/>
      <c r="R2221" s="355"/>
      <c r="T2221" s="324"/>
      <c r="U2221" s="85" ph="1"/>
      <c r="W2221" s="216"/>
      <c r="X2221" s="245"/>
      <c r="Y2221" s="187"/>
      <c r="Z2221" s="245"/>
      <c r="AA2221" s="245"/>
      <c r="AB2221" s="332"/>
      <c r="AD2221" s="245"/>
      <c r="AE2221" s="245"/>
      <c r="AF2221" s="245"/>
      <c r="AG2221" s="245"/>
    </row>
    <row r="2222" spans="1:33" ht="26.4">
      <c r="A2222" s="246"/>
      <c r="B2222" s="245"/>
      <c r="C2222" s="245"/>
      <c r="D2222" s="245"/>
      <c r="E2222" s="245"/>
      <c r="F2222" s="187"/>
      <c r="G2222" s="245"/>
      <c r="H2222" s="245"/>
      <c r="I2222" s="245"/>
      <c r="P2222" s="366"/>
      <c r="R2222" s="355"/>
      <c r="T2222" s="324"/>
      <c r="U2222" s="85" ph="1"/>
      <c r="W2222" s="216"/>
      <c r="X2222" s="245"/>
      <c r="Y2222" s="187"/>
      <c r="Z2222" s="245"/>
      <c r="AA2222" s="245"/>
      <c r="AB2222" s="332"/>
      <c r="AD2222" s="245"/>
      <c r="AE2222" s="245"/>
      <c r="AF2222" s="245"/>
      <c r="AG2222" s="245"/>
    </row>
    <row r="2223" spans="1:33" ht="26.4">
      <c r="A2223" s="246"/>
      <c r="B2223" s="245"/>
      <c r="C2223" s="245"/>
      <c r="D2223" s="245"/>
      <c r="E2223" s="245"/>
      <c r="F2223" s="187"/>
      <c r="G2223" s="245"/>
      <c r="H2223" s="245"/>
      <c r="I2223" s="245"/>
      <c r="P2223" s="366"/>
      <c r="R2223" s="355"/>
      <c r="T2223" s="324"/>
      <c r="U2223" s="85" ph="1"/>
      <c r="W2223" s="216"/>
      <c r="X2223" s="245"/>
      <c r="Y2223" s="187"/>
      <c r="Z2223" s="245"/>
      <c r="AA2223" s="245"/>
      <c r="AB2223" s="332"/>
      <c r="AD2223" s="245"/>
      <c r="AE2223" s="245"/>
      <c r="AF2223" s="245"/>
      <c r="AG2223" s="245"/>
    </row>
    <row r="2224" spans="1:33" ht="26.4">
      <c r="A2224" s="246"/>
      <c r="B2224" s="245"/>
      <c r="C2224" s="245"/>
      <c r="D2224" s="245"/>
      <c r="E2224" s="245"/>
      <c r="F2224" s="187"/>
      <c r="G2224" s="245"/>
      <c r="H2224" s="245"/>
      <c r="I2224" s="245"/>
      <c r="P2224" s="366"/>
      <c r="R2224" s="355"/>
      <c r="T2224" s="324"/>
      <c r="U2224" s="85" ph="1"/>
      <c r="W2224" s="216"/>
      <c r="X2224" s="245"/>
      <c r="Y2224" s="187"/>
      <c r="Z2224" s="245"/>
      <c r="AA2224" s="245"/>
      <c r="AB2224" s="332"/>
      <c r="AD2224" s="245"/>
      <c r="AE2224" s="245"/>
      <c r="AF2224" s="245"/>
      <c r="AG2224" s="245"/>
    </row>
    <row r="2225" spans="1:33" ht="26.4">
      <c r="A2225" s="246"/>
      <c r="B2225" s="245"/>
      <c r="C2225" s="245"/>
      <c r="D2225" s="245"/>
      <c r="E2225" s="245"/>
      <c r="F2225" s="187"/>
      <c r="G2225" s="245"/>
      <c r="H2225" s="245"/>
      <c r="I2225" s="245"/>
      <c r="P2225" s="366"/>
      <c r="R2225" s="355"/>
      <c r="T2225" s="324"/>
      <c r="U2225" s="85" ph="1"/>
      <c r="W2225" s="216"/>
      <c r="X2225" s="245"/>
      <c r="Y2225" s="187"/>
      <c r="Z2225" s="245"/>
      <c r="AA2225" s="245"/>
      <c r="AB2225" s="332"/>
      <c r="AD2225" s="245"/>
      <c r="AE2225" s="245"/>
      <c r="AF2225" s="245"/>
      <c r="AG2225" s="245"/>
    </row>
    <row r="2226" spans="1:33" ht="26.4">
      <c r="A2226" s="246"/>
      <c r="B2226" s="245"/>
      <c r="C2226" s="245"/>
      <c r="D2226" s="245"/>
      <c r="E2226" s="245"/>
      <c r="F2226" s="187"/>
      <c r="G2226" s="245"/>
      <c r="H2226" s="245"/>
      <c r="I2226" s="245"/>
      <c r="P2226" s="366"/>
      <c r="R2226" s="355"/>
      <c r="T2226" s="324"/>
      <c r="U2226" s="85" ph="1"/>
      <c r="W2226" s="216"/>
      <c r="X2226" s="245"/>
      <c r="Y2226" s="187"/>
      <c r="Z2226" s="245"/>
      <c r="AA2226" s="245"/>
      <c r="AB2226" s="332"/>
      <c r="AD2226" s="245"/>
      <c r="AE2226" s="245"/>
      <c r="AF2226" s="245"/>
      <c r="AG2226" s="245"/>
    </row>
    <row r="2227" spans="1:33" ht="26.4">
      <c r="A2227" s="246"/>
      <c r="B2227" s="245"/>
      <c r="C2227" s="245"/>
      <c r="D2227" s="245"/>
      <c r="E2227" s="245"/>
      <c r="F2227" s="187"/>
      <c r="G2227" s="245"/>
      <c r="H2227" s="245"/>
      <c r="I2227" s="245"/>
      <c r="P2227" s="366"/>
      <c r="R2227" s="355"/>
      <c r="T2227" s="324"/>
      <c r="U2227" s="85" ph="1"/>
      <c r="W2227" s="216"/>
      <c r="X2227" s="245"/>
      <c r="Y2227" s="187"/>
      <c r="Z2227" s="245"/>
      <c r="AA2227" s="245"/>
      <c r="AB2227" s="332"/>
      <c r="AD2227" s="245"/>
      <c r="AE2227" s="245"/>
      <c r="AF2227" s="245"/>
      <c r="AG2227" s="245"/>
    </row>
    <row r="2228" spans="1:33" ht="26.4">
      <c r="A2228" s="246"/>
      <c r="B2228" s="245"/>
      <c r="C2228" s="245"/>
      <c r="D2228" s="245"/>
      <c r="E2228" s="245"/>
      <c r="F2228" s="187"/>
      <c r="G2228" s="245"/>
      <c r="H2228" s="245"/>
      <c r="I2228" s="245"/>
      <c r="P2228" s="366"/>
      <c r="R2228" s="355"/>
      <c r="T2228" s="324"/>
      <c r="U2228" s="85" ph="1"/>
      <c r="W2228" s="216"/>
      <c r="X2228" s="245"/>
      <c r="Y2228" s="187"/>
      <c r="Z2228" s="245"/>
      <c r="AA2228" s="245"/>
      <c r="AB2228" s="332"/>
      <c r="AD2228" s="245"/>
      <c r="AE2228" s="245"/>
      <c r="AF2228" s="245"/>
      <c r="AG2228" s="245"/>
    </row>
    <row r="2229" spans="1:33" ht="26.4">
      <c r="A2229" s="246"/>
      <c r="B2229" s="245"/>
      <c r="C2229" s="245"/>
      <c r="D2229" s="245"/>
      <c r="E2229" s="245"/>
      <c r="F2229" s="187"/>
      <c r="G2229" s="245"/>
      <c r="H2229" s="245"/>
      <c r="I2229" s="245"/>
      <c r="P2229" s="366"/>
      <c r="R2229" s="355"/>
      <c r="T2229" s="324"/>
      <c r="U2229" s="85" ph="1"/>
      <c r="W2229" s="216"/>
      <c r="X2229" s="245"/>
      <c r="Y2229" s="187"/>
      <c r="Z2229" s="245"/>
      <c r="AA2229" s="245"/>
      <c r="AB2229" s="332"/>
      <c r="AD2229" s="245"/>
      <c r="AE2229" s="245"/>
      <c r="AF2229" s="245"/>
      <c r="AG2229" s="245"/>
    </row>
    <row r="2230" spans="1:33" ht="26.4">
      <c r="A2230" s="246"/>
      <c r="B2230" s="245"/>
      <c r="C2230" s="245"/>
      <c r="D2230" s="245"/>
      <c r="E2230" s="245"/>
      <c r="F2230" s="187"/>
      <c r="G2230" s="245"/>
      <c r="H2230" s="245"/>
      <c r="I2230" s="245"/>
      <c r="P2230" s="366"/>
      <c r="R2230" s="355"/>
      <c r="T2230" s="324"/>
      <c r="U2230" s="85" ph="1"/>
      <c r="W2230" s="216"/>
      <c r="X2230" s="245"/>
      <c r="Y2230" s="187"/>
      <c r="Z2230" s="245"/>
      <c r="AA2230" s="245"/>
      <c r="AB2230" s="332"/>
      <c r="AD2230" s="245"/>
      <c r="AE2230" s="245"/>
      <c r="AF2230" s="245"/>
      <c r="AG2230" s="245"/>
    </row>
    <row r="2231" spans="1:33" ht="26.4">
      <c r="A2231" s="246"/>
      <c r="B2231" s="245"/>
      <c r="C2231" s="245"/>
      <c r="D2231" s="245"/>
      <c r="E2231" s="245"/>
      <c r="F2231" s="187"/>
      <c r="G2231" s="245"/>
      <c r="H2231" s="245"/>
      <c r="I2231" s="245"/>
      <c r="P2231" s="366"/>
      <c r="R2231" s="355"/>
      <c r="T2231" s="324"/>
      <c r="U2231" s="85" ph="1"/>
      <c r="W2231" s="216"/>
      <c r="X2231" s="245"/>
      <c r="Y2231" s="187"/>
      <c r="Z2231" s="245"/>
      <c r="AA2231" s="245"/>
      <c r="AB2231" s="332"/>
      <c r="AD2231" s="245"/>
      <c r="AE2231" s="245"/>
      <c r="AF2231" s="245"/>
      <c r="AG2231" s="245"/>
    </row>
    <row r="2232" spans="1:33" ht="26.4">
      <c r="A2232" s="246"/>
      <c r="B2232" s="245"/>
      <c r="C2232" s="245"/>
      <c r="D2232" s="245"/>
      <c r="E2232" s="245"/>
      <c r="F2232" s="187"/>
      <c r="G2232" s="245"/>
      <c r="H2232" s="245"/>
      <c r="I2232" s="245"/>
      <c r="P2232" s="366"/>
      <c r="R2232" s="355"/>
      <c r="T2232" s="324"/>
      <c r="U2232" s="85" ph="1"/>
      <c r="W2232" s="216"/>
      <c r="X2232" s="245"/>
      <c r="Y2232" s="187"/>
      <c r="Z2232" s="245"/>
      <c r="AA2232" s="245"/>
      <c r="AB2232" s="332"/>
      <c r="AD2232" s="245"/>
      <c r="AE2232" s="245"/>
      <c r="AF2232" s="245"/>
      <c r="AG2232" s="245"/>
    </row>
    <row r="2233" spans="1:33" ht="26.4">
      <c r="A2233" s="246"/>
      <c r="B2233" s="245"/>
      <c r="C2233" s="245"/>
      <c r="D2233" s="245"/>
      <c r="E2233" s="245"/>
      <c r="F2233" s="187"/>
      <c r="G2233" s="245"/>
      <c r="H2233" s="245"/>
      <c r="I2233" s="245"/>
      <c r="P2233" s="366"/>
      <c r="R2233" s="355"/>
      <c r="T2233" s="324"/>
      <c r="U2233" s="85" ph="1"/>
      <c r="W2233" s="216"/>
      <c r="X2233" s="245"/>
      <c r="Y2233" s="187"/>
      <c r="Z2233" s="245"/>
      <c r="AA2233" s="245"/>
      <c r="AB2233" s="332"/>
      <c r="AD2233" s="245"/>
      <c r="AE2233" s="245"/>
      <c r="AF2233" s="245"/>
      <c r="AG2233" s="245"/>
    </row>
    <row r="2234" spans="1:33" ht="26.4">
      <c r="A2234" s="246"/>
      <c r="B2234" s="245"/>
      <c r="C2234" s="245"/>
      <c r="D2234" s="245"/>
      <c r="E2234" s="245"/>
      <c r="F2234" s="187"/>
      <c r="G2234" s="245"/>
      <c r="H2234" s="245"/>
      <c r="I2234" s="245"/>
      <c r="P2234" s="366"/>
      <c r="R2234" s="355"/>
      <c r="T2234" s="324"/>
      <c r="U2234" s="85" ph="1"/>
      <c r="W2234" s="216"/>
      <c r="X2234" s="245"/>
      <c r="Y2234" s="187"/>
      <c r="Z2234" s="245"/>
      <c r="AA2234" s="245"/>
      <c r="AB2234" s="332"/>
      <c r="AD2234" s="245"/>
      <c r="AE2234" s="245"/>
      <c r="AF2234" s="245"/>
      <c r="AG2234" s="245"/>
    </row>
    <row r="2235" spans="1:33" ht="26.4">
      <c r="A2235" s="246"/>
      <c r="B2235" s="245"/>
      <c r="C2235" s="245"/>
      <c r="D2235" s="245"/>
      <c r="E2235" s="245"/>
      <c r="F2235" s="187"/>
      <c r="G2235" s="245"/>
      <c r="H2235" s="245"/>
      <c r="I2235" s="245"/>
      <c r="P2235" s="366"/>
      <c r="R2235" s="355"/>
      <c r="T2235" s="324"/>
      <c r="U2235" s="85" ph="1"/>
      <c r="W2235" s="216"/>
      <c r="X2235" s="245"/>
      <c r="Y2235" s="187"/>
      <c r="Z2235" s="245"/>
      <c r="AA2235" s="245"/>
      <c r="AB2235" s="332"/>
      <c r="AD2235" s="245"/>
      <c r="AE2235" s="245"/>
      <c r="AF2235" s="245"/>
      <c r="AG2235" s="245"/>
    </row>
    <row r="2236" spans="1:33" ht="26.4">
      <c r="A2236" s="246"/>
      <c r="B2236" s="245"/>
      <c r="C2236" s="245"/>
      <c r="D2236" s="245"/>
      <c r="E2236" s="245"/>
      <c r="F2236" s="187"/>
      <c r="G2236" s="245"/>
      <c r="H2236" s="245"/>
      <c r="I2236" s="245"/>
      <c r="P2236" s="366"/>
      <c r="R2236" s="355"/>
      <c r="T2236" s="324"/>
      <c r="U2236" s="85" ph="1"/>
      <c r="W2236" s="216"/>
      <c r="X2236" s="245"/>
      <c r="Y2236" s="187"/>
      <c r="Z2236" s="245"/>
      <c r="AA2236" s="245"/>
      <c r="AB2236" s="332"/>
      <c r="AD2236" s="245"/>
      <c r="AE2236" s="245"/>
      <c r="AF2236" s="245"/>
      <c r="AG2236" s="245"/>
    </row>
    <row r="2237" spans="1:33" ht="26.4">
      <c r="A2237" s="246"/>
      <c r="B2237" s="245"/>
      <c r="C2237" s="245"/>
      <c r="D2237" s="245"/>
      <c r="E2237" s="245"/>
      <c r="F2237" s="187"/>
      <c r="G2237" s="245"/>
      <c r="H2237" s="245"/>
      <c r="I2237" s="245"/>
      <c r="P2237" s="366"/>
      <c r="R2237" s="355"/>
      <c r="T2237" s="324"/>
      <c r="U2237" s="85" ph="1"/>
      <c r="W2237" s="216"/>
      <c r="X2237" s="245"/>
      <c r="Y2237" s="187"/>
      <c r="Z2237" s="245"/>
      <c r="AA2237" s="245"/>
      <c r="AB2237" s="332"/>
      <c r="AD2237" s="245"/>
      <c r="AE2237" s="245"/>
      <c r="AF2237" s="245"/>
      <c r="AG2237" s="245"/>
    </row>
    <row r="2238" spans="1:33" ht="26.4">
      <c r="A2238" s="246"/>
      <c r="B2238" s="245"/>
      <c r="C2238" s="245"/>
      <c r="D2238" s="245"/>
      <c r="E2238" s="245"/>
      <c r="F2238" s="187"/>
      <c r="G2238" s="245"/>
      <c r="H2238" s="245"/>
      <c r="I2238" s="245"/>
      <c r="P2238" s="366"/>
      <c r="R2238" s="355"/>
      <c r="T2238" s="324"/>
      <c r="U2238" s="85" ph="1"/>
      <c r="W2238" s="216"/>
      <c r="X2238" s="245"/>
      <c r="Y2238" s="187"/>
      <c r="Z2238" s="245"/>
      <c r="AA2238" s="245"/>
      <c r="AB2238" s="332"/>
      <c r="AD2238" s="245"/>
      <c r="AE2238" s="245"/>
      <c r="AF2238" s="245"/>
      <c r="AG2238" s="245"/>
    </row>
    <row r="2239" spans="1:33" ht="26.4">
      <c r="A2239" s="246"/>
      <c r="B2239" s="245"/>
      <c r="C2239" s="245"/>
      <c r="D2239" s="245"/>
      <c r="E2239" s="245"/>
      <c r="F2239" s="187"/>
      <c r="G2239" s="245"/>
      <c r="H2239" s="245"/>
      <c r="I2239" s="245"/>
      <c r="P2239" s="366"/>
      <c r="R2239" s="355"/>
      <c r="T2239" s="324"/>
      <c r="U2239" s="85" ph="1"/>
      <c r="W2239" s="216"/>
      <c r="X2239" s="245"/>
      <c r="Y2239" s="187"/>
      <c r="Z2239" s="245"/>
      <c r="AA2239" s="245"/>
      <c r="AB2239" s="332"/>
      <c r="AD2239" s="245"/>
      <c r="AE2239" s="245"/>
      <c r="AF2239" s="245"/>
      <c r="AG2239" s="245"/>
    </row>
    <row r="2240" spans="1:33" ht="26.4">
      <c r="A2240" s="246"/>
      <c r="B2240" s="245"/>
      <c r="C2240" s="245"/>
      <c r="D2240" s="245"/>
      <c r="E2240" s="245"/>
      <c r="F2240" s="187"/>
      <c r="G2240" s="245"/>
      <c r="H2240" s="245"/>
      <c r="I2240" s="245"/>
      <c r="P2240" s="366"/>
      <c r="R2240" s="355"/>
      <c r="T2240" s="324"/>
      <c r="U2240" s="85" ph="1"/>
      <c r="W2240" s="216"/>
      <c r="X2240" s="245"/>
      <c r="Y2240" s="187"/>
      <c r="Z2240" s="245"/>
      <c r="AA2240" s="245"/>
      <c r="AB2240" s="332"/>
      <c r="AD2240" s="245"/>
      <c r="AE2240" s="245"/>
      <c r="AF2240" s="245"/>
      <c r="AG2240" s="245"/>
    </row>
    <row r="2241" spans="1:33" ht="26.4">
      <c r="A2241" s="246"/>
      <c r="B2241" s="245"/>
      <c r="C2241" s="245"/>
      <c r="D2241" s="245"/>
      <c r="E2241" s="245"/>
      <c r="F2241" s="187"/>
      <c r="G2241" s="245"/>
      <c r="H2241" s="245"/>
      <c r="I2241" s="245"/>
      <c r="P2241" s="366"/>
      <c r="R2241" s="355"/>
      <c r="T2241" s="324"/>
      <c r="U2241" s="85" ph="1"/>
      <c r="W2241" s="216"/>
      <c r="X2241" s="245"/>
      <c r="Y2241" s="187"/>
      <c r="Z2241" s="245"/>
      <c r="AA2241" s="245"/>
      <c r="AB2241" s="332"/>
      <c r="AD2241" s="245"/>
      <c r="AE2241" s="245"/>
      <c r="AF2241" s="245"/>
      <c r="AG2241" s="245"/>
    </row>
    <row r="2242" spans="1:33" ht="26.4">
      <c r="A2242" s="246"/>
      <c r="B2242" s="245"/>
      <c r="C2242" s="245"/>
      <c r="D2242" s="245"/>
      <c r="E2242" s="245"/>
      <c r="F2242" s="187"/>
      <c r="G2242" s="245"/>
      <c r="H2242" s="245"/>
      <c r="I2242" s="245"/>
      <c r="P2242" s="366"/>
      <c r="R2242" s="355"/>
      <c r="T2242" s="324"/>
      <c r="U2242" s="85" ph="1"/>
      <c r="W2242" s="216"/>
      <c r="X2242" s="245"/>
      <c r="Y2242" s="187"/>
      <c r="Z2242" s="245"/>
      <c r="AA2242" s="245"/>
      <c r="AB2242" s="332"/>
      <c r="AD2242" s="245"/>
      <c r="AE2242" s="245"/>
      <c r="AF2242" s="245"/>
      <c r="AG2242" s="245"/>
    </row>
    <row r="2243" spans="1:33" ht="26.4">
      <c r="A2243" s="246"/>
      <c r="B2243" s="245"/>
      <c r="C2243" s="245"/>
      <c r="D2243" s="245"/>
      <c r="E2243" s="245"/>
      <c r="F2243" s="187"/>
      <c r="G2243" s="245"/>
      <c r="H2243" s="245"/>
      <c r="I2243" s="245"/>
      <c r="P2243" s="366"/>
      <c r="R2243" s="355"/>
      <c r="T2243" s="324"/>
      <c r="U2243" s="85" ph="1"/>
      <c r="W2243" s="216"/>
      <c r="X2243" s="245"/>
      <c r="Y2243" s="187"/>
      <c r="Z2243" s="245"/>
      <c r="AA2243" s="245"/>
      <c r="AB2243" s="332"/>
      <c r="AD2243" s="245"/>
      <c r="AE2243" s="245"/>
      <c r="AF2243" s="245"/>
      <c r="AG2243" s="245"/>
    </row>
    <row r="2244" spans="1:33" ht="26.4">
      <c r="A2244" s="246"/>
      <c r="B2244" s="245"/>
      <c r="C2244" s="245"/>
      <c r="D2244" s="245"/>
      <c r="E2244" s="245"/>
      <c r="F2244" s="187"/>
      <c r="G2244" s="245"/>
      <c r="H2244" s="245"/>
      <c r="I2244" s="245"/>
      <c r="P2244" s="366"/>
      <c r="R2244" s="355"/>
      <c r="T2244" s="324"/>
      <c r="U2244" s="85" ph="1"/>
      <c r="W2244" s="216"/>
      <c r="X2244" s="245"/>
      <c r="Y2244" s="187"/>
      <c r="Z2244" s="245"/>
      <c r="AA2244" s="245"/>
      <c r="AB2244" s="332"/>
      <c r="AD2244" s="245"/>
      <c r="AE2244" s="245"/>
      <c r="AF2244" s="245"/>
      <c r="AG2244" s="245"/>
    </row>
    <row r="2245" spans="1:33" ht="26.4">
      <c r="A2245" s="246"/>
      <c r="B2245" s="245"/>
      <c r="C2245" s="245"/>
      <c r="D2245" s="245"/>
      <c r="E2245" s="245"/>
      <c r="F2245" s="187"/>
      <c r="G2245" s="245"/>
      <c r="H2245" s="245"/>
      <c r="I2245" s="245"/>
      <c r="P2245" s="366"/>
      <c r="R2245" s="355"/>
      <c r="T2245" s="324"/>
      <c r="U2245" s="85" ph="1"/>
      <c r="W2245" s="216"/>
      <c r="X2245" s="245"/>
      <c r="Y2245" s="187"/>
      <c r="Z2245" s="245"/>
      <c r="AA2245" s="245"/>
      <c r="AB2245" s="332"/>
      <c r="AD2245" s="245"/>
      <c r="AE2245" s="245"/>
      <c r="AF2245" s="245"/>
      <c r="AG2245" s="245"/>
    </row>
    <row r="2246" spans="1:33" ht="26.4">
      <c r="A2246" s="246"/>
      <c r="B2246" s="245"/>
      <c r="C2246" s="245"/>
      <c r="D2246" s="245"/>
      <c r="E2246" s="245"/>
      <c r="F2246" s="187"/>
      <c r="G2246" s="245"/>
      <c r="H2246" s="245"/>
      <c r="I2246" s="245"/>
      <c r="P2246" s="366"/>
      <c r="R2246" s="355"/>
      <c r="T2246" s="324"/>
      <c r="U2246" s="85" ph="1"/>
      <c r="W2246" s="216"/>
      <c r="X2246" s="245"/>
      <c r="Y2246" s="187"/>
      <c r="Z2246" s="245"/>
      <c r="AA2246" s="245"/>
      <c r="AB2246" s="332"/>
      <c r="AD2246" s="245"/>
      <c r="AE2246" s="245"/>
      <c r="AF2246" s="245"/>
      <c r="AG2246" s="245"/>
    </row>
    <row r="2247" spans="1:33" ht="26.4">
      <c r="A2247" s="246"/>
      <c r="B2247" s="245"/>
      <c r="C2247" s="245"/>
      <c r="D2247" s="245"/>
      <c r="E2247" s="245"/>
      <c r="F2247" s="187"/>
      <c r="G2247" s="245"/>
      <c r="H2247" s="245"/>
      <c r="I2247" s="245"/>
      <c r="P2247" s="366"/>
      <c r="R2247" s="355"/>
      <c r="T2247" s="324"/>
      <c r="U2247" s="85" ph="1"/>
      <c r="W2247" s="216"/>
      <c r="X2247" s="245"/>
      <c r="Y2247" s="187"/>
      <c r="Z2247" s="245"/>
      <c r="AA2247" s="245"/>
      <c r="AB2247" s="332"/>
      <c r="AD2247" s="245"/>
      <c r="AE2247" s="245"/>
      <c r="AF2247" s="245"/>
      <c r="AG2247" s="245"/>
    </row>
    <row r="2248" spans="1:33" ht="26.4">
      <c r="A2248" s="246"/>
      <c r="B2248" s="245"/>
      <c r="C2248" s="245"/>
      <c r="D2248" s="245"/>
      <c r="E2248" s="245"/>
      <c r="F2248" s="187"/>
      <c r="G2248" s="245"/>
      <c r="H2248" s="245"/>
      <c r="I2248" s="245"/>
      <c r="P2248" s="366"/>
      <c r="R2248" s="355"/>
      <c r="T2248" s="324"/>
      <c r="U2248" s="85" ph="1"/>
      <c r="W2248" s="216"/>
      <c r="X2248" s="245"/>
      <c r="Y2248" s="187"/>
      <c r="Z2248" s="245"/>
      <c r="AA2248" s="245"/>
      <c r="AB2248" s="332"/>
      <c r="AD2248" s="245"/>
      <c r="AE2248" s="245"/>
      <c r="AF2248" s="245"/>
      <c r="AG2248" s="245"/>
    </row>
    <row r="2249" spans="1:33" ht="26.4">
      <c r="A2249" s="246"/>
      <c r="B2249" s="245"/>
      <c r="C2249" s="245"/>
      <c r="D2249" s="245"/>
      <c r="E2249" s="245"/>
      <c r="F2249" s="187"/>
      <c r="G2249" s="245"/>
      <c r="H2249" s="245"/>
      <c r="I2249" s="245"/>
      <c r="P2249" s="366"/>
      <c r="R2249" s="355"/>
      <c r="T2249" s="324"/>
      <c r="U2249" s="85" ph="1"/>
      <c r="W2249" s="216"/>
      <c r="X2249" s="245"/>
      <c r="Y2249" s="187"/>
      <c r="Z2249" s="245"/>
      <c r="AA2249" s="245"/>
      <c r="AB2249" s="332"/>
      <c r="AD2249" s="245"/>
      <c r="AE2249" s="245"/>
      <c r="AF2249" s="245"/>
      <c r="AG2249" s="245"/>
    </row>
    <row r="2250" spans="1:33" ht="26.4">
      <c r="A2250" s="246"/>
      <c r="B2250" s="245"/>
      <c r="C2250" s="245"/>
      <c r="D2250" s="245"/>
      <c r="E2250" s="245"/>
      <c r="F2250" s="187"/>
      <c r="G2250" s="245"/>
      <c r="H2250" s="245"/>
      <c r="I2250" s="245"/>
      <c r="P2250" s="366"/>
      <c r="R2250" s="355"/>
      <c r="T2250" s="324"/>
      <c r="U2250" s="85" ph="1"/>
      <c r="W2250" s="216"/>
      <c r="X2250" s="245"/>
      <c r="Y2250" s="187"/>
      <c r="Z2250" s="245"/>
      <c r="AA2250" s="245"/>
      <c r="AB2250" s="332"/>
      <c r="AD2250" s="245"/>
      <c r="AE2250" s="245"/>
      <c r="AF2250" s="245"/>
      <c r="AG2250" s="245"/>
    </row>
    <row r="2251" spans="1:33" ht="26.4">
      <c r="A2251" s="246"/>
      <c r="B2251" s="245"/>
      <c r="C2251" s="245"/>
      <c r="D2251" s="245"/>
      <c r="E2251" s="245"/>
      <c r="F2251" s="187"/>
      <c r="G2251" s="245"/>
      <c r="H2251" s="245"/>
      <c r="I2251" s="245"/>
      <c r="P2251" s="366"/>
      <c r="R2251" s="355"/>
      <c r="T2251" s="324"/>
      <c r="U2251" s="85" ph="1"/>
      <c r="W2251" s="216"/>
      <c r="X2251" s="245"/>
      <c r="Y2251" s="187"/>
      <c r="Z2251" s="245"/>
      <c r="AA2251" s="245"/>
      <c r="AB2251" s="332"/>
      <c r="AD2251" s="245"/>
      <c r="AE2251" s="245"/>
      <c r="AF2251" s="245"/>
      <c r="AG2251" s="245"/>
    </row>
    <row r="2252" spans="1:33" ht="26.4">
      <c r="A2252" s="246"/>
      <c r="B2252" s="245"/>
      <c r="C2252" s="245"/>
      <c r="D2252" s="245"/>
      <c r="E2252" s="245"/>
      <c r="F2252" s="187"/>
      <c r="G2252" s="245"/>
      <c r="H2252" s="245"/>
      <c r="I2252" s="245"/>
      <c r="P2252" s="366"/>
      <c r="R2252" s="355"/>
      <c r="T2252" s="324"/>
      <c r="U2252" s="85" ph="1"/>
      <c r="W2252" s="216"/>
      <c r="X2252" s="245"/>
      <c r="Y2252" s="187"/>
      <c r="Z2252" s="245"/>
      <c r="AA2252" s="245"/>
      <c r="AB2252" s="332"/>
      <c r="AD2252" s="245"/>
      <c r="AE2252" s="245"/>
      <c r="AF2252" s="245"/>
      <c r="AG2252" s="245"/>
    </row>
    <row r="2253" spans="1:33" ht="26.4">
      <c r="A2253" s="246"/>
      <c r="B2253" s="245"/>
      <c r="C2253" s="245"/>
      <c r="D2253" s="245"/>
      <c r="E2253" s="245"/>
      <c r="F2253" s="187"/>
      <c r="G2253" s="245"/>
      <c r="H2253" s="245"/>
      <c r="I2253" s="245"/>
      <c r="P2253" s="366"/>
      <c r="R2253" s="355"/>
      <c r="T2253" s="324"/>
      <c r="U2253" s="85" ph="1"/>
      <c r="W2253" s="216"/>
      <c r="X2253" s="245"/>
      <c r="Y2253" s="187"/>
      <c r="Z2253" s="245"/>
      <c r="AA2253" s="245"/>
      <c r="AB2253" s="332"/>
      <c r="AD2253" s="245"/>
      <c r="AE2253" s="245"/>
      <c r="AF2253" s="245"/>
      <c r="AG2253" s="245"/>
    </row>
    <row r="2254" spans="1:33" ht="26.4">
      <c r="A2254" s="246"/>
      <c r="B2254" s="245"/>
      <c r="C2254" s="245"/>
      <c r="D2254" s="245"/>
      <c r="E2254" s="245"/>
      <c r="F2254" s="187"/>
      <c r="G2254" s="245"/>
      <c r="H2254" s="245"/>
      <c r="I2254" s="245"/>
      <c r="P2254" s="366"/>
      <c r="R2254" s="355"/>
      <c r="T2254" s="324"/>
      <c r="U2254" s="85" ph="1"/>
      <c r="W2254" s="216"/>
      <c r="X2254" s="245"/>
      <c r="Y2254" s="187"/>
      <c r="Z2254" s="245"/>
      <c r="AA2254" s="245"/>
      <c r="AB2254" s="332"/>
      <c r="AD2254" s="245"/>
      <c r="AE2254" s="245"/>
      <c r="AF2254" s="245"/>
      <c r="AG2254" s="245"/>
    </row>
    <row r="2255" spans="1:33" ht="26.4">
      <c r="A2255" s="246"/>
      <c r="B2255" s="245"/>
      <c r="C2255" s="245"/>
      <c r="D2255" s="245"/>
      <c r="E2255" s="245"/>
      <c r="F2255" s="187"/>
      <c r="G2255" s="245"/>
      <c r="H2255" s="245"/>
      <c r="I2255" s="245"/>
      <c r="P2255" s="366"/>
      <c r="R2255" s="355"/>
      <c r="T2255" s="324"/>
      <c r="U2255" s="85" ph="1"/>
      <c r="W2255" s="216"/>
      <c r="X2255" s="245"/>
      <c r="Y2255" s="187"/>
      <c r="Z2255" s="245"/>
      <c r="AA2255" s="245"/>
      <c r="AB2255" s="332"/>
      <c r="AD2255" s="245"/>
      <c r="AE2255" s="245"/>
      <c r="AF2255" s="245"/>
      <c r="AG2255" s="245"/>
    </row>
    <row r="2256" spans="1:33" ht="26.4">
      <c r="A2256" s="246"/>
      <c r="B2256" s="245"/>
      <c r="C2256" s="245"/>
      <c r="D2256" s="245"/>
      <c r="E2256" s="245"/>
      <c r="F2256" s="187"/>
      <c r="G2256" s="245"/>
      <c r="H2256" s="245"/>
      <c r="I2256" s="245"/>
      <c r="P2256" s="366"/>
      <c r="R2256" s="355"/>
      <c r="T2256" s="324"/>
      <c r="U2256" s="85" ph="1"/>
      <c r="W2256" s="216"/>
      <c r="X2256" s="245"/>
      <c r="Y2256" s="187"/>
      <c r="Z2256" s="245"/>
      <c r="AA2256" s="245"/>
      <c r="AB2256" s="332"/>
      <c r="AD2256" s="245"/>
      <c r="AE2256" s="245"/>
      <c r="AF2256" s="245"/>
      <c r="AG2256" s="245"/>
    </row>
    <row r="2257" spans="1:33" ht="26.4">
      <c r="A2257" s="246"/>
      <c r="B2257" s="245"/>
      <c r="C2257" s="245"/>
      <c r="D2257" s="245"/>
      <c r="E2257" s="245"/>
      <c r="F2257" s="187"/>
      <c r="G2257" s="245"/>
      <c r="H2257" s="245"/>
      <c r="I2257" s="245"/>
      <c r="P2257" s="366"/>
      <c r="R2257" s="355"/>
      <c r="T2257" s="324"/>
      <c r="U2257" s="85" ph="1"/>
      <c r="W2257" s="216"/>
      <c r="X2257" s="245"/>
      <c r="Y2257" s="187"/>
      <c r="Z2257" s="245"/>
      <c r="AA2257" s="245"/>
      <c r="AB2257" s="332"/>
      <c r="AD2257" s="245"/>
      <c r="AE2257" s="245"/>
      <c r="AF2257" s="245"/>
      <c r="AG2257" s="245"/>
    </row>
    <row r="2258" spans="1:33" ht="26.4">
      <c r="A2258" s="246"/>
      <c r="B2258" s="245"/>
      <c r="C2258" s="245"/>
      <c r="D2258" s="245"/>
      <c r="E2258" s="245"/>
      <c r="F2258" s="187"/>
      <c r="G2258" s="245"/>
      <c r="H2258" s="245"/>
      <c r="I2258" s="245"/>
      <c r="P2258" s="366"/>
      <c r="R2258" s="355"/>
      <c r="T2258" s="324"/>
      <c r="U2258" s="85" ph="1"/>
      <c r="W2258" s="216"/>
      <c r="X2258" s="245"/>
      <c r="Y2258" s="187"/>
      <c r="Z2258" s="245"/>
      <c r="AA2258" s="245"/>
      <c r="AB2258" s="332"/>
      <c r="AD2258" s="245"/>
      <c r="AE2258" s="245"/>
      <c r="AF2258" s="245"/>
      <c r="AG2258" s="245"/>
    </row>
    <row r="2259" spans="1:33" ht="26.4">
      <c r="A2259" s="246"/>
      <c r="B2259" s="245"/>
      <c r="C2259" s="245"/>
      <c r="D2259" s="245"/>
      <c r="E2259" s="245"/>
      <c r="F2259" s="187"/>
      <c r="G2259" s="245"/>
      <c r="H2259" s="245"/>
      <c r="I2259" s="245"/>
      <c r="P2259" s="366"/>
      <c r="R2259" s="355"/>
      <c r="T2259" s="324"/>
      <c r="U2259" s="85" ph="1"/>
      <c r="W2259" s="216"/>
      <c r="X2259" s="245"/>
      <c r="Y2259" s="187"/>
      <c r="Z2259" s="245"/>
      <c r="AA2259" s="245"/>
      <c r="AB2259" s="332"/>
      <c r="AD2259" s="245"/>
      <c r="AE2259" s="245"/>
      <c r="AF2259" s="245"/>
      <c r="AG2259" s="245"/>
    </row>
    <row r="2260" spans="1:33" ht="26.4">
      <c r="A2260" s="246"/>
      <c r="B2260" s="245"/>
      <c r="C2260" s="245"/>
      <c r="D2260" s="245"/>
      <c r="E2260" s="245"/>
      <c r="F2260" s="187"/>
      <c r="G2260" s="245"/>
      <c r="H2260" s="245"/>
      <c r="I2260" s="245"/>
      <c r="P2260" s="366"/>
      <c r="R2260" s="355"/>
      <c r="T2260" s="324"/>
      <c r="U2260" s="85" ph="1"/>
      <c r="W2260" s="216"/>
      <c r="X2260" s="245"/>
      <c r="Y2260" s="187"/>
      <c r="Z2260" s="245"/>
      <c r="AA2260" s="245"/>
      <c r="AB2260" s="332"/>
      <c r="AD2260" s="245"/>
      <c r="AE2260" s="245"/>
      <c r="AF2260" s="245"/>
      <c r="AG2260" s="245"/>
    </row>
    <row r="2261" spans="1:33" ht="26.4">
      <c r="A2261" s="246"/>
      <c r="B2261" s="245"/>
      <c r="C2261" s="245"/>
      <c r="D2261" s="245"/>
      <c r="E2261" s="245"/>
      <c r="F2261" s="187"/>
      <c r="G2261" s="245"/>
      <c r="H2261" s="245"/>
      <c r="I2261" s="245"/>
      <c r="P2261" s="366"/>
      <c r="R2261" s="355"/>
      <c r="T2261" s="324"/>
      <c r="U2261" s="85" ph="1"/>
      <c r="W2261" s="216"/>
      <c r="X2261" s="245"/>
      <c r="Y2261" s="187"/>
      <c r="Z2261" s="245"/>
      <c r="AA2261" s="245"/>
      <c r="AB2261" s="332"/>
      <c r="AD2261" s="245"/>
      <c r="AE2261" s="245"/>
      <c r="AF2261" s="245"/>
      <c r="AG2261" s="245"/>
    </row>
    <row r="2262" spans="1:33" ht="26.4">
      <c r="A2262" s="246"/>
      <c r="B2262" s="245"/>
      <c r="C2262" s="245"/>
      <c r="D2262" s="245"/>
      <c r="E2262" s="245"/>
      <c r="F2262" s="187"/>
      <c r="G2262" s="245"/>
      <c r="H2262" s="245"/>
      <c r="I2262" s="245"/>
      <c r="P2262" s="366"/>
      <c r="R2262" s="355"/>
      <c r="T2262" s="324"/>
      <c r="U2262" s="85" ph="1"/>
      <c r="W2262" s="216"/>
      <c r="X2262" s="245"/>
      <c r="Y2262" s="187"/>
      <c r="Z2262" s="245"/>
      <c r="AA2262" s="245"/>
      <c r="AB2262" s="332"/>
      <c r="AD2262" s="245"/>
      <c r="AE2262" s="245"/>
      <c r="AF2262" s="245"/>
      <c r="AG2262" s="245"/>
    </row>
    <row r="2263" spans="1:33" ht="26.4">
      <c r="A2263" s="246"/>
      <c r="B2263" s="245"/>
      <c r="C2263" s="245"/>
      <c r="D2263" s="245"/>
      <c r="E2263" s="245"/>
      <c r="F2263" s="187"/>
      <c r="G2263" s="245"/>
      <c r="H2263" s="245"/>
      <c r="I2263" s="245"/>
      <c r="P2263" s="366"/>
      <c r="R2263" s="355"/>
      <c r="T2263" s="324"/>
      <c r="U2263" s="85" ph="1"/>
      <c r="W2263" s="216"/>
      <c r="X2263" s="245"/>
      <c r="Y2263" s="187"/>
      <c r="Z2263" s="245"/>
      <c r="AA2263" s="245"/>
      <c r="AB2263" s="332"/>
      <c r="AD2263" s="245"/>
      <c r="AE2263" s="245"/>
      <c r="AF2263" s="245"/>
      <c r="AG2263" s="245"/>
    </row>
    <row r="2264" spans="1:33" ht="26.4">
      <c r="A2264" s="246"/>
      <c r="B2264" s="245"/>
      <c r="C2264" s="245"/>
      <c r="D2264" s="245"/>
      <c r="E2264" s="245"/>
      <c r="F2264" s="187"/>
      <c r="G2264" s="245"/>
      <c r="H2264" s="245"/>
      <c r="I2264" s="245"/>
      <c r="P2264" s="366"/>
      <c r="R2264" s="355"/>
      <c r="T2264" s="324"/>
      <c r="U2264" s="85" ph="1"/>
      <c r="W2264" s="216"/>
      <c r="X2264" s="245"/>
      <c r="Y2264" s="187"/>
      <c r="Z2264" s="245"/>
      <c r="AA2264" s="245"/>
      <c r="AB2264" s="332"/>
      <c r="AD2264" s="245"/>
      <c r="AE2264" s="245"/>
      <c r="AF2264" s="245"/>
      <c r="AG2264" s="245"/>
    </row>
    <row r="2265" spans="1:33" ht="26.4">
      <c r="A2265" s="246"/>
      <c r="B2265" s="245"/>
      <c r="C2265" s="245"/>
      <c r="D2265" s="245"/>
      <c r="E2265" s="245"/>
      <c r="F2265" s="187"/>
      <c r="G2265" s="245"/>
      <c r="H2265" s="245"/>
      <c r="I2265" s="245"/>
      <c r="P2265" s="366"/>
      <c r="R2265" s="355"/>
      <c r="T2265" s="324"/>
      <c r="U2265" s="85" ph="1"/>
      <c r="W2265" s="216"/>
      <c r="X2265" s="245"/>
      <c r="Y2265" s="187"/>
      <c r="Z2265" s="245"/>
      <c r="AA2265" s="245"/>
      <c r="AB2265" s="332"/>
      <c r="AD2265" s="245"/>
      <c r="AE2265" s="245"/>
      <c r="AF2265" s="245"/>
      <c r="AG2265" s="245"/>
    </row>
    <row r="2266" spans="1:33" ht="26.4">
      <c r="A2266" s="246"/>
      <c r="B2266" s="245"/>
      <c r="C2266" s="245"/>
      <c r="D2266" s="245"/>
      <c r="E2266" s="245"/>
      <c r="F2266" s="187"/>
      <c r="G2266" s="245"/>
      <c r="H2266" s="245"/>
      <c r="I2266" s="245"/>
      <c r="P2266" s="366"/>
      <c r="R2266" s="355"/>
      <c r="T2266" s="324"/>
      <c r="U2266" s="85" ph="1"/>
      <c r="W2266" s="216"/>
      <c r="X2266" s="245"/>
      <c r="Y2266" s="187"/>
      <c r="Z2266" s="245"/>
      <c r="AA2266" s="245"/>
      <c r="AB2266" s="332"/>
      <c r="AD2266" s="245"/>
      <c r="AE2266" s="245"/>
      <c r="AF2266" s="245"/>
      <c r="AG2266" s="245"/>
    </row>
    <row r="2267" spans="1:33" ht="26.4">
      <c r="A2267" s="246"/>
      <c r="B2267" s="245"/>
      <c r="C2267" s="245"/>
      <c r="D2267" s="245"/>
      <c r="E2267" s="245"/>
      <c r="F2267" s="187"/>
      <c r="G2267" s="245"/>
      <c r="H2267" s="245"/>
      <c r="I2267" s="245"/>
      <c r="P2267" s="366"/>
      <c r="R2267" s="355"/>
      <c r="T2267" s="324"/>
      <c r="U2267" s="85" ph="1"/>
      <c r="W2267" s="216"/>
      <c r="X2267" s="245"/>
      <c r="Y2267" s="187"/>
      <c r="Z2267" s="245"/>
      <c r="AA2267" s="245"/>
      <c r="AB2267" s="332"/>
      <c r="AD2267" s="245"/>
      <c r="AE2267" s="245"/>
      <c r="AF2267" s="245"/>
      <c r="AG2267" s="245"/>
    </row>
    <row r="2268" spans="1:33" ht="26.4">
      <c r="A2268" s="246"/>
      <c r="B2268" s="245"/>
      <c r="C2268" s="245"/>
      <c r="D2268" s="245"/>
      <c r="E2268" s="245"/>
      <c r="F2268" s="187"/>
      <c r="G2268" s="245"/>
      <c r="H2268" s="245"/>
      <c r="I2268" s="245"/>
      <c r="P2268" s="366"/>
      <c r="R2268" s="355"/>
      <c r="T2268" s="324"/>
      <c r="U2268" s="85" ph="1"/>
      <c r="W2268" s="216"/>
      <c r="X2268" s="245"/>
      <c r="Y2268" s="187"/>
      <c r="Z2268" s="245"/>
      <c r="AA2268" s="245"/>
      <c r="AB2268" s="332"/>
      <c r="AD2268" s="245"/>
      <c r="AE2268" s="245"/>
      <c r="AF2268" s="245"/>
      <c r="AG2268" s="245"/>
    </row>
    <row r="2269" spans="1:33" ht="26.4">
      <c r="A2269" s="246"/>
      <c r="B2269" s="245"/>
      <c r="C2269" s="245"/>
      <c r="D2269" s="245"/>
      <c r="E2269" s="245"/>
      <c r="F2269" s="187"/>
      <c r="G2269" s="245"/>
      <c r="H2269" s="245"/>
      <c r="I2269" s="245"/>
      <c r="P2269" s="366"/>
      <c r="R2269" s="355"/>
      <c r="T2269" s="324"/>
      <c r="U2269" s="85" ph="1"/>
      <c r="W2269" s="216"/>
      <c r="X2269" s="245"/>
      <c r="Y2269" s="187"/>
      <c r="Z2269" s="245"/>
      <c r="AA2269" s="245"/>
      <c r="AB2269" s="332"/>
      <c r="AD2269" s="245"/>
      <c r="AE2269" s="245"/>
      <c r="AF2269" s="245"/>
      <c r="AG2269" s="245"/>
    </row>
    <row r="2270" spans="1:33" ht="26.4">
      <c r="A2270" s="246"/>
      <c r="B2270" s="245"/>
      <c r="C2270" s="245"/>
      <c r="D2270" s="245"/>
      <c r="E2270" s="245"/>
      <c r="F2270" s="187"/>
      <c r="G2270" s="245"/>
      <c r="H2270" s="245"/>
      <c r="I2270" s="245"/>
      <c r="P2270" s="366"/>
      <c r="R2270" s="355"/>
      <c r="T2270" s="324"/>
      <c r="U2270" s="85" ph="1"/>
      <c r="W2270" s="216"/>
      <c r="X2270" s="245"/>
      <c r="Y2270" s="187"/>
      <c r="Z2270" s="245"/>
      <c r="AA2270" s="245"/>
      <c r="AB2270" s="332"/>
      <c r="AD2270" s="245"/>
      <c r="AE2270" s="245"/>
      <c r="AF2270" s="245"/>
      <c r="AG2270" s="245"/>
    </row>
    <row r="2271" spans="1:33" ht="26.4">
      <c r="A2271" s="246"/>
      <c r="B2271" s="245"/>
      <c r="C2271" s="245"/>
      <c r="D2271" s="245"/>
      <c r="E2271" s="245"/>
      <c r="F2271" s="187"/>
      <c r="G2271" s="245"/>
      <c r="H2271" s="245"/>
      <c r="I2271" s="245"/>
      <c r="P2271" s="366"/>
      <c r="R2271" s="355"/>
      <c r="T2271" s="324"/>
      <c r="U2271" s="85" ph="1"/>
      <c r="W2271" s="216"/>
      <c r="X2271" s="245"/>
      <c r="Y2271" s="187"/>
      <c r="Z2271" s="245"/>
      <c r="AA2271" s="245"/>
      <c r="AB2271" s="332"/>
      <c r="AD2271" s="245"/>
      <c r="AE2271" s="245"/>
      <c r="AF2271" s="245"/>
      <c r="AG2271" s="245"/>
    </row>
    <row r="2272" spans="1:33" ht="26.4">
      <c r="A2272" s="246"/>
      <c r="B2272" s="245"/>
      <c r="C2272" s="245"/>
      <c r="D2272" s="245"/>
      <c r="E2272" s="245"/>
      <c r="F2272" s="187"/>
      <c r="G2272" s="245"/>
      <c r="H2272" s="245"/>
      <c r="I2272" s="245"/>
      <c r="P2272" s="366"/>
      <c r="R2272" s="355"/>
      <c r="T2272" s="324"/>
      <c r="U2272" s="85" ph="1"/>
      <c r="W2272" s="216"/>
      <c r="X2272" s="245"/>
      <c r="Y2272" s="187"/>
      <c r="Z2272" s="245"/>
      <c r="AA2272" s="245"/>
      <c r="AB2272" s="332"/>
      <c r="AD2272" s="245"/>
      <c r="AE2272" s="245"/>
      <c r="AF2272" s="245"/>
      <c r="AG2272" s="245"/>
    </row>
    <row r="2273" spans="1:33" ht="26.4">
      <c r="A2273" s="246"/>
      <c r="B2273" s="245"/>
      <c r="C2273" s="245"/>
      <c r="D2273" s="245"/>
      <c r="E2273" s="245"/>
      <c r="F2273" s="187"/>
      <c r="G2273" s="245"/>
      <c r="H2273" s="245"/>
      <c r="I2273" s="245"/>
      <c r="P2273" s="366"/>
      <c r="R2273" s="355"/>
      <c r="T2273" s="324"/>
      <c r="U2273" s="85" ph="1"/>
      <c r="W2273" s="216"/>
      <c r="X2273" s="245"/>
      <c r="Y2273" s="187"/>
      <c r="Z2273" s="245"/>
      <c r="AA2273" s="245"/>
      <c r="AB2273" s="332"/>
      <c r="AD2273" s="245"/>
      <c r="AE2273" s="245"/>
      <c r="AF2273" s="245"/>
      <c r="AG2273" s="245"/>
    </row>
    <row r="2274" spans="1:33" ht="26.4">
      <c r="A2274" s="246"/>
      <c r="B2274" s="245"/>
      <c r="C2274" s="245"/>
      <c r="D2274" s="245"/>
      <c r="E2274" s="245"/>
      <c r="F2274" s="187"/>
      <c r="G2274" s="245"/>
      <c r="H2274" s="245"/>
      <c r="I2274" s="245"/>
      <c r="P2274" s="366"/>
      <c r="R2274" s="355"/>
      <c r="T2274" s="324"/>
      <c r="U2274" s="85" ph="1"/>
      <c r="W2274" s="216"/>
      <c r="X2274" s="245"/>
      <c r="Y2274" s="187"/>
      <c r="Z2274" s="245"/>
      <c r="AA2274" s="245"/>
      <c r="AB2274" s="332"/>
      <c r="AD2274" s="245"/>
      <c r="AE2274" s="245"/>
      <c r="AF2274" s="245"/>
      <c r="AG2274" s="245"/>
    </row>
    <row r="2275" spans="1:33" ht="26.4">
      <c r="A2275" s="246"/>
      <c r="B2275" s="245"/>
      <c r="C2275" s="245"/>
      <c r="D2275" s="245"/>
      <c r="E2275" s="245"/>
      <c r="F2275" s="187"/>
      <c r="G2275" s="245"/>
      <c r="H2275" s="245"/>
      <c r="I2275" s="245"/>
      <c r="P2275" s="366"/>
      <c r="R2275" s="355"/>
      <c r="T2275" s="324"/>
      <c r="U2275" s="85" ph="1"/>
      <c r="W2275" s="216"/>
      <c r="X2275" s="245"/>
      <c r="Y2275" s="187"/>
      <c r="Z2275" s="245"/>
      <c r="AA2275" s="245"/>
      <c r="AB2275" s="332"/>
      <c r="AD2275" s="245"/>
      <c r="AE2275" s="245"/>
      <c r="AF2275" s="245"/>
      <c r="AG2275" s="245"/>
    </row>
    <row r="2276" spans="1:33" ht="26.4">
      <c r="A2276" s="246"/>
      <c r="B2276" s="245"/>
      <c r="C2276" s="245"/>
      <c r="D2276" s="245"/>
      <c r="E2276" s="245"/>
      <c r="F2276" s="187"/>
      <c r="G2276" s="245"/>
      <c r="H2276" s="245"/>
      <c r="I2276" s="245"/>
      <c r="P2276" s="366"/>
      <c r="R2276" s="355"/>
      <c r="T2276" s="324"/>
      <c r="U2276" s="85" ph="1"/>
      <c r="W2276" s="216"/>
      <c r="X2276" s="245"/>
      <c r="Y2276" s="187"/>
      <c r="Z2276" s="245"/>
      <c r="AA2276" s="245"/>
      <c r="AB2276" s="332"/>
      <c r="AD2276" s="245"/>
      <c r="AE2276" s="245"/>
      <c r="AF2276" s="245"/>
      <c r="AG2276" s="245"/>
    </row>
    <row r="2277" spans="1:33" ht="26.4">
      <c r="A2277" s="246"/>
      <c r="B2277" s="245"/>
      <c r="C2277" s="245"/>
      <c r="D2277" s="245"/>
      <c r="E2277" s="245"/>
      <c r="F2277" s="187"/>
      <c r="G2277" s="245"/>
      <c r="H2277" s="245"/>
      <c r="I2277" s="245"/>
      <c r="P2277" s="366"/>
      <c r="R2277" s="355"/>
      <c r="T2277" s="324"/>
      <c r="U2277" s="85" ph="1"/>
      <c r="W2277" s="216"/>
      <c r="X2277" s="245"/>
      <c r="Y2277" s="187"/>
      <c r="Z2277" s="245"/>
      <c r="AA2277" s="245"/>
      <c r="AB2277" s="332"/>
      <c r="AD2277" s="245"/>
      <c r="AE2277" s="245"/>
      <c r="AF2277" s="245"/>
      <c r="AG2277" s="245"/>
    </row>
    <row r="2278" spans="1:33" ht="26.4">
      <c r="A2278" s="246"/>
      <c r="B2278" s="245"/>
      <c r="C2278" s="245"/>
      <c r="D2278" s="245"/>
      <c r="E2278" s="245"/>
      <c r="F2278" s="187"/>
      <c r="G2278" s="245"/>
      <c r="H2278" s="245"/>
      <c r="I2278" s="245"/>
      <c r="P2278" s="366"/>
      <c r="R2278" s="355"/>
      <c r="T2278" s="324"/>
      <c r="U2278" s="85" ph="1"/>
      <c r="W2278" s="216"/>
      <c r="X2278" s="245"/>
      <c r="Y2278" s="187"/>
      <c r="Z2278" s="245"/>
      <c r="AA2278" s="245"/>
      <c r="AB2278" s="332"/>
      <c r="AD2278" s="245"/>
      <c r="AE2278" s="245"/>
      <c r="AF2278" s="245"/>
      <c r="AG2278" s="245"/>
    </row>
    <row r="2279" spans="1:33" ht="26.4">
      <c r="A2279" s="246"/>
      <c r="B2279" s="245"/>
      <c r="C2279" s="245"/>
      <c r="D2279" s="245"/>
      <c r="E2279" s="245"/>
      <c r="F2279" s="187"/>
      <c r="G2279" s="245"/>
      <c r="H2279" s="245"/>
      <c r="I2279" s="245"/>
      <c r="P2279" s="366"/>
      <c r="R2279" s="355"/>
      <c r="T2279" s="324"/>
      <c r="U2279" s="85" ph="1"/>
      <c r="W2279" s="216"/>
      <c r="X2279" s="245"/>
      <c r="Y2279" s="187"/>
      <c r="Z2279" s="245"/>
      <c r="AA2279" s="245"/>
      <c r="AB2279" s="332"/>
      <c r="AD2279" s="245"/>
      <c r="AE2279" s="245"/>
      <c r="AF2279" s="245"/>
      <c r="AG2279" s="245"/>
    </row>
    <row r="2280" spans="1:33" ht="26.4">
      <c r="A2280" s="246"/>
      <c r="B2280" s="245"/>
      <c r="C2280" s="245"/>
      <c r="D2280" s="245"/>
      <c r="E2280" s="245"/>
      <c r="F2280" s="187"/>
      <c r="G2280" s="245"/>
      <c r="H2280" s="245"/>
      <c r="I2280" s="245"/>
      <c r="P2280" s="366"/>
      <c r="R2280" s="355"/>
      <c r="T2280" s="324"/>
      <c r="U2280" s="85" ph="1"/>
      <c r="W2280" s="216"/>
      <c r="X2280" s="245"/>
      <c r="Y2280" s="187"/>
      <c r="Z2280" s="245"/>
      <c r="AA2280" s="245"/>
      <c r="AB2280" s="332"/>
      <c r="AD2280" s="245"/>
      <c r="AE2280" s="245"/>
      <c r="AF2280" s="245"/>
      <c r="AG2280" s="245"/>
    </row>
    <row r="2281" spans="1:33" ht="26.4">
      <c r="A2281" s="246"/>
      <c r="B2281" s="245"/>
      <c r="C2281" s="245"/>
      <c r="D2281" s="245"/>
      <c r="E2281" s="245"/>
      <c r="F2281" s="187"/>
      <c r="G2281" s="245"/>
      <c r="H2281" s="245"/>
      <c r="I2281" s="245"/>
      <c r="P2281" s="366"/>
      <c r="R2281" s="355"/>
      <c r="T2281" s="324"/>
      <c r="U2281" s="85" ph="1"/>
      <c r="W2281" s="216"/>
      <c r="X2281" s="245"/>
      <c r="Y2281" s="187"/>
      <c r="Z2281" s="245"/>
      <c r="AA2281" s="245"/>
      <c r="AB2281" s="332"/>
      <c r="AD2281" s="245"/>
      <c r="AE2281" s="245"/>
      <c r="AF2281" s="245"/>
      <c r="AG2281" s="245"/>
    </row>
    <row r="2282" spans="1:33" ht="26.4">
      <c r="A2282" s="246"/>
      <c r="B2282" s="245"/>
      <c r="C2282" s="245"/>
      <c r="D2282" s="245"/>
      <c r="E2282" s="245"/>
      <c r="F2282" s="187"/>
      <c r="G2282" s="245"/>
      <c r="H2282" s="245"/>
      <c r="I2282" s="245"/>
      <c r="P2282" s="366"/>
      <c r="R2282" s="355"/>
      <c r="T2282" s="324"/>
      <c r="U2282" s="85" ph="1"/>
      <c r="W2282" s="216"/>
      <c r="X2282" s="245"/>
      <c r="Y2282" s="187"/>
      <c r="Z2282" s="245"/>
      <c r="AA2282" s="245"/>
      <c r="AB2282" s="332"/>
      <c r="AD2282" s="245"/>
      <c r="AE2282" s="245"/>
      <c r="AF2282" s="245"/>
      <c r="AG2282" s="245"/>
    </row>
    <row r="2283" spans="1:33" ht="26.4">
      <c r="A2283" s="246"/>
      <c r="B2283" s="245"/>
      <c r="C2283" s="245"/>
      <c r="D2283" s="245"/>
      <c r="E2283" s="245"/>
      <c r="F2283" s="187"/>
      <c r="G2283" s="245"/>
      <c r="H2283" s="245"/>
      <c r="I2283" s="245"/>
      <c r="P2283" s="366"/>
      <c r="R2283" s="355"/>
      <c r="T2283" s="324"/>
      <c r="U2283" s="85" ph="1"/>
      <c r="W2283" s="216"/>
      <c r="X2283" s="245"/>
      <c r="Y2283" s="187"/>
      <c r="Z2283" s="245"/>
      <c r="AA2283" s="245"/>
      <c r="AB2283" s="332"/>
      <c r="AD2283" s="245"/>
      <c r="AE2283" s="245"/>
      <c r="AF2283" s="245"/>
      <c r="AG2283" s="245"/>
    </row>
    <row r="2284" spans="1:33" ht="26.4">
      <c r="A2284" s="246"/>
      <c r="B2284" s="245"/>
      <c r="C2284" s="245"/>
      <c r="D2284" s="245"/>
      <c r="E2284" s="245"/>
      <c r="F2284" s="187"/>
      <c r="G2284" s="245"/>
      <c r="H2284" s="245"/>
      <c r="I2284" s="245"/>
      <c r="P2284" s="366"/>
      <c r="R2284" s="355"/>
      <c r="T2284" s="324"/>
      <c r="U2284" s="85" ph="1"/>
      <c r="W2284" s="216"/>
      <c r="X2284" s="245"/>
      <c r="Y2284" s="187"/>
      <c r="Z2284" s="245"/>
      <c r="AA2284" s="245"/>
      <c r="AB2284" s="332"/>
      <c r="AD2284" s="245"/>
      <c r="AE2284" s="245"/>
      <c r="AF2284" s="245"/>
      <c r="AG2284" s="245"/>
    </row>
    <row r="2285" spans="1:33" ht="26.4">
      <c r="A2285" s="246"/>
      <c r="B2285" s="245"/>
      <c r="C2285" s="245"/>
      <c r="D2285" s="245"/>
      <c r="E2285" s="245"/>
      <c r="F2285" s="187"/>
      <c r="G2285" s="245"/>
      <c r="H2285" s="245"/>
      <c r="I2285" s="245"/>
      <c r="P2285" s="366"/>
      <c r="R2285" s="355"/>
      <c r="T2285" s="324"/>
      <c r="U2285" s="85" ph="1"/>
      <c r="W2285" s="216"/>
      <c r="X2285" s="245"/>
      <c r="Y2285" s="187"/>
      <c r="Z2285" s="245"/>
      <c r="AA2285" s="245"/>
      <c r="AB2285" s="332"/>
      <c r="AD2285" s="245"/>
      <c r="AE2285" s="245"/>
      <c r="AF2285" s="245"/>
      <c r="AG2285" s="245"/>
    </row>
    <row r="2286" spans="1:33" ht="26.4">
      <c r="A2286" s="246"/>
      <c r="B2286" s="245"/>
      <c r="C2286" s="245"/>
      <c r="D2286" s="245"/>
      <c r="E2286" s="245"/>
      <c r="F2286" s="187"/>
      <c r="G2286" s="245"/>
      <c r="H2286" s="245"/>
      <c r="I2286" s="245"/>
      <c r="P2286" s="366"/>
      <c r="R2286" s="355"/>
      <c r="T2286" s="324"/>
      <c r="U2286" s="85" ph="1"/>
      <c r="W2286" s="216"/>
      <c r="X2286" s="245"/>
      <c r="Y2286" s="187"/>
      <c r="Z2286" s="245"/>
      <c r="AA2286" s="245"/>
      <c r="AB2286" s="332"/>
      <c r="AD2286" s="245"/>
      <c r="AE2286" s="245"/>
      <c r="AF2286" s="245"/>
      <c r="AG2286" s="245"/>
    </row>
    <row r="2287" spans="1:33" ht="26.4">
      <c r="A2287" s="246"/>
      <c r="B2287" s="245"/>
      <c r="C2287" s="245"/>
      <c r="D2287" s="245"/>
      <c r="E2287" s="245"/>
      <c r="F2287" s="187"/>
      <c r="G2287" s="245"/>
      <c r="H2287" s="245"/>
      <c r="I2287" s="245"/>
      <c r="P2287" s="366"/>
      <c r="R2287" s="355"/>
      <c r="T2287" s="324"/>
      <c r="U2287" s="85" ph="1"/>
      <c r="W2287" s="216"/>
      <c r="X2287" s="245"/>
      <c r="Y2287" s="187"/>
      <c r="Z2287" s="245"/>
      <c r="AA2287" s="245"/>
      <c r="AB2287" s="332"/>
      <c r="AD2287" s="245"/>
      <c r="AE2287" s="245"/>
      <c r="AF2287" s="245"/>
      <c r="AG2287" s="245"/>
    </row>
    <row r="2288" spans="1:33" ht="26.4">
      <c r="A2288" s="246"/>
      <c r="B2288" s="245"/>
      <c r="C2288" s="245"/>
      <c r="D2288" s="245"/>
      <c r="E2288" s="245"/>
      <c r="F2288" s="187"/>
      <c r="G2288" s="245"/>
      <c r="H2288" s="245"/>
      <c r="I2288" s="245"/>
      <c r="P2288" s="366"/>
      <c r="R2288" s="355"/>
      <c r="T2288" s="324"/>
      <c r="U2288" s="85" ph="1"/>
      <c r="W2288" s="216"/>
      <c r="X2288" s="245"/>
      <c r="Y2288" s="187"/>
      <c r="Z2288" s="245"/>
      <c r="AA2288" s="245"/>
      <c r="AB2288" s="332"/>
      <c r="AD2288" s="245"/>
      <c r="AE2288" s="245"/>
      <c r="AF2288" s="245"/>
      <c r="AG2288" s="245"/>
    </row>
    <row r="2289" spans="1:33" ht="26.4">
      <c r="A2289" s="246"/>
      <c r="B2289" s="245"/>
      <c r="C2289" s="245"/>
      <c r="D2289" s="245"/>
      <c r="E2289" s="245"/>
      <c r="F2289" s="187"/>
      <c r="G2289" s="245"/>
      <c r="H2289" s="245"/>
      <c r="I2289" s="245"/>
      <c r="P2289" s="366"/>
      <c r="R2289" s="355"/>
      <c r="T2289" s="324"/>
      <c r="U2289" s="85" ph="1"/>
      <c r="W2289" s="216"/>
      <c r="X2289" s="245"/>
      <c r="Y2289" s="187"/>
      <c r="Z2289" s="245"/>
      <c r="AA2289" s="245"/>
      <c r="AB2289" s="332"/>
      <c r="AD2289" s="245"/>
      <c r="AE2289" s="245"/>
      <c r="AF2289" s="245"/>
      <c r="AG2289" s="245"/>
    </row>
    <row r="2290" spans="1:33" ht="26.4">
      <c r="A2290" s="246"/>
      <c r="B2290" s="245"/>
      <c r="C2290" s="245"/>
      <c r="D2290" s="245"/>
      <c r="E2290" s="245"/>
      <c r="F2290" s="187"/>
      <c r="G2290" s="245"/>
      <c r="H2290" s="245"/>
      <c r="I2290" s="245"/>
      <c r="P2290" s="366"/>
      <c r="R2290" s="355"/>
      <c r="T2290" s="324"/>
      <c r="U2290" s="85" ph="1"/>
      <c r="W2290" s="216"/>
      <c r="X2290" s="245"/>
      <c r="Y2290" s="187"/>
      <c r="Z2290" s="245"/>
      <c r="AA2290" s="245"/>
      <c r="AB2290" s="332"/>
      <c r="AD2290" s="245"/>
      <c r="AE2290" s="245"/>
      <c r="AF2290" s="245"/>
      <c r="AG2290" s="245"/>
    </row>
    <row r="2291" spans="1:33" ht="26.4">
      <c r="A2291" s="246"/>
      <c r="B2291" s="245"/>
      <c r="C2291" s="245"/>
      <c r="D2291" s="245"/>
      <c r="E2291" s="245"/>
      <c r="F2291" s="187"/>
      <c r="G2291" s="245"/>
      <c r="H2291" s="245"/>
      <c r="I2291" s="245"/>
      <c r="P2291" s="366"/>
      <c r="R2291" s="355"/>
      <c r="T2291" s="324"/>
      <c r="U2291" s="85" ph="1"/>
      <c r="W2291" s="216"/>
      <c r="X2291" s="245"/>
      <c r="Y2291" s="187"/>
      <c r="Z2291" s="245"/>
      <c r="AA2291" s="245"/>
      <c r="AB2291" s="332"/>
      <c r="AD2291" s="245"/>
      <c r="AE2291" s="245"/>
      <c r="AF2291" s="245"/>
      <c r="AG2291" s="245"/>
    </row>
    <row r="2292" spans="1:33" ht="26.4">
      <c r="A2292" s="246"/>
      <c r="B2292" s="245"/>
      <c r="C2292" s="245"/>
      <c r="D2292" s="245"/>
      <c r="E2292" s="245"/>
      <c r="F2292" s="187"/>
      <c r="G2292" s="245"/>
      <c r="H2292" s="245"/>
      <c r="I2292" s="245"/>
      <c r="P2292" s="366"/>
      <c r="R2292" s="355"/>
      <c r="T2292" s="324"/>
      <c r="U2292" s="85" ph="1"/>
      <c r="W2292" s="216"/>
      <c r="X2292" s="245"/>
      <c r="Y2292" s="187"/>
      <c r="Z2292" s="245"/>
      <c r="AA2292" s="245"/>
      <c r="AB2292" s="332"/>
      <c r="AD2292" s="245"/>
      <c r="AE2292" s="245"/>
      <c r="AF2292" s="245"/>
      <c r="AG2292" s="245"/>
    </row>
    <row r="2293" spans="1:33" ht="26.4">
      <c r="A2293" s="246"/>
      <c r="B2293" s="245"/>
      <c r="C2293" s="245"/>
      <c r="D2293" s="245"/>
      <c r="E2293" s="245"/>
      <c r="F2293" s="187"/>
      <c r="G2293" s="245"/>
      <c r="H2293" s="245"/>
      <c r="I2293" s="245"/>
      <c r="P2293" s="366"/>
      <c r="R2293" s="355"/>
      <c r="T2293" s="324"/>
      <c r="U2293" s="85" ph="1"/>
      <c r="W2293" s="216"/>
      <c r="X2293" s="245"/>
      <c r="Y2293" s="187"/>
      <c r="Z2293" s="245"/>
      <c r="AA2293" s="245"/>
      <c r="AB2293" s="332"/>
      <c r="AD2293" s="245"/>
      <c r="AE2293" s="245"/>
      <c r="AF2293" s="245"/>
      <c r="AG2293" s="245"/>
    </row>
    <row r="2294" spans="1:33" ht="26.4">
      <c r="A2294" s="246"/>
      <c r="B2294" s="245"/>
      <c r="C2294" s="245"/>
      <c r="D2294" s="245"/>
      <c r="E2294" s="245"/>
      <c r="F2294" s="187"/>
      <c r="G2294" s="245"/>
      <c r="H2294" s="245"/>
      <c r="I2294" s="245"/>
      <c r="P2294" s="366"/>
      <c r="R2294" s="355"/>
      <c r="T2294" s="324"/>
      <c r="U2294" s="85" ph="1"/>
      <c r="W2294" s="216"/>
      <c r="X2294" s="245"/>
      <c r="Y2294" s="187"/>
      <c r="Z2294" s="245"/>
      <c r="AA2294" s="245"/>
      <c r="AB2294" s="332"/>
      <c r="AD2294" s="245"/>
      <c r="AE2294" s="245"/>
      <c r="AF2294" s="245"/>
      <c r="AG2294" s="245"/>
    </row>
    <row r="2295" spans="1:33" ht="26.4">
      <c r="A2295" s="246"/>
      <c r="B2295" s="245"/>
      <c r="C2295" s="245"/>
      <c r="D2295" s="245"/>
      <c r="E2295" s="245"/>
      <c r="F2295" s="187"/>
      <c r="G2295" s="245"/>
      <c r="H2295" s="245"/>
      <c r="I2295" s="245"/>
      <c r="P2295" s="366"/>
      <c r="R2295" s="355"/>
      <c r="T2295" s="324"/>
      <c r="U2295" s="85" ph="1"/>
      <c r="W2295" s="216"/>
      <c r="X2295" s="245"/>
      <c r="Y2295" s="187"/>
      <c r="Z2295" s="245"/>
      <c r="AA2295" s="245"/>
      <c r="AB2295" s="332"/>
      <c r="AD2295" s="245"/>
      <c r="AE2295" s="245"/>
      <c r="AF2295" s="245"/>
      <c r="AG2295" s="245"/>
    </row>
    <row r="2296" spans="1:33" ht="26.4">
      <c r="A2296" s="246"/>
      <c r="B2296" s="245"/>
      <c r="C2296" s="245"/>
      <c r="D2296" s="245"/>
      <c r="E2296" s="245"/>
      <c r="F2296" s="187"/>
      <c r="G2296" s="245"/>
      <c r="H2296" s="245"/>
      <c r="I2296" s="245"/>
      <c r="P2296" s="366"/>
      <c r="R2296" s="355"/>
      <c r="T2296" s="324"/>
      <c r="U2296" s="85" ph="1"/>
      <c r="W2296" s="216"/>
      <c r="X2296" s="245"/>
      <c r="Y2296" s="187"/>
      <c r="Z2296" s="245"/>
      <c r="AA2296" s="245"/>
      <c r="AB2296" s="332"/>
      <c r="AD2296" s="245"/>
      <c r="AE2296" s="245"/>
      <c r="AF2296" s="245"/>
      <c r="AG2296" s="245"/>
    </row>
    <row r="2297" spans="1:33" ht="26.4">
      <c r="A2297" s="246"/>
      <c r="B2297" s="245"/>
      <c r="C2297" s="245"/>
      <c r="D2297" s="245"/>
      <c r="E2297" s="245"/>
      <c r="F2297" s="187"/>
      <c r="G2297" s="245"/>
      <c r="H2297" s="245"/>
      <c r="I2297" s="245"/>
      <c r="P2297" s="366"/>
      <c r="R2297" s="355"/>
      <c r="T2297" s="324"/>
      <c r="U2297" s="85" ph="1"/>
      <c r="W2297" s="216"/>
      <c r="X2297" s="245"/>
      <c r="Y2297" s="187"/>
      <c r="Z2297" s="245"/>
      <c r="AA2297" s="245"/>
      <c r="AB2297" s="332"/>
      <c r="AD2297" s="245"/>
      <c r="AE2297" s="245"/>
      <c r="AF2297" s="245"/>
      <c r="AG2297" s="245"/>
    </row>
    <row r="2298" spans="1:33" ht="26.4">
      <c r="A2298" s="246"/>
      <c r="B2298" s="245"/>
      <c r="C2298" s="245"/>
      <c r="D2298" s="245"/>
      <c r="E2298" s="245"/>
      <c r="F2298" s="187"/>
      <c r="G2298" s="245"/>
      <c r="H2298" s="245"/>
      <c r="I2298" s="245"/>
      <c r="P2298" s="366"/>
      <c r="R2298" s="355"/>
      <c r="T2298" s="324"/>
      <c r="U2298" s="85" ph="1"/>
      <c r="W2298" s="216"/>
      <c r="X2298" s="245"/>
      <c r="Y2298" s="187"/>
      <c r="Z2298" s="245"/>
      <c r="AA2298" s="245"/>
      <c r="AB2298" s="332"/>
      <c r="AD2298" s="245"/>
      <c r="AE2298" s="245"/>
      <c r="AF2298" s="245"/>
      <c r="AG2298" s="245"/>
    </row>
    <row r="2299" spans="1:33" ht="26.4">
      <c r="A2299" s="246"/>
      <c r="B2299" s="245"/>
      <c r="C2299" s="245"/>
      <c r="D2299" s="245"/>
      <c r="E2299" s="245"/>
      <c r="F2299" s="187"/>
      <c r="G2299" s="245"/>
      <c r="H2299" s="245"/>
      <c r="I2299" s="245"/>
      <c r="P2299" s="366"/>
      <c r="R2299" s="355"/>
      <c r="T2299" s="324"/>
      <c r="U2299" s="85" ph="1"/>
      <c r="W2299" s="216"/>
      <c r="X2299" s="245"/>
      <c r="Y2299" s="187"/>
      <c r="Z2299" s="245"/>
      <c r="AA2299" s="245"/>
      <c r="AB2299" s="332"/>
      <c r="AD2299" s="245"/>
      <c r="AE2299" s="245"/>
      <c r="AF2299" s="245"/>
      <c r="AG2299" s="245"/>
    </row>
    <row r="2300" spans="1:33" ht="26.4">
      <c r="A2300" s="246"/>
      <c r="B2300" s="245"/>
      <c r="C2300" s="245"/>
      <c r="D2300" s="245"/>
      <c r="E2300" s="245"/>
      <c r="F2300" s="187"/>
      <c r="G2300" s="245"/>
      <c r="H2300" s="245"/>
      <c r="I2300" s="245"/>
      <c r="P2300" s="366"/>
      <c r="R2300" s="355"/>
      <c r="T2300" s="324"/>
      <c r="U2300" s="85" ph="1"/>
      <c r="W2300" s="216"/>
      <c r="X2300" s="245"/>
      <c r="Y2300" s="187"/>
      <c r="Z2300" s="245"/>
      <c r="AA2300" s="245"/>
      <c r="AB2300" s="332"/>
      <c r="AD2300" s="245"/>
      <c r="AE2300" s="245"/>
      <c r="AF2300" s="245"/>
      <c r="AG2300" s="245"/>
    </row>
    <row r="2301" spans="1:33" ht="26.4">
      <c r="A2301" s="246"/>
      <c r="B2301" s="245"/>
      <c r="C2301" s="245"/>
      <c r="D2301" s="245"/>
      <c r="E2301" s="245"/>
      <c r="F2301" s="187"/>
      <c r="G2301" s="245"/>
      <c r="H2301" s="245"/>
      <c r="I2301" s="245"/>
      <c r="P2301" s="366"/>
      <c r="R2301" s="355"/>
      <c r="T2301" s="324"/>
      <c r="U2301" s="85" ph="1"/>
      <c r="W2301" s="216"/>
      <c r="X2301" s="245"/>
      <c r="Y2301" s="187"/>
      <c r="Z2301" s="245"/>
      <c r="AA2301" s="245"/>
      <c r="AB2301" s="332"/>
      <c r="AD2301" s="245"/>
      <c r="AE2301" s="245"/>
      <c r="AF2301" s="245"/>
      <c r="AG2301" s="245"/>
    </row>
    <row r="2302" spans="1:33" ht="26.4">
      <c r="A2302" s="246"/>
      <c r="B2302" s="245"/>
      <c r="C2302" s="245"/>
      <c r="D2302" s="245"/>
      <c r="E2302" s="245"/>
      <c r="F2302" s="187"/>
      <c r="G2302" s="245"/>
      <c r="H2302" s="245"/>
      <c r="I2302" s="245"/>
      <c r="P2302" s="366"/>
      <c r="R2302" s="355"/>
      <c r="T2302" s="324"/>
      <c r="U2302" s="85" ph="1"/>
      <c r="W2302" s="216"/>
      <c r="X2302" s="245"/>
      <c r="Y2302" s="187"/>
      <c r="Z2302" s="245"/>
      <c r="AA2302" s="245"/>
      <c r="AB2302" s="332"/>
      <c r="AD2302" s="245"/>
      <c r="AE2302" s="245"/>
      <c r="AF2302" s="245"/>
      <c r="AG2302" s="245"/>
    </row>
    <row r="2303" spans="1:33" ht="26.4">
      <c r="A2303" s="246"/>
      <c r="B2303" s="245"/>
      <c r="C2303" s="245"/>
      <c r="D2303" s="245"/>
      <c r="E2303" s="245"/>
      <c r="F2303" s="187"/>
      <c r="G2303" s="245"/>
      <c r="H2303" s="245"/>
      <c r="I2303" s="245"/>
      <c r="P2303" s="366"/>
      <c r="R2303" s="355"/>
      <c r="T2303" s="324"/>
      <c r="U2303" s="85" ph="1"/>
      <c r="W2303" s="216"/>
      <c r="X2303" s="245"/>
      <c r="Y2303" s="187"/>
      <c r="Z2303" s="245"/>
      <c r="AA2303" s="245"/>
      <c r="AB2303" s="332"/>
      <c r="AD2303" s="245"/>
      <c r="AE2303" s="245"/>
      <c r="AF2303" s="245"/>
      <c r="AG2303" s="245"/>
    </row>
    <row r="2304" spans="1:33" ht="26.4">
      <c r="A2304" s="246"/>
      <c r="B2304" s="245"/>
      <c r="C2304" s="245"/>
      <c r="D2304" s="245"/>
      <c r="E2304" s="245"/>
      <c r="F2304" s="187"/>
      <c r="G2304" s="245"/>
      <c r="H2304" s="245"/>
      <c r="I2304" s="245"/>
      <c r="P2304" s="366"/>
      <c r="R2304" s="355"/>
      <c r="T2304" s="324"/>
      <c r="U2304" s="85" ph="1"/>
      <c r="W2304" s="216"/>
      <c r="X2304" s="245"/>
      <c r="Y2304" s="187"/>
      <c r="Z2304" s="245"/>
      <c r="AA2304" s="245"/>
      <c r="AB2304" s="332"/>
      <c r="AD2304" s="245"/>
      <c r="AE2304" s="245"/>
      <c r="AF2304" s="245"/>
      <c r="AG2304" s="245"/>
    </row>
    <row r="2305" spans="1:33" ht="26.4">
      <c r="A2305" s="246"/>
      <c r="B2305" s="245"/>
      <c r="C2305" s="245"/>
      <c r="D2305" s="245"/>
      <c r="E2305" s="245"/>
      <c r="F2305" s="187"/>
      <c r="G2305" s="245"/>
      <c r="H2305" s="245"/>
      <c r="I2305" s="245"/>
      <c r="P2305" s="366"/>
      <c r="R2305" s="355"/>
      <c r="T2305" s="324"/>
      <c r="U2305" s="85" ph="1"/>
      <c r="W2305" s="216"/>
      <c r="X2305" s="245"/>
      <c r="Y2305" s="187"/>
      <c r="Z2305" s="245"/>
      <c r="AA2305" s="245"/>
      <c r="AB2305" s="332"/>
      <c r="AD2305" s="245"/>
      <c r="AE2305" s="245"/>
      <c r="AF2305" s="245"/>
      <c r="AG2305" s="245"/>
    </row>
    <row r="2306" spans="1:33" ht="26.4">
      <c r="A2306" s="246"/>
      <c r="B2306" s="245"/>
      <c r="C2306" s="245"/>
      <c r="D2306" s="245"/>
      <c r="E2306" s="245"/>
      <c r="F2306" s="187"/>
      <c r="G2306" s="245"/>
      <c r="H2306" s="245"/>
      <c r="I2306" s="245"/>
      <c r="P2306" s="366"/>
      <c r="R2306" s="355"/>
      <c r="T2306" s="324"/>
      <c r="U2306" s="85" ph="1"/>
      <c r="W2306" s="216"/>
      <c r="X2306" s="245"/>
      <c r="Y2306" s="187"/>
      <c r="Z2306" s="245"/>
      <c r="AA2306" s="245"/>
      <c r="AB2306" s="332"/>
      <c r="AD2306" s="245"/>
      <c r="AE2306" s="245"/>
      <c r="AF2306" s="245"/>
      <c r="AG2306" s="245"/>
    </row>
    <row r="2307" spans="1:33" ht="26.4">
      <c r="A2307" s="246"/>
      <c r="B2307" s="245"/>
      <c r="C2307" s="245"/>
      <c r="D2307" s="245"/>
      <c r="E2307" s="245"/>
      <c r="F2307" s="187"/>
      <c r="G2307" s="245"/>
      <c r="H2307" s="245"/>
      <c r="I2307" s="245"/>
      <c r="P2307" s="366"/>
      <c r="R2307" s="355"/>
      <c r="T2307" s="324"/>
      <c r="U2307" s="85" ph="1"/>
      <c r="W2307" s="216"/>
      <c r="X2307" s="245"/>
      <c r="Y2307" s="187"/>
      <c r="Z2307" s="245"/>
      <c r="AA2307" s="245"/>
      <c r="AB2307" s="332"/>
      <c r="AD2307" s="245"/>
      <c r="AE2307" s="245"/>
      <c r="AF2307" s="245"/>
      <c r="AG2307" s="245"/>
    </row>
    <row r="2308" spans="1:33" ht="26.4">
      <c r="A2308" s="246"/>
      <c r="B2308" s="245"/>
      <c r="C2308" s="245"/>
      <c r="D2308" s="245"/>
      <c r="E2308" s="245"/>
      <c r="F2308" s="187"/>
      <c r="G2308" s="245"/>
      <c r="H2308" s="245"/>
      <c r="I2308" s="245"/>
      <c r="P2308" s="366"/>
      <c r="R2308" s="355"/>
      <c r="T2308" s="324"/>
      <c r="U2308" s="85" ph="1"/>
      <c r="W2308" s="216"/>
      <c r="X2308" s="245"/>
      <c r="Y2308" s="187"/>
      <c r="Z2308" s="245"/>
      <c r="AA2308" s="245"/>
      <c r="AB2308" s="332"/>
      <c r="AD2308" s="245"/>
      <c r="AE2308" s="245"/>
      <c r="AF2308" s="245"/>
      <c r="AG2308" s="245"/>
    </row>
    <row r="2309" spans="1:33" ht="26.4">
      <c r="P2309" s="366"/>
      <c r="R2309" s="355"/>
      <c r="U2309" s="85" ph="1"/>
    </row>
    <row r="2310" spans="1:33" ht="26.4">
      <c r="P2310" s="366"/>
      <c r="R2310" s="355"/>
      <c r="U2310" s="85" ph="1"/>
    </row>
    <row r="2311" spans="1:33" ht="26.4">
      <c r="P2311" s="366"/>
      <c r="R2311" s="355"/>
      <c r="U2311" s="85" ph="1"/>
    </row>
    <row r="2312" spans="1:33" ht="26.4">
      <c r="P2312" s="366"/>
      <c r="R2312" s="355"/>
      <c r="U2312" s="85" ph="1"/>
    </row>
    <row r="2313" spans="1:33" ht="26.4">
      <c r="P2313" s="366"/>
      <c r="R2313" s="355"/>
      <c r="U2313" s="85" ph="1"/>
    </row>
    <row r="2314" spans="1:33" ht="26.4">
      <c r="P2314" s="366"/>
      <c r="R2314" s="355"/>
      <c r="U2314" s="85" ph="1"/>
    </row>
    <row r="2315" spans="1:33" ht="26.4">
      <c r="P2315" s="366"/>
      <c r="R2315" s="355"/>
      <c r="U2315" s="85" ph="1"/>
    </row>
    <row r="2316" spans="1:33" ht="26.4">
      <c r="P2316" s="366"/>
      <c r="R2316" s="355"/>
      <c r="U2316" s="85" ph="1"/>
    </row>
    <row r="2317" spans="1:33" ht="26.4">
      <c r="P2317" s="366"/>
      <c r="R2317" s="355"/>
      <c r="U2317" s="85" ph="1"/>
    </row>
    <row r="2318" spans="1:33" ht="26.4">
      <c r="P2318" s="366"/>
      <c r="R2318" s="355"/>
      <c r="U2318" s="85" ph="1"/>
    </row>
    <row r="2319" spans="1:33" ht="26.4">
      <c r="P2319" s="366"/>
      <c r="R2319" s="355"/>
      <c r="U2319" s="85" ph="1"/>
    </row>
    <row r="2320" spans="1:33" ht="26.4">
      <c r="P2320" s="366"/>
      <c r="R2320" s="355"/>
      <c r="U2320" s="85" ph="1"/>
    </row>
    <row r="2321" spans="16:21" ht="26.4">
      <c r="P2321" s="366"/>
      <c r="R2321" s="355"/>
      <c r="U2321" s="85" ph="1"/>
    </row>
    <row r="2322" spans="16:21" ht="26.4">
      <c r="P2322" s="366"/>
      <c r="R2322" s="355"/>
      <c r="U2322" s="85" ph="1"/>
    </row>
    <row r="2323" spans="16:21" ht="26.4">
      <c r="P2323" s="366"/>
      <c r="R2323" s="355"/>
      <c r="U2323" s="85" ph="1"/>
    </row>
    <row r="2324" spans="16:21" ht="26.4">
      <c r="P2324" s="366"/>
      <c r="R2324" s="355"/>
      <c r="U2324" s="85" ph="1"/>
    </row>
    <row r="2325" spans="16:21" ht="26.4">
      <c r="P2325" s="366"/>
      <c r="R2325" s="355"/>
      <c r="U2325" s="85" ph="1"/>
    </row>
    <row r="2326" spans="16:21" ht="26.4">
      <c r="P2326" s="366"/>
      <c r="R2326" s="355"/>
      <c r="U2326" s="85" ph="1"/>
    </row>
    <row r="2327" spans="16:21" ht="26.4">
      <c r="P2327" s="366"/>
      <c r="R2327" s="355"/>
      <c r="U2327" s="85" ph="1"/>
    </row>
    <row r="2328" spans="16:21" ht="26.4">
      <c r="P2328" s="366"/>
      <c r="R2328" s="355"/>
      <c r="U2328" s="85" ph="1"/>
    </row>
    <row r="2329" spans="16:21" ht="26.4">
      <c r="P2329" s="366"/>
      <c r="R2329" s="355"/>
      <c r="U2329" s="85" ph="1"/>
    </row>
    <row r="2330" spans="16:21" ht="26.4">
      <c r="P2330" s="366"/>
      <c r="R2330" s="355"/>
      <c r="U2330" s="85" ph="1"/>
    </row>
    <row r="2331" spans="16:21" ht="26.4">
      <c r="P2331" s="366"/>
      <c r="R2331" s="355"/>
      <c r="U2331" s="85" ph="1"/>
    </row>
    <row r="2332" spans="16:21" ht="26.4">
      <c r="P2332" s="366"/>
      <c r="R2332" s="355"/>
      <c r="U2332" s="85" ph="1"/>
    </row>
    <row r="2333" spans="16:21" ht="26.4">
      <c r="P2333" s="366"/>
      <c r="R2333" s="355"/>
      <c r="U2333" s="85" ph="1"/>
    </row>
    <row r="2334" spans="16:21" ht="26.4">
      <c r="P2334" s="366"/>
      <c r="R2334" s="355"/>
      <c r="U2334" s="85" ph="1"/>
    </row>
    <row r="2335" spans="16:21" ht="26.4">
      <c r="P2335" s="366"/>
      <c r="R2335" s="355"/>
      <c r="U2335" s="85" ph="1"/>
    </row>
    <row r="2336" spans="16:21" ht="26.4">
      <c r="P2336" s="366"/>
      <c r="R2336" s="355"/>
      <c r="U2336" s="85" ph="1"/>
    </row>
    <row r="2337" spans="16:21" ht="26.4">
      <c r="P2337" s="366"/>
      <c r="R2337" s="355"/>
      <c r="U2337" s="85" ph="1"/>
    </row>
    <row r="2338" spans="16:21" ht="26.4">
      <c r="U2338" s="85" ph="1"/>
    </row>
    <row r="2339" spans="16:21" ht="26.4">
      <c r="U2339" s="85" ph="1"/>
    </row>
    <row r="2340" spans="16:21" ht="26.4">
      <c r="U2340" s="85" ph="1"/>
    </row>
    <row r="2341" spans="16:21" ht="26.4">
      <c r="U2341" s="85" ph="1"/>
    </row>
    <row r="2342" spans="16:21" ht="26.4">
      <c r="U2342" s="85" ph="1"/>
    </row>
    <row r="2343" spans="16:21" ht="26.4">
      <c r="U2343" s="85" ph="1"/>
    </row>
    <row r="2344" spans="16:21" ht="26.4">
      <c r="U2344" s="85" ph="1"/>
    </row>
    <row r="2345" spans="16:21" ht="26.4">
      <c r="U2345" s="85" ph="1"/>
    </row>
    <row r="2346" spans="16:21" ht="26.4">
      <c r="U2346" s="85" ph="1"/>
    </row>
    <row r="2347" spans="16:21" ht="26.4">
      <c r="U2347" s="85" ph="1"/>
    </row>
    <row r="2348" spans="16:21" ht="26.4">
      <c r="U2348" s="85" ph="1"/>
    </row>
    <row r="2349" spans="16:21" ht="26.4">
      <c r="U2349" s="85" ph="1"/>
    </row>
    <row r="2350" spans="16:21" ht="26.4">
      <c r="U2350" s="85" ph="1"/>
    </row>
    <row r="2351" spans="16:21" ht="26.4">
      <c r="U2351" s="85" ph="1"/>
    </row>
    <row r="2352" spans="16:21" ht="26.4">
      <c r="U2352" s="85" ph="1"/>
    </row>
    <row r="2353" spans="21:21" ht="26.4">
      <c r="U2353" s="85" ph="1"/>
    </row>
    <row r="2354" spans="21:21" ht="26.4">
      <c r="U2354" s="85" ph="1"/>
    </row>
    <row r="2355" spans="21:21" ht="26.4">
      <c r="U2355" s="85" ph="1"/>
    </row>
    <row r="2356" spans="21:21" ht="26.4">
      <c r="U2356" s="85" ph="1"/>
    </row>
    <row r="2357" spans="21:21" ht="26.4">
      <c r="U2357" s="85" ph="1"/>
    </row>
    <row r="2358" spans="21:21" ht="26.4">
      <c r="U2358" s="85" ph="1"/>
    </row>
    <row r="2359" spans="21:21" ht="26.4">
      <c r="U2359" s="85" ph="1"/>
    </row>
    <row r="2360" spans="21:21" ht="26.4">
      <c r="U2360" s="85" ph="1"/>
    </row>
    <row r="2361" spans="21:21" ht="26.4">
      <c r="U2361" s="85" ph="1"/>
    </row>
    <row r="2362" spans="21:21" ht="26.4">
      <c r="U2362" s="85" ph="1"/>
    </row>
    <row r="2363" spans="21:21" ht="26.4">
      <c r="U2363" s="85" ph="1"/>
    </row>
    <row r="2364" spans="21:21" ht="26.4">
      <c r="U2364" s="85" ph="1"/>
    </row>
    <row r="2365" spans="21:21" ht="26.4">
      <c r="U2365" s="85" ph="1"/>
    </row>
    <row r="2366" spans="21:21" ht="26.4">
      <c r="U2366" s="85" ph="1"/>
    </row>
    <row r="2367" spans="21:21" ht="26.4">
      <c r="U2367" s="85" ph="1"/>
    </row>
    <row r="2368" spans="21:21" ht="26.4">
      <c r="U2368" s="85" ph="1"/>
    </row>
    <row r="2369" spans="21:21" ht="26.4">
      <c r="U2369" s="85" ph="1"/>
    </row>
    <row r="2370" spans="21:21" ht="26.4">
      <c r="U2370" s="85" ph="1"/>
    </row>
    <row r="2371" spans="21:21" ht="26.4">
      <c r="U2371" s="85" ph="1"/>
    </row>
    <row r="2372" spans="21:21" ht="26.4">
      <c r="U2372" s="85" ph="1"/>
    </row>
    <row r="2373" spans="21:21" ht="26.4">
      <c r="U2373" s="85" ph="1"/>
    </row>
    <row r="2374" spans="21:21" ht="26.4">
      <c r="U2374" s="85" ph="1"/>
    </row>
    <row r="2375" spans="21:21" ht="26.4">
      <c r="U2375" s="85" ph="1"/>
    </row>
    <row r="2376" spans="21:21" ht="26.4">
      <c r="U2376" s="85" ph="1"/>
    </row>
    <row r="2377" spans="21:21" ht="26.4">
      <c r="U2377" s="85" ph="1"/>
    </row>
    <row r="2378" spans="21:21" ht="26.4">
      <c r="U2378" s="85" ph="1"/>
    </row>
    <row r="2379" spans="21:21" ht="26.4">
      <c r="U2379" s="85" ph="1"/>
    </row>
    <row r="2380" spans="21:21" ht="26.4">
      <c r="U2380" s="85" ph="1"/>
    </row>
    <row r="2381" spans="21:21" ht="26.4">
      <c r="U2381" s="85" ph="1"/>
    </row>
    <row r="2382" spans="21:21" ht="26.4">
      <c r="U2382" s="85" ph="1"/>
    </row>
    <row r="2383" spans="21:21" ht="26.4">
      <c r="U2383" s="85" ph="1"/>
    </row>
    <row r="2384" spans="21:21" ht="26.4">
      <c r="U2384" s="85" ph="1"/>
    </row>
    <row r="2385" spans="21:21" ht="26.4">
      <c r="U2385" s="85" ph="1"/>
    </row>
    <row r="2386" spans="21:21" ht="26.4">
      <c r="U2386" s="85" ph="1"/>
    </row>
    <row r="2387" spans="21:21" ht="26.4">
      <c r="U2387" s="85" ph="1"/>
    </row>
    <row r="2388" spans="21:21" ht="26.4">
      <c r="U2388" s="85" ph="1"/>
    </row>
    <row r="2389" spans="21:21" ht="26.4">
      <c r="U2389" s="85" ph="1"/>
    </row>
    <row r="2390" spans="21:21" ht="26.4">
      <c r="U2390" s="85" ph="1"/>
    </row>
    <row r="2391" spans="21:21" ht="26.4">
      <c r="U2391" s="85" ph="1"/>
    </row>
    <row r="2392" spans="21:21" ht="26.4">
      <c r="U2392" s="85" ph="1"/>
    </row>
    <row r="2393" spans="21:21" ht="26.4">
      <c r="U2393" s="85" ph="1"/>
    </row>
    <row r="2394" spans="21:21" ht="26.4">
      <c r="U2394" s="85" ph="1"/>
    </row>
    <row r="2395" spans="21:21" ht="26.4">
      <c r="U2395" s="85" ph="1"/>
    </row>
    <row r="2396" spans="21:21" ht="26.4">
      <c r="U2396" s="85" ph="1"/>
    </row>
    <row r="2397" spans="21:21" ht="26.4">
      <c r="U2397" s="85" ph="1"/>
    </row>
    <row r="2398" spans="21:21" ht="26.4">
      <c r="U2398" s="85" ph="1"/>
    </row>
    <row r="2399" spans="21:21" ht="26.4">
      <c r="U2399" s="85" ph="1"/>
    </row>
    <row r="2400" spans="21:21" ht="26.4">
      <c r="U2400" s="85" ph="1"/>
    </row>
    <row r="2401" spans="21:21" ht="26.4">
      <c r="U2401" s="85" ph="1"/>
    </row>
    <row r="2402" spans="21:21" ht="26.4">
      <c r="U2402" s="85" ph="1"/>
    </row>
    <row r="2403" spans="21:21" ht="26.4">
      <c r="U2403" s="85" ph="1"/>
    </row>
    <row r="2404" spans="21:21" ht="26.4">
      <c r="U2404" s="85" ph="1"/>
    </row>
    <row r="2405" spans="21:21" ht="26.4">
      <c r="U2405" s="85" ph="1"/>
    </row>
    <row r="2406" spans="21:21" ht="26.4">
      <c r="U2406" s="85" ph="1"/>
    </row>
    <row r="2407" spans="21:21" ht="26.4">
      <c r="U2407" s="85" ph="1"/>
    </row>
    <row r="2408" spans="21:21" ht="26.4">
      <c r="U2408" s="85" ph="1"/>
    </row>
    <row r="2409" spans="21:21" ht="26.4">
      <c r="U2409" s="85" ph="1"/>
    </row>
    <row r="2410" spans="21:21" ht="26.4">
      <c r="U2410" s="85" ph="1"/>
    </row>
    <row r="2411" spans="21:21" ht="26.4">
      <c r="U2411" s="85" ph="1"/>
    </row>
    <row r="2412" spans="21:21" ht="26.4">
      <c r="U2412" s="85" ph="1"/>
    </row>
    <row r="2413" spans="21:21" ht="26.4">
      <c r="U2413" s="85" ph="1"/>
    </row>
    <row r="2414" spans="21:21" ht="26.4">
      <c r="U2414" s="85" ph="1"/>
    </row>
    <row r="2415" spans="21:21" ht="26.4">
      <c r="U2415" s="85" ph="1"/>
    </row>
    <row r="2416" spans="21:21" ht="26.4">
      <c r="U2416" s="85" ph="1"/>
    </row>
    <row r="2417" spans="21:21" ht="26.4">
      <c r="U2417" s="85" ph="1"/>
    </row>
    <row r="2418" spans="21:21" ht="26.4">
      <c r="U2418" s="85" ph="1"/>
    </row>
    <row r="2419" spans="21:21" ht="26.4">
      <c r="U2419" s="85" ph="1"/>
    </row>
    <row r="2420" spans="21:21" ht="26.4">
      <c r="U2420" s="85" ph="1"/>
    </row>
    <row r="2421" spans="21:21" ht="26.4">
      <c r="U2421" s="85" ph="1"/>
    </row>
    <row r="2422" spans="21:21" ht="26.4">
      <c r="U2422" s="85" ph="1"/>
    </row>
    <row r="2423" spans="21:21" ht="26.4">
      <c r="U2423" s="85" ph="1"/>
    </row>
    <row r="2424" spans="21:21" ht="26.4">
      <c r="U2424" s="85" ph="1"/>
    </row>
    <row r="2425" spans="21:21" ht="26.4">
      <c r="U2425" s="85" ph="1"/>
    </row>
    <row r="2426" spans="21:21" ht="26.4">
      <c r="U2426" s="85" ph="1"/>
    </row>
    <row r="2427" spans="21:21" ht="26.4">
      <c r="U2427" s="85" ph="1"/>
    </row>
    <row r="2428" spans="21:21" ht="26.4">
      <c r="U2428" s="85" ph="1"/>
    </row>
    <row r="2429" spans="21:21" ht="26.4">
      <c r="U2429" s="85" ph="1"/>
    </row>
    <row r="2430" spans="21:21" ht="26.4">
      <c r="U2430" s="85" ph="1"/>
    </row>
    <row r="2431" spans="21:21" ht="26.4">
      <c r="U2431" s="85" ph="1"/>
    </row>
    <row r="2432" spans="21:21" ht="26.4">
      <c r="U2432" s="85" ph="1"/>
    </row>
    <row r="2433" spans="21:21" ht="26.4">
      <c r="U2433" s="85" ph="1"/>
    </row>
    <row r="2434" spans="21:21" ht="26.4">
      <c r="U2434" s="85" ph="1"/>
    </row>
    <row r="2435" spans="21:21" ht="26.4">
      <c r="U2435" s="85" ph="1"/>
    </row>
    <row r="2436" spans="21:21" ht="26.4">
      <c r="U2436" s="85" ph="1"/>
    </row>
    <row r="2437" spans="21:21" ht="26.4">
      <c r="U2437" s="85" ph="1"/>
    </row>
    <row r="2438" spans="21:21" ht="26.4">
      <c r="U2438" s="85" ph="1"/>
    </row>
    <row r="2439" spans="21:21" ht="26.4">
      <c r="U2439" s="85" ph="1"/>
    </row>
    <row r="2440" spans="21:21" ht="26.4">
      <c r="U2440" s="85" ph="1"/>
    </row>
    <row r="2441" spans="21:21" ht="26.4">
      <c r="U2441" s="85" ph="1"/>
    </row>
    <row r="2442" spans="21:21" ht="26.4">
      <c r="U2442" s="85" ph="1"/>
    </row>
    <row r="2443" spans="21:21" ht="26.4">
      <c r="U2443" s="85" ph="1"/>
    </row>
    <row r="2444" spans="21:21" ht="26.4">
      <c r="U2444" s="85" ph="1"/>
    </row>
    <row r="2445" spans="21:21" ht="26.4">
      <c r="U2445" s="85" ph="1"/>
    </row>
    <row r="2446" spans="21:21" ht="26.4">
      <c r="U2446" s="85" ph="1"/>
    </row>
    <row r="2447" spans="21:21" ht="26.4">
      <c r="U2447" s="85" ph="1"/>
    </row>
    <row r="2448" spans="21:21" ht="26.4">
      <c r="U2448" s="85" ph="1"/>
    </row>
    <row r="2449" spans="21:21" ht="26.4">
      <c r="U2449" s="85" ph="1"/>
    </row>
    <row r="2450" spans="21:21" ht="26.4">
      <c r="U2450" s="85" ph="1"/>
    </row>
    <row r="2451" spans="21:21" ht="26.4">
      <c r="U2451" s="85" ph="1"/>
    </row>
    <row r="2452" spans="21:21" ht="26.4">
      <c r="U2452" s="85" ph="1"/>
    </row>
    <row r="2453" spans="21:21" ht="26.4">
      <c r="U2453" s="85" ph="1"/>
    </row>
    <row r="2454" spans="21:21" ht="26.4">
      <c r="U2454" s="85" ph="1"/>
    </row>
    <row r="2455" spans="21:21" ht="26.4">
      <c r="U2455" s="85" ph="1"/>
    </row>
    <row r="2456" spans="21:21" ht="26.4">
      <c r="U2456" s="85" ph="1"/>
    </row>
    <row r="2457" spans="21:21" ht="26.4">
      <c r="U2457" s="85" ph="1"/>
    </row>
    <row r="2458" spans="21:21" ht="26.4">
      <c r="U2458" s="85" ph="1"/>
    </row>
    <row r="2459" spans="21:21" ht="26.4">
      <c r="U2459" s="85" ph="1"/>
    </row>
    <row r="2460" spans="21:21" ht="26.4">
      <c r="U2460" s="85" ph="1"/>
    </row>
    <row r="2461" spans="21:21" ht="26.4">
      <c r="U2461" s="85" ph="1"/>
    </row>
    <row r="2462" spans="21:21" ht="26.4">
      <c r="U2462" s="85" ph="1"/>
    </row>
    <row r="2463" spans="21:21" ht="26.4">
      <c r="U2463" s="85" ph="1"/>
    </row>
    <row r="2464" spans="21:21" ht="26.4">
      <c r="U2464" s="85" ph="1"/>
    </row>
    <row r="2465" spans="21:21" ht="26.4">
      <c r="U2465" s="85" ph="1"/>
    </row>
    <row r="2466" spans="21:21" ht="26.4">
      <c r="U2466" s="85" ph="1"/>
    </row>
    <row r="2467" spans="21:21" ht="26.4">
      <c r="U2467" s="85" ph="1"/>
    </row>
    <row r="2468" spans="21:21" ht="26.4">
      <c r="U2468" s="85" ph="1"/>
    </row>
    <row r="2469" spans="21:21" ht="26.4">
      <c r="U2469" s="85" ph="1"/>
    </row>
    <row r="2470" spans="21:21" ht="26.4">
      <c r="U2470" s="85" ph="1"/>
    </row>
    <row r="2471" spans="21:21" ht="26.4">
      <c r="U2471" s="85" ph="1"/>
    </row>
    <row r="2472" spans="21:21" ht="26.4">
      <c r="U2472" s="85" ph="1"/>
    </row>
    <row r="2473" spans="21:21" ht="26.4">
      <c r="U2473" s="85" ph="1"/>
    </row>
    <row r="2474" spans="21:21" ht="26.4">
      <c r="U2474" s="85" ph="1"/>
    </row>
    <row r="2475" spans="21:21" ht="26.4">
      <c r="U2475" s="85" ph="1"/>
    </row>
    <row r="2476" spans="21:21" ht="26.4">
      <c r="U2476" s="85" ph="1"/>
    </row>
    <row r="2477" spans="21:21" ht="26.4">
      <c r="U2477" s="85" ph="1"/>
    </row>
    <row r="2478" spans="21:21" ht="26.4">
      <c r="U2478" s="85" ph="1"/>
    </row>
    <row r="2479" spans="21:21" ht="26.4">
      <c r="U2479" s="85" ph="1"/>
    </row>
    <row r="2480" spans="21:21" ht="26.4">
      <c r="U2480" s="85" ph="1"/>
    </row>
    <row r="2481" spans="21:21" ht="26.4">
      <c r="U2481" s="85" ph="1"/>
    </row>
    <row r="2482" spans="21:21" ht="26.4">
      <c r="U2482" s="85" ph="1"/>
    </row>
    <row r="2483" spans="21:21" ht="26.4">
      <c r="U2483" s="85" ph="1"/>
    </row>
    <row r="2484" spans="21:21" ht="26.4">
      <c r="U2484" s="85" ph="1"/>
    </row>
    <row r="2485" spans="21:21" ht="26.4">
      <c r="U2485" s="85" ph="1"/>
    </row>
    <row r="2486" spans="21:21" ht="26.4">
      <c r="U2486" s="85" ph="1"/>
    </row>
    <row r="2487" spans="21:21" ht="26.4">
      <c r="U2487" s="85" ph="1"/>
    </row>
    <row r="2488" spans="21:21" ht="26.4">
      <c r="U2488" s="85" ph="1"/>
    </row>
    <row r="2489" spans="21:21" ht="26.4">
      <c r="U2489" s="85" ph="1"/>
    </row>
    <row r="2490" spans="21:21" ht="26.4">
      <c r="U2490" s="85" ph="1"/>
    </row>
    <row r="2491" spans="21:21" ht="26.4">
      <c r="U2491" s="85" ph="1"/>
    </row>
    <row r="2492" spans="21:21" ht="26.4">
      <c r="U2492" s="85" ph="1"/>
    </row>
    <row r="2493" spans="21:21" ht="26.4">
      <c r="U2493" s="85" ph="1"/>
    </row>
    <row r="2494" spans="21:21" ht="26.4">
      <c r="U2494" s="85" ph="1"/>
    </row>
    <row r="2495" spans="21:21" ht="26.4">
      <c r="U2495" s="85" ph="1"/>
    </row>
    <row r="2496" spans="21:21" ht="26.4">
      <c r="U2496" s="85" ph="1"/>
    </row>
    <row r="2497" spans="21:21" ht="26.4">
      <c r="U2497" s="85" ph="1"/>
    </row>
    <row r="2498" spans="21:21" ht="26.4">
      <c r="U2498" s="85" ph="1"/>
    </row>
    <row r="2499" spans="21:21" ht="26.4">
      <c r="U2499" s="85" ph="1"/>
    </row>
    <row r="2500" spans="21:21" ht="26.4">
      <c r="U2500" s="85" ph="1"/>
    </row>
    <row r="2501" spans="21:21" ht="26.4">
      <c r="U2501" s="85" ph="1"/>
    </row>
    <row r="2502" spans="21:21" ht="26.4">
      <c r="U2502" s="85" ph="1"/>
    </row>
    <row r="2503" spans="21:21" ht="26.4">
      <c r="U2503" s="85" ph="1"/>
    </row>
    <row r="2504" spans="21:21" ht="26.4">
      <c r="U2504" s="85" ph="1"/>
    </row>
    <row r="2505" spans="21:21" ht="26.4">
      <c r="U2505" s="85" ph="1"/>
    </row>
    <row r="2506" spans="21:21" ht="26.4">
      <c r="U2506" s="85" ph="1"/>
    </row>
    <row r="2507" spans="21:21" ht="26.4">
      <c r="U2507" s="85" ph="1"/>
    </row>
    <row r="2508" spans="21:21" ht="26.4">
      <c r="U2508" s="85" ph="1"/>
    </row>
    <row r="2509" spans="21:21" ht="26.4">
      <c r="U2509" s="85" ph="1"/>
    </row>
    <row r="2510" spans="21:21" ht="26.4">
      <c r="U2510" s="85" ph="1"/>
    </row>
    <row r="2511" spans="21:21" ht="26.4">
      <c r="U2511" s="85" ph="1"/>
    </row>
    <row r="2512" spans="21:21" ht="26.4">
      <c r="U2512" s="85" ph="1"/>
    </row>
    <row r="2513" spans="21:21" ht="26.4">
      <c r="U2513" s="85" ph="1"/>
    </row>
    <row r="2514" spans="21:21" ht="26.4">
      <c r="U2514" s="85" ph="1"/>
    </row>
    <row r="2515" spans="21:21" ht="26.4">
      <c r="U2515" s="85" ph="1"/>
    </row>
    <row r="2516" spans="21:21" ht="26.4">
      <c r="U2516" s="85" ph="1"/>
    </row>
    <row r="2517" spans="21:21" ht="26.4">
      <c r="U2517" s="85" ph="1"/>
    </row>
    <row r="2518" spans="21:21" ht="26.4">
      <c r="U2518" s="85" ph="1"/>
    </row>
    <row r="2519" spans="21:21" ht="26.4">
      <c r="U2519" s="85" ph="1"/>
    </row>
    <row r="2520" spans="21:21" ht="26.4">
      <c r="U2520" s="85" ph="1"/>
    </row>
    <row r="2521" spans="21:21" ht="26.4">
      <c r="U2521" s="85" ph="1"/>
    </row>
    <row r="2522" spans="21:21" ht="26.4">
      <c r="U2522" s="85" ph="1"/>
    </row>
    <row r="2523" spans="21:21" ht="26.4">
      <c r="U2523" s="85" ph="1"/>
    </row>
    <row r="2524" spans="21:21" ht="26.4">
      <c r="U2524" s="85" ph="1"/>
    </row>
    <row r="2525" spans="21:21" ht="26.4">
      <c r="U2525" s="85" ph="1"/>
    </row>
    <row r="2526" spans="21:21" ht="26.4">
      <c r="U2526" s="85" ph="1"/>
    </row>
    <row r="2527" spans="21:21" ht="26.4">
      <c r="U2527" s="85" ph="1"/>
    </row>
    <row r="2528" spans="21:21" ht="26.4">
      <c r="U2528" s="85" ph="1"/>
    </row>
    <row r="2529" spans="21:21" ht="26.4">
      <c r="U2529" s="85" ph="1"/>
    </row>
    <row r="2530" spans="21:21" ht="26.4">
      <c r="U2530" s="85" ph="1"/>
    </row>
    <row r="2531" spans="21:21" ht="26.4">
      <c r="U2531" s="85" ph="1"/>
    </row>
    <row r="2532" spans="21:21" ht="26.4">
      <c r="U2532" s="85" ph="1"/>
    </row>
    <row r="2533" spans="21:21" ht="26.4">
      <c r="U2533" s="85" ph="1"/>
    </row>
    <row r="2534" spans="21:21" ht="26.4">
      <c r="U2534" s="85" ph="1"/>
    </row>
    <row r="2535" spans="21:21" ht="26.4">
      <c r="U2535" s="85" ph="1"/>
    </row>
    <row r="2536" spans="21:21" ht="26.4">
      <c r="U2536" s="85" ph="1"/>
    </row>
    <row r="2537" spans="21:21" ht="26.4">
      <c r="U2537" s="85" ph="1"/>
    </row>
    <row r="2538" spans="21:21" ht="26.4">
      <c r="U2538" s="85" ph="1"/>
    </row>
    <row r="2539" spans="21:21" ht="26.4">
      <c r="U2539" s="85" ph="1"/>
    </row>
    <row r="2540" spans="21:21" ht="26.4">
      <c r="U2540" s="85" ph="1"/>
    </row>
    <row r="2541" spans="21:21" ht="26.4">
      <c r="U2541" s="85" ph="1"/>
    </row>
    <row r="2542" spans="21:21" ht="26.4">
      <c r="U2542" s="85" ph="1"/>
    </row>
    <row r="2543" spans="21:21" ht="26.4">
      <c r="U2543" s="85" ph="1"/>
    </row>
    <row r="2544" spans="21:21" ht="26.4">
      <c r="U2544" s="85" ph="1"/>
    </row>
    <row r="2545" spans="21:21" ht="26.4">
      <c r="U2545" s="85" ph="1"/>
    </row>
    <row r="2546" spans="21:21" ht="26.4">
      <c r="U2546" s="85" ph="1"/>
    </row>
    <row r="2547" spans="21:21" ht="26.4">
      <c r="U2547" s="85" ph="1"/>
    </row>
    <row r="2548" spans="21:21" ht="26.4">
      <c r="U2548" s="85" ph="1"/>
    </row>
    <row r="2549" spans="21:21" ht="26.4">
      <c r="U2549" s="85" ph="1"/>
    </row>
    <row r="2550" spans="21:21" ht="26.4">
      <c r="U2550" s="85" ph="1"/>
    </row>
    <row r="2551" spans="21:21" ht="26.4">
      <c r="U2551" s="85" ph="1"/>
    </row>
    <row r="2552" spans="21:21" ht="26.4">
      <c r="U2552" s="85" ph="1"/>
    </row>
    <row r="2553" spans="21:21" ht="26.4">
      <c r="U2553" s="85" ph="1"/>
    </row>
    <row r="2554" spans="21:21" ht="26.4">
      <c r="U2554" s="85" ph="1"/>
    </row>
    <row r="2555" spans="21:21" ht="26.4">
      <c r="U2555" s="85" ph="1"/>
    </row>
    <row r="2556" spans="21:21" ht="26.4">
      <c r="U2556" s="85" ph="1"/>
    </row>
    <row r="2557" spans="21:21" ht="26.4">
      <c r="U2557" s="85" ph="1"/>
    </row>
    <row r="2558" spans="21:21" ht="26.4">
      <c r="U2558" s="85" ph="1"/>
    </row>
    <row r="2559" spans="21:21" ht="26.4">
      <c r="U2559" s="85" ph="1"/>
    </row>
    <row r="2560" spans="21:21" ht="26.4">
      <c r="U2560" s="85" ph="1"/>
    </row>
    <row r="2561" spans="21:21" ht="26.4">
      <c r="U2561" s="85" ph="1"/>
    </row>
    <row r="2562" spans="21:21" ht="26.4">
      <c r="U2562" s="85" ph="1"/>
    </row>
    <row r="2563" spans="21:21" ht="26.4">
      <c r="U2563" s="85" ph="1"/>
    </row>
    <row r="2564" spans="21:21" ht="26.4">
      <c r="U2564" s="85" ph="1"/>
    </row>
    <row r="2565" spans="21:21" ht="26.4">
      <c r="U2565" s="85" ph="1"/>
    </row>
    <row r="2566" spans="21:21" ht="26.4">
      <c r="U2566" s="85" ph="1"/>
    </row>
    <row r="2567" spans="21:21" ht="26.4">
      <c r="U2567" s="85" ph="1"/>
    </row>
    <row r="2568" spans="21:21" ht="26.4">
      <c r="U2568" s="85" ph="1"/>
    </row>
    <row r="2569" spans="21:21" ht="26.4">
      <c r="U2569" s="85" ph="1"/>
    </row>
    <row r="2570" spans="21:21" ht="26.4">
      <c r="U2570" s="85" ph="1"/>
    </row>
    <row r="2571" spans="21:21" ht="26.4">
      <c r="U2571" s="85" ph="1"/>
    </row>
    <row r="2572" spans="21:21" ht="26.4">
      <c r="U2572" s="85" ph="1"/>
    </row>
    <row r="2573" spans="21:21" ht="26.4">
      <c r="U2573" s="85" ph="1"/>
    </row>
    <row r="2574" spans="21:21" ht="26.4">
      <c r="U2574" s="85" ph="1"/>
    </row>
    <row r="2575" spans="21:21" ht="26.4">
      <c r="U2575" s="85" ph="1"/>
    </row>
    <row r="2576" spans="21:21" ht="26.4">
      <c r="U2576" s="85" ph="1"/>
    </row>
    <row r="2577" spans="21:21" ht="26.4">
      <c r="U2577" s="85" ph="1"/>
    </row>
    <row r="2578" spans="21:21" ht="26.4">
      <c r="U2578" s="85" ph="1"/>
    </row>
    <row r="2579" spans="21:21" ht="26.4">
      <c r="U2579" s="85" ph="1"/>
    </row>
    <row r="2580" spans="21:21" ht="26.4">
      <c r="U2580" s="85" ph="1"/>
    </row>
    <row r="2581" spans="21:21" ht="26.4">
      <c r="U2581" s="85" ph="1"/>
    </row>
    <row r="2582" spans="21:21" ht="26.4">
      <c r="U2582" s="85" ph="1"/>
    </row>
    <row r="2583" spans="21:21" ht="26.4">
      <c r="U2583" s="85" ph="1"/>
    </row>
    <row r="2584" spans="21:21" ht="26.4">
      <c r="U2584" s="85" ph="1"/>
    </row>
    <row r="2585" spans="21:21" ht="26.4">
      <c r="U2585" s="85" ph="1"/>
    </row>
    <row r="2586" spans="21:21" ht="26.4">
      <c r="U2586" s="85" ph="1"/>
    </row>
    <row r="2587" spans="21:21" ht="26.4">
      <c r="U2587" s="85" ph="1"/>
    </row>
    <row r="2588" spans="21:21" ht="26.4">
      <c r="U2588" s="85" ph="1"/>
    </row>
    <row r="2589" spans="21:21" ht="26.4">
      <c r="U2589" s="85" ph="1"/>
    </row>
    <row r="2590" spans="21:21" ht="26.4">
      <c r="U2590" s="85" ph="1"/>
    </row>
    <row r="2591" spans="21:21" ht="26.4">
      <c r="U2591" s="85" ph="1"/>
    </row>
    <row r="2592" spans="21:21" ht="26.4">
      <c r="U2592" s="85" ph="1"/>
    </row>
    <row r="2593" spans="21:21" ht="26.4">
      <c r="U2593" s="85" ph="1"/>
    </row>
    <row r="2594" spans="21:21" ht="26.4">
      <c r="U2594" s="85" ph="1"/>
    </row>
    <row r="2595" spans="21:21" ht="26.4">
      <c r="U2595" s="85" ph="1"/>
    </row>
    <row r="2596" spans="21:21" ht="26.4">
      <c r="U2596" s="85" ph="1"/>
    </row>
    <row r="2597" spans="21:21" ht="26.4">
      <c r="U2597" s="85" ph="1"/>
    </row>
    <row r="2598" spans="21:21" ht="26.4">
      <c r="U2598" s="85" ph="1"/>
    </row>
    <row r="2599" spans="21:21" ht="26.4">
      <c r="U2599" s="85" ph="1"/>
    </row>
    <row r="2600" spans="21:21" ht="26.4">
      <c r="U2600" s="85" ph="1"/>
    </row>
    <row r="2601" spans="21:21" ht="26.4">
      <c r="U2601" s="85" ph="1"/>
    </row>
    <row r="2602" spans="21:21" ht="26.4">
      <c r="U2602" s="85" ph="1"/>
    </row>
    <row r="2603" spans="21:21" ht="26.4">
      <c r="U2603" s="85" ph="1"/>
    </row>
    <row r="2604" spans="21:21" ht="26.4">
      <c r="U2604" s="85" ph="1"/>
    </row>
    <row r="2605" spans="21:21" ht="26.4">
      <c r="U2605" s="85" ph="1"/>
    </row>
    <row r="2606" spans="21:21" ht="26.4">
      <c r="U2606" s="85" ph="1"/>
    </row>
    <row r="2607" spans="21:21" ht="26.4">
      <c r="U2607" s="85" ph="1"/>
    </row>
    <row r="2608" spans="21:21" ht="26.4">
      <c r="U2608" s="85" ph="1"/>
    </row>
    <row r="2609" spans="21:21" ht="26.4">
      <c r="U2609" s="85" ph="1"/>
    </row>
    <row r="2610" spans="21:21" ht="26.4">
      <c r="U2610" s="85" ph="1"/>
    </row>
    <row r="2611" spans="21:21" ht="26.4">
      <c r="U2611" s="85" ph="1"/>
    </row>
    <row r="2612" spans="21:21" ht="26.4">
      <c r="U2612" s="85" ph="1"/>
    </row>
    <row r="2613" spans="21:21" ht="26.4">
      <c r="U2613" s="85" ph="1"/>
    </row>
    <row r="2614" spans="21:21" ht="26.4">
      <c r="U2614" s="85" ph="1"/>
    </row>
    <row r="2615" spans="21:21" ht="26.4">
      <c r="U2615" s="85" ph="1"/>
    </row>
    <row r="2616" spans="21:21" ht="26.4">
      <c r="U2616" s="85" ph="1"/>
    </row>
    <row r="2617" spans="21:21" ht="26.4">
      <c r="U2617" s="85" ph="1"/>
    </row>
    <row r="2618" spans="21:21" ht="26.4">
      <c r="U2618" s="85" ph="1"/>
    </row>
    <row r="2619" spans="21:21" ht="26.4">
      <c r="U2619" s="85" ph="1"/>
    </row>
    <row r="2620" spans="21:21" ht="26.4">
      <c r="U2620" s="85" ph="1"/>
    </row>
    <row r="2621" spans="21:21" ht="26.4">
      <c r="U2621" s="85" ph="1"/>
    </row>
    <row r="2622" spans="21:21" ht="26.4">
      <c r="U2622" s="85" ph="1"/>
    </row>
    <row r="2623" spans="21:21" ht="26.4">
      <c r="U2623" s="85" ph="1"/>
    </row>
    <row r="2624" spans="21:21" ht="26.4">
      <c r="U2624" s="85" ph="1"/>
    </row>
    <row r="2625" spans="21:21" ht="26.4">
      <c r="U2625" s="85" ph="1"/>
    </row>
    <row r="2626" spans="21:21" ht="26.4">
      <c r="U2626" s="85" ph="1"/>
    </row>
    <row r="2627" spans="21:21" ht="26.4">
      <c r="U2627" s="85" ph="1"/>
    </row>
    <row r="2628" spans="21:21" ht="26.4">
      <c r="U2628" s="85" ph="1"/>
    </row>
    <row r="2629" spans="21:21" ht="26.4">
      <c r="U2629" s="85" ph="1"/>
    </row>
    <row r="2630" spans="21:21" ht="26.4">
      <c r="U2630" s="85" ph="1"/>
    </row>
    <row r="2631" spans="21:21" ht="26.4">
      <c r="U2631" s="85" ph="1"/>
    </row>
    <row r="2632" spans="21:21" ht="26.4">
      <c r="U2632" s="85" ph="1"/>
    </row>
    <row r="2633" spans="21:21" ht="26.4">
      <c r="U2633" s="85" ph="1"/>
    </row>
    <row r="2634" spans="21:21" ht="26.4">
      <c r="U2634" s="85" ph="1"/>
    </row>
    <row r="2635" spans="21:21" ht="26.4">
      <c r="U2635" s="85" ph="1"/>
    </row>
    <row r="2636" spans="21:21" ht="26.4">
      <c r="U2636" s="85" ph="1"/>
    </row>
    <row r="2637" spans="21:21" ht="26.4">
      <c r="U2637" s="85" ph="1"/>
    </row>
    <row r="2638" spans="21:21" ht="26.4">
      <c r="U2638" s="85" ph="1"/>
    </row>
    <row r="2639" spans="21:21" ht="26.4">
      <c r="U2639" s="85" ph="1"/>
    </row>
    <row r="2640" spans="21:21" ht="26.4">
      <c r="U2640" s="85" ph="1"/>
    </row>
    <row r="2641" spans="21:21" ht="26.4">
      <c r="U2641" s="85" ph="1"/>
    </row>
    <row r="2642" spans="21:21" ht="26.4">
      <c r="U2642" s="85" ph="1"/>
    </row>
    <row r="2643" spans="21:21" ht="26.4">
      <c r="U2643" s="85" ph="1"/>
    </row>
    <row r="2644" spans="21:21" ht="26.4">
      <c r="U2644" s="85" ph="1"/>
    </row>
    <row r="2645" spans="21:21" ht="26.4">
      <c r="U2645" s="85" ph="1"/>
    </row>
    <row r="2646" spans="21:21" ht="26.4">
      <c r="U2646" s="85" ph="1"/>
    </row>
    <row r="2647" spans="21:21" ht="26.4">
      <c r="U2647" s="85" ph="1"/>
    </row>
    <row r="2648" spans="21:21" ht="26.4">
      <c r="U2648" s="85" ph="1"/>
    </row>
    <row r="2649" spans="21:21" ht="26.4">
      <c r="U2649" s="85" ph="1"/>
    </row>
    <row r="2650" spans="21:21" ht="26.4">
      <c r="U2650" s="85" ph="1"/>
    </row>
    <row r="2651" spans="21:21" ht="26.4">
      <c r="U2651" s="85" ph="1"/>
    </row>
    <row r="2652" spans="21:21" ht="26.4">
      <c r="U2652" s="85" ph="1"/>
    </row>
    <row r="2653" spans="21:21" ht="26.4">
      <c r="U2653" s="85" ph="1"/>
    </row>
    <row r="2654" spans="21:21" ht="26.4">
      <c r="U2654" s="85" ph="1"/>
    </row>
    <row r="2655" spans="21:21" ht="26.4">
      <c r="U2655" s="85" ph="1"/>
    </row>
    <row r="2656" spans="21:21" ht="26.4">
      <c r="U2656" s="85" ph="1"/>
    </row>
    <row r="2657" spans="21:21" ht="26.4">
      <c r="U2657" s="85" ph="1"/>
    </row>
    <row r="2658" spans="21:21" ht="26.4">
      <c r="U2658" s="85" ph="1"/>
    </row>
    <row r="2659" spans="21:21" ht="26.4">
      <c r="U2659" s="85" ph="1"/>
    </row>
    <row r="2660" spans="21:21" ht="26.4">
      <c r="U2660" s="85" ph="1"/>
    </row>
    <row r="2661" spans="21:21" ht="26.4">
      <c r="U2661" s="85" ph="1"/>
    </row>
    <row r="2662" spans="21:21" ht="26.4">
      <c r="U2662" s="85" ph="1"/>
    </row>
    <row r="2663" spans="21:21" ht="26.4">
      <c r="U2663" s="85" ph="1"/>
    </row>
    <row r="2664" spans="21:21" ht="26.4">
      <c r="U2664" s="85" ph="1"/>
    </row>
    <row r="2665" spans="21:21" ht="26.4">
      <c r="U2665" s="85" ph="1"/>
    </row>
    <row r="2666" spans="21:21" ht="26.4">
      <c r="U2666" s="85" ph="1"/>
    </row>
    <row r="2667" spans="21:21" ht="26.4">
      <c r="U2667" s="85" ph="1"/>
    </row>
    <row r="2668" spans="21:21" ht="26.4">
      <c r="U2668" s="85" ph="1"/>
    </row>
    <row r="2669" spans="21:21" ht="26.4">
      <c r="U2669" s="85" ph="1"/>
    </row>
    <row r="2670" spans="21:21" ht="26.4">
      <c r="U2670" s="85" ph="1"/>
    </row>
    <row r="2671" spans="21:21" ht="26.4">
      <c r="U2671" s="85" ph="1"/>
    </row>
    <row r="2672" spans="21:21" ht="26.4">
      <c r="U2672" s="85" ph="1"/>
    </row>
    <row r="2673" spans="21:21" ht="26.4">
      <c r="U2673" s="85" ph="1"/>
    </row>
    <row r="2674" spans="21:21" ht="26.4">
      <c r="U2674" s="85" ph="1"/>
    </row>
    <row r="2675" spans="21:21" ht="26.4">
      <c r="U2675" s="85" ph="1"/>
    </row>
    <row r="2676" spans="21:21" ht="26.4">
      <c r="U2676" s="85" ph="1"/>
    </row>
    <row r="2677" spans="21:21" ht="26.4">
      <c r="U2677" s="85" ph="1"/>
    </row>
    <row r="2678" spans="21:21" ht="26.4">
      <c r="U2678" s="85" ph="1"/>
    </row>
    <row r="2679" spans="21:21" ht="26.4">
      <c r="U2679" s="85" ph="1"/>
    </row>
    <row r="2680" spans="21:21" ht="26.4">
      <c r="U2680" s="85" ph="1"/>
    </row>
    <row r="2681" spans="21:21" ht="26.4">
      <c r="U2681" s="85" ph="1"/>
    </row>
    <row r="2682" spans="21:21" ht="26.4">
      <c r="U2682" s="85" ph="1"/>
    </row>
    <row r="2683" spans="21:21" ht="26.4">
      <c r="U2683" s="85" ph="1"/>
    </row>
    <row r="2684" spans="21:21" ht="26.4">
      <c r="U2684" s="85" ph="1"/>
    </row>
    <row r="2685" spans="21:21" ht="26.4">
      <c r="U2685" s="85" ph="1"/>
    </row>
    <row r="2686" spans="21:21" ht="26.4">
      <c r="U2686" s="85" ph="1"/>
    </row>
    <row r="2687" spans="21:21" ht="26.4">
      <c r="U2687" s="85" ph="1"/>
    </row>
    <row r="2688" spans="21:21" ht="26.4">
      <c r="U2688" s="85" ph="1"/>
    </row>
    <row r="2689" spans="21:21" ht="26.4">
      <c r="U2689" s="85" ph="1"/>
    </row>
    <row r="2690" spans="21:21" ht="26.4">
      <c r="U2690" s="85" ph="1"/>
    </row>
    <row r="2691" spans="21:21" ht="26.4">
      <c r="U2691" s="85" ph="1"/>
    </row>
    <row r="2692" spans="21:21" ht="26.4">
      <c r="U2692" s="85" ph="1"/>
    </row>
    <row r="2693" spans="21:21" ht="26.4">
      <c r="U2693" s="85" ph="1"/>
    </row>
    <row r="2694" spans="21:21" ht="26.4">
      <c r="U2694" s="85" ph="1"/>
    </row>
    <row r="2695" spans="21:21" ht="26.4">
      <c r="U2695" s="85" ph="1"/>
    </row>
    <row r="2696" spans="21:21" ht="26.4">
      <c r="U2696" s="85" ph="1"/>
    </row>
    <row r="2697" spans="21:21" ht="26.4">
      <c r="U2697" s="85" ph="1"/>
    </row>
    <row r="2698" spans="21:21" ht="26.4">
      <c r="U2698" s="85" ph="1"/>
    </row>
    <row r="2699" spans="21:21" ht="26.4">
      <c r="U2699" s="85" ph="1"/>
    </row>
    <row r="2700" spans="21:21" ht="26.4">
      <c r="U2700" s="85" ph="1"/>
    </row>
    <row r="2701" spans="21:21" ht="26.4">
      <c r="U2701" s="85" ph="1"/>
    </row>
    <row r="2702" spans="21:21" ht="26.4">
      <c r="U2702" s="85" ph="1"/>
    </row>
    <row r="2703" spans="21:21" ht="26.4">
      <c r="U2703" s="85" ph="1"/>
    </row>
    <row r="2704" spans="21:21" ht="26.4">
      <c r="U2704" s="85" ph="1"/>
    </row>
    <row r="2705" spans="21:21" ht="26.4">
      <c r="U2705" s="85" ph="1"/>
    </row>
    <row r="2706" spans="21:21" ht="26.4">
      <c r="U2706" s="85" ph="1"/>
    </row>
    <row r="2707" spans="21:21" ht="26.4">
      <c r="U2707" s="85" ph="1"/>
    </row>
    <row r="2708" spans="21:21" ht="26.4">
      <c r="U2708" s="85" ph="1"/>
    </row>
    <row r="2709" spans="21:21" ht="26.4">
      <c r="U2709" s="85" ph="1"/>
    </row>
    <row r="2710" spans="21:21" ht="26.4">
      <c r="U2710" s="85" ph="1"/>
    </row>
    <row r="2711" spans="21:21" ht="26.4">
      <c r="U2711" s="85" ph="1"/>
    </row>
    <row r="2712" spans="21:21" ht="26.4">
      <c r="U2712" s="85" ph="1"/>
    </row>
    <row r="2713" spans="21:21" ht="26.4">
      <c r="U2713" s="85" ph="1"/>
    </row>
    <row r="2714" spans="21:21" ht="26.4">
      <c r="U2714" s="85" ph="1"/>
    </row>
    <row r="2715" spans="21:21" ht="26.4">
      <c r="U2715" s="85" ph="1"/>
    </row>
    <row r="2716" spans="21:21" ht="26.4">
      <c r="U2716" s="85" ph="1"/>
    </row>
    <row r="2717" spans="21:21" ht="26.4">
      <c r="U2717" s="85" ph="1"/>
    </row>
    <row r="2718" spans="21:21" ht="26.4">
      <c r="U2718" s="85" ph="1"/>
    </row>
    <row r="2719" spans="21:21" ht="26.4">
      <c r="U2719" s="85" ph="1"/>
    </row>
    <row r="2720" spans="21:21" ht="26.4">
      <c r="U2720" s="85" ph="1"/>
    </row>
    <row r="2721" spans="21:21" ht="26.4">
      <c r="U2721" s="85" ph="1"/>
    </row>
    <row r="2722" spans="21:21" ht="26.4">
      <c r="U2722" s="85" ph="1"/>
    </row>
    <row r="2723" spans="21:21" ht="26.4">
      <c r="U2723" s="85" ph="1"/>
    </row>
    <row r="2724" spans="21:21" ht="26.4">
      <c r="U2724" s="85" ph="1"/>
    </row>
    <row r="2725" spans="21:21" ht="26.4">
      <c r="U2725" s="85" ph="1"/>
    </row>
    <row r="2726" spans="21:21" ht="26.4">
      <c r="U2726" s="85" ph="1"/>
    </row>
    <row r="2727" spans="21:21" ht="26.4">
      <c r="U2727" s="85" ph="1"/>
    </row>
    <row r="2728" spans="21:21" ht="26.4">
      <c r="U2728" s="85" ph="1"/>
    </row>
    <row r="2729" spans="21:21" ht="26.4">
      <c r="U2729" s="85" ph="1"/>
    </row>
    <row r="2730" spans="21:21" ht="26.4">
      <c r="U2730" s="85" ph="1"/>
    </row>
    <row r="2731" spans="21:21" ht="26.4">
      <c r="U2731" s="85" ph="1"/>
    </row>
    <row r="2732" spans="21:21" ht="26.4">
      <c r="U2732" s="85" ph="1"/>
    </row>
    <row r="2733" spans="21:21" ht="26.4">
      <c r="U2733" s="85" ph="1"/>
    </row>
    <row r="2734" spans="21:21" ht="26.4">
      <c r="U2734" s="85" ph="1"/>
    </row>
    <row r="2735" spans="21:21" ht="26.4">
      <c r="U2735" s="85" ph="1"/>
    </row>
    <row r="2736" spans="21:21" ht="26.4">
      <c r="U2736" s="85" ph="1"/>
    </row>
    <row r="2737" spans="21:21" ht="26.4">
      <c r="U2737" s="85" ph="1"/>
    </row>
    <row r="2738" spans="21:21" ht="26.4">
      <c r="U2738" s="85" ph="1"/>
    </row>
    <row r="2739" spans="21:21" ht="26.4">
      <c r="U2739" s="85" ph="1"/>
    </row>
    <row r="2740" spans="21:21" ht="26.4">
      <c r="U2740" s="85" ph="1"/>
    </row>
    <row r="2741" spans="21:21" ht="26.4">
      <c r="U2741" s="85" ph="1"/>
    </row>
    <row r="2742" spans="21:21" ht="26.4">
      <c r="U2742" s="85" ph="1"/>
    </row>
    <row r="2743" spans="21:21" ht="26.4">
      <c r="U2743" s="85" ph="1"/>
    </row>
    <row r="2744" spans="21:21" ht="26.4">
      <c r="U2744" s="85" ph="1"/>
    </row>
    <row r="2745" spans="21:21" ht="26.4">
      <c r="U2745" s="85" ph="1"/>
    </row>
    <row r="2746" spans="21:21" ht="26.4">
      <c r="U2746" s="85" ph="1"/>
    </row>
    <row r="2747" spans="21:21" ht="26.4">
      <c r="U2747" s="85" ph="1"/>
    </row>
    <row r="2748" spans="21:21" ht="26.4">
      <c r="U2748" s="85" ph="1"/>
    </row>
    <row r="2749" spans="21:21" ht="26.4">
      <c r="U2749" s="85" ph="1"/>
    </row>
    <row r="2750" spans="21:21" ht="26.4">
      <c r="U2750" s="85" ph="1"/>
    </row>
    <row r="2751" spans="21:21" ht="26.4">
      <c r="U2751" s="85" ph="1"/>
    </row>
    <row r="2752" spans="21:21" ht="26.4">
      <c r="U2752" s="85" ph="1"/>
    </row>
    <row r="2753" spans="21:21" ht="26.4">
      <c r="U2753" s="85" ph="1"/>
    </row>
    <row r="2754" spans="21:21" ht="26.4">
      <c r="U2754" s="85" ph="1"/>
    </row>
    <row r="2755" spans="21:21" ht="26.4">
      <c r="U2755" s="85" ph="1"/>
    </row>
    <row r="2756" spans="21:21" ht="26.4">
      <c r="U2756" s="85" ph="1"/>
    </row>
    <row r="2757" spans="21:21" ht="26.4">
      <c r="U2757" s="85" ph="1"/>
    </row>
    <row r="2758" spans="21:21" ht="26.4">
      <c r="U2758" s="85" ph="1"/>
    </row>
    <row r="2759" spans="21:21" ht="26.4">
      <c r="U2759" s="85" ph="1"/>
    </row>
    <row r="2760" spans="21:21" ht="26.4">
      <c r="U2760" s="85" ph="1"/>
    </row>
    <row r="2761" spans="21:21" ht="26.4">
      <c r="U2761" s="85" ph="1"/>
    </row>
    <row r="2762" spans="21:21" ht="26.4">
      <c r="U2762" s="85" ph="1"/>
    </row>
    <row r="2763" spans="21:21" ht="26.4">
      <c r="U2763" s="85" ph="1"/>
    </row>
    <row r="2764" spans="21:21" ht="26.4">
      <c r="U2764" s="85" ph="1"/>
    </row>
    <row r="2765" spans="21:21" ht="26.4">
      <c r="U2765" s="85" ph="1"/>
    </row>
    <row r="2766" spans="21:21" ht="26.4">
      <c r="U2766" s="85" ph="1"/>
    </row>
    <row r="2767" spans="21:21" ht="26.4">
      <c r="U2767" s="85" ph="1"/>
    </row>
    <row r="2768" spans="21:21" ht="26.4">
      <c r="U2768" s="85" ph="1"/>
    </row>
    <row r="2769" spans="21:21" ht="26.4">
      <c r="U2769" s="85" ph="1"/>
    </row>
    <row r="2770" spans="21:21" ht="26.4">
      <c r="U2770" s="85" ph="1"/>
    </row>
    <row r="2771" spans="21:21" ht="26.4">
      <c r="U2771" s="85" ph="1"/>
    </row>
    <row r="2772" spans="21:21" ht="26.4">
      <c r="U2772" s="85" ph="1"/>
    </row>
    <row r="2773" spans="21:21" ht="26.4">
      <c r="U2773" s="85" ph="1"/>
    </row>
    <row r="2774" spans="21:21" ht="26.4">
      <c r="U2774" s="85" ph="1"/>
    </row>
    <row r="2775" spans="21:21" ht="26.4">
      <c r="U2775" s="85" ph="1"/>
    </row>
    <row r="2776" spans="21:21" ht="26.4">
      <c r="U2776" s="85" ph="1"/>
    </row>
    <row r="2777" spans="21:21" ht="26.4">
      <c r="U2777" s="85" ph="1"/>
    </row>
    <row r="2778" spans="21:21" ht="26.4">
      <c r="U2778" s="85" ph="1"/>
    </row>
    <row r="2779" spans="21:21" ht="26.4">
      <c r="U2779" s="85" ph="1"/>
    </row>
    <row r="2780" spans="21:21" ht="26.4">
      <c r="U2780" s="85" ph="1"/>
    </row>
    <row r="2781" spans="21:21" ht="26.4">
      <c r="U2781" s="85" ph="1"/>
    </row>
    <row r="2782" spans="21:21" ht="26.4">
      <c r="U2782" s="85" ph="1"/>
    </row>
    <row r="2783" spans="21:21" ht="26.4">
      <c r="U2783" s="85" ph="1"/>
    </row>
    <row r="2784" spans="21:21" ht="26.4">
      <c r="U2784" s="85" ph="1"/>
    </row>
    <row r="2785" spans="21:21" ht="26.4">
      <c r="U2785" s="85" ph="1"/>
    </row>
    <row r="2786" spans="21:21" ht="26.4">
      <c r="U2786" s="85" ph="1"/>
    </row>
    <row r="2787" spans="21:21" ht="26.4">
      <c r="U2787" s="85" ph="1"/>
    </row>
    <row r="2788" spans="21:21" ht="26.4">
      <c r="U2788" s="85" ph="1"/>
    </row>
    <row r="2789" spans="21:21" ht="26.4">
      <c r="U2789" s="85" ph="1"/>
    </row>
    <row r="2790" spans="21:21" ht="26.4">
      <c r="U2790" s="85" ph="1"/>
    </row>
    <row r="2791" spans="21:21" ht="26.4">
      <c r="U2791" s="85" ph="1"/>
    </row>
    <row r="2792" spans="21:21" ht="26.4">
      <c r="U2792" s="85" ph="1"/>
    </row>
    <row r="2793" spans="21:21" ht="26.4">
      <c r="U2793" s="85" ph="1"/>
    </row>
    <row r="2794" spans="21:21" ht="26.4">
      <c r="U2794" s="85" ph="1"/>
    </row>
    <row r="2795" spans="21:21" ht="26.4">
      <c r="U2795" s="85" ph="1"/>
    </row>
    <row r="2796" spans="21:21" ht="26.4">
      <c r="U2796" s="85" ph="1"/>
    </row>
    <row r="2797" spans="21:21" ht="26.4">
      <c r="U2797" s="85" ph="1"/>
    </row>
    <row r="2798" spans="21:21" ht="26.4">
      <c r="U2798" s="85" ph="1"/>
    </row>
    <row r="2799" spans="21:21" ht="26.4">
      <c r="U2799" s="85" ph="1"/>
    </row>
    <row r="2800" spans="21:21" ht="26.4">
      <c r="U2800" s="85" ph="1"/>
    </row>
    <row r="2801" spans="21:21" ht="26.4">
      <c r="U2801" s="85" ph="1"/>
    </row>
    <row r="2802" spans="21:21" ht="26.4">
      <c r="U2802" s="85" ph="1"/>
    </row>
    <row r="2803" spans="21:21" ht="26.4">
      <c r="U2803" s="85" ph="1"/>
    </row>
    <row r="2804" spans="21:21" ht="26.4">
      <c r="U2804" s="85" ph="1"/>
    </row>
    <row r="2805" spans="21:21" ht="26.4">
      <c r="U2805" s="85" ph="1"/>
    </row>
    <row r="2806" spans="21:21" ht="26.4">
      <c r="U2806" s="85" ph="1"/>
    </row>
    <row r="2807" spans="21:21" ht="26.4">
      <c r="U2807" s="85" ph="1"/>
    </row>
    <row r="2808" spans="21:21" ht="26.4">
      <c r="U2808" s="85" ph="1"/>
    </row>
    <row r="2809" spans="21:21" ht="26.4">
      <c r="U2809" s="85" ph="1"/>
    </row>
    <row r="2810" spans="21:21" ht="26.4">
      <c r="U2810" s="85" ph="1"/>
    </row>
    <row r="2811" spans="21:21" ht="26.4">
      <c r="U2811" s="85" ph="1"/>
    </row>
    <row r="2812" spans="21:21" ht="26.4">
      <c r="U2812" s="85" ph="1"/>
    </row>
    <row r="2813" spans="21:21" ht="26.4">
      <c r="U2813" s="85" ph="1"/>
    </row>
    <row r="2814" spans="21:21" ht="26.4">
      <c r="U2814" s="85" ph="1"/>
    </row>
    <row r="2815" spans="21:21" ht="26.4">
      <c r="U2815" s="85" ph="1"/>
    </row>
    <row r="2816" spans="21:21" ht="26.4">
      <c r="U2816" s="85" ph="1"/>
    </row>
    <row r="2817" spans="21:21" ht="26.4">
      <c r="U2817" s="85" ph="1"/>
    </row>
    <row r="2818" spans="21:21" ht="26.4">
      <c r="U2818" s="85" ph="1"/>
    </row>
    <row r="2819" spans="21:21" ht="26.4">
      <c r="U2819" s="85" ph="1"/>
    </row>
    <row r="2820" spans="21:21" ht="26.4">
      <c r="U2820" s="85" ph="1"/>
    </row>
    <row r="2821" spans="21:21" ht="26.4">
      <c r="U2821" s="85" ph="1"/>
    </row>
    <row r="2822" spans="21:21" ht="26.4">
      <c r="U2822" s="85" ph="1"/>
    </row>
    <row r="2823" spans="21:21" ht="26.4">
      <c r="U2823" s="85" ph="1"/>
    </row>
    <row r="2824" spans="21:21" ht="26.4">
      <c r="U2824" s="85" ph="1"/>
    </row>
    <row r="2825" spans="21:21" ht="26.4">
      <c r="U2825" s="85" ph="1"/>
    </row>
    <row r="2826" spans="21:21" ht="26.4">
      <c r="U2826" s="85" ph="1"/>
    </row>
    <row r="2827" spans="21:21" ht="26.4">
      <c r="U2827" s="85" ph="1"/>
    </row>
    <row r="2828" spans="21:21" ht="26.4">
      <c r="U2828" s="85" ph="1"/>
    </row>
    <row r="2829" spans="21:21" ht="26.4">
      <c r="U2829" s="85" ph="1"/>
    </row>
    <row r="2830" spans="21:21" ht="26.4">
      <c r="U2830" s="85" ph="1"/>
    </row>
    <row r="2831" spans="21:21" ht="26.4">
      <c r="U2831" s="85" ph="1"/>
    </row>
    <row r="2832" spans="21:21" ht="26.4">
      <c r="U2832" s="85" ph="1"/>
    </row>
    <row r="2833" spans="21:21" ht="26.4">
      <c r="U2833" s="85" ph="1"/>
    </row>
    <row r="2834" spans="21:21" ht="26.4">
      <c r="U2834" s="85" ph="1"/>
    </row>
    <row r="2835" spans="21:21" ht="26.4">
      <c r="U2835" s="85" ph="1"/>
    </row>
    <row r="2836" spans="21:21" ht="26.4">
      <c r="U2836" s="85" ph="1"/>
    </row>
    <row r="2837" spans="21:21" ht="26.4">
      <c r="U2837" s="85" ph="1"/>
    </row>
    <row r="2838" spans="21:21" ht="26.4">
      <c r="U2838" s="85" ph="1"/>
    </row>
    <row r="2839" spans="21:21" ht="26.4">
      <c r="U2839" s="85" ph="1"/>
    </row>
    <row r="2840" spans="21:21" ht="26.4">
      <c r="U2840" s="85" ph="1"/>
    </row>
    <row r="2841" spans="21:21" ht="26.4">
      <c r="U2841" s="85" ph="1"/>
    </row>
    <row r="2842" spans="21:21" ht="26.4">
      <c r="U2842" s="85" ph="1"/>
    </row>
    <row r="2843" spans="21:21" ht="26.4">
      <c r="U2843" s="85" ph="1"/>
    </row>
    <row r="2844" spans="21:21" ht="26.4">
      <c r="U2844" s="85" ph="1"/>
    </row>
    <row r="2845" spans="21:21" ht="26.4">
      <c r="U2845" s="85" ph="1"/>
    </row>
    <row r="2846" spans="21:21" ht="26.4">
      <c r="U2846" s="85" ph="1"/>
    </row>
    <row r="2847" spans="21:21" ht="26.4">
      <c r="U2847" s="85" ph="1"/>
    </row>
    <row r="2848" spans="21:21" ht="26.4">
      <c r="U2848" s="85" ph="1"/>
    </row>
    <row r="2849" spans="21:21" ht="26.4">
      <c r="U2849" s="85" ph="1"/>
    </row>
    <row r="2850" spans="21:21" ht="26.4">
      <c r="U2850" s="85" ph="1"/>
    </row>
    <row r="2851" spans="21:21" ht="26.4">
      <c r="U2851" s="85" ph="1"/>
    </row>
    <row r="2852" spans="21:21" ht="26.4">
      <c r="U2852" s="85" ph="1"/>
    </row>
    <row r="2853" spans="21:21" ht="26.4">
      <c r="U2853" s="85" ph="1"/>
    </row>
    <row r="2854" spans="21:21" ht="26.4">
      <c r="U2854" s="85" ph="1"/>
    </row>
    <row r="2855" spans="21:21" ht="26.4">
      <c r="U2855" s="85" ph="1"/>
    </row>
    <row r="2856" spans="21:21" ht="26.4">
      <c r="U2856" s="85" ph="1"/>
    </row>
    <row r="2857" spans="21:21" ht="26.4">
      <c r="U2857" s="85" ph="1"/>
    </row>
    <row r="2858" spans="21:21" ht="26.4">
      <c r="U2858" s="85" ph="1"/>
    </row>
    <row r="2859" spans="21:21" ht="26.4">
      <c r="U2859" s="85" ph="1"/>
    </row>
    <row r="2860" spans="21:21" ht="26.4">
      <c r="U2860" s="85" ph="1"/>
    </row>
    <row r="2861" spans="21:21" ht="26.4">
      <c r="U2861" s="85" ph="1"/>
    </row>
    <row r="2862" spans="21:21" ht="26.4">
      <c r="U2862" s="85" ph="1"/>
    </row>
    <row r="2863" spans="21:21" ht="26.4">
      <c r="U2863" s="85" ph="1"/>
    </row>
    <row r="2864" spans="21:21" ht="26.4">
      <c r="U2864" s="85" ph="1"/>
    </row>
    <row r="2865" spans="21:21" ht="26.4">
      <c r="U2865" s="85" ph="1"/>
    </row>
    <row r="2866" spans="21:21" ht="26.4">
      <c r="U2866" s="85" ph="1"/>
    </row>
    <row r="2867" spans="21:21" ht="26.4">
      <c r="U2867" s="85" ph="1"/>
    </row>
    <row r="2868" spans="21:21" ht="26.4">
      <c r="U2868" s="85" ph="1"/>
    </row>
    <row r="2869" spans="21:21" ht="26.4">
      <c r="U2869" s="85" ph="1"/>
    </row>
    <row r="2870" spans="21:21" ht="26.4">
      <c r="U2870" s="85" ph="1"/>
    </row>
    <row r="2871" spans="21:21" ht="26.4">
      <c r="U2871" s="85" ph="1"/>
    </row>
    <row r="2872" spans="21:21" ht="26.4">
      <c r="U2872" s="85" ph="1"/>
    </row>
    <row r="2873" spans="21:21" ht="26.4">
      <c r="U2873" s="85" ph="1"/>
    </row>
    <row r="2874" spans="21:21" ht="26.4">
      <c r="U2874" s="85" ph="1"/>
    </row>
    <row r="2875" spans="21:21" ht="26.4">
      <c r="U2875" s="85" ph="1"/>
    </row>
    <row r="2876" spans="21:21" ht="26.4">
      <c r="U2876" s="85" ph="1"/>
    </row>
    <row r="2877" spans="21:21" ht="26.4">
      <c r="U2877" s="85" ph="1"/>
    </row>
    <row r="2878" spans="21:21" ht="26.4">
      <c r="U2878" s="85" ph="1"/>
    </row>
    <row r="2879" spans="21:21" ht="26.4">
      <c r="U2879" s="85" ph="1"/>
    </row>
    <row r="2880" spans="21:21" ht="26.4">
      <c r="U2880" s="85" ph="1"/>
    </row>
    <row r="2881" spans="21:21" ht="26.4">
      <c r="U2881" s="85" ph="1"/>
    </row>
    <row r="2882" spans="21:21" ht="26.4">
      <c r="U2882" s="85" ph="1"/>
    </row>
    <row r="2883" spans="21:21" ht="26.4">
      <c r="U2883" s="85" ph="1"/>
    </row>
    <row r="2884" spans="21:21" ht="26.4">
      <c r="U2884" s="85" ph="1"/>
    </row>
    <row r="2885" spans="21:21" ht="26.4">
      <c r="U2885" s="85" ph="1"/>
    </row>
    <row r="2886" spans="21:21" ht="26.4">
      <c r="U2886" s="85" ph="1"/>
    </row>
    <row r="2887" spans="21:21" ht="26.4">
      <c r="U2887" s="85" ph="1"/>
    </row>
    <row r="2888" spans="21:21" ht="26.4">
      <c r="U2888" s="85" ph="1"/>
    </row>
    <row r="2889" spans="21:21" ht="26.4">
      <c r="U2889" s="85" ph="1"/>
    </row>
    <row r="2890" spans="21:21" ht="26.4">
      <c r="U2890" s="85" ph="1"/>
    </row>
    <row r="2891" spans="21:21" ht="26.4">
      <c r="U2891" s="85" ph="1"/>
    </row>
    <row r="2892" spans="21:21" ht="26.4">
      <c r="U2892" s="85" ph="1"/>
    </row>
    <row r="2893" spans="21:21" ht="26.4">
      <c r="U2893" s="85" ph="1"/>
    </row>
    <row r="2894" spans="21:21" ht="26.4">
      <c r="U2894" s="85" ph="1"/>
    </row>
    <row r="2895" spans="21:21" ht="26.4">
      <c r="U2895" s="85" ph="1"/>
    </row>
    <row r="2896" spans="21:21" ht="26.4">
      <c r="U2896" s="85" ph="1"/>
    </row>
    <row r="2897" spans="21:21" ht="26.4">
      <c r="U2897" s="85" ph="1"/>
    </row>
    <row r="2898" spans="21:21" ht="26.4">
      <c r="U2898" s="85" ph="1"/>
    </row>
    <row r="2899" spans="21:21" ht="26.4">
      <c r="U2899" s="85" ph="1"/>
    </row>
    <row r="2900" spans="21:21" ht="26.4">
      <c r="U2900" s="85" ph="1"/>
    </row>
    <row r="2901" spans="21:21" ht="26.4">
      <c r="U2901" s="85" ph="1"/>
    </row>
    <row r="2902" spans="21:21" ht="26.4">
      <c r="U2902" s="85" ph="1"/>
    </row>
    <row r="2903" spans="21:21" ht="26.4">
      <c r="U2903" s="85" ph="1"/>
    </row>
    <row r="2904" spans="21:21" ht="26.4">
      <c r="U2904" s="85" ph="1"/>
    </row>
    <row r="2905" spans="21:21" ht="26.4">
      <c r="U2905" s="85" ph="1"/>
    </row>
    <row r="2906" spans="21:21" ht="26.4">
      <c r="U2906" s="85" ph="1"/>
    </row>
    <row r="2907" spans="21:21" ht="26.4">
      <c r="U2907" s="85" ph="1"/>
    </row>
    <row r="2908" spans="21:21" ht="26.4">
      <c r="U2908" s="85" ph="1"/>
    </row>
    <row r="2909" spans="21:21" ht="26.4">
      <c r="U2909" s="85" ph="1"/>
    </row>
    <row r="2910" spans="21:21" ht="26.4">
      <c r="U2910" s="85" ph="1"/>
    </row>
    <row r="2911" spans="21:21" ht="26.4">
      <c r="U2911" s="85" ph="1"/>
    </row>
    <row r="2912" spans="21:21" ht="26.4">
      <c r="U2912" s="85" ph="1"/>
    </row>
    <row r="2913" spans="21:21" ht="26.4">
      <c r="U2913" s="85" ph="1"/>
    </row>
    <row r="2914" spans="21:21" ht="26.4">
      <c r="U2914" s="85" ph="1"/>
    </row>
    <row r="2915" spans="21:21" ht="26.4">
      <c r="U2915" s="85" ph="1"/>
    </row>
    <row r="2916" spans="21:21" ht="26.4">
      <c r="U2916" s="85" ph="1"/>
    </row>
    <row r="2917" spans="21:21" ht="26.4">
      <c r="U2917" s="85" ph="1"/>
    </row>
    <row r="2918" spans="21:21" ht="26.4">
      <c r="U2918" s="85" ph="1"/>
    </row>
    <row r="2919" spans="21:21" ht="26.4">
      <c r="U2919" s="85" ph="1"/>
    </row>
    <row r="2920" spans="21:21" ht="26.4">
      <c r="U2920" s="85" ph="1"/>
    </row>
    <row r="2921" spans="21:21" ht="26.4">
      <c r="U2921" s="85" ph="1"/>
    </row>
    <row r="2922" spans="21:21" ht="26.4">
      <c r="U2922" s="85" ph="1"/>
    </row>
    <row r="2923" spans="21:21" ht="26.4">
      <c r="U2923" s="85" ph="1"/>
    </row>
    <row r="2924" spans="21:21" ht="26.4">
      <c r="U2924" s="85" ph="1"/>
    </row>
    <row r="2925" spans="21:21" ht="26.4">
      <c r="U2925" s="85" ph="1"/>
    </row>
    <row r="2926" spans="21:21" ht="26.4">
      <c r="U2926" s="85" ph="1"/>
    </row>
    <row r="2927" spans="21:21" ht="26.4">
      <c r="U2927" s="85" ph="1"/>
    </row>
    <row r="2928" spans="21:21" ht="26.4">
      <c r="U2928" s="85" ph="1"/>
    </row>
    <row r="2929" spans="21:21" ht="26.4">
      <c r="U2929" s="85" ph="1"/>
    </row>
    <row r="2930" spans="21:21" ht="26.4">
      <c r="U2930" s="85" ph="1"/>
    </row>
    <row r="2931" spans="21:21" ht="26.4">
      <c r="U2931" s="85" ph="1"/>
    </row>
    <row r="2932" spans="21:21" ht="26.4">
      <c r="U2932" s="85" ph="1"/>
    </row>
    <row r="2933" spans="21:21" ht="26.4">
      <c r="U2933" s="85" ph="1"/>
    </row>
    <row r="2934" spans="21:21" ht="26.4">
      <c r="U2934" s="85" ph="1"/>
    </row>
    <row r="2935" spans="21:21" ht="26.4">
      <c r="U2935" s="85" ph="1"/>
    </row>
    <row r="2936" spans="21:21" ht="26.4">
      <c r="U2936" s="85" ph="1"/>
    </row>
    <row r="2937" spans="21:21" ht="26.4">
      <c r="U2937" s="85" ph="1"/>
    </row>
    <row r="2938" spans="21:21" ht="26.4">
      <c r="U2938" s="85" ph="1"/>
    </row>
    <row r="2939" spans="21:21" ht="26.4">
      <c r="U2939" s="85" ph="1"/>
    </row>
    <row r="2940" spans="21:21" ht="26.4">
      <c r="U2940" s="85" ph="1"/>
    </row>
    <row r="2941" spans="21:21" ht="26.4">
      <c r="U2941" s="85" ph="1"/>
    </row>
    <row r="2942" spans="21:21" ht="26.4">
      <c r="U2942" s="85" ph="1"/>
    </row>
    <row r="2943" spans="21:21" ht="26.4">
      <c r="U2943" s="85" ph="1"/>
    </row>
    <row r="2944" spans="21:21" ht="26.4">
      <c r="U2944" s="85" ph="1"/>
    </row>
    <row r="2945" spans="21:21" ht="26.4">
      <c r="U2945" s="85" ph="1"/>
    </row>
    <row r="2946" spans="21:21" ht="26.4">
      <c r="U2946" s="85" ph="1"/>
    </row>
    <row r="2947" spans="21:21" ht="26.4">
      <c r="U2947" s="85" ph="1"/>
    </row>
    <row r="2948" spans="21:21" ht="26.4">
      <c r="U2948" s="85" ph="1"/>
    </row>
    <row r="2949" spans="21:21" ht="26.4">
      <c r="U2949" s="85" ph="1"/>
    </row>
    <row r="2950" spans="21:21" ht="26.4">
      <c r="U2950" s="85" ph="1"/>
    </row>
    <row r="2951" spans="21:21" ht="26.4">
      <c r="U2951" s="85" ph="1"/>
    </row>
    <row r="2952" spans="21:21" ht="26.4">
      <c r="U2952" s="85" ph="1"/>
    </row>
    <row r="2953" spans="21:21" ht="26.4">
      <c r="U2953" s="85" ph="1"/>
    </row>
    <row r="2954" spans="21:21" ht="26.4">
      <c r="U2954" s="85" ph="1"/>
    </row>
    <row r="2955" spans="21:21" ht="26.4">
      <c r="U2955" s="85" ph="1"/>
    </row>
    <row r="2956" spans="21:21" ht="26.4">
      <c r="U2956" s="85" ph="1"/>
    </row>
    <row r="2957" spans="21:21" ht="26.4">
      <c r="U2957" s="85" ph="1"/>
    </row>
    <row r="2958" spans="21:21" ht="26.4">
      <c r="U2958" s="85" ph="1"/>
    </row>
    <row r="2959" spans="21:21" ht="26.4">
      <c r="U2959" s="85" ph="1"/>
    </row>
    <row r="2960" spans="21:21" ht="26.4">
      <c r="U2960" s="85" ph="1"/>
    </row>
    <row r="2961" spans="21:21" ht="26.4">
      <c r="U2961" s="85" ph="1"/>
    </row>
    <row r="2962" spans="21:21" ht="26.4">
      <c r="U2962" s="85" ph="1"/>
    </row>
    <row r="2963" spans="21:21" ht="26.4">
      <c r="U2963" s="85" ph="1"/>
    </row>
    <row r="2964" spans="21:21" ht="26.4">
      <c r="U2964" s="85" ph="1"/>
    </row>
    <row r="2965" spans="21:21" ht="26.4">
      <c r="U2965" s="85" ph="1"/>
    </row>
    <row r="2966" spans="21:21" ht="26.4">
      <c r="U2966" s="85" ph="1"/>
    </row>
    <row r="2967" spans="21:21" ht="26.4">
      <c r="U2967" s="85" ph="1"/>
    </row>
    <row r="2968" spans="21:21" ht="26.4">
      <c r="U2968" s="85" ph="1"/>
    </row>
    <row r="2969" spans="21:21" ht="26.4">
      <c r="U2969" s="85" ph="1"/>
    </row>
    <row r="2970" spans="21:21" ht="26.4">
      <c r="U2970" s="85" ph="1"/>
    </row>
    <row r="2971" spans="21:21" ht="26.4">
      <c r="U2971" s="85" ph="1"/>
    </row>
    <row r="2972" spans="21:21" ht="26.4">
      <c r="U2972" s="85" ph="1"/>
    </row>
    <row r="2973" spans="21:21" ht="26.4">
      <c r="U2973" s="85" ph="1"/>
    </row>
    <row r="2974" spans="21:21" ht="26.4">
      <c r="U2974" s="85" ph="1"/>
    </row>
    <row r="2975" spans="21:21" ht="26.4">
      <c r="U2975" s="85" ph="1"/>
    </row>
    <row r="2976" spans="21:21" ht="26.4">
      <c r="U2976" s="85" ph="1"/>
    </row>
    <row r="2977" spans="21:21" ht="26.4">
      <c r="U2977" s="85" ph="1"/>
    </row>
    <row r="2978" spans="21:21" ht="26.4">
      <c r="U2978" s="85" ph="1"/>
    </row>
    <row r="2979" spans="21:21" ht="26.4">
      <c r="U2979" s="85" ph="1"/>
    </row>
    <row r="2980" spans="21:21" ht="26.4">
      <c r="U2980" s="85" ph="1"/>
    </row>
    <row r="2981" spans="21:21" ht="26.4">
      <c r="U2981" s="85" ph="1"/>
    </row>
    <row r="2982" spans="21:21" ht="26.4">
      <c r="U2982" s="85" ph="1"/>
    </row>
    <row r="2983" spans="21:21" ht="26.4">
      <c r="U2983" s="85" ph="1"/>
    </row>
    <row r="2984" spans="21:21" ht="26.4">
      <c r="U2984" s="85" ph="1"/>
    </row>
    <row r="2985" spans="21:21" ht="26.4">
      <c r="U2985" s="85" ph="1"/>
    </row>
    <row r="2986" spans="21:21" ht="26.4">
      <c r="U2986" s="85" ph="1"/>
    </row>
    <row r="2987" spans="21:21" ht="26.4">
      <c r="U2987" s="85" ph="1"/>
    </row>
    <row r="2988" spans="21:21" ht="26.4">
      <c r="U2988" s="85" ph="1"/>
    </row>
    <row r="2989" spans="21:21" ht="26.4">
      <c r="U2989" s="85" ph="1"/>
    </row>
    <row r="2990" spans="21:21" ht="26.4">
      <c r="U2990" s="85" ph="1"/>
    </row>
    <row r="2991" spans="21:21" ht="26.4">
      <c r="U2991" s="85" ph="1"/>
    </row>
    <row r="2992" spans="21:21" ht="26.4">
      <c r="U2992" s="85" ph="1"/>
    </row>
    <row r="2993" spans="21:21" ht="26.4">
      <c r="U2993" s="85" ph="1"/>
    </row>
    <row r="2994" spans="21:21" ht="26.4">
      <c r="U2994" s="85" ph="1"/>
    </row>
    <row r="2995" spans="21:21" ht="26.4">
      <c r="U2995" s="85" ph="1"/>
    </row>
    <row r="2996" spans="21:21" ht="26.4">
      <c r="U2996" s="85" ph="1"/>
    </row>
    <row r="2997" spans="21:21" ht="26.4">
      <c r="U2997" s="85" ph="1"/>
    </row>
    <row r="2998" spans="21:21" ht="26.4">
      <c r="U2998" s="85" ph="1"/>
    </row>
    <row r="2999" spans="21:21" ht="26.4">
      <c r="U2999" s="85" ph="1"/>
    </row>
    <row r="3000" spans="21:21" ht="26.4">
      <c r="U3000" s="85" ph="1"/>
    </row>
    <row r="3001" spans="21:21" ht="26.4">
      <c r="U3001" s="85" ph="1"/>
    </row>
    <row r="3002" spans="21:21" ht="26.4">
      <c r="U3002" s="85" ph="1"/>
    </row>
    <row r="3003" spans="21:21" ht="26.4">
      <c r="U3003" s="85" ph="1"/>
    </row>
    <row r="3004" spans="21:21" ht="26.4">
      <c r="U3004" s="85" ph="1"/>
    </row>
    <row r="3005" spans="21:21" ht="26.4">
      <c r="U3005" s="85" ph="1"/>
    </row>
    <row r="3006" spans="21:21" ht="26.4">
      <c r="U3006" s="85" ph="1"/>
    </row>
    <row r="3007" spans="21:21" ht="26.4">
      <c r="U3007" s="85" ph="1"/>
    </row>
    <row r="3008" spans="21:21" ht="26.4">
      <c r="U3008" s="85" ph="1"/>
    </row>
    <row r="3009" spans="21:21" ht="26.4">
      <c r="U3009" s="85" ph="1"/>
    </row>
    <row r="3010" spans="21:21" ht="26.4">
      <c r="U3010" s="85" ph="1"/>
    </row>
    <row r="3011" spans="21:21" ht="26.4">
      <c r="U3011" s="85" ph="1"/>
    </row>
    <row r="3012" spans="21:21" ht="26.4">
      <c r="U3012" s="85" ph="1"/>
    </row>
    <row r="3013" spans="21:21" ht="26.4">
      <c r="U3013" s="85" ph="1"/>
    </row>
    <row r="3014" spans="21:21" ht="26.4">
      <c r="U3014" s="85" ph="1"/>
    </row>
    <row r="3015" spans="21:21" ht="26.4">
      <c r="U3015" s="85" ph="1"/>
    </row>
    <row r="3016" spans="21:21" ht="26.4">
      <c r="U3016" s="85" ph="1"/>
    </row>
    <row r="3017" spans="21:21" ht="26.4">
      <c r="U3017" s="85" ph="1"/>
    </row>
    <row r="3018" spans="21:21" ht="26.4">
      <c r="U3018" s="85" ph="1"/>
    </row>
    <row r="3019" spans="21:21" ht="26.4">
      <c r="U3019" s="85" ph="1"/>
    </row>
    <row r="3020" spans="21:21" ht="26.4">
      <c r="U3020" s="85" ph="1"/>
    </row>
    <row r="3021" spans="21:21" ht="26.4">
      <c r="U3021" s="85" ph="1"/>
    </row>
    <row r="3022" spans="21:21" ht="26.4">
      <c r="U3022" s="85" ph="1"/>
    </row>
    <row r="3023" spans="21:21" ht="26.4">
      <c r="U3023" s="85" ph="1"/>
    </row>
    <row r="3024" spans="21:21" ht="26.4">
      <c r="U3024" s="85" ph="1"/>
    </row>
    <row r="3025" spans="21:21" ht="26.4">
      <c r="U3025" s="85" ph="1"/>
    </row>
    <row r="3026" spans="21:21" ht="26.4">
      <c r="U3026" s="85" ph="1"/>
    </row>
    <row r="3027" spans="21:21" ht="26.4">
      <c r="U3027" s="85" ph="1"/>
    </row>
    <row r="3028" spans="21:21" ht="26.4">
      <c r="U3028" s="85" ph="1"/>
    </row>
    <row r="3029" spans="21:21" ht="26.4">
      <c r="U3029" s="85" ph="1"/>
    </row>
    <row r="3030" spans="21:21" ht="26.4">
      <c r="U3030" s="85" ph="1"/>
    </row>
    <row r="3031" spans="21:21" ht="26.4">
      <c r="U3031" s="85" ph="1"/>
    </row>
    <row r="3032" spans="21:21" ht="26.4">
      <c r="U3032" s="85" ph="1"/>
    </row>
    <row r="3033" spans="21:21" ht="26.4">
      <c r="U3033" s="85" ph="1"/>
    </row>
    <row r="3034" spans="21:21" ht="26.4">
      <c r="U3034" s="85" ph="1"/>
    </row>
    <row r="3035" spans="21:21" ht="26.4">
      <c r="U3035" s="85" ph="1"/>
    </row>
    <row r="3036" spans="21:21" ht="26.4">
      <c r="U3036" s="85" ph="1"/>
    </row>
    <row r="3037" spans="21:21" ht="26.4">
      <c r="U3037" s="85" ph="1"/>
    </row>
    <row r="3038" spans="21:21" ht="26.4">
      <c r="U3038" s="85" ph="1"/>
    </row>
    <row r="3039" spans="21:21" ht="26.4">
      <c r="U3039" s="85" ph="1"/>
    </row>
    <row r="3040" spans="21:21" ht="26.4">
      <c r="U3040" s="85" ph="1"/>
    </row>
    <row r="3041" spans="21:21" ht="26.4">
      <c r="U3041" s="85" ph="1"/>
    </row>
    <row r="3042" spans="21:21" ht="26.4">
      <c r="U3042" s="85" ph="1"/>
    </row>
    <row r="3043" spans="21:21" ht="26.4">
      <c r="U3043" s="85" ph="1"/>
    </row>
    <row r="3044" spans="21:21" ht="26.4">
      <c r="U3044" s="85" ph="1"/>
    </row>
    <row r="3045" spans="21:21" ht="26.4">
      <c r="U3045" s="85" ph="1"/>
    </row>
    <row r="3046" spans="21:21" ht="26.4">
      <c r="U3046" s="85" ph="1"/>
    </row>
    <row r="3047" spans="21:21" ht="26.4">
      <c r="U3047" s="85" ph="1"/>
    </row>
    <row r="3048" spans="21:21" ht="26.4">
      <c r="U3048" s="85" ph="1"/>
    </row>
    <row r="3049" spans="21:21" ht="26.4">
      <c r="U3049" s="85" ph="1"/>
    </row>
    <row r="3050" spans="21:21" ht="26.4">
      <c r="U3050" s="85" ph="1"/>
    </row>
    <row r="3051" spans="21:21" ht="26.4">
      <c r="U3051" s="85" ph="1"/>
    </row>
    <row r="3052" spans="21:21" ht="26.4">
      <c r="U3052" s="85" ph="1"/>
    </row>
    <row r="3053" spans="21:21" ht="26.4">
      <c r="U3053" s="85" ph="1"/>
    </row>
    <row r="3054" spans="21:21" ht="26.4">
      <c r="U3054" s="85" ph="1"/>
    </row>
    <row r="3055" spans="21:21" ht="26.4">
      <c r="U3055" s="85" ph="1"/>
    </row>
    <row r="3056" spans="21:21" ht="26.4">
      <c r="U3056" s="85" ph="1"/>
    </row>
    <row r="3057" spans="21:21" ht="26.4">
      <c r="U3057" s="85" ph="1"/>
    </row>
    <row r="3058" spans="21:21" ht="26.4">
      <c r="U3058" s="85" ph="1"/>
    </row>
    <row r="3059" spans="21:21" ht="26.4">
      <c r="U3059" s="85" ph="1"/>
    </row>
    <row r="3060" spans="21:21" ht="26.4">
      <c r="U3060" s="85" ph="1"/>
    </row>
    <row r="3061" spans="21:21" ht="26.4">
      <c r="U3061" s="85" ph="1"/>
    </row>
    <row r="3062" spans="21:21" ht="26.4">
      <c r="U3062" s="85" ph="1"/>
    </row>
    <row r="3063" spans="21:21" ht="26.4">
      <c r="U3063" s="85" ph="1"/>
    </row>
    <row r="3064" spans="21:21" ht="26.4">
      <c r="U3064" s="85" ph="1"/>
    </row>
    <row r="3065" spans="21:21" ht="26.4">
      <c r="U3065" s="85" ph="1"/>
    </row>
    <row r="3066" spans="21:21" ht="26.4">
      <c r="U3066" s="85" ph="1"/>
    </row>
    <row r="3067" spans="21:21" ht="26.4">
      <c r="U3067" s="85" ph="1"/>
    </row>
    <row r="3068" spans="21:21" ht="26.4">
      <c r="U3068" s="85" ph="1"/>
    </row>
    <row r="3069" spans="21:21" ht="26.4">
      <c r="U3069" s="85" ph="1"/>
    </row>
    <row r="3070" spans="21:21" ht="26.4">
      <c r="U3070" s="85" ph="1"/>
    </row>
    <row r="3071" spans="21:21" ht="26.4">
      <c r="U3071" s="85" ph="1"/>
    </row>
    <row r="3072" spans="21:21" ht="26.4">
      <c r="U3072" s="85" ph="1"/>
    </row>
    <row r="3073" spans="21:21" ht="26.4">
      <c r="U3073" s="85" ph="1"/>
    </row>
    <row r="3074" spans="21:21" ht="26.4">
      <c r="U3074" s="85" ph="1"/>
    </row>
    <row r="3075" spans="21:21" ht="26.4">
      <c r="U3075" s="85" ph="1"/>
    </row>
    <row r="3076" spans="21:21" ht="26.4">
      <c r="U3076" s="85" ph="1"/>
    </row>
    <row r="3077" spans="21:21" ht="26.4">
      <c r="U3077" s="85" ph="1"/>
    </row>
    <row r="3078" spans="21:21" ht="26.4">
      <c r="U3078" s="85" ph="1"/>
    </row>
    <row r="3079" spans="21:21" ht="26.4">
      <c r="U3079" s="85" ph="1"/>
    </row>
    <row r="3080" spans="21:21" ht="26.4">
      <c r="U3080" s="85" ph="1"/>
    </row>
    <row r="3081" spans="21:21" ht="26.4">
      <c r="U3081" s="85" ph="1"/>
    </row>
    <row r="3082" spans="21:21" ht="26.4">
      <c r="U3082" s="85" ph="1"/>
    </row>
    <row r="3083" spans="21:21" ht="26.4">
      <c r="U3083" s="85" ph="1"/>
    </row>
    <row r="3084" spans="21:21" ht="26.4">
      <c r="U3084" s="85" ph="1"/>
    </row>
    <row r="3085" spans="21:21" ht="26.4">
      <c r="U3085" s="85" ph="1"/>
    </row>
    <row r="3086" spans="21:21" ht="26.4">
      <c r="U3086" s="85" ph="1"/>
    </row>
    <row r="3087" spans="21:21" ht="26.4">
      <c r="U3087" s="85" ph="1"/>
    </row>
    <row r="3088" spans="21:21" ht="26.4">
      <c r="U3088" s="85" ph="1"/>
    </row>
    <row r="3089" spans="21:21" ht="26.4">
      <c r="U3089" s="85" ph="1"/>
    </row>
    <row r="3090" spans="21:21" ht="26.4">
      <c r="U3090" s="85" ph="1"/>
    </row>
    <row r="3091" spans="21:21" ht="26.4">
      <c r="U3091" s="85" ph="1"/>
    </row>
    <row r="3092" spans="21:21" ht="26.4">
      <c r="U3092" s="85" ph="1"/>
    </row>
    <row r="3093" spans="21:21" ht="26.4">
      <c r="U3093" s="85" ph="1"/>
    </row>
    <row r="3094" spans="21:21" ht="26.4">
      <c r="U3094" s="85" ph="1"/>
    </row>
    <row r="3095" spans="21:21" ht="26.4">
      <c r="U3095" s="85" ph="1"/>
    </row>
    <row r="3096" spans="21:21" ht="26.4">
      <c r="U3096" s="85" ph="1"/>
    </row>
    <row r="3097" spans="21:21" ht="26.4">
      <c r="U3097" s="85" ph="1"/>
    </row>
    <row r="3098" spans="21:21" ht="26.4">
      <c r="U3098" s="85" ph="1"/>
    </row>
    <row r="3099" spans="21:21" ht="26.4">
      <c r="U3099" s="85" ph="1"/>
    </row>
    <row r="3100" spans="21:21" ht="26.4">
      <c r="U3100" s="85" ph="1"/>
    </row>
    <row r="3101" spans="21:21" ht="26.4">
      <c r="U3101" s="85" ph="1"/>
    </row>
    <row r="3102" spans="21:21" ht="26.4">
      <c r="U3102" s="85" ph="1"/>
    </row>
    <row r="3103" spans="21:21" ht="26.4">
      <c r="U3103" s="85" ph="1"/>
    </row>
    <row r="3104" spans="21:21" ht="26.4">
      <c r="U3104" s="85" ph="1"/>
    </row>
    <row r="3105" spans="21:21" ht="26.4">
      <c r="U3105" s="85" ph="1"/>
    </row>
    <row r="3106" spans="21:21" ht="26.4">
      <c r="U3106" s="85" ph="1"/>
    </row>
    <row r="3107" spans="21:21" ht="26.4">
      <c r="U3107" s="85" ph="1"/>
    </row>
    <row r="3108" spans="21:21" ht="26.4">
      <c r="U3108" s="85" ph="1"/>
    </row>
    <row r="3109" spans="21:21" ht="26.4">
      <c r="U3109" s="85" ph="1"/>
    </row>
    <row r="3110" spans="21:21" ht="26.4">
      <c r="U3110" s="85" ph="1"/>
    </row>
    <row r="3111" spans="21:21" ht="26.4">
      <c r="U3111" s="85" ph="1"/>
    </row>
    <row r="3112" spans="21:21" ht="26.4">
      <c r="U3112" s="85" ph="1"/>
    </row>
    <row r="3113" spans="21:21" ht="26.4">
      <c r="U3113" s="85" ph="1"/>
    </row>
    <row r="3114" spans="21:21" ht="26.4">
      <c r="U3114" s="85" ph="1"/>
    </row>
    <row r="3115" spans="21:21" ht="26.4">
      <c r="U3115" s="85" ph="1"/>
    </row>
    <row r="3116" spans="21:21" ht="26.4">
      <c r="U3116" s="85" ph="1"/>
    </row>
    <row r="3117" spans="21:21" ht="26.4">
      <c r="U3117" s="85" ph="1"/>
    </row>
    <row r="3118" spans="21:21" ht="26.4">
      <c r="U3118" s="85" ph="1"/>
    </row>
    <row r="3119" spans="21:21" ht="26.4">
      <c r="U3119" s="85" ph="1"/>
    </row>
    <row r="3120" spans="21:21" ht="26.4">
      <c r="U3120" s="85" ph="1"/>
    </row>
    <row r="3121" spans="21:21" ht="26.4">
      <c r="U3121" s="85" ph="1"/>
    </row>
    <row r="3122" spans="21:21" ht="26.4">
      <c r="U3122" s="85" ph="1"/>
    </row>
    <row r="3123" spans="21:21" ht="26.4">
      <c r="U3123" s="85" ph="1"/>
    </row>
    <row r="3124" spans="21:21" ht="26.4">
      <c r="U3124" s="85" ph="1"/>
    </row>
    <row r="3125" spans="21:21" ht="26.4">
      <c r="U3125" s="85" ph="1"/>
    </row>
    <row r="3126" spans="21:21" ht="26.4">
      <c r="U3126" s="85" ph="1"/>
    </row>
    <row r="3127" spans="21:21" ht="26.4">
      <c r="U3127" s="85" ph="1"/>
    </row>
    <row r="3128" spans="21:21" ht="26.4">
      <c r="U3128" s="85" ph="1"/>
    </row>
    <row r="3129" spans="21:21" ht="26.4">
      <c r="U3129" s="85" ph="1"/>
    </row>
    <row r="3130" spans="21:21" ht="26.4">
      <c r="U3130" s="85" ph="1"/>
    </row>
    <row r="3131" spans="21:21" ht="26.4">
      <c r="U3131" s="85" ph="1"/>
    </row>
    <row r="3132" spans="21:21" ht="26.4">
      <c r="U3132" s="85" ph="1"/>
    </row>
    <row r="3133" spans="21:21" ht="26.4">
      <c r="U3133" s="85" ph="1"/>
    </row>
    <row r="3134" spans="21:21" ht="26.4">
      <c r="U3134" s="85" ph="1"/>
    </row>
    <row r="3135" spans="21:21" ht="26.4">
      <c r="U3135" s="85" ph="1"/>
    </row>
    <row r="3136" spans="21:21" ht="26.4">
      <c r="U3136" s="85" ph="1"/>
    </row>
    <row r="3137" spans="21:21" ht="26.4">
      <c r="U3137" s="85" ph="1"/>
    </row>
    <row r="3138" spans="21:21" ht="26.4">
      <c r="U3138" s="85" ph="1"/>
    </row>
    <row r="3139" spans="21:21" ht="26.4">
      <c r="U3139" s="85" ph="1"/>
    </row>
    <row r="3140" spans="21:21" ht="26.4">
      <c r="U3140" s="85" ph="1"/>
    </row>
    <row r="3141" spans="21:21" ht="26.4">
      <c r="U3141" s="85" ph="1"/>
    </row>
    <row r="3142" spans="21:21" ht="26.4">
      <c r="U3142" s="85" ph="1"/>
    </row>
    <row r="3143" spans="21:21" ht="26.4">
      <c r="U3143" s="85" ph="1"/>
    </row>
    <row r="3144" spans="21:21" ht="26.4">
      <c r="U3144" s="85" ph="1"/>
    </row>
    <row r="3145" spans="21:21" ht="26.4">
      <c r="U3145" s="85" ph="1"/>
    </row>
    <row r="3146" spans="21:21" ht="26.4">
      <c r="U3146" s="85" ph="1"/>
    </row>
    <row r="3147" spans="21:21" ht="26.4">
      <c r="U3147" s="85" ph="1"/>
    </row>
    <row r="3148" spans="21:21" ht="26.4">
      <c r="U3148" s="85" ph="1"/>
    </row>
    <row r="3149" spans="21:21" ht="26.4">
      <c r="U3149" s="85" ph="1"/>
    </row>
    <row r="3150" spans="21:21" ht="26.4">
      <c r="U3150" s="85" ph="1"/>
    </row>
    <row r="3151" spans="21:21" ht="26.4">
      <c r="U3151" s="85" ph="1"/>
    </row>
    <row r="3152" spans="21:21" ht="26.4">
      <c r="U3152" s="85" ph="1"/>
    </row>
    <row r="3153" spans="21:21" ht="26.4">
      <c r="U3153" s="85" ph="1"/>
    </row>
    <row r="3154" spans="21:21" ht="26.4">
      <c r="U3154" s="85" ph="1"/>
    </row>
    <row r="3155" spans="21:21" ht="26.4">
      <c r="U3155" s="85" ph="1"/>
    </row>
    <row r="3156" spans="21:21" ht="26.4">
      <c r="U3156" s="85" ph="1"/>
    </row>
    <row r="3157" spans="21:21" ht="26.4">
      <c r="U3157" s="85" ph="1"/>
    </row>
    <row r="3158" spans="21:21" ht="26.4">
      <c r="U3158" s="85" ph="1"/>
    </row>
    <row r="3159" spans="21:21" ht="26.4">
      <c r="U3159" s="85" ph="1"/>
    </row>
    <row r="3160" spans="21:21" ht="26.4">
      <c r="U3160" s="85" ph="1"/>
    </row>
    <row r="3161" spans="21:21" ht="26.4">
      <c r="U3161" s="85" ph="1"/>
    </row>
    <row r="3162" spans="21:21" ht="26.4">
      <c r="U3162" s="85" ph="1"/>
    </row>
    <row r="3163" spans="21:21" ht="26.4">
      <c r="U3163" s="85" ph="1"/>
    </row>
    <row r="3164" spans="21:21" ht="26.4">
      <c r="U3164" s="85" ph="1"/>
    </row>
    <row r="3165" spans="21:21" ht="26.4">
      <c r="U3165" s="85" ph="1"/>
    </row>
    <row r="3166" spans="21:21" ht="26.4">
      <c r="U3166" s="85" ph="1"/>
    </row>
    <row r="3167" spans="21:21" ht="26.4">
      <c r="U3167" s="85" ph="1"/>
    </row>
    <row r="3168" spans="21:21" ht="26.4">
      <c r="U3168" s="85" ph="1"/>
    </row>
    <row r="3169" spans="21:21" ht="26.4">
      <c r="U3169" s="85" ph="1"/>
    </row>
    <row r="3170" spans="21:21" ht="26.4">
      <c r="U3170" s="85" ph="1"/>
    </row>
    <row r="3171" spans="21:21" ht="26.4">
      <c r="U3171" s="85" ph="1"/>
    </row>
    <row r="3172" spans="21:21" ht="26.4">
      <c r="U3172" s="85" ph="1"/>
    </row>
    <row r="3173" spans="21:21" ht="26.4">
      <c r="U3173" s="85" ph="1"/>
    </row>
    <row r="3174" spans="21:21" ht="26.4">
      <c r="U3174" s="85" ph="1"/>
    </row>
    <row r="3175" spans="21:21" ht="26.4">
      <c r="U3175" s="85" ph="1"/>
    </row>
    <row r="3176" spans="21:21" ht="26.4">
      <c r="U3176" s="85" ph="1"/>
    </row>
    <row r="3177" spans="21:21" ht="26.4">
      <c r="U3177" s="85" ph="1"/>
    </row>
    <row r="3178" spans="21:21" ht="26.4">
      <c r="U3178" s="85" ph="1"/>
    </row>
    <row r="3179" spans="21:21" ht="26.4">
      <c r="U3179" s="85" ph="1"/>
    </row>
    <row r="3180" spans="21:21" ht="26.4">
      <c r="U3180" s="85" ph="1"/>
    </row>
    <row r="3181" spans="21:21" ht="26.4">
      <c r="U3181" s="85" ph="1"/>
    </row>
    <row r="3182" spans="21:21" ht="26.4">
      <c r="U3182" s="85" ph="1"/>
    </row>
    <row r="3183" spans="21:21" ht="26.4">
      <c r="U3183" s="85" ph="1"/>
    </row>
    <row r="3184" spans="21:21" ht="26.4">
      <c r="U3184" s="85" ph="1"/>
    </row>
    <row r="3185" spans="21:21" ht="26.4">
      <c r="U3185" s="85" ph="1"/>
    </row>
    <row r="3186" spans="21:21" ht="26.4">
      <c r="U3186" s="85" ph="1"/>
    </row>
    <row r="3187" spans="21:21" ht="26.4">
      <c r="U3187" s="85" ph="1"/>
    </row>
    <row r="3188" spans="21:21" ht="26.4">
      <c r="U3188" s="85" ph="1"/>
    </row>
    <row r="3189" spans="21:21" ht="26.4">
      <c r="U3189" s="85" ph="1"/>
    </row>
    <row r="3190" spans="21:21" ht="26.4">
      <c r="U3190" s="85" ph="1"/>
    </row>
    <row r="3191" spans="21:21" ht="26.4">
      <c r="U3191" s="85" ph="1"/>
    </row>
    <row r="3192" spans="21:21" ht="26.4">
      <c r="U3192" s="85" ph="1"/>
    </row>
    <row r="3193" spans="21:21" ht="26.4">
      <c r="U3193" s="85" ph="1"/>
    </row>
    <row r="3194" spans="21:21" ht="26.4">
      <c r="U3194" s="85" ph="1"/>
    </row>
    <row r="3195" spans="21:21" ht="26.4">
      <c r="U3195" s="85" ph="1"/>
    </row>
    <row r="3196" spans="21:21" ht="26.4">
      <c r="U3196" s="85" ph="1"/>
    </row>
    <row r="3197" spans="21:21" ht="26.4">
      <c r="U3197" s="85" ph="1"/>
    </row>
    <row r="3198" spans="21:21" ht="26.4">
      <c r="U3198" s="85" ph="1"/>
    </row>
    <row r="3199" spans="21:21" ht="26.4">
      <c r="U3199" s="85" ph="1"/>
    </row>
    <row r="3200" spans="21:21" ht="26.4">
      <c r="U3200" s="85" ph="1"/>
    </row>
    <row r="3201" spans="21:21" ht="26.4">
      <c r="U3201" s="85" ph="1"/>
    </row>
    <row r="3202" spans="21:21" ht="26.4">
      <c r="U3202" s="85" ph="1"/>
    </row>
    <row r="3203" spans="21:21" ht="26.4">
      <c r="U3203" s="85" ph="1"/>
    </row>
    <row r="3204" spans="21:21" ht="26.4">
      <c r="U3204" s="85" ph="1"/>
    </row>
    <row r="3205" spans="21:21" ht="26.4">
      <c r="U3205" s="85" ph="1"/>
    </row>
    <row r="3206" spans="21:21" ht="26.4">
      <c r="U3206" s="85" ph="1"/>
    </row>
    <row r="3207" spans="21:21" ht="26.4">
      <c r="U3207" s="85" ph="1"/>
    </row>
    <row r="3208" spans="21:21" ht="26.4">
      <c r="U3208" s="85" ph="1"/>
    </row>
    <row r="3209" spans="21:21" ht="26.4">
      <c r="U3209" s="85" ph="1"/>
    </row>
    <row r="3210" spans="21:21" ht="26.4">
      <c r="U3210" s="85" ph="1"/>
    </row>
    <row r="3211" spans="21:21" ht="26.4">
      <c r="U3211" s="85" ph="1"/>
    </row>
    <row r="3212" spans="21:21" ht="26.4">
      <c r="U3212" s="85" ph="1"/>
    </row>
    <row r="3213" spans="21:21" ht="26.4">
      <c r="U3213" s="85" ph="1"/>
    </row>
    <row r="3214" spans="21:21" ht="26.4">
      <c r="U3214" s="85" ph="1"/>
    </row>
    <row r="3215" spans="21:21" ht="26.4">
      <c r="U3215" s="85" ph="1"/>
    </row>
    <row r="3216" spans="21:21" ht="26.4">
      <c r="U3216" s="85" ph="1"/>
    </row>
    <row r="3217" spans="21:21" ht="26.4">
      <c r="U3217" s="85" ph="1"/>
    </row>
    <row r="3218" spans="21:21" ht="26.4">
      <c r="U3218" s="85" ph="1"/>
    </row>
    <row r="3219" spans="21:21" ht="26.4">
      <c r="U3219" s="85" ph="1"/>
    </row>
    <row r="3220" spans="21:21" ht="26.4">
      <c r="U3220" s="85" ph="1"/>
    </row>
    <row r="3221" spans="21:21" ht="26.4">
      <c r="U3221" s="85" ph="1"/>
    </row>
    <row r="3222" spans="21:21" ht="26.4">
      <c r="U3222" s="85" ph="1"/>
    </row>
    <row r="3223" spans="21:21" ht="26.4">
      <c r="U3223" s="85" ph="1"/>
    </row>
    <row r="3224" spans="21:21" ht="26.4">
      <c r="U3224" s="85" ph="1"/>
    </row>
    <row r="3225" spans="21:21" ht="26.4">
      <c r="U3225" s="85" ph="1"/>
    </row>
    <row r="3226" spans="21:21" ht="26.4">
      <c r="U3226" s="85" ph="1"/>
    </row>
    <row r="3227" spans="21:21" ht="26.4">
      <c r="U3227" s="85" ph="1"/>
    </row>
    <row r="3228" spans="21:21" ht="26.4">
      <c r="U3228" s="85" ph="1"/>
    </row>
    <row r="3229" spans="21:21" ht="26.4">
      <c r="U3229" s="85" ph="1"/>
    </row>
    <row r="3230" spans="21:21" ht="26.4">
      <c r="U3230" s="85" ph="1"/>
    </row>
    <row r="3231" spans="21:21" ht="26.4">
      <c r="U3231" s="85" ph="1"/>
    </row>
    <row r="3232" spans="21:21" ht="26.4">
      <c r="U3232" s="85" ph="1"/>
    </row>
    <row r="3233" spans="21:21" ht="26.4">
      <c r="U3233" s="85" ph="1"/>
    </row>
    <row r="3234" spans="21:21" ht="26.4">
      <c r="U3234" s="85" ph="1"/>
    </row>
    <row r="3235" spans="21:21" ht="26.4">
      <c r="U3235" s="85" ph="1"/>
    </row>
    <row r="3236" spans="21:21" ht="26.4">
      <c r="U3236" s="85" ph="1"/>
    </row>
    <row r="3237" spans="21:21" ht="26.4">
      <c r="U3237" s="85" ph="1"/>
    </row>
    <row r="3238" spans="21:21" ht="26.4">
      <c r="U3238" s="85" ph="1"/>
    </row>
    <row r="3239" spans="21:21" ht="26.4">
      <c r="U3239" s="85" ph="1"/>
    </row>
    <row r="3240" spans="21:21" ht="26.4">
      <c r="U3240" s="85" ph="1"/>
    </row>
    <row r="3241" spans="21:21" ht="26.4">
      <c r="U3241" s="85" ph="1"/>
    </row>
    <row r="3242" spans="21:21" ht="26.4">
      <c r="U3242" s="85" ph="1"/>
    </row>
    <row r="3243" spans="21:21" ht="26.4">
      <c r="U3243" s="85" ph="1"/>
    </row>
    <row r="3244" spans="21:21" ht="26.4">
      <c r="U3244" s="85" ph="1"/>
    </row>
    <row r="3245" spans="21:21" ht="26.4">
      <c r="U3245" s="85" ph="1"/>
    </row>
    <row r="3246" spans="21:21" ht="26.4">
      <c r="U3246" s="85" ph="1"/>
    </row>
    <row r="3247" spans="21:21" ht="26.4">
      <c r="U3247" s="85" ph="1"/>
    </row>
    <row r="3248" spans="21:21" ht="26.4">
      <c r="U3248" s="85" ph="1"/>
    </row>
    <row r="3249" spans="21:21" ht="26.4">
      <c r="U3249" s="85" ph="1"/>
    </row>
    <row r="3250" spans="21:21" ht="26.4">
      <c r="U3250" s="85" ph="1"/>
    </row>
    <row r="3251" spans="21:21" ht="26.4">
      <c r="U3251" s="85" ph="1"/>
    </row>
    <row r="3252" spans="21:21" ht="26.4">
      <c r="U3252" s="85" ph="1"/>
    </row>
    <row r="3253" spans="21:21" ht="26.4">
      <c r="U3253" s="85" ph="1"/>
    </row>
    <row r="3254" spans="21:21" ht="26.4">
      <c r="U3254" s="85" ph="1"/>
    </row>
    <row r="3255" spans="21:21" ht="26.4">
      <c r="U3255" s="85" ph="1"/>
    </row>
    <row r="3256" spans="21:21" ht="26.4">
      <c r="U3256" s="85" ph="1"/>
    </row>
    <row r="3257" spans="21:21" ht="26.4">
      <c r="U3257" s="85" ph="1"/>
    </row>
    <row r="3258" spans="21:21" ht="26.4">
      <c r="U3258" s="85" ph="1"/>
    </row>
    <row r="3259" spans="21:21" ht="26.4">
      <c r="U3259" s="85" ph="1"/>
    </row>
    <row r="3260" spans="21:21" ht="26.4">
      <c r="U3260" s="85" ph="1"/>
    </row>
    <row r="3261" spans="21:21" ht="26.4">
      <c r="U3261" s="85" ph="1"/>
    </row>
    <row r="3262" spans="21:21" ht="26.4">
      <c r="U3262" s="85" ph="1"/>
    </row>
    <row r="3263" spans="21:21" ht="26.4">
      <c r="U3263" s="85" ph="1"/>
    </row>
    <row r="3264" spans="21:21" ht="26.4">
      <c r="U3264" s="85" ph="1"/>
    </row>
    <row r="3265" spans="21:21" ht="26.4">
      <c r="U3265" s="85" ph="1"/>
    </row>
    <row r="3266" spans="21:21" ht="26.4">
      <c r="U3266" s="85" ph="1"/>
    </row>
    <row r="3267" spans="21:21" ht="26.4">
      <c r="U3267" s="85" ph="1"/>
    </row>
    <row r="3268" spans="21:21" ht="26.4">
      <c r="U3268" s="85" ph="1"/>
    </row>
    <row r="3269" spans="21:21" ht="26.4">
      <c r="U3269" s="85" ph="1"/>
    </row>
    <row r="3270" spans="21:21" ht="26.4">
      <c r="U3270" s="85" ph="1"/>
    </row>
    <row r="3271" spans="21:21" ht="26.4">
      <c r="U3271" s="85" ph="1"/>
    </row>
    <row r="3272" spans="21:21" ht="26.4">
      <c r="U3272" s="85" ph="1"/>
    </row>
    <row r="3273" spans="21:21" ht="26.4">
      <c r="U3273" s="85" ph="1"/>
    </row>
    <row r="3274" spans="21:21" ht="26.4">
      <c r="U3274" s="85" ph="1"/>
    </row>
    <row r="3275" spans="21:21" ht="26.4">
      <c r="U3275" s="85" ph="1"/>
    </row>
    <row r="3276" spans="21:21" ht="26.4">
      <c r="U3276" s="85" ph="1"/>
    </row>
    <row r="3277" spans="21:21" ht="26.4">
      <c r="U3277" s="85" ph="1"/>
    </row>
    <row r="3278" spans="21:21" ht="26.4">
      <c r="U3278" s="85" ph="1"/>
    </row>
    <row r="3279" spans="21:21" ht="26.4">
      <c r="U3279" s="85" ph="1"/>
    </row>
    <row r="3280" spans="21:21" ht="26.4">
      <c r="U3280" s="85" ph="1"/>
    </row>
    <row r="3281" spans="21:21" ht="26.4">
      <c r="U3281" s="85" ph="1"/>
    </row>
    <row r="3282" spans="21:21" ht="26.4">
      <c r="U3282" s="85" ph="1"/>
    </row>
    <row r="3283" spans="21:21" ht="26.4">
      <c r="U3283" s="85" ph="1"/>
    </row>
    <row r="3284" spans="21:21" ht="26.4">
      <c r="U3284" s="85" ph="1"/>
    </row>
    <row r="3285" spans="21:21" ht="26.4">
      <c r="U3285" s="85" ph="1"/>
    </row>
    <row r="3286" spans="21:21" ht="26.4">
      <c r="U3286" s="85" ph="1"/>
    </row>
    <row r="3287" spans="21:21" ht="26.4">
      <c r="U3287" s="85" ph="1"/>
    </row>
    <row r="3288" spans="21:21" ht="26.4">
      <c r="U3288" s="85" ph="1"/>
    </row>
    <row r="3289" spans="21:21" ht="26.4">
      <c r="U3289" s="85" ph="1"/>
    </row>
    <row r="3290" spans="21:21" ht="26.4">
      <c r="U3290" s="85" ph="1"/>
    </row>
    <row r="3291" spans="21:21" ht="26.4">
      <c r="U3291" s="85" ph="1"/>
    </row>
    <row r="3292" spans="21:21" ht="26.4">
      <c r="U3292" s="85" ph="1"/>
    </row>
    <row r="3293" spans="21:21" ht="26.4">
      <c r="U3293" s="85" ph="1"/>
    </row>
    <row r="3294" spans="21:21" ht="26.4">
      <c r="U3294" s="85" ph="1"/>
    </row>
    <row r="3295" spans="21:21" ht="26.4">
      <c r="U3295" s="85" ph="1"/>
    </row>
    <row r="3296" spans="21:21" ht="26.4">
      <c r="U3296" s="85" ph="1"/>
    </row>
    <row r="3297" spans="21:21" ht="26.4">
      <c r="U3297" s="85" ph="1"/>
    </row>
    <row r="3298" spans="21:21" ht="26.4">
      <c r="U3298" s="85" ph="1"/>
    </row>
    <row r="3299" spans="21:21" ht="26.4">
      <c r="U3299" s="85" ph="1"/>
    </row>
    <row r="3300" spans="21:21" ht="26.4">
      <c r="U3300" s="85" ph="1"/>
    </row>
    <row r="3301" spans="21:21" ht="26.4">
      <c r="U3301" s="85" ph="1"/>
    </row>
    <row r="3302" spans="21:21" ht="26.4">
      <c r="U3302" s="85" ph="1"/>
    </row>
    <row r="3303" spans="21:21" ht="26.4">
      <c r="U3303" s="85" ph="1"/>
    </row>
    <row r="3304" spans="21:21" ht="26.4">
      <c r="U3304" s="85" ph="1"/>
    </row>
    <row r="3305" spans="21:21" ht="26.4">
      <c r="U3305" s="85" ph="1"/>
    </row>
    <row r="3306" spans="21:21" ht="26.4">
      <c r="U3306" s="85" ph="1"/>
    </row>
    <row r="3307" spans="21:21" ht="26.4">
      <c r="U3307" s="85" ph="1"/>
    </row>
    <row r="3308" spans="21:21" ht="26.4">
      <c r="U3308" s="85" ph="1"/>
    </row>
    <row r="3309" spans="21:21" ht="26.4">
      <c r="U3309" s="85" ph="1"/>
    </row>
    <row r="3310" spans="21:21" ht="26.4">
      <c r="U3310" s="85" ph="1"/>
    </row>
    <row r="3311" spans="21:21" ht="26.4">
      <c r="U3311" s="85" ph="1"/>
    </row>
    <row r="3312" spans="21:21" ht="26.4">
      <c r="U3312" s="85" ph="1"/>
    </row>
    <row r="3313" spans="21:21" ht="26.4">
      <c r="U3313" s="85" ph="1"/>
    </row>
    <row r="3314" spans="21:21" ht="26.4">
      <c r="U3314" s="85" ph="1"/>
    </row>
    <row r="3315" spans="21:21" ht="26.4">
      <c r="U3315" s="85" ph="1"/>
    </row>
    <row r="3316" spans="21:21" ht="26.4">
      <c r="U3316" s="85" ph="1"/>
    </row>
    <row r="3317" spans="21:21" ht="26.4">
      <c r="U3317" s="85" ph="1"/>
    </row>
    <row r="3318" spans="21:21" ht="26.4">
      <c r="U3318" s="85" ph="1"/>
    </row>
    <row r="3319" spans="21:21" ht="26.4">
      <c r="U3319" s="85" ph="1"/>
    </row>
    <row r="3320" spans="21:21" ht="26.4">
      <c r="U3320" s="85" ph="1"/>
    </row>
    <row r="3321" spans="21:21" ht="26.4">
      <c r="U3321" s="85" ph="1"/>
    </row>
    <row r="3322" spans="21:21" ht="26.4">
      <c r="U3322" s="85" ph="1"/>
    </row>
    <row r="3323" spans="21:21" ht="26.4">
      <c r="U3323" s="85" ph="1"/>
    </row>
    <row r="3324" spans="21:21" ht="26.4">
      <c r="U3324" s="85" ph="1"/>
    </row>
    <row r="3325" spans="21:21" ht="26.4">
      <c r="U3325" s="85" ph="1"/>
    </row>
    <row r="3326" spans="21:21" ht="26.4">
      <c r="U3326" s="85" ph="1"/>
    </row>
    <row r="3327" spans="21:21" ht="26.4">
      <c r="U3327" s="85" ph="1"/>
    </row>
    <row r="3328" spans="21:21" ht="26.4">
      <c r="U3328" s="85" ph="1"/>
    </row>
    <row r="3329" spans="21:21" ht="26.4">
      <c r="U3329" s="85" ph="1"/>
    </row>
    <row r="3330" spans="21:21" ht="26.4">
      <c r="U3330" s="85" ph="1"/>
    </row>
    <row r="3331" spans="21:21" ht="26.4">
      <c r="U3331" s="85" ph="1"/>
    </row>
    <row r="3332" spans="21:21" ht="26.4">
      <c r="U3332" s="85" ph="1"/>
    </row>
    <row r="3333" spans="21:21" ht="26.4">
      <c r="U3333" s="85" ph="1"/>
    </row>
    <row r="3334" spans="21:21" ht="26.4">
      <c r="U3334" s="85" ph="1"/>
    </row>
    <row r="3335" spans="21:21" ht="26.4">
      <c r="U3335" s="85" ph="1"/>
    </row>
    <row r="3336" spans="21:21" ht="26.4">
      <c r="U3336" s="85" ph="1"/>
    </row>
    <row r="3337" spans="21:21" ht="26.4">
      <c r="U3337" s="85" ph="1"/>
    </row>
    <row r="3338" spans="21:21" ht="26.4">
      <c r="U3338" s="85" ph="1"/>
    </row>
    <row r="3339" spans="21:21" ht="26.4">
      <c r="U3339" s="85" ph="1"/>
    </row>
    <row r="3340" spans="21:21" ht="26.4">
      <c r="U3340" s="85" ph="1"/>
    </row>
    <row r="3341" spans="21:21" ht="26.4">
      <c r="U3341" s="85" ph="1"/>
    </row>
    <row r="3342" spans="21:21" ht="26.4">
      <c r="U3342" s="85" ph="1"/>
    </row>
    <row r="3343" spans="21:21" ht="26.4">
      <c r="U3343" s="85" ph="1"/>
    </row>
    <row r="3344" spans="21:21" ht="26.4">
      <c r="U3344" s="85" ph="1"/>
    </row>
    <row r="3345" spans="21:21" ht="26.4">
      <c r="U3345" s="85" ph="1"/>
    </row>
    <row r="3346" spans="21:21" ht="26.4">
      <c r="U3346" s="85" ph="1"/>
    </row>
    <row r="3347" spans="21:21" ht="26.4">
      <c r="U3347" s="85" ph="1"/>
    </row>
    <row r="3348" spans="21:21" ht="26.4">
      <c r="U3348" s="85" ph="1"/>
    </row>
    <row r="3349" spans="21:21" ht="26.4">
      <c r="U3349" s="85" ph="1"/>
    </row>
    <row r="3350" spans="21:21" ht="26.4">
      <c r="U3350" s="85" ph="1"/>
    </row>
    <row r="3351" spans="21:21" ht="26.4">
      <c r="U3351" s="85" ph="1"/>
    </row>
    <row r="3352" spans="21:21" ht="26.4">
      <c r="U3352" s="85" ph="1"/>
    </row>
    <row r="3353" spans="21:21" ht="26.4">
      <c r="U3353" s="85" ph="1"/>
    </row>
    <row r="3354" spans="21:21" ht="26.4">
      <c r="U3354" s="85" ph="1"/>
    </row>
    <row r="3355" spans="21:21" ht="26.4">
      <c r="U3355" s="85" ph="1"/>
    </row>
    <row r="3356" spans="21:21" ht="26.4">
      <c r="U3356" s="85" ph="1"/>
    </row>
    <row r="3357" spans="21:21" ht="26.4">
      <c r="U3357" s="85" ph="1"/>
    </row>
    <row r="3358" spans="21:21" ht="26.4">
      <c r="U3358" s="85" ph="1"/>
    </row>
    <row r="3359" spans="21:21" ht="26.4">
      <c r="U3359" s="85" ph="1"/>
    </row>
    <row r="3360" spans="21:21" ht="26.4">
      <c r="U3360" s="85" ph="1"/>
    </row>
    <row r="3361" spans="21:21" ht="26.4">
      <c r="U3361" s="85" ph="1"/>
    </row>
    <row r="3362" spans="21:21" ht="26.4">
      <c r="U3362" s="85" ph="1"/>
    </row>
    <row r="3363" spans="21:21" ht="26.4">
      <c r="U3363" s="85" ph="1"/>
    </row>
    <row r="3364" spans="21:21" ht="26.4">
      <c r="U3364" s="85" ph="1"/>
    </row>
    <row r="3365" spans="21:21" ht="26.4">
      <c r="U3365" s="85" ph="1"/>
    </row>
    <row r="3366" spans="21:21" ht="26.4">
      <c r="U3366" s="85" ph="1"/>
    </row>
    <row r="3367" spans="21:21" ht="26.4">
      <c r="U3367" s="85" ph="1"/>
    </row>
    <row r="3368" spans="21:21" ht="26.4">
      <c r="U3368" s="85" ph="1"/>
    </row>
    <row r="3369" spans="21:21" ht="26.4">
      <c r="U3369" s="85" ph="1"/>
    </row>
    <row r="3370" spans="21:21" ht="26.4">
      <c r="U3370" s="85" ph="1"/>
    </row>
    <row r="3371" spans="21:21" ht="26.4">
      <c r="U3371" s="85" ph="1"/>
    </row>
    <row r="3372" spans="21:21" ht="26.4">
      <c r="U3372" s="85" ph="1"/>
    </row>
    <row r="3373" spans="21:21" ht="26.4">
      <c r="U3373" s="85" ph="1"/>
    </row>
    <row r="3374" spans="21:21" ht="26.4">
      <c r="U3374" s="85" ph="1"/>
    </row>
    <row r="3375" spans="21:21" ht="26.4">
      <c r="U3375" s="85" ph="1"/>
    </row>
    <row r="3376" spans="21:21" ht="26.4">
      <c r="U3376" s="85" ph="1"/>
    </row>
    <row r="3377" spans="21:21" ht="26.4">
      <c r="U3377" s="85" ph="1"/>
    </row>
    <row r="3378" spans="21:21" ht="26.4">
      <c r="U3378" s="85" ph="1"/>
    </row>
    <row r="3379" spans="21:21" ht="26.4">
      <c r="U3379" s="85" ph="1"/>
    </row>
    <row r="3380" spans="21:21" ht="26.4">
      <c r="U3380" s="85" ph="1"/>
    </row>
    <row r="3381" spans="21:21" ht="26.4">
      <c r="U3381" s="85" ph="1"/>
    </row>
    <row r="3382" spans="21:21" ht="26.4">
      <c r="U3382" s="85" ph="1"/>
    </row>
    <row r="3383" spans="21:21" ht="26.4">
      <c r="U3383" s="85" ph="1"/>
    </row>
    <row r="3384" spans="21:21" ht="26.4">
      <c r="U3384" s="85" ph="1"/>
    </row>
    <row r="3385" spans="21:21" ht="26.4">
      <c r="U3385" s="85" ph="1"/>
    </row>
    <row r="3386" spans="21:21" ht="26.4">
      <c r="U3386" s="85" ph="1"/>
    </row>
    <row r="3387" spans="21:21" ht="26.4">
      <c r="U3387" s="85" ph="1"/>
    </row>
    <row r="3388" spans="21:21" ht="26.4">
      <c r="U3388" s="85" ph="1"/>
    </row>
    <row r="3389" spans="21:21" ht="26.4">
      <c r="U3389" s="85" ph="1"/>
    </row>
    <row r="3390" spans="21:21" ht="26.4">
      <c r="U3390" s="85" ph="1"/>
    </row>
    <row r="3391" spans="21:21" ht="26.4">
      <c r="U3391" s="85" ph="1"/>
    </row>
    <row r="3392" spans="21:21" ht="26.4">
      <c r="U3392" s="85" ph="1"/>
    </row>
    <row r="3393" spans="21:21" ht="26.4">
      <c r="U3393" s="85" ph="1"/>
    </row>
    <row r="3394" spans="21:21" ht="26.4">
      <c r="U3394" s="85" ph="1"/>
    </row>
    <row r="3395" spans="21:21" ht="26.4">
      <c r="U3395" s="85" ph="1"/>
    </row>
    <row r="3396" spans="21:21" ht="26.4">
      <c r="U3396" s="85" ph="1"/>
    </row>
    <row r="3397" spans="21:21" ht="26.4">
      <c r="U3397" s="85" ph="1"/>
    </row>
    <row r="3398" spans="21:21" ht="26.4">
      <c r="U3398" s="85" ph="1"/>
    </row>
    <row r="3399" spans="21:21" ht="26.4">
      <c r="U3399" s="85" ph="1"/>
    </row>
    <row r="3400" spans="21:21" ht="26.4">
      <c r="U3400" s="85" ph="1"/>
    </row>
    <row r="3401" spans="21:21" ht="26.4">
      <c r="U3401" s="85" ph="1"/>
    </row>
    <row r="3402" spans="21:21" ht="26.4">
      <c r="U3402" s="85" ph="1"/>
    </row>
    <row r="3403" spans="21:21" ht="26.4">
      <c r="U3403" s="85" ph="1"/>
    </row>
    <row r="3404" spans="21:21" ht="26.4">
      <c r="U3404" s="85" ph="1"/>
    </row>
    <row r="3405" spans="21:21" ht="26.4">
      <c r="U3405" s="85" ph="1"/>
    </row>
    <row r="3406" spans="21:21" ht="26.4">
      <c r="U3406" s="85" ph="1"/>
    </row>
    <row r="3407" spans="21:21" ht="26.4">
      <c r="U3407" s="85" ph="1"/>
    </row>
    <row r="3408" spans="21:21" ht="26.4">
      <c r="U3408" s="85" ph="1"/>
    </row>
    <row r="3409" spans="21:21" ht="26.4">
      <c r="U3409" s="85" ph="1"/>
    </row>
    <row r="3410" spans="21:21" ht="26.4">
      <c r="U3410" s="85" ph="1"/>
    </row>
    <row r="3411" spans="21:21" ht="26.4">
      <c r="U3411" s="85" ph="1"/>
    </row>
    <row r="3412" spans="21:21" ht="26.4">
      <c r="U3412" s="85" ph="1"/>
    </row>
    <row r="3413" spans="21:21" ht="26.4">
      <c r="U3413" s="85" ph="1"/>
    </row>
    <row r="3414" spans="21:21" ht="26.4">
      <c r="U3414" s="85" ph="1"/>
    </row>
    <row r="3415" spans="21:21" ht="26.4">
      <c r="U3415" s="85" ph="1"/>
    </row>
    <row r="3416" spans="21:21" ht="26.4">
      <c r="U3416" s="85" ph="1"/>
    </row>
    <row r="3417" spans="21:21" ht="26.4">
      <c r="U3417" s="85" ph="1"/>
    </row>
    <row r="3418" spans="21:21" ht="26.4">
      <c r="U3418" s="85" ph="1"/>
    </row>
    <row r="3419" spans="21:21" ht="26.4">
      <c r="U3419" s="85" ph="1"/>
    </row>
    <row r="3420" spans="21:21" ht="26.4">
      <c r="U3420" s="85" ph="1"/>
    </row>
    <row r="3421" spans="21:21" ht="26.4">
      <c r="U3421" s="85" ph="1"/>
    </row>
    <row r="3422" spans="21:21" ht="26.4">
      <c r="U3422" s="85" ph="1"/>
    </row>
    <row r="3423" spans="21:21" ht="26.4">
      <c r="U3423" s="85" ph="1"/>
    </row>
    <row r="3424" spans="21:21" ht="26.4">
      <c r="U3424" s="85" ph="1"/>
    </row>
    <row r="3425" spans="21:21" ht="26.4">
      <c r="U3425" s="85" ph="1"/>
    </row>
    <row r="3426" spans="21:21" ht="26.4">
      <c r="U3426" s="85" ph="1"/>
    </row>
    <row r="3427" spans="21:21" ht="26.4">
      <c r="U3427" s="85" ph="1"/>
    </row>
    <row r="3428" spans="21:21" ht="26.4">
      <c r="U3428" s="85" ph="1"/>
    </row>
    <row r="3429" spans="21:21" ht="26.4">
      <c r="U3429" s="85" ph="1"/>
    </row>
    <row r="3430" spans="21:21" ht="26.4">
      <c r="U3430" s="85" ph="1"/>
    </row>
    <row r="3431" spans="21:21" ht="26.4">
      <c r="U3431" s="85" ph="1"/>
    </row>
    <row r="3432" spans="21:21" ht="26.4">
      <c r="U3432" s="85" ph="1"/>
    </row>
    <row r="3433" spans="21:21" ht="26.4">
      <c r="U3433" s="85" ph="1"/>
    </row>
    <row r="3434" spans="21:21" ht="26.4">
      <c r="U3434" s="85" ph="1"/>
    </row>
    <row r="3435" spans="21:21" ht="26.4">
      <c r="U3435" s="85" ph="1"/>
    </row>
    <row r="3436" spans="21:21" ht="26.4">
      <c r="U3436" s="85" ph="1"/>
    </row>
    <row r="3437" spans="21:21" ht="26.4">
      <c r="U3437" s="85" ph="1"/>
    </row>
    <row r="3438" spans="21:21" ht="26.4">
      <c r="U3438" s="85" ph="1"/>
    </row>
    <row r="3439" spans="21:21" ht="26.4">
      <c r="U3439" s="85" ph="1"/>
    </row>
    <row r="3440" spans="21:21" ht="26.4">
      <c r="U3440" s="85" ph="1"/>
    </row>
    <row r="3441" spans="21:21" ht="26.4">
      <c r="U3441" s="85" ph="1"/>
    </row>
    <row r="3442" spans="21:21" ht="26.4">
      <c r="U3442" s="85" ph="1"/>
    </row>
    <row r="3443" spans="21:21" ht="26.4">
      <c r="U3443" s="85" ph="1"/>
    </row>
    <row r="3444" spans="21:21" ht="26.4">
      <c r="U3444" s="85" ph="1"/>
    </row>
    <row r="3445" spans="21:21" ht="26.4">
      <c r="U3445" s="85" ph="1"/>
    </row>
    <row r="3446" spans="21:21" ht="26.4">
      <c r="U3446" s="85" ph="1"/>
    </row>
    <row r="3447" spans="21:21" ht="26.4">
      <c r="U3447" s="85" ph="1"/>
    </row>
    <row r="3448" spans="21:21" ht="26.4">
      <c r="U3448" s="85" ph="1"/>
    </row>
    <row r="3449" spans="21:21" ht="26.4">
      <c r="U3449" s="85" ph="1"/>
    </row>
    <row r="3450" spans="21:21" ht="26.4">
      <c r="U3450" s="85" ph="1"/>
    </row>
    <row r="3451" spans="21:21" ht="26.4">
      <c r="U3451" s="85" ph="1"/>
    </row>
    <row r="3452" spans="21:21" ht="26.4">
      <c r="U3452" s="85" ph="1"/>
    </row>
    <row r="3453" spans="21:21" ht="26.4">
      <c r="U3453" s="85" ph="1"/>
    </row>
    <row r="3454" spans="21:21" ht="26.4">
      <c r="U3454" s="85" ph="1"/>
    </row>
    <row r="3455" spans="21:21" ht="26.4">
      <c r="U3455" s="85" ph="1"/>
    </row>
    <row r="3456" spans="21:21" ht="26.4">
      <c r="U3456" s="85" ph="1"/>
    </row>
    <row r="3457" spans="21:21" ht="26.4">
      <c r="U3457" s="85" ph="1"/>
    </row>
    <row r="3458" spans="21:21" ht="26.4">
      <c r="U3458" s="85" ph="1"/>
    </row>
    <row r="3459" spans="21:21" ht="26.4">
      <c r="U3459" s="85" ph="1"/>
    </row>
    <row r="3460" spans="21:21" ht="26.4">
      <c r="U3460" s="85" ph="1"/>
    </row>
    <row r="3461" spans="21:21" ht="26.4">
      <c r="U3461" s="85" ph="1"/>
    </row>
    <row r="3462" spans="21:21" ht="26.4">
      <c r="U3462" s="85" ph="1"/>
    </row>
    <row r="3463" spans="21:21" ht="26.4">
      <c r="U3463" s="85" ph="1"/>
    </row>
    <row r="3464" spans="21:21" ht="26.4">
      <c r="U3464" s="85" ph="1"/>
    </row>
    <row r="3465" spans="21:21" ht="26.4">
      <c r="U3465" s="85" ph="1"/>
    </row>
    <row r="3466" spans="21:21" ht="26.4">
      <c r="U3466" s="85" ph="1"/>
    </row>
    <row r="3467" spans="21:21" ht="26.4">
      <c r="U3467" s="85" ph="1"/>
    </row>
    <row r="3468" spans="21:21" ht="26.4">
      <c r="U3468" s="85" ph="1"/>
    </row>
    <row r="3469" spans="21:21" ht="26.4">
      <c r="U3469" s="85" ph="1"/>
    </row>
    <row r="3470" spans="21:21" ht="26.4">
      <c r="U3470" s="85" ph="1"/>
    </row>
    <row r="3471" spans="21:21" ht="26.4">
      <c r="U3471" s="85" ph="1"/>
    </row>
    <row r="3472" spans="21:21" ht="26.4">
      <c r="U3472" s="85" ph="1"/>
    </row>
    <row r="3473" spans="21:21" ht="26.4">
      <c r="U3473" s="85" ph="1"/>
    </row>
    <row r="3474" spans="21:21" ht="26.4">
      <c r="U3474" s="85" ph="1"/>
    </row>
    <row r="3475" spans="21:21" ht="26.4">
      <c r="U3475" s="85" ph="1"/>
    </row>
    <row r="3476" spans="21:21" ht="26.4">
      <c r="U3476" s="85" ph="1"/>
    </row>
    <row r="3477" spans="21:21" ht="26.4">
      <c r="U3477" s="85" ph="1"/>
    </row>
    <row r="3478" spans="21:21" ht="26.4">
      <c r="U3478" s="85" ph="1"/>
    </row>
    <row r="3479" spans="21:21" ht="26.4">
      <c r="U3479" s="85" ph="1"/>
    </row>
    <row r="3480" spans="21:21" ht="26.4">
      <c r="U3480" s="85" ph="1"/>
    </row>
    <row r="3481" spans="21:21" ht="26.4">
      <c r="U3481" s="85" ph="1"/>
    </row>
    <row r="3482" spans="21:21" ht="26.4">
      <c r="U3482" s="85" ph="1"/>
    </row>
    <row r="3483" spans="21:21" ht="26.4">
      <c r="U3483" s="85" ph="1"/>
    </row>
    <row r="3484" spans="21:21" ht="26.4">
      <c r="U3484" s="85" ph="1"/>
    </row>
    <row r="3485" spans="21:21" ht="26.4">
      <c r="U3485" s="85" ph="1"/>
    </row>
    <row r="3486" spans="21:21" ht="26.4">
      <c r="U3486" s="85" ph="1"/>
    </row>
    <row r="3487" spans="21:21" ht="26.4">
      <c r="U3487" s="85" ph="1"/>
    </row>
    <row r="3488" spans="21:21" ht="26.4">
      <c r="U3488" s="85" ph="1"/>
    </row>
    <row r="3489" spans="21:21" ht="26.4">
      <c r="U3489" s="85" ph="1"/>
    </row>
    <row r="3490" spans="21:21" ht="26.4">
      <c r="U3490" s="85" ph="1"/>
    </row>
    <row r="3491" spans="21:21" ht="26.4">
      <c r="U3491" s="85" ph="1"/>
    </row>
    <row r="3492" spans="21:21" ht="26.4">
      <c r="U3492" s="85" ph="1"/>
    </row>
    <row r="3493" spans="21:21" ht="26.4">
      <c r="U3493" s="85" ph="1"/>
    </row>
    <row r="3494" spans="21:21" ht="26.4">
      <c r="U3494" s="85" ph="1"/>
    </row>
    <row r="3495" spans="21:21" ht="26.4">
      <c r="U3495" s="85" ph="1"/>
    </row>
    <row r="3496" spans="21:21" ht="26.4">
      <c r="U3496" s="85" ph="1"/>
    </row>
    <row r="3497" spans="21:21" ht="26.4">
      <c r="U3497" s="85" ph="1"/>
    </row>
    <row r="3498" spans="21:21" ht="26.4">
      <c r="U3498" s="85" ph="1"/>
    </row>
    <row r="3499" spans="21:21" ht="26.4">
      <c r="U3499" s="85" ph="1"/>
    </row>
    <row r="3500" spans="21:21" ht="26.4">
      <c r="U3500" s="85" ph="1"/>
    </row>
    <row r="3501" spans="21:21" ht="26.4">
      <c r="U3501" s="85" ph="1"/>
    </row>
    <row r="3502" spans="21:21" ht="26.4">
      <c r="U3502" s="85" ph="1"/>
    </row>
    <row r="3503" spans="21:21" ht="26.4">
      <c r="U3503" s="85" ph="1"/>
    </row>
    <row r="3504" spans="21:21" ht="26.4">
      <c r="U3504" s="85" ph="1"/>
    </row>
    <row r="3505" spans="21:21" ht="26.4">
      <c r="U3505" s="85" ph="1"/>
    </row>
    <row r="3506" spans="21:21" ht="26.4">
      <c r="U3506" s="85" ph="1"/>
    </row>
    <row r="3507" spans="21:21" ht="26.4">
      <c r="U3507" s="85" ph="1"/>
    </row>
    <row r="3508" spans="21:21" ht="26.4">
      <c r="U3508" s="85" ph="1"/>
    </row>
    <row r="3509" spans="21:21" ht="26.4">
      <c r="U3509" s="85" ph="1"/>
    </row>
    <row r="3510" spans="21:21" ht="26.4">
      <c r="U3510" s="85" ph="1"/>
    </row>
    <row r="3511" spans="21:21" ht="26.4">
      <c r="U3511" s="85" ph="1"/>
    </row>
    <row r="3512" spans="21:21" ht="26.4">
      <c r="U3512" s="85" ph="1"/>
    </row>
    <row r="3513" spans="21:21" ht="26.4">
      <c r="U3513" s="85" ph="1"/>
    </row>
    <row r="3514" spans="21:21" ht="26.4">
      <c r="U3514" s="85" ph="1"/>
    </row>
    <row r="3515" spans="21:21" ht="26.4">
      <c r="U3515" s="85" ph="1"/>
    </row>
    <row r="3516" spans="21:21" ht="26.4">
      <c r="U3516" s="85" ph="1"/>
    </row>
    <row r="3517" spans="21:21" ht="26.4">
      <c r="U3517" s="85" ph="1"/>
    </row>
    <row r="3518" spans="21:21" ht="26.4">
      <c r="U3518" s="85" ph="1"/>
    </row>
    <row r="3519" spans="21:21" ht="26.4">
      <c r="U3519" s="85" ph="1"/>
    </row>
    <row r="3520" spans="21:21" ht="26.4">
      <c r="U3520" s="85" ph="1"/>
    </row>
    <row r="3521" spans="21:21" ht="26.4">
      <c r="U3521" s="85" ph="1"/>
    </row>
    <row r="3522" spans="21:21" ht="26.4">
      <c r="U3522" s="85" ph="1"/>
    </row>
    <row r="3523" spans="21:21" ht="26.4">
      <c r="U3523" s="85" ph="1"/>
    </row>
    <row r="3524" spans="21:21" ht="26.4">
      <c r="U3524" s="85" ph="1"/>
    </row>
    <row r="3525" spans="21:21" ht="26.4">
      <c r="U3525" s="85" ph="1"/>
    </row>
    <row r="3526" spans="21:21" ht="26.4">
      <c r="U3526" s="85" ph="1"/>
    </row>
    <row r="3527" spans="21:21" ht="26.4">
      <c r="U3527" s="85" ph="1"/>
    </row>
    <row r="3528" spans="21:21" ht="26.4">
      <c r="U3528" s="85" ph="1"/>
    </row>
    <row r="3529" spans="21:21" ht="26.4">
      <c r="U3529" s="85" ph="1"/>
    </row>
    <row r="3530" spans="21:21" ht="26.4">
      <c r="U3530" s="85" ph="1"/>
    </row>
    <row r="3531" spans="21:21" ht="26.4">
      <c r="U3531" s="85" ph="1"/>
    </row>
    <row r="3532" spans="21:21" ht="26.4">
      <c r="U3532" s="85" ph="1"/>
    </row>
    <row r="3533" spans="21:21" ht="26.4">
      <c r="U3533" s="85" ph="1"/>
    </row>
    <row r="3534" spans="21:21" ht="26.4">
      <c r="U3534" s="85" ph="1"/>
    </row>
    <row r="3535" spans="21:21" ht="26.4">
      <c r="U3535" s="85" ph="1"/>
    </row>
    <row r="3536" spans="21:21" ht="26.4">
      <c r="U3536" s="85" ph="1"/>
    </row>
    <row r="3537" spans="21:21" ht="26.4">
      <c r="U3537" s="85" ph="1"/>
    </row>
    <row r="3538" spans="21:21" ht="26.4">
      <c r="U3538" s="85" ph="1"/>
    </row>
    <row r="3539" spans="21:21" ht="26.4">
      <c r="U3539" s="85" ph="1"/>
    </row>
    <row r="3540" spans="21:21" ht="26.4">
      <c r="U3540" s="85" ph="1"/>
    </row>
    <row r="3541" spans="21:21" ht="26.4">
      <c r="U3541" s="85" ph="1"/>
    </row>
    <row r="3542" spans="21:21" ht="26.4">
      <c r="U3542" s="85" ph="1"/>
    </row>
    <row r="3543" spans="21:21" ht="26.4">
      <c r="U3543" s="85" ph="1"/>
    </row>
    <row r="3544" spans="21:21" ht="26.4">
      <c r="U3544" s="85" ph="1"/>
    </row>
    <row r="3545" spans="21:21" ht="26.4">
      <c r="U3545" s="85" ph="1"/>
    </row>
    <row r="3546" spans="21:21" ht="26.4">
      <c r="U3546" s="85" ph="1"/>
    </row>
    <row r="3547" spans="21:21" ht="26.4">
      <c r="U3547" s="85" ph="1"/>
    </row>
    <row r="3548" spans="21:21" ht="26.4">
      <c r="U3548" s="85" ph="1"/>
    </row>
    <row r="3549" spans="21:21" ht="26.4">
      <c r="U3549" s="85" ph="1"/>
    </row>
    <row r="3550" spans="21:21" ht="26.4">
      <c r="U3550" s="85" ph="1"/>
    </row>
    <row r="3551" spans="21:21" ht="26.4">
      <c r="U3551" s="85" ph="1"/>
    </row>
    <row r="3552" spans="21:21" ht="26.4">
      <c r="U3552" s="85" ph="1"/>
    </row>
    <row r="3553" spans="21:21" ht="26.4">
      <c r="U3553" s="85" ph="1"/>
    </row>
    <row r="3554" spans="21:21" ht="26.4">
      <c r="U3554" s="85" ph="1"/>
    </row>
    <row r="3555" spans="21:21" ht="26.4">
      <c r="U3555" s="85" ph="1"/>
    </row>
    <row r="3556" spans="21:21" ht="26.4">
      <c r="U3556" s="85" ph="1"/>
    </row>
    <row r="3557" spans="21:21" ht="26.4">
      <c r="U3557" s="85" ph="1"/>
    </row>
    <row r="3558" spans="21:21" ht="26.4">
      <c r="U3558" s="85" ph="1"/>
    </row>
    <row r="3559" spans="21:21" ht="26.4">
      <c r="U3559" s="85" ph="1"/>
    </row>
    <row r="3560" spans="21:21" ht="26.4">
      <c r="U3560" s="85" ph="1"/>
    </row>
    <row r="3561" spans="21:21" ht="26.4">
      <c r="U3561" s="85" ph="1"/>
    </row>
    <row r="3562" spans="21:21" ht="26.4">
      <c r="U3562" s="85" ph="1"/>
    </row>
    <row r="3563" spans="21:21" ht="26.4">
      <c r="U3563" s="85" ph="1"/>
    </row>
    <row r="3564" spans="21:21" ht="26.4">
      <c r="U3564" s="85" ph="1"/>
    </row>
    <row r="3565" spans="21:21" ht="26.4">
      <c r="U3565" s="85" ph="1"/>
    </row>
    <row r="3566" spans="21:21" ht="26.4">
      <c r="U3566" s="85" ph="1"/>
    </row>
    <row r="3567" spans="21:21" ht="26.4">
      <c r="U3567" s="85" ph="1"/>
    </row>
    <row r="3568" spans="21:21" ht="26.4">
      <c r="U3568" s="85" ph="1"/>
    </row>
    <row r="3569" spans="21:21" ht="26.4">
      <c r="U3569" s="85" ph="1"/>
    </row>
    <row r="3570" spans="21:21" ht="26.4">
      <c r="U3570" s="85" ph="1"/>
    </row>
    <row r="3571" spans="21:21" ht="26.4">
      <c r="U3571" s="85" ph="1"/>
    </row>
    <row r="3572" spans="21:21" ht="26.4">
      <c r="U3572" s="85" ph="1"/>
    </row>
    <row r="3573" spans="21:21" ht="26.4">
      <c r="U3573" s="85" ph="1"/>
    </row>
    <row r="3574" spans="21:21" ht="26.4">
      <c r="U3574" s="85" ph="1"/>
    </row>
    <row r="3575" spans="21:21" ht="26.4">
      <c r="U3575" s="85" ph="1"/>
    </row>
    <row r="3576" spans="21:21" ht="26.4">
      <c r="U3576" s="85" ph="1"/>
    </row>
    <row r="3577" spans="21:21" ht="26.4">
      <c r="U3577" s="85" ph="1"/>
    </row>
    <row r="3578" spans="21:21" ht="26.4">
      <c r="U3578" s="85" ph="1"/>
    </row>
    <row r="3579" spans="21:21" ht="26.4">
      <c r="U3579" s="85" ph="1"/>
    </row>
    <row r="3580" spans="21:21" ht="26.4">
      <c r="U3580" s="85" ph="1"/>
    </row>
    <row r="3581" spans="21:21" ht="26.4">
      <c r="U3581" s="85" ph="1"/>
    </row>
    <row r="3582" spans="21:21" ht="26.4">
      <c r="U3582" s="85" ph="1"/>
    </row>
    <row r="3583" spans="21:21" ht="26.4">
      <c r="U3583" s="85" ph="1"/>
    </row>
    <row r="3584" spans="21:21" ht="26.4">
      <c r="U3584" s="85" ph="1"/>
    </row>
    <row r="3585" spans="21:21" ht="26.4">
      <c r="U3585" s="85" ph="1"/>
    </row>
    <row r="3586" spans="21:21" ht="26.4">
      <c r="U3586" s="85" ph="1"/>
    </row>
    <row r="3587" spans="21:21" ht="26.4">
      <c r="U3587" s="85" ph="1"/>
    </row>
    <row r="3588" spans="21:21" ht="26.4">
      <c r="U3588" s="85" ph="1"/>
    </row>
    <row r="3589" spans="21:21" ht="26.4">
      <c r="U3589" s="85" ph="1"/>
    </row>
    <row r="3590" spans="21:21" ht="26.4">
      <c r="U3590" s="85" ph="1"/>
    </row>
    <row r="3591" spans="21:21" ht="26.4">
      <c r="U3591" s="85" ph="1"/>
    </row>
    <row r="3592" spans="21:21" ht="26.4">
      <c r="U3592" s="85" ph="1"/>
    </row>
    <row r="3593" spans="21:21" ht="26.4">
      <c r="U3593" s="85" ph="1"/>
    </row>
    <row r="3594" spans="21:21" ht="26.4">
      <c r="U3594" s="85" ph="1"/>
    </row>
    <row r="3595" spans="21:21" ht="26.4">
      <c r="U3595" s="85" ph="1"/>
    </row>
    <row r="3596" spans="21:21" ht="26.4">
      <c r="U3596" s="85" ph="1"/>
    </row>
    <row r="3597" spans="21:21" ht="26.4">
      <c r="U3597" s="85" ph="1"/>
    </row>
    <row r="3598" spans="21:21" ht="26.4">
      <c r="U3598" s="85" ph="1"/>
    </row>
    <row r="3599" spans="21:21" ht="26.4">
      <c r="U3599" s="85" ph="1"/>
    </row>
    <row r="3600" spans="21:21" ht="26.4">
      <c r="U3600" s="85" ph="1"/>
    </row>
    <row r="3601" spans="21:21" ht="26.4">
      <c r="U3601" s="85" ph="1"/>
    </row>
    <row r="3602" spans="21:21" ht="26.4">
      <c r="U3602" s="85" ph="1"/>
    </row>
    <row r="3603" spans="21:21" ht="26.4">
      <c r="U3603" s="85" ph="1"/>
    </row>
    <row r="3604" spans="21:21" ht="26.4">
      <c r="U3604" s="85" ph="1"/>
    </row>
    <row r="3605" spans="21:21" ht="26.4">
      <c r="U3605" s="85" ph="1"/>
    </row>
    <row r="3606" spans="21:21" ht="26.4">
      <c r="U3606" s="85" ph="1"/>
    </row>
    <row r="3607" spans="21:21" ht="26.4">
      <c r="U3607" s="85" ph="1"/>
    </row>
    <row r="3608" spans="21:21" ht="26.4">
      <c r="U3608" s="85" ph="1"/>
    </row>
    <row r="3609" spans="21:21" ht="26.4">
      <c r="U3609" s="85" ph="1"/>
    </row>
    <row r="3610" spans="21:21" ht="26.4">
      <c r="U3610" s="85" ph="1"/>
    </row>
    <row r="3611" spans="21:21" ht="26.4">
      <c r="U3611" s="85" ph="1"/>
    </row>
    <row r="3612" spans="21:21" ht="26.4">
      <c r="U3612" s="85" ph="1"/>
    </row>
    <row r="3613" spans="21:21" ht="26.4">
      <c r="U3613" s="85" ph="1"/>
    </row>
    <row r="3614" spans="21:21" ht="26.4">
      <c r="U3614" s="85" ph="1"/>
    </row>
    <row r="3615" spans="21:21" ht="26.4">
      <c r="U3615" s="85" ph="1"/>
    </row>
    <row r="3616" spans="21:21" ht="26.4">
      <c r="U3616" s="85" ph="1"/>
    </row>
    <row r="3617" spans="21:21" ht="26.4">
      <c r="U3617" s="85" ph="1"/>
    </row>
    <row r="3618" spans="21:21" ht="26.4">
      <c r="U3618" s="85" ph="1"/>
    </row>
    <row r="3619" spans="21:21" ht="26.4">
      <c r="U3619" s="85" ph="1"/>
    </row>
    <row r="3620" spans="21:21" ht="26.4">
      <c r="U3620" s="85" ph="1"/>
    </row>
    <row r="3621" spans="21:21" ht="26.4">
      <c r="U3621" s="85" ph="1"/>
    </row>
    <row r="3622" spans="21:21" ht="26.4">
      <c r="U3622" s="85" ph="1"/>
    </row>
    <row r="3623" spans="21:21" ht="26.4">
      <c r="U3623" s="85" ph="1"/>
    </row>
    <row r="3624" spans="21:21" ht="26.4">
      <c r="U3624" s="85" ph="1"/>
    </row>
    <row r="3625" spans="21:21" ht="26.4">
      <c r="U3625" s="85" ph="1"/>
    </row>
    <row r="3626" spans="21:21" ht="26.4">
      <c r="U3626" s="85" ph="1"/>
    </row>
    <row r="3627" spans="21:21" ht="26.4">
      <c r="U3627" s="85" ph="1"/>
    </row>
    <row r="3628" spans="21:21" ht="26.4">
      <c r="U3628" s="85" ph="1"/>
    </row>
    <row r="3629" spans="21:21" ht="26.4">
      <c r="U3629" s="85" ph="1"/>
    </row>
    <row r="3630" spans="21:21" ht="26.4">
      <c r="U3630" s="85" ph="1"/>
    </row>
    <row r="3631" spans="21:21" ht="26.4">
      <c r="U3631" s="85" ph="1"/>
    </row>
    <row r="3632" spans="21:21" ht="26.4">
      <c r="U3632" s="85" ph="1"/>
    </row>
    <row r="3633" spans="21:21" ht="26.4">
      <c r="U3633" s="85" ph="1"/>
    </row>
    <row r="3634" spans="21:21" ht="26.4">
      <c r="U3634" s="85" ph="1"/>
    </row>
    <row r="3635" spans="21:21" ht="26.4">
      <c r="U3635" s="85" ph="1"/>
    </row>
    <row r="3636" spans="21:21" ht="26.4">
      <c r="U3636" s="85" ph="1"/>
    </row>
    <row r="3637" spans="21:21" ht="26.4">
      <c r="U3637" s="85" ph="1"/>
    </row>
    <row r="3638" spans="21:21" ht="26.4">
      <c r="U3638" s="85" ph="1"/>
    </row>
    <row r="3639" spans="21:21" ht="26.4">
      <c r="U3639" s="85" ph="1"/>
    </row>
    <row r="3640" spans="21:21" ht="26.4">
      <c r="U3640" s="85" ph="1"/>
    </row>
    <row r="3641" spans="21:21" ht="26.4">
      <c r="U3641" s="85" ph="1"/>
    </row>
    <row r="3642" spans="21:21" ht="26.4">
      <c r="U3642" s="85" ph="1"/>
    </row>
    <row r="3643" spans="21:21" ht="26.4">
      <c r="U3643" s="85" ph="1"/>
    </row>
    <row r="3644" spans="21:21" ht="26.4">
      <c r="U3644" s="85" ph="1"/>
    </row>
    <row r="3645" spans="21:21" ht="26.4">
      <c r="U3645" s="85" ph="1"/>
    </row>
    <row r="3646" spans="21:21" ht="26.4">
      <c r="U3646" s="85" ph="1"/>
    </row>
    <row r="3647" spans="21:21" ht="26.4">
      <c r="U3647" s="85" ph="1"/>
    </row>
    <row r="3648" spans="21:21" ht="26.4">
      <c r="U3648" s="85" ph="1"/>
    </row>
    <row r="3649" spans="21:21" ht="26.4">
      <c r="U3649" s="85" ph="1"/>
    </row>
    <row r="3650" spans="21:21" ht="26.4">
      <c r="U3650" s="85" ph="1"/>
    </row>
    <row r="3651" spans="21:21" ht="26.4">
      <c r="U3651" s="85" ph="1"/>
    </row>
    <row r="3652" spans="21:21" ht="26.4">
      <c r="U3652" s="85" ph="1"/>
    </row>
    <row r="3653" spans="21:21" ht="26.4">
      <c r="U3653" s="85" ph="1"/>
    </row>
    <row r="3654" spans="21:21" ht="26.4">
      <c r="U3654" s="85" ph="1"/>
    </row>
    <row r="3655" spans="21:21" ht="26.4">
      <c r="U3655" s="85" ph="1"/>
    </row>
    <row r="3656" spans="21:21" ht="26.4">
      <c r="U3656" s="85" ph="1"/>
    </row>
    <row r="3657" spans="21:21" ht="26.4">
      <c r="U3657" s="85" ph="1"/>
    </row>
    <row r="3658" spans="21:21" ht="26.4">
      <c r="U3658" s="85" ph="1"/>
    </row>
    <row r="3659" spans="21:21" ht="26.4">
      <c r="U3659" s="85" ph="1"/>
    </row>
    <row r="3660" spans="21:21" ht="26.4">
      <c r="U3660" s="85" ph="1"/>
    </row>
    <row r="3661" spans="21:21" ht="26.4">
      <c r="U3661" s="85" ph="1"/>
    </row>
    <row r="3662" spans="21:21" ht="26.4">
      <c r="U3662" s="85" ph="1"/>
    </row>
    <row r="3663" spans="21:21" ht="26.4">
      <c r="U3663" s="85" ph="1"/>
    </row>
    <row r="3664" spans="21:21" ht="26.4">
      <c r="U3664" s="85" ph="1"/>
    </row>
    <row r="3665" spans="21:21" ht="26.4">
      <c r="U3665" s="85" ph="1"/>
    </row>
    <row r="3666" spans="21:21" ht="26.4">
      <c r="U3666" s="85" ph="1"/>
    </row>
    <row r="3667" spans="21:21" ht="26.4">
      <c r="U3667" s="85" ph="1"/>
    </row>
    <row r="3668" spans="21:21" ht="26.4">
      <c r="U3668" s="85" ph="1"/>
    </row>
    <row r="3669" spans="21:21" ht="26.4">
      <c r="U3669" s="85" ph="1"/>
    </row>
    <row r="3670" spans="21:21" ht="26.4">
      <c r="U3670" s="85" ph="1"/>
    </row>
    <row r="3671" spans="21:21" ht="26.4">
      <c r="U3671" s="85" ph="1"/>
    </row>
    <row r="3672" spans="21:21" ht="26.4">
      <c r="U3672" s="85" ph="1"/>
    </row>
    <row r="3673" spans="21:21" ht="26.4">
      <c r="U3673" s="85" ph="1"/>
    </row>
    <row r="3674" spans="21:21" ht="26.4">
      <c r="U3674" s="85" ph="1"/>
    </row>
    <row r="3675" spans="21:21" ht="26.4">
      <c r="U3675" s="85" ph="1"/>
    </row>
    <row r="3676" spans="21:21" ht="26.4">
      <c r="U3676" s="85" ph="1"/>
    </row>
    <row r="3677" spans="21:21" ht="26.4">
      <c r="U3677" s="85" ph="1"/>
    </row>
    <row r="3678" spans="21:21" ht="26.4">
      <c r="U3678" s="85" ph="1"/>
    </row>
    <row r="3679" spans="21:21" ht="26.4">
      <c r="U3679" s="85" ph="1"/>
    </row>
    <row r="3680" spans="21:21" ht="26.4">
      <c r="U3680" s="85" ph="1"/>
    </row>
    <row r="3681" spans="21:21" ht="26.4">
      <c r="U3681" s="85" ph="1"/>
    </row>
    <row r="3682" spans="21:21" ht="26.4">
      <c r="U3682" s="85" ph="1"/>
    </row>
    <row r="3683" spans="21:21" ht="26.4">
      <c r="U3683" s="85" ph="1"/>
    </row>
    <row r="3684" spans="21:21" ht="26.4">
      <c r="U3684" s="85" ph="1"/>
    </row>
    <row r="3685" spans="21:21" ht="26.4">
      <c r="U3685" s="85" ph="1"/>
    </row>
    <row r="3686" spans="21:21" ht="26.4">
      <c r="U3686" s="85" ph="1"/>
    </row>
    <row r="3687" spans="21:21" ht="26.4">
      <c r="U3687" s="85" ph="1"/>
    </row>
    <row r="3688" spans="21:21" ht="26.4">
      <c r="U3688" s="85" ph="1"/>
    </row>
    <row r="3689" spans="21:21" ht="26.4">
      <c r="U3689" s="85" ph="1"/>
    </row>
    <row r="3690" spans="21:21" ht="26.4">
      <c r="U3690" s="85" ph="1"/>
    </row>
    <row r="3691" spans="21:21" ht="26.4">
      <c r="U3691" s="85" ph="1"/>
    </row>
    <row r="3692" spans="21:21" ht="26.4">
      <c r="U3692" s="85" ph="1"/>
    </row>
    <row r="3693" spans="21:21" ht="26.4">
      <c r="U3693" s="85" ph="1"/>
    </row>
    <row r="3694" spans="21:21" ht="26.4">
      <c r="U3694" s="85" ph="1"/>
    </row>
    <row r="3695" spans="21:21" ht="26.4">
      <c r="U3695" s="85" ph="1"/>
    </row>
    <row r="3696" spans="21:21" ht="26.4">
      <c r="U3696" s="85" ph="1"/>
    </row>
    <row r="3697" spans="21:21" ht="26.4">
      <c r="U3697" s="85" ph="1"/>
    </row>
    <row r="3698" spans="21:21" ht="26.4">
      <c r="U3698" s="85" ph="1"/>
    </row>
    <row r="3699" spans="21:21" ht="26.4">
      <c r="U3699" s="85" ph="1"/>
    </row>
    <row r="3700" spans="21:21" ht="26.4">
      <c r="U3700" s="85" ph="1"/>
    </row>
    <row r="3701" spans="21:21" ht="26.4">
      <c r="U3701" s="85" ph="1"/>
    </row>
    <row r="3702" spans="21:21" ht="26.4">
      <c r="U3702" s="85" ph="1"/>
    </row>
    <row r="3703" spans="21:21" ht="26.4">
      <c r="U3703" s="85" ph="1"/>
    </row>
    <row r="3704" spans="21:21" ht="26.4">
      <c r="U3704" s="85" ph="1"/>
    </row>
    <row r="3705" spans="21:21" ht="26.4">
      <c r="U3705" s="85" ph="1"/>
    </row>
    <row r="3706" spans="21:21" ht="26.4">
      <c r="U3706" s="85" ph="1"/>
    </row>
    <row r="3707" spans="21:21" ht="26.4">
      <c r="U3707" s="85" ph="1"/>
    </row>
    <row r="3708" spans="21:21" ht="26.4">
      <c r="U3708" s="85" ph="1"/>
    </row>
    <row r="3709" spans="21:21" ht="26.4">
      <c r="U3709" s="85" ph="1"/>
    </row>
    <row r="3710" spans="21:21" ht="26.4">
      <c r="U3710" s="85" ph="1"/>
    </row>
    <row r="3711" spans="21:21" ht="26.4">
      <c r="U3711" s="85" ph="1"/>
    </row>
    <row r="3712" spans="21:21" ht="26.4">
      <c r="U3712" s="85" ph="1"/>
    </row>
    <row r="3713" spans="21:21" ht="26.4">
      <c r="U3713" s="85" ph="1"/>
    </row>
    <row r="3714" spans="21:21" ht="26.4">
      <c r="U3714" s="85" ph="1"/>
    </row>
    <row r="3715" spans="21:21" ht="26.4">
      <c r="U3715" s="85" ph="1"/>
    </row>
    <row r="3716" spans="21:21" ht="26.4">
      <c r="U3716" s="85" ph="1"/>
    </row>
    <row r="3717" spans="21:21" ht="26.4">
      <c r="U3717" s="85" ph="1"/>
    </row>
    <row r="3718" spans="21:21" ht="26.4">
      <c r="U3718" s="85" ph="1"/>
    </row>
    <row r="3719" spans="21:21" ht="26.4">
      <c r="U3719" s="85" ph="1"/>
    </row>
    <row r="3720" spans="21:21" ht="26.4">
      <c r="U3720" s="85" ph="1"/>
    </row>
    <row r="3721" spans="21:21" ht="26.4">
      <c r="U3721" s="85" ph="1"/>
    </row>
    <row r="3722" spans="21:21" ht="26.4">
      <c r="U3722" s="85" ph="1"/>
    </row>
    <row r="3723" spans="21:21" ht="26.4">
      <c r="U3723" s="85" ph="1"/>
    </row>
    <row r="3724" spans="21:21" ht="26.4">
      <c r="U3724" s="85" ph="1"/>
    </row>
    <row r="3725" spans="21:21" ht="26.4">
      <c r="U3725" s="85" ph="1"/>
    </row>
    <row r="3726" spans="21:21" ht="26.4">
      <c r="U3726" s="85" ph="1"/>
    </row>
    <row r="3727" spans="21:21" ht="26.4">
      <c r="U3727" s="85" ph="1"/>
    </row>
    <row r="3728" spans="21:21" ht="26.4">
      <c r="U3728" s="85" ph="1"/>
    </row>
    <row r="3729" spans="21:21" ht="26.4">
      <c r="U3729" s="85" ph="1"/>
    </row>
    <row r="3730" spans="21:21" ht="26.4">
      <c r="U3730" s="85" ph="1"/>
    </row>
    <row r="3731" spans="21:21" ht="26.4">
      <c r="U3731" s="85" ph="1"/>
    </row>
    <row r="3732" spans="21:21" ht="26.4">
      <c r="U3732" s="85" ph="1"/>
    </row>
    <row r="3733" spans="21:21" ht="26.4">
      <c r="U3733" s="85" ph="1"/>
    </row>
    <row r="3734" spans="21:21" ht="26.4">
      <c r="U3734" s="85" ph="1"/>
    </row>
    <row r="3735" spans="21:21" ht="26.4">
      <c r="U3735" s="85" ph="1"/>
    </row>
    <row r="3736" spans="21:21" ht="26.4">
      <c r="U3736" s="85" ph="1"/>
    </row>
    <row r="3737" spans="21:21" ht="26.4">
      <c r="U3737" s="85" ph="1"/>
    </row>
    <row r="3738" spans="21:21" ht="26.4">
      <c r="U3738" s="85" ph="1"/>
    </row>
    <row r="3739" spans="21:21" ht="26.4">
      <c r="U3739" s="85" ph="1"/>
    </row>
    <row r="3740" spans="21:21" ht="26.4">
      <c r="U3740" s="85" ph="1"/>
    </row>
    <row r="3741" spans="21:21" ht="26.4">
      <c r="U3741" s="85" ph="1"/>
    </row>
    <row r="3742" spans="21:21" ht="26.4">
      <c r="U3742" s="85" ph="1"/>
    </row>
    <row r="3743" spans="21:21" ht="26.4">
      <c r="U3743" s="85" ph="1"/>
    </row>
    <row r="3744" spans="21:21" ht="26.4">
      <c r="U3744" s="85" ph="1"/>
    </row>
    <row r="3745" spans="21:21" ht="26.4">
      <c r="U3745" s="85" ph="1"/>
    </row>
    <row r="3746" spans="21:21" ht="26.4">
      <c r="U3746" s="85" ph="1"/>
    </row>
    <row r="3747" spans="21:21" ht="26.4">
      <c r="U3747" s="85" ph="1"/>
    </row>
    <row r="3748" spans="21:21" ht="26.4">
      <c r="U3748" s="85" ph="1"/>
    </row>
    <row r="3749" spans="21:21" ht="26.4">
      <c r="U3749" s="85" ph="1"/>
    </row>
    <row r="3750" spans="21:21" ht="26.4">
      <c r="U3750" s="85" ph="1"/>
    </row>
    <row r="3751" spans="21:21" ht="26.4">
      <c r="U3751" s="85" ph="1"/>
    </row>
    <row r="3752" spans="21:21" ht="26.4">
      <c r="U3752" s="85" ph="1"/>
    </row>
    <row r="3753" spans="21:21" ht="26.4">
      <c r="U3753" s="85" ph="1"/>
    </row>
    <row r="3754" spans="21:21" ht="26.4">
      <c r="U3754" s="85" ph="1"/>
    </row>
    <row r="3755" spans="21:21" ht="26.4">
      <c r="U3755" s="85" ph="1"/>
    </row>
    <row r="3756" spans="21:21" ht="26.4">
      <c r="U3756" s="85" ph="1"/>
    </row>
    <row r="3757" spans="21:21" ht="26.4">
      <c r="U3757" s="85" ph="1"/>
    </row>
    <row r="3758" spans="21:21" ht="26.4">
      <c r="U3758" s="85" ph="1"/>
    </row>
    <row r="3759" spans="21:21" ht="26.4">
      <c r="U3759" s="85" ph="1"/>
    </row>
    <row r="3760" spans="21:21" ht="26.4">
      <c r="U3760" s="85" ph="1"/>
    </row>
    <row r="3761" spans="21:21" ht="26.4">
      <c r="U3761" s="85" ph="1"/>
    </row>
    <row r="3762" spans="21:21" ht="26.4">
      <c r="U3762" s="85" ph="1"/>
    </row>
    <row r="3763" spans="21:21" ht="26.4">
      <c r="U3763" s="85" ph="1"/>
    </row>
    <row r="3764" spans="21:21" ht="26.4">
      <c r="U3764" s="85" ph="1"/>
    </row>
    <row r="3765" spans="21:21" ht="26.4">
      <c r="U3765" s="85" ph="1"/>
    </row>
    <row r="3766" spans="21:21" ht="26.4">
      <c r="U3766" s="85" ph="1"/>
    </row>
    <row r="3767" spans="21:21" ht="26.4">
      <c r="U3767" s="85" ph="1"/>
    </row>
    <row r="3768" spans="21:21" ht="26.4">
      <c r="U3768" s="85" ph="1"/>
    </row>
    <row r="3769" spans="21:21" ht="26.4">
      <c r="U3769" s="85" ph="1"/>
    </row>
    <row r="3770" spans="21:21" ht="26.4">
      <c r="U3770" s="85" ph="1"/>
    </row>
    <row r="3771" spans="21:21" ht="26.4">
      <c r="U3771" s="85" ph="1"/>
    </row>
    <row r="3772" spans="21:21" ht="26.4">
      <c r="U3772" s="85" ph="1"/>
    </row>
    <row r="3773" spans="21:21" ht="26.4">
      <c r="U3773" s="85" ph="1"/>
    </row>
    <row r="3774" spans="21:21" ht="26.4">
      <c r="U3774" s="85" ph="1"/>
    </row>
    <row r="3775" spans="21:21" ht="26.4">
      <c r="U3775" s="85" ph="1"/>
    </row>
    <row r="3776" spans="21:21" ht="26.4">
      <c r="U3776" s="85" ph="1"/>
    </row>
    <row r="3777" spans="21:21" ht="26.4">
      <c r="U3777" s="85" ph="1"/>
    </row>
    <row r="3778" spans="21:21" ht="26.4">
      <c r="U3778" s="85" ph="1"/>
    </row>
    <row r="3779" spans="21:21" ht="26.4">
      <c r="U3779" s="85" ph="1"/>
    </row>
    <row r="3780" spans="21:21" ht="26.4">
      <c r="U3780" s="85" ph="1"/>
    </row>
    <row r="3781" spans="21:21" ht="26.4">
      <c r="U3781" s="85" ph="1"/>
    </row>
    <row r="3782" spans="21:21" ht="26.4">
      <c r="U3782" s="85" ph="1"/>
    </row>
    <row r="3783" spans="21:21" ht="26.4">
      <c r="U3783" s="85" ph="1"/>
    </row>
    <row r="3784" spans="21:21" ht="26.4">
      <c r="U3784" s="85" ph="1"/>
    </row>
    <row r="3785" spans="21:21" ht="26.4">
      <c r="U3785" s="85" ph="1"/>
    </row>
    <row r="3786" spans="21:21" ht="26.4">
      <c r="U3786" s="85" ph="1"/>
    </row>
    <row r="3787" spans="21:21" ht="26.4">
      <c r="U3787" s="85" ph="1"/>
    </row>
    <row r="3788" spans="21:21" ht="26.4">
      <c r="U3788" s="85" ph="1"/>
    </row>
    <row r="3789" spans="21:21" ht="26.4">
      <c r="U3789" s="85" ph="1"/>
    </row>
    <row r="3790" spans="21:21" ht="26.4">
      <c r="U3790" s="85" ph="1"/>
    </row>
    <row r="3791" spans="21:21" ht="26.4">
      <c r="U3791" s="85" ph="1"/>
    </row>
    <row r="3792" spans="21:21" ht="26.4">
      <c r="U3792" s="85" ph="1"/>
    </row>
    <row r="3793" spans="21:21" ht="26.4">
      <c r="U3793" s="85" ph="1"/>
    </row>
    <row r="3794" spans="21:21" ht="26.4">
      <c r="U3794" s="85" ph="1"/>
    </row>
    <row r="3795" spans="21:21" ht="26.4">
      <c r="U3795" s="85" ph="1"/>
    </row>
    <row r="3796" spans="21:21" ht="26.4">
      <c r="U3796" s="85" ph="1"/>
    </row>
    <row r="3797" spans="21:21" ht="26.4">
      <c r="U3797" s="85" ph="1"/>
    </row>
    <row r="3798" spans="21:21" ht="26.4">
      <c r="U3798" s="85" ph="1"/>
    </row>
    <row r="3799" spans="21:21" ht="26.4">
      <c r="U3799" s="85" ph="1"/>
    </row>
    <row r="3800" spans="21:21" ht="26.4">
      <c r="U3800" s="85" ph="1"/>
    </row>
    <row r="3801" spans="21:21" ht="26.4">
      <c r="U3801" s="85" ph="1"/>
    </row>
    <row r="3802" spans="21:21" ht="26.4">
      <c r="U3802" s="85" ph="1"/>
    </row>
    <row r="3803" spans="21:21" ht="26.4">
      <c r="U3803" s="85" ph="1"/>
    </row>
    <row r="3804" spans="21:21" ht="26.4">
      <c r="U3804" s="85" ph="1"/>
    </row>
    <row r="3805" spans="21:21" ht="26.4">
      <c r="U3805" s="85" ph="1"/>
    </row>
    <row r="3806" spans="21:21" ht="26.4">
      <c r="U3806" s="85" ph="1"/>
    </row>
    <row r="3807" spans="21:21" ht="26.4">
      <c r="U3807" s="85" ph="1"/>
    </row>
    <row r="3808" spans="21:21" ht="26.4">
      <c r="U3808" s="85" ph="1"/>
    </row>
    <row r="3809" spans="21:21" ht="26.4">
      <c r="U3809" s="85" ph="1"/>
    </row>
    <row r="3810" spans="21:21" ht="26.4">
      <c r="U3810" s="85" ph="1"/>
    </row>
    <row r="3811" spans="21:21" ht="26.4">
      <c r="U3811" s="85" ph="1"/>
    </row>
    <row r="3812" spans="21:21" ht="26.4">
      <c r="U3812" s="85" ph="1"/>
    </row>
    <row r="3813" spans="21:21" ht="26.4">
      <c r="U3813" s="85" ph="1"/>
    </row>
    <row r="3814" spans="21:21" ht="26.4">
      <c r="U3814" s="85" ph="1"/>
    </row>
    <row r="3815" spans="21:21" ht="26.4">
      <c r="U3815" s="85" ph="1"/>
    </row>
    <row r="3816" spans="21:21" ht="26.4">
      <c r="U3816" s="85" ph="1"/>
    </row>
    <row r="3817" spans="21:21" ht="26.4">
      <c r="U3817" s="85" ph="1"/>
    </row>
    <row r="3818" spans="21:21" ht="26.4">
      <c r="U3818" s="85" ph="1"/>
    </row>
    <row r="3819" spans="21:21" ht="26.4">
      <c r="U3819" s="85" ph="1"/>
    </row>
    <row r="3820" spans="21:21" ht="26.4">
      <c r="U3820" s="85" ph="1"/>
    </row>
    <row r="3821" spans="21:21" ht="26.4">
      <c r="U3821" s="85" ph="1"/>
    </row>
    <row r="3822" spans="21:21" ht="26.4">
      <c r="U3822" s="85" ph="1"/>
    </row>
    <row r="3823" spans="21:21" ht="26.4">
      <c r="U3823" s="85" ph="1"/>
    </row>
    <row r="3824" spans="21:21" ht="26.4">
      <c r="U3824" s="85" ph="1"/>
    </row>
    <row r="3825" spans="21:21" ht="26.4">
      <c r="U3825" s="85" ph="1"/>
    </row>
    <row r="3826" spans="21:21" ht="26.4">
      <c r="U3826" s="85" ph="1"/>
    </row>
    <row r="3827" spans="21:21" ht="26.4">
      <c r="U3827" s="85" ph="1"/>
    </row>
    <row r="3828" spans="21:21" ht="26.4">
      <c r="U3828" s="85" ph="1"/>
    </row>
    <row r="3829" spans="21:21" ht="26.4">
      <c r="U3829" s="85" ph="1"/>
    </row>
    <row r="3830" spans="21:21" ht="26.4">
      <c r="U3830" s="85" ph="1"/>
    </row>
    <row r="3831" spans="21:21" ht="26.4">
      <c r="U3831" s="85" ph="1"/>
    </row>
    <row r="3832" spans="21:21" ht="26.4">
      <c r="U3832" s="85" ph="1"/>
    </row>
    <row r="3833" spans="21:21" ht="26.4">
      <c r="U3833" s="85" ph="1"/>
    </row>
    <row r="3834" spans="21:21" ht="26.4">
      <c r="U3834" s="85" ph="1"/>
    </row>
    <row r="3835" spans="21:21" ht="26.4">
      <c r="U3835" s="85" ph="1"/>
    </row>
    <row r="3836" spans="21:21" ht="26.4">
      <c r="U3836" s="85" ph="1"/>
    </row>
    <row r="3837" spans="21:21" ht="26.4">
      <c r="U3837" s="85" ph="1"/>
    </row>
    <row r="3838" spans="21:21" ht="26.4">
      <c r="U3838" s="85" ph="1"/>
    </row>
    <row r="3839" spans="21:21" ht="26.4">
      <c r="U3839" s="85" ph="1"/>
    </row>
    <row r="3840" spans="21:21" ht="26.4">
      <c r="U3840" s="85" ph="1"/>
    </row>
    <row r="3841" spans="21:21" ht="26.4">
      <c r="U3841" s="85" ph="1"/>
    </row>
    <row r="3842" spans="21:21" ht="26.4">
      <c r="U3842" s="85" ph="1"/>
    </row>
    <row r="3843" spans="21:21" ht="26.4">
      <c r="U3843" s="85" ph="1"/>
    </row>
    <row r="3844" spans="21:21" ht="26.4">
      <c r="U3844" s="85" ph="1"/>
    </row>
    <row r="3845" spans="21:21" ht="26.4">
      <c r="U3845" s="85" ph="1"/>
    </row>
    <row r="3846" spans="21:21" ht="26.4">
      <c r="U3846" s="85" ph="1"/>
    </row>
    <row r="3847" spans="21:21" ht="26.4">
      <c r="U3847" s="85" ph="1"/>
    </row>
    <row r="3848" spans="21:21" ht="26.4">
      <c r="U3848" s="85" ph="1"/>
    </row>
    <row r="3849" spans="21:21" ht="26.4">
      <c r="U3849" s="85" ph="1"/>
    </row>
    <row r="3850" spans="21:21" ht="26.4">
      <c r="U3850" s="85" ph="1"/>
    </row>
    <row r="3851" spans="21:21" ht="26.4">
      <c r="U3851" s="85" ph="1"/>
    </row>
    <row r="3852" spans="21:21" ht="26.4">
      <c r="U3852" s="85" ph="1"/>
    </row>
    <row r="3853" spans="21:21" ht="26.4">
      <c r="U3853" s="85" ph="1"/>
    </row>
    <row r="3854" spans="21:21" ht="26.4">
      <c r="U3854" s="85" ph="1"/>
    </row>
    <row r="3855" spans="21:21" ht="26.4">
      <c r="U3855" s="85" ph="1"/>
    </row>
    <row r="3856" spans="21:21" ht="26.4">
      <c r="U3856" s="85" ph="1"/>
    </row>
    <row r="3857" spans="21:21" ht="26.4">
      <c r="U3857" s="85" ph="1"/>
    </row>
    <row r="3858" spans="21:21" ht="26.4">
      <c r="U3858" s="85" ph="1"/>
    </row>
    <row r="3859" spans="21:21" ht="26.4">
      <c r="U3859" s="85" ph="1"/>
    </row>
    <row r="3860" spans="21:21" ht="26.4">
      <c r="U3860" s="85" ph="1"/>
    </row>
    <row r="3861" spans="21:21" ht="26.4">
      <c r="U3861" s="85" ph="1"/>
    </row>
    <row r="3862" spans="21:21" ht="26.4">
      <c r="U3862" s="85" ph="1"/>
    </row>
    <row r="3863" spans="21:21" ht="26.4">
      <c r="U3863" s="85" ph="1"/>
    </row>
    <row r="3864" spans="21:21" ht="26.4">
      <c r="U3864" s="85" ph="1"/>
    </row>
    <row r="3865" spans="21:21" ht="26.4">
      <c r="U3865" s="85" ph="1"/>
    </row>
    <row r="3866" spans="21:21" ht="26.4">
      <c r="U3866" s="85" ph="1"/>
    </row>
    <row r="3867" spans="21:21" ht="26.4">
      <c r="U3867" s="85" ph="1"/>
    </row>
    <row r="3868" spans="21:21" ht="26.4">
      <c r="U3868" s="85" ph="1"/>
    </row>
    <row r="3869" spans="21:21" ht="26.4">
      <c r="U3869" s="85" ph="1"/>
    </row>
    <row r="3870" spans="21:21" ht="26.4">
      <c r="U3870" s="85" ph="1"/>
    </row>
    <row r="3871" spans="21:21" ht="26.4">
      <c r="U3871" s="85" ph="1"/>
    </row>
    <row r="3872" spans="21:21" ht="26.4">
      <c r="U3872" s="85" ph="1"/>
    </row>
    <row r="3873" spans="21:21" ht="26.4">
      <c r="U3873" s="85" ph="1"/>
    </row>
    <row r="3874" spans="21:21" ht="26.4">
      <c r="U3874" s="85" ph="1"/>
    </row>
    <row r="3875" spans="21:21" ht="26.4">
      <c r="U3875" s="85" ph="1"/>
    </row>
    <row r="3876" spans="21:21" ht="26.4">
      <c r="U3876" s="85" ph="1"/>
    </row>
    <row r="3877" spans="21:21" ht="26.4">
      <c r="U3877" s="85" ph="1"/>
    </row>
    <row r="3878" spans="21:21" ht="26.4">
      <c r="U3878" s="85" ph="1"/>
    </row>
    <row r="3879" spans="21:21" ht="26.4">
      <c r="U3879" s="85" ph="1"/>
    </row>
    <row r="3880" spans="21:21" ht="26.4">
      <c r="U3880" s="85" ph="1"/>
    </row>
    <row r="3881" spans="21:21" ht="26.4">
      <c r="U3881" s="85" ph="1"/>
    </row>
    <row r="3882" spans="21:21" ht="26.4">
      <c r="U3882" s="85" ph="1"/>
    </row>
    <row r="3883" spans="21:21" ht="26.4">
      <c r="U3883" s="85" ph="1"/>
    </row>
    <row r="3884" spans="21:21" ht="26.4">
      <c r="U3884" s="85" ph="1"/>
    </row>
    <row r="3885" spans="21:21" ht="26.4">
      <c r="U3885" s="85" ph="1"/>
    </row>
    <row r="3886" spans="21:21" ht="26.4">
      <c r="U3886" s="85" ph="1"/>
    </row>
    <row r="3887" spans="21:21" ht="26.4">
      <c r="U3887" s="85" ph="1"/>
    </row>
    <row r="3888" spans="21:21" ht="26.4">
      <c r="U3888" s="85" ph="1"/>
    </row>
    <row r="3889" spans="21:21" ht="26.4">
      <c r="U3889" s="85" ph="1"/>
    </row>
    <row r="3890" spans="21:21" ht="26.4">
      <c r="U3890" s="85" ph="1"/>
    </row>
    <row r="3891" spans="21:21" ht="26.4">
      <c r="U3891" s="85" ph="1"/>
    </row>
    <row r="3892" spans="21:21" ht="26.4">
      <c r="U3892" s="85" ph="1"/>
    </row>
    <row r="3893" spans="21:21" ht="26.4">
      <c r="U3893" s="85" ph="1"/>
    </row>
    <row r="3894" spans="21:21" ht="26.4">
      <c r="U3894" s="85" ph="1"/>
    </row>
    <row r="3895" spans="21:21" ht="26.4">
      <c r="U3895" s="85" ph="1"/>
    </row>
    <row r="3896" spans="21:21" ht="26.4">
      <c r="U3896" s="85" ph="1"/>
    </row>
    <row r="3897" spans="21:21" ht="26.4">
      <c r="U3897" s="85" ph="1"/>
    </row>
    <row r="3898" spans="21:21" ht="26.4">
      <c r="U3898" s="85" ph="1"/>
    </row>
    <row r="3899" spans="21:21" ht="26.4">
      <c r="U3899" s="85" ph="1"/>
    </row>
    <row r="3900" spans="21:21" ht="26.4">
      <c r="U3900" s="85" ph="1"/>
    </row>
    <row r="3901" spans="21:21" ht="26.4">
      <c r="U3901" s="85" ph="1"/>
    </row>
    <row r="3902" spans="21:21" ht="26.4">
      <c r="U3902" s="85" ph="1"/>
    </row>
    <row r="3903" spans="21:21" ht="26.4">
      <c r="U3903" s="85" ph="1"/>
    </row>
    <row r="3904" spans="21:21" ht="26.4">
      <c r="U3904" s="85" ph="1"/>
    </row>
    <row r="3905" spans="21:21" ht="26.4">
      <c r="U3905" s="85" ph="1"/>
    </row>
    <row r="3906" spans="21:21" ht="26.4">
      <c r="U3906" s="85" ph="1"/>
    </row>
    <row r="3907" spans="21:21" ht="26.4">
      <c r="U3907" s="85" ph="1"/>
    </row>
    <row r="3908" spans="21:21" ht="26.4">
      <c r="U3908" s="85" ph="1"/>
    </row>
    <row r="3909" spans="21:21" ht="26.4">
      <c r="U3909" s="85" ph="1"/>
    </row>
    <row r="3910" spans="21:21" ht="26.4">
      <c r="U3910" s="85" ph="1"/>
    </row>
    <row r="3911" spans="21:21" ht="26.4">
      <c r="U3911" s="85" ph="1"/>
    </row>
    <row r="3912" spans="21:21" ht="26.4">
      <c r="U3912" s="85" ph="1"/>
    </row>
    <row r="3913" spans="21:21" ht="26.4">
      <c r="U3913" s="85" ph="1"/>
    </row>
    <row r="3914" spans="21:21" ht="26.4">
      <c r="U3914" s="85" ph="1"/>
    </row>
    <row r="3915" spans="21:21" ht="26.4">
      <c r="U3915" s="85" ph="1"/>
    </row>
    <row r="3916" spans="21:21" ht="26.4">
      <c r="U3916" s="85" ph="1"/>
    </row>
    <row r="3917" spans="21:21" ht="26.4">
      <c r="U3917" s="85" ph="1"/>
    </row>
    <row r="3918" spans="21:21" ht="26.4">
      <c r="U3918" s="85" ph="1"/>
    </row>
    <row r="3919" spans="21:21" ht="26.4">
      <c r="U3919" s="85" ph="1"/>
    </row>
    <row r="3920" spans="21:21" ht="26.4">
      <c r="U3920" s="85" ph="1"/>
    </row>
    <row r="3921" spans="21:21" ht="26.4">
      <c r="U3921" s="85" ph="1"/>
    </row>
    <row r="3922" spans="21:21" ht="26.4">
      <c r="U3922" s="85" ph="1"/>
    </row>
    <row r="3923" spans="21:21" ht="26.4">
      <c r="U3923" s="85" ph="1"/>
    </row>
    <row r="3924" spans="21:21" ht="26.4">
      <c r="U3924" s="85" ph="1"/>
    </row>
    <row r="3925" spans="21:21" ht="26.4">
      <c r="U3925" s="85" ph="1"/>
    </row>
    <row r="3926" spans="21:21" ht="26.4">
      <c r="U3926" s="85" ph="1"/>
    </row>
    <row r="3927" spans="21:21" ht="26.4">
      <c r="U3927" s="85" ph="1"/>
    </row>
    <row r="3928" spans="21:21" ht="26.4">
      <c r="U3928" s="85" ph="1"/>
    </row>
    <row r="3929" spans="21:21" ht="26.4">
      <c r="U3929" s="85" ph="1"/>
    </row>
    <row r="3930" spans="21:21" ht="26.4">
      <c r="U3930" s="85" ph="1"/>
    </row>
    <row r="3931" spans="21:21" ht="26.4">
      <c r="U3931" s="85" ph="1"/>
    </row>
    <row r="3932" spans="21:21" ht="26.4">
      <c r="U3932" s="85" ph="1"/>
    </row>
    <row r="3933" spans="21:21" ht="26.4">
      <c r="U3933" s="85" ph="1"/>
    </row>
    <row r="3934" spans="21:21" ht="26.4">
      <c r="U3934" s="85" ph="1"/>
    </row>
    <row r="3935" spans="21:21" ht="26.4">
      <c r="U3935" s="85" ph="1"/>
    </row>
    <row r="3936" spans="21:21" ht="26.4">
      <c r="U3936" s="85" ph="1"/>
    </row>
    <row r="3937" spans="21:21" ht="26.4">
      <c r="U3937" s="85" ph="1"/>
    </row>
    <row r="3938" spans="21:21" ht="26.4">
      <c r="U3938" s="85" ph="1"/>
    </row>
    <row r="3939" spans="21:21" ht="26.4">
      <c r="U3939" s="85" ph="1"/>
    </row>
    <row r="3940" spans="21:21" ht="26.4">
      <c r="U3940" s="85" ph="1"/>
    </row>
    <row r="3941" spans="21:21" ht="26.4">
      <c r="U3941" s="85" ph="1"/>
    </row>
    <row r="3942" spans="21:21" ht="26.4">
      <c r="U3942" s="85" ph="1"/>
    </row>
    <row r="3943" spans="21:21" ht="26.4">
      <c r="U3943" s="85" ph="1"/>
    </row>
    <row r="3944" spans="21:21" ht="26.4">
      <c r="U3944" s="85" ph="1"/>
    </row>
    <row r="3945" spans="21:21" ht="26.4">
      <c r="U3945" s="85" ph="1"/>
    </row>
    <row r="3946" spans="21:21" ht="26.4">
      <c r="U3946" s="85" ph="1"/>
    </row>
    <row r="3947" spans="21:21" ht="26.4">
      <c r="U3947" s="85" ph="1"/>
    </row>
    <row r="3948" spans="21:21" ht="26.4">
      <c r="U3948" s="85" ph="1"/>
    </row>
    <row r="3949" spans="21:21" ht="26.4">
      <c r="U3949" s="85" ph="1"/>
    </row>
    <row r="3950" spans="21:21" ht="26.4">
      <c r="U3950" s="85" ph="1"/>
    </row>
    <row r="3951" spans="21:21" ht="26.4">
      <c r="U3951" s="85" ph="1"/>
    </row>
    <row r="3952" spans="21:21" ht="26.4">
      <c r="U3952" s="85" ph="1"/>
    </row>
    <row r="3953" spans="21:21" ht="26.4">
      <c r="U3953" s="85" ph="1"/>
    </row>
    <row r="3954" spans="21:21" ht="26.4">
      <c r="U3954" s="85" ph="1"/>
    </row>
    <row r="3955" spans="21:21" ht="26.4">
      <c r="U3955" s="85" ph="1"/>
    </row>
    <row r="3956" spans="21:21" ht="26.4">
      <c r="U3956" s="85" ph="1"/>
    </row>
    <row r="3957" spans="21:21" ht="26.4">
      <c r="U3957" s="85" ph="1"/>
    </row>
    <row r="3958" spans="21:21" ht="26.4">
      <c r="U3958" s="85" ph="1"/>
    </row>
    <row r="3959" spans="21:21" ht="26.4">
      <c r="U3959" s="85" ph="1"/>
    </row>
    <row r="3960" spans="21:21" ht="26.4">
      <c r="U3960" s="85" ph="1"/>
    </row>
    <row r="3961" spans="21:21" ht="26.4">
      <c r="U3961" s="85" ph="1"/>
    </row>
    <row r="3962" spans="21:21" ht="26.4">
      <c r="U3962" s="85" ph="1"/>
    </row>
    <row r="3963" spans="21:21" ht="26.4">
      <c r="U3963" s="85" ph="1"/>
    </row>
    <row r="3964" spans="21:21" ht="26.4">
      <c r="U3964" s="85" ph="1"/>
    </row>
    <row r="3965" spans="21:21" ht="26.4">
      <c r="U3965" s="85" ph="1"/>
    </row>
    <row r="3966" spans="21:21" ht="26.4">
      <c r="U3966" s="85" ph="1"/>
    </row>
    <row r="3967" spans="21:21" ht="26.4">
      <c r="U3967" s="85" ph="1"/>
    </row>
    <row r="3968" spans="21:21" ht="26.4">
      <c r="U3968" s="85" ph="1"/>
    </row>
    <row r="3969" spans="21:21" ht="26.4">
      <c r="U3969" s="85" ph="1"/>
    </row>
    <row r="3970" spans="21:21" ht="26.4">
      <c r="U3970" s="85" ph="1"/>
    </row>
    <row r="3971" spans="21:21" ht="26.4">
      <c r="U3971" s="85" ph="1"/>
    </row>
    <row r="3972" spans="21:21" ht="26.4">
      <c r="U3972" s="85" ph="1"/>
    </row>
    <row r="3973" spans="21:21" ht="26.4">
      <c r="U3973" s="85" ph="1"/>
    </row>
    <row r="3974" spans="21:21" ht="26.4">
      <c r="U3974" s="85" ph="1"/>
    </row>
    <row r="3975" spans="21:21" ht="26.4">
      <c r="U3975" s="85" ph="1"/>
    </row>
    <row r="3976" spans="21:21" ht="26.4">
      <c r="U3976" s="85" ph="1"/>
    </row>
    <row r="3977" spans="21:21" ht="26.4">
      <c r="U3977" s="85" ph="1"/>
    </row>
    <row r="3978" spans="21:21" ht="26.4">
      <c r="U3978" s="85" ph="1"/>
    </row>
    <row r="3979" spans="21:21" ht="26.4">
      <c r="U3979" s="85" ph="1"/>
    </row>
    <row r="3980" spans="21:21" ht="26.4">
      <c r="U3980" s="85" ph="1"/>
    </row>
    <row r="3981" spans="21:21" ht="26.4">
      <c r="U3981" s="85" ph="1"/>
    </row>
    <row r="3982" spans="21:21" ht="26.4">
      <c r="U3982" s="85" ph="1"/>
    </row>
    <row r="3983" spans="21:21" ht="26.4">
      <c r="U3983" s="85" ph="1"/>
    </row>
    <row r="3984" spans="21:21" ht="26.4">
      <c r="U3984" s="85" ph="1"/>
    </row>
    <row r="3985" spans="21:21" ht="26.4">
      <c r="U3985" s="85" ph="1"/>
    </row>
    <row r="3986" spans="21:21" ht="26.4">
      <c r="U3986" s="85" ph="1"/>
    </row>
    <row r="3987" spans="21:21" ht="26.4">
      <c r="U3987" s="85" ph="1"/>
    </row>
    <row r="3988" spans="21:21" ht="26.4">
      <c r="U3988" s="85" ph="1"/>
    </row>
    <row r="3989" spans="21:21" ht="26.4">
      <c r="U3989" s="85" ph="1"/>
    </row>
    <row r="3990" spans="21:21" ht="26.4">
      <c r="U3990" s="85" ph="1"/>
    </row>
    <row r="3991" spans="21:21" ht="26.4">
      <c r="U3991" s="85" ph="1"/>
    </row>
    <row r="3992" spans="21:21" ht="26.4">
      <c r="U3992" s="85" ph="1"/>
    </row>
    <row r="3993" spans="21:21" ht="26.4">
      <c r="U3993" s="85" ph="1"/>
    </row>
    <row r="3994" spans="21:21" ht="26.4">
      <c r="U3994" s="85" ph="1"/>
    </row>
    <row r="3995" spans="21:21" ht="26.4">
      <c r="U3995" s="85" ph="1"/>
    </row>
    <row r="3996" spans="21:21" ht="26.4">
      <c r="U3996" s="85" ph="1"/>
    </row>
    <row r="3997" spans="21:21" ht="26.4">
      <c r="U3997" s="85" ph="1"/>
    </row>
    <row r="3998" spans="21:21" ht="26.4">
      <c r="U3998" s="85" ph="1"/>
    </row>
    <row r="3999" spans="21:21" ht="26.4">
      <c r="U3999" s="85" ph="1"/>
    </row>
    <row r="4000" spans="21:21" ht="26.4">
      <c r="U4000" s="85" ph="1"/>
    </row>
    <row r="4001" spans="21:21" ht="26.4">
      <c r="U4001" s="85" ph="1"/>
    </row>
    <row r="4002" spans="21:21" ht="26.4">
      <c r="U4002" s="85" ph="1"/>
    </row>
    <row r="4003" spans="21:21" ht="26.4">
      <c r="U4003" s="85" ph="1"/>
    </row>
    <row r="4004" spans="21:21" ht="26.4">
      <c r="U4004" s="85" ph="1"/>
    </row>
    <row r="4005" spans="21:21" ht="26.4">
      <c r="U4005" s="85" ph="1"/>
    </row>
    <row r="4006" spans="21:21" ht="26.4">
      <c r="U4006" s="85" ph="1"/>
    </row>
    <row r="4007" spans="21:21" ht="26.4">
      <c r="U4007" s="85" ph="1"/>
    </row>
    <row r="4008" spans="21:21" ht="26.4">
      <c r="U4008" s="85" ph="1"/>
    </row>
    <row r="4009" spans="21:21" ht="26.4">
      <c r="U4009" s="85" ph="1"/>
    </row>
    <row r="4010" spans="21:21" ht="26.4">
      <c r="U4010" s="85" ph="1"/>
    </row>
    <row r="4011" spans="21:21" ht="26.4">
      <c r="U4011" s="85" ph="1"/>
    </row>
    <row r="4012" spans="21:21" ht="26.4">
      <c r="U4012" s="85" ph="1"/>
    </row>
    <row r="4013" spans="21:21" ht="26.4">
      <c r="U4013" s="85" ph="1"/>
    </row>
    <row r="4014" spans="21:21" ht="26.4">
      <c r="U4014" s="85" ph="1"/>
    </row>
    <row r="4015" spans="21:21" ht="26.4">
      <c r="U4015" s="85" ph="1"/>
    </row>
    <row r="4016" spans="21:21" ht="26.4">
      <c r="U4016" s="85" ph="1"/>
    </row>
    <row r="4017" spans="21:21" ht="26.4">
      <c r="U4017" s="85" ph="1"/>
    </row>
    <row r="4018" spans="21:21" ht="26.4">
      <c r="U4018" s="85" ph="1"/>
    </row>
    <row r="4019" spans="21:21" ht="26.4">
      <c r="U4019" s="85" ph="1"/>
    </row>
    <row r="4020" spans="21:21" ht="26.4">
      <c r="U4020" s="85" ph="1"/>
    </row>
    <row r="4021" spans="21:21" ht="26.4">
      <c r="U4021" s="85" ph="1"/>
    </row>
    <row r="4022" spans="21:21" ht="26.4">
      <c r="U4022" s="85" ph="1"/>
    </row>
    <row r="4023" spans="21:21" ht="26.4">
      <c r="U4023" s="85" ph="1"/>
    </row>
    <row r="4024" spans="21:21" ht="26.4">
      <c r="U4024" s="85" ph="1"/>
    </row>
    <row r="4025" spans="21:21" ht="26.4">
      <c r="U4025" s="85" ph="1"/>
    </row>
    <row r="4026" spans="21:21" ht="26.4">
      <c r="U4026" s="85" ph="1"/>
    </row>
    <row r="4027" spans="21:21" ht="26.4">
      <c r="U4027" s="85" ph="1"/>
    </row>
    <row r="4028" spans="21:21" ht="26.4">
      <c r="U4028" s="85" ph="1"/>
    </row>
    <row r="4029" spans="21:21" ht="26.4">
      <c r="U4029" s="85" ph="1"/>
    </row>
    <row r="4030" spans="21:21" ht="26.4">
      <c r="U4030" s="85" ph="1"/>
    </row>
    <row r="4031" spans="21:21" ht="26.4">
      <c r="U4031" s="85" ph="1"/>
    </row>
    <row r="4032" spans="21:21" ht="26.4">
      <c r="U4032" s="85" ph="1"/>
    </row>
    <row r="4033" spans="21:21" ht="26.4">
      <c r="U4033" s="85" ph="1"/>
    </row>
    <row r="4034" spans="21:21" ht="26.4">
      <c r="U4034" s="85" ph="1"/>
    </row>
    <row r="4035" spans="21:21" ht="26.4">
      <c r="U4035" s="85" ph="1"/>
    </row>
    <row r="4036" spans="21:21" ht="26.4">
      <c r="U4036" s="85" ph="1"/>
    </row>
    <row r="4037" spans="21:21" ht="26.4">
      <c r="U4037" s="85" ph="1"/>
    </row>
    <row r="4038" spans="21:21" ht="26.4">
      <c r="U4038" s="85" ph="1"/>
    </row>
    <row r="4039" spans="21:21" ht="26.4">
      <c r="U4039" s="85" ph="1"/>
    </row>
    <row r="4040" spans="21:21" ht="26.4">
      <c r="U4040" s="85" ph="1"/>
    </row>
    <row r="4041" spans="21:21" ht="26.4">
      <c r="U4041" s="85" ph="1"/>
    </row>
    <row r="4042" spans="21:21" ht="26.4">
      <c r="U4042" s="85" ph="1"/>
    </row>
    <row r="4043" spans="21:21" ht="26.4">
      <c r="U4043" s="85" ph="1"/>
    </row>
    <row r="4044" spans="21:21" ht="26.4">
      <c r="U4044" s="85" ph="1"/>
    </row>
    <row r="4045" spans="21:21" ht="26.4">
      <c r="U4045" s="85" ph="1"/>
    </row>
    <row r="4046" spans="21:21" ht="26.4">
      <c r="U4046" s="85" ph="1"/>
    </row>
    <row r="4047" spans="21:21" ht="26.4">
      <c r="U4047" s="85" ph="1"/>
    </row>
    <row r="4048" spans="21:21" ht="26.4">
      <c r="U4048" s="85" ph="1"/>
    </row>
    <row r="4049" spans="21:21" ht="26.4">
      <c r="U4049" s="85" ph="1"/>
    </row>
    <row r="4050" spans="21:21" ht="26.4">
      <c r="U4050" s="85" ph="1"/>
    </row>
    <row r="4051" spans="21:21" ht="26.4">
      <c r="U4051" s="85" ph="1"/>
    </row>
    <row r="4052" spans="21:21" ht="26.4">
      <c r="U4052" s="85" ph="1"/>
    </row>
    <row r="4053" spans="21:21" ht="26.4">
      <c r="U4053" s="85" ph="1"/>
    </row>
    <row r="4054" spans="21:21" ht="26.4">
      <c r="U4054" s="85" ph="1"/>
    </row>
    <row r="4055" spans="21:21" ht="26.4">
      <c r="U4055" s="85" ph="1"/>
    </row>
    <row r="4056" spans="21:21" ht="26.4">
      <c r="U4056" s="85" ph="1"/>
    </row>
    <row r="4057" spans="21:21" ht="26.4">
      <c r="U4057" s="85" ph="1"/>
    </row>
    <row r="4058" spans="21:21" ht="26.4">
      <c r="U4058" s="85" ph="1"/>
    </row>
    <row r="4059" spans="21:21" ht="26.4">
      <c r="U4059" s="85" ph="1"/>
    </row>
    <row r="4060" spans="21:21" ht="26.4">
      <c r="U4060" s="85" ph="1"/>
    </row>
    <row r="4061" spans="21:21" ht="26.4">
      <c r="U4061" s="85" ph="1"/>
    </row>
    <row r="4062" spans="21:21" ht="26.4">
      <c r="U4062" s="85" ph="1"/>
    </row>
    <row r="4063" spans="21:21" ht="26.4">
      <c r="U4063" s="85" ph="1"/>
    </row>
    <row r="4064" spans="21:21" ht="26.4">
      <c r="U4064" s="85" ph="1"/>
    </row>
    <row r="4065" spans="21:21" ht="26.4">
      <c r="U4065" s="85" ph="1"/>
    </row>
    <row r="4066" spans="21:21" ht="26.4">
      <c r="U4066" s="85" ph="1"/>
    </row>
    <row r="4067" spans="21:21" ht="26.4">
      <c r="U4067" s="85" ph="1"/>
    </row>
    <row r="4068" spans="21:21" ht="26.4">
      <c r="U4068" s="85" ph="1"/>
    </row>
    <row r="4069" spans="21:21" ht="26.4">
      <c r="U4069" s="85" ph="1"/>
    </row>
    <row r="4070" spans="21:21" ht="26.4">
      <c r="U4070" s="85" ph="1"/>
    </row>
    <row r="4071" spans="21:21" ht="26.4">
      <c r="U4071" s="85" ph="1"/>
    </row>
    <row r="4072" spans="21:21" ht="26.4">
      <c r="U4072" s="85" ph="1"/>
    </row>
    <row r="4073" spans="21:21" ht="26.4">
      <c r="U4073" s="85" ph="1"/>
    </row>
    <row r="4074" spans="21:21" ht="26.4">
      <c r="U4074" s="85" ph="1"/>
    </row>
    <row r="4075" spans="21:21" ht="26.4">
      <c r="U4075" s="85" ph="1"/>
    </row>
    <row r="4076" spans="21:21" ht="26.4">
      <c r="U4076" s="85" ph="1"/>
    </row>
    <row r="4077" spans="21:21" ht="26.4">
      <c r="U4077" s="85" ph="1"/>
    </row>
    <row r="4078" spans="21:21" ht="26.4">
      <c r="U4078" s="85" ph="1"/>
    </row>
    <row r="4079" spans="21:21" ht="26.4">
      <c r="U4079" s="85" ph="1"/>
    </row>
    <row r="4080" spans="21:21" ht="26.4">
      <c r="U4080" s="85" ph="1"/>
    </row>
    <row r="4081" spans="21:21" ht="26.4">
      <c r="U4081" s="85" ph="1"/>
    </row>
    <row r="4082" spans="21:21" ht="26.4">
      <c r="U4082" s="85" ph="1"/>
    </row>
    <row r="4083" spans="21:21" ht="26.4">
      <c r="U4083" s="85" ph="1"/>
    </row>
    <row r="4084" spans="21:21" ht="26.4">
      <c r="U4084" s="85" ph="1"/>
    </row>
    <row r="4085" spans="21:21" ht="26.4">
      <c r="U4085" s="85" ph="1"/>
    </row>
    <row r="4086" spans="21:21" ht="26.4">
      <c r="U4086" s="85" ph="1"/>
    </row>
    <row r="4087" spans="21:21" ht="26.4">
      <c r="U4087" s="85" ph="1"/>
    </row>
    <row r="4088" spans="21:21" ht="26.4">
      <c r="U4088" s="85" ph="1"/>
    </row>
    <row r="4089" spans="21:21" ht="26.4">
      <c r="U4089" s="85" ph="1"/>
    </row>
    <row r="4090" spans="21:21" ht="26.4">
      <c r="U4090" s="85" ph="1"/>
    </row>
    <row r="4091" spans="21:21" ht="26.4">
      <c r="U4091" s="85" ph="1"/>
    </row>
    <row r="4092" spans="21:21" ht="26.4">
      <c r="U4092" s="85" ph="1"/>
    </row>
    <row r="4093" spans="21:21" ht="26.4">
      <c r="U4093" s="85" ph="1"/>
    </row>
    <row r="4094" spans="21:21" ht="26.4">
      <c r="U4094" s="85" ph="1"/>
    </row>
    <row r="4095" spans="21:21" ht="26.4">
      <c r="U4095" s="85" ph="1"/>
    </row>
    <row r="4096" spans="21:21" ht="26.4">
      <c r="U4096" s="85" ph="1"/>
    </row>
    <row r="4097" spans="21:21" ht="26.4">
      <c r="U4097" s="85" ph="1"/>
    </row>
    <row r="4098" spans="21:21" ht="26.4">
      <c r="U4098" s="85" ph="1"/>
    </row>
    <row r="4099" spans="21:21" ht="26.4">
      <c r="U4099" s="85" ph="1"/>
    </row>
    <row r="4100" spans="21:21" ht="26.4">
      <c r="U4100" s="85" ph="1"/>
    </row>
    <row r="4101" spans="21:21" ht="26.4">
      <c r="U4101" s="85" ph="1"/>
    </row>
    <row r="4102" spans="21:21" ht="26.4">
      <c r="U4102" s="85" ph="1"/>
    </row>
    <row r="4103" spans="21:21" ht="26.4">
      <c r="U4103" s="85" ph="1"/>
    </row>
    <row r="4104" spans="21:21" ht="26.4">
      <c r="U4104" s="85" ph="1"/>
    </row>
    <row r="4105" spans="21:21" ht="26.4">
      <c r="U4105" s="85" ph="1"/>
    </row>
    <row r="4106" spans="21:21" ht="26.4">
      <c r="U4106" s="85" ph="1"/>
    </row>
    <row r="4107" spans="21:21" ht="26.4">
      <c r="U4107" s="85" ph="1"/>
    </row>
    <row r="4108" spans="21:21" ht="26.4">
      <c r="U4108" s="85" ph="1"/>
    </row>
    <row r="4109" spans="21:21" ht="26.4">
      <c r="U4109" s="85" ph="1"/>
    </row>
    <row r="4110" spans="21:21" ht="26.4">
      <c r="U4110" s="85" ph="1"/>
    </row>
    <row r="4111" spans="21:21" ht="26.4">
      <c r="U4111" s="85" ph="1"/>
    </row>
    <row r="4112" spans="21:21" ht="26.4">
      <c r="U4112" s="85" ph="1"/>
    </row>
    <row r="4113" spans="21:21" ht="26.4">
      <c r="U4113" s="85" ph="1"/>
    </row>
    <row r="4114" spans="21:21" ht="26.4">
      <c r="U4114" s="85" ph="1"/>
    </row>
    <row r="4115" spans="21:21" ht="26.4">
      <c r="U4115" s="85" ph="1"/>
    </row>
    <row r="4116" spans="21:21" ht="26.4">
      <c r="U4116" s="85" ph="1"/>
    </row>
    <row r="4117" spans="21:21" ht="26.4">
      <c r="U4117" s="85" ph="1"/>
    </row>
    <row r="4118" spans="21:21" ht="26.4">
      <c r="U4118" s="85" ph="1"/>
    </row>
    <row r="4119" spans="21:21" ht="26.4">
      <c r="U4119" s="85" ph="1"/>
    </row>
    <row r="4120" spans="21:21" ht="26.4">
      <c r="U4120" s="85" ph="1"/>
    </row>
    <row r="4121" spans="21:21" ht="26.4">
      <c r="U4121" s="85" ph="1"/>
    </row>
    <row r="4122" spans="21:21" ht="26.4">
      <c r="U4122" s="85" ph="1"/>
    </row>
    <row r="4123" spans="21:21" ht="26.4">
      <c r="U4123" s="85" ph="1"/>
    </row>
    <row r="4124" spans="21:21" ht="26.4">
      <c r="U4124" s="85" ph="1"/>
    </row>
    <row r="4125" spans="21:21" ht="26.4">
      <c r="U4125" s="85" ph="1"/>
    </row>
    <row r="4126" spans="21:21" ht="26.4">
      <c r="U4126" s="85" ph="1"/>
    </row>
    <row r="4127" spans="21:21" ht="26.4">
      <c r="U4127" s="85" ph="1"/>
    </row>
    <row r="4128" spans="21:21" ht="26.4">
      <c r="U4128" s="85" ph="1"/>
    </row>
    <row r="4129" spans="21:21" ht="26.4">
      <c r="U4129" s="85" ph="1"/>
    </row>
    <row r="4130" spans="21:21" ht="26.4">
      <c r="U4130" s="85" ph="1"/>
    </row>
    <row r="4131" spans="21:21" ht="26.4">
      <c r="U4131" s="85" ph="1"/>
    </row>
    <row r="4132" spans="21:21" ht="26.4">
      <c r="U4132" s="85" ph="1"/>
    </row>
    <row r="4133" spans="21:21" ht="26.4">
      <c r="U4133" s="85" ph="1"/>
    </row>
    <row r="4134" spans="21:21" ht="26.4">
      <c r="U4134" s="85" ph="1"/>
    </row>
    <row r="4135" spans="21:21" ht="26.4">
      <c r="U4135" s="85" ph="1"/>
    </row>
    <row r="4136" spans="21:21" ht="26.4">
      <c r="U4136" s="85" ph="1"/>
    </row>
    <row r="4137" spans="21:21" ht="26.4">
      <c r="U4137" s="85" ph="1"/>
    </row>
    <row r="4138" spans="21:21" ht="26.4">
      <c r="U4138" s="85" ph="1"/>
    </row>
    <row r="4139" spans="21:21" ht="26.4">
      <c r="U4139" s="85" ph="1"/>
    </row>
    <row r="4140" spans="21:21" ht="26.4">
      <c r="U4140" s="85" ph="1"/>
    </row>
    <row r="4141" spans="21:21" ht="26.4">
      <c r="U4141" s="85" ph="1"/>
    </row>
    <row r="4142" spans="21:21" ht="26.4">
      <c r="U4142" s="85" ph="1"/>
    </row>
    <row r="4143" spans="21:21" ht="26.4">
      <c r="U4143" s="85" ph="1"/>
    </row>
    <row r="4144" spans="21:21" ht="26.4">
      <c r="U4144" s="85" ph="1"/>
    </row>
    <row r="4145" spans="21:21" ht="26.4">
      <c r="U4145" s="85" ph="1"/>
    </row>
    <row r="4146" spans="21:21" ht="26.4">
      <c r="U4146" s="85" ph="1"/>
    </row>
    <row r="4147" spans="21:21" ht="26.4">
      <c r="U4147" s="85" ph="1"/>
    </row>
    <row r="4148" spans="21:21" ht="26.4">
      <c r="U4148" s="85" ph="1"/>
    </row>
    <row r="4149" spans="21:21" ht="26.4">
      <c r="U4149" s="85" ph="1"/>
    </row>
    <row r="4150" spans="21:21" ht="26.4">
      <c r="U4150" s="85" ph="1"/>
    </row>
    <row r="4151" spans="21:21" ht="26.4">
      <c r="U4151" s="85" ph="1"/>
    </row>
    <row r="4152" spans="21:21" ht="26.4">
      <c r="U4152" s="85" ph="1"/>
    </row>
    <row r="4153" spans="21:21" ht="26.4">
      <c r="U4153" s="85" ph="1"/>
    </row>
    <row r="4154" spans="21:21" ht="26.4">
      <c r="U4154" s="85" ph="1"/>
    </row>
    <row r="4155" spans="21:21" ht="26.4">
      <c r="U4155" s="85" ph="1"/>
    </row>
    <row r="4156" spans="21:21" ht="26.4">
      <c r="U4156" s="85" ph="1"/>
    </row>
    <row r="4157" spans="21:21" ht="26.4">
      <c r="U4157" s="85" ph="1"/>
    </row>
    <row r="4158" spans="21:21" ht="26.4">
      <c r="U4158" s="85" ph="1"/>
    </row>
    <row r="4159" spans="21:21" ht="26.4">
      <c r="U4159" s="85" ph="1"/>
    </row>
    <row r="4160" spans="21:21" ht="26.4">
      <c r="U4160" s="85" ph="1"/>
    </row>
    <row r="4161" spans="21:21" ht="26.4">
      <c r="U4161" s="85" ph="1"/>
    </row>
    <row r="4162" spans="21:21" ht="26.4">
      <c r="U4162" s="85" ph="1"/>
    </row>
    <row r="4163" spans="21:21" ht="26.4">
      <c r="U4163" s="85" ph="1"/>
    </row>
    <row r="4164" spans="21:21" ht="26.4">
      <c r="U4164" s="85" ph="1"/>
    </row>
    <row r="4165" spans="21:21" ht="26.4">
      <c r="U4165" s="85" ph="1"/>
    </row>
    <row r="4166" spans="21:21" ht="26.4">
      <c r="U4166" s="85" ph="1"/>
    </row>
    <row r="4167" spans="21:21" ht="26.4">
      <c r="U4167" s="85" ph="1"/>
    </row>
    <row r="4168" spans="21:21" ht="26.4">
      <c r="U4168" s="85" ph="1"/>
    </row>
    <row r="4169" spans="21:21" ht="26.4">
      <c r="U4169" s="85" ph="1"/>
    </row>
    <row r="4170" spans="21:21" ht="26.4">
      <c r="U4170" s="85" ph="1"/>
    </row>
    <row r="4171" spans="21:21" ht="26.4">
      <c r="U4171" s="85" ph="1"/>
    </row>
    <row r="4172" spans="21:21" ht="26.4">
      <c r="U4172" s="85" ph="1"/>
    </row>
    <row r="4173" spans="21:21" ht="26.4">
      <c r="U4173" s="85" ph="1"/>
    </row>
    <row r="4174" spans="21:21" ht="26.4">
      <c r="U4174" s="85" ph="1"/>
    </row>
    <row r="4175" spans="21:21" ht="26.4">
      <c r="U4175" s="85" ph="1"/>
    </row>
    <row r="4176" spans="21:21" ht="26.4">
      <c r="U4176" s="85" ph="1"/>
    </row>
    <row r="4177" spans="21:21" ht="26.4">
      <c r="U4177" s="85" ph="1"/>
    </row>
    <row r="4178" spans="21:21" ht="26.4">
      <c r="U4178" s="85" ph="1"/>
    </row>
    <row r="4179" spans="21:21" ht="26.4">
      <c r="U4179" s="85" ph="1"/>
    </row>
    <row r="4180" spans="21:21" ht="26.4">
      <c r="U4180" s="85" ph="1"/>
    </row>
    <row r="4181" spans="21:21" ht="26.4">
      <c r="U4181" s="85" ph="1"/>
    </row>
    <row r="4182" spans="21:21" ht="26.4">
      <c r="U4182" s="85" ph="1"/>
    </row>
    <row r="4183" spans="21:21" ht="26.4">
      <c r="U4183" s="85" ph="1"/>
    </row>
    <row r="4184" spans="21:21" ht="26.4">
      <c r="U4184" s="85" ph="1"/>
    </row>
    <row r="4185" spans="21:21" ht="26.4">
      <c r="U4185" s="85" ph="1"/>
    </row>
    <row r="4186" spans="21:21" ht="26.4">
      <c r="U4186" s="85" ph="1"/>
    </row>
    <row r="4187" spans="21:21" ht="26.4">
      <c r="U4187" s="85" ph="1"/>
    </row>
    <row r="4188" spans="21:21" ht="26.4">
      <c r="U4188" s="85" ph="1"/>
    </row>
    <row r="4189" spans="21:21" ht="26.4">
      <c r="U4189" s="85" ph="1"/>
    </row>
    <row r="4190" spans="21:21" ht="26.4">
      <c r="U4190" s="85" ph="1"/>
    </row>
    <row r="4191" spans="21:21" ht="26.4">
      <c r="U4191" s="85" ph="1"/>
    </row>
    <row r="4192" spans="21:21" ht="26.4">
      <c r="U4192" s="85" ph="1"/>
    </row>
    <row r="4193" spans="21:21" ht="26.4">
      <c r="U4193" s="85" ph="1"/>
    </row>
    <row r="4194" spans="21:21" ht="26.4">
      <c r="U4194" s="85" ph="1"/>
    </row>
    <row r="4195" spans="21:21" ht="26.4">
      <c r="U4195" s="85" ph="1"/>
    </row>
    <row r="4196" spans="21:21" ht="26.4">
      <c r="U4196" s="85" ph="1"/>
    </row>
    <row r="4197" spans="21:21" ht="26.4">
      <c r="U4197" s="85" ph="1"/>
    </row>
    <row r="4198" spans="21:21" ht="26.4">
      <c r="U4198" s="85" ph="1"/>
    </row>
    <row r="4199" spans="21:21" ht="26.4">
      <c r="U4199" s="85" ph="1"/>
    </row>
    <row r="4200" spans="21:21" ht="26.4">
      <c r="U4200" s="85" ph="1"/>
    </row>
    <row r="4201" spans="21:21" ht="26.4">
      <c r="U4201" s="85" ph="1"/>
    </row>
    <row r="4202" spans="21:21" ht="26.4">
      <c r="U4202" s="85" ph="1"/>
    </row>
    <row r="4203" spans="21:21" ht="26.4">
      <c r="U4203" s="85" ph="1"/>
    </row>
    <row r="4204" spans="21:21" ht="26.4">
      <c r="U4204" s="85" ph="1"/>
    </row>
    <row r="4205" spans="21:21" ht="26.4">
      <c r="U4205" s="85" ph="1"/>
    </row>
    <row r="4206" spans="21:21" ht="26.4">
      <c r="U4206" s="85" ph="1"/>
    </row>
    <row r="4207" spans="21:21" ht="26.4">
      <c r="U4207" s="85" ph="1"/>
    </row>
    <row r="4208" spans="21:21" ht="26.4">
      <c r="U4208" s="85" ph="1"/>
    </row>
    <row r="4209" spans="21:21" ht="26.4">
      <c r="U4209" s="85" ph="1"/>
    </row>
    <row r="4210" spans="21:21" ht="26.4">
      <c r="U4210" s="85" ph="1"/>
    </row>
    <row r="4211" spans="21:21" ht="26.4">
      <c r="U4211" s="85" ph="1"/>
    </row>
    <row r="4212" spans="21:21" ht="26.4">
      <c r="U4212" s="85" ph="1"/>
    </row>
    <row r="4213" spans="21:21" ht="26.4">
      <c r="U4213" s="85" ph="1"/>
    </row>
    <row r="4214" spans="21:21" ht="26.4">
      <c r="U4214" s="85" ph="1"/>
    </row>
    <row r="4215" spans="21:21" ht="26.4">
      <c r="U4215" s="85" ph="1"/>
    </row>
    <row r="4216" spans="21:21" ht="26.4">
      <c r="U4216" s="85" ph="1"/>
    </row>
    <row r="4217" spans="21:21" ht="26.4">
      <c r="U4217" s="85" ph="1"/>
    </row>
    <row r="4218" spans="21:21" ht="26.4">
      <c r="U4218" s="85" ph="1"/>
    </row>
    <row r="4219" spans="21:21" ht="26.4">
      <c r="U4219" s="85" ph="1"/>
    </row>
    <row r="4220" spans="21:21" ht="26.4">
      <c r="U4220" s="85" ph="1"/>
    </row>
    <row r="4221" spans="21:21" ht="26.4">
      <c r="U4221" s="85" ph="1"/>
    </row>
    <row r="4222" spans="21:21" ht="26.4">
      <c r="U4222" s="85" ph="1"/>
    </row>
    <row r="4223" spans="21:21" ht="26.4">
      <c r="U4223" s="85" ph="1"/>
    </row>
    <row r="4224" spans="21:21" ht="26.4">
      <c r="U4224" s="85" ph="1"/>
    </row>
    <row r="4225" spans="21:21" ht="26.4">
      <c r="U4225" s="85" ph="1"/>
    </row>
    <row r="4226" spans="21:21" ht="26.4">
      <c r="U4226" s="85" ph="1"/>
    </row>
    <row r="4227" spans="21:21" ht="26.4">
      <c r="U4227" s="85" ph="1"/>
    </row>
    <row r="4228" spans="21:21" ht="26.4">
      <c r="U4228" s="85" ph="1"/>
    </row>
    <row r="4229" spans="21:21" ht="26.4">
      <c r="U4229" s="85" ph="1"/>
    </row>
    <row r="4230" spans="21:21" ht="26.4">
      <c r="U4230" s="85" ph="1"/>
    </row>
    <row r="4231" spans="21:21" ht="26.4">
      <c r="U4231" s="85" ph="1"/>
    </row>
    <row r="4232" spans="21:21" ht="26.4">
      <c r="U4232" s="85" ph="1"/>
    </row>
    <row r="4233" spans="21:21" ht="26.4">
      <c r="U4233" s="85" ph="1"/>
    </row>
    <row r="4234" spans="21:21" ht="26.4">
      <c r="U4234" s="85" ph="1"/>
    </row>
    <row r="4235" spans="21:21" ht="26.4">
      <c r="U4235" s="85" ph="1"/>
    </row>
    <row r="4236" spans="21:21" ht="26.4">
      <c r="U4236" s="85" ph="1"/>
    </row>
    <row r="4237" spans="21:21" ht="26.4">
      <c r="U4237" s="85" ph="1"/>
    </row>
    <row r="4238" spans="21:21" ht="26.4">
      <c r="U4238" s="85" ph="1"/>
    </row>
    <row r="4239" spans="21:21" ht="26.4">
      <c r="U4239" s="85" ph="1"/>
    </row>
    <row r="4240" spans="21:21" ht="26.4">
      <c r="U4240" s="85" ph="1"/>
    </row>
    <row r="4241" spans="21:21" ht="26.4">
      <c r="U4241" s="85" ph="1"/>
    </row>
    <row r="4242" spans="21:21" ht="26.4">
      <c r="U4242" s="85" ph="1"/>
    </row>
    <row r="4243" spans="21:21" ht="26.4">
      <c r="U4243" s="85" ph="1"/>
    </row>
    <row r="4244" spans="21:21" ht="26.4">
      <c r="U4244" s="85" ph="1"/>
    </row>
    <row r="4245" spans="21:21" ht="26.4">
      <c r="U4245" s="85" ph="1"/>
    </row>
    <row r="4246" spans="21:21" ht="26.4">
      <c r="U4246" s="85" ph="1"/>
    </row>
    <row r="4247" spans="21:21" ht="26.4">
      <c r="U4247" s="85" ph="1"/>
    </row>
    <row r="4248" spans="21:21" ht="26.4">
      <c r="U4248" s="85" ph="1"/>
    </row>
    <row r="4249" spans="21:21" ht="26.4">
      <c r="U4249" s="85" ph="1"/>
    </row>
    <row r="4250" spans="21:21" ht="26.4">
      <c r="U4250" s="85" ph="1"/>
    </row>
    <row r="4251" spans="21:21" ht="26.4">
      <c r="U4251" s="85" ph="1"/>
    </row>
    <row r="4252" spans="21:21" ht="26.4">
      <c r="U4252" s="85" ph="1"/>
    </row>
    <row r="4253" spans="21:21" ht="26.4">
      <c r="U4253" s="85" ph="1"/>
    </row>
    <row r="4254" spans="21:21" ht="26.4">
      <c r="U4254" s="85" ph="1"/>
    </row>
    <row r="4255" spans="21:21" ht="26.4">
      <c r="U4255" s="85" ph="1"/>
    </row>
    <row r="4256" spans="21:21" ht="26.4">
      <c r="U4256" s="85" ph="1"/>
    </row>
    <row r="4257" spans="21:21" ht="26.4">
      <c r="U4257" s="85" ph="1"/>
    </row>
    <row r="4258" spans="21:21" ht="26.4">
      <c r="U4258" s="85" ph="1"/>
    </row>
    <row r="4259" spans="21:21" ht="26.4">
      <c r="U4259" s="85" ph="1"/>
    </row>
    <row r="4260" spans="21:21" ht="26.4">
      <c r="U4260" s="85" ph="1"/>
    </row>
    <row r="4261" spans="21:21" ht="26.4">
      <c r="U4261" s="85" ph="1"/>
    </row>
    <row r="4262" spans="21:21" ht="26.4">
      <c r="U4262" s="85" ph="1"/>
    </row>
    <row r="4263" spans="21:21" ht="26.4">
      <c r="U4263" s="85" ph="1"/>
    </row>
    <row r="4264" spans="21:21" ht="26.4">
      <c r="U4264" s="85" ph="1"/>
    </row>
    <row r="4265" spans="21:21" ht="26.4">
      <c r="U4265" s="85" ph="1"/>
    </row>
    <row r="4266" spans="21:21" ht="26.4">
      <c r="U4266" s="85" ph="1"/>
    </row>
    <row r="4267" spans="21:21" ht="26.4">
      <c r="U4267" s="85" ph="1"/>
    </row>
    <row r="4268" spans="21:21" ht="26.4">
      <c r="U4268" s="85" ph="1"/>
    </row>
    <row r="4269" spans="21:21" ht="26.4">
      <c r="U4269" s="85" ph="1"/>
    </row>
    <row r="4270" spans="21:21" ht="26.4">
      <c r="U4270" s="85" ph="1"/>
    </row>
    <row r="4271" spans="21:21" ht="26.4">
      <c r="U4271" s="85" ph="1"/>
    </row>
    <row r="4272" spans="21:21" ht="26.4">
      <c r="U4272" s="85" ph="1"/>
    </row>
    <row r="4273" spans="21:21" ht="26.4">
      <c r="U4273" s="85" ph="1"/>
    </row>
    <row r="4274" spans="21:21" ht="26.4">
      <c r="U4274" s="85" ph="1"/>
    </row>
    <row r="4275" spans="21:21" ht="26.4">
      <c r="U4275" s="85" ph="1"/>
    </row>
    <row r="4276" spans="21:21" ht="26.4">
      <c r="U4276" s="85" ph="1"/>
    </row>
    <row r="4277" spans="21:21" ht="26.4">
      <c r="U4277" s="85" ph="1"/>
    </row>
    <row r="4278" spans="21:21" ht="26.4">
      <c r="U4278" s="85" ph="1"/>
    </row>
    <row r="4279" spans="21:21" ht="26.4">
      <c r="U4279" s="85" ph="1"/>
    </row>
    <row r="4280" spans="21:21" ht="26.4">
      <c r="U4280" s="85" ph="1"/>
    </row>
    <row r="4281" spans="21:21" ht="26.4">
      <c r="U4281" s="85" ph="1"/>
    </row>
    <row r="4282" spans="21:21" ht="26.4">
      <c r="U4282" s="85" ph="1"/>
    </row>
    <row r="4283" spans="21:21" ht="26.4">
      <c r="U4283" s="85" ph="1"/>
    </row>
    <row r="4284" spans="21:21" ht="26.4">
      <c r="U4284" s="85" ph="1"/>
    </row>
    <row r="4285" spans="21:21" ht="26.4">
      <c r="U4285" s="85" ph="1"/>
    </row>
    <row r="4286" spans="21:21" ht="26.4">
      <c r="U4286" s="85" ph="1"/>
    </row>
    <row r="4287" spans="21:21" ht="26.4">
      <c r="U4287" s="85" ph="1"/>
    </row>
    <row r="4288" spans="21:21" ht="26.4">
      <c r="U4288" s="85" ph="1"/>
    </row>
    <row r="4289" spans="21:21" ht="26.4">
      <c r="U4289" s="85" ph="1"/>
    </row>
    <row r="4290" spans="21:21" ht="26.4">
      <c r="U4290" s="85" ph="1"/>
    </row>
    <row r="4291" spans="21:21" ht="26.4">
      <c r="U4291" s="85" ph="1"/>
    </row>
    <row r="4292" spans="21:21" ht="26.4">
      <c r="U4292" s="85" ph="1"/>
    </row>
    <row r="4293" spans="21:21" ht="26.4">
      <c r="U4293" s="85" ph="1"/>
    </row>
    <row r="4294" spans="21:21" ht="26.4">
      <c r="U4294" s="85" ph="1"/>
    </row>
    <row r="4295" spans="21:21" ht="26.4">
      <c r="U4295" s="85" ph="1"/>
    </row>
    <row r="4296" spans="21:21" ht="26.4">
      <c r="U4296" s="85" ph="1"/>
    </row>
    <row r="4297" spans="21:21" ht="26.4">
      <c r="U4297" s="85" ph="1"/>
    </row>
    <row r="4298" spans="21:21" ht="26.4">
      <c r="U4298" s="85" ph="1"/>
    </row>
    <row r="4299" spans="21:21" ht="26.4">
      <c r="U4299" s="85" ph="1"/>
    </row>
    <row r="4300" spans="21:21" ht="26.4">
      <c r="U4300" s="85" ph="1"/>
    </row>
    <row r="4301" spans="21:21" ht="26.4">
      <c r="U4301" s="85" ph="1"/>
    </row>
    <row r="4302" spans="21:21" ht="26.4">
      <c r="U4302" s="85" ph="1"/>
    </row>
    <row r="4303" spans="21:21" ht="26.4">
      <c r="U4303" s="85" ph="1"/>
    </row>
    <row r="4304" spans="21:21" ht="26.4">
      <c r="U4304" s="85" ph="1"/>
    </row>
    <row r="4305" spans="21:21" ht="26.4">
      <c r="U4305" s="85" ph="1"/>
    </row>
    <row r="4306" spans="21:21" ht="26.4">
      <c r="U4306" s="85" ph="1"/>
    </row>
    <row r="4307" spans="21:21" ht="26.4">
      <c r="U4307" s="85" ph="1"/>
    </row>
    <row r="4308" spans="21:21" ht="26.4">
      <c r="U4308" s="85" ph="1"/>
    </row>
    <row r="4309" spans="21:21" ht="26.4">
      <c r="U4309" s="85" ph="1"/>
    </row>
    <row r="4310" spans="21:21" ht="26.4">
      <c r="U4310" s="85" ph="1"/>
    </row>
    <row r="4311" spans="21:21" ht="26.4">
      <c r="U4311" s="85" ph="1"/>
    </row>
    <row r="4312" spans="21:21" ht="26.4">
      <c r="U4312" s="85" ph="1"/>
    </row>
    <row r="4313" spans="21:21" ht="26.4">
      <c r="U4313" s="85" ph="1"/>
    </row>
    <row r="4314" spans="21:21" ht="26.4">
      <c r="U4314" s="85" ph="1"/>
    </row>
    <row r="4315" spans="21:21" ht="26.4">
      <c r="U4315" s="85" ph="1"/>
    </row>
    <row r="4316" spans="21:21" ht="26.4">
      <c r="U4316" s="85" ph="1"/>
    </row>
    <row r="4317" spans="21:21" ht="26.4">
      <c r="U4317" s="85" ph="1"/>
    </row>
    <row r="4318" spans="21:21" ht="26.4">
      <c r="U4318" s="85" ph="1"/>
    </row>
    <row r="4319" spans="21:21" ht="26.4">
      <c r="U4319" s="85" ph="1"/>
    </row>
    <row r="4320" spans="21:21" ht="26.4">
      <c r="U4320" s="85" ph="1"/>
    </row>
    <row r="4321" spans="21:21" ht="26.4">
      <c r="U4321" s="85" ph="1"/>
    </row>
    <row r="4322" spans="21:21" ht="26.4">
      <c r="U4322" s="85" ph="1"/>
    </row>
    <row r="4323" spans="21:21" ht="26.4">
      <c r="U4323" s="85" ph="1"/>
    </row>
    <row r="4324" spans="21:21" ht="26.4">
      <c r="U4324" s="85" ph="1"/>
    </row>
    <row r="4325" spans="21:21" ht="26.4">
      <c r="U4325" s="85" ph="1"/>
    </row>
    <row r="4326" spans="21:21" ht="26.4">
      <c r="U4326" s="85" ph="1"/>
    </row>
    <row r="4327" spans="21:21" ht="26.4">
      <c r="U4327" s="85" ph="1"/>
    </row>
    <row r="4328" spans="21:21" ht="26.4">
      <c r="U4328" s="85" ph="1"/>
    </row>
    <row r="4329" spans="21:21" ht="26.4">
      <c r="U4329" s="85" ph="1"/>
    </row>
    <row r="4330" spans="21:21" ht="26.4">
      <c r="U4330" s="85" ph="1"/>
    </row>
    <row r="4331" spans="21:21" ht="26.4">
      <c r="U4331" s="85" ph="1"/>
    </row>
    <row r="4332" spans="21:21" ht="26.4">
      <c r="U4332" s="85" ph="1"/>
    </row>
    <row r="4333" spans="21:21" ht="26.4">
      <c r="U4333" s="85" ph="1"/>
    </row>
    <row r="4334" spans="21:21" ht="26.4">
      <c r="U4334" s="85" ph="1"/>
    </row>
    <row r="4335" spans="21:21" ht="26.4">
      <c r="U4335" s="85" ph="1"/>
    </row>
    <row r="4336" spans="21:21" ht="26.4">
      <c r="U4336" s="85" ph="1"/>
    </row>
    <row r="4337" spans="21:21" ht="26.4">
      <c r="U4337" s="85" ph="1"/>
    </row>
    <row r="4338" spans="21:21" ht="26.4">
      <c r="U4338" s="85" ph="1"/>
    </row>
    <row r="4339" spans="21:21" ht="26.4">
      <c r="U4339" s="85" ph="1"/>
    </row>
    <row r="4340" spans="21:21" ht="26.4">
      <c r="U4340" s="85" ph="1"/>
    </row>
    <row r="4341" spans="21:21" ht="26.4">
      <c r="U4341" s="85" ph="1"/>
    </row>
    <row r="4342" spans="21:21" ht="26.4">
      <c r="U4342" s="85" ph="1"/>
    </row>
    <row r="4343" spans="21:21" ht="26.4">
      <c r="U4343" s="85" ph="1"/>
    </row>
    <row r="4344" spans="21:21" ht="26.4">
      <c r="U4344" s="85" ph="1"/>
    </row>
    <row r="4345" spans="21:21" ht="26.4">
      <c r="U4345" s="85" ph="1"/>
    </row>
    <row r="4346" spans="21:21" ht="26.4">
      <c r="U4346" s="85" ph="1"/>
    </row>
    <row r="4347" spans="21:21" ht="26.4">
      <c r="U4347" s="85" ph="1"/>
    </row>
    <row r="4348" spans="21:21" ht="26.4">
      <c r="U4348" s="85" ph="1"/>
    </row>
    <row r="4349" spans="21:21" ht="26.4">
      <c r="U4349" s="85" ph="1"/>
    </row>
    <row r="4350" spans="21:21" ht="26.4">
      <c r="U4350" s="85" ph="1"/>
    </row>
    <row r="4351" spans="21:21" ht="26.4">
      <c r="U4351" s="85" ph="1"/>
    </row>
    <row r="4352" spans="21:21" ht="26.4">
      <c r="U4352" s="85" ph="1"/>
    </row>
    <row r="4353" spans="21:21" ht="26.4">
      <c r="U4353" s="85" ph="1"/>
    </row>
    <row r="4354" spans="21:21" ht="26.4">
      <c r="U4354" s="85" ph="1"/>
    </row>
    <row r="4355" spans="21:21" ht="26.4">
      <c r="U4355" s="85" ph="1"/>
    </row>
    <row r="4356" spans="21:21" ht="26.4">
      <c r="U4356" s="85" ph="1"/>
    </row>
    <row r="4357" spans="21:21" ht="26.4">
      <c r="U4357" s="85" ph="1"/>
    </row>
    <row r="4358" spans="21:21" ht="26.4">
      <c r="U4358" s="85" ph="1"/>
    </row>
    <row r="4359" spans="21:21" ht="26.4">
      <c r="U4359" s="85" ph="1"/>
    </row>
    <row r="4360" spans="21:21" ht="26.4">
      <c r="U4360" s="85" ph="1"/>
    </row>
    <row r="4361" spans="21:21" ht="26.4">
      <c r="U4361" s="85" ph="1"/>
    </row>
    <row r="4362" spans="21:21" ht="26.4">
      <c r="U4362" s="85" ph="1"/>
    </row>
    <row r="4363" spans="21:21" ht="26.4">
      <c r="U4363" s="85" ph="1"/>
    </row>
    <row r="4364" spans="21:21" ht="26.4">
      <c r="U4364" s="85" ph="1"/>
    </row>
    <row r="4365" spans="21:21" ht="26.4">
      <c r="U4365" s="85" ph="1"/>
    </row>
    <row r="4366" spans="21:21" ht="26.4">
      <c r="U4366" s="85" ph="1"/>
    </row>
    <row r="4367" spans="21:21" ht="26.4">
      <c r="U4367" s="85" ph="1"/>
    </row>
    <row r="4368" spans="21:21" ht="26.4">
      <c r="U4368" s="85" ph="1"/>
    </row>
    <row r="4369" spans="21:21" ht="26.4">
      <c r="U4369" s="85" ph="1"/>
    </row>
    <row r="4370" spans="21:21" ht="26.4">
      <c r="U4370" s="85" ph="1"/>
    </row>
    <row r="4371" spans="21:21" ht="26.4">
      <c r="U4371" s="85" ph="1"/>
    </row>
    <row r="4372" spans="21:21" ht="26.4">
      <c r="U4372" s="85" ph="1"/>
    </row>
    <row r="4373" spans="21:21" ht="26.4">
      <c r="U4373" s="85" ph="1"/>
    </row>
    <row r="4374" spans="21:21" ht="26.4">
      <c r="U4374" s="85" ph="1"/>
    </row>
    <row r="4375" spans="21:21" ht="26.4">
      <c r="U4375" s="85" ph="1"/>
    </row>
    <row r="4376" spans="21:21" ht="26.4">
      <c r="U4376" s="85" ph="1"/>
    </row>
    <row r="4377" spans="21:21" ht="26.4">
      <c r="U4377" s="85" ph="1"/>
    </row>
    <row r="4378" spans="21:21" ht="26.4">
      <c r="U4378" s="85" ph="1"/>
    </row>
    <row r="4379" spans="21:21" ht="26.4">
      <c r="U4379" s="85" ph="1"/>
    </row>
    <row r="4380" spans="21:21" ht="26.4">
      <c r="U4380" s="85" ph="1"/>
    </row>
    <row r="4381" spans="21:21" ht="26.4">
      <c r="U4381" s="85" ph="1"/>
    </row>
    <row r="4382" spans="21:21" ht="26.4">
      <c r="U4382" s="85" ph="1"/>
    </row>
    <row r="4383" spans="21:21" ht="26.4">
      <c r="U4383" s="85" ph="1"/>
    </row>
    <row r="4384" spans="21:21" ht="26.4">
      <c r="U4384" s="85" ph="1"/>
    </row>
    <row r="4385" spans="21:21" ht="26.4">
      <c r="U4385" s="85" ph="1"/>
    </row>
    <row r="4386" spans="21:21" ht="26.4">
      <c r="U4386" s="85" ph="1"/>
    </row>
    <row r="4387" spans="21:21" ht="26.4">
      <c r="U4387" s="85" ph="1"/>
    </row>
    <row r="4388" spans="21:21" ht="26.4">
      <c r="U4388" s="85" ph="1"/>
    </row>
    <row r="4389" spans="21:21" ht="26.4">
      <c r="U4389" s="85" ph="1"/>
    </row>
    <row r="4390" spans="21:21" ht="26.4">
      <c r="U4390" s="85" ph="1"/>
    </row>
    <row r="4391" spans="21:21" ht="26.4">
      <c r="U4391" s="85" ph="1"/>
    </row>
    <row r="4392" spans="21:21" ht="26.4">
      <c r="U4392" s="85" ph="1"/>
    </row>
    <row r="4393" spans="21:21" ht="26.4">
      <c r="U4393" s="85" ph="1"/>
    </row>
    <row r="4394" spans="21:21" ht="26.4">
      <c r="U4394" s="85" ph="1"/>
    </row>
    <row r="4395" spans="21:21" ht="26.4">
      <c r="U4395" s="85" ph="1"/>
    </row>
    <row r="4396" spans="21:21" ht="26.4">
      <c r="U4396" s="85" ph="1"/>
    </row>
    <row r="4397" spans="21:21" ht="26.4">
      <c r="U4397" s="85" ph="1"/>
    </row>
    <row r="4398" spans="21:21" ht="26.4">
      <c r="U4398" s="85" ph="1"/>
    </row>
    <row r="4399" spans="21:21" ht="26.4">
      <c r="U4399" s="85" ph="1"/>
    </row>
    <row r="4400" spans="21:21" ht="26.4">
      <c r="U4400" s="85" ph="1"/>
    </row>
    <row r="4401" spans="21:21" ht="26.4">
      <c r="U4401" s="85" ph="1"/>
    </row>
    <row r="4402" spans="21:21" ht="26.4">
      <c r="U4402" s="85" ph="1"/>
    </row>
    <row r="4403" spans="21:21" ht="26.4">
      <c r="U4403" s="85" ph="1"/>
    </row>
    <row r="4404" spans="21:21" ht="26.4">
      <c r="U4404" s="85" ph="1"/>
    </row>
    <row r="4405" spans="21:21" ht="26.4">
      <c r="U4405" s="85" ph="1"/>
    </row>
    <row r="4406" spans="21:21" ht="26.4">
      <c r="U4406" s="85" ph="1"/>
    </row>
    <row r="4407" spans="21:21" ht="26.4">
      <c r="U4407" s="85" ph="1"/>
    </row>
    <row r="4408" spans="21:21" ht="26.4">
      <c r="U4408" s="85" ph="1"/>
    </row>
    <row r="4409" spans="21:21" ht="26.4">
      <c r="U4409" s="85" ph="1"/>
    </row>
    <row r="4410" spans="21:21" ht="26.4">
      <c r="U4410" s="85" ph="1"/>
    </row>
    <row r="4411" spans="21:21" ht="26.4">
      <c r="U4411" s="85" ph="1"/>
    </row>
    <row r="4412" spans="21:21" ht="26.4">
      <c r="U4412" s="85" ph="1"/>
    </row>
    <row r="4413" spans="21:21" ht="26.4">
      <c r="U4413" s="85" ph="1"/>
    </row>
    <row r="4414" spans="21:21" ht="26.4">
      <c r="U4414" s="85" ph="1"/>
    </row>
    <row r="4415" spans="21:21" ht="26.4">
      <c r="U4415" s="85" ph="1"/>
    </row>
    <row r="4416" spans="21:21" ht="26.4">
      <c r="U4416" s="85" ph="1"/>
    </row>
    <row r="4417" spans="21:21" ht="26.4">
      <c r="U4417" s="85" ph="1"/>
    </row>
    <row r="4418" spans="21:21" ht="26.4">
      <c r="U4418" s="85" ph="1"/>
    </row>
    <row r="4419" spans="21:21" ht="26.4">
      <c r="U4419" s="85" ph="1"/>
    </row>
    <row r="4420" spans="21:21" ht="26.4">
      <c r="U4420" s="85" ph="1"/>
    </row>
    <row r="4421" spans="21:21" ht="26.4">
      <c r="U4421" s="85" ph="1"/>
    </row>
    <row r="4422" spans="21:21" ht="26.4">
      <c r="U4422" s="85" ph="1"/>
    </row>
    <row r="4423" spans="21:21" ht="26.4">
      <c r="U4423" s="85" ph="1"/>
    </row>
    <row r="4424" spans="21:21" ht="26.4">
      <c r="U4424" s="85" ph="1"/>
    </row>
    <row r="4425" spans="21:21" ht="26.4">
      <c r="U4425" s="85" ph="1"/>
    </row>
    <row r="4426" spans="21:21" ht="26.4">
      <c r="U4426" s="85" ph="1"/>
    </row>
    <row r="4427" spans="21:21" ht="26.4">
      <c r="U4427" s="85" ph="1"/>
    </row>
    <row r="4428" spans="21:21" ht="26.4">
      <c r="U4428" s="85" ph="1"/>
    </row>
    <row r="4429" spans="21:21" ht="26.4">
      <c r="U4429" s="85" ph="1"/>
    </row>
    <row r="4430" spans="21:21" ht="26.4">
      <c r="U4430" s="85" ph="1"/>
    </row>
    <row r="4431" spans="21:21" ht="26.4">
      <c r="U4431" s="85" ph="1"/>
    </row>
    <row r="4432" spans="21:21" ht="26.4">
      <c r="U4432" s="85" ph="1"/>
    </row>
    <row r="4433" spans="21:21" ht="26.4">
      <c r="U4433" s="85" ph="1"/>
    </row>
    <row r="4434" spans="21:21" ht="26.4">
      <c r="U4434" s="85" ph="1"/>
    </row>
    <row r="4435" spans="21:21" ht="26.4">
      <c r="U4435" s="85" ph="1"/>
    </row>
    <row r="4436" spans="21:21" ht="26.4">
      <c r="U4436" s="85" ph="1"/>
    </row>
    <row r="4437" spans="21:21" ht="26.4">
      <c r="U4437" s="85" ph="1"/>
    </row>
    <row r="4438" spans="21:21" ht="26.4">
      <c r="U4438" s="85" ph="1"/>
    </row>
    <row r="4439" spans="21:21" ht="26.4">
      <c r="U4439" s="85" ph="1"/>
    </row>
    <row r="4440" spans="21:21" ht="26.4">
      <c r="U4440" s="85" ph="1"/>
    </row>
    <row r="4441" spans="21:21" ht="26.4">
      <c r="U4441" s="85" ph="1"/>
    </row>
    <row r="4442" spans="21:21" ht="26.4">
      <c r="U4442" s="85" ph="1"/>
    </row>
    <row r="4443" spans="21:21" ht="26.4">
      <c r="U4443" s="85" ph="1"/>
    </row>
    <row r="4444" spans="21:21" ht="26.4">
      <c r="U4444" s="85" ph="1"/>
    </row>
    <row r="4445" spans="21:21" ht="26.4">
      <c r="U4445" s="85" ph="1"/>
    </row>
    <row r="4446" spans="21:21" ht="26.4">
      <c r="U4446" s="85" ph="1"/>
    </row>
    <row r="4447" spans="21:21" ht="26.4">
      <c r="U4447" s="85" ph="1"/>
    </row>
    <row r="4448" spans="21:21" ht="26.4">
      <c r="U4448" s="85" ph="1"/>
    </row>
    <row r="4449" spans="21:21" ht="26.4">
      <c r="U4449" s="85" ph="1"/>
    </row>
    <row r="4450" spans="21:21" ht="26.4">
      <c r="U4450" s="85" ph="1"/>
    </row>
    <row r="4451" spans="21:21" ht="26.4">
      <c r="U4451" s="85" ph="1"/>
    </row>
    <row r="4452" spans="21:21" ht="26.4">
      <c r="U4452" s="85" ph="1"/>
    </row>
    <row r="4453" spans="21:21" ht="26.4">
      <c r="U4453" s="85" ph="1"/>
    </row>
    <row r="4454" spans="21:21" ht="26.4">
      <c r="U4454" s="85" ph="1"/>
    </row>
    <row r="4455" spans="21:21" ht="26.4">
      <c r="U4455" s="85" ph="1"/>
    </row>
    <row r="4456" spans="21:21" ht="26.4">
      <c r="U4456" s="85" ph="1"/>
    </row>
    <row r="4457" spans="21:21" ht="26.4">
      <c r="U4457" s="85" ph="1"/>
    </row>
    <row r="4458" spans="21:21" ht="26.4">
      <c r="U4458" s="85" ph="1"/>
    </row>
    <row r="4459" spans="21:21" ht="26.4">
      <c r="U4459" s="85" ph="1"/>
    </row>
    <row r="4460" spans="21:21" ht="26.4">
      <c r="U4460" s="85" ph="1"/>
    </row>
    <row r="4461" spans="21:21" ht="26.4">
      <c r="U4461" s="85" ph="1"/>
    </row>
    <row r="4462" spans="21:21" ht="26.4">
      <c r="U4462" s="85" ph="1"/>
    </row>
    <row r="4463" spans="21:21" ht="26.4">
      <c r="U4463" s="85" ph="1"/>
    </row>
    <row r="4464" spans="21:21" ht="26.4">
      <c r="U4464" s="85" ph="1"/>
    </row>
    <row r="4465" spans="21:21" ht="26.4">
      <c r="U4465" s="85" ph="1"/>
    </row>
    <row r="4466" spans="21:21" ht="26.4">
      <c r="U4466" s="85" ph="1"/>
    </row>
    <row r="4467" spans="21:21" ht="26.4">
      <c r="U4467" s="85" ph="1"/>
    </row>
    <row r="4468" spans="21:21" ht="26.4">
      <c r="U4468" s="85" ph="1"/>
    </row>
    <row r="4469" spans="21:21" ht="26.4">
      <c r="U4469" s="85" ph="1"/>
    </row>
    <row r="4470" spans="21:21" ht="26.4">
      <c r="U4470" s="85" ph="1"/>
    </row>
    <row r="4471" spans="21:21" ht="26.4">
      <c r="U4471" s="85" ph="1"/>
    </row>
    <row r="4472" spans="21:21" ht="26.4">
      <c r="U4472" s="85" ph="1"/>
    </row>
    <row r="4473" spans="21:21" ht="26.4">
      <c r="U4473" s="85" ph="1"/>
    </row>
    <row r="4474" spans="21:21" ht="26.4">
      <c r="U4474" s="85" ph="1"/>
    </row>
    <row r="4475" spans="21:21" ht="26.4">
      <c r="U4475" s="85" ph="1"/>
    </row>
    <row r="4476" spans="21:21" ht="26.4">
      <c r="U4476" s="85" ph="1"/>
    </row>
    <row r="4477" spans="21:21" ht="26.4">
      <c r="U4477" s="85" ph="1"/>
    </row>
    <row r="4478" spans="21:21" ht="26.4">
      <c r="U4478" s="85" ph="1"/>
    </row>
    <row r="4479" spans="21:21" ht="26.4">
      <c r="U4479" s="85" ph="1"/>
    </row>
    <row r="4480" spans="21:21" ht="26.4">
      <c r="U4480" s="85" ph="1"/>
    </row>
    <row r="4481" spans="21:21" ht="26.4">
      <c r="U4481" s="85" ph="1"/>
    </row>
    <row r="4482" spans="21:21" ht="26.4">
      <c r="U4482" s="85" ph="1"/>
    </row>
    <row r="4483" spans="21:21" ht="26.4">
      <c r="U4483" s="85" ph="1"/>
    </row>
    <row r="4484" spans="21:21" ht="26.4">
      <c r="U4484" s="85" ph="1"/>
    </row>
    <row r="4485" spans="21:21" ht="26.4">
      <c r="U4485" s="85" ph="1"/>
    </row>
    <row r="4486" spans="21:21" ht="26.4">
      <c r="U4486" s="85" ph="1"/>
    </row>
    <row r="4487" spans="21:21" ht="26.4">
      <c r="U4487" s="85" ph="1"/>
    </row>
    <row r="4488" spans="21:21" ht="26.4">
      <c r="U4488" s="85" ph="1"/>
    </row>
    <row r="4489" spans="21:21" ht="26.4">
      <c r="U4489" s="85" ph="1"/>
    </row>
    <row r="4490" spans="21:21" ht="26.4">
      <c r="U4490" s="85" ph="1"/>
    </row>
    <row r="4491" spans="21:21" ht="26.4">
      <c r="U4491" s="85" ph="1"/>
    </row>
    <row r="4492" spans="21:21" ht="26.4">
      <c r="U4492" s="85" ph="1"/>
    </row>
    <row r="4493" spans="21:21" ht="26.4">
      <c r="U4493" s="85" ph="1"/>
    </row>
    <row r="4494" spans="21:21" ht="26.4">
      <c r="U4494" s="85" ph="1"/>
    </row>
    <row r="4495" spans="21:21" ht="26.4">
      <c r="U4495" s="85" ph="1"/>
    </row>
    <row r="4496" spans="21:21" ht="26.4">
      <c r="U4496" s="85" ph="1"/>
    </row>
    <row r="4497" spans="21:21" ht="26.4">
      <c r="U4497" s="85" ph="1"/>
    </row>
    <row r="4498" spans="21:21" ht="26.4">
      <c r="U4498" s="85" ph="1"/>
    </row>
    <row r="4499" spans="21:21" ht="26.4">
      <c r="U4499" s="85" ph="1"/>
    </row>
    <row r="4500" spans="21:21" ht="26.4">
      <c r="U4500" s="85" ph="1"/>
    </row>
    <row r="4501" spans="21:21" ht="26.4">
      <c r="U4501" s="85" ph="1"/>
    </row>
    <row r="4502" spans="21:21" ht="26.4">
      <c r="U4502" s="85" ph="1"/>
    </row>
    <row r="4503" spans="21:21" ht="26.4">
      <c r="U4503" s="85" ph="1"/>
    </row>
    <row r="4504" spans="21:21" ht="26.4">
      <c r="U4504" s="85" ph="1"/>
    </row>
    <row r="4505" spans="21:21" ht="26.4">
      <c r="U4505" s="85" ph="1"/>
    </row>
    <row r="4506" spans="21:21" ht="26.4">
      <c r="U4506" s="85" ph="1"/>
    </row>
    <row r="4507" spans="21:21" ht="26.4">
      <c r="U4507" s="85" ph="1"/>
    </row>
    <row r="4508" spans="21:21" ht="26.4">
      <c r="U4508" s="85" ph="1"/>
    </row>
    <row r="4509" spans="21:21" ht="26.4">
      <c r="U4509" s="85" ph="1"/>
    </row>
    <row r="4510" spans="21:21" ht="26.4">
      <c r="U4510" s="85" ph="1"/>
    </row>
    <row r="4511" spans="21:21" ht="26.4">
      <c r="U4511" s="85" ph="1"/>
    </row>
    <row r="4512" spans="21:21" ht="26.4">
      <c r="U4512" s="85" ph="1"/>
    </row>
    <row r="4513" spans="21:21" ht="26.4">
      <c r="U4513" s="85" ph="1"/>
    </row>
    <row r="4514" spans="21:21" ht="26.4">
      <c r="U4514" s="85" ph="1"/>
    </row>
    <row r="4515" spans="21:21" ht="26.4">
      <c r="U4515" s="85" ph="1"/>
    </row>
    <row r="4516" spans="21:21" ht="26.4">
      <c r="U4516" s="85" ph="1"/>
    </row>
    <row r="4517" spans="21:21" ht="26.4">
      <c r="U4517" s="85" ph="1"/>
    </row>
    <row r="4518" spans="21:21" ht="26.4">
      <c r="U4518" s="85" ph="1"/>
    </row>
    <row r="4519" spans="21:21" ht="26.4">
      <c r="U4519" s="85" ph="1"/>
    </row>
    <row r="4520" spans="21:21" ht="26.4">
      <c r="U4520" s="85" ph="1"/>
    </row>
    <row r="4521" spans="21:21" ht="26.4">
      <c r="U4521" s="85" ph="1"/>
    </row>
    <row r="4522" spans="21:21" ht="26.4">
      <c r="U4522" s="85" ph="1"/>
    </row>
    <row r="4523" spans="21:21" ht="26.4">
      <c r="U4523" s="85" ph="1"/>
    </row>
    <row r="4524" spans="21:21" ht="26.4">
      <c r="U4524" s="85" ph="1"/>
    </row>
    <row r="4525" spans="21:21" ht="26.4">
      <c r="U4525" s="85" ph="1"/>
    </row>
    <row r="4526" spans="21:21" ht="26.4">
      <c r="U4526" s="85" ph="1"/>
    </row>
    <row r="4527" spans="21:21" ht="26.4">
      <c r="U4527" s="85" ph="1"/>
    </row>
    <row r="4528" spans="21:21" ht="26.4">
      <c r="U4528" s="85" ph="1"/>
    </row>
    <row r="4529" spans="21:21" ht="26.4">
      <c r="U4529" s="85" ph="1"/>
    </row>
    <row r="4530" spans="21:21" ht="26.4">
      <c r="U4530" s="85" ph="1"/>
    </row>
    <row r="4531" spans="21:21" ht="26.4">
      <c r="U4531" s="85" ph="1"/>
    </row>
    <row r="4532" spans="21:21" ht="26.4">
      <c r="U4532" s="85" ph="1"/>
    </row>
    <row r="4533" spans="21:21" ht="26.4">
      <c r="U4533" s="85" ph="1"/>
    </row>
    <row r="4534" spans="21:21" ht="26.4">
      <c r="U4534" s="85" ph="1"/>
    </row>
    <row r="4535" spans="21:21" ht="26.4">
      <c r="U4535" s="85" ph="1"/>
    </row>
    <row r="4536" spans="21:21" ht="26.4">
      <c r="U4536" s="85" ph="1"/>
    </row>
    <row r="4537" spans="21:21" ht="26.4">
      <c r="U4537" s="85" ph="1"/>
    </row>
    <row r="4538" spans="21:21" ht="26.4">
      <c r="U4538" s="85" ph="1"/>
    </row>
    <row r="4539" spans="21:21" ht="26.4">
      <c r="U4539" s="85" ph="1"/>
    </row>
    <row r="4540" spans="21:21" ht="26.4">
      <c r="U4540" s="85" ph="1"/>
    </row>
    <row r="4541" spans="21:21" ht="26.4">
      <c r="U4541" s="85" ph="1"/>
    </row>
    <row r="4542" spans="21:21" ht="26.4">
      <c r="U4542" s="85" ph="1"/>
    </row>
    <row r="4543" spans="21:21" ht="26.4">
      <c r="U4543" s="85" ph="1"/>
    </row>
    <row r="4544" spans="21:21" ht="26.4">
      <c r="U4544" s="85" ph="1"/>
    </row>
    <row r="4545" spans="21:21" ht="26.4">
      <c r="U4545" s="85" ph="1"/>
    </row>
    <row r="4546" spans="21:21" ht="26.4">
      <c r="U4546" s="85" ph="1"/>
    </row>
    <row r="4547" spans="21:21" ht="26.4">
      <c r="U4547" s="85" ph="1"/>
    </row>
    <row r="4548" spans="21:21" ht="26.4">
      <c r="U4548" s="85" ph="1"/>
    </row>
    <row r="4549" spans="21:21" ht="26.4">
      <c r="U4549" s="85" ph="1"/>
    </row>
    <row r="4550" spans="21:21" ht="26.4">
      <c r="U4550" s="85" ph="1"/>
    </row>
    <row r="4551" spans="21:21" ht="26.4">
      <c r="U4551" s="85" ph="1"/>
    </row>
    <row r="4552" spans="21:21" ht="26.4">
      <c r="U4552" s="85" ph="1"/>
    </row>
    <row r="4553" spans="21:21" ht="26.4">
      <c r="U4553" s="85" ph="1"/>
    </row>
    <row r="4554" spans="21:21" ht="26.4">
      <c r="U4554" s="85" ph="1"/>
    </row>
    <row r="4555" spans="21:21" ht="26.4">
      <c r="U4555" s="85" ph="1"/>
    </row>
    <row r="4556" spans="21:21" ht="26.4">
      <c r="U4556" s="85" ph="1"/>
    </row>
    <row r="4557" spans="21:21" ht="26.4">
      <c r="U4557" s="85" ph="1"/>
    </row>
    <row r="4558" spans="21:21" ht="26.4">
      <c r="U4558" s="85" ph="1"/>
    </row>
    <row r="4559" spans="21:21" ht="26.4">
      <c r="U4559" s="85" ph="1"/>
    </row>
    <row r="4560" spans="21:21" ht="26.4">
      <c r="U4560" s="85" ph="1"/>
    </row>
    <row r="4561" spans="21:21" ht="26.4">
      <c r="U4561" s="85" ph="1"/>
    </row>
    <row r="4562" spans="21:21" ht="26.4">
      <c r="U4562" s="85" ph="1"/>
    </row>
    <row r="4563" spans="21:21" ht="26.4">
      <c r="U4563" s="85" ph="1"/>
    </row>
    <row r="4564" spans="21:21" ht="26.4">
      <c r="U4564" s="85" ph="1"/>
    </row>
    <row r="4565" spans="21:21" ht="26.4">
      <c r="U4565" s="85" ph="1"/>
    </row>
    <row r="4566" spans="21:21" ht="26.4">
      <c r="U4566" s="85" ph="1"/>
    </row>
    <row r="4567" spans="21:21" ht="26.4">
      <c r="U4567" s="85" ph="1"/>
    </row>
    <row r="4568" spans="21:21" ht="26.4">
      <c r="U4568" s="85" ph="1"/>
    </row>
    <row r="4569" spans="21:21" ht="26.4">
      <c r="U4569" s="85" ph="1"/>
    </row>
    <row r="4570" spans="21:21" ht="26.4">
      <c r="U4570" s="85" ph="1"/>
    </row>
    <row r="4571" spans="21:21" ht="26.4">
      <c r="U4571" s="85" ph="1"/>
    </row>
    <row r="4572" spans="21:21" ht="26.4">
      <c r="U4572" s="85" ph="1"/>
    </row>
    <row r="4573" spans="21:21" ht="26.4">
      <c r="U4573" s="85" ph="1"/>
    </row>
    <row r="4574" spans="21:21" ht="26.4">
      <c r="U4574" s="85" ph="1"/>
    </row>
    <row r="4575" spans="21:21" ht="26.4">
      <c r="U4575" s="85" ph="1"/>
    </row>
    <row r="4576" spans="21:21" ht="26.4">
      <c r="U4576" s="85" ph="1"/>
    </row>
    <row r="4577" spans="21:21" ht="26.4">
      <c r="U4577" s="85" ph="1"/>
    </row>
    <row r="4578" spans="21:21" ht="26.4">
      <c r="U4578" s="85" ph="1"/>
    </row>
    <row r="4579" spans="21:21" ht="26.4">
      <c r="U4579" s="85" ph="1"/>
    </row>
    <row r="4580" spans="21:21" ht="26.4">
      <c r="U4580" s="85" ph="1"/>
    </row>
    <row r="4581" spans="21:21" ht="26.4">
      <c r="U4581" s="85" ph="1"/>
    </row>
    <row r="4582" spans="21:21" ht="26.4">
      <c r="U4582" s="85" ph="1"/>
    </row>
    <row r="4583" spans="21:21" ht="26.4">
      <c r="U4583" s="85" ph="1"/>
    </row>
    <row r="4584" spans="21:21" ht="26.4">
      <c r="U4584" s="85" ph="1"/>
    </row>
    <row r="4585" spans="21:21" ht="26.4">
      <c r="U4585" s="85" ph="1"/>
    </row>
    <row r="4586" spans="21:21" ht="26.4">
      <c r="U4586" s="85" ph="1"/>
    </row>
    <row r="4587" spans="21:21" ht="26.4">
      <c r="U4587" s="85" ph="1"/>
    </row>
    <row r="4588" spans="21:21" ht="26.4">
      <c r="U4588" s="85" ph="1"/>
    </row>
    <row r="4589" spans="21:21" ht="26.4">
      <c r="U4589" s="85" ph="1"/>
    </row>
    <row r="4590" spans="21:21" ht="26.4">
      <c r="U4590" s="85" ph="1"/>
    </row>
    <row r="4591" spans="21:21" ht="26.4">
      <c r="U4591" s="85" ph="1"/>
    </row>
    <row r="4592" spans="21:21" ht="26.4">
      <c r="U4592" s="85" ph="1"/>
    </row>
    <row r="4593" spans="21:21" ht="26.4">
      <c r="U4593" s="85" ph="1"/>
    </row>
    <row r="4594" spans="21:21" ht="26.4">
      <c r="U4594" s="85" ph="1"/>
    </row>
    <row r="4595" spans="21:21" ht="26.4">
      <c r="U4595" s="85" ph="1"/>
    </row>
    <row r="4596" spans="21:21" ht="26.4">
      <c r="U4596" s="85" ph="1"/>
    </row>
    <row r="4597" spans="21:21" ht="26.4">
      <c r="U4597" s="85" ph="1"/>
    </row>
    <row r="4598" spans="21:21" ht="26.4">
      <c r="U4598" s="85" ph="1"/>
    </row>
    <row r="4599" spans="21:21" ht="26.4">
      <c r="U4599" s="85" ph="1"/>
    </row>
    <row r="4600" spans="21:21" ht="26.4">
      <c r="U4600" s="85" ph="1"/>
    </row>
    <row r="4601" spans="21:21" ht="26.4">
      <c r="U4601" s="85" ph="1"/>
    </row>
    <row r="4602" spans="21:21" ht="26.4">
      <c r="U4602" s="85" ph="1"/>
    </row>
    <row r="4603" spans="21:21" ht="26.4">
      <c r="U4603" s="85" ph="1"/>
    </row>
    <row r="4604" spans="21:21" ht="26.4">
      <c r="U4604" s="85" ph="1"/>
    </row>
    <row r="4605" spans="21:21" ht="26.4">
      <c r="U4605" s="85" ph="1"/>
    </row>
    <row r="4606" spans="21:21" ht="26.4">
      <c r="U4606" s="85" ph="1"/>
    </row>
    <row r="4607" spans="21:21" ht="26.4">
      <c r="U4607" s="85" ph="1"/>
    </row>
    <row r="4608" spans="21:21" ht="26.4">
      <c r="U4608" s="85" ph="1"/>
    </row>
    <row r="4609" spans="21:21" ht="26.4">
      <c r="U4609" s="85" ph="1"/>
    </row>
    <row r="4610" spans="21:21" ht="26.4">
      <c r="U4610" s="85" ph="1"/>
    </row>
    <row r="4611" spans="21:21" ht="26.4">
      <c r="U4611" s="85" ph="1"/>
    </row>
    <row r="4612" spans="21:21" ht="26.4">
      <c r="U4612" s="85" ph="1"/>
    </row>
    <row r="4613" spans="21:21" ht="26.4">
      <c r="U4613" s="85" ph="1"/>
    </row>
    <row r="4614" spans="21:21" ht="26.4">
      <c r="U4614" s="85" ph="1"/>
    </row>
    <row r="4615" spans="21:21" ht="26.4">
      <c r="U4615" s="85" ph="1"/>
    </row>
    <row r="4616" spans="21:21" ht="26.4">
      <c r="U4616" s="85" ph="1"/>
    </row>
    <row r="4617" spans="21:21" ht="26.4">
      <c r="U4617" s="85" ph="1"/>
    </row>
    <row r="4618" spans="21:21" ht="26.4">
      <c r="U4618" s="85" ph="1"/>
    </row>
    <row r="4619" spans="21:21" ht="26.4">
      <c r="U4619" s="85" ph="1"/>
    </row>
    <row r="4620" spans="21:21" ht="26.4">
      <c r="U4620" s="85" ph="1"/>
    </row>
    <row r="4621" spans="21:21" ht="26.4">
      <c r="U4621" s="85" ph="1"/>
    </row>
    <row r="4622" spans="21:21" ht="26.4">
      <c r="U4622" s="85" ph="1"/>
    </row>
    <row r="4623" spans="21:21" ht="26.4">
      <c r="U4623" s="85" ph="1"/>
    </row>
    <row r="4624" spans="21:21" ht="26.4">
      <c r="U4624" s="85" ph="1"/>
    </row>
    <row r="4625" spans="21:21" ht="26.4">
      <c r="U4625" s="85" ph="1"/>
    </row>
    <row r="4626" spans="21:21" ht="26.4">
      <c r="U4626" s="85" ph="1"/>
    </row>
    <row r="4627" spans="21:21" ht="26.4">
      <c r="U4627" s="85" ph="1"/>
    </row>
    <row r="4628" spans="21:21" ht="26.4">
      <c r="U4628" s="85" ph="1"/>
    </row>
    <row r="4629" spans="21:21" ht="26.4">
      <c r="U4629" s="85" ph="1"/>
    </row>
    <row r="4630" spans="21:21" ht="26.4">
      <c r="U4630" s="85" ph="1"/>
    </row>
    <row r="4631" spans="21:21" ht="26.4">
      <c r="U4631" s="85" ph="1"/>
    </row>
    <row r="4632" spans="21:21" ht="26.4">
      <c r="U4632" s="85" ph="1"/>
    </row>
    <row r="4633" spans="21:21" ht="26.4">
      <c r="U4633" s="85" ph="1"/>
    </row>
    <row r="4634" spans="21:21" ht="26.4">
      <c r="U4634" s="85" ph="1"/>
    </row>
    <row r="4635" spans="21:21" ht="26.4">
      <c r="U4635" s="85" ph="1"/>
    </row>
    <row r="4636" spans="21:21" ht="26.4">
      <c r="U4636" s="85" ph="1"/>
    </row>
    <row r="4637" spans="21:21" ht="26.4">
      <c r="U4637" s="85" ph="1"/>
    </row>
    <row r="4638" spans="21:21" ht="26.4">
      <c r="U4638" s="85" ph="1"/>
    </row>
    <row r="4639" spans="21:21" ht="26.4">
      <c r="U4639" s="85" ph="1"/>
    </row>
    <row r="4640" spans="21:21" ht="26.4">
      <c r="U4640" s="85" ph="1"/>
    </row>
    <row r="4641" spans="21:21" ht="26.4">
      <c r="U4641" s="85" ph="1"/>
    </row>
    <row r="4642" spans="21:21" ht="26.4">
      <c r="U4642" s="85" ph="1"/>
    </row>
    <row r="4643" spans="21:21" ht="26.4">
      <c r="U4643" s="85" ph="1"/>
    </row>
    <row r="4644" spans="21:21" ht="26.4">
      <c r="U4644" s="85" ph="1"/>
    </row>
    <row r="4645" spans="21:21" ht="26.4">
      <c r="U4645" s="85" ph="1"/>
    </row>
    <row r="4646" spans="21:21" ht="26.4">
      <c r="U4646" s="85" ph="1"/>
    </row>
    <row r="4647" spans="21:21" ht="26.4">
      <c r="U4647" s="85" ph="1"/>
    </row>
    <row r="4648" spans="21:21" ht="26.4">
      <c r="U4648" s="85" ph="1"/>
    </row>
    <row r="4649" spans="21:21" ht="26.4">
      <c r="U4649" s="85" ph="1"/>
    </row>
    <row r="4650" spans="21:21" ht="26.4">
      <c r="U4650" s="85" ph="1"/>
    </row>
    <row r="4651" spans="21:21" ht="26.4">
      <c r="U4651" s="85" ph="1"/>
    </row>
    <row r="4652" spans="21:21" ht="26.4">
      <c r="U4652" s="85" ph="1"/>
    </row>
    <row r="4653" spans="21:21" ht="26.4">
      <c r="U4653" s="85" ph="1"/>
    </row>
    <row r="4654" spans="21:21" ht="26.4">
      <c r="U4654" s="85" ph="1"/>
    </row>
    <row r="4655" spans="21:21" ht="26.4">
      <c r="U4655" s="85" ph="1"/>
    </row>
    <row r="4656" spans="21:21" ht="26.4">
      <c r="U4656" s="85" ph="1"/>
    </row>
    <row r="4657" spans="21:21" ht="26.4">
      <c r="U4657" s="85" ph="1"/>
    </row>
    <row r="4658" spans="21:21" ht="26.4">
      <c r="U4658" s="85" ph="1"/>
    </row>
    <row r="4659" spans="21:21" ht="26.4">
      <c r="U4659" s="85" ph="1"/>
    </row>
    <row r="4660" spans="21:21" ht="26.4">
      <c r="U4660" s="85" ph="1"/>
    </row>
    <row r="4661" spans="21:21" ht="26.4">
      <c r="U4661" s="85" ph="1"/>
    </row>
    <row r="4662" spans="21:21" ht="26.4">
      <c r="U4662" s="85" ph="1"/>
    </row>
    <row r="4663" spans="21:21" ht="26.4">
      <c r="U4663" s="85" ph="1"/>
    </row>
    <row r="4664" spans="21:21" ht="26.4">
      <c r="U4664" s="85" ph="1"/>
    </row>
    <row r="4665" spans="21:21" ht="26.4">
      <c r="U4665" s="85" ph="1"/>
    </row>
    <row r="4666" spans="21:21" ht="26.4">
      <c r="U4666" s="85" ph="1"/>
    </row>
    <row r="4667" spans="21:21" ht="26.4">
      <c r="U4667" s="85" ph="1"/>
    </row>
    <row r="4668" spans="21:21" ht="26.4">
      <c r="U4668" s="85" ph="1"/>
    </row>
    <row r="4669" spans="21:21" ht="26.4">
      <c r="U4669" s="85" ph="1"/>
    </row>
    <row r="4670" spans="21:21" ht="26.4">
      <c r="U4670" s="85" ph="1"/>
    </row>
    <row r="4671" spans="21:21" ht="26.4">
      <c r="U4671" s="85" ph="1"/>
    </row>
    <row r="4672" spans="21:21" ht="26.4">
      <c r="U4672" s="85" ph="1"/>
    </row>
    <row r="4673" spans="21:21" ht="26.4">
      <c r="U4673" s="85" ph="1"/>
    </row>
    <row r="4674" spans="21:21" ht="26.4">
      <c r="U4674" s="85" ph="1"/>
    </row>
    <row r="4675" spans="21:21" ht="26.4">
      <c r="U4675" s="85" ph="1"/>
    </row>
    <row r="4676" spans="21:21" ht="26.4">
      <c r="U4676" s="85" ph="1"/>
    </row>
    <row r="4677" spans="21:21" ht="26.4">
      <c r="U4677" s="85" ph="1"/>
    </row>
    <row r="4678" spans="21:21" ht="26.4">
      <c r="U4678" s="85" ph="1"/>
    </row>
    <row r="4679" spans="21:21" ht="26.4">
      <c r="U4679" s="85" ph="1"/>
    </row>
    <row r="4680" spans="21:21" ht="26.4">
      <c r="U4680" s="85" ph="1"/>
    </row>
    <row r="4681" spans="21:21" ht="26.4">
      <c r="U4681" s="85" ph="1"/>
    </row>
    <row r="4682" spans="21:21" ht="26.4">
      <c r="U4682" s="85" ph="1"/>
    </row>
    <row r="4683" spans="21:21" ht="26.4">
      <c r="U4683" s="85" ph="1"/>
    </row>
    <row r="4684" spans="21:21" ht="26.4">
      <c r="U4684" s="85" ph="1"/>
    </row>
    <row r="4685" spans="21:21" ht="26.4">
      <c r="U4685" s="85" ph="1"/>
    </row>
    <row r="4686" spans="21:21" ht="26.4">
      <c r="U4686" s="85" ph="1"/>
    </row>
    <row r="4687" spans="21:21" ht="26.4">
      <c r="U4687" s="85" ph="1"/>
    </row>
    <row r="4688" spans="21:21" ht="26.4">
      <c r="U4688" s="85" ph="1"/>
    </row>
    <row r="4689" spans="21:21" ht="26.4">
      <c r="U4689" s="85" ph="1"/>
    </row>
    <row r="4690" spans="21:21" ht="26.4">
      <c r="U4690" s="85" ph="1"/>
    </row>
    <row r="4691" spans="21:21" ht="26.4">
      <c r="U4691" s="85" ph="1"/>
    </row>
    <row r="4692" spans="21:21" ht="26.4">
      <c r="U4692" s="85" ph="1"/>
    </row>
    <row r="4693" spans="21:21" ht="26.4">
      <c r="U4693" s="85" ph="1"/>
    </row>
    <row r="4694" spans="21:21" ht="26.4">
      <c r="U4694" s="85" ph="1"/>
    </row>
    <row r="4695" spans="21:21" ht="26.4">
      <c r="U4695" s="85" ph="1"/>
    </row>
    <row r="4696" spans="21:21" ht="26.4">
      <c r="U4696" s="85" ph="1"/>
    </row>
    <row r="4697" spans="21:21" ht="26.4">
      <c r="U4697" s="85" ph="1"/>
    </row>
    <row r="4698" spans="21:21" ht="26.4">
      <c r="U4698" s="85" ph="1"/>
    </row>
    <row r="4699" spans="21:21" ht="26.4">
      <c r="U4699" s="85" ph="1"/>
    </row>
    <row r="4700" spans="21:21" ht="26.4">
      <c r="U4700" s="85" ph="1"/>
    </row>
    <row r="4701" spans="21:21" ht="26.4">
      <c r="U4701" s="85" ph="1"/>
    </row>
    <row r="4702" spans="21:21" ht="26.4">
      <c r="U4702" s="85" ph="1"/>
    </row>
    <row r="4703" spans="21:21" ht="26.4">
      <c r="U4703" s="85" ph="1"/>
    </row>
    <row r="4704" spans="21:21" ht="26.4">
      <c r="U4704" s="85" ph="1"/>
    </row>
    <row r="4705" spans="21:21" ht="26.4">
      <c r="U4705" s="85" ph="1"/>
    </row>
    <row r="4706" spans="21:21" ht="26.4">
      <c r="U4706" s="85" ph="1"/>
    </row>
    <row r="4707" spans="21:21" ht="26.4">
      <c r="U4707" s="85" ph="1"/>
    </row>
    <row r="4708" spans="21:21" ht="26.4">
      <c r="U4708" s="85" ph="1"/>
    </row>
    <row r="4709" spans="21:21" ht="26.4">
      <c r="U4709" s="85" ph="1"/>
    </row>
    <row r="4710" spans="21:21" ht="26.4">
      <c r="U4710" s="85" ph="1"/>
    </row>
    <row r="4711" spans="21:21" ht="26.4">
      <c r="U4711" s="85" ph="1"/>
    </row>
    <row r="4712" spans="21:21" ht="26.4">
      <c r="U4712" s="85" ph="1"/>
    </row>
    <row r="4713" spans="21:21" ht="26.4">
      <c r="U4713" s="85" ph="1"/>
    </row>
    <row r="4714" spans="21:21" ht="26.4">
      <c r="U4714" s="85" ph="1"/>
    </row>
    <row r="4715" spans="21:21" ht="26.4">
      <c r="U4715" s="85" ph="1"/>
    </row>
    <row r="4716" spans="21:21" ht="26.4">
      <c r="U4716" s="85" ph="1"/>
    </row>
    <row r="4717" spans="21:21" ht="26.4">
      <c r="U4717" s="85" ph="1"/>
    </row>
    <row r="4718" spans="21:21" ht="26.4">
      <c r="U4718" s="85" ph="1"/>
    </row>
    <row r="4719" spans="21:21" ht="26.4">
      <c r="U4719" s="85" ph="1"/>
    </row>
    <row r="4720" spans="21:21" ht="26.4">
      <c r="U4720" s="85" ph="1"/>
    </row>
    <row r="4721" spans="21:21" ht="26.4">
      <c r="U4721" s="85" ph="1"/>
    </row>
    <row r="4722" spans="21:21" ht="26.4">
      <c r="U4722" s="85" ph="1"/>
    </row>
    <row r="4723" spans="21:21" ht="26.4">
      <c r="U4723" s="85" ph="1"/>
    </row>
    <row r="4724" spans="21:21" ht="26.4">
      <c r="U4724" s="85" ph="1"/>
    </row>
    <row r="4725" spans="21:21" ht="26.4">
      <c r="U4725" s="85" ph="1"/>
    </row>
    <row r="4726" spans="21:21" ht="26.4">
      <c r="U4726" s="85" ph="1"/>
    </row>
    <row r="4727" spans="21:21" ht="26.4">
      <c r="U4727" s="85" ph="1"/>
    </row>
    <row r="4728" spans="21:21" ht="26.4">
      <c r="U4728" s="85" ph="1"/>
    </row>
    <row r="4729" spans="21:21" ht="26.4">
      <c r="U4729" s="85" ph="1"/>
    </row>
    <row r="4730" spans="21:21" ht="26.4">
      <c r="U4730" s="85" ph="1"/>
    </row>
    <row r="4731" spans="21:21" ht="26.4">
      <c r="U4731" s="85" ph="1"/>
    </row>
    <row r="4732" spans="21:21" ht="26.4">
      <c r="U4732" s="85" ph="1"/>
    </row>
    <row r="4733" spans="21:21" ht="26.4">
      <c r="U4733" s="85" ph="1"/>
    </row>
    <row r="4734" spans="21:21" ht="26.4">
      <c r="U4734" s="85" ph="1"/>
    </row>
    <row r="4735" spans="21:21" ht="26.4">
      <c r="U4735" s="85" ph="1"/>
    </row>
    <row r="4736" spans="21:21" ht="26.4">
      <c r="U4736" s="85" ph="1"/>
    </row>
    <row r="4737" spans="21:21" ht="26.4">
      <c r="U4737" s="85" ph="1"/>
    </row>
    <row r="4738" spans="21:21" ht="26.4">
      <c r="U4738" s="85" ph="1"/>
    </row>
    <row r="4739" spans="21:21" ht="26.4">
      <c r="U4739" s="85" ph="1"/>
    </row>
    <row r="4740" spans="21:21" ht="26.4">
      <c r="U4740" s="85" ph="1"/>
    </row>
    <row r="4741" spans="21:21" ht="26.4">
      <c r="U4741" s="85" ph="1"/>
    </row>
    <row r="4742" spans="21:21" ht="26.4">
      <c r="U4742" s="85" ph="1"/>
    </row>
    <row r="4743" spans="21:21" ht="26.4">
      <c r="U4743" s="85" ph="1"/>
    </row>
    <row r="4744" spans="21:21" ht="26.4">
      <c r="U4744" s="85" ph="1"/>
    </row>
    <row r="4745" spans="21:21" ht="26.4">
      <c r="U4745" s="85" ph="1"/>
    </row>
    <row r="4746" spans="21:21" ht="26.4">
      <c r="U4746" s="85" ph="1"/>
    </row>
    <row r="4747" spans="21:21" ht="26.4">
      <c r="U4747" s="85" ph="1"/>
    </row>
    <row r="4748" spans="21:21" ht="26.4">
      <c r="U4748" s="85" ph="1"/>
    </row>
    <row r="4749" spans="21:21" ht="26.4">
      <c r="U4749" s="85" ph="1"/>
    </row>
    <row r="4750" spans="21:21" ht="26.4">
      <c r="U4750" s="85" ph="1"/>
    </row>
    <row r="4751" spans="21:21" ht="26.4">
      <c r="U4751" s="85" ph="1"/>
    </row>
    <row r="4752" spans="21:21" ht="26.4">
      <c r="U4752" s="85" ph="1"/>
    </row>
    <row r="4753" spans="21:21" ht="26.4">
      <c r="U4753" s="85" ph="1"/>
    </row>
    <row r="4754" spans="21:21" ht="26.4">
      <c r="U4754" s="85" ph="1"/>
    </row>
    <row r="4755" spans="21:21" ht="26.4">
      <c r="U4755" s="85" ph="1"/>
    </row>
    <row r="4756" spans="21:21" ht="26.4">
      <c r="U4756" s="85" ph="1"/>
    </row>
    <row r="4757" spans="21:21" ht="26.4">
      <c r="U4757" s="85" ph="1"/>
    </row>
    <row r="4758" spans="21:21" ht="26.4">
      <c r="U4758" s="85" ph="1"/>
    </row>
    <row r="4759" spans="21:21" ht="26.4">
      <c r="U4759" s="85" ph="1"/>
    </row>
    <row r="4760" spans="21:21" ht="26.4">
      <c r="U4760" s="85" ph="1"/>
    </row>
    <row r="4761" spans="21:21" ht="26.4">
      <c r="U4761" s="85" ph="1"/>
    </row>
    <row r="4762" spans="21:21" ht="26.4">
      <c r="U4762" s="85" ph="1"/>
    </row>
    <row r="4763" spans="21:21" ht="26.4">
      <c r="U4763" s="85" ph="1"/>
    </row>
    <row r="4764" spans="21:21" ht="26.4">
      <c r="U4764" s="85" ph="1"/>
    </row>
    <row r="4765" spans="21:21" ht="26.4">
      <c r="U4765" s="85" ph="1"/>
    </row>
    <row r="4766" spans="21:21" ht="26.4">
      <c r="U4766" s="85" ph="1"/>
    </row>
    <row r="4767" spans="21:21" ht="26.4">
      <c r="U4767" s="85" ph="1"/>
    </row>
    <row r="4768" spans="21:21" ht="26.4">
      <c r="U4768" s="85" ph="1"/>
    </row>
    <row r="4769" spans="21:21" ht="26.4">
      <c r="U4769" s="85" ph="1"/>
    </row>
    <row r="4770" spans="21:21" ht="26.4">
      <c r="U4770" s="85" ph="1"/>
    </row>
    <row r="4771" spans="21:21" ht="26.4">
      <c r="U4771" s="85" ph="1"/>
    </row>
    <row r="4772" spans="21:21" ht="26.4">
      <c r="U4772" s="85" ph="1"/>
    </row>
    <row r="4773" spans="21:21" ht="26.4">
      <c r="U4773" s="85" ph="1"/>
    </row>
    <row r="4774" spans="21:21" ht="26.4">
      <c r="U4774" s="85" ph="1"/>
    </row>
    <row r="4775" spans="21:21" ht="26.4">
      <c r="U4775" s="85" ph="1"/>
    </row>
    <row r="4776" spans="21:21" ht="26.4">
      <c r="U4776" s="85" ph="1"/>
    </row>
    <row r="4777" spans="21:21" ht="26.4">
      <c r="U4777" s="85" ph="1"/>
    </row>
    <row r="4778" spans="21:21" ht="26.4">
      <c r="U4778" s="85" ph="1"/>
    </row>
    <row r="4779" spans="21:21" ht="26.4">
      <c r="U4779" s="85" ph="1"/>
    </row>
    <row r="4780" spans="21:21" ht="26.4">
      <c r="U4780" s="85" ph="1"/>
    </row>
    <row r="4781" spans="21:21" ht="26.4">
      <c r="U4781" s="85" ph="1"/>
    </row>
    <row r="4782" spans="21:21" ht="26.4">
      <c r="U4782" s="85" ph="1"/>
    </row>
    <row r="4783" spans="21:21" ht="26.4">
      <c r="U4783" s="85" ph="1"/>
    </row>
    <row r="4784" spans="21:21" ht="26.4">
      <c r="U4784" s="85" ph="1"/>
    </row>
    <row r="4785" spans="21:21" ht="26.4">
      <c r="U4785" s="85" ph="1"/>
    </row>
    <row r="4786" spans="21:21" ht="26.4">
      <c r="U4786" s="85" ph="1"/>
    </row>
    <row r="4787" spans="21:21" ht="26.4">
      <c r="U4787" s="85" ph="1"/>
    </row>
    <row r="4788" spans="21:21" ht="26.4">
      <c r="U4788" s="85" ph="1"/>
    </row>
    <row r="4789" spans="21:21" ht="26.4">
      <c r="U4789" s="85" ph="1"/>
    </row>
    <row r="4790" spans="21:21" ht="26.4">
      <c r="U4790" s="85" ph="1"/>
    </row>
    <row r="4791" spans="21:21" ht="26.4">
      <c r="U4791" s="85" ph="1"/>
    </row>
    <row r="4792" spans="21:21" ht="26.4">
      <c r="U4792" s="85" ph="1"/>
    </row>
    <row r="4793" spans="21:21" ht="26.4">
      <c r="U4793" s="85" ph="1"/>
    </row>
    <row r="4794" spans="21:21" ht="26.4">
      <c r="U4794" s="85" ph="1"/>
    </row>
    <row r="4795" spans="21:21" ht="26.4">
      <c r="U4795" s="85" ph="1"/>
    </row>
    <row r="4796" spans="21:21" ht="26.4">
      <c r="U4796" s="85" ph="1"/>
    </row>
    <row r="4797" spans="21:21" ht="26.4">
      <c r="U4797" s="85" ph="1"/>
    </row>
    <row r="4798" spans="21:21" ht="26.4">
      <c r="U4798" s="85" ph="1"/>
    </row>
    <row r="4799" spans="21:21" ht="26.4">
      <c r="U4799" s="85" ph="1"/>
    </row>
    <row r="4800" spans="21:21" ht="26.4">
      <c r="U4800" s="85" ph="1"/>
    </row>
    <row r="4801" spans="21:21" ht="26.4">
      <c r="U4801" s="85" ph="1"/>
    </row>
    <row r="4802" spans="21:21" ht="26.4">
      <c r="U4802" s="85" ph="1"/>
    </row>
    <row r="4803" spans="21:21" ht="26.4">
      <c r="U4803" s="85" ph="1"/>
    </row>
    <row r="4804" spans="21:21" ht="26.4">
      <c r="U4804" s="85" ph="1"/>
    </row>
    <row r="4805" spans="21:21" ht="26.4">
      <c r="U4805" s="85" ph="1"/>
    </row>
    <row r="4806" spans="21:21" ht="26.4">
      <c r="U4806" s="85" ph="1"/>
    </row>
    <row r="4807" spans="21:21" ht="26.4">
      <c r="U4807" s="85" ph="1"/>
    </row>
    <row r="4808" spans="21:21" ht="26.4">
      <c r="U4808" s="85" ph="1"/>
    </row>
    <row r="4809" spans="21:21" ht="26.4">
      <c r="U4809" s="85" ph="1"/>
    </row>
    <row r="4810" spans="21:21" ht="26.4">
      <c r="U4810" s="85" ph="1"/>
    </row>
    <row r="4811" spans="21:21" ht="26.4">
      <c r="U4811" s="85" ph="1"/>
    </row>
    <row r="4812" spans="21:21" ht="26.4">
      <c r="U4812" s="85" ph="1"/>
    </row>
    <row r="4813" spans="21:21" ht="26.4">
      <c r="U4813" s="85" ph="1"/>
    </row>
    <row r="4814" spans="21:21" ht="26.4">
      <c r="U4814" s="85" ph="1"/>
    </row>
    <row r="4815" spans="21:21" ht="26.4">
      <c r="U4815" s="85" ph="1"/>
    </row>
    <row r="4816" spans="21:21" ht="26.4">
      <c r="U4816" s="85" ph="1"/>
    </row>
    <row r="4817" spans="21:21" ht="26.4">
      <c r="U4817" s="85" ph="1"/>
    </row>
    <row r="4818" spans="21:21" ht="26.4">
      <c r="U4818" s="85" ph="1"/>
    </row>
    <row r="4819" spans="21:21" ht="26.4">
      <c r="U4819" s="85" ph="1"/>
    </row>
    <row r="4820" spans="21:21" ht="26.4">
      <c r="U4820" s="85" ph="1"/>
    </row>
    <row r="4821" spans="21:21" ht="26.4">
      <c r="U4821" s="85" ph="1"/>
    </row>
    <row r="4822" spans="21:21" ht="26.4">
      <c r="U4822" s="85" ph="1"/>
    </row>
    <row r="4823" spans="21:21" ht="26.4">
      <c r="U4823" s="85" ph="1"/>
    </row>
    <row r="4824" spans="21:21" ht="26.4">
      <c r="U4824" s="85" ph="1"/>
    </row>
    <row r="4825" spans="21:21" ht="26.4">
      <c r="U4825" s="85" ph="1"/>
    </row>
    <row r="4826" spans="21:21" ht="26.4">
      <c r="U4826" s="85" ph="1"/>
    </row>
    <row r="4827" spans="21:21" ht="26.4">
      <c r="U4827" s="85" ph="1"/>
    </row>
    <row r="4828" spans="21:21" ht="26.4">
      <c r="U4828" s="85" ph="1"/>
    </row>
    <row r="4829" spans="21:21" ht="26.4">
      <c r="U4829" s="85" ph="1"/>
    </row>
    <row r="4830" spans="21:21" ht="26.4">
      <c r="U4830" s="85" ph="1"/>
    </row>
    <row r="4831" spans="21:21" ht="26.4">
      <c r="U4831" s="85" ph="1"/>
    </row>
    <row r="4832" spans="21:21" ht="26.4">
      <c r="U4832" s="85" ph="1"/>
    </row>
    <row r="4833" spans="21:21" ht="26.4">
      <c r="U4833" s="85" ph="1"/>
    </row>
    <row r="4834" spans="21:21" ht="26.4">
      <c r="U4834" s="85" ph="1"/>
    </row>
    <row r="4835" spans="21:21" ht="26.4">
      <c r="U4835" s="85" ph="1"/>
    </row>
    <row r="4836" spans="21:21" ht="26.4">
      <c r="U4836" s="85" ph="1"/>
    </row>
    <row r="4837" spans="21:21" ht="26.4">
      <c r="U4837" s="85" ph="1"/>
    </row>
    <row r="4838" spans="21:21" ht="26.4">
      <c r="U4838" s="85" ph="1"/>
    </row>
    <row r="4839" spans="21:21" ht="26.4">
      <c r="U4839" s="85" ph="1"/>
    </row>
    <row r="4840" spans="21:21" ht="26.4">
      <c r="U4840" s="85" ph="1"/>
    </row>
    <row r="4841" spans="21:21" ht="26.4">
      <c r="U4841" s="85" ph="1"/>
    </row>
    <row r="4842" spans="21:21" ht="26.4">
      <c r="U4842" s="85" ph="1"/>
    </row>
    <row r="4843" spans="21:21" ht="26.4">
      <c r="U4843" s="85" ph="1"/>
    </row>
    <row r="4844" spans="21:21" ht="26.4">
      <c r="U4844" s="85" ph="1"/>
    </row>
    <row r="4845" spans="21:21" ht="26.4">
      <c r="U4845" s="85" ph="1"/>
    </row>
    <row r="4846" spans="21:21" ht="26.4">
      <c r="U4846" s="85" ph="1"/>
    </row>
    <row r="4847" spans="21:21" ht="26.4">
      <c r="U4847" s="85" ph="1"/>
    </row>
    <row r="4848" spans="21:21" ht="26.4">
      <c r="U4848" s="85" ph="1"/>
    </row>
    <row r="4849" spans="21:21" ht="26.4">
      <c r="U4849" s="85" ph="1"/>
    </row>
    <row r="4850" spans="21:21" ht="26.4">
      <c r="U4850" s="85" ph="1"/>
    </row>
    <row r="4851" spans="21:21" ht="26.4">
      <c r="U4851" s="85" ph="1"/>
    </row>
    <row r="4852" spans="21:21" ht="26.4">
      <c r="U4852" s="85" ph="1"/>
    </row>
    <row r="4853" spans="21:21" ht="26.4">
      <c r="U4853" s="85" ph="1"/>
    </row>
    <row r="4854" spans="21:21" ht="26.4">
      <c r="U4854" s="85" ph="1"/>
    </row>
    <row r="4855" spans="21:21" ht="26.4">
      <c r="U4855" s="85" ph="1"/>
    </row>
    <row r="4856" spans="21:21" ht="26.4">
      <c r="U4856" s="85" ph="1"/>
    </row>
    <row r="4857" spans="21:21" ht="26.4">
      <c r="U4857" s="85" ph="1"/>
    </row>
    <row r="4858" spans="21:21" ht="26.4">
      <c r="U4858" s="85" ph="1"/>
    </row>
    <row r="4859" spans="21:21" ht="26.4">
      <c r="U4859" s="85" ph="1"/>
    </row>
    <row r="4860" spans="21:21" ht="26.4">
      <c r="U4860" s="85" ph="1"/>
    </row>
    <row r="4861" spans="21:21" ht="26.4">
      <c r="U4861" s="85" ph="1"/>
    </row>
    <row r="4862" spans="21:21" ht="26.4">
      <c r="U4862" s="85" ph="1"/>
    </row>
    <row r="4863" spans="21:21" ht="26.4">
      <c r="U4863" s="85" ph="1"/>
    </row>
    <row r="4864" spans="21:21" ht="26.4">
      <c r="U4864" s="85" ph="1"/>
    </row>
    <row r="4865" spans="21:21" ht="26.4">
      <c r="U4865" s="85" ph="1"/>
    </row>
    <row r="4866" spans="21:21" ht="26.4">
      <c r="U4866" s="85" ph="1"/>
    </row>
    <row r="4867" spans="21:21" ht="26.4">
      <c r="U4867" s="85" ph="1"/>
    </row>
    <row r="4868" spans="21:21" ht="26.4">
      <c r="U4868" s="85" ph="1"/>
    </row>
    <row r="4869" spans="21:21" ht="26.4">
      <c r="U4869" s="85" ph="1"/>
    </row>
    <row r="4870" spans="21:21" ht="26.4">
      <c r="U4870" s="85" ph="1"/>
    </row>
    <row r="4871" spans="21:21" ht="26.4">
      <c r="U4871" s="85" ph="1"/>
    </row>
    <row r="4872" spans="21:21" ht="26.4">
      <c r="U4872" s="85" ph="1"/>
    </row>
    <row r="4873" spans="21:21" ht="26.4">
      <c r="U4873" s="85" ph="1"/>
    </row>
    <row r="4874" spans="21:21" ht="26.4">
      <c r="U4874" s="85" ph="1"/>
    </row>
    <row r="4875" spans="21:21" ht="26.4">
      <c r="U4875" s="85" ph="1"/>
    </row>
    <row r="4876" spans="21:21" ht="26.4">
      <c r="U4876" s="85" ph="1"/>
    </row>
    <row r="4877" spans="21:21" ht="26.4">
      <c r="U4877" s="85" ph="1"/>
    </row>
    <row r="4878" spans="21:21" ht="26.4">
      <c r="U4878" s="85" ph="1"/>
    </row>
    <row r="4879" spans="21:21" ht="26.4">
      <c r="U4879" s="85" ph="1"/>
    </row>
    <row r="4880" spans="21:21" ht="26.4">
      <c r="U4880" s="85" ph="1"/>
    </row>
    <row r="4881" spans="21:21" ht="26.4">
      <c r="U4881" s="85" ph="1"/>
    </row>
    <row r="4882" spans="21:21" ht="26.4">
      <c r="U4882" s="85" ph="1"/>
    </row>
    <row r="4883" spans="21:21" ht="26.4">
      <c r="U4883" s="85" ph="1"/>
    </row>
    <row r="4884" spans="21:21" ht="26.4">
      <c r="U4884" s="85" ph="1"/>
    </row>
    <row r="4885" spans="21:21" ht="26.4">
      <c r="U4885" s="85" ph="1"/>
    </row>
    <row r="4886" spans="21:21" ht="26.4">
      <c r="U4886" s="85" ph="1"/>
    </row>
    <row r="4887" spans="21:21" ht="26.4">
      <c r="U4887" s="85" ph="1"/>
    </row>
    <row r="4888" spans="21:21" ht="26.4">
      <c r="U4888" s="85" ph="1"/>
    </row>
    <row r="4889" spans="21:21" ht="26.4">
      <c r="U4889" s="85" ph="1"/>
    </row>
    <row r="4890" spans="21:21" ht="26.4">
      <c r="U4890" s="85" ph="1"/>
    </row>
    <row r="4891" spans="21:21" ht="26.4">
      <c r="U4891" s="85" ph="1"/>
    </row>
    <row r="4892" spans="21:21" ht="26.4">
      <c r="U4892" s="85" ph="1"/>
    </row>
    <row r="4893" spans="21:21" ht="26.4">
      <c r="U4893" s="85" ph="1"/>
    </row>
    <row r="4894" spans="21:21" ht="26.4">
      <c r="U4894" s="85" ph="1"/>
    </row>
    <row r="4895" spans="21:21" ht="26.4">
      <c r="U4895" s="85" ph="1"/>
    </row>
    <row r="4896" spans="21:21" ht="26.4">
      <c r="U4896" s="85" ph="1"/>
    </row>
    <row r="4897" spans="21:21" ht="26.4">
      <c r="U4897" s="85" ph="1"/>
    </row>
    <row r="4898" spans="21:21" ht="26.4">
      <c r="U4898" s="85" ph="1"/>
    </row>
    <row r="4899" spans="21:21" ht="26.4">
      <c r="U4899" s="85" ph="1"/>
    </row>
    <row r="4900" spans="21:21" ht="26.4">
      <c r="U4900" s="85" ph="1"/>
    </row>
    <row r="4901" spans="21:21" ht="26.4">
      <c r="U4901" s="85" ph="1"/>
    </row>
    <row r="4902" spans="21:21" ht="26.4">
      <c r="U4902" s="85" ph="1"/>
    </row>
    <row r="4903" spans="21:21" ht="26.4">
      <c r="U4903" s="85" ph="1"/>
    </row>
    <row r="4904" spans="21:21" ht="26.4">
      <c r="U4904" s="85" ph="1"/>
    </row>
    <row r="4905" spans="21:21" ht="26.4">
      <c r="U4905" s="85" ph="1"/>
    </row>
    <row r="4906" spans="21:21" ht="26.4">
      <c r="U4906" s="85" ph="1"/>
    </row>
    <row r="4907" spans="21:21" ht="26.4">
      <c r="U4907" s="85" ph="1"/>
    </row>
    <row r="4908" spans="21:21" ht="26.4">
      <c r="U4908" s="85" ph="1"/>
    </row>
    <row r="4909" spans="21:21" ht="26.4">
      <c r="U4909" s="85" ph="1"/>
    </row>
    <row r="4910" spans="21:21" ht="26.4">
      <c r="U4910" s="85" ph="1"/>
    </row>
    <row r="4911" spans="21:21" ht="26.4">
      <c r="U4911" s="85" ph="1"/>
    </row>
    <row r="4912" spans="21:21" ht="26.4">
      <c r="U4912" s="85" ph="1"/>
    </row>
    <row r="4913" spans="21:21" ht="26.4">
      <c r="U4913" s="85" ph="1"/>
    </row>
    <row r="4914" spans="21:21" ht="26.4">
      <c r="U4914" s="85" ph="1"/>
    </row>
    <row r="4915" spans="21:21" ht="26.4">
      <c r="U4915" s="85" ph="1"/>
    </row>
    <row r="4916" spans="21:21" ht="26.4">
      <c r="U4916" s="85" ph="1"/>
    </row>
    <row r="4917" spans="21:21" ht="26.4">
      <c r="U4917" s="85" ph="1"/>
    </row>
    <row r="4918" spans="21:21" ht="26.4">
      <c r="U4918" s="85" ph="1"/>
    </row>
    <row r="4919" spans="21:21" ht="26.4">
      <c r="U4919" s="85" ph="1"/>
    </row>
    <row r="4920" spans="21:21" ht="26.4">
      <c r="U4920" s="85" ph="1"/>
    </row>
    <row r="4921" spans="21:21" ht="26.4">
      <c r="U4921" s="85" ph="1"/>
    </row>
    <row r="4922" spans="21:21" ht="26.4">
      <c r="U4922" s="85" ph="1"/>
    </row>
    <row r="4923" spans="21:21" ht="26.4">
      <c r="U4923" s="85" ph="1"/>
    </row>
    <row r="4924" spans="21:21" ht="26.4">
      <c r="U4924" s="85" ph="1"/>
    </row>
    <row r="4925" spans="21:21" ht="26.4">
      <c r="U4925" s="85" ph="1"/>
    </row>
    <row r="4926" spans="21:21" ht="26.4">
      <c r="U4926" s="85" ph="1"/>
    </row>
    <row r="4927" spans="21:21" ht="26.4">
      <c r="U4927" s="85" ph="1"/>
    </row>
    <row r="4928" spans="21:21" ht="26.4">
      <c r="U4928" s="85" ph="1"/>
    </row>
    <row r="4929" spans="21:21" ht="26.4">
      <c r="U4929" s="85" ph="1"/>
    </row>
    <row r="4930" spans="21:21" ht="26.4">
      <c r="U4930" s="85" ph="1"/>
    </row>
    <row r="4931" spans="21:21" ht="26.4">
      <c r="U4931" s="85" ph="1"/>
    </row>
    <row r="4932" spans="21:21" ht="26.4">
      <c r="U4932" s="85" ph="1"/>
    </row>
    <row r="4933" spans="21:21" ht="26.4">
      <c r="U4933" s="85" ph="1"/>
    </row>
    <row r="4934" spans="21:21" ht="26.4">
      <c r="U4934" s="85" ph="1"/>
    </row>
    <row r="4935" spans="21:21" ht="26.4">
      <c r="U4935" s="85" ph="1"/>
    </row>
    <row r="4936" spans="21:21" ht="26.4">
      <c r="U4936" s="85" ph="1"/>
    </row>
    <row r="4937" spans="21:21" ht="26.4">
      <c r="U4937" s="85" ph="1"/>
    </row>
    <row r="4938" spans="21:21" ht="26.4">
      <c r="U4938" s="85" ph="1"/>
    </row>
    <row r="4939" spans="21:21" ht="26.4">
      <c r="U4939" s="85" ph="1"/>
    </row>
    <row r="4940" spans="21:21" ht="26.4">
      <c r="U4940" s="85" ph="1"/>
    </row>
    <row r="4941" spans="21:21" ht="26.4">
      <c r="U4941" s="85" ph="1"/>
    </row>
    <row r="4942" spans="21:21" ht="26.4">
      <c r="U4942" s="85" ph="1"/>
    </row>
    <row r="4943" spans="21:21" ht="26.4">
      <c r="U4943" s="85" ph="1"/>
    </row>
    <row r="4944" spans="21:21" ht="26.4">
      <c r="U4944" s="85" ph="1"/>
    </row>
    <row r="4945" spans="21:21" ht="26.4">
      <c r="U4945" s="85" ph="1"/>
    </row>
    <row r="4946" spans="21:21" ht="26.4">
      <c r="U4946" s="85" ph="1"/>
    </row>
    <row r="4947" spans="21:21" ht="26.4">
      <c r="U4947" s="85" ph="1"/>
    </row>
    <row r="4948" spans="21:21" ht="26.4">
      <c r="U4948" s="85" ph="1"/>
    </row>
    <row r="4949" spans="21:21" ht="26.4">
      <c r="U4949" s="85" ph="1"/>
    </row>
    <row r="4950" spans="21:21" ht="26.4">
      <c r="U4950" s="85" ph="1"/>
    </row>
    <row r="4951" spans="21:21" ht="26.4">
      <c r="U4951" s="85" ph="1"/>
    </row>
    <row r="4952" spans="21:21" ht="26.4">
      <c r="U4952" s="85" ph="1"/>
    </row>
    <row r="4953" spans="21:21" ht="26.4">
      <c r="U4953" s="85" ph="1"/>
    </row>
    <row r="4954" spans="21:21" ht="26.4">
      <c r="U4954" s="85" ph="1"/>
    </row>
    <row r="4955" spans="21:21" ht="26.4">
      <c r="U4955" s="85" ph="1"/>
    </row>
    <row r="4956" spans="21:21" ht="26.4">
      <c r="U4956" s="85" ph="1"/>
    </row>
    <row r="4957" spans="21:21" ht="26.4">
      <c r="U4957" s="85" ph="1"/>
    </row>
    <row r="4958" spans="21:21" ht="26.4">
      <c r="U4958" s="85" ph="1"/>
    </row>
    <row r="4959" spans="21:21" ht="26.4">
      <c r="U4959" s="85" ph="1"/>
    </row>
    <row r="4960" spans="21:21" ht="26.4">
      <c r="U4960" s="85" ph="1"/>
    </row>
    <row r="4961" spans="21:21" ht="26.4">
      <c r="U4961" s="85" ph="1"/>
    </row>
    <row r="4962" spans="21:21" ht="26.4">
      <c r="U4962" s="85" ph="1"/>
    </row>
    <row r="4963" spans="21:21" ht="26.4">
      <c r="U4963" s="85" ph="1"/>
    </row>
    <row r="4964" spans="21:21" ht="26.4">
      <c r="U4964" s="85" ph="1"/>
    </row>
    <row r="4965" spans="21:21" ht="26.4">
      <c r="U4965" s="85" ph="1"/>
    </row>
    <row r="4966" spans="21:21" ht="26.4">
      <c r="U4966" s="85" ph="1"/>
    </row>
    <row r="4967" spans="21:21" ht="26.4">
      <c r="U4967" s="85" ph="1"/>
    </row>
    <row r="4968" spans="21:21" ht="26.4">
      <c r="U4968" s="85" ph="1"/>
    </row>
    <row r="4969" spans="21:21" ht="26.4">
      <c r="U4969" s="85" ph="1"/>
    </row>
    <row r="4970" spans="21:21" ht="26.4">
      <c r="U4970" s="85" ph="1"/>
    </row>
    <row r="4971" spans="21:21" ht="26.4">
      <c r="U4971" s="85" ph="1"/>
    </row>
    <row r="4972" spans="21:21" ht="26.4">
      <c r="U4972" s="85" ph="1"/>
    </row>
    <row r="4973" spans="21:21" ht="26.4">
      <c r="U4973" s="85" ph="1"/>
    </row>
    <row r="4974" spans="21:21" ht="26.4">
      <c r="U4974" s="85" ph="1"/>
    </row>
    <row r="4975" spans="21:21" ht="26.4">
      <c r="U4975" s="85" ph="1"/>
    </row>
    <row r="4976" spans="21:21" ht="26.4">
      <c r="U4976" s="85" ph="1"/>
    </row>
    <row r="4977" spans="21:21" ht="26.4">
      <c r="U4977" s="85" ph="1"/>
    </row>
    <row r="4978" spans="21:21" ht="26.4">
      <c r="U4978" s="85" ph="1"/>
    </row>
    <row r="4979" spans="21:21" ht="26.4">
      <c r="U4979" s="85" ph="1"/>
    </row>
    <row r="4980" spans="21:21" ht="26.4">
      <c r="U4980" s="85" ph="1"/>
    </row>
    <row r="4981" spans="21:21" ht="26.4">
      <c r="U4981" s="85" ph="1"/>
    </row>
    <row r="4982" spans="21:21" ht="26.4">
      <c r="U4982" s="85" ph="1"/>
    </row>
    <row r="4983" spans="21:21" ht="26.4">
      <c r="U4983" s="85" ph="1"/>
    </row>
    <row r="4984" spans="21:21" ht="26.4">
      <c r="U4984" s="85" ph="1"/>
    </row>
    <row r="4985" spans="21:21" ht="26.4">
      <c r="U4985" s="85" ph="1"/>
    </row>
    <row r="4986" spans="21:21" ht="26.4">
      <c r="U4986" s="85" ph="1"/>
    </row>
    <row r="4987" spans="21:21" ht="26.4">
      <c r="U4987" s="85" ph="1"/>
    </row>
    <row r="4988" spans="21:21" ht="26.4">
      <c r="U4988" s="85" ph="1"/>
    </row>
    <row r="4989" spans="21:21" ht="26.4">
      <c r="U4989" s="85" ph="1"/>
    </row>
    <row r="4990" spans="21:21" ht="26.4">
      <c r="U4990" s="85" ph="1"/>
    </row>
    <row r="4991" spans="21:21" ht="26.4">
      <c r="U4991" s="85" ph="1"/>
    </row>
    <row r="4992" spans="21:21" ht="26.4">
      <c r="U4992" s="85" ph="1"/>
    </row>
    <row r="4993" spans="21:21" ht="26.4">
      <c r="U4993" s="85" ph="1"/>
    </row>
    <row r="4994" spans="21:21" ht="26.4">
      <c r="U4994" s="85" ph="1"/>
    </row>
    <row r="4995" spans="21:21" ht="26.4">
      <c r="U4995" s="85" ph="1"/>
    </row>
    <row r="4996" spans="21:21" ht="26.4">
      <c r="U4996" s="85" ph="1"/>
    </row>
    <row r="4997" spans="21:21" ht="26.4">
      <c r="U4997" s="85" ph="1"/>
    </row>
    <row r="4998" spans="21:21" ht="26.4">
      <c r="U4998" s="85" ph="1"/>
    </row>
    <row r="4999" spans="21:21" ht="26.4">
      <c r="U4999" s="85" ph="1"/>
    </row>
    <row r="5000" spans="21:21" ht="26.4">
      <c r="U5000" s="85" ph="1"/>
    </row>
    <row r="5001" spans="21:21" ht="26.4">
      <c r="U5001" s="85" ph="1"/>
    </row>
    <row r="5002" spans="21:21" ht="26.4">
      <c r="U5002" s="85" ph="1"/>
    </row>
    <row r="5003" spans="21:21" ht="26.4">
      <c r="U5003" s="85" ph="1"/>
    </row>
    <row r="5004" spans="21:21" ht="26.4">
      <c r="U5004" s="85" ph="1"/>
    </row>
    <row r="5005" spans="21:21" ht="26.4">
      <c r="U5005" s="85" ph="1"/>
    </row>
    <row r="5006" spans="21:21" ht="26.4">
      <c r="U5006" s="85" ph="1"/>
    </row>
    <row r="5007" spans="21:21" ht="26.4">
      <c r="U5007" s="85" ph="1"/>
    </row>
    <row r="5008" spans="21:21" ht="26.4">
      <c r="U5008" s="85" ph="1"/>
    </row>
    <row r="5009" spans="21:21" ht="26.4">
      <c r="U5009" s="85" ph="1"/>
    </row>
    <row r="5010" spans="21:21" ht="26.4">
      <c r="U5010" s="85" ph="1"/>
    </row>
    <row r="5011" spans="21:21" ht="26.4">
      <c r="U5011" s="85" ph="1"/>
    </row>
    <row r="5012" spans="21:21" ht="26.4">
      <c r="U5012" s="85" ph="1"/>
    </row>
    <row r="5013" spans="21:21" ht="26.4">
      <c r="U5013" s="85" ph="1"/>
    </row>
    <row r="5014" spans="21:21" ht="26.4">
      <c r="U5014" s="85" ph="1"/>
    </row>
    <row r="5015" spans="21:21" ht="26.4">
      <c r="U5015" s="85" ph="1"/>
    </row>
    <row r="5016" spans="21:21" ht="26.4">
      <c r="U5016" s="85" ph="1"/>
    </row>
    <row r="5017" spans="21:21" ht="26.4">
      <c r="U5017" s="85" ph="1"/>
    </row>
    <row r="5018" spans="21:21" ht="26.4">
      <c r="U5018" s="85" ph="1"/>
    </row>
    <row r="5019" spans="21:21" ht="26.4">
      <c r="U5019" s="85" ph="1"/>
    </row>
    <row r="5020" spans="21:21" ht="26.4">
      <c r="U5020" s="85" ph="1"/>
    </row>
    <row r="5021" spans="21:21" ht="26.4">
      <c r="U5021" s="85" ph="1"/>
    </row>
    <row r="5022" spans="21:21" ht="26.4">
      <c r="U5022" s="85" ph="1"/>
    </row>
    <row r="5023" spans="21:21" ht="26.4">
      <c r="U5023" s="85" ph="1"/>
    </row>
    <row r="5024" spans="21:21" ht="26.4">
      <c r="U5024" s="85" ph="1"/>
    </row>
    <row r="5025" spans="21:21" ht="26.4">
      <c r="U5025" s="85" ph="1"/>
    </row>
    <row r="5026" spans="21:21" ht="26.4">
      <c r="U5026" s="85" ph="1"/>
    </row>
    <row r="5027" spans="21:21" ht="26.4">
      <c r="U5027" s="85" ph="1"/>
    </row>
    <row r="5028" spans="21:21" ht="26.4">
      <c r="U5028" s="85" ph="1"/>
    </row>
    <row r="5029" spans="21:21" ht="26.4">
      <c r="U5029" s="85" ph="1"/>
    </row>
    <row r="5030" spans="21:21" ht="26.4">
      <c r="U5030" s="85" ph="1"/>
    </row>
    <row r="5031" spans="21:21" ht="26.4">
      <c r="U5031" s="85" ph="1"/>
    </row>
    <row r="5032" spans="21:21" ht="26.4">
      <c r="U5032" s="85" ph="1"/>
    </row>
    <row r="5033" spans="21:21" ht="26.4">
      <c r="U5033" s="85" ph="1"/>
    </row>
    <row r="5034" spans="21:21" ht="26.4">
      <c r="U5034" s="85" ph="1"/>
    </row>
    <row r="5035" spans="21:21" ht="26.4">
      <c r="U5035" s="85" ph="1"/>
    </row>
    <row r="5036" spans="21:21" ht="26.4">
      <c r="U5036" s="85" ph="1"/>
    </row>
    <row r="5037" spans="21:21" ht="26.4">
      <c r="U5037" s="85" ph="1"/>
    </row>
    <row r="5038" spans="21:21" ht="26.4">
      <c r="U5038" s="85" ph="1"/>
    </row>
    <row r="5039" spans="21:21" ht="26.4">
      <c r="U5039" s="85" ph="1"/>
    </row>
    <row r="5040" spans="21:21" ht="26.4">
      <c r="U5040" s="85" ph="1"/>
    </row>
    <row r="5041" spans="21:21" ht="26.4">
      <c r="U5041" s="85" ph="1"/>
    </row>
    <row r="5042" spans="21:21" ht="26.4">
      <c r="U5042" s="85" ph="1"/>
    </row>
    <row r="5043" spans="21:21" ht="26.4">
      <c r="U5043" s="85" ph="1"/>
    </row>
    <row r="5044" spans="21:21" ht="26.4">
      <c r="U5044" s="85" ph="1"/>
    </row>
    <row r="5045" spans="21:21" ht="26.4">
      <c r="U5045" s="85" ph="1"/>
    </row>
    <row r="5046" spans="21:21" ht="26.4">
      <c r="U5046" s="85" ph="1"/>
    </row>
    <row r="5047" spans="21:21" ht="26.4">
      <c r="U5047" s="85" ph="1"/>
    </row>
    <row r="5048" spans="21:21" ht="26.4">
      <c r="U5048" s="85" ph="1"/>
    </row>
    <row r="5049" spans="21:21" ht="26.4">
      <c r="U5049" s="85" ph="1"/>
    </row>
    <row r="5050" spans="21:21" ht="26.4">
      <c r="U5050" s="85" ph="1"/>
    </row>
    <row r="5051" spans="21:21" ht="26.4">
      <c r="U5051" s="85" ph="1"/>
    </row>
    <row r="5052" spans="21:21" ht="26.4">
      <c r="U5052" s="85" ph="1"/>
    </row>
    <row r="5053" spans="21:21" ht="26.4">
      <c r="U5053" s="85" ph="1"/>
    </row>
    <row r="5054" spans="21:21" ht="26.4">
      <c r="U5054" s="85" ph="1"/>
    </row>
    <row r="5055" spans="21:21" ht="26.4">
      <c r="U5055" s="85" ph="1"/>
    </row>
    <row r="5056" spans="21:21" ht="26.4">
      <c r="U5056" s="85" ph="1"/>
    </row>
    <row r="5057" spans="21:21" ht="26.4">
      <c r="U5057" s="85" ph="1"/>
    </row>
    <row r="5058" spans="21:21" ht="26.4">
      <c r="U5058" s="85" ph="1"/>
    </row>
    <row r="5059" spans="21:21" ht="26.4">
      <c r="U5059" s="85" ph="1"/>
    </row>
    <row r="5060" spans="21:21" ht="26.4">
      <c r="U5060" s="85" ph="1"/>
    </row>
    <row r="5061" spans="21:21" ht="26.4">
      <c r="U5061" s="85" ph="1"/>
    </row>
    <row r="5062" spans="21:21" ht="26.4">
      <c r="U5062" s="85" ph="1"/>
    </row>
    <row r="5063" spans="21:21" ht="26.4">
      <c r="U5063" s="85" ph="1"/>
    </row>
    <row r="5064" spans="21:21" ht="26.4">
      <c r="U5064" s="85" ph="1"/>
    </row>
    <row r="5065" spans="21:21" ht="26.4">
      <c r="U5065" s="85" ph="1"/>
    </row>
    <row r="5066" spans="21:21" ht="26.4">
      <c r="U5066" s="85" ph="1"/>
    </row>
    <row r="5067" spans="21:21" ht="26.4">
      <c r="U5067" s="85" ph="1"/>
    </row>
    <row r="5068" spans="21:21" ht="26.4">
      <c r="U5068" s="85" ph="1"/>
    </row>
    <row r="5069" spans="21:21" ht="26.4">
      <c r="U5069" s="85" ph="1"/>
    </row>
    <row r="5070" spans="21:21" ht="26.4">
      <c r="U5070" s="85" ph="1"/>
    </row>
    <row r="5071" spans="21:21" ht="26.4">
      <c r="U5071" s="85" ph="1"/>
    </row>
    <row r="5072" spans="21:21" ht="26.4">
      <c r="U5072" s="85" ph="1"/>
    </row>
    <row r="5073" spans="21:21" ht="26.4">
      <c r="U5073" s="85" ph="1"/>
    </row>
    <row r="5074" spans="21:21" ht="26.4">
      <c r="U5074" s="85" ph="1"/>
    </row>
    <row r="5075" spans="21:21" ht="26.4">
      <c r="U5075" s="85" ph="1"/>
    </row>
    <row r="5076" spans="21:21" ht="26.4">
      <c r="U5076" s="85" ph="1"/>
    </row>
    <row r="5077" spans="21:21" ht="26.4">
      <c r="U5077" s="85" ph="1"/>
    </row>
    <row r="5078" spans="21:21" ht="26.4">
      <c r="U5078" s="85" ph="1"/>
    </row>
    <row r="5079" spans="21:21" ht="26.4">
      <c r="U5079" s="85" ph="1"/>
    </row>
    <row r="5080" spans="21:21" ht="26.4">
      <c r="U5080" s="85" ph="1"/>
    </row>
    <row r="5081" spans="21:21" ht="26.4">
      <c r="U5081" s="85" ph="1"/>
    </row>
    <row r="5082" spans="21:21" ht="26.4">
      <c r="U5082" s="85" ph="1"/>
    </row>
    <row r="5083" spans="21:21" ht="26.4">
      <c r="U5083" s="85" ph="1"/>
    </row>
    <row r="5084" spans="21:21" ht="26.4">
      <c r="U5084" s="85" ph="1"/>
    </row>
    <row r="5085" spans="21:21" ht="26.4">
      <c r="U5085" s="85" ph="1"/>
    </row>
    <row r="5086" spans="21:21" ht="26.4">
      <c r="U5086" s="85" ph="1"/>
    </row>
    <row r="5087" spans="21:21" ht="26.4">
      <c r="U5087" s="85" ph="1"/>
    </row>
    <row r="5088" spans="21:21" ht="26.4">
      <c r="U5088" s="85" ph="1"/>
    </row>
    <row r="5089" spans="21:21" ht="26.4">
      <c r="U5089" s="85" ph="1"/>
    </row>
    <row r="5090" spans="21:21" ht="26.4">
      <c r="U5090" s="85" ph="1"/>
    </row>
    <row r="5091" spans="21:21" ht="26.4">
      <c r="U5091" s="85" ph="1"/>
    </row>
    <row r="5092" spans="21:21" ht="26.4">
      <c r="U5092" s="85" ph="1"/>
    </row>
    <row r="5093" spans="21:21" ht="26.4">
      <c r="U5093" s="85" ph="1"/>
    </row>
    <row r="5094" spans="21:21" ht="26.4">
      <c r="U5094" s="85" ph="1"/>
    </row>
    <row r="5095" spans="21:21" ht="26.4">
      <c r="U5095" s="85" ph="1"/>
    </row>
    <row r="5096" spans="21:21" ht="26.4">
      <c r="U5096" s="85" ph="1"/>
    </row>
    <row r="5097" spans="21:21" ht="26.4">
      <c r="U5097" s="85" ph="1"/>
    </row>
    <row r="5098" spans="21:21" ht="26.4">
      <c r="U5098" s="85" ph="1"/>
    </row>
    <row r="5099" spans="21:21" ht="26.4">
      <c r="U5099" s="85" ph="1"/>
    </row>
    <row r="5100" spans="21:21" ht="26.4">
      <c r="U5100" s="85" ph="1"/>
    </row>
    <row r="5101" spans="21:21" ht="26.4">
      <c r="U5101" s="85" ph="1"/>
    </row>
    <row r="5102" spans="21:21" ht="26.4">
      <c r="U5102" s="85" ph="1"/>
    </row>
    <row r="5103" spans="21:21" ht="26.4">
      <c r="U5103" s="85" ph="1"/>
    </row>
    <row r="5104" spans="21:21" ht="26.4">
      <c r="U5104" s="85" ph="1"/>
    </row>
    <row r="5105" spans="21:21" ht="26.4">
      <c r="U5105" s="85" ph="1"/>
    </row>
    <row r="5106" spans="21:21" ht="26.4">
      <c r="U5106" s="85" ph="1"/>
    </row>
    <row r="5107" spans="21:21" ht="26.4">
      <c r="U5107" s="85" ph="1"/>
    </row>
    <row r="5108" spans="21:21" ht="26.4">
      <c r="U5108" s="85" ph="1"/>
    </row>
    <row r="5109" spans="21:21" ht="26.4">
      <c r="U5109" s="85" ph="1"/>
    </row>
    <row r="5110" spans="21:21" ht="26.4">
      <c r="U5110" s="85" ph="1"/>
    </row>
    <row r="5111" spans="21:21" ht="26.4">
      <c r="U5111" s="85" ph="1"/>
    </row>
    <row r="5112" spans="21:21" ht="26.4">
      <c r="U5112" s="85" ph="1"/>
    </row>
    <row r="5113" spans="21:21" ht="26.4">
      <c r="U5113" s="85" ph="1"/>
    </row>
    <row r="5114" spans="21:21" ht="26.4">
      <c r="U5114" s="85" ph="1"/>
    </row>
    <row r="5115" spans="21:21" ht="26.4">
      <c r="U5115" s="85" ph="1"/>
    </row>
    <row r="5116" spans="21:21" ht="26.4">
      <c r="U5116" s="85" ph="1"/>
    </row>
    <row r="5117" spans="21:21" ht="26.4">
      <c r="U5117" s="85" ph="1"/>
    </row>
    <row r="5118" spans="21:21" ht="26.4">
      <c r="U5118" s="85" ph="1"/>
    </row>
    <row r="5119" spans="21:21" ht="26.4">
      <c r="U5119" s="85" ph="1"/>
    </row>
    <row r="5120" spans="21:21" ht="26.4">
      <c r="U5120" s="85" ph="1"/>
    </row>
    <row r="5121" spans="21:21" ht="26.4">
      <c r="U5121" s="85" ph="1"/>
    </row>
    <row r="5122" spans="21:21" ht="26.4">
      <c r="U5122" s="85" ph="1"/>
    </row>
    <row r="5123" spans="21:21" ht="26.4">
      <c r="U5123" s="85" ph="1"/>
    </row>
    <row r="5124" spans="21:21" ht="26.4">
      <c r="U5124" s="85" ph="1"/>
    </row>
    <row r="5125" spans="21:21" ht="26.4">
      <c r="U5125" s="85" ph="1"/>
    </row>
    <row r="5126" spans="21:21" ht="26.4">
      <c r="U5126" s="85" ph="1"/>
    </row>
    <row r="5127" spans="21:21" ht="26.4">
      <c r="U5127" s="85" ph="1"/>
    </row>
    <row r="5128" spans="21:21" ht="26.4">
      <c r="U5128" s="85" ph="1"/>
    </row>
    <row r="5129" spans="21:21" ht="26.4">
      <c r="U5129" s="85" ph="1"/>
    </row>
    <row r="5130" spans="21:21" ht="26.4">
      <c r="U5130" s="85" ph="1"/>
    </row>
    <row r="5131" spans="21:21" ht="26.4">
      <c r="U5131" s="85" ph="1"/>
    </row>
    <row r="5132" spans="21:21" ht="26.4">
      <c r="U5132" s="85" ph="1"/>
    </row>
    <row r="5133" spans="21:21" ht="26.4">
      <c r="U5133" s="85" ph="1"/>
    </row>
    <row r="5134" spans="21:21" ht="26.4">
      <c r="U5134" s="85" ph="1"/>
    </row>
    <row r="5135" spans="21:21" ht="26.4">
      <c r="U5135" s="85" ph="1"/>
    </row>
    <row r="5136" spans="21:21" ht="26.4">
      <c r="U5136" s="85" ph="1"/>
    </row>
    <row r="5137" spans="21:21" ht="26.4">
      <c r="U5137" s="85" ph="1"/>
    </row>
    <row r="5138" spans="21:21" ht="26.4">
      <c r="U5138" s="85" ph="1"/>
    </row>
    <row r="5139" spans="21:21" ht="26.4">
      <c r="U5139" s="85" ph="1"/>
    </row>
    <row r="5140" spans="21:21" ht="26.4">
      <c r="U5140" s="85" ph="1"/>
    </row>
    <row r="5141" spans="21:21" ht="26.4">
      <c r="U5141" s="85" ph="1"/>
    </row>
    <row r="5142" spans="21:21" ht="26.4">
      <c r="U5142" s="85" ph="1"/>
    </row>
    <row r="5143" spans="21:21" ht="26.4">
      <c r="U5143" s="85" ph="1"/>
    </row>
    <row r="5144" spans="21:21" ht="26.4">
      <c r="U5144" s="85" ph="1"/>
    </row>
    <row r="5145" spans="21:21" ht="26.4">
      <c r="U5145" s="85" ph="1"/>
    </row>
    <row r="5146" spans="21:21" ht="26.4">
      <c r="U5146" s="85" ph="1"/>
    </row>
    <row r="5147" spans="21:21" ht="26.4">
      <c r="U5147" s="85" ph="1"/>
    </row>
    <row r="5148" spans="21:21" ht="26.4">
      <c r="U5148" s="85" ph="1"/>
    </row>
    <row r="5149" spans="21:21" ht="26.4">
      <c r="U5149" s="85" ph="1"/>
    </row>
    <row r="5150" spans="21:21" ht="26.4">
      <c r="U5150" s="85" ph="1"/>
    </row>
    <row r="5151" spans="21:21" ht="26.4">
      <c r="U5151" s="85" ph="1"/>
    </row>
    <row r="5152" spans="21:21" ht="26.4">
      <c r="U5152" s="85" ph="1"/>
    </row>
    <row r="5153" spans="21:21" ht="26.4">
      <c r="U5153" s="85" ph="1"/>
    </row>
    <row r="5154" spans="21:21" ht="26.4">
      <c r="U5154" s="85" ph="1"/>
    </row>
    <row r="5155" spans="21:21" ht="26.4">
      <c r="U5155" s="85" ph="1"/>
    </row>
    <row r="5156" spans="21:21" ht="26.4">
      <c r="U5156" s="85" ph="1"/>
    </row>
    <row r="5157" spans="21:21" ht="26.4">
      <c r="U5157" s="85" ph="1"/>
    </row>
    <row r="5158" spans="21:21" ht="26.4">
      <c r="U5158" s="85" ph="1"/>
    </row>
    <row r="5159" spans="21:21" ht="26.4">
      <c r="U5159" s="85" ph="1"/>
    </row>
    <row r="5160" spans="21:21" ht="26.4">
      <c r="U5160" s="85" ph="1"/>
    </row>
    <row r="5161" spans="21:21" ht="26.4">
      <c r="U5161" s="85" ph="1"/>
    </row>
    <row r="5162" spans="21:21" ht="26.4">
      <c r="U5162" s="85" ph="1"/>
    </row>
    <row r="5163" spans="21:21" ht="26.4">
      <c r="U5163" s="85" ph="1"/>
    </row>
    <row r="5164" spans="21:21" ht="26.4">
      <c r="U5164" s="85" ph="1"/>
    </row>
    <row r="5165" spans="21:21" ht="26.4">
      <c r="U5165" s="85" ph="1"/>
    </row>
    <row r="5166" spans="21:21" ht="26.4">
      <c r="U5166" s="85" ph="1"/>
    </row>
    <row r="5167" spans="21:21" ht="26.4">
      <c r="U5167" s="85" ph="1"/>
    </row>
    <row r="5168" spans="21:21" ht="26.4">
      <c r="U5168" s="85" ph="1"/>
    </row>
    <row r="5169" spans="21:21" ht="26.4">
      <c r="U5169" s="85" ph="1"/>
    </row>
    <row r="5170" spans="21:21" ht="26.4">
      <c r="U5170" s="85" ph="1"/>
    </row>
    <row r="5171" spans="21:21" ht="26.4">
      <c r="U5171" s="85" ph="1"/>
    </row>
    <row r="5172" spans="21:21" ht="26.4">
      <c r="U5172" s="85" ph="1"/>
    </row>
    <row r="5173" spans="21:21" ht="26.4">
      <c r="U5173" s="85" ph="1"/>
    </row>
    <row r="5174" spans="21:21" ht="26.4">
      <c r="U5174" s="85" ph="1"/>
    </row>
    <row r="5175" spans="21:21" ht="26.4">
      <c r="U5175" s="85" ph="1"/>
    </row>
    <row r="5176" spans="21:21" ht="26.4">
      <c r="U5176" s="85" ph="1"/>
    </row>
    <row r="5177" spans="21:21" ht="26.4">
      <c r="U5177" s="85" ph="1"/>
    </row>
    <row r="5178" spans="21:21" ht="26.4">
      <c r="U5178" s="85" ph="1"/>
    </row>
    <row r="5179" spans="21:21" ht="26.4">
      <c r="U5179" s="85" ph="1"/>
    </row>
    <row r="5180" spans="21:21" ht="26.4">
      <c r="U5180" s="85" ph="1"/>
    </row>
    <row r="5181" spans="21:21" ht="26.4">
      <c r="U5181" s="85" ph="1"/>
    </row>
    <row r="5182" spans="21:21" ht="26.4">
      <c r="U5182" s="85" ph="1"/>
    </row>
    <row r="5183" spans="21:21" ht="26.4">
      <c r="U5183" s="85" ph="1"/>
    </row>
    <row r="5184" spans="21:21" ht="26.4">
      <c r="U5184" s="85" ph="1"/>
    </row>
    <row r="5185" spans="21:21" ht="26.4">
      <c r="U5185" s="85" ph="1"/>
    </row>
    <row r="5186" spans="21:21" ht="26.4">
      <c r="U5186" s="85" ph="1"/>
    </row>
    <row r="5187" spans="21:21" ht="26.4">
      <c r="U5187" s="85" ph="1"/>
    </row>
    <row r="5188" spans="21:21" ht="26.4">
      <c r="U5188" s="85" ph="1"/>
    </row>
    <row r="5189" spans="21:21" ht="26.4">
      <c r="U5189" s="85" ph="1"/>
    </row>
    <row r="5190" spans="21:21" ht="26.4">
      <c r="U5190" s="85" ph="1"/>
    </row>
    <row r="5191" spans="21:21" ht="26.4">
      <c r="U5191" s="85" ph="1"/>
    </row>
    <row r="5192" spans="21:21" ht="26.4">
      <c r="U5192" s="85" ph="1"/>
    </row>
    <row r="5193" spans="21:21" ht="26.4">
      <c r="U5193" s="85" ph="1"/>
    </row>
    <row r="5194" spans="21:21" ht="26.4">
      <c r="U5194" s="85" ph="1"/>
    </row>
    <row r="5195" spans="21:21" ht="26.4">
      <c r="U5195" s="85" ph="1"/>
    </row>
    <row r="5196" spans="21:21" ht="26.4">
      <c r="U5196" s="85" ph="1"/>
    </row>
    <row r="5197" spans="21:21" ht="26.4">
      <c r="U5197" s="85" ph="1"/>
    </row>
    <row r="5198" spans="21:21" ht="26.4">
      <c r="U5198" s="85" ph="1"/>
    </row>
    <row r="5199" spans="21:21" ht="26.4">
      <c r="U5199" s="85" ph="1"/>
    </row>
    <row r="5200" spans="21:21" ht="26.4">
      <c r="U5200" s="85" ph="1"/>
    </row>
    <row r="5201" spans="21:21" ht="26.4">
      <c r="U5201" s="85" ph="1"/>
    </row>
    <row r="5202" spans="21:21" ht="26.4">
      <c r="U5202" s="85" ph="1"/>
    </row>
    <row r="5203" spans="21:21" ht="26.4">
      <c r="U5203" s="85" ph="1"/>
    </row>
    <row r="5204" spans="21:21" ht="26.4">
      <c r="U5204" s="85" ph="1"/>
    </row>
    <row r="5205" spans="21:21" ht="26.4">
      <c r="U5205" s="85" ph="1"/>
    </row>
    <row r="5206" spans="21:21" ht="26.4">
      <c r="U5206" s="85" ph="1"/>
    </row>
    <row r="5207" spans="21:21" ht="26.4">
      <c r="U5207" s="85" ph="1"/>
    </row>
    <row r="5208" spans="21:21" ht="26.4">
      <c r="U5208" s="85" ph="1"/>
    </row>
    <row r="5209" spans="21:21" ht="26.4">
      <c r="U5209" s="85" ph="1"/>
    </row>
    <row r="5210" spans="21:21" ht="26.4">
      <c r="U5210" s="85" ph="1"/>
    </row>
    <row r="5211" spans="21:21" ht="26.4">
      <c r="U5211" s="85" ph="1"/>
    </row>
    <row r="5212" spans="21:21" ht="26.4">
      <c r="U5212" s="85" ph="1"/>
    </row>
    <row r="5213" spans="21:21" ht="26.4">
      <c r="U5213" s="85" ph="1"/>
    </row>
    <row r="5214" spans="21:21" ht="26.4">
      <c r="U5214" s="85" ph="1"/>
    </row>
    <row r="5215" spans="21:21" ht="26.4">
      <c r="U5215" s="85" ph="1"/>
    </row>
    <row r="5216" spans="21:21" ht="26.4">
      <c r="U5216" s="85" ph="1"/>
    </row>
    <row r="5217" spans="21:21" ht="26.4">
      <c r="U5217" s="85" ph="1"/>
    </row>
    <row r="5218" spans="21:21" ht="26.4">
      <c r="U5218" s="85" ph="1"/>
    </row>
    <row r="5219" spans="21:21" ht="26.4">
      <c r="U5219" s="85" ph="1"/>
    </row>
    <row r="5220" spans="21:21" ht="26.4">
      <c r="U5220" s="85" ph="1"/>
    </row>
    <row r="5221" spans="21:21" ht="26.4">
      <c r="U5221" s="85" ph="1"/>
    </row>
    <row r="5222" spans="21:21" ht="26.4">
      <c r="U5222" s="85" ph="1"/>
    </row>
    <row r="5223" spans="21:21" ht="26.4">
      <c r="U5223" s="85" ph="1"/>
    </row>
    <row r="5224" spans="21:21" ht="26.4">
      <c r="U5224" s="85" ph="1"/>
    </row>
    <row r="5225" spans="21:21" ht="26.4">
      <c r="U5225" s="85" ph="1"/>
    </row>
    <row r="5226" spans="21:21" ht="26.4">
      <c r="U5226" s="85" ph="1"/>
    </row>
    <row r="5227" spans="21:21" ht="26.4">
      <c r="U5227" s="85" ph="1"/>
    </row>
    <row r="5228" spans="21:21" ht="26.4">
      <c r="U5228" s="85" ph="1"/>
    </row>
    <row r="5229" spans="21:21" ht="26.4">
      <c r="U5229" s="85" ph="1"/>
    </row>
    <row r="5230" spans="21:21" ht="26.4">
      <c r="U5230" s="85" ph="1"/>
    </row>
    <row r="5231" spans="21:21" ht="26.4">
      <c r="U5231" s="85" ph="1"/>
    </row>
    <row r="5232" spans="21:21" ht="26.4">
      <c r="U5232" s="85" ph="1"/>
    </row>
    <row r="5233" spans="21:21" ht="26.4">
      <c r="U5233" s="85" ph="1"/>
    </row>
    <row r="5234" spans="21:21" ht="26.4">
      <c r="U5234" s="85" ph="1"/>
    </row>
    <row r="5235" spans="21:21" ht="26.4">
      <c r="U5235" s="85" ph="1"/>
    </row>
    <row r="5236" spans="21:21" ht="26.4">
      <c r="U5236" s="85" ph="1"/>
    </row>
    <row r="5237" spans="21:21" ht="26.4">
      <c r="U5237" s="85" ph="1"/>
    </row>
    <row r="5238" spans="21:21" ht="26.4">
      <c r="U5238" s="85" ph="1"/>
    </row>
    <row r="5239" spans="21:21" ht="26.4">
      <c r="U5239" s="85" ph="1"/>
    </row>
    <row r="5240" spans="21:21" ht="26.4">
      <c r="U5240" s="85" ph="1"/>
    </row>
    <row r="5241" spans="21:21" ht="26.4">
      <c r="U5241" s="85" ph="1"/>
    </row>
    <row r="5242" spans="21:21" ht="26.4">
      <c r="U5242" s="85" ph="1"/>
    </row>
    <row r="5243" spans="21:21" ht="26.4">
      <c r="U5243" s="85" ph="1"/>
    </row>
    <row r="5244" spans="21:21" ht="26.4">
      <c r="U5244" s="85" ph="1"/>
    </row>
    <row r="5245" spans="21:21" ht="26.4">
      <c r="U5245" s="85" ph="1"/>
    </row>
    <row r="5246" spans="21:21" ht="26.4">
      <c r="U5246" s="85" ph="1"/>
    </row>
    <row r="5247" spans="21:21" ht="26.4">
      <c r="U5247" s="85" ph="1"/>
    </row>
    <row r="5248" spans="21:21" ht="26.4">
      <c r="U5248" s="85" ph="1"/>
    </row>
    <row r="5249" spans="21:21" ht="26.4">
      <c r="U5249" s="85" ph="1"/>
    </row>
    <row r="5250" spans="21:21" ht="26.4">
      <c r="U5250" s="85" ph="1"/>
    </row>
    <row r="5251" spans="21:21" ht="26.4">
      <c r="U5251" s="85" ph="1"/>
    </row>
    <row r="5252" spans="21:21" ht="26.4">
      <c r="U5252" s="85" ph="1"/>
    </row>
    <row r="5253" spans="21:21" ht="26.4">
      <c r="U5253" s="85" ph="1"/>
    </row>
    <row r="5254" spans="21:21" ht="26.4">
      <c r="U5254" s="85" ph="1"/>
    </row>
    <row r="5255" spans="21:21" ht="26.4">
      <c r="U5255" s="85" ph="1"/>
    </row>
    <row r="5256" spans="21:21" ht="26.4">
      <c r="U5256" s="85" ph="1"/>
    </row>
    <row r="5257" spans="21:21" ht="26.4">
      <c r="U5257" s="85" ph="1"/>
    </row>
    <row r="5258" spans="21:21" ht="26.4">
      <c r="U5258" s="85" ph="1"/>
    </row>
    <row r="5259" spans="21:21" ht="26.4">
      <c r="U5259" s="85" ph="1"/>
    </row>
    <row r="5260" spans="21:21" ht="26.4">
      <c r="U5260" s="85" ph="1"/>
    </row>
    <row r="5261" spans="21:21" ht="26.4">
      <c r="U5261" s="85" ph="1"/>
    </row>
    <row r="5262" spans="21:21" ht="26.4">
      <c r="U5262" s="85" ph="1"/>
    </row>
    <row r="5263" spans="21:21" ht="26.4">
      <c r="U5263" s="85" ph="1"/>
    </row>
    <row r="5264" spans="21:21" ht="26.4">
      <c r="U5264" s="85" ph="1"/>
    </row>
    <row r="5265" spans="21:21" ht="26.4">
      <c r="U5265" s="85" ph="1"/>
    </row>
    <row r="5266" spans="21:21" ht="26.4">
      <c r="U5266" s="85" ph="1"/>
    </row>
    <row r="5267" spans="21:21" ht="26.4">
      <c r="U5267" s="85" ph="1"/>
    </row>
    <row r="5268" spans="21:21" ht="26.4">
      <c r="U5268" s="85" ph="1"/>
    </row>
    <row r="5269" spans="21:21" ht="26.4">
      <c r="U5269" s="85" ph="1"/>
    </row>
    <row r="5270" spans="21:21" ht="26.4">
      <c r="U5270" s="85" ph="1"/>
    </row>
    <row r="5271" spans="21:21" ht="26.4">
      <c r="U5271" s="85" ph="1"/>
    </row>
    <row r="5272" spans="21:21" ht="26.4">
      <c r="U5272" s="85" ph="1"/>
    </row>
    <row r="5273" spans="21:21" ht="26.4">
      <c r="U5273" s="85" ph="1"/>
    </row>
    <row r="5274" spans="21:21" ht="26.4">
      <c r="U5274" s="85" ph="1"/>
    </row>
    <row r="5275" spans="21:21" ht="26.4">
      <c r="U5275" s="85" ph="1"/>
    </row>
    <row r="5276" spans="21:21" ht="26.4">
      <c r="U5276" s="85" ph="1"/>
    </row>
    <row r="5277" spans="21:21" ht="26.4">
      <c r="U5277" s="85" ph="1"/>
    </row>
    <row r="5278" spans="21:21" ht="26.4">
      <c r="U5278" s="85" ph="1"/>
    </row>
    <row r="5279" spans="21:21" ht="26.4">
      <c r="U5279" s="85" ph="1"/>
    </row>
    <row r="5280" spans="21:21" ht="26.4">
      <c r="U5280" s="85" ph="1"/>
    </row>
    <row r="5281" spans="21:21" ht="26.4">
      <c r="U5281" s="85" ph="1"/>
    </row>
    <row r="5282" spans="21:21" ht="26.4">
      <c r="U5282" s="85" ph="1"/>
    </row>
    <row r="5283" spans="21:21" ht="26.4">
      <c r="U5283" s="85" ph="1"/>
    </row>
    <row r="5284" spans="21:21" ht="26.4">
      <c r="U5284" s="85" ph="1"/>
    </row>
    <row r="5285" spans="21:21" ht="26.4">
      <c r="U5285" s="85" ph="1"/>
    </row>
    <row r="5286" spans="21:21" ht="26.4">
      <c r="U5286" s="85" ph="1"/>
    </row>
    <row r="5287" spans="21:21" ht="26.4">
      <c r="U5287" s="85" ph="1"/>
    </row>
    <row r="5288" spans="21:21" ht="26.4">
      <c r="U5288" s="85" ph="1"/>
    </row>
    <row r="5289" spans="21:21" ht="26.4">
      <c r="U5289" s="85" ph="1"/>
    </row>
    <row r="5290" spans="21:21" ht="26.4">
      <c r="U5290" s="85" ph="1"/>
    </row>
    <row r="5291" spans="21:21" ht="26.4">
      <c r="U5291" s="85" ph="1"/>
    </row>
    <row r="5292" spans="21:21" ht="26.4">
      <c r="U5292" s="85" ph="1"/>
    </row>
    <row r="5293" spans="21:21" ht="26.4">
      <c r="U5293" s="85" ph="1"/>
    </row>
    <row r="5294" spans="21:21" ht="26.4">
      <c r="U5294" s="85" ph="1"/>
    </row>
    <row r="5295" spans="21:21" ht="26.4">
      <c r="U5295" s="85" ph="1"/>
    </row>
    <row r="5296" spans="21:21" ht="26.4">
      <c r="U5296" s="85" ph="1"/>
    </row>
    <row r="5297" spans="21:21" ht="26.4">
      <c r="U5297" s="85" ph="1"/>
    </row>
    <row r="5298" spans="21:21" ht="26.4">
      <c r="U5298" s="85" ph="1"/>
    </row>
    <row r="5299" spans="21:21" ht="26.4">
      <c r="U5299" s="85" ph="1"/>
    </row>
    <row r="5300" spans="21:21" ht="26.4">
      <c r="U5300" s="85" ph="1"/>
    </row>
    <row r="5301" spans="21:21" ht="26.4">
      <c r="U5301" s="85" ph="1"/>
    </row>
    <row r="5302" spans="21:21" ht="26.4">
      <c r="U5302" s="85" ph="1"/>
    </row>
    <row r="5303" spans="21:21" ht="26.4">
      <c r="U5303" s="85" ph="1"/>
    </row>
    <row r="5304" spans="21:21" ht="26.4">
      <c r="U5304" s="85" ph="1"/>
    </row>
    <row r="5305" spans="21:21" ht="26.4">
      <c r="U5305" s="85" ph="1"/>
    </row>
    <row r="5306" spans="21:21" ht="26.4">
      <c r="U5306" s="85" ph="1"/>
    </row>
    <row r="5307" spans="21:21" ht="26.4">
      <c r="U5307" s="85" ph="1"/>
    </row>
    <row r="5308" spans="21:21" ht="26.4">
      <c r="U5308" s="85" ph="1"/>
    </row>
    <row r="5309" spans="21:21" ht="26.4">
      <c r="U5309" s="85" ph="1"/>
    </row>
    <row r="5310" spans="21:21" ht="26.4">
      <c r="U5310" s="85" ph="1"/>
    </row>
    <row r="5311" spans="21:21" ht="26.4">
      <c r="U5311" s="85" ph="1"/>
    </row>
    <row r="5312" spans="21:21" ht="26.4">
      <c r="U5312" s="85" ph="1"/>
    </row>
    <row r="5313" spans="21:21" ht="26.4">
      <c r="U5313" s="85" ph="1"/>
    </row>
    <row r="5314" spans="21:21" ht="26.4">
      <c r="U5314" s="85" ph="1"/>
    </row>
    <row r="5315" spans="21:21" ht="26.4">
      <c r="U5315" s="85" ph="1"/>
    </row>
    <row r="5316" spans="21:21" ht="26.4">
      <c r="U5316" s="85" ph="1"/>
    </row>
    <row r="5317" spans="21:21" ht="26.4">
      <c r="U5317" s="85" ph="1"/>
    </row>
    <row r="5318" spans="21:21" ht="26.4">
      <c r="U5318" s="85" ph="1"/>
    </row>
    <row r="5319" spans="21:21" ht="26.4">
      <c r="U5319" s="85" ph="1"/>
    </row>
    <row r="5320" spans="21:21" ht="26.4">
      <c r="U5320" s="85" ph="1"/>
    </row>
    <row r="5321" spans="21:21" ht="26.4">
      <c r="U5321" s="85" ph="1"/>
    </row>
    <row r="5322" spans="21:21" ht="26.4">
      <c r="U5322" s="85" ph="1"/>
    </row>
    <row r="5323" spans="21:21" ht="26.4">
      <c r="U5323" s="85" ph="1"/>
    </row>
    <row r="5324" spans="21:21" ht="26.4">
      <c r="U5324" s="85" ph="1"/>
    </row>
    <row r="5325" spans="21:21" ht="26.4">
      <c r="U5325" s="85" ph="1"/>
    </row>
    <row r="5326" spans="21:21" ht="26.4">
      <c r="U5326" s="85" ph="1"/>
    </row>
    <row r="5327" spans="21:21" ht="26.4">
      <c r="U5327" s="85" ph="1"/>
    </row>
    <row r="5328" spans="21:21" ht="26.4">
      <c r="U5328" s="85" ph="1"/>
    </row>
    <row r="5329" spans="21:21" ht="26.4">
      <c r="U5329" s="85" ph="1"/>
    </row>
    <row r="5330" spans="21:21" ht="26.4">
      <c r="U5330" s="85" ph="1"/>
    </row>
    <row r="5331" spans="21:21" ht="26.4">
      <c r="U5331" s="85" ph="1"/>
    </row>
    <row r="5332" spans="21:21" ht="26.4">
      <c r="U5332" s="85" ph="1"/>
    </row>
    <row r="5333" spans="21:21" ht="26.4">
      <c r="U5333" s="85" ph="1"/>
    </row>
    <row r="5334" spans="21:21" ht="26.4">
      <c r="U5334" s="85" ph="1"/>
    </row>
    <row r="5335" spans="21:21" ht="26.4">
      <c r="U5335" s="85" ph="1"/>
    </row>
    <row r="5336" spans="21:21" ht="26.4">
      <c r="U5336" s="85" ph="1"/>
    </row>
    <row r="5337" spans="21:21" ht="26.4">
      <c r="U5337" s="85" ph="1"/>
    </row>
    <row r="5338" spans="21:21" ht="26.4">
      <c r="U5338" s="85" ph="1"/>
    </row>
    <row r="5339" spans="21:21" ht="26.4">
      <c r="U5339" s="85" ph="1"/>
    </row>
    <row r="5340" spans="21:21" ht="26.4">
      <c r="U5340" s="85" ph="1"/>
    </row>
    <row r="5341" spans="21:21" ht="26.4">
      <c r="U5341" s="85" ph="1"/>
    </row>
    <row r="5342" spans="21:21" ht="26.4">
      <c r="U5342" s="85" ph="1"/>
    </row>
    <row r="5343" spans="21:21" ht="26.4">
      <c r="U5343" s="85" ph="1"/>
    </row>
    <row r="5344" spans="21:21" ht="26.4">
      <c r="U5344" s="85" ph="1"/>
    </row>
    <row r="5345" spans="21:21" ht="26.4">
      <c r="U5345" s="85" ph="1"/>
    </row>
    <row r="5346" spans="21:21" ht="26.4">
      <c r="U5346" s="85" ph="1"/>
    </row>
    <row r="5347" spans="21:21" ht="26.4">
      <c r="U5347" s="85" ph="1"/>
    </row>
    <row r="5348" spans="21:21" ht="26.4">
      <c r="U5348" s="85" ph="1"/>
    </row>
    <row r="5349" spans="21:21" ht="26.4">
      <c r="U5349" s="85" ph="1"/>
    </row>
    <row r="5350" spans="21:21" ht="26.4">
      <c r="U5350" s="85" ph="1"/>
    </row>
    <row r="5351" spans="21:21" ht="26.4">
      <c r="U5351" s="85" ph="1"/>
    </row>
    <row r="5352" spans="21:21" ht="26.4">
      <c r="U5352" s="85" ph="1"/>
    </row>
    <row r="5353" spans="21:21" ht="26.4">
      <c r="U5353" s="85" ph="1"/>
    </row>
    <row r="5354" spans="21:21" ht="26.4">
      <c r="U5354" s="85" ph="1"/>
    </row>
    <row r="5355" spans="21:21" ht="26.4">
      <c r="U5355" s="85" ph="1"/>
    </row>
    <row r="5356" spans="21:21" ht="26.4">
      <c r="U5356" s="85" ph="1"/>
    </row>
    <row r="5357" spans="21:21" ht="26.4">
      <c r="U5357" s="85" ph="1"/>
    </row>
    <row r="5358" spans="21:21" ht="26.4">
      <c r="U5358" s="85" ph="1"/>
    </row>
    <row r="5359" spans="21:21" ht="26.4">
      <c r="U5359" s="85" ph="1"/>
    </row>
    <row r="5360" spans="21:21" ht="26.4">
      <c r="U5360" s="85" ph="1"/>
    </row>
    <row r="5361" spans="21:21" ht="26.4">
      <c r="U5361" s="85" ph="1"/>
    </row>
    <row r="5362" spans="21:21" ht="26.4">
      <c r="U5362" s="85" ph="1"/>
    </row>
    <row r="5363" spans="21:21" ht="26.4">
      <c r="U5363" s="85" ph="1"/>
    </row>
    <row r="5364" spans="21:21" ht="26.4">
      <c r="U5364" s="85" ph="1"/>
    </row>
    <row r="5365" spans="21:21" ht="26.4">
      <c r="U5365" s="85" ph="1"/>
    </row>
    <row r="5366" spans="21:21" ht="26.4">
      <c r="U5366" s="85" ph="1"/>
    </row>
    <row r="5367" spans="21:21" ht="26.4">
      <c r="U5367" s="85" ph="1"/>
    </row>
    <row r="5368" spans="21:21" ht="26.4">
      <c r="U5368" s="85" ph="1"/>
    </row>
    <row r="5369" spans="21:21" ht="26.4">
      <c r="U5369" s="85" ph="1"/>
    </row>
    <row r="5370" spans="21:21" ht="26.4">
      <c r="U5370" s="85" ph="1"/>
    </row>
    <row r="5371" spans="21:21" ht="26.4">
      <c r="U5371" s="85" ph="1"/>
    </row>
    <row r="5372" spans="21:21" ht="26.4">
      <c r="U5372" s="85" ph="1"/>
    </row>
    <row r="5373" spans="21:21" ht="26.4">
      <c r="U5373" s="85" ph="1"/>
    </row>
    <row r="5374" spans="21:21" ht="26.4">
      <c r="U5374" s="85" ph="1"/>
    </row>
    <row r="5375" spans="21:21" ht="26.4">
      <c r="U5375" s="85" ph="1"/>
    </row>
    <row r="5376" spans="21:21" ht="26.4">
      <c r="U5376" s="85" ph="1"/>
    </row>
    <row r="5377" spans="21:21" ht="26.4">
      <c r="U5377" s="85" ph="1"/>
    </row>
    <row r="5378" spans="21:21" ht="26.4">
      <c r="U5378" s="85" ph="1"/>
    </row>
    <row r="5379" spans="21:21" ht="26.4">
      <c r="U5379" s="85" ph="1"/>
    </row>
    <row r="5380" spans="21:21" ht="26.4">
      <c r="U5380" s="85" ph="1"/>
    </row>
    <row r="5381" spans="21:21" ht="26.4">
      <c r="U5381" s="85" ph="1"/>
    </row>
    <row r="5382" spans="21:21" ht="26.4">
      <c r="U5382" s="85" ph="1"/>
    </row>
    <row r="5383" spans="21:21" ht="26.4">
      <c r="U5383" s="85" ph="1"/>
    </row>
    <row r="5384" spans="21:21" ht="26.4">
      <c r="U5384" s="85" ph="1"/>
    </row>
    <row r="5385" spans="21:21" ht="26.4">
      <c r="U5385" s="85" ph="1"/>
    </row>
    <row r="5386" spans="21:21" ht="26.4">
      <c r="U5386" s="85" ph="1"/>
    </row>
    <row r="5387" spans="21:21" ht="26.4">
      <c r="U5387" s="85" ph="1"/>
    </row>
    <row r="5388" spans="21:21" ht="26.4">
      <c r="U5388" s="85" ph="1"/>
    </row>
    <row r="5389" spans="21:21" ht="26.4">
      <c r="U5389" s="85" ph="1"/>
    </row>
    <row r="5390" spans="21:21" ht="26.4">
      <c r="U5390" s="85" ph="1"/>
    </row>
    <row r="5391" spans="21:21" ht="26.4">
      <c r="U5391" s="85" ph="1"/>
    </row>
    <row r="5392" spans="21:21" ht="26.4">
      <c r="U5392" s="85" ph="1"/>
    </row>
    <row r="5393" spans="21:21" ht="26.4">
      <c r="U5393" s="85" ph="1"/>
    </row>
    <row r="5394" spans="21:21" ht="26.4">
      <c r="U5394" s="85" ph="1"/>
    </row>
    <row r="5395" spans="21:21" ht="26.4">
      <c r="U5395" s="85" ph="1"/>
    </row>
    <row r="5396" spans="21:21" ht="26.4">
      <c r="U5396" s="85" ph="1"/>
    </row>
    <row r="5397" spans="21:21" ht="26.4">
      <c r="U5397" s="85" ph="1"/>
    </row>
    <row r="5398" spans="21:21" ht="26.4">
      <c r="U5398" s="85" ph="1"/>
    </row>
    <row r="5399" spans="21:21" ht="26.4">
      <c r="U5399" s="85" ph="1"/>
    </row>
    <row r="5400" spans="21:21" ht="26.4">
      <c r="U5400" s="85" ph="1"/>
    </row>
    <row r="5401" spans="21:21" ht="26.4">
      <c r="U5401" s="85" ph="1"/>
    </row>
    <row r="5402" spans="21:21" ht="26.4">
      <c r="U5402" s="85" ph="1"/>
    </row>
    <row r="5403" spans="21:21" ht="26.4">
      <c r="U5403" s="85" ph="1"/>
    </row>
    <row r="5404" spans="21:21" ht="26.4">
      <c r="U5404" s="85" ph="1"/>
    </row>
    <row r="5405" spans="21:21" ht="26.4">
      <c r="U5405" s="85" ph="1"/>
    </row>
    <row r="5406" spans="21:21" ht="26.4">
      <c r="U5406" s="85" ph="1"/>
    </row>
    <row r="5407" spans="21:21" ht="26.4">
      <c r="U5407" s="85" ph="1"/>
    </row>
    <row r="5408" spans="21:21" ht="26.4">
      <c r="U5408" s="85" ph="1"/>
    </row>
    <row r="5409" spans="21:21" ht="26.4">
      <c r="U5409" s="85" ph="1"/>
    </row>
    <row r="5410" spans="21:21" ht="26.4">
      <c r="U5410" s="85" ph="1"/>
    </row>
    <row r="5411" spans="21:21" ht="26.4">
      <c r="U5411" s="85" ph="1"/>
    </row>
    <row r="5412" spans="21:21" ht="26.4">
      <c r="U5412" s="85" ph="1"/>
    </row>
    <row r="5413" spans="21:21" ht="26.4">
      <c r="U5413" s="85" ph="1"/>
    </row>
    <row r="5414" spans="21:21" ht="26.4">
      <c r="U5414" s="85" ph="1"/>
    </row>
    <row r="5415" spans="21:21" ht="26.4">
      <c r="U5415" s="85" ph="1"/>
    </row>
    <row r="5416" spans="21:21" ht="26.4">
      <c r="U5416" s="85" ph="1"/>
    </row>
    <row r="5417" spans="21:21" ht="26.4">
      <c r="U5417" s="85" ph="1"/>
    </row>
    <row r="5418" spans="21:21" ht="26.4">
      <c r="U5418" s="85" ph="1"/>
    </row>
    <row r="5419" spans="21:21" ht="26.4">
      <c r="U5419" s="85" ph="1"/>
    </row>
    <row r="5420" spans="21:21" ht="26.4">
      <c r="U5420" s="85" ph="1"/>
    </row>
    <row r="5421" spans="21:21" ht="26.4">
      <c r="U5421" s="85" ph="1"/>
    </row>
    <row r="5422" spans="21:21" ht="26.4">
      <c r="U5422" s="85" ph="1"/>
    </row>
    <row r="5423" spans="21:21" ht="26.4">
      <c r="U5423" s="85" ph="1"/>
    </row>
    <row r="5424" spans="21:21" ht="26.4">
      <c r="U5424" s="85" ph="1"/>
    </row>
    <row r="5425" spans="21:21" ht="26.4">
      <c r="U5425" s="85" ph="1"/>
    </row>
    <row r="5426" spans="21:21" ht="26.4">
      <c r="U5426" s="85" ph="1"/>
    </row>
    <row r="5427" spans="21:21" ht="26.4">
      <c r="U5427" s="85" ph="1"/>
    </row>
    <row r="5428" spans="21:21" ht="26.4">
      <c r="U5428" s="85" ph="1"/>
    </row>
    <row r="5429" spans="21:21" ht="26.4">
      <c r="U5429" s="85" ph="1"/>
    </row>
    <row r="5430" spans="21:21" ht="26.4">
      <c r="U5430" s="85" ph="1"/>
    </row>
    <row r="5431" spans="21:21" ht="26.4">
      <c r="U5431" s="85" ph="1"/>
    </row>
    <row r="5432" spans="21:21" ht="26.4">
      <c r="U5432" s="85" ph="1"/>
    </row>
    <row r="5433" spans="21:21" ht="26.4">
      <c r="U5433" s="85" ph="1"/>
    </row>
    <row r="5434" spans="21:21" ht="26.4">
      <c r="U5434" s="85" ph="1"/>
    </row>
    <row r="5435" spans="21:21" ht="26.4">
      <c r="U5435" s="85" ph="1"/>
    </row>
    <row r="5436" spans="21:21" ht="26.4">
      <c r="U5436" s="85" ph="1"/>
    </row>
    <row r="5437" spans="21:21" ht="26.4">
      <c r="U5437" s="85" ph="1"/>
    </row>
    <row r="5438" spans="21:21" ht="26.4">
      <c r="U5438" s="85" ph="1"/>
    </row>
    <row r="5439" spans="21:21" ht="26.4">
      <c r="U5439" s="85" ph="1"/>
    </row>
    <row r="5440" spans="21:21" ht="26.4">
      <c r="U5440" s="85" ph="1"/>
    </row>
    <row r="5441" spans="21:21" ht="26.4">
      <c r="U5441" s="85" ph="1"/>
    </row>
    <row r="5442" spans="21:21" ht="26.4">
      <c r="U5442" s="85" ph="1"/>
    </row>
    <row r="5443" spans="21:21" ht="26.4">
      <c r="U5443" s="85" ph="1"/>
    </row>
    <row r="5444" spans="21:21" ht="26.4">
      <c r="U5444" s="85" ph="1"/>
    </row>
    <row r="5445" spans="21:21" ht="26.4">
      <c r="U5445" s="85" ph="1"/>
    </row>
    <row r="5446" spans="21:21" ht="26.4">
      <c r="U5446" s="85" ph="1"/>
    </row>
    <row r="5447" spans="21:21" ht="26.4">
      <c r="U5447" s="85" ph="1"/>
    </row>
    <row r="5448" spans="21:21" ht="26.4">
      <c r="U5448" s="85" ph="1"/>
    </row>
    <row r="5449" spans="21:21" ht="26.4">
      <c r="U5449" s="85" ph="1"/>
    </row>
    <row r="5450" spans="21:21" ht="26.4">
      <c r="U5450" s="85" ph="1"/>
    </row>
    <row r="5451" spans="21:21" ht="26.4">
      <c r="U5451" s="85" ph="1"/>
    </row>
    <row r="5452" spans="21:21" ht="26.4">
      <c r="U5452" s="85" ph="1"/>
    </row>
    <row r="5453" spans="21:21" ht="26.4">
      <c r="U5453" s="85" ph="1"/>
    </row>
    <row r="5454" spans="21:21" ht="26.4">
      <c r="U5454" s="85" ph="1"/>
    </row>
    <row r="5455" spans="21:21" ht="26.4">
      <c r="U5455" s="85" ph="1"/>
    </row>
    <row r="5456" spans="21:21" ht="26.4">
      <c r="U5456" s="85" ph="1"/>
    </row>
    <row r="5457" spans="21:21" ht="26.4">
      <c r="U5457" s="85" ph="1"/>
    </row>
    <row r="5458" spans="21:21" ht="26.4">
      <c r="U5458" s="85" ph="1"/>
    </row>
    <row r="5459" spans="21:21" ht="26.4">
      <c r="U5459" s="85" ph="1"/>
    </row>
    <row r="5460" spans="21:21" ht="26.4">
      <c r="U5460" s="85" ph="1"/>
    </row>
    <row r="5461" spans="21:21" ht="26.4">
      <c r="U5461" s="85" ph="1"/>
    </row>
    <row r="5462" spans="21:21" ht="26.4">
      <c r="U5462" s="85" ph="1"/>
    </row>
    <row r="5463" spans="21:21" ht="26.4">
      <c r="U5463" s="85" ph="1"/>
    </row>
    <row r="5464" spans="21:21" ht="26.4">
      <c r="U5464" s="85" ph="1"/>
    </row>
    <row r="5465" spans="21:21" ht="26.4">
      <c r="U5465" s="85" ph="1"/>
    </row>
    <row r="5466" spans="21:21" ht="26.4">
      <c r="U5466" s="85" ph="1"/>
    </row>
    <row r="5467" spans="21:21" ht="26.4">
      <c r="U5467" s="85" ph="1"/>
    </row>
    <row r="5468" spans="21:21" ht="26.4">
      <c r="U5468" s="85" ph="1"/>
    </row>
    <row r="5469" spans="21:21" ht="26.4">
      <c r="U5469" s="85" ph="1"/>
    </row>
    <row r="5470" spans="21:21" ht="26.4">
      <c r="U5470" s="85" ph="1"/>
    </row>
    <row r="5471" spans="21:21" ht="26.4">
      <c r="U5471" s="85" ph="1"/>
    </row>
    <row r="5472" spans="21:21" ht="26.4">
      <c r="U5472" s="85" ph="1"/>
    </row>
    <row r="5473" spans="21:21" ht="26.4">
      <c r="U5473" s="85" ph="1"/>
    </row>
    <row r="5474" spans="21:21" ht="26.4">
      <c r="U5474" s="85" ph="1"/>
    </row>
    <row r="5475" spans="21:21" ht="26.4">
      <c r="U5475" s="85" ph="1"/>
    </row>
    <row r="5476" spans="21:21" ht="26.4">
      <c r="U5476" s="85" ph="1"/>
    </row>
    <row r="5477" spans="21:21" ht="26.4">
      <c r="U5477" s="85" ph="1"/>
    </row>
    <row r="5478" spans="21:21" ht="26.4">
      <c r="U5478" s="85" ph="1"/>
    </row>
    <row r="5479" spans="21:21" ht="26.4">
      <c r="U5479" s="85" ph="1"/>
    </row>
    <row r="5480" spans="21:21" ht="26.4">
      <c r="U5480" s="85" ph="1"/>
    </row>
    <row r="5481" spans="21:21" ht="26.4">
      <c r="U5481" s="85" ph="1"/>
    </row>
    <row r="5482" spans="21:21" ht="26.4">
      <c r="U5482" s="85" ph="1"/>
    </row>
    <row r="5483" spans="21:21" ht="26.4">
      <c r="U5483" s="85" ph="1"/>
    </row>
    <row r="5484" spans="21:21" ht="26.4">
      <c r="U5484" s="85" ph="1"/>
    </row>
    <row r="5485" spans="21:21" ht="26.4">
      <c r="U5485" s="85" ph="1"/>
    </row>
    <row r="5486" spans="21:21" ht="26.4">
      <c r="U5486" s="85" ph="1"/>
    </row>
    <row r="5487" spans="21:21" ht="26.4">
      <c r="U5487" s="85" ph="1"/>
    </row>
    <row r="5488" spans="21:21" ht="26.4">
      <c r="U5488" s="85" ph="1"/>
    </row>
    <row r="5489" spans="21:21" ht="26.4">
      <c r="U5489" s="85" ph="1"/>
    </row>
    <row r="5490" spans="21:21" ht="26.4">
      <c r="U5490" s="85" ph="1"/>
    </row>
    <row r="5491" spans="21:21" ht="26.4">
      <c r="U5491" s="85" ph="1"/>
    </row>
    <row r="5492" spans="21:21" ht="26.4">
      <c r="U5492" s="85" ph="1"/>
    </row>
    <row r="5493" spans="21:21" ht="26.4">
      <c r="U5493" s="85" ph="1"/>
    </row>
    <row r="5494" spans="21:21" ht="26.4">
      <c r="U5494" s="85" ph="1"/>
    </row>
    <row r="5495" spans="21:21" ht="26.4">
      <c r="U5495" s="85" ph="1"/>
    </row>
    <row r="5496" spans="21:21" ht="26.4">
      <c r="U5496" s="85" ph="1"/>
    </row>
    <row r="5497" spans="21:21" ht="26.4">
      <c r="U5497" s="85" ph="1"/>
    </row>
    <row r="5498" spans="21:21" ht="26.4">
      <c r="U5498" s="85" ph="1"/>
    </row>
    <row r="5499" spans="21:21" ht="26.4">
      <c r="U5499" s="85" ph="1"/>
    </row>
    <row r="5500" spans="21:21" ht="26.4">
      <c r="U5500" s="85" ph="1"/>
    </row>
    <row r="5501" spans="21:21" ht="26.4">
      <c r="U5501" s="85" ph="1"/>
    </row>
    <row r="5502" spans="21:21" ht="26.4">
      <c r="U5502" s="85" ph="1"/>
    </row>
    <row r="5503" spans="21:21" ht="26.4">
      <c r="U5503" s="85" ph="1"/>
    </row>
    <row r="5504" spans="21:21" ht="26.4">
      <c r="U5504" s="85" ph="1"/>
    </row>
    <row r="5505" spans="21:21" ht="26.4">
      <c r="U5505" s="85" ph="1"/>
    </row>
    <row r="5506" spans="21:21" ht="26.4">
      <c r="U5506" s="85" ph="1"/>
    </row>
    <row r="5507" spans="21:21" ht="26.4">
      <c r="U5507" s="85" ph="1"/>
    </row>
    <row r="5508" spans="21:21" ht="26.4">
      <c r="U5508" s="85" ph="1"/>
    </row>
    <row r="5509" spans="21:21" ht="26.4">
      <c r="U5509" s="85" ph="1"/>
    </row>
    <row r="5510" spans="21:21" ht="26.4">
      <c r="U5510" s="85" ph="1"/>
    </row>
    <row r="5511" spans="21:21" ht="26.4">
      <c r="U5511" s="85" ph="1"/>
    </row>
    <row r="5512" spans="21:21" ht="26.4">
      <c r="U5512" s="85" ph="1"/>
    </row>
    <row r="5513" spans="21:21" ht="26.4">
      <c r="U5513" s="85" ph="1"/>
    </row>
    <row r="5514" spans="21:21" ht="26.4">
      <c r="U5514" s="85" ph="1"/>
    </row>
    <row r="5515" spans="21:21" ht="26.4">
      <c r="U5515" s="85" ph="1"/>
    </row>
    <row r="5516" spans="21:21" ht="26.4">
      <c r="U5516" s="85" ph="1"/>
    </row>
    <row r="5517" spans="21:21" ht="26.4">
      <c r="U5517" s="85" ph="1"/>
    </row>
    <row r="5518" spans="21:21" ht="26.4">
      <c r="U5518" s="85" ph="1"/>
    </row>
    <row r="5519" spans="21:21" ht="26.4">
      <c r="U5519" s="85" ph="1"/>
    </row>
    <row r="5520" spans="21:21" ht="26.4">
      <c r="U5520" s="85" ph="1"/>
    </row>
    <row r="5521" spans="21:21" ht="26.4">
      <c r="U5521" s="85" ph="1"/>
    </row>
    <row r="5522" spans="21:21" ht="26.4">
      <c r="U5522" s="85" ph="1"/>
    </row>
    <row r="5523" spans="21:21" ht="26.4">
      <c r="U5523" s="85" ph="1"/>
    </row>
    <row r="5524" spans="21:21" ht="26.4">
      <c r="U5524" s="85" ph="1"/>
    </row>
    <row r="5525" spans="21:21" ht="26.4">
      <c r="U5525" s="85" ph="1"/>
    </row>
    <row r="5526" spans="21:21" ht="26.4">
      <c r="U5526" s="85" ph="1"/>
    </row>
    <row r="5527" spans="21:21" ht="26.4">
      <c r="U5527" s="85" ph="1"/>
    </row>
    <row r="5528" spans="21:21" ht="26.4">
      <c r="U5528" s="85" ph="1"/>
    </row>
    <row r="5529" spans="21:21" ht="26.4">
      <c r="U5529" s="85" ph="1"/>
    </row>
    <row r="5530" spans="21:21" ht="26.4">
      <c r="U5530" s="85" ph="1"/>
    </row>
    <row r="5531" spans="21:21" ht="26.4">
      <c r="U5531" s="85" ph="1"/>
    </row>
    <row r="5532" spans="21:21" ht="26.4">
      <c r="U5532" s="85" ph="1"/>
    </row>
    <row r="5533" spans="21:21" ht="26.4">
      <c r="U5533" s="85" ph="1"/>
    </row>
    <row r="5534" spans="21:21" ht="26.4">
      <c r="U5534" s="85" ph="1"/>
    </row>
    <row r="5535" spans="21:21" ht="26.4">
      <c r="U5535" s="85" ph="1"/>
    </row>
    <row r="5536" spans="21:21" ht="26.4">
      <c r="U5536" s="85" ph="1"/>
    </row>
    <row r="5537" spans="21:21" ht="26.4">
      <c r="U5537" s="85" ph="1"/>
    </row>
    <row r="5538" spans="21:21" ht="26.4">
      <c r="U5538" s="85" ph="1"/>
    </row>
    <row r="5539" spans="21:21" ht="26.4">
      <c r="U5539" s="85" ph="1"/>
    </row>
    <row r="5540" spans="21:21" ht="26.4">
      <c r="U5540" s="85" ph="1"/>
    </row>
    <row r="5541" spans="21:21" ht="26.4">
      <c r="U5541" s="85" ph="1"/>
    </row>
    <row r="5542" spans="21:21" ht="26.4">
      <c r="U5542" s="85" ph="1"/>
    </row>
    <row r="5543" spans="21:21" ht="26.4">
      <c r="U5543" s="85" ph="1"/>
    </row>
    <row r="5544" spans="21:21" ht="26.4">
      <c r="U5544" s="85" ph="1"/>
    </row>
    <row r="5545" spans="21:21" ht="26.4">
      <c r="U5545" s="85" ph="1"/>
    </row>
    <row r="5546" spans="21:21" ht="26.4">
      <c r="U5546" s="85" ph="1"/>
    </row>
    <row r="5547" spans="21:21" ht="26.4">
      <c r="U5547" s="85" ph="1"/>
    </row>
    <row r="5548" spans="21:21" ht="26.4">
      <c r="U5548" s="85" ph="1"/>
    </row>
    <row r="5549" spans="21:21" ht="26.4">
      <c r="U5549" s="85" ph="1"/>
    </row>
    <row r="5550" spans="21:21" ht="26.4">
      <c r="U5550" s="85" ph="1"/>
    </row>
    <row r="5551" spans="21:21" ht="26.4">
      <c r="U5551" s="85" ph="1"/>
    </row>
    <row r="5552" spans="21:21" ht="26.4">
      <c r="U5552" s="85" ph="1"/>
    </row>
    <row r="5553" spans="21:21" ht="26.4">
      <c r="U5553" s="85" ph="1"/>
    </row>
    <row r="5554" spans="21:21" ht="26.4">
      <c r="U5554" s="85" ph="1"/>
    </row>
    <row r="5555" spans="21:21" ht="26.4">
      <c r="U5555" s="85" ph="1"/>
    </row>
    <row r="5556" spans="21:21" ht="26.4">
      <c r="U5556" s="85" ph="1"/>
    </row>
    <row r="5557" spans="21:21" ht="26.4">
      <c r="U5557" s="85" ph="1"/>
    </row>
    <row r="5558" spans="21:21" ht="26.4">
      <c r="U5558" s="85" ph="1"/>
    </row>
    <row r="5559" spans="21:21" ht="26.4">
      <c r="U5559" s="85" ph="1"/>
    </row>
    <row r="5560" spans="21:21" ht="26.4">
      <c r="U5560" s="85" ph="1"/>
    </row>
    <row r="5561" spans="21:21" ht="26.4">
      <c r="U5561" s="85" ph="1"/>
    </row>
    <row r="5562" spans="21:21" ht="26.4">
      <c r="U5562" s="85" ph="1"/>
    </row>
    <row r="5563" spans="21:21" ht="26.4">
      <c r="U5563" s="85" ph="1"/>
    </row>
    <row r="5564" spans="21:21" ht="26.4">
      <c r="U5564" s="85" ph="1"/>
    </row>
    <row r="5565" spans="21:21" ht="26.4">
      <c r="U5565" s="85" ph="1"/>
    </row>
    <row r="5566" spans="21:21" ht="26.4">
      <c r="U5566" s="85" ph="1"/>
    </row>
    <row r="5567" spans="21:21" ht="26.4">
      <c r="U5567" s="85" ph="1"/>
    </row>
    <row r="5568" spans="21:21" ht="26.4">
      <c r="U5568" s="85" ph="1"/>
    </row>
    <row r="5569" spans="21:21" ht="26.4">
      <c r="U5569" s="85" ph="1"/>
    </row>
    <row r="5570" spans="21:21" ht="26.4">
      <c r="U5570" s="85" ph="1"/>
    </row>
    <row r="5571" spans="21:21" ht="26.4">
      <c r="U5571" s="85" ph="1"/>
    </row>
    <row r="5572" spans="21:21" ht="26.4">
      <c r="U5572" s="85" ph="1"/>
    </row>
    <row r="5573" spans="21:21" ht="26.4">
      <c r="U5573" s="85" ph="1"/>
    </row>
    <row r="5574" spans="21:21" ht="26.4">
      <c r="U5574" s="85" ph="1"/>
    </row>
    <row r="5575" spans="21:21" ht="26.4">
      <c r="U5575" s="85" ph="1"/>
    </row>
    <row r="5576" spans="21:21" ht="26.4">
      <c r="U5576" s="85" ph="1"/>
    </row>
    <row r="5577" spans="21:21" ht="26.4">
      <c r="U5577" s="85" ph="1"/>
    </row>
    <row r="5578" spans="21:21" ht="26.4">
      <c r="U5578" s="85" ph="1"/>
    </row>
    <row r="5579" spans="21:21" ht="26.4">
      <c r="U5579" s="85" ph="1"/>
    </row>
    <row r="5580" spans="21:21" ht="26.4">
      <c r="U5580" s="85" ph="1"/>
    </row>
    <row r="5581" spans="21:21" ht="26.4">
      <c r="U5581" s="85" ph="1"/>
    </row>
    <row r="5582" spans="21:21" ht="26.4">
      <c r="U5582" s="85" ph="1"/>
    </row>
    <row r="5583" spans="21:21" ht="26.4">
      <c r="U5583" s="85" ph="1"/>
    </row>
    <row r="5584" spans="21:21" ht="26.4">
      <c r="U5584" s="85" ph="1"/>
    </row>
    <row r="5585" spans="21:21" ht="26.4">
      <c r="U5585" s="85" ph="1"/>
    </row>
    <row r="5586" spans="21:21" ht="26.4">
      <c r="U5586" s="85" ph="1"/>
    </row>
    <row r="5587" spans="21:21" ht="26.4">
      <c r="U5587" s="85" ph="1"/>
    </row>
    <row r="5588" spans="21:21" ht="26.4">
      <c r="U5588" s="85" ph="1"/>
    </row>
    <row r="5589" spans="21:21" ht="26.4">
      <c r="U5589" s="85" ph="1"/>
    </row>
    <row r="5590" spans="21:21" ht="26.4">
      <c r="U5590" s="85" ph="1"/>
    </row>
    <row r="5591" spans="21:21" ht="26.4">
      <c r="U5591" s="85" ph="1"/>
    </row>
    <row r="5592" spans="21:21" ht="26.4">
      <c r="U5592" s="85" ph="1"/>
    </row>
    <row r="5593" spans="21:21" ht="26.4">
      <c r="U5593" s="85" ph="1"/>
    </row>
    <row r="5594" spans="21:21" ht="26.4">
      <c r="U5594" s="85" ph="1"/>
    </row>
    <row r="5595" spans="21:21" ht="26.4">
      <c r="U5595" s="85" ph="1"/>
    </row>
    <row r="5596" spans="21:21" ht="26.4">
      <c r="U5596" s="85" ph="1"/>
    </row>
    <row r="5597" spans="21:21" ht="26.4">
      <c r="U5597" s="85" ph="1"/>
    </row>
    <row r="5598" spans="21:21" ht="26.4">
      <c r="U5598" s="85" ph="1"/>
    </row>
    <row r="5599" spans="21:21" ht="26.4">
      <c r="U5599" s="85" ph="1"/>
    </row>
    <row r="5600" spans="21:21" ht="26.4">
      <c r="U5600" s="85" ph="1"/>
    </row>
    <row r="5601" spans="21:21" ht="26.4">
      <c r="U5601" s="85" ph="1"/>
    </row>
    <row r="5602" spans="21:21" ht="26.4">
      <c r="U5602" s="85" ph="1"/>
    </row>
    <row r="5603" spans="21:21" ht="26.4">
      <c r="U5603" s="85" ph="1"/>
    </row>
    <row r="5604" spans="21:21" ht="26.4">
      <c r="U5604" s="85" ph="1"/>
    </row>
    <row r="5605" spans="21:21" ht="26.4">
      <c r="U5605" s="85" ph="1"/>
    </row>
    <row r="5606" spans="21:21" ht="26.4">
      <c r="U5606" s="85" ph="1"/>
    </row>
    <row r="5607" spans="21:21" ht="26.4">
      <c r="U5607" s="85" ph="1"/>
    </row>
    <row r="5608" spans="21:21" ht="26.4">
      <c r="U5608" s="85" ph="1"/>
    </row>
    <row r="5609" spans="21:21" ht="26.4">
      <c r="U5609" s="85" ph="1"/>
    </row>
    <row r="5610" spans="21:21" ht="26.4">
      <c r="U5610" s="85" ph="1"/>
    </row>
    <row r="5611" spans="21:21" ht="26.4">
      <c r="U5611" s="85" ph="1"/>
    </row>
    <row r="5612" spans="21:21" ht="26.4">
      <c r="U5612" s="85" ph="1"/>
    </row>
    <row r="5613" spans="21:21" ht="26.4">
      <c r="U5613" s="85" ph="1"/>
    </row>
    <row r="5614" spans="21:21" ht="26.4">
      <c r="U5614" s="85" ph="1"/>
    </row>
    <row r="5615" spans="21:21" ht="26.4">
      <c r="U5615" s="85" ph="1"/>
    </row>
    <row r="5616" spans="21:21" ht="26.4">
      <c r="U5616" s="85" ph="1"/>
    </row>
    <row r="5617" spans="21:21" ht="26.4">
      <c r="U5617" s="85" ph="1"/>
    </row>
    <row r="5618" spans="21:21" ht="26.4">
      <c r="U5618" s="85" ph="1"/>
    </row>
    <row r="5619" spans="21:21" ht="26.4">
      <c r="U5619" s="85" ph="1"/>
    </row>
    <row r="5620" spans="21:21" ht="26.4">
      <c r="U5620" s="85" ph="1"/>
    </row>
    <row r="5621" spans="21:21" ht="26.4">
      <c r="U5621" s="85" ph="1"/>
    </row>
    <row r="5622" spans="21:21" ht="26.4">
      <c r="U5622" s="85" ph="1"/>
    </row>
    <row r="5623" spans="21:21" ht="26.4">
      <c r="U5623" s="85" ph="1"/>
    </row>
    <row r="5624" spans="21:21" ht="26.4">
      <c r="U5624" s="85" ph="1"/>
    </row>
    <row r="5625" spans="21:21" ht="26.4">
      <c r="U5625" s="85" ph="1"/>
    </row>
    <row r="5626" spans="21:21" ht="26.4">
      <c r="U5626" s="85" ph="1"/>
    </row>
    <row r="5627" spans="21:21" ht="26.4">
      <c r="U5627" s="85" ph="1"/>
    </row>
    <row r="5628" spans="21:21" ht="26.4">
      <c r="U5628" s="85" ph="1"/>
    </row>
    <row r="5629" spans="21:21" ht="26.4">
      <c r="U5629" s="85" ph="1"/>
    </row>
    <row r="5630" spans="21:21" ht="26.4">
      <c r="U5630" s="85" ph="1"/>
    </row>
    <row r="5631" spans="21:21" ht="26.4">
      <c r="U5631" s="85" ph="1"/>
    </row>
    <row r="5632" spans="21:21" ht="26.4">
      <c r="U5632" s="85" ph="1"/>
    </row>
    <row r="5633" spans="21:21" ht="26.4">
      <c r="U5633" s="85" ph="1"/>
    </row>
    <row r="5634" spans="21:21" ht="26.4">
      <c r="U5634" s="85" ph="1"/>
    </row>
    <row r="5635" spans="21:21" ht="26.4">
      <c r="U5635" s="85" ph="1"/>
    </row>
    <row r="5636" spans="21:21" ht="26.4">
      <c r="U5636" s="85" ph="1"/>
    </row>
    <row r="5637" spans="21:21" ht="26.4">
      <c r="U5637" s="85" ph="1"/>
    </row>
    <row r="5638" spans="21:21" ht="26.4">
      <c r="U5638" s="85" ph="1"/>
    </row>
    <row r="5639" spans="21:21" ht="26.4">
      <c r="U5639" s="85" ph="1"/>
    </row>
    <row r="5640" spans="21:21" ht="26.4">
      <c r="U5640" s="85" ph="1"/>
    </row>
    <row r="5641" spans="21:21" ht="26.4">
      <c r="U5641" s="85" ph="1"/>
    </row>
    <row r="5642" spans="21:21" ht="26.4">
      <c r="U5642" s="85" ph="1"/>
    </row>
    <row r="5643" spans="21:21" ht="26.4">
      <c r="U5643" s="85" ph="1"/>
    </row>
    <row r="5644" spans="21:21" ht="26.4">
      <c r="U5644" s="85" ph="1"/>
    </row>
    <row r="5645" spans="21:21" ht="26.4">
      <c r="U5645" s="85" ph="1"/>
    </row>
    <row r="5646" spans="21:21" ht="26.4">
      <c r="U5646" s="85" ph="1"/>
    </row>
    <row r="5647" spans="21:21" ht="26.4">
      <c r="U5647" s="85" ph="1"/>
    </row>
    <row r="5648" spans="21:21" ht="26.4">
      <c r="U5648" s="85" ph="1"/>
    </row>
    <row r="5649" spans="21:21" ht="26.4">
      <c r="U5649" s="85" ph="1"/>
    </row>
    <row r="5650" spans="21:21" ht="26.4">
      <c r="U5650" s="85" ph="1"/>
    </row>
    <row r="5651" spans="21:21" ht="26.4">
      <c r="U5651" s="85" ph="1"/>
    </row>
    <row r="5652" spans="21:21" ht="26.4">
      <c r="U5652" s="85" ph="1"/>
    </row>
    <row r="5653" spans="21:21" ht="26.4">
      <c r="U5653" s="85" ph="1"/>
    </row>
    <row r="5654" spans="21:21" ht="26.4">
      <c r="U5654" s="85" ph="1"/>
    </row>
    <row r="5655" spans="21:21" ht="26.4">
      <c r="U5655" s="85" ph="1"/>
    </row>
    <row r="5656" spans="21:21" ht="26.4">
      <c r="U5656" s="85" ph="1"/>
    </row>
    <row r="5657" spans="21:21" ht="26.4">
      <c r="U5657" s="85" ph="1"/>
    </row>
    <row r="5658" spans="21:21" ht="26.4">
      <c r="U5658" s="85" ph="1"/>
    </row>
    <row r="5659" spans="21:21" ht="26.4">
      <c r="U5659" s="85" ph="1"/>
    </row>
    <row r="5660" spans="21:21" ht="26.4">
      <c r="U5660" s="85" ph="1"/>
    </row>
    <row r="5661" spans="21:21" ht="26.4">
      <c r="U5661" s="85" ph="1"/>
    </row>
    <row r="5662" spans="21:21" ht="26.4">
      <c r="U5662" s="85" ph="1"/>
    </row>
    <row r="5663" spans="21:21" ht="26.4">
      <c r="U5663" s="85" ph="1"/>
    </row>
    <row r="5664" spans="21:21" ht="26.4">
      <c r="U5664" s="85" ph="1"/>
    </row>
    <row r="5665" spans="21:21" ht="26.4">
      <c r="U5665" s="85" ph="1"/>
    </row>
    <row r="5666" spans="21:21" ht="26.4">
      <c r="U5666" s="85" ph="1"/>
    </row>
    <row r="5667" spans="21:21" ht="26.4">
      <c r="U5667" s="85" ph="1"/>
    </row>
    <row r="5668" spans="21:21" ht="26.4">
      <c r="U5668" s="85" ph="1"/>
    </row>
    <row r="5669" spans="21:21" ht="26.4">
      <c r="U5669" s="85" ph="1"/>
    </row>
    <row r="5670" spans="21:21" ht="26.4">
      <c r="U5670" s="85" ph="1"/>
    </row>
    <row r="5671" spans="21:21" ht="26.4">
      <c r="U5671" s="85" ph="1"/>
    </row>
    <row r="5672" spans="21:21" ht="26.4">
      <c r="U5672" s="85" ph="1"/>
    </row>
    <row r="5673" spans="21:21" ht="26.4">
      <c r="U5673" s="85" ph="1"/>
    </row>
    <row r="5674" spans="21:21" ht="26.4">
      <c r="U5674" s="85" ph="1"/>
    </row>
    <row r="5675" spans="21:21" ht="26.4">
      <c r="U5675" s="85" ph="1"/>
    </row>
    <row r="5676" spans="21:21" ht="26.4">
      <c r="U5676" s="85" ph="1"/>
    </row>
    <row r="5677" spans="21:21" ht="26.4">
      <c r="U5677" s="85" ph="1"/>
    </row>
    <row r="5678" spans="21:21" ht="26.4">
      <c r="U5678" s="85" ph="1"/>
    </row>
    <row r="5679" spans="21:21" ht="26.4">
      <c r="U5679" s="85" ph="1"/>
    </row>
    <row r="5680" spans="21:21" ht="26.4">
      <c r="U5680" s="85" ph="1"/>
    </row>
    <row r="5681" spans="21:21" ht="26.4">
      <c r="U5681" s="85" ph="1"/>
    </row>
    <row r="5682" spans="21:21" ht="26.4">
      <c r="U5682" s="85" ph="1"/>
    </row>
    <row r="5683" spans="21:21" ht="26.4">
      <c r="U5683" s="85" ph="1"/>
    </row>
    <row r="5684" spans="21:21" ht="26.4">
      <c r="U5684" s="85" ph="1"/>
    </row>
    <row r="5685" spans="21:21" ht="26.4">
      <c r="U5685" s="85" ph="1"/>
    </row>
    <row r="5686" spans="21:21" ht="26.4">
      <c r="U5686" s="85" ph="1"/>
    </row>
    <row r="5687" spans="21:21" ht="26.4">
      <c r="U5687" s="85" ph="1"/>
    </row>
    <row r="5688" spans="21:21" ht="26.4">
      <c r="U5688" s="85" ph="1"/>
    </row>
    <row r="5689" spans="21:21" ht="26.4">
      <c r="U5689" s="85" ph="1"/>
    </row>
    <row r="5690" spans="21:21" ht="26.4">
      <c r="U5690" s="85" ph="1"/>
    </row>
    <row r="5691" spans="21:21" ht="26.4">
      <c r="U5691" s="85" ph="1"/>
    </row>
    <row r="5692" spans="21:21" ht="26.4">
      <c r="U5692" s="85" ph="1"/>
    </row>
    <row r="5693" spans="21:21" ht="26.4">
      <c r="U5693" s="85" ph="1"/>
    </row>
    <row r="5694" spans="21:21" ht="26.4">
      <c r="U5694" s="85" ph="1"/>
    </row>
    <row r="5695" spans="21:21" ht="26.4">
      <c r="U5695" s="85" ph="1"/>
    </row>
    <row r="5696" spans="21:21" ht="26.4">
      <c r="U5696" s="85" ph="1"/>
    </row>
    <row r="5697" spans="21:21" ht="26.4">
      <c r="U5697" s="85" ph="1"/>
    </row>
    <row r="5698" spans="21:21" ht="26.4">
      <c r="U5698" s="85" ph="1"/>
    </row>
    <row r="5699" spans="21:21" ht="26.4">
      <c r="U5699" s="85" ph="1"/>
    </row>
    <row r="5700" spans="21:21" ht="26.4">
      <c r="U5700" s="85" ph="1"/>
    </row>
    <row r="5701" spans="21:21" ht="26.4">
      <c r="U5701" s="85" ph="1"/>
    </row>
    <row r="5702" spans="21:21" ht="26.4">
      <c r="U5702" s="85" ph="1"/>
    </row>
    <row r="5703" spans="21:21" ht="26.4">
      <c r="U5703" s="85" ph="1"/>
    </row>
    <row r="5704" spans="21:21" ht="26.4">
      <c r="U5704" s="85" ph="1"/>
    </row>
    <row r="5705" spans="21:21" ht="26.4">
      <c r="U5705" s="85" ph="1"/>
    </row>
    <row r="5706" spans="21:21" ht="26.4">
      <c r="U5706" s="85" ph="1"/>
    </row>
    <row r="5707" spans="21:21" ht="26.4">
      <c r="U5707" s="85" ph="1"/>
    </row>
    <row r="5708" spans="21:21" ht="26.4">
      <c r="U5708" s="85" ph="1"/>
    </row>
    <row r="5709" spans="21:21" ht="26.4">
      <c r="U5709" s="85" ph="1"/>
    </row>
    <row r="5710" spans="21:21" ht="26.4">
      <c r="U5710" s="85" ph="1"/>
    </row>
    <row r="5711" spans="21:21" ht="26.4">
      <c r="U5711" s="85" ph="1"/>
    </row>
    <row r="5712" spans="21:21" ht="26.4">
      <c r="U5712" s="85" ph="1"/>
    </row>
    <row r="5713" spans="21:21" ht="26.4">
      <c r="U5713" s="85" ph="1"/>
    </row>
    <row r="5714" spans="21:21" ht="26.4">
      <c r="U5714" s="85" ph="1"/>
    </row>
    <row r="5715" spans="21:21" ht="26.4">
      <c r="U5715" s="85" ph="1"/>
    </row>
    <row r="5716" spans="21:21" ht="26.4">
      <c r="U5716" s="85" ph="1"/>
    </row>
    <row r="5717" spans="21:21" ht="26.4">
      <c r="U5717" s="85" ph="1"/>
    </row>
    <row r="5718" spans="21:21" ht="26.4">
      <c r="U5718" s="85" ph="1"/>
    </row>
    <row r="5719" spans="21:21" ht="26.4">
      <c r="U5719" s="85" ph="1"/>
    </row>
    <row r="5720" spans="21:21" ht="26.4">
      <c r="U5720" s="85" ph="1"/>
    </row>
    <row r="5721" spans="21:21" ht="26.4">
      <c r="U5721" s="85" ph="1"/>
    </row>
    <row r="5722" spans="21:21" ht="26.4">
      <c r="U5722" s="85" ph="1"/>
    </row>
    <row r="5723" spans="21:21" ht="26.4">
      <c r="U5723" s="85" ph="1"/>
    </row>
    <row r="5724" spans="21:21" ht="26.4">
      <c r="U5724" s="85" ph="1"/>
    </row>
    <row r="5725" spans="21:21" ht="26.4">
      <c r="U5725" s="85" ph="1"/>
    </row>
    <row r="5726" spans="21:21" ht="26.4">
      <c r="U5726" s="85" ph="1"/>
    </row>
    <row r="5727" spans="21:21" ht="26.4">
      <c r="U5727" s="85" ph="1"/>
    </row>
    <row r="5728" spans="21:21" ht="26.4">
      <c r="U5728" s="85" ph="1"/>
    </row>
    <row r="5729" spans="21:21" ht="26.4">
      <c r="U5729" s="85" ph="1"/>
    </row>
    <row r="5730" spans="21:21" ht="26.4">
      <c r="U5730" s="85" ph="1"/>
    </row>
    <row r="5731" spans="21:21" ht="26.4">
      <c r="U5731" s="85" ph="1"/>
    </row>
    <row r="5732" spans="21:21" ht="26.4">
      <c r="U5732" s="85" ph="1"/>
    </row>
    <row r="5733" spans="21:21" ht="26.4">
      <c r="U5733" s="85" ph="1"/>
    </row>
    <row r="5734" spans="21:21" ht="26.4">
      <c r="U5734" s="85" ph="1"/>
    </row>
    <row r="5735" spans="21:21" ht="26.4">
      <c r="U5735" s="85" ph="1"/>
    </row>
    <row r="5736" spans="21:21" ht="26.4">
      <c r="U5736" s="85" ph="1"/>
    </row>
    <row r="5737" spans="21:21" ht="26.4">
      <c r="U5737" s="85" ph="1"/>
    </row>
    <row r="5738" spans="21:21" ht="26.4">
      <c r="U5738" s="85" ph="1"/>
    </row>
    <row r="5739" spans="21:21" ht="26.4">
      <c r="U5739" s="85" ph="1"/>
    </row>
    <row r="5740" spans="21:21" ht="26.4">
      <c r="U5740" s="85" ph="1"/>
    </row>
    <row r="5741" spans="21:21" ht="26.4">
      <c r="U5741" s="85" ph="1"/>
    </row>
    <row r="5742" spans="21:21" ht="26.4">
      <c r="U5742" s="85" ph="1"/>
    </row>
    <row r="5743" spans="21:21" ht="26.4">
      <c r="U5743" s="85" ph="1"/>
    </row>
    <row r="5744" spans="21:21" ht="26.4">
      <c r="U5744" s="85" ph="1"/>
    </row>
    <row r="5745" spans="21:21" ht="26.4">
      <c r="U5745" s="85" ph="1"/>
    </row>
    <row r="5746" spans="21:21" ht="26.4">
      <c r="U5746" s="85" ph="1"/>
    </row>
    <row r="5747" spans="21:21" ht="26.4">
      <c r="U5747" s="85" ph="1"/>
    </row>
    <row r="5748" spans="21:21" ht="26.4">
      <c r="U5748" s="85" ph="1"/>
    </row>
    <row r="5749" spans="21:21" ht="26.4">
      <c r="U5749" s="85" ph="1"/>
    </row>
    <row r="5750" spans="21:21" ht="26.4">
      <c r="U5750" s="85" ph="1"/>
    </row>
    <row r="5751" spans="21:21" ht="26.4">
      <c r="U5751" s="85" ph="1"/>
    </row>
    <row r="5752" spans="21:21" ht="26.4">
      <c r="U5752" s="85" ph="1"/>
    </row>
    <row r="5753" spans="21:21" ht="26.4">
      <c r="U5753" s="85" ph="1"/>
    </row>
    <row r="5754" spans="21:21" ht="26.4">
      <c r="U5754" s="85" ph="1"/>
    </row>
    <row r="5755" spans="21:21" ht="26.4">
      <c r="U5755" s="85" ph="1"/>
    </row>
    <row r="5756" spans="21:21" ht="26.4">
      <c r="U5756" s="85" ph="1"/>
    </row>
    <row r="5757" spans="21:21" ht="26.4">
      <c r="U5757" s="85" ph="1"/>
    </row>
    <row r="5758" spans="21:21" ht="26.4">
      <c r="U5758" s="85" ph="1"/>
    </row>
    <row r="5759" spans="21:21" ht="26.4">
      <c r="U5759" s="85" ph="1"/>
    </row>
    <row r="5760" spans="21:21" ht="26.4">
      <c r="U5760" s="85" ph="1"/>
    </row>
    <row r="5761" spans="21:21" ht="26.4">
      <c r="U5761" s="85" ph="1"/>
    </row>
    <row r="5762" spans="21:21" ht="26.4">
      <c r="U5762" s="85" ph="1"/>
    </row>
    <row r="5763" spans="21:21" ht="26.4">
      <c r="U5763" s="85" ph="1"/>
    </row>
    <row r="5764" spans="21:21" ht="26.4">
      <c r="U5764" s="85" ph="1"/>
    </row>
    <row r="5765" spans="21:21" ht="26.4">
      <c r="U5765" s="85" ph="1"/>
    </row>
    <row r="5766" spans="21:21" ht="26.4">
      <c r="U5766" s="85" ph="1"/>
    </row>
    <row r="5767" spans="21:21" ht="26.4">
      <c r="U5767" s="85" ph="1"/>
    </row>
    <row r="5768" spans="21:21" ht="26.4">
      <c r="U5768" s="85" ph="1"/>
    </row>
    <row r="5769" spans="21:21" ht="26.4">
      <c r="U5769" s="85" ph="1"/>
    </row>
    <row r="5770" spans="21:21" ht="26.4">
      <c r="U5770" s="85" ph="1"/>
    </row>
    <row r="5771" spans="21:21" ht="26.4">
      <c r="U5771" s="85" ph="1"/>
    </row>
    <row r="5772" spans="21:21" ht="26.4">
      <c r="U5772" s="85" ph="1"/>
    </row>
    <row r="5773" spans="21:21" ht="26.4">
      <c r="U5773" s="85" ph="1"/>
    </row>
    <row r="5774" spans="21:21" ht="26.4">
      <c r="U5774" s="85" ph="1"/>
    </row>
    <row r="5775" spans="21:21" ht="26.4">
      <c r="U5775" s="85" ph="1"/>
    </row>
    <row r="5776" spans="21:21" ht="26.4">
      <c r="U5776" s="85" ph="1"/>
    </row>
    <row r="5777" spans="21:21" ht="26.4">
      <c r="U5777" s="85" ph="1"/>
    </row>
    <row r="5778" spans="21:21" ht="26.4">
      <c r="U5778" s="85" ph="1"/>
    </row>
    <row r="5779" spans="21:21" ht="26.4">
      <c r="U5779" s="85" ph="1"/>
    </row>
    <row r="5780" spans="21:21" ht="26.4">
      <c r="U5780" s="85" ph="1"/>
    </row>
    <row r="5781" spans="21:21" ht="26.4">
      <c r="U5781" s="85" ph="1"/>
    </row>
    <row r="5782" spans="21:21" ht="26.4">
      <c r="U5782" s="85" ph="1"/>
    </row>
    <row r="5783" spans="21:21" ht="26.4">
      <c r="U5783" s="85" ph="1"/>
    </row>
    <row r="5784" spans="21:21" ht="26.4">
      <c r="U5784" s="85" ph="1"/>
    </row>
    <row r="5785" spans="21:21" ht="26.4">
      <c r="U5785" s="85" ph="1"/>
    </row>
    <row r="5786" spans="21:21" ht="26.4">
      <c r="U5786" s="85" ph="1"/>
    </row>
    <row r="5787" spans="21:21" ht="26.4">
      <c r="U5787" s="85" ph="1"/>
    </row>
    <row r="5788" spans="21:21" ht="26.4">
      <c r="U5788" s="85" ph="1"/>
    </row>
    <row r="5789" spans="21:21" ht="26.4">
      <c r="U5789" s="85" ph="1"/>
    </row>
    <row r="5790" spans="21:21" ht="26.4">
      <c r="U5790" s="85" ph="1"/>
    </row>
    <row r="5791" spans="21:21" ht="26.4">
      <c r="U5791" s="85" ph="1"/>
    </row>
    <row r="5792" spans="21:21" ht="26.4">
      <c r="U5792" s="85" ph="1"/>
    </row>
    <row r="5793" spans="21:21" ht="26.4">
      <c r="U5793" s="85" ph="1"/>
    </row>
    <row r="5794" spans="21:21" ht="26.4">
      <c r="U5794" s="85" ph="1"/>
    </row>
    <row r="5795" spans="21:21" ht="26.4">
      <c r="U5795" s="85" ph="1"/>
    </row>
    <row r="5796" spans="21:21" ht="26.4">
      <c r="U5796" s="85" ph="1"/>
    </row>
    <row r="5797" spans="21:21" ht="26.4">
      <c r="U5797" s="85" ph="1"/>
    </row>
    <row r="5798" spans="21:21" ht="26.4">
      <c r="U5798" s="85" ph="1"/>
    </row>
    <row r="5799" spans="21:21" ht="26.4">
      <c r="U5799" s="85" ph="1"/>
    </row>
    <row r="5800" spans="21:21" ht="26.4">
      <c r="U5800" s="85" ph="1"/>
    </row>
    <row r="5801" spans="21:21" ht="26.4">
      <c r="U5801" s="85" ph="1"/>
    </row>
    <row r="5802" spans="21:21" ht="26.4">
      <c r="U5802" s="85" ph="1"/>
    </row>
    <row r="5803" spans="21:21" ht="26.4">
      <c r="U5803" s="85" ph="1"/>
    </row>
    <row r="5804" spans="21:21" ht="26.4">
      <c r="U5804" s="85" ph="1"/>
    </row>
    <row r="5805" spans="21:21" ht="26.4">
      <c r="U5805" s="85" ph="1"/>
    </row>
    <row r="5806" spans="21:21" ht="26.4">
      <c r="U5806" s="85" ph="1"/>
    </row>
    <row r="5807" spans="21:21" ht="26.4">
      <c r="U5807" s="85" ph="1"/>
    </row>
    <row r="5808" spans="21:21" ht="26.4">
      <c r="U5808" s="85" ph="1"/>
    </row>
    <row r="5809" spans="21:21" ht="26.4">
      <c r="U5809" s="85" ph="1"/>
    </row>
    <row r="5810" spans="21:21" ht="26.4">
      <c r="U5810" s="85" ph="1"/>
    </row>
    <row r="5811" spans="21:21" ht="26.4">
      <c r="U5811" s="85" ph="1"/>
    </row>
    <row r="5812" spans="21:21" ht="26.4">
      <c r="U5812" s="85" ph="1"/>
    </row>
    <row r="5813" spans="21:21" ht="26.4">
      <c r="U5813" s="85" ph="1"/>
    </row>
    <row r="5814" spans="21:21" ht="26.4">
      <c r="U5814" s="85" ph="1"/>
    </row>
    <row r="5815" spans="21:21" ht="26.4">
      <c r="U5815" s="85" ph="1"/>
    </row>
    <row r="5816" spans="21:21" ht="26.4">
      <c r="U5816" s="85" ph="1"/>
    </row>
    <row r="5817" spans="21:21" ht="26.4">
      <c r="U5817" s="85" ph="1"/>
    </row>
    <row r="5818" spans="21:21" ht="26.4">
      <c r="U5818" s="85" ph="1"/>
    </row>
    <row r="5819" spans="21:21" ht="26.4">
      <c r="U5819" s="85" ph="1"/>
    </row>
    <row r="5820" spans="21:21" ht="26.4">
      <c r="U5820" s="85" ph="1"/>
    </row>
    <row r="5821" spans="21:21" ht="26.4">
      <c r="U5821" s="85" ph="1"/>
    </row>
    <row r="5822" spans="21:21" ht="26.4">
      <c r="U5822" s="85" ph="1"/>
    </row>
    <row r="5823" spans="21:21" ht="26.4">
      <c r="U5823" s="85" ph="1"/>
    </row>
    <row r="5824" spans="21:21" ht="26.4">
      <c r="U5824" s="85" ph="1"/>
    </row>
    <row r="5825" spans="21:21" ht="26.4">
      <c r="U5825" s="85" ph="1"/>
    </row>
    <row r="5826" spans="21:21" ht="26.4">
      <c r="U5826" s="85" ph="1"/>
    </row>
    <row r="5827" spans="21:21" ht="26.4">
      <c r="U5827" s="85" ph="1"/>
    </row>
    <row r="5828" spans="21:21" ht="26.4">
      <c r="U5828" s="85" ph="1"/>
    </row>
    <row r="5829" spans="21:21" ht="26.4">
      <c r="U5829" s="85" ph="1"/>
    </row>
    <row r="5830" spans="21:21" ht="26.4">
      <c r="U5830" s="85" ph="1"/>
    </row>
    <row r="5831" spans="21:21" ht="26.4">
      <c r="U5831" s="85" ph="1"/>
    </row>
    <row r="5832" spans="21:21" ht="26.4">
      <c r="U5832" s="85" ph="1"/>
    </row>
    <row r="5833" spans="21:21" ht="26.4">
      <c r="U5833" s="85" ph="1"/>
    </row>
    <row r="5834" spans="21:21" ht="26.4">
      <c r="U5834" s="85" ph="1"/>
    </row>
    <row r="5835" spans="21:21" ht="26.4">
      <c r="U5835" s="85" ph="1"/>
    </row>
    <row r="5836" spans="21:21" ht="26.4">
      <c r="U5836" s="85" ph="1"/>
    </row>
    <row r="5837" spans="21:21" ht="26.4">
      <c r="U5837" s="85" ph="1"/>
    </row>
    <row r="5838" spans="21:21" ht="26.4">
      <c r="U5838" s="85" ph="1"/>
    </row>
    <row r="5839" spans="21:21" ht="26.4">
      <c r="U5839" s="85" ph="1"/>
    </row>
    <row r="5840" spans="21:21" ht="26.4">
      <c r="U5840" s="85" ph="1"/>
    </row>
    <row r="5841" spans="21:21" ht="26.4">
      <c r="U5841" s="85" ph="1"/>
    </row>
    <row r="5842" spans="21:21" ht="26.4">
      <c r="U5842" s="85" ph="1"/>
    </row>
    <row r="5843" spans="21:21" ht="26.4">
      <c r="U5843" s="85" ph="1"/>
    </row>
    <row r="5844" spans="21:21" ht="26.4">
      <c r="U5844" s="85" ph="1"/>
    </row>
    <row r="5845" spans="21:21" ht="26.4">
      <c r="U5845" s="85" ph="1"/>
    </row>
    <row r="5846" spans="21:21" ht="26.4">
      <c r="U5846" s="85" ph="1"/>
    </row>
    <row r="5847" spans="21:21" ht="26.4">
      <c r="U5847" s="85" ph="1"/>
    </row>
    <row r="5848" spans="21:21" ht="26.4">
      <c r="U5848" s="85" ph="1"/>
    </row>
    <row r="5849" spans="21:21" ht="26.4">
      <c r="U5849" s="85" ph="1"/>
    </row>
    <row r="5850" spans="21:21" ht="26.4">
      <c r="U5850" s="85" ph="1"/>
    </row>
    <row r="5851" spans="21:21" ht="26.4">
      <c r="U5851" s="85" ph="1"/>
    </row>
    <row r="5852" spans="21:21" ht="26.4">
      <c r="U5852" s="85" ph="1"/>
    </row>
    <row r="5853" spans="21:21" ht="26.4">
      <c r="U5853" s="85" ph="1"/>
    </row>
    <row r="5854" spans="21:21" ht="26.4">
      <c r="U5854" s="85" ph="1"/>
    </row>
    <row r="5855" spans="21:21" ht="26.4">
      <c r="U5855" s="85" ph="1"/>
    </row>
    <row r="5856" spans="21:21" ht="26.4">
      <c r="U5856" s="85" ph="1"/>
    </row>
    <row r="5857" spans="21:21" ht="26.4">
      <c r="U5857" s="85" ph="1"/>
    </row>
    <row r="5858" spans="21:21" ht="26.4">
      <c r="U5858" s="85" ph="1"/>
    </row>
    <row r="5859" spans="21:21" ht="26.4">
      <c r="U5859" s="85" ph="1"/>
    </row>
    <row r="5860" spans="21:21" ht="26.4">
      <c r="U5860" s="85" ph="1"/>
    </row>
    <row r="5861" spans="21:21" ht="26.4">
      <c r="U5861" s="85" ph="1"/>
    </row>
    <row r="5862" spans="21:21" ht="26.4">
      <c r="U5862" s="85" ph="1"/>
    </row>
    <row r="5863" spans="21:21" ht="26.4">
      <c r="U5863" s="85" ph="1"/>
    </row>
    <row r="5864" spans="21:21" ht="26.4">
      <c r="U5864" s="85" ph="1"/>
    </row>
    <row r="5865" spans="21:21" ht="26.4">
      <c r="U5865" s="85" ph="1"/>
    </row>
    <row r="5866" spans="21:21" ht="26.4">
      <c r="U5866" s="85" ph="1"/>
    </row>
    <row r="5867" spans="21:21" ht="26.4">
      <c r="U5867" s="85" ph="1"/>
    </row>
    <row r="5868" spans="21:21" ht="26.4">
      <c r="U5868" s="85" ph="1"/>
    </row>
    <row r="5869" spans="21:21" ht="26.4">
      <c r="U5869" s="85" ph="1"/>
    </row>
    <row r="5870" spans="21:21" ht="26.4">
      <c r="U5870" s="85" ph="1"/>
    </row>
    <row r="5871" spans="21:21" ht="26.4">
      <c r="U5871" s="85" ph="1"/>
    </row>
    <row r="5872" spans="21:21" ht="26.4">
      <c r="U5872" s="85" ph="1"/>
    </row>
    <row r="5873" spans="21:21" ht="26.4">
      <c r="U5873" s="85" ph="1"/>
    </row>
    <row r="5874" spans="21:21" ht="26.4">
      <c r="U5874" s="85" ph="1"/>
    </row>
    <row r="5875" spans="21:21" ht="26.4">
      <c r="U5875" s="85" ph="1"/>
    </row>
    <row r="5876" spans="21:21" ht="26.4">
      <c r="U5876" s="85" ph="1"/>
    </row>
    <row r="5877" spans="21:21" ht="26.4">
      <c r="U5877" s="85" ph="1"/>
    </row>
    <row r="5878" spans="21:21" ht="26.4">
      <c r="U5878" s="85" ph="1"/>
    </row>
    <row r="5879" spans="21:21" ht="26.4">
      <c r="U5879" s="85" ph="1"/>
    </row>
    <row r="5880" spans="21:21" ht="26.4">
      <c r="U5880" s="85" ph="1"/>
    </row>
    <row r="5881" spans="21:21" ht="26.4">
      <c r="U5881" s="85" ph="1"/>
    </row>
    <row r="5882" spans="21:21" ht="26.4">
      <c r="U5882" s="85" ph="1"/>
    </row>
    <row r="5883" spans="21:21" ht="26.4">
      <c r="U5883" s="85" ph="1"/>
    </row>
    <row r="5884" spans="21:21" ht="26.4">
      <c r="U5884" s="85" ph="1"/>
    </row>
    <row r="5885" spans="21:21" ht="26.4">
      <c r="U5885" s="85" ph="1"/>
    </row>
    <row r="5886" spans="21:21" ht="26.4">
      <c r="U5886" s="85" ph="1"/>
    </row>
    <row r="5887" spans="21:21" ht="26.4">
      <c r="U5887" s="85" ph="1"/>
    </row>
    <row r="5888" spans="21:21" ht="26.4">
      <c r="U5888" s="85" ph="1"/>
    </row>
    <row r="5889" spans="21:21" ht="26.4">
      <c r="U5889" s="85" ph="1"/>
    </row>
    <row r="5890" spans="21:21" ht="26.4">
      <c r="U5890" s="85" ph="1"/>
    </row>
    <row r="5891" spans="21:21" ht="26.4">
      <c r="U5891" s="85" ph="1"/>
    </row>
    <row r="5892" spans="21:21" ht="26.4">
      <c r="U5892" s="85" ph="1"/>
    </row>
    <row r="5893" spans="21:21" ht="26.4">
      <c r="U5893" s="85" ph="1"/>
    </row>
    <row r="5894" spans="21:21" ht="26.4">
      <c r="U5894" s="85" ph="1"/>
    </row>
    <row r="5895" spans="21:21" ht="26.4">
      <c r="U5895" s="85" ph="1"/>
    </row>
    <row r="5896" spans="21:21" ht="26.4">
      <c r="U5896" s="85" ph="1"/>
    </row>
    <row r="5897" spans="21:21" ht="26.4">
      <c r="U5897" s="85" ph="1"/>
    </row>
    <row r="5898" spans="21:21" ht="26.4">
      <c r="U5898" s="85" ph="1"/>
    </row>
    <row r="5899" spans="21:21" ht="26.4">
      <c r="U5899" s="85" ph="1"/>
    </row>
    <row r="5900" spans="21:21" ht="26.4">
      <c r="U5900" s="85" ph="1"/>
    </row>
    <row r="5901" spans="21:21" ht="26.4">
      <c r="U5901" s="85" ph="1"/>
    </row>
    <row r="5902" spans="21:21" ht="26.4">
      <c r="U5902" s="85" ph="1"/>
    </row>
    <row r="5903" spans="21:21" ht="26.4">
      <c r="U5903" s="85" ph="1"/>
    </row>
    <row r="5904" spans="21:21" ht="26.4">
      <c r="U5904" s="85" ph="1"/>
    </row>
    <row r="5905" spans="21:21" ht="26.4">
      <c r="U5905" s="85" ph="1"/>
    </row>
    <row r="5906" spans="21:21" ht="26.4">
      <c r="U5906" s="85" ph="1"/>
    </row>
    <row r="5907" spans="21:21" ht="26.4">
      <c r="U5907" s="85" ph="1"/>
    </row>
    <row r="5908" spans="21:21" ht="26.4">
      <c r="U5908" s="85" ph="1"/>
    </row>
    <row r="5909" spans="21:21" ht="26.4">
      <c r="U5909" s="85" ph="1"/>
    </row>
    <row r="5910" spans="21:21" ht="26.4">
      <c r="U5910" s="85" ph="1"/>
    </row>
    <row r="5911" spans="21:21" ht="26.4">
      <c r="U5911" s="85" ph="1"/>
    </row>
    <row r="5912" spans="21:21" ht="26.4">
      <c r="U5912" s="85" ph="1"/>
    </row>
    <row r="5913" spans="21:21" ht="26.4">
      <c r="U5913" s="85" ph="1"/>
    </row>
    <row r="5914" spans="21:21" ht="26.4">
      <c r="U5914" s="85" ph="1"/>
    </row>
    <row r="5915" spans="21:21" ht="26.4">
      <c r="U5915" s="85" ph="1"/>
    </row>
    <row r="5916" spans="21:21" ht="26.4">
      <c r="U5916" s="85" ph="1"/>
    </row>
    <row r="5917" spans="21:21" ht="26.4">
      <c r="U5917" s="85" ph="1"/>
    </row>
    <row r="5918" spans="21:21" ht="26.4">
      <c r="U5918" s="85" ph="1"/>
    </row>
    <row r="5919" spans="21:21" ht="26.4">
      <c r="U5919" s="85" ph="1"/>
    </row>
    <row r="5920" spans="21:21" ht="26.4">
      <c r="U5920" s="85" ph="1"/>
    </row>
    <row r="5921" spans="21:21" ht="26.4">
      <c r="U5921" s="85" ph="1"/>
    </row>
    <row r="5922" spans="21:21" ht="26.4">
      <c r="U5922" s="85" ph="1"/>
    </row>
    <row r="5923" spans="21:21" ht="26.4">
      <c r="U5923" s="85" ph="1"/>
    </row>
    <row r="5924" spans="21:21" ht="26.4">
      <c r="U5924" s="85" ph="1"/>
    </row>
    <row r="5925" spans="21:21" ht="26.4">
      <c r="U5925" s="85" ph="1"/>
    </row>
    <row r="5926" spans="21:21" ht="26.4">
      <c r="U5926" s="85" ph="1"/>
    </row>
    <row r="5927" spans="21:21" ht="26.4">
      <c r="U5927" s="85" ph="1"/>
    </row>
    <row r="5928" spans="21:21" ht="26.4">
      <c r="U5928" s="85" ph="1"/>
    </row>
    <row r="5929" spans="21:21" ht="26.4">
      <c r="U5929" s="85" ph="1"/>
    </row>
    <row r="5930" spans="21:21" ht="26.4">
      <c r="U5930" s="85" ph="1"/>
    </row>
    <row r="5931" spans="21:21" ht="26.4">
      <c r="U5931" s="85" ph="1"/>
    </row>
    <row r="5932" spans="21:21" ht="26.4">
      <c r="U5932" s="85" ph="1"/>
    </row>
    <row r="5933" spans="21:21" ht="26.4">
      <c r="U5933" s="85" ph="1"/>
    </row>
    <row r="5934" spans="21:21" ht="26.4">
      <c r="U5934" s="85" ph="1"/>
    </row>
    <row r="5935" spans="21:21" ht="26.4">
      <c r="U5935" s="85" ph="1"/>
    </row>
    <row r="5936" spans="21:21" ht="26.4">
      <c r="U5936" s="85" ph="1"/>
    </row>
    <row r="5937" spans="21:21" ht="26.4">
      <c r="U5937" s="85" ph="1"/>
    </row>
    <row r="5938" spans="21:21" ht="26.4">
      <c r="U5938" s="85" ph="1"/>
    </row>
    <row r="5939" spans="21:21" ht="26.4">
      <c r="U5939" s="85" ph="1"/>
    </row>
    <row r="5940" spans="21:21" ht="26.4">
      <c r="U5940" s="85" ph="1"/>
    </row>
    <row r="5941" spans="21:21" ht="26.4">
      <c r="U5941" s="85" ph="1"/>
    </row>
    <row r="5942" spans="21:21" ht="26.4">
      <c r="U5942" s="85" ph="1"/>
    </row>
    <row r="5943" spans="21:21" ht="26.4">
      <c r="U5943" s="85" ph="1"/>
    </row>
    <row r="5944" spans="21:21" ht="26.4">
      <c r="U5944" s="85" ph="1"/>
    </row>
    <row r="5945" spans="21:21" ht="26.4">
      <c r="U5945" s="85" ph="1"/>
    </row>
    <row r="5946" spans="21:21" ht="26.4">
      <c r="U5946" s="85" ph="1"/>
    </row>
    <row r="5947" spans="21:21" ht="26.4">
      <c r="U5947" s="85" ph="1"/>
    </row>
    <row r="5948" spans="21:21" ht="26.4">
      <c r="U5948" s="85" ph="1"/>
    </row>
    <row r="5949" spans="21:21" ht="26.4">
      <c r="U5949" s="85" ph="1"/>
    </row>
    <row r="5950" spans="21:21" ht="26.4">
      <c r="U5950" s="85" ph="1"/>
    </row>
    <row r="5951" spans="21:21" ht="26.4">
      <c r="U5951" s="85" ph="1"/>
    </row>
    <row r="5952" spans="21:21" ht="26.4">
      <c r="U5952" s="85" ph="1"/>
    </row>
    <row r="5953" spans="21:21" ht="26.4">
      <c r="U5953" s="85" ph="1"/>
    </row>
    <row r="5954" spans="21:21" ht="26.4">
      <c r="U5954" s="85" ph="1"/>
    </row>
    <row r="5955" spans="21:21" ht="26.4">
      <c r="U5955" s="85" ph="1"/>
    </row>
    <row r="5956" spans="21:21" ht="26.4">
      <c r="U5956" s="85" ph="1"/>
    </row>
    <row r="5957" spans="21:21" ht="26.4">
      <c r="U5957" s="85" ph="1"/>
    </row>
    <row r="5958" spans="21:21" ht="26.4">
      <c r="U5958" s="85" ph="1"/>
    </row>
    <row r="5959" spans="21:21" ht="26.4">
      <c r="U5959" s="85" ph="1"/>
    </row>
    <row r="5960" spans="21:21" ht="26.4">
      <c r="U5960" s="85" ph="1"/>
    </row>
    <row r="5961" spans="21:21" ht="26.4">
      <c r="U5961" s="85" ph="1"/>
    </row>
    <row r="5962" spans="21:21" ht="26.4">
      <c r="U5962" s="85" ph="1"/>
    </row>
    <row r="5963" spans="21:21" ht="26.4">
      <c r="U5963" s="85" ph="1"/>
    </row>
    <row r="5964" spans="21:21" ht="26.4">
      <c r="U5964" s="85" ph="1"/>
    </row>
    <row r="5965" spans="21:21" ht="26.4">
      <c r="U5965" s="85" ph="1"/>
    </row>
    <row r="5966" spans="21:21" ht="26.4">
      <c r="U5966" s="85" ph="1"/>
    </row>
    <row r="5967" spans="21:21" ht="26.4">
      <c r="U5967" s="85" ph="1"/>
    </row>
    <row r="5968" spans="21:21" ht="26.4">
      <c r="U5968" s="85" ph="1"/>
    </row>
    <row r="5969" spans="21:21" ht="26.4">
      <c r="U5969" s="85" ph="1"/>
    </row>
    <row r="5970" spans="21:21" ht="26.4">
      <c r="U5970" s="85" ph="1"/>
    </row>
    <row r="5971" spans="21:21" ht="26.4">
      <c r="U5971" s="85" ph="1"/>
    </row>
    <row r="5972" spans="21:21" ht="26.4">
      <c r="U5972" s="85" ph="1"/>
    </row>
    <row r="5973" spans="21:21" ht="26.4">
      <c r="U5973" s="85" ph="1"/>
    </row>
    <row r="5974" spans="21:21" ht="26.4">
      <c r="U5974" s="85" ph="1"/>
    </row>
    <row r="5975" spans="21:21" ht="26.4">
      <c r="U5975" s="85" ph="1"/>
    </row>
    <row r="5976" spans="21:21" ht="26.4">
      <c r="U5976" s="85" ph="1"/>
    </row>
    <row r="5977" spans="21:21" ht="26.4">
      <c r="U5977" s="85" ph="1"/>
    </row>
    <row r="5978" spans="21:21" ht="26.4">
      <c r="U5978" s="85" ph="1"/>
    </row>
    <row r="5979" spans="21:21" ht="26.4">
      <c r="U5979" s="85" ph="1"/>
    </row>
    <row r="5980" spans="21:21" ht="26.4">
      <c r="U5980" s="85" ph="1"/>
    </row>
    <row r="5981" spans="21:21" ht="26.4">
      <c r="U5981" s="85" ph="1"/>
    </row>
    <row r="5982" spans="21:21" ht="26.4">
      <c r="U5982" s="85" ph="1"/>
    </row>
    <row r="5983" spans="21:21" ht="26.4">
      <c r="U5983" s="85" ph="1"/>
    </row>
    <row r="5984" spans="21:21" ht="26.4">
      <c r="U5984" s="85" ph="1"/>
    </row>
    <row r="5985" spans="21:21" ht="26.4">
      <c r="U5985" s="85" ph="1"/>
    </row>
    <row r="5986" spans="21:21" ht="26.4">
      <c r="U5986" s="85" ph="1"/>
    </row>
    <row r="5987" spans="21:21" ht="26.4">
      <c r="U5987" s="85" ph="1"/>
    </row>
    <row r="5988" spans="21:21" ht="26.4">
      <c r="U5988" s="85" ph="1"/>
    </row>
    <row r="5989" spans="21:21" ht="26.4">
      <c r="U5989" s="85" ph="1"/>
    </row>
    <row r="5990" spans="21:21" ht="26.4">
      <c r="U5990" s="85" ph="1"/>
    </row>
    <row r="5991" spans="21:21" ht="26.4">
      <c r="U5991" s="85" ph="1"/>
    </row>
    <row r="5992" spans="21:21" ht="26.4">
      <c r="U5992" s="85" ph="1"/>
    </row>
    <row r="5993" spans="21:21" ht="26.4">
      <c r="U5993" s="85" ph="1"/>
    </row>
    <row r="5994" spans="21:21" ht="26.4">
      <c r="U5994" s="85" ph="1"/>
    </row>
    <row r="5995" spans="21:21" ht="26.4">
      <c r="U5995" s="85" ph="1"/>
    </row>
    <row r="5996" spans="21:21" ht="26.4">
      <c r="U5996" s="85" ph="1"/>
    </row>
    <row r="5997" spans="21:21" ht="26.4">
      <c r="U5997" s="85" ph="1"/>
    </row>
    <row r="5998" spans="21:21" ht="26.4">
      <c r="U5998" s="85" ph="1"/>
    </row>
    <row r="5999" spans="21:21" ht="26.4">
      <c r="U5999" s="85" ph="1"/>
    </row>
    <row r="6000" spans="21:21" ht="26.4">
      <c r="U6000" s="85" ph="1"/>
    </row>
    <row r="6001" spans="21:21" ht="26.4">
      <c r="U6001" s="85" ph="1"/>
    </row>
    <row r="6002" spans="21:21" ht="26.4">
      <c r="U6002" s="85" ph="1"/>
    </row>
    <row r="6003" spans="21:21" ht="26.4">
      <c r="U6003" s="85" ph="1"/>
    </row>
    <row r="6004" spans="21:21" ht="26.4">
      <c r="U6004" s="85" ph="1"/>
    </row>
    <row r="6005" spans="21:21" ht="26.4">
      <c r="U6005" s="85" ph="1"/>
    </row>
    <row r="6006" spans="21:21" ht="26.4">
      <c r="U6006" s="85" ph="1"/>
    </row>
    <row r="6007" spans="21:21" ht="26.4">
      <c r="U6007" s="85" ph="1"/>
    </row>
    <row r="6008" spans="21:21" ht="26.4">
      <c r="U6008" s="85" ph="1"/>
    </row>
    <row r="6009" spans="21:21" ht="26.4">
      <c r="U6009" s="85" ph="1"/>
    </row>
    <row r="6010" spans="21:21" ht="26.4">
      <c r="U6010" s="85" ph="1"/>
    </row>
    <row r="6011" spans="21:21" ht="26.4">
      <c r="U6011" s="85" ph="1"/>
    </row>
    <row r="6012" spans="21:21" ht="26.4">
      <c r="U6012" s="85" ph="1"/>
    </row>
    <row r="6013" spans="21:21" ht="26.4">
      <c r="U6013" s="85" ph="1"/>
    </row>
    <row r="6014" spans="21:21" ht="26.4">
      <c r="U6014" s="85" ph="1"/>
    </row>
    <row r="6015" spans="21:21" ht="26.4">
      <c r="U6015" s="85" ph="1"/>
    </row>
    <row r="6016" spans="21:21" ht="26.4">
      <c r="U6016" s="85" ph="1"/>
    </row>
    <row r="6017" spans="21:21" ht="26.4">
      <c r="U6017" s="85" ph="1"/>
    </row>
    <row r="6018" spans="21:21" ht="26.4">
      <c r="U6018" s="85" ph="1"/>
    </row>
    <row r="6019" spans="21:21" ht="26.4">
      <c r="U6019" s="85" ph="1"/>
    </row>
    <row r="6020" spans="21:21" ht="26.4">
      <c r="U6020" s="85" ph="1"/>
    </row>
    <row r="6021" spans="21:21" ht="26.4">
      <c r="U6021" s="85" ph="1"/>
    </row>
    <row r="6022" spans="21:21" ht="26.4">
      <c r="U6022" s="85" ph="1"/>
    </row>
    <row r="6023" spans="21:21" ht="26.4">
      <c r="U6023" s="85" ph="1"/>
    </row>
    <row r="6024" spans="21:21" ht="26.4">
      <c r="U6024" s="85" ph="1"/>
    </row>
    <row r="6025" spans="21:21" ht="26.4">
      <c r="U6025" s="85" ph="1"/>
    </row>
    <row r="6026" spans="21:21" ht="26.4">
      <c r="U6026" s="85" ph="1"/>
    </row>
    <row r="6027" spans="21:21" ht="26.4">
      <c r="U6027" s="85" ph="1"/>
    </row>
    <row r="6028" spans="21:21" ht="26.4">
      <c r="U6028" s="85" ph="1"/>
    </row>
    <row r="6029" spans="21:21" ht="26.4">
      <c r="U6029" s="85" ph="1"/>
    </row>
    <row r="6030" spans="21:21" ht="26.4">
      <c r="U6030" s="85" ph="1"/>
    </row>
    <row r="6031" spans="21:21" ht="26.4">
      <c r="U6031" s="85" ph="1"/>
    </row>
    <row r="6032" spans="21:21" ht="26.4">
      <c r="U6032" s="85" ph="1"/>
    </row>
    <row r="6033" spans="21:21" ht="26.4">
      <c r="U6033" s="85" ph="1"/>
    </row>
    <row r="6034" spans="21:21" ht="26.4">
      <c r="U6034" s="85" ph="1"/>
    </row>
    <row r="6035" spans="21:21" ht="26.4">
      <c r="U6035" s="85" ph="1"/>
    </row>
    <row r="6036" spans="21:21" ht="26.4">
      <c r="U6036" s="85" ph="1"/>
    </row>
    <row r="6037" spans="21:21" ht="26.4">
      <c r="U6037" s="85" ph="1"/>
    </row>
    <row r="6038" spans="21:21" ht="26.4">
      <c r="U6038" s="85" ph="1"/>
    </row>
    <row r="6039" spans="21:21" ht="26.4">
      <c r="U6039" s="85" ph="1"/>
    </row>
    <row r="6040" spans="21:21" ht="26.4">
      <c r="U6040" s="85" ph="1"/>
    </row>
    <row r="6041" spans="21:21" ht="26.4">
      <c r="U6041" s="85" ph="1"/>
    </row>
    <row r="6042" spans="21:21" ht="26.4">
      <c r="U6042" s="85" ph="1"/>
    </row>
    <row r="6043" spans="21:21" ht="26.4">
      <c r="U6043" s="85" ph="1"/>
    </row>
    <row r="6044" spans="21:21" ht="26.4">
      <c r="U6044" s="85" ph="1"/>
    </row>
    <row r="6045" spans="21:21" ht="26.4">
      <c r="U6045" s="85" ph="1"/>
    </row>
    <row r="6046" spans="21:21" ht="26.4">
      <c r="U6046" s="85" ph="1"/>
    </row>
    <row r="6047" spans="21:21" ht="26.4">
      <c r="U6047" s="85" ph="1"/>
    </row>
    <row r="6048" spans="21:21" ht="26.4">
      <c r="U6048" s="85" ph="1"/>
    </row>
    <row r="6049" spans="21:21" ht="26.4">
      <c r="U6049" s="85" ph="1"/>
    </row>
    <row r="6050" spans="21:21" ht="26.4">
      <c r="U6050" s="85" ph="1"/>
    </row>
    <row r="6051" spans="21:21" ht="26.4">
      <c r="U6051" s="85" ph="1"/>
    </row>
    <row r="6052" spans="21:21" ht="26.4">
      <c r="U6052" s="85" ph="1"/>
    </row>
    <row r="6053" spans="21:21" ht="26.4">
      <c r="U6053" s="85" ph="1"/>
    </row>
    <row r="6054" spans="21:21" ht="26.4">
      <c r="U6054" s="85" ph="1"/>
    </row>
    <row r="6055" spans="21:21" ht="26.4">
      <c r="U6055" s="85" ph="1"/>
    </row>
    <row r="6056" spans="21:21" ht="26.4">
      <c r="U6056" s="85" ph="1"/>
    </row>
    <row r="6057" spans="21:21" ht="26.4">
      <c r="U6057" s="85" ph="1"/>
    </row>
    <row r="6058" spans="21:21" ht="26.4">
      <c r="U6058" s="85" ph="1"/>
    </row>
    <row r="6059" spans="21:21" ht="26.4">
      <c r="U6059" s="85" ph="1"/>
    </row>
    <row r="6060" spans="21:21" ht="26.4">
      <c r="U6060" s="85" ph="1"/>
    </row>
    <row r="6061" spans="21:21" ht="26.4">
      <c r="U6061" s="85" ph="1"/>
    </row>
    <row r="6062" spans="21:21" ht="26.4">
      <c r="U6062" s="85" ph="1"/>
    </row>
    <row r="6063" spans="21:21" ht="26.4">
      <c r="U6063" s="85" ph="1"/>
    </row>
    <row r="6064" spans="21:21" ht="26.4">
      <c r="U6064" s="85" ph="1"/>
    </row>
    <row r="6065" spans="21:21" ht="26.4">
      <c r="U6065" s="85" ph="1"/>
    </row>
    <row r="6066" spans="21:21" ht="26.4">
      <c r="U6066" s="85" ph="1"/>
    </row>
    <row r="6067" spans="21:21" ht="26.4">
      <c r="U6067" s="85" ph="1"/>
    </row>
    <row r="6068" spans="21:21" ht="26.4">
      <c r="U6068" s="85" ph="1"/>
    </row>
    <row r="6069" spans="21:21" ht="26.4">
      <c r="U6069" s="85" ph="1"/>
    </row>
    <row r="6070" spans="21:21" ht="26.4">
      <c r="U6070" s="85" ph="1"/>
    </row>
    <row r="6071" spans="21:21" ht="26.4">
      <c r="U6071" s="85" ph="1"/>
    </row>
    <row r="6072" spans="21:21" ht="26.4">
      <c r="U6072" s="85" ph="1"/>
    </row>
    <row r="6073" spans="21:21" ht="26.4">
      <c r="U6073" s="85" ph="1"/>
    </row>
    <row r="6074" spans="21:21" ht="26.4">
      <c r="U6074" s="85" ph="1"/>
    </row>
    <row r="6075" spans="21:21" ht="26.4">
      <c r="U6075" s="85" ph="1"/>
    </row>
    <row r="6076" spans="21:21" ht="26.4">
      <c r="U6076" s="85" ph="1"/>
    </row>
    <row r="6077" spans="21:21" ht="26.4">
      <c r="U6077" s="85" ph="1"/>
    </row>
    <row r="6078" spans="21:21" ht="26.4">
      <c r="U6078" s="85" ph="1"/>
    </row>
    <row r="6079" spans="21:21" ht="26.4">
      <c r="U6079" s="85" ph="1"/>
    </row>
    <row r="6080" spans="21:21" ht="26.4">
      <c r="U6080" s="85" ph="1"/>
    </row>
    <row r="6081" spans="21:21" ht="26.4">
      <c r="U6081" s="85" ph="1"/>
    </row>
    <row r="6082" spans="21:21" ht="26.4">
      <c r="U6082" s="85" ph="1"/>
    </row>
    <row r="6083" spans="21:21" ht="26.4">
      <c r="U6083" s="85" ph="1"/>
    </row>
    <row r="6084" spans="21:21" ht="26.4">
      <c r="U6084" s="85" ph="1"/>
    </row>
    <row r="6085" spans="21:21" ht="26.4">
      <c r="U6085" s="85" ph="1"/>
    </row>
    <row r="6086" spans="21:21" ht="26.4">
      <c r="U6086" s="85" ph="1"/>
    </row>
    <row r="6087" spans="21:21" ht="26.4">
      <c r="U6087" s="85" ph="1"/>
    </row>
    <row r="6088" spans="21:21" ht="26.4">
      <c r="U6088" s="85" ph="1"/>
    </row>
    <row r="6089" spans="21:21" ht="26.4">
      <c r="U6089" s="85" ph="1"/>
    </row>
    <row r="6090" spans="21:21" ht="26.4">
      <c r="U6090" s="85" ph="1"/>
    </row>
    <row r="6091" spans="21:21" ht="26.4">
      <c r="U6091" s="85" ph="1"/>
    </row>
    <row r="6092" spans="21:21" ht="26.4">
      <c r="U6092" s="85" ph="1"/>
    </row>
    <row r="6093" spans="21:21" ht="26.4">
      <c r="U6093" s="85" ph="1"/>
    </row>
    <row r="6094" spans="21:21" ht="26.4">
      <c r="U6094" s="85" ph="1"/>
    </row>
    <row r="6095" spans="21:21" ht="26.4">
      <c r="U6095" s="85" ph="1"/>
    </row>
    <row r="6096" spans="21:21" ht="26.4">
      <c r="U6096" s="85" ph="1"/>
    </row>
    <row r="6097" spans="21:21" ht="26.4">
      <c r="U6097" s="85" ph="1"/>
    </row>
    <row r="6098" spans="21:21" ht="26.4">
      <c r="U6098" s="85" ph="1"/>
    </row>
    <row r="6099" spans="21:21" ht="26.4">
      <c r="U6099" s="85" ph="1"/>
    </row>
    <row r="6100" spans="21:21" ht="26.4">
      <c r="U6100" s="85" ph="1"/>
    </row>
    <row r="6101" spans="21:21" ht="26.4">
      <c r="U6101" s="85" ph="1"/>
    </row>
    <row r="6102" spans="21:21" ht="26.4">
      <c r="U6102" s="85" ph="1"/>
    </row>
    <row r="6103" spans="21:21" ht="26.4">
      <c r="U6103" s="85" ph="1"/>
    </row>
    <row r="6104" spans="21:21" ht="26.4">
      <c r="U6104" s="85" ph="1"/>
    </row>
    <row r="6105" spans="21:21" ht="26.4">
      <c r="U6105" s="85" ph="1"/>
    </row>
    <row r="6106" spans="21:21" ht="26.4">
      <c r="U6106" s="85" ph="1"/>
    </row>
    <row r="6107" spans="21:21" ht="26.4">
      <c r="U6107" s="85" ph="1"/>
    </row>
    <row r="6108" spans="21:21" ht="26.4">
      <c r="U6108" s="85" ph="1"/>
    </row>
    <row r="6109" spans="21:21" ht="26.4">
      <c r="U6109" s="85" ph="1"/>
    </row>
    <row r="6110" spans="21:21" ht="26.4">
      <c r="U6110" s="85" ph="1"/>
    </row>
    <row r="6111" spans="21:21" ht="26.4">
      <c r="U6111" s="85" ph="1"/>
    </row>
    <row r="6112" spans="21:21" ht="26.4">
      <c r="U6112" s="85" ph="1"/>
    </row>
    <row r="6113" spans="21:21" ht="26.4">
      <c r="U6113" s="85" ph="1"/>
    </row>
    <row r="6114" spans="21:21" ht="26.4">
      <c r="U6114" s="85" ph="1"/>
    </row>
    <row r="6115" spans="21:21" ht="26.4">
      <c r="U6115" s="85" ph="1"/>
    </row>
    <row r="6116" spans="21:21" ht="26.4">
      <c r="U6116" s="85" ph="1"/>
    </row>
    <row r="6117" spans="21:21" ht="26.4">
      <c r="U6117" s="85" ph="1"/>
    </row>
    <row r="6118" spans="21:21" ht="26.4">
      <c r="U6118" s="85" ph="1"/>
    </row>
    <row r="6119" spans="21:21" ht="26.4">
      <c r="U6119" s="85" ph="1"/>
    </row>
    <row r="6120" spans="21:21" ht="26.4">
      <c r="U6120" s="85" ph="1"/>
    </row>
    <row r="6121" spans="21:21" ht="26.4">
      <c r="U6121" s="85" ph="1"/>
    </row>
    <row r="6122" spans="21:21" ht="26.4">
      <c r="U6122" s="85" ph="1"/>
    </row>
    <row r="6123" spans="21:21" ht="26.4">
      <c r="U6123" s="85" ph="1"/>
    </row>
    <row r="6124" spans="21:21" ht="26.4">
      <c r="U6124" s="85" ph="1"/>
    </row>
    <row r="6125" spans="21:21" ht="26.4">
      <c r="U6125" s="85" ph="1"/>
    </row>
    <row r="6126" spans="21:21" ht="26.4">
      <c r="U6126" s="85" ph="1"/>
    </row>
    <row r="6127" spans="21:21" ht="26.4">
      <c r="U6127" s="85" ph="1"/>
    </row>
    <row r="6128" spans="21:21" ht="26.4">
      <c r="U6128" s="85" ph="1"/>
    </row>
    <row r="6129" spans="21:21" ht="26.4">
      <c r="U6129" s="85" ph="1"/>
    </row>
  </sheetData>
  <phoneticPr fontId="1" type="noConversion"/>
  <conditionalFormatting sqref="H45 S1:S1048576 P1:Q1048576">
    <cfRule type="cellIs" dxfId="173" priority="147" operator="between">
      <formula>100</formula>
      <formula>1</formula>
    </cfRule>
  </conditionalFormatting>
  <conditionalFormatting sqref="R1:R1048576">
    <cfRule type="cellIs" dxfId="172" priority="146" operator="between">
      <formula>200</formula>
      <formula>1</formula>
    </cfRule>
  </conditionalFormatting>
  <conditionalFormatting sqref="T1:T1048576">
    <cfRule type="cellIs" dxfId="171" priority="127" operator="between">
      <formula>100</formula>
      <formula>1</formula>
    </cfRule>
  </conditionalFormatting>
  <conditionalFormatting sqref="B1:E1048576">
    <cfRule type="cellIs" dxfId="170" priority="123" operator="lessThan">
      <formula>0</formula>
    </cfRule>
  </conditionalFormatting>
  <conditionalFormatting sqref="F1:F1048576">
    <cfRule type="cellIs" dxfId="169" priority="122" operator="greaterThan">
      <formula>10</formula>
    </cfRule>
  </conditionalFormatting>
  <conditionalFormatting sqref="U1:U1048576">
    <cfRule type="cellIs" dxfId="168" priority="121" operator="greaterThanOrEqual">
      <formula>3</formula>
    </cfRule>
  </conditionalFormatting>
  <conditionalFormatting sqref="A5:A19 A26:A27">
    <cfRule type="expression" dxfId="167" priority="120">
      <formula>IF($F5&gt;10,$A5,"")</formula>
    </cfRule>
  </conditionalFormatting>
  <conditionalFormatting sqref="A28:A44">
    <cfRule type="expression" dxfId="166" priority="119">
      <formula>IF($F28&gt;10,$A28,"")</formula>
    </cfRule>
  </conditionalFormatting>
  <conditionalFormatting sqref="A47:A56">
    <cfRule type="expression" dxfId="165" priority="118">
      <formula>IF($F47&gt;10,$A47,"")</formula>
    </cfRule>
  </conditionalFormatting>
  <conditionalFormatting sqref="A59:A74">
    <cfRule type="expression" dxfId="164" priority="117">
      <formula>IF($F59&gt;10,$A59,"")</formula>
    </cfRule>
  </conditionalFormatting>
  <conditionalFormatting sqref="A77:A120">
    <cfRule type="expression" dxfId="163" priority="116">
      <formula>IF($F77&gt;10,$A77,"")</formula>
    </cfRule>
  </conditionalFormatting>
  <conditionalFormatting sqref="A123:A148">
    <cfRule type="expression" dxfId="162" priority="115">
      <formula>IF($F123&gt;10,$A123,"")</formula>
    </cfRule>
  </conditionalFormatting>
  <conditionalFormatting sqref="A151:A164">
    <cfRule type="expression" dxfId="161" priority="114">
      <formula>IF($F151&gt;10,$A151,"")</formula>
    </cfRule>
  </conditionalFormatting>
  <conditionalFormatting sqref="W3 W5:W19 W24:W27">
    <cfRule type="expression" dxfId="160" priority="113">
      <formula>IF($W3&lt;$U3,$W3,"")</formula>
    </cfRule>
  </conditionalFormatting>
  <conditionalFormatting sqref="W28:W44">
    <cfRule type="expression" dxfId="159" priority="112">
      <formula>IF($W28&lt;$U28,$W28,"")</formula>
    </cfRule>
  </conditionalFormatting>
  <conditionalFormatting sqref="W47:W56">
    <cfRule type="expression" dxfId="158" priority="111">
      <formula>IF($W47&lt;$U47,$W47,"")</formula>
    </cfRule>
  </conditionalFormatting>
  <conditionalFormatting sqref="W59:W74">
    <cfRule type="expression" dxfId="157" priority="110">
      <formula>IF($W59&lt;$U59,$W59,"")</formula>
    </cfRule>
  </conditionalFormatting>
  <conditionalFormatting sqref="W77:W120">
    <cfRule type="expression" dxfId="156" priority="109">
      <formula>IF($W77&lt;$U77,$W77,"")</formula>
    </cfRule>
  </conditionalFormatting>
  <conditionalFormatting sqref="W123:W148">
    <cfRule type="expression" dxfId="155" priority="108">
      <formula>IF($W123&lt;$U123,$W123,"")</formula>
    </cfRule>
  </conditionalFormatting>
  <conditionalFormatting sqref="W151:W164">
    <cfRule type="expression" dxfId="154" priority="107">
      <formula>IF($W151&lt;$U151,$W151,"")</formula>
    </cfRule>
  </conditionalFormatting>
  <conditionalFormatting sqref="W4">
    <cfRule type="expression" dxfId="153" priority="100">
      <formula>IF($W4&lt;$U4,$W4,"")</formula>
    </cfRule>
  </conditionalFormatting>
  <conditionalFormatting sqref="A3:A4 A24:A25">
    <cfRule type="expression" dxfId="152" priority="99">
      <formula>IF($F3&gt;0,$A3,"")</formula>
    </cfRule>
  </conditionalFormatting>
  <conditionalFormatting sqref="A4">
    <cfRule type="expression" dxfId="151" priority="93">
      <formula>IF($F4&gt;0,$A4,"")</formula>
    </cfRule>
  </conditionalFormatting>
  <conditionalFormatting sqref="W4">
    <cfRule type="expression" dxfId="150" priority="91">
      <formula>IF($W4&lt;$U4,$W4,"")</formula>
    </cfRule>
  </conditionalFormatting>
  <conditionalFormatting sqref="A4">
    <cfRule type="expression" dxfId="149" priority="85">
      <formula>IF($F4&gt;0,$A4,"")</formula>
    </cfRule>
  </conditionalFormatting>
  <conditionalFormatting sqref="W4">
    <cfRule type="expression" dxfId="148" priority="83">
      <formula>IF($W4&lt;$U4,$W4,"")</formula>
    </cfRule>
  </conditionalFormatting>
  <conditionalFormatting sqref="A4">
    <cfRule type="expression" dxfId="147" priority="77">
      <formula>IF($F4&gt;0,$A4,"")</formula>
    </cfRule>
  </conditionalFormatting>
  <conditionalFormatting sqref="W4">
    <cfRule type="expression" dxfId="146" priority="75">
      <formula>IF($W4&lt;$U4,$W4,"")</formula>
    </cfRule>
  </conditionalFormatting>
  <conditionalFormatting sqref="A4">
    <cfRule type="expression" dxfId="145" priority="60">
      <formula>IF($F4&gt;0,$A4,"")</formula>
    </cfRule>
  </conditionalFormatting>
  <conditionalFormatting sqref="W4">
    <cfRule type="expression" dxfId="144" priority="58">
      <formula>IF($W4&lt;$U4,$W4,"")</formula>
    </cfRule>
  </conditionalFormatting>
  <conditionalFormatting sqref="W4">
    <cfRule type="expression" dxfId="143" priority="51">
      <formula>IF($W4&lt;$U4,$W4,"")</formula>
    </cfRule>
  </conditionalFormatting>
  <conditionalFormatting sqref="A4">
    <cfRule type="expression" dxfId="142" priority="50">
      <formula>IF($F4&gt;0,$A4,"")</formula>
    </cfRule>
  </conditionalFormatting>
  <conditionalFormatting sqref="A4">
    <cfRule type="expression" dxfId="141" priority="44">
      <formula>IF($F4&gt;0,$A4,"")</formula>
    </cfRule>
  </conditionalFormatting>
  <conditionalFormatting sqref="W4">
    <cfRule type="expression" dxfId="140" priority="42">
      <formula>IF($W4&lt;$U4,$W4,"")</formula>
    </cfRule>
  </conditionalFormatting>
  <conditionalFormatting sqref="A4">
    <cfRule type="expression" dxfId="139" priority="36">
      <formula>IF($F4&gt;0,$A4,"")</formula>
    </cfRule>
  </conditionalFormatting>
  <conditionalFormatting sqref="W4">
    <cfRule type="expression" dxfId="138" priority="34">
      <formula>IF($W4&lt;$U4,$W4,"")</formula>
    </cfRule>
  </conditionalFormatting>
  <conditionalFormatting sqref="A4">
    <cfRule type="expression" dxfId="137" priority="28">
      <formula>IF($F4&gt;0,$A4,"")</formula>
    </cfRule>
  </conditionalFormatting>
  <conditionalFormatting sqref="W4">
    <cfRule type="expression" dxfId="136" priority="26">
      <formula>IF($W4&lt;$U4,$W4,"")</formula>
    </cfRule>
  </conditionalFormatting>
  <conditionalFormatting sqref="A4">
    <cfRule type="expression" dxfId="135" priority="11">
      <formula>IF($F4&gt;0,$A4,"")</formula>
    </cfRule>
  </conditionalFormatting>
  <conditionalFormatting sqref="W4">
    <cfRule type="expression" dxfId="134" priority="9">
      <formula>IF($W4&lt;$U4,$W4,"")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AN5452"/>
  <sheetViews>
    <sheetView topLeftCell="A10" workbookViewId="0">
      <selection activeCell="J2" sqref="J2"/>
    </sheetView>
  </sheetViews>
  <sheetFormatPr defaultRowHeight="16.2"/>
  <cols>
    <col min="1" max="1" width="7.75" style="142" customWidth="1"/>
    <col min="2" max="2" width="6.875" style="91" customWidth="1"/>
    <col min="3" max="3" width="6.25" style="91" customWidth="1"/>
    <col min="4" max="4" width="5.75" style="91" customWidth="1"/>
    <col min="5" max="5" width="6.375" style="91" customWidth="1"/>
    <col min="6" max="6" width="10.875" style="195" customWidth="1"/>
    <col min="7" max="7" width="6.75" style="19" customWidth="1"/>
    <col min="8" max="8" width="5.75" style="12" customWidth="1"/>
    <col min="9" max="9" width="8.75" style="9" customWidth="1"/>
    <col min="10" max="10" width="8.875" style="8" customWidth="1"/>
    <col min="11" max="11" width="5.75" style="5" customWidth="1"/>
    <col min="12" max="12" width="3.75" style="121" customWidth="1"/>
    <col min="13" max="13" width="3.75" style="234" customWidth="1"/>
    <col min="14" max="14" width="4.75" style="234" customWidth="1"/>
    <col min="15" max="15" width="2.75" style="245" customWidth="1"/>
    <col min="16" max="16" width="6.75" style="89" customWidth="1"/>
    <col min="17" max="17" width="6.75" style="73" customWidth="1"/>
    <col min="18" max="18" width="6.75" style="354" customWidth="1"/>
    <col min="19" max="19" width="5.75" style="26" customWidth="1"/>
    <col min="20" max="20" width="7.75" style="327" customWidth="1"/>
    <col min="21" max="21" width="7.75" style="85" customWidth="1"/>
    <col min="22" max="22" width="7.75" style="311" customWidth="1"/>
    <col min="23" max="23" width="7.75" style="215" customWidth="1"/>
    <col min="24" max="24" width="8.75" style="246" customWidth="1"/>
    <col min="25" max="25" width="8.75" style="69" customWidth="1"/>
    <col min="26" max="26" width="9.75" style="58" customWidth="1"/>
    <col min="27" max="27" width="8.75" style="11" customWidth="1"/>
    <col min="28" max="28" width="6.75" style="100" customWidth="1"/>
    <col min="29" max="29" width="6.75" style="382" customWidth="1"/>
    <col min="30" max="30" width="8.75" style="9" customWidth="1"/>
    <col min="31" max="31" width="11.75" style="84" customWidth="1"/>
    <col min="32" max="32" width="11.75" style="83" customWidth="1"/>
    <col min="33" max="33" width="3.75" style="78" customWidth="1"/>
    <col min="34" max="34" width="4.75" style="245" customWidth="1"/>
    <col min="35" max="35" width="8.75" style="9" customWidth="1"/>
    <col min="36" max="36" width="7.75" style="224" customWidth="1"/>
    <col min="37" max="37" width="8.75" style="7" customWidth="1"/>
    <col min="38" max="38" width="6.75" style="44" customWidth="1"/>
    <col min="39" max="39" width="6.75" style="279" customWidth="1"/>
    <col min="40" max="40" width="7.75" customWidth="1"/>
    <col min="41" max="41" width="2.75" customWidth="1"/>
  </cols>
  <sheetData>
    <row r="1" spans="1:40" s="245" customFormat="1">
      <c r="A1" s="347">
        <f>IFERROR(VLOOKUP($G1,基本資料!$A:$J,3,0),"無")</f>
        <v>2593</v>
      </c>
      <c r="B1" s="79">
        <f>IFERROR(VLOOKUP($G1,基本資料!$A:$J,4,0),"無")</f>
        <v>15</v>
      </c>
      <c r="C1" s="79">
        <f>IFERROR(VLOOKUP($G1,基本資料!$A:$J,5,0),"無")</f>
        <v>14</v>
      </c>
      <c r="D1" s="79">
        <f>IFERROR(VLOOKUP($G1,基本資料!$A:$J,6,0),"無")</f>
        <v>17</v>
      </c>
      <c r="E1" s="79">
        <f>IFERROR(VLOOKUP($G1,基本資料!$A:$J,7,0),"無")</f>
        <v>33</v>
      </c>
      <c r="F1" s="6">
        <f>IFERROR(VLOOKUP($G1,基本資料!$A:$J,8,0),"無")</f>
        <v>40.950000000000003</v>
      </c>
      <c r="G1" s="80">
        <v>2330</v>
      </c>
      <c r="H1" s="18" t="s">
        <v>3039</v>
      </c>
      <c r="I1" s="22" t="s">
        <v>8</v>
      </c>
      <c r="J1" s="8" t="str">
        <f>IFERROR(VLOOKUP($G1,今日總結!$A:$AJ,35,0),"")</f>
        <v/>
      </c>
      <c r="K1" s="5" t="str">
        <f>IFERROR(VLOOKUP($G1,今日總結!$A:$AJ,36,0),"")</f>
        <v/>
      </c>
      <c r="L1" s="156" t="str">
        <f>IFERROR(VLOOKUP($G1,今日總結!$A:$AJ,33,0),"")</f>
        <v/>
      </c>
      <c r="M1" s="340" t="str">
        <f>IFERROR(VLOOKUP($G1,今日總結!$A:$AJ,34,0),"")</f>
        <v/>
      </c>
      <c r="N1" s="240" t="str">
        <f>IFERROR(L1-M1,"")</f>
        <v/>
      </c>
      <c r="P1" s="365">
        <f>IFERROR(VLOOKUP($G1,融外自投!$A:$J,7,0),"無")</f>
        <v>1310</v>
      </c>
      <c r="Q1" s="79">
        <f>IFERROR(VLOOKUP($G1,融外自投!$A:$J,9,0),"無")</f>
        <v>270</v>
      </c>
      <c r="R1" s="346">
        <f>IFERROR(VLOOKUP($G1,融外自投!$A:$J,8,0),"無")</f>
        <v>20</v>
      </c>
      <c r="S1" s="81">
        <f>IFERROR(VLOOKUP($G1,融外自投!$A:$J,10,0),"無")</f>
        <v>169</v>
      </c>
      <c r="T1" s="327">
        <f>IFERROR(VLOOKUP($G1,'321買'!$A:$E,5,0),"'沒有資料'")</f>
        <v>52</v>
      </c>
      <c r="U1" s="186">
        <f>IFERROR(VLOOKUP($G1,基本資料!$A:$J,9,0),"無")</f>
        <v>11</v>
      </c>
      <c r="V1" s="310">
        <f>$U1/$X1</f>
        <v>2.1113243761996161E-2</v>
      </c>
      <c r="W1" s="94">
        <f>IFERROR(VLOOKUP($G1,基本資料!$A:$J,10,0),"無")</f>
        <v>23.01</v>
      </c>
      <c r="X1" s="36">
        <f>RTD("money.excel",,"2330","Price")</f>
        <v>521</v>
      </c>
      <c r="Y1" s="65">
        <v>538</v>
      </c>
      <c r="Z1" s="15">
        <f t="shared" ref="Z1:Z38" si="0">X1-Y1</f>
        <v>-17</v>
      </c>
      <c r="AA1" s="3">
        <f t="shared" ref="AA1:AA31" si="1">Z1/Y1</f>
        <v>-3.1598513011152414E-2</v>
      </c>
      <c r="AB1" s="344">
        <f>IFERROR(VLOOKUP($G1,基本資料!$A:$M,11,0),"無")</f>
        <v>-24.42</v>
      </c>
      <c r="AC1" s="397">
        <f>IFERROR(VLOOKUP($G1,基本資料!$A:$M,12,0),"無")</f>
        <v>8.3800000000000008</v>
      </c>
      <c r="AD1" s="22" t="s">
        <v>8</v>
      </c>
      <c r="AE1" s="84"/>
      <c r="AF1" s="83"/>
      <c r="AG1" s="33"/>
      <c r="AH1" s="43" t="s">
        <v>2556</v>
      </c>
      <c r="AI1" s="22" t="s">
        <v>8</v>
      </c>
      <c r="AJ1" s="63">
        <f t="shared" ref="AJ1:AJ40" si="2">AK1/(A1*10000)</f>
        <v>1.0431932124951794E-3</v>
      </c>
      <c r="AK1" s="284">
        <f>RTD("money.excel",,$G1,"PredictVolume")</f>
        <v>27050</v>
      </c>
      <c r="AL1" s="400">
        <f>IFERROR(VLOOKUP($G1,基本資料!$A:$M,13,0),"無")</f>
        <v>0.53</v>
      </c>
      <c r="AM1" s="275">
        <f>RTD("money.excel",,"2330","VolumeStrength")</f>
        <v>-34</v>
      </c>
      <c r="AN1" s="40">
        <f>RTD("money.excel",,"2330","ChangePercent")</f>
        <v>0.5791505791505791</v>
      </c>
    </row>
    <row r="2" spans="1:40" s="245" customFormat="1">
      <c r="A2" s="347">
        <f>IFERROR(VLOOKUP($G2,基本資料!$A:$J,3,0),"無")</f>
        <v>1386</v>
      </c>
      <c r="B2" s="79">
        <f>IFERROR(VLOOKUP($G2,基本資料!$A:$J,4,0),"無")</f>
        <v>34</v>
      </c>
      <c r="C2" s="79">
        <f>IFERROR(VLOOKUP($G2,基本資料!$A:$J,5,0),"無")</f>
        <v>34</v>
      </c>
      <c r="D2" s="79">
        <f>IFERROR(VLOOKUP($G2,基本資料!$A:$J,6,0),"無")</f>
        <v>-4</v>
      </c>
      <c r="E2" s="79">
        <f>IFERROR(VLOOKUP($G2,基本資料!$A:$J,7,0),"無")</f>
        <v>-2</v>
      </c>
      <c r="F2" s="6">
        <f>IFERROR(VLOOKUP($G2,基本資料!$A:$J,8,0),"無")</f>
        <v>2.4900000000000002</v>
      </c>
      <c r="G2" s="80">
        <v>2317</v>
      </c>
      <c r="H2" s="18" t="s">
        <v>314</v>
      </c>
      <c r="I2" s="22" t="s">
        <v>4</v>
      </c>
      <c r="J2" s="8" t="str">
        <f>IFERROR(VLOOKUP($G2,今日總結!$A:$AJ,35,0),"")</f>
        <v>外投主</v>
      </c>
      <c r="K2" s="5">
        <f>IFERROR(VLOOKUP($G2,今日總結!$A:$AJ,36,0),"")</f>
        <v>0</v>
      </c>
      <c r="L2" s="156">
        <f>IFERROR(VLOOKUP($G2,今日總結!$A:$AJ,33,0),"")</f>
        <v>3</v>
      </c>
      <c r="M2" s="340">
        <f>IFERROR(VLOOKUP($G2,今日總結!$A:$AJ,34,0),"")</f>
        <v>0</v>
      </c>
      <c r="N2" s="240">
        <f t="shared" ref="N2:N40" si="3">IFERROR(L2-M2,"")</f>
        <v>3</v>
      </c>
      <c r="O2" s="248"/>
      <c r="P2" s="365">
        <f>IFERROR(VLOOKUP($G2,融外自投!$A:$J,7,0),"無")</f>
        <v>1172</v>
      </c>
      <c r="Q2" s="79">
        <f>IFERROR(VLOOKUP($G2,融外自投!$A:$J,9,0),"無")</f>
        <v>337</v>
      </c>
      <c r="R2" s="346">
        <f>IFERROR(VLOOKUP($G2,融外自投!$A:$J,8,0),"無")</f>
        <v>93</v>
      </c>
      <c r="S2" s="81">
        <f>IFERROR(VLOOKUP($G2,融外自投!$A:$J,10,0),"無")</f>
        <v>163</v>
      </c>
      <c r="T2" s="327">
        <f>IFERROR(VLOOKUP($G2,'321買'!$A:$E,5,0),"'沒有資料'")</f>
        <v>188</v>
      </c>
      <c r="U2" s="186">
        <f>IFERROR(VLOOKUP($G2,基本資料!$A:$J,9,0),"無")</f>
        <v>5.2</v>
      </c>
      <c r="V2" s="310">
        <f>$U2/$X2</f>
        <v>5.0485436893203887E-2</v>
      </c>
      <c r="W2" s="94">
        <f>IFERROR(VLOOKUP($G2,基本資料!$A:$J,10,0),"無")</f>
        <v>10.050000000000001</v>
      </c>
      <c r="X2" s="36">
        <f>RTD("money.excel",,"2317","Price")</f>
        <v>103</v>
      </c>
      <c r="Y2" s="65">
        <v>102</v>
      </c>
      <c r="Z2" s="15">
        <f t="shared" si="0"/>
        <v>1</v>
      </c>
      <c r="AA2" s="3">
        <f t="shared" si="1"/>
        <v>9.8039215686274508E-3</v>
      </c>
      <c r="AB2" s="344">
        <f>IFERROR(VLOOKUP($G2,基本資料!$A:$M,11,0),"無")</f>
        <v>-13.33</v>
      </c>
      <c r="AC2" s="397">
        <f>IFERROR(VLOOKUP($G2,基本資料!$A:$M,12,0),"無")</f>
        <v>46.27</v>
      </c>
      <c r="AD2" s="22" t="s">
        <v>4</v>
      </c>
      <c r="AE2" s="84"/>
      <c r="AF2" s="83">
        <v>44690</v>
      </c>
      <c r="AG2" s="8" t="s">
        <v>6713</v>
      </c>
      <c r="AH2" s="43" t="s">
        <v>2562</v>
      </c>
      <c r="AI2" s="22" t="s">
        <v>4</v>
      </c>
      <c r="AJ2" s="63">
        <f t="shared" si="2"/>
        <v>1.4126262626262627E-3</v>
      </c>
      <c r="AK2" s="284">
        <f>RTD("money.excel",,$G2,"PredictVolume")</f>
        <v>19579</v>
      </c>
      <c r="AL2" s="400">
        <f>IFERROR(VLOOKUP($G2,基本資料!$A:$M,13,0),"無")</f>
        <v>1.0900000000000001</v>
      </c>
      <c r="AM2" s="275">
        <f>RTD("money.excel",,"2317","VolumeStrength")</f>
        <v>11</v>
      </c>
      <c r="AN2" s="40">
        <f>RTD("money.excel",,"2317","ChangePercent")</f>
        <v>-0.96153846153846156</v>
      </c>
    </row>
    <row r="3" spans="1:40" s="245" customFormat="1">
      <c r="A3" s="347">
        <f>IFERROR(VLOOKUP($G3,基本資料!$A:$J,3,0),"無")</f>
        <v>159</v>
      </c>
      <c r="B3" s="79">
        <f>IFERROR(VLOOKUP($G3,基本資料!$A:$J,4,0),"無")</f>
        <v>169</v>
      </c>
      <c r="C3" s="79">
        <f>IFERROR(VLOOKUP($G3,基本資料!$A:$J,5,0),"無")</f>
        <v>149</v>
      </c>
      <c r="D3" s="79">
        <f>IFERROR(VLOOKUP($G3,基本資料!$A:$J,6,0),"無")</f>
        <v>47</v>
      </c>
      <c r="E3" s="79">
        <f>IFERROR(VLOOKUP($G3,基本資料!$A:$J,7,0),"無")</f>
        <v>47</v>
      </c>
      <c r="F3" s="6">
        <f>IFERROR(VLOOKUP($G3,基本資料!$A:$J,8,0),"無")</f>
        <v>21.9</v>
      </c>
      <c r="G3" s="80">
        <v>2454</v>
      </c>
      <c r="H3" s="5" t="s">
        <v>3039</v>
      </c>
      <c r="I3" s="22" t="s">
        <v>1839</v>
      </c>
      <c r="J3" s="8" t="str">
        <f>IFERROR(VLOOKUP($G3,今日總結!$A:$AJ,35,0),"")</f>
        <v/>
      </c>
      <c r="K3" s="5" t="str">
        <f>IFERROR(VLOOKUP($G3,今日總結!$A:$AJ,36,0),"")</f>
        <v/>
      </c>
      <c r="L3" s="156" t="str">
        <f>IFERROR(VLOOKUP($G3,今日總結!$A:$AJ,33,0),"")</f>
        <v/>
      </c>
      <c r="M3" s="340" t="str">
        <f>IFERROR(VLOOKUP($G3,今日總結!$A:$AJ,34,0),"")</f>
        <v/>
      </c>
      <c r="N3" s="240" t="str">
        <f t="shared" si="3"/>
        <v/>
      </c>
      <c r="O3" s="248"/>
      <c r="P3" s="365">
        <f>IFERROR(VLOOKUP($G3,融外自投!$A:$J,7,0),"無")</f>
        <v>1090</v>
      </c>
      <c r="Q3" s="79">
        <f>IFERROR(VLOOKUP($G3,融外自投!$A:$J,9,0),"無")</f>
        <v>159</v>
      </c>
      <c r="R3" s="346">
        <f>IFERROR(VLOOKUP($G3,融外自投!$A:$J,8,0),"無")</f>
        <v>39</v>
      </c>
      <c r="S3" s="81">
        <f>IFERROR(VLOOKUP($G3,融外自投!$A:$J,10,0),"無")</f>
        <v>115</v>
      </c>
      <c r="T3" s="327">
        <f>IFERROR(VLOOKUP($G3,'321買'!$A:$E,5,0),"'沒有資料'")</f>
        <v>336</v>
      </c>
      <c r="U3" s="186">
        <f>IFERROR(VLOOKUP($G3,基本資料!$A:$J,9,0),"無")</f>
        <v>73</v>
      </c>
      <c r="V3" s="310">
        <f t="shared" ref="V3:V40" si="4">$U3/$X3</f>
        <v>8.805790108564536E-2</v>
      </c>
      <c r="W3" s="94">
        <f>IFERROR(VLOOKUP($G3,基本資料!$A:$J,10,0),"無")</f>
        <v>70.56</v>
      </c>
      <c r="X3" s="372">
        <f>RTD("money.excel",,"2454","Price")</f>
        <v>829</v>
      </c>
      <c r="Y3" s="66">
        <v>830</v>
      </c>
      <c r="Z3" s="15">
        <f t="shared" si="0"/>
        <v>-1</v>
      </c>
      <c r="AA3" s="3">
        <f t="shared" si="1"/>
        <v>-1.2048192771084338E-3</v>
      </c>
      <c r="AB3" s="344">
        <f>IFERROR(VLOOKUP($G3,基本資料!$A:$M,11,0),"無")</f>
        <v>-33.090000000000003</v>
      </c>
      <c r="AC3" s="397">
        <f>IFERROR(VLOOKUP($G3,基本資料!$A:$M,12,0),"無")</f>
        <v>10.6</v>
      </c>
      <c r="AD3" s="22" t="s">
        <v>1839</v>
      </c>
      <c r="AE3" s="84"/>
      <c r="AF3" s="83"/>
      <c r="AG3" s="33"/>
      <c r="AH3" s="117" t="s">
        <v>1051</v>
      </c>
      <c r="AI3" s="22" t="s">
        <v>1839</v>
      </c>
      <c r="AJ3" s="63">
        <f t="shared" si="2"/>
        <v>2.3597484276729561E-3</v>
      </c>
      <c r="AK3" s="284">
        <f>RTD("money.excel",,$G3,"PredictVolume")</f>
        <v>3752</v>
      </c>
      <c r="AL3" s="400">
        <f>IFERROR(VLOOKUP($G3,基本資料!$A:$M,13,0),"無")</f>
        <v>1.99</v>
      </c>
      <c r="AM3" s="275">
        <f>RTD("money.excel",,"2454","VolumeStrength")</f>
        <v>-35</v>
      </c>
      <c r="AN3" s="40">
        <f>RTD("money.excel",,"2454","ChangePercent")</f>
        <v>1.0975609756097562</v>
      </c>
    </row>
    <row r="4" spans="1:40" s="245" customFormat="1">
      <c r="A4" s="347">
        <f>IFERROR(VLOOKUP($G4,基本資料!$A:$J,3,0),"無")</f>
        <v>1248</v>
      </c>
      <c r="B4" s="79">
        <f>IFERROR(VLOOKUP($G4,基本資料!$A:$J,4,0),"無")</f>
        <v>102</v>
      </c>
      <c r="C4" s="79">
        <f>IFERROR(VLOOKUP($G4,基本資料!$A:$J,5,0),"無")</f>
        <v>134</v>
      </c>
      <c r="D4" s="79">
        <f>IFERROR(VLOOKUP($G4,基本資料!$A:$J,6,0),"無")</f>
        <v>2</v>
      </c>
      <c r="E4" s="79">
        <f>IFERROR(VLOOKUP($G4,基本資料!$A:$J,7,0),"無")</f>
        <v>39</v>
      </c>
      <c r="F4" s="6">
        <f>IFERROR(VLOOKUP($G4,基本資料!$A:$J,8,0),"無")</f>
        <v>24.26</v>
      </c>
      <c r="G4" s="80">
        <v>2303</v>
      </c>
      <c r="H4" s="18" t="s">
        <v>3039</v>
      </c>
      <c r="I4" s="22" t="s">
        <v>1829</v>
      </c>
      <c r="J4" s="8" t="str">
        <f>IFERROR(VLOOKUP($G4,今日總結!$A:$AJ,35,0),"")</f>
        <v>外</v>
      </c>
      <c r="K4" s="5" t="str">
        <f>IFERROR(VLOOKUP($G4,今日總結!$A:$AJ,36,0),"")</f>
        <v>借</v>
      </c>
      <c r="L4" s="156">
        <f>IFERROR(VLOOKUP($G4,今日總結!$A:$AJ,33,0),"")</f>
        <v>1</v>
      </c>
      <c r="M4" s="340">
        <f>IFERROR(VLOOKUP($G4,今日總結!$A:$AJ,34,0),"")</f>
        <v>1</v>
      </c>
      <c r="N4" s="240">
        <f t="shared" si="3"/>
        <v>0</v>
      </c>
      <c r="O4" s="248"/>
      <c r="P4" s="365">
        <f>IFERROR(VLOOKUP($G4,融外自投!$A:$J,7,0),"無")</f>
        <v>705</v>
      </c>
      <c r="Q4" s="79">
        <f>IFERROR(VLOOKUP($G4,融外自投!$A:$J,9,0),"無")</f>
        <v>183</v>
      </c>
      <c r="R4" s="346">
        <f>IFERROR(VLOOKUP($G4,融外自投!$A:$J,8,0),"無")</f>
        <v>173</v>
      </c>
      <c r="S4" s="81">
        <f>IFERROR(VLOOKUP($G4,融外自投!$A:$J,10,0),"無")</f>
        <v>92</v>
      </c>
      <c r="T4" s="327">
        <f>IFERROR(VLOOKUP($G4,'321買'!$A:$E,5,0),"'沒有資料'")</f>
        <v>110</v>
      </c>
      <c r="U4" s="186">
        <f>IFERROR(VLOOKUP($G4,基本資料!$A:$J,9,0),"無")</f>
        <v>3</v>
      </c>
      <c r="V4" s="310">
        <f t="shared" si="4"/>
        <v>6.1664953751284689E-2</v>
      </c>
      <c r="W4" s="94">
        <f>IFERROR(VLOOKUP($G4,基本資料!$A:$J,10,0),"無")</f>
        <v>4.57</v>
      </c>
      <c r="X4" s="36">
        <f>RTD("money.excel",,"2303","Price")</f>
        <v>48.65</v>
      </c>
      <c r="Y4" s="66">
        <v>47.8</v>
      </c>
      <c r="Z4" s="15">
        <f t="shared" si="0"/>
        <v>0.85000000000000142</v>
      </c>
      <c r="AA4" s="3">
        <f t="shared" si="1"/>
        <v>1.778242677824271E-2</v>
      </c>
      <c r="AB4" s="344">
        <f>IFERROR(VLOOKUP($G4,基本資料!$A:$M,11,0),"無")</f>
        <v>-33.47</v>
      </c>
      <c r="AC4" s="397">
        <f>IFERROR(VLOOKUP($G4,基本資料!$A:$M,12,0),"無")</f>
        <v>33.08</v>
      </c>
      <c r="AD4" s="22" t="s">
        <v>1829</v>
      </c>
      <c r="AE4" s="84"/>
      <c r="AF4" s="83">
        <v>44690</v>
      </c>
      <c r="AG4" s="33"/>
      <c r="AH4" s="117" t="s">
        <v>2557</v>
      </c>
      <c r="AI4" s="22" t="s">
        <v>1829</v>
      </c>
      <c r="AJ4" s="63">
        <f t="shared" si="2"/>
        <v>6.2874999999999997E-3</v>
      </c>
      <c r="AK4" s="284">
        <f>RTD("money.excel",,$G4,"PredictVolume")</f>
        <v>78468</v>
      </c>
      <c r="AL4" s="400">
        <f>IFERROR(VLOOKUP($G4,基本資料!$A:$M,13,0),"無")</f>
        <v>5.53</v>
      </c>
      <c r="AM4" s="275">
        <f>RTD("money.excel",,"2303","VolumeStrength")</f>
        <v>-7</v>
      </c>
      <c r="AN4" s="40">
        <f>RTD("money.excel",,"2330","ChangePercent")</f>
        <v>0.5791505791505791</v>
      </c>
    </row>
    <row r="5" spans="1:40" s="245" customFormat="1">
      <c r="A5" s="347">
        <f>IFERROR(VLOOKUP($G5,基本資料!$A:$J,3,0),"無")</f>
        <v>259</v>
      </c>
      <c r="B5" s="79">
        <f>IFERROR(VLOOKUP($G5,基本資料!$A:$J,4,0),"無")</f>
        <v>4</v>
      </c>
      <c r="C5" s="79">
        <f>IFERROR(VLOOKUP($G5,基本資料!$A:$J,5,0),"無")</f>
        <v>0</v>
      </c>
      <c r="D5" s="79">
        <f>IFERROR(VLOOKUP($G5,基本資料!$A:$J,6,0),"無")</f>
        <v>-11</v>
      </c>
      <c r="E5" s="79">
        <f>IFERROR(VLOOKUP($G5,基本資料!$A:$J,7,0),"無")</f>
        <v>3</v>
      </c>
      <c r="F5" s="6">
        <f>IFERROR(VLOOKUP($G5,基本資料!$A:$J,8,0),"無")</f>
        <v>9.9700000000000006</v>
      </c>
      <c r="G5" s="80">
        <v>2308</v>
      </c>
      <c r="H5" s="5" t="s">
        <v>308</v>
      </c>
      <c r="I5" s="22" t="s">
        <v>4471</v>
      </c>
      <c r="J5" s="8">
        <f>IFERROR(VLOOKUP($G5,今日總結!$A:$AJ,35,0),"")</f>
        <v>0</v>
      </c>
      <c r="K5" s="5" t="str">
        <f>IFERROR(VLOOKUP($G5,今日總結!$A:$AJ,36,0),"")</f>
        <v>外</v>
      </c>
      <c r="L5" s="156">
        <f>IFERROR(VLOOKUP($G5,今日總結!$A:$AJ,33,0),"")</f>
        <v>0</v>
      </c>
      <c r="M5" s="340">
        <f>IFERROR(VLOOKUP($G5,今日總結!$A:$AJ,34,0),"")</f>
        <v>2</v>
      </c>
      <c r="N5" s="240">
        <f t="shared" si="3"/>
        <v>-2</v>
      </c>
      <c r="O5" s="248"/>
      <c r="P5" s="365">
        <f>IFERROR(VLOOKUP($G5,融外自投!$A:$J,7,0),"無")</f>
        <v>1323</v>
      </c>
      <c r="Q5" s="79">
        <f>IFERROR(VLOOKUP($G5,融外自投!$A:$J,9,0),"無")</f>
        <v>466</v>
      </c>
      <c r="R5" s="346">
        <f>IFERROR(VLOOKUP($G5,融外自投!$A:$J,8,0),"無")</f>
        <v>34</v>
      </c>
      <c r="S5" s="81">
        <f>IFERROR(VLOOKUP($G5,融外自投!$A:$J,10,0),"無")</f>
        <v>142</v>
      </c>
      <c r="T5" s="327">
        <f>IFERROR(VLOOKUP($G5,'321買'!$A:$E,5,0),"'沒有資料'")</f>
        <v>138</v>
      </c>
      <c r="U5" s="186">
        <f>IFERROR(VLOOKUP($G5,基本資料!$A:$J,9,0),"無")</f>
        <v>5.5</v>
      </c>
      <c r="V5" s="310">
        <f t="shared" si="4"/>
        <v>2.4608501118568233E-2</v>
      </c>
      <c r="W5" s="94">
        <f>IFERROR(VLOOKUP($G5,基本資料!$A:$J,10,0),"無")</f>
        <v>10.32</v>
      </c>
      <c r="X5" s="36">
        <f>RTD("money.excel",,"2308","Price")</f>
        <v>223.5</v>
      </c>
      <c r="Y5" s="66">
        <v>250</v>
      </c>
      <c r="Z5" s="15">
        <f t="shared" si="0"/>
        <v>-26.5</v>
      </c>
      <c r="AA5" s="3">
        <f t="shared" si="1"/>
        <v>-0.106</v>
      </c>
      <c r="AB5" s="344">
        <f>IFERROR(VLOOKUP($G5,基本資料!$A:$M,11,0),"無")</f>
        <v>-31.34</v>
      </c>
      <c r="AC5" s="397">
        <f>IFERROR(VLOOKUP($G5,基本資料!$A:$M,12,0),"無")</f>
        <v>23.51</v>
      </c>
      <c r="AD5" s="22" t="s">
        <v>4471</v>
      </c>
      <c r="AE5" s="84"/>
      <c r="AF5" s="83"/>
      <c r="AG5" s="5" t="s">
        <v>6713</v>
      </c>
      <c r="AH5" s="119" t="s">
        <v>4472</v>
      </c>
      <c r="AI5" s="22" t="s">
        <v>4471</v>
      </c>
      <c r="AJ5" s="63">
        <f t="shared" si="2"/>
        <v>1.5953667953667954E-3</v>
      </c>
      <c r="AK5" s="284">
        <f>RTD("money.excel",,$G5,"PredictVolume")</f>
        <v>4132</v>
      </c>
      <c r="AL5" s="400">
        <f>IFERROR(VLOOKUP($G5,基本資料!$A:$M,13,0),"無")</f>
        <v>0.91</v>
      </c>
      <c r="AM5" s="275">
        <f>RTD("money.excel",,"2308","VolumeStrength")</f>
        <v>-23</v>
      </c>
      <c r="AN5" s="40">
        <f>RTD("money.excel",,"2308","ChangePercent")</f>
        <v>-1.3245033112582782</v>
      </c>
    </row>
    <row r="6" spans="1:40" s="245" customFormat="1">
      <c r="A6" s="347">
        <f>IFERROR(VLOOKUP($G6,基本資料!$A:$J,3,0),"無")</f>
        <v>435</v>
      </c>
      <c r="B6" s="79">
        <f>IFERROR(VLOOKUP($G6,基本資料!$A:$J,4,0),"無")</f>
        <v>125</v>
      </c>
      <c r="C6" s="79">
        <f>IFERROR(VLOOKUP($G6,基本資料!$A:$J,5,0),"無")</f>
        <v>78</v>
      </c>
      <c r="D6" s="79">
        <f>IFERROR(VLOOKUP($G6,基本資料!$A:$J,6,0),"無")</f>
        <v>18</v>
      </c>
      <c r="E6" s="79">
        <f>IFERROR(VLOOKUP($G6,基本資料!$A:$J,7,0),"無")</f>
        <v>23</v>
      </c>
      <c r="F6" s="6">
        <f>IFERROR(VLOOKUP($G6,基本資料!$A:$J,8,0),"無")</f>
        <v>10.9</v>
      </c>
      <c r="G6" s="80">
        <v>3711</v>
      </c>
      <c r="H6" s="5" t="s">
        <v>3039</v>
      </c>
      <c r="I6" s="22" t="s">
        <v>12</v>
      </c>
      <c r="J6" s="8" t="str">
        <f>IFERROR(VLOOKUP($G6,今日總結!$A:$AJ,35,0),"")</f>
        <v/>
      </c>
      <c r="K6" s="5" t="str">
        <f>IFERROR(VLOOKUP($G6,今日總結!$A:$AJ,36,0),"")</f>
        <v/>
      </c>
      <c r="L6" s="156" t="str">
        <f>IFERROR(VLOOKUP($G6,今日總結!$A:$AJ,33,0),"")</f>
        <v/>
      </c>
      <c r="M6" s="340" t="str">
        <f>IFERROR(VLOOKUP($G6,今日總結!$A:$AJ,34,0),"")</f>
        <v/>
      </c>
      <c r="N6" s="240" t="str">
        <f t="shared" si="3"/>
        <v/>
      </c>
      <c r="O6" s="248"/>
      <c r="P6" s="365">
        <f>IFERROR(VLOOKUP($G6,融外自投!$A:$J,7,0),"無")</f>
        <v>1218</v>
      </c>
      <c r="Q6" s="79">
        <f>IFERROR(VLOOKUP($G6,融外自投!$A:$J,9,0),"無")</f>
        <v>492</v>
      </c>
      <c r="R6" s="346">
        <f>IFERROR(VLOOKUP($G6,融外自投!$A:$J,8,0),"無")</f>
        <v>16</v>
      </c>
      <c r="S6" s="81">
        <f>IFERROR(VLOOKUP($G6,融外自投!$A:$J,10,0),"無")</f>
        <v>153</v>
      </c>
      <c r="T6" s="327">
        <f>IFERROR(VLOOKUP($G6,'321買'!$A:$E,5,0),"'沒有資料'")</f>
        <v>122</v>
      </c>
      <c r="U6" s="186">
        <f>IFERROR(VLOOKUP($G6,基本資料!$A:$J,9,0),"無")</f>
        <v>7</v>
      </c>
      <c r="V6" s="310">
        <f t="shared" si="4"/>
        <v>7.2765072765072769E-2</v>
      </c>
      <c r="W6" s="94">
        <f>IFERROR(VLOOKUP($G6,基本資料!$A:$J,10,0),"無")</f>
        <v>14.84</v>
      </c>
      <c r="X6" s="36">
        <f>RTD("money.excel",,"3711","Price")</f>
        <v>96.2</v>
      </c>
      <c r="Y6" s="66">
        <v>95.6</v>
      </c>
      <c r="Z6" s="15">
        <f t="shared" si="0"/>
        <v>0.60000000000000853</v>
      </c>
      <c r="AA6" s="3">
        <f t="shared" si="1"/>
        <v>6.276150627615152E-3</v>
      </c>
      <c r="AB6" s="344">
        <f>IFERROR(VLOOKUP($G6,基本資料!$A:$M,11,0),"無")</f>
        <v>-29.51</v>
      </c>
      <c r="AC6" s="397">
        <f>IFERROR(VLOOKUP($G6,基本資料!$A:$M,12,0),"無")</f>
        <v>31.58</v>
      </c>
      <c r="AD6" s="22" t="s">
        <v>12</v>
      </c>
      <c r="AE6" s="84"/>
      <c r="AF6" s="83"/>
      <c r="AG6" s="33"/>
      <c r="AH6" s="117" t="s">
        <v>2390</v>
      </c>
      <c r="AI6" s="22" t="s">
        <v>12</v>
      </c>
      <c r="AJ6" s="63">
        <f t="shared" si="2"/>
        <v>1.4797701149425286E-3</v>
      </c>
      <c r="AK6" s="284">
        <f>RTD("money.excel",,$G6,"PredictVolume")</f>
        <v>6437</v>
      </c>
      <c r="AL6" s="400">
        <f>IFERROR(VLOOKUP($G6,基本資料!$A:$M,13,0),"無")</f>
        <v>1.1000000000000001</v>
      </c>
      <c r="AM6" s="275">
        <f>RTD("money.excel",,"3711","VolumeStrength")</f>
        <v>-14</v>
      </c>
      <c r="AN6" s="40">
        <f>RTD("money.excel",,"3711","ChangePercent")</f>
        <v>0.83857442348008382</v>
      </c>
    </row>
    <row r="7" spans="1:40" s="245" customFormat="1">
      <c r="A7" s="347">
        <f>IFERROR(VLOOKUP($G7,基本資料!$A:$J,3,0),"無")</f>
        <v>386</v>
      </c>
      <c r="B7" s="79">
        <f>IFERROR(VLOOKUP($G7,基本資料!$A:$J,4,0),"無")</f>
        <v>35</v>
      </c>
      <c r="C7" s="79">
        <f>IFERROR(VLOOKUP($G7,基本資料!$A:$J,5,0),"無")</f>
        <v>14</v>
      </c>
      <c r="D7" s="79">
        <f>IFERROR(VLOOKUP($G7,基本資料!$A:$J,6,0),"無")</f>
        <v>-39</v>
      </c>
      <c r="E7" s="79">
        <f>IFERROR(VLOOKUP($G7,基本資料!$A:$J,7,0),"無")</f>
        <v>-21</v>
      </c>
      <c r="F7" s="6">
        <f>IFERROR(VLOOKUP($G7,基本資料!$A:$J,8,0),"無")</f>
        <v>3.3</v>
      </c>
      <c r="G7" s="80">
        <v>2382</v>
      </c>
      <c r="H7" s="193" t="s">
        <v>1146</v>
      </c>
      <c r="I7" s="22" t="s">
        <v>208</v>
      </c>
      <c r="J7" s="8" t="str">
        <f>IFERROR(VLOOKUP($G7,今日總結!$A:$AJ,35,0),"")</f>
        <v>自投</v>
      </c>
      <c r="K7" s="5" t="str">
        <f>IFERROR(VLOOKUP($G7,今日總結!$A:$AJ,36,0),"")</f>
        <v>融外</v>
      </c>
      <c r="L7" s="156">
        <f>IFERROR(VLOOKUP($G7,今日總結!$A:$AJ,33,0),"")</f>
        <v>2</v>
      </c>
      <c r="M7" s="340">
        <f>IFERROR(VLOOKUP($G7,今日總結!$A:$AJ,34,0),"")</f>
        <v>2</v>
      </c>
      <c r="N7" s="240">
        <f t="shared" si="3"/>
        <v>0</v>
      </c>
      <c r="O7" s="248"/>
      <c r="P7" s="365">
        <f>IFERROR(VLOOKUP($G7,融外自投!$A:$J,7,0),"無")</f>
        <v>1363</v>
      </c>
      <c r="Q7" s="79">
        <f>IFERROR(VLOOKUP($G7,融外自投!$A:$J,9,0),"無")</f>
        <v>58</v>
      </c>
      <c r="R7" s="346">
        <f>IFERROR(VLOOKUP($G7,融外自投!$A:$J,8,0),"無")</f>
        <v>209</v>
      </c>
      <c r="S7" s="81">
        <f>IFERROR(VLOOKUP($G7,融外自投!$A:$J,10,0),"無")</f>
        <v>74</v>
      </c>
      <c r="T7" s="327">
        <f>IFERROR(VLOOKUP($G7,'321買'!$A:$E,5,0),"'沒有資料'")</f>
        <v>18</v>
      </c>
      <c r="U7" s="186">
        <f>IFERROR(VLOOKUP($G7,基本資料!$A:$J,9,0),"無")</f>
        <v>6.6</v>
      </c>
      <c r="V7" s="310">
        <f t="shared" si="4"/>
        <v>7.9518072289156624E-2</v>
      </c>
      <c r="W7" s="94">
        <f>IFERROR(VLOOKUP($G7,基本資料!$A:$J,10,0),"無")</f>
        <v>8.73</v>
      </c>
      <c r="X7" s="36">
        <f>RTD("money.excel",,"2382","Price")</f>
        <v>83</v>
      </c>
      <c r="Y7" s="66">
        <v>83.8</v>
      </c>
      <c r="Z7" s="15">
        <f t="shared" si="0"/>
        <v>-0.79999999999999716</v>
      </c>
      <c r="AA7" s="3">
        <f t="shared" si="1"/>
        <v>-9.5465393794749061E-3</v>
      </c>
      <c r="AB7" s="344">
        <f>IFERROR(VLOOKUP($G7,基本資料!$A:$M,11,0),"無")</f>
        <v>-11.56</v>
      </c>
      <c r="AC7" s="397">
        <f>IFERROR(VLOOKUP($G7,基本資料!$A:$M,12,0),"無")</f>
        <v>21.39</v>
      </c>
      <c r="AD7" s="22" t="s">
        <v>208</v>
      </c>
      <c r="AE7" s="84"/>
      <c r="AF7" s="83"/>
      <c r="AG7" s="33"/>
      <c r="AH7" s="117" t="s">
        <v>2716</v>
      </c>
      <c r="AI7" s="22" t="s">
        <v>208</v>
      </c>
      <c r="AJ7" s="63">
        <f t="shared" si="2"/>
        <v>1.5733160621761659E-3</v>
      </c>
      <c r="AK7" s="284">
        <f>RTD("money.excel",,$G7,"PredictVolume")</f>
        <v>6073</v>
      </c>
      <c r="AL7" s="400">
        <f>IFERROR(VLOOKUP($G7,基本資料!$A:$M,13,0),"無")</f>
        <v>0.98</v>
      </c>
      <c r="AM7" s="275">
        <f>RTD("money.excel",,"2382","VolumeStrength")</f>
        <v>-7</v>
      </c>
      <c r="AN7" s="40">
        <f>RTD("money.excel",,"2382","ChangePercent")</f>
        <v>-0.71770334928229662</v>
      </c>
    </row>
    <row r="8" spans="1:40" s="245" customFormat="1">
      <c r="A8" s="347">
        <f>IFERROR(VLOOKUP($G8,基本資料!$A:$J,3,0),"無")</f>
        <v>952</v>
      </c>
      <c r="B8" s="79">
        <f>IFERROR(VLOOKUP($G8,基本資料!$A:$J,4,0),"無")</f>
        <v>569</v>
      </c>
      <c r="C8" s="79">
        <f>IFERROR(VLOOKUP($G8,基本資料!$A:$J,5,0),"無")</f>
        <v>1892</v>
      </c>
      <c r="D8" s="79">
        <f>IFERROR(VLOOKUP($G8,基本資料!$A:$J,6,0),"無")</f>
        <v>-4</v>
      </c>
      <c r="E8" s="79">
        <f>IFERROR(VLOOKUP($G8,基本資料!$A:$J,7,0),"無")</f>
        <v>40</v>
      </c>
      <c r="F8" s="6">
        <f>IFERROR(VLOOKUP($G8,基本資料!$A:$J,8,0),"無")</f>
        <v>8.9</v>
      </c>
      <c r="G8" s="80">
        <v>6505</v>
      </c>
      <c r="H8" s="18" t="s">
        <v>312</v>
      </c>
      <c r="I8" s="22" t="s">
        <v>4671</v>
      </c>
      <c r="J8" s="8" t="str">
        <f>IFERROR(VLOOKUP($G8,今日總結!$A:$AJ,35,0),"")</f>
        <v/>
      </c>
      <c r="K8" s="5" t="str">
        <f>IFERROR(VLOOKUP($G8,今日總結!$A:$AJ,36,0),"")</f>
        <v/>
      </c>
      <c r="L8" s="156" t="str">
        <f>IFERROR(VLOOKUP($G8,今日總結!$A:$AJ,33,0),"")</f>
        <v/>
      </c>
      <c r="M8" s="340" t="str">
        <f>IFERROR(VLOOKUP($G8,今日總結!$A:$AJ,34,0),"")</f>
        <v/>
      </c>
      <c r="N8" s="240" t="str">
        <f t="shared" si="3"/>
        <v/>
      </c>
      <c r="P8" s="365">
        <f>IFERROR(VLOOKUP($G8,融外自投!$A:$J,7,0),"無")</f>
        <v>1439</v>
      </c>
      <c r="Q8" s="79">
        <f>IFERROR(VLOOKUP($G8,融外自投!$A:$J,9,0),"無")</f>
        <v>936</v>
      </c>
      <c r="R8" s="346">
        <f>IFERROR(VLOOKUP($G8,融外自投!$A:$J,8,0),"無")</f>
        <v>635</v>
      </c>
      <c r="S8" s="81">
        <f>IFERROR(VLOOKUP($G8,融外自投!$A:$J,10,0),"無")</f>
        <v>334</v>
      </c>
      <c r="T8" s="327">
        <f>IFERROR(VLOOKUP($G8,'321買'!$A:$E,5,0),"'沒有資料'")</f>
        <v>403</v>
      </c>
      <c r="U8" s="186">
        <f>IFERROR(VLOOKUP($G8,基本資料!$A:$J,9,0),"無")</f>
        <v>3.8</v>
      </c>
      <c r="V8" s="310">
        <f t="shared" si="4"/>
        <v>4.2128603104212854E-2</v>
      </c>
      <c r="W8" s="94">
        <f>IFERROR(VLOOKUP($G8,基本資料!$A:$J,10,0),"無")</f>
        <v>5.19</v>
      </c>
      <c r="X8" s="36">
        <f>RTD("money.excel",,"6505","Price")</f>
        <v>90.2</v>
      </c>
      <c r="Y8" s="65">
        <v>91.6</v>
      </c>
      <c r="Z8" s="15">
        <f t="shared" si="0"/>
        <v>-1.3999999999999915</v>
      </c>
      <c r="AA8" s="3">
        <f t="shared" si="1"/>
        <v>-1.5283842794759733E-2</v>
      </c>
      <c r="AB8" s="344">
        <f>IFERROR(VLOOKUP($G8,基本資料!$A:$M,11,0),"無")</f>
        <v>-23.06</v>
      </c>
      <c r="AC8" s="397">
        <f>IFERROR(VLOOKUP($G8,基本資料!$A:$M,12,0),"無")</f>
        <v>19.34</v>
      </c>
      <c r="AD8" s="22" t="s">
        <v>4671</v>
      </c>
      <c r="AE8" s="84"/>
      <c r="AF8" s="83"/>
      <c r="AG8" s="33"/>
      <c r="AH8" s="43" t="s">
        <v>2596</v>
      </c>
      <c r="AI8" s="22" t="s">
        <v>4671</v>
      </c>
      <c r="AJ8" s="63">
        <f t="shared" si="2"/>
        <v>1.9443277310924369E-4</v>
      </c>
      <c r="AK8" s="284">
        <f>RTD("money.excel",,$G8,"PredictVolume")</f>
        <v>1851</v>
      </c>
      <c r="AL8" s="400">
        <f>IFERROR(VLOOKUP($G8,基本資料!$A:$M,13,0),"無")</f>
        <v>0.26</v>
      </c>
      <c r="AM8" s="275">
        <f>RTD("money.excel",,"6505","VolumeStrength")</f>
        <v>12</v>
      </c>
      <c r="AN8" s="40">
        <f>RTD("money.excel",,"6505","ChangePercent")</f>
        <v>0.11098779134295228</v>
      </c>
    </row>
    <row r="9" spans="1:40" s="245" customFormat="1">
      <c r="A9" s="347">
        <f>IFERROR(VLOOKUP($G9,基本資料!$A:$J,3,0),"無")</f>
        <v>636</v>
      </c>
      <c r="B9" s="79">
        <f>IFERROR(VLOOKUP($G9,基本資料!$A:$J,4,0),"無")</f>
        <v>256</v>
      </c>
      <c r="C9" s="79">
        <f>IFERROR(VLOOKUP($G9,基本資料!$A:$J,5,0),"無")</f>
        <v>251</v>
      </c>
      <c r="D9" s="79">
        <f>IFERROR(VLOOKUP($G9,基本資料!$A:$J,6,0),"無")</f>
        <v>-5</v>
      </c>
      <c r="E9" s="79">
        <f>IFERROR(VLOOKUP($G9,基本資料!$A:$J,7,0),"無")</f>
        <v>3</v>
      </c>
      <c r="F9" s="6">
        <f>IFERROR(VLOOKUP($G9,基本資料!$A:$J,8,0),"無")</f>
        <v>21.99</v>
      </c>
      <c r="G9" s="80">
        <v>1301</v>
      </c>
      <c r="H9" s="18" t="s">
        <v>3329</v>
      </c>
      <c r="I9" s="22" t="s">
        <v>67</v>
      </c>
      <c r="J9" s="8" t="str">
        <f>IFERROR(VLOOKUP($G9,今日總結!$A:$AJ,35,0),"")</f>
        <v>投</v>
      </c>
      <c r="K9" s="5">
        <f>IFERROR(VLOOKUP($G9,今日總結!$A:$AJ,36,0),"")</f>
        <v>0</v>
      </c>
      <c r="L9" s="156">
        <f>IFERROR(VLOOKUP($G9,今日總結!$A:$AJ,33,0),"")</f>
        <v>1</v>
      </c>
      <c r="M9" s="340">
        <f>IFERROR(VLOOKUP($G9,今日總結!$A:$AJ,34,0),"")</f>
        <v>0</v>
      </c>
      <c r="N9" s="240">
        <f t="shared" si="3"/>
        <v>1</v>
      </c>
      <c r="P9" s="365">
        <f>IFERROR(VLOOKUP($G9,融外自投!$A:$J,7,0),"無")</f>
        <v>1420</v>
      </c>
      <c r="Q9" s="79">
        <f>IFERROR(VLOOKUP($G9,融外自投!$A:$J,9,0),"無")</f>
        <v>251</v>
      </c>
      <c r="R9" s="346">
        <f>IFERROR(VLOOKUP($G9,融外自投!$A:$J,8,0),"無")</f>
        <v>135</v>
      </c>
      <c r="S9" s="81">
        <f>IFERROR(VLOOKUP($G9,融外自投!$A:$J,10,0),"無")</f>
        <v>161</v>
      </c>
      <c r="T9" s="327">
        <f>IFERROR(VLOOKUP($G9,'321買'!$A:$E,5,0),"'沒有資料'")</f>
        <v>121</v>
      </c>
      <c r="U9" s="186">
        <f>IFERROR(VLOOKUP($G9,基本資料!$A:$J,9,0),"無")</f>
        <v>8.1999999999999993</v>
      </c>
      <c r="V9" s="310">
        <f t="shared" si="4"/>
        <v>8.039215686274509E-2</v>
      </c>
      <c r="W9" s="94">
        <f>IFERROR(VLOOKUP($G9,基本資料!$A:$J,10,0),"無")</f>
        <v>11.21</v>
      </c>
      <c r="X9" s="36">
        <f>RTD("money.excel",,$G9,"Price")</f>
        <v>102</v>
      </c>
      <c r="Y9" s="65">
        <v>105.5</v>
      </c>
      <c r="Z9" s="15">
        <f t="shared" si="0"/>
        <v>-3.5</v>
      </c>
      <c r="AA9" s="3">
        <f t="shared" si="1"/>
        <v>-3.3175355450236969E-2</v>
      </c>
      <c r="AB9" s="344">
        <f>IFERROR(VLOOKUP($G9,基本資料!$A:$M,11,0),"無")</f>
        <v>-14.46</v>
      </c>
      <c r="AC9" s="397">
        <f>IFERROR(VLOOKUP($G9,基本資料!$A:$M,12,0),"無")</f>
        <v>30.6</v>
      </c>
      <c r="AD9" s="22" t="s">
        <v>67</v>
      </c>
      <c r="AE9" s="84"/>
      <c r="AF9" s="83"/>
      <c r="AG9" s="33"/>
      <c r="AH9" s="43" t="s">
        <v>3531</v>
      </c>
      <c r="AI9" s="22" t="s">
        <v>67</v>
      </c>
      <c r="AJ9" s="63">
        <f t="shared" si="2"/>
        <v>9.6792452830188683E-4</v>
      </c>
      <c r="AK9" s="284">
        <f>RTD("money.excel",,$G9,"PredictVolume")</f>
        <v>6156</v>
      </c>
      <c r="AL9" s="400">
        <f>IFERROR(VLOOKUP($G9,基本資料!$A:$M,13,0),"無")</f>
        <v>0.7</v>
      </c>
      <c r="AM9" s="275">
        <f>RTD("money.excel",,"1301","VolumeStrength")</f>
        <v>-23</v>
      </c>
      <c r="AN9" s="40">
        <f>RTD("money.excel",,"1301","ChangePercent")</f>
        <v>-1.4492753623188406</v>
      </c>
    </row>
    <row r="10" spans="1:40" s="245" customFormat="1">
      <c r="A10" s="347">
        <f>IFERROR(VLOOKUP($G10,基本資料!$A:$J,3,0),"無")</f>
        <v>793</v>
      </c>
      <c r="B10" s="79">
        <f>IFERROR(VLOOKUP($G10,基本資料!$A:$J,4,0),"無")</f>
        <v>215</v>
      </c>
      <c r="C10" s="79">
        <f>IFERROR(VLOOKUP($G10,基本資料!$A:$J,5,0),"無")</f>
        <v>281</v>
      </c>
      <c r="D10" s="79">
        <f>IFERROR(VLOOKUP($G10,基本資料!$A:$J,6,0),"無")</f>
        <v>-19</v>
      </c>
      <c r="E10" s="79">
        <f>IFERROR(VLOOKUP($G10,基本資料!$A:$J,7,0),"無")</f>
        <v>-14</v>
      </c>
      <c r="F10" s="6">
        <f>IFERROR(VLOOKUP($G10,基本資料!$A:$J,8,0),"無")</f>
        <v>19.68</v>
      </c>
      <c r="G10" s="80">
        <v>1303</v>
      </c>
      <c r="H10" s="18" t="s">
        <v>3329</v>
      </c>
      <c r="I10" s="22" t="s">
        <v>1059</v>
      </c>
      <c r="J10" s="8" t="str">
        <f>IFERROR(VLOOKUP($G10,今日總結!$A:$AJ,35,0),"")</f>
        <v>投借</v>
      </c>
      <c r="K10" s="5">
        <f>IFERROR(VLOOKUP($G10,今日總結!$A:$AJ,36,0),"")</f>
        <v>0</v>
      </c>
      <c r="L10" s="156">
        <f>IFERROR(VLOOKUP($G10,今日總結!$A:$AJ,33,0),"")</f>
        <v>2</v>
      </c>
      <c r="M10" s="340">
        <f>IFERROR(VLOOKUP($G10,今日總結!$A:$AJ,34,0),"")</f>
        <v>1</v>
      </c>
      <c r="N10" s="240">
        <f t="shared" si="3"/>
        <v>1</v>
      </c>
      <c r="O10" s="4"/>
      <c r="P10" s="365">
        <f>IFERROR(VLOOKUP($G10,融外自投!$A:$J,7,0),"無")</f>
        <v>1428</v>
      </c>
      <c r="Q10" s="79">
        <f>IFERROR(VLOOKUP($G10,融外自投!$A:$J,9,0),"無")</f>
        <v>296</v>
      </c>
      <c r="R10" s="346">
        <f>IFERROR(VLOOKUP($G10,融外自投!$A:$J,8,0),"無")</f>
        <v>164</v>
      </c>
      <c r="S10" s="81">
        <f>IFERROR(VLOOKUP($G10,融外自投!$A:$J,10,0),"無")</f>
        <v>162</v>
      </c>
      <c r="T10" s="327">
        <f>IFERROR(VLOOKUP($G10,'321買'!$A:$E,5,0),"'沒有資料'")</f>
        <v>16</v>
      </c>
      <c r="U10" s="186">
        <f>IFERROR(VLOOKUP($G10,基本資料!$A:$J,9,0),"無")</f>
        <v>7.5</v>
      </c>
      <c r="V10" s="310">
        <f t="shared" si="4"/>
        <v>8.8862559241706149E-2</v>
      </c>
      <c r="W10" s="94">
        <f>IFERROR(VLOOKUP($G10,基本資料!$A:$J,10,0),"無")</f>
        <v>10.25</v>
      </c>
      <c r="X10" s="36">
        <f>RTD("money.excel",,$G10,"Price")</f>
        <v>84.4</v>
      </c>
      <c r="Y10" s="65">
        <v>86.7</v>
      </c>
      <c r="Z10" s="15">
        <f t="shared" si="0"/>
        <v>-2.2999999999999972</v>
      </c>
      <c r="AA10" s="3">
        <f t="shared" si="1"/>
        <v>-2.6528258362168364E-2</v>
      </c>
      <c r="AB10" s="344">
        <f>IFERROR(VLOOKUP($G10,基本資料!$A:$M,11,0),"無")</f>
        <v>-9.89</v>
      </c>
      <c r="AC10" s="397">
        <f>IFERROR(VLOOKUP($G10,基本資料!$A:$M,12,0),"無")</f>
        <v>23.56</v>
      </c>
      <c r="AD10" s="22" t="s">
        <v>1059</v>
      </c>
      <c r="AE10" s="84"/>
      <c r="AF10" s="83"/>
      <c r="AG10" s="5" t="s">
        <v>6713</v>
      </c>
      <c r="AH10" s="43" t="s">
        <v>2597</v>
      </c>
      <c r="AI10" s="22" t="s">
        <v>1059</v>
      </c>
      <c r="AJ10" s="63">
        <f t="shared" si="2"/>
        <v>9.5775535939470369E-4</v>
      </c>
      <c r="AK10" s="284">
        <f>RTD("money.excel",,$G10,"PredictVolume")</f>
        <v>7595</v>
      </c>
      <c r="AL10" s="400">
        <f>IFERROR(VLOOKUP($G10,基本資料!$A:$M,13,0),"無")</f>
        <v>0.32</v>
      </c>
      <c r="AM10" s="275">
        <f>RTD("money.excel",,"1303","VolumeStrength")</f>
        <v>-18</v>
      </c>
      <c r="AN10" s="40">
        <f>RTD("money.excel",,"1303","ChangePercent")</f>
        <v>0</v>
      </c>
    </row>
    <row r="11" spans="1:40" s="245" customFormat="1">
      <c r="A11" s="347">
        <f>IFERROR(VLOOKUP($G11,基本資料!$A:$J,3,0),"無")</f>
        <v>586</v>
      </c>
      <c r="B11" s="79">
        <f>IFERROR(VLOOKUP($G11,基本資料!$A:$J,4,0),"無")</f>
        <v>98</v>
      </c>
      <c r="C11" s="79">
        <f>IFERROR(VLOOKUP($G11,基本資料!$A:$J,5,0),"無")</f>
        <v>124</v>
      </c>
      <c r="D11" s="79">
        <f>IFERROR(VLOOKUP($G11,基本資料!$A:$J,6,0),"無")</f>
        <v>0</v>
      </c>
      <c r="E11" s="79">
        <f>IFERROR(VLOOKUP($G11,基本資料!$A:$J,7,0),"無")</f>
        <v>10</v>
      </c>
      <c r="F11" s="6">
        <f>IFERROR(VLOOKUP($G11,基本資料!$A:$J,8,0),"無")</f>
        <v>9.41</v>
      </c>
      <c r="G11" s="80">
        <v>1326</v>
      </c>
      <c r="H11" s="18" t="s">
        <v>3329</v>
      </c>
      <c r="I11" s="22" t="s">
        <v>3587</v>
      </c>
      <c r="J11" s="8" t="str">
        <f>IFERROR(VLOOKUP($G11,今日總結!$A:$AJ,35,0),"")</f>
        <v/>
      </c>
      <c r="K11" s="5" t="str">
        <f>IFERROR(VLOOKUP($G11,今日總結!$A:$AJ,36,0),"")</f>
        <v/>
      </c>
      <c r="L11" s="156" t="str">
        <f>IFERROR(VLOOKUP($G11,今日總結!$A:$AJ,33,0),"")</f>
        <v/>
      </c>
      <c r="M11" s="340" t="str">
        <f>IFERROR(VLOOKUP($G11,今日總結!$A:$AJ,34,0),"")</f>
        <v/>
      </c>
      <c r="N11" s="240" t="str">
        <f t="shared" si="3"/>
        <v/>
      </c>
      <c r="P11" s="365">
        <f>IFERROR(VLOOKUP($G11,融外自投!$A:$J,7,0),"無")</f>
        <v>1431</v>
      </c>
      <c r="Q11" s="79">
        <f>IFERROR(VLOOKUP($G11,融外自投!$A:$J,9,0),"無")</f>
        <v>279</v>
      </c>
      <c r="R11" s="346">
        <f>IFERROR(VLOOKUP($G11,融外自投!$A:$J,8,0),"無")</f>
        <v>145</v>
      </c>
      <c r="S11" s="81">
        <f>IFERROR(VLOOKUP($G11,融外自投!$A:$J,10,0),"無")</f>
        <v>196</v>
      </c>
      <c r="T11" s="327">
        <f>IFERROR(VLOOKUP($G11,'321買'!$A:$E,5,0),"'沒有資料'")</f>
        <v>68</v>
      </c>
      <c r="U11" s="186">
        <f>IFERROR(VLOOKUP($G11,基本資料!$A:$J,9,0),"無")</f>
        <v>4.8</v>
      </c>
      <c r="V11" s="310">
        <f t="shared" si="4"/>
        <v>6.1381074168797949E-2</v>
      </c>
      <c r="W11" s="94">
        <f>IFERROR(VLOOKUP($G11,基本資料!$A:$J,10,0),"無")</f>
        <v>6.56</v>
      </c>
      <c r="X11" s="36">
        <f>RTD("money.excel",,$G11,"Price")</f>
        <v>78.2</v>
      </c>
      <c r="Y11" s="65">
        <v>79.900000000000006</v>
      </c>
      <c r="Z11" s="15">
        <f t="shared" si="0"/>
        <v>-1.7000000000000028</v>
      </c>
      <c r="AA11" s="3">
        <f t="shared" si="1"/>
        <v>-2.1276595744680885E-2</v>
      </c>
      <c r="AB11" s="344">
        <f>IFERROR(VLOOKUP($G11,基本資料!$A:$M,11,0),"無")</f>
        <v>-10.99</v>
      </c>
      <c r="AC11" s="397">
        <f>IFERROR(VLOOKUP($G11,基本資料!$A:$M,12,0),"無")</f>
        <v>30.98</v>
      </c>
      <c r="AD11" s="22" t="s">
        <v>3587</v>
      </c>
      <c r="AE11" s="84"/>
      <c r="AF11" s="83"/>
      <c r="AG11" s="33"/>
      <c r="AH11" s="43" t="s">
        <v>3535</v>
      </c>
      <c r="AI11" s="22" t="s">
        <v>3587</v>
      </c>
      <c r="AJ11" s="63">
        <f t="shared" si="2"/>
        <v>5.5494880546075082E-4</v>
      </c>
      <c r="AK11" s="284">
        <f>RTD("money.excel",,$G11,"PredictVolume")</f>
        <v>3252</v>
      </c>
      <c r="AL11" s="400">
        <f>IFERROR(VLOOKUP($G11,基本資料!$A:$M,13,0),"無")</f>
        <v>0.32</v>
      </c>
      <c r="AM11" s="275">
        <f>RTD("money.excel",,"1326","VolumeStrength")</f>
        <v>-14</v>
      </c>
      <c r="AN11" s="40">
        <f>RTD("money.excel",,"1326","ChangePercent")</f>
        <v>-0.63532401524777637</v>
      </c>
    </row>
    <row r="12" spans="1:40" s="245" customFormat="1">
      <c r="A12" s="347">
        <f>IFERROR(VLOOKUP($G12,基本資料!$A:$J,3,0),"無")</f>
        <v>1180</v>
      </c>
      <c r="B12" s="79">
        <f>IFERROR(VLOOKUP($G12,基本資料!$A:$J,4,0),"無")</f>
        <v>61</v>
      </c>
      <c r="C12" s="79">
        <f>IFERROR(VLOOKUP($G12,基本資料!$A:$J,5,0),"無")</f>
        <v>0</v>
      </c>
      <c r="D12" s="79">
        <f>IFERROR(VLOOKUP($G12,基本資料!$A:$J,6,0),"無")</f>
        <v>14</v>
      </c>
      <c r="E12" s="79">
        <f>IFERROR(VLOOKUP($G12,基本資料!$A:$J,7,0),"無")</f>
        <v>-16</v>
      </c>
      <c r="F12" s="6">
        <f>IFERROR(VLOOKUP($G12,基本資料!$A:$J,8,0),"無")</f>
        <v>0</v>
      </c>
      <c r="G12" s="80">
        <v>2881</v>
      </c>
      <c r="H12" s="18" t="s">
        <v>4641</v>
      </c>
      <c r="I12" s="22" t="s">
        <v>68</v>
      </c>
      <c r="J12" s="8" t="str">
        <f>IFERROR(VLOOKUP($G12,今日總結!$A:$AJ,35,0),"")</f>
        <v>投</v>
      </c>
      <c r="K12" s="5">
        <f>IFERROR(VLOOKUP($G12,今日總結!$A:$AJ,36,0),"")</f>
        <v>0</v>
      </c>
      <c r="L12" s="156">
        <f>IFERROR(VLOOKUP($G12,今日總結!$A:$AJ,33,0),"")</f>
        <v>1</v>
      </c>
      <c r="M12" s="340">
        <f>IFERROR(VLOOKUP($G12,今日總結!$A:$AJ,34,0),"")</f>
        <v>0</v>
      </c>
      <c r="N12" s="240">
        <f t="shared" si="3"/>
        <v>1</v>
      </c>
      <c r="P12" s="365">
        <f>IFERROR(VLOOKUP($G12,融外自投!$A:$J,7,0),"無")</f>
        <v>1292</v>
      </c>
      <c r="Q12" s="79">
        <f>IFERROR(VLOOKUP($G12,融外自投!$A:$J,9,0),"無")</f>
        <v>485</v>
      </c>
      <c r="R12" s="346">
        <f>IFERROR(VLOOKUP($G12,融外自投!$A:$J,8,0),"無")</f>
        <v>278</v>
      </c>
      <c r="S12" s="81">
        <f>IFERROR(VLOOKUP($G12,融外自投!$A:$J,10,0),"無")</f>
        <v>184</v>
      </c>
      <c r="T12" s="327">
        <f>IFERROR(VLOOKUP($G12,'321買'!$A:$E,5,0),"'沒有資料'")</f>
        <v>117</v>
      </c>
      <c r="U12" s="186">
        <f>IFERROR(VLOOKUP($G12,基本資料!$A:$J,9,0),"無")</f>
        <v>4</v>
      </c>
      <c r="V12" s="310">
        <f t="shared" si="4"/>
        <v>6.0422960725075525E-2</v>
      </c>
      <c r="W12" s="94">
        <f>IFERROR(VLOOKUP($G12,基本資料!$A:$J,10,0),"無")</f>
        <v>12.49</v>
      </c>
      <c r="X12" s="36">
        <f>RTD("money.excel",,"2881","Price")</f>
        <v>66.2</v>
      </c>
      <c r="Y12" s="65">
        <v>74.400000000000006</v>
      </c>
      <c r="Z12" s="15">
        <f t="shared" si="0"/>
        <v>-8.2000000000000028</v>
      </c>
      <c r="AA12" s="3">
        <f t="shared" si="1"/>
        <v>-0.11021505376344089</v>
      </c>
      <c r="AB12" s="344">
        <f>IFERROR(VLOOKUP($G12,基本資料!$A:$M,11,0),"無")</f>
        <v>-20.89</v>
      </c>
      <c r="AC12" s="397">
        <f>IFERROR(VLOOKUP($G12,基本資料!$A:$M,12,0),"無")</f>
        <v>32.39</v>
      </c>
      <c r="AD12" s="22" t="s">
        <v>68</v>
      </c>
      <c r="AE12" s="84"/>
      <c r="AF12" s="83"/>
      <c r="AG12" s="33"/>
      <c r="AH12" s="43" t="s">
        <v>2599</v>
      </c>
      <c r="AI12" s="22" t="s">
        <v>68</v>
      </c>
      <c r="AJ12" s="63">
        <f t="shared" si="2"/>
        <v>2.5764406779661018E-3</v>
      </c>
      <c r="AK12" s="284">
        <f>RTD("money.excel",,$G12,"PredictVolume")</f>
        <v>30402</v>
      </c>
      <c r="AL12" s="400">
        <f>IFERROR(VLOOKUP($G12,基本資料!$A:$M,13,0),"無")</f>
        <v>1.2</v>
      </c>
      <c r="AM12" s="275">
        <f>RTD("money.excel",,"2881","VolumeStrength")</f>
        <v>-40</v>
      </c>
      <c r="AN12" s="40">
        <f>RTD("money.excel",,"2881","ChangePercent")</f>
        <v>-1.3412816691505216</v>
      </c>
    </row>
    <row r="13" spans="1:40" s="245" customFormat="1">
      <c r="A13" s="347">
        <f>IFERROR(VLOOKUP($G13,基本資料!$A:$J,3,0),"無")</f>
        <v>1316</v>
      </c>
      <c r="B13" s="79">
        <f>IFERROR(VLOOKUP($G13,基本資料!$A:$J,4,0),"無")</f>
        <v>85</v>
      </c>
      <c r="C13" s="79">
        <f>IFERROR(VLOOKUP($G13,基本資料!$A:$J,5,0),"無")</f>
        <v>0</v>
      </c>
      <c r="D13" s="79">
        <f>IFERROR(VLOOKUP($G13,基本資料!$A:$J,6,0),"無")</f>
        <v>42</v>
      </c>
      <c r="E13" s="79">
        <f>IFERROR(VLOOKUP($G13,基本資料!$A:$J,7,0),"無")</f>
        <v>-36</v>
      </c>
      <c r="F13" s="6">
        <f>IFERROR(VLOOKUP($G13,基本資料!$A:$J,8,0),"無")</f>
        <v>0</v>
      </c>
      <c r="G13" s="80">
        <v>2882</v>
      </c>
      <c r="H13" s="18" t="s">
        <v>4641</v>
      </c>
      <c r="I13" s="22" t="s">
        <v>9</v>
      </c>
      <c r="J13" s="8">
        <f>IFERROR(VLOOKUP($G13,今日總結!$A:$AJ,35,0),"")</f>
        <v>0</v>
      </c>
      <c r="K13" s="5" t="str">
        <f>IFERROR(VLOOKUP($G13,今日總結!$A:$AJ,36,0),"")</f>
        <v>借</v>
      </c>
      <c r="L13" s="156">
        <f>IFERROR(VLOOKUP($G13,今日總結!$A:$AJ,33,0),"")</f>
        <v>0</v>
      </c>
      <c r="M13" s="340">
        <f>IFERROR(VLOOKUP($G13,今日總結!$A:$AJ,34,0),"")</f>
        <v>1</v>
      </c>
      <c r="N13" s="240">
        <f t="shared" si="3"/>
        <v>-1</v>
      </c>
      <c r="P13" s="365">
        <f>IFERROR(VLOOKUP($G13,融外自投!$A:$J,7,0),"無")</f>
        <v>1310</v>
      </c>
      <c r="Q13" s="79">
        <f>IFERROR(VLOOKUP($G13,融外自投!$A:$J,9,0),"無")</f>
        <v>355</v>
      </c>
      <c r="R13" s="346">
        <f>IFERROR(VLOOKUP($G13,融外自投!$A:$J,8,0),"無")</f>
        <v>225</v>
      </c>
      <c r="S13" s="81">
        <f>IFERROR(VLOOKUP($G13,融外自投!$A:$J,10,0),"無")</f>
        <v>169</v>
      </c>
      <c r="T13" s="327">
        <f>IFERROR(VLOOKUP($G13,'321買'!$A:$E,5,0),"'沒有資料'")</f>
        <v>18</v>
      </c>
      <c r="U13" s="186">
        <f>IFERROR(VLOOKUP($G13,基本資料!$A:$J,9,0),"無")</f>
        <v>3.5</v>
      </c>
      <c r="V13" s="310">
        <f t="shared" si="4"/>
        <v>6.2277580071174371E-2</v>
      </c>
      <c r="W13" s="94">
        <f>IFERROR(VLOOKUP($G13,基本資料!$A:$J,10,0),"無")</f>
        <v>10.34</v>
      </c>
      <c r="X13" s="36">
        <f>RTD("money.excel",,"2882","Price")</f>
        <v>56.2</v>
      </c>
      <c r="Y13" s="65">
        <v>62.5</v>
      </c>
      <c r="Z13" s="15">
        <f t="shared" si="0"/>
        <v>-6.2999999999999972</v>
      </c>
      <c r="AA13" s="3">
        <f t="shared" si="1"/>
        <v>-0.10079999999999996</v>
      </c>
      <c r="AB13" s="344">
        <f>IFERROR(VLOOKUP($G13,基本資料!$A:$M,11,0),"無")</f>
        <v>-14.18</v>
      </c>
      <c r="AC13" s="397">
        <f>IFERROR(VLOOKUP($G13,基本資料!$A:$M,12,0),"無")</f>
        <v>40.450000000000003</v>
      </c>
      <c r="AD13" s="22" t="s">
        <v>9</v>
      </c>
      <c r="AE13" s="84"/>
      <c r="AF13" s="83">
        <v>44690</v>
      </c>
      <c r="AG13" s="33"/>
      <c r="AH13" s="43" t="s">
        <v>2598</v>
      </c>
      <c r="AI13" s="22" t="s">
        <v>9</v>
      </c>
      <c r="AJ13" s="63">
        <f t="shared" si="2"/>
        <v>2.8974924012158056E-3</v>
      </c>
      <c r="AK13" s="284">
        <f>RTD("money.excel",,$G13,"PredictVolume")</f>
        <v>38131</v>
      </c>
      <c r="AL13" s="400">
        <f>IFERROR(VLOOKUP($G13,基本資料!$A:$M,13,0),"無")</f>
        <v>1.08</v>
      </c>
      <c r="AM13" s="275">
        <f>RTD("money.excel",,"2882","VolumeStrength")</f>
        <v>0</v>
      </c>
      <c r="AN13" s="40">
        <f>RTD("money.excel",,"2882","ChangePercent")</f>
        <v>-3.103448275862069</v>
      </c>
    </row>
    <row r="14" spans="1:40" s="245" customFormat="1">
      <c r="A14" s="347">
        <f>IFERROR(VLOOKUP($G14,基本資料!$A:$J,3,0),"無")</f>
        <v>1949</v>
      </c>
      <c r="B14" s="79">
        <f>IFERROR(VLOOKUP($G14,基本資料!$A:$J,4,0),"無")</f>
        <v>26</v>
      </c>
      <c r="C14" s="79">
        <f>IFERROR(VLOOKUP($G14,基本資料!$A:$J,5,0),"無")</f>
        <v>0</v>
      </c>
      <c r="D14" s="79">
        <f>IFERROR(VLOOKUP($G14,基本資料!$A:$J,6,0),"無")</f>
        <v>-4</v>
      </c>
      <c r="E14" s="79">
        <f>IFERROR(VLOOKUP($G14,基本資料!$A:$J,7,0),"無")</f>
        <v>28</v>
      </c>
      <c r="F14" s="6">
        <f>IFERROR(VLOOKUP($G14,基本資料!$A:$J,8,0),"無")</f>
        <v>0</v>
      </c>
      <c r="G14" s="80">
        <v>2891</v>
      </c>
      <c r="H14" s="18" t="s">
        <v>4641</v>
      </c>
      <c r="I14" s="22" t="s">
        <v>4660</v>
      </c>
      <c r="J14" s="8" t="str">
        <f>IFERROR(VLOOKUP($G14,今日總結!$A:$AJ,35,0),"")</f>
        <v/>
      </c>
      <c r="K14" s="5" t="str">
        <f>IFERROR(VLOOKUP($G14,今日總結!$A:$AJ,36,0),"")</f>
        <v/>
      </c>
      <c r="L14" s="156" t="str">
        <f>IFERROR(VLOOKUP($G14,今日總結!$A:$AJ,33,0),"")</f>
        <v/>
      </c>
      <c r="M14" s="340" t="str">
        <f>IFERROR(VLOOKUP($G14,今日總結!$A:$AJ,34,0),"")</f>
        <v/>
      </c>
      <c r="N14" s="240" t="str">
        <f t="shared" si="3"/>
        <v/>
      </c>
      <c r="P14" s="365">
        <f>IFERROR(VLOOKUP($G14,融外自投!$A:$J,7,0),"無")</f>
        <v>1377</v>
      </c>
      <c r="Q14" s="79">
        <f>IFERROR(VLOOKUP($G14,融外自投!$A:$J,9,0),"無")</f>
        <v>614</v>
      </c>
      <c r="R14" s="346">
        <f>IFERROR(VLOOKUP($G14,融外自投!$A:$J,8,0),"無")</f>
        <v>103</v>
      </c>
      <c r="S14" s="81">
        <f>IFERROR(VLOOKUP($G14,融外自投!$A:$J,10,0),"無")</f>
        <v>133</v>
      </c>
      <c r="T14" s="327">
        <f>IFERROR(VLOOKUP($G14,'321買'!$A:$E,5,0),"'沒有資料'")</f>
        <v>20</v>
      </c>
      <c r="U14" s="186">
        <f>IFERROR(VLOOKUP($G14,基本資料!$A:$J,9,0),"無")</f>
        <v>1.25</v>
      </c>
      <c r="V14" s="310">
        <f t="shared" si="4"/>
        <v>4.6125461254612546E-2</v>
      </c>
      <c r="W14" s="94">
        <f>IFERROR(VLOOKUP($G14,基本資料!$A:$J,10,0),"無")</f>
        <v>2.73</v>
      </c>
      <c r="X14" s="36">
        <f>RTD("money.excel",,"2891","Price")</f>
        <v>27.1</v>
      </c>
      <c r="Y14" s="66">
        <v>29.25</v>
      </c>
      <c r="Z14" s="15">
        <f t="shared" si="0"/>
        <v>-2.1499999999999986</v>
      </c>
      <c r="AA14" s="3">
        <f t="shared" si="1"/>
        <v>-7.3504273504273451E-2</v>
      </c>
      <c r="AB14" s="344">
        <f>IFERROR(VLOOKUP($G14,基本資料!$A:$M,11,0),"無")</f>
        <v>-11.79</v>
      </c>
      <c r="AC14" s="397">
        <f>IFERROR(VLOOKUP($G14,基本資料!$A:$M,12,0),"無")</f>
        <v>48.84</v>
      </c>
      <c r="AD14" s="22" t="s">
        <v>4660</v>
      </c>
      <c r="AE14" s="84"/>
      <c r="AF14" s="83"/>
      <c r="AG14" s="33"/>
      <c r="AH14" s="117" t="s">
        <v>2620</v>
      </c>
      <c r="AI14" s="22" t="s">
        <v>4660</v>
      </c>
      <c r="AJ14" s="63">
        <f t="shared" si="2"/>
        <v>2.0627501282709081E-3</v>
      </c>
      <c r="AK14" s="284">
        <f>RTD("money.excel",,$G14,"PredictVolume")</f>
        <v>40203</v>
      </c>
      <c r="AL14" s="400">
        <f>IFERROR(VLOOKUP($G14,基本資料!$A:$M,13,0),"無")</f>
        <v>0.87</v>
      </c>
      <c r="AM14" s="275">
        <f>RTD("money.excel",,"2891","VolumeStrength")</f>
        <v>-30</v>
      </c>
      <c r="AN14" s="40">
        <f>RTD("money.excel",,"2891","ChangePercent")</f>
        <v>-1.633393829401089</v>
      </c>
    </row>
    <row r="15" spans="1:40" s="245" customFormat="1">
      <c r="A15" s="347">
        <f>IFERROR(VLOOKUP($G15,基本資料!$A:$J,3,0),"無")</f>
        <v>1359</v>
      </c>
      <c r="B15" s="79">
        <f>IFERROR(VLOOKUP($G15,基本資料!$A:$J,4,0),"無")</f>
        <v>2</v>
      </c>
      <c r="C15" s="79">
        <f>IFERROR(VLOOKUP($G15,基本資料!$A:$J,5,0),"無")</f>
        <v>0</v>
      </c>
      <c r="D15" s="79">
        <f>IFERROR(VLOOKUP($G15,基本資料!$A:$J,6,0),"無")</f>
        <v>-21</v>
      </c>
      <c r="E15" s="79">
        <f>IFERROR(VLOOKUP($G15,基本資料!$A:$J,7,0),"無")</f>
        <v>-25</v>
      </c>
      <c r="F15" s="6">
        <f>IFERROR(VLOOKUP($G15,基本資料!$A:$J,8,0),"無")</f>
        <v>0</v>
      </c>
      <c r="G15" s="80">
        <v>2886</v>
      </c>
      <c r="H15" s="18" t="s">
        <v>4641</v>
      </c>
      <c r="I15" s="22" t="s">
        <v>11</v>
      </c>
      <c r="J15" s="8" t="str">
        <f>IFERROR(VLOOKUP($G15,今日總結!$A:$AJ,35,0),"")</f>
        <v/>
      </c>
      <c r="K15" s="5" t="str">
        <f>IFERROR(VLOOKUP($G15,今日總結!$A:$AJ,36,0),"")</f>
        <v/>
      </c>
      <c r="L15" s="156" t="str">
        <f>IFERROR(VLOOKUP($G15,今日總結!$A:$AJ,33,0),"")</f>
        <v/>
      </c>
      <c r="M15" s="340" t="str">
        <f>IFERROR(VLOOKUP($G15,今日總結!$A:$AJ,34,0),"")</f>
        <v/>
      </c>
      <c r="N15" s="240" t="str">
        <f t="shared" si="3"/>
        <v/>
      </c>
      <c r="O15" s="248"/>
      <c r="P15" s="365">
        <f>IFERROR(VLOOKUP($G15,融外自投!$A:$J,7,0),"無")</f>
        <v>1424</v>
      </c>
      <c r="Q15" s="79">
        <f>IFERROR(VLOOKUP($G15,融外自投!$A:$J,9,0),"無")</f>
        <v>187</v>
      </c>
      <c r="R15" s="346">
        <f>IFERROR(VLOOKUP($G15,融外自投!$A:$J,8,0),"無")</f>
        <v>245</v>
      </c>
      <c r="S15" s="81">
        <f>IFERROR(VLOOKUP($G15,融外自投!$A:$J,10,0),"無")</f>
        <v>104</v>
      </c>
      <c r="T15" s="327">
        <f>IFERROR(VLOOKUP($G15,'321買'!$A:$E,5,0),"'沒有資料'")</f>
        <v>8</v>
      </c>
      <c r="U15" s="186">
        <f>IFERROR(VLOOKUP($G15,基本資料!$A:$J,9,0),"無")</f>
        <v>1.65</v>
      </c>
      <c r="V15" s="310">
        <f t="shared" si="4"/>
        <v>4.3024771838331158E-2</v>
      </c>
      <c r="W15" s="94">
        <f>IFERROR(VLOOKUP($G15,基本資料!$A:$J,10,0),"無")</f>
        <v>1.89</v>
      </c>
      <c r="X15" s="36">
        <f>RTD("money.excel",,"2886","Price")</f>
        <v>38.35</v>
      </c>
      <c r="Y15" s="66">
        <v>41.6</v>
      </c>
      <c r="Z15" s="15">
        <f t="shared" si="0"/>
        <v>-3.25</v>
      </c>
      <c r="AA15" s="3">
        <f t="shared" si="1"/>
        <v>-7.8125E-2</v>
      </c>
      <c r="AB15" s="344">
        <f>IFERROR(VLOOKUP($G15,基本資料!$A:$M,11,0),"無")</f>
        <v>-16.3</v>
      </c>
      <c r="AC15" s="397">
        <f>IFERROR(VLOOKUP($G15,基本資料!$A:$M,12,0),"無")</f>
        <v>35.96</v>
      </c>
      <c r="AD15" s="22" t="s">
        <v>11</v>
      </c>
      <c r="AE15" s="84"/>
      <c r="AF15" s="83"/>
      <c r="AG15" s="33"/>
      <c r="AH15" s="117" t="s">
        <v>2600</v>
      </c>
      <c r="AI15" s="22" t="s">
        <v>11</v>
      </c>
      <c r="AJ15" s="63">
        <f t="shared" si="2"/>
        <v>1.7642384105960266E-3</v>
      </c>
      <c r="AK15" s="284">
        <f>RTD("money.excel",,$G15,"PredictVolume")</f>
        <v>23976</v>
      </c>
      <c r="AL15" s="400">
        <f>IFERROR(VLOOKUP($G15,基本資料!$A:$M,13,0),"無")</f>
        <v>0.75</v>
      </c>
      <c r="AM15" s="275">
        <f>RTD("money.excel",,"2886","VolumeStrength")</f>
        <v>-21</v>
      </c>
      <c r="AN15" s="40">
        <f>RTD("money.excel",,"2886","ChangePercent")</f>
        <v>0.39267015706806285</v>
      </c>
    </row>
    <row r="16" spans="1:40" s="245" customFormat="1">
      <c r="A16" s="347">
        <f>IFERROR(VLOOKUP($G16,基本資料!$A:$J,3,0),"無")</f>
        <v>1335</v>
      </c>
      <c r="B16" s="79">
        <f>IFERROR(VLOOKUP($G16,基本資料!$A:$J,4,0),"無")</f>
        <v>14</v>
      </c>
      <c r="C16" s="79">
        <f>IFERROR(VLOOKUP($G16,基本資料!$A:$J,5,0),"無")</f>
        <v>0</v>
      </c>
      <c r="D16" s="79">
        <f>IFERROR(VLOOKUP($G16,基本資料!$A:$J,6,0),"無")</f>
        <v>-15</v>
      </c>
      <c r="E16" s="79">
        <f>IFERROR(VLOOKUP($G16,基本資料!$A:$J,7,0),"無")</f>
        <v>-21</v>
      </c>
      <c r="F16" s="6">
        <f>IFERROR(VLOOKUP($G16,基本資料!$A:$J,8,0),"無")</f>
        <v>0</v>
      </c>
      <c r="G16" s="80">
        <v>2884</v>
      </c>
      <c r="H16" s="18" t="s">
        <v>4641</v>
      </c>
      <c r="I16" s="22" t="s">
        <v>269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340" t="str">
        <f>IFERROR(VLOOKUP($G16,今日總結!$A:$AJ,34,0),"")</f>
        <v/>
      </c>
      <c r="N16" s="240" t="str">
        <f t="shared" si="3"/>
        <v/>
      </c>
      <c r="P16" s="365">
        <f>IFERROR(VLOOKUP($G16,融外自投!$A:$J,7,0),"無")</f>
        <v>1394</v>
      </c>
      <c r="Q16" s="79">
        <f>IFERROR(VLOOKUP($G16,融外自投!$A:$J,9,0),"無")</f>
        <v>653</v>
      </c>
      <c r="R16" s="346">
        <f>IFERROR(VLOOKUP($G16,融外自投!$A:$J,8,0),"無")</f>
        <v>128</v>
      </c>
      <c r="S16" s="81">
        <f>IFERROR(VLOOKUP($G16,融外自投!$A:$J,10,0),"無")</f>
        <v>175</v>
      </c>
      <c r="T16" s="327">
        <f>IFERROR(VLOOKUP($G16,'321買'!$A:$E,5,0),"'沒有資料'")</f>
        <v>23</v>
      </c>
      <c r="U16" s="186">
        <f>IFERROR(VLOOKUP($G16,基本資料!$A:$J,9,0),"無")</f>
        <v>1.34</v>
      </c>
      <c r="V16" s="310">
        <f t="shared" si="4"/>
        <v>4.371941272430669E-2</v>
      </c>
      <c r="W16" s="94">
        <f>IFERROR(VLOOKUP($G16,基本資料!$A:$J,10,0),"無")</f>
        <v>1.54</v>
      </c>
      <c r="X16" s="36">
        <f>RTD("money.excel",,"2884","Price")</f>
        <v>30.65</v>
      </c>
      <c r="Y16" s="66">
        <v>33.85</v>
      </c>
      <c r="Z16" s="15">
        <f t="shared" si="0"/>
        <v>-3.2000000000000028</v>
      </c>
      <c r="AA16" s="3">
        <f t="shared" si="1"/>
        <v>-9.4534711964549559E-2</v>
      </c>
      <c r="AB16" s="344">
        <f>IFERROR(VLOOKUP($G16,基本資料!$A:$M,11,0),"無")</f>
        <v>-14.01</v>
      </c>
      <c r="AC16" s="397">
        <f>IFERROR(VLOOKUP($G16,基本資料!$A:$M,12,0),"無")</f>
        <v>48.76</v>
      </c>
      <c r="AD16" s="22" t="s">
        <v>269</v>
      </c>
      <c r="AE16" s="84"/>
      <c r="AF16" s="83"/>
      <c r="AG16" s="5" t="s">
        <v>6713</v>
      </c>
      <c r="AH16" s="117" t="s">
        <v>2016</v>
      </c>
      <c r="AI16" s="22" t="s">
        <v>269</v>
      </c>
      <c r="AJ16" s="63">
        <f t="shared" si="2"/>
        <v>2.025243445692884E-3</v>
      </c>
      <c r="AK16" s="284">
        <f>RTD("money.excel",,$G16,"PredictVolume")</f>
        <v>27037</v>
      </c>
      <c r="AL16" s="400">
        <f>IFERROR(VLOOKUP($G16,基本資料!$A:$M,13,0),"無")</f>
        <v>0.8</v>
      </c>
      <c r="AM16" s="275">
        <f>RTD("money.excel",,"2884","VolumeStrength")</f>
        <v>-49</v>
      </c>
      <c r="AN16" s="40">
        <f>RTD("money.excel",,"2884","ChangePercent")</f>
        <v>0.98846787479406917</v>
      </c>
    </row>
    <row r="17" spans="1:40" s="245" customFormat="1">
      <c r="A17" s="347">
        <f>IFERROR(VLOOKUP($G17,基本資料!$A:$J,3,0),"無")</f>
        <v>1360</v>
      </c>
      <c r="B17" s="79">
        <f>IFERROR(VLOOKUP($G17,基本資料!$A:$J,4,0),"無")</f>
        <v>23</v>
      </c>
      <c r="C17" s="79">
        <f>IFERROR(VLOOKUP($G17,基本資料!$A:$J,5,0),"無")</f>
        <v>0</v>
      </c>
      <c r="D17" s="79">
        <f>IFERROR(VLOOKUP($G17,基本資料!$A:$J,6,0),"無")</f>
        <v>-13</v>
      </c>
      <c r="E17" s="79">
        <f>IFERROR(VLOOKUP($G17,基本資料!$A:$J,7,0),"無")</f>
        <v>-25</v>
      </c>
      <c r="F17" s="6">
        <f>IFERROR(VLOOKUP($G17,基本資料!$A:$J,8,0),"無")</f>
        <v>0</v>
      </c>
      <c r="G17" s="80">
        <v>5880</v>
      </c>
      <c r="H17" s="18" t="s">
        <v>4641</v>
      </c>
      <c r="I17" s="22" t="s">
        <v>4663</v>
      </c>
      <c r="J17" s="8" t="str">
        <f>IFERROR(VLOOKUP($G17,今日總結!$A:$AJ,35,0),"")</f>
        <v/>
      </c>
      <c r="K17" s="5" t="str">
        <f>IFERROR(VLOOKUP($G17,今日總結!$A:$AJ,36,0),"")</f>
        <v/>
      </c>
      <c r="L17" s="156" t="str">
        <f>IFERROR(VLOOKUP($G17,今日總結!$A:$AJ,33,0),"")</f>
        <v/>
      </c>
      <c r="M17" s="340" t="str">
        <f>IFERROR(VLOOKUP($G17,今日總結!$A:$AJ,34,0),"")</f>
        <v/>
      </c>
      <c r="N17" s="240" t="str">
        <f t="shared" si="3"/>
        <v/>
      </c>
      <c r="P17" s="365">
        <f>IFERROR(VLOOKUP($G17,融外自投!$A:$J,7,0),"無")</f>
        <v>1439</v>
      </c>
      <c r="Q17" s="79">
        <f>IFERROR(VLOOKUP($G17,融外自投!$A:$J,9,0),"無")</f>
        <v>635</v>
      </c>
      <c r="R17" s="346">
        <f>IFERROR(VLOOKUP($G17,融外自投!$A:$J,8,0),"無")</f>
        <v>304</v>
      </c>
      <c r="S17" s="81">
        <f>IFERROR(VLOOKUP($G17,融外自投!$A:$J,10,0),"無")</f>
        <v>214</v>
      </c>
      <c r="T17" s="327">
        <f>IFERROR(VLOOKUP($G17,'321買'!$A:$E,5,0),"'沒有資料'")</f>
        <v>40</v>
      </c>
      <c r="U17" s="186">
        <f>IFERROR(VLOOKUP($G17,基本資料!$A:$J,9,0),"無")</f>
        <v>1.3</v>
      </c>
      <c r="V17" s="310">
        <f t="shared" si="4"/>
        <v>4.9713193116634802E-2</v>
      </c>
      <c r="W17" s="94">
        <f>IFERROR(VLOOKUP($G17,基本資料!$A:$J,10,0),"無")</f>
        <v>1.51</v>
      </c>
      <c r="X17" s="36">
        <f>RTD("money.excel",,"5880","Price")</f>
        <v>26.15</v>
      </c>
      <c r="Y17" s="66">
        <v>28.5</v>
      </c>
      <c r="Z17" s="15">
        <f t="shared" si="0"/>
        <v>-2.3500000000000014</v>
      </c>
      <c r="AA17" s="3">
        <f t="shared" si="1"/>
        <v>-8.2456140350877241E-2</v>
      </c>
      <c r="AB17" s="344">
        <f>IFERROR(VLOOKUP($G17,基本資料!$A:$M,11,0),"無")</f>
        <v>-16.190000000000001</v>
      </c>
      <c r="AC17" s="397">
        <f>IFERROR(VLOOKUP($G17,基本資料!$A:$M,12,0),"無")</f>
        <v>35.32</v>
      </c>
      <c r="AD17" s="22" t="s">
        <v>4663</v>
      </c>
      <c r="AE17" s="84"/>
      <c r="AF17" s="83"/>
      <c r="AG17" s="5" t="s">
        <v>6713</v>
      </c>
      <c r="AH17" s="117" t="s">
        <v>2603</v>
      </c>
      <c r="AI17" s="22" t="s">
        <v>4663</v>
      </c>
      <c r="AJ17" s="63">
        <f t="shared" si="2"/>
        <v>1.0657352941176471E-3</v>
      </c>
      <c r="AK17" s="284">
        <f>RTD("money.excel",,$G17,"PredictVolume")</f>
        <v>14494</v>
      </c>
      <c r="AL17" s="400">
        <f>IFERROR(VLOOKUP($G17,基本資料!$A:$M,13,0),"無")</f>
        <v>0.43</v>
      </c>
      <c r="AM17" s="275">
        <f>RTD("money.excel",,"5880","VolumeStrength")</f>
        <v>-50</v>
      </c>
      <c r="AN17" s="40">
        <f>RTD("money.excel",,"5880","ChangePercent")</f>
        <v>-0.19083969465648856</v>
      </c>
    </row>
    <row r="18" spans="1:40" s="245" customFormat="1">
      <c r="A18" s="347">
        <f>IFERROR(VLOOKUP($G18,基本資料!$A:$J,3,0),"無")</f>
        <v>1296</v>
      </c>
      <c r="B18" s="79">
        <f>IFERROR(VLOOKUP($G18,基本資料!$A:$J,4,0),"無")</f>
        <v>17</v>
      </c>
      <c r="C18" s="79">
        <f>IFERROR(VLOOKUP($G18,基本資料!$A:$J,5,0),"無")</f>
        <v>0</v>
      </c>
      <c r="D18" s="79">
        <f>IFERROR(VLOOKUP($G18,基本資料!$A:$J,6,0),"無")</f>
        <v>32</v>
      </c>
      <c r="E18" s="79">
        <f>IFERROR(VLOOKUP($G18,基本資料!$A:$J,7,0),"無")</f>
        <v>-5</v>
      </c>
      <c r="F18" s="6">
        <f>IFERROR(VLOOKUP($G18,基本資料!$A:$J,8,0),"無")</f>
        <v>0</v>
      </c>
      <c r="G18" s="80">
        <v>2892</v>
      </c>
      <c r="H18" s="18" t="s">
        <v>4641</v>
      </c>
      <c r="I18" s="22" t="s">
        <v>272</v>
      </c>
      <c r="J18" s="8" t="str">
        <f>IFERROR(VLOOKUP($G18,今日總結!$A:$AJ,35,0),"")</f>
        <v>投</v>
      </c>
      <c r="K18" s="5">
        <f>IFERROR(VLOOKUP($G18,今日總結!$A:$AJ,36,0),"")</f>
        <v>0</v>
      </c>
      <c r="L18" s="156">
        <f>IFERROR(VLOOKUP($G18,今日總結!$A:$AJ,33,0),"")</f>
        <v>1</v>
      </c>
      <c r="M18" s="340">
        <f>IFERROR(VLOOKUP($G18,今日總結!$A:$AJ,34,0),"")</f>
        <v>0</v>
      </c>
      <c r="N18" s="240">
        <f t="shared" si="3"/>
        <v>1</v>
      </c>
      <c r="O18" s="248"/>
      <c r="P18" s="365">
        <f>IFERROR(VLOOKUP($G18,融外自投!$A:$J,7,0),"無")</f>
        <v>1431</v>
      </c>
      <c r="Q18" s="79">
        <f>IFERROR(VLOOKUP($G18,融外自投!$A:$J,9,0),"無")</f>
        <v>667</v>
      </c>
      <c r="R18" s="346">
        <f>IFERROR(VLOOKUP($G18,融外自投!$A:$J,8,0),"無")</f>
        <v>227</v>
      </c>
      <c r="S18" s="81">
        <f>IFERROR(VLOOKUP($G18,融外自投!$A:$J,10,0),"無")</f>
        <v>140</v>
      </c>
      <c r="T18" s="327">
        <f>IFERROR(VLOOKUP($G18,'321買'!$A:$E,5,0),"'沒有資料'")</f>
        <v>35</v>
      </c>
      <c r="U18" s="186">
        <f>IFERROR(VLOOKUP($G18,基本資料!$A:$J,9,0),"無")</f>
        <v>1.2</v>
      </c>
      <c r="V18" s="310">
        <f t="shared" si="4"/>
        <v>4.5540796963946868E-2</v>
      </c>
      <c r="W18" s="94">
        <f>IFERROR(VLOOKUP($G18,基本資料!$A:$J,10,0),"無")</f>
        <v>1.52</v>
      </c>
      <c r="X18" s="36">
        <f>RTD("money.excel",,"2892","Price")</f>
        <v>26.35</v>
      </c>
      <c r="Y18" s="66">
        <v>27.8</v>
      </c>
      <c r="Z18" s="15">
        <f t="shared" si="0"/>
        <v>-1.4499999999999993</v>
      </c>
      <c r="AA18" s="3">
        <f t="shared" si="1"/>
        <v>-5.2158273381294938E-2</v>
      </c>
      <c r="AB18" s="344">
        <f>IFERROR(VLOOKUP($G18,基本資料!$A:$M,11,0),"無")</f>
        <v>-13</v>
      </c>
      <c r="AC18" s="397">
        <f>IFERROR(VLOOKUP($G18,基本資料!$A:$M,12,0),"無")</f>
        <v>43.69</v>
      </c>
      <c r="AD18" s="22" t="s">
        <v>272</v>
      </c>
      <c r="AE18" s="84"/>
      <c r="AF18" s="83"/>
      <c r="AG18" s="33"/>
      <c r="AH18" s="117" t="s">
        <v>1503</v>
      </c>
      <c r="AI18" s="22" t="s">
        <v>272</v>
      </c>
      <c r="AJ18" s="63">
        <f t="shared" si="2"/>
        <v>1.3325617283950618E-3</v>
      </c>
      <c r="AK18" s="284">
        <f>RTD("money.excel",,$G18,"PredictVolume")</f>
        <v>17270</v>
      </c>
      <c r="AL18" s="400">
        <f>IFERROR(VLOOKUP($G18,基本資料!$A:$M,13,0),"無")</f>
        <v>0.5</v>
      </c>
      <c r="AM18" s="275">
        <f>RTD("money.excel",,"2892","VolumeStrength")</f>
        <v>-26</v>
      </c>
      <c r="AN18" s="40">
        <f>RTD("money.excel",,"2892","ChangePercent")</f>
        <v>0</v>
      </c>
    </row>
    <row r="19" spans="1:40" s="245" customFormat="1">
      <c r="A19" s="347">
        <f>IFERROR(VLOOKUP($G19,基本資料!$A:$J,3,0),"無")</f>
        <v>1213</v>
      </c>
      <c r="B19" s="79">
        <f>IFERROR(VLOOKUP($G19,基本資料!$A:$J,4,0),"無")</f>
        <v>43</v>
      </c>
      <c r="C19" s="79">
        <f>IFERROR(VLOOKUP($G19,基本資料!$A:$J,5,0),"無")</f>
        <v>0</v>
      </c>
      <c r="D19" s="79">
        <f>IFERROR(VLOOKUP($G19,基本資料!$A:$J,6,0),"無")</f>
        <v>18</v>
      </c>
      <c r="E19" s="79">
        <f>IFERROR(VLOOKUP($G19,基本資料!$A:$J,7,0),"無")</f>
        <v>-26</v>
      </c>
      <c r="F19" s="6">
        <f>IFERROR(VLOOKUP($G19,基本資料!$A:$J,8,0),"無")</f>
        <v>0</v>
      </c>
      <c r="G19" s="80">
        <v>2885</v>
      </c>
      <c r="H19" s="18" t="s">
        <v>4641</v>
      </c>
      <c r="I19" s="22" t="s">
        <v>4657</v>
      </c>
      <c r="J19" s="8" t="str">
        <f>IFERROR(VLOOKUP($G19,今日總結!$A:$AJ,35,0),"")</f>
        <v>投</v>
      </c>
      <c r="K19" s="5" t="str">
        <f>IFERROR(VLOOKUP($G19,今日總結!$A:$AJ,36,0),"")</f>
        <v>外</v>
      </c>
      <c r="L19" s="156">
        <f>IFERROR(VLOOKUP($G19,今日總結!$A:$AJ,33,0),"")</f>
        <v>1</v>
      </c>
      <c r="M19" s="340">
        <f>IFERROR(VLOOKUP($G19,今日總結!$A:$AJ,34,0),"")</f>
        <v>2</v>
      </c>
      <c r="N19" s="240">
        <f t="shared" si="3"/>
        <v>-1</v>
      </c>
      <c r="P19" s="365">
        <f>IFERROR(VLOOKUP($G19,融外自投!$A:$J,7,0),"無")</f>
        <v>1394</v>
      </c>
      <c r="Q19" s="79">
        <f>IFERROR(VLOOKUP($G19,融外自投!$A:$J,9,0),"無")</f>
        <v>395</v>
      </c>
      <c r="R19" s="346">
        <f>IFERROR(VLOOKUP($G19,融外自投!$A:$J,8,0),"無")</f>
        <v>189</v>
      </c>
      <c r="S19" s="81">
        <f>IFERROR(VLOOKUP($G19,融外自投!$A:$J,10,0),"無")</f>
        <v>129</v>
      </c>
      <c r="T19" s="327">
        <f>IFERROR(VLOOKUP($G19,'321買'!$A:$E,5,0),"'沒有資料'")</f>
        <v>30</v>
      </c>
      <c r="U19" s="186">
        <f>IFERROR(VLOOKUP($G19,基本資料!$A:$J,9,0),"無")</f>
        <v>1.8</v>
      </c>
      <c r="V19" s="310">
        <f t="shared" si="4"/>
        <v>7.3619631901840496E-2</v>
      </c>
      <c r="W19" s="94">
        <f>IFERROR(VLOOKUP($G19,基本資料!$A:$J,10,0),"無")</f>
        <v>2.87</v>
      </c>
      <c r="X19" s="36">
        <f>RTD("money.excel",,"2885","Price")</f>
        <v>24.45</v>
      </c>
      <c r="Y19" s="66">
        <v>26.15</v>
      </c>
      <c r="Z19" s="15">
        <f t="shared" si="0"/>
        <v>-1.6999999999999993</v>
      </c>
      <c r="AA19" s="3">
        <f t="shared" si="1"/>
        <v>-6.5009560229445484E-2</v>
      </c>
      <c r="AB19" s="344">
        <f>IFERROR(VLOOKUP($G19,基本資料!$A:$M,11,0),"無")</f>
        <v>-10.07</v>
      </c>
      <c r="AC19" s="397">
        <f>IFERROR(VLOOKUP($G19,基本資料!$A:$M,12,0),"無")</f>
        <v>50.5</v>
      </c>
      <c r="AD19" s="22" t="s">
        <v>4657</v>
      </c>
      <c r="AE19" s="84"/>
      <c r="AF19" s="83"/>
      <c r="AG19" s="5" t="s">
        <v>6713</v>
      </c>
      <c r="AH19" s="117" t="s">
        <v>1434</v>
      </c>
      <c r="AI19" s="22" t="s">
        <v>4657</v>
      </c>
      <c r="AJ19" s="63">
        <f t="shared" si="2"/>
        <v>2.2135201978565541E-3</v>
      </c>
      <c r="AK19" s="284">
        <f>RTD("money.excel",,$G19,"PredictVolume")</f>
        <v>26850</v>
      </c>
      <c r="AL19" s="400">
        <f>IFERROR(VLOOKUP($G19,基本資料!$A:$M,13,0),"無")</f>
        <v>1.65</v>
      </c>
      <c r="AM19" s="275">
        <f>RTD("money.excel",,"2885","VolumeStrength")</f>
        <v>-9</v>
      </c>
      <c r="AN19" s="40">
        <f>RTD("money.excel",,"2885","ChangePercent")</f>
        <v>-1.2121212121212122</v>
      </c>
    </row>
    <row r="20" spans="1:40" s="245" customFormat="1">
      <c r="A20" s="347">
        <f>IFERROR(VLOOKUP($G20,基本資料!$A:$J,3,0),"無")</f>
        <v>1319</v>
      </c>
      <c r="B20" s="79">
        <f>IFERROR(VLOOKUP($G20,基本資料!$A:$J,4,0),"無")</f>
        <v>98</v>
      </c>
      <c r="C20" s="79">
        <f>IFERROR(VLOOKUP($G20,基本資料!$A:$J,5,0),"無")</f>
        <v>0</v>
      </c>
      <c r="D20" s="79">
        <f>IFERROR(VLOOKUP($G20,基本資料!$A:$J,6,0),"無")</f>
        <v>-7</v>
      </c>
      <c r="E20" s="79">
        <f>IFERROR(VLOOKUP($G20,基本資料!$A:$J,7,0),"無")</f>
        <v>9</v>
      </c>
      <c r="F20" s="6">
        <f>IFERROR(VLOOKUP($G20,基本資料!$A:$J,8,0),"無")</f>
        <v>0</v>
      </c>
      <c r="G20" s="80">
        <v>2880</v>
      </c>
      <c r="H20" s="18" t="s">
        <v>4641</v>
      </c>
      <c r="I20" s="22" t="s">
        <v>4655</v>
      </c>
      <c r="J20" s="8" t="str">
        <f>IFERROR(VLOOKUP($G20,今日總結!$A:$AJ,35,0),"")</f>
        <v/>
      </c>
      <c r="K20" s="5" t="str">
        <f>IFERROR(VLOOKUP($G20,今日總結!$A:$AJ,36,0),"")</f>
        <v/>
      </c>
      <c r="L20" s="156" t="str">
        <f>IFERROR(VLOOKUP($G20,今日總結!$A:$AJ,33,0),"")</f>
        <v/>
      </c>
      <c r="M20" s="340" t="str">
        <f>IFERROR(VLOOKUP($G20,今日總結!$A:$AJ,34,0),"")</f>
        <v/>
      </c>
      <c r="N20" s="240" t="str">
        <f t="shared" si="3"/>
        <v/>
      </c>
      <c r="P20" s="365">
        <f>IFERROR(VLOOKUP($G20,融外自投!$A:$J,7,0),"無")</f>
        <v>1416</v>
      </c>
      <c r="Q20" s="79">
        <f>IFERROR(VLOOKUP($G20,融外自投!$A:$J,9,0),"無")</f>
        <v>667</v>
      </c>
      <c r="R20" s="346">
        <f>IFERROR(VLOOKUP($G20,融外自投!$A:$J,8,0),"無")</f>
        <v>318</v>
      </c>
      <c r="S20" s="81">
        <f>IFERROR(VLOOKUP($G20,融外自投!$A:$J,10,0),"無")</f>
        <v>211</v>
      </c>
      <c r="T20" s="327">
        <f>IFERROR(VLOOKUP($G20,'321買'!$A:$E,5,0),"'沒有資料'")</f>
        <v>11</v>
      </c>
      <c r="U20" s="186">
        <f>IFERROR(VLOOKUP($G20,基本資料!$A:$J,9,0),"無")</f>
        <v>1.1200000000000001</v>
      </c>
      <c r="V20" s="310">
        <f t="shared" si="4"/>
        <v>5.0111856823266222E-2</v>
      </c>
      <c r="W20" s="94">
        <f>IFERROR(VLOOKUP($G20,基本資料!$A:$J,10,0),"無")</f>
        <v>1.3</v>
      </c>
      <c r="X20" s="36">
        <f>RTD("money.excel",,"2880","Price")</f>
        <v>22.35</v>
      </c>
      <c r="Y20" s="66">
        <v>23.75</v>
      </c>
      <c r="Z20" s="15">
        <f t="shared" si="0"/>
        <v>-1.3999999999999986</v>
      </c>
      <c r="AA20" s="3">
        <f t="shared" si="1"/>
        <v>-5.8947368421052575E-2</v>
      </c>
      <c r="AB20" s="344">
        <f>IFERROR(VLOOKUP($G20,基本資料!$A:$M,11,0),"無")</f>
        <v>-13.62</v>
      </c>
      <c r="AC20" s="397">
        <f>IFERROR(VLOOKUP($G20,基本資料!$A:$M,12,0),"無")</f>
        <v>35.44</v>
      </c>
      <c r="AD20" s="22" t="s">
        <v>4655</v>
      </c>
      <c r="AE20" s="84"/>
      <c r="AF20" s="83"/>
      <c r="AG20" s="5" t="s">
        <v>6713</v>
      </c>
      <c r="AH20" s="117" t="s">
        <v>1503</v>
      </c>
      <c r="AI20" s="22" t="s">
        <v>4655</v>
      </c>
      <c r="AJ20" s="63">
        <f t="shared" si="2"/>
        <v>7.7134192570128888E-4</v>
      </c>
      <c r="AK20" s="284">
        <f>RTD("money.excel",,$G20,"PredictVolume")</f>
        <v>10174</v>
      </c>
      <c r="AL20" s="400">
        <f>IFERROR(VLOOKUP($G20,基本資料!$A:$M,13,0),"無")</f>
        <v>0.38</v>
      </c>
      <c r="AM20" s="275">
        <f>RTD("money.excel",,"2880","VolumeStrength")</f>
        <v>-33</v>
      </c>
      <c r="AN20" s="40">
        <f>RTD("money.excel",,"2880","ChangePercent")</f>
        <v>0</v>
      </c>
    </row>
    <row r="21" spans="1:40" s="245" customFormat="1">
      <c r="A21" s="347">
        <f>IFERROR(VLOOKUP($G21,基本資料!$A:$J,3,0),"無")</f>
        <v>145</v>
      </c>
      <c r="B21" s="79">
        <f>IFERROR(VLOOKUP($G21,基本資料!$A:$J,4,0),"無")</f>
        <v>29</v>
      </c>
      <c r="C21" s="79">
        <f>IFERROR(VLOOKUP($G21,基本資料!$A:$J,5,0),"無")</f>
        <v>41</v>
      </c>
      <c r="D21" s="79">
        <f>IFERROR(VLOOKUP($G21,基本資料!$A:$J,6,0),"無")</f>
        <v>19</v>
      </c>
      <c r="E21" s="79">
        <f>IFERROR(VLOOKUP($G21,基本資料!$A:$J,7,0),"無")</f>
        <v>23</v>
      </c>
      <c r="F21" s="6">
        <f>IFERROR(VLOOKUP($G21,基本資料!$A:$J,8,0),"無")</f>
        <v>46.4</v>
      </c>
      <c r="G21" s="80">
        <v>5871</v>
      </c>
      <c r="H21" s="5" t="s">
        <v>1960</v>
      </c>
      <c r="I21" s="22" t="s">
        <v>255</v>
      </c>
      <c r="J21" s="8" t="str">
        <f>IFERROR(VLOOKUP($G21,今日總結!$A:$AJ,35,0),"")</f>
        <v/>
      </c>
      <c r="K21" s="5" t="str">
        <f>IFERROR(VLOOKUP($G21,今日總結!$A:$AJ,36,0),"")</f>
        <v/>
      </c>
      <c r="L21" s="156" t="str">
        <f>IFERROR(VLOOKUP($G21,今日總結!$A:$AJ,33,0),"")</f>
        <v/>
      </c>
      <c r="M21" s="340" t="str">
        <f>IFERROR(VLOOKUP($G21,今日總結!$A:$AJ,34,0),"")</f>
        <v/>
      </c>
      <c r="N21" s="240" t="str">
        <f t="shared" si="3"/>
        <v/>
      </c>
      <c r="O21" s="248"/>
      <c r="P21" s="365">
        <f>IFERROR(VLOOKUP($G21,融外自投!$A:$J,7,0),"無")</f>
        <v>1319</v>
      </c>
      <c r="Q21" s="79">
        <f>IFERROR(VLOOKUP($G21,融外自投!$A:$J,9,0),"無")</f>
        <v>667</v>
      </c>
      <c r="R21" s="346">
        <f>IFERROR(VLOOKUP($G21,融外自投!$A:$J,8,0),"無")</f>
        <v>11</v>
      </c>
      <c r="S21" s="81">
        <f>IFERROR(VLOOKUP($G21,融外自投!$A:$J,10,0),"無")</f>
        <v>180</v>
      </c>
      <c r="T21" s="327">
        <f>IFERROR(VLOOKUP($G21,'321買'!$A:$E,5,0),"'沒有資料'")</f>
        <v>122</v>
      </c>
      <c r="U21" s="186">
        <f>IFERROR(VLOOKUP($G21,基本資料!$A:$J,9,0),"無")</f>
        <v>6.5</v>
      </c>
      <c r="V21" s="310">
        <f t="shared" si="4"/>
        <v>3.0588235294117649E-2</v>
      </c>
      <c r="W21" s="94">
        <f>IFERROR(VLOOKUP($G21,基本資料!$A:$J,10,0),"無")</f>
        <v>14.8</v>
      </c>
      <c r="X21" s="36">
        <f>RTD("money.excel",,"5871","Price")</f>
        <v>212.5</v>
      </c>
      <c r="Y21" s="66">
        <v>236.5</v>
      </c>
      <c r="Z21" s="15">
        <f t="shared" si="0"/>
        <v>-24</v>
      </c>
      <c r="AA21" s="3">
        <f t="shared" si="1"/>
        <v>-0.1014799154334038</v>
      </c>
      <c r="AB21" s="344">
        <f>IFERROR(VLOOKUP($G21,基本資料!$A:$M,11,0),"無")</f>
        <v>-20.63</v>
      </c>
      <c r="AC21" s="397">
        <f>IFERROR(VLOOKUP($G21,基本資料!$A:$M,12,0),"無")</f>
        <v>28</v>
      </c>
      <c r="AD21" s="22" t="s">
        <v>255</v>
      </c>
      <c r="AE21" s="84"/>
      <c r="AF21" s="83">
        <v>44690</v>
      </c>
      <c r="AG21" s="33"/>
      <c r="AH21" s="117" t="s">
        <v>2821</v>
      </c>
      <c r="AI21" s="22" t="s">
        <v>255</v>
      </c>
      <c r="AJ21" s="63">
        <f t="shared" si="2"/>
        <v>4.6503448275862069E-3</v>
      </c>
      <c r="AK21" s="284">
        <f>RTD("money.excel",,$G21,"PredictVolume")</f>
        <v>6743</v>
      </c>
      <c r="AL21" s="400">
        <f>IFERROR(VLOOKUP($G21,基本資料!$A:$M,13,0),"無")</f>
        <v>2.94</v>
      </c>
      <c r="AM21" s="275">
        <f>RTD("money.excel",,"5871","VolumeStrength")</f>
        <v>-27</v>
      </c>
      <c r="AN21" s="40">
        <f>RTD("money.excel",,"5871","ChangePercent")</f>
        <v>-1.3921113689095128</v>
      </c>
    </row>
    <row r="22" spans="1:40" s="245" customFormat="1">
      <c r="A22" s="347">
        <f>IFERROR(VLOOKUP($G22,基本資料!$A:$J,3,0),"無")</f>
        <v>529</v>
      </c>
      <c r="B22" s="79">
        <f>IFERROR(VLOOKUP($G22,基本資料!$A:$J,4,0),"無")</f>
        <v>814</v>
      </c>
      <c r="C22" s="79">
        <f>IFERROR(VLOOKUP($G22,基本資料!$A:$J,5,0),"無")</f>
        <v>721</v>
      </c>
      <c r="D22" s="79">
        <f>IFERROR(VLOOKUP($G22,基本資料!$A:$J,6,0),"無")</f>
        <v>-4</v>
      </c>
      <c r="E22" s="79">
        <f>IFERROR(VLOOKUP($G22,基本資料!$A:$J,7,0),"無")</f>
        <v>102</v>
      </c>
      <c r="F22" s="6">
        <f>IFERROR(VLOOKUP($G22,基本資料!$A:$J,8,0),"無")</f>
        <v>58.21</v>
      </c>
      <c r="G22" s="80">
        <v>2603</v>
      </c>
      <c r="H22" s="5" t="s">
        <v>302</v>
      </c>
      <c r="I22" s="22" t="s">
        <v>264</v>
      </c>
      <c r="J22" s="8" t="str">
        <f>IFERROR(VLOOKUP($G22,今日總結!$A:$AJ,35,0),"")</f>
        <v>投</v>
      </c>
      <c r="K22" s="5">
        <f>IFERROR(VLOOKUP($G22,今日總結!$A:$AJ,36,0),"")</f>
        <v>0</v>
      </c>
      <c r="L22" s="156">
        <f>IFERROR(VLOOKUP($G22,今日總結!$A:$AJ,33,0),"")</f>
        <v>1</v>
      </c>
      <c r="M22" s="340">
        <f>IFERROR(VLOOKUP($G22,今日總結!$A:$AJ,34,0),"")</f>
        <v>0</v>
      </c>
      <c r="N22" s="240">
        <f t="shared" si="3"/>
        <v>1</v>
      </c>
      <c r="P22" s="365">
        <f>IFERROR(VLOOKUP($G22,融外自投!$A:$J,7,0),"無")</f>
        <v>309</v>
      </c>
      <c r="Q22" s="79">
        <f>IFERROR(VLOOKUP($G22,融外自投!$A:$J,9,0),"無")</f>
        <v>101</v>
      </c>
      <c r="R22" s="346">
        <f>IFERROR(VLOOKUP($G22,融外自投!$A:$J,8,0),"無")</f>
        <v>203</v>
      </c>
      <c r="S22" s="81">
        <f>IFERROR(VLOOKUP($G22,融外自投!$A:$J,10,0),"無")</f>
        <v>97</v>
      </c>
      <c r="T22" s="327">
        <f>IFERROR(VLOOKUP($G22,'321買'!$A:$E,5,0),"'沒有資料'")</f>
        <v>110</v>
      </c>
      <c r="U22" s="186">
        <f>IFERROR(VLOOKUP($G22,基本資料!$A:$J,9,0),"無")</f>
        <v>18</v>
      </c>
      <c r="V22" s="310">
        <f t="shared" si="4"/>
        <v>0.1245674740484429</v>
      </c>
      <c r="W22" s="94">
        <f>IFERROR(VLOOKUP($G22,基本資料!$A:$J,10,0),"無")</f>
        <v>45.57</v>
      </c>
      <c r="X22" s="36">
        <f>RTD("money.excel",,"2603","Price")</f>
        <v>144.5</v>
      </c>
      <c r="Y22" s="66">
        <v>145</v>
      </c>
      <c r="Z22" s="15">
        <f t="shared" si="0"/>
        <v>-0.5</v>
      </c>
      <c r="AA22" s="3">
        <f t="shared" si="1"/>
        <v>-3.4482758620689655E-3</v>
      </c>
      <c r="AB22" s="344">
        <f>IFERROR(VLOOKUP($G22,基本資料!$A:$M,11,0),"無")</f>
        <v>-36.909999999999997</v>
      </c>
      <c r="AC22" s="397">
        <f>IFERROR(VLOOKUP($G22,基本資料!$A:$M,12,0),"無")</f>
        <v>50.8</v>
      </c>
      <c r="AD22" s="22" t="s">
        <v>264</v>
      </c>
      <c r="AE22" s="84"/>
      <c r="AF22" s="83"/>
      <c r="AG22" s="33"/>
      <c r="AH22" s="117" t="s">
        <v>3266</v>
      </c>
      <c r="AI22" s="22" t="s">
        <v>264</v>
      </c>
      <c r="AJ22" s="63">
        <f t="shared" si="2"/>
        <v>1.5441398865784498E-2</v>
      </c>
      <c r="AK22" s="284">
        <f>RTD("money.excel",,$G22,"PredictVolume")</f>
        <v>81685</v>
      </c>
      <c r="AL22" s="400">
        <f>IFERROR(VLOOKUP($G22,基本資料!$A:$M,13,0),"無")</f>
        <v>19.21</v>
      </c>
      <c r="AM22" s="275">
        <f>RTD("money.excel",,"2603","VolumeStrength")</f>
        <v>-29</v>
      </c>
      <c r="AN22" s="40">
        <f>RTD("money.excel",,"2603","ChangePercent")</f>
        <v>-3.0201342281879193</v>
      </c>
    </row>
    <row r="23" spans="1:40" s="245" customFormat="1">
      <c r="A23" s="347">
        <f>IFERROR(VLOOKUP($G23,基本資料!$A:$J,3,0),"無")</f>
        <v>244</v>
      </c>
      <c r="B23" s="79">
        <f>IFERROR(VLOOKUP($G23,基本資料!$A:$J,4,0),"無")</f>
        <v>810</v>
      </c>
      <c r="C23" s="79">
        <f>IFERROR(VLOOKUP($G23,基本資料!$A:$J,5,0),"無")</f>
        <v>898</v>
      </c>
      <c r="D23" s="79">
        <f>IFERROR(VLOOKUP($G23,基本資料!$A:$J,6,0),"無")</f>
        <v>2</v>
      </c>
      <c r="E23" s="79">
        <f>IFERROR(VLOOKUP($G23,基本資料!$A:$J,7,0),"無")</f>
        <v>89</v>
      </c>
      <c r="F23" s="6">
        <f>IFERROR(VLOOKUP($G23,基本資料!$A:$J,8,0),"無")</f>
        <v>56</v>
      </c>
      <c r="G23" s="80">
        <v>2615</v>
      </c>
      <c r="H23" s="5" t="s">
        <v>302</v>
      </c>
      <c r="I23" s="22" t="s">
        <v>132</v>
      </c>
      <c r="J23" s="8" t="str">
        <f>IFERROR(VLOOKUP($G23,今日總結!$A:$AJ,35,0),"")</f>
        <v/>
      </c>
      <c r="K23" s="5" t="str">
        <f>IFERROR(VLOOKUP($G23,今日總結!$A:$AJ,36,0),"")</f>
        <v/>
      </c>
      <c r="L23" s="156" t="str">
        <f>IFERROR(VLOOKUP($G23,今日總結!$A:$AJ,33,0),"")</f>
        <v/>
      </c>
      <c r="M23" s="340" t="str">
        <f>IFERROR(VLOOKUP($G23,今日總結!$A:$AJ,34,0),"")</f>
        <v/>
      </c>
      <c r="N23" s="240" t="str">
        <f t="shared" si="3"/>
        <v/>
      </c>
      <c r="P23" s="365">
        <f>IFERROR(VLOOKUP($G23,融外自投!$A:$J,7,0),"無")</f>
        <v>729</v>
      </c>
      <c r="Q23" s="79">
        <f>IFERROR(VLOOKUP($G23,融外自投!$A:$J,9,0),"無")</f>
        <v>514</v>
      </c>
      <c r="R23" s="346">
        <f>IFERROR(VLOOKUP($G23,融外自投!$A:$J,8,0),"無")</f>
        <v>106</v>
      </c>
      <c r="S23" s="81">
        <f>IFERROR(VLOOKUP($G23,融外自投!$A:$J,10,0),"無")</f>
        <v>259</v>
      </c>
      <c r="T23" s="327">
        <f>IFERROR(VLOOKUP($G23,'321買'!$A:$E,5,0),"'沒有資料'")</f>
        <v>217</v>
      </c>
      <c r="U23" s="186">
        <f>IFERROR(VLOOKUP($G23,基本資料!$A:$J,9,0),"無")</f>
        <v>12</v>
      </c>
      <c r="V23" s="310">
        <f t="shared" si="4"/>
        <v>7.9207920792079209E-2</v>
      </c>
      <c r="W23" s="94">
        <f>IFERROR(VLOOKUP($G23,基本資料!$A:$J,10,0),"無")</f>
        <v>42.35</v>
      </c>
      <c r="X23" s="36">
        <f>RTD("money.excel",,"2615","Price")</f>
        <v>151.5</v>
      </c>
      <c r="Y23" s="66">
        <v>146</v>
      </c>
      <c r="Z23" s="15">
        <f t="shared" si="0"/>
        <v>5.5</v>
      </c>
      <c r="AA23" s="3">
        <f t="shared" si="1"/>
        <v>3.7671232876712327E-2</v>
      </c>
      <c r="AB23" s="344">
        <f>IFERROR(VLOOKUP($G23,基本資料!$A:$M,11,0),"無")</f>
        <v>-58.07</v>
      </c>
      <c r="AC23" s="397">
        <f>IFERROR(VLOOKUP($G23,基本資料!$A:$M,12,0),"無")</f>
        <v>19.03</v>
      </c>
      <c r="AD23" s="22" t="s">
        <v>132</v>
      </c>
      <c r="AE23" s="84"/>
      <c r="AF23" s="83"/>
      <c r="AG23" s="33"/>
      <c r="AH23" s="117" t="s">
        <v>2061</v>
      </c>
      <c r="AI23" s="22" t="s">
        <v>132</v>
      </c>
      <c r="AJ23" s="63">
        <f t="shared" si="2"/>
        <v>5.7266393442622953E-3</v>
      </c>
      <c r="AK23" s="284">
        <f>RTD("money.excel",,$G23,"PredictVolume")</f>
        <v>13973</v>
      </c>
      <c r="AL23" s="400">
        <f>IFERROR(VLOOKUP($G23,基本資料!$A:$M,13,0),"無")</f>
        <v>12.27</v>
      </c>
      <c r="AM23" s="275">
        <f>RTD("money.excel",,"2615","VolumeStrength")</f>
        <v>-24</v>
      </c>
      <c r="AN23" s="40">
        <f>RTD("money.excel",,"2615","ChangePercent")</f>
        <v>0</v>
      </c>
    </row>
    <row r="24" spans="1:40" s="245" customFormat="1">
      <c r="A24" s="347">
        <f>IFERROR(VLOOKUP($G24,基本資料!$A:$J,3,0),"無")</f>
        <v>349</v>
      </c>
      <c r="B24" s="79">
        <f>IFERROR(VLOOKUP($G24,基本資料!$A:$J,4,0),"無")</f>
        <v>1258</v>
      </c>
      <c r="C24" s="79">
        <f>IFERROR(VLOOKUP($G24,基本資料!$A:$J,5,0),"無")</f>
        <v>945</v>
      </c>
      <c r="D24" s="79">
        <f>IFERROR(VLOOKUP($G24,基本資料!$A:$J,6,0),"無")</f>
        <v>-2</v>
      </c>
      <c r="E24" s="79">
        <f>IFERROR(VLOOKUP($G24,基本資料!$A:$J,7,0),"無")</f>
        <v>69</v>
      </c>
      <c r="F24" s="6">
        <f>IFERROR(VLOOKUP($G24,基本資料!$A:$J,8,0),"無")</f>
        <v>60.95</v>
      </c>
      <c r="G24" s="80">
        <v>2609</v>
      </c>
      <c r="H24" s="5" t="s">
        <v>302</v>
      </c>
      <c r="I24" s="22" t="s">
        <v>866</v>
      </c>
      <c r="J24" s="8" t="str">
        <f>IFERROR(VLOOKUP($G24,今日總結!$A:$AJ,35,0),"")</f>
        <v/>
      </c>
      <c r="K24" s="5" t="str">
        <f>IFERROR(VLOOKUP($G24,今日總結!$A:$AJ,36,0),"")</f>
        <v/>
      </c>
      <c r="L24" s="156" t="str">
        <f>IFERROR(VLOOKUP($G24,今日總結!$A:$AJ,33,0),"")</f>
        <v/>
      </c>
      <c r="M24" s="340" t="str">
        <f>IFERROR(VLOOKUP($G24,今日總結!$A:$AJ,34,0),"")</f>
        <v/>
      </c>
      <c r="N24" s="240" t="str">
        <f t="shared" si="3"/>
        <v/>
      </c>
      <c r="P24" s="365">
        <f>IFERROR(VLOOKUP($G24,融外自投!$A:$J,7,0),"無")</f>
        <v>288</v>
      </c>
      <c r="Q24" s="79">
        <f>IFERROR(VLOOKUP($G24,融外自投!$A:$J,9,0),"無")</f>
        <v>614</v>
      </c>
      <c r="R24" s="346">
        <f>IFERROR(VLOOKUP($G24,融外自投!$A:$J,8,0),"無")</f>
        <v>341</v>
      </c>
      <c r="S24" s="81">
        <f>IFERROR(VLOOKUP($G24,融外自投!$A:$J,10,0),"無")</f>
        <v>194</v>
      </c>
      <c r="T24" s="327">
        <f>IFERROR(VLOOKUP($G24,'321買'!$A:$E,5,0),"'沒有資料'")</f>
        <v>271</v>
      </c>
      <c r="U24" s="186">
        <f>IFERROR(VLOOKUP($G24,基本資料!$A:$J,9,0),"無")</f>
        <v>20</v>
      </c>
      <c r="V24" s="310">
        <f t="shared" si="4"/>
        <v>0.16129032258064516</v>
      </c>
      <c r="W24" s="94">
        <f>IFERROR(VLOOKUP($G24,基本資料!$A:$J,10,0),"無")</f>
        <v>48.73</v>
      </c>
      <c r="X24" s="36">
        <f>RTD("money.excel",,"2609","Price")</f>
        <v>124</v>
      </c>
      <c r="Y24" s="66">
        <v>126</v>
      </c>
      <c r="Z24" s="15">
        <f t="shared" si="0"/>
        <v>-2</v>
      </c>
      <c r="AA24" s="3">
        <f t="shared" si="1"/>
        <v>-1.5873015873015872E-2</v>
      </c>
      <c r="AB24" s="344">
        <f>IFERROR(VLOOKUP($G24,基本資料!$A:$M,11,0),"無")</f>
        <v>-46.27</v>
      </c>
      <c r="AC24" s="397">
        <f>IFERROR(VLOOKUP($G24,基本資料!$A:$M,12,0),"無")</f>
        <v>56.48</v>
      </c>
      <c r="AD24" s="22" t="s">
        <v>866</v>
      </c>
      <c r="AE24" s="84"/>
      <c r="AF24" s="83"/>
      <c r="AG24" s="33"/>
      <c r="AH24" s="43" t="s">
        <v>3266</v>
      </c>
      <c r="AI24" s="22" t="s">
        <v>866</v>
      </c>
      <c r="AJ24" s="63">
        <f t="shared" si="2"/>
        <v>1.1260171919770773E-2</v>
      </c>
      <c r="AK24" s="284">
        <f>RTD("money.excel",,$G24,"PredictVolume")</f>
        <v>39298</v>
      </c>
      <c r="AL24" s="400">
        <f>IFERROR(VLOOKUP($G24,基本資料!$A:$M,13,0),"無")</f>
        <v>22.84</v>
      </c>
      <c r="AM24" s="275">
        <f>RTD("money.excel",,"2609","VolumeStrength")</f>
        <v>-29</v>
      </c>
      <c r="AN24" s="40">
        <f>RTD("money.excel",,"2609","ChangePercent")</f>
        <v>-2.7450980392156863</v>
      </c>
    </row>
    <row r="25" spans="1:40" s="245" customFormat="1">
      <c r="A25" s="347">
        <f>IFERROR(VLOOKUP($G25,基本資料!$A:$J,3,0),"無")</f>
        <v>775</v>
      </c>
      <c r="B25" s="79">
        <f>IFERROR(VLOOKUP($G25,基本資料!$A:$J,4,0),"無")</f>
        <v>7</v>
      </c>
      <c r="C25" s="79">
        <f>IFERROR(VLOOKUP($G25,基本資料!$A:$J,5,0),"無")</f>
        <v>6</v>
      </c>
      <c r="D25" s="79">
        <f>IFERROR(VLOOKUP($G25,基本資料!$A:$J,6,0),"無")</f>
        <v>4</v>
      </c>
      <c r="E25" s="79">
        <f>IFERROR(VLOOKUP($G25,基本資料!$A:$J,7,0),"無")</f>
        <v>6</v>
      </c>
      <c r="F25" s="6">
        <f>IFERROR(VLOOKUP($G25,基本資料!$A:$J,8,0),"無")</f>
        <v>21.35</v>
      </c>
      <c r="G25" s="80">
        <v>2412</v>
      </c>
      <c r="H25" s="18" t="s">
        <v>4315</v>
      </c>
      <c r="I25" s="22" t="s">
        <v>4324</v>
      </c>
      <c r="J25" s="8" t="str">
        <f>IFERROR(VLOOKUP($G25,今日總結!$A:$AJ,35,0),"")</f>
        <v/>
      </c>
      <c r="K25" s="5" t="str">
        <f>IFERROR(VLOOKUP($G25,今日總結!$A:$AJ,36,0),"")</f>
        <v/>
      </c>
      <c r="L25" s="156" t="str">
        <f>IFERROR(VLOOKUP($G25,今日總結!$A:$AJ,33,0),"")</f>
        <v/>
      </c>
      <c r="M25" s="340" t="str">
        <f>IFERROR(VLOOKUP($G25,今日總結!$A:$AJ,34,0),"")</f>
        <v/>
      </c>
      <c r="N25" s="240" t="str">
        <f t="shared" si="3"/>
        <v/>
      </c>
      <c r="P25" s="365">
        <f>IFERROR(VLOOKUP($G25,融外自投!$A:$J,7,0),"無")</f>
        <v>1374</v>
      </c>
      <c r="Q25" s="79">
        <f>IFERROR(VLOOKUP($G25,融外自投!$A:$J,9,0),"無")</f>
        <v>251</v>
      </c>
      <c r="R25" s="346">
        <f>IFERROR(VLOOKUP($G25,融外自投!$A:$J,8,0),"無")</f>
        <v>323</v>
      </c>
      <c r="S25" s="81">
        <f>IFERROR(VLOOKUP($G25,融外自投!$A:$J,10,0),"無")</f>
        <v>197</v>
      </c>
      <c r="T25" s="327">
        <f>IFERROR(VLOOKUP($G25,'321買'!$A:$E,5,0),"'沒有資料'")</f>
        <v>3</v>
      </c>
      <c r="U25" s="186">
        <f>IFERROR(VLOOKUP($G25,基本資料!$A:$J,9,0),"無")</f>
        <v>4.6100000000000003</v>
      </c>
      <c r="V25" s="310">
        <f t="shared" si="4"/>
        <v>3.6880000000000003E-2</v>
      </c>
      <c r="W25" s="94">
        <f>IFERROR(VLOOKUP($G25,基本資料!$A:$J,10,0),"無")</f>
        <v>4.6100000000000003</v>
      </c>
      <c r="X25" s="36">
        <f>RTD("money.excel",,"2412","Price")</f>
        <v>125</v>
      </c>
      <c r="Y25" s="65">
        <v>131</v>
      </c>
      <c r="Z25" s="15">
        <f t="shared" si="0"/>
        <v>-6</v>
      </c>
      <c r="AA25" s="3">
        <f t="shared" si="1"/>
        <v>-4.5801526717557252E-2</v>
      </c>
      <c r="AB25" s="344">
        <f>IFERROR(VLOOKUP($G25,基本資料!$A:$M,11,0),"無")</f>
        <v>-5.66</v>
      </c>
      <c r="AC25" s="397">
        <f>IFERROR(VLOOKUP($G25,基本資料!$A:$M,12,0),"無")</f>
        <v>62.57</v>
      </c>
      <c r="AD25" s="22" t="s">
        <v>4324</v>
      </c>
      <c r="AE25" s="84"/>
      <c r="AF25" s="83"/>
      <c r="AG25" s="33"/>
      <c r="AH25" s="117" t="s">
        <v>4325</v>
      </c>
      <c r="AI25" s="22" t="s">
        <v>4324</v>
      </c>
      <c r="AJ25" s="63">
        <f t="shared" si="2"/>
        <v>9.4141935483870972E-4</v>
      </c>
      <c r="AK25" s="284">
        <f>RTD("money.excel",,$G25,"PredictVolume")</f>
        <v>7296</v>
      </c>
      <c r="AL25" s="400">
        <f>IFERROR(VLOOKUP($G25,基本資料!$A:$M,13,0),"無")</f>
        <v>0.49</v>
      </c>
      <c r="AM25" s="275">
        <f>RTD("money.excel",,"2412","VolumeStrength")</f>
        <v>-39</v>
      </c>
      <c r="AN25" s="40">
        <f>RTD("money.excel",,"2412","ChangePercent")</f>
        <v>0.40160642570281124</v>
      </c>
    </row>
    <row r="26" spans="1:40" s="245" customFormat="1">
      <c r="A26" s="347">
        <f>IFERROR(VLOOKUP($G26,基本資料!$A:$J,3,0),"無")</f>
        <v>351</v>
      </c>
      <c r="B26" s="79">
        <f>IFERROR(VLOOKUP($G26,基本資料!$A:$J,4,0),"無")</f>
        <v>3</v>
      </c>
      <c r="C26" s="79">
        <f>IFERROR(VLOOKUP($G26,基本資料!$A:$J,5,0),"無")</f>
        <v>0</v>
      </c>
      <c r="D26" s="79">
        <f>IFERROR(VLOOKUP($G26,基本資料!$A:$J,6,0),"無")</f>
        <v>8</v>
      </c>
      <c r="E26" s="79">
        <f>IFERROR(VLOOKUP($G26,基本資料!$A:$J,7,0),"無")</f>
        <v>14</v>
      </c>
      <c r="F26" s="6">
        <f>IFERROR(VLOOKUP($G26,基本資料!$A:$J,8,0),"無")</f>
        <v>10.28</v>
      </c>
      <c r="G26" s="80">
        <v>3045</v>
      </c>
      <c r="H26" s="5" t="s">
        <v>4315</v>
      </c>
      <c r="I26" s="22" t="s">
        <v>4341</v>
      </c>
      <c r="J26" s="8" t="str">
        <f>IFERROR(VLOOKUP($G26,今日總結!$A:$AJ,35,0),"")</f>
        <v>投</v>
      </c>
      <c r="K26" s="5" t="str">
        <f>IFERROR(VLOOKUP($G26,今日總結!$A:$AJ,36,0),"")</f>
        <v>自</v>
      </c>
      <c r="L26" s="156">
        <f>IFERROR(VLOOKUP($G26,今日總結!$A:$AJ,33,0),"")</f>
        <v>1</v>
      </c>
      <c r="M26" s="340">
        <f>IFERROR(VLOOKUP($G26,今日總結!$A:$AJ,34,0),"")</f>
        <v>1</v>
      </c>
      <c r="N26" s="240">
        <f t="shared" si="3"/>
        <v>0</v>
      </c>
      <c r="P26" s="365">
        <f>IFERROR(VLOOKUP($G26,融外自投!$A:$J,7,0),"無")</f>
        <v>1454</v>
      </c>
      <c r="Q26" s="79">
        <f>IFERROR(VLOOKUP($G26,融外自投!$A:$J,9,0),"無")</f>
        <v>270</v>
      </c>
      <c r="R26" s="346">
        <f>IFERROR(VLOOKUP($G26,融外自投!$A:$J,8,0),"無")</f>
        <v>340</v>
      </c>
      <c r="S26" s="81">
        <f>IFERROR(VLOOKUP($G26,融外自投!$A:$J,10,0),"無")</f>
        <v>148</v>
      </c>
      <c r="T26" s="327">
        <f>IFERROR(VLOOKUP($G26,'321買'!$A:$E,5,0),"'沒有資料'")</f>
        <v>59</v>
      </c>
      <c r="U26" s="186">
        <f>IFERROR(VLOOKUP($G26,基本資料!$A:$J,9,0),"無")</f>
        <v>0</v>
      </c>
      <c r="V26" s="310">
        <f t="shared" si="4"/>
        <v>0</v>
      </c>
      <c r="W26" s="94">
        <f>IFERROR(VLOOKUP($G26,基本資料!$A:$J,10,0),"無")</f>
        <v>3.9</v>
      </c>
      <c r="X26" s="36">
        <f>RTD("money.excel",,"3045","Price")</f>
        <v>107.5</v>
      </c>
      <c r="Y26" s="66">
        <v>108.5</v>
      </c>
      <c r="Z26" s="15">
        <f t="shared" si="0"/>
        <v>-1</v>
      </c>
      <c r="AA26" s="3">
        <f t="shared" si="1"/>
        <v>-9.2165898617511521E-3</v>
      </c>
      <c r="AB26" s="344">
        <f>IFERROR(VLOOKUP($G26,基本資料!$A:$M,11,0),"無")</f>
        <v>-3.65</v>
      </c>
      <c r="AC26" s="397">
        <f>IFERROR(VLOOKUP($G26,基本資料!$A:$M,12,0),"無")</f>
        <v>56.5</v>
      </c>
      <c r="AD26" s="22" t="s">
        <v>4341</v>
      </c>
      <c r="AE26" s="84"/>
      <c r="AF26" s="83"/>
      <c r="AG26" s="33"/>
      <c r="AH26" s="117" t="s">
        <v>4342</v>
      </c>
      <c r="AI26" s="22" t="s">
        <v>4341</v>
      </c>
      <c r="AJ26" s="63">
        <f t="shared" si="2"/>
        <v>9.4700854700854702E-4</v>
      </c>
      <c r="AK26" s="284">
        <f>RTD("money.excel",,$G26,"PredictVolume")</f>
        <v>3324</v>
      </c>
      <c r="AL26" s="400">
        <f>IFERROR(VLOOKUP($G26,基本資料!$A:$M,13,0),"無")</f>
        <v>0.52</v>
      </c>
      <c r="AM26" s="275">
        <f>RTD("money.excel",,"3045","VolumeStrength")</f>
        <v>-38</v>
      </c>
      <c r="AN26" s="40">
        <f>RTD("money.excel",,"3045","ChangePercent")</f>
        <v>0.46728971962616822</v>
      </c>
    </row>
    <row r="27" spans="1:40" s="245" customFormat="1">
      <c r="A27" s="347">
        <f>IFERROR(VLOOKUP($G27,基本資料!$A:$J,3,0),"無")</f>
        <v>1573</v>
      </c>
      <c r="B27" s="79">
        <f>IFERROR(VLOOKUP($G27,基本資料!$A:$J,4,0),"無")</f>
        <v>2951</v>
      </c>
      <c r="C27" s="79">
        <f>IFERROR(VLOOKUP($G27,基本資料!$A:$J,5,0),"無")</f>
        <v>3373</v>
      </c>
      <c r="D27" s="79">
        <f>IFERROR(VLOOKUP($G27,基本資料!$A:$J,6,0),"無")</f>
        <v>24</v>
      </c>
      <c r="E27" s="79">
        <f>IFERROR(VLOOKUP($G27,基本資料!$A:$J,7,0),"無")</f>
        <v>12</v>
      </c>
      <c r="F27" s="6">
        <f>IFERROR(VLOOKUP($G27,基本資料!$A:$J,8,0),"無")</f>
        <v>17.03</v>
      </c>
      <c r="G27" s="80">
        <v>2002</v>
      </c>
      <c r="H27" s="5" t="s">
        <v>3091</v>
      </c>
      <c r="I27" s="22" t="s">
        <v>3913</v>
      </c>
      <c r="J27" s="8" t="str">
        <f>IFERROR(VLOOKUP($G27,今日總結!$A:$AJ,35,0),"")</f>
        <v>借</v>
      </c>
      <c r="K27" s="5" t="str">
        <f>IFERROR(VLOOKUP($G27,今日總結!$A:$AJ,36,0),"")</f>
        <v>外</v>
      </c>
      <c r="L27" s="156">
        <f>IFERROR(VLOOKUP($G27,今日總結!$A:$AJ,33,0),"")</f>
        <v>1</v>
      </c>
      <c r="M27" s="340">
        <f>IFERROR(VLOOKUP($G27,今日總結!$A:$AJ,34,0),"")</f>
        <v>1</v>
      </c>
      <c r="N27" s="240">
        <f t="shared" si="3"/>
        <v>0</v>
      </c>
      <c r="O27" s="248"/>
      <c r="P27" s="365">
        <f>IFERROR(VLOOKUP($G27,融外自投!$A:$J,7,0),"無")</f>
        <v>1205</v>
      </c>
      <c r="Q27" s="79">
        <f>IFERROR(VLOOKUP($G27,融外自投!$A:$J,9,0),"無")</f>
        <v>238</v>
      </c>
      <c r="R27" s="346">
        <f>IFERROR(VLOOKUP($G27,融外自投!$A:$J,8,0),"無")</f>
        <v>276</v>
      </c>
      <c r="S27" s="81">
        <f>IFERROR(VLOOKUP($G27,融外自投!$A:$J,10,0),"無")</f>
        <v>121</v>
      </c>
      <c r="T27" s="327">
        <f>IFERROR(VLOOKUP($G27,'321買'!$A:$E,5,0),"'沒有資料'")</f>
        <v>68</v>
      </c>
      <c r="U27" s="186">
        <f>IFERROR(VLOOKUP($G27,基本資料!$A:$J,9,0),"無")</f>
        <v>3.1</v>
      </c>
      <c r="V27" s="310">
        <f t="shared" si="4"/>
        <v>9.0643274853801165E-2</v>
      </c>
      <c r="W27" s="94">
        <f>IFERROR(VLOOKUP($G27,基本資料!$A:$J,10,0),"無")</f>
        <v>4.0199999999999996</v>
      </c>
      <c r="X27" s="36">
        <f>RTD("money.excel",,"2002","Price")</f>
        <v>34.200000000000003</v>
      </c>
      <c r="Y27" s="66">
        <v>36.1</v>
      </c>
      <c r="Z27" s="15">
        <f t="shared" si="0"/>
        <v>-1.8999999999999986</v>
      </c>
      <c r="AA27" s="3">
        <f t="shared" si="1"/>
        <v>-5.2631578947368376E-2</v>
      </c>
      <c r="AB27" s="344">
        <f>IFERROR(VLOOKUP($G27,基本資料!$A:$M,11,0),"無")</f>
        <v>-15.36</v>
      </c>
      <c r="AC27" s="397">
        <f>IFERROR(VLOOKUP($G27,基本資料!$A:$M,12,0),"無")</f>
        <v>26.54</v>
      </c>
      <c r="AD27" s="22" t="s">
        <v>3913</v>
      </c>
      <c r="AE27" s="84">
        <v>44690</v>
      </c>
      <c r="AF27" s="83"/>
      <c r="AG27" s="33"/>
      <c r="AH27" s="117" t="s">
        <v>299</v>
      </c>
      <c r="AI27" s="22" t="s">
        <v>3913</v>
      </c>
      <c r="AJ27" s="63">
        <f t="shared" si="2"/>
        <v>2.3595677050222506E-3</v>
      </c>
      <c r="AK27" s="284">
        <f>RTD("money.excel",,$G27,"PredictVolume")</f>
        <v>37116</v>
      </c>
      <c r="AL27" s="400">
        <f>IFERROR(VLOOKUP($G27,基本資料!$A:$M,13,0),"無")</f>
        <v>5.14</v>
      </c>
      <c r="AM27" s="275">
        <f>RTD("money.excel",,"2002","VolumeStrength")</f>
        <v>3</v>
      </c>
      <c r="AN27" s="40">
        <f>RTD("money.excel",,"2002","ChangePercent")</f>
        <v>-1.1560693641618498</v>
      </c>
    </row>
    <row r="28" spans="1:40" s="245" customFormat="1">
      <c r="A28" s="347">
        <f>IFERROR(VLOOKUP($G28,基本資料!$A:$J,3,0),"無")</f>
        <v>568</v>
      </c>
      <c r="B28" s="79">
        <f>IFERROR(VLOOKUP($G28,基本資料!$A:$J,4,0),"無")</f>
        <v>-6</v>
      </c>
      <c r="C28" s="79">
        <f>IFERROR(VLOOKUP($G28,基本資料!$A:$J,5,0),"無")</f>
        <v>-4</v>
      </c>
      <c r="D28" s="79">
        <f>IFERROR(VLOOKUP($G28,基本資料!$A:$J,6,0),"無")</f>
        <v>23</v>
      </c>
      <c r="E28" s="79">
        <f>IFERROR(VLOOKUP($G28,基本資料!$A:$J,7,0),"無")</f>
        <v>9</v>
      </c>
      <c r="F28" s="6">
        <f>IFERROR(VLOOKUP($G28,基本資料!$A:$J,8,0),"無")</f>
        <v>6</v>
      </c>
      <c r="G28" s="80">
        <v>1216</v>
      </c>
      <c r="H28" s="5" t="s">
        <v>292</v>
      </c>
      <c r="I28" s="153" t="s">
        <v>10</v>
      </c>
      <c r="J28" s="8" t="str">
        <f>IFERROR(VLOOKUP($G28,今日總結!$A:$AJ,35,0),"")</f>
        <v>投</v>
      </c>
      <c r="K28" s="5" t="str">
        <f>IFERROR(VLOOKUP($G28,今日總結!$A:$AJ,36,0),"")</f>
        <v>自</v>
      </c>
      <c r="L28" s="156">
        <f>IFERROR(VLOOKUP($G28,今日總結!$A:$AJ,33,0),"")</f>
        <v>1</v>
      </c>
      <c r="M28" s="340">
        <f>IFERROR(VLOOKUP($G28,今日總結!$A:$AJ,34,0),"")</f>
        <v>1</v>
      </c>
      <c r="N28" s="240">
        <f t="shared" si="3"/>
        <v>0</v>
      </c>
      <c r="P28" s="365">
        <f>IFERROR(VLOOKUP($G28,融外自投!$A:$J,7,0),"無")</f>
        <v>1428</v>
      </c>
      <c r="Q28" s="79">
        <f>IFERROR(VLOOKUP($G28,融外自投!$A:$J,9,0),"無")</f>
        <v>379</v>
      </c>
      <c r="R28" s="346">
        <f>IFERROR(VLOOKUP($G28,融外自投!$A:$J,8,0),"無")</f>
        <v>115</v>
      </c>
      <c r="S28" s="81">
        <f>IFERROR(VLOOKUP($G28,融外自投!$A:$J,10,0),"無")</f>
        <v>150</v>
      </c>
      <c r="T28" s="327">
        <f>IFERROR(VLOOKUP($G28,'321買'!$A:$E,5,0),"'沒有資料'")</f>
        <v>77</v>
      </c>
      <c r="U28" s="186">
        <f>IFERROR(VLOOKUP($G28,基本資料!$A:$J,9,0),"無")</f>
        <v>2.7</v>
      </c>
      <c r="V28" s="310">
        <f t="shared" si="4"/>
        <v>4.072398190045249E-2</v>
      </c>
      <c r="W28" s="94">
        <f>IFERROR(VLOOKUP($G28,基本資料!$A:$J,10,0),"無")</f>
        <v>3.5</v>
      </c>
      <c r="X28" s="36">
        <f>RTD("money.excel",,$G28,"Price")</f>
        <v>66.3</v>
      </c>
      <c r="Y28" s="66">
        <v>68.400000000000006</v>
      </c>
      <c r="Z28" s="15">
        <f t="shared" si="0"/>
        <v>-2.1000000000000085</v>
      </c>
      <c r="AA28" s="3">
        <f t="shared" si="1"/>
        <v>-3.0701754385965035E-2</v>
      </c>
      <c r="AB28" s="344">
        <f>IFERROR(VLOOKUP($G28,基本資料!$A:$M,11,0),"無")</f>
        <v>-12.5</v>
      </c>
      <c r="AC28" s="397">
        <f>IFERROR(VLOOKUP($G28,基本資料!$A:$M,12,0),"無")</f>
        <v>59.75</v>
      </c>
      <c r="AD28" s="153" t="s">
        <v>10</v>
      </c>
      <c r="AE28" s="84"/>
      <c r="AF28" s="83"/>
      <c r="AG28" s="33"/>
      <c r="AH28" s="117" t="s">
        <v>292</v>
      </c>
      <c r="AI28" s="153" t="s">
        <v>10</v>
      </c>
      <c r="AJ28" s="63">
        <f t="shared" si="2"/>
        <v>9.5528169014084507E-4</v>
      </c>
      <c r="AK28" s="284">
        <f>RTD("money.excel",,$G28,"PredictVolume")</f>
        <v>5426</v>
      </c>
      <c r="AL28" s="400">
        <f>IFERROR(VLOOKUP($G28,基本資料!$A:$M,13,0),"無")</f>
        <v>0.4</v>
      </c>
      <c r="AM28" s="275">
        <f>RTD("money.excel",,"1216","VolumeStrength")</f>
        <v>-14</v>
      </c>
      <c r="AN28" s="40">
        <f>RTD("money.excel",,"1216","ChangePercent")</f>
        <v>-0.89686098654708524</v>
      </c>
    </row>
    <row r="29" spans="1:40" s="245" customFormat="1">
      <c r="A29" s="347">
        <f>IFERROR(VLOOKUP($G29,基本資料!$A:$J,3,0),"無")</f>
        <v>54.61</v>
      </c>
      <c r="B29" s="79">
        <f>IFERROR(VLOOKUP($G29,基本資料!$A:$J,4,0),"無")</f>
        <v>18</v>
      </c>
      <c r="C29" s="79">
        <f>IFERROR(VLOOKUP($G29,基本資料!$A:$J,5,0),"無")</f>
        <v>15</v>
      </c>
      <c r="D29" s="79">
        <f>IFERROR(VLOOKUP($G29,基本資料!$A:$J,6,0),"無")</f>
        <v>27</v>
      </c>
      <c r="E29" s="79">
        <f>IFERROR(VLOOKUP($G29,基本資料!$A:$J,7,0),"無")</f>
        <v>-5</v>
      </c>
      <c r="F29" s="6">
        <f>IFERROR(VLOOKUP($G29,基本資料!$A:$J,8,0),"無")</f>
        <v>10.81</v>
      </c>
      <c r="G29" s="80">
        <v>2207</v>
      </c>
      <c r="H29" s="5" t="s">
        <v>1852</v>
      </c>
      <c r="I29" s="22" t="s">
        <v>14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340" t="str">
        <f>IFERROR(VLOOKUP($G29,今日總結!$A:$AJ,34,0),"")</f>
        <v/>
      </c>
      <c r="N29" s="240" t="str">
        <f t="shared" si="3"/>
        <v/>
      </c>
      <c r="P29" s="365">
        <f>IFERROR(VLOOKUP($G29,融外自投!$A:$J,7,0),"無")</f>
        <v>1448</v>
      </c>
      <c r="Q29" s="79">
        <f>IFERROR(VLOOKUP($G29,融外自投!$A:$J,9,0),"無")</f>
        <v>734</v>
      </c>
      <c r="R29" s="346">
        <f>IFERROR(VLOOKUP($G29,融外自投!$A:$J,8,0),"無")</f>
        <v>235</v>
      </c>
      <c r="S29" s="81">
        <f>IFERROR(VLOOKUP($G29,融外自投!$A:$J,10,0),"無")</f>
        <v>250</v>
      </c>
      <c r="T29" s="327">
        <f>IFERROR(VLOOKUP($G29,'321買'!$A:$E,5,0),"'沒有資料'")</f>
        <v>306</v>
      </c>
      <c r="U29" s="186">
        <f>IFERROR(VLOOKUP($G29,基本資料!$A:$J,9,0),"無")</f>
        <v>20</v>
      </c>
      <c r="V29" s="310">
        <f t="shared" si="4"/>
        <v>3.5273368606701938E-2</v>
      </c>
      <c r="W29" s="94">
        <f>IFERROR(VLOOKUP($G29,基本資料!$A:$J,10,0),"無")</f>
        <v>29.68</v>
      </c>
      <c r="X29" s="36">
        <f>RTD("money.excel",,"2207","Price")</f>
        <v>567</v>
      </c>
      <c r="Y29" s="66">
        <v>580</v>
      </c>
      <c r="Z29" s="15">
        <f t="shared" si="0"/>
        <v>-13</v>
      </c>
      <c r="AA29" s="3">
        <f t="shared" si="1"/>
        <v>-2.2413793103448276E-2</v>
      </c>
      <c r="AB29" s="344">
        <f>IFERROR(VLOOKUP($G29,基本資料!$A:$M,11,0),"無")</f>
        <v>-17.34</v>
      </c>
      <c r="AC29" s="397">
        <f>IFERROR(VLOOKUP($G29,基本資料!$A:$M,12,0),"無")</f>
        <v>14.65</v>
      </c>
      <c r="AD29" s="22" t="s">
        <v>14</v>
      </c>
      <c r="AE29" s="84"/>
      <c r="AF29" s="83"/>
      <c r="AG29" s="33"/>
      <c r="AH29" s="117" t="s">
        <v>2621</v>
      </c>
      <c r="AI29" s="22" t="s">
        <v>14</v>
      </c>
      <c r="AJ29" s="63">
        <f t="shared" si="2"/>
        <v>5.4568760300311293E-4</v>
      </c>
      <c r="AK29" s="284">
        <f>RTD("money.excel",,$G29,"PredictVolume")</f>
        <v>298</v>
      </c>
      <c r="AL29" s="400">
        <f>IFERROR(VLOOKUP($G29,基本資料!$A:$M,13,0),"無")</f>
        <v>0.23</v>
      </c>
      <c r="AM29" s="275">
        <f>RTD("money.excel",,"2207","VolumeStrength")</f>
        <v>35</v>
      </c>
      <c r="AN29" s="40">
        <f>RTD("money.excel",,"2207","ChangePercent")</f>
        <v>2.3465703971119134</v>
      </c>
    </row>
    <row r="30" spans="1:40" s="245" customFormat="1">
      <c r="A30" s="347">
        <f>IFERROR(VLOOKUP($G30,基本資料!$A:$J,3,0),"無")</f>
        <v>147</v>
      </c>
      <c r="B30" s="79">
        <f>IFERROR(VLOOKUP($G30,基本資料!$A:$J,4,0),"無")</f>
        <v>154</v>
      </c>
      <c r="C30" s="79">
        <f>IFERROR(VLOOKUP($G30,基本資料!$A:$J,5,0),"無")</f>
        <v>227</v>
      </c>
      <c r="D30" s="79">
        <f>IFERROR(VLOOKUP($G30,基本資料!$A:$J,6,0),"無")</f>
        <v>4</v>
      </c>
      <c r="E30" s="79">
        <f>IFERROR(VLOOKUP($G30,基本資料!$A:$J,7,0),"無")</f>
        <v>41</v>
      </c>
      <c r="F30" s="6">
        <f>IFERROR(VLOOKUP($G30,基本資料!$A:$J,8,0),"無")</f>
        <v>12.6</v>
      </c>
      <c r="G30" s="80">
        <v>3037</v>
      </c>
      <c r="H30" s="5" t="s">
        <v>3389</v>
      </c>
      <c r="I30" s="22" t="s">
        <v>2917</v>
      </c>
      <c r="J30" s="8" t="str">
        <f>IFERROR(VLOOKUP($G30,今日總結!$A:$AJ,35,0),"")</f>
        <v/>
      </c>
      <c r="K30" s="5" t="str">
        <f>IFERROR(VLOOKUP($G30,今日總結!$A:$AJ,36,0),"")</f>
        <v/>
      </c>
      <c r="L30" s="156" t="str">
        <f>IFERROR(VLOOKUP($G30,今日總結!$A:$AJ,33,0),"")</f>
        <v/>
      </c>
      <c r="M30" s="340" t="str">
        <f>IFERROR(VLOOKUP($G30,今日總結!$A:$AJ,34,0),"")</f>
        <v/>
      </c>
      <c r="N30" s="240" t="str">
        <f t="shared" si="3"/>
        <v/>
      </c>
      <c r="O30" s="248"/>
      <c r="P30" s="365">
        <f>IFERROR(VLOOKUP($G30,融外自投!$A:$J,7,0),"無")</f>
        <v>652</v>
      </c>
      <c r="Q30" s="79">
        <f>IFERROR(VLOOKUP($G30,融外自投!$A:$J,9,0),"無")</f>
        <v>180</v>
      </c>
      <c r="R30" s="346">
        <f>IFERROR(VLOOKUP($G30,融外自投!$A:$J,8,0),"無")</f>
        <v>117</v>
      </c>
      <c r="S30" s="81">
        <f>IFERROR(VLOOKUP($G30,融外自投!$A:$J,10,0),"無")</f>
        <v>24</v>
      </c>
      <c r="T30" s="327">
        <f>IFERROR(VLOOKUP($G30,'321買'!$A:$E,5,0),"'沒有資料'")</f>
        <v>83</v>
      </c>
      <c r="U30" s="186">
        <f>IFERROR(VLOOKUP($G30,基本資料!$A:$J,9,0),"無")</f>
        <v>3.4</v>
      </c>
      <c r="V30" s="310">
        <f t="shared" si="4"/>
        <v>1.6037735849056604E-2</v>
      </c>
      <c r="W30" s="94">
        <f>IFERROR(VLOOKUP($G30,基本資料!$A:$J,10,0),"無")</f>
        <v>8.98</v>
      </c>
      <c r="X30" s="36">
        <f>RTD("money.excel",,"3037","Price")</f>
        <v>212</v>
      </c>
      <c r="Y30" s="66">
        <v>213</v>
      </c>
      <c r="Z30" s="15">
        <f t="shared" si="0"/>
        <v>-1</v>
      </c>
      <c r="AA30" s="3">
        <f t="shared" si="1"/>
        <v>-4.6948356807511738E-3</v>
      </c>
      <c r="AB30" s="344">
        <f>IFERROR(VLOOKUP($G30,基本資料!$A:$M,11,0),"無")</f>
        <v>-19.16</v>
      </c>
      <c r="AC30" s="397">
        <f>IFERROR(VLOOKUP($G30,基本資料!$A:$M,12,0),"無")</f>
        <v>31.15</v>
      </c>
      <c r="AD30" s="22" t="s">
        <v>2917</v>
      </c>
      <c r="AE30" s="84"/>
      <c r="AF30" s="83"/>
      <c r="AG30" s="33"/>
      <c r="AH30" s="117" t="s">
        <v>4532</v>
      </c>
      <c r="AI30" s="22" t="s">
        <v>2917</v>
      </c>
      <c r="AJ30" s="63">
        <f t="shared" si="2"/>
        <v>1.1828571428571428E-2</v>
      </c>
      <c r="AK30" s="284">
        <f>RTD("money.excel",,$G30,"PredictVolume")</f>
        <v>17388</v>
      </c>
      <c r="AL30" s="400">
        <f>IFERROR(VLOOKUP($G30,基本資料!$A:$M,13,0),"無")</f>
        <v>9.07</v>
      </c>
      <c r="AM30" s="275">
        <f>RTD("money.excel",,"3037","VolumeStrength")</f>
        <v>-36</v>
      </c>
      <c r="AN30" s="40">
        <f>RTD("money.excel",,"3037","ChangePercent")</f>
        <v>-2.0785219399538106</v>
      </c>
    </row>
    <row r="31" spans="1:40" s="245" customFormat="1">
      <c r="A31" s="347">
        <f>IFERROR(VLOOKUP($G31,基本資料!$A:$J,3,0),"無")</f>
        <v>43.72</v>
      </c>
      <c r="B31" s="79">
        <f>IFERROR(VLOOKUP($G31,基本資料!$A:$J,4,0),"無")</f>
        <v>-9</v>
      </c>
      <c r="C31" s="79">
        <f>IFERROR(VLOOKUP($G31,基本資料!$A:$J,5,0),"無")</f>
        <v>15</v>
      </c>
      <c r="D31" s="79">
        <f>IFERROR(VLOOKUP($G31,基本資料!$A:$J,6,0),"無")</f>
        <v>7</v>
      </c>
      <c r="E31" s="79">
        <f>IFERROR(VLOOKUP($G31,基本資料!$A:$J,7,0),"無")</f>
        <v>0</v>
      </c>
      <c r="F31" s="6">
        <f>IFERROR(VLOOKUP($G31,基本資料!$A:$J,8,0),"無")</f>
        <v>28.94</v>
      </c>
      <c r="G31" s="80">
        <v>6488</v>
      </c>
      <c r="H31" s="193" t="s">
        <v>3039</v>
      </c>
      <c r="I31" s="16" t="s">
        <v>34</v>
      </c>
      <c r="J31" s="8" t="str">
        <f>IFERROR(VLOOKUP($G31,今日總結!$A:$AJ,35,0),"")</f>
        <v/>
      </c>
      <c r="K31" s="5" t="str">
        <f>IFERROR(VLOOKUP($G31,今日總結!$A:$AJ,36,0),"")</f>
        <v/>
      </c>
      <c r="L31" s="156" t="str">
        <f>IFERROR(VLOOKUP($G31,今日總結!$A:$AJ,33,0),"")</f>
        <v/>
      </c>
      <c r="M31" s="340" t="str">
        <f>IFERROR(VLOOKUP($G31,今日總結!$A:$AJ,34,0),"")</f>
        <v/>
      </c>
      <c r="N31" s="240" t="str">
        <f t="shared" si="3"/>
        <v/>
      </c>
      <c r="P31" s="365">
        <f>IFERROR(VLOOKUP($G31,融外自投!$A:$J,7,0),"無")</f>
        <v>962</v>
      </c>
      <c r="Q31" s="79">
        <f>IFERROR(VLOOKUP($G31,融外自投!$A:$J,9,0),"無")</f>
        <v>292</v>
      </c>
      <c r="R31" s="346">
        <f>IFERROR(VLOOKUP($G31,融外自投!$A:$J,8,0),"無")</f>
        <v>200</v>
      </c>
      <c r="S31" s="81">
        <f>IFERROR(VLOOKUP($G31,融外自投!$A:$J,10,0),"無")</f>
        <v>156</v>
      </c>
      <c r="T31" s="327">
        <f>IFERROR(VLOOKUP($G31,'321買'!$A:$E,5,0),"'沒有資料'")</f>
        <v>164</v>
      </c>
      <c r="U31" s="186">
        <f>IFERROR(VLOOKUP($G31,基本資料!$A:$J,9,0),"無")</f>
        <v>16</v>
      </c>
      <c r="V31" s="310">
        <f t="shared" si="4"/>
        <v>3.0018761726078799E-2</v>
      </c>
      <c r="W31" s="94">
        <f>IFERROR(VLOOKUP($G31,基本資料!$A:$J,10,0),"無")</f>
        <v>27.27</v>
      </c>
      <c r="X31" s="36">
        <f>RTD("money.excel",,"6488","Price")</f>
        <v>533</v>
      </c>
      <c r="Y31" s="66">
        <v>520</v>
      </c>
      <c r="Z31" s="15">
        <f t="shared" si="0"/>
        <v>13</v>
      </c>
      <c r="AA31" s="3">
        <f t="shared" si="1"/>
        <v>2.5000000000000001E-2</v>
      </c>
      <c r="AB31" s="344">
        <f>IFERROR(VLOOKUP($G31,基本資料!$A:$M,11,0),"無")</f>
        <v>-45.68</v>
      </c>
      <c r="AC31" s="397">
        <f>IFERROR(VLOOKUP($G31,基本資料!$A:$M,12,0),"無")</f>
        <v>18.77</v>
      </c>
      <c r="AD31" s="16" t="s">
        <v>34</v>
      </c>
      <c r="AE31" s="84">
        <v>44690</v>
      </c>
      <c r="AF31" s="83"/>
      <c r="AG31" s="33"/>
      <c r="AH31" s="118" t="s">
        <v>2168</v>
      </c>
      <c r="AI31" s="16" t="s">
        <v>34</v>
      </c>
      <c r="AJ31" s="63">
        <f t="shared" si="2"/>
        <v>5.9743824336688017E-3</v>
      </c>
      <c r="AK31" s="284">
        <f>RTD("money.excel",,$G31,"PredictVolume")</f>
        <v>2612</v>
      </c>
      <c r="AL31" s="400">
        <f>IFERROR(VLOOKUP($G31,基本資料!$A:$M,13,0),"無")</f>
        <v>2.12</v>
      </c>
      <c r="AM31" s="275">
        <f>RTD("money.excel",,"6488","VolumeStrength")</f>
        <v>-14</v>
      </c>
      <c r="AN31" s="40">
        <f>RTD("money.excel",,"6488","ChangePercent")</f>
        <v>1.1385199240986716</v>
      </c>
    </row>
    <row r="32" spans="1:40" s="245" customFormat="1">
      <c r="A32" s="347">
        <f>IFERROR(VLOOKUP($G32,基本資料!$A:$J,3,0),"無")</f>
        <v>114</v>
      </c>
      <c r="B32" s="79">
        <f>IFERROR(VLOOKUP($G32,基本資料!$A:$J,4,0),"無")</f>
        <v>41</v>
      </c>
      <c r="C32" s="79">
        <f>IFERROR(VLOOKUP($G32,基本資料!$A:$J,5,0),"無")</f>
        <v>63</v>
      </c>
      <c r="D32" s="79">
        <f>IFERROR(VLOOKUP($G32,基本資料!$A:$J,6,0),"無")</f>
        <v>1</v>
      </c>
      <c r="E32" s="79">
        <f>IFERROR(VLOOKUP($G32,基本資料!$A:$J,7,0),"無")</f>
        <v>66</v>
      </c>
      <c r="F32" s="6">
        <f>IFERROR(VLOOKUP($G32,基本資料!$A:$J,8,0),"無")</f>
        <v>15.39</v>
      </c>
      <c r="G32" s="80">
        <v>8069</v>
      </c>
      <c r="H32" s="183" t="s">
        <v>1878</v>
      </c>
      <c r="I32" s="16" t="s">
        <v>4302</v>
      </c>
      <c r="J32" s="8" t="str">
        <f>IFERROR(VLOOKUP($G32,今日總結!$A:$AJ,35,0),"")</f>
        <v/>
      </c>
      <c r="K32" s="5" t="str">
        <f>IFERROR(VLOOKUP($G32,今日總結!$A:$AJ,36,0),"")</f>
        <v/>
      </c>
      <c r="L32" s="156" t="str">
        <f>IFERROR(VLOOKUP($G32,今日總結!$A:$AJ,33,0),"")</f>
        <v/>
      </c>
      <c r="M32" s="340" t="str">
        <f>IFERROR(VLOOKUP($G32,今日總結!$A:$AJ,34,0),"")</f>
        <v/>
      </c>
      <c r="N32" s="240" t="str">
        <f t="shared" si="3"/>
        <v/>
      </c>
      <c r="P32" s="365">
        <f>IFERROR(VLOOKUP($G32,融外自投!$A:$J,7,0),"無")</f>
        <v>843</v>
      </c>
      <c r="Q32" s="79">
        <f>IFERROR(VLOOKUP($G32,融外自投!$A:$J,9,0),"無")</f>
        <v>152</v>
      </c>
      <c r="R32" s="346">
        <f>IFERROR(VLOOKUP($G32,融外自投!$A:$J,8,0),"無")</f>
        <v>137</v>
      </c>
      <c r="S32" s="81">
        <f>IFERROR(VLOOKUP($G32,融外自投!$A:$J,10,0),"無")</f>
        <v>58</v>
      </c>
      <c r="T32" s="327">
        <f>IFERROR(VLOOKUP($G32,'321買'!$A:$E,5,0),"'沒有資料'")</f>
        <v>87</v>
      </c>
      <c r="U32" s="186">
        <f>IFERROR(VLOOKUP($G32,基本資料!$A:$J,9,0),"無")</f>
        <v>3.2</v>
      </c>
      <c r="V32" s="310">
        <f t="shared" si="4"/>
        <v>1.8497109826589597E-2</v>
      </c>
      <c r="W32" s="94">
        <f>IFERROR(VLOOKUP($G32,基本資料!$A:$J,10,0),"無")</f>
        <v>4.53</v>
      </c>
      <c r="X32" s="36">
        <f>RTD("money.excel",,"8069","Price")</f>
        <v>173</v>
      </c>
      <c r="Y32" s="66">
        <v>174</v>
      </c>
      <c r="Z32" s="15">
        <f t="shared" si="0"/>
        <v>-1</v>
      </c>
      <c r="AA32" s="3">
        <f t="shared" ref="AA32:AA38" si="5">Z32/Y32</f>
        <v>-5.7471264367816091E-3</v>
      </c>
      <c r="AB32" s="344">
        <f>IFERROR(VLOOKUP($G32,基本資料!$A:$M,11,0),"無")</f>
        <v>-13.27</v>
      </c>
      <c r="AC32" s="397">
        <f>IFERROR(VLOOKUP($G32,基本資料!$A:$M,12,0),"無")</f>
        <v>66.34</v>
      </c>
      <c r="AD32" s="16" t="s">
        <v>4302</v>
      </c>
      <c r="AE32" s="84"/>
      <c r="AF32" s="83">
        <v>44690</v>
      </c>
      <c r="AG32" s="33"/>
      <c r="AH32" s="117" t="s">
        <v>4303</v>
      </c>
      <c r="AI32" s="16" t="s">
        <v>4302</v>
      </c>
      <c r="AJ32" s="63">
        <f t="shared" si="2"/>
        <v>3.4035964912280704E-2</v>
      </c>
      <c r="AK32" s="284">
        <f>RTD("money.excel",,$G32,"PredictVolume")</f>
        <v>38801</v>
      </c>
      <c r="AL32" s="400">
        <f>IFERROR(VLOOKUP($G32,基本資料!$A:$M,13,0),"無")</f>
        <v>9.06</v>
      </c>
      <c r="AM32" s="275">
        <f>RTD("money.excel",,"8069","VolumeStrength")</f>
        <v>170</v>
      </c>
      <c r="AN32" s="40">
        <f>RTD("money.excel",,"8069","ChangePercent")</f>
        <v>0</v>
      </c>
    </row>
    <row r="33" spans="1:40" s="245" customFormat="1">
      <c r="A33" s="347">
        <f>IFERROR(VLOOKUP($G33,基本資料!$A:$J,3,0),"無")</f>
        <v>163</v>
      </c>
      <c r="B33" s="79">
        <f>IFERROR(VLOOKUP($G33,基本資料!$A:$J,4,0),"無")</f>
        <v>87</v>
      </c>
      <c r="C33" s="79">
        <f>IFERROR(VLOOKUP($G33,基本資料!$A:$J,5,0),"無")</f>
        <v>90</v>
      </c>
      <c r="D33" s="79">
        <f>IFERROR(VLOOKUP($G33,基本資料!$A:$J,6,0),"無")</f>
        <v>-11</v>
      </c>
      <c r="E33" s="79">
        <f>IFERROR(VLOOKUP($G33,基本資料!$A:$J,7,0),"無")</f>
        <v>41</v>
      </c>
      <c r="F33" s="6">
        <f>IFERROR(VLOOKUP($G33,基本資料!$A:$J,8,0),"無")</f>
        <v>32.090000000000003</v>
      </c>
      <c r="G33" s="80">
        <v>5347</v>
      </c>
      <c r="H33" s="183" t="s">
        <v>3039</v>
      </c>
      <c r="I33" s="16" t="s">
        <v>33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340" t="str">
        <f>IFERROR(VLOOKUP($G33,今日總結!$A:$AJ,34,0),"")</f>
        <v/>
      </c>
      <c r="N33" s="240" t="str">
        <f t="shared" si="3"/>
        <v/>
      </c>
      <c r="P33" s="365">
        <f>IFERROR(VLOOKUP($G33,融外自投!$A:$J,7,0),"無")</f>
        <v>1181</v>
      </c>
      <c r="Q33" s="79">
        <f>IFERROR(VLOOKUP($G33,融外自投!$A:$J,9,0),"無")</f>
        <v>406</v>
      </c>
      <c r="R33" s="346">
        <f>IFERROR(VLOOKUP($G33,融外自投!$A:$J,8,0),"無")</f>
        <v>171</v>
      </c>
      <c r="S33" s="81">
        <f>IFERROR(VLOOKUP($G33,融外自投!$A:$J,10,0),"無")</f>
        <v>145</v>
      </c>
      <c r="T33" s="327">
        <f>IFERROR(VLOOKUP($G33,'321買'!$A:$E,5,0),"'沒有資料'")</f>
        <v>357</v>
      </c>
      <c r="U33" s="186">
        <f>IFERROR(VLOOKUP($G33,基本資料!$A:$J,9,0),"無")</f>
        <v>4.5</v>
      </c>
      <c r="V33" s="310">
        <f t="shared" si="4"/>
        <v>4.4117647058823532E-2</v>
      </c>
      <c r="W33" s="94">
        <f>IFERROR(VLOOKUP($G33,基本資料!$A:$J,10,0),"無")</f>
        <v>7.21</v>
      </c>
      <c r="X33" s="36">
        <f>RTD("money.excel",,"5347","Price")</f>
        <v>102</v>
      </c>
      <c r="Y33" s="66">
        <v>105.5</v>
      </c>
      <c r="Z33" s="15">
        <f t="shared" si="0"/>
        <v>-3.5</v>
      </c>
      <c r="AA33" s="3">
        <f t="shared" si="5"/>
        <v>-3.3175355450236969E-2</v>
      </c>
      <c r="AB33" s="344">
        <f>IFERROR(VLOOKUP($G33,基本資料!$A:$M,11,0),"無")</f>
        <v>-43.79</v>
      </c>
      <c r="AC33" s="397">
        <f>IFERROR(VLOOKUP($G33,基本資料!$A:$M,12,0),"無")</f>
        <v>19.149999999999999</v>
      </c>
      <c r="AD33" s="16" t="s">
        <v>33</v>
      </c>
      <c r="AE33" s="84"/>
      <c r="AF33" s="83"/>
      <c r="AG33" s="33"/>
      <c r="AH33" s="117" t="s">
        <v>1453</v>
      </c>
      <c r="AI33" s="16" t="s">
        <v>33</v>
      </c>
      <c r="AJ33" s="63">
        <f t="shared" si="2"/>
        <v>2.4159509202453986E-3</v>
      </c>
      <c r="AK33" s="284">
        <f>RTD("money.excel",,$G33,"PredictVolume")</f>
        <v>3938</v>
      </c>
      <c r="AL33" s="400">
        <f>IFERROR(VLOOKUP($G33,基本資料!$A:$M,13,0),"無")</f>
        <v>3.26</v>
      </c>
      <c r="AM33" s="275">
        <f>RTD("money.excel",,"5347","VolumeStrength")</f>
        <v>-48</v>
      </c>
      <c r="AN33" s="40">
        <f>RTD("money.excel",,"5347","ChangePercent")</f>
        <v>0.99009900990099009</v>
      </c>
    </row>
    <row r="34" spans="1:40" s="245" customFormat="1">
      <c r="A34" s="347">
        <f>IFERROR(VLOOKUP($G34,基本資料!$A:$J,3,0),"無")</f>
        <v>7.61</v>
      </c>
      <c r="B34" s="79">
        <f>IFERROR(VLOOKUP($G34,基本資料!$A:$J,4,0),"無")</f>
        <v>54</v>
      </c>
      <c r="C34" s="79">
        <f>IFERROR(VLOOKUP($G34,基本資料!$A:$J,5,0),"無")</f>
        <v>54</v>
      </c>
      <c r="D34" s="79">
        <f>IFERROR(VLOOKUP($G34,基本資料!$A:$J,6,0),"無")</f>
        <v>729</v>
      </c>
      <c r="E34" s="79">
        <f>IFERROR(VLOOKUP($G34,基本資料!$A:$J,7,0),"無")</f>
        <v>45</v>
      </c>
      <c r="F34" s="6">
        <f>IFERROR(VLOOKUP($G34,基本資料!$A:$J,8,0),"無")</f>
        <v>53.68</v>
      </c>
      <c r="G34" s="80">
        <v>3529</v>
      </c>
      <c r="H34" s="183" t="s">
        <v>3039</v>
      </c>
      <c r="I34" s="16" t="s">
        <v>36</v>
      </c>
      <c r="J34" s="8">
        <f>IFERROR(VLOOKUP($G34,今日總結!$A:$AJ,35,0),"")</f>
        <v>0</v>
      </c>
      <c r="K34" s="5">
        <f>IFERROR(VLOOKUP($G34,今日總結!$A:$AJ,36,0),"")</f>
        <v>9</v>
      </c>
      <c r="L34" s="156">
        <f>IFERROR(VLOOKUP($G34,今日總結!$A:$AJ,33,0),"")</f>
        <v>0</v>
      </c>
      <c r="M34" s="340">
        <f>IFERROR(VLOOKUP($G34,今日總結!$A:$AJ,34,0),"")</f>
        <v>1</v>
      </c>
      <c r="N34" s="240">
        <f t="shared" si="3"/>
        <v>-1</v>
      </c>
      <c r="P34" s="365">
        <f>IFERROR(VLOOKUP($G34,融外自投!$A:$J,7,0),"無")</f>
        <v>870</v>
      </c>
      <c r="Q34" s="79">
        <f>IFERROR(VLOOKUP($G34,融外自投!$A:$J,9,0),"無")</f>
        <v>13</v>
      </c>
      <c r="R34" s="346">
        <f>IFERROR(VLOOKUP($G34,融外自投!$A:$J,8,0),"無")</f>
        <v>53</v>
      </c>
      <c r="S34" s="81">
        <f>IFERROR(VLOOKUP($G34,融外自投!$A:$J,10,0),"無")</f>
        <v>12</v>
      </c>
      <c r="T34" s="327">
        <f>IFERROR(VLOOKUP($G34,'321買'!$A:$E,5,0),"'沒有資料'")</f>
        <v>164</v>
      </c>
      <c r="U34" s="186">
        <f>IFERROR(VLOOKUP($G34,基本資料!$A:$J,9,0),"無")</f>
        <v>14</v>
      </c>
      <c r="V34" s="310">
        <f t="shared" si="4"/>
        <v>1.1475409836065573E-2</v>
      </c>
      <c r="W34" s="94">
        <f>IFERROR(VLOOKUP($G34,基本資料!$A:$J,10,0),"無")</f>
        <v>14.78</v>
      </c>
      <c r="X34" s="372">
        <f>RTD("money.excel",,"3529","Price")</f>
        <v>1220</v>
      </c>
      <c r="Y34" s="398">
        <v>1285</v>
      </c>
      <c r="Z34" s="15">
        <f t="shared" si="0"/>
        <v>-65</v>
      </c>
      <c r="AA34" s="3">
        <f t="shared" si="5"/>
        <v>-5.0583657587548639E-2</v>
      </c>
      <c r="AB34" s="344">
        <f>IFERROR(VLOOKUP($G34,基本資料!$A:$M,11,0),"無")</f>
        <v>-52.58</v>
      </c>
      <c r="AC34" s="397">
        <f>IFERROR(VLOOKUP($G34,基本資料!$A:$M,12,0),"無")</f>
        <v>19.91</v>
      </c>
      <c r="AD34" s="16" t="s">
        <v>36</v>
      </c>
      <c r="AE34" s="84">
        <v>44690</v>
      </c>
      <c r="AF34" s="83"/>
      <c r="AG34" s="33"/>
      <c r="AH34" s="117" t="s">
        <v>2924</v>
      </c>
      <c r="AI34" s="16" t="s">
        <v>36</v>
      </c>
      <c r="AJ34" s="63">
        <f t="shared" si="2"/>
        <v>1.7923784494086728E-2</v>
      </c>
      <c r="AK34" s="284">
        <f>RTD("money.excel",,$G34,"PredictVolume")</f>
        <v>1364</v>
      </c>
      <c r="AL34" s="400">
        <f>IFERROR(VLOOKUP($G34,基本資料!$A:$M,13,0),"無")</f>
        <v>8.49</v>
      </c>
      <c r="AM34" s="275">
        <f>RTD("money.excel",,"3529","VolumeStrength")</f>
        <v>5</v>
      </c>
      <c r="AN34" s="40">
        <f>RTD("money.excel",,"3529","ChangePercent")</f>
        <v>-1.214574898785425</v>
      </c>
    </row>
    <row r="35" spans="1:40" s="245" customFormat="1">
      <c r="A35" s="347">
        <f>IFERROR(VLOOKUP($G35,基本資料!$A:$J,3,0),"無")</f>
        <v>3.43</v>
      </c>
      <c r="B35" s="79">
        <f>IFERROR(VLOOKUP($G35,基本資料!$A:$J,4,0),"無")</f>
        <v>30</v>
      </c>
      <c r="C35" s="79">
        <f>IFERROR(VLOOKUP($G35,基本資料!$A:$J,5,0),"無")</f>
        <v>30</v>
      </c>
      <c r="D35" s="79">
        <f>IFERROR(VLOOKUP($G35,基本資料!$A:$J,6,0),"無")</f>
        <v>4</v>
      </c>
      <c r="E35" s="79">
        <f>IFERROR(VLOOKUP($G35,基本資料!$A:$J,7,0),"無")</f>
        <v>60</v>
      </c>
      <c r="F35" s="6">
        <f>IFERROR(VLOOKUP($G35,基本資料!$A:$J,8,0),"無")</f>
        <v>45.42</v>
      </c>
      <c r="G35" s="80">
        <v>5274</v>
      </c>
      <c r="H35" s="183" t="s">
        <v>3039</v>
      </c>
      <c r="I35" s="16" t="s">
        <v>217</v>
      </c>
      <c r="J35" s="8" t="str">
        <f>IFERROR(VLOOKUP($G35,今日總結!$A:$AJ,35,0),"")</f>
        <v>融</v>
      </c>
      <c r="K35" s="5" t="str">
        <f>IFERROR(VLOOKUP($G35,今日總結!$A:$AJ,36,0),"")</f>
        <v>外</v>
      </c>
      <c r="L35" s="156">
        <f>IFERROR(VLOOKUP($G35,今日總結!$A:$AJ,33,0),"")</f>
        <v>1</v>
      </c>
      <c r="M35" s="340">
        <f>IFERROR(VLOOKUP($G35,今日總結!$A:$AJ,34,0),"")</f>
        <v>2</v>
      </c>
      <c r="N35" s="240">
        <f t="shared" si="3"/>
        <v>-1</v>
      </c>
      <c r="P35" s="365">
        <f>IFERROR(VLOOKUP($G35,融外自投!$A:$J,7,0),"無")</f>
        <v>1164</v>
      </c>
      <c r="Q35" s="79">
        <f>IFERROR(VLOOKUP($G35,融外自投!$A:$J,9,0),"無")</f>
        <v>571</v>
      </c>
      <c r="R35" s="346">
        <f>IFERROR(VLOOKUP($G35,融外自投!$A:$J,8,0),"無")</f>
        <v>47</v>
      </c>
      <c r="S35" s="81">
        <f>IFERROR(VLOOKUP($G35,融外自投!$A:$J,10,0),"無")</f>
        <v>26</v>
      </c>
      <c r="T35" s="327">
        <f>IFERROR(VLOOKUP($G35,'321買'!$A:$E,5,0),"'沒有資料'")</f>
        <v>403</v>
      </c>
      <c r="U35" s="186">
        <f>IFERROR(VLOOKUP($G35,基本資料!$A:$J,9,0),"無")</f>
        <v>36</v>
      </c>
      <c r="V35" s="310">
        <f t="shared" si="4"/>
        <v>1.4814814814814815E-2</v>
      </c>
      <c r="W35" s="94">
        <f>IFERROR(VLOOKUP($G35,基本資料!$A:$J,10,0),"無")</f>
        <v>38.299999999999997</v>
      </c>
      <c r="X35" s="372">
        <f>RTD("money.excel",,"5274","Price")</f>
        <v>2430</v>
      </c>
      <c r="Y35" s="398">
        <v>2650</v>
      </c>
      <c r="Z35" s="137">
        <f t="shared" si="0"/>
        <v>-220</v>
      </c>
      <c r="AA35" s="3">
        <f t="shared" si="5"/>
        <v>-8.3018867924528297E-2</v>
      </c>
      <c r="AB35" s="344">
        <f>IFERROR(VLOOKUP($G35,基本資料!$A:$M,11,0),"無")</f>
        <v>-33.880000000000003</v>
      </c>
      <c r="AC35" s="397">
        <f>IFERROR(VLOOKUP($G35,基本資料!$A:$M,12,0),"無")</f>
        <v>31.41</v>
      </c>
      <c r="AD35" s="16" t="s">
        <v>217</v>
      </c>
      <c r="AE35" s="84"/>
      <c r="AF35" s="83"/>
      <c r="AG35" s="33"/>
      <c r="AH35" s="117" t="s">
        <v>2358</v>
      </c>
      <c r="AI35" s="16" t="s">
        <v>217</v>
      </c>
      <c r="AJ35" s="63">
        <f t="shared" si="2"/>
        <v>1.6443148688046649E-2</v>
      </c>
      <c r="AK35" s="284">
        <f>RTD("money.excel",,$G35,"PredictVolume")</f>
        <v>564</v>
      </c>
      <c r="AL35" s="400">
        <f>IFERROR(VLOOKUP($G35,基本資料!$A:$M,13,0),"無")</f>
        <v>2.2799999999999998</v>
      </c>
      <c r="AM35" s="275">
        <f>RTD("money.excel",,"5274","VolumeStrength")</f>
        <v>32</v>
      </c>
      <c r="AN35" s="40">
        <f>RTD("money.excel",,"5274","ChangePercent")</f>
        <v>-2.8</v>
      </c>
    </row>
    <row r="36" spans="1:40" s="245" customFormat="1">
      <c r="A36" s="347">
        <f>IFERROR(VLOOKUP($G36,基本資料!$A:$J,3,0),"無")</f>
        <v>42.39</v>
      </c>
      <c r="B36" s="79">
        <f>IFERROR(VLOOKUP($G36,基本資料!$A:$J,4,0),"無")</f>
        <v>-19</v>
      </c>
      <c r="C36" s="79">
        <f>IFERROR(VLOOKUP($G36,基本資料!$A:$J,5,0),"無")</f>
        <v>-17</v>
      </c>
      <c r="D36" s="79">
        <f>IFERROR(VLOOKUP($G36,基本資料!$A:$J,6,0),"無")</f>
        <v>-2</v>
      </c>
      <c r="E36" s="79">
        <f>IFERROR(VLOOKUP($G36,基本資料!$A:$J,7,0),"無")</f>
        <v>-11</v>
      </c>
      <c r="F36" s="6">
        <f>IFERROR(VLOOKUP($G36,基本資料!$A:$J,8,0),"無")</f>
        <v>24.53</v>
      </c>
      <c r="G36" s="80">
        <v>3105</v>
      </c>
      <c r="H36" s="183" t="s">
        <v>3039</v>
      </c>
      <c r="I36" s="16" t="s">
        <v>258</v>
      </c>
      <c r="J36" s="8" t="str">
        <f>IFERROR(VLOOKUP($G36,今日總結!$A:$AJ,35,0),"")</f>
        <v>外</v>
      </c>
      <c r="K36" s="5">
        <f>IFERROR(VLOOKUP($G36,今日總結!$A:$AJ,36,0),"")</f>
        <v>0</v>
      </c>
      <c r="L36" s="156">
        <f>IFERROR(VLOOKUP($G36,今日總結!$A:$AJ,33,0),"")</f>
        <v>1</v>
      </c>
      <c r="M36" s="340">
        <f>IFERROR(VLOOKUP($G36,今日總結!$A:$AJ,34,0),"")</f>
        <v>0</v>
      </c>
      <c r="N36" s="240">
        <f t="shared" si="3"/>
        <v>1</v>
      </c>
      <c r="P36" s="365">
        <f>IFERROR(VLOOKUP($G36,融外自投!$A:$J,7,0),"無")</f>
        <v>850</v>
      </c>
      <c r="Q36" s="79">
        <f>IFERROR(VLOOKUP($G36,融外自投!$A:$J,9,0),"無")</f>
        <v>108</v>
      </c>
      <c r="R36" s="346">
        <f>IFERROR(VLOOKUP($G36,融外自投!$A:$J,8,0),"無")</f>
        <v>100</v>
      </c>
      <c r="S36" s="81">
        <f>IFERROR(VLOOKUP($G36,融外自投!$A:$J,10,0),"無")</f>
        <v>164</v>
      </c>
      <c r="T36" s="327">
        <f>IFERROR(VLOOKUP($G36,'321買'!$A:$E,5,0),"'沒有資料'")</f>
        <v>416</v>
      </c>
      <c r="U36" s="186">
        <f>IFERROR(VLOOKUP($G36,基本資料!$A:$J,9,0),"無")</f>
        <v>8</v>
      </c>
      <c r="V36" s="310">
        <f t="shared" si="4"/>
        <v>4.1237113402061855E-2</v>
      </c>
      <c r="W36" s="94">
        <f>IFERROR(VLOOKUP($G36,基本資料!$A:$J,10,0),"無")</f>
        <v>12.9</v>
      </c>
      <c r="X36" s="36">
        <f>RTD("money.excel",,"3105","Price")</f>
        <v>194</v>
      </c>
      <c r="Y36" s="66">
        <v>195.5</v>
      </c>
      <c r="Z36" s="15">
        <f t="shared" si="0"/>
        <v>-1.5</v>
      </c>
      <c r="AA36" s="3">
        <f t="shared" si="5"/>
        <v>-7.6726342710997444E-3</v>
      </c>
      <c r="AB36" s="344">
        <f>IFERROR(VLOOKUP($G36,基本資料!$A:$M,11,0),"無")</f>
        <v>-51.87</v>
      </c>
      <c r="AC36" s="397">
        <f>IFERROR(VLOOKUP($G36,基本資料!$A:$M,12,0),"無")</f>
        <v>3.94</v>
      </c>
      <c r="AD36" s="16" t="s">
        <v>258</v>
      </c>
      <c r="AE36" s="84"/>
      <c r="AF36" s="83"/>
      <c r="AG36" s="33"/>
      <c r="AH36" s="117" t="s">
        <v>2325</v>
      </c>
      <c r="AI36" s="16" t="s">
        <v>258</v>
      </c>
      <c r="AJ36" s="63">
        <f t="shared" si="2"/>
        <v>3.8947865062514742E-3</v>
      </c>
      <c r="AK36" s="284">
        <f>RTD("money.excel",,$G36,"PredictVolume")</f>
        <v>1651</v>
      </c>
      <c r="AL36" s="400">
        <f>IFERROR(VLOOKUP($G36,基本資料!$A:$M,13,0),"無")</f>
        <v>5.35</v>
      </c>
      <c r="AM36" s="275">
        <f>RTD("money.excel",,"3105","VolumeStrength")</f>
        <v>-33</v>
      </c>
      <c r="AN36" s="40">
        <f>RTD("money.excel",,"3105","ChangePercent")</f>
        <v>0.25839793281653745</v>
      </c>
    </row>
    <row r="37" spans="1:40" s="245" customFormat="1">
      <c r="A37" s="347">
        <f>IFERROR(VLOOKUP($G37,基本資料!$A:$J,3,0),"無")</f>
        <v>58.62</v>
      </c>
      <c r="B37" s="79">
        <f>IFERROR(VLOOKUP($G37,基本資料!$A:$J,4,0),"無")</f>
        <v>0</v>
      </c>
      <c r="C37" s="79">
        <f>IFERROR(VLOOKUP($G37,基本資料!$A:$J,5,0),"無")</f>
        <v>21</v>
      </c>
      <c r="D37" s="79">
        <f>IFERROR(VLOOKUP($G37,基本資料!$A:$J,6,0),"無")</f>
        <v>8</v>
      </c>
      <c r="E37" s="79">
        <f>IFERROR(VLOOKUP($G37,基本資料!$A:$J,7,0),"無")</f>
        <v>8</v>
      </c>
      <c r="F37" s="6">
        <f>IFERROR(VLOOKUP($G37,基本資料!$A:$J,8,0),"無")</f>
        <v>26.26</v>
      </c>
      <c r="G37" s="80">
        <v>5483</v>
      </c>
      <c r="H37" s="183" t="s">
        <v>3039</v>
      </c>
      <c r="I37" s="16" t="s">
        <v>145</v>
      </c>
      <c r="J37" s="8" t="str">
        <f>IFERROR(VLOOKUP($G37,今日總結!$A:$AJ,35,0),"")</f>
        <v/>
      </c>
      <c r="K37" s="5" t="str">
        <f>IFERROR(VLOOKUP($G37,今日總結!$A:$AJ,36,0),"")</f>
        <v/>
      </c>
      <c r="L37" s="156" t="str">
        <f>IFERROR(VLOOKUP($G37,今日總結!$A:$AJ,33,0),"")</f>
        <v/>
      </c>
      <c r="M37" s="340" t="str">
        <f>IFERROR(VLOOKUP($G37,今日總結!$A:$AJ,34,0),"")</f>
        <v/>
      </c>
      <c r="N37" s="240" t="str">
        <f t="shared" si="3"/>
        <v/>
      </c>
      <c r="P37" s="365">
        <f>IFERROR(VLOOKUP($G37,融外自投!$A:$J,7,0),"無")</f>
        <v>614</v>
      </c>
      <c r="Q37" s="79">
        <f>IFERROR(VLOOKUP($G37,融外自投!$A:$J,9,0),"無")</f>
        <v>270</v>
      </c>
      <c r="R37" s="346">
        <f>IFERROR(VLOOKUP($G37,融外自投!$A:$J,8,0),"無")</f>
        <v>256</v>
      </c>
      <c r="S37" s="81">
        <f>IFERROR(VLOOKUP($G37,融外自投!$A:$J,10,0),"無")</f>
        <v>47</v>
      </c>
      <c r="T37" s="327">
        <f>IFERROR(VLOOKUP($G37,'321買'!$A:$E,5,0),"'沒有資料'")</f>
        <v>224</v>
      </c>
      <c r="U37" s="186">
        <f>IFERROR(VLOOKUP($G37,基本資料!$A:$J,9,0),"無")</f>
        <v>8</v>
      </c>
      <c r="V37" s="310">
        <f t="shared" si="4"/>
        <v>5.1612903225806452E-2</v>
      </c>
      <c r="W37" s="94">
        <f>IFERROR(VLOOKUP($G37,基本資料!$A:$J,10,0),"無")</f>
        <v>11.62</v>
      </c>
      <c r="X37" s="36">
        <f>RTD("money.excel",,"5483","Price")</f>
        <v>155</v>
      </c>
      <c r="Y37" s="66">
        <v>149</v>
      </c>
      <c r="Z37" s="15">
        <f t="shared" si="0"/>
        <v>6</v>
      </c>
      <c r="AA37" s="3">
        <f t="shared" si="5"/>
        <v>4.0268456375838924E-2</v>
      </c>
      <c r="AB37" s="344">
        <f>IFERROR(VLOOKUP($G37,基本資料!$A:$M,11,0),"無")</f>
        <v>-39.36</v>
      </c>
      <c r="AC37" s="397">
        <f>IFERROR(VLOOKUP($G37,基本資料!$A:$M,12,0),"無")</f>
        <v>23.38</v>
      </c>
      <c r="AD37" s="16" t="s">
        <v>145</v>
      </c>
      <c r="AE37" s="84"/>
      <c r="AF37" s="83"/>
      <c r="AG37" s="33"/>
      <c r="AH37" s="117" t="s">
        <v>2351</v>
      </c>
      <c r="AI37" s="16" t="s">
        <v>145</v>
      </c>
      <c r="AJ37" s="63">
        <f t="shared" si="2"/>
        <v>1.0348004094165813E-2</v>
      </c>
      <c r="AK37" s="284">
        <f>RTD("money.excel",,$G37,"PredictVolume")</f>
        <v>6066</v>
      </c>
      <c r="AL37" s="400">
        <f>IFERROR(VLOOKUP($G37,基本資料!$A:$M,13,0),"無")</f>
        <v>11.43</v>
      </c>
      <c r="AM37" s="275">
        <f>RTD("money.excel",,"5483","VolumeStrength")</f>
        <v>70</v>
      </c>
      <c r="AN37" s="40">
        <f>RTD("money.excel",,"5483","ChangePercent")</f>
        <v>0</v>
      </c>
    </row>
    <row r="38" spans="1:40" s="245" customFormat="1">
      <c r="A38" s="347">
        <f>IFERROR(VLOOKUP($G38,基本資料!$A:$J,3,0),"無")</f>
        <v>28.49</v>
      </c>
      <c r="B38" s="79">
        <f>IFERROR(VLOOKUP($G38,基本資料!$A:$J,4,0),"無")</f>
        <v>-44</v>
      </c>
      <c r="C38" s="79">
        <f>IFERROR(VLOOKUP($G38,基本資料!$A:$J,5,0),"無")</f>
        <v>-64</v>
      </c>
      <c r="D38" s="79">
        <f>IFERROR(VLOOKUP($G38,基本資料!$A:$J,6,0),"無")</f>
        <v>167</v>
      </c>
      <c r="E38" s="79">
        <f>IFERROR(VLOOKUP($G38,基本資料!$A:$J,7,0),"無")</f>
        <v>1078</v>
      </c>
      <c r="F38" s="6">
        <f>IFERROR(VLOOKUP($G38,基本資料!$A:$J,8,0),"無")</f>
        <v>-429.91</v>
      </c>
      <c r="G38" s="80">
        <v>6446</v>
      </c>
      <c r="H38" s="5" t="s">
        <v>309</v>
      </c>
      <c r="I38" s="16" t="s">
        <v>618</v>
      </c>
      <c r="J38" s="8" t="str">
        <f>IFERROR(VLOOKUP($G38,今日總結!$A:$AJ,35,0),"")</f>
        <v/>
      </c>
      <c r="K38" s="5" t="str">
        <f>IFERROR(VLOOKUP($G38,今日總結!$A:$AJ,36,0),"")</f>
        <v/>
      </c>
      <c r="L38" s="156" t="str">
        <f>IFERROR(VLOOKUP($G38,今日總結!$A:$AJ,33,0),"")</f>
        <v/>
      </c>
      <c r="M38" s="340" t="str">
        <f>IFERROR(VLOOKUP($G38,今日總結!$A:$AJ,34,0),"")</f>
        <v/>
      </c>
      <c r="N38" s="240" t="str">
        <f t="shared" si="3"/>
        <v/>
      </c>
      <c r="P38" s="365" t="str">
        <f>IFERROR(VLOOKUP($G38,融外自投!$A:$J,7,0),"無")</f>
        <v>無</v>
      </c>
      <c r="Q38" s="79" t="str">
        <f>IFERROR(VLOOKUP($G38,融外自投!$A:$J,9,0),"無")</f>
        <v>無</v>
      </c>
      <c r="R38" s="346" t="str">
        <f>IFERROR(VLOOKUP($G38,融外自投!$A:$J,8,0),"無")</f>
        <v>無</v>
      </c>
      <c r="S38" s="81" t="str">
        <f>IFERROR(VLOOKUP($G38,融外自投!$A:$J,10,0),"無")</f>
        <v>無</v>
      </c>
      <c r="T38" s="327" t="str">
        <f>IFERROR(VLOOKUP($G38,'321買'!$A:$E,5,0),"'沒有資料'")</f>
        <v>'沒有資料'</v>
      </c>
      <c r="U38" s="186">
        <f>IFERROR(VLOOKUP($G38,基本資料!$A:$J,9,0),"無")</f>
        <v>0</v>
      </c>
      <c r="V38" s="310">
        <f t="shared" si="4"/>
        <v>0</v>
      </c>
      <c r="W38" s="94">
        <f>IFERROR(VLOOKUP($G38,基本資料!$A:$J,10,0),"無")</f>
        <v>-10.8</v>
      </c>
      <c r="X38" s="36">
        <f>RTD("money.excel",,"6446","Price")</f>
        <v>390</v>
      </c>
      <c r="Y38" s="66">
        <v>310</v>
      </c>
      <c r="Z38" s="15">
        <f t="shared" si="0"/>
        <v>80</v>
      </c>
      <c r="AA38" s="3">
        <f t="shared" si="5"/>
        <v>0.25806451612903225</v>
      </c>
      <c r="AB38" s="344">
        <f>IFERROR(VLOOKUP($G38,基本資料!$A:$M,11,0),"無")</f>
        <v>-13.98</v>
      </c>
      <c r="AC38" s="397">
        <f>IFERROR(VLOOKUP($G38,基本資料!$A:$M,12,0),"無")</f>
        <v>82.31</v>
      </c>
      <c r="AD38" s="16" t="s">
        <v>618</v>
      </c>
      <c r="AE38" s="84"/>
      <c r="AF38" s="83"/>
      <c r="AG38" s="33"/>
      <c r="AH38" s="43" t="s">
        <v>3822</v>
      </c>
      <c r="AI38" s="16" t="s">
        <v>618</v>
      </c>
      <c r="AJ38" s="63">
        <f t="shared" si="2"/>
        <v>1.2109512109512109E-2</v>
      </c>
      <c r="AK38" s="284">
        <f>RTD("money.excel",,$G38,"PredictVolume")</f>
        <v>3450</v>
      </c>
      <c r="AL38" s="400">
        <f>IFERROR(VLOOKUP($G38,基本資料!$A:$M,13,0),"無")</f>
        <v>2.87</v>
      </c>
      <c r="AM38" s="275">
        <f>RTD("money.excel",,"6446","VolumeStrength")</f>
        <v>78</v>
      </c>
      <c r="AN38" s="40">
        <f>RTD("money.excel",,"6446","ChangePercent")</f>
        <v>5.8344640434192669</v>
      </c>
    </row>
    <row r="39" spans="1:40" s="245" customFormat="1">
      <c r="A39" s="347">
        <f>IFERROR(VLOOKUP($G39,基本資料!$A:$J,3,0),"無")</f>
        <v>19.7</v>
      </c>
      <c r="B39" s="79">
        <f>IFERROR(VLOOKUP($G39,基本資料!$A:$J,4,0),"無")</f>
        <v>-6</v>
      </c>
      <c r="C39" s="79">
        <f>IFERROR(VLOOKUP($G39,基本資料!$A:$J,5,0),"無")</f>
        <v>133</v>
      </c>
      <c r="D39" s="79">
        <f>IFERROR(VLOOKUP($G39,基本資料!$A:$J,6,0),"無")</f>
        <v>-7</v>
      </c>
      <c r="E39" s="79">
        <f>IFERROR(VLOOKUP($G39,基本資料!$A:$J,7,0),"無")</f>
        <v>15</v>
      </c>
      <c r="F39" s="6">
        <f>IFERROR(VLOOKUP($G39,基本資料!$A:$J,8,0),"無")</f>
        <v>14.52</v>
      </c>
      <c r="G39" s="80">
        <v>8299</v>
      </c>
      <c r="H39" s="193" t="s">
        <v>3039</v>
      </c>
      <c r="I39" s="16" t="s">
        <v>4073</v>
      </c>
      <c r="J39" s="8" t="str">
        <f>IFERROR(VLOOKUP($G39,今日總結!$A:$AJ,35,0),"")</f>
        <v/>
      </c>
      <c r="K39" s="5" t="str">
        <f>IFERROR(VLOOKUP($G39,今日總結!$A:$AJ,36,0),"")</f>
        <v/>
      </c>
      <c r="L39" s="156" t="str">
        <f>IFERROR(VLOOKUP($G39,今日總結!$A:$AJ,33,0),"")</f>
        <v/>
      </c>
      <c r="M39" s="340" t="str">
        <f>IFERROR(VLOOKUP($G39,今日總結!$A:$AJ,34,0),"")</f>
        <v/>
      </c>
      <c r="N39" s="240" t="str">
        <f t="shared" si="3"/>
        <v/>
      </c>
      <c r="P39" s="365">
        <f>IFERROR(VLOOKUP($G39,融外自投!$A:$J,7,0),"無")</f>
        <v>389</v>
      </c>
      <c r="Q39" s="79">
        <f>IFERROR(VLOOKUP($G39,融外自投!$A:$J,9,0),"無")</f>
        <v>107</v>
      </c>
      <c r="R39" s="346">
        <f>IFERROR(VLOOKUP($G39,融外自投!$A:$J,8,0),"無")</f>
        <v>132</v>
      </c>
      <c r="S39" s="81">
        <f>IFERROR(VLOOKUP($G39,融外自投!$A:$J,10,0),"無")</f>
        <v>78</v>
      </c>
      <c r="T39" s="327">
        <f>IFERROR(VLOOKUP($G39,'321買'!$A:$E,5,0),"'沒有資料'")</f>
        <v>217</v>
      </c>
      <c r="U39" s="186">
        <f>IFERROR(VLOOKUP($G39,基本資料!$A:$J,9,0),"無")</f>
        <v>23</v>
      </c>
      <c r="V39" s="310">
        <f t="shared" si="4"/>
        <v>6.1251664447403459E-2</v>
      </c>
      <c r="W39" s="94">
        <f>IFERROR(VLOOKUP($G39,基本資料!$A:$J,10,0),"無")</f>
        <v>41.34</v>
      </c>
      <c r="X39" s="36">
        <f>RTD("money.excel",,"8299","Price")</f>
        <v>375.5</v>
      </c>
      <c r="Y39" s="66">
        <v>387.5</v>
      </c>
      <c r="Z39" s="15">
        <f>X39-Y39</f>
        <v>-12</v>
      </c>
      <c r="AA39" s="3">
        <f>Z39/Y39</f>
        <v>-3.0967741935483871E-2</v>
      </c>
      <c r="AB39" s="344">
        <f>IFERROR(VLOOKUP($G39,基本資料!$A:$M,11,0),"無")</f>
        <v>-30.55</v>
      </c>
      <c r="AC39" s="397">
        <f>IFERROR(VLOOKUP($G39,基本資料!$A:$M,12,0),"無")</f>
        <v>12.86</v>
      </c>
      <c r="AD39" s="16" t="s">
        <v>4073</v>
      </c>
      <c r="AE39" s="84"/>
      <c r="AF39" s="83"/>
      <c r="AG39" s="33"/>
      <c r="AH39" s="117" t="s">
        <v>2129</v>
      </c>
      <c r="AI39" s="16" t="s">
        <v>4073</v>
      </c>
      <c r="AJ39" s="63">
        <f t="shared" si="2"/>
        <v>9.5888324873096443E-3</v>
      </c>
      <c r="AK39" s="284">
        <f>RTD("money.excel",,$G39,"PredictVolume")</f>
        <v>1889</v>
      </c>
      <c r="AL39" s="400">
        <f>IFERROR(VLOOKUP($G39,基本資料!$A:$M,13,0),"無")</f>
        <v>9.6300000000000008</v>
      </c>
      <c r="AM39" s="275">
        <f>RTD("money.excel",,"8299","VolumeStrength")</f>
        <v>-6</v>
      </c>
      <c r="AN39" s="40">
        <f>RTD("money.excel",,"8299","ChangePercent")</f>
        <v>-1.95822454308094</v>
      </c>
    </row>
    <row r="40" spans="1:40" s="245" customFormat="1">
      <c r="A40" s="347">
        <f>IFERROR(VLOOKUP($G40,基本資料!$A:$J,3,0),"無")</f>
        <v>38.81</v>
      </c>
      <c r="B40" s="79">
        <f>IFERROR(VLOOKUP($G40,基本資料!$A:$J,4,0),"無")</f>
        <v>-64</v>
      </c>
      <c r="C40" s="79">
        <f>IFERROR(VLOOKUP($G40,基本資料!$A:$J,5,0),"無")</f>
        <v>-30</v>
      </c>
      <c r="D40" s="79">
        <f>IFERROR(VLOOKUP($G40,基本資料!$A:$J,6,0),"無")</f>
        <v>-20</v>
      </c>
      <c r="E40" s="79">
        <f>IFERROR(VLOOKUP($G40,基本資料!$A:$J,7,0),"無")</f>
        <v>308</v>
      </c>
      <c r="F40" s="6">
        <f>IFERROR(VLOOKUP($G40,基本資料!$A:$J,8,0),"無")</f>
        <v>-1335.27</v>
      </c>
      <c r="G40" s="80">
        <v>4743</v>
      </c>
      <c r="H40" s="5" t="s">
        <v>309</v>
      </c>
      <c r="I40" s="16" t="s">
        <v>286</v>
      </c>
      <c r="J40" s="8" t="str">
        <f>IFERROR(VLOOKUP($G40,今日總結!$A:$AJ,35,0),"")</f>
        <v/>
      </c>
      <c r="K40" s="5" t="str">
        <f>IFERROR(VLOOKUP($G40,今日總結!$A:$AJ,36,0),"")</f>
        <v/>
      </c>
      <c r="L40" s="156" t="str">
        <f>IFERROR(VLOOKUP($G40,今日總結!$A:$AJ,33,0),"")</f>
        <v/>
      </c>
      <c r="M40" s="340" t="str">
        <f>IFERROR(VLOOKUP($G40,今日總結!$A:$AJ,34,0),"")</f>
        <v/>
      </c>
      <c r="N40" s="240" t="str">
        <f t="shared" si="3"/>
        <v/>
      </c>
      <c r="O40" s="8" t="str">
        <f>IFERROR(VLOOKUP($G40,今日總結!$A:$AJ,35,0),"")</f>
        <v/>
      </c>
      <c r="P40" s="365" t="str">
        <f>IFERROR(VLOOKUP($G40,融外自投!$A:$J,7,0),"無")</f>
        <v>無</v>
      </c>
      <c r="Q40" s="79" t="str">
        <f>IFERROR(VLOOKUP($G40,融外自投!$A:$J,9,0),"無")</f>
        <v>無</v>
      </c>
      <c r="R40" s="346" t="str">
        <f>IFERROR(VLOOKUP($G40,融外自投!$A:$J,8,0),"無")</f>
        <v>無</v>
      </c>
      <c r="S40" s="81" t="str">
        <f>IFERROR(VLOOKUP($G40,融外自投!$A:$J,10,0),"無")</f>
        <v>無</v>
      </c>
      <c r="T40" s="327" t="str">
        <f>IFERROR(VLOOKUP($G40,'321買'!$A:$E,5,0),"'沒有資料'")</f>
        <v>'沒有資料'</v>
      </c>
      <c r="U40" s="186">
        <f>IFERROR(VLOOKUP($G40,基本資料!$A:$J,9,0),"無")</f>
        <v>0</v>
      </c>
      <c r="V40" s="310">
        <f t="shared" si="4"/>
        <v>0</v>
      </c>
      <c r="W40" s="94">
        <f>IFERROR(VLOOKUP($G40,基本資料!$A:$J,10,0),"無")</f>
        <v>-1.06</v>
      </c>
      <c r="X40" s="36">
        <f>RTD("money.excel",,"4743","Price")</f>
        <v>187</v>
      </c>
      <c r="Y40" s="66">
        <v>194.5</v>
      </c>
      <c r="Z40" s="15">
        <f t="shared" ref="Z40" si="6">X40-Y40</f>
        <v>-7.5</v>
      </c>
      <c r="AA40" s="3">
        <f t="shared" ref="AA40" si="7">Z40/Y40</f>
        <v>-3.8560411311053984E-2</v>
      </c>
      <c r="AB40" s="344">
        <f>IFERROR(VLOOKUP($G40,基本資料!$A:$M,11,0),"無")</f>
        <v>-43.79</v>
      </c>
      <c r="AC40" s="397">
        <f>IFERROR(VLOOKUP($G40,基本資料!$A:$M,12,0),"無")</f>
        <v>8.3000000000000007</v>
      </c>
      <c r="AD40" s="16" t="s">
        <v>286</v>
      </c>
      <c r="AE40" s="84"/>
      <c r="AF40" s="83"/>
      <c r="AG40" s="33"/>
      <c r="AH40" s="43" t="s">
        <v>3807</v>
      </c>
      <c r="AI40" s="16" t="s">
        <v>286</v>
      </c>
      <c r="AJ40" s="63">
        <f t="shared" si="2"/>
        <v>3.7129605771708324E-3</v>
      </c>
      <c r="AK40" s="284">
        <f>RTD("money.excel",,$G40,"PredictVolume")</f>
        <v>1441</v>
      </c>
      <c r="AL40" s="400">
        <f>IFERROR(VLOOKUP($G40,基本資料!$A:$M,13,0),"無")</f>
        <v>3.56</v>
      </c>
      <c r="AM40" s="275">
        <f>RTD("money.excel",,"4743","VolumeStrength")</f>
        <v>-27</v>
      </c>
      <c r="AN40" s="40">
        <f>RTD("money.excel",,"4743","ChangePercent")</f>
        <v>0.5376344086021505</v>
      </c>
    </row>
    <row r="41" spans="1:40">
      <c r="A41" s="127" t="s">
        <v>1673</v>
      </c>
      <c r="B41" s="90" t="s">
        <v>1572</v>
      </c>
      <c r="C41" s="90" t="s">
        <v>1573</v>
      </c>
      <c r="D41" s="90" t="s">
        <v>1574</v>
      </c>
      <c r="E41" s="90" t="s">
        <v>1575</v>
      </c>
      <c r="F41" s="8" t="s">
        <v>1060</v>
      </c>
      <c r="G41" s="26" t="s">
        <v>3442</v>
      </c>
      <c r="H41" s="55" t="s">
        <v>320</v>
      </c>
      <c r="I41" s="50" t="s">
        <v>6205</v>
      </c>
      <c r="K41" s="5" t="s">
        <v>6222</v>
      </c>
      <c r="L41" s="337" t="s">
        <v>6206</v>
      </c>
      <c r="M41" s="338" t="s">
        <v>6207</v>
      </c>
      <c r="N41" s="339" t="s">
        <v>6208</v>
      </c>
      <c r="O41" s="4" t="s">
        <v>6713</v>
      </c>
      <c r="P41" s="89" t="s">
        <v>6285</v>
      </c>
      <c r="Q41" s="293" t="s">
        <v>6284</v>
      </c>
      <c r="R41" s="354" t="s">
        <v>6283</v>
      </c>
      <c r="S41" s="26" t="s">
        <v>6286</v>
      </c>
      <c r="T41" s="326" t="s">
        <v>4716</v>
      </c>
      <c r="U41" s="10" t="s">
        <v>66</v>
      </c>
      <c r="V41" s="308" t="s">
        <v>4731</v>
      </c>
      <c r="W41" s="68" t="s">
        <v>3273</v>
      </c>
      <c r="X41" s="28" t="s">
        <v>2</v>
      </c>
      <c r="Y41" s="17" t="s">
        <v>1399</v>
      </c>
      <c r="Z41" s="14" t="s">
        <v>5</v>
      </c>
      <c r="AA41" s="21" t="s">
        <v>3</v>
      </c>
      <c r="AB41" s="51" t="s">
        <v>6174</v>
      </c>
      <c r="AC41" s="102" t="s">
        <v>6420</v>
      </c>
      <c r="AD41" s="50" t="s">
        <v>6205</v>
      </c>
      <c r="AE41" s="71" t="s">
        <v>1400</v>
      </c>
      <c r="AF41" s="72" t="s">
        <v>1157</v>
      </c>
      <c r="AG41" s="4" t="s">
        <v>6713</v>
      </c>
      <c r="AH41" s="25" t="s">
        <v>6209</v>
      </c>
      <c r="AI41" s="50" t="s">
        <v>6205</v>
      </c>
      <c r="AJ41" s="8" t="s">
        <v>6731</v>
      </c>
      <c r="AK41" s="50" t="s">
        <v>3361</v>
      </c>
      <c r="AL41" s="44" t="s">
        <v>6730</v>
      </c>
      <c r="AM41" s="50" t="s">
        <v>6385</v>
      </c>
      <c r="AN41" s="26" t="s">
        <v>6277</v>
      </c>
    </row>
    <row r="42" spans="1:40">
      <c r="B42" s="80"/>
      <c r="C42" s="80"/>
      <c r="D42" s="80"/>
      <c r="E42" s="79"/>
      <c r="F42" s="6"/>
      <c r="G42" s="80"/>
      <c r="H42" s="8"/>
      <c r="I42" s="22"/>
      <c r="L42" s="123"/>
      <c r="S42" s="81"/>
      <c r="U42" s="34"/>
      <c r="V42" s="310"/>
      <c r="W42" s="94"/>
      <c r="X42" s="36"/>
      <c r="Y42" s="66"/>
      <c r="Z42" s="15"/>
      <c r="AA42" s="3"/>
      <c r="AB42" s="168"/>
      <c r="AD42" s="22"/>
      <c r="AG42" s="33"/>
      <c r="AH42" s="117"/>
      <c r="AI42" s="22"/>
      <c r="AJ42" s="63"/>
      <c r="AK42" s="284"/>
      <c r="AL42" s="400"/>
    </row>
    <row r="43" spans="1:40">
      <c r="B43" s="79"/>
      <c r="C43" s="79"/>
      <c r="D43" s="80"/>
      <c r="E43" s="79"/>
      <c r="F43" s="6"/>
      <c r="G43" s="79"/>
      <c r="H43" s="8"/>
      <c r="I43" s="16"/>
      <c r="L43" s="123"/>
      <c r="S43" s="81"/>
      <c r="U43" s="34"/>
      <c r="V43" s="310"/>
      <c r="W43" s="94"/>
      <c r="X43" s="36"/>
      <c r="Y43" s="66"/>
      <c r="Z43" s="15"/>
      <c r="AA43" s="3"/>
      <c r="AB43" s="168"/>
      <c r="AD43" s="16"/>
      <c r="AG43" s="33"/>
      <c r="AH43" s="43"/>
      <c r="AI43" s="16"/>
      <c r="AJ43" s="63"/>
      <c r="AK43" s="284"/>
    </row>
    <row r="44" spans="1:40">
      <c r="B44" s="79"/>
      <c r="C44" s="79"/>
      <c r="D44" s="80"/>
      <c r="E44" s="79"/>
      <c r="F44" s="6"/>
      <c r="G44" s="79"/>
      <c r="H44" s="8"/>
      <c r="I44" s="16"/>
      <c r="L44" s="123"/>
      <c r="S44" s="81"/>
      <c r="U44" s="34"/>
      <c r="V44" s="310"/>
      <c r="W44" s="94"/>
      <c r="X44" s="36"/>
      <c r="Y44" s="66"/>
      <c r="Z44" s="15"/>
      <c r="AA44" s="3"/>
      <c r="AB44" s="168"/>
      <c r="AD44" s="16"/>
      <c r="AG44" s="33"/>
      <c r="AH44" s="43"/>
      <c r="AI44" s="16"/>
      <c r="AJ44" s="63"/>
      <c r="AK44" s="284"/>
      <c r="AL44" s="400"/>
    </row>
    <row r="45" spans="1:40">
      <c r="B45" s="79"/>
      <c r="C45" s="79"/>
      <c r="D45" s="79"/>
      <c r="E45" s="79"/>
      <c r="F45" s="6"/>
      <c r="G45" s="79"/>
      <c r="H45" s="8"/>
      <c r="I45" s="22"/>
      <c r="L45" s="123"/>
      <c r="S45" s="81"/>
      <c r="U45" s="34"/>
      <c r="V45" s="310"/>
      <c r="W45" s="94"/>
      <c r="X45" s="36"/>
      <c r="Y45" s="66"/>
      <c r="Z45" s="15"/>
      <c r="AA45" s="3"/>
      <c r="AB45" s="168"/>
      <c r="AD45" s="22"/>
      <c r="AG45" s="33"/>
      <c r="AH45" s="117"/>
      <c r="AI45" s="22"/>
      <c r="AJ45" s="63"/>
      <c r="AK45" s="284"/>
      <c r="AL45" s="400"/>
    </row>
    <row r="46" spans="1:40">
      <c r="B46" s="79"/>
      <c r="C46" s="79"/>
      <c r="D46" s="80"/>
      <c r="E46" s="79"/>
      <c r="F46" s="6"/>
      <c r="G46" s="79"/>
      <c r="H46" s="8"/>
      <c r="I46" s="22"/>
      <c r="L46" s="123"/>
      <c r="S46" s="81"/>
      <c r="U46" s="34"/>
      <c r="V46" s="310"/>
      <c r="W46" s="94"/>
      <c r="X46" s="13"/>
      <c r="Y46" s="66"/>
      <c r="Z46" s="15"/>
      <c r="AA46" s="3"/>
      <c r="AB46" s="168"/>
      <c r="AD46" s="22"/>
      <c r="AG46" s="33"/>
      <c r="AH46" s="117"/>
      <c r="AI46" s="22"/>
      <c r="AJ46" s="63"/>
      <c r="AK46" s="284"/>
      <c r="AL46" s="400"/>
    </row>
    <row r="47" spans="1:40">
      <c r="B47" s="80"/>
      <c r="C47" s="80"/>
      <c r="D47" s="80"/>
      <c r="E47" s="79"/>
      <c r="F47" s="6"/>
      <c r="G47" s="79"/>
      <c r="H47" s="8"/>
      <c r="I47" s="16"/>
      <c r="L47" s="123"/>
      <c r="S47" s="81"/>
      <c r="U47" s="34"/>
      <c r="V47" s="310"/>
      <c r="W47" s="94"/>
      <c r="X47" s="36"/>
      <c r="Y47" s="66"/>
      <c r="Z47" s="15"/>
      <c r="AA47" s="3"/>
      <c r="AB47" s="168"/>
      <c r="AD47" s="16"/>
      <c r="AG47" s="33"/>
      <c r="AH47" s="117"/>
      <c r="AI47" s="16"/>
      <c r="AJ47" s="63"/>
      <c r="AK47" s="284"/>
      <c r="AL47" s="400"/>
    </row>
    <row r="48" spans="1:40">
      <c r="B48" s="79"/>
      <c r="C48" s="79"/>
      <c r="D48" s="79"/>
      <c r="E48" s="79"/>
      <c r="F48" s="6"/>
      <c r="G48" s="79"/>
      <c r="H48" s="8"/>
      <c r="I48" s="22"/>
      <c r="L48" s="123"/>
      <c r="Q48" s="293"/>
      <c r="S48" s="81"/>
      <c r="U48" s="34"/>
      <c r="V48" s="310"/>
      <c r="W48" s="94"/>
      <c r="X48" s="36"/>
      <c r="Y48" s="66"/>
      <c r="Z48" s="15"/>
      <c r="AA48" s="3"/>
      <c r="AB48" s="168"/>
      <c r="AD48" s="22"/>
      <c r="AG48" s="33"/>
      <c r="AH48" s="117"/>
      <c r="AI48" s="22"/>
      <c r="AJ48" s="63"/>
      <c r="AK48" s="284"/>
      <c r="AL48" s="400"/>
    </row>
    <row r="49" spans="1:39">
      <c r="B49" s="79"/>
      <c r="C49" s="79"/>
      <c r="D49" s="80"/>
      <c r="E49" s="79"/>
      <c r="F49" s="6"/>
      <c r="G49" s="79"/>
      <c r="H49" s="8"/>
      <c r="I49" s="22"/>
      <c r="L49" s="123"/>
      <c r="O49" s="248"/>
      <c r="Q49" s="293"/>
      <c r="S49" s="81"/>
      <c r="U49" s="34"/>
      <c r="V49" s="310"/>
      <c r="W49" s="94"/>
      <c r="X49" s="36"/>
      <c r="Y49" s="66"/>
      <c r="Z49" s="15"/>
      <c r="AA49" s="3"/>
      <c r="AB49" s="168"/>
      <c r="AD49" s="22"/>
      <c r="AG49" s="33"/>
      <c r="AH49" s="117"/>
      <c r="AI49" s="22"/>
      <c r="AJ49" s="63"/>
      <c r="AK49" s="284"/>
      <c r="AL49" s="400"/>
    </row>
    <row r="50" spans="1:39">
      <c r="B50" s="80"/>
      <c r="C50" s="80"/>
      <c r="D50" s="80"/>
      <c r="E50" s="79"/>
      <c r="F50" s="6"/>
      <c r="G50" s="79"/>
      <c r="H50" s="8"/>
      <c r="I50" s="22"/>
      <c r="L50" s="123"/>
      <c r="P50" s="365"/>
      <c r="Q50" s="47"/>
      <c r="R50" s="346"/>
      <c r="S50" s="81"/>
      <c r="U50" s="34"/>
      <c r="V50" s="310"/>
      <c r="W50" s="94"/>
      <c r="X50" s="36"/>
      <c r="Y50" s="66"/>
      <c r="Z50" s="15"/>
      <c r="AA50" s="3"/>
      <c r="AB50" s="168"/>
      <c r="AD50" s="22"/>
      <c r="AG50" s="33"/>
      <c r="AH50" s="43"/>
      <c r="AI50" s="22"/>
      <c r="AJ50" s="63"/>
      <c r="AK50" s="284"/>
      <c r="AL50" s="400"/>
    </row>
    <row r="51" spans="1:39">
      <c r="B51" s="79"/>
      <c r="C51" s="79"/>
      <c r="D51" s="79"/>
      <c r="E51" s="79"/>
      <c r="F51" s="6"/>
      <c r="G51" s="80"/>
      <c r="H51" s="145"/>
      <c r="I51" s="16"/>
      <c r="L51" s="123"/>
      <c r="Q51" s="134"/>
      <c r="S51" s="81"/>
      <c r="U51" s="34"/>
      <c r="V51" s="310"/>
      <c r="W51" s="94"/>
      <c r="X51" s="36"/>
      <c r="Y51" s="66"/>
      <c r="Z51" s="15"/>
      <c r="AA51" s="3"/>
      <c r="AB51" s="168"/>
      <c r="AD51" s="16"/>
      <c r="AG51" s="33"/>
      <c r="AH51" s="43"/>
      <c r="AI51" s="16"/>
      <c r="AJ51" s="63"/>
      <c r="AK51" s="284"/>
      <c r="AL51" s="400"/>
    </row>
    <row r="52" spans="1:39">
      <c r="B52" s="79"/>
      <c r="C52" s="79"/>
      <c r="D52" s="79"/>
      <c r="E52" s="79"/>
      <c r="F52" s="6"/>
      <c r="G52" s="79"/>
      <c r="H52" s="183"/>
      <c r="I52" s="16"/>
      <c r="L52" s="123"/>
      <c r="Q52" s="293"/>
      <c r="S52" s="81"/>
      <c r="U52" s="34"/>
      <c r="V52" s="310"/>
      <c r="W52" s="94"/>
      <c r="X52" s="36"/>
      <c r="Y52" s="66"/>
      <c r="Z52" s="15"/>
      <c r="AA52" s="3"/>
      <c r="AB52" s="168"/>
      <c r="AD52" s="16"/>
      <c r="AG52" s="33"/>
      <c r="AH52" s="117"/>
      <c r="AI52" s="16"/>
      <c r="AJ52" s="63"/>
      <c r="AK52" s="284"/>
      <c r="AL52" s="400"/>
    </row>
    <row r="53" spans="1:39">
      <c r="B53" s="79"/>
      <c r="C53" s="79"/>
      <c r="D53" s="79"/>
      <c r="E53" s="79"/>
      <c r="F53" s="6"/>
      <c r="G53" s="79"/>
      <c r="H53" s="8"/>
      <c r="I53" s="22"/>
      <c r="L53" s="123"/>
      <c r="P53" s="365"/>
      <c r="Q53" s="47"/>
      <c r="R53" s="346"/>
      <c r="S53" s="81"/>
      <c r="U53" s="34"/>
      <c r="V53" s="310"/>
      <c r="W53" s="94"/>
      <c r="X53" s="13"/>
      <c r="Y53" s="66"/>
      <c r="Z53" s="15"/>
      <c r="AA53" s="3"/>
      <c r="AB53" s="168"/>
      <c r="AD53" s="22"/>
      <c r="AG53" s="33"/>
      <c r="AH53" s="117"/>
      <c r="AI53" s="22"/>
      <c r="AJ53" s="63"/>
      <c r="AK53" s="284"/>
      <c r="AL53" s="400"/>
    </row>
    <row r="54" spans="1:39">
      <c r="B54" s="79"/>
      <c r="C54" s="79"/>
      <c r="D54" s="79"/>
      <c r="E54" s="79"/>
      <c r="F54" s="6"/>
      <c r="G54" s="79"/>
      <c r="H54" s="8"/>
      <c r="I54" s="22"/>
      <c r="L54" s="123"/>
      <c r="P54" s="365"/>
      <c r="Q54" s="47"/>
      <c r="R54" s="346"/>
      <c r="S54" s="81"/>
      <c r="U54" s="34"/>
      <c r="V54" s="310"/>
      <c r="W54" s="94"/>
      <c r="X54" s="36"/>
      <c r="Y54" s="66"/>
      <c r="Z54" s="15"/>
      <c r="AA54" s="3"/>
      <c r="AB54" s="168"/>
      <c r="AD54" s="22"/>
      <c r="AG54" s="33"/>
      <c r="AH54" s="117"/>
      <c r="AI54" s="22"/>
      <c r="AJ54" s="63"/>
      <c r="AK54" s="284"/>
      <c r="AL54" s="400"/>
    </row>
    <row r="55" spans="1:39">
      <c r="B55" s="79"/>
      <c r="C55" s="79"/>
      <c r="D55" s="79"/>
      <c r="E55" s="79"/>
      <c r="F55" s="6"/>
      <c r="G55" s="79"/>
      <c r="H55" s="145"/>
      <c r="I55" s="16"/>
      <c r="L55" s="123"/>
      <c r="P55" s="365"/>
      <c r="Q55" s="47"/>
      <c r="R55" s="346"/>
      <c r="S55" s="81"/>
      <c r="U55" s="34"/>
      <c r="V55" s="310"/>
      <c r="W55" s="94"/>
      <c r="X55" s="36"/>
      <c r="Y55" s="66"/>
      <c r="Z55" s="15"/>
      <c r="AA55" s="3"/>
      <c r="AB55" s="168"/>
      <c r="AD55" s="16"/>
      <c r="AG55" s="33"/>
      <c r="AH55" s="117"/>
      <c r="AI55" s="16"/>
      <c r="AJ55" s="63"/>
      <c r="AK55" s="284"/>
      <c r="AL55" s="400"/>
    </row>
    <row r="56" spans="1:39">
      <c r="B56" s="79"/>
      <c r="C56" s="79"/>
      <c r="D56" s="79"/>
      <c r="E56" s="79"/>
      <c r="F56" s="6"/>
      <c r="G56" s="80"/>
      <c r="H56" s="145"/>
      <c r="I56" s="16"/>
      <c r="L56" s="123"/>
      <c r="P56" s="365"/>
      <c r="Q56" s="47"/>
      <c r="R56" s="346"/>
      <c r="S56" s="81"/>
      <c r="U56" s="34"/>
      <c r="V56" s="310"/>
      <c r="W56" s="94"/>
      <c r="X56" s="36"/>
      <c r="Y56" s="66"/>
      <c r="Z56" s="15"/>
      <c r="AA56" s="3"/>
      <c r="AB56" s="168"/>
      <c r="AD56" s="16"/>
      <c r="AG56" s="33"/>
      <c r="AH56" s="43"/>
      <c r="AI56" s="16"/>
      <c r="AJ56" s="63"/>
      <c r="AK56" s="284"/>
      <c r="AL56" s="400"/>
    </row>
    <row r="57" spans="1:39">
      <c r="B57" s="79"/>
      <c r="C57" s="79"/>
      <c r="D57" s="79"/>
      <c r="E57" s="79"/>
      <c r="F57" s="6"/>
      <c r="G57" s="79"/>
      <c r="H57" s="8"/>
      <c r="I57" s="22"/>
      <c r="L57" s="123"/>
      <c r="P57" s="365"/>
      <c r="Q57" s="47"/>
      <c r="R57" s="346"/>
      <c r="S57" s="81"/>
      <c r="U57" s="34"/>
      <c r="V57" s="310"/>
      <c r="W57" s="94"/>
      <c r="X57" s="36"/>
      <c r="Y57" s="66"/>
      <c r="Z57" s="15"/>
      <c r="AA57" s="35"/>
      <c r="AB57" s="168"/>
      <c r="AD57" s="22"/>
      <c r="AG57" s="33"/>
      <c r="AH57" s="119"/>
      <c r="AI57" s="22"/>
      <c r="AJ57" s="63"/>
      <c r="AK57" s="284"/>
      <c r="AL57" s="400"/>
    </row>
    <row r="58" spans="1:39">
      <c r="B58" s="79"/>
      <c r="C58" s="79"/>
      <c r="D58" s="80"/>
      <c r="E58" s="79"/>
      <c r="F58" s="6"/>
      <c r="G58" s="79"/>
      <c r="H58" s="5"/>
      <c r="I58" s="22"/>
      <c r="L58" s="123"/>
      <c r="P58" s="365"/>
      <c r="Q58" s="47"/>
      <c r="R58" s="346"/>
      <c r="S58" s="81"/>
      <c r="U58" s="34"/>
      <c r="V58" s="310"/>
      <c r="W58" s="57"/>
      <c r="X58" s="36"/>
      <c r="Y58" s="66"/>
      <c r="Z58" s="15"/>
      <c r="AA58" s="3"/>
      <c r="AB58" s="168"/>
      <c r="AD58" s="22"/>
      <c r="AG58" s="33"/>
      <c r="AH58" s="43"/>
      <c r="AI58" s="22"/>
      <c r="AJ58" s="63"/>
      <c r="AK58" s="284"/>
      <c r="AL58" s="400"/>
    </row>
    <row r="59" spans="1:39">
      <c r="B59" s="80"/>
      <c r="C59" s="80"/>
      <c r="D59" s="79"/>
      <c r="E59" s="79"/>
      <c r="F59" s="6"/>
      <c r="G59" s="80"/>
      <c r="H59" s="18"/>
      <c r="I59" s="22"/>
      <c r="L59" s="123"/>
      <c r="P59" s="365"/>
      <c r="Q59" s="47"/>
      <c r="R59" s="346"/>
      <c r="S59" s="81"/>
      <c r="U59" s="34"/>
      <c r="V59" s="310"/>
      <c r="W59" s="57"/>
      <c r="X59" s="36"/>
      <c r="Y59" s="66"/>
      <c r="Z59" s="15"/>
      <c r="AA59" s="3"/>
      <c r="AB59" s="168"/>
      <c r="AD59" s="22"/>
      <c r="AG59" s="33"/>
      <c r="AH59" s="43"/>
      <c r="AI59" s="22"/>
      <c r="AJ59" s="63"/>
      <c r="AK59" s="284"/>
      <c r="AL59" s="402"/>
    </row>
    <row r="60" spans="1:39">
      <c r="B60" s="79"/>
      <c r="C60" s="79"/>
      <c r="D60" s="80"/>
      <c r="E60" s="79"/>
      <c r="F60" s="6"/>
      <c r="G60" s="79"/>
      <c r="H60" s="8"/>
      <c r="I60" s="16"/>
      <c r="L60" s="123"/>
      <c r="P60" s="365"/>
      <c r="Q60" s="47"/>
      <c r="R60" s="346"/>
      <c r="S60" s="81"/>
      <c r="U60" s="34"/>
      <c r="V60" s="310"/>
      <c r="W60" s="94"/>
      <c r="X60" s="36"/>
      <c r="Y60" s="66"/>
      <c r="Z60" s="15"/>
      <c r="AA60" s="3"/>
      <c r="AB60" s="168"/>
      <c r="AD60" s="16"/>
      <c r="AG60" s="33"/>
      <c r="AH60" s="43"/>
      <c r="AI60" s="16"/>
      <c r="AJ60" s="63"/>
      <c r="AK60" s="284"/>
      <c r="AL60" s="400"/>
    </row>
    <row r="61" spans="1:39">
      <c r="A61" s="141"/>
      <c r="B61" s="79"/>
      <c r="C61" s="79"/>
      <c r="D61" s="79"/>
      <c r="E61" s="79"/>
      <c r="F61" s="6"/>
      <c r="G61" s="41"/>
      <c r="H61" s="8"/>
      <c r="I61" s="153"/>
      <c r="L61" s="163"/>
      <c r="M61" s="248"/>
      <c r="N61" s="248"/>
      <c r="P61" s="365"/>
      <c r="Q61" s="47"/>
      <c r="R61" s="346"/>
      <c r="S61" s="283"/>
      <c r="U61" s="185"/>
      <c r="V61" s="310"/>
      <c r="W61" s="94"/>
      <c r="X61" s="307"/>
      <c r="Y61" s="296"/>
      <c r="Z61" s="226"/>
      <c r="AA61" s="158"/>
      <c r="AB61" s="330"/>
      <c r="AD61" s="227"/>
      <c r="AE61" s="6"/>
      <c r="AG61" s="33"/>
      <c r="AH61" s="46"/>
      <c r="AI61" s="227"/>
      <c r="AJ61" s="248"/>
      <c r="AK61" s="171"/>
      <c r="AL61" s="248"/>
      <c r="AM61" s="248"/>
    </row>
    <row r="62" spans="1:39">
      <c r="B62" s="80"/>
      <c r="C62" s="80"/>
      <c r="D62" s="79"/>
      <c r="E62" s="79"/>
      <c r="F62" s="6"/>
      <c r="G62" s="79"/>
      <c r="H62" s="17"/>
      <c r="I62" s="22"/>
      <c r="L62" s="123"/>
      <c r="P62" s="365"/>
      <c r="Q62" s="47"/>
      <c r="R62" s="346"/>
      <c r="U62" s="34"/>
      <c r="V62" s="310"/>
      <c r="W62" s="57"/>
      <c r="X62" s="36"/>
      <c r="Y62" s="66"/>
      <c r="Z62" s="15"/>
      <c r="AA62" s="3"/>
      <c r="AB62" s="168"/>
      <c r="AD62" s="22"/>
      <c r="AG62" s="33"/>
      <c r="AH62" s="43"/>
      <c r="AI62" s="22"/>
      <c r="AJ62" s="63"/>
      <c r="AK62" s="284"/>
      <c r="AL62" s="239"/>
    </row>
    <row r="63" spans="1:39">
      <c r="B63" s="306"/>
      <c r="C63" s="172"/>
      <c r="D63" s="172"/>
      <c r="E63" s="172"/>
      <c r="F63" s="173"/>
      <c r="G63" s="313"/>
      <c r="H63" s="174"/>
      <c r="I63" s="233"/>
      <c r="L63" s="123"/>
      <c r="P63" s="365"/>
      <c r="Q63" s="293"/>
      <c r="R63" s="346"/>
      <c r="T63" s="326"/>
      <c r="U63" s="389"/>
      <c r="V63" s="308"/>
      <c r="W63" s="4"/>
      <c r="X63" s="4"/>
      <c r="Y63" s="10"/>
      <c r="Z63" s="175"/>
      <c r="AB63" s="331"/>
      <c r="AD63" s="233"/>
      <c r="AF63" s="374"/>
      <c r="AG63" s="176"/>
      <c r="AH63" s="320"/>
      <c r="AI63" s="233"/>
      <c r="AJ63" s="233"/>
      <c r="AK63" s="233"/>
    </row>
    <row r="64" spans="1:39">
      <c r="B64" s="90"/>
      <c r="C64" s="90"/>
      <c r="D64" s="90"/>
      <c r="E64" s="90"/>
      <c r="F64" s="8"/>
      <c r="G64" s="26"/>
      <c r="H64" s="55"/>
      <c r="I64" s="50"/>
      <c r="L64" s="123"/>
      <c r="T64" s="326"/>
      <c r="U64" s="388"/>
      <c r="V64" s="308"/>
      <c r="W64" s="68"/>
      <c r="X64" s="28"/>
      <c r="Y64" s="17"/>
      <c r="Z64" s="14"/>
      <c r="AA64" s="21"/>
      <c r="AB64" s="51"/>
      <c r="AD64" s="50"/>
      <c r="AE64" s="71"/>
      <c r="AF64" s="72"/>
      <c r="AG64" s="32"/>
      <c r="AH64" s="232"/>
      <c r="AI64" s="50"/>
      <c r="AJ64" s="8"/>
      <c r="AK64" s="50"/>
    </row>
    <row r="65" spans="1:39">
      <c r="B65" s="90"/>
      <c r="C65" s="90"/>
      <c r="D65" s="90"/>
      <c r="E65" s="90"/>
      <c r="F65" s="8"/>
      <c r="G65" s="26"/>
      <c r="H65" s="55"/>
      <c r="I65" s="50"/>
      <c r="L65" s="123"/>
      <c r="Q65" s="293"/>
      <c r="T65" s="326"/>
      <c r="U65" s="388"/>
      <c r="V65" s="308"/>
      <c r="W65" s="68"/>
      <c r="X65" s="28"/>
      <c r="Y65" s="17"/>
      <c r="Z65" s="14"/>
      <c r="AA65" s="21"/>
      <c r="AB65" s="51"/>
      <c r="AD65" s="50"/>
      <c r="AE65" s="71"/>
      <c r="AF65" s="72"/>
      <c r="AG65" s="32"/>
      <c r="AH65" s="232"/>
      <c r="AI65" s="50"/>
      <c r="AJ65" s="8"/>
      <c r="AK65" s="50"/>
    </row>
    <row r="66" spans="1:39">
      <c r="B66" s="80"/>
      <c r="C66" s="80"/>
      <c r="D66" s="79"/>
      <c r="E66" s="79"/>
      <c r="F66" s="6"/>
      <c r="G66" s="80"/>
      <c r="H66" s="8"/>
      <c r="I66" s="22"/>
      <c r="L66" s="123"/>
      <c r="P66" s="365"/>
      <c r="Q66" s="47"/>
      <c r="R66" s="346"/>
      <c r="S66" s="81"/>
      <c r="U66" s="34"/>
      <c r="V66" s="310"/>
      <c r="W66" s="94"/>
      <c r="X66" s="13"/>
      <c r="Y66" s="66"/>
      <c r="Z66" s="15"/>
      <c r="AA66" s="3"/>
      <c r="AB66" s="168"/>
      <c r="AD66" s="22"/>
      <c r="AG66" s="33"/>
      <c r="AH66" s="43"/>
      <c r="AI66" s="22"/>
      <c r="AJ66" s="63"/>
      <c r="AK66" s="284"/>
      <c r="AL66" s="400"/>
    </row>
    <row r="67" spans="1:39">
      <c r="A67" s="141"/>
      <c r="B67" s="79"/>
      <c r="C67" s="79"/>
      <c r="D67" s="79"/>
      <c r="E67" s="79"/>
      <c r="F67" s="6"/>
      <c r="G67" s="41"/>
      <c r="H67" s="8"/>
      <c r="I67" s="153"/>
      <c r="L67" s="163"/>
      <c r="M67" s="248"/>
      <c r="N67" s="248"/>
      <c r="P67" s="365"/>
      <c r="Q67" s="47"/>
      <c r="R67" s="346"/>
      <c r="S67" s="283"/>
      <c r="T67" s="322"/>
      <c r="U67" s="185"/>
      <c r="V67" s="308"/>
      <c r="W67" s="94"/>
      <c r="X67" s="307"/>
      <c r="Y67" s="296"/>
      <c r="Z67" s="162"/>
      <c r="AA67" s="158"/>
      <c r="AB67" s="330"/>
      <c r="AD67" s="227"/>
      <c r="AE67" s="6"/>
      <c r="AG67" s="33"/>
      <c r="AH67" s="46"/>
      <c r="AI67" s="227"/>
      <c r="AJ67" s="248"/>
      <c r="AK67" s="171"/>
      <c r="AL67" s="248"/>
      <c r="AM67" s="248"/>
    </row>
    <row r="68" spans="1:39">
      <c r="B68" s="90"/>
      <c r="C68" s="90"/>
      <c r="D68" s="90"/>
      <c r="E68" s="90"/>
      <c r="F68" s="8"/>
      <c r="G68" s="26"/>
      <c r="H68" s="55"/>
      <c r="I68" s="50"/>
      <c r="L68" s="123"/>
      <c r="P68" s="365"/>
      <c r="Q68" s="47"/>
      <c r="R68" s="346"/>
      <c r="T68" s="326"/>
      <c r="U68" s="388"/>
      <c r="V68" s="308"/>
      <c r="W68" s="68"/>
      <c r="X68" s="28"/>
      <c r="Y68" s="17"/>
      <c r="Z68" s="14"/>
      <c r="AA68" s="21"/>
      <c r="AB68" s="51"/>
      <c r="AD68" s="50"/>
      <c r="AE68" s="71"/>
      <c r="AF68" s="72"/>
      <c r="AG68" s="32"/>
      <c r="AH68" s="232"/>
      <c r="AI68" s="50"/>
      <c r="AJ68" s="8"/>
      <c r="AK68" s="50"/>
    </row>
    <row r="69" spans="1:39">
      <c r="B69" s="79"/>
      <c r="C69" s="79"/>
      <c r="D69" s="80"/>
      <c r="E69" s="79"/>
      <c r="F69" s="6"/>
      <c r="G69" s="79"/>
      <c r="H69" s="145"/>
      <c r="I69" s="16"/>
      <c r="L69" s="123"/>
      <c r="P69" s="365"/>
      <c r="Q69" s="47"/>
      <c r="R69" s="346"/>
      <c r="S69" s="81"/>
      <c r="U69" s="34"/>
      <c r="V69" s="310"/>
      <c r="W69" s="57"/>
      <c r="X69" s="13"/>
      <c r="Y69" s="66"/>
      <c r="Z69" s="15"/>
      <c r="AA69" s="63"/>
      <c r="AB69" s="168"/>
      <c r="AD69" s="16"/>
      <c r="AG69" s="33"/>
      <c r="AH69" s="43"/>
      <c r="AI69" s="16"/>
      <c r="AJ69" s="63"/>
      <c r="AK69" s="284"/>
      <c r="AL69" s="400"/>
    </row>
    <row r="70" spans="1:39">
      <c r="B70" s="79"/>
      <c r="C70" s="79"/>
      <c r="D70" s="79"/>
      <c r="E70" s="79"/>
      <c r="F70" s="6"/>
      <c r="G70" s="79"/>
      <c r="H70" s="8"/>
      <c r="I70" s="22"/>
      <c r="L70" s="123"/>
      <c r="P70" s="365"/>
      <c r="Q70" s="47"/>
      <c r="R70" s="346"/>
      <c r="S70" s="81"/>
      <c r="U70" s="34"/>
      <c r="V70" s="310"/>
      <c r="W70" s="94"/>
      <c r="X70" s="36"/>
      <c r="Y70" s="66"/>
      <c r="Z70" s="15"/>
      <c r="AA70" s="63"/>
      <c r="AB70" s="168"/>
      <c r="AD70" s="22"/>
      <c r="AG70" s="33"/>
      <c r="AH70" s="43"/>
      <c r="AI70" s="22"/>
      <c r="AJ70" s="63"/>
      <c r="AK70" s="284"/>
      <c r="AL70" s="400"/>
    </row>
    <row r="71" spans="1:39">
      <c r="B71" s="79"/>
      <c r="C71" s="79"/>
      <c r="D71" s="80"/>
      <c r="E71" s="79"/>
      <c r="F71" s="6"/>
      <c r="G71" s="79"/>
      <c r="H71" s="8"/>
      <c r="I71" s="22"/>
      <c r="L71" s="123"/>
      <c r="P71" s="365"/>
      <c r="Q71" s="47"/>
      <c r="R71" s="346"/>
      <c r="S71" s="81"/>
      <c r="U71" s="34"/>
      <c r="V71" s="310"/>
      <c r="W71" s="94"/>
      <c r="X71" s="36"/>
      <c r="Y71" s="66"/>
      <c r="Z71" s="15"/>
      <c r="AA71" s="63"/>
      <c r="AB71" s="168"/>
      <c r="AD71" s="22"/>
      <c r="AG71" s="33"/>
      <c r="AH71" s="43"/>
      <c r="AI71" s="22"/>
      <c r="AJ71" s="63"/>
      <c r="AK71" s="284"/>
      <c r="AL71" s="400"/>
    </row>
    <row r="72" spans="1:39">
      <c r="B72" s="79"/>
      <c r="C72" s="79"/>
      <c r="D72" s="80"/>
      <c r="E72" s="79"/>
      <c r="F72" s="6"/>
      <c r="G72" s="79"/>
      <c r="H72" s="8"/>
      <c r="I72" s="16"/>
      <c r="L72" s="123"/>
      <c r="P72" s="365"/>
      <c r="Q72" s="47"/>
      <c r="R72" s="346"/>
      <c r="S72" s="81"/>
      <c r="U72" s="34"/>
      <c r="V72" s="310"/>
      <c r="W72" s="94"/>
      <c r="X72" s="36"/>
      <c r="Y72" s="66"/>
      <c r="Z72" s="15"/>
      <c r="AA72" s="63"/>
      <c r="AB72" s="168"/>
      <c r="AD72" s="16"/>
      <c r="AG72" s="33"/>
      <c r="AH72" s="117"/>
      <c r="AI72" s="16"/>
      <c r="AJ72" s="63"/>
      <c r="AK72" s="284"/>
      <c r="AL72" s="400"/>
    </row>
    <row r="73" spans="1:39">
      <c r="B73" s="79"/>
      <c r="C73" s="79"/>
      <c r="D73" s="80"/>
      <c r="E73" s="79"/>
      <c r="F73" s="6"/>
      <c r="G73" s="79"/>
      <c r="H73" s="195"/>
      <c r="I73" s="16"/>
      <c r="L73" s="123"/>
      <c r="P73" s="365"/>
      <c r="Q73" s="47"/>
      <c r="R73" s="346"/>
      <c r="S73" s="81"/>
      <c r="U73" s="34"/>
      <c r="V73" s="312"/>
      <c r="W73" s="94"/>
      <c r="X73" s="36"/>
      <c r="Y73" s="66"/>
      <c r="Z73" s="15"/>
      <c r="AA73" s="63"/>
      <c r="AB73" s="168"/>
      <c r="AD73" s="16"/>
      <c r="AG73" s="33"/>
      <c r="AH73" s="117"/>
      <c r="AI73" s="16"/>
      <c r="AJ73" s="63"/>
      <c r="AK73" s="284"/>
      <c r="AL73" s="400"/>
    </row>
    <row r="74" spans="1:39">
      <c r="B74" s="79"/>
      <c r="C74" s="79"/>
      <c r="D74" s="80"/>
      <c r="E74" s="79"/>
      <c r="F74" s="6"/>
      <c r="G74" s="80"/>
      <c r="H74" s="17"/>
      <c r="I74" s="22"/>
      <c r="L74" s="123"/>
      <c r="P74" s="365"/>
      <c r="Q74" s="47"/>
      <c r="R74" s="346"/>
      <c r="S74" s="81"/>
      <c r="U74" s="34"/>
      <c r="V74" s="310"/>
      <c r="W74" s="94"/>
      <c r="X74" s="36"/>
      <c r="Y74" s="66"/>
      <c r="Z74" s="15"/>
      <c r="AA74" s="63"/>
      <c r="AB74" s="168"/>
      <c r="AD74" s="22"/>
      <c r="AG74" s="33"/>
      <c r="AH74" s="43"/>
      <c r="AI74" s="22"/>
      <c r="AJ74" s="63"/>
      <c r="AK74" s="284"/>
      <c r="AL74" s="400"/>
    </row>
    <row r="75" spans="1:39">
      <c r="B75" s="79"/>
      <c r="C75" s="79"/>
      <c r="D75" s="80"/>
      <c r="E75" s="79"/>
      <c r="F75" s="6"/>
      <c r="G75" s="80"/>
      <c r="H75" s="8"/>
      <c r="I75" s="16"/>
      <c r="L75" s="123"/>
      <c r="P75" s="365"/>
      <c r="Q75" s="47"/>
      <c r="R75" s="346"/>
      <c r="S75" s="81"/>
      <c r="U75" s="34"/>
      <c r="V75" s="310"/>
      <c r="W75" s="94"/>
      <c r="X75" s="36"/>
      <c r="Y75" s="66"/>
      <c r="Z75" s="15"/>
      <c r="AA75" s="63"/>
      <c r="AB75" s="168"/>
      <c r="AD75" s="16"/>
      <c r="AG75" s="33"/>
      <c r="AH75" s="117"/>
      <c r="AI75" s="16"/>
      <c r="AJ75" s="63"/>
      <c r="AK75" s="284"/>
      <c r="AL75" s="400"/>
    </row>
    <row r="76" spans="1:39">
      <c r="B76" s="80"/>
      <c r="C76" s="80"/>
      <c r="D76" s="80"/>
      <c r="E76" s="79"/>
      <c r="F76" s="6"/>
      <c r="G76" s="79"/>
      <c r="H76" s="8"/>
      <c r="I76" s="16"/>
      <c r="L76" s="123"/>
      <c r="P76" s="365"/>
      <c r="Q76" s="47"/>
      <c r="R76" s="346"/>
      <c r="S76" s="81"/>
      <c r="U76" s="34"/>
      <c r="V76" s="310"/>
      <c r="W76" s="94"/>
      <c r="X76" s="36"/>
      <c r="Y76" s="66"/>
      <c r="Z76" s="15"/>
      <c r="AA76" s="63"/>
      <c r="AB76" s="168"/>
      <c r="AD76" s="16"/>
      <c r="AG76" s="33"/>
      <c r="AH76" s="117"/>
      <c r="AI76" s="16"/>
      <c r="AJ76" s="63"/>
      <c r="AK76" s="284"/>
      <c r="AL76" s="400"/>
    </row>
    <row r="77" spans="1:39">
      <c r="B77" s="79"/>
      <c r="C77" s="79"/>
      <c r="D77" s="80"/>
      <c r="E77" s="79"/>
      <c r="F77" s="6"/>
      <c r="G77" s="79"/>
      <c r="H77" s="8"/>
      <c r="I77" s="16"/>
      <c r="L77" s="123"/>
      <c r="P77" s="365"/>
      <c r="Q77" s="47"/>
      <c r="R77" s="346"/>
      <c r="S77" s="81"/>
      <c r="U77" s="34"/>
      <c r="V77" s="310"/>
      <c r="W77" s="57"/>
      <c r="X77" s="13"/>
      <c r="Y77" s="66"/>
      <c r="Z77" s="15"/>
      <c r="AA77" s="63"/>
      <c r="AB77" s="168"/>
      <c r="AD77" s="16"/>
      <c r="AG77" s="33"/>
      <c r="AH77" s="43"/>
      <c r="AI77" s="16"/>
      <c r="AJ77" s="63"/>
      <c r="AK77" s="284"/>
      <c r="AL77" s="400"/>
    </row>
    <row r="78" spans="1:39">
      <c r="B78" s="92"/>
      <c r="C78" s="92"/>
      <c r="D78" s="80"/>
      <c r="E78" s="79"/>
      <c r="F78" s="6"/>
      <c r="G78" s="79"/>
      <c r="H78" s="17"/>
      <c r="I78" s="16"/>
      <c r="L78" s="123"/>
      <c r="P78" s="365"/>
      <c r="Q78" s="47"/>
      <c r="R78" s="346"/>
      <c r="S78" s="81"/>
      <c r="U78" s="34"/>
      <c r="V78" s="310"/>
      <c r="W78" s="94"/>
      <c r="X78" s="36"/>
      <c r="Y78" s="66"/>
      <c r="Z78" s="15"/>
      <c r="AA78" s="63"/>
      <c r="AB78" s="168"/>
      <c r="AD78" s="16"/>
      <c r="AG78" s="33"/>
      <c r="AH78" s="43"/>
      <c r="AI78" s="16"/>
      <c r="AJ78" s="63"/>
      <c r="AK78" s="284"/>
      <c r="AL78" s="400"/>
    </row>
    <row r="79" spans="1:39">
      <c r="B79" s="79"/>
      <c r="C79" s="79"/>
      <c r="D79" s="79"/>
      <c r="E79" s="79"/>
      <c r="F79" s="6"/>
      <c r="G79" s="80"/>
      <c r="H79" s="5"/>
      <c r="I79" s="22"/>
      <c r="L79" s="123"/>
      <c r="P79" s="365"/>
      <c r="Q79" s="47"/>
      <c r="R79" s="346"/>
      <c r="S79" s="81"/>
      <c r="U79" s="34"/>
      <c r="V79" s="310"/>
      <c r="W79" s="94"/>
      <c r="X79" s="150"/>
      <c r="Y79" s="66"/>
      <c r="Z79" s="137"/>
      <c r="AA79" s="63"/>
      <c r="AB79" s="168"/>
      <c r="AD79" s="22"/>
      <c r="AG79" s="33"/>
      <c r="AH79" s="43"/>
      <c r="AI79" s="22"/>
      <c r="AJ79" s="63"/>
      <c r="AK79" s="284"/>
      <c r="AL79" s="400"/>
    </row>
    <row r="80" spans="1:39">
      <c r="B80" s="79"/>
      <c r="C80" s="79"/>
      <c r="D80" s="79"/>
      <c r="E80" s="79"/>
      <c r="F80" s="6"/>
      <c r="G80" s="79"/>
      <c r="H80" s="8"/>
      <c r="I80" s="22"/>
      <c r="L80" s="123"/>
      <c r="P80" s="365"/>
      <c r="Q80" s="47"/>
      <c r="R80" s="346"/>
      <c r="S80" s="81"/>
      <c r="U80" s="34"/>
      <c r="V80" s="310"/>
      <c r="W80" s="94"/>
      <c r="X80" s="36"/>
      <c r="Y80" s="66"/>
      <c r="Z80" s="15"/>
      <c r="AA80" s="63"/>
      <c r="AB80" s="168"/>
      <c r="AD80" s="22"/>
      <c r="AG80" s="33"/>
      <c r="AH80" s="117"/>
      <c r="AI80" s="22"/>
      <c r="AJ80" s="63"/>
      <c r="AK80" s="284"/>
      <c r="AL80" s="400"/>
    </row>
    <row r="81" spans="2:38">
      <c r="B81" s="79"/>
      <c r="C81" s="79"/>
      <c r="D81" s="79"/>
      <c r="E81" s="79"/>
      <c r="F81" s="6"/>
      <c r="G81" s="79"/>
      <c r="H81" s="8"/>
      <c r="I81" s="16"/>
      <c r="L81" s="123"/>
      <c r="P81" s="365"/>
      <c r="Q81" s="47"/>
      <c r="R81" s="346"/>
      <c r="S81" s="81"/>
      <c r="U81" s="34"/>
      <c r="V81" s="310"/>
      <c r="W81" s="94"/>
      <c r="X81" s="36"/>
      <c r="Y81" s="66"/>
      <c r="Z81" s="15"/>
      <c r="AA81" s="63"/>
      <c r="AB81" s="168"/>
      <c r="AD81" s="16"/>
      <c r="AG81" s="33"/>
      <c r="AH81" s="43"/>
      <c r="AI81" s="16"/>
      <c r="AJ81" s="63"/>
      <c r="AK81" s="284"/>
      <c r="AL81" s="400"/>
    </row>
    <row r="82" spans="2:38">
      <c r="B82" s="79"/>
      <c r="C82" s="79"/>
      <c r="D82" s="80"/>
      <c r="E82" s="79"/>
      <c r="F82" s="6"/>
      <c r="G82" s="79"/>
      <c r="H82" s="183"/>
      <c r="I82" s="16"/>
      <c r="L82" s="123"/>
      <c r="P82" s="365"/>
      <c r="Q82" s="47"/>
      <c r="R82" s="346"/>
      <c r="S82" s="81"/>
      <c r="U82" s="34"/>
      <c r="V82" s="310"/>
      <c r="W82" s="57"/>
      <c r="X82" s="13"/>
      <c r="Y82" s="66"/>
      <c r="Z82" s="15"/>
      <c r="AA82" s="63"/>
      <c r="AB82" s="168"/>
      <c r="AD82" s="16"/>
      <c r="AG82" s="33"/>
      <c r="AH82" s="43"/>
      <c r="AI82" s="16"/>
      <c r="AJ82" s="63"/>
      <c r="AK82" s="284"/>
      <c r="AL82" s="400"/>
    </row>
    <row r="83" spans="2:38">
      <c r="B83" s="79"/>
      <c r="C83" s="79"/>
      <c r="D83" s="79"/>
      <c r="E83" s="79"/>
      <c r="F83" s="6"/>
      <c r="G83" s="79"/>
      <c r="H83" s="5"/>
      <c r="I83" s="16"/>
      <c r="L83" s="123"/>
      <c r="P83" s="365"/>
      <c r="Q83" s="47"/>
      <c r="R83" s="346"/>
      <c r="S83" s="81"/>
      <c r="U83" s="34"/>
      <c r="V83" s="310"/>
      <c r="W83" s="94"/>
      <c r="X83" s="36"/>
      <c r="Y83" s="66"/>
      <c r="Z83" s="15"/>
      <c r="AA83" s="63"/>
      <c r="AB83" s="168"/>
      <c r="AD83" s="16"/>
      <c r="AG83" s="33"/>
      <c r="AH83" s="43"/>
      <c r="AI83" s="16"/>
      <c r="AJ83" s="63"/>
      <c r="AK83" s="284"/>
      <c r="AL83" s="400"/>
    </row>
    <row r="84" spans="2:38">
      <c r="B84" s="79"/>
      <c r="C84" s="80"/>
      <c r="D84" s="80"/>
      <c r="E84" s="79"/>
      <c r="F84" s="6"/>
      <c r="G84" s="79"/>
      <c r="H84" s="145"/>
      <c r="I84" s="16"/>
      <c r="L84" s="123"/>
      <c r="P84" s="365"/>
      <c r="Q84" s="47"/>
      <c r="R84" s="346"/>
      <c r="S84" s="81"/>
      <c r="U84" s="34"/>
      <c r="V84" s="310"/>
      <c r="W84" s="94"/>
      <c r="X84" s="36"/>
      <c r="Y84" s="66"/>
      <c r="Z84" s="15"/>
      <c r="AA84" s="63"/>
      <c r="AB84" s="168"/>
      <c r="AD84" s="16"/>
      <c r="AG84" s="33"/>
      <c r="AH84" s="117"/>
      <c r="AI84" s="16"/>
      <c r="AJ84" s="63"/>
      <c r="AK84" s="284"/>
      <c r="AL84" s="400"/>
    </row>
    <row r="85" spans="2:38">
      <c r="B85" s="79"/>
      <c r="C85" s="79"/>
      <c r="D85" s="80"/>
      <c r="E85" s="79"/>
      <c r="F85" s="6"/>
      <c r="G85" s="79"/>
      <c r="H85" s="8"/>
      <c r="I85" s="16"/>
      <c r="L85" s="123"/>
      <c r="P85" s="365"/>
      <c r="Q85" s="47"/>
      <c r="R85" s="346"/>
      <c r="S85" s="81"/>
      <c r="U85" s="34"/>
      <c r="V85" s="310"/>
      <c r="W85" s="94"/>
      <c r="X85" s="36"/>
      <c r="Y85" s="66"/>
      <c r="Z85" s="15"/>
      <c r="AA85" s="63"/>
      <c r="AB85" s="168"/>
      <c r="AD85" s="16"/>
      <c r="AG85" s="33"/>
      <c r="AH85" s="117"/>
      <c r="AI85" s="16"/>
      <c r="AJ85" s="63"/>
      <c r="AK85" s="284"/>
      <c r="AL85" s="400"/>
    </row>
    <row r="86" spans="2:38">
      <c r="B86" s="79"/>
      <c r="C86" s="79"/>
      <c r="D86" s="80"/>
      <c r="E86" s="79"/>
      <c r="F86" s="6"/>
      <c r="G86" s="79"/>
      <c r="H86" s="8"/>
      <c r="I86" s="22"/>
      <c r="L86" s="123"/>
      <c r="P86" s="365"/>
      <c r="Q86" s="47"/>
      <c r="R86" s="346"/>
      <c r="S86" s="81"/>
      <c r="U86" s="34"/>
      <c r="V86" s="310"/>
      <c r="W86" s="94"/>
      <c r="X86" s="36"/>
      <c r="Y86" s="66"/>
      <c r="Z86" s="15"/>
      <c r="AA86" s="63"/>
      <c r="AB86" s="168"/>
      <c r="AD86" s="22"/>
      <c r="AG86" s="33"/>
      <c r="AH86" s="117"/>
      <c r="AI86" s="22"/>
      <c r="AJ86" s="63"/>
      <c r="AK86" s="284"/>
      <c r="AL86" s="400"/>
    </row>
    <row r="87" spans="2:38">
      <c r="B87" s="79"/>
      <c r="C87" s="79"/>
      <c r="D87" s="80"/>
      <c r="E87" s="79"/>
      <c r="F87" s="6"/>
      <c r="G87" s="79"/>
      <c r="H87" s="8"/>
      <c r="I87" s="22"/>
      <c r="L87" s="123"/>
      <c r="P87" s="365"/>
      <c r="Q87" s="47"/>
      <c r="R87" s="346"/>
      <c r="S87" s="81"/>
      <c r="U87" s="34"/>
      <c r="V87" s="310"/>
      <c r="W87" s="94"/>
      <c r="X87" s="36"/>
      <c r="Y87" s="66"/>
      <c r="Z87" s="15"/>
      <c r="AA87" s="63"/>
      <c r="AB87" s="168"/>
      <c r="AD87" s="22"/>
      <c r="AG87" s="33"/>
      <c r="AH87" s="43"/>
      <c r="AI87" s="22"/>
      <c r="AJ87" s="63"/>
      <c r="AK87" s="284"/>
      <c r="AL87" s="400"/>
    </row>
    <row r="88" spans="2:38">
      <c r="B88" s="79"/>
      <c r="C88" s="79"/>
      <c r="D88" s="80"/>
      <c r="E88" s="79"/>
      <c r="F88" s="6"/>
      <c r="G88" s="79"/>
      <c r="H88" s="8"/>
      <c r="I88" s="16"/>
      <c r="L88" s="123"/>
      <c r="P88" s="365"/>
      <c r="Q88" s="47"/>
      <c r="R88" s="346"/>
      <c r="S88" s="81"/>
      <c r="U88" s="34"/>
      <c r="V88" s="310"/>
      <c r="W88" s="94"/>
      <c r="X88" s="36"/>
      <c r="Y88" s="66"/>
      <c r="Z88" s="15"/>
      <c r="AA88" s="63"/>
      <c r="AB88" s="168"/>
      <c r="AD88" s="16"/>
      <c r="AG88" s="33"/>
      <c r="AH88" s="117"/>
      <c r="AI88" s="16"/>
      <c r="AJ88" s="63"/>
      <c r="AK88" s="284"/>
      <c r="AL88" s="400"/>
    </row>
    <row r="89" spans="2:38">
      <c r="B89" s="79"/>
      <c r="C89" s="79"/>
      <c r="D89" s="80"/>
      <c r="E89" s="79"/>
      <c r="F89" s="6"/>
      <c r="G89" s="79"/>
      <c r="H89" s="8"/>
      <c r="I89" s="22"/>
      <c r="L89" s="245"/>
      <c r="P89" s="365"/>
      <c r="Q89" s="47"/>
      <c r="R89" s="346"/>
      <c r="S89" s="81"/>
      <c r="U89" s="34"/>
      <c r="V89" s="310"/>
      <c r="W89" s="94"/>
      <c r="X89" s="36"/>
      <c r="Y89" s="66"/>
      <c r="Z89" s="15"/>
      <c r="AA89" s="63"/>
      <c r="AB89" s="168"/>
      <c r="AD89" s="22"/>
      <c r="AG89" s="33"/>
      <c r="AH89" s="43"/>
      <c r="AI89" s="22"/>
      <c r="AJ89" s="63"/>
      <c r="AK89" s="284"/>
      <c r="AL89" s="400"/>
    </row>
    <row r="90" spans="2:38">
      <c r="B90" s="80"/>
      <c r="C90" s="80"/>
      <c r="D90" s="79"/>
      <c r="E90" s="79"/>
      <c r="F90" s="6"/>
      <c r="G90" s="79"/>
      <c r="H90" s="8"/>
      <c r="I90" s="22"/>
      <c r="L90" s="123"/>
      <c r="P90" s="365"/>
      <c r="Q90" s="47"/>
      <c r="R90" s="346"/>
      <c r="S90" s="81"/>
      <c r="U90" s="34"/>
      <c r="V90" s="310"/>
      <c r="W90" s="94"/>
      <c r="X90" s="36"/>
      <c r="Y90" s="66"/>
      <c r="Z90" s="15"/>
      <c r="AA90" s="63"/>
      <c r="AB90" s="168"/>
      <c r="AD90" s="22"/>
      <c r="AG90" s="33"/>
      <c r="AH90" s="117"/>
      <c r="AI90" s="22"/>
      <c r="AJ90" s="63"/>
      <c r="AK90" s="284"/>
      <c r="AL90" s="400"/>
    </row>
    <row r="91" spans="2:38">
      <c r="B91" s="79"/>
      <c r="C91" s="79"/>
      <c r="D91" s="80"/>
      <c r="E91" s="79"/>
      <c r="F91" s="6"/>
      <c r="G91" s="79"/>
      <c r="H91" s="8"/>
      <c r="I91" s="22"/>
      <c r="L91" s="245"/>
      <c r="P91" s="365"/>
      <c r="Q91" s="47"/>
      <c r="R91" s="346"/>
      <c r="S91" s="81"/>
      <c r="U91" s="34"/>
      <c r="V91" s="310"/>
      <c r="W91" s="94"/>
      <c r="X91" s="36"/>
      <c r="Y91" s="66"/>
      <c r="Z91" s="15"/>
      <c r="AA91" s="63"/>
      <c r="AB91" s="168"/>
      <c r="AD91" s="22"/>
      <c r="AG91" s="33"/>
      <c r="AH91" s="43"/>
      <c r="AI91" s="22"/>
      <c r="AJ91" s="63"/>
      <c r="AK91" s="284"/>
      <c r="AL91" s="400"/>
    </row>
    <row r="92" spans="2:38">
      <c r="B92" s="79"/>
      <c r="C92" s="79"/>
      <c r="D92" s="80"/>
      <c r="E92" s="79"/>
      <c r="F92" s="6"/>
      <c r="G92" s="79"/>
      <c r="H92" s="8"/>
      <c r="I92" s="16"/>
      <c r="L92" s="123"/>
      <c r="P92" s="365"/>
      <c r="Q92" s="47"/>
      <c r="R92" s="346"/>
      <c r="S92" s="81"/>
      <c r="U92" s="34"/>
      <c r="V92" s="310"/>
      <c r="W92" s="57"/>
      <c r="X92" s="13"/>
      <c r="Y92" s="66"/>
      <c r="Z92" s="15"/>
      <c r="AA92" s="63"/>
      <c r="AB92" s="168"/>
      <c r="AD92" s="16"/>
      <c r="AG92" s="33"/>
      <c r="AH92" s="43"/>
      <c r="AI92" s="16"/>
      <c r="AJ92" s="63"/>
      <c r="AK92" s="284"/>
      <c r="AL92" s="400"/>
    </row>
    <row r="93" spans="2:38">
      <c r="B93" s="79"/>
      <c r="C93" s="79"/>
      <c r="D93" s="80"/>
      <c r="E93" s="79"/>
      <c r="F93" s="6"/>
      <c r="G93" s="80"/>
      <c r="H93" s="5"/>
      <c r="I93" s="16"/>
      <c r="L93" s="123"/>
      <c r="P93" s="365"/>
      <c r="Q93" s="47"/>
      <c r="R93" s="346"/>
      <c r="S93" s="81"/>
      <c r="U93" s="34"/>
      <c r="V93" s="310"/>
      <c r="W93" s="94"/>
      <c r="X93" s="36"/>
      <c r="Y93" s="66"/>
      <c r="Z93" s="15"/>
      <c r="AA93" s="63"/>
      <c r="AB93" s="168"/>
      <c r="AD93" s="16"/>
      <c r="AG93" s="33"/>
      <c r="AH93" s="117"/>
      <c r="AI93" s="16"/>
      <c r="AJ93" s="63"/>
      <c r="AK93" s="284"/>
      <c r="AL93" s="400"/>
    </row>
    <row r="94" spans="2:38">
      <c r="B94" s="79"/>
      <c r="C94" s="79"/>
      <c r="D94" s="80"/>
      <c r="E94" s="79"/>
      <c r="F94" s="6"/>
      <c r="G94" s="79"/>
      <c r="H94" s="5"/>
      <c r="I94" s="22"/>
      <c r="L94" s="123"/>
      <c r="P94" s="365"/>
      <c r="Q94" s="47"/>
      <c r="R94" s="346"/>
      <c r="S94" s="81"/>
      <c r="U94" s="34"/>
      <c r="V94" s="310"/>
      <c r="W94" s="94"/>
      <c r="X94" s="13"/>
      <c r="Y94" s="66"/>
      <c r="Z94" s="15"/>
      <c r="AA94" s="63"/>
      <c r="AB94" s="168"/>
      <c r="AD94" s="22"/>
      <c r="AG94" s="33"/>
      <c r="AH94" s="117"/>
      <c r="AI94" s="22"/>
      <c r="AJ94" s="63"/>
      <c r="AK94" s="284"/>
      <c r="AL94" s="400"/>
    </row>
    <row r="95" spans="2:38">
      <c r="B95" s="79"/>
      <c r="C95" s="79"/>
      <c r="D95" s="80"/>
      <c r="E95" s="79"/>
      <c r="F95" s="6"/>
      <c r="G95" s="79"/>
      <c r="H95" s="145"/>
      <c r="I95" s="16"/>
      <c r="L95" s="123"/>
      <c r="P95" s="365"/>
      <c r="Q95" s="47"/>
      <c r="R95" s="346"/>
      <c r="S95" s="81"/>
      <c r="U95" s="34"/>
      <c r="V95" s="310"/>
      <c r="W95" s="94"/>
      <c r="X95" s="36"/>
      <c r="Y95" s="66"/>
      <c r="Z95" s="15"/>
      <c r="AA95" s="63"/>
      <c r="AB95" s="168"/>
      <c r="AD95" s="16"/>
      <c r="AG95" s="33"/>
      <c r="AH95" s="43"/>
      <c r="AI95" s="16"/>
      <c r="AJ95" s="63"/>
      <c r="AK95" s="284"/>
      <c r="AL95" s="289"/>
    </row>
    <row r="96" spans="2:38">
      <c r="B96" s="79"/>
      <c r="C96" s="79"/>
      <c r="D96" s="80"/>
      <c r="E96" s="79"/>
      <c r="F96" s="6"/>
      <c r="G96" s="80"/>
      <c r="H96" s="5"/>
      <c r="I96" s="16"/>
      <c r="L96" s="123"/>
      <c r="P96" s="365"/>
      <c r="Q96" s="47"/>
      <c r="R96" s="346"/>
      <c r="S96" s="81"/>
      <c r="U96" s="34"/>
      <c r="V96" s="310"/>
      <c r="W96" s="57"/>
      <c r="X96" s="13"/>
      <c r="Y96" s="66"/>
      <c r="Z96" s="15"/>
      <c r="AA96" s="63"/>
      <c r="AB96" s="168"/>
      <c r="AD96" s="16"/>
      <c r="AG96" s="33"/>
      <c r="AH96" s="43"/>
      <c r="AI96" s="16"/>
      <c r="AJ96" s="63"/>
      <c r="AK96" s="284"/>
      <c r="AL96" s="400"/>
    </row>
    <row r="97" spans="2:38">
      <c r="B97" s="79"/>
      <c r="C97" s="80"/>
      <c r="D97" s="80"/>
      <c r="E97" s="79"/>
      <c r="F97" s="6"/>
      <c r="G97" s="79"/>
      <c r="H97" s="145"/>
      <c r="I97" s="16"/>
      <c r="L97" s="123"/>
      <c r="P97" s="365"/>
      <c r="Q97" s="47"/>
      <c r="R97" s="346"/>
      <c r="S97" s="81"/>
      <c r="U97" s="34"/>
      <c r="V97" s="310"/>
      <c r="W97" s="94"/>
      <c r="X97" s="36"/>
      <c r="Y97" s="66"/>
      <c r="Z97" s="15"/>
      <c r="AA97" s="63"/>
      <c r="AB97" s="168"/>
      <c r="AD97" s="16"/>
      <c r="AG97" s="33"/>
      <c r="AH97" s="117"/>
      <c r="AI97" s="16"/>
      <c r="AJ97" s="63"/>
      <c r="AK97" s="284"/>
      <c r="AL97" s="400"/>
    </row>
    <row r="98" spans="2:38">
      <c r="B98" s="79"/>
      <c r="C98" s="79"/>
      <c r="D98" s="80"/>
      <c r="E98" s="79"/>
      <c r="F98" s="6"/>
      <c r="G98" s="79"/>
      <c r="H98" s="8"/>
      <c r="I98" s="22"/>
      <c r="L98" s="123"/>
      <c r="P98" s="365"/>
      <c r="Q98" s="47"/>
      <c r="R98" s="346"/>
      <c r="S98" s="81"/>
      <c r="U98" s="34"/>
      <c r="V98" s="310"/>
      <c r="W98" s="94"/>
      <c r="X98" s="36"/>
      <c r="Y98" s="66"/>
      <c r="Z98" s="15"/>
      <c r="AA98" s="63"/>
      <c r="AB98" s="168"/>
      <c r="AD98" s="22"/>
      <c r="AG98" s="33"/>
      <c r="AH98" s="117"/>
      <c r="AI98" s="22"/>
      <c r="AJ98" s="63"/>
      <c r="AK98" s="284"/>
      <c r="AL98" s="400"/>
    </row>
    <row r="99" spans="2:38">
      <c r="B99" s="79"/>
      <c r="C99" s="79"/>
      <c r="D99" s="80"/>
      <c r="E99" s="79"/>
      <c r="F99" s="6"/>
      <c r="G99" s="79"/>
      <c r="H99" s="8"/>
      <c r="I99" s="22"/>
      <c r="L99" s="123"/>
      <c r="P99" s="365"/>
      <c r="Q99" s="47"/>
      <c r="R99" s="346"/>
      <c r="S99" s="81"/>
      <c r="U99" s="34"/>
      <c r="V99" s="310"/>
      <c r="W99" s="94"/>
      <c r="X99" s="36"/>
      <c r="Y99" s="66"/>
      <c r="Z99" s="15"/>
      <c r="AA99" s="63"/>
      <c r="AB99" s="168"/>
      <c r="AD99" s="22"/>
      <c r="AG99" s="33"/>
      <c r="AH99" s="117"/>
      <c r="AI99" s="22"/>
      <c r="AJ99" s="63"/>
      <c r="AK99" s="284"/>
      <c r="AL99" s="400"/>
    </row>
    <row r="100" spans="2:38">
      <c r="B100" s="79"/>
      <c r="C100" s="79"/>
      <c r="D100" s="79"/>
      <c r="E100" s="79"/>
      <c r="F100" s="6"/>
      <c r="G100" s="79"/>
      <c r="H100" s="5"/>
      <c r="I100" s="16"/>
      <c r="L100" s="123"/>
      <c r="P100" s="365"/>
      <c r="Q100" s="47"/>
      <c r="R100" s="346"/>
      <c r="S100" s="81"/>
      <c r="U100" s="34"/>
      <c r="V100" s="310"/>
      <c r="W100" s="94"/>
      <c r="X100" s="36"/>
      <c r="Y100" s="66"/>
      <c r="Z100" s="15"/>
      <c r="AA100" s="63"/>
      <c r="AB100" s="168"/>
      <c r="AD100" s="16"/>
      <c r="AG100" s="33"/>
      <c r="AH100" s="43"/>
      <c r="AI100" s="16"/>
      <c r="AJ100" s="63"/>
      <c r="AK100" s="284"/>
      <c r="AL100" s="400"/>
    </row>
    <row r="101" spans="2:38">
      <c r="B101" s="79"/>
      <c r="C101" s="79"/>
      <c r="D101" s="80"/>
      <c r="E101" s="79"/>
      <c r="F101" s="6"/>
      <c r="G101" s="79"/>
      <c r="H101" s="5"/>
      <c r="I101" s="22"/>
      <c r="L101" s="245"/>
      <c r="P101" s="365"/>
      <c r="Q101" s="47"/>
      <c r="R101" s="346"/>
      <c r="S101" s="81"/>
      <c r="U101" s="34"/>
      <c r="V101" s="310"/>
      <c r="W101" s="94"/>
      <c r="X101" s="36"/>
      <c r="Y101" s="66"/>
      <c r="Z101" s="15"/>
      <c r="AA101" s="63"/>
      <c r="AB101" s="168"/>
      <c r="AD101" s="22"/>
      <c r="AG101" s="33"/>
      <c r="AH101" s="43"/>
      <c r="AI101" s="22"/>
      <c r="AJ101" s="63"/>
      <c r="AK101" s="284"/>
      <c r="AL101" s="400"/>
    </row>
    <row r="102" spans="2:38">
      <c r="B102" s="79"/>
      <c r="C102" s="79"/>
      <c r="D102" s="79"/>
      <c r="E102" s="79"/>
      <c r="F102" s="6"/>
      <c r="G102" s="79"/>
      <c r="H102" s="145"/>
      <c r="I102" s="16"/>
      <c r="L102" s="123"/>
      <c r="P102" s="365"/>
      <c r="Q102" s="47"/>
      <c r="R102" s="346"/>
      <c r="S102" s="81"/>
      <c r="U102" s="34"/>
      <c r="V102" s="310"/>
      <c r="W102" s="94"/>
      <c r="X102" s="36"/>
      <c r="Y102" s="66"/>
      <c r="Z102" s="15"/>
      <c r="AA102" s="63"/>
      <c r="AB102" s="168"/>
      <c r="AD102" s="16"/>
      <c r="AG102" s="33"/>
      <c r="AH102" s="43"/>
      <c r="AI102" s="16"/>
      <c r="AJ102" s="63"/>
      <c r="AK102" s="284"/>
      <c r="AL102" s="289"/>
    </row>
    <row r="103" spans="2:38">
      <c r="B103" s="80"/>
      <c r="C103" s="80"/>
      <c r="D103" s="80"/>
      <c r="E103" s="79"/>
      <c r="F103" s="6"/>
      <c r="G103" s="79"/>
      <c r="H103" s="5"/>
      <c r="I103" s="16"/>
      <c r="L103" s="123"/>
      <c r="P103" s="365"/>
      <c r="Q103" s="47"/>
      <c r="R103" s="346"/>
      <c r="S103" s="81"/>
      <c r="U103" s="34"/>
      <c r="V103" s="310"/>
      <c r="W103" s="94"/>
      <c r="X103" s="36"/>
      <c r="Y103" s="66"/>
      <c r="Z103" s="15"/>
      <c r="AA103" s="63"/>
      <c r="AB103" s="168"/>
      <c r="AD103" s="16"/>
      <c r="AG103" s="33"/>
      <c r="AH103" s="117"/>
      <c r="AI103" s="16"/>
      <c r="AJ103" s="63"/>
      <c r="AK103" s="284"/>
      <c r="AL103" s="400"/>
    </row>
    <row r="104" spans="2:38">
      <c r="B104" s="79"/>
      <c r="C104" s="79"/>
      <c r="D104" s="79"/>
      <c r="E104" s="79"/>
      <c r="F104" s="6"/>
      <c r="G104" s="79"/>
      <c r="H104" s="8"/>
      <c r="I104" s="22"/>
      <c r="L104" s="123"/>
      <c r="P104" s="365"/>
      <c r="Q104" s="47"/>
      <c r="R104" s="346"/>
      <c r="S104" s="81"/>
      <c r="U104" s="34"/>
      <c r="V104" s="310"/>
      <c r="W104" s="94"/>
      <c r="X104" s="36"/>
      <c r="Y104" s="66"/>
      <c r="Z104" s="15"/>
      <c r="AA104" s="63"/>
      <c r="AB104" s="168"/>
      <c r="AD104" s="22"/>
      <c r="AG104" s="33"/>
      <c r="AH104" s="117"/>
      <c r="AI104" s="22"/>
      <c r="AJ104" s="63"/>
      <c r="AK104" s="284"/>
      <c r="AL104" s="400"/>
    </row>
    <row r="105" spans="2:38">
      <c r="B105" s="79"/>
      <c r="C105" s="79"/>
      <c r="D105" s="80"/>
      <c r="E105" s="79"/>
      <c r="F105" s="6"/>
      <c r="G105" s="79"/>
      <c r="H105" s="145"/>
      <c r="I105" s="16"/>
      <c r="L105" s="123"/>
      <c r="P105" s="365"/>
      <c r="Q105" s="47"/>
      <c r="R105" s="346"/>
      <c r="S105" s="81"/>
      <c r="U105" s="34"/>
      <c r="V105" s="310"/>
      <c r="W105" s="57"/>
      <c r="X105" s="13"/>
      <c r="Y105" s="66"/>
      <c r="Z105" s="15"/>
      <c r="AA105" s="63"/>
      <c r="AB105" s="168"/>
      <c r="AD105" s="16"/>
      <c r="AG105" s="33"/>
      <c r="AH105" s="43"/>
      <c r="AI105" s="16"/>
      <c r="AJ105" s="63"/>
      <c r="AK105" s="284"/>
      <c r="AL105" s="400"/>
    </row>
    <row r="106" spans="2:38">
      <c r="B106" s="80"/>
      <c r="C106" s="80"/>
      <c r="D106" s="79"/>
      <c r="E106" s="79"/>
      <c r="F106" s="6"/>
      <c r="G106" s="80"/>
      <c r="H106" s="5"/>
      <c r="I106" s="16"/>
      <c r="L106" s="123"/>
      <c r="P106" s="365"/>
      <c r="Q106" s="47"/>
      <c r="R106" s="346"/>
      <c r="S106" s="81"/>
      <c r="U106" s="34"/>
      <c r="V106" s="310"/>
      <c r="W106" s="94"/>
      <c r="X106" s="36"/>
      <c r="Y106" s="66"/>
      <c r="Z106" s="15"/>
      <c r="AA106" s="63"/>
      <c r="AB106" s="168"/>
      <c r="AD106" s="16"/>
      <c r="AG106" s="33"/>
      <c r="AH106" s="117"/>
      <c r="AI106" s="16"/>
      <c r="AJ106" s="63"/>
      <c r="AK106" s="284"/>
      <c r="AL106" s="400"/>
    </row>
    <row r="107" spans="2:38">
      <c r="B107" s="79"/>
      <c r="C107" s="79"/>
      <c r="D107" s="80"/>
      <c r="E107" s="79"/>
      <c r="F107" s="6"/>
      <c r="G107" s="79"/>
      <c r="H107" s="5"/>
      <c r="I107" s="22"/>
      <c r="L107" s="123"/>
      <c r="P107" s="365"/>
      <c r="Q107" s="47"/>
      <c r="R107" s="346"/>
      <c r="S107" s="81"/>
      <c r="U107" s="34"/>
      <c r="V107" s="310"/>
      <c r="W107" s="94"/>
      <c r="X107" s="36"/>
      <c r="Y107" s="66"/>
      <c r="Z107" s="15"/>
      <c r="AA107" s="63"/>
      <c r="AB107" s="168"/>
      <c r="AD107" s="22"/>
      <c r="AG107" s="33"/>
      <c r="AH107" s="117"/>
      <c r="AI107" s="22"/>
      <c r="AJ107" s="63"/>
      <c r="AK107" s="284"/>
      <c r="AL107" s="400"/>
    </row>
    <row r="108" spans="2:38">
      <c r="B108" s="79"/>
      <c r="C108" s="79"/>
      <c r="D108" s="79"/>
      <c r="E108" s="79"/>
      <c r="F108" s="6"/>
      <c r="G108" s="79"/>
      <c r="H108" s="8"/>
      <c r="I108" s="22"/>
      <c r="L108" s="123"/>
      <c r="P108" s="365"/>
      <c r="Q108" s="47"/>
      <c r="R108" s="346"/>
      <c r="S108" s="81"/>
      <c r="U108" s="34"/>
      <c r="V108" s="310"/>
      <c r="W108" s="94"/>
      <c r="X108" s="36"/>
      <c r="Y108" s="66"/>
      <c r="Z108" s="15"/>
      <c r="AA108" s="63"/>
      <c r="AB108" s="168"/>
      <c r="AD108" s="22"/>
      <c r="AG108" s="33"/>
      <c r="AH108" s="117"/>
      <c r="AI108" s="22"/>
      <c r="AJ108" s="63"/>
      <c r="AK108" s="284"/>
      <c r="AL108" s="400"/>
    </row>
    <row r="109" spans="2:38">
      <c r="B109" s="79"/>
      <c r="C109" s="79"/>
      <c r="D109" s="80"/>
      <c r="E109" s="79"/>
      <c r="F109" s="6"/>
      <c r="G109" s="79"/>
      <c r="H109" s="8"/>
      <c r="I109" s="22"/>
      <c r="L109" s="123"/>
      <c r="P109" s="365"/>
      <c r="Q109" s="47"/>
      <c r="R109" s="346"/>
      <c r="S109" s="81"/>
      <c r="U109" s="34"/>
      <c r="V109" s="310"/>
      <c r="W109" s="94"/>
      <c r="X109" s="36"/>
      <c r="Y109" s="66"/>
      <c r="Z109" s="15"/>
      <c r="AA109" s="63"/>
      <c r="AB109" s="168"/>
      <c r="AD109" s="22"/>
      <c r="AG109" s="33"/>
      <c r="AH109" s="117"/>
      <c r="AI109" s="22"/>
      <c r="AJ109" s="63"/>
      <c r="AK109" s="284"/>
      <c r="AL109" s="400"/>
    </row>
    <row r="110" spans="2:38">
      <c r="B110" s="79"/>
      <c r="C110" s="79"/>
      <c r="D110" s="79"/>
      <c r="E110" s="79"/>
      <c r="F110" s="6"/>
      <c r="G110" s="79"/>
      <c r="H110" s="5"/>
      <c r="I110" s="22"/>
      <c r="L110" s="245"/>
      <c r="P110" s="365"/>
      <c r="Q110" s="47"/>
      <c r="R110" s="346"/>
      <c r="S110" s="81"/>
      <c r="U110" s="34"/>
      <c r="V110" s="310"/>
      <c r="W110" s="94"/>
      <c r="X110" s="36"/>
      <c r="Y110" s="66"/>
      <c r="Z110" s="15"/>
      <c r="AA110" s="63"/>
      <c r="AB110" s="168"/>
      <c r="AD110" s="22"/>
      <c r="AG110" s="33"/>
      <c r="AH110" s="43"/>
      <c r="AI110" s="22"/>
      <c r="AJ110" s="63"/>
      <c r="AK110" s="284"/>
      <c r="AL110" s="400"/>
    </row>
    <row r="111" spans="2:38">
      <c r="B111" s="79"/>
      <c r="C111" s="79"/>
      <c r="D111" s="79"/>
      <c r="E111" s="79"/>
      <c r="F111" s="6"/>
      <c r="G111" s="80"/>
      <c r="H111" s="183"/>
      <c r="I111" s="16"/>
      <c r="L111" s="123"/>
      <c r="P111" s="365"/>
      <c r="Q111" s="47"/>
      <c r="R111" s="346"/>
      <c r="S111" s="81"/>
      <c r="U111" s="34"/>
      <c r="V111" s="310"/>
      <c r="W111" s="94"/>
      <c r="X111" s="36"/>
      <c r="Y111" s="66"/>
      <c r="Z111" s="15"/>
      <c r="AA111" s="63"/>
      <c r="AB111" s="168"/>
      <c r="AD111" s="16"/>
      <c r="AG111" s="33"/>
      <c r="AH111" s="43"/>
      <c r="AI111" s="16"/>
      <c r="AJ111" s="63"/>
      <c r="AK111" s="284"/>
      <c r="AL111" s="400"/>
    </row>
    <row r="112" spans="2:38">
      <c r="B112" s="79"/>
      <c r="C112" s="79"/>
      <c r="D112" s="79"/>
      <c r="E112" s="79"/>
      <c r="F112" s="6"/>
      <c r="G112" s="80"/>
      <c r="H112" s="145"/>
      <c r="I112" s="16"/>
      <c r="L112" s="123"/>
      <c r="P112" s="365"/>
      <c r="Q112" s="47"/>
      <c r="R112" s="346"/>
      <c r="S112" s="81"/>
      <c r="U112" s="34"/>
      <c r="V112" s="310"/>
      <c r="W112" s="94"/>
      <c r="X112" s="36"/>
      <c r="Y112" s="66"/>
      <c r="Z112" s="15"/>
      <c r="AA112" s="63"/>
      <c r="AB112" s="168"/>
      <c r="AD112" s="16"/>
      <c r="AG112" s="33"/>
      <c r="AH112" s="43"/>
      <c r="AI112" s="16"/>
      <c r="AJ112" s="63"/>
      <c r="AK112" s="284"/>
      <c r="AL112" s="400"/>
    </row>
    <row r="113" spans="1:39">
      <c r="B113" s="80"/>
      <c r="C113" s="80"/>
      <c r="D113" s="79"/>
      <c r="E113" s="79"/>
      <c r="F113" s="6"/>
      <c r="G113" s="79"/>
      <c r="H113" s="5"/>
      <c r="I113" s="16"/>
      <c r="L113" s="123"/>
      <c r="P113" s="365"/>
      <c r="Q113" s="47"/>
      <c r="R113" s="346"/>
      <c r="S113" s="81"/>
      <c r="U113" s="34"/>
      <c r="V113" s="310"/>
      <c r="W113" s="94"/>
      <c r="X113" s="36"/>
      <c r="Y113" s="66"/>
      <c r="Z113" s="15"/>
      <c r="AA113" s="63"/>
      <c r="AB113" s="168"/>
      <c r="AD113" s="16"/>
      <c r="AG113" s="33"/>
      <c r="AH113" s="117"/>
      <c r="AI113" s="16"/>
      <c r="AJ113" s="63"/>
      <c r="AK113" s="284"/>
      <c r="AL113" s="400"/>
    </row>
    <row r="114" spans="1:39">
      <c r="B114" s="80"/>
      <c r="C114" s="80"/>
      <c r="D114" s="79"/>
      <c r="E114" s="79"/>
      <c r="F114" s="6"/>
      <c r="G114" s="79"/>
      <c r="H114" s="8"/>
      <c r="I114" s="16"/>
      <c r="L114" s="123"/>
      <c r="P114" s="365"/>
      <c r="Q114" s="47"/>
      <c r="R114" s="346"/>
      <c r="S114" s="81"/>
      <c r="U114" s="34"/>
      <c r="V114" s="310"/>
      <c r="W114" s="94"/>
      <c r="X114" s="36"/>
      <c r="Y114" s="66"/>
      <c r="Z114" s="15"/>
      <c r="AA114" s="63"/>
      <c r="AB114" s="168"/>
      <c r="AD114" s="16"/>
      <c r="AG114" s="33"/>
      <c r="AH114" s="117"/>
      <c r="AI114" s="16"/>
      <c r="AJ114" s="63"/>
      <c r="AK114" s="284"/>
      <c r="AL114" s="400"/>
    </row>
    <row r="115" spans="1:39">
      <c r="B115" s="79"/>
      <c r="C115" s="79"/>
      <c r="D115" s="79"/>
      <c r="E115" s="79"/>
      <c r="F115" s="6"/>
      <c r="G115" s="79"/>
      <c r="H115" s="145"/>
      <c r="I115" s="16"/>
      <c r="L115" s="123"/>
      <c r="P115" s="365"/>
      <c r="Q115" s="47"/>
      <c r="R115" s="346"/>
      <c r="S115" s="81"/>
      <c r="U115" s="34"/>
      <c r="V115" s="310"/>
      <c r="W115" s="94"/>
      <c r="X115" s="36"/>
      <c r="Y115" s="66"/>
      <c r="Z115" s="15"/>
      <c r="AA115" s="63"/>
      <c r="AB115" s="168"/>
      <c r="AD115" s="16"/>
      <c r="AG115" s="33"/>
      <c r="AH115" s="43"/>
      <c r="AI115" s="16"/>
      <c r="AJ115" s="63"/>
      <c r="AK115" s="284"/>
      <c r="AL115" s="289"/>
    </row>
    <row r="116" spans="1:39">
      <c r="B116" s="79"/>
      <c r="C116" s="79"/>
      <c r="D116" s="79"/>
      <c r="E116" s="79"/>
      <c r="F116" s="6"/>
      <c r="G116" s="79"/>
      <c r="H116" s="145"/>
      <c r="I116" s="16"/>
      <c r="L116" s="123"/>
      <c r="P116" s="365"/>
      <c r="Q116" s="47"/>
      <c r="R116" s="346"/>
      <c r="S116" s="81"/>
      <c r="U116" s="34"/>
      <c r="V116" s="310"/>
      <c r="W116" s="94"/>
      <c r="X116" s="36"/>
      <c r="Y116" s="66"/>
      <c r="Z116" s="15"/>
      <c r="AA116" s="76"/>
      <c r="AB116" s="168"/>
      <c r="AD116" s="16"/>
      <c r="AG116" s="33"/>
      <c r="AH116" s="43"/>
      <c r="AI116" s="16"/>
      <c r="AJ116" s="63"/>
      <c r="AK116" s="284"/>
      <c r="AL116" s="289"/>
    </row>
    <row r="117" spans="1:39">
      <c r="B117" s="79"/>
      <c r="C117" s="79"/>
      <c r="D117" s="79"/>
      <c r="E117" s="79"/>
      <c r="F117" s="6"/>
      <c r="G117" s="79"/>
      <c r="H117" s="8"/>
      <c r="I117" s="16"/>
      <c r="L117" s="123"/>
      <c r="P117" s="365"/>
      <c r="Q117" s="47"/>
      <c r="R117" s="346"/>
      <c r="S117" s="81"/>
      <c r="U117" s="34"/>
      <c r="V117" s="310"/>
      <c r="W117" s="94"/>
      <c r="X117" s="36"/>
      <c r="Y117" s="66"/>
      <c r="Z117" s="15"/>
      <c r="AA117" s="63"/>
      <c r="AB117" s="168"/>
      <c r="AD117" s="16"/>
      <c r="AG117" s="33"/>
      <c r="AH117" s="43"/>
      <c r="AI117" s="16"/>
      <c r="AJ117" s="63"/>
      <c r="AK117" s="284"/>
      <c r="AL117" s="400"/>
    </row>
    <row r="118" spans="1:39">
      <c r="A118" s="141"/>
      <c r="B118" s="79"/>
      <c r="C118" s="79"/>
      <c r="D118" s="79"/>
      <c r="E118" s="79"/>
      <c r="F118" s="6"/>
      <c r="G118" s="41"/>
      <c r="H118" s="8"/>
      <c r="I118" s="153"/>
      <c r="L118" s="163"/>
      <c r="M118" s="248"/>
      <c r="N118" s="248"/>
      <c r="P118" s="365"/>
      <c r="Q118" s="47"/>
      <c r="R118" s="346"/>
      <c r="S118" s="283"/>
      <c r="U118" s="185"/>
      <c r="V118" s="308"/>
      <c r="W118" s="94"/>
      <c r="X118" s="307"/>
      <c r="Y118" s="296"/>
      <c r="Z118" s="162"/>
      <c r="AA118" s="158"/>
      <c r="AB118" s="330"/>
      <c r="AD118" s="227"/>
      <c r="AE118" s="6"/>
      <c r="AG118" s="33"/>
      <c r="AH118" s="46"/>
      <c r="AI118" s="227"/>
      <c r="AJ118" s="248"/>
      <c r="AK118" s="171"/>
      <c r="AL118" s="248"/>
      <c r="AM118" s="248"/>
    </row>
    <row r="119" spans="1:39">
      <c r="B119" s="79"/>
      <c r="C119" s="79"/>
      <c r="D119" s="79"/>
      <c r="E119" s="79"/>
      <c r="F119" s="6"/>
      <c r="G119" s="79"/>
      <c r="H119" s="8"/>
      <c r="I119" s="16"/>
      <c r="L119" s="123"/>
      <c r="P119" s="365"/>
      <c r="Q119" s="47"/>
      <c r="R119" s="346"/>
      <c r="U119" s="34"/>
      <c r="V119" s="310"/>
      <c r="W119" s="94"/>
      <c r="X119" s="36"/>
      <c r="Y119" s="66"/>
      <c r="Z119" s="15"/>
      <c r="AA119" s="63"/>
      <c r="AB119" s="168"/>
      <c r="AD119" s="16"/>
      <c r="AG119" s="33"/>
      <c r="AH119" s="43"/>
      <c r="AI119" s="16"/>
      <c r="AJ119" s="63"/>
      <c r="AK119" s="284"/>
      <c r="AL119" s="400"/>
    </row>
    <row r="120" spans="1:39">
      <c r="B120" s="79"/>
      <c r="C120" s="79"/>
      <c r="D120" s="79"/>
      <c r="E120" s="79"/>
      <c r="F120" s="6"/>
      <c r="G120" s="79"/>
      <c r="H120" s="8"/>
      <c r="I120" s="22"/>
      <c r="L120" s="123"/>
      <c r="P120" s="365"/>
      <c r="Q120" s="47"/>
      <c r="R120" s="346"/>
      <c r="S120" s="81"/>
      <c r="U120" s="34"/>
      <c r="V120" s="310"/>
      <c r="W120" s="94"/>
      <c r="X120" s="13"/>
      <c r="Y120" s="66"/>
      <c r="Z120" s="15"/>
      <c r="AA120" s="63"/>
      <c r="AB120" s="168"/>
      <c r="AD120" s="22"/>
      <c r="AG120" s="33"/>
      <c r="AH120" s="117"/>
      <c r="AI120" s="22"/>
      <c r="AJ120" s="63"/>
      <c r="AK120" s="284"/>
      <c r="AL120" s="400"/>
    </row>
    <row r="121" spans="1:39">
      <c r="B121" s="79"/>
      <c r="C121" s="79"/>
      <c r="D121" s="80"/>
      <c r="E121" s="79"/>
      <c r="F121" s="6"/>
      <c r="G121" s="79"/>
      <c r="H121" s="8"/>
      <c r="I121" s="16"/>
      <c r="L121" s="123"/>
      <c r="P121" s="365"/>
      <c r="Q121" s="47"/>
      <c r="R121" s="346"/>
      <c r="S121" s="81"/>
      <c r="U121" s="34"/>
      <c r="V121" s="310"/>
      <c r="W121" s="94"/>
      <c r="X121" s="36"/>
      <c r="Y121" s="66"/>
      <c r="Z121" s="15"/>
      <c r="AA121" s="63"/>
      <c r="AB121" s="168"/>
      <c r="AD121" s="16"/>
      <c r="AG121" s="33"/>
      <c r="AH121" s="117"/>
      <c r="AI121" s="16"/>
      <c r="AJ121" s="63"/>
      <c r="AK121" s="284"/>
      <c r="AL121" s="400"/>
    </row>
    <row r="122" spans="1:39">
      <c r="B122" s="79"/>
      <c r="C122" s="79"/>
      <c r="D122" s="79"/>
      <c r="E122" s="79"/>
      <c r="F122" s="6"/>
      <c r="G122" s="79"/>
      <c r="H122" s="192"/>
      <c r="I122" s="16"/>
      <c r="L122" s="123"/>
      <c r="P122" s="365"/>
      <c r="Q122" s="47"/>
      <c r="R122" s="346"/>
      <c r="S122" s="81"/>
      <c r="U122" s="34"/>
      <c r="V122" s="310"/>
      <c r="W122" s="94"/>
      <c r="X122" s="13"/>
      <c r="Y122" s="66"/>
      <c r="Z122" s="15"/>
      <c r="AA122" s="63"/>
      <c r="AB122" s="168"/>
      <c r="AD122" s="16"/>
      <c r="AG122" s="33"/>
      <c r="AH122" s="117"/>
      <c r="AI122" s="16"/>
      <c r="AJ122" s="63"/>
      <c r="AK122" s="284"/>
      <c r="AL122" s="400"/>
    </row>
    <row r="123" spans="1:39">
      <c r="B123" s="92"/>
      <c r="C123" s="218"/>
      <c r="D123" s="79"/>
      <c r="E123" s="79"/>
      <c r="F123" s="6"/>
      <c r="G123" s="79"/>
      <c r="H123" s="8"/>
      <c r="I123" s="16"/>
      <c r="L123" s="123"/>
      <c r="P123" s="365"/>
      <c r="Q123" s="47"/>
      <c r="R123" s="346"/>
      <c r="S123" s="81"/>
      <c r="U123" s="34"/>
      <c r="V123" s="310"/>
      <c r="W123" s="94"/>
      <c r="X123" s="36"/>
      <c r="Y123" s="66"/>
      <c r="Z123" s="15"/>
      <c r="AA123" s="63"/>
      <c r="AB123" s="168"/>
      <c r="AD123" s="16"/>
      <c r="AG123" s="33"/>
      <c r="AH123" s="43"/>
      <c r="AI123" s="16"/>
      <c r="AJ123" s="63"/>
      <c r="AK123" s="284"/>
      <c r="AL123" s="400"/>
    </row>
    <row r="124" spans="1:39">
      <c r="B124" s="80"/>
      <c r="C124" s="80"/>
      <c r="D124" s="80"/>
      <c r="E124" s="79"/>
      <c r="F124" s="6"/>
      <c r="G124" s="79"/>
      <c r="H124" s="8"/>
      <c r="I124" s="16"/>
      <c r="L124" s="123"/>
      <c r="P124" s="365"/>
      <c r="Q124" s="47"/>
      <c r="R124" s="346"/>
      <c r="S124" s="81"/>
      <c r="U124" s="34"/>
      <c r="V124" s="310"/>
      <c r="W124" s="94"/>
      <c r="X124" s="36"/>
      <c r="Y124" s="66"/>
      <c r="Z124" s="15"/>
      <c r="AA124" s="63"/>
      <c r="AB124" s="168"/>
      <c r="AD124" s="16"/>
      <c r="AG124" s="33"/>
      <c r="AH124" s="43"/>
      <c r="AI124" s="16"/>
      <c r="AJ124" s="63"/>
      <c r="AK124" s="284"/>
      <c r="AL124" s="400"/>
    </row>
    <row r="125" spans="1:39">
      <c r="B125" s="79"/>
      <c r="C125" s="79"/>
      <c r="D125" s="79"/>
      <c r="E125" s="79"/>
      <c r="F125" s="6"/>
      <c r="G125" s="79"/>
      <c r="H125" s="145"/>
      <c r="I125" s="16"/>
      <c r="L125" s="123"/>
      <c r="P125" s="365"/>
      <c r="Q125" s="47"/>
      <c r="R125" s="346"/>
      <c r="S125" s="81"/>
      <c r="U125" s="34"/>
      <c r="V125" s="310"/>
      <c r="W125" s="57"/>
      <c r="X125" s="13"/>
      <c r="Y125" s="66"/>
      <c r="Z125" s="15"/>
      <c r="AA125" s="63"/>
      <c r="AB125" s="168"/>
      <c r="AD125" s="16"/>
      <c r="AG125" s="33"/>
      <c r="AH125" s="43"/>
      <c r="AI125" s="16"/>
      <c r="AJ125" s="63"/>
      <c r="AK125" s="284"/>
      <c r="AL125" s="400"/>
    </row>
    <row r="126" spans="1:39">
      <c r="B126" s="79"/>
      <c r="C126" s="79"/>
      <c r="D126" s="79"/>
      <c r="E126" s="79"/>
      <c r="F126" s="6"/>
      <c r="G126" s="79"/>
      <c r="H126" s="192"/>
      <c r="I126" s="16"/>
      <c r="L126" s="123"/>
      <c r="P126" s="365"/>
      <c r="Q126" s="47"/>
      <c r="R126" s="346"/>
      <c r="S126" s="81"/>
      <c r="U126" s="34"/>
      <c r="V126" s="310"/>
      <c r="W126" s="94"/>
      <c r="X126" s="13"/>
      <c r="Y126" s="66"/>
      <c r="Z126" s="15"/>
      <c r="AA126" s="63"/>
      <c r="AB126" s="168"/>
      <c r="AD126" s="16"/>
      <c r="AG126" s="33"/>
      <c r="AH126" s="117"/>
      <c r="AI126" s="16"/>
      <c r="AJ126" s="63"/>
      <c r="AK126" s="284"/>
      <c r="AL126" s="400"/>
    </row>
    <row r="127" spans="1:39">
      <c r="B127" s="79"/>
      <c r="C127" s="79"/>
      <c r="D127" s="79"/>
      <c r="E127" s="79"/>
      <c r="F127" s="6"/>
      <c r="G127" s="79"/>
      <c r="H127" s="192"/>
      <c r="I127" s="16"/>
      <c r="L127" s="123"/>
      <c r="P127" s="365"/>
      <c r="Q127" s="47"/>
      <c r="R127" s="346"/>
      <c r="S127" s="81"/>
      <c r="U127" s="34"/>
      <c r="V127" s="310"/>
      <c r="W127" s="94"/>
      <c r="X127" s="13"/>
      <c r="Y127" s="66"/>
      <c r="Z127" s="15"/>
      <c r="AA127" s="63"/>
      <c r="AB127" s="168"/>
      <c r="AD127" s="16"/>
      <c r="AG127" s="33"/>
      <c r="AH127" s="117"/>
      <c r="AI127" s="16"/>
      <c r="AJ127" s="63"/>
      <c r="AK127" s="284"/>
      <c r="AL127" s="400"/>
    </row>
    <row r="128" spans="1:39">
      <c r="B128" s="79"/>
      <c r="C128" s="79"/>
      <c r="D128" s="79"/>
      <c r="E128" s="79"/>
      <c r="F128" s="6"/>
      <c r="G128" s="79"/>
      <c r="H128" s="145"/>
      <c r="I128" s="16"/>
      <c r="L128" s="123"/>
      <c r="P128" s="365"/>
      <c r="Q128" s="47"/>
      <c r="R128" s="346"/>
      <c r="S128" s="81"/>
      <c r="U128" s="34"/>
      <c r="V128" s="310"/>
      <c r="W128" s="94"/>
      <c r="X128" s="36"/>
      <c r="Y128" s="66"/>
      <c r="Z128" s="15"/>
      <c r="AA128" s="63"/>
      <c r="AB128" s="168"/>
      <c r="AD128" s="16"/>
      <c r="AG128" s="33"/>
      <c r="AH128" s="117"/>
      <c r="AI128" s="16"/>
      <c r="AJ128" s="63"/>
      <c r="AK128" s="284"/>
      <c r="AL128" s="400"/>
    </row>
    <row r="129" spans="2:38">
      <c r="B129" s="92"/>
      <c r="C129" s="218"/>
      <c r="D129" s="80"/>
      <c r="E129" s="79"/>
      <c r="F129" s="6"/>
      <c r="G129" s="80"/>
      <c r="H129" s="8"/>
      <c r="I129" s="16"/>
      <c r="L129" s="123"/>
      <c r="P129" s="365"/>
      <c r="Q129" s="47"/>
      <c r="R129" s="346"/>
      <c r="S129" s="81"/>
      <c r="U129" s="34"/>
      <c r="V129" s="310"/>
      <c r="W129" s="94"/>
      <c r="X129" s="36"/>
      <c r="Y129" s="66"/>
      <c r="Z129" s="15"/>
      <c r="AA129" s="63"/>
      <c r="AB129" s="168"/>
      <c r="AD129" s="16"/>
      <c r="AG129" s="33"/>
      <c r="AH129" s="43"/>
      <c r="AI129" s="16"/>
      <c r="AJ129" s="63"/>
      <c r="AK129" s="284"/>
      <c r="AL129" s="400"/>
    </row>
    <row r="130" spans="2:38">
      <c r="B130" s="79"/>
      <c r="C130" s="79"/>
      <c r="D130" s="79"/>
      <c r="E130" s="79"/>
      <c r="F130" s="6"/>
      <c r="G130" s="79"/>
      <c r="H130" s="8"/>
      <c r="I130" s="22"/>
      <c r="L130" s="123"/>
      <c r="P130" s="365"/>
      <c r="Q130" s="47"/>
      <c r="R130" s="346"/>
      <c r="S130" s="81"/>
      <c r="U130" s="34"/>
      <c r="V130" s="310"/>
      <c r="W130" s="94"/>
      <c r="X130" s="36"/>
      <c r="Y130" s="66"/>
      <c r="Z130" s="15"/>
      <c r="AA130" s="63"/>
      <c r="AB130" s="168"/>
      <c r="AD130" s="22"/>
      <c r="AG130" s="33"/>
      <c r="AH130" s="117"/>
      <c r="AI130" s="22"/>
      <c r="AJ130" s="63"/>
      <c r="AK130" s="284"/>
      <c r="AL130" s="400"/>
    </row>
    <row r="131" spans="2:38">
      <c r="B131" s="79"/>
      <c r="C131" s="79"/>
      <c r="D131" s="79"/>
      <c r="E131" s="79"/>
      <c r="F131" s="6"/>
      <c r="G131" s="79"/>
      <c r="H131" s="145"/>
      <c r="I131" s="16"/>
      <c r="L131" s="123"/>
      <c r="P131" s="365"/>
      <c r="Q131" s="47"/>
      <c r="R131" s="346"/>
      <c r="S131" s="81"/>
      <c r="U131" s="34"/>
      <c r="V131" s="310"/>
      <c r="W131" s="94"/>
      <c r="X131" s="36"/>
      <c r="Y131" s="66"/>
      <c r="Z131" s="15"/>
      <c r="AA131" s="63"/>
      <c r="AB131" s="168"/>
      <c r="AD131" s="16"/>
      <c r="AG131" s="33"/>
      <c r="AH131" s="43"/>
      <c r="AI131" s="16"/>
      <c r="AJ131" s="63"/>
      <c r="AK131" s="284"/>
      <c r="AL131" s="400"/>
    </row>
    <row r="132" spans="2:38">
      <c r="B132" s="79"/>
      <c r="C132" s="79"/>
      <c r="D132" s="79"/>
      <c r="E132" s="79"/>
      <c r="F132" s="6"/>
      <c r="G132" s="79"/>
      <c r="H132" s="145"/>
      <c r="I132" s="16"/>
      <c r="L132" s="123"/>
      <c r="P132" s="365"/>
      <c r="Q132" s="47"/>
      <c r="R132" s="346"/>
      <c r="S132" s="81"/>
      <c r="U132" s="34"/>
      <c r="V132" s="310"/>
      <c r="W132" s="94"/>
      <c r="X132" s="36"/>
      <c r="Y132" s="66"/>
      <c r="Z132" s="15"/>
      <c r="AA132" s="63"/>
      <c r="AB132" s="168"/>
      <c r="AD132" s="16"/>
      <c r="AG132" s="33"/>
      <c r="AH132" s="43"/>
      <c r="AI132" s="16"/>
      <c r="AJ132" s="63"/>
      <c r="AK132" s="284"/>
      <c r="AL132" s="289"/>
    </row>
    <row r="133" spans="2:38">
      <c r="B133" s="79"/>
      <c r="C133" s="79"/>
      <c r="D133" s="79"/>
      <c r="E133" s="79"/>
      <c r="F133" s="6"/>
      <c r="G133" s="79"/>
      <c r="H133" s="145"/>
      <c r="I133" s="16"/>
      <c r="L133" s="123"/>
      <c r="P133" s="365"/>
      <c r="Q133" s="47"/>
      <c r="R133" s="346"/>
      <c r="S133" s="81"/>
      <c r="U133" s="34"/>
      <c r="V133" s="310"/>
      <c r="W133" s="94"/>
      <c r="X133" s="36"/>
      <c r="Y133" s="66"/>
      <c r="Z133" s="15"/>
      <c r="AA133" s="76"/>
      <c r="AB133" s="168"/>
      <c r="AD133" s="16"/>
      <c r="AG133" s="33"/>
      <c r="AH133" s="43"/>
      <c r="AI133" s="16"/>
      <c r="AJ133" s="63"/>
      <c r="AK133" s="284"/>
      <c r="AL133" s="289"/>
    </row>
    <row r="134" spans="2:38">
      <c r="B134" s="79"/>
      <c r="C134" s="79"/>
      <c r="D134" s="79"/>
      <c r="E134" s="79"/>
      <c r="F134" s="6"/>
      <c r="G134" s="79"/>
      <c r="H134" s="8"/>
      <c r="I134" s="16"/>
      <c r="L134" s="123"/>
      <c r="P134" s="365"/>
      <c r="Q134" s="47"/>
      <c r="R134" s="346"/>
      <c r="S134" s="81"/>
      <c r="U134" s="34"/>
      <c r="V134" s="310"/>
      <c r="W134" s="94"/>
      <c r="X134" s="36"/>
      <c r="Y134" s="66"/>
      <c r="Z134" s="15"/>
      <c r="AA134" s="63"/>
      <c r="AB134" s="168"/>
      <c r="AD134" s="16"/>
      <c r="AG134" s="33"/>
      <c r="AH134" s="117"/>
      <c r="AI134" s="16"/>
      <c r="AJ134" s="63"/>
      <c r="AK134" s="284"/>
      <c r="AL134" s="400"/>
    </row>
    <row r="135" spans="2:38">
      <c r="B135" s="79"/>
      <c r="C135" s="79"/>
      <c r="D135" s="79"/>
      <c r="E135" s="79"/>
      <c r="F135" s="6"/>
      <c r="G135" s="79"/>
      <c r="H135" s="5"/>
      <c r="I135" s="22"/>
      <c r="L135" s="123"/>
      <c r="P135" s="365"/>
      <c r="Q135" s="47"/>
      <c r="R135" s="346"/>
      <c r="S135" s="81"/>
      <c r="U135" s="34"/>
      <c r="V135" s="310"/>
      <c r="W135" s="94"/>
      <c r="X135" s="36"/>
      <c r="Y135" s="66"/>
      <c r="Z135" s="15"/>
      <c r="AA135" s="63"/>
      <c r="AB135" s="168"/>
      <c r="AD135" s="22"/>
      <c r="AG135" s="33"/>
      <c r="AH135" s="119"/>
      <c r="AI135" s="22"/>
      <c r="AJ135" s="63"/>
      <c r="AK135" s="284"/>
      <c r="AL135" s="400"/>
    </row>
    <row r="136" spans="2:38">
      <c r="B136" s="79"/>
      <c r="C136" s="79"/>
      <c r="D136" s="79"/>
      <c r="E136" s="79"/>
      <c r="F136" s="6"/>
      <c r="G136" s="79"/>
      <c r="H136" s="5"/>
      <c r="I136" s="16"/>
      <c r="L136" s="123"/>
      <c r="P136" s="365"/>
      <c r="Q136" s="47"/>
      <c r="R136" s="346"/>
      <c r="S136" s="81"/>
      <c r="U136" s="34"/>
      <c r="V136" s="310"/>
      <c r="W136" s="94"/>
      <c r="X136" s="36"/>
      <c r="Y136" s="66"/>
      <c r="Z136" s="15"/>
      <c r="AA136" s="63"/>
      <c r="AB136" s="168"/>
      <c r="AD136" s="16"/>
      <c r="AG136" s="33"/>
      <c r="AH136" s="43"/>
      <c r="AI136" s="16"/>
      <c r="AJ136" s="63"/>
      <c r="AK136" s="284"/>
    </row>
    <row r="137" spans="2:38">
      <c r="B137" s="80"/>
      <c r="C137" s="80"/>
      <c r="D137" s="79"/>
      <c r="E137" s="79"/>
      <c r="F137" s="6"/>
      <c r="G137" s="79"/>
      <c r="H137" s="8"/>
      <c r="I137" s="16"/>
      <c r="L137" s="123"/>
      <c r="P137" s="365"/>
      <c r="Q137" s="47"/>
      <c r="R137" s="346"/>
      <c r="S137" s="81"/>
      <c r="U137" s="34"/>
      <c r="V137" s="310"/>
      <c r="W137" s="94"/>
      <c r="X137" s="36"/>
      <c r="Y137" s="66"/>
      <c r="Z137" s="15"/>
      <c r="AA137" s="63"/>
      <c r="AB137" s="168"/>
      <c r="AD137" s="16"/>
      <c r="AG137" s="33"/>
      <c r="AH137" s="117"/>
      <c r="AI137" s="16"/>
      <c r="AJ137" s="63"/>
      <c r="AK137" s="284"/>
      <c r="AL137" s="400"/>
    </row>
    <row r="138" spans="2:38">
      <c r="B138" s="79"/>
      <c r="C138" s="79"/>
      <c r="D138" s="79"/>
      <c r="E138" s="79"/>
      <c r="F138" s="6"/>
      <c r="G138" s="79"/>
      <c r="H138" s="8"/>
      <c r="I138" s="16"/>
      <c r="L138" s="123"/>
      <c r="P138" s="365"/>
      <c r="Q138" s="47"/>
      <c r="R138" s="346"/>
      <c r="S138" s="81"/>
      <c r="U138" s="34"/>
      <c r="V138" s="310"/>
      <c r="W138" s="57"/>
      <c r="X138" s="36"/>
      <c r="Y138" s="66"/>
      <c r="Z138" s="15"/>
      <c r="AA138" s="63"/>
      <c r="AB138" s="168"/>
      <c r="AD138" s="16"/>
      <c r="AG138" s="33"/>
      <c r="AH138" s="43"/>
      <c r="AI138" s="16"/>
      <c r="AJ138" s="63"/>
      <c r="AK138" s="284"/>
      <c r="AL138" s="400"/>
    </row>
    <row r="139" spans="2:38">
      <c r="B139" s="79"/>
      <c r="C139" s="79"/>
      <c r="D139" s="80"/>
      <c r="E139" s="79"/>
      <c r="F139" s="6"/>
      <c r="G139" s="79"/>
      <c r="H139" s="8"/>
      <c r="I139" s="16"/>
      <c r="P139" s="365"/>
      <c r="Q139" s="47"/>
      <c r="R139" s="346"/>
      <c r="S139" s="81"/>
      <c r="U139" s="34"/>
      <c r="V139" s="310"/>
      <c r="W139" s="94"/>
      <c r="X139" s="36"/>
      <c r="Y139" s="66"/>
      <c r="Z139" s="15"/>
      <c r="AA139" s="63"/>
      <c r="AB139" s="168"/>
      <c r="AD139" s="16"/>
      <c r="AG139" s="33"/>
      <c r="AH139" s="117"/>
      <c r="AI139" s="16"/>
      <c r="AJ139" s="63"/>
      <c r="AK139" s="284"/>
      <c r="AL139" s="403"/>
    </row>
    <row r="140" spans="2:38">
      <c r="B140" s="79"/>
      <c r="C140" s="79"/>
      <c r="D140" s="79"/>
      <c r="E140" s="79"/>
      <c r="F140" s="6"/>
      <c r="G140" s="79"/>
      <c r="H140" s="5"/>
      <c r="I140" s="22"/>
      <c r="L140" s="123"/>
      <c r="P140" s="365"/>
      <c r="Q140" s="47"/>
      <c r="R140" s="346"/>
      <c r="S140" s="81"/>
      <c r="U140" s="34"/>
      <c r="V140" s="310"/>
      <c r="W140" s="94"/>
      <c r="X140" s="36"/>
      <c r="Y140" s="66"/>
      <c r="Z140" s="15"/>
      <c r="AA140" s="63"/>
      <c r="AB140" s="168"/>
      <c r="AD140" s="22"/>
      <c r="AG140" s="33"/>
      <c r="AH140" s="119"/>
      <c r="AI140" s="22"/>
      <c r="AJ140" s="63"/>
      <c r="AK140" s="284"/>
      <c r="AL140" s="400"/>
    </row>
    <row r="141" spans="2:38">
      <c r="B141" s="79"/>
      <c r="C141" s="79"/>
      <c r="D141" s="79"/>
      <c r="E141" s="79"/>
      <c r="F141" s="6"/>
      <c r="G141" s="79"/>
      <c r="H141" s="145"/>
      <c r="I141" s="16"/>
      <c r="L141" s="123"/>
      <c r="P141" s="365"/>
      <c r="Q141" s="47"/>
      <c r="R141" s="346"/>
      <c r="S141" s="81"/>
      <c r="U141" s="34"/>
      <c r="V141" s="310"/>
      <c r="W141" s="94"/>
      <c r="X141" s="36"/>
      <c r="Y141" s="66"/>
      <c r="Z141" s="15"/>
      <c r="AA141" s="63"/>
      <c r="AB141" s="168"/>
      <c r="AD141" s="16"/>
      <c r="AG141" s="33"/>
      <c r="AH141" s="43"/>
      <c r="AI141" s="16"/>
      <c r="AJ141" s="63"/>
      <c r="AK141" s="284"/>
      <c r="AL141" s="289"/>
    </row>
    <row r="142" spans="2:38">
      <c r="B142" s="80"/>
      <c r="C142" s="80"/>
      <c r="D142" s="79"/>
      <c r="E142" s="79"/>
      <c r="F142" s="6"/>
      <c r="G142" s="79"/>
      <c r="H142" s="5"/>
      <c r="I142" s="16"/>
      <c r="L142" s="123"/>
      <c r="P142" s="365"/>
      <c r="Q142" s="47"/>
      <c r="R142" s="346"/>
      <c r="S142" s="81"/>
      <c r="U142" s="34"/>
      <c r="V142" s="310"/>
      <c r="W142" s="94"/>
      <c r="X142" s="36"/>
      <c r="Y142" s="66"/>
      <c r="Z142" s="15"/>
      <c r="AA142" s="63"/>
      <c r="AB142" s="168"/>
      <c r="AD142" s="16"/>
      <c r="AG142" s="33"/>
      <c r="AH142" s="117"/>
      <c r="AI142" s="16"/>
      <c r="AJ142" s="63"/>
      <c r="AK142" s="284"/>
      <c r="AL142" s="400"/>
    </row>
    <row r="143" spans="2:38">
      <c r="B143" s="79"/>
      <c r="C143" s="79"/>
      <c r="D143" s="79"/>
      <c r="E143" s="79"/>
      <c r="F143" s="6"/>
      <c r="G143" s="80"/>
      <c r="H143" s="192"/>
      <c r="I143" s="16"/>
      <c r="L143" s="123"/>
      <c r="P143" s="365"/>
      <c r="Q143" s="47"/>
      <c r="R143" s="346"/>
      <c r="S143" s="81"/>
      <c r="U143" s="34"/>
      <c r="V143" s="310"/>
      <c r="W143" s="57"/>
      <c r="X143" s="36"/>
      <c r="Y143" s="66"/>
      <c r="Z143" s="15"/>
      <c r="AA143" s="63"/>
      <c r="AB143" s="168"/>
      <c r="AD143" s="16"/>
      <c r="AG143" s="33"/>
      <c r="AH143" s="117"/>
      <c r="AI143" s="16"/>
      <c r="AJ143" s="63"/>
      <c r="AK143" s="284"/>
      <c r="AL143" s="400"/>
    </row>
    <row r="144" spans="2:38">
      <c r="B144" s="79"/>
      <c r="C144" s="79"/>
      <c r="D144" s="80"/>
      <c r="E144" s="79"/>
      <c r="F144" s="6"/>
      <c r="G144" s="79"/>
      <c r="H144" s="8"/>
      <c r="I144" s="16"/>
      <c r="P144" s="365"/>
      <c r="Q144" s="47"/>
      <c r="R144" s="346"/>
      <c r="S144" s="81"/>
      <c r="U144" s="34"/>
      <c r="V144" s="310"/>
      <c r="W144" s="94"/>
      <c r="X144" s="36"/>
      <c r="Y144" s="66"/>
      <c r="Z144" s="15"/>
      <c r="AA144" s="63"/>
      <c r="AB144" s="168"/>
      <c r="AD144" s="16"/>
      <c r="AG144" s="33"/>
      <c r="AH144" s="117"/>
      <c r="AI144" s="16"/>
      <c r="AJ144" s="63"/>
      <c r="AK144" s="284"/>
      <c r="AL144" s="403"/>
    </row>
    <row r="145" spans="1:39">
      <c r="B145" s="80"/>
      <c r="C145" s="80"/>
      <c r="D145" s="79"/>
      <c r="E145" s="79"/>
      <c r="F145" s="6"/>
      <c r="G145" s="79"/>
      <c r="H145" s="8"/>
      <c r="I145" s="16"/>
      <c r="L145" s="123"/>
      <c r="P145" s="365"/>
      <c r="Q145" s="47"/>
      <c r="R145" s="346"/>
      <c r="S145" s="81"/>
      <c r="U145" s="34"/>
      <c r="V145" s="310"/>
      <c r="W145" s="94"/>
      <c r="X145" s="36"/>
      <c r="Y145" s="66"/>
      <c r="Z145" s="15"/>
      <c r="AA145" s="63"/>
      <c r="AB145" s="168"/>
      <c r="AD145" s="16"/>
      <c r="AG145" s="33"/>
      <c r="AH145" s="117"/>
      <c r="AI145" s="16"/>
      <c r="AJ145" s="63"/>
      <c r="AK145" s="284"/>
      <c r="AL145" s="400"/>
    </row>
    <row r="146" spans="1:39">
      <c r="B146" s="80"/>
      <c r="C146" s="80"/>
      <c r="D146" s="79"/>
      <c r="E146" s="79"/>
      <c r="F146" s="6"/>
      <c r="G146" s="79"/>
      <c r="H146" s="5"/>
      <c r="I146" s="16"/>
      <c r="L146" s="123"/>
      <c r="P146" s="365"/>
      <c r="Q146" s="47"/>
      <c r="R146" s="346"/>
      <c r="S146" s="81"/>
      <c r="U146" s="34"/>
      <c r="V146" s="310"/>
      <c r="W146" s="94"/>
      <c r="X146" s="36"/>
      <c r="Y146" s="66"/>
      <c r="Z146" s="15"/>
      <c r="AA146" s="63"/>
      <c r="AB146" s="168"/>
      <c r="AD146" s="16"/>
      <c r="AG146" s="33"/>
      <c r="AH146" s="43"/>
      <c r="AI146" s="16"/>
      <c r="AJ146" s="63"/>
      <c r="AK146" s="284"/>
      <c r="AL146" s="400"/>
    </row>
    <row r="147" spans="1:39">
      <c r="B147" s="79"/>
      <c r="C147" s="79"/>
      <c r="D147" s="79"/>
      <c r="E147" s="79"/>
      <c r="F147" s="6"/>
      <c r="G147" s="79"/>
      <c r="H147" s="192"/>
      <c r="I147" s="22"/>
      <c r="L147" s="123"/>
      <c r="P147" s="365"/>
      <c r="Q147" s="47"/>
      <c r="R147" s="346"/>
      <c r="S147" s="81"/>
      <c r="U147" s="34"/>
      <c r="V147" s="310"/>
      <c r="W147" s="57"/>
      <c r="X147" s="13"/>
      <c r="Y147" s="66"/>
      <c r="Z147" s="15"/>
      <c r="AA147" s="63"/>
      <c r="AB147" s="168"/>
      <c r="AD147" s="22"/>
      <c r="AG147" s="33"/>
      <c r="AH147" s="117"/>
      <c r="AI147" s="22"/>
      <c r="AJ147" s="63"/>
      <c r="AK147" s="284"/>
      <c r="AL147" s="400"/>
    </row>
    <row r="148" spans="1:39">
      <c r="A148" s="141"/>
      <c r="B148" s="79"/>
      <c r="C148" s="79"/>
      <c r="D148" s="79"/>
      <c r="E148" s="79"/>
      <c r="F148" s="6"/>
      <c r="G148" s="41"/>
      <c r="H148" s="8"/>
      <c r="I148" s="153"/>
      <c r="L148" s="163"/>
      <c r="M148" s="248"/>
      <c r="N148" s="248"/>
      <c r="P148" s="365"/>
      <c r="Q148" s="47"/>
      <c r="R148" s="346"/>
      <c r="S148" s="283"/>
      <c r="U148" s="185"/>
      <c r="V148" s="310"/>
      <c r="W148" s="94"/>
      <c r="X148" s="307"/>
      <c r="Y148" s="296"/>
      <c r="Z148" s="162"/>
      <c r="AA148" s="158"/>
      <c r="AB148" s="330"/>
      <c r="AD148" s="227"/>
      <c r="AE148" s="6"/>
      <c r="AG148" s="33"/>
      <c r="AH148" s="46"/>
      <c r="AI148" s="227"/>
      <c r="AJ148" s="248"/>
      <c r="AK148" s="171"/>
      <c r="AL148" s="248"/>
      <c r="AM148" s="248"/>
    </row>
    <row r="149" spans="1:39">
      <c r="B149" s="90"/>
      <c r="C149" s="90"/>
      <c r="D149" s="90"/>
      <c r="E149" s="90"/>
      <c r="F149" s="8"/>
      <c r="G149" s="26"/>
      <c r="H149" s="55"/>
      <c r="I149" s="50"/>
      <c r="L149" s="123"/>
      <c r="P149" s="365"/>
      <c r="Q149" s="47"/>
      <c r="R149" s="346"/>
      <c r="U149" s="388"/>
      <c r="V149" s="308"/>
      <c r="W149" s="68"/>
      <c r="X149" s="28"/>
      <c r="Y149" s="17"/>
      <c r="Z149" s="14"/>
      <c r="AA149" s="21"/>
      <c r="AB149" s="330"/>
      <c r="AD149" s="50"/>
      <c r="AE149" s="71"/>
      <c r="AF149" s="72"/>
      <c r="AG149" s="32"/>
      <c r="AH149" s="232"/>
      <c r="AI149" s="50"/>
      <c r="AJ149" s="8"/>
      <c r="AK149" s="50"/>
    </row>
    <row r="150" spans="1:39">
      <c r="B150" s="79"/>
      <c r="C150" s="79"/>
      <c r="D150" s="79"/>
      <c r="E150" s="79"/>
      <c r="F150" s="6"/>
      <c r="G150" s="79"/>
      <c r="H150" s="192"/>
      <c r="I150" s="22"/>
      <c r="L150" s="123"/>
      <c r="P150" s="365"/>
      <c r="Q150" s="47"/>
      <c r="R150" s="346"/>
      <c r="S150" s="81"/>
      <c r="U150" s="34"/>
      <c r="V150" s="310"/>
      <c r="W150" s="57"/>
      <c r="X150" s="13"/>
      <c r="Y150" s="66"/>
      <c r="Z150" s="15"/>
      <c r="AA150" s="63"/>
      <c r="AB150" s="168"/>
      <c r="AD150" s="22"/>
      <c r="AG150" s="33"/>
      <c r="AH150" s="117"/>
      <c r="AI150" s="22"/>
      <c r="AJ150" s="63"/>
      <c r="AK150" s="284"/>
      <c r="AL150" s="400"/>
    </row>
    <row r="151" spans="1:39">
      <c r="B151" s="79"/>
      <c r="C151" s="79"/>
      <c r="D151" s="79"/>
      <c r="E151" s="79"/>
      <c r="F151" s="6"/>
      <c r="G151" s="80"/>
      <c r="H151" s="236"/>
      <c r="I151" s="16"/>
      <c r="L151" s="245"/>
      <c r="P151" s="365"/>
      <c r="Q151" s="47"/>
      <c r="R151" s="346"/>
      <c r="S151" s="81"/>
      <c r="U151" s="34"/>
      <c r="V151" s="310"/>
      <c r="W151" s="94"/>
      <c r="X151" s="36"/>
      <c r="Y151" s="66"/>
      <c r="Z151" s="15"/>
      <c r="AA151" s="63"/>
      <c r="AB151" s="168"/>
      <c r="AD151" s="16"/>
      <c r="AG151" s="33"/>
      <c r="AH151" s="117"/>
      <c r="AI151" s="16"/>
      <c r="AJ151" s="63"/>
      <c r="AK151" s="284"/>
      <c r="AL151" s="400"/>
    </row>
    <row r="152" spans="1:39">
      <c r="A152" s="141"/>
      <c r="B152" s="79"/>
      <c r="C152" s="79"/>
      <c r="D152" s="79"/>
      <c r="E152" s="79"/>
      <c r="F152" s="6"/>
      <c r="G152" s="41"/>
      <c r="H152" s="8"/>
      <c r="I152" s="153"/>
      <c r="L152" s="163"/>
      <c r="M152" s="248"/>
      <c r="N152" s="248"/>
      <c r="P152" s="365"/>
      <c r="Q152" s="47"/>
      <c r="R152" s="346"/>
      <c r="S152" s="283"/>
      <c r="U152" s="185"/>
      <c r="V152" s="310"/>
      <c r="W152" s="94"/>
      <c r="X152" s="307"/>
      <c r="Y152" s="296"/>
      <c r="Z152" s="162"/>
      <c r="AA152" s="158"/>
      <c r="AB152" s="330"/>
      <c r="AD152" s="227"/>
      <c r="AE152" s="6"/>
      <c r="AG152" s="33"/>
      <c r="AH152" s="46"/>
      <c r="AI152" s="227"/>
      <c r="AJ152" s="248"/>
      <c r="AK152" s="171"/>
      <c r="AL152" s="248"/>
      <c r="AM152" s="248"/>
    </row>
    <row r="153" spans="1:39">
      <c r="A153" s="141"/>
      <c r="B153" s="79"/>
      <c r="C153" s="79"/>
      <c r="D153" s="79"/>
      <c r="E153" s="79"/>
      <c r="F153" s="6"/>
      <c r="G153" s="41"/>
      <c r="H153" s="8"/>
      <c r="I153" s="153"/>
      <c r="L153" s="163"/>
      <c r="M153" s="248"/>
      <c r="N153" s="248"/>
      <c r="P153" s="365"/>
      <c r="Q153" s="47"/>
      <c r="R153" s="346"/>
      <c r="S153" s="283"/>
      <c r="U153" s="185"/>
      <c r="V153" s="310"/>
      <c r="W153" s="94"/>
      <c r="X153" s="307"/>
      <c r="Y153" s="296"/>
      <c r="Z153" s="162"/>
      <c r="AA153" s="158"/>
      <c r="AB153" s="330"/>
      <c r="AD153" s="227"/>
      <c r="AE153" s="6"/>
      <c r="AG153" s="33"/>
      <c r="AH153" s="199"/>
      <c r="AI153" s="227"/>
      <c r="AJ153" s="248"/>
      <c r="AK153" s="171"/>
      <c r="AL153" s="248"/>
      <c r="AM153" s="248"/>
    </row>
    <row r="154" spans="1:39">
      <c r="L154" s="123"/>
      <c r="P154" s="365"/>
      <c r="Q154" s="47"/>
      <c r="R154" s="346"/>
      <c r="V154" s="312"/>
    </row>
    <row r="155" spans="1:39">
      <c r="L155" s="245"/>
      <c r="P155" s="365"/>
      <c r="Q155" s="47"/>
      <c r="R155" s="346"/>
      <c r="V155" s="308"/>
    </row>
    <row r="156" spans="1:39">
      <c r="L156" s="123"/>
      <c r="P156" s="365"/>
      <c r="Q156" s="47"/>
      <c r="R156" s="346"/>
      <c r="V156" s="308"/>
    </row>
    <row r="157" spans="1:39">
      <c r="L157" s="123"/>
      <c r="P157" s="365"/>
      <c r="Q157" s="47"/>
      <c r="R157" s="346"/>
      <c r="V157" s="308"/>
    </row>
    <row r="158" spans="1:39">
      <c r="L158" s="123"/>
      <c r="P158" s="365"/>
      <c r="Q158" s="47"/>
      <c r="R158" s="346"/>
      <c r="V158" s="308"/>
    </row>
    <row r="159" spans="1:39">
      <c r="L159" s="123"/>
      <c r="P159" s="365"/>
      <c r="Q159" s="47"/>
      <c r="R159" s="346"/>
      <c r="V159" s="310"/>
    </row>
    <row r="160" spans="1:39">
      <c r="L160" s="245"/>
      <c r="P160" s="365"/>
      <c r="Q160" s="47"/>
      <c r="R160" s="346"/>
      <c r="V160" s="310"/>
    </row>
    <row r="161" spans="12:39">
      <c r="L161" s="123"/>
      <c r="P161" s="365"/>
      <c r="Q161" s="47"/>
      <c r="R161" s="346"/>
      <c r="V161" s="310"/>
    </row>
    <row r="162" spans="12:39">
      <c r="L162" s="123"/>
      <c r="P162" s="365"/>
      <c r="Q162" s="47"/>
      <c r="R162" s="346"/>
      <c r="V162" s="310"/>
    </row>
    <row r="163" spans="12:39">
      <c r="L163" s="123"/>
      <c r="P163" s="365"/>
      <c r="Q163" s="47"/>
      <c r="R163" s="346"/>
      <c r="V163" s="310"/>
    </row>
    <row r="164" spans="12:39">
      <c r="L164" s="245"/>
      <c r="P164" s="365"/>
      <c r="Q164" s="47"/>
      <c r="R164" s="346"/>
      <c r="V164" s="310"/>
    </row>
    <row r="165" spans="12:39">
      <c r="L165" s="123"/>
      <c r="P165" s="365"/>
      <c r="Q165" s="47"/>
      <c r="R165" s="346"/>
      <c r="V165" s="310"/>
    </row>
    <row r="166" spans="12:39">
      <c r="L166" s="123"/>
      <c r="P166" s="365"/>
      <c r="Q166" s="47"/>
      <c r="R166" s="346"/>
      <c r="V166" s="310"/>
      <c r="AM166" s="280"/>
    </row>
    <row r="167" spans="12:39">
      <c r="L167" s="123"/>
      <c r="P167" s="365"/>
      <c r="Q167" s="47"/>
      <c r="R167" s="346"/>
      <c r="V167" s="310"/>
      <c r="AM167" s="245"/>
    </row>
    <row r="168" spans="12:39">
      <c r="L168" s="123"/>
      <c r="P168" s="365"/>
      <c r="Q168" s="47"/>
      <c r="R168" s="346"/>
      <c r="V168" s="310"/>
      <c r="AM168" s="245"/>
    </row>
    <row r="169" spans="12:39">
      <c r="L169" s="123"/>
      <c r="P169" s="365"/>
      <c r="Q169" s="47"/>
      <c r="R169" s="346"/>
      <c r="V169" s="310"/>
      <c r="AM169" s="245"/>
    </row>
    <row r="170" spans="12:39">
      <c r="L170" s="245"/>
      <c r="P170" s="365"/>
      <c r="Q170" s="47"/>
      <c r="R170" s="346"/>
      <c r="V170" s="310"/>
      <c r="AM170" s="245"/>
    </row>
    <row r="171" spans="12:39">
      <c r="L171" s="245"/>
      <c r="P171" s="365"/>
      <c r="Q171" s="47"/>
      <c r="R171" s="346"/>
      <c r="V171" s="310"/>
      <c r="AL171" s="404"/>
      <c r="AM171" s="245"/>
    </row>
    <row r="172" spans="12:39">
      <c r="L172" s="123"/>
      <c r="P172" s="365"/>
      <c r="Q172" s="47"/>
      <c r="R172" s="346"/>
      <c r="V172" s="310"/>
      <c r="AM172" s="245"/>
    </row>
    <row r="173" spans="12:39">
      <c r="L173" s="123"/>
      <c r="P173" s="365"/>
      <c r="Q173" s="47"/>
      <c r="R173" s="346"/>
      <c r="V173" s="310"/>
      <c r="AM173" s="245"/>
    </row>
    <row r="174" spans="12:39">
      <c r="L174" s="123"/>
      <c r="P174" s="365"/>
      <c r="Q174" s="47"/>
      <c r="R174" s="346"/>
      <c r="AM174" s="245"/>
    </row>
    <row r="175" spans="12:39">
      <c r="L175" s="123"/>
      <c r="P175" s="365"/>
      <c r="Q175" s="47"/>
      <c r="R175" s="346"/>
      <c r="AM175" s="245"/>
    </row>
    <row r="176" spans="12:39">
      <c r="L176" s="123"/>
      <c r="P176" s="365"/>
      <c r="Q176" s="47"/>
      <c r="R176" s="346"/>
      <c r="AM176" s="245"/>
    </row>
    <row r="177" spans="12:39">
      <c r="L177" s="123"/>
      <c r="P177" s="365"/>
      <c r="Q177" s="47"/>
      <c r="R177" s="346"/>
      <c r="AM177" s="245"/>
    </row>
    <row r="178" spans="12:39">
      <c r="L178" s="123"/>
      <c r="P178" s="365"/>
      <c r="Q178" s="47"/>
      <c r="R178" s="346"/>
      <c r="AM178" s="245"/>
    </row>
    <row r="179" spans="12:39">
      <c r="L179" s="123"/>
      <c r="P179" s="365"/>
      <c r="Q179" s="47"/>
      <c r="R179" s="346"/>
      <c r="AM179" s="245"/>
    </row>
    <row r="180" spans="12:39">
      <c r="L180" s="123"/>
      <c r="P180" s="365"/>
      <c r="Q180" s="47"/>
      <c r="R180" s="346"/>
      <c r="AM180" s="245"/>
    </row>
    <row r="181" spans="12:39">
      <c r="P181" s="365"/>
      <c r="Q181" s="47"/>
      <c r="R181" s="346"/>
      <c r="AM181" s="245"/>
    </row>
    <row r="182" spans="12:39">
      <c r="L182" s="123"/>
      <c r="P182" s="365"/>
      <c r="Q182" s="47"/>
      <c r="R182" s="346"/>
      <c r="V182" s="308"/>
      <c r="AM182" s="245"/>
    </row>
    <row r="183" spans="12:39">
      <c r="L183" s="123"/>
      <c r="P183" s="365"/>
      <c r="Q183" s="47"/>
      <c r="R183" s="346"/>
      <c r="V183" s="310"/>
      <c r="AM183" s="245"/>
    </row>
    <row r="184" spans="12:39">
      <c r="L184" s="123"/>
      <c r="P184" s="365"/>
      <c r="Q184" s="47"/>
      <c r="R184" s="346"/>
      <c r="V184" s="310"/>
    </row>
    <row r="185" spans="12:39">
      <c r="L185" s="245"/>
      <c r="P185" s="365"/>
      <c r="Q185" s="47"/>
      <c r="R185" s="346"/>
      <c r="V185" s="310"/>
    </row>
    <row r="186" spans="12:39">
      <c r="L186" s="123"/>
      <c r="P186" s="365"/>
      <c r="Q186" s="47"/>
      <c r="R186" s="346"/>
      <c r="V186" s="310"/>
    </row>
    <row r="187" spans="12:39">
      <c r="L187" s="245"/>
      <c r="P187" s="365"/>
      <c r="Q187" s="47"/>
      <c r="R187" s="346"/>
      <c r="V187" s="310"/>
    </row>
    <row r="188" spans="12:39">
      <c r="L188" s="123"/>
      <c r="P188" s="365"/>
      <c r="Q188" s="47"/>
      <c r="R188" s="346"/>
      <c r="V188" s="310"/>
    </row>
    <row r="189" spans="12:39">
      <c r="L189" s="245"/>
      <c r="P189" s="365"/>
      <c r="Q189" s="47"/>
      <c r="R189" s="346"/>
      <c r="V189" s="310"/>
    </row>
    <row r="190" spans="12:39">
      <c r="L190" s="123"/>
      <c r="P190" s="365"/>
      <c r="Q190" s="47"/>
      <c r="R190" s="346"/>
      <c r="V190" s="310"/>
    </row>
    <row r="191" spans="12:39">
      <c r="L191" s="123"/>
      <c r="P191" s="365"/>
      <c r="Q191" s="47"/>
      <c r="R191" s="346"/>
      <c r="V191" s="310"/>
    </row>
    <row r="192" spans="12:39">
      <c r="L192" s="123"/>
      <c r="P192" s="365"/>
      <c r="Q192" s="47"/>
      <c r="R192" s="346"/>
      <c r="AM192" s="280"/>
    </row>
    <row r="193" spans="12:39">
      <c r="L193" s="123"/>
      <c r="P193" s="365"/>
      <c r="Q193" s="47"/>
      <c r="R193" s="346"/>
      <c r="AM193" s="245"/>
    </row>
    <row r="194" spans="12:39">
      <c r="L194" s="123"/>
      <c r="P194" s="365"/>
      <c r="Q194" s="47"/>
      <c r="R194" s="346"/>
      <c r="V194" s="308"/>
      <c r="AM194" s="245"/>
    </row>
    <row r="195" spans="12:39">
      <c r="L195" s="123"/>
      <c r="P195" s="365"/>
      <c r="Q195" s="47"/>
      <c r="R195" s="346"/>
      <c r="V195" s="310"/>
      <c r="AM195" s="245"/>
    </row>
    <row r="196" spans="12:39">
      <c r="L196" s="123"/>
      <c r="P196" s="365"/>
      <c r="Q196" s="47"/>
      <c r="R196" s="346"/>
      <c r="V196" s="310"/>
      <c r="AM196" s="245"/>
    </row>
    <row r="197" spans="12:39">
      <c r="L197" s="123"/>
      <c r="P197" s="365"/>
      <c r="Q197" s="47"/>
      <c r="R197" s="346"/>
      <c r="V197" s="310"/>
      <c r="AM197" s="245"/>
    </row>
    <row r="198" spans="12:39">
      <c r="L198" s="123"/>
      <c r="P198" s="365"/>
      <c r="Q198" s="47"/>
      <c r="R198" s="346"/>
      <c r="V198" s="310"/>
      <c r="AM198" s="245"/>
    </row>
    <row r="199" spans="12:39">
      <c r="L199" s="245"/>
      <c r="P199" s="365"/>
      <c r="Q199" s="47"/>
      <c r="R199" s="346"/>
      <c r="V199" s="310"/>
    </row>
    <row r="200" spans="12:39">
      <c r="L200" s="123"/>
      <c r="P200" s="365"/>
      <c r="Q200" s="47"/>
      <c r="R200" s="346"/>
      <c r="V200" s="310"/>
    </row>
    <row r="201" spans="12:39">
      <c r="L201" s="123"/>
      <c r="P201" s="365"/>
      <c r="Q201" s="47"/>
      <c r="R201" s="346"/>
    </row>
    <row r="202" spans="12:39">
      <c r="L202" s="123"/>
      <c r="P202" s="365"/>
      <c r="Q202" s="47"/>
      <c r="R202" s="346"/>
      <c r="AM202" s="280"/>
    </row>
    <row r="203" spans="12:39">
      <c r="L203" s="123"/>
      <c r="P203" s="365"/>
      <c r="Q203" s="47"/>
      <c r="R203" s="346"/>
    </row>
    <row r="204" spans="12:39">
      <c r="L204" s="123"/>
      <c r="P204" s="365"/>
      <c r="Q204" s="47"/>
      <c r="R204" s="346"/>
    </row>
    <row r="205" spans="12:39">
      <c r="L205" s="245"/>
      <c r="P205" s="365"/>
      <c r="Q205" s="47"/>
      <c r="R205" s="346"/>
    </row>
    <row r="206" spans="12:39">
      <c r="L206" s="123"/>
      <c r="P206" s="365"/>
      <c r="Q206" s="47"/>
      <c r="R206" s="346"/>
    </row>
    <row r="207" spans="12:39">
      <c r="L207" s="123"/>
      <c r="P207" s="365"/>
      <c r="Q207" s="47"/>
      <c r="R207" s="346"/>
    </row>
    <row r="208" spans="12:39">
      <c r="L208" s="245"/>
      <c r="P208" s="365"/>
      <c r="Q208" s="47"/>
      <c r="R208" s="346"/>
      <c r="AM208" s="280"/>
    </row>
    <row r="209" spans="12:38">
      <c r="L209" s="123"/>
      <c r="P209" s="365"/>
      <c r="Q209" s="47"/>
      <c r="R209" s="346"/>
    </row>
    <row r="210" spans="12:38">
      <c r="L210" s="123"/>
      <c r="P210" s="365"/>
      <c r="Q210" s="47"/>
      <c r="R210" s="346"/>
    </row>
    <row r="211" spans="12:38">
      <c r="L211" s="123"/>
      <c r="P211" s="365"/>
      <c r="Q211" s="47"/>
      <c r="R211" s="346"/>
    </row>
    <row r="212" spans="12:38">
      <c r="L212" s="123"/>
      <c r="P212" s="365"/>
      <c r="Q212" s="47"/>
      <c r="R212" s="346"/>
      <c r="AL212" s="405"/>
    </row>
    <row r="213" spans="12:38">
      <c r="L213" s="123"/>
      <c r="P213" s="365"/>
      <c r="Q213" s="47"/>
      <c r="R213" s="346"/>
    </row>
    <row r="214" spans="12:38">
      <c r="L214" s="123"/>
      <c r="P214" s="365"/>
      <c r="Q214" s="47"/>
      <c r="R214" s="346"/>
    </row>
    <row r="215" spans="12:38">
      <c r="L215" s="123"/>
      <c r="P215" s="365"/>
      <c r="Q215" s="47"/>
      <c r="R215" s="346"/>
    </row>
    <row r="216" spans="12:38">
      <c r="L216" s="123"/>
      <c r="P216" s="365"/>
      <c r="Q216" s="47"/>
      <c r="R216" s="346"/>
    </row>
    <row r="217" spans="12:38">
      <c r="L217" s="123"/>
      <c r="P217" s="365"/>
      <c r="Q217" s="47"/>
      <c r="R217" s="346"/>
    </row>
    <row r="218" spans="12:38">
      <c r="L218" s="123"/>
      <c r="P218" s="365"/>
      <c r="Q218" s="47"/>
      <c r="R218" s="346"/>
    </row>
    <row r="219" spans="12:38">
      <c r="L219" s="123"/>
      <c r="P219" s="365"/>
      <c r="Q219" s="47"/>
      <c r="R219" s="346"/>
    </row>
    <row r="220" spans="12:38">
      <c r="L220" s="123"/>
      <c r="P220" s="365"/>
      <c r="Q220" s="47"/>
      <c r="R220" s="346"/>
    </row>
    <row r="221" spans="12:38">
      <c r="L221" s="123"/>
      <c r="P221" s="365"/>
      <c r="Q221" s="47"/>
      <c r="R221" s="346"/>
    </row>
    <row r="222" spans="12:38">
      <c r="L222" s="123"/>
      <c r="P222" s="365"/>
      <c r="Q222" s="47"/>
      <c r="R222" s="346"/>
    </row>
    <row r="223" spans="12:38">
      <c r="L223" s="123"/>
      <c r="P223" s="365"/>
      <c r="Q223" s="47"/>
      <c r="R223" s="346"/>
    </row>
    <row r="224" spans="12:38">
      <c r="L224" s="123"/>
      <c r="P224" s="365"/>
      <c r="Q224" s="47"/>
      <c r="R224" s="346"/>
    </row>
    <row r="225" spans="12:18">
      <c r="L225" s="123"/>
      <c r="P225" s="365"/>
      <c r="Q225" s="47"/>
      <c r="R225" s="346"/>
    </row>
    <row r="226" spans="12:18">
      <c r="L226" s="123"/>
      <c r="P226" s="365"/>
      <c r="Q226" s="47"/>
      <c r="R226" s="346"/>
    </row>
    <row r="227" spans="12:18">
      <c r="L227" s="123"/>
      <c r="P227" s="365"/>
      <c r="Q227" s="47"/>
      <c r="R227" s="346"/>
    </row>
    <row r="228" spans="12:18">
      <c r="L228" s="123"/>
      <c r="P228" s="365"/>
      <c r="Q228" s="47"/>
      <c r="R228" s="346"/>
    </row>
    <row r="229" spans="12:18">
      <c r="L229" s="123"/>
      <c r="P229" s="365"/>
      <c r="Q229" s="47"/>
      <c r="R229" s="346"/>
    </row>
    <row r="230" spans="12:18">
      <c r="L230" s="123"/>
      <c r="P230" s="365"/>
      <c r="Q230" s="47"/>
      <c r="R230" s="346"/>
    </row>
    <row r="231" spans="12:18">
      <c r="L231" s="123"/>
      <c r="P231" s="365"/>
      <c r="Q231" s="47"/>
      <c r="R231" s="346"/>
    </row>
    <row r="232" spans="12:18">
      <c r="L232" s="123"/>
      <c r="P232" s="365"/>
      <c r="Q232" s="47"/>
      <c r="R232" s="346"/>
    </row>
    <row r="233" spans="12:18">
      <c r="L233" s="123"/>
      <c r="P233" s="365"/>
      <c r="Q233" s="47"/>
      <c r="R233" s="346"/>
    </row>
    <row r="234" spans="12:18">
      <c r="L234" s="123"/>
      <c r="P234" s="365"/>
      <c r="Q234" s="47"/>
      <c r="R234" s="346"/>
    </row>
    <row r="235" spans="12:18">
      <c r="L235" s="123"/>
      <c r="P235" s="365"/>
      <c r="Q235" s="47"/>
      <c r="R235" s="346"/>
    </row>
    <row r="236" spans="12:18">
      <c r="L236" s="123"/>
      <c r="P236" s="365"/>
      <c r="Q236" s="47"/>
      <c r="R236" s="346"/>
    </row>
    <row r="237" spans="12:18">
      <c r="L237" s="123"/>
      <c r="P237" s="365"/>
      <c r="Q237" s="47"/>
      <c r="R237" s="346"/>
    </row>
    <row r="238" spans="12:18">
      <c r="L238" s="123"/>
      <c r="P238" s="365"/>
      <c r="Q238" s="47"/>
      <c r="R238" s="346"/>
    </row>
    <row r="239" spans="12:18">
      <c r="L239" s="123"/>
      <c r="P239" s="365"/>
      <c r="Q239" s="47"/>
      <c r="R239" s="346"/>
    </row>
    <row r="240" spans="12:18">
      <c r="L240" s="123"/>
      <c r="O240" s="7"/>
      <c r="P240" s="365"/>
      <c r="Q240" s="47"/>
      <c r="R240" s="346"/>
    </row>
    <row r="241" spans="12:18">
      <c r="L241" s="123"/>
      <c r="P241" s="365"/>
      <c r="Q241" s="47"/>
      <c r="R241" s="346"/>
    </row>
    <row r="242" spans="12:18">
      <c r="L242" s="123"/>
      <c r="P242" s="365"/>
      <c r="Q242" s="47"/>
      <c r="R242" s="346"/>
    </row>
    <row r="243" spans="12:18">
      <c r="L243" s="123"/>
      <c r="P243" s="365"/>
      <c r="Q243" s="47"/>
      <c r="R243" s="346"/>
    </row>
    <row r="244" spans="12:18">
      <c r="L244" s="123"/>
      <c r="P244" s="365"/>
      <c r="Q244" s="47"/>
      <c r="R244" s="346"/>
    </row>
    <row r="245" spans="12:18">
      <c r="L245" s="245"/>
      <c r="P245" s="365"/>
      <c r="Q245" s="47"/>
      <c r="R245" s="346"/>
    </row>
    <row r="246" spans="12:18">
      <c r="L246" s="123"/>
      <c r="P246" s="365"/>
      <c r="Q246" s="47"/>
      <c r="R246" s="346"/>
    </row>
    <row r="247" spans="12:18">
      <c r="L247" s="123"/>
      <c r="P247" s="365"/>
      <c r="Q247" s="47"/>
      <c r="R247" s="346"/>
    </row>
    <row r="248" spans="12:18">
      <c r="L248" s="123"/>
      <c r="P248" s="365"/>
      <c r="Q248" s="47"/>
      <c r="R248" s="346"/>
    </row>
    <row r="249" spans="12:18">
      <c r="L249" s="123"/>
      <c r="P249" s="365"/>
      <c r="Q249" s="47"/>
      <c r="R249" s="346"/>
    </row>
    <row r="250" spans="12:18">
      <c r="L250" s="123"/>
      <c r="P250" s="365"/>
      <c r="Q250" s="47"/>
      <c r="R250" s="346"/>
    </row>
    <row r="251" spans="12:18">
      <c r="L251" s="123"/>
      <c r="P251" s="365"/>
      <c r="Q251" s="47"/>
      <c r="R251" s="346"/>
    </row>
    <row r="252" spans="12:18">
      <c r="L252" s="123"/>
      <c r="P252" s="365"/>
      <c r="Q252" s="47"/>
      <c r="R252" s="346"/>
    </row>
    <row r="253" spans="12:18">
      <c r="L253" s="123"/>
      <c r="P253" s="365"/>
      <c r="Q253" s="47"/>
      <c r="R253" s="346"/>
    </row>
    <row r="254" spans="12:18">
      <c r="L254" s="123"/>
      <c r="P254" s="365"/>
      <c r="Q254" s="47"/>
      <c r="R254" s="346"/>
    </row>
    <row r="255" spans="12:18">
      <c r="L255" s="123"/>
      <c r="P255" s="365"/>
      <c r="Q255" s="47"/>
      <c r="R255" s="346"/>
    </row>
    <row r="256" spans="12:18">
      <c r="L256" s="123"/>
      <c r="P256" s="365"/>
      <c r="Q256" s="47"/>
      <c r="R256" s="346"/>
    </row>
    <row r="257" spans="12:18">
      <c r="L257" s="123"/>
      <c r="P257" s="365"/>
      <c r="Q257" s="47"/>
      <c r="R257" s="346"/>
    </row>
    <row r="258" spans="12:18">
      <c r="L258" s="123"/>
      <c r="P258" s="365"/>
      <c r="Q258" s="47"/>
      <c r="R258" s="346"/>
    </row>
    <row r="259" spans="12:18">
      <c r="L259" s="123"/>
      <c r="P259" s="365"/>
      <c r="Q259" s="47"/>
      <c r="R259" s="346"/>
    </row>
    <row r="260" spans="12:18">
      <c r="L260" s="123"/>
      <c r="P260" s="365"/>
      <c r="Q260" s="47"/>
      <c r="R260" s="346"/>
    </row>
    <row r="261" spans="12:18">
      <c r="L261" s="123"/>
      <c r="P261" s="365"/>
      <c r="Q261" s="47"/>
      <c r="R261" s="346"/>
    </row>
    <row r="262" spans="12:18">
      <c r="L262" s="123"/>
      <c r="P262" s="365"/>
      <c r="Q262" s="47"/>
      <c r="R262" s="346"/>
    </row>
    <row r="263" spans="12:18">
      <c r="L263" s="123"/>
      <c r="P263" s="365"/>
      <c r="Q263" s="47"/>
      <c r="R263" s="346"/>
    </row>
    <row r="264" spans="12:18">
      <c r="L264" s="123"/>
      <c r="P264" s="365"/>
      <c r="Q264" s="47"/>
      <c r="R264" s="346"/>
    </row>
    <row r="265" spans="12:18">
      <c r="L265" s="123"/>
      <c r="P265" s="365"/>
      <c r="Q265" s="47"/>
      <c r="R265" s="346"/>
    </row>
    <row r="266" spans="12:18">
      <c r="L266" s="123"/>
      <c r="P266" s="365"/>
      <c r="Q266" s="47"/>
      <c r="R266" s="346"/>
    </row>
    <row r="267" spans="12:18">
      <c r="L267" s="123"/>
      <c r="P267" s="365"/>
      <c r="Q267" s="47"/>
      <c r="R267" s="346"/>
    </row>
    <row r="268" spans="12:18">
      <c r="L268" s="123"/>
      <c r="P268" s="365"/>
      <c r="Q268" s="47"/>
      <c r="R268" s="346"/>
    </row>
    <row r="269" spans="12:18">
      <c r="L269" s="123"/>
      <c r="P269" s="365"/>
      <c r="Q269" s="47"/>
      <c r="R269" s="346"/>
    </row>
    <row r="270" spans="12:18">
      <c r="L270" s="123"/>
      <c r="P270" s="365"/>
      <c r="Q270" s="47"/>
      <c r="R270" s="346"/>
    </row>
    <row r="271" spans="12:18">
      <c r="L271" s="123"/>
      <c r="O271" s="7"/>
      <c r="P271" s="365"/>
      <c r="Q271" s="47"/>
      <c r="R271" s="346"/>
    </row>
    <row r="272" spans="12:18">
      <c r="L272" s="123"/>
      <c r="P272" s="365"/>
      <c r="Q272" s="47"/>
      <c r="R272" s="346"/>
    </row>
    <row r="273" spans="12:18">
      <c r="L273" s="123"/>
      <c r="P273" s="365"/>
      <c r="Q273" s="47"/>
      <c r="R273" s="346"/>
    </row>
    <row r="274" spans="12:18">
      <c r="P274" s="365"/>
      <c r="Q274" s="47"/>
      <c r="R274" s="346"/>
    </row>
    <row r="275" spans="12:18">
      <c r="L275" s="123"/>
      <c r="P275" s="365"/>
      <c r="Q275" s="47"/>
      <c r="R275" s="346"/>
    </row>
    <row r="276" spans="12:18">
      <c r="L276" s="123"/>
      <c r="P276" s="365"/>
      <c r="Q276" s="47"/>
      <c r="R276" s="346"/>
    </row>
    <row r="277" spans="12:18">
      <c r="L277" s="123"/>
      <c r="P277" s="365"/>
      <c r="Q277" s="47"/>
      <c r="R277" s="346"/>
    </row>
    <row r="278" spans="12:18">
      <c r="L278" s="123"/>
      <c r="P278" s="365"/>
      <c r="Q278" s="47"/>
      <c r="R278" s="346"/>
    </row>
    <row r="279" spans="12:18">
      <c r="L279" s="123"/>
      <c r="P279" s="365"/>
      <c r="Q279" s="47"/>
      <c r="R279" s="346"/>
    </row>
    <row r="280" spans="12:18">
      <c r="P280" s="365"/>
      <c r="Q280" s="47"/>
      <c r="R280" s="346"/>
    </row>
    <row r="281" spans="12:18">
      <c r="L281" s="123"/>
      <c r="P281" s="365"/>
      <c r="Q281" s="47"/>
      <c r="R281" s="346"/>
    </row>
    <row r="282" spans="12:18">
      <c r="L282" s="123"/>
      <c r="P282" s="365"/>
      <c r="Q282" s="47"/>
      <c r="R282" s="346"/>
    </row>
    <row r="283" spans="12:18">
      <c r="L283" s="123"/>
      <c r="P283" s="365"/>
      <c r="Q283" s="47"/>
      <c r="R283" s="346"/>
    </row>
    <row r="284" spans="12:18">
      <c r="L284" s="123"/>
      <c r="P284" s="365"/>
      <c r="Q284" s="47"/>
      <c r="R284" s="346"/>
    </row>
    <row r="285" spans="12:18">
      <c r="L285" s="123"/>
      <c r="P285" s="365"/>
      <c r="Q285" s="47"/>
      <c r="R285" s="346"/>
    </row>
    <row r="286" spans="12:18">
      <c r="L286" s="123"/>
      <c r="P286" s="365"/>
      <c r="Q286" s="47"/>
      <c r="R286" s="346"/>
    </row>
    <row r="287" spans="12:18">
      <c r="L287" s="123"/>
      <c r="P287" s="365"/>
      <c r="Q287" s="47"/>
      <c r="R287" s="346"/>
    </row>
    <row r="288" spans="12:18">
      <c r="L288" s="123"/>
      <c r="P288" s="365"/>
      <c r="Q288" s="47"/>
      <c r="R288" s="346"/>
    </row>
    <row r="289" spans="12:18">
      <c r="L289" s="123"/>
      <c r="P289" s="365"/>
      <c r="Q289" s="47"/>
      <c r="R289" s="346"/>
    </row>
    <row r="290" spans="12:18">
      <c r="L290" s="123"/>
      <c r="P290" s="365"/>
      <c r="Q290" s="47"/>
      <c r="R290" s="346"/>
    </row>
    <row r="291" spans="12:18">
      <c r="L291" s="123"/>
      <c r="P291" s="365"/>
      <c r="Q291" s="47"/>
      <c r="R291" s="346"/>
    </row>
    <row r="292" spans="12:18">
      <c r="L292" s="245"/>
      <c r="P292" s="365"/>
      <c r="Q292" s="47"/>
      <c r="R292" s="346"/>
    </row>
    <row r="293" spans="12:18">
      <c r="L293" s="123"/>
      <c r="P293" s="365"/>
      <c r="Q293" s="47"/>
      <c r="R293" s="346"/>
    </row>
    <row r="294" spans="12:18">
      <c r="P294" s="365"/>
      <c r="Q294" s="47"/>
      <c r="R294" s="346"/>
    </row>
    <row r="295" spans="12:18">
      <c r="L295" s="123"/>
      <c r="P295" s="365"/>
      <c r="Q295" s="47"/>
      <c r="R295" s="346"/>
    </row>
    <row r="296" spans="12:18">
      <c r="L296" s="123"/>
      <c r="P296" s="365"/>
      <c r="Q296" s="47"/>
      <c r="R296" s="346"/>
    </row>
    <row r="297" spans="12:18">
      <c r="L297" s="123"/>
      <c r="P297" s="365"/>
      <c r="Q297" s="47"/>
      <c r="R297" s="346"/>
    </row>
    <row r="298" spans="12:18">
      <c r="L298" s="123"/>
      <c r="P298" s="365"/>
      <c r="Q298" s="47"/>
      <c r="R298" s="346"/>
    </row>
    <row r="299" spans="12:18">
      <c r="L299" s="123"/>
      <c r="P299" s="365"/>
      <c r="Q299" s="47"/>
      <c r="R299" s="346"/>
    </row>
    <row r="300" spans="12:18">
      <c r="L300" s="123"/>
      <c r="P300" s="365"/>
      <c r="Q300" s="47"/>
      <c r="R300" s="346"/>
    </row>
    <row r="301" spans="12:18">
      <c r="L301" s="123"/>
      <c r="P301" s="365"/>
      <c r="Q301" s="47"/>
      <c r="R301" s="346"/>
    </row>
    <row r="302" spans="12:18">
      <c r="L302" s="123"/>
      <c r="P302" s="365"/>
      <c r="Q302" s="47"/>
      <c r="R302" s="346"/>
    </row>
    <row r="303" spans="12:18">
      <c r="L303" s="123"/>
      <c r="P303" s="365"/>
      <c r="Q303" s="47"/>
      <c r="R303" s="346"/>
    </row>
    <row r="304" spans="12:18">
      <c r="L304" s="123"/>
      <c r="P304" s="365"/>
      <c r="Q304" s="47"/>
      <c r="R304" s="346"/>
    </row>
    <row r="305" spans="12:18">
      <c r="L305" s="123"/>
      <c r="P305" s="365"/>
      <c r="Q305" s="47"/>
      <c r="R305" s="346"/>
    </row>
    <row r="306" spans="12:18">
      <c r="P306" s="365"/>
      <c r="Q306" s="47"/>
      <c r="R306" s="346"/>
    </row>
    <row r="307" spans="12:18">
      <c r="L307" s="123"/>
      <c r="P307" s="365"/>
      <c r="Q307" s="47"/>
      <c r="R307" s="346"/>
    </row>
    <row r="308" spans="12:18">
      <c r="L308" s="123"/>
      <c r="O308" s="7"/>
      <c r="P308" s="365"/>
      <c r="Q308" s="47"/>
      <c r="R308" s="346"/>
    </row>
    <row r="309" spans="12:18">
      <c r="L309" s="123"/>
      <c r="P309" s="365"/>
      <c r="Q309" s="47"/>
      <c r="R309" s="346"/>
    </row>
    <row r="310" spans="12:18">
      <c r="L310" s="123"/>
      <c r="P310" s="365"/>
      <c r="Q310" s="47"/>
      <c r="R310" s="346"/>
    </row>
    <row r="311" spans="12:18">
      <c r="L311" s="123"/>
      <c r="P311" s="365"/>
      <c r="Q311" s="47"/>
      <c r="R311" s="346"/>
    </row>
    <row r="312" spans="12:18">
      <c r="L312" s="123"/>
      <c r="P312" s="365"/>
      <c r="Q312" s="47"/>
      <c r="R312" s="346"/>
    </row>
    <row r="313" spans="12:18">
      <c r="L313" s="123"/>
      <c r="P313" s="365"/>
      <c r="Q313" s="47"/>
      <c r="R313" s="346"/>
    </row>
    <row r="314" spans="12:18">
      <c r="L314" s="123"/>
      <c r="P314" s="365"/>
      <c r="Q314" s="47"/>
      <c r="R314" s="346"/>
    </row>
    <row r="315" spans="12:18">
      <c r="L315" s="123"/>
      <c r="P315" s="365"/>
      <c r="Q315" s="47"/>
      <c r="R315" s="346"/>
    </row>
    <row r="316" spans="12:18">
      <c r="L316" s="123"/>
      <c r="P316" s="365"/>
      <c r="Q316" s="47"/>
      <c r="R316" s="346"/>
    </row>
    <row r="317" spans="12:18">
      <c r="L317" s="123"/>
      <c r="P317" s="365"/>
      <c r="Q317" s="47"/>
      <c r="R317" s="346"/>
    </row>
    <row r="318" spans="12:18">
      <c r="L318" s="123"/>
      <c r="O318" s="7"/>
      <c r="P318" s="365"/>
      <c r="Q318" s="47"/>
      <c r="R318" s="346"/>
    </row>
    <row r="319" spans="12:18">
      <c r="L319" s="123"/>
      <c r="P319" s="365"/>
      <c r="Q319" s="47"/>
      <c r="R319" s="346"/>
    </row>
    <row r="320" spans="12:18">
      <c r="L320" s="123"/>
      <c r="P320" s="365"/>
      <c r="Q320" s="47"/>
      <c r="R320" s="346"/>
    </row>
    <row r="321" spans="12:38">
      <c r="L321" s="123"/>
      <c r="P321" s="365"/>
      <c r="Q321" s="47"/>
      <c r="R321" s="346"/>
    </row>
    <row r="322" spans="12:38">
      <c r="L322" s="123"/>
      <c r="P322" s="365"/>
      <c r="Q322" s="47"/>
      <c r="R322" s="346"/>
      <c r="AL322" s="405"/>
    </row>
    <row r="323" spans="12:38">
      <c r="L323" s="123"/>
      <c r="P323" s="365"/>
      <c r="Q323" s="47"/>
      <c r="R323" s="346"/>
      <c r="AL323" s="405"/>
    </row>
    <row r="324" spans="12:38">
      <c r="L324" s="123"/>
      <c r="P324" s="365"/>
      <c r="Q324" s="47"/>
      <c r="R324" s="346"/>
    </row>
    <row r="325" spans="12:38">
      <c r="L325" s="123"/>
      <c r="P325" s="365"/>
      <c r="Q325" s="47"/>
      <c r="R325" s="346"/>
    </row>
    <row r="326" spans="12:38">
      <c r="L326" s="123"/>
      <c r="P326" s="365"/>
      <c r="Q326" s="47"/>
      <c r="R326" s="346"/>
    </row>
    <row r="327" spans="12:38">
      <c r="L327" s="123"/>
      <c r="P327" s="365"/>
      <c r="Q327" s="47"/>
      <c r="R327" s="346"/>
    </row>
    <row r="328" spans="12:38">
      <c r="L328" s="123"/>
      <c r="P328" s="365"/>
      <c r="Q328" s="47"/>
      <c r="R328" s="346"/>
    </row>
    <row r="329" spans="12:38">
      <c r="L329" s="123"/>
      <c r="P329" s="365"/>
      <c r="Q329" s="47"/>
      <c r="R329" s="346"/>
      <c r="AL329" s="405"/>
    </row>
    <row r="330" spans="12:38">
      <c r="L330" s="123"/>
      <c r="P330" s="365"/>
      <c r="Q330" s="47"/>
      <c r="R330" s="346"/>
    </row>
    <row r="331" spans="12:38">
      <c r="L331" s="123"/>
      <c r="P331" s="365"/>
      <c r="Q331" s="47"/>
      <c r="R331" s="346"/>
    </row>
    <row r="332" spans="12:38">
      <c r="L332" s="123"/>
      <c r="P332" s="365"/>
      <c r="Q332" s="47"/>
      <c r="R332" s="346"/>
    </row>
    <row r="333" spans="12:38">
      <c r="L333" s="123"/>
      <c r="P333" s="365"/>
      <c r="Q333" s="47"/>
      <c r="R333" s="346"/>
      <c r="AL333" s="406"/>
    </row>
    <row r="334" spans="12:38">
      <c r="L334" s="123"/>
      <c r="P334" s="365"/>
      <c r="Q334" s="47"/>
      <c r="R334" s="346"/>
      <c r="AL334" s="406"/>
    </row>
    <row r="335" spans="12:38">
      <c r="L335" s="123"/>
      <c r="P335" s="365"/>
      <c r="Q335" s="47"/>
      <c r="R335" s="346"/>
    </row>
    <row r="336" spans="12:38">
      <c r="L336" s="123"/>
      <c r="P336" s="365"/>
      <c r="Q336" s="47"/>
      <c r="R336" s="346"/>
    </row>
    <row r="337" spans="12:18">
      <c r="L337" s="123"/>
      <c r="P337" s="365"/>
      <c r="Q337" s="47"/>
      <c r="R337" s="346"/>
    </row>
    <row r="338" spans="12:18">
      <c r="L338" s="123"/>
    </row>
    <row r="339" spans="12:18">
      <c r="L339" s="123"/>
    </row>
    <row r="340" spans="12:18">
      <c r="L340" s="123"/>
    </row>
    <row r="341" spans="12:18">
      <c r="L341" s="123"/>
    </row>
    <row r="342" spans="12:18">
      <c r="L342" s="123"/>
    </row>
    <row r="343" spans="12:18">
      <c r="L343" s="123"/>
    </row>
    <row r="344" spans="12:18">
      <c r="L344" s="123"/>
    </row>
    <row r="345" spans="12:18">
      <c r="L345" s="123"/>
    </row>
    <row r="346" spans="12:18">
      <c r="L346" s="123"/>
    </row>
    <row r="347" spans="12:18">
      <c r="L347" s="123"/>
    </row>
    <row r="348" spans="12:18">
      <c r="L348" s="123"/>
    </row>
    <row r="349" spans="12:18">
      <c r="L349" s="123"/>
    </row>
    <row r="350" spans="12:18">
      <c r="L350" s="123"/>
    </row>
    <row r="351" spans="12:18">
      <c r="L351" s="123"/>
    </row>
    <row r="352" spans="12:18">
      <c r="L352" s="123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123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245"/>
    </row>
    <row r="369" spans="12:38">
      <c r="L369" s="123"/>
    </row>
    <row r="370" spans="12:38">
      <c r="L370" s="123"/>
      <c r="AL370" s="405"/>
    </row>
    <row r="371" spans="12:38">
      <c r="L371" s="123"/>
      <c r="AL371" s="405"/>
    </row>
    <row r="372" spans="12:38">
      <c r="L372" s="123"/>
    </row>
    <row r="373" spans="12:38">
      <c r="L373" s="123"/>
    </row>
    <row r="374" spans="12:38">
      <c r="L374" s="123"/>
    </row>
    <row r="375" spans="12:38">
      <c r="L375" s="123"/>
    </row>
    <row r="376" spans="12:38">
      <c r="L376" s="51"/>
    </row>
    <row r="377" spans="12:38">
      <c r="L377" s="123"/>
    </row>
    <row r="378" spans="12:38">
      <c r="L378" s="123"/>
    </row>
    <row r="379" spans="12:38">
      <c r="L379" s="123"/>
    </row>
    <row r="380" spans="12:38">
      <c r="L380" s="123"/>
    </row>
    <row r="381" spans="12:38">
      <c r="L381" s="123"/>
    </row>
    <row r="382" spans="12:38">
      <c r="L382" s="123"/>
    </row>
    <row r="383" spans="12:38">
      <c r="L383" s="123"/>
    </row>
    <row r="384" spans="12:38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123"/>
    </row>
    <row r="399" spans="12:12">
      <c r="L399" s="123"/>
    </row>
    <row r="400" spans="12:12">
      <c r="L400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245"/>
    </row>
    <row r="407" spans="12:12">
      <c r="L407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123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245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123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245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123"/>
    </row>
    <row r="463" spans="12:12">
      <c r="L463" s="123"/>
    </row>
    <row r="464" spans="12:12">
      <c r="L464" s="123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245"/>
    </row>
    <row r="471" spans="12:12">
      <c r="L471" s="123"/>
    </row>
    <row r="472" spans="12:12">
      <c r="L472" s="245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123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245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123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247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123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33"/>
    </row>
    <row r="594" spans="12:12">
      <c r="L594" s="123"/>
    </row>
    <row r="595" spans="12:12">
      <c r="L595" s="123"/>
    </row>
    <row r="596" spans="12:12">
      <c r="L596" s="245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245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245"/>
    </row>
    <row r="614" spans="12:12">
      <c r="L614" s="123"/>
    </row>
    <row r="615" spans="12:12">
      <c r="L615" s="123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245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245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245"/>
    </row>
    <row r="663" spans="12:12">
      <c r="L663" s="123"/>
    </row>
    <row r="664" spans="12:12">
      <c r="L664" s="123"/>
    </row>
    <row r="665" spans="12:12">
      <c r="L665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245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245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9">
      <c r="L705" s="123"/>
    </row>
    <row r="706" spans="12:29">
      <c r="L706" s="123"/>
    </row>
    <row r="707" spans="12:29">
      <c r="L707" s="123"/>
    </row>
    <row r="708" spans="12:29">
      <c r="L708" s="123"/>
    </row>
    <row r="709" spans="12:29">
      <c r="L709" s="123"/>
    </row>
    <row r="710" spans="12:29">
      <c r="L710" s="123"/>
    </row>
    <row r="711" spans="12:29">
      <c r="L711" s="123"/>
    </row>
    <row r="712" spans="12:29">
      <c r="L712" s="123"/>
    </row>
    <row r="713" spans="12:29">
      <c r="L713" s="123"/>
    </row>
    <row r="714" spans="12:29">
      <c r="L714" s="123"/>
    </row>
    <row r="715" spans="12:29">
      <c r="L715" s="123"/>
    </row>
    <row r="716" spans="12:29">
      <c r="L716" s="123"/>
    </row>
    <row r="717" spans="12:29">
      <c r="L717" s="123"/>
    </row>
    <row r="718" spans="12:29">
      <c r="L718" s="123"/>
    </row>
    <row r="719" spans="12:29">
      <c r="L719" s="123"/>
      <c r="AC719" s="383"/>
    </row>
    <row r="720" spans="12:29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27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9">
      <c r="L737" s="123"/>
    </row>
    <row r="738" spans="12:29">
      <c r="L738" s="123"/>
    </row>
    <row r="739" spans="12:29">
      <c r="L739" s="123"/>
    </row>
    <row r="740" spans="12:29">
      <c r="L740" s="123"/>
    </row>
    <row r="741" spans="12:29">
      <c r="L741" s="123"/>
    </row>
    <row r="742" spans="12:29">
      <c r="L742" s="123"/>
    </row>
    <row r="743" spans="12:29">
      <c r="L743" s="123"/>
    </row>
    <row r="744" spans="12:29">
      <c r="L744" s="123"/>
    </row>
    <row r="745" spans="12:29">
      <c r="L745" s="123"/>
    </row>
    <row r="746" spans="12:29">
      <c r="L746" s="123"/>
    </row>
    <row r="747" spans="12:29">
      <c r="L747" s="123"/>
    </row>
    <row r="748" spans="12:29">
      <c r="L748" s="123"/>
    </row>
    <row r="749" spans="12:29">
      <c r="L749" s="123"/>
      <c r="AC749" s="383"/>
    </row>
    <row r="750" spans="12:29">
      <c r="L750" s="123"/>
    </row>
    <row r="751" spans="12:29">
      <c r="L751" s="123"/>
    </row>
    <row r="752" spans="12:29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245"/>
    </row>
    <row r="758" spans="12:12">
      <c r="L758" s="245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245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245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245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225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245"/>
    </row>
    <row r="955" spans="12:12">
      <c r="L955" s="123"/>
    </row>
    <row r="956" spans="12:12">
      <c r="L956" s="123"/>
    </row>
    <row r="957" spans="12:12">
      <c r="L957" s="123"/>
    </row>
    <row r="958" spans="12:12">
      <c r="L958" s="123"/>
    </row>
    <row r="959" spans="12:12">
      <c r="L959" s="123"/>
    </row>
    <row r="960" spans="12:12">
      <c r="L960" s="123"/>
    </row>
    <row r="961" spans="12:12">
      <c r="L961" s="123"/>
    </row>
    <row r="962" spans="12:12">
      <c r="L962" s="123"/>
    </row>
    <row r="964" spans="12:12">
      <c r="L964" s="123"/>
    </row>
    <row r="965" spans="12:12">
      <c r="L965" s="123"/>
    </row>
    <row r="966" spans="12:12">
      <c r="L966" s="245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123"/>
    </row>
    <row r="972" spans="12:12">
      <c r="L972" s="245"/>
    </row>
    <row r="973" spans="12:12">
      <c r="L973" s="120"/>
    </row>
    <row r="975" spans="12:12">
      <c r="L975" s="123"/>
    </row>
    <row r="976" spans="12:12">
      <c r="L976" s="245"/>
    </row>
    <row r="977" spans="12:12">
      <c r="L977" s="123"/>
    </row>
    <row r="978" spans="12:12">
      <c r="L978" s="123"/>
    </row>
    <row r="979" spans="12:12">
      <c r="L979" s="245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123"/>
    </row>
    <row r="985" spans="12:12">
      <c r="L985" s="245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1" spans="12:12">
      <c r="L991" s="245"/>
    </row>
    <row r="992" spans="12:12">
      <c r="L992" s="123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6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123"/>
    </row>
    <row r="1008" spans="12:12">
      <c r="L1008" s="245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245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0"/>
    </row>
    <row r="1034" spans="12:12">
      <c r="L1034" s="120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12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245"/>
    </row>
    <row r="1047" spans="12:12">
      <c r="L1047" s="123"/>
    </row>
    <row r="1048" spans="12:12">
      <c r="L1048" s="123"/>
    </row>
    <row r="1049" spans="12:12">
      <c r="L1049" s="245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43"/>
    </row>
    <row r="1055" spans="12:12">
      <c r="L1055" s="123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0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123"/>
    </row>
    <row r="1070" spans="12:12">
      <c r="L1070" s="123"/>
    </row>
    <row r="1071" spans="12:12">
      <c r="L1071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245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0"/>
    </row>
    <row r="1085" spans="12:12">
      <c r="L1085" s="123"/>
    </row>
    <row r="1086" spans="12:12">
      <c r="L1086" s="245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3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123"/>
    </row>
    <row r="1105" spans="12:12">
      <c r="L1105" s="120"/>
    </row>
    <row r="1106" spans="12:12">
      <c r="L1106" s="123"/>
    </row>
    <row r="1107" spans="12:12">
      <c r="L1107" s="123"/>
    </row>
    <row r="1108" spans="12:12">
      <c r="L1108" s="123"/>
    </row>
    <row r="1109" spans="12:12">
      <c r="L1109" s="123"/>
    </row>
    <row r="1110" spans="12:12">
      <c r="L1110" s="123"/>
    </row>
    <row r="1111" spans="12:12">
      <c r="L1111" s="27"/>
    </row>
    <row r="1112" spans="12:12">
      <c r="L1112" s="120"/>
    </row>
    <row r="1113" spans="12:12">
      <c r="L1113" s="245"/>
    </row>
    <row r="1114" spans="12:12">
      <c r="L1114" s="245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43"/>
    </row>
    <row r="1121" spans="12:29">
      <c r="L1121" s="123"/>
    </row>
    <row r="1123" spans="12:29">
      <c r="L1123" s="123"/>
    </row>
    <row r="1124" spans="12:29">
      <c r="L1124" s="120"/>
    </row>
    <row r="1125" spans="12:29">
      <c r="L1125" s="123"/>
    </row>
    <row r="1126" spans="12:29">
      <c r="L1126" s="123"/>
    </row>
    <row r="1127" spans="12:29">
      <c r="L1127" s="120"/>
    </row>
    <row r="1128" spans="12:29">
      <c r="L1128" s="123"/>
    </row>
    <row r="1129" spans="12:29">
      <c r="L1129" s="123"/>
      <c r="AC1129" s="383"/>
    </row>
    <row r="1130" spans="12:29">
      <c r="L1130" s="123"/>
    </row>
    <row r="1131" spans="12:29">
      <c r="L1131" s="123"/>
    </row>
    <row r="1132" spans="12:29">
      <c r="L1132" s="123"/>
    </row>
    <row r="1133" spans="12:29">
      <c r="L1133" s="123"/>
    </row>
    <row r="1134" spans="12:29">
      <c r="L1134" s="123"/>
    </row>
    <row r="1135" spans="12:29">
      <c r="L1135" s="123"/>
    </row>
    <row r="1136" spans="12:29">
      <c r="L1136" s="123"/>
    </row>
    <row r="1137" spans="12:14">
      <c r="L1137" s="123"/>
    </row>
    <row r="1138" spans="12:14">
      <c r="L1138" s="245"/>
    </row>
    <row r="1139" spans="12:14">
      <c r="L1139" s="123"/>
    </row>
    <row r="1140" spans="12:14">
      <c r="L1140" s="123"/>
    </row>
    <row r="1141" spans="12:14">
      <c r="L1141" s="123"/>
    </row>
    <row r="1142" spans="12:14">
      <c r="L1142" s="123"/>
    </row>
    <row r="1143" spans="12:14">
      <c r="L1143" s="123"/>
      <c r="M1143" s="234" t="s">
        <v>3323</v>
      </c>
      <c r="N1143" s="234" t="s">
        <v>3323</v>
      </c>
    </row>
    <row r="1144" spans="12:14">
      <c r="L1144" s="123"/>
    </row>
    <row r="1145" spans="12:14">
      <c r="L1145" s="120"/>
    </row>
    <row r="1146" spans="12:14">
      <c r="L1146" s="123"/>
    </row>
    <row r="1147" spans="12:14">
      <c r="L1147" s="123"/>
    </row>
    <row r="1148" spans="12:14">
      <c r="L1148" s="123"/>
    </row>
    <row r="1149" spans="12:14">
      <c r="L1149" s="123"/>
    </row>
    <row r="1150" spans="12:14">
      <c r="L1150" s="245"/>
    </row>
    <row r="1152" spans="12:14">
      <c r="L1152" s="123"/>
    </row>
    <row r="1153" spans="12:12">
      <c r="L1153" s="123"/>
    </row>
    <row r="1154" spans="12:12">
      <c r="L1154" s="123"/>
    </row>
    <row r="1155" spans="12:12">
      <c r="L1155" s="27"/>
    </row>
    <row r="1156" spans="12:12">
      <c r="L1156" s="123"/>
    </row>
    <row r="1157" spans="12:12">
      <c r="L1157" s="245"/>
    </row>
    <row r="1158" spans="12:12">
      <c r="L1158" s="120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245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1" spans="12:12">
      <c r="L1181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9" spans="12:12">
      <c r="L1189" s="123"/>
    </row>
    <row r="1190" spans="12:12">
      <c r="L1190" s="120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8" spans="12:12">
      <c r="L1198" s="123"/>
    </row>
    <row r="1199" spans="12:12">
      <c r="L1199" s="123"/>
    </row>
    <row r="1200" spans="12:12">
      <c r="L1200" s="123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123"/>
    </row>
    <row r="1205" spans="12:12">
      <c r="L1205" s="123"/>
    </row>
    <row r="1206" spans="12:12">
      <c r="L1206" s="123"/>
    </row>
    <row r="1207" spans="12:12">
      <c r="L1207" s="120"/>
    </row>
    <row r="1208" spans="12:12">
      <c r="L1208" s="123"/>
    </row>
    <row r="1209" spans="12:12">
      <c r="L1209" s="123"/>
    </row>
    <row r="1210" spans="12:12">
      <c r="L1210" s="123"/>
    </row>
    <row r="1212" spans="12:12">
      <c r="L1212" s="123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245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245"/>
    </row>
    <row r="1221" spans="12:12">
      <c r="L1221" s="245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245"/>
    </row>
    <row r="1227" spans="12:12">
      <c r="L1227" s="123"/>
    </row>
    <row r="1228" spans="12:12">
      <c r="L1228" s="245"/>
    </row>
    <row r="1229" spans="12:12">
      <c r="L1229" s="123"/>
    </row>
    <row r="1230" spans="12:12">
      <c r="L1230" s="245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123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245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123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0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123"/>
    </row>
    <row r="1271" spans="12:12">
      <c r="L1271" s="123"/>
    </row>
    <row r="1272" spans="12:12">
      <c r="L1272" s="123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245"/>
    </row>
    <row r="1278" spans="12:12">
      <c r="L1278" s="245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245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3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</row>
    <row r="1300" spans="12:18">
      <c r="L1300" s="124"/>
    </row>
    <row r="1301" spans="12:18">
      <c r="L1301" s="123"/>
    </row>
    <row r="1302" spans="12:18">
      <c r="L1302" s="123"/>
    </row>
    <row r="1303" spans="12:18">
      <c r="L1303" s="123"/>
      <c r="P1303" s="366"/>
      <c r="R1303" s="355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123"/>
    </row>
    <row r="1308" spans="12:18">
      <c r="L1308" s="245"/>
    </row>
    <row r="1309" spans="12:18">
      <c r="L1309" s="123"/>
    </row>
    <row r="1310" spans="12:18">
      <c r="L1310" s="123"/>
    </row>
    <row r="1311" spans="12:18">
      <c r="L1311" s="123"/>
    </row>
    <row r="1312" spans="12:18">
      <c r="L1312" s="123"/>
    </row>
    <row r="1313" spans="12:18">
      <c r="L1313" s="123"/>
      <c r="P1313" s="366"/>
      <c r="R1313" s="355"/>
    </row>
    <row r="1314" spans="12:18">
      <c r="L1314" s="123"/>
    </row>
    <row r="1315" spans="12:18">
      <c r="L1315" s="123"/>
    </row>
    <row r="1316" spans="12:18">
      <c r="L1316" s="123"/>
    </row>
    <row r="1317" spans="12:18">
      <c r="L1317" s="123"/>
      <c r="P1317" s="366"/>
      <c r="R1317" s="355"/>
    </row>
    <row r="1318" spans="12:18">
      <c r="L1318" s="123"/>
    </row>
    <row r="1319" spans="12:18">
      <c r="L1319" s="123"/>
    </row>
    <row r="1320" spans="12:18">
      <c r="L1320" s="123"/>
    </row>
    <row r="1321" spans="12:18">
      <c r="L1321" s="123"/>
    </row>
    <row r="1322" spans="12:18">
      <c r="L1322" s="123"/>
      <c r="P1322" s="366"/>
      <c r="R1322" s="355"/>
    </row>
    <row r="1323" spans="12:18">
      <c r="L1323" s="245"/>
      <c r="P1323" s="366"/>
      <c r="R1323" s="355"/>
    </row>
    <row r="1324" spans="12:18">
      <c r="L1324" s="245"/>
      <c r="P1324" s="366"/>
      <c r="R1324" s="355"/>
    </row>
    <row r="1325" spans="12:18">
      <c r="L1325" s="123"/>
    </row>
    <row r="1326" spans="12:18">
      <c r="L1326" s="123"/>
      <c r="P1326" s="366"/>
      <c r="R1326" s="355"/>
    </row>
    <row r="1327" spans="12:18">
      <c r="L1327" s="123"/>
      <c r="P1327" s="366"/>
      <c r="R1327" s="355"/>
    </row>
    <row r="1328" spans="12:18">
      <c r="L1328" s="123"/>
    </row>
    <row r="1329" spans="12:18">
      <c r="L1329" s="123"/>
      <c r="P1329" s="366"/>
      <c r="R1329" s="355"/>
    </row>
    <row r="1330" spans="12:18">
      <c r="L1330" s="123"/>
    </row>
    <row r="1331" spans="12:18">
      <c r="L1331" s="123"/>
      <c r="P1331" s="366"/>
      <c r="R1331" s="355"/>
    </row>
    <row r="1332" spans="12:18">
      <c r="L1332" s="123"/>
      <c r="P1332" s="366"/>
      <c r="R1332" s="355"/>
    </row>
    <row r="1333" spans="12:18">
      <c r="L1333" s="123"/>
      <c r="P1333" s="366"/>
      <c r="R1333" s="355"/>
    </row>
    <row r="1334" spans="12:18">
      <c r="L1334" s="245"/>
      <c r="P1334" s="366"/>
      <c r="R1334" s="355"/>
    </row>
    <row r="1335" spans="12:18">
      <c r="L1335" s="123"/>
      <c r="P1335" s="366"/>
      <c r="R1335" s="355"/>
    </row>
    <row r="1336" spans="12:18">
      <c r="L1336" s="123"/>
      <c r="P1336" s="366"/>
      <c r="R1336" s="355"/>
    </row>
    <row r="1337" spans="12:18">
      <c r="L1337" s="123"/>
      <c r="P1337" s="366"/>
      <c r="R1337" s="355"/>
    </row>
    <row r="1338" spans="12:18">
      <c r="L1338" s="123"/>
      <c r="P1338" s="366"/>
      <c r="R1338" s="355"/>
    </row>
    <row r="1339" spans="12:18">
      <c r="L1339" s="123"/>
    </row>
    <row r="1340" spans="12:18">
      <c r="L1340" s="123"/>
    </row>
    <row r="1341" spans="12:18">
      <c r="L1341" s="120"/>
    </row>
    <row r="1342" spans="12:18">
      <c r="L1342" s="123"/>
    </row>
    <row r="1344" spans="12:18">
      <c r="L1344" s="123"/>
    </row>
    <row r="1345" spans="12:18">
      <c r="L1345" s="245"/>
    </row>
    <row r="1346" spans="12:18">
      <c r="L1346" s="123"/>
    </row>
    <row r="1347" spans="12:18">
      <c r="L1347" s="123"/>
      <c r="P1347" s="366"/>
      <c r="R1347" s="355"/>
    </row>
    <row r="1348" spans="12:18">
      <c r="L1348" s="123"/>
      <c r="P1348" s="366"/>
      <c r="R1348" s="355"/>
    </row>
    <row r="1349" spans="12:18">
      <c r="L1349" s="123"/>
      <c r="P1349" s="366"/>
      <c r="R1349" s="355"/>
    </row>
    <row r="1350" spans="12:18">
      <c r="L1350" s="123"/>
    </row>
    <row r="1351" spans="12:18">
      <c r="L1351" s="123"/>
      <c r="P1351" s="366"/>
      <c r="R1351" s="355"/>
    </row>
    <row r="1352" spans="12:18">
      <c r="L1352" s="123"/>
      <c r="P1352" s="366"/>
      <c r="R1352" s="355"/>
    </row>
    <row r="1353" spans="12:18">
      <c r="L1353" s="123"/>
      <c r="P1353" s="366"/>
      <c r="R1353" s="355"/>
    </row>
    <row r="1354" spans="12:18">
      <c r="L1354" s="123"/>
      <c r="P1354" s="366"/>
      <c r="R1354" s="355"/>
    </row>
    <row r="1355" spans="12:18">
      <c r="L1355" s="123"/>
    </row>
    <row r="1356" spans="12:18">
      <c r="L1356" s="123"/>
    </row>
    <row r="1357" spans="12:18">
      <c r="L1357" s="123"/>
    </row>
    <row r="1358" spans="12:18">
      <c r="L1358" s="123"/>
    </row>
    <row r="1359" spans="12:18">
      <c r="L1359" s="123"/>
    </row>
    <row r="1360" spans="12:18">
      <c r="L1360" s="123"/>
    </row>
    <row r="1361" spans="12:29">
      <c r="L1361" s="123"/>
    </row>
    <row r="1362" spans="12:29">
      <c r="L1362" s="123"/>
    </row>
    <row r="1363" spans="12:29">
      <c r="L1363" s="123"/>
    </row>
    <row r="1364" spans="12:29">
      <c r="L1364" s="123"/>
    </row>
    <row r="1365" spans="12:29">
      <c r="L1365" s="123"/>
    </row>
    <row r="1366" spans="12:29">
      <c r="L1366" s="123"/>
      <c r="AC1366" s="383"/>
    </row>
    <row r="1367" spans="12:29">
      <c r="L1367" s="123"/>
    </row>
    <row r="1368" spans="12:29">
      <c r="L1368" s="123"/>
    </row>
    <row r="1370" spans="12:29">
      <c r="L1370" s="123"/>
    </row>
    <row r="1371" spans="12:29">
      <c r="L1371" s="123"/>
    </row>
    <row r="1372" spans="12:29">
      <c r="L1372" s="123"/>
    </row>
    <row r="1373" spans="12:29">
      <c r="L1373" s="123"/>
    </row>
    <row r="1374" spans="12:29">
      <c r="L1374" s="123"/>
    </row>
    <row r="1375" spans="12:29">
      <c r="L1375" s="123"/>
    </row>
    <row r="1376" spans="12:29">
      <c r="L1376" s="123"/>
    </row>
    <row r="1377" spans="1:35">
      <c r="L1377" s="123"/>
    </row>
    <row r="1378" spans="1:35">
      <c r="L1378" s="51"/>
    </row>
    <row r="1379" spans="1:35">
      <c r="L1379" s="123"/>
    </row>
    <row r="1380" spans="1:35">
      <c r="L1380" s="123"/>
    </row>
    <row r="1381" spans="1:35">
      <c r="L1381" s="123"/>
    </row>
    <row r="1382" spans="1:35">
      <c r="L1382" s="123"/>
    </row>
    <row r="1383" spans="1:35">
      <c r="L1383" s="123"/>
    </row>
    <row r="1384" spans="1:35">
      <c r="L1384" s="123"/>
    </row>
    <row r="1385" spans="1:35">
      <c r="L1385" s="123"/>
    </row>
    <row r="1386" spans="1:35">
      <c r="L1386" s="123"/>
    </row>
    <row r="1387" spans="1:35">
      <c r="L1387" s="123"/>
    </row>
    <row r="1388" spans="1:35" ht="26.4">
      <c r="A1388" s="245"/>
      <c r="B1388" s="245"/>
      <c r="C1388" s="245"/>
      <c r="D1388" s="245"/>
      <c r="E1388" s="245"/>
      <c r="F1388" s="280"/>
      <c r="H1388" s="245"/>
      <c r="I1388" s="245"/>
      <c r="L1388" s="123"/>
      <c r="T1388" s="328"/>
      <c r="U1388" s="85" ph="1"/>
      <c r="W1388" s="216"/>
      <c r="Z1388" s="245"/>
      <c r="AA1388" s="245"/>
      <c r="AB1388" s="332"/>
      <c r="AD1388" s="245"/>
      <c r="AE1388" s="187"/>
      <c r="AF1388" s="367"/>
      <c r="AG1388" s="7"/>
      <c r="AI1388" s="245"/>
    </row>
    <row r="1389" spans="1:35">
      <c r="A1389" s="245"/>
      <c r="L1389" s="245"/>
      <c r="X1389" s="245"/>
      <c r="Y1389" s="187"/>
    </row>
    <row r="1390" spans="1:35">
      <c r="L1390" s="26"/>
    </row>
    <row r="1391" spans="1:35">
      <c r="L1391" s="245"/>
    </row>
    <row r="1392" spans="1:35">
      <c r="L1392" s="123"/>
    </row>
    <row r="1393" spans="1:35">
      <c r="L1393" s="123"/>
    </row>
    <row r="1394" spans="1:35">
      <c r="L1394" s="123"/>
    </row>
    <row r="1395" spans="1:35">
      <c r="A1395" s="245"/>
      <c r="G1395" s="245"/>
      <c r="L1395" s="123"/>
    </row>
    <row r="1396" spans="1:35">
      <c r="L1396" s="123"/>
    </row>
    <row r="1397" spans="1:35">
      <c r="L1397" s="123"/>
    </row>
    <row r="1398" spans="1:35" ht="26.4">
      <c r="A1398" s="245"/>
      <c r="B1398" s="245"/>
      <c r="C1398" s="245"/>
      <c r="D1398" s="245"/>
      <c r="E1398" s="245"/>
      <c r="F1398" s="280"/>
      <c r="H1398" s="245"/>
      <c r="I1398" s="245"/>
      <c r="L1398" s="123"/>
      <c r="T1398" s="328"/>
      <c r="U1398" s="85" ph="1"/>
      <c r="W1398" s="216"/>
      <c r="Z1398" s="245"/>
      <c r="AA1398" s="245"/>
      <c r="AB1398" s="332"/>
      <c r="AD1398" s="245"/>
      <c r="AE1398" s="187"/>
      <c r="AF1398" s="367"/>
      <c r="AG1398" s="7"/>
      <c r="AI1398" s="245"/>
    </row>
    <row r="1399" spans="1:35">
      <c r="A1399" s="245"/>
      <c r="L1399" s="123"/>
      <c r="X1399" s="245"/>
      <c r="Y1399" s="187"/>
    </row>
    <row r="1400" spans="1:35">
      <c r="L1400" s="123"/>
      <c r="S1400" s="369"/>
    </row>
    <row r="1401" spans="1:35">
      <c r="L1401" s="123"/>
    </row>
    <row r="1402" spans="1:35" ht="26.4">
      <c r="A1402" s="245"/>
      <c r="B1402" s="245"/>
      <c r="C1402" s="245"/>
      <c r="D1402" s="245"/>
      <c r="E1402" s="245"/>
      <c r="F1402" s="280"/>
      <c r="H1402" s="245"/>
      <c r="I1402" s="245"/>
      <c r="L1402" s="123"/>
      <c r="T1402" s="328"/>
      <c r="U1402" s="85" ph="1"/>
      <c r="W1402" s="216"/>
      <c r="Z1402" s="245"/>
      <c r="AA1402" s="245"/>
      <c r="AB1402" s="332"/>
      <c r="AD1402" s="245"/>
      <c r="AE1402" s="187"/>
      <c r="AF1402" s="367"/>
      <c r="AG1402" s="7"/>
      <c r="AI1402" s="245"/>
    </row>
    <row r="1403" spans="1:35">
      <c r="A1403" s="245"/>
      <c r="L1403" s="123"/>
      <c r="X1403" s="245"/>
      <c r="Y1403" s="187"/>
    </row>
    <row r="1404" spans="1:35">
      <c r="L1404" s="123"/>
    </row>
    <row r="1405" spans="1:35">
      <c r="A1405" s="245"/>
      <c r="G1405" s="245"/>
      <c r="L1405" s="123"/>
    </row>
    <row r="1406" spans="1:35">
      <c r="L1406" s="123"/>
    </row>
    <row r="1407" spans="1:35" ht="26.4">
      <c r="A1407" s="245"/>
      <c r="B1407" s="245"/>
      <c r="C1407" s="245"/>
      <c r="D1407" s="245"/>
      <c r="E1407" s="245"/>
      <c r="F1407" s="280"/>
      <c r="H1407" s="245"/>
      <c r="I1407" s="245"/>
      <c r="L1407" s="123"/>
      <c r="T1407" s="328"/>
      <c r="U1407" s="85" ph="1"/>
      <c r="W1407" s="216"/>
      <c r="Z1407" s="245"/>
      <c r="AA1407" s="245"/>
      <c r="AB1407" s="332"/>
      <c r="AD1407" s="245"/>
      <c r="AE1407" s="187"/>
      <c r="AF1407" s="367"/>
      <c r="AG1407" s="7"/>
      <c r="AI1407" s="245"/>
    </row>
    <row r="1408" spans="1:35" ht="26.4">
      <c r="A1408" s="245"/>
      <c r="B1408" s="245"/>
      <c r="C1408" s="245"/>
      <c r="D1408" s="245"/>
      <c r="E1408" s="245"/>
      <c r="F1408" s="280"/>
      <c r="H1408" s="245"/>
      <c r="I1408" s="245"/>
      <c r="L1408" s="123"/>
      <c r="T1408" s="328"/>
      <c r="U1408" s="85" ph="1"/>
      <c r="W1408" s="216"/>
      <c r="X1408" s="245"/>
      <c r="Y1408" s="187"/>
      <c r="Z1408" s="245"/>
      <c r="AA1408" s="245"/>
      <c r="AB1408" s="332"/>
      <c r="AD1408" s="245"/>
      <c r="AE1408" s="187"/>
      <c r="AF1408" s="367"/>
      <c r="AG1408" s="7"/>
      <c r="AI1408" s="245"/>
    </row>
    <row r="1409" spans="1:35" ht="26.4">
      <c r="A1409" s="245"/>
      <c r="B1409" s="245"/>
      <c r="C1409" s="245"/>
      <c r="D1409" s="245"/>
      <c r="E1409" s="245"/>
      <c r="F1409" s="280"/>
      <c r="G1409" s="245"/>
      <c r="H1409" s="245"/>
      <c r="I1409" s="245"/>
      <c r="L1409" s="123"/>
      <c r="T1409" s="328"/>
      <c r="U1409" s="85" ph="1"/>
      <c r="W1409" s="216"/>
      <c r="X1409" s="245"/>
      <c r="Y1409" s="187"/>
      <c r="Z1409" s="245"/>
      <c r="AA1409" s="245"/>
      <c r="AB1409" s="332"/>
      <c r="AD1409" s="245"/>
      <c r="AE1409" s="187"/>
      <c r="AF1409" s="367"/>
      <c r="AG1409" s="7"/>
      <c r="AI1409" s="245"/>
    </row>
    <row r="1410" spans="1:35">
      <c r="A1410" s="245"/>
      <c r="L1410" s="123"/>
      <c r="S1410" s="369"/>
      <c r="X1410" s="245"/>
      <c r="Y1410" s="187"/>
    </row>
    <row r="1411" spans="1:35" ht="26.4">
      <c r="A1411" s="245"/>
      <c r="B1411" s="245"/>
      <c r="C1411" s="245"/>
      <c r="D1411" s="245"/>
      <c r="E1411" s="245"/>
      <c r="F1411" s="280"/>
      <c r="H1411" s="245"/>
      <c r="I1411" s="245"/>
      <c r="L1411" s="123"/>
      <c r="T1411" s="328"/>
      <c r="U1411" s="85" ph="1"/>
      <c r="W1411" s="216"/>
      <c r="Z1411" s="245"/>
      <c r="AA1411" s="245"/>
      <c r="AB1411" s="332"/>
      <c r="AD1411" s="245"/>
      <c r="AE1411" s="187"/>
      <c r="AF1411" s="367"/>
      <c r="AG1411" s="7"/>
      <c r="AI1411" s="245"/>
    </row>
    <row r="1412" spans="1:35" ht="26.4">
      <c r="A1412" s="245"/>
      <c r="B1412" s="245"/>
      <c r="C1412" s="245"/>
      <c r="D1412" s="245"/>
      <c r="E1412" s="245"/>
      <c r="F1412" s="280"/>
      <c r="H1412" s="245"/>
      <c r="I1412" s="245"/>
      <c r="L1412" s="123"/>
      <c r="T1412" s="328"/>
      <c r="U1412" s="85" ph="1"/>
      <c r="W1412" s="216"/>
      <c r="X1412" s="245"/>
      <c r="Y1412" s="187"/>
      <c r="Z1412" s="245"/>
      <c r="AA1412" s="245"/>
      <c r="AB1412" s="332"/>
      <c r="AD1412" s="245"/>
      <c r="AE1412" s="187"/>
      <c r="AF1412" s="367"/>
      <c r="AG1412" s="7"/>
      <c r="AI1412" s="245"/>
    </row>
    <row r="1413" spans="1:35">
      <c r="A1413" s="245"/>
      <c r="L1413" s="245"/>
      <c r="X1413" s="245"/>
      <c r="Y1413" s="187"/>
    </row>
    <row r="1414" spans="1:35" ht="26.4">
      <c r="A1414" s="245"/>
      <c r="B1414" s="245"/>
      <c r="C1414" s="245"/>
      <c r="D1414" s="245"/>
      <c r="E1414" s="245"/>
      <c r="F1414" s="280"/>
      <c r="G1414" s="245"/>
      <c r="H1414" s="245"/>
      <c r="I1414" s="245"/>
      <c r="L1414" s="245"/>
      <c r="S1414" s="369"/>
      <c r="T1414" s="328"/>
      <c r="U1414" s="85" ph="1"/>
      <c r="W1414" s="216"/>
      <c r="Z1414" s="245"/>
      <c r="AA1414" s="245"/>
      <c r="AB1414" s="332"/>
      <c r="AD1414" s="245"/>
      <c r="AE1414" s="187"/>
      <c r="AF1414" s="367"/>
      <c r="AG1414" s="7"/>
      <c r="AI1414" s="245"/>
    </row>
    <row r="1415" spans="1:35">
      <c r="A1415" s="245"/>
      <c r="G1415" s="245"/>
      <c r="L1415" s="27"/>
      <c r="X1415" s="245"/>
      <c r="Y1415" s="187"/>
    </row>
    <row r="1416" spans="1:35" ht="26.4">
      <c r="A1416" s="245"/>
      <c r="B1416" s="245"/>
      <c r="C1416" s="245"/>
      <c r="D1416" s="245"/>
      <c r="E1416" s="245"/>
      <c r="F1416" s="280"/>
      <c r="G1416" s="245"/>
      <c r="H1416" s="245"/>
      <c r="I1416" s="245"/>
      <c r="L1416" s="123"/>
      <c r="T1416" s="328"/>
      <c r="U1416" s="85" ph="1"/>
      <c r="W1416" s="216"/>
      <c r="Z1416" s="245"/>
      <c r="AA1416" s="245"/>
      <c r="AB1416" s="332"/>
      <c r="AD1416" s="245"/>
      <c r="AE1416" s="187"/>
      <c r="AF1416" s="367"/>
      <c r="AG1416" s="7"/>
      <c r="AI1416" s="245"/>
    </row>
    <row r="1417" spans="1:35" ht="26.4">
      <c r="A1417" s="245"/>
      <c r="B1417" s="245"/>
      <c r="C1417" s="245"/>
      <c r="D1417" s="245"/>
      <c r="E1417" s="245"/>
      <c r="F1417" s="280"/>
      <c r="H1417" s="245"/>
      <c r="I1417" s="245"/>
      <c r="L1417" s="123"/>
      <c r="T1417" s="328"/>
      <c r="U1417" s="85" ph="1"/>
      <c r="W1417" s="216"/>
      <c r="X1417" s="245"/>
      <c r="Y1417" s="187"/>
      <c r="Z1417" s="245"/>
      <c r="AA1417" s="245"/>
      <c r="AB1417" s="332"/>
      <c r="AD1417" s="245"/>
      <c r="AE1417" s="187"/>
      <c r="AF1417" s="367"/>
      <c r="AG1417" s="7"/>
      <c r="AI1417" s="245"/>
    </row>
    <row r="1418" spans="1:35" ht="26.4">
      <c r="A1418" s="245"/>
      <c r="B1418" s="245"/>
      <c r="C1418" s="245"/>
      <c r="D1418" s="245"/>
      <c r="E1418" s="245"/>
      <c r="F1418" s="280"/>
      <c r="G1418" s="245"/>
      <c r="H1418" s="245"/>
      <c r="I1418" s="245"/>
      <c r="L1418" s="123"/>
      <c r="T1418" s="328"/>
      <c r="U1418" s="85" ph="1"/>
      <c r="W1418" s="216"/>
      <c r="X1418" s="245"/>
      <c r="Y1418" s="187"/>
      <c r="Z1418" s="245"/>
      <c r="AA1418" s="245"/>
      <c r="AB1418" s="332"/>
      <c r="AD1418" s="245"/>
      <c r="AE1418" s="187"/>
      <c r="AF1418" s="367"/>
      <c r="AG1418" s="7"/>
      <c r="AI1418" s="245"/>
    </row>
    <row r="1419" spans="1:35" ht="26.4">
      <c r="A1419" s="245"/>
      <c r="B1419" s="245"/>
      <c r="C1419" s="245"/>
      <c r="D1419" s="245"/>
      <c r="E1419" s="245"/>
      <c r="F1419" s="280"/>
      <c r="G1419" s="245"/>
      <c r="H1419" s="245"/>
      <c r="I1419" s="245"/>
      <c r="L1419" s="123"/>
      <c r="S1419" s="369"/>
      <c r="T1419" s="328"/>
      <c r="U1419" s="85" ph="1"/>
      <c r="W1419" s="216"/>
      <c r="X1419" s="245"/>
      <c r="Y1419" s="187"/>
      <c r="Z1419" s="245"/>
      <c r="AA1419" s="245"/>
      <c r="AB1419" s="332"/>
      <c r="AD1419" s="245"/>
      <c r="AE1419" s="187"/>
      <c r="AF1419" s="367"/>
      <c r="AG1419" s="7"/>
      <c r="AI1419" s="245"/>
    </row>
    <row r="1420" spans="1:35" ht="26.4">
      <c r="A1420" s="245"/>
      <c r="B1420" s="245"/>
      <c r="C1420" s="245"/>
      <c r="D1420" s="245"/>
      <c r="E1420" s="245"/>
      <c r="F1420" s="280"/>
      <c r="H1420" s="245"/>
      <c r="I1420" s="245"/>
      <c r="L1420" s="123"/>
      <c r="S1420" s="369"/>
      <c r="T1420" s="328"/>
      <c r="U1420" s="85" ph="1"/>
      <c r="W1420" s="216"/>
      <c r="X1420" s="245"/>
      <c r="Y1420" s="187"/>
      <c r="Z1420" s="245"/>
      <c r="AA1420" s="245"/>
      <c r="AB1420" s="332"/>
      <c r="AD1420" s="245"/>
      <c r="AE1420" s="187"/>
      <c r="AF1420" s="367"/>
      <c r="AG1420" s="7"/>
      <c r="AI1420" s="245"/>
    </row>
    <row r="1421" spans="1:35" ht="26.4">
      <c r="A1421" s="245"/>
      <c r="B1421" s="245"/>
      <c r="C1421" s="245"/>
      <c r="D1421" s="245"/>
      <c r="E1421" s="245"/>
      <c r="F1421" s="280"/>
      <c r="G1421" s="245"/>
      <c r="H1421" s="245"/>
      <c r="I1421" s="245"/>
      <c r="L1421" s="123"/>
      <c r="S1421" s="369"/>
      <c r="T1421" s="328"/>
      <c r="U1421" s="85" ph="1"/>
      <c r="W1421" s="216"/>
      <c r="X1421" s="245"/>
      <c r="Y1421" s="187"/>
      <c r="Z1421" s="245"/>
      <c r="AA1421" s="245"/>
      <c r="AB1421" s="332"/>
      <c r="AD1421" s="245"/>
      <c r="AE1421" s="187"/>
      <c r="AF1421" s="367"/>
      <c r="AG1421" s="7"/>
      <c r="AI1421" s="245"/>
    </row>
    <row r="1422" spans="1:35" ht="26.4">
      <c r="A1422" s="245"/>
      <c r="B1422" s="245"/>
      <c r="C1422" s="245"/>
      <c r="D1422" s="245"/>
      <c r="E1422" s="245"/>
      <c r="F1422" s="280"/>
      <c r="H1422" s="245"/>
      <c r="I1422" s="245"/>
      <c r="L1422" s="123"/>
      <c r="T1422" s="328"/>
      <c r="U1422" s="85" ph="1"/>
      <c r="W1422" s="216"/>
      <c r="X1422" s="245"/>
      <c r="Y1422" s="187"/>
      <c r="Z1422" s="245"/>
      <c r="AA1422" s="245"/>
      <c r="AB1422" s="332"/>
      <c r="AD1422" s="245"/>
      <c r="AE1422" s="187"/>
      <c r="AF1422" s="367"/>
      <c r="AG1422" s="7"/>
      <c r="AI1422" s="245"/>
    </row>
    <row r="1423" spans="1:35" ht="26.4">
      <c r="A1423" s="245"/>
      <c r="B1423" s="245"/>
      <c r="C1423" s="245"/>
      <c r="D1423" s="245"/>
      <c r="E1423" s="245"/>
      <c r="F1423" s="280"/>
      <c r="G1423" s="245"/>
      <c r="H1423" s="245"/>
      <c r="I1423" s="245"/>
      <c r="L1423" s="123"/>
      <c r="S1423" s="369"/>
      <c r="T1423" s="328"/>
      <c r="U1423" s="85" ph="1"/>
      <c r="W1423" s="216"/>
      <c r="X1423" s="245"/>
      <c r="Y1423" s="187"/>
      <c r="Z1423" s="245"/>
      <c r="AA1423" s="245"/>
      <c r="AB1423" s="332"/>
      <c r="AD1423" s="245"/>
      <c r="AE1423" s="187"/>
      <c r="AF1423" s="367"/>
      <c r="AG1423" s="7"/>
      <c r="AI1423" s="245"/>
    </row>
    <row r="1424" spans="1:35" ht="26.4">
      <c r="A1424" s="245"/>
      <c r="G1424" s="245"/>
      <c r="L1424" s="123"/>
      <c r="S1424" s="369"/>
      <c r="U1424" s="85" ph="1"/>
      <c r="X1424" s="245"/>
      <c r="Y1424" s="187"/>
    </row>
    <row r="1425" spans="1:35" ht="26.4">
      <c r="A1425" s="245"/>
      <c r="G1425" s="245"/>
      <c r="L1425" s="123"/>
      <c r="U1425" s="85" ph="1"/>
    </row>
    <row r="1426" spans="1:35">
      <c r="A1426" s="245"/>
      <c r="G1426" s="245"/>
      <c r="L1426" s="123"/>
      <c r="S1426" s="369"/>
    </row>
    <row r="1427" spans="1:35" ht="26.4">
      <c r="A1427" s="245"/>
      <c r="G1427" s="245"/>
      <c r="L1427" s="123"/>
      <c r="U1427" s="85" ph="1"/>
    </row>
    <row r="1428" spans="1:35" ht="26.4">
      <c r="A1428" s="245"/>
      <c r="G1428" s="245"/>
      <c r="L1428" s="123"/>
      <c r="S1428" s="369"/>
      <c r="U1428" s="85" ph="1"/>
    </row>
    <row r="1429" spans="1:35" ht="26.4">
      <c r="A1429" s="245"/>
      <c r="G1429" s="245"/>
      <c r="L1429" s="245"/>
      <c r="S1429" s="369"/>
      <c r="U1429" s="85" ph="1"/>
    </row>
    <row r="1430" spans="1:35" ht="26.4">
      <c r="A1430" s="245"/>
      <c r="G1430" s="245"/>
      <c r="L1430" s="123"/>
      <c r="S1430" s="369"/>
      <c r="U1430" s="85" ph="1"/>
    </row>
    <row r="1431" spans="1:35" ht="26.4">
      <c r="A1431" s="245"/>
      <c r="L1431" s="123"/>
      <c r="S1431" s="369"/>
      <c r="U1431" s="85" ph="1"/>
    </row>
    <row r="1432" spans="1:35" ht="26.4">
      <c r="A1432" s="245"/>
      <c r="B1432" s="245"/>
      <c r="C1432" s="245"/>
      <c r="D1432" s="245"/>
      <c r="E1432" s="245"/>
      <c r="F1432" s="280"/>
      <c r="G1432" s="245"/>
      <c r="H1432" s="245"/>
      <c r="I1432" s="245"/>
      <c r="L1432" s="123"/>
      <c r="S1432" s="369"/>
      <c r="T1432" s="328"/>
      <c r="U1432" s="85" ph="1"/>
      <c r="W1432" s="216"/>
      <c r="X1432" s="245"/>
      <c r="Y1432" s="187"/>
      <c r="Z1432" s="245"/>
      <c r="AA1432" s="245"/>
      <c r="AB1432" s="332"/>
      <c r="AD1432" s="245"/>
      <c r="AE1432" s="187"/>
      <c r="AF1432" s="367"/>
      <c r="AG1432" s="245"/>
      <c r="AI1432" s="245"/>
    </row>
    <row r="1433" spans="1:35" ht="26.4">
      <c r="A1433" s="245"/>
      <c r="B1433" s="245"/>
      <c r="C1433" s="245"/>
      <c r="D1433" s="245"/>
      <c r="E1433" s="245"/>
      <c r="F1433" s="280"/>
      <c r="G1433" s="245"/>
      <c r="H1433" s="245"/>
      <c r="I1433" s="245"/>
      <c r="L1433" s="123"/>
      <c r="S1433" s="369"/>
      <c r="T1433" s="328"/>
      <c r="U1433" s="85" ph="1"/>
      <c r="W1433" s="216"/>
      <c r="X1433" s="245"/>
      <c r="Y1433" s="187"/>
      <c r="Z1433" s="245"/>
      <c r="AA1433" s="245"/>
      <c r="AB1433" s="332"/>
      <c r="AD1433" s="245"/>
      <c r="AE1433" s="187"/>
      <c r="AF1433" s="367"/>
      <c r="AG1433" s="245"/>
      <c r="AI1433" s="245"/>
    </row>
    <row r="1434" spans="1:35" ht="26.4">
      <c r="A1434" s="245"/>
      <c r="B1434" s="245"/>
      <c r="C1434" s="245"/>
      <c r="D1434" s="245"/>
      <c r="E1434" s="245"/>
      <c r="F1434" s="280"/>
      <c r="G1434" s="245"/>
      <c r="H1434" s="245"/>
      <c r="I1434" s="245"/>
      <c r="L1434" s="123"/>
      <c r="S1434" s="369"/>
      <c r="T1434" s="328"/>
      <c r="U1434" s="85" ph="1"/>
      <c r="W1434" s="216"/>
      <c r="X1434" s="245"/>
      <c r="Y1434" s="187"/>
      <c r="Z1434" s="245"/>
      <c r="AA1434" s="245"/>
      <c r="AB1434" s="332"/>
      <c r="AD1434" s="245"/>
      <c r="AE1434" s="187"/>
      <c r="AF1434" s="367"/>
      <c r="AG1434" s="245"/>
      <c r="AI1434" s="245"/>
    </row>
    <row r="1435" spans="1:35">
      <c r="L1435" s="123"/>
      <c r="S1435" s="369"/>
    </row>
    <row r="1436" spans="1:35" ht="26.4">
      <c r="A1436" s="245"/>
      <c r="B1436" s="245"/>
      <c r="C1436" s="245"/>
      <c r="D1436" s="245"/>
      <c r="E1436" s="245"/>
      <c r="F1436" s="280"/>
      <c r="G1436" s="245"/>
      <c r="H1436" s="245"/>
      <c r="I1436" s="245"/>
      <c r="L1436" s="123"/>
      <c r="T1436" s="328"/>
      <c r="U1436" s="85" ph="1"/>
      <c r="W1436" s="216"/>
      <c r="X1436" s="245"/>
      <c r="Y1436" s="187"/>
      <c r="Z1436" s="245"/>
      <c r="AA1436" s="245"/>
      <c r="AB1436" s="332"/>
      <c r="AD1436" s="245"/>
      <c r="AE1436" s="187"/>
      <c r="AF1436" s="367"/>
      <c r="AG1436" s="245"/>
      <c r="AI1436" s="245"/>
    </row>
    <row r="1437" spans="1:35" ht="26.4">
      <c r="A1437" s="245"/>
      <c r="B1437" s="245"/>
      <c r="C1437" s="245"/>
      <c r="D1437" s="245"/>
      <c r="E1437" s="245"/>
      <c r="F1437" s="280"/>
      <c r="G1437" s="245"/>
      <c r="H1437" s="245"/>
      <c r="I1437" s="245"/>
      <c r="L1437" s="123"/>
      <c r="T1437" s="328"/>
      <c r="U1437" s="85" ph="1"/>
      <c r="W1437" s="216"/>
      <c r="X1437" s="245"/>
      <c r="Y1437" s="187"/>
      <c r="Z1437" s="245"/>
      <c r="AA1437" s="245"/>
      <c r="AB1437" s="332"/>
      <c r="AD1437" s="245"/>
      <c r="AE1437" s="187"/>
      <c r="AF1437" s="367"/>
      <c r="AG1437" s="245"/>
      <c r="AI1437" s="245"/>
    </row>
    <row r="1438" spans="1:35" ht="26.4">
      <c r="A1438" s="245"/>
      <c r="B1438" s="245"/>
      <c r="C1438" s="245"/>
      <c r="D1438" s="245"/>
      <c r="E1438" s="245"/>
      <c r="F1438" s="280"/>
      <c r="G1438" s="245"/>
      <c r="H1438" s="245"/>
      <c r="I1438" s="245"/>
      <c r="L1438" s="123"/>
      <c r="T1438" s="328"/>
      <c r="U1438" s="85" ph="1"/>
      <c r="W1438" s="216"/>
      <c r="X1438" s="245"/>
      <c r="Y1438" s="187"/>
      <c r="Z1438" s="245"/>
      <c r="AA1438" s="245"/>
      <c r="AB1438" s="332"/>
      <c r="AD1438" s="245"/>
      <c r="AE1438" s="187"/>
      <c r="AF1438" s="367"/>
      <c r="AG1438" s="245"/>
      <c r="AI1438" s="245"/>
    </row>
    <row r="1439" spans="1:35" ht="26.4">
      <c r="A1439" s="245"/>
      <c r="B1439" s="245"/>
      <c r="C1439" s="245"/>
      <c r="D1439" s="245"/>
      <c r="E1439" s="245"/>
      <c r="F1439" s="280"/>
      <c r="G1439" s="245"/>
      <c r="H1439" s="245"/>
      <c r="I1439" s="245"/>
      <c r="L1439" s="123"/>
      <c r="T1439" s="328"/>
      <c r="U1439" s="85" ph="1"/>
      <c r="W1439" s="216"/>
      <c r="X1439" s="245"/>
      <c r="Y1439" s="187"/>
      <c r="Z1439" s="245"/>
      <c r="AA1439" s="245"/>
      <c r="AB1439" s="332"/>
      <c r="AD1439" s="245"/>
      <c r="AE1439" s="187"/>
      <c r="AF1439" s="367"/>
      <c r="AG1439" s="245"/>
      <c r="AI1439" s="245"/>
    </row>
    <row r="1440" spans="1:35">
      <c r="L1440" s="123"/>
    </row>
    <row r="1441" spans="12:19">
      <c r="L1441" s="27"/>
    </row>
    <row r="1442" spans="12:19">
      <c r="L1442" s="123"/>
    </row>
    <row r="1443" spans="12:19">
      <c r="L1443" s="123"/>
    </row>
    <row r="1444" spans="12:19">
      <c r="L1444" s="123"/>
      <c r="S1444" s="369"/>
    </row>
    <row r="1445" spans="12:19">
      <c r="L1445" s="123"/>
      <c r="S1445" s="369"/>
    </row>
    <row r="1446" spans="12:19">
      <c r="L1446" s="123"/>
      <c r="S1446" s="369"/>
    </row>
    <row r="1447" spans="12:19">
      <c r="L1447" s="123"/>
    </row>
    <row r="1448" spans="12:19">
      <c r="L1448" s="120"/>
      <c r="S1448" s="369"/>
    </row>
    <row r="1449" spans="12:19">
      <c r="L1449" s="123"/>
      <c r="S1449" s="369"/>
    </row>
    <row r="1450" spans="12:19">
      <c r="L1450" s="123"/>
      <c r="S1450" s="369"/>
    </row>
    <row r="1451" spans="12:19">
      <c r="L1451" s="123"/>
      <c r="S1451" s="369"/>
    </row>
    <row r="1452" spans="12:19">
      <c r="L1452" s="123"/>
    </row>
    <row r="1453" spans="12:19">
      <c r="L1453" s="123"/>
    </row>
    <row r="1454" spans="12:19">
      <c r="L1454" s="123"/>
    </row>
    <row r="1455" spans="12:19">
      <c r="L1455" s="123"/>
    </row>
    <row r="1456" spans="12:19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8">
      <c r="L1473" s="123"/>
    </row>
    <row r="1474" spans="12:18">
      <c r="L1474" s="123"/>
    </row>
    <row r="1475" spans="12:18">
      <c r="L1475" s="123"/>
    </row>
    <row r="1476" spans="12:18">
      <c r="L1476" s="123"/>
    </row>
    <row r="1477" spans="12:18">
      <c r="L1477" s="123"/>
    </row>
    <row r="1478" spans="12:18">
      <c r="L1478" s="123"/>
    </row>
    <row r="1479" spans="12:18">
      <c r="L1479" s="123"/>
    </row>
    <row r="1480" spans="12:18">
      <c r="L1480" s="123"/>
      <c r="P1480" s="366"/>
      <c r="R1480" s="355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123"/>
    </row>
    <row r="1485" spans="12:18">
      <c r="L1485" s="123"/>
    </row>
    <row r="1486" spans="12:18">
      <c r="L1486" s="123"/>
    </row>
    <row r="1487" spans="12:18">
      <c r="L1487" s="123"/>
    </row>
    <row r="1488" spans="12:18">
      <c r="L1488" s="245"/>
    </row>
    <row r="1489" spans="12:18">
      <c r="L1489" s="123"/>
    </row>
    <row r="1490" spans="12:18">
      <c r="L1490" s="123"/>
      <c r="P1490" s="366"/>
      <c r="R1490" s="355"/>
    </row>
    <row r="1491" spans="12:18">
      <c r="L1491" s="123"/>
    </row>
    <row r="1492" spans="12:18">
      <c r="L1492" s="123"/>
    </row>
    <row r="1493" spans="12:18">
      <c r="L1493" s="247"/>
    </row>
    <row r="1494" spans="12:18">
      <c r="L1494" s="123"/>
      <c r="P1494" s="366"/>
      <c r="R1494" s="355"/>
    </row>
    <row r="1495" spans="12:18">
      <c r="L1495" s="123"/>
    </row>
    <row r="1496" spans="12:18">
      <c r="L1496" s="123"/>
    </row>
    <row r="1497" spans="12:18">
      <c r="L1497" s="123"/>
    </row>
    <row r="1498" spans="12:18">
      <c r="L1498" s="123"/>
    </row>
    <row r="1499" spans="12:18">
      <c r="L1499" s="123"/>
      <c r="P1499" s="366"/>
      <c r="R1499" s="355"/>
    </row>
    <row r="1500" spans="12:18">
      <c r="L1500" s="211"/>
      <c r="P1500" s="366"/>
      <c r="R1500" s="355"/>
    </row>
    <row r="1501" spans="12:18">
      <c r="L1501" s="123"/>
      <c r="P1501" s="366"/>
      <c r="R1501" s="355"/>
    </row>
    <row r="1502" spans="12:18">
      <c r="L1502" s="123"/>
    </row>
    <row r="1503" spans="12:18">
      <c r="L1503" s="123"/>
      <c r="P1503" s="366"/>
      <c r="R1503" s="355"/>
    </row>
    <row r="1504" spans="12:18">
      <c r="L1504" s="123"/>
      <c r="P1504" s="366"/>
      <c r="R1504" s="355"/>
    </row>
    <row r="1505" spans="12:18">
      <c r="L1505" s="123"/>
    </row>
    <row r="1506" spans="12:18">
      <c r="L1506" s="123"/>
      <c r="P1506" s="366"/>
      <c r="R1506" s="355"/>
    </row>
    <row r="1507" spans="12:18">
      <c r="L1507" s="123"/>
    </row>
    <row r="1508" spans="12:18">
      <c r="L1508" s="123"/>
      <c r="P1508" s="366"/>
      <c r="R1508" s="355"/>
    </row>
    <row r="1509" spans="12:18">
      <c r="L1509" s="123"/>
      <c r="P1509" s="366"/>
      <c r="R1509" s="355"/>
    </row>
    <row r="1510" spans="12:18">
      <c r="L1510" s="123"/>
      <c r="P1510" s="366"/>
      <c r="R1510" s="355"/>
    </row>
    <row r="1511" spans="12:18">
      <c r="L1511" s="245"/>
      <c r="P1511" s="366"/>
      <c r="R1511" s="355"/>
    </row>
    <row r="1512" spans="12:18">
      <c r="L1512" s="123"/>
      <c r="P1512" s="366"/>
      <c r="R1512" s="355"/>
    </row>
    <row r="1513" spans="12:18">
      <c r="L1513" s="123"/>
      <c r="P1513" s="366"/>
      <c r="R1513" s="355"/>
    </row>
    <row r="1514" spans="12:18">
      <c r="L1514" s="123"/>
      <c r="P1514" s="366"/>
      <c r="R1514" s="355"/>
    </row>
    <row r="1515" spans="12:18">
      <c r="L1515" s="123"/>
      <c r="P1515" s="366"/>
      <c r="R1515" s="355"/>
    </row>
    <row r="1516" spans="12:18">
      <c r="L1516" s="123"/>
      <c r="P1516" s="366"/>
      <c r="R1516" s="355"/>
    </row>
    <row r="1517" spans="12:18">
      <c r="L1517" s="123"/>
      <c r="P1517" s="366"/>
      <c r="R1517" s="355"/>
    </row>
    <row r="1518" spans="12:18">
      <c r="L1518" s="123"/>
    </row>
    <row r="1519" spans="12:18">
      <c r="L1519" s="123"/>
      <c r="P1519" s="366"/>
      <c r="R1519" s="355"/>
    </row>
    <row r="1520" spans="12:18">
      <c r="L1520" s="123"/>
      <c r="P1520" s="366"/>
      <c r="R1520" s="355"/>
    </row>
    <row r="1521" spans="12:18">
      <c r="L1521" s="123"/>
      <c r="P1521" s="366"/>
      <c r="R1521" s="355"/>
    </row>
    <row r="1522" spans="12:18">
      <c r="L1522" s="123"/>
      <c r="P1522" s="366"/>
      <c r="R1522" s="355"/>
    </row>
    <row r="1523" spans="12:18">
      <c r="L1523" s="245"/>
      <c r="P1523" s="366"/>
      <c r="R1523" s="355"/>
    </row>
    <row r="1524" spans="12:18">
      <c r="L1524" s="123"/>
      <c r="P1524" s="366"/>
      <c r="R1524" s="355"/>
    </row>
    <row r="1525" spans="12:18">
      <c r="L1525" s="27"/>
      <c r="P1525" s="366"/>
      <c r="R1525" s="355"/>
    </row>
    <row r="1526" spans="12:18">
      <c r="L1526" s="245"/>
      <c r="P1526" s="366"/>
      <c r="R1526" s="355"/>
    </row>
    <row r="1527" spans="12:18">
      <c r="L1527" s="123"/>
    </row>
    <row r="1528" spans="12:18">
      <c r="L1528" s="123"/>
      <c r="P1528" s="366"/>
      <c r="R1528" s="355"/>
    </row>
    <row r="1529" spans="12:18">
      <c r="L1529" s="123"/>
      <c r="P1529" s="366"/>
      <c r="R1529" s="355"/>
    </row>
    <row r="1530" spans="12:18">
      <c r="L1530" s="123"/>
      <c r="P1530" s="366"/>
      <c r="R1530" s="355"/>
    </row>
    <row r="1531" spans="12:18">
      <c r="L1531" s="245"/>
      <c r="P1531" s="366"/>
      <c r="R1531" s="355"/>
    </row>
    <row r="1532" spans="12:18">
      <c r="L1532" s="123"/>
      <c r="P1532" s="366"/>
      <c r="R1532" s="355"/>
    </row>
    <row r="1533" spans="12:18">
      <c r="L1533" s="123"/>
      <c r="P1533" s="366"/>
      <c r="R1533" s="355"/>
    </row>
    <row r="1534" spans="12:18">
      <c r="L1534" s="123"/>
      <c r="P1534" s="366"/>
      <c r="R1534" s="355"/>
    </row>
    <row r="1535" spans="12:18">
      <c r="L1535" s="123"/>
      <c r="P1535" s="366"/>
      <c r="R1535" s="355"/>
    </row>
    <row r="1536" spans="12:18">
      <c r="L1536" s="123"/>
      <c r="P1536" s="366"/>
      <c r="R1536" s="355"/>
    </row>
    <row r="1537" spans="12:18">
      <c r="L1537" s="123"/>
      <c r="P1537" s="366"/>
      <c r="R1537" s="355"/>
    </row>
    <row r="1538" spans="12:18">
      <c r="L1538" s="123"/>
      <c r="P1538" s="366"/>
      <c r="R1538" s="355"/>
    </row>
    <row r="1539" spans="12:18">
      <c r="L1539" s="123"/>
    </row>
    <row r="1540" spans="12:18">
      <c r="L1540" s="123"/>
      <c r="P1540" s="366"/>
      <c r="R1540" s="355"/>
    </row>
    <row r="1541" spans="12:18">
      <c r="L1541" s="123"/>
      <c r="P1541" s="366"/>
      <c r="R1541" s="355"/>
    </row>
    <row r="1542" spans="12:18">
      <c r="L1542" s="123"/>
      <c r="P1542" s="366"/>
      <c r="R1542" s="355"/>
    </row>
    <row r="1543" spans="12:18">
      <c r="L1543" s="123"/>
      <c r="P1543" s="366"/>
      <c r="R1543" s="355"/>
    </row>
    <row r="1544" spans="12:18">
      <c r="L1544" s="123"/>
      <c r="P1544" s="366"/>
      <c r="R1544" s="355"/>
    </row>
    <row r="1545" spans="12:18">
      <c r="L1545" s="123"/>
      <c r="P1545" s="366"/>
      <c r="R1545" s="355"/>
    </row>
    <row r="1546" spans="12:18">
      <c r="L1546" s="123"/>
      <c r="P1546" s="366"/>
      <c r="R1546" s="355"/>
    </row>
    <row r="1547" spans="12:18">
      <c r="L1547" s="123"/>
      <c r="P1547" s="366"/>
      <c r="R1547" s="355"/>
    </row>
    <row r="1548" spans="12:18">
      <c r="L1548" s="123"/>
    </row>
    <row r="1549" spans="12:18">
      <c r="L1549" s="123"/>
      <c r="P1549" s="366"/>
      <c r="R1549" s="355"/>
    </row>
    <row r="1550" spans="12:18">
      <c r="L1550" s="123"/>
      <c r="P1550" s="366"/>
      <c r="R1550" s="355"/>
    </row>
    <row r="1551" spans="12:18">
      <c r="L1551" s="245"/>
      <c r="P1551" s="366"/>
      <c r="R1551" s="355"/>
    </row>
    <row r="1552" spans="12:18">
      <c r="L1552" s="123"/>
      <c r="P1552" s="366"/>
      <c r="R1552" s="355"/>
    </row>
    <row r="1553" spans="1:35">
      <c r="L1553" s="123"/>
      <c r="P1553" s="366"/>
      <c r="R1553" s="355"/>
    </row>
    <row r="1554" spans="1:35">
      <c r="L1554" s="123"/>
      <c r="P1554" s="366"/>
      <c r="R1554" s="355"/>
    </row>
    <row r="1555" spans="1:35">
      <c r="L1555" s="123"/>
      <c r="P1555" s="366"/>
      <c r="R1555" s="355"/>
    </row>
    <row r="1556" spans="1:35">
      <c r="L1556" s="123"/>
      <c r="P1556" s="366"/>
      <c r="R1556" s="355"/>
    </row>
    <row r="1557" spans="1:35">
      <c r="L1557" s="123"/>
      <c r="P1557" s="366"/>
      <c r="R1557" s="355"/>
    </row>
    <row r="1558" spans="1:35">
      <c r="L1558" s="123"/>
      <c r="P1558" s="366"/>
      <c r="R1558" s="355"/>
    </row>
    <row r="1559" spans="1:35">
      <c r="L1559" s="123"/>
      <c r="P1559" s="366"/>
      <c r="R1559" s="355"/>
    </row>
    <row r="1560" spans="1:35">
      <c r="L1560" s="123"/>
      <c r="P1560" s="366"/>
      <c r="R1560" s="355"/>
    </row>
    <row r="1561" spans="1:35">
      <c r="L1561" s="123"/>
      <c r="P1561" s="366"/>
      <c r="R1561" s="355"/>
    </row>
    <row r="1562" spans="1:35">
      <c r="L1562" s="123"/>
      <c r="P1562" s="366"/>
      <c r="R1562" s="355"/>
    </row>
    <row r="1563" spans="1:35">
      <c r="L1563" s="123"/>
      <c r="P1563" s="366"/>
      <c r="R1563" s="355"/>
    </row>
    <row r="1564" spans="1:35">
      <c r="L1564" s="123"/>
      <c r="P1564" s="366"/>
      <c r="R1564" s="355"/>
    </row>
    <row r="1565" spans="1:35" ht="26.4">
      <c r="A1565" s="245"/>
      <c r="B1565" s="245"/>
      <c r="C1565" s="245"/>
      <c r="D1565" s="245"/>
      <c r="E1565" s="245"/>
      <c r="F1565" s="280"/>
      <c r="G1565" s="245"/>
      <c r="H1565" s="245"/>
      <c r="I1565" s="245"/>
      <c r="L1565" s="123"/>
      <c r="P1565" s="366"/>
      <c r="R1565" s="355"/>
      <c r="T1565" s="328"/>
      <c r="U1565" s="85" ph="1"/>
      <c r="W1565" s="216"/>
      <c r="X1565" s="245"/>
      <c r="Y1565" s="187"/>
      <c r="Z1565" s="245"/>
      <c r="AA1565" s="245"/>
      <c r="AB1565" s="332"/>
      <c r="AD1565" s="245"/>
      <c r="AE1565" s="187"/>
      <c r="AF1565" s="367"/>
      <c r="AG1565" s="245"/>
      <c r="AI1565" s="245"/>
    </row>
    <row r="1566" spans="1:35">
      <c r="L1566" s="123"/>
      <c r="P1566" s="366"/>
      <c r="R1566" s="355"/>
    </row>
    <row r="1567" spans="1:35">
      <c r="L1567" s="123"/>
      <c r="P1567" s="366"/>
      <c r="R1567" s="355"/>
    </row>
    <row r="1568" spans="1:35">
      <c r="L1568" s="123"/>
      <c r="P1568" s="366"/>
      <c r="R1568" s="355"/>
    </row>
    <row r="1569" spans="1:35">
      <c r="L1569" s="123"/>
      <c r="P1569" s="366"/>
      <c r="R1569" s="355"/>
    </row>
    <row r="1570" spans="1:35">
      <c r="L1570" s="123"/>
      <c r="P1570" s="366"/>
      <c r="R1570" s="355"/>
    </row>
    <row r="1571" spans="1:35">
      <c r="L1571" s="123"/>
      <c r="P1571" s="366"/>
      <c r="R1571" s="355"/>
    </row>
    <row r="1572" spans="1:35">
      <c r="L1572" s="123"/>
      <c r="P1572" s="366"/>
      <c r="R1572" s="355"/>
    </row>
    <row r="1573" spans="1:35">
      <c r="L1573" s="123"/>
      <c r="P1573" s="366"/>
      <c r="R1573" s="355"/>
    </row>
    <row r="1574" spans="1:35">
      <c r="L1574" s="123"/>
      <c r="P1574" s="366"/>
      <c r="R1574" s="355"/>
    </row>
    <row r="1575" spans="1:35" ht="26.4">
      <c r="A1575" s="245"/>
      <c r="B1575" s="245"/>
      <c r="C1575" s="245"/>
      <c r="D1575" s="245"/>
      <c r="E1575" s="245"/>
      <c r="F1575" s="280"/>
      <c r="G1575" s="245"/>
      <c r="H1575" s="245"/>
      <c r="I1575" s="245"/>
      <c r="L1575" s="123"/>
      <c r="P1575" s="366"/>
      <c r="R1575" s="355"/>
      <c r="T1575" s="328"/>
      <c r="U1575" s="85" ph="1"/>
      <c r="W1575" s="216"/>
      <c r="X1575" s="245"/>
      <c r="Y1575" s="187"/>
      <c r="Z1575" s="245"/>
      <c r="AA1575" s="245"/>
      <c r="AB1575" s="332"/>
      <c r="AD1575" s="245"/>
      <c r="AE1575" s="187"/>
      <c r="AF1575" s="367"/>
      <c r="AG1575" s="245"/>
      <c r="AI1575" s="245"/>
    </row>
    <row r="1576" spans="1:35">
      <c r="L1576" s="123"/>
      <c r="P1576" s="366"/>
      <c r="R1576" s="355"/>
    </row>
    <row r="1577" spans="1:35">
      <c r="L1577" s="123"/>
      <c r="P1577" s="366"/>
      <c r="R1577" s="355"/>
      <c r="S1577" s="369"/>
    </row>
    <row r="1578" spans="1:35">
      <c r="L1578" s="123"/>
      <c r="P1578" s="366"/>
      <c r="R1578" s="355"/>
    </row>
    <row r="1579" spans="1:35" ht="26.4">
      <c r="A1579" s="245"/>
      <c r="B1579" s="245"/>
      <c r="C1579" s="245"/>
      <c r="D1579" s="245"/>
      <c r="E1579" s="245"/>
      <c r="F1579" s="280"/>
      <c r="G1579" s="245"/>
      <c r="H1579" s="245"/>
      <c r="I1579" s="245"/>
      <c r="L1579" s="123"/>
      <c r="P1579" s="366"/>
      <c r="R1579" s="355"/>
      <c r="T1579" s="328"/>
      <c r="U1579" s="85" ph="1"/>
      <c r="W1579" s="216"/>
      <c r="X1579" s="245"/>
      <c r="Y1579" s="187"/>
      <c r="Z1579" s="245"/>
      <c r="AA1579" s="245"/>
      <c r="AB1579" s="332"/>
      <c r="AD1579" s="245"/>
      <c r="AE1579" s="187"/>
      <c r="AF1579" s="367"/>
      <c r="AG1579" s="245"/>
      <c r="AI1579" s="245"/>
    </row>
    <row r="1580" spans="1:35">
      <c r="L1580" s="123"/>
      <c r="P1580" s="366"/>
      <c r="R1580" s="355"/>
    </row>
    <row r="1581" spans="1:35">
      <c r="L1581" s="123"/>
      <c r="P1581" s="366"/>
      <c r="R1581" s="355"/>
    </row>
    <row r="1582" spans="1:35">
      <c r="L1582" s="123"/>
      <c r="P1582" s="366"/>
      <c r="R1582" s="355"/>
    </row>
    <row r="1583" spans="1:35">
      <c r="L1583" s="123"/>
      <c r="P1583" s="366"/>
      <c r="R1583" s="355"/>
    </row>
    <row r="1584" spans="1:35" ht="26.4">
      <c r="A1584" s="245"/>
      <c r="B1584" s="245"/>
      <c r="C1584" s="245"/>
      <c r="D1584" s="245"/>
      <c r="E1584" s="245"/>
      <c r="F1584" s="280"/>
      <c r="G1584" s="245"/>
      <c r="H1584" s="245"/>
      <c r="I1584" s="245"/>
      <c r="L1584" s="123"/>
      <c r="P1584" s="366"/>
      <c r="R1584" s="355"/>
      <c r="T1584" s="328"/>
      <c r="U1584" s="85" ph="1"/>
      <c r="W1584" s="216"/>
      <c r="X1584" s="245"/>
      <c r="Y1584" s="187"/>
      <c r="Z1584" s="245"/>
      <c r="AA1584" s="245"/>
      <c r="AB1584" s="332"/>
      <c r="AD1584" s="245"/>
      <c r="AE1584" s="187"/>
      <c r="AF1584" s="367"/>
      <c r="AG1584" s="245"/>
      <c r="AI1584" s="245"/>
    </row>
    <row r="1585" spans="1:35" ht="26.4">
      <c r="A1585" s="245"/>
      <c r="B1585" s="245"/>
      <c r="C1585" s="245"/>
      <c r="D1585" s="245"/>
      <c r="E1585" s="245"/>
      <c r="F1585" s="280"/>
      <c r="G1585" s="245"/>
      <c r="H1585" s="245"/>
      <c r="I1585" s="245"/>
      <c r="L1585" s="123"/>
      <c r="P1585" s="366"/>
      <c r="R1585" s="355"/>
      <c r="T1585" s="328"/>
      <c r="U1585" s="85" ph="1"/>
      <c r="W1585" s="216"/>
      <c r="X1585" s="245"/>
      <c r="Y1585" s="187"/>
      <c r="Z1585" s="245"/>
      <c r="AA1585" s="245"/>
      <c r="AB1585" s="332"/>
      <c r="AD1585" s="245"/>
      <c r="AE1585" s="187"/>
      <c r="AF1585" s="367"/>
      <c r="AG1585" s="245"/>
      <c r="AI1585" s="245"/>
    </row>
    <row r="1586" spans="1:35" ht="26.4">
      <c r="A1586" s="245"/>
      <c r="B1586" s="245"/>
      <c r="C1586" s="245"/>
      <c r="D1586" s="245"/>
      <c r="E1586" s="245"/>
      <c r="F1586" s="280"/>
      <c r="G1586" s="245"/>
      <c r="H1586" s="245"/>
      <c r="I1586" s="245"/>
      <c r="L1586" s="123"/>
      <c r="P1586" s="366"/>
      <c r="R1586" s="355"/>
      <c r="T1586" s="328"/>
      <c r="U1586" s="85" ph="1"/>
      <c r="W1586" s="216"/>
      <c r="X1586" s="245"/>
      <c r="Y1586" s="187"/>
      <c r="Z1586" s="245"/>
      <c r="AA1586" s="245"/>
      <c r="AB1586" s="332"/>
      <c r="AD1586" s="245"/>
      <c r="AE1586" s="187"/>
      <c r="AF1586" s="367"/>
      <c r="AG1586" s="245"/>
      <c r="AI1586" s="245"/>
    </row>
    <row r="1587" spans="1:35">
      <c r="L1587" s="123"/>
      <c r="P1587" s="366"/>
      <c r="R1587" s="355"/>
      <c r="S1587" s="369"/>
    </row>
    <row r="1588" spans="1:35" ht="26.4">
      <c r="A1588" s="245"/>
      <c r="B1588" s="245"/>
      <c r="C1588" s="245"/>
      <c r="D1588" s="245"/>
      <c r="E1588" s="245"/>
      <c r="F1588" s="280"/>
      <c r="G1588" s="245"/>
      <c r="H1588" s="245"/>
      <c r="I1588" s="245"/>
      <c r="L1588" s="123"/>
      <c r="P1588" s="366"/>
      <c r="R1588" s="355"/>
      <c r="T1588" s="328"/>
      <c r="U1588" s="85" ph="1"/>
      <c r="W1588" s="216"/>
      <c r="X1588" s="245"/>
      <c r="Y1588" s="187"/>
      <c r="Z1588" s="245"/>
      <c r="AA1588" s="245"/>
      <c r="AB1588" s="332"/>
      <c r="AD1588" s="245"/>
      <c r="AE1588" s="187"/>
      <c r="AF1588" s="367"/>
      <c r="AG1588" s="245"/>
      <c r="AI1588" s="245"/>
    </row>
    <row r="1589" spans="1:35" ht="26.4">
      <c r="A1589" s="245"/>
      <c r="B1589" s="245"/>
      <c r="C1589" s="245"/>
      <c r="D1589" s="245"/>
      <c r="E1589" s="245"/>
      <c r="F1589" s="280"/>
      <c r="G1589" s="245"/>
      <c r="H1589" s="245"/>
      <c r="I1589" s="245"/>
      <c r="L1589" s="123"/>
      <c r="P1589" s="366"/>
      <c r="R1589" s="355"/>
      <c r="T1589" s="328"/>
      <c r="U1589" s="85" ph="1"/>
      <c r="W1589" s="216"/>
      <c r="X1589" s="245"/>
      <c r="Y1589" s="187"/>
      <c r="Z1589" s="245"/>
      <c r="AA1589" s="245"/>
      <c r="AB1589" s="332"/>
      <c r="AD1589" s="245"/>
      <c r="AE1589" s="187"/>
      <c r="AF1589" s="367"/>
      <c r="AG1589" s="245"/>
      <c r="AI1589" s="245"/>
    </row>
    <row r="1590" spans="1:35">
      <c r="L1590" s="245"/>
      <c r="P1590" s="366"/>
      <c r="R1590" s="355"/>
    </row>
    <row r="1591" spans="1:35" ht="26.4">
      <c r="A1591" s="245"/>
      <c r="B1591" s="245"/>
      <c r="C1591" s="245"/>
      <c r="D1591" s="245"/>
      <c r="E1591" s="245"/>
      <c r="F1591" s="280"/>
      <c r="G1591" s="245"/>
      <c r="H1591" s="245"/>
      <c r="I1591" s="245"/>
      <c r="L1591" s="123"/>
      <c r="P1591" s="366"/>
      <c r="R1591" s="355"/>
      <c r="S1591" s="369"/>
      <c r="T1591" s="328"/>
      <c r="U1591" s="85" ph="1"/>
      <c r="W1591" s="216"/>
      <c r="X1591" s="245"/>
      <c r="Y1591" s="187"/>
      <c r="Z1591" s="245"/>
      <c r="AA1591" s="245"/>
      <c r="AB1591" s="332"/>
      <c r="AD1591" s="245"/>
      <c r="AE1591" s="187"/>
      <c r="AF1591" s="367"/>
      <c r="AG1591" s="245"/>
      <c r="AI1591" s="245"/>
    </row>
    <row r="1592" spans="1:35">
      <c r="L1592" s="123"/>
      <c r="P1592" s="366"/>
      <c r="R1592" s="355"/>
    </row>
    <row r="1593" spans="1:35" ht="26.4">
      <c r="A1593" s="245"/>
      <c r="B1593" s="245"/>
      <c r="C1593" s="245"/>
      <c r="D1593" s="245"/>
      <c r="E1593" s="245"/>
      <c r="F1593" s="280"/>
      <c r="G1593" s="245"/>
      <c r="H1593" s="245"/>
      <c r="I1593" s="245"/>
      <c r="L1593" s="123"/>
      <c r="P1593" s="366"/>
      <c r="R1593" s="355"/>
      <c r="T1593" s="328"/>
      <c r="U1593" s="85" ph="1"/>
      <c r="W1593" s="216"/>
      <c r="X1593" s="245"/>
      <c r="Y1593" s="187"/>
      <c r="Z1593" s="245"/>
      <c r="AA1593" s="245"/>
      <c r="AB1593" s="332"/>
      <c r="AD1593" s="245"/>
      <c r="AE1593" s="187"/>
      <c r="AF1593" s="367"/>
      <c r="AG1593" s="245"/>
      <c r="AI1593" s="245"/>
    </row>
    <row r="1594" spans="1:35" ht="26.4">
      <c r="A1594" s="245"/>
      <c r="B1594" s="245"/>
      <c r="C1594" s="245"/>
      <c r="D1594" s="245"/>
      <c r="E1594" s="245"/>
      <c r="F1594" s="280"/>
      <c r="G1594" s="245"/>
      <c r="H1594" s="245"/>
      <c r="I1594" s="245"/>
      <c r="L1594" s="123"/>
      <c r="P1594" s="366"/>
      <c r="R1594" s="355"/>
      <c r="T1594" s="328"/>
      <c r="U1594" s="85" ph="1"/>
      <c r="W1594" s="216"/>
      <c r="X1594" s="245"/>
      <c r="Y1594" s="187"/>
      <c r="Z1594" s="245"/>
      <c r="AA1594" s="245"/>
      <c r="AB1594" s="332"/>
      <c r="AD1594" s="245"/>
      <c r="AE1594" s="187"/>
      <c r="AF1594" s="367"/>
      <c r="AG1594" s="245"/>
      <c r="AI1594" s="245"/>
    </row>
    <row r="1595" spans="1:35" ht="26.4">
      <c r="A1595" s="245"/>
      <c r="B1595" s="245"/>
      <c r="C1595" s="245"/>
      <c r="D1595" s="245"/>
      <c r="E1595" s="245"/>
      <c r="F1595" s="280"/>
      <c r="G1595" s="245"/>
      <c r="H1595" s="245"/>
      <c r="I1595" s="245"/>
      <c r="L1595" s="123"/>
      <c r="P1595" s="366"/>
      <c r="R1595" s="355"/>
      <c r="T1595" s="328"/>
      <c r="U1595" s="85" ph="1"/>
      <c r="W1595" s="216"/>
      <c r="X1595" s="245"/>
      <c r="Y1595" s="187"/>
      <c r="Z1595" s="245"/>
      <c r="AA1595" s="245"/>
      <c r="AB1595" s="332"/>
      <c r="AD1595" s="245"/>
      <c r="AE1595" s="187"/>
      <c r="AF1595" s="367"/>
      <c r="AG1595" s="245"/>
      <c r="AI1595" s="245"/>
    </row>
    <row r="1596" spans="1:35" ht="26.4">
      <c r="A1596" s="245"/>
      <c r="B1596" s="245"/>
      <c r="C1596" s="245"/>
      <c r="D1596" s="245"/>
      <c r="E1596" s="245"/>
      <c r="F1596" s="280"/>
      <c r="G1596" s="245"/>
      <c r="H1596" s="245"/>
      <c r="I1596" s="245"/>
      <c r="L1596" s="123"/>
      <c r="P1596" s="366"/>
      <c r="R1596" s="355"/>
      <c r="S1596" s="369"/>
      <c r="T1596" s="328"/>
      <c r="U1596" s="85" ph="1"/>
      <c r="W1596" s="216"/>
      <c r="X1596" s="245"/>
      <c r="Y1596" s="187"/>
      <c r="Z1596" s="245"/>
      <c r="AA1596" s="245"/>
      <c r="AB1596" s="332"/>
      <c r="AD1596" s="245"/>
      <c r="AE1596" s="187"/>
      <c r="AF1596" s="367"/>
      <c r="AG1596" s="245"/>
      <c r="AI1596" s="245"/>
    </row>
    <row r="1597" spans="1:35" ht="26.4">
      <c r="A1597" s="245"/>
      <c r="B1597" s="245"/>
      <c r="C1597" s="245"/>
      <c r="D1597" s="245"/>
      <c r="E1597" s="245"/>
      <c r="F1597" s="280"/>
      <c r="G1597" s="245"/>
      <c r="H1597" s="245"/>
      <c r="I1597" s="245"/>
      <c r="L1597" s="123"/>
      <c r="P1597" s="366"/>
      <c r="R1597" s="355"/>
      <c r="S1597" s="369"/>
      <c r="T1597" s="328"/>
      <c r="U1597" s="85" ph="1"/>
      <c r="W1597" s="216"/>
      <c r="X1597" s="245"/>
      <c r="Y1597" s="187"/>
      <c r="Z1597" s="245"/>
      <c r="AA1597" s="245"/>
      <c r="AB1597" s="332"/>
      <c r="AD1597" s="245"/>
      <c r="AE1597" s="187"/>
      <c r="AF1597" s="367"/>
      <c r="AG1597" s="245"/>
      <c r="AI1597" s="245"/>
    </row>
    <row r="1598" spans="1:35" ht="26.4">
      <c r="A1598" s="245"/>
      <c r="B1598" s="245"/>
      <c r="C1598" s="245"/>
      <c r="D1598" s="245"/>
      <c r="E1598" s="245"/>
      <c r="F1598" s="280"/>
      <c r="G1598" s="245"/>
      <c r="H1598" s="245"/>
      <c r="I1598" s="245"/>
      <c r="L1598" s="123"/>
      <c r="P1598" s="366"/>
      <c r="R1598" s="355"/>
      <c r="S1598" s="369"/>
      <c r="T1598" s="328"/>
      <c r="U1598" s="85" ph="1"/>
      <c r="W1598" s="216"/>
      <c r="X1598" s="245"/>
      <c r="Y1598" s="187"/>
      <c r="Z1598" s="245"/>
      <c r="AA1598" s="245"/>
      <c r="AB1598" s="332"/>
      <c r="AD1598" s="245"/>
      <c r="AE1598" s="187"/>
      <c r="AF1598" s="367"/>
      <c r="AG1598" s="245"/>
      <c r="AI1598" s="245"/>
    </row>
    <row r="1599" spans="1:35" ht="26.4">
      <c r="A1599" s="245"/>
      <c r="B1599" s="245"/>
      <c r="C1599" s="245"/>
      <c r="D1599" s="245"/>
      <c r="E1599" s="245"/>
      <c r="F1599" s="280"/>
      <c r="G1599" s="245"/>
      <c r="H1599" s="245"/>
      <c r="I1599" s="245"/>
      <c r="L1599" s="123"/>
      <c r="P1599" s="366"/>
      <c r="R1599" s="355"/>
      <c r="T1599" s="328"/>
      <c r="U1599" s="85" ph="1"/>
      <c r="W1599" s="216"/>
      <c r="X1599" s="245"/>
      <c r="Y1599" s="187"/>
      <c r="Z1599" s="245"/>
      <c r="AA1599" s="245"/>
      <c r="AB1599" s="332"/>
      <c r="AD1599" s="245"/>
      <c r="AE1599" s="187"/>
      <c r="AF1599" s="367"/>
      <c r="AG1599" s="245"/>
      <c r="AI1599" s="245"/>
    </row>
    <row r="1600" spans="1:35" ht="26.4">
      <c r="A1600" s="245"/>
      <c r="B1600" s="245"/>
      <c r="C1600" s="245"/>
      <c r="D1600" s="245"/>
      <c r="E1600" s="245"/>
      <c r="F1600" s="280"/>
      <c r="G1600" s="245"/>
      <c r="H1600" s="245"/>
      <c r="I1600" s="245"/>
      <c r="L1600" s="123"/>
      <c r="P1600" s="366"/>
      <c r="R1600" s="355"/>
      <c r="S1600" s="369"/>
      <c r="T1600" s="328"/>
      <c r="U1600" s="85" ph="1"/>
      <c r="W1600" s="216"/>
      <c r="X1600" s="245"/>
      <c r="Y1600" s="187"/>
      <c r="Z1600" s="245"/>
      <c r="AA1600" s="245"/>
      <c r="AB1600" s="332"/>
      <c r="AD1600" s="245"/>
      <c r="AE1600" s="187"/>
      <c r="AF1600" s="367"/>
      <c r="AG1600" s="245"/>
      <c r="AI1600" s="245"/>
    </row>
    <row r="1601" spans="1:35" ht="26.4">
      <c r="A1601" s="245"/>
      <c r="B1601" s="245"/>
      <c r="C1601" s="245"/>
      <c r="D1601" s="245"/>
      <c r="E1601" s="245"/>
      <c r="F1601" s="280"/>
      <c r="G1601" s="245"/>
      <c r="H1601" s="245"/>
      <c r="I1601" s="245"/>
      <c r="L1601" s="123"/>
      <c r="P1601" s="366"/>
      <c r="R1601" s="355"/>
      <c r="S1601" s="369"/>
      <c r="T1601" s="328"/>
      <c r="U1601" s="85" ph="1"/>
      <c r="W1601" s="216"/>
      <c r="X1601" s="245"/>
      <c r="Y1601" s="187"/>
      <c r="Z1601" s="245"/>
      <c r="AA1601" s="245"/>
      <c r="AB1601" s="332"/>
      <c r="AD1601" s="245"/>
      <c r="AE1601" s="187"/>
      <c r="AF1601" s="367"/>
      <c r="AG1601" s="245"/>
      <c r="AI1601" s="245"/>
    </row>
    <row r="1602" spans="1:35" ht="26.4">
      <c r="A1602" s="245"/>
      <c r="B1602" s="245"/>
      <c r="C1602" s="245"/>
      <c r="D1602" s="245"/>
      <c r="E1602" s="245"/>
      <c r="F1602" s="280"/>
      <c r="G1602" s="245"/>
      <c r="H1602" s="245"/>
      <c r="I1602" s="245"/>
      <c r="L1602" s="123"/>
      <c r="P1602" s="366"/>
      <c r="R1602" s="355"/>
      <c r="T1602" s="328"/>
      <c r="U1602" s="85" ph="1"/>
      <c r="W1602" s="216"/>
      <c r="X1602" s="245"/>
      <c r="Y1602" s="187"/>
      <c r="Z1602" s="245"/>
      <c r="AA1602" s="245"/>
      <c r="AB1602" s="332"/>
      <c r="AD1602" s="245"/>
      <c r="AE1602" s="187"/>
      <c r="AF1602" s="367"/>
      <c r="AG1602" s="245"/>
      <c r="AI1602" s="245"/>
    </row>
    <row r="1603" spans="1:35">
      <c r="L1603" s="123"/>
      <c r="P1603" s="366"/>
      <c r="R1603" s="355"/>
      <c r="S1603" s="369"/>
    </row>
    <row r="1604" spans="1:35" ht="26.4">
      <c r="A1604" s="245"/>
      <c r="B1604" s="245"/>
      <c r="C1604" s="245"/>
      <c r="D1604" s="245"/>
      <c r="E1604" s="245"/>
      <c r="F1604" s="280"/>
      <c r="G1604" s="245"/>
      <c r="H1604" s="245"/>
      <c r="I1604" s="245"/>
      <c r="L1604" s="123"/>
      <c r="P1604" s="366"/>
      <c r="R1604" s="355"/>
      <c r="T1604" s="328"/>
      <c r="U1604" s="85" ph="1"/>
      <c r="W1604" s="216"/>
      <c r="X1604" s="245"/>
      <c r="Y1604" s="187"/>
      <c r="Z1604" s="245"/>
      <c r="AA1604" s="245"/>
      <c r="AB1604" s="332"/>
      <c r="AD1604" s="245"/>
      <c r="AE1604" s="187"/>
      <c r="AF1604" s="367"/>
      <c r="AG1604" s="245"/>
      <c r="AI1604" s="245"/>
    </row>
    <row r="1605" spans="1:35" ht="26.4">
      <c r="A1605" s="245"/>
      <c r="B1605" s="245"/>
      <c r="C1605" s="245"/>
      <c r="D1605" s="245"/>
      <c r="E1605" s="245"/>
      <c r="F1605" s="280"/>
      <c r="G1605" s="245"/>
      <c r="H1605" s="245"/>
      <c r="I1605" s="245"/>
      <c r="L1605" s="123"/>
      <c r="P1605" s="366"/>
      <c r="R1605" s="355"/>
      <c r="S1605" s="369"/>
      <c r="T1605" s="328"/>
      <c r="U1605" s="85" ph="1"/>
      <c r="W1605" s="216"/>
      <c r="X1605" s="245"/>
      <c r="Y1605" s="187"/>
      <c r="Z1605" s="245"/>
      <c r="AA1605" s="245"/>
      <c r="AB1605" s="332"/>
      <c r="AD1605" s="245"/>
      <c r="AE1605" s="187"/>
      <c r="AF1605" s="367"/>
      <c r="AG1605" s="245"/>
      <c r="AI1605" s="245"/>
    </row>
    <row r="1606" spans="1:35" ht="26.4">
      <c r="A1606" s="245"/>
      <c r="B1606" s="245"/>
      <c r="C1606" s="245"/>
      <c r="D1606" s="245"/>
      <c r="E1606" s="245"/>
      <c r="F1606" s="280"/>
      <c r="G1606" s="245"/>
      <c r="H1606" s="245"/>
      <c r="I1606" s="245"/>
      <c r="L1606" s="123"/>
      <c r="P1606" s="366"/>
      <c r="R1606" s="355"/>
      <c r="S1606" s="369"/>
      <c r="T1606" s="328"/>
      <c r="U1606" s="85" ph="1"/>
      <c r="W1606" s="216"/>
      <c r="X1606" s="245"/>
      <c r="Y1606" s="187"/>
      <c r="Z1606" s="245"/>
      <c r="AA1606" s="245"/>
      <c r="AB1606" s="332"/>
      <c r="AD1606" s="245"/>
      <c r="AE1606" s="187"/>
      <c r="AF1606" s="367"/>
      <c r="AG1606" s="245"/>
      <c r="AI1606" s="245"/>
    </row>
    <row r="1607" spans="1:35" ht="26.4">
      <c r="A1607" s="245"/>
      <c r="B1607" s="245"/>
      <c r="C1607" s="245"/>
      <c r="D1607" s="245"/>
      <c r="E1607" s="245"/>
      <c r="F1607" s="280"/>
      <c r="G1607" s="245"/>
      <c r="H1607" s="245"/>
      <c r="I1607" s="245"/>
      <c r="L1607" s="123"/>
      <c r="P1607" s="366"/>
      <c r="R1607" s="355"/>
      <c r="S1607" s="369"/>
      <c r="T1607" s="328"/>
      <c r="U1607" s="85" ph="1"/>
      <c r="W1607" s="216"/>
      <c r="X1607" s="245"/>
      <c r="Y1607" s="187"/>
      <c r="Z1607" s="245"/>
      <c r="AA1607" s="245"/>
      <c r="AB1607" s="332"/>
      <c r="AD1607" s="245"/>
      <c r="AE1607" s="187"/>
      <c r="AF1607" s="367"/>
      <c r="AG1607" s="245"/>
      <c r="AI1607" s="245"/>
    </row>
    <row r="1608" spans="1:35" ht="26.4">
      <c r="A1608" s="245"/>
      <c r="B1608" s="245"/>
      <c r="C1608" s="245"/>
      <c r="D1608" s="245"/>
      <c r="E1608" s="245"/>
      <c r="F1608" s="280"/>
      <c r="G1608" s="245"/>
      <c r="H1608" s="245"/>
      <c r="I1608" s="245"/>
      <c r="L1608" s="123"/>
      <c r="P1608" s="366"/>
      <c r="R1608" s="355"/>
      <c r="S1608" s="369"/>
      <c r="T1608" s="328"/>
      <c r="U1608" s="85" ph="1"/>
      <c r="W1608" s="216"/>
      <c r="X1608" s="245"/>
      <c r="Y1608" s="187"/>
      <c r="Z1608" s="245"/>
      <c r="AA1608" s="245"/>
      <c r="AB1608" s="332"/>
      <c r="AD1608" s="245"/>
      <c r="AE1608" s="187"/>
      <c r="AF1608" s="367"/>
      <c r="AG1608" s="245"/>
      <c r="AI1608" s="245"/>
    </row>
    <row r="1609" spans="1:35" ht="26.4">
      <c r="A1609" s="245"/>
      <c r="B1609" s="245"/>
      <c r="C1609" s="245"/>
      <c r="D1609" s="245"/>
      <c r="E1609" s="245"/>
      <c r="F1609" s="280"/>
      <c r="G1609" s="245"/>
      <c r="H1609" s="245"/>
      <c r="I1609" s="245"/>
      <c r="L1609" s="123"/>
      <c r="P1609" s="366"/>
      <c r="R1609" s="355"/>
      <c r="S1609" s="369"/>
      <c r="T1609" s="328"/>
      <c r="U1609" s="85" ph="1"/>
      <c r="W1609" s="216"/>
      <c r="X1609" s="245"/>
      <c r="Y1609" s="187"/>
      <c r="Z1609" s="245"/>
      <c r="AA1609" s="245"/>
      <c r="AB1609" s="332"/>
      <c r="AD1609" s="245"/>
      <c r="AE1609" s="187"/>
      <c r="AF1609" s="367"/>
      <c r="AG1609" s="245"/>
      <c r="AI1609" s="245"/>
    </row>
    <row r="1610" spans="1:35" ht="26.4">
      <c r="A1610" s="245"/>
      <c r="B1610" s="245"/>
      <c r="C1610" s="245"/>
      <c r="D1610" s="245"/>
      <c r="E1610" s="245"/>
      <c r="F1610" s="280"/>
      <c r="G1610" s="245"/>
      <c r="H1610" s="245"/>
      <c r="I1610" s="245"/>
      <c r="L1610" s="123"/>
      <c r="P1610" s="366"/>
      <c r="R1610" s="355"/>
      <c r="S1610" s="369"/>
      <c r="T1610" s="328"/>
      <c r="U1610" s="85" ph="1"/>
      <c r="W1610" s="216"/>
      <c r="X1610" s="245"/>
      <c r="Y1610" s="187"/>
      <c r="Z1610" s="245"/>
      <c r="AA1610" s="245"/>
      <c r="AB1610" s="332"/>
      <c r="AD1610" s="245"/>
      <c r="AE1610" s="187"/>
      <c r="AF1610" s="367"/>
      <c r="AG1610" s="245"/>
      <c r="AI1610" s="245"/>
    </row>
    <row r="1611" spans="1:35" ht="26.4">
      <c r="A1611" s="245"/>
      <c r="B1611" s="245"/>
      <c r="C1611" s="245"/>
      <c r="D1611" s="245"/>
      <c r="E1611" s="245"/>
      <c r="F1611" s="280"/>
      <c r="G1611" s="245"/>
      <c r="H1611" s="245"/>
      <c r="I1611" s="245"/>
      <c r="L1611" s="123"/>
      <c r="P1611" s="366"/>
      <c r="R1611" s="355"/>
      <c r="S1611" s="369"/>
      <c r="T1611" s="328"/>
      <c r="U1611" s="85" ph="1"/>
      <c r="W1611" s="216"/>
      <c r="X1611" s="245"/>
      <c r="Y1611" s="187"/>
      <c r="Z1611" s="245"/>
      <c r="AA1611" s="245"/>
      <c r="AB1611" s="332"/>
      <c r="AD1611" s="245"/>
      <c r="AE1611" s="187"/>
      <c r="AF1611" s="367"/>
      <c r="AG1611" s="245"/>
      <c r="AI1611" s="245"/>
    </row>
    <row r="1612" spans="1:35">
      <c r="L1612" s="123"/>
      <c r="P1612" s="366"/>
      <c r="R1612" s="355"/>
      <c r="S1612" s="369"/>
    </row>
    <row r="1613" spans="1:35" ht="26.4">
      <c r="A1613" s="245"/>
      <c r="B1613" s="245"/>
      <c r="C1613" s="245"/>
      <c r="D1613" s="245"/>
      <c r="E1613" s="245"/>
      <c r="F1613" s="280"/>
      <c r="G1613" s="245"/>
      <c r="H1613" s="245"/>
      <c r="I1613" s="245"/>
      <c r="L1613" s="123"/>
      <c r="P1613" s="366"/>
      <c r="R1613" s="355"/>
      <c r="S1613" s="369"/>
      <c r="T1613" s="328"/>
      <c r="U1613" s="85" ph="1"/>
      <c r="W1613" s="216"/>
      <c r="X1613" s="245"/>
      <c r="Y1613" s="187"/>
      <c r="Z1613" s="245"/>
      <c r="AA1613" s="245"/>
      <c r="AB1613" s="332"/>
      <c r="AD1613" s="245"/>
      <c r="AE1613" s="187"/>
      <c r="AF1613" s="367"/>
      <c r="AG1613" s="245"/>
      <c r="AI1613" s="245"/>
    </row>
    <row r="1614" spans="1:35" ht="26.4">
      <c r="A1614" s="245"/>
      <c r="B1614" s="245"/>
      <c r="C1614" s="245"/>
      <c r="D1614" s="245"/>
      <c r="E1614" s="245"/>
      <c r="F1614" s="280"/>
      <c r="G1614" s="245"/>
      <c r="H1614" s="245"/>
      <c r="I1614" s="245"/>
      <c r="L1614" s="123"/>
      <c r="P1614" s="366"/>
      <c r="R1614" s="355"/>
      <c r="S1614" s="369"/>
      <c r="T1614" s="328"/>
      <c r="U1614" s="85" ph="1"/>
      <c r="W1614" s="216"/>
      <c r="X1614" s="245"/>
      <c r="Y1614" s="187"/>
      <c r="Z1614" s="245"/>
      <c r="AA1614" s="245"/>
      <c r="AB1614" s="332"/>
      <c r="AD1614" s="245"/>
      <c r="AE1614" s="187"/>
      <c r="AF1614" s="367"/>
      <c r="AG1614" s="245"/>
      <c r="AI1614" s="245"/>
    </row>
    <row r="1615" spans="1:35" ht="26.4">
      <c r="A1615" s="245"/>
      <c r="B1615" s="245"/>
      <c r="C1615" s="245"/>
      <c r="D1615" s="245"/>
      <c r="E1615" s="245"/>
      <c r="F1615" s="280"/>
      <c r="G1615" s="245"/>
      <c r="H1615" s="245"/>
      <c r="I1615" s="245"/>
      <c r="L1615" s="123"/>
      <c r="P1615" s="366"/>
      <c r="R1615" s="355"/>
      <c r="T1615" s="328"/>
      <c r="U1615" s="85" ph="1"/>
      <c r="W1615" s="216"/>
      <c r="X1615" s="245"/>
      <c r="Y1615" s="187"/>
      <c r="Z1615" s="245"/>
      <c r="AA1615" s="245"/>
      <c r="AB1615" s="332"/>
      <c r="AD1615" s="245"/>
      <c r="AE1615" s="187"/>
      <c r="AF1615" s="367"/>
      <c r="AG1615" s="245"/>
      <c r="AI1615" s="245"/>
    </row>
    <row r="1616" spans="1:35" ht="26.4">
      <c r="A1616" s="245"/>
      <c r="B1616" s="245"/>
      <c r="C1616" s="245"/>
      <c r="D1616" s="245"/>
      <c r="E1616" s="245"/>
      <c r="F1616" s="280"/>
      <c r="G1616" s="245"/>
      <c r="H1616" s="245"/>
      <c r="I1616" s="245"/>
      <c r="L1616" s="123"/>
      <c r="P1616" s="366"/>
      <c r="R1616" s="355"/>
      <c r="S1616" s="369"/>
      <c r="T1616" s="328"/>
      <c r="U1616" s="85" ph="1"/>
      <c r="W1616" s="216"/>
      <c r="X1616" s="245"/>
      <c r="Y1616" s="187"/>
      <c r="Z1616" s="245"/>
      <c r="AA1616" s="245"/>
      <c r="AB1616" s="332"/>
      <c r="AD1616" s="245"/>
      <c r="AE1616" s="187"/>
      <c r="AF1616" s="367"/>
      <c r="AG1616" s="245"/>
      <c r="AI1616" s="245"/>
    </row>
    <row r="1617" spans="1:35" ht="26.4">
      <c r="A1617" s="245"/>
      <c r="B1617" s="245"/>
      <c r="C1617" s="245"/>
      <c r="D1617" s="245"/>
      <c r="E1617" s="245"/>
      <c r="F1617" s="280"/>
      <c r="G1617" s="245"/>
      <c r="H1617" s="245"/>
      <c r="I1617" s="245"/>
      <c r="L1617" s="123"/>
      <c r="P1617" s="366"/>
      <c r="R1617" s="355"/>
      <c r="S1617" s="369"/>
      <c r="T1617" s="328"/>
      <c r="U1617" s="85" ph="1"/>
      <c r="W1617" s="216"/>
      <c r="X1617" s="245"/>
      <c r="Y1617" s="187"/>
      <c r="Z1617" s="245"/>
      <c r="AA1617" s="245"/>
      <c r="AB1617" s="332"/>
      <c r="AD1617" s="245"/>
      <c r="AE1617" s="187"/>
      <c r="AF1617" s="367"/>
      <c r="AG1617" s="245"/>
      <c r="AI1617" s="245"/>
    </row>
    <row r="1618" spans="1:35" ht="26.4">
      <c r="A1618" s="245"/>
      <c r="B1618" s="245"/>
      <c r="C1618" s="245"/>
      <c r="D1618" s="245"/>
      <c r="E1618" s="245"/>
      <c r="F1618" s="280"/>
      <c r="G1618" s="245"/>
      <c r="H1618" s="245"/>
      <c r="I1618" s="245"/>
      <c r="L1618" s="123"/>
      <c r="P1618" s="366"/>
      <c r="R1618" s="355"/>
      <c r="S1618" s="369"/>
      <c r="T1618" s="328"/>
      <c r="U1618" s="85" ph="1"/>
      <c r="W1618" s="216"/>
      <c r="X1618" s="245"/>
      <c r="Y1618" s="187"/>
      <c r="Z1618" s="245"/>
      <c r="AA1618" s="245"/>
      <c r="AB1618" s="332"/>
      <c r="AD1618" s="245"/>
      <c r="AE1618" s="187"/>
      <c r="AF1618" s="367"/>
      <c r="AG1618" s="245"/>
      <c r="AI1618" s="245"/>
    </row>
    <row r="1619" spans="1:35" ht="26.4">
      <c r="A1619" s="245"/>
      <c r="B1619" s="245"/>
      <c r="C1619" s="245"/>
      <c r="D1619" s="245"/>
      <c r="E1619" s="245"/>
      <c r="F1619" s="280"/>
      <c r="G1619" s="245"/>
      <c r="H1619" s="245"/>
      <c r="I1619" s="245"/>
      <c r="L1619" s="123"/>
      <c r="P1619" s="366"/>
      <c r="R1619" s="355"/>
      <c r="S1619" s="369"/>
      <c r="T1619" s="328"/>
      <c r="U1619" s="85" ph="1"/>
      <c r="W1619" s="216"/>
      <c r="X1619" s="245"/>
      <c r="Y1619" s="187"/>
      <c r="Z1619" s="245"/>
      <c r="AA1619" s="245"/>
      <c r="AB1619" s="332"/>
      <c r="AD1619" s="245"/>
      <c r="AE1619" s="187"/>
      <c r="AF1619" s="367"/>
      <c r="AG1619" s="245"/>
      <c r="AI1619" s="245"/>
    </row>
    <row r="1620" spans="1:35" ht="26.4">
      <c r="A1620" s="245"/>
      <c r="B1620" s="245"/>
      <c r="C1620" s="245"/>
      <c r="D1620" s="245"/>
      <c r="E1620" s="245"/>
      <c r="F1620" s="280"/>
      <c r="G1620" s="245"/>
      <c r="H1620" s="245"/>
      <c r="I1620" s="245"/>
      <c r="L1620" s="123"/>
      <c r="P1620" s="366"/>
      <c r="R1620" s="355"/>
      <c r="S1620" s="369"/>
      <c r="T1620" s="328"/>
      <c r="U1620" s="85" ph="1"/>
      <c r="W1620" s="216"/>
      <c r="X1620" s="245"/>
      <c r="Y1620" s="187"/>
      <c r="Z1620" s="245"/>
      <c r="AA1620" s="245"/>
      <c r="AB1620" s="332"/>
      <c r="AD1620" s="245"/>
      <c r="AE1620" s="187"/>
      <c r="AF1620" s="367"/>
      <c r="AG1620" s="245"/>
      <c r="AI1620" s="245"/>
    </row>
    <row r="1621" spans="1:35" ht="26.4">
      <c r="A1621" s="245"/>
      <c r="B1621" s="245"/>
      <c r="C1621" s="245"/>
      <c r="D1621" s="245"/>
      <c r="E1621" s="245"/>
      <c r="F1621" s="280"/>
      <c r="G1621" s="245"/>
      <c r="H1621" s="245"/>
      <c r="I1621" s="245"/>
      <c r="L1621" s="123"/>
      <c r="P1621" s="366"/>
      <c r="R1621" s="355"/>
      <c r="S1621" s="369"/>
      <c r="T1621" s="328"/>
      <c r="U1621" s="85" ph="1"/>
      <c r="W1621" s="216"/>
      <c r="X1621" s="245"/>
      <c r="Y1621" s="187"/>
      <c r="Z1621" s="245"/>
      <c r="AA1621" s="245"/>
      <c r="AB1621" s="332"/>
      <c r="AD1621" s="245"/>
      <c r="AE1621" s="187"/>
      <c r="AF1621" s="367"/>
      <c r="AG1621" s="245"/>
      <c r="AI1621" s="245"/>
    </row>
    <row r="1622" spans="1:35" ht="26.4">
      <c r="A1622" s="245"/>
      <c r="B1622" s="245"/>
      <c r="C1622" s="245"/>
      <c r="D1622" s="245"/>
      <c r="E1622" s="245"/>
      <c r="F1622" s="280"/>
      <c r="G1622" s="245"/>
      <c r="H1622" s="245"/>
      <c r="I1622" s="245"/>
      <c r="L1622" s="123"/>
      <c r="P1622" s="366"/>
      <c r="R1622" s="355"/>
      <c r="S1622" s="369"/>
      <c r="T1622" s="328"/>
      <c r="U1622" s="85" ph="1"/>
      <c r="W1622" s="216"/>
      <c r="X1622" s="245"/>
      <c r="Y1622" s="187"/>
      <c r="Z1622" s="245"/>
      <c r="AA1622" s="245"/>
      <c r="AB1622" s="332"/>
      <c r="AD1622" s="245"/>
      <c r="AE1622" s="187"/>
      <c r="AF1622" s="367"/>
      <c r="AG1622" s="245"/>
      <c r="AI1622" s="245"/>
    </row>
    <row r="1623" spans="1:35" ht="26.4">
      <c r="A1623" s="245"/>
      <c r="B1623" s="245"/>
      <c r="C1623" s="245"/>
      <c r="D1623" s="245"/>
      <c r="E1623" s="245"/>
      <c r="F1623" s="280"/>
      <c r="G1623" s="245"/>
      <c r="H1623" s="245"/>
      <c r="I1623" s="245"/>
      <c r="L1623" s="120"/>
      <c r="P1623" s="366"/>
      <c r="R1623" s="355"/>
      <c r="S1623" s="369"/>
      <c r="T1623" s="328"/>
      <c r="U1623" s="85" ph="1"/>
      <c r="W1623" s="216"/>
      <c r="X1623" s="245"/>
      <c r="Y1623" s="187"/>
      <c r="Z1623" s="245"/>
      <c r="AA1623" s="245"/>
      <c r="AB1623" s="332"/>
      <c r="AD1623" s="245"/>
      <c r="AE1623" s="187"/>
      <c r="AF1623" s="367"/>
      <c r="AG1623" s="245"/>
      <c r="AI1623" s="245"/>
    </row>
    <row r="1624" spans="1:35">
      <c r="L1624" s="123"/>
      <c r="P1624" s="366"/>
      <c r="R1624" s="355"/>
    </row>
    <row r="1625" spans="1:35" ht="26.4">
      <c r="A1625" s="245"/>
      <c r="B1625" s="245"/>
      <c r="C1625" s="245"/>
      <c r="D1625" s="245"/>
      <c r="E1625" s="245"/>
      <c r="F1625" s="280"/>
      <c r="G1625" s="245"/>
      <c r="H1625" s="245"/>
      <c r="I1625" s="245"/>
      <c r="L1625" s="123"/>
      <c r="P1625" s="366"/>
      <c r="R1625" s="355"/>
      <c r="S1625" s="369"/>
      <c r="T1625" s="328"/>
      <c r="U1625" s="85" ph="1"/>
      <c r="W1625" s="216"/>
      <c r="X1625" s="245"/>
      <c r="Y1625" s="187"/>
      <c r="Z1625" s="245"/>
      <c r="AA1625" s="245"/>
      <c r="AB1625" s="332"/>
      <c r="AD1625" s="245"/>
      <c r="AE1625" s="187"/>
      <c r="AF1625" s="367"/>
      <c r="AG1625" s="245"/>
      <c r="AI1625" s="245"/>
    </row>
    <row r="1626" spans="1:35" ht="26.4">
      <c r="A1626" s="245"/>
      <c r="B1626" s="245"/>
      <c r="C1626" s="245"/>
      <c r="D1626" s="245"/>
      <c r="E1626" s="245"/>
      <c r="F1626" s="280"/>
      <c r="G1626" s="245"/>
      <c r="H1626" s="245"/>
      <c r="I1626" s="245"/>
      <c r="L1626" s="123"/>
      <c r="P1626" s="366"/>
      <c r="R1626" s="355"/>
      <c r="S1626" s="369"/>
      <c r="T1626" s="328"/>
      <c r="U1626" s="85" ph="1"/>
      <c r="W1626" s="216"/>
      <c r="X1626" s="245"/>
      <c r="Y1626" s="187"/>
      <c r="Z1626" s="245"/>
      <c r="AA1626" s="245"/>
      <c r="AB1626" s="332"/>
      <c r="AD1626" s="245"/>
      <c r="AE1626" s="187"/>
      <c r="AF1626" s="367"/>
      <c r="AG1626" s="245"/>
      <c r="AI1626" s="245"/>
    </row>
    <row r="1627" spans="1:35" ht="26.4">
      <c r="A1627" s="245"/>
      <c r="B1627" s="245"/>
      <c r="C1627" s="245"/>
      <c r="D1627" s="245"/>
      <c r="E1627" s="245"/>
      <c r="F1627" s="280"/>
      <c r="G1627" s="245"/>
      <c r="H1627" s="245"/>
      <c r="I1627" s="245"/>
      <c r="L1627" s="123"/>
      <c r="P1627" s="366"/>
      <c r="R1627" s="355"/>
      <c r="S1627" s="369"/>
      <c r="T1627" s="328"/>
      <c r="U1627" s="85" ph="1"/>
      <c r="W1627" s="216"/>
      <c r="X1627" s="245"/>
      <c r="Y1627" s="187"/>
      <c r="Z1627" s="245"/>
      <c r="AA1627" s="245"/>
      <c r="AB1627" s="332"/>
      <c r="AD1627" s="245"/>
      <c r="AE1627" s="187"/>
      <c r="AF1627" s="367"/>
      <c r="AG1627" s="245"/>
      <c r="AI1627" s="245"/>
    </row>
    <row r="1628" spans="1:35" ht="26.4">
      <c r="A1628" s="245"/>
      <c r="B1628" s="245"/>
      <c r="C1628" s="245"/>
      <c r="D1628" s="245"/>
      <c r="E1628" s="245"/>
      <c r="F1628" s="280"/>
      <c r="G1628" s="245"/>
      <c r="H1628" s="245"/>
      <c r="I1628" s="245"/>
      <c r="L1628" s="123"/>
      <c r="P1628" s="366"/>
      <c r="R1628" s="355"/>
      <c r="S1628" s="369"/>
      <c r="T1628" s="328"/>
      <c r="U1628" s="85" ph="1"/>
      <c r="W1628" s="216"/>
      <c r="X1628" s="245"/>
      <c r="Y1628" s="187"/>
      <c r="Z1628" s="245"/>
      <c r="AA1628" s="245"/>
      <c r="AB1628" s="332"/>
      <c r="AD1628" s="245"/>
      <c r="AE1628" s="187"/>
      <c r="AF1628" s="367"/>
      <c r="AG1628" s="245"/>
      <c r="AI1628" s="245"/>
    </row>
    <row r="1629" spans="1:35" ht="26.4">
      <c r="A1629" s="245"/>
      <c r="B1629" s="245"/>
      <c r="C1629" s="245"/>
      <c r="D1629" s="245"/>
      <c r="E1629" s="245"/>
      <c r="F1629" s="280"/>
      <c r="G1629" s="245"/>
      <c r="H1629" s="245"/>
      <c r="I1629" s="245"/>
      <c r="L1629" s="123"/>
      <c r="P1629" s="366"/>
      <c r="R1629" s="355"/>
      <c r="S1629" s="369"/>
      <c r="T1629" s="328"/>
      <c r="U1629" s="85" ph="1"/>
      <c r="W1629" s="216"/>
      <c r="X1629" s="245"/>
      <c r="Y1629" s="187"/>
      <c r="Z1629" s="245"/>
      <c r="AA1629" s="245"/>
      <c r="AB1629" s="332"/>
      <c r="AD1629" s="245"/>
      <c r="AE1629" s="187"/>
      <c r="AF1629" s="367"/>
      <c r="AG1629" s="245"/>
      <c r="AI1629" s="245"/>
    </row>
    <row r="1630" spans="1:35" ht="26.4">
      <c r="A1630" s="245"/>
      <c r="B1630" s="245"/>
      <c r="C1630" s="245"/>
      <c r="D1630" s="245"/>
      <c r="E1630" s="245"/>
      <c r="F1630" s="280"/>
      <c r="G1630" s="245"/>
      <c r="H1630" s="245"/>
      <c r="I1630" s="245"/>
      <c r="L1630" s="123"/>
      <c r="P1630" s="366"/>
      <c r="R1630" s="355"/>
      <c r="S1630" s="369"/>
      <c r="T1630" s="328"/>
      <c r="U1630" s="85" ph="1"/>
      <c r="W1630" s="216"/>
      <c r="X1630" s="245"/>
      <c r="Y1630" s="187"/>
      <c r="Z1630" s="245"/>
      <c r="AA1630" s="245"/>
      <c r="AB1630" s="332"/>
      <c r="AD1630" s="245"/>
      <c r="AE1630" s="187"/>
      <c r="AF1630" s="367"/>
      <c r="AG1630" s="245"/>
      <c r="AI1630" s="245"/>
    </row>
    <row r="1631" spans="1:35" ht="26.4">
      <c r="A1631" s="245"/>
      <c r="B1631" s="245"/>
      <c r="C1631" s="245"/>
      <c r="D1631" s="245"/>
      <c r="E1631" s="245"/>
      <c r="F1631" s="280"/>
      <c r="G1631" s="245"/>
      <c r="H1631" s="245"/>
      <c r="I1631" s="245"/>
      <c r="L1631" s="123"/>
      <c r="P1631" s="366"/>
      <c r="R1631" s="355"/>
      <c r="S1631" s="369"/>
      <c r="T1631" s="328"/>
      <c r="U1631" s="85" ph="1"/>
      <c r="W1631" s="216"/>
      <c r="X1631" s="245"/>
      <c r="Y1631" s="187"/>
      <c r="Z1631" s="245"/>
      <c r="AA1631" s="245"/>
      <c r="AB1631" s="332"/>
      <c r="AD1631" s="245"/>
      <c r="AE1631" s="187"/>
      <c r="AF1631" s="367"/>
      <c r="AG1631" s="245"/>
      <c r="AI1631" s="245"/>
    </row>
    <row r="1632" spans="1:35" ht="26.4">
      <c r="A1632" s="245"/>
      <c r="B1632" s="245"/>
      <c r="C1632" s="245"/>
      <c r="D1632" s="245"/>
      <c r="E1632" s="245"/>
      <c r="F1632" s="280"/>
      <c r="G1632" s="245"/>
      <c r="H1632" s="245"/>
      <c r="I1632" s="245"/>
      <c r="L1632" s="123"/>
      <c r="P1632" s="366"/>
      <c r="R1632" s="355"/>
      <c r="S1632" s="369"/>
      <c r="T1632" s="328"/>
      <c r="U1632" s="85" ph="1"/>
      <c r="W1632" s="216"/>
      <c r="X1632" s="245"/>
      <c r="Y1632" s="187"/>
      <c r="Z1632" s="245"/>
      <c r="AA1632" s="245"/>
      <c r="AB1632" s="332"/>
      <c r="AD1632" s="245"/>
      <c r="AE1632" s="187"/>
      <c r="AF1632" s="367"/>
      <c r="AG1632" s="245"/>
      <c r="AI1632" s="245"/>
    </row>
    <row r="1633" spans="1:35">
      <c r="L1633" s="123"/>
      <c r="P1633" s="366"/>
      <c r="R1633" s="355"/>
      <c r="S1633" s="369"/>
    </row>
    <row r="1634" spans="1:35" ht="26.4">
      <c r="A1634" s="245"/>
      <c r="B1634" s="245"/>
      <c r="C1634" s="245"/>
      <c r="D1634" s="245"/>
      <c r="E1634" s="245"/>
      <c r="F1634" s="280"/>
      <c r="G1634" s="245"/>
      <c r="H1634" s="245"/>
      <c r="I1634" s="245"/>
      <c r="L1634" s="123"/>
      <c r="P1634" s="366"/>
      <c r="R1634" s="355"/>
      <c r="S1634" s="369"/>
      <c r="T1634" s="328"/>
      <c r="U1634" s="85" ph="1"/>
      <c r="W1634" s="216"/>
      <c r="X1634" s="245"/>
      <c r="Y1634" s="187"/>
      <c r="Z1634" s="245"/>
      <c r="AA1634" s="245"/>
      <c r="AB1634" s="332"/>
      <c r="AD1634" s="245"/>
      <c r="AE1634" s="187"/>
      <c r="AF1634" s="367"/>
      <c r="AG1634" s="245"/>
      <c r="AI1634" s="245"/>
    </row>
    <row r="1635" spans="1:35" ht="26.4">
      <c r="A1635" s="245"/>
      <c r="B1635" s="245"/>
      <c r="C1635" s="245"/>
      <c r="D1635" s="245"/>
      <c r="E1635" s="245"/>
      <c r="F1635" s="280"/>
      <c r="G1635" s="245"/>
      <c r="H1635" s="245"/>
      <c r="I1635" s="245"/>
      <c r="L1635" s="123"/>
      <c r="P1635" s="366"/>
      <c r="R1635" s="355"/>
      <c r="S1635" s="369"/>
      <c r="T1635" s="328"/>
      <c r="U1635" s="85" ph="1"/>
      <c r="W1635" s="216"/>
      <c r="X1635" s="245"/>
      <c r="Y1635" s="187"/>
      <c r="Z1635" s="245"/>
      <c r="AA1635" s="245"/>
      <c r="AB1635" s="332"/>
      <c r="AD1635" s="245"/>
      <c r="AE1635" s="187"/>
      <c r="AF1635" s="367"/>
      <c r="AG1635" s="245"/>
      <c r="AI1635" s="245"/>
    </row>
    <row r="1636" spans="1:35" ht="26.4">
      <c r="A1636" s="245"/>
      <c r="B1636" s="245"/>
      <c r="C1636" s="245"/>
      <c r="D1636" s="245"/>
      <c r="E1636" s="245"/>
      <c r="F1636" s="280"/>
      <c r="G1636" s="245"/>
      <c r="H1636" s="245"/>
      <c r="I1636" s="245"/>
      <c r="L1636" s="123"/>
      <c r="P1636" s="366"/>
      <c r="R1636" s="355"/>
      <c r="T1636" s="328"/>
      <c r="U1636" s="85" ph="1"/>
      <c r="W1636" s="216"/>
      <c r="X1636" s="245"/>
      <c r="Y1636" s="187"/>
      <c r="Z1636" s="245"/>
      <c r="AA1636" s="245"/>
      <c r="AB1636" s="332"/>
      <c r="AD1636" s="245"/>
      <c r="AE1636" s="187"/>
      <c r="AF1636" s="367"/>
      <c r="AG1636" s="245"/>
      <c r="AI1636" s="245"/>
    </row>
    <row r="1637" spans="1:35" ht="26.4">
      <c r="A1637" s="245"/>
      <c r="B1637" s="245"/>
      <c r="C1637" s="245"/>
      <c r="D1637" s="245"/>
      <c r="E1637" s="245"/>
      <c r="F1637" s="280"/>
      <c r="G1637" s="245"/>
      <c r="H1637" s="245"/>
      <c r="I1637" s="245"/>
      <c r="L1637" s="245"/>
      <c r="P1637" s="366"/>
      <c r="R1637" s="355"/>
      <c r="S1637" s="369"/>
      <c r="T1637" s="328"/>
      <c r="U1637" s="85" ph="1"/>
      <c r="W1637" s="216"/>
      <c r="X1637" s="245"/>
      <c r="Y1637" s="187"/>
      <c r="Z1637" s="245"/>
      <c r="AA1637" s="245"/>
      <c r="AB1637" s="332"/>
      <c r="AD1637" s="245"/>
      <c r="AE1637" s="187"/>
      <c r="AF1637" s="367"/>
      <c r="AG1637" s="245"/>
      <c r="AI1637" s="245"/>
    </row>
    <row r="1638" spans="1:35" ht="26.4">
      <c r="A1638" s="245"/>
      <c r="B1638" s="245"/>
      <c r="C1638" s="245"/>
      <c r="D1638" s="245"/>
      <c r="E1638" s="245"/>
      <c r="F1638" s="280"/>
      <c r="G1638" s="245"/>
      <c r="H1638" s="245"/>
      <c r="I1638" s="245"/>
      <c r="L1638" s="123"/>
      <c r="P1638" s="366"/>
      <c r="R1638" s="355"/>
      <c r="S1638" s="369"/>
      <c r="T1638" s="328"/>
      <c r="U1638" s="85" ph="1"/>
      <c r="W1638" s="216"/>
      <c r="X1638" s="245"/>
      <c r="Y1638" s="187"/>
      <c r="Z1638" s="245"/>
      <c r="AA1638" s="245"/>
      <c r="AB1638" s="332"/>
      <c r="AD1638" s="245"/>
      <c r="AE1638" s="187"/>
      <c r="AF1638" s="367"/>
      <c r="AG1638" s="245"/>
      <c r="AI1638" s="245"/>
    </row>
    <row r="1639" spans="1:35" ht="26.4">
      <c r="A1639" s="245"/>
      <c r="B1639" s="245"/>
      <c r="C1639" s="245"/>
      <c r="D1639" s="245"/>
      <c r="E1639" s="245"/>
      <c r="F1639" s="280"/>
      <c r="G1639" s="245"/>
      <c r="H1639" s="245"/>
      <c r="I1639" s="245"/>
      <c r="L1639" s="123"/>
      <c r="P1639" s="366"/>
      <c r="R1639" s="355"/>
      <c r="S1639" s="369"/>
      <c r="T1639" s="328"/>
      <c r="U1639" s="85" ph="1"/>
      <c r="W1639" s="216"/>
      <c r="X1639" s="245"/>
      <c r="Y1639" s="187"/>
      <c r="Z1639" s="245"/>
      <c r="AA1639" s="245"/>
      <c r="AB1639" s="332"/>
      <c r="AD1639" s="245"/>
      <c r="AE1639" s="187"/>
      <c r="AF1639" s="367"/>
      <c r="AG1639" s="245"/>
      <c r="AI1639" s="245"/>
    </row>
    <row r="1640" spans="1:35" ht="26.4">
      <c r="A1640" s="245"/>
      <c r="B1640" s="245"/>
      <c r="C1640" s="245"/>
      <c r="D1640" s="245"/>
      <c r="E1640" s="245"/>
      <c r="F1640" s="280"/>
      <c r="G1640" s="245"/>
      <c r="H1640" s="245"/>
      <c r="I1640" s="245"/>
      <c r="L1640" s="123"/>
      <c r="P1640" s="366"/>
      <c r="R1640" s="355"/>
      <c r="S1640" s="369"/>
      <c r="T1640" s="328"/>
      <c r="U1640" s="85" ph="1"/>
      <c r="W1640" s="216"/>
      <c r="X1640" s="245"/>
      <c r="Y1640" s="187"/>
      <c r="Z1640" s="245"/>
      <c r="AA1640" s="245"/>
      <c r="AB1640" s="332"/>
      <c r="AD1640" s="245"/>
      <c r="AE1640" s="187"/>
      <c r="AF1640" s="367"/>
      <c r="AG1640" s="245"/>
      <c r="AI1640" s="245"/>
    </row>
    <row r="1641" spans="1:35" ht="26.4">
      <c r="A1641" s="245"/>
      <c r="B1641" s="245"/>
      <c r="C1641" s="245"/>
      <c r="D1641" s="245"/>
      <c r="E1641" s="245"/>
      <c r="F1641" s="280"/>
      <c r="G1641" s="245"/>
      <c r="H1641" s="245"/>
      <c r="I1641" s="245"/>
      <c r="L1641" s="123"/>
      <c r="P1641" s="366"/>
      <c r="R1641" s="355"/>
      <c r="S1641" s="369"/>
      <c r="T1641" s="328"/>
      <c r="U1641" s="85" ph="1"/>
      <c r="W1641" s="216"/>
      <c r="X1641" s="245"/>
      <c r="Y1641" s="187"/>
      <c r="Z1641" s="245"/>
      <c r="AA1641" s="245"/>
      <c r="AB1641" s="332"/>
      <c r="AD1641" s="245"/>
      <c r="AE1641" s="187"/>
      <c r="AF1641" s="367"/>
      <c r="AG1641" s="245"/>
      <c r="AI1641" s="245"/>
    </row>
    <row r="1642" spans="1:35" ht="26.4">
      <c r="A1642" s="245"/>
      <c r="B1642" s="245"/>
      <c r="C1642" s="245"/>
      <c r="D1642" s="245"/>
      <c r="E1642" s="245"/>
      <c r="F1642" s="280"/>
      <c r="G1642" s="245"/>
      <c r="H1642" s="245"/>
      <c r="I1642" s="245"/>
      <c r="L1642" s="123"/>
      <c r="P1642" s="366"/>
      <c r="R1642" s="355"/>
      <c r="S1642" s="369"/>
      <c r="T1642" s="328"/>
      <c r="U1642" s="85" ph="1"/>
      <c r="W1642" s="216"/>
      <c r="X1642" s="245"/>
      <c r="Y1642" s="187"/>
      <c r="Z1642" s="245"/>
      <c r="AA1642" s="245"/>
      <c r="AB1642" s="332"/>
      <c r="AD1642" s="245"/>
      <c r="AE1642" s="187"/>
      <c r="AF1642" s="367"/>
      <c r="AG1642" s="245"/>
      <c r="AI1642" s="245"/>
    </row>
    <row r="1643" spans="1:35" ht="26.4">
      <c r="A1643" s="245"/>
      <c r="B1643" s="245"/>
      <c r="C1643" s="245"/>
      <c r="D1643" s="245"/>
      <c r="E1643" s="245"/>
      <c r="F1643" s="280"/>
      <c r="G1643" s="245"/>
      <c r="H1643" s="245"/>
      <c r="I1643" s="245"/>
      <c r="L1643" s="123"/>
      <c r="P1643" s="366"/>
      <c r="R1643" s="355"/>
      <c r="S1643" s="369"/>
      <c r="T1643" s="328"/>
      <c r="U1643" s="85" ph="1"/>
      <c r="W1643" s="216"/>
      <c r="X1643" s="245"/>
      <c r="Y1643" s="187"/>
      <c r="Z1643" s="245"/>
      <c r="AA1643" s="245"/>
      <c r="AB1643" s="332"/>
      <c r="AD1643" s="245"/>
      <c r="AE1643" s="187"/>
      <c r="AF1643" s="367"/>
      <c r="AG1643" s="245"/>
      <c r="AI1643" s="245"/>
    </row>
    <row r="1644" spans="1:35" ht="26.4">
      <c r="A1644" s="245"/>
      <c r="B1644" s="245"/>
      <c r="C1644" s="245"/>
      <c r="D1644" s="245"/>
      <c r="E1644" s="245"/>
      <c r="F1644" s="280"/>
      <c r="G1644" s="245"/>
      <c r="H1644" s="245"/>
      <c r="I1644" s="245"/>
      <c r="L1644" s="123"/>
      <c r="P1644" s="366"/>
      <c r="R1644" s="355"/>
      <c r="S1644" s="369"/>
      <c r="T1644" s="328"/>
      <c r="U1644" s="85" ph="1"/>
      <c r="W1644" s="216"/>
      <c r="X1644" s="245"/>
      <c r="Y1644" s="187"/>
      <c r="Z1644" s="245"/>
      <c r="AA1644" s="245"/>
      <c r="AB1644" s="332"/>
      <c r="AD1644" s="245"/>
      <c r="AE1644" s="187"/>
      <c r="AF1644" s="367"/>
      <c r="AG1644" s="245"/>
      <c r="AI1644" s="245"/>
    </row>
    <row r="1645" spans="1:35" ht="26.4">
      <c r="A1645" s="245"/>
      <c r="B1645" s="245"/>
      <c r="C1645" s="245"/>
      <c r="D1645" s="245"/>
      <c r="E1645" s="245"/>
      <c r="F1645" s="280"/>
      <c r="G1645" s="245"/>
      <c r="H1645" s="245"/>
      <c r="I1645" s="245"/>
      <c r="L1645" s="123"/>
      <c r="P1645" s="366"/>
      <c r="R1645" s="355"/>
      <c r="T1645" s="328"/>
      <c r="U1645" s="85" ph="1"/>
      <c r="W1645" s="216"/>
      <c r="X1645" s="245"/>
      <c r="Y1645" s="187"/>
      <c r="Z1645" s="245"/>
      <c r="AA1645" s="245"/>
      <c r="AB1645" s="332"/>
      <c r="AD1645" s="245"/>
      <c r="AE1645" s="187"/>
      <c r="AF1645" s="367"/>
      <c r="AG1645" s="245"/>
      <c r="AI1645" s="245"/>
    </row>
    <row r="1646" spans="1:35" ht="26.4">
      <c r="A1646" s="245"/>
      <c r="B1646" s="245"/>
      <c r="C1646" s="245"/>
      <c r="D1646" s="245"/>
      <c r="E1646" s="245"/>
      <c r="F1646" s="280"/>
      <c r="G1646" s="245"/>
      <c r="H1646" s="245"/>
      <c r="I1646" s="245"/>
      <c r="L1646" s="123"/>
      <c r="P1646" s="366"/>
      <c r="R1646" s="355"/>
      <c r="S1646" s="369"/>
      <c r="T1646" s="328"/>
      <c r="U1646" s="85" ph="1"/>
      <c r="W1646" s="216"/>
      <c r="X1646" s="245"/>
      <c r="Y1646" s="187"/>
      <c r="Z1646" s="245"/>
      <c r="AA1646" s="245"/>
      <c r="AB1646" s="332"/>
      <c r="AD1646" s="245"/>
      <c r="AE1646" s="187"/>
      <c r="AF1646" s="367"/>
      <c r="AG1646" s="245"/>
      <c r="AI1646" s="245"/>
    </row>
    <row r="1647" spans="1:35" ht="26.4">
      <c r="A1647" s="245"/>
      <c r="B1647" s="245"/>
      <c r="C1647" s="245"/>
      <c r="D1647" s="245"/>
      <c r="E1647" s="245"/>
      <c r="F1647" s="280"/>
      <c r="G1647" s="245"/>
      <c r="H1647" s="245"/>
      <c r="I1647" s="245"/>
      <c r="L1647" s="123"/>
      <c r="P1647" s="366"/>
      <c r="R1647" s="355"/>
      <c r="S1647" s="369"/>
      <c r="T1647" s="328"/>
      <c r="U1647" s="85" ph="1"/>
      <c r="W1647" s="216"/>
      <c r="X1647" s="245"/>
      <c r="Y1647" s="187"/>
      <c r="Z1647" s="245"/>
      <c r="AA1647" s="245"/>
      <c r="AB1647" s="332"/>
      <c r="AD1647" s="245"/>
      <c r="AE1647" s="187"/>
      <c r="AF1647" s="367"/>
      <c r="AG1647" s="245"/>
      <c r="AI1647" s="245"/>
    </row>
    <row r="1648" spans="1:35" ht="26.4">
      <c r="A1648" s="245"/>
      <c r="B1648" s="245"/>
      <c r="C1648" s="245"/>
      <c r="D1648" s="245"/>
      <c r="E1648" s="245"/>
      <c r="F1648" s="280"/>
      <c r="G1648" s="245"/>
      <c r="H1648" s="245"/>
      <c r="I1648" s="245"/>
      <c r="L1648" s="123"/>
      <c r="P1648" s="366"/>
      <c r="R1648" s="355"/>
      <c r="S1648" s="369"/>
      <c r="T1648" s="328"/>
      <c r="U1648" s="85" ph="1"/>
      <c r="W1648" s="216"/>
      <c r="X1648" s="245"/>
      <c r="Y1648" s="187"/>
      <c r="Z1648" s="245"/>
      <c r="AA1648" s="245"/>
      <c r="AB1648" s="332"/>
      <c r="AD1648" s="245"/>
      <c r="AE1648" s="187"/>
      <c r="AF1648" s="367"/>
      <c r="AG1648" s="245"/>
      <c r="AI1648" s="245"/>
    </row>
    <row r="1649" spans="1:35" ht="26.4">
      <c r="A1649" s="245"/>
      <c r="B1649" s="245"/>
      <c r="C1649" s="245"/>
      <c r="D1649" s="245"/>
      <c r="E1649" s="245"/>
      <c r="F1649" s="280"/>
      <c r="G1649" s="245"/>
      <c r="H1649" s="245"/>
      <c r="I1649" s="245"/>
      <c r="L1649" s="123"/>
      <c r="P1649" s="366"/>
      <c r="R1649" s="355"/>
      <c r="S1649" s="369"/>
      <c r="T1649" s="328"/>
      <c r="U1649" s="85" ph="1"/>
      <c r="W1649" s="216"/>
      <c r="X1649" s="245"/>
      <c r="Y1649" s="187"/>
      <c r="Z1649" s="245"/>
      <c r="AA1649" s="245"/>
      <c r="AB1649" s="332"/>
      <c r="AD1649" s="245"/>
      <c r="AE1649" s="187"/>
      <c r="AF1649" s="367"/>
      <c r="AG1649" s="245"/>
      <c r="AI1649" s="245"/>
    </row>
    <row r="1650" spans="1:35" ht="26.4">
      <c r="A1650" s="245"/>
      <c r="B1650" s="245"/>
      <c r="C1650" s="245"/>
      <c r="D1650" s="245"/>
      <c r="E1650" s="245"/>
      <c r="F1650" s="280"/>
      <c r="G1650" s="245"/>
      <c r="H1650" s="245"/>
      <c r="I1650" s="245"/>
      <c r="L1650" s="123"/>
      <c r="P1650" s="366"/>
      <c r="R1650" s="355"/>
      <c r="S1650" s="369"/>
      <c r="T1650" s="328"/>
      <c r="U1650" s="85" ph="1"/>
      <c r="W1650" s="216"/>
      <c r="X1650" s="245"/>
      <c r="Y1650" s="187"/>
      <c r="Z1650" s="245"/>
      <c r="AA1650" s="245"/>
      <c r="AB1650" s="332"/>
      <c r="AD1650" s="245"/>
      <c r="AE1650" s="187"/>
      <c r="AF1650" s="367"/>
      <c r="AG1650" s="245"/>
      <c r="AI1650" s="245"/>
    </row>
    <row r="1651" spans="1:35" ht="26.4">
      <c r="A1651" s="245"/>
      <c r="B1651" s="245"/>
      <c r="C1651" s="245"/>
      <c r="D1651" s="245"/>
      <c r="E1651" s="245"/>
      <c r="F1651" s="280"/>
      <c r="G1651" s="245"/>
      <c r="H1651" s="245"/>
      <c r="I1651" s="245"/>
      <c r="L1651" s="123"/>
      <c r="P1651" s="366"/>
      <c r="R1651" s="355"/>
      <c r="S1651" s="369"/>
      <c r="T1651" s="328"/>
      <c r="U1651" s="85" ph="1"/>
      <c r="W1651" s="216"/>
      <c r="X1651" s="245"/>
      <c r="Y1651" s="187"/>
      <c r="Z1651" s="245"/>
      <c r="AA1651" s="245"/>
      <c r="AB1651" s="332"/>
      <c r="AD1651" s="245"/>
      <c r="AE1651" s="187"/>
      <c r="AF1651" s="367"/>
      <c r="AG1651" s="245"/>
      <c r="AI1651" s="245"/>
    </row>
    <row r="1652" spans="1:35" ht="26.4">
      <c r="A1652" s="245"/>
      <c r="B1652" s="245"/>
      <c r="C1652" s="245"/>
      <c r="D1652" s="245"/>
      <c r="E1652" s="245"/>
      <c r="F1652" s="280"/>
      <c r="G1652" s="245"/>
      <c r="H1652" s="245"/>
      <c r="I1652" s="245"/>
      <c r="L1652" s="27"/>
      <c r="P1652" s="366"/>
      <c r="R1652" s="355"/>
      <c r="S1652" s="369"/>
      <c r="T1652" s="328"/>
      <c r="U1652" s="85" ph="1"/>
      <c r="W1652" s="216"/>
      <c r="X1652" s="245"/>
      <c r="Y1652" s="187"/>
      <c r="Z1652" s="245"/>
      <c r="AA1652" s="245"/>
      <c r="AB1652" s="332"/>
      <c r="AD1652" s="245"/>
      <c r="AE1652" s="187"/>
      <c r="AF1652" s="367"/>
      <c r="AG1652" s="245"/>
      <c r="AI1652" s="245"/>
    </row>
    <row r="1653" spans="1:35" ht="26.4">
      <c r="A1653" s="245"/>
      <c r="B1653" s="245"/>
      <c r="C1653" s="245"/>
      <c r="D1653" s="245"/>
      <c r="E1653" s="245"/>
      <c r="F1653" s="280"/>
      <c r="G1653" s="245"/>
      <c r="H1653" s="245"/>
      <c r="I1653" s="245"/>
      <c r="L1653" s="123"/>
      <c r="P1653" s="366"/>
      <c r="R1653" s="355"/>
      <c r="S1653" s="369"/>
      <c r="T1653" s="328"/>
      <c r="U1653" s="85" ph="1"/>
      <c r="W1653" s="216"/>
      <c r="X1653" s="245"/>
      <c r="Y1653" s="187"/>
      <c r="Z1653" s="245"/>
      <c r="AA1653" s="245"/>
      <c r="AB1653" s="332"/>
      <c r="AD1653" s="245"/>
      <c r="AE1653" s="187"/>
      <c r="AF1653" s="367"/>
      <c r="AG1653" s="245"/>
      <c r="AI1653" s="245"/>
    </row>
    <row r="1654" spans="1:35" ht="26.4">
      <c r="A1654" s="245"/>
      <c r="B1654" s="245"/>
      <c r="C1654" s="245"/>
      <c r="D1654" s="245"/>
      <c r="E1654" s="245"/>
      <c r="F1654" s="280"/>
      <c r="G1654" s="245"/>
      <c r="H1654" s="245"/>
      <c r="I1654" s="245"/>
      <c r="L1654" s="123"/>
      <c r="P1654" s="366"/>
      <c r="R1654" s="355"/>
      <c r="S1654" s="369"/>
      <c r="T1654" s="328"/>
      <c r="U1654" s="85" ph="1"/>
      <c r="W1654" s="216"/>
      <c r="X1654" s="245"/>
      <c r="Y1654" s="187"/>
      <c r="Z1654" s="245"/>
      <c r="AA1654" s="245"/>
      <c r="AB1654" s="332"/>
      <c r="AD1654" s="245"/>
      <c r="AE1654" s="187"/>
      <c r="AF1654" s="367"/>
      <c r="AG1654" s="245"/>
      <c r="AI1654" s="245"/>
    </row>
    <row r="1655" spans="1:35" ht="26.4">
      <c r="A1655" s="245"/>
      <c r="B1655" s="245"/>
      <c r="C1655" s="245"/>
      <c r="D1655" s="245"/>
      <c r="E1655" s="245"/>
      <c r="F1655" s="280"/>
      <c r="G1655" s="245"/>
      <c r="H1655" s="245"/>
      <c r="I1655" s="245"/>
      <c r="L1655" s="123"/>
      <c r="P1655" s="366"/>
      <c r="R1655" s="355"/>
      <c r="S1655" s="369"/>
      <c r="T1655" s="328"/>
      <c r="U1655" s="85" ph="1"/>
      <c r="W1655" s="216"/>
      <c r="X1655" s="245"/>
      <c r="Y1655" s="187"/>
      <c r="Z1655" s="245"/>
      <c r="AA1655" s="245"/>
      <c r="AB1655" s="332"/>
      <c r="AD1655" s="245"/>
      <c r="AE1655" s="187"/>
      <c r="AF1655" s="367"/>
      <c r="AG1655" s="245"/>
      <c r="AI1655" s="245"/>
    </row>
    <row r="1656" spans="1:35" ht="26.4">
      <c r="A1656" s="245"/>
      <c r="B1656" s="245"/>
      <c r="C1656" s="245"/>
      <c r="D1656" s="245"/>
      <c r="E1656" s="245"/>
      <c r="F1656" s="280"/>
      <c r="G1656" s="245"/>
      <c r="H1656" s="245"/>
      <c r="I1656" s="245"/>
      <c r="L1656" s="123"/>
      <c r="P1656" s="366"/>
      <c r="R1656" s="355"/>
      <c r="S1656" s="369"/>
      <c r="T1656" s="328"/>
      <c r="U1656" s="85" ph="1"/>
      <c r="W1656" s="216"/>
      <c r="X1656" s="245"/>
      <c r="Y1656" s="187"/>
      <c r="Z1656" s="245"/>
      <c r="AA1656" s="245"/>
      <c r="AB1656" s="332"/>
      <c r="AD1656" s="245"/>
      <c r="AE1656" s="187"/>
      <c r="AF1656" s="367"/>
      <c r="AG1656" s="245"/>
      <c r="AI1656" s="245"/>
    </row>
    <row r="1657" spans="1:35" ht="26.4">
      <c r="A1657" s="245"/>
      <c r="B1657" s="245"/>
      <c r="C1657" s="245"/>
      <c r="D1657" s="245"/>
      <c r="E1657" s="245"/>
      <c r="F1657" s="280"/>
      <c r="G1657" s="245"/>
      <c r="H1657" s="245"/>
      <c r="I1657" s="245"/>
      <c r="L1657" s="123"/>
      <c r="P1657" s="366"/>
      <c r="R1657" s="355"/>
      <c r="S1657" s="369"/>
      <c r="T1657" s="328"/>
      <c r="U1657" s="85" ph="1"/>
      <c r="W1657" s="216"/>
      <c r="X1657" s="245"/>
      <c r="Y1657" s="187"/>
      <c r="Z1657" s="245"/>
      <c r="AA1657" s="245"/>
      <c r="AB1657" s="332"/>
      <c r="AD1657" s="245"/>
      <c r="AE1657" s="187"/>
      <c r="AF1657" s="367"/>
      <c r="AG1657" s="245"/>
      <c r="AI1657" s="245"/>
    </row>
    <row r="1658" spans="1:35" ht="26.4">
      <c r="A1658" s="245"/>
      <c r="B1658" s="245"/>
      <c r="C1658" s="245"/>
      <c r="D1658" s="245"/>
      <c r="E1658" s="245"/>
      <c r="F1658" s="280"/>
      <c r="G1658" s="245"/>
      <c r="H1658" s="245"/>
      <c r="I1658" s="245"/>
      <c r="L1658" s="123"/>
      <c r="P1658" s="366"/>
      <c r="R1658" s="355"/>
      <c r="S1658" s="369"/>
      <c r="T1658" s="328"/>
      <c r="U1658" s="85" ph="1"/>
      <c r="W1658" s="216"/>
      <c r="X1658" s="245"/>
      <c r="Y1658" s="187"/>
      <c r="Z1658" s="245"/>
      <c r="AA1658" s="245"/>
      <c r="AB1658" s="332"/>
      <c r="AD1658" s="245"/>
      <c r="AE1658" s="187"/>
      <c r="AF1658" s="367"/>
      <c r="AG1658" s="245"/>
      <c r="AI1658" s="245"/>
    </row>
    <row r="1659" spans="1:35" ht="26.4">
      <c r="A1659" s="245"/>
      <c r="B1659" s="245"/>
      <c r="C1659" s="245"/>
      <c r="D1659" s="245"/>
      <c r="E1659" s="245"/>
      <c r="F1659" s="280"/>
      <c r="G1659" s="245"/>
      <c r="H1659" s="245"/>
      <c r="I1659" s="245"/>
      <c r="L1659" s="123"/>
      <c r="P1659" s="366"/>
      <c r="R1659" s="355"/>
      <c r="S1659" s="369"/>
      <c r="T1659" s="328"/>
      <c r="U1659" s="85" ph="1"/>
      <c r="W1659" s="216"/>
      <c r="X1659" s="245"/>
      <c r="Y1659" s="187"/>
      <c r="Z1659" s="245"/>
      <c r="AA1659" s="245"/>
      <c r="AB1659" s="332"/>
      <c r="AD1659" s="245"/>
      <c r="AE1659" s="187"/>
      <c r="AF1659" s="367"/>
      <c r="AG1659" s="245"/>
      <c r="AI1659" s="245"/>
    </row>
    <row r="1660" spans="1:35" ht="26.4">
      <c r="A1660" s="245"/>
      <c r="B1660" s="245"/>
      <c r="C1660" s="245"/>
      <c r="D1660" s="245"/>
      <c r="E1660" s="245"/>
      <c r="F1660" s="280"/>
      <c r="G1660" s="245"/>
      <c r="H1660" s="245"/>
      <c r="I1660" s="245"/>
      <c r="L1660" s="123"/>
      <c r="P1660" s="366"/>
      <c r="R1660" s="355"/>
      <c r="S1660" s="369"/>
      <c r="T1660" s="328"/>
      <c r="U1660" s="85" ph="1"/>
      <c r="W1660" s="216"/>
      <c r="X1660" s="245"/>
      <c r="Y1660" s="187"/>
      <c r="Z1660" s="245"/>
      <c r="AA1660" s="245"/>
      <c r="AB1660" s="332"/>
      <c r="AD1660" s="245"/>
      <c r="AE1660" s="187"/>
      <c r="AF1660" s="367"/>
      <c r="AG1660" s="245"/>
      <c r="AI1660" s="245"/>
    </row>
    <row r="1661" spans="1:35" ht="26.4">
      <c r="A1661" s="245"/>
      <c r="B1661" s="245"/>
      <c r="C1661" s="245"/>
      <c r="D1661" s="245"/>
      <c r="E1661" s="245"/>
      <c r="F1661" s="280"/>
      <c r="G1661" s="245"/>
      <c r="H1661" s="245"/>
      <c r="I1661" s="245"/>
      <c r="L1661" s="123"/>
      <c r="P1661" s="366"/>
      <c r="R1661" s="355"/>
      <c r="S1661" s="369"/>
      <c r="T1661" s="328"/>
      <c r="U1661" s="85" ph="1"/>
      <c r="W1661" s="216"/>
      <c r="X1661" s="245"/>
      <c r="Y1661" s="187"/>
      <c r="Z1661" s="245"/>
      <c r="AA1661" s="245"/>
      <c r="AB1661" s="332"/>
      <c r="AD1661" s="245"/>
      <c r="AE1661" s="187"/>
      <c r="AF1661" s="367"/>
      <c r="AG1661" s="245"/>
      <c r="AI1661" s="245"/>
    </row>
    <row r="1662" spans="1:35" ht="26.4">
      <c r="A1662" s="245"/>
      <c r="B1662" s="245"/>
      <c r="C1662" s="245"/>
      <c r="D1662" s="245"/>
      <c r="E1662" s="245"/>
      <c r="F1662" s="280"/>
      <c r="G1662" s="245"/>
      <c r="H1662" s="245"/>
      <c r="I1662" s="245"/>
      <c r="L1662" s="123"/>
      <c r="P1662" s="366"/>
      <c r="R1662" s="355"/>
      <c r="S1662" s="369"/>
      <c r="T1662" s="328"/>
      <c r="U1662" s="85" ph="1"/>
      <c r="W1662" s="216"/>
      <c r="X1662" s="245"/>
      <c r="Y1662" s="187"/>
      <c r="Z1662" s="245"/>
      <c r="AA1662" s="245"/>
      <c r="AB1662" s="332"/>
      <c r="AD1662" s="245"/>
      <c r="AE1662" s="187"/>
      <c r="AF1662" s="367"/>
      <c r="AG1662" s="245"/>
      <c r="AI1662" s="245"/>
    </row>
    <row r="1663" spans="1:35" ht="26.4">
      <c r="A1663" s="245"/>
      <c r="B1663" s="245"/>
      <c r="C1663" s="245"/>
      <c r="D1663" s="245"/>
      <c r="E1663" s="245"/>
      <c r="F1663" s="280"/>
      <c r="G1663" s="245"/>
      <c r="H1663" s="245"/>
      <c r="I1663" s="245"/>
      <c r="L1663" s="123"/>
      <c r="P1663" s="366"/>
      <c r="R1663" s="355"/>
      <c r="S1663" s="369"/>
      <c r="T1663" s="328"/>
      <c r="U1663" s="85" ph="1"/>
      <c r="W1663" s="216"/>
      <c r="X1663" s="245"/>
      <c r="Y1663" s="187"/>
      <c r="Z1663" s="245"/>
      <c r="AA1663" s="245"/>
      <c r="AB1663" s="332"/>
      <c r="AD1663" s="245"/>
      <c r="AE1663" s="187"/>
      <c r="AF1663" s="367"/>
      <c r="AG1663" s="245"/>
      <c r="AI1663" s="245"/>
    </row>
    <row r="1664" spans="1:35" ht="26.4">
      <c r="A1664" s="245"/>
      <c r="B1664" s="245"/>
      <c r="C1664" s="245"/>
      <c r="D1664" s="245"/>
      <c r="E1664" s="245"/>
      <c r="F1664" s="280"/>
      <c r="G1664" s="245"/>
      <c r="H1664" s="245"/>
      <c r="I1664" s="245"/>
      <c r="L1664" s="123"/>
      <c r="P1664" s="366"/>
      <c r="R1664" s="355"/>
      <c r="S1664" s="369"/>
      <c r="T1664" s="328"/>
      <c r="U1664" s="85" ph="1"/>
      <c r="W1664" s="216"/>
      <c r="X1664" s="245"/>
      <c r="Y1664" s="187"/>
      <c r="Z1664" s="245"/>
      <c r="AA1664" s="245"/>
      <c r="AB1664" s="332"/>
      <c r="AD1664" s="245"/>
      <c r="AE1664" s="187"/>
      <c r="AF1664" s="367"/>
      <c r="AG1664" s="245"/>
      <c r="AI1664" s="245"/>
    </row>
    <row r="1665" spans="1:35" ht="26.4">
      <c r="A1665" s="245"/>
      <c r="B1665" s="245"/>
      <c r="C1665" s="245"/>
      <c r="D1665" s="245"/>
      <c r="E1665" s="245"/>
      <c r="F1665" s="280"/>
      <c r="G1665" s="245"/>
      <c r="H1665" s="245"/>
      <c r="I1665" s="245"/>
      <c r="L1665" s="123"/>
      <c r="P1665" s="366"/>
      <c r="R1665" s="355"/>
      <c r="S1665" s="369"/>
      <c r="T1665" s="328"/>
      <c r="U1665" s="85" ph="1"/>
      <c r="W1665" s="216"/>
      <c r="X1665" s="245"/>
      <c r="Y1665" s="187"/>
      <c r="Z1665" s="245"/>
      <c r="AA1665" s="245"/>
      <c r="AB1665" s="332"/>
      <c r="AD1665" s="245"/>
      <c r="AE1665" s="187"/>
      <c r="AF1665" s="367"/>
      <c r="AG1665" s="245"/>
      <c r="AI1665" s="245"/>
    </row>
    <row r="1666" spans="1:35" ht="26.4">
      <c r="A1666" s="245"/>
      <c r="B1666" s="245"/>
      <c r="C1666" s="245"/>
      <c r="D1666" s="245"/>
      <c r="E1666" s="245"/>
      <c r="F1666" s="280"/>
      <c r="G1666" s="245"/>
      <c r="H1666" s="245"/>
      <c r="I1666" s="245"/>
      <c r="L1666" s="245"/>
      <c r="P1666" s="366"/>
      <c r="R1666" s="355"/>
      <c r="S1666" s="369"/>
      <c r="T1666" s="328"/>
      <c r="U1666" s="85" ph="1"/>
      <c r="W1666" s="216"/>
      <c r="X1666" s="245"/>
      <c r="Y1666" s="187"/>
      <c r="Z1666" s="245"/>
      <c r="AA1666" s="245"/>
      <c r="AB1666" s="332"/>
      <c r="AD1666" s="245"/>
      <c r="AE1666" s="187"/>
      <c r="AF1666" s="367"/>
      <c r="AG1666" s="245"/>
      <c r="AI1666" s="245"/>
    </row>
    <row r="1667" spans="1:35" ht="26.4">
      <c r="A1667" s="245"/>
      <c r="B1667" s="245"/>
      <c r="C1667" s="245"/>
      <c r="D1667" s="245"/>
      <c r="E1667" s="245"/>
      <c r="F1667" s="280"/>
      <c r="G1667" s="245"/>
      <c r="H1667" s="245"/>
      <c r="I1667" s="245"/>
      <c r="L1667" s="123"/>
      <c r="P1667" s="366"/>
      <c r="R1667" s="355"/>
      <c r="S1667" s="369"/>
      <c r="T1667" s="328"/>
      <c r="U1667" s="85" ph="1"/>
      <c r="W1667" s="216"/>
      <c r="X1667" s="245"/>
      <c r="Y1667" s="187"/>
      <c r="Z1667" s="245"/>
      <c r="AA1667" s="245"/>
      <c r="AB1667" s="332"/>
      <c r="AD1667" s="245"/>
      <c r="AE1667" s="187"/>
      <c r="AF1667" s="367"/>
      <c r="AG1667" s="245"/>
      <c r="AI1667" s="245"/>
    </row>
    <row r="1668" spans="1:35" ht="26.4">
      <c r="A1668" s="245"/>
      <c r="B1668" s="245"/>
      <c r="C1668" s="245"/>
      <c r="D1668" s="245"/>
      <c r="E1668" s="245"/>
      <c r="F1668" s="280"/>
      <c r="G1668" s="245"/>
      <c r="H1668" s="245"/>
      <c r="I1668" s="245"/>
      <c r="L1668" s="123"/>
      <c r="P1668" s="366"/>
      <c r="R1668" s="355"/>
      <c r="S1668" s="369"/>
      <c r="T1668" s="328"/>
      <c r="U1668" s="85" ph="1"/>
      <c r="W1668" s="216"/>
      <c r="X1668" s="245"/>
      <c r="Y1668" s="187"/>
      <c r="Z1668" s="245"/>
      <c r="AA1668" s="245"/>
      <c r="AB1668" s="332"/>
      <c r="AD1668" s="245"/>
      <c r="AE1668" s="187"/>
      <c r="AF1668" s="367"/>
      <c r="AG1668" s="245"/>
      <c r="AI1668" s="245"/>
    </row>
    <row r="1669" spans="1:35" ht="26.4">
      <c r="A1669" s="245"/>
      <c r="B1669" s="245"/>
      <c r="C1669" s="245"/>
      <c r="D1669" s="245"/>
      <c r="E1669" s="245"/>
      <c r="F1669" s="280"/>
      <c r="G1669" s="245"/>
      <c r="H1669" s="245"/>
      <c r="I1669" s="245"/>
      <c r="L1669" s="123"/>
      <c r="P1669" s="366"/>
      <c r="R1669" s="355"/>
      <c r="S1669" s="369"/>
      <c r="T1669" s="328"/>
      <c r="U1669" s="85" ph="1"/>
      <c r="W1669" s="216"/>
      <c r="X1669" s="245"/>
      <c r="Y1669" s="187"/>
      <c r="Z1669" s="245"/>
      <c r="AA1669" s="245"/>
      <c r="AB1669" s="332"/>
      <c r="AD1669" s="245"/>
      <c r="AE1669" s="187"/>
      <c r="AF1669" s="367"/>
      <c r="AG1669" s="245"/>
      <c r="AI1669" s="245"/>
    </row>
    <row r="1670" spans="1:35" ht="26.4">
      <c r="A1670" s="245"/>
      <c r="B1670" s="245"/>
      <c r="C1670" s="245"/>
      <c r="D1670" s="245"/>
      <c r="E1670" s="245"/>
      <c r="F1670" s="280"/>
      <c r="G1670" s="245"/>
      <c r="H1670" s="245"/>
      <c r="I1670" s="245"/>
      <c r="L1670" s="123"/>
      <c r="P1670" s="366"/>
      <c r="R1670" s="355"/>
      <c r="S1670" s="369"/>
      <c r="T1670" s="328"/>
      <c r="U1670" s="85" ph="1"/>
      <c r="W1670" s="216"/>
      <c r="X1670" s="245"/>
      <c r="Y1670" s="187"/>
      <c r="Z1670" s="245"/>
      <c r="AA1670" s="245"/>
      <c r="AB1670" s="332"/>
      <c r="AD1670" s="245"/>
      <c r="AE1670" s="187"/>
      <c r="AF1670" s="367"/>
      <c r="AG1670" s="245"/>
      <c r="AI1670" s="245"/>
    </row>
    <row r="1671" spans="1:35" ht="26.4">
      <c r="A1671" s="245"/>
      <c r="B1671" s="245"/>
      <c r="C1671" s="245"/>
      <c r="D1671" s="245"/>
      <c r="E1671" s="245"/>
      <c r="F1671" s="280"/>
      <c r="G1671" s="245"/>
      <c r="H1671" s="245"/>
      <c r="I1671" s="245"/>
      <c r="L1671" s="123"/>
      <c r="P1671" s="366"/>
      <c r="R1671" s="355"/>
      <c r="S1671" s="369"/>
      <c r="T1671" s="328"/>
      <c r="U1671" s="85" ph="1"/>
      <c r="W1671" s="216"/>
      <c r="X1671" s="245"/>
      <c r="Y1671" s="187"/>
      <c r="Z1671" s="245"/>
      <c r="AA1671" s="245"/>
      <c r="AB1671" s="332"/>
      <c r="AD1671" s="245"/>
      <c r="AE1671" s="187"/>
      <c r="AF1671" s="367"/>
      <c r="AG1671" s="245"/>
      <c r="AI1671" s="245"/>
    </row>
    <row r="1672" spans="1:35" ht="26.4">
      <c r="A1672" s="245"/>
      <c r="B1672" s="245"/>
      <c r="C1672" s="245"/>
      <c r="D1672" s="245"/>
      <c r="E1672" s="245"/>
      <c r="F1672" s="280"/>
      <c r="G1672" s="245"/>
      <c r="H1672" s="245"/>
      <c r="I1672" s="245"/>
      <c r="L1672" s="123"/>
      <c r="P1672" s="366"/>
      <c r="R1672" s="355"/>
      <c r="S1672" s="369"/>
      <c r="T1672" s="328"/>
      <c r="U1672" s="85" ph="1"/>
      <c r="W1672" s="216"/>
      <c r="X1672" s="245"/>
      <c r="Y1672" s="187"/>
      <c r="Z1672" s="245"/>
      <c r="AA1672" s="245"/>
      <c r="AB1672" s="332"/>
      <c r="AD1672" s="245"/>
      <c r="AE1672" s="187"/>
      <c r="AF1672" s="367"/>
      <c r="AG1672" s="245"/>
      <c r="AI1672" s="245"/>
    </row>
    <row r="1673" spans="1:35" ht="26.4">
      <c r="A1673" s="245"/>
      <c r="B1673" s="245"/>
      <c r="C1673" s="245"/>
      <c r="D1673" s="245"/>
      <c r="E1673" s="245"/>
      <c r="F1673" s="280"/>
      <c r="G1673" s="245"/>
      <c r="H1673" s="245"/>
      <c r="I1673" s="245"/>
      <c r="L1673" s="123"/>
      <c r="P1673" s="366"/>
      <c r="R1673" s="355"/>
      <c r="S1673" s="369"/>
      <c r="T1673" s="328"/>
      <c r="U1673" s="85" ph="1"/>
      <c r="W1673" s="216"/>
      <c r="X1673" s="245"/>
      <c r="Y1673" s="187"/>
      <c r="Z1673" s="245"/>
      <c r="AA1673" s="245"/>
      <c r="AB1673" s="332"/>
      <c r="AD1673" s="245"/>
      <c r="AE1673" s="187"/>
      <c r="AF1673" s="367"/>
      <c r="AG1673" s="245"/>
      <c r="AI1673" s="245"/>
    </row>
    <row r="1674" spans="1:35" ht="26.4">
      <c r="A1674" s="245"/>
      <c r="B1674" s="245"/>
      <c r="C1674" s="245"/>
      <c r="D1674" s="245"/>
      <c r="E1674" s="245"/>
      <c r="F1674" s="280"/>
      <c r="G1674" s="245"/>
      <c r="H1674" s="245"/>
      <c r="I1674" s="245"/>
      <c r="L1674" s="123"/>
      <c r="P1674" s="366"/>
      <c r="R1674" s="355"/>
      <c r="S1674" s="369"/>
      <c r="T1674" s="328"/>
      <c r="U1674" s="85" ph="1"/>
      <c r="W1674" s="216"/>
      <c r="X1674" s="245"/>
      <c r="Y1674" s="187"/>
      <c r="Z1674" s="245"/>
      <c r="AA1674" s="245"/>
      <c r="AB1674" s="332"/>
      <c r="AD1674" s="245"/>
      <c r="AE1674" s="187"/>
      <c r="AF1674" s="367"/>
      <c r="AG1674" s="245"/>
      <c r="AI1674" s="245"/>
    </row>
    <row r="1675" spans="1:35" ht="26.4">
      <c r="A1675" s="245"/>
      <c r="B1675" s="245"/>
      <c r="C1675" s="245"/>
      <c r="D1675" s="245"/>
      <c r="E1675" s="245"/>
      <c r="F1675" s="280"/>
      <c r="G1675" s="245"/>
      <c r="H1675" s="245"/>
      <c r="I1675" s="245"/>
      <c r="L1675" s="123"/>
      <c r="P1675" s="366"/>
      <c r="R1675" s="355"/>
      <c r="S1675" s="369"/>
      <c r="T1675" s="328"/>
      <c r="U1675" s="85" ph="1"/>
      <c r="W1675" s="216"/>
      <c r="X1675" s="245"/>
      <c r="Y1675" s="187"/>
      <c r="Z1675" s="245"/>
      <c r="AA1675" s="245"/>
      <c r="AB1675" s="332"/>
      <c r="AD1675" s="245"/>
      <c r="AE1675" s="187"/>
      <c r="AF1675" s="367"/>
      <c r="AG1675" s="245"/>
      <c r="AI1675" s="245"/>
    </row>
    <row r="1676" spans="1:35" ht="26.4">
      <c r="A1676" s="245"/>
      <c r="B1676" s="245"/>
      <c r="C1676" s="245"/>
      <c r="D1676" s="245"/>
      <c r="E1676" s="245"/>
      <c r="F1676" s="280"/>
      <c r="G1676" s="245"/>
      <c r="H1676" s="245"/>
      <c r="I1676" s="245"/>
      <c r="L1676" s="123"/>
      <c r="P1676" s="366"/>
      <c r="R1676" s="355"/>
      <c r="S1676" s="369"/>
      <c r="T1676" s="328"/>
      <c r="U1676" s="85" ph="1"/>
      <c r="W1676" s="216"/>
      <c r="X1676" s="245"/>
      <c r="Y1676" s="187"/>
      <c r="Z1676" s="245"/>
      <c r="AA1676" s="245"/>
      <c r="AB1676" s="332"/>
      <c r="AD1676" s="245"/>
      <c r="AE1676" s="187"/>
      <c r="AF1676" s="367"/>
      <c r="AG1676" s="245"/>
      <c r="AI1676" s="245"/>
    </row>
    <row r="1677" spans="1:35" ht="26.4">
      <c r="A1677" s="245"/>
      <c r="B1677" s="245"/>
      <c r="C1677" s="245"/>
      <c r="D1677" s="245"/>
      <c r="E1677" s="245"/>
      <c r="F1677" s="280"/>
      <c r="G1677" s="245"/>
      <c r="H1677" s="245"/>
      <c r="I1677" s="245"/>
      <c r="L1677" s="245"/>
      <c r="P1677" s="366"/>
      <c r="R1677" s="355"/>
      <c r="S1677" s="369"/>
      <c r="T1677" s="328"/>
      <c r="U1677" s="85" ph="1"/>
      <c r="W1677" s="216"/>
      <c r="X1677" s="245"/>
      <c r="Y1677" s="187"/>
      <c r="Z1677" s="245"/>
      <c r="AA1677" s="245"/>
      <c r="AB1677" s="332"/>
      <c r="AD1677" s="245"/>
      <c r="AE1677" s="187"/>
      <c r="AF1677" s="367"/>
      <c r="AG1677" s="245"/>
      <c r="AI1677" s="245"/>
    </row>
    <row r="1678" spans="1:35" ht="26.4">
      <c r="A1678" s="245"/>
      <c r="B1678" s="245"/>
      <c r="C1678" s="245"/>
      <c r="D1678" s="245"/>
      <c r="E1678" s="245"/>
      <c r="F1678" s="280"/>
      <c r="G1678" s="245"/>
      <c r="H1678" s="245"/>
      <c r="I1678" s="245"/>
      <c r="L1678" s="123"/>
      <c r="P1678" s="366"/>
      <c r="R1678" s="355"/>
      <c r="S1678" s="369"/>
      <c r="T1678" s="328"/>
      <c r="U1678" s="85" ph="1"/>
      <c r="W1678" s="216"/>
      <c r="X1678" s="245"/>
      <c r="Y1678" s="187"/>
      <c r="Z1678" s="245"/>
      <c r="AA1678" s="245"/>
      <c r="AB1678" s="332"/>
      <c r="AD1678" s="245"/>
      <c r="AE1678" s="187"/>
      <c r="AF1678" s="367"/>
      <c r="AG1678" s="245"/>
      <c r="AI1678" s="245"/>
    </row>
    <row r="1679" spans="1:35" ht="26.4">
      <c r="A1679" s="245"/>
      <c r="B1679" s="245"/>
      <c r="C1679" s="245"/>
      <c r="D1679" s="245"/>
      <c r="E1679" s="245"/>
      <c r="F1679" s="280"/>
      <c r="G1679" s="245"/>
      <c r="H1679" s="245"/>
      <c r="I1679" s="245"/>
      <c r="L1679" s="123"/>
      <c r="P1679" s="366"/>
      <c r="R1679" s="355"/>
      <c r="S1679" s="369"/>
      <c r="T1679" s="328"/>
      <c r="U1679" s="85" ph="1"/>
      <c r="W1679" s="216"/>
      <c r="X1679" s="245"/>
      <c r="Y1679" s="187"/>
      <c r="Z1679" s="245"/>
      <c r="AA1679" s="245"/>
      <c r="AB1679" s="332"/>
      <c r="AD1679" s="245"/>
      <c r="AE1679" s="187"/>
      <c r="AF1679" s="367"/>
      <c r="AG1679" s="245"/>
      <c r="AI1679" s="245"/>
    </row>
    <row r="1680" spans="1:35" ht="26.4">
      <c r="A1680" s="245"/>
      <c r="B1680" s="245"/>
      <c r="C1680" s="245"/>
      <c r="D1680" s="245"/>
      <c r="E1680" s="245"/>
      <c r="F1680" s="280"/>
      <c r="G1680" s="245"/>
      <c r="H1680" s="245"/>
      <c r="I1680" s="245"/>
      <c r="L1680" s="245"/>
      <c r="P1680" s="366"/>
      <c r="R1680" s="355"/>
      <c r="S1680" s="369"/>
      <c r="T1680" s="328"/>
      <c r="U1680" s="85" ph="1"/>
      <c r="W1680" s="216"/>
      <c r="X1680" s="245"/>
      <c r="Y1680" s="187"/>
      <c r="Z1680" s="245"/>
      <c r="AA1680" s="245"/>
      <c r="AB1680" s="332"/>
      <c r="AD1680" s="245"/>
      <c r="AE1680" s="187"/>
      <c r="AF1680" s="367"/>
      <c r="AG1680" s="245"/>
      <c r="AI1680" s="245"/>
    </row>
    <row r="1681" spans="1:35" ht="26.4">
      <c r="A1681" s="245"/>
      <c r="B1681" s="245"/>
      <c r="C1681" s="245"/>
      <c r="D1681" s="245"/>
      <c r="E1681" s="245"/>
      <c r="F1681" s="280"/>
      <c r="G1681" s="245"/>
      <c r="H1681" s="245"/>
      <c r="I1681" s="245"/>
      <c r="L1681" s="123"/>
      <c r="P1681" s="366"/>
      <c r="R1681" s="355"/>
      <c r="S1681" s="369"/>
      <c r="T1681" s="328"/>
      <c r="U1681" s="85" ph="1"/>
      <c r="W1681" s="216"/>
      <c r="X1681" s="245"/>
      <c r="Y1681" s="187"/>
      <c r="Z1681" s="245"/>
      <c r="AA1681" s="245"/>
      <c r="AB1681" s="332"/>
      <c r="AD1681" s="245"/>
      <c r="AE1681" s="187"/>
      <c r="AF1681" s="367"/>
      <c r="AG1681" s="245"/>
      <c r="AI1681" s="245"/>
    </row>
    <row r="1682" spans="1:35" ht="26.4">
      <c r="A1682" s="245"/>
      <c r="B1682" s="245"/>
      <c r="C1682" s="245"/>
      <c r="D1682" s="245"/>
      <c r="E1682" s="245"/>
      <c r="F1682" s="280"/>
      <c r="G1682" s="245"/>
      <c r="H1682" s="245"/>
      <c r="I1682" s="245"/>
      <c r="L1682" s="123"/>
      <c r="P1682" s="366"/>
      <c r="R1682" s="355"/>
      <c r="S1682" s="369"/>
      <c r="T1682" s="328"/>
      <c r="U1682" s="85" ph="1"/>
      <c r="W1682" s="216"/>
      <c r="X1682" s="245"/>
      <c r="Y1682" s="187"/>
      <c r="Z1682" s="245"/>
      <c r="AA1682" s="245"/>
      <c r="AB1682" s="332"/>
      <c r="AD1682" s="245"/>
      <c r="AE1682" s="187"/>
      <c r="AF1682" s="367"/>
      <c r="AG1682" s="245"/>
      <c r="AI1682" s="245"/>
    </row>
    <row r="1683" spans="1:35" ht="26.4">
      <c r="A1683" s="245"/>
      <c r="B1683" s="245"/>
      <c r="C1683" s="245"/>
      <c r="D1683" s="245"/>
      <c r="E1683" s="245"/>
      <c r="F1683" s="280"/>
      <c r="G1683" s="245"/>
      <c r="H1683" s="245"/>
      <c r="I1683" s="245"/>
      <c r="L1683" s="123"/>
      <c r="P1683" s="366"/>
      <c r="R1683" s="355"/>
      <c r="S1683" s="369"/>
      <c r="T1683" s="328"/>
      <c r="U1683" s="85" ph="1"/>
      <c r="W1683" s="216"/>
      <c r="X1683" s="245"/>
      <c r="Y1683" s="187"/>
      <c r="Z1683" s="245"/>
      <c r="AA1683" s="245"/>
      <c r="AB1683" s="332"/>
      <c r="AD1683" s="245"/>
      <c r="AE1683" s="187"/>
      <c r="AF1683" s="367"/>
      <c r="AG1683" s="245"/>
      <c r="AI1683" s="245"/>
    </row>
    <row r="1684" spans="1:35" ht="26.4">
      <c r="A1684" s="245"/>
      <c r="B1684" s="245"/>
      <c r="C1684" s="245"/>
      <c r="D1684" s="245"/>
      <c r="E1684" s="245"/>
      <c r="F1684" s="280"/>
      <c r="G1684" s="245"/>
      <c r="H1684" s="245"/>
      <c r="I1684" s="245"/>
      <c r="L1684" s="123"/>
      <c r="P1684" s="366"/>
      <c r="R1684" s="355"/>
      <c r="S1684" s="369"/>
      <c r="T1684" s="328"/>
      <c r="U1684" s="85" ph="1"/>
      <c r="W1684" s="216"/>
      <c r="X1684" s="245"/>
      <c r="Y1684" s="187"/>
      <c r="Z1684" s="245"/>
      <c r="AA1684" s="245"/>
      <c r="AB1684" s="332"/>
      <c r="AD1684" s="245"/>
      <c r="AE1684" s="187"/>
      <c r="AF1684" s="367"/>
      <c r="AG1684" s="245"/>
      <c r="AI1684" s="245"/>
    </row>
    <row r="1685" spans="1:35" ht="26.4">
      <c r="A1685" s="245"/>
      <c r="B1685" s="245"/>
      <c r="C1685" s="245"/>
      <c r="D1685" s="245"/>
      <c r="E1685" s="245"/>
      <c r="F1685" s="280"/>
      <c r="G1685" s="245"/>
      <c r="H1685" s="245"/>
      <c r="I1685" s="245"/>
      <c r="L1685" s="123"/>
      <c r="P1685" s="366"/>
      <c r="R1685" s="355"/>
      <c r="S1685" s="369"/>
      <c r="T1685" s="328"/>
      <c r="U1685" s="85" ph="1"/>
      <c r="W1685" s="216"/>
      <c r="X1685" s="245"/>
      <c r="Y1685" s="187"/>
      <c r="Z1685" s="245"/>
      <c r="AA1685" s="245"/>
      <c r="AB1685" s="332"/>
      <c r="AD1685" s="245"/>
      <c r="AE1685" s="187"/>
      <c r="AF1685" s="367"/>
      <c r="AG1685" s="245"/>
      <c r="AI1685" s="245"/>
    </row>
    <row r="1686" spans="1:35" ht="26.4">
      <c r="A1686" s="245"/>
      <c r="B1686" s="245"/>
      <c r="C1686" s="245"/>
      <c r="D1686" s="245"/>
      <c r="E1686" s="245"/>
      <c r="F1686" s="280"/>
      <c r="G1686" s="245"/>
      <c r="H1686" s="245"/>
      <c r="I1686" s="245"/>
      <c r="L1686" s="123"/>
      <c r="P1686" s="366"/>
      <c r="R1686" s="355"/>
      <c r="S1686" s="369"/>
      <c r="T1686" s="328"/>
      <c r="U1686" s="85" ph="1"/>
      <c r="W1686" s="216"/>
      <c r="X1686" s="245"/>
      <c r="Y1686" s="187"/>
      <c r="Z1686" s="245"/>
      <c r="AA1686" s="245"/>
      <c r="AB1686" s="332"/>
      <c r="AD1686" s="245"/>
      <c r="AE1686" s="187"/>
      <c r="AF1686" s="367"/>
      <c r="AG1686" s="245"/>
      <c r="AI1686" s="245"/>
    </row>
    <row r="1687" spans="1:35" ht="26.4">
      <c r="A1687" s="245"/>
      <c r="B1687" s="245"/>
      <c r="C1687" s="245"/>
      <c r="D1687" s="245"/>
      <c r="E1687" s="245"/>
      <c r="F1687" s="280"/>
      <c r="G1687" s="245"/>
      <c r="H1687" s="245"/>
      <c r="I1687" s="245"/>
      <c r="L1687" s="123"/>
      <c r="P1687" s="366"/>
      <c r="R1687" s="355"/>
      <c r="S1687" s="369"/>
      <c r="T1687" s="328"/>
      <c r="U1687" s="85" ph="1"/>
      <c r="W1687" s="216"/>
      <c r="X1687" s="245"/>
      <c r="Y1687" s="187"/>
      <c r="Z1687" s="245"/>
      <c r="AA1687" s="245"/>
      <c r="AB1687" s="332"/>
      <c r="AD1687" s="245"/>
      <c r="AE1687" s="187"/>
      <c r="AF1687" s="367"/>
      <c r="AG1687" s="245"/>
      <c r="AI1687" s="245"/>
    </row>
    <row r="1688" spans="1:35" ht="26.4">
      <c r="A1688" s="245"/>
      <c r="B1688" s="245"/>
      <c r="C1688" s="245"/>
      <c r="D1688" s="245"/>
      <c r="E1688" s="245"/>
      <c r="F1688" s="280"/>
      <c r="G1688" s="245"/>
      <c r="H1688" s="245"/>
      <c r="I1688" s="245"/>
      <c r="L1688" s="123"/>
      <c r="P1688" s="366"/>
      <c r="R1688" s="355"/>
      <c r="S1688" s="369"/>
      <c r="T1688" s="328"/>
      <c r="U1688" s="85" ph="1"/>
      <c r="W1688" s="216"/>
      <c r="X1688" s="245"/>
      <c r="Y1688" s="187"/>
      <c r="Z1688" s="245"/>
      <c r="AA1688" s="245"/>
      <c r="AB1688" s="332"/>
      <c r="AD1688" s="245"/>
      <c r="AE1688" s="187"/>
      <c r="AF1688" s="367"/>
      <c r="AG1688" s="245"/>
      <c r="AI1688" s="245"/>
    </row>
    <row r="1689" spans="1:35" ht="26.4">
      <c r="A1689" s="245"/>
      <c r="B1689" s="245"/>
      <c r="C1689" s="245"/>
      <c r="D1689" s="245"/>
      <c r="E1689" s="245"/>
      <c r="F1689" s="280"/>
      <c r="G1689" s="245"/>
      <c r="H1689" s="245"/>
      <c r="I1689" s="245"/>
      <c r="L1689" s="123"/>
      <c r="P1689" s="366"/>
      <c r="R1689" s="355"/>
      <c r="S1689" s="369"/>
      <c r="T1689" s="328"/>
      <c r="U1689" s="85" ph="1"/>
      <c r="W1689" s="216"/>
      <c r="X1689" s="245"/>
      <c r="Y1689" s="187"/>
      <c r="Z1689" s="245"/>
      <c r="AA1689" s="245"/>
      <c r="AB1689" s="332"/>
      <c r="AD1689" s="245"/>
      <c r="AE1689" s="187"/>
      <c r="AF1689" s="367"/>
      <c r="AG1689" s="245"/>
      <c r="AI1689" s="245"/>
    </row>
    <row r="1690" spans="1:35" ht="26.4">
      <c r="A1690" s="245"/>
      <c r="B1690" s="245"/>
      <c r="C1690" s="245"/>
      <c r="D1690" s="245"/>
      <c r="E1690" s="245"/>
      <c r="F1690" s="280"/>
      <c r="G1690" s="245"/>
      <c r="H1690" s="245"/>
      <c r="I1690" s="245"/>
      <c r="L1690" s="123"/>
      <c r="P1690" s="366"/>
      <c r="R1690" s="355"/>
      <c r="S1690" s="369"/>
      <c r="T1690" s="328"/>
      <c r="U1690" s="85" ph="1"/>
      <c r="W1690" s="216"/>
      <c r="X1690" s="245"/>
      <c r="Y1690" s="187"/>
      <c r="Z1690" s="245"/>
      <c r="AA1690" s="245"/>
      <c r="AB1690" s="332"/>
      <c r="AD1690" s="245"/>
      <c r="AE1690" s="187"/>
      <c r="AF1690" s="367"/>
      <c r="AG1690" s="245"/>
      <c r="AI1690" s="245"/>
    </row>
    <row r="1691" spans="1:35" ht="26.4">
      <c r="A1691" s="245"/>
      <c r="B1691" s="245"/>
      <c r="C1691" s="245"/>
      <c r="D1691" s="245"/>
      <c r="E1691" s="245"/>
      <c r="F1691" s="280"/>
      <c r="G1691" s="245"/>
      <c r="H1691" s="245"/>
      <c r="I1691" s="245"/>
      <c r="L1691" s="123"/>
      <c r="P1691" s="366"/>
      <c r="R1691" s="355"/>
      <c r="S1691" s="369"/>
      <c r="T1691" s="328"/>
      <c r="U1691" s="85" ph="1"/>
      <c r="W1691" s="216"/>
      <c r="X1691" s="245"/>
      <c r="Y1691" s="187"/>
      <c r="Z1691" s="245"/>
      <c r="AA1691" s="245"/>
      <c r="AB1691" s="332"/>
      <c r="AD1691" s="245"/>
      <c r="AE1691" s="187"/>
      <c r="AF1691" s="367"/>
      <c r="AG1691" s="245"/>
      <c r="AI1691" s="245"/>
    </row>
    <row r="1692" spans="1:35" ht="26.4">
      <c r="A1692" s="245"/>
      <c r="B1692" s="245"/>
      <c r="C1692" s="245"/>
      <c r="D1692" s="245"/>
      <c r="E1692" s="245"/>
      <c r="F1692" s="280"/>
      <c r="G1692" s="245"/>
      <c r="H1692" s="245"/>
      <c r="I1692" s="245"/>
      <c r="L1692" s="123"/>
      <c r="P1692" s="366"/>
      <c r="R1692" s="355"/>
      <c r="S1692" s="369"/>
      <c r="T1692" s="328"/>
      <c r="U1692" s="85" ph="1"/>
      <c r="W1692" s="216"/>
      <c r="X1692" s="245"/>
      <c r="Y1692" s="187"/>
      <c r="Z1692" s="245"/>
      <c r="AA1692" s="245"/>
      <c r="AB1692" s="332"/>
      <c r="AD1692" s="245"/>
      <c r="AE1692" s="187"/>
      <c r="AF1692" s="367"/>
      <c r="AG1692" s="245"/>
      <c r="AI1692" s="245"/>
    </row>
    <row r="1693" spans="1:35" ht="26.4">
      <c r="A1693" s="245"/>
      <c r="B1693" s="245"/>
      <c r="C1693" s="245"/>
      <c r="D1693" s="245"/>
      <c r="E1693" s="245"/>
      <c r="F1693" s="280"/>
      <c r="G1693" s="245"/>
      <c r="H1693" s="245"/>
      <c r="I1693" s="245"/>
      <c r="L1693" s="123"/>
      <c r="P1693" s="366"/>
      <c r="R1693" s="355"/>
      <c r="S1693" s="369"/>
      <c r="T1693" s="328"/>
      <c r="U1693" s="85" ph="1"/>
      <c r="W1693" s="216"/>
      <c r="X1693" s="245"/>
      <c r="Y1693" s="187"/>
      <c r="Z1693" s="245"/>
      <c r="AA1693" s="245"/>
      <c r="AB1693" s="332"/>
      <c r="AD1693" s="245"/>
      <c r="AE1693" s="187"/>
      <c r="AF1693" s="367"/>
      <c r="AG1693" s="245"/>
      <c r="AI1693" s="245"/>
    </row>
    <row r="1694" spans="1:35" ht="26.4">
      <c r="A1694" s="245"/>
      <c r="B1694" s="245"/>
      <c r="C1694" s="245"/>
      <c r="D1694" s="245"/>
      <c r="E1694" s="245"/>
      <c r="F1694" s="280"/>
      <c r="G1694" s="245"/>
      <c r="H1694" s="245"/>
      <c r="I1694" s="245"/>
      <c r="L1694" s="123"/>
      <c r="P1694" s="366"/>
      <c r="R1694" s="355"/>
      <c r="S1694" s="369"/>
      <c r="T1694" s="328"/>
      <c r="U1694" s="85" ph="1"/>
      <c r="W1694" s="216"/>
      <c r="X1694" s="245"/>
      <c r="Y1694" s="187"/>
      <c r="Z1694" s="245"/>
      <c r="AA1694" s="245"/>
      <c r="AB1694" s="332"/>
      <c r="AD1694" s="245"/>
      <c r="AE1694" s="187"/>
      <c r="AF1694" s="367"/>
      <c r="AG1694" s="245"/>
      <c r="AI1694" s="245"/>
    </row>
    <row r="1695" spans="1:35" ht="26.4">
      <c r="A1695" s="245"/>
      <c r="B1695" s="245"/>
      <c r="C1695" s="245"/>
      <c r="D1695" s="245"/>
      <c r="E1695" s="245"/>
      <c r="F1695" s="280"/>
      <c r="G1695" s="245"/>
      <c r="H1695" s="245"/>
      <c r="I1695" s="245"/>
      <c r="L1695" s="123"/>
      <c r="P1695" s="366"/>
      <c r="R1695" s="355"/>
      <c r="S1695" s="369"/>
      <c r="T1695" s="328"/>
      <c r="U1695" s="85" ph="1"/>
      <c r="W1695" s="216"/>
      <c r="X1695" s="245"/>
      <c r="Y1695" s="187"/>
      <c r="Z1695" s="245"/>
      <c r="AA1695" s="245"/>
      <c r="AB1695" s="332"/>
      <c r="AD1695" s="245"/>
      <c r="AE1695" s="187"/>
      <c r="AF1695" s="367"/>
      <c r="AG1695" s="245"/>
      <c r="AI1695" s="245"/>
    </row>
    <row r="1696" spans="1:35" ht="26.4">
      <c r="A1696" s="245"/>
      <c r="B1696" s="245"/>
      <c r="C1696" s="245"/>
      <c r="D1696" s="245"/>
      <c r="E1696" s="245"/>
      <c r="F1696" s="280"/>
      <c r="G1696" s="245"/>
      <c r="H1696" s="245"/>
      <c r="I1696" s="245"/>
      <c r="L1696" s="123"/>
      <c r="P1696" s="366"/>
      <c r="R1696" s="355"/>
      <c r="S1696" s="369"/>
      <c r="T1696" s="328"/>
      <c r="U1696" s="85" ph="1"/>
      <c r="W1696" s="216"/>
      <c r="X1696" s="245"/>
      <c r="Y1696" s="187"/>
      <c r="Z1696" s="245"/>
      <c r="AA1696" s="245"/>
      <c r="AB1696" s="332"/>
      <c r="AD1696" s="245"/>
      <c r="AE1696" s="187"/>
      <c r="AF1696" s="367"/>
      <c r="AG1696" s="245"/>
      <c r="AI1696" s="245"/>
    </row>
    <row r="1697" spans="1:35" ht="26.4">
      <c r="A1697" s="245"/>
      <c r="B1697" s="245"/>
      <c r="C1697" s="245"/>
      <c r="D1697" s="245"/>
      <c r="E1697" s="245"/>
      <c r="F1697" s="280"/>
      <c r="G1697" s="245"/>
      <c r="H1697" s="245"/>
      <c r="I1697" s="245"/>
      <c r="L1697" s="123"/>
      <c r="P1697" s="366"/>
      <c r="R1697" s="355"/>
      <c r="S1697" s="369"/>
      <c r="T1697" s="328"/>
      <c r="U1697" s="85" ph="1"/>
      <c r="W1697" s="216"/>
      <c r="X1697" s="245"/>
      <c r="Y1697" s="187"/>
      <c r="Z1697" s="245"/>
      <c r="AA1697" s="245"/>
      <c r="AB1697" s="332"/>
      <c r="AD1697" s="245"/>
      <c r="AE1697" s="187"/>
      <c r="AF1697" s="367"/>
      <c r="AG1697" s="245"/>
      <c r="AI1697" s="245"/>
    </row>
    <row r="1698" spans="1:35" ht="26.4">
      <c r="A1698" s="245"/>
      <c r="B1698" s="245"/>
      <c r="C1698" s="245"/>
      <c r="D1698" s="245"/>
      <c r="E1698" s="245"/>
      <c r="F1698" s="280"/>
      <c r="G1698" s="245"/>
      <c r="H1698" s="245"/>
      <c r="I1698" s="245"/>
      <c r="L1698" s="123"/>
      <c r="P1698" s="366"/>
      <c r="R1698" s="355"/>
      <c r="S1698" s="369"/>
      <c r="T1698" s="328"/>
      <c r="U1698" s="85" ph="1"/>
      <c r="W1698" s="216"/>
      <c r="X1698" s="245"/>
      <c r="Y1698" s="187"/>
      <c r="Z1698" s="245"/>
      <c r="AA1698" s="245"/>
      <c r="AB1698" s="332"/>
      <c r="AD1698" s="245"/>
      <c r="AE1698" s="187"/>
      <c r="AF1698" s="367"/>
      <c r="AG1698" s="245"/>
      <c r="AI1698" s="245"/>
    </row>
    <row r="1699" spans="1:35" ht="26.4">
      <c r="A1699" s="245"/>
      <c r="B1699" s="245"/>
      <c r="C1699" s="245"/>
      <c r="D1699" s="245"/>
      <c r="E1699" s="245"/>
      <c r="F1699" s="280"/>
      <c r="G1699" s="245"/>
      <c r="H1699" s="245"/>
      <c r="I1699" s="245"/>
      <c r="L1699" s="123"/>
      <c r="P1699" s="366"/>
      <c r="R1699" s="355"/>
      <c r="S1699" s="369"/>
      <c r="T1699" s="328"/>
      <c r="U1699" s="85" ph="1"/>
      <c r="W1699" s="216"/>
      <c r="X1699" s="245"/>
      <c r="Y1699" s="187"/>
      <c r="Z1699" s="245"/>
      <c r="AA1699" s="245"/>
      <c r="AB1699" s="332"/>
      <c r="AD1699" s="245"/>
      <c r="AE1699" s="187"/>
      <c r="AF1699" s="367"/>
      <c r="AG1699" s="245"/>
      <c r="AI1699" s="245"/>
    </row>
    <row r="1700" spans="1:35" ht="26.4">
      <c r="A1700" s="245"/>
      <c r="B1700" s="245"/>
      <c r="C1700" s="245"/>
      <c r="D1700" s="245"/>
      <c r="E1700" s="245"/>
      <c r="F1700" s="280"/>
      <c r="G1700" s="245"/>
      <c r="H1700" s="245"/>
      <c r="I1700" s="245"/>
      <c r="L1700" s="123"/>
      <c r="P1700" s="366"/>
      <c r="R1700" s="355"/>
      <c r="S1700" s="369"/>
      <c r="T1700" s="328"/>
      <c r="U1700" s="85" ph="1"/>
      <c r="W1700" s="216"/>
      <c r="X1700" s="245"/>
      <c r="Y1700" s="187"/>
      <c r="Z1700" s="245"/>
      <c r="AA1700" s="245"/>
      <c r="AB1700" s="332"/>
      <c r="AD1700" s="245"/>
      <c r="AE1700" s="187"/>
      <c r="AF1700" s="367"/>
      <c r="AG1700" s="245"/>
      <c r="AI1700" s="245"/>
    </row>
    <row r="1701" spans="1:35" ht="26.4">
      <c r="A1701" s="245"/>
      <c r="B1701" s="245"/>
      <c r="C1701" s="245"/>
      <c r="D1701" s="245"/>
      <c r="E1701" s="245"/>
      <c r="F1701" s="280"/>
      <c r="G1701" s="245"/>
      <c r="H1701" s="245"/>
      <c r="I1701" s="245"/>
      <c r="L1701" s="123"/>
      <c r="P1701" s="366"/>
      <c r="R1701" s="355"/>
      <c r="S1701" s="369"/>
      <c r="T1701" s="328"/>
      <c r="U1701" s="85" ph="1"/>
      <c r="W1701" s="216"/>
      <c r="X1701" s="245"/>
      <c r="Y1701" s="187"/>
      <c r="Z1701" s="245"/>
      <c r="AA1701" s="245"/>
      <c r="AB1701" s="332"/>
      <c r="AD1701" s="245"/>
      <c r="AE1701" s="187"/>
      <c r="AF1701" s="367"/>
      <c r="AG1701" s="245"/>
      <c r="AI1701" s="245"/>
    </row>
    <row r="1702" spans="1:35" ht="26.4">
      <c r="A1702" s="245"/>
      <c r="B1702" s="245"/>
      <c r="C1702" s="245"/>
      <c r="D1702" s="245"/>
      <c r="E1702" s="245"/>
      <c r="F1702" s="280"/>
      <c r="G1702" s="245"/>
      <c r="H1702" s="245"/>
      <c r="I1702" s="245"/>
      <c r="L1702" s="123"/>
      <c r="P1702" s="366"/>
      <c r="R1702" s="355"/>
      <c r="S1702" s="369"/>
      <c r="T1702" s="328"/>
      <c r="U1702" s="85" ph="1"/>
      <c r="W1702" s="216"/>
      <c r="X1702" s="245"/>
      <c r="Y1702" s="187"/>
      <c r="Z1702" s="245"/>
      <c r="AA1702" s="245"/>
      <c r="AB1702" s="332"/>
      <c r="AD1702" s="245"/>
      <c r="AE1702" s="187"/>
      <c r="AF1702" s="367"/>
      <c r="AG1702" s="245"/>
      <c r="AI1702" s="245"/>
    </row>
    <row r="1703" spans="1:35" ht="26.4">
      <c r="A1703" s="245"/>
      <c r="B1703" s="245"/>
      <c r="C1703" s="245"/>
      <c r="D1703" s="245"/>
      <c r="E1703" s="245"/>
      <c r="F1703" s="280"/>
      <c r="G1703" s="245"/>
      <c r="H1703" s="245"/>
      <c r="I1703" s="245"/>
      <c r="L1703" s="245"/>
      <c r="P1703" s="366"/>
      <c r="R1703" s="355"/>
      <c r="S1703" s="369"/>
      <c r="T1703" s="328"/>
      <c r="U1703" s="85" ph="1"/>
      <c r="W1703" s="216"/>
      <c r="X1703" s="245"/>
      <c r="Y1703" s="187"/>
      <c r="Z1703" s="245"/>
      <c r="AA1703" s="245"/>
      <c r="AB1703" s="332"/>
      <c r="AD1703" s="245"/>
      <c r="AE1703" s="187"/>
      <c r="AF1703" s="367"/>
      <c r="AG1703" s="245"/>
      <c r="AI1703" s="245"/>
    </row>
    <row r="1704" spans="1:35" ht="26.4">
      <c r="A1704" s="245"/>
      <c r="B1704" s="245"/>
      <c r="C1704" s="245"/>
      <c r="D1704" s="245"/>
      <c r="E1704" s="245"/>
      <c r="F1704" s="280"/>
      <c r="G1704" s="245"/>
      <c r="H1704" s="245"/>
      <c r="I1704" s="245"/>
      <c r="L1704" s="123"/>
      <c r="P1704" s="366"/>
      <c r="R1704" s="355"/>
      <c r="S1704" s="369"/>
      <c r="T1704" s="328"/>
      <c r="U1704" s="85" ph="1"/>
      <c r="W1704" s="216"/>
      <c r="X1704" s="245"/>
      <c r="Y1704" s="187"/>
      <c r="Z1704" s="245"/>
      <c r="AA1704" s="245"/>
      <c r="AB1704" s="332"/>
      <c r="AD1704" s="245"/>
      <c r="AE1704" s="187"/>
      <c r="AF1704" s="367"/>
      <c r="AG1704" s="245"/>
      <c r="AI1704" s="245"/>
    </row>
    <row r="1705" spans="1:35" ht="26.4">
      <c r="A1705" s="245"/>
      <c r="B1705" s="245"/>
      <c r="C1705" s="245"/>
      <c r="D1705" s="245"/>
      <c r="E1705" s="245"/>
      <c r="F1705" s="280"/>
      <c r="G1705" s="245"/>
      <c r="H1705" s="245"/>
      <c r="I1705" s="245"/>
      <c r="L1705" s="123"/>
      <c r="P1705" s="366"/>
      <c r="R1705" s="355"/>
      <c r="S1705" s="369"/>
      <c r="T1705" s="328"/>
      <c r="U1705" s="85" ph="1"/>
      <c r="W1705" s="216"/>
      <c r="X1705" s="245"/>
      <c r="Y1705" s="187"/>
      <c r="Z1705" s="245"/>
      <c r="AA1705" s="245"/>
      <c r="AB1705" s="332"/>
      <c r="AD1705" s="245"/>
      <c r="AE1705" s="187"/>
      <c r="AF1705" s="367"/>
      <c r="AG1705" s="245"/>
      <c r="AI1705" s="245"/>
    </row>
    <row r="1706" spans="1:35" ht="26.4">
      <c r="A1706" s="245"/>
      <c r="B1706" s="245"/>
      <c r="C1706" s="245"/>
      <c r="D1706" s="245"/>
      <c r="E1706" s="245"/>
      <c r="F1706" s="280"/>
      <c r="G1706" s="245"/>
      <c r="H1706" s="245"/>
      <c r="I1706" s="245"/>
      <c r="L1706" s="123"/>
      <c r="P1706" s="366"/>
      <c r="R1706" s="355"/>
      <c r="S1706" s="369"/>
      <c r="T1706" s="328"/>
      <c r="U1706" s="85" ph="1"/>
      <c r="W1706" s="216"/>
      <c r="X1706" s="245"/>
      <c r="Y1706" s="187"/>
      <c r="Z1706" s="245"/>
      <c r="AA1706" s="245"/>
      <c r="AB1706" s="332"/>
      <c r="AD1706" s="245"/>
      <c r="AE1706" s="187"/>
      <c r="AF1706" s="367"/>
      <c r="AG1706" s="245"/>
      <c r="AI1706" s="245"/>
    </row>
    <row r="1707" spans="1:35" ht="26.4">
      <c r="A1707" s="245"/>
      <c r="B1707" s="245"/>
      <c r="C1707" s="245"/>
      <c r="D1707" s="245"/>
      <c r="E1707" s="245"/>
      <c r="F1707" s="280"/>
      <c r="G1707" s="245"/>
      <c r="H1707" s="245"/>
      <c r="I1707" s="245"/>
      <c r="L1707" s="123"/>
      <c r="P1707" s="366"/>
      <c r="R1707" s="355"/>
      <c r="S1707" s="369"/>
      <c r="T1707" s="328"/>
      <c r="U1707" s="85" ph="1"/>
      <c r="W1707" s="216"/>
      <c r="X1707" s="245"/>
      <c r="Y1707" s="187"/>
      <c r="Z1707" s="245"/>
      <c r="AA1707" s="245"/>
      <c r="AB1707" s="332"/>
      <c r="AD1707" s="245"/>
      <c r="AE1707" s="187"/>
      <c r="AF1707" s="367"/>
      <c r="AG1707" s="245"/>
      <c r="AI1707" s="245"/>
    </row>
    <row r="1708" spans="1:35" ht="26.4">
      <c r="A1708" s="245"/>
      <c r="B1708" s="245"/>
      <c r="C1708" s="245"/>
      <c r="D1708" s="245"/>
      <c r="E1708" s="245"/>
      <c r="F1708" s="280"/>
      <c r="G1708" s="245"/>
      <c r="H1708" s="245"/>
      <c r="I1708" s="245"/>
      <c r="L1708" s="123"/>
      <c r="P1708" s="366"/>
      <c r="R1708" s="355"/>
      <c r="S1708" s="369"/>
      <c r="T1708" s="328"/>
      <c r="U1708" s="85" ph="1"/>
      <c r="W1708" s="216"/>
      <c r="X1708" s="245"/>
      <c r="Y1708" s="187"/>
      <c r="Z1708" s="245"/>
      <c r="AA1708" s="245"/>
      <c r="AB1708" s="332"/>
      <c r="AD1708" s="245"/>
      <c r="AE1708" s="187"/>
      <c r="AF1708" s="367"/>
      <c r="AG1708" s="245"/>
      <c r="AI1708" s="245"/>
    </row>
    <row r="1709" spans="1:35" ht="26.4">
      <c r="A1709" s="245"/>
      <c r="B1709" s="245"/>
      <c r="C1709" s="245"/>
      <c r="D1709" s="245"/>
      <c r="E1709" s="245"/>
      <c r="F1709" s="280"/>
      <c r="G1709" s="245"/>
      <c r="H1709" s="245"/>
      <c r="I1709" s="245"/>
      <c r="L1709" s="123"/>
      <c r="P1709" s="366"/>
      <c r="R1709" s="355"/>
      <c r="S1709" s="369"/>
      <c r="T1709" s="328"/>
      <c r="U1709" s="85" ph="1"/>
      <c r="W1709" s="216"/>
      <c r="X1709" s="245"/>
      <c r="Y1709" s="187"/>
      <c r="Z1709" s="245"/>
      <c r="AA1709" s="245"/>
      <c r="AB1709" s="332"/>
      <c r="AD1709" s="245"/>
      <c r="AE1709" s="187"/>
      <c r="AF1709" s="367"/>
      <c r="AG1709" s="245"/>
      <c r="AI1709" s="245"/>
    </row>
    <row r="1710" spans="1:35" ht="26.4">
      <c r="A1710" s="245"/>
      <c r="B1710" s="245"/>
      <c r="C1710" s="245"/>
      <c r="D1710" s="245"/>
      <c r="E1710" s="245"/>
      <c r="F1710" s="280"/>
      <c r="G1710" s="245"/>
      <c r="H1710" s="245"/>
      <c r="I1710" s="245"/>
      <c r="L1710" s="123"/>
      <c r="P1710" s="366"/>
      <c r="R1710" s="355"/>
      <c r="S1710" s="369"/>
      <c r="T1710" s="328"/>
      <c r="U1710" s="85" ph="1"/>
      <c r="W1710" s="216"/>
      <c r="X1710" s="245"/>
      <c r="Y1710" s="187"/>
      <c r="Z1710" s="245"/>
      <c r="AA1710" s="245"/>
      <c r="AB1710" s="332"/>
      <c r="AD1710" s="245"/>
      <c r="AE1710" s="187"/>
      <c r="AF1710" s="367"/>
      <c r="AG1710" s="245"/>
      <c r="AI1710" s="245"/>
    </row>
    <row r="1711" spans="1:35" ht="26.4">
      <c r="A1711" s="245"/>
      <c r="B1711" s="245"/>
      <c r="C1711" s="245"/>
      <c r="D1711" s="245"/>
      <c r="E1711" s="245"/>
      <c r="F1711" s="280"/>
      <c r="G1711" s="245"/>
      <c r="H1711" s="245"/>
      <c r="I1711" s="245"/>
      <c r="L1711" s="123"/>
      <c r="P1711" s="366"/>
      <c r="R1711" s="355"/>
      <c r="S1711" s="369"/>
      <c r="T1711" s="328"/>
      <c r="U1711" s="85" ph="1"/>
      <c r="W1711" s="216"/>
      <c r="X1711" s="245"/>
      <c r="Y1711" s="187"/>
      <c r="Z1711" s="245"/>
      <c r="AA1711" s="245"/>
      <c r="AB1711" s="332"/>
      <c r="AD1711" s="245"/>
      <c r="AE1711" s="187"/>
      <c r="AF1711" s="367"/>
      <c r="AG1711" s="245"/>
      <c r="AI1711" s="245"/>
    </row>
    <row r="1712" spans="1:35" ht="26.4">
      <c r="A1712" s="245"/>
      <c r="B1712" s="245"/>
      <c r="C1712" s="245"/>
      <c r="D1712" s="245"/>
      <c r="E1712" s="245"/>
      <c r="F1712" s="280"/>
      <c r="G1712" s="245"/>
      <c r="H1712" s="245"/>
      <c r="I1712" s="245"/>
      <c r="L1712" s="123"/>
      <c r="P1712" s="366"/>
      <c r="R1712" s="355"/>
      <c r="S1712" s="369"/>
      <c r="T1712" s="328"/>
      <c r="U1712" s="85" ph="1"/>
      <c r="W1712" s="216"/>
      <c r="X1712" s="245"/>
      <c r="Y1712" s="187"/>
      <c r="Z1712" s="245"/>
      <c r="AA1712" s="245"/>
      <c r="AB1712" s="332"/>
      <c r="AD1712" s="245"/>
      <c r="AE1712" s="187"/>
      <c r="AF1712" s="367"/>
      <c r="AG1712" s="245"/>
      <c r="AI1712" s="245"/>
    </row>
    <row r="1713" spans="1:35" ht="26.4">
      <c r="A1713" s="245"/>
      <c r="B1713" s="245"/>
      <c r="C1713" s="245"/>
      <c r="D1713" s="245"/>
      <c r="E1713" s="245"/>
      <c r="F1713" s="280"/>
      <c r="G1713" s="245"/>
      <c r="H1713" s="245"/>
      <c r="I1713" s="245"/>
      <c r="L1713" s="123"/>
      <c r="P1713" s="366"/>
      <c r="R1713" s="355"/>
      <c r="S1713" s="369"/>
      <c r="T1713" s="328"/>
      <c r="U1713" s="85" ph="1"/>
      <c r="W1713" s="216"/>
      <c r="X1713" s="245"/>
      <c r="Y1713" s="187"/>
      <c r="Z1713" s="245"/>
      <c r="AA1713" s="245"/>
      <c r="AB1713" s="332"/>
      <c r="AD1713" s="245"/>
      <c r="AE1713" s="187"/>
      <c r="AF1713" s="367"/>
      <c r="AG1713" s="245"/>
      <c r="AI1713" s="245"/>
    </row>
    <row r="1714" spans="1:35" ht="26.4">
      <c r="A1714" s="245"/>
      <c r="B1714" s="245"/>
      <c r="C1714" s="245"/>
      <c r="D1714" s="245"/>
      <c r="E1714" s="245"/>
      <c r="F1714" s="280"/>
      <c r="G1714" s="245"/>
      <c r="H1714" s="245"/>
      <c r="I1714" s="245"/>
      <c r="L1714" s="123"/>
      <c r="P1714" s="366"/>
      <c r="R1714" s="355"/>
      <c r="S1714" s="369"/>
      <c r="T1714" s="328"/>
      <c r="U1714" s="85" ph="1"/>
      <c r="W1714" s="216"/>
      <c r="X1714" s="245"/>
      <c r="Y1714" s="187"/>
      <c r="Z1714" s="245"/>
      <c r="AA1714" s="245"/>
      <c r="AB1714" s="332"/>
      <c r="AD1714" s="245"/>
      <c r="AE1714" s="187"/>
      <c r="AF1714" s="367"/>
      <c r="AG1714" s="245"/>
      <c r="AI1714" s="245"/>
    </row>
    <row r="1715" spans="1:35" ht="26.4">
      <c r="A1715" s="245"/>
      <c r="B1715" s="245"/>
      <c r="C1715" s="245"/>
      <c r="D1715" s="245"/>
      <c r="E1715" s="245"/>
      <c r="F1715" s="280"/>
      <c r="G1715" s="245"/>
      <c r="H1715" s="245"/>
      <c r="I1715" s="245"/>
      <c r="L1715" s="123"/>
      <c r="P1715" s="366"/>
      <c r="R1715" s="355"/>
      <c r="S1715" s="369"/>
      <c r="T1715" s="328"/>
      <c r="U1715" s="85" ph="1"/>
      <c r="W1715" s="216"/>
      <c r="X1715" s="245"/>
      <c r="Y1715" s="187"/>
      <c r="Z1715" s="245"/>
      <c r="AA1715" s="245"/>
      <c r="AB1715" s="332"/>
      <c r="AD1715" s="245"/>
      <c r="AE1715" s="187"/>
      <c r="AF1715" s="367"/>
      <c r="AG1715" s="245"/>
      <c r="AI1715" s="245"/>
    </row>
    <row r="1716" spans="1:35" ht="26.4">
      <c r="A1716" s="245"/>
      <c r="B1716" s="245"/>
      <c r="C1716" s="245"/>
      <c r="D1716" s="245"/>
      <c r="E1716" s="245"/>
      <c r="F1716" s="280"/>
      <c r="G1716" s="245"/>
      <c r="H1716" s="245"/>
      <c r="I1716" s="245"/>
      <c r="L1716" s="123"/>
      <c r="P1716" s="366"/>
      <c r="R1716" s="355"/>
      <c r="S1716" s="369"/>
      <c r="T1716" s="328"/>
      <c r="U1716" s="85" ph="1"/>
      <c r="W1716" s="216"/>
      <c r="X1716" s="245"/>
      <c r="Y1716" s="187"/>
      <c r="Z1716" s="245"/>
      <c r="AA1716" s="245"/>
      <c r="AB1716" s="332"/>
      <c r="AD1716" s="245"/>
      <c r="AE1716" s="187"/>
      <c r="AF1716" s="367"/>
      <c r="AG1716" s="245"/>
      <c r="AI1716" s="245"/>
    </row>
    <row r="1717" spans="1:35" ht="26.4">
      <c r="A1717" s="245"/>
      <c r="B1717" s="245"/>
      <c r="C1717" s="245"/>
      <c r="D1717" s="245"/>
      <c r="E1717" s="245"/>
      <c r="F1717" s="280"/>
      <c r="G1717" s="245"/>
      <c r="H1717" s="245"/>
      <c r="I1717" s="245"/>
      <c r="L1717" s="123"/>
      <c r="P1717" s="366"/>
      <c r="R1717" s="355"/>
      <c r="S1717" s="369"/>
      <c r="T1717" s="328"/>
      <c r="U1717" s="85" ph="1"/>
      <c r="W1717" s="216"/>
      <c r="X1717" s="245"/>
      <c r="Y1717" s="187"/>
      <c r="Z1717" s="245"/>
      <c r="AA1717" s="245"/>
      <c r="AB1717" s="332"/>
      <c r="AD1717" s="245"/>
      <c r="AE1717" s="187"/>
      <c r="AF1717" s="367"/>
      <c r="AG1717" s="245"/>
      <c r="AI1717" s="245"/>
    </row>
    <row r="1718" spans="1:35" ht="26.4">
      <c r="A1718" s="245"/>
      <c r="B1718" s="245"/>
      <c r="C1718" s="245"/>
      <c r="D1718" s="245"/>
      <c r="E1718" s="245"/>
      <c r="F1718" s="280"/>
      <c r="G1718" s="245"/>
      <c r="H1718" s="245"/>
      <c r="I1718" s="245"/>
      <c r="L1718" s="123"/>
      <c r="P1718" s="366"/>
      <c r="R1718" s="355"/>
      <c r="S1718" s="369"/>
      <c r="T1718" s="328"/>
      <c r="U1718" s="85" ph="1"/>
      <c r="W1718" s="216"/>
      <c r="X1718" s="245"/>
      <c r="Y1718" s="187"/>
      <c r="Z1718" s="245"/>
      <c r="AA1718" s="245"/>
      <c r="AB1718" s="332"/>
      <c r="AD1718" s="245"/>
      <c r="AE1718" s="187"/>
      <c r="AF1718" s="367"/>
      <c r="AG1718" s="245"/>
      <c r="AI1718" s="245"/>
    </row>
    <row r="1719" spans="1:35" ht="26.4">
      <c r="A1719" s="245"/>
      <c r="B1719" s="245"/>
      <c r="C1719" s="245"/>
      <c r="D1719" s="245"/>
      <c r="E1719" s="245"/>
      <c r="F1719" s="280"/>
      <c r="G1719" s="245"/>
      <c r="H1719" s="245"/>
      <c r="I1719" s="245"/>
      <c r="L1719" s="123"/>
      <c r="P1719" s="366"/>
      <c r="R1719" s="355"/>
      <c r="S1719" s="369"/>
      <c r="T1719" s="328"/>
      <c r="U1719" s="85" ph="1"/>
      <c r="W1719" s="216"/>
      <c r="X1719" s="245"/>
      <c r="Y1719" s="187"/>
      <c r="Z1719" s="245"/>
      <c r="AA1719" s="245"/>
      <c r="AB1719" s="332"/>
      <c r="AD1719" s="245"/>
      <c r="AE1719" s="187"/>
      <c r="AF1719" s="367"/>
      <c r="AG1719" s="245"/>
      <c r="AI1719" s="245"/>
    </row>
    <row r="1720" spans="1:35" ht="26.4">
      <c r="A1720" s="245"/>
      <c r="B1720" s="245"/>
      <c r="C1720" s="245"/>
      <c r="D1720" s="245"/>
      <c r="E1720" s="245"/>
      <c r="F1720" s="280"/>
      <c r="G1720" s="245"/>
      <c r="H1720" s="245"/>
      <c r="I1720" s="245"/>
      <c r="L1720" s="123"/>
      <c r="P1720" s="366"/>
      <c r="R1720" s="355"/>
      <c r="S1720" s="369"/>
      <c r="T1720" s="328"/>
      <c r="U1720" s="85" ph="1"/>
      <c r="W1720" s="216"/>
      <c r="X1720" s="245"/>
      <c r="Y1720" s="187"/>
      <c r="Z1720" s="245"/>
      <c r="AA1720" s="245"/>
      <c r="AB1720" s="332"/>
      <c r="AD1720" s="245"/>
      <c r="AE1720" s="187"/>
      <c r="AF1720" s="367"/>
      <c r="AG1720" s="245"/>
      <c r="AI1720" s="245"/>
    </row>
    <row r="1721" spans="1:35" ht="26.4">
      <c r="A1721" s="245"/>
      <c r="B1721" s="245"/>
      <c r="C1721" s="245"/>
      <c r="D1721" s="245"/>
      <c r="E1721" s="245"/>
      <c r="F1721" s="280"/>
      <c r="G1721" s="245"/>
      <c r="H1721" s="245"/>
      <c r="I1721" s="245"/>
      <c r="L1721" s="123"/>
      <c r="P1721" s="366"/>
      <c r="R1721" s="355"/>
      <c r="S1721" s="369"/>
      <c r="T1721" s="328"/>
      <c r="U1721" s="85" ph="1"/>
      <c r="W1721" s="216"/>
      <c r="X1721" s="245"/>
      <c r="Y1721" s="187"/>
      <c r="Z1721" s="245"/>
      <c r="AA1721" s="245"/>
      <c r="AB1721" s="332"/>
      <c r="AD1721" s="245"/>
      <c r="AE1721" s="187"/>
      <c r="AF1721" s="367"/>
      <c r="AG1721" s="245"/>
      <c r="AI1721" s="245"/>
    </row>
    <row r="1722" spans="1:35" ht="26.4">
      <c r="A1722" s="245"/>
      <c r="B1722" s="245"/>
      <c r="C1722" s="245"/>
      <c r="D1722" s="245"/>
      <c r="E1722" s="245"/>
      <c r="F1722" s="280"/>
      <c r="G1722" s="245"/>
      <c r="H1722" s="245"/>
      <c r="I1722" s="245"/>
      <c r="L1722" s="123"/>
      <c r="P1722" s="366"/>
      <c r="R1722" s="355"/>
      <c r="S1722" s="369"/>
      <c r="T1722" s="328"/>
      <c r="U1722" s="85" ph="1"/>
      <c r="W1722" s="216"/>
      <c r="X1722" s="245"/>
      <c r="Y1722" s="187"/>
      <c r="Z1722" s="245"/>
      <c r="AA1722" s="245"/>
      <c r="AB1722" s="332"/>
      <c r="AD1722" s="245"/>
      <c r="AE1722" s="187"/>
      <c r="AF1722" s="367"/>
      <c r="AG1722" s="245"/>
      <c r="AI1722" s="245"/>
    </row>
    <row r="1723" spans="1:35" ht="26.4">
      <c r="A1723" s="245"/>
      <c r="B1723" s="245"/>
      <c r="C1723" s="245"/>
      <c r="D1723" s="245"/>
      <c r="E1723" s="245"/>
      <c r="F1723" s="280"/>
      <c r="G1723" s="245"/>
      <c r="H1723" s="245"/>
      <c r="I1723" s="245"/>
      <c r="L1723" s="123"/>
      <c r="P1723" s="366"/>
      <c r="R1723" s="355"/>
      <c r="S1723" s="369"/>
      <c r="T1723" s="328"/>
      <c r="U1723" s="85" ph="1"/>
      <c r="W1723" s="216"/>
      <c r="X1723" s="245"/>
      <c r="Y1723" s="187"/>
      <c r="Z1723" s="245"/>
      <c r="AA1723" s="245"/>
      <c r="AB1723" s="332"/>
      <c r="AD1723" s="245"/>
      <c r="AE1723" s="187"/>
      <c r="AF1723" s="367"/>
      <c r="AG1723" s="245"/>
      <c r="AI1723" s="245"/>
    </row>
    <row r="1724" spans="1:35" ht="26.4">
      <c r="A1724" s="245"/>
      <c r="B1724" s="245"/>
      <c r="C1724" s="245"/>
      <c r="D1724" s="245"/>
      <c r="E1724" s="245"/>
      <c r="F1724" s="280"/>
      <c r="G1724" s="245"/>
      <c r="H1724" s="245"/>
      <c r="I1724" s="245"/>
      <c r="L1724" s="123"/>
      <c r="P1724" s="366"/>
      <c r="R1724" s="355"/>
      <c r="S1724" s="369"/>
      <c r="T1724" s="328"/>
      <c r="U1724" s="85" ph="1"/>
      <c r="W1724" s="216"/>
      <c r="X1724" s="245"/>
      <c r="Y1724" s="187"/>
      <c r="Z1724" s="245"/>
      <c r="AA1724" s="245"/>
      <c r="AB1724" s="332"/>
      <c r="AD1724" s="245"/>
      <c r="AE1724" s="187"/>
      <c r="AF1724" s="367"/>
      <c r="AG1724" s="245"/>
      <c r="AI1724" s="245"/>
    </row>
    <row r="1725" spans="1:35" ht="26.4">
      <c r="A1725" s="245"/>
      <c r="B1725" s="245"/>
      <c r="C1725" s="245"/>
      <c r="D1725" s="245"/>
      <c r="E1725" s="245"/>
      <c r="F1725" s="280"/>
      <c r="G1725" s="245"/>
      <c r="H1725" s="245"/>
      <c r="I1725" s="245"/>
      <c r="L1725" s="123"/>
      <c r="P1725" s="366"/>
      <c r="R1725" s="355"/>
      <c r="S1725" s="369"/>
      <c r="T1725" s="328"/>
      <c r="U1725" s="85" ph="1"/>
      <c r="W1725" s="216"/>
      <c r="X1725" s="245"/>
      <c r="Y1725" s="187"/>
      <c r="Z1725" s="245"/>
      <c r="AA1725" s="245"/>
      <c r="AB1725" s="332"/>
      <c r="AD1725" s="245"/>
      <c r="AE1725" s="187"/>
      <c r="AF1725" s="367"/>
      <c r="AG1725" s="245"/>
      <c r="AI1725" s="245"/>
    </row>
    <row r="1726" spans="1:35" ht="26.4">
      <c r="A1726" s="245"/>
      <c r="B1726" s="245"/>
      <c r="C1726" s="245"/>
      <c r="D1726" s="245"/>
      <c r="E1726" s="245"/>
      <c r="F1726" s="280"/>
      <c r="G1726" s="245"/>
      <c r="H1726" s="245"/>
      <c r="I1726" s="245"/>
      <c r="L1726" s="123"/>
      <c r="P1726" s="366"/>
      <c r="R1726" s="355"/>
      <c r="S1726" s="369"/>
      <c r="T1726" s="328"/>
      <c r="U1726" s="85" ph="1"/>
      <c r="W1726" s="216"/>
      <c r="X1726" s="245"/>
      <c r="Y1726" s="187"/>
      <c r="Z1726" s="245"/>
      <c r="AA1726" s="245"/>
      <c r="AB1726" s="332"/>
      <c r="AD1726" s="245"/>
      <c r="AE1726" s="187"/>
      <c r="AF1726" s="367"/>
      <c r="AG1726" s="245"/>
      <c r="AI1726" s="245"/>
    </row>
    <row r="1727" spans="1:35" ht="26.4">
      <c r="A1727" s="245"/>
      <c r="B1727" s="245"/>
      <c r="C1727" s="245"/>
      <c r="D1727" s="245"/>
      <c r="E1727" s="245"/>
      <c r="F1727" s="280"/>
      <c r="G1727" s="245"/>
      <c r="H1727" s="245"/>
      <c r="I1727" s="245"/>
      <c r="L1727" s="123"/>
      <c r="P1727" s="366"/>
      <c r="R1727" s="355"/>
      <c r="S1727" s="369"/>
      <c r="T1727" s="328"/>
      <c r="U1727" s="85" ph="1"/>
      <c r="W1727" s="216"/>
      <c r="X1727" s="245"/>
      <c r="Y1727" s="187"/>
      <c r="Z1727" s="245"/>
      <c r="AA1727" s="245"/>
      <c r="AB1727" s="332"/>
      <c r="AD1727" s="245"/>
      <c r="AE1727" s="187"/>
      <c r="AF1727" s="367"/>
      <c r="AG1727" s="245"/>
      <c r="AI1727" s="245"/>
    </row>
    <row r="1728" spans="1:35" ht="26.4">
      <c r="A1728" s="245"/>
      <c r="B1728" s="245"/>
      <c r="C1728" s="245"/>
      <c r="D1728" s="245"/>
      <c r="E1728" s="245"/>
      <c r="F1728" s="280"/>
      <c r="G1728" s="245"/>
      <c r="H1728" s="245"/>
      <c r="I1728" s="245"/>
      <c r="L1728" s="123"/>
      <c r="P1728" s="366"/>
      <c r="R1728" s="355"/>
      <c r="S1728" s="369"/>
      <c r="T1728" s="328"/>
      <c r="U1728" s="85" ph="1"/>
      <c r="W1728" s="216"/>
      <c r="X1728" s="245"/>
      <c r="Y1728" s="187"/>
      <c r="Z1728" s="245"/>
      <c r="AA1728" s="245"/>
      <c r="AB1728" s="332"/>
      <c r="AD1728" s="245"/>
      <c r="AE1728" s="187"/>
      <c r="AF1728" s="367"/>
      <c r="AG1728" s="245"/>
      <c r="AI1728" s="245"/>
    </row>
    <row r="1729" spans="1:35" ht="26.4">
      <c r="A1729" s="245"/>
      <c r="B1729" s="245"/>
      <c r="C1729" s="245"/>
      <c r="D1729" s="245"/>
      <c r="E1729" s="245"/>
      <c r="F1729" s="280"/>
      <c r="G1729" s="245"/>
      <c r="H1729" s="245"/>
      <c r="I1729" s="245"/>
      <c r="L1729" s="123"/>
      <c r="P1729" s="366"/>
      <c r="R1729" s="355"/>
      <c r="S1729" s="369"/>
      <c r="T1729" s="328"/>
      <c r="U1729" s="85" ph="1"/>
      <c r="W1729" s="216"/>
      <c r="X1729" s="245"/>
      <c r="Y1729" s="187"/>
      <c r="Z1729" s="245"/>
      <c r="AA1729" s="245"/>
      <c r="AB1729" s="332"/>
      <c r="AD1729" s="245"/>
      <c r="AE1729" s="187"/>
      <c r="AF1729" s="367"/>
      <c r="AG1729" s="245"/>
      <c r="AI1729" s="245"/>
    </row>
    <row r="1730" spans="1:35" ht="26.4">
      <c r="A1730" s="245"/>
      <c r="B1730" s="245"/>
      <c r="C1730" s="245"/>
      <c r="D1730" s="245"/>
      <c r="E1730" s="245"/>
      <c r="F1730" s="280"/>
      <c r="G1730" s="245"/>
      <c r="H1730" s="245"/>
      <c r="I1730" s="245"/>
      <c r="L1730" s="123"/>
      <c r="P1730" s="366"/>
      <c r="R1730" s="355"/>
      <c r="S1730" s="369"/>
      <c r="T1730" s="328"/>
      <c r="U1730" s="85" ph="1"/>
      <c r="W1730" s="216"/>
      <c r="X1730" s="245"/>
      <c r="Y1730" s="187"/>
      <c r="Z1730" s="245"/>
      <c r="AA1730" s="245"/>
      <c r="AB1730" s="332"/>
      <c r="AD1730" s="245"/>
      <c r="AE1730" s="187"/>
      <c r="AF1730" s="367"/>
      <c r="AG1730" s="245"/>
      <c r="AI1730" s="245"/>
    </row>
    <row r="1731" spans="1:35" ht="26.4">
      <c r="A1731" s="245"/>
      <c r="B1731" s="245"/>
      <c r="C1731" s="245"/>
      <c r="D1731" s="245"/>
      <c r="E1731" s="245"/>
      <c r="F1731" s="280"/>
      <c r="G1731" s="245"/>
      <c r="H1731" s="245"/>
      <c r="I1731" s="245"/>
      <c r="L1731" s="123"/>
      <c r="P1731" s="366"/>
      <c r="R1731" s="355"/>
      <c r="S1731" s="369"/>
      <c r="T1731" s="328"/>
      <c r="U1731" s="85" ph="1"/>
      <c r="W1731" s="216"/>
      <c r="X1731" s="245"/>
      <c r="Y1731" s="187"/>
      <c r="Z1731" s="245"/>
      <c r="AA1731" s="245"/>
      <c r="AB1731" s="332"/>
      <c r="AD1731" s="245"/>
      <c r="AE1731" s="187"/>
      <c r="AF1731" s="367"/>
      <c r="AG1731" s="245"/>
      <c r="AI1731" s="245"/>
    </row>
    <row r="1732" spans="1:35" ht="26.4">
      <c r="A1732" s="245"/>
      <c r="B1732" s="245"/>
      <c r="C1732" s="245"/>
      <c r="D1732" s="245"/>
      <c r="E1732" s="245"/>
      <c r="F1732" s="280"/>
      <c r="G1732" s="245"/>
      <c r="H1732" s="245"/>
      <c r="I1732" s="245"/>
      <c r="L1732" s="123"/>
      <c r="P1732" s="366"/>
      <c r="R1732" s="355"/>
      <c r="S1732" s="369"/>
      <c r="T1732" s="328"/>
      <c r="U1732" s="85" ph="1"/>
      <c r="W1732" s="216"/>
      <c r="X1732" s="245"/>
      <c r="Y1732" s="187"/>
      <c r="Z1732" s="245"/>
      <c r="AA1732" s="245"/>
      <c r="AB1732" s="332"/>
      <c r="AD1732" s="245"/>
      <c r="AE1732" s="187"/>
      <c r="AF1732" s="367"/>
      <c r="AG1732" s="245"/>
      <c r="AI1732" s="245"/>
    </row>
    <row r="1733" spans="1:35" ht="26.4">
      <c r="A1733" s="245"/>
      <c r="B1733" s="245"/>
      <c r="C1733" s="245"/>
      <c r="D1733" s="245"/>
      <c r="E1733" s="245"/>
      <c r="F1733" s="280"/>
      <c r="G1733" s="245"/>
      <c r="H1733" s="245"/>
      <c r="I1733" s="245"/>
      <c r="L1733" s="123"/>
      <c r="P1733" s="366"/>
      <c r="R1733" s="355"/>
      <c r="S1733" s="369"/>
      <c r="T1733" s="328"/>
      <c r="U1733" s="85" ph="1"/>
      <c r="W1733" s="216"/>
      <c r="X1733" s="245"/>
      <c r="Y1733" s="187"/>
      <c r="Z1733" s="245"/>
      <c r="AA1733" s="245"/>
      <c r="AB1733" s="332"/>
      <c r="AD1733" s="245"/>
      <c r="AE1733" s="187"/>
      <c r="AF1733" s="367"/>
      <c r="AG1733" s="245"/>
      <c r="AI1733" s="245"/>
    </row>
    <row r="1734" spans="1:35" ht="26.4">
      <c r="A1734" s="245"/>
      <c r="B1734" s="245"/>
      <c r="C1734" s="245"/>
      <c r="D1734" s="245"/>
      <c r="E1734" s="245"/>
      <c r="F1734" s="280"/>
      <c r="G1734" s="245"/>
      <c r="H1734" s="245"/>
      <c r="I1734" s="245"/>
      <c r="L1734" s="123"/>
      <c r="P1734" s="366"/>
      <c r="R1734" s="355"/>
      <c r="S1734" s="369"/>
      <c r="T1734" s="328"/>
      <c r="U1734" s="85" ph="1"/>
      <c r="W1734" s="216"/>
      <c r="X1734" s="245"/>
      <c r="Y1734" s="187"/>
      <c r="Z1734" s="245"/>
      <c r="AA1734" s="245"/>
      <c r="AB1734" s="332"/>
      <c r="AD1734" s="245"/>
      <c r="AE1734" s="187"/>
      <c r="AF1734" s="367"/>
      <c r="AG1734" s="245"/>
      <c r="AI1734" s="245"/>
    </row>
    <row r="1735" spans="1:35" ht="26.4">
      <c r="A1735" s="245"/>
      <c r="B1735" s="245"/>
      <c r="C1735" s="245"/>
      <c r="D1735" s="245"/>
      <c r="E1735" s="245"/>
      <c r="F1735" s="280"/>
      <c r="G1735" s="245"/>
      <c r="H1735" s="245"/>
      <c r="I1735" s="245"/>
      <c r="L1735" s="123"/>
      <c r="P1735" s="366"/>
      <c r="R1735" s="355"/>
      <c r="S1735" s="369"/>
      <c r="T1735" s="328"/>
      <c r="U1735" s="85" ph="1"/>
      <c r="W1735" s="216"/>
      <c r="X1735" s="245"/>
      <c r="Y1735" s="187"/>
      <c r="Z1735" s="245"/>
      <c r="AA1735" s="245"/>
      <c r="AB1735" s="332"/>
      <c r="AD1735" s="245"/>
      <c r="AE1735" s="187"/>
      <c r="AF1735" s="367"/>
      <c r="AG1735" s="245"/>
      <c r="AI1735" s="245"/>
    </row>
    <row r="1736" spans="1:35" ht="26.4">
      <c r="A1736" s="245"/>
      <c r="B1736" s="245"/>
      <c r="C1736" s="245"/>
      <c r="D1736" s="245"/>
      <c r="E1736" s="245"/>
      <c r="F1736" s="280"/>
      <c r="G1736" s="245"/>
      <c r="H1736" s="245"/>
      <c r="I1736" s="245"/>
      <c r="L1736" s="245"/>
      <c r="P1736" s="366"/>
      <c r="R1736" s="355"/>
      <c r="S1736" s="369"/>
      <c r="T1736" s="328"/>
      <c r="U1736" s="85" ph="1"/>
      <c r="W1736" s="216"/>
      <c r="X1736" s="245"/>
      <c r="Y1736" s="187"/>
      <c r="Z1736" s="245"/>
      <c r="AA1736" s="245"/>
      <c r="AB1736" s="332"/>
      <c r="AD1736" s="245"/>
      <c r="AE1736" s="187"/>
      <c r="AF1736" s="367"/>
      <c r="AG1736" s="245"/>
      <c r="AI1736" s="245"/>
    </row>
    <row r="1737" spans="1:35" ht="26.4">
      <c r="A1737" s="245"/>
      <c r="B1737" s="245"/>
      <c r="C1737" s="245"/>
      <c r="D1737" s="245"/>
      <c r="E1737" s="245"/>
      <c r="F1737" s="280"/>
      <c r="G1737" s="245"/>
      <c r="H1737" s="245"/>
      <c r="I1737" s="245"/>
      <c r="L1737" s="245"/>
      <c r="P1737" s="366"/>
      <c r="R1737" s="355"/>
      <c r="S1737" s="369"/>
      <c r="T1737" s="328"/>
      <c r="U1737" s="85" ph="1"/>
      <c r="W1737" s="216"/>
      <c r="X1737" s="245"/>
      <c r="Y1737" s="187"/>
      <c r="Z1737" s="245"/>
      <c r="AA1737" s="245"/>
      <c r="AB1737" s="332"/>
      <c r="AD1737" s="245"/>
      <c r="AE1737" s="187"/>
      <c r="AF1737" s="367"/>
      <c r="AG1737" s="245"/>
      <c r="AI1737" s="245"/>
    </row>
    <row r="1738" spans="1:35" ht="26.4">
      <c r="A1738" s="245"/>
      <c r="B1738" s="245"/>
      <c r="C1738" s="245"/>
      <c r="D1738" s="245"/>
      <c r="E1738" s="245"/>
      <c r="F1738" s="280"/>
      <c r="G1738" s="245"/>
      <c r="H1738" s="245"/>
      <c r="I1738" s="245"/>
      <c r="L1738" s="123"/>
      <c r="P1738" s="366"/>
      <c r="R1738" s="355"/>
      <c r="S1738" s="369"/>
      <c r="T1738" s="328"/>
      <c r="U1738" s="85" ph="1"/>
      <c r="W1738" s="216"/>
      <c r="X1738" s="245"/>
      <c r="Y1738" s="187"/>
      <c r="Z1738" s="245"/>
      <c r="AA1738" s="245"/>
      <c r="AB1738" s="332"/>
      <c r="AD1738" s="245"/>
      <c r="AE1738" s="187"/>
      <c r="AF1738" s="367"/>
      <c r="AG1738" s="245"/>
      <c r="AI1738" s="245"/>
    </row>
    <row r="1739" spans="1:35" ht="26.4">
      <c r="A1739" s="245"/>
      <c r="B1739" s="245"/>
      <c r="C1739" s="245"/>
      <c r="D1739" s="245"/>
      <c r="E1739" s="245"/>
      <c r="F1739" s="280"/>
      <c r="G1739" s="245"/>
      <c r="H1739" s="245"/>
      <c r="I1739" s="245"/>
      <c r="L1739" s="123"/>
      <c r="P1739" s="366"/>
      <c r="R1739" s="355"/>
      <c r="S1739" s="369"/>
      <c r="T1739" s="328"/>
      <c r="U1739" s="85" ph="1"/>
      <c r="W1739" s="216"/>
      <c r="X1739" s="245"/>
      <c r="Y1739" s="187"/>
      <c r="Z1739" s="245"/>
      <c r="AA1739" s="245"/>
      <c r="AB1739" s="332"/>
      <c r="AD1739" s="245"/>
      <c r="AE1739" s="187"/>
      <c r="AF1739" s="367"/>
      <c r="AG1739" s="245"/>
      <c r="AI1739" s="245"/>
    </row>
    <row r="1740" spans="1:35" ht="26.4">
      <c r="A1740" s="245"/>
      <c r="B1740" s="245"/>
      <c r="C1740" s="245"/>
      <c r="D1740" s="245"/>
      <c r="E1740" s="245"/>
      <c r="F1740" s="280"/>
      <c r="G1740" s="245"/>
      <c r="H1740" s="245"/>
      <c r="I1740" s="245"/>
      <c r="L1740" s="123"/>
      <c r="P1740" s="366"/>
      <c r="R1740" s="355"/>
      <c r="S1740" s="369"/>
      <c r="T1740" s="328"/>
      <c r="U1740" s="85" ph="1"/>
      <c r="W1740" s="216"/>
      <c r="X1740" s="245"/>
      <c r="Y1740" s="187"/>
      <c r="Z1740" s="245"/>
      <c r="AA1740" s="245"/>
      <c r="AB1740" s="332"/>
      <c r="AD1740" s="245"/>
      <c r="AE1740" s="187"/>
      <c r="AF1740" s="367"/>
      <c r="AG1740" s="245"/>
      <c r="AI1740" s="245"/>
    </row>
    <row r="1741" spans="1:35" ht="26.4">
      <c r="A1741" s="245"/>
      <c r="B1741" s="245"/>
      <c r="C1741" s="245"/>
      <c r="D1741" s="245"/>
      <c r="E1741" s="245"/>
      <c r="F1741" s="280"/>
      <c r="G1741" s="245"/>
      <c r="H1741" s="245"/>
      <c r="I1741" s="245"/>
      <c r="L1741" s="123"/>
      <c r="P1741" s="366"/>
      <c r="R1741" s="355"/>
      <c r="S1741" s="369"/>
      <c r="T1741" s="328"/>
      <c r="U1741" s="85" ph="1"/>
      <c r="W1741" s="216"/>
      <c r="X1741" s="245"/>
      <c r="Y1741" s="187"/>
      <c r="Z1741" s="245"/>
      <c r="AA1741" s="245"/>
      <c r="AB1741" s="332"/>
      <c r="AD1741" s="245"/>
      <c r="AE1741" s="187"/>
      <c r="AF1741" s="367"/>
      <c r="AG1741" s="245"/>
      <c r="AI1741" s="245"/>
    </row>
    <row r="1742" spans="1:35" ht="26.4">
      <c r="A1742" s="245"/>
      <c r="B1742" s="245"/>
      <c r="C1742" s="245"/>
      <c r="D1742" s="245"/>
      <c r="E1742" s="245"/>
      <c r="F1742" s="280"/>
      <c r="G1742" s="245"/>
      <c r="H1742" s="245"/>
      <c r="I1742" s="245"/>
      <c r="L1742" s="123"/>
      <c r="P1742" s="366"/>
      <c r="R1742" s="355"/>
      <c r="S1742" s="369"/>
      <c r="T1742" s="328"/>
      <c r="U1742" s="85" ph="1"/>
      <c r="W1742" s="216"/>
      <c r="X1742" s="245"/>
      <c r="Y1742" s="187"/>
      <c r="Z1742" s="245"/>
      <c r="AA1742" s="245"/>
      <c r="AB1742" s="332"/>
      <c r="AD1742" s="245"/>
      <c r="AE1742" s="187"/>
      <c r="AF1742" s="367"/>
      <c r="AG1742" s="245"/>
      <c r="AI1742" s="245"/>
    </row>
    <row r="1743" spans="1:35" ht="26.4">
      <c r="A1743" s="245"/>
      <c r="B1743" s="245"/>
      <c r="C1743" s="245"/>
      <c r="D1743" s="245"/>
      <c r="E1743" s="245"/>
      <c r="F1743" s="280"/>
      <c r="G1743" s="245"/>
      <c r="H1743" s="245"/>
      <c r="I1743" s="245"/>
      <c r="L1743" s="123"/>
      <c r="P1743" s="366"/>
      <c r="R1743" s="355"/>
      <c r="S1743" s="369"/>
      <c r="T1743" s="328"/>
      <c r="U1743" s="85" ph="1"/>
      <c r="W1743" s="216"/>
      <c r="X1743" s="245"/>
      <c r="Y1743" s="187"/>
      <c r="Z1743" s="245"/>
      <c r="AA1743" s="245"/>
      <c r="AB1743" s="332"/>
      <c r="AD1743" s="245"/>
      <c r="AE1743" s="187"/>
      <c r="AF1743" s="367"/>
      <c r="AG1743" s="245"/>
      <c r="AI1743" s="245"/>
    </row>
    <row r="1744" spans="1:35" ht="26.4">
      <c r="A1744" s="245"/>
      <c r="B1744" s="245"/>
      <c r="C1744" s="245"/>
      <c r="D1744" s="245"/>
      <c r="E1744" s="245"/>
      <c r="F1744" s="280"/>
      <c r="G1744" s="245"/>
      <c r="H1744" s="245"/>
      <c r="I1744" s="245"/>
      <c r="L1744" s="123"/>
      <c r="P1744" s="366"/>
      <c r="R1744" s="355"/>
      <c r="S1744" s="369"/>
      <c r="T1744" s="328"/>
      <c r="U1744" s="85" ph="1"/>
      <c r="W1744" s="216"/>
      <c r="X1744" s="245"/>
      <c r="Y1744" s="187"/>
      <c r="Z1744" s="245"/>
      <c r="AA1744" s="245"/>
      <c r="AB1744" s="332"/>
      <c r="AD1744" s="245"/>
      <c r="AE1744" s="187"/>
      <c r="AF1744" s="367"/>
      <c r="AG1744" s="245"/>
      <c r="AI1744" s="245"/>
    </row>
    <row r="1745" spans="1:35" ht="26.4">
      <c r="A1745" s="245"/>
      <c r="B1745" s="245"/>
      <c r="C1745" s="245"/>
      <c r="D1745" s="245"/>
      <c r="E1745" s="245"/>
      <c r="F1745" s="280"/>
      <c r="G1745" s="245"/>
      <c r="H1745" s="245"/>
      <c r="I1745" s="245"/>
      <c r="L1745" s="123"/>
      <c r="P1745" s="366"/>
      <c r="R1745" s="355"/>
      <c r="S1745" s="369"/>
      <c r="T1745" s="328"/>
      <c r="U1745" s="85" ph="1"/>
      <c r="W1745" s="216"/>
      <c r="X1745" s="245"/>
      <c r="Y1745" s="187"/>
      <c r="Z1745" s="245"/>
      <c r="AA1745" s="245"/>
      <c r="AB1745" s="332"/>
      <c r="AD1745" s="245"/>
      <c r="AE1745" s="187"/>
      <c r="AF1745" s="367"/>
      <c r="AG1745" s="245"/>
      <c r="AI1745" s="245"/>
    </row>
    <row r="1746" spans="1:35" ht="26.4">
      <c r="A1746" s="245"/>
      <c r="B1746" s="245"/>
      <c r="C1746" s="245"/>
      <c r="D1746" s="245"/>
      <c r="E1746" s="245"/>
      <c r="F1746" s="280"/>
      <c r="G1746" s="245"/>
      <c r="H1746" s="245"/>
      <c r="I1746" s="245"/>
      <c r="L1746" s="245"/>
      <c r="P1746" s="366"/>
      <c r="R1746" s="355"/>
      <c r="S1746" s="369"/>
      <c r="T1746" s="328"/>
      <c r="U1746" s="85" ph="1"/>
      <c r="W1746" s="216"/>
      <c r="X1746" s="245"/>
      <c r="Y1746" s="187"/>
      <c r="Z1746" s="245"/>
      <c r="AA1746" s="245"/>
      <c r="AB1746" s="332"/>
      <c r="AD1746" s="245"/>
      <c r="AE1746" s="187"/>
      <c r="AF1746" s="367"/>
      <c r="AG1746" s="245"/>
      <c r="AI1746" s="245"/>
    </row>
    <row r="1747" spans="1:35" ht="26.4">
      <c r="A1747" s="245"/>
      <c r="B1747" s="245"/>
      <c r="C1747" s="245"/>
      <c r="D1747" s="245"/>
      <c r="E1747" s="245"/>
      <c r="F1747" s="280"/>
      <c r="G1747" s="245"/>
      <c r="H1747" s="245"/>
      <c r="I1747" s="245"/>
      <c r="L1747" s="123"/>
      <c r="P1747" s="366"/>
      <c r="R1747" s="355"/>
      <c r="S1747" s="369"/>
      <c r="T1747" s="328"/>
      <c r="U1747" s="85" ph="1"/>
      <c r="W1747" s="216"/>
      <c r="X1747" s="245"/>
      <c r="Y1747" s="187"/>
      <c r="Z1747" s="245"/>
      <c r="AA1747" s="245"/>
      <c r="AB1747" s="332"/>
      <c r="AD1747" s="245"/>
      <c r="AE1747" s="187"/>
      <c r="AF1747" s="367"/>
      <c r="AG1747" s="245"/>
      <c r="AI1747" s="245"/>
    </row>
    <row r="1748" spans="1:35" ht="26.4">
      <c r="A1748" s="245"/>
      <c r="B1748" s="245"/>
      <c r="C1748" s="245"/>
      <c r="D1748" s="245"/>
      <c r="E1748" s="245"/>
      <c r="F1748" s="280"/>
      <c r="G1748" s="245"/>
      <c r="H1748" s="245"/>
      <c r="I1748" s="245"/>
      <c r="L1748" s="123"/>
      <c r="P1748" s="366"/>
      <c r="R1748" s="355"/>
      <c r="S1748" s="369"/>
      <c r="T1748" s="328"/>
      <c r="U1748" s="85" ph="1"/>
      <c r="W1748" s="216"/>
      <c r="X1748" s="245"/>
      <c r="Y1748" s="187"/>
      <c r="Z1748" s="245"/>
      <c r="AA1748" s="245"/>
      <c r="AB1748" s="332"/>
      <c r="AD1748" s="245"/>
      <c r="AE1748" s="187"/>
      <c r="AF1748" s="367"/>
      <c r="AG1748" s="245"/>
      <c r="AI1748" s="245"/>
    </row>
    <row r="1749" spans="1:35" ht="26.4">
      <c r="A1749" s="245"/>
      <c r="B1749" s="245"/>
      <c r="C1749" s="245"/>
      <c r="D1749" s="245"/>
      <c r="E1749" s="245"/>
      <c r="F1749" s="280"/>
      <c r="G1749" s="245"/>
      <c r="H1749" s="245"/>
      <c r="I1749" s="245"/>
      <c r="L1749" s="123"/>
      <c r="P1749" s="366"/>
      <c r="R1749" s="355"/>
      <c r="S1749" s="369"/>
      <c r="T1749" s="328"/>
      <c r="U1749" s="85" ph="1"/>
      <c r="W1749" s="216"/>
      <c r="X1749" s="245"/>
      <c r="Y1749" s="187"/>
      <c r="Z1749" s="245"/>
      <c r="AA1749" s="245"/>
      <c r="AB1749" s="332"/>
      <c r="AD1749" s="245"/>
      <c r="AE1749" s="187"/>
      <c r="AF1749" s="367"/>
      <c r="AG1749" s="245"/>
      <c r="AI1749" s="245"/>
    </row>
    <row r="1750" spans="1:35" ht="26.4">
      <c r="A1750" s="245"/>
      <c r="B1750" s="245"/>
      <c r="C1750" s="245"/>
      <c r="D1750" s="245"/>
      <c r="E1750" s="245"/>
      <c r="F1750" s="280"/>
      <c r="G1750" s="245"/>
      <c r="H1750" s="245"/>
      <c r="I1750" s="245"/>
      <c r="L1750" s="123"/>
      <c r="P1750" s="366"/>
      <c r="R1750" s="355"/>
      <c r="S1750" s="369"/>
      <c r="T1750" s="328"/>
      <c r="U1750" s="85" ph="1"/>
      <c r="W1750" s="216"/>
      <c r="X1750" s="245"/>
      <c r="Y1750" s="187"/>
      <c r="Z1750" s="245"/>
      <c r="AA1750" s="245"/>
      <c r="AB1750" s="332"/>
      <c r="AD1750" s="245"/>
      <c r="AE1750" s="187"/>
      <c r="AF1750" s="367"/>
      <c r="AG1750" s="245"/>
      <c r="AI1750" s="245"/>
    </row>
    <row r="1751" spans="1:35" ht="26.4">
      <c r="A1751" s="245"/>
      <c r="B1751" s="245"/>
      <c r="C1751" s="245"/>
      <c r="D1751" s="245"/>
      <c r="E1751" s="245"/>
      <c r="F1751" s="280"/>
      <c r="G1751" s="245"/>
      <c r="H1751" s="245"/>
      <c r="I1751" s="245"/>
      <c r="L1751" s="123"/>
      <c r="P1751" s="366"/>
      <c r="R1751" s="355"/>
      <c r="S1751" s="369"/>
      <c r="T1751" s="328"/>
      <c r="U1751" s="85" ph="1"/>
      <c r="W1751" s="216"/>
      <c r="X1751" s="245"/>
      <c r="Y1751" s="187"/>
      <c r="Z1751" s="245"/>
      <c r="AA1751" s="245"/>
      <c r="AB1751" s="332"/>
      <c r="AD1751" s="245"/>
      <c r="AE1751" s="187"/>
      <c r="AF1751" s="367"/>
      <c r="AG1751" s="245"/>
      <c r="AI1751" s="245"/>
    </row>
    <row r="1752" spans="1:35" ht="26.4">
      <c r="A1752" s="245"/>
      <c r="B1752" s="245"/>
      <c r="C1752" s="245"/>
      <c r="D1752" s="245"/>
      <c r="E1752" s="245"/>
      <c r="F1752" s="280"/>
      <c r="G1752" s="245"/>
      <c r="H1752" s="245"/>
      <c r="I1752" s="245"/>
      <c r="L1752" s="123"/>
      <c r="P1752" s="366"/>
      <c r="R1752" s="355"/>
      <c r="S1752" s="369"/>
      <c r="T1752" s="328"/>
      <c r="U1752" s="85" ph="1"/>
      <c r="W1752" s="216"/>
      <c r="X1752" s="245"/>
      <c r="Y1752" s="187"/>
      <c r="Z1752" s="245"/>
      <c r="AA1752" s="245"/>
      <c r="AB1752" s="332"/>
      <c r="AD1752" s="245"/>
      <c r="AE1752" s="187"/>
      <c r="AF1752" s="367"/>
      <c r="AG1752" s="245"/>
      <c r="AI1752" s="245"/>
    </row>
    <row r="1753" spans="1:35" ht="26.4">
      <c r="A1753" s="245"/>
      <c r="B1753" s="245"/>
      <c r="C1753" s="245"/>
      <c r="D1753" s="245"/>
      <c r="E1753" s="245"/>
      <c r="F1753" s="280"/>
      <c r="G1753" s="245"/>
      <c r="H1753" s="245"/>
      <c r="I1753" s="245"/>
      <c r="L1753" s="123"/>
      <c r="P1753" s="366"/>
      <c r="R1753" s="355"/>
      <c r="S1753" s="369"/>
      <c r="T1753" s="328"/>
      <c r="U1753" s="85" ph="1"/>
      <c r="W1753" s="216"/>
      <c r="X1753" s="245"/>
      <c r="Y1753" s="187"/>
      <c r="Z1753" s="245"/>
      <c r="AA1753" s="245"/>
      <c r="AB1753" s="332"/>
      <c r="AD1753" s="245"/>
      <c r="AE1753" s="187"/>
      <c r="AF1753" s="367"/>
      <c r="AG1753" s="245"/>
      <c r="AI1753" s="245"/>
    </row>
    <row r="1754" spans="1:35" ht="26.4">
      <c r="A1754" s="245"/>
      <c r="B1754" s="245"/>
      <c r="C1754" s="245"/>
      <c r="D1754" s="245"/>
      <c r="E1754" s="245"/>
      <c r="F1754" s="280"/>
      <c r="G1754" s="245"/>
      <c r="H1754" s="245"/>
      <c r="I1754" s="245"/>
      <c r="L1754" s="123"/>
      <c r="P1754" s="366"/>
      <c r="R1754" s="355"/>
      <c r="S1754" s="369"/>
      <c r="T1754" s="328"/>
      <c r="U1754" s="85" ph="1"/>
      <c r="W1754" s="216"/>
      <c r="X1754" s="245"/>
      <c r="Y1754" s="187"/>
      <c r="Z1754" s="245"/>
      <c r="AA1754" s="245"/>
      <c r="AB1754" s="332"/>
      <c r="AD1754" s="245"/>
      <c r="AE1754" s="187"/>
      <c r="AF1754" s="367"/>
      <c r="AG1754" s="245"/>
      <c r="AI1754" s="245"/>
    </row>
    <row r="1755" spans="1:35" ht="26.4">
      <c r="A1755" s="245"/>
      <c r="B1755" s="245"/>
      <c r="C1755" s="245"/>
      <c r="D1755" s="245"/>
      <c r="E1755" s="245"/>
      <c r="F1755" s="280"/>
      <c r="G1755" s="245"/>
      <c r="H1755" s="245"/>
      <c r="I1755" s="245"/>
      <c r="L1755" s="123"/>
      <c r="P1755" s="366"/>
      <c r="R1755" s="355"/>
      <c r="S1755" s="369"/>
      <c r="T1755" s="328"/>
      <c r="U1755" s="85" ph="1"/>
      <c r="W1755" s="216"/>
      <c r="X1755" s="245"/>
      <c r="Y1755" s="187"/>
      <c r="Z1755" s="245"/>
      <c r="AA1755" s="245"/>
      <c r="AB1755" s="332"/>
      <c r="AD1755" s="245"/>
      <c r="AE1755" s="187"/>
      <c r="AF1755" s="367"/>
      <c r="AG1755" s="245"/>
      <c r="AI1755" s="245"/>
    </row>
    <row r="1756" spans="1:35" ht="26.4">
      <c r="A1756" s="245"/>
      <c r="B1756" s="245"/>
      <c r="C1756" s="245"/>
      <c r="D1756" s="245"/>
      <c r="E1756" s="245"/>
      <c r="F1756" s="280"/>
      <c r="G1756" s="245"/>
      <c r="H1756" s="245"/>
      <c r="I1756" s="245"/>
      <c r="L1756" s="245"/>
      <c r="P1756" s="366"/>
      <c r="R1756" s="355"/>
      <c r="S1756" s="369"/>
      <c r="T1756" s="328"/>
      <c r="U1756" s="85" ph="1"/>
      <c r="W1756" s="216"/>
      <c r="X1756" s="245"/>
      <c r="Y1756" s="187"/>
      <c r="Z1756" s="245"/>
      <c r="AA1756" s="245"/>
      <c r="AB1756" s="332"/>
      <c r="AD1756" s="245"/>
      <c r="AE1756" s="187"/>
      <c r="AF1756" s="367"/>
      <c r="AG1756" s="245"/>
      <c r="AI1756" s="245"/>
    </row>
    <row r="1757" spans="1:35" ht="26.4">
      <c r="A1757" s="245"/>
      <c r="B1757" s="245"/>
      <c r="C1757" s="245"/>
      <c r="D1757" s="245"/>
      <c r="E1757" s="245"/>
      <c r="F1757" s="280"/>
      <c r="G1757" s="245"/>
      <c r="H1757" s="245"/>
      <c r="I1757" s="245"/>
      <c r="L1757" s="123"/>
      <c r="P1757" s="366"/>
      <c r="R1757" s="355"/>
      <c r="S1757" s="369"/>
      <c r="T1757" s="328"/>
      <c r="U1757" s="85" ph="1"/>
      <c r="W1757" s="216"/>
      <c r="X1757" s="245"/>
      <c r="Y1757" s="187"/>
      <c r="Z1757" s="245"/>
      <c r="AA1757" s="245"/>
      <c r="AB1757" s="332"/>
      <c r="AD1757" s="245"/>
      <c r="AE1757" s="187"/>
      <c r="AF1757" s="367"/>
      <c r="AG1757" s="245"/>
      <c r="AI1757" s="245"/>
    </row>
    <row r="1758" spans="1:35" ht="26.4">
      <c r="A1758" s="245"/>
      <c r="B1758" s="245"/>
      <c r="C1758" s="245"/>
      <c r="D1758" s="245"/>
      <c r="E1758" s="245"/>
      <c r="F1758" s="280"/>
      <c r="G1758" s="245"/>
      <c r="H1758" s="245"/>
      <c r="I1758" s="245"/>
      <c r="L1758" s="123"/>
      <c r="P1758" s="366"/>
      <c r="R1758" s="355"/>
      <c r="S1758" s="369"/>
      <c r="T1758" s="328"/>
      <c r="U1758" s="85" ph="1"/>
      <c r="W1758" s="216"/>
      <c r="X1758" s="245"/>
      <c r="Y1758" s="187"/>
      <c r="Z1758" s="245"/>
      <c r="AA1758" s="245"/>
      <c r="AB1758" s="332"/>
      <c r="AD1758" s="245"/>
      <c r="AE1758" s="187"/>
      <c r="AF1758" s="367"/>
      <c r="AG1758" s="245"/>
      <c r="AI1758" s="245"/>
    </row>
    <row r="1759" spans="1:35" ht="26.4">
      <c r="A1759" s="245"/>
      <c r="B1759" s="245"/>
      <c r="C1759" s="245"/>
      <c r="D1759" s="245"/>
      <c r="E1759" s="245"/>
      <c r="F1759" s="280"/>
      <c r="G1759" s="245"/>
      <c r="H1759" s="245"/>
      <c r="I1759" s="245"/>
      <c r="L1759" s="123"/>
      <c r="P1759" s="366"/>
      <c r="R1759" s="355"/>
      <c r="S1759" s="369"/>
      <c r="T1759" s="328"/>
      <c r="U1759" s="85" ph="1"/>
      <c r="W1759" s="216"/>
      <c r="X1759" s="245"/>
      <c r="Y1759" s="187"/>
      <c r="Z1759" s="245"/>
      <c r="AA1759" s="245"/>
      <c r="AB1759" s="332"/>
      <c r="AD1759" s="245"/>
      <c r="AE1759" s="187"/>
      <c r="AF1759" s="367"/>
      <c r="AG1759" s="245"/>
      <c r="AI1759" s="245"/>
    </row>
    <row r="1760" spans="1:35" ht="26.4">
      <c r="A1760" s="245"/>
      <c r="B1760" s="245"/>
      <c r="C1760" s="245"/>
      <c r="D1760" s="245"/>
      <c r="E1760" s="245"/>
      <c r="F1760" s="280"/>
      <c r="G1760" s="245"/>
      <c r="H1760" s="245"/>
      <c r="I1760" s="245"/>
      <c r="L1760" s="245"/>
      <c r="P1760" s="366"/>
      <c r="R1760" s="355"/>
      <c r="S1760" s="369"/>
      <c r="T1760" s="328"/>
      <c r="U1760" s="85" ph="1"/>
      <c r="W1760" s="216"/>
      <c r="X1760" s="245"/>
      <c r="Y1760" s="187"/>
      <c r="Z1760" s="245"/>
      <c r="AA1760" s="245"/>
      <c r="AB1760" s="332"/>
      <c r="AD1760" s="245"/>
      <c r="AE1760" s="187"/>
      <c r="AF1760" s="367"/>
      <c r="AG1760" s="245"/>
      <c r="AI1760" s="245"/>
    </row>
    <row r="1761" spans="1:35" ht="26.4">
      <c r="A1761" s="245"/>
      <c r="B1761" s="245"/>
      <c r="C1761" s="245"/>
      <c r="D1761" s="245"/>
      <c r="E1761" s="245"/>
      <c r="F1761" s="280"/>
      <c r="G1761" s="245"/>
      <c r="H1761" s="245"/>
      <c r="I1761" s="245"/>
      <c r="L1761" s="123"/>
      <c r="P1761" s="366"/>
      <c r="R1761" s="355"/>
      <c r="S1761" s="369"/>
      <c r="T1761" s="328"/>
      <c r="U1761" s="85" ph="1"/>
      <c r="W1761" s="216"/>
      <c r="X1761" s="245"/>
      <c r="Y1761" s="187"/>
      <c r="Z1761" s="245"/>
      <c r="AA1761" s="245"/>
      <c r="AB1761" s="332"/>
      <c r="AD1761" s="245"/>
      <c r="AE1761" s="187"/>
      <c r="AF1761" s="367"/>
      <c r="AG1761" s="245"/>
      <c r="AI1761" s="245"/>
    </row>
    <row r="1762" spans="1:35" ht="26.4">
      <c r="A1762" s="245"/>
      <c r="B1762" s="245"/>
      <c r="C1762" s="245"/>
      <c r="D1762" s="245"/>
      <c r="E1762" s="245"/>
      <c r="F1762" s="280"/>
      <c r="G1762" s="245"/>
      <c r="H1762" s="245"/>
      <c r="I1762" s="245"/>
      <c r="L1762" s="123"/>
      <c r="P1762" s="366"/>
      <c r="R1762" s="355"/>
      <c r="S1762" s="369"/>
      <c r="T1762" s="328"/>
      <c r="U1762" s="85" ph="1"/>
      <c r="W1762" s="216"/>
      <c r="X1762" s="245"/>
      <c r="Y1762" s="187"/>
      <c r="Z1762" s="245"/>
      <c r="AA1762" s="245"/>
      <c r="AB1762" s="332"/>
      <c r="AD1762" s="245"/>
      <c r="AE1762" s="187"/>
      <c r="AF1762" s="367"/>
      <c r="AG1762" s="245"/>
      <c r="AI1762" s="245"/>
    </row>
    <row r="1763" spans="1:35" ht="26.4">
      <c r="A1763" s="245"/>
      <c r="B1763" s="245"/>
      <c r="C1763" s="245"/>
      <c r="D1763" s="245"/>
      <c r="E1763" s="245"/>
      <c r="F1763" s="280"/>
      <c r="G1763" s="245"/>
      <c r="H1763" s="245"/>
      <c r="I1763" s="245"/>
      <c r="L1763" s="123"/>
      <c r="P1763" s="366"/>
      <c r="R1763" s="355"/>
      <c r="S1763" s="369"/>
      <c r="T1763" s="328"/>
      <c r="U1763" s="85" ph="1"/>
      <c r="W1763" s="216"/>
      <c r="X1763" s="245"/>
      <c r="Y1763" s="187"/>
      <c r="Z1763" s="245"/>
      <c r="AA1763" s="245"/>
      <c r="AB1763" s="332"/>
      <c r="AD1763" s="245"/>
      <c r="AE1763" s="187"/>
      <c r="AF1763" s="367"/>
      <c r="AG1763" s="245"/>
      <c r="AI1763" s="245"/>
    </row>
    <row r="1764" spans="1:35" ht="26.4">
      <c r="A1764" s="245"/>
      <c r="B1764" s="245"/>
      <c r="C1764" s="245"/>
      <c r="D1764" s="245"/>
      <c r="E1764" s="245"/>
      <c r="F1764" s="280"/>
      <c r="G1764" s="245"/>
      <c r="H1764" s="245"/>
      <c r="I1764" s="245"/>
      <c r="L1764" s="123"/>
      <c r="P1764" s="366"/>
      <c r="R1764" s="355"/>
      <c r="S1764" s="369"/>
      <c r="T1764" s="328"/>
      <c r="U1764" s="85" ph="1"/>
      <c r="W1764" s="216"/>
      <c r="X1764" s="245"/>
      <c r="Y1764" s="187"/>
      <c r="Z1764" s="245"/>
      <c r="AA1764" s="245"/>
      <c r="AB1764" s="332"/>
      <c r="AD1764" s="245"/>
      <c r="AE1764" s="187"/>
      <c r="AF1764" s="367"/>
      <c r="AG1764" s="245"/>
      <c r="AI1764" s="245"/>
    </row>
    <row r="1765" spans="1:35" ht="26.4">
      <c r="A1765" s="245"/>
      <c r="B1765" s="245"/>
      <c r="C1765" s="245"/>
      <c r="D1765" s="245"/>
      <c r="E1765" s="245"/>
      <c r="F1765" s="280"/>
      <c r="G1765" s="245"/>
      <c r="H1765" s="245"/>
      <c r="I1765" s="245"/>
      <c r="L1765" s="123"/>
      <c r="P1765" s="366"/>
      <c r="R1765" s="355"/>
      <c r="S1765" s="369"/>
      <c r="T1765" s="328"/>
      <c r="U1765" s="85" ph="1"/>
      <c r="W1765" s="216"/>
      <c r="X1765" s="245"/>
      <c r="Y1765" s="187"/>
      <c r="Z1765" s="245"/>
      <c r="AA1765" s="245"/>
      <c r="AB1765" s="332"/>
      <c r="AD1765" s="245"/>
      <c r="AE1765" s="187"/>
      <c r="AF1765" s="367"/>
      <c r="AG1765" s="245"/>
      <c r="AI1765" s="245"/>
    </row>
    <row r="1766" spans="1:35" ht="26.4">
      <c r="A1766" s="245"/>
      <c r="B1766" s="245"/>
      <c r="C1766" s="245"/>
      <c r="D1766" s="245"/>
      <c r="E1766" s="245"/>
      <c r="F1766" s="280"/>
      <c r="G1766" s="245"/>
      <c r="H1766" s="245"/>
      <c r="I1766" s="245"/>
      <c r="L1766" s="123"/>
      <c r="P1766" s="366"/>
      <c r="R1766" s="355"/>
      <c r="S1766" s="369"/>
      <c r="T1766" s="328"/>
      <c r="U1766" s="85" ph="1"/>
      <c r="W1766" s="216"/>
      <c r="X1766" s="245"/>
      <c r="Y1766" s="187"/>
      <c r="Z1766" s="245"/>
      <c r="AA1766" s="245"/>
      <c r="AB1766" s="332"/>
      <c r="AD1766" s="245"/>
      <c r="AE1766" s="187"/>
      <c r="AF1766" s="367"/>
      <c r="AG1766" s="245"/>
      <c r="AI1766" s="245"/>
    </row>
    <row r="1767" spans="1:35" ht="26.4">
      <c r="A1767" s="245"/>
      <c r="B1767" s="245"/>
      <c r="C1767" s="245"/>
      <c r="D1767" s="245"/>
      <c r="E1767" s="245"/>
      <c r="F1767" s="280"/>
      <c r="G1767" s="245"/>
      <c r="H1767" s="245"/>
      <c r="I1767" s="245"/>
      <c r="L1767" s="123"/>
      <c r="P1767" s="366"/>
      <c r="R1767" s="355"/>
      <c r="S1767" s="369"/>
      <c r="T1767" s="328"/>
      <c r="U1767" s="85" ph="1"/>
      <c r="W1767" s="216"/>
      <c r="X1767" s="245"/>
      <c r="Y1767" s="187"/>
      <c r="Z1767" s="245"/>
      <c r="AA1767" s="245"/>
      <c r="AB1767" s="332"/>
      <c r="AD1767" s="245"/>
      <c r="AE1767" s="187"/>
      <c r="AF1767" s="367"/>
      <c r="AG1767" s="245"/>
      <c r="AI1767" s="245"/>
    </row>
    <row r="1768" spans="1:35" ht="26.4">
      <c r="A1768" s="245"/>
      <c r="B1768" s="245"/>
      <c r="C1768" s="245"/>
      <c r="D1768" s="245"/>
      <c r="E1768" s="245"/>
      <c r="F1768" s="280"/>
      <c r="G1768" s="245"/>
      <c r="H1768" s="245"/>
      <c r="I1768" s="245"/>
      <c r="L1768" s="123"/>
      <c r="P1768" s="366"/>
      <c r="R1768" s="355"/>
      <c r="S1768" s="369"/>
      <c r="T1768" s="328"/>
      <c r="U1768" s="85" ph="1"/>
      <c r="W1768" s="216"/>
      <c r="X1768" s="245"/>
      <c r="Y1768" s="187"/>
      <c r="Z1768" s="245"/>
      <c r="AA1768" s="245"/>
      <c r="AB1768" s="332"/>
      <c r="AD1768" s="245"/>
      <c r="AE1768" s="187"/>
      <c r="AF1768" s="367"/>
      <c r="AG1768" s="245"/>
      <c r="AI1768" s="245"/>
    </row>
    <row r="1769" spans="1:35" ht="26.4">
      <c r="A1769" s="245"/>
      <c r="B1769" s="245"/>
      <c r="C1769" s="245"/>
      <c r="D1769" s="245"/>
      <c r="E1769" s="245"/>
      <c r="F1769" s="280"/>
      <c r="G1769" s="245"/>
      <c r="H1769" s="245"/>
      <c r="I1769" s="245"/>
      <c r="L1769" s="123"/>
      <c r="P1769" s="366"/>
      <c r="R1769" s="355"/>
      <c r="S1769" s="369"/>
      <c r="T1769" s="328"/>
      <c r="U1769" s="85" ph="1"/>
      <c r="W1769" s="216"/>
      <c r="X1769" s="245"/>
      <c r="Y1769" s="187"/>
      <c r="Z1769" s="245"/>
      <c r="AA1769" s="245"/>
      <c r="AB1769" s="332"/>
      <c r="AD1769" s="245"/>
      <c r="AE1769" s="187"/>
      <c r="AF1769" s="367"/>
      <c r="AG1769" s="245"/>
      <c r="AI1769" s="245"/>
    </row>
    <row r="1770" spans="1:35" ht="26.4">
      <c r="A1770" s="245"/>
      <c r="B1770" s="245"/>
      <c r="C1770" s="245"/>
      <c r="D1770" s="245"/>
      <c r="E1770" s="245"/>
      <c r="F1770" s="280"/>
      <c r="G1770" s="245"/>
      <c r="H1770" s="245"/>
      <c r="I1770" s="245"/>
      <c r="L1770" s="123"/>
      <c r="P1770" s="366"/>
      <c r="R1770" s="355"/>
      <c r="S1770" s="369"/>
      <c r="T1770" s="328"/>
      <c r="U1770" s="85" ph="1"/>
      <c r="W1770" s="216"/>
      <c r="X1770" s="245"/>
      <c r="Y1770" s="187"/>
      <c r="Z1770" s="245"/>
      <c r="AA1770" s="245"/>
      <c r="AB1770" s="332"/>
      <c r="AD1770" s="245"/>
      <c r="AE1770" s="187"/>
      <c r="AF1770" s="367"/>
      <c r="AG1770" s="245"/>
      <c r="AI1770" s="245"/>
    </row>
    <row r="1771" spans="1:35" ht="26.4">
      <c r="A1771" s="245"/>
      <c r="B1771" s="245"/>
      <c r="C1771" s="245"/>
      <c r="D1771" s="245"/>
      <c r="E1771" s="245"/>
      <c r="F1771" s="280"/>
      <c r="G1771" s="245"/>
      <c r="H1771" s="245"/>
      <c r="I1771" s="245"/>
      <c r="L1771" s="123"/>
      <c r="P1771" s="366"/>
      <c r="R1771" s="355"/>
      <c r="S1771" s="369"/>
      <c r="T1771" s="328"/>
      <c r="U1771" s="85" ph="1"/>
      <c r="W1771" s="216"/>
      <c r="X1771" s="245"/>
      <c r="Y1771" s="187"/>
      <c r="Z1771" s="245"/>
      <c r="AA1771" s="245"/>
      <c r="AB1771" s="332"/>
      <c r="AD1771" s="245"/>
      <c r="AE1771" s="187"/>
      <c r="AF1771" s="367"/>
      <c r="AG1771" s="245"/>
      <c r="AI1771" s="245"/>
    </row>
    <row r="1772" spans="1:35" ht="26.4">
      <c r="A1772" s="245"/>
      <c r="B1772" s="245"/>
      <c r="C1772" s="245"/>
      <c r="D1772" s="245"/>
      <c r="E1772" s="245"/>
      <c r="F1772" s="280"/>
      <c r="G1772" s="245"/>
      <c r="H1772" s="245"/>
      <c r="I1772" s="245"/>
      <c r="L1772" s="123"/>
      <c r="P1772" s="366"/>
      <c r="R1772" s="355"/>
      <c r="S1772" s="369"/>
      <c r="T1772" s="328"/>
      <c r="U1772" s="85" ph="1"/>
      <c r="W1772" s="216"/>
      <c r="X1772" s="245"/>
      <c r="Y1772" s="187"/>
      <c r="Z1772" s="245"/>
      <c r="AA1772" s="245"/>
      <c r="AB1772" s="332"/>
      <c r="AD1772" s="245"/>
      <c r="AE1772" s="187"/>
      <c r="AF1772" s="367"/>
      <c r="AG1772" s="245"/>
      <c r="AI1772" s="245"/>
    </row>
    <row r="1773" spans="1:35" ht="26.4">
      <c r="A1773" s="245"/>
      <c r="B1773" s="245"/>
      <c r="C1773" s="245"/>
      <c r="D1773" s="245"/>
      <c r="E1773" s="245"/>
      <c r="F1773" s="280"/>
      <c r="G1773" s="245"/>
      <c r="H1773" s="245"/>
      <c r="I1773" s="245"/>
      <c r="L1773" s="123"/>
      <c r="P1773" s="366"/>
      <c r="R1773" s="355"/>
      <c r="S1773" s="369"/>
      <c r="T1773" s="328"/>
      <c r="U1773" s="85" ph="1"/>
      <c r="W1773" s="216"/>
      <c r="X1773" s="245"/>
      <c r="Y1773" s="187"/>
      <c r="Z1773" s="245"/>
      <c r="AA1773" s="245"/>
      <c r="AB1773" s="332"/>
      <c r="AD1773" s="245"/>
      <c r="AE1773" s="187"/>
      <c r="AF1773" s="367"/>
      <c r="AG1773" s="245"/>
      <c r="AI1773" s="245"/>
    </row>
    <row r="1774" spans="1:35" ht="26.4">
      <c r="A1774" s="245"/>
      <c r="B1774" s="245"/>
      <c r="C1774" s="245"/>
      <c r="D1774" s="245"/>
      <c r="E1774" s="245"/>
      <c r="F1774" s="280"/>
      <c r="G1774" s="245"/>
      <c r="H1774" s="245"/>
      <c r="I1774" s="245"/>
      <c r="L1774" s="123"/>
      <c r="P1774" s="366"/>
      <c r="R1774" s="355"/>
      <c r="S1774" s="369"/>
      <c r="T1774" s="328"/>
      <c r="U1774" s="85" ph="1"/>
      <c r="W1774" s="216"/>
      <c r="X1774" s="245"/>
      <c r="Y1774" s="187"/>
      <c r="Z1774" s="245"/>
      <c r="AA1774" s="245"/>
      <c r="AB1774" s="332"/>
      <c r="AD1774" s="245"/>
      <c r="AE1774" s="187"/>
      <c r="AF1774" s="367"/>
      <c r="AG1774" s="245"/>
      <c r="AI1774" s="245"/>
    </row>
    <row r="1775" spans="1:35" ht="26.4">
      <c r="A1775" s="245"/>
      <c r="B1775" s="245"/>
      <c r="C1775" s="245"/>
      <c r="D1775" s="245"/>
      <c r="E1775" s="245"/>
      <c r="F1775" s="280"/>
      <c r="G1775" s="245"/>
      <c r="H1775" s="245"/>
      <c r="I1775" s="245"/>
      <c r="L1775" s="123"/>
      <c r="P1775" s="366"/>
      <c r="R1775" s="355"/>
      <c r="S1775" s="369"/>
      <c r="T1775" s="328"/>
      <c r="U1775" s="85" ph="1"/>
      <c r="W1775" s="216"/>
      <c r="X1775" s="245"/>
      <c r="Y1775" s="187"/>
      <c r="Z1775" s="245"/>
      <c r="AA1775" s="245"/>
      <c r="AB1775" s="332"/>
      <c r="AD1775" s="245"/>
      <c r="AE1775" s="187"/>
      <c r="AF1775" s="367"/>
      <c r="AG1775" s="245"/>
      <c r="AI1775" s="245"/>
    </row>
    <row r="1776" spans="1:35" ht="26.4">
      <c r="A1776" s="245"/>
      <c r="B1776" s="245"/>
      <c r="C1776" s="245"/>
      <c r="D1776" s="245"/>
      <c r="E1776" s="245"/>
      <c r="F1776" s="280"/>
      <c r="G1776" s="245"/>
      <c r="H1776" s="245"/>
      <c r="I1776" s="245"/>
      <c r="L1776" s="123"/>
      <c r="P1776" s="366"/>
      <c r="R1776" s="355"/>
      <c r="S1776" s="369"/>
      <c r="T1776" s="328"/>
      <c r="U1776" s="85" ph="1"/>
      <c r="W1776" s="216"/>
      <c r="X1776" s="245"/>
      <c r="Y1776" s="187"/>
      <c r="Z1776" s="245"/>
      <c r="AA1776" s="245"/>
      <c r="AB1776" s="332"/>
      <c r="AD1776" s="245"/>
      <c r="AE1776" s="187"/>
      <c r="AF1776" s="367"/>
      <c r="AG1776" s="245"/>
      <c r="AI1776" s="245"/>
    </row>
    <row r="1777" spans="1:35" ht="26.4">
      <c r="A1777" s="245"/>
      <c r="B1777" s="245"/>
      <c r="C1777" s="245"/>
      <c r="D1777" s="245"/>
      <c r="E1777" s="245"/>
      <c r="F1777" s="280"/>
      <c r="G1777" s="245"/>
      <c r="H1777" s="245"/>
      <c r="I1777" s="245"/>
      <c r="L1777" s="123"/>
      <c r="P1777" s="366"/>
      <c r="R1777" s="355"/>
      <c r="S1777" s="369"/>
      <c r="T1777" s="328"/>
      <c r="U1777" s="85" ph="1"/>
      <c r="W1777" s="216"/>
      <c r="X1777" s="245"/>
      <c r="Y1777" s="187"/>
      <c r="Z1777" s="245"/>
      <c r="AA1777" s="245"/>
      <c r="AB1777" s="332"/>
      <c r="AD1777" s="245"/>
      <c r="AE1777" s="187"/>
      <c r="AF1777" s="367"/>
      <c r="AG1777" s="245"/>
      <c r="AI1777" s="245"/>
    </row>
    <row r="1778" spans="1:35" ht="26.4">
      <c r="A1778" s="245"/>
      <c r="B1778" s="245"/>
      <c r="C1778" s="245"/>
      <c r="D1778" s="245"/>
      <c r="E1778" s="245"/>
      <c r="F1778" s="280"/>
      <c r="G1778" s="245"/>
      <c r="H1778" s="245"/>
      <c r="I1778" s="245"/>
      <c r="L1778" s="123"/>
      <c r="P1778" s="366"/>
      <c r="R1778" s="355"/>
      <c r="S1778" s="369"/>
      <c r="T1778" s="328"/>
      <c r="U1778" s="85" ph="1"/>
      <c r="W1778" s="216"/>
      <c r="X1778" s="245"/>
      <c r="Y1778" s="187"/>
      <c r="Z1778" s="245"/>
      <c r="AA1778" s="245"/>
      <c r="AB1778" s="332"/>
      <c r="AD1778" s="245"/>
      <c r="AE1778" s="187"/>
      <c r="AF1778" s="367"/>
      <c r="AG1778" s="245"/>
      <c r="AI1778" s="245"/>
    </row>
    <row r="1779" spans="1:35" ht="26.4">
      <c r="A1779" s="245"/>
      <c r="B1779" s="245"/>
      <c r="C1779" s="245"/>
      <c r="D1779" s="245"/>
      <c r="E1779" s="245"/>
      <c r="F1779" s="280"/>
      <c r="G1779" s="245"/>
      <c r="H1779" s="245"/>
      <c r="I1779" s="245"/>
      <c r="L1779" s="123"/>
      <c r="P1779" s="366"/>
      <c r="R1779" s="355"/>
      <c r="S1779" s="369"/>
      <c r="T1779" s="328"/>
      <c r="U1779" s="85" ph="1"/>
      <c r="W1779" s="216"/>
      <c r="X1779" s="245"/>
      <c r="Y1779" s="187"/>
      <c r="Z1779" s="245"/>
      <c r="AA1779" s="245"/>
      <c r="AB1779" s="332"/>
      <c r="AD1779" s="245"/>
      <c r="AE1779" s="187"/>
      <c r="AF1779" s="367"/>
      <c r="AG1779" s="245"/>
      <c r="AI1779" s="245"/>
    </row>
    <row r="1780" spans="1:35" ht="26.4">
      <c r="A1780" s="245"/>
      <c r="B1780" s="245"/>
      <c r="C1780" s="245"/>
      <c r="D1780" s="245"/>
      <c r="E1780" s="245"/>
      <c r="F1780" s="280"/>
      <c r="G1780" s="245"/>
      <c r="H1780" s="245"/>
      <c r="I1780" s="245"/>
      <c r="L1780" s="123"/>
      <c r="P1780" s="366"/>
      <c r="R1780" s="355"/>
      <c r="S1780" s="369"/>
      <c r="T1780" s="328"/>
      <c r="U1780" s="85" ph="1"/>
      <c r="W1780" s="216"/>
      <c r="X1780" s="245"/>
      <c r="Y1780" s="187"/>
      <c r="Z1780" s="245"/>
      <c r="AA1780" s="245"/>
      <c r="AB1780" s="332"/>
      <c r="AD1780" s="245"/>
      <c r="AE1780" s="187"/>
      <c r="AF1780" s="367"/>
      <c r="AG1780" s="245"/>
      <c r="AI1780" s="245"/>
    </row>
    <row r="1781" spans="1:35" ht="26.4">
      <c r="A1781" s="245"/>
      <c r="B1781" s="245"/>
      <c r="C1781" s="245"/>
      <c r="D1781" s="245"/>
      <c r="E1781" s="245"/>
      <c r="F1781" s="280"/>
      <c r="G1781" s="245"/>
      <c r="H1781" s="245"/>
      <c r="I1781" s="245"/>
      <c r="L1781" s="123"/>
      <c r="P1781" s="366"/>
      <c r="R1781" s="355"/>
      <c r="S1781" s="369"/>
      <c r="T1781" s="328"/>
      <c r="U1781" s="85" ph="1"/>
      <c r="W1781" s="216"/>
      <c r="X1781" s="245"/>
      <c r="Y1781" s="187"/>
      <c r="Z1781" s="245"/>
      <c r="AA1781" s="245"/>
      <c r="AB1781" s="332"/>
      <c r="AD1781" s="245"/>
      <c r="AE1781" s="187"/>
      <c r="AF1781" s="367"/>
      <c r="AG1781" s="245"/>
      <c r="AI1781" s="245"/>
    </row>
    <row r="1782" spans="1:35" ht="26.4">
      <c r="A1782" s="245"/>
      <c r="B1782" s="245"/>
      <c r="C1782" s="245"/>
      <c r="D1782" s="245"/>
      <c r="E1782" s="245"/>
      <c r="F1782" s="280"/>
      <c r="G1782" s="245"/>
      <c r="H1782" s="245"/>
      <c r="I1782" s="245"/>
      <c r="P1782" s="366"/>
      <c r="R1782" s="355"/>
      <c r="S1782" s="369"/>
      <c r="T1782" s="328"/>
      <c r="U1782" s="85" ph="1"/>
      <c r="W1782" s="216"/>
      <c r="X1782" s="245"/>
      <c r="Y1782" s="187"/>
      <c r="Z1782" s="245"/>
      <c r="AA1782" s="245"/>
      <c r="AB1782" s="332"/>
      <c r="AD1782" s="245"/>
      <c r="AE1782" s="187"/>
      <c r="AF1782" s="367"/>
      <c r="AG1782" s="245"/>
      <c r="AI1782" s="245"/>
    </row>
    <row r="1783" spans="1:35" ht="26.4">
      <c r="A1783" s="245"/>
      <c r="B1783" s="245"/>
      <c r="C1783" s="245"/>
      <c r="D1783" s="245"/>
      <c r="E1783" s="245"/>
      <c r="F1783" s="280"/>
      <c r="G1783" s="245"/>
      <c r="H1783" s="245"/>
      <c r="I1783" s="245"/>
      <c r="L1783" s="123"/>
      <c r="P1783" s="366"/>
      <c r="R1783" s="355"/>
      <c r="S1783" s="369"/>
      <c r="T1783" s="328"/>
      <c r="U1783" s="85" ph="1"/>
      <c r="W1783" s="216"/>
      <c r="X1783" s="245"/>
      <c r="Y1783" s="187"/>
      <c r="Z1783" s="245"/>
      <c r="AA1783" s="245"/>
      <c r="AB1783" s="332"/>
      <c r="AD1783" s="245"/>
      <c r="AE1783" s="187"/>
      <c r="AF1783" s="367"/>
      <c r="AG1783" s="245"/>
      <c r="AI1783" s="245"/>
    </row>
    <row r="1784" spans="1:35" ht="26.4">
      <c r="A1784" s="245"/>
      <c r="B1784" s="245"/>
      <c r="C1784" s="245"/>
      <c r="D1784" s="245"/>
      <c r="E1784" s="245"/>
      <c r="F1784" s="280"/>
      <c r="G1784" s="245"/>
      <c r="H1784" s="245"/>
      <c r="I1784" s="245"/>
      <c r="L1784" s="123"/>
      <c r="P1784" s="366"/>
      <c r="R1784" s="355"/>
      <c r="S1784" s="369"/>
      <c r="T1784" s="328"/>
      <c r="U1784" s="85" ph="1"/>
      <c r="W1784" s="216"/>
      <c r="X1784" s="245"/>
      <c r="Y1784" s="187"/>
      <c r="Z1784" s="245"/>
      <c r="AA1784" s="245"/>
      <c r="AB1784" s="332"/>
      <c r="AD1784" s="245"/>
      <c r="AE1784" s="187"/>
      <c r="AF1784" s="367"/>
      <c r="AG1784" s="245"/>
      <c r="AI1784" s="245"/>
    </row>
    <row r="1785" spans="1:35" ht="26.4">
      <c r="A1785" s="245"/>
      <c r="B1785" s="245"/>
      <c r="C1785" s="245"/>
      <c r="D1785" s="245"/>
      <c r="E1785" s="245"/>
      <c r="F1785" s="280"/>
      <c r="G1785" s="245"/>
      <c r="H1785" s="245"/>
      <c r="I1785" s="245"/>
      <c r="L1785" s="123"/>
      <c r="P1785" s="366"/>
      <c r="R1785" s="355"/>
      <c r="S1785" s="369"/>
      <c r="T1785" s="328"/>
      <c r="U1785" s="85" ph="1"/>
      <c r="W1785" s="216"/>
      <c r="X1785" s="245"/>
      <c r="Y1785" s="187"/>
      <c r="Z1785" s="245"/>
      <c r="AA1785" s="245"/>
      <c r="AB1785" s="332"/>
      <c r="AD1785" s="245"/>
      <c r="AE1785" s="187"/>
      <c r="AF1785" s="367"/>
      <c r="AG1785" s="245"/>
      <c r="AI1785" s="245"/>
    </row>
    <row r="1786" spans="1:35" ht="26.4">
      <c r="A1786" s="245"/>
      <c r="B1786" s="245"/>
      <c r="C1786" s="245"/>
      <c r="D1786" s="245"/>
      <c r="E1786" s="245"/>
      <c r="F1786" s="280"/>
      <c r="G1786" s="245"/>
      <c r="H1786" s="245"/>
      <c r="I1786" s="245"/>
      <c r="L1786" s="123"/>
      <c r="P1786" s="366"/>
      <c r="R1786" s="355"/>
      <c r="S1786" s="369"/>
      <c r="T1786" s="328"/>
      <c r="U1786" s="85" ph="1"/>
      <c r="W1786" s="216"/>
      <c r="X1786" s="245"/>
      <c r="Y1786" s="187"/>
      <c r="Z1786" s="245"/>
      <c r="AA1786" s="245"/>
      <c r="AB1786" s="332"/>
      <c r="AD1786" s="245"/>
      <c r="AE1786" s="187"/>
      <c r="AF1786" s="367"/>
      <c r="AG1786" s="245"/>
      <c r="AI1786" s="245"/>
    </row>
    <row r="1787" spans="1:35" ht="26.4">
      <c r="A1787" s="245"/>
      <c r="B1787" s="245"/>
      <c r="C1787" s="245"/>
      <c r="D1787" s="245"/>
      <c r="E1787" s="245"/>
      <c r="F1787" s="280"/>
      <c r="G1787" s="245"/>
      <c r="H1787" s="245"/>
      <c r="I1787" s="245"/>
      <c r="L1787" s="123"/>
      <c r="P1787" s="366"/>
      <c r="R1787" s="355"/>
      <c r="S1787" s="369"/>
      <c r="T1787" s="328"/>
      <c r="U1787" s="85" ph="1"/>
      <c r="W1787" s="216"/>
      <c r="X1787" s="245"/>
      <c r="Y1787" s="187"/>
      <c r="Z1787" s="245"/>
      <c r="AA1787" s="245"/>
      <c r="AB1787" s="332"/>
      <c r="AD1787" s="245"/>
      <c r="AE1787" s="187"/>
      <c r="AF1787" s="367"/>
      <c r="AG1787" s="245"/>
      <c r="AI1787" s="245"/>
    </row>
    <row r="1788" spans="1:35" ht="26.4">
      <c r="A1788" s="245"/>
      <c r="B1788" s="245"/>
      <c r="C1788" s="245"/>
      <c r="D1788" s="245"/>
      <c r="E1788" s="245"/>
      <c r="F1788" s="280"/>
      <c r="G1788" s="245"/>
      <c r="H1788" s="245"/>
      <c r="I1788" s="245"/>
      <c r="L1788" s="123"/>
      <c r="P1788" s="366"/>
      <c r="R1788" s="355"/>
      <c r="S1788" s="369"/>
      <c r="T1788" s="328"/>
      <c r="U1788" s="85" ph="1"/>
      <c r="W1788" s="216"/>
      <c r="X1788" s="245"/>
      <c r="Y1788" s="187"/>
      <c r="Z1788" s="245"/>
      <c r="AA1788" s="245"/>
      <c r="AB1788" s="332"/>
      <c r="AD1788" s="245"/>
      <c r="AE1788" s="187"/>
      <c r="AF1788" s="367"/>
      <c r="AG1788" s="245"/>
      <c r="AI1788" s="245"/>
    </row>
    <row r="1789" spans="1:35" ht="26.4">
      <c r="A1789" s="245"/>
      <c r="B1789" s="245"/>
      <c r="C1789" s="245"/>
      <c r="D1789" s="245"/>
      <c r="E1789" s="245"/>
      <c r="F1789" s="280"/>
      <c r="G1789" s="245"/>
      <c r="H1789" s="245"/>
      <c r="I1789" s="245"/>
      <c r="L1789" s="123"/>
      <c r="P1789" s="366"/>
      <c r="R1789" s="355"/>
      <c r="S1789" s="369"/>
      <c r="T1789" s="328"/>
      <c r="U1789" s="85" ph="1"/>
      <c r="W1789" s="216"/>
      <c r="X1789" s="245"/>
      <c r="Y1789" s="187"/>
      <c r="Z1789" s="245"/>
      <c r="AA1789" s="245"/>
      <c r="AB1789" s="332"/>
      <c r="AD1789" s="245"/>
      <c r="AE1789" s="187"/>
      <c r="AF1789" s="367"/>
      <c r="AG1789" s="245"/>
      <c r="AI1789" s="245"/>
    </row>
    <row r="1790" spans="1:35" ht="26.4">
      <c r="A1790" s="245"/>
      <c r="B1790" s="245"/>
      <c r="C1790" s="245"/>
      <c r="D1790" s="245"/>
      <c r="E1790" s="245"/>
      <c r="F1790" s="280"/>
      <c r="G1790" s="245"/>
      <c r="H1790" s="245"/>
      <c r="I1790" s="245"/>
      <c r="L1790" s="123"/>
      <c r="P1790" s="366"/>
      <c r="R1790" s="355"/>
      <c r="S1790" s="369"/>
      <c r="T1790" s="328"/>
      <c r="U1790" s="85" ph="1"/>
      <c r="W1790" s="216"/>
      <c r="X1790" s="245"/>
      <c r="Y1790" s="187"/>
      <c r="Z1790" s="245"/>
      <c r="AA1790" s="245"/>
      <c r="AB1790" s="332"/>
      <c r="AD1790" s="245"/>
      <c r="AE1790" s="187"/>
      <c r="AF1790" s="367"/>
      <c r="AG1790" s="245"/>
      <c r="AI1790" s="245"/>
    </row>
    <row r="1791" spans="1:35" ht="26.4">
      <c r="A1791" s="245"/>
      <c r="B1791" s="245"/>
      <c r="C1791" s="245"/>
      <c r="D1791" s="245"/>
      <c r="E1791" s="245"/>
      <c r="F1791" s="280"/>
      <c r="G1791" s="245"/>
      <c r="H1791" s="245"/>
      <c r="I1791" s="245"/>
      <c r="L1791" s="123"/>
      <c r="P1791" s="366"/>
      <c r="R1791" s="355"/>
      <c r="S1791" s="369"/>
      <c r="T1791" s="328"/>
      <c r="U1791" s="85" ph="1"/>
      <c r="W1791" s="216"/>
      <c r="X1791" s="245"/>
      <c r="Y1791" s="187"/>
      <c r="Z1791" s="245"/>
      <c r="AA1791" s="245"/>
      <c r="AB1791" s="332"/>
      <c r="AD1791" s="245"/>
      <c r="AE1791" s="187"/>
      <c r="AF1791" s="367"/>
      <c r="AG1791" s="245"/>
      <c r="AI1791" s="245"/>
    </row>
    <row r="1792" spans="1:35" ht="26.4">
      <c r="A1792" s="245"/>
      <c r="B1792" s="245"/>
      <c r="C1792" s="245"/>
      <c r="D1792" s="245"/>
      <c r="E1792" s="245"/>
      <c r="F1792" s="280"/>
      <c r="G1792" s="245"/>
      <c r="H1792" s="245"/>
      <c r="I1792" s="245"/>
      <c r="L1792" s="123"/>
      <c r="P1792" s="366"/>
      <c r="R1792" s="355"/>
      <c r="S1792" s="369"/>
      <c r="T1792" s="328"/>
      <c r="U1792" s="85" ph="1"/>
      <c r="W1792" s="216"/>
      <c r="X1792" s="245"/>
      <c r="Y1792" s="187"/>
      <c r="Z1792" s="245"/>
      <c r="AA1792" s="245"/>
      <c r="AB1792" s="332"/>
      <c r="AD1792" s="245"/>
      <c r="AE1792" s="187"/>
      <c r="AF1792" s="367"/>
      <c r="AG1792" s="245"/>
      <c r="AI1792" s="245"/>
    </row>
    <row r="1793" spans="1:35" ht="26.4">
      <c r="A1793" s="245"/>
      <c r="B1793" s="245"/>
      <c r="C1793" s="245"/>
      <c r="D1793" s="245"/>
      <c r="E1793" s="245"/>
      <c r="F1793" s="280"/>
      <c r="G1793" s="245"/>
      <c r="H1793" s="245"/>
      <c r="I1793" s="245"/>
      <c r="L1793" s="123"/>
      <c r="P1793" s="366"/>
      <c r="R1793" s="355"/>
      <c r="S1793" s="369"/>
      <c r="T1793" s="328"/>
      <c r="U1793" s="85" ph="1"/>
      <c r="W1793" s="216"/>
      <c r="X1793" s="245"/>
      <c r="Y1793" s="187"/>
      <c r="Z1793" s="245"/>
      <c r="AA1793" s="245"/>
      <c r="AB1793" s="332"/>
      <c r="AD1793" s="245"/>
      <c r="AE1793" s="187"/>
      <c r="AF1793" s="367"/>
      <c r="AG1793" s="245"/>
      <c r="AI1793" s="245"/>
    </row>
    <row r="1794" spans="1:35" ht="26.4">
      <c r="A1794" s="245"/>
      <c r="B1794" s="245"/>
      <c r="C1794" s="245"/>
      <c r="D1794" s="245"/>
      <c r="E1794" s="245"/>
      <c r="F1794" s="280"/>
      <c r="G1794" s="245"/>
      <c r="H1794" s="245"/>
      <c r="I1794" s="245"/>
      <c r="L1794" s="123"/>
      <c r="P1794" s="366"/>
      <c r="R1794" s="355"/>
      <c r="S1794" s="369"/>
      <c r="T1794" s="328"/>
      <c r="U1794" s="85" ph="1"/>
      <c r="W1794" s="216"/>
      <c r="X1794" s="245"/>
      <c r="Y1794" s="187"/>
      <c r="Z1794" s="245"/>
      <c r="AA1794" s="245"/>
      <c r="AB1794" s="332"/>
      <c r="AD1794" s="245"/>
      <c r="AE1794" s="187"/>
      <c r="AF1794" s="367"/>
      <c r="AG1794" s="245"/>
      <c r="AI1794" s="245"/>
    </row>
    <row r="1795" spans="1:35" ht="26.4">
      <c r="A1795" s="245"/>
      <c r="B1795" s="245"/>
      <c r="C1795" s="245"/>
      <c r="D1795" s="245"/>
      <c r="E1795" s="245"/>
      <c r="F1795" s="280"/>
      <c r="G1795" s="245"/>
      <c r="H1795" s="245"/>
      <c r="I1795" s="245"/>
      <c r="L1795" s="123"/>
      <c r="P1795" s="366"/>
      <c r="R1795" s="355"/>
      <c r="S1795" s="369"/>
      <c r="T1795" s="328"/>
      <c r="U1795" s="85" ph="1"/>
      <c r="W1795" s="216"/>
      <c r="X1795" s="245"/>
      <c r="Y1795" s="187"/>
      <c r="Z1795" s="245"/>
      <c r="AA1795" s="245"/>
      <c r="AB1795" s="332"/>
      <c r="AD1795" s="245"/>
      <c r="AE1795" s="187"/>
      <c r="AF1795" s="367"/>
      <c r="AG1795" s="245"/>
      <c r="AI1795" s="245"/>
    </row>
    <row r="1796" spans="1:35" ht="26.4">
      <c r="A1796" s="245"/>
      <c r="B1796" s="245"/>
      <c r="C1796" s="245"/>
      <c r="D1796" s="245"/>
      <c r="E1796" s="245"/>
      <c r="F1796" s="280"/>
      <c r="G1796" s="245"/>
      <c r="H1796" s="245"/>
      <c r="I1796" s="245"/>
      <c r="L1796" s="123"/>
      <c r="P1796" s="366"/>
      <c r="R1796" s="355"/>
      <c r="S1796" s="369"/>
      <c r="T1796" s="328"/>
      <c r="U1796" s="85" ph="1"/>
      <c r="W1796" s="216"/>
      <c r="X1796" s="245"/>
      <c r="Y1796" s="187"/>
      <c r="Z1796" s="245"/>
      <c r="AA1796" s="245"/>
      <c r="AB1796" s="332"/>
      <c r="AD1796" s="245"/>
      <c r="AE1796" s="187"/>
      <c r="AF1796" s="367"/>
      <c r="AG1796" s="245"/>
      <c r="AI1796" s="245"/>
    </row>
    <row r="1797" spans="1:35" ht="26.4">
      <c r="A1797" s="245"/>
      <c r="B1797" s="245"/>
      <c r="C1797" s="245"/>
      <c r="D1797" s="245"/>
      <c r="E1797" s="245"/>
      <c r="F1797" s="280"/>
      <c r="G1797" s="245"/>
      <c r="H1797" s="245"/>
      <c r="I1797" s="245"/>
      <c r="L1797" s="123"/>
      <c r="P1797" s="366"/>
      <c r="R1797" s="355"/>
      <c r="S1797" s="369"/>
      <c r="T1797" s="328"/>
      <c r="U1797" s="85" ph="1"/>
      <c r="W1797" s="216"/>
      <c r="X1797" s="245"/>
      <c r="Y1797" s="187"/>
      <c r="Z1797" s="245"/>
      <c r="AA1797" s="245"/>
      <c r="AB1797" s="332"/>
      <c r="AD1797" s="245"/>
      <c r="AE1797" s="187"/>
      <c r="AF1797" s="367"/>
      <c r="AG1797" s="245"/>
      <c r="AI1797" s="245"/>
    </row>
    <row r="1798" spans="1:35" ht="26.4">
      <c r="A1798" s="245"/>
      <c r="B1798" s="245"/>
      <c r="C1798" s="245"/>
      <c r="D1798" s="245"/>
      <c r="E1798" s="245"/>
      <c r="F1798" s="280"/>
      <c r="G1798" s="245"/>
      <c r="H1798" s="245"/>
      <c r="I1798" s="245"/>
      <c r="L1798" s="123"/>
      <c r="P1798" s="366"/>
      <c r="R1798" s="355"/>
      <c r="S1798" s="369"/>
      <c r="T1798" s="328"/>
      <c r="U1798" s="85" ph="1"/>
      <c r="W1798" s="216"/>
      <c r="X1798" s="245"/>
      <c r="Y1798" s="187"/>
      <c r="Z1798" s="245"/>
      <c r="AA1798" s="245"/>
      <c r="AB1798" s="332"/>
      <c r="AD1798" s="245"/>
      <c r="AE1798" s="187"/>
      <c r="AF1798" s="367"/>
      <c r="AG1798" s="245"/>
      <c r="AI1798" s="245"/>
    </row>
    <row r="1799" spans="1:35" ht="26.4">
      <c r="A1799" s="245"/>
      <c r="B1799" s="245"/>
      <c r="C1799" s="245"/>
      <c r="D1799" s="245"/>
      <c r="E1799" s="245"/>
      <c r="F1799" s="280"/>
      <c r="G1799" s="245"/>
      <c r="H1799" s="245"/>
      <c r="I1799" s="245"/>
      <c r="L1799" s="123"/>
      <c r="P1799" s="366"/>
      <c r="R1799" s="355"/>
      <c r="S1799" s="369"/>
      <c r="T1799" s="328"/>
      <c r="U1799" s="85" ph="1"/>
      <c r="W1799" s="216"/>
      <c r="X1799" s="245"/>
      <c r="Y1799" s="187"/>
      <c r="Z1799" s="245"/>
      <c r="AA1799" s="245"/>
      <c r="AB1799" s="332"/>
      <c r="AD1799" s="245"/>
      <c r="AE1799" s="187"/>
      <c r="AF1799" s="367"/>
      <c r="AG1799" s="245"/>
      <c r="AI1799" s="245"/>
    </row>
    <row r="1800" spans="1:35" ht="26.4">
      <c r="A1800" s="245"/>
      <c r="B1800" s="245"/>
      <c r="C1800" s="245"/>
      <c r="D1800" s="245"/>
      <c r="E1800" s="245"/>
      <c r="F1800" s="280"/>
      <c r="G1800" s="245"/>
      <c r="H1800" s="245"/>
      <c r="I1800" s="245"/>
      <c r="L1800" s="123"/>
      <c r="P1800" s="366"/>
      <c r="R1800" s="355"/>
      <c r="S1800" s="369"/>
      <c r="T1800" s="328"/>
      <c r="U1800" s="85" ph="1"/>
      <c r="W1800" s="216"/>
      <c r="X1800" s="245"/>
      <c r="Y1800" s="187"/>
      <c r="Z1800" s="245"/>
      <c r="AA1800" s="245"/>
      <c r="AB1800" s="332"/>
      <c r="AD1800" s="245"/>
      <c r="AE1800" s="187"/>
      <c r="AF1800" s="367"/>
      <c r="AG1800" s="245"/>
      <c r="AI1800" s="245"/>
    </row>
    <row r="1801" spans="1:35" ht="26.4">
      <c r="A1801" s="245"/>
      <c r="B1801" s="245"/>
      <c r="C1801" s="245"/>
      <c r="D1801" s="245"/>
      <c r="E1801" s="245"/>
      <c r="F1801" s="280"/>
      <c r="G1801" s="245"/>
      <c r="H1801" s="245"/>
      <c r="I1801" s="245"/>
      <c r="L1801" s="123"/>
      <c r="P1801" s="366"/>
      <c r="R1801" s="355"/>
      <c r="S1801" s="369"/>
      <c r="T1801" s="328"/>
      <c r="U1801" s="85" ph="1"/>
      <c r="W1801" s="216"/>
      <c r="X1801" s="245"/>
      <c r="Y1801" s="187"/>
      <c r="Z1801" s="245"/>
      <c r="AA1801" s="245"/>
      <c r="AB1801" s="332"/>
      <c r="AD1801" s="245"/>
      <c r="AE1801" s="187"/>
      <c r="AF1801" s="367"/>
      <c r="AG1801" s="245"/>
      <c r="AI1801" s="245"/>
    </row>
    <row r="1802" spans="1:35" ht="26.4">
      <c r="A1802" s="245"/>
      <c r="B1802" s="245"/>
      <c r="C1802" s="245"/>
      <c r="D1802" s="245"/>
      <c r="E1802" s="245"/>
      <c r="F1802" s="280"/>
      <c r="G1802" s="245"/>
      <c r="H1802" s="245"/>
      <c r="I1802" s="245"/>
      <c r="L1802" s="123"/>
      <c r="P1802" s="366"/>
      <c r="R1802" s="355"/>
      <c r="S1802" s="369"/>
      <c r="T1802" s="328"/>
      <c r="U1802" s="85" ph="1"/>
      <c r="W1802" s="216"/>
      <c r="X1802" s="245"/>
      <c r="Y1802" s="187"/>
      <c r="Z1802" s="245"/>
      <c r="AA1802" s="245"/>
      <c r="AB1802" s="332"/>
      <c r="AD1802" s="245"/>
      <c r="AE1802" s="187"/>
      <c r="AF1802" s="367"/>
      <c r="AG1802" s="245"/>
      <c r="AI1802" s="245"/>
    </row>
    <row r="1803" spans="1:35" ht="26.4">
      <c r="A1803" s="245"/>
      <c r="B1803" s="245"/>
      <c r="C1803" s="245"/>
      <c r="D1803" s="245"/>
      <c r="E1803" s="245"/>
      <c r="F1803" s="280"/>
      <c r="G1803" s="245"/>
      <c r="H1803" s="245"/>
      <c r="I1803" s="245"/>
      <c r="L1803" s="123"/>
      <c r="P1803" s="366"/>
      <c r="R1803" s="355"/>
      <c r="S1803" s="369"/>
      <c r="T1803" s="328"/>
      <c r="U1803" s="85" ph="1"/>
      <c r="W1803" s="216"/>
      <c r="X1803" s="245"/>
      <c r="Y1803" s="187"/>
      <c r="Z1803" s="245"/>
      <c r="AA1803" s="245"/>
      <c r="AB1803" s="332"/>
      <c r="AD1803" s="245"/>
      <c r="AE1803" s="187"/>
      <c r="AF1803" s="367"/>
      <c r="AG1803" s="245"/>
      <c r="AI1803" s="245"/>
    </row>
    <row r="1804" spans="1:35" ht="26.4">
      <c r="A1804" s="245"/>
      <c r="B1804" s="245"/>
      <c r="C1804" s="245"/>
      <c r="D1804" s="245"/>
      <c r="E1804" s="245"/>
      <c r="F1804" s="280"/>
      <c r="G1804" s="245"/>
      <c r="H1804" s="245"/>
      <c r="I1804" s="245"/>
      <c r="L1804" s="123"/>
      <c r="P1804" s="366"/>
      <c r="R1804" s="355"/>
      <c r="S1804" s="369"/>
      <c r="T1804" s="328"/>
      <c r="U1804" s="85" ph="1"/>
      <c r="W1804" s="216"/>
      <c r="X1804" s="245"/>
      <c r="Y1804" s="187"/>
      <c r="Z1804" s="245"/>
      <c r="AA1804" s="245"/>
      <c r="AB1804" s="332"/>
      <c r="AD1804" s="245"/>
      <c r="AE1804" s="187"/>
      <c r="AF1804" s="367"/>
      <c r="AG1804" s="245"/>
      <c r="AI1804" s="245"/>
    </row>
    <row r="1805" spans="1:35" ht="26.4">
      <c r="A1805" s="245"/>
      <c r="B1805" s="245"/>
      <c r="C1805" s="245"/>
      <c r="D1805" s="245"/>
      <c r="E1805" s="245"/>
      <c r="F1805" s="280"/>
      <c r="G1805" s="245"/>
      <c r="H1805" s="245"/>
      <c r="I1805" s="245"/>
      <c r="L1805" s="123"/>
      <c r="P1805" s="366"/>
      <c r="R1805" s="355"/>
      <c r="S1805" s="369"/>
      <c r="T1805" s="328"/>
      <c r="U1805" s="85" ph="1"/>
      <c r="W1805" s="216"/>
      <c r="X1805" s="245"/>
      <c r="Y1805" s="187"/>
      <c r="Z1805" s="245"/>
      <c r="AA1805" s="245"/>
      <c r="AB1805" s="332"/>
      <c r="AD1805" s="245"/>
      <c r="AE1805" s="187"/>
      <c r="AF1805" s="367"/>
      <c r="AG1805" s="245"/>
      <c r="AI1805" s="245"/>
    </row>
    <row r="1806" spans="1:35" ht="26.4">
      <c r="A1806" s="245"/>
      <c r="B1806" s="245"/>
      <c r="C1806" s="245"/>
      <c r="D1806" s="245"/>
      <c r="E1806" s="245"/>
      <c r="F1806" s="280"/>
      <c r="G1806" s="245"/>
      <c r="H1806" s="245"/>
      <c r="I1806" s="245"/>
      <c r="L1806" s="123"/>
      <c r="P1806" s="366"/>
      <c r="R1806" s="355"/>
      <c r="S1806" s="369"/>
      <c r="T1806" s="328"/>
      <c r="U1806" s="85" ph="1"/>
      <c r="W1806" s="216"/>
      <c r="X1806" s="245"/>
      <c r="Y1806" s="187"/>
      <c r="Z1806" s="245"/>
      <c r="AA1806" s="245"/>
      <c r="AB1806" s="332"/>
      <c r="AD1806" s="245"/>
      <c r="AE1806" s="187"/>
      <c r="AF1806" s="367"/>
      <c r="AG1806" s="245"/>
      <c r="AI1806" s="245"/>
    </row>
    <row r="1807" spans="1:35" ht="26.4">
      <c r="A1807" s="245"/>
      <c r="B1807" s="245"/>
      <c r="C1807" s="245"/>
      <c r="D1807" s="245"/>
      <c r="E1807" s="245"/>
      <c r="F1807" s="280"/>
      <c r="G1807" s="245"/>
      <c r="H1807" s="245"/>
      <c r="I1807" s="245"/>
      <c r="L1807" s="123"/>
      <c r="P1807" s="366"/>
      <c r="R1807" s="355"/>
      <c r="S1807" s="369"/>
      <c r="T1807" s="328"/>
      <c r="U1807" s="85" ph="1"/>
      <c r="W1807" s="216"/>
      <c r="X1807" s="245"/>
      <c r="Y1807" s="187"/>
      <c r="Z1807" s="245"/>
      <c r="AA1807" s="245"/>
      <c r="AB1807" s="332"/>
      <c r="AD1807" s="245"/>
      <c r="AE1807" s="187"/>
      <c r="AF1807" s="367"/>
      <c r="AG1807" s="245"/>
      <c r="AI1807" s="245"/>
    </row>
    <row r="1808" spans="1:35" ht="26.4">
      <c r="A1808" s="245"/>
      <c r="B1808" s="245"/>
      <c r="C1808" s="245"/>
      <c r="D1808" s="245"/>
      <c r="E1808" s="245"/>
      <c r="F1808" s="280"/>
      <c r="G1808" s="245"/>
      <c r="H1808" s="245"/>
      <c r="I1808" s="245"/>
      <c r="L1808" s="123"/>
      <c r="P1808" s="366"/>
      <c r="R1808" s="355"/>
      <c r="S1808" s="369"/>
      <c r="T1808" s="328"/>
      <c r="U1808" s="85" ph="1"/>
      <c r="W1808" s="216"/>
      <c r="X1808" s="245"/>
      <c r="Y1808" s="187"/>
      <c r="Z1808" s="245"/>
      <c r="AA1808" s="245"/>
      <c r="AB1808" s="332"/>
      <c r="AD1808" s="245"/>
      <c r="AE1808" s="187"/>
      <c r="AF1808" s="367"/>
      <c r="AG1808" s="245"/>
      <c r="AI1808" s="245"/>
    </row>
    <row r="1809" spans="1:35" ht="26.4">
      <c r="A1809" s="245"/>
      <c r="B1809" s="245"/>
      <c r="C1809" s="245"/>
      <c r="D1809" s="245"/>
      <c r="E1809" s="245"/>
      <c r="F1809" s="280"/>
      <c r="G1809" s="245"/>
      <c r="H1809" s="245"/>
      <c r="I1809" s="245"/>
      <c r="L1809" s="123"/>
      <c r="P1809" s="366"/>
      <c r="R1809" s="355"/>
      <c r="S1809" s="369"/>
      <c r="T1809" s="328"/>
      <c r="U1809" s="85" ph="1"/>
      <c r="W1809" s="216"/>
      <c r="X1809" s="245"/>
      <c r="Y1809" s="187"/>
      <c r="Z1809" s="245"/>
      <c r="AA1809" s="245"/>
      <c r="AB1809" s="332"/>
      <c r="AD1809" s="245"/>
      <c r="AE1809" s="187"/>
      <c r="AF1809" s="367"/>
      <c r="AG1809" s="245"/>
      <c r="AI1809" s="245"/>
    </row>
    <row r="1810" spans="1:35" ht="26.4">
      <c r="A1810" s="245"/>
      <c r="B1810" s="245"/>
      <c r="C1810" s="245"/>
      <c r="D1810" s="245"/>
      <c r="E1810" s="245"/>
      <c r="F1810" s="280"/>
      <c r="G1810" s="245"/>
      <c r="H1810" s="245"/>
      <c r="I1810" s="245"/>
      <c r="L1810" s="123"/>
      <c r="P1810" s="366"/>
      <c r="R1810" s="355"/>
      <c r="S1810" s="369"/>
      <c r="T1810" s="328"/>
      <c r="U1810" s="85" ph="1"/>
      <c r="W1810" s="216"/>
      <c r="X1810" s="245"/>
      <c r="Y1810" s="187"/>
      <c r="Z1810" s="245"/>
      <c r="AA1810" s="245"/>
      <c r="AB1810" s="332"/>
      <c r="AD1810" s="245"/>
      <c r="AE1810" s="187"/>
      <c r="AF1810" s="367"/>
      <c r="AG1810" s="245"/>
      <c r="AI1810" s="245"/>
    </row>
    <row r="1811" spans="1:35" ht="26.4">
      <c r="A1811" s="245"/>
      <c r="B1811" s="245"/>
      <c r="C1811" s="245"/>
      <c r="D1811" s="245"/>
      <c r="E1811" s="245"/>
      <c r="F1811" s="280"/>
      <c r="G1811" s="245"/>
      <c r="H1811" s="245"/>
      <c r="I1811" s="245"/>
      <c r="L1811" s="123"/>
      <c r="P1811" s="366"/>
      <c r="R1811" s="355"/>
      <c r="S1811" s="369"/>
      <c r="T1811" s="328"/>
      <c r="U1811" s="85" ph="1"/>
      <c r="W1811" s="216"/>
      <c r="X1811" s="245"/>
      <c r="Y1811" s="187"/>
      <c r="Z1811" s="245"/>
      <c r="AA1811" s="245"/>
      <c r="AB1811" s="332"/>
      <c r="AD1811" s="245"/>
      <c r="AE1811" s="187"/>
      <c r="AF1811" s="367"/>
      <c r="AG1811" s="245"/>
      <c r="AI1811" s="245"/>
    </row>
    <row r="1812" spans="1:35" ht="26.4">
      <c r="A1812" s="245"/>
      <c r="B1812" s="245"/>
      <c r="C1812" s="245"/>
      <c r="D1812" s="245"/>
      <c r="E1812" s="245"/>
      <c r="F1812" s="280"/>
      <c r="G1812" s="245"/>
      <c r="H1812" s="245"/>
      <c r="I1812" s="245"/>
      <c r="L1812" s="123"/>
      <c r="P1812" s="366"/>
      <c r="R1812" s="355"/>
      <c r="S1812" s="369"/>
      <c r="T1812" s="328"/>
      <c r="U1812" s="85" ph="1"/>
      <c r="W1812" s="216"/>
      <c r="X1812" s="245"/>
      <c r="Y1812" s="187"/>
      <c r="Z1812" s="245"/>
      <c r="AA1812" s="245"/>
      <c r="AB1812" s="332"/>
      <c r="AD1812" s="245"/>
      <c r="AE1812" s="187"/>
      <c r="AF1812" s="367"/>
      <c r="AG1812" s="245"/>
      <c r="AI1812" s="245"/>
    </row>
    <row r="1813" spans="1:35" ht="26.4">
      <c r="A1813" s="245"/>
      <c r="B1813" s="245"/>
      <c r="C1813" s="245"/>
      <c r="D1813" s="245"/>
      <c r="E1813" s="245"/>
      <c r="F1813" s="280"/>
      <c r="G1813" s="245"/>
      <c r="H1813" s="245"/>
      <c r="I1813" s="245"/>
      <c r="L1813" s="123"/>
      <c r="P1813" s="366"/>
      <c r="R1813" s="355"/>
      <c r="S1813" s="369"/>
      <c r="T1813" s="328"/>
      <c r="U1813" s="85" ph="1"/>
      <c r="W1813" s="216"/>
      <c r="X1813" s="245"/>
      <c r="Y1813" s="187"/>
      <c r="Z1813" s="245"/>
      <c r="AA1813" s="245"/>
      <c r="AB1813" s="332"/>
      <c r="AD1813" s="245"/>
      <c r="AE1813" s="187"/>
      <c r="AF1813" s="367"/>
      <c r="AG1813" s="245"/>
      <c r="AI1813" s="245"/>
    </row>
    <row r="1814" spans="1:35" ht="26.4">
      <c r="A1814" s="245"/>
      <c r="B1814" s="245"/>
      <c r="C1814" s="245"/>
      <c r="D1814" s="245"/>
      <c r="E1814" s="245"/>
      <c r="F1814" s="280"/>
      <c r="G1814" s="245"/>
      <c r="H1814" s="245"/>
      <c r="I1814" s="245"/>
      <c r="L1814" s="123"/>
      <c r="P1814" s="366"/>
      <c r="R1814" s="355"/>
      <c r="S1814" s="369"/>
      <c r="T1814" s="328"/>
      <c r="U1814" s="85" ph="1"/>
      <c r="W1814" s="216"/>
      <c r="X1814" s="245"/>
      <c r="Y1814" s="187"/>
      <c r="Z1814" s="245"/>
      <c r="AA1814" s="245"/>
      <c r="AB1814" s="332"/>
      <c r="AD1814" s="245"/>
      <c r="AE1814" s="187"/>
      <c r="AF1814" s="367"/>
      <c r="AG1814" s="245"/>
      <c r="AI1814" s="245"/>
    </row>
    <row r="1815" spans="1:35" ht="26.4">
      <c r="A1815" s="245"/>
      <c r="B1815" s="245"/>
      <c r="C1815" s="245"/>
      <c r="D1815" s="245"/>
      <c r="E1815" s="245"/>
      <c r="F1815" s="280"/>
      <c r="G1815" s="245"/>
      <c r="H1815" s="245"/>
      <c r="I1815" s="245"/>
      <c r="L1815" s="123"/>
      <c r="P1815" s="366"/>
      <c r="R1815" s="355"/>
      <c r="S1815" s="369"/>
      <c r="T1815" s="328"/>
      <c r="U1815" s="85" ph="1"/>
      <c r="W1815" s="216"/>
      <c r="X1815" s="245"/>
      <c r="Y1815" s="187"/>
      <c r="Z1815" s="245"/>
      <c r="AA1815" s="245"/>
      <c r="AB1815" s="332"/>
      <c r="AD1815" s="245"/>
      <c r="AE1815" s="187"/>
      <c r="AF1815" s="367"/>
      <c r="AG1815" s="245"/>
      <c r="AI1815" s="245"/>
    </row>
    <row r="1816" spans="1:35" ht="26.4">
      <c r="A1816" s="245"/>
      <c r="B1816" s="245"/>
      <c r="C1816" s="245"/>
      <c r="D1816" s="245"/>
      <c r="E1816" s="245"/>
      <c r="F1816" s="280"/>
      <c r="G1816" s="245"/>
      <c r="H1816" s="245"/>
      <c r="I1816" s="245"/>
      <c r="L1816" s="123"/>
      <c r="P1816" s="366"/>
      <c r="R1816" s="355"/>
      <c r="S1816" s="369"/>
      <c r="T1816" s="328"/>
      <c r="U1816" s="85" ph="1"/>
      <c r="W1816" s="216"/>
      <c r="X1816" s="245"/>
      <c r="Y1816" s="187"/>
      <c r="Z1816" s="245"/>
      <c r="AA1816" s="245"/>
      <c r="AB1816" s="332"/>
      <c r="AD1816" s="245"/>
      <c r="AE1816" s="187"/>
      <c r="AF1816" s="367"/>
      <c r="AG1816" s="245"/>
      <c r="AI1816" s="245"/>
    </row>
    <row r="1817" spans="1:35" ht="26.4">
      <c r="A1817" s="245"/>
      <c r="B1817" s="245"/>
      <c r="C1817" s="245"/>
      <c r="D1817" s="245"/>
      <c r="E1817" s="245"/>
      <c r="F1817" s="280"/>
      <c r="G1817" s="245"/>
      <c r="H1817" s="245"/>
      <c r="I1817" s="245"/>
      <c r="L1817" s="123"/>
      <c r="P1817" s="366"/>
      <c r="R1817" s="355"/>
      <c r="S1817" s="369"/>
      <c r="T1817" s="328"/>
      <c r="U1817" s="85" ph="1"/>
      <c r="W1817" s="216"/>
      <c r="X1817" s="245"/>
      <c r="Y1817" s="187"/>
      <c r="Z1817" s="245"/>
      <c r="AA1817" s="245"/>
      <c r="AB1817" s="332"/>
      <c r="AD1817" s="245"/>
      <c r="AE1817" s="187"/>
      <c r="AF1817" s="367"/>
      <c r="AG1817" s="245"/>
      <c r="AI1817" s="245"/>
    </row>
    <row r="1818" spans="1:35" ht="26.4">
      <c r="A1818" s="245"/>
      <c r="B1818" s="245"/>
      <c r="C1818" s="245"/>
      <c r="D1818" s="245"/>
      <c r="E1818" s="245"/>
      <c r="F1818" s="280"/>
      <c r="G1818" s="245"/>
      <c r="H1818" s="245"/>
      <c r="I1818" s="245"/>
      <c r="L1818" s="123"/>
      <c r="P1818" s="366"/>
      <c r="R1818" s="355"/>
      <c r="S1818" s="369"/>
      <c r="T1818" s="328"/>
      <c r="U1818" s="85" ph="1"/>
      <c r="W1818" s="216"/>
      <c r="X1818" s="245"/>
      <c r="Y1818" s="187"/>
      <c r="Z1818" s="245"/>
      <c r="AA1818" s="245"/>
      <c r="AB1818" s="332"/>
      <c r="AD1818" s="245"/>
      <c r="AE1818" s="187"/>
      <c r="AF1818" s="367"/>
      <c r="AG1818" s="245"/>
      <c r="AI1818" s="245"/>
    </row>
    <row r="1819" spans="1:35" ht="26.4">
      <c r="A1819" s="245"/>
      <c r="B1819" s="245"/>
      <c r="C1819" s="245"/>
      <c r="D1819" s="245"/>
      <c r="E1819" s="245"/>
      <c r="F1819" s="280"/>
      <c r="G1819" s="245"/>
      <c r="H1819" s="245"/>
      <c r="I1819" s="245"/>
      <c r="L1819" s="123"/>
      <c r="P1819" s="366"/>
      <c r="R1819" s="355"/>
      <c r="S1819" s="369"/>
      <c r="T1819" s="328"/>
      <c r="U1819" s="85" ph="1"/>
      <c r="W1819" s="216"/>
      <c r="X1819" s="245"/>
      <c r="Y1819" s="187"/>
      <c r="Z1819" s="245"/>
      <c r="AA1819" s="245"/>
      <c r="AB1819" s="332"/>
      <c r="AD1819" s="245"/>
      <c r="AE1819" s="187"/>
      <c r="AF1819" s="367"/>
      <c r="AG1819" s="245"/>
      <c r="AI1819" s="245"/>
    </row>
    <row r="1820" spans="1:35" ht="26.4">
      <c r="A1820" s="245"/>
      <c r="B1820" s="245"/>
      <c r="C1820" s="245"/>
      <c r="D1820" s="245"/>
      <c r="E1820" s="245"/>
      <c r="F1820" s="280"/>
      <c r="G1820" s="245"/>
      <c r="H1820" s="245"/>
      <c r="I1820" s="245"/>
      <c r="L1820" s="123"/>
      <c r="P1820" s="366"/>
      <c r="R1820" s="355"/>
      <c r="S1820" s="369"/>
      <c r="T1820" s="328"/>
      <c r="U1820" s="85" ph="1"/>
      <c r="W1820" s="216"/>
      <c r="X1820" s="245"/>
      <c r="Y1820" s="187"/>
      <c r="Z1820" s="245"/>
      <c r="AA1820" s="245"/>
      <c r="AB1820" s="332"/>
      <c r="AD1820" s="245"/>
      <c r="AE1820" s="187"/>
      <c r="AF1820" s="367"/>
      <c r="AG1820" s="245"/>
      <c r="AI1820" s="245"/>
    </row>
    <row r="1821" spans="1:35" ht="26.4">
      <c r="A1821" s="245"/>
      <c r="B1821" s="245"/>
      <c r="C1821" s="245"/>
      <c r="D1821" s="245"/>
      <c r="E1821" s="245"/>
      <c r="F1821" s="280"/>
      <c r="G1821" s="245"/>
      <c r="H1821" s="245"/>
      <c r="I1821" s="245"/>
      <c r="L1821" s="123"/>
      <c r="P1821" s="366"/>
      <c r="R1821" s="355"/>
      <c r="S1821" s="369"/>
      <c r="T1821" s="328"/>
      <c r="U1821" s="85" ph="1"/>
      <c r="W1821" s="216"/>
      <c r="X1821" s="245"/>
      <c r="Y1821" s="187"/>
      <c r="Z1821" s="245"/>
      <c r="AA1821" s="245"/>
      <c r="AB1821" s="332"/>
      <c r="AD1821" s="245"/>
      <c r="AE1821" s="187"/>
      <c r="AF1821" s="367"/>
      <c r="AG1821" s="245"/>
      <c r="AI1821" s="245"/>
    </row>
    <row r="1822" spans="1:35" ht="26.4">
      <c r="A1822" s="245"/>
      <c r="B1822" s="245"/>
      <c r="C1822" s="245"/>
      <c r="D1822" s="245"/>
      <c r="E1822" s="245"/>
      <c r="F1822" s="280"/>
      <c r="G1822" s="245"/>
      <c r="H1822" s="245"/>
      <c r="I1822" s="245"/>
      <c r="L1822" s="123"/>
      <c r="P1822" s="366"/>
      <c r="R1822" s="355"/>
      <c r="S1822" s="369"/>
      <c r="T1822" s="328"/>
      <c r="U1822" s="85" ph="1"/>
      <c r="W1822" s="216"/>
      <c r="X1822" s="245"/>
      <c r="Y1822" s="187"/>
      <c r="Z1822" s="245"/>
      <c r="AA1822" s="245"/>
      <c r="AB1822" s="332"/>
      <c r="AD1822" s="245"/>
      <c r="AE1822" s="187"/>
      <c r="AF1822" s="367"/>
      <c r="AG1822" s="245"/>
      <c r="AI1822" s="245"/>
    </row>
    <row r="1823" spans="1:35" ht="26.4">
      <c r="A1823" s="245"/>
      <c r="B1823" s="245"/>
      <c r="C1823" s="245"/>
      <c r="D1823" s="245"/>
      <c r="E1823" s="245"/>
      <c r="F1823" s="280"/>
      <c r="G1823" s="245"/>
      <c r="H1823" s="245"/>
      <c r="I1823" s="245"/>
      <c r="L1823" s="123"/>
      <c r="P1823" s="366"/>
      <c r="R1823" s="355"/>
      <c r="S1823" s="369"/>
      <c r="T1823" s="328"/>
      <c r="U1823" s="85" ph="1"/>
      <c r="W1823" s="216"/>
      <c r="X1823" s="245"/>
      <c r="Y1823" s="187"/>
      <c r="Z1823" s="245"/>
      <c r="AA1823" s="245"/>
      <c r="AB1823" s="332"/>
      <c r="AD1823" s="245"/>
      <c r="AE1823" s="187"/>
      <c r="AF1823" s="367"/>
      <c r="AG1823" s="245"/>
      <c r="AI1823" s="245"/>
    </row>
    <row r="1824" spans="1:35" ht="26.4">
      <c r="A1824" s="245"/>
      <c r="B1824" s="245"/>
      <c r="C1824" s="245"/>
      <c r="D1824" s="245"/>
      <c r="E1824" s="245"/>
      <c r="F1824" s="280"/>
      <c r="G1824" s="245"/>
      <c r="H1824" s="245"/>
      <c r="I1824" s="245"/>
      <c r="L1824" s="123"/>
      <c r="P1824" s="366"/>
      <c r="R1824" s="355"/>
      <c r="S1824" s="369"/>
      <c r="T1824" s="328"/>
      <c r="U1824" s="85" ph="1"/>
      <c r="W1824" s="216"/>
      <c r="X1824" s="245"/>
      <c r="Y1824" s="187"/>
      <c r="Z1824" s="245"/>
      <c r="AA1824" s="245"/>
      <c r="AB1824" s="332"/>
      <c r="AD1824" s="245"/>
      <c r="AE1824" s="187"/>
      <c r="AF1824" s="367"/>
      <c r="AG1824" s="245"/>
      <c r="AI1824" s="245"/>
    </row>
    <row r="1825" spans="1:35" ht="26.4">
      <c r="A1825" s="245"/>
      <c r="B1825" s="245"/>
      <c r="C1825" s="245"/>
      <c r="D1825" s="245"/>
      <c r="E1825" s="245"/>
      <c r="F1825" s="280"/>
      <c r="G1825" s="245"/>
      <c r="H1825" s="245"/>
      <c r="I1825" s="245"/>
      <c r="L1825" s="123"/>
      <c r="P1825" s="366"/>
      <c r="R1825" s="355"/>
      <c r="S1825" s="369"/>
      <c r="T1825" s="328"/>
      <c r="U1825" s="85" ph="1"/>
      <c r="W1825" s="216"/>
      <c r="X1825" s="245"/>
      <c r="Y1825" s="187"/>
      <c r="Z1825" s="245"/>
      <c r="AA1825" s="245"/>
      <c r="AB1825" s="332"/>
      <c r="AD1825" s="245"/>
      <c r="AE1825" s="187"/>
      <c r="AF1825" s="367"/>
      <c r="AG1825" s="245"/>
      <c r="AI1825" s="245"/>
    </row>
    <row r="1826" spans="1:35" ht="26.4">
      <c r="A1826" s="245"/>
      <c r="B1826" s="245"/>
      <c r="C1826" s="245"/>
      <c r="D1826" s="245"/>
      <c r="E1826" s="245"/>
      <c r="F1826" s="280"/>
      <c r="G1826" s="245"/>
      <c r="H1826" s="245"/>
      <c r="I1826" s="245"/>
      <c r="L1826" s="123"/>
      <c r="P1826" s="366"/>
      <c r="R1826" s="355"/>
      <c r="S1826" s="369"/>
      <c r="T1826" s="328"/>
      <c r="U1826" s="85" ph="1"/>
      <c r="W1826" s="216"/>
      <c r="X1826" s="245"/>
      <c r="Y1826" s="187"/>
      <c r="Z1826" s="245"/>
      <c r="AA1826" s="245"/>
      <c r="AB1826" s="332"/>
      <c r="AD1826" s="245"/>
      <c r="AE1826" s="187"/>
      <c r="AF1826" s="367"/>
      <c r="AG1826" s="245"/>
      <c r="AI1826" s="245"/>
    </row>
    <row r="1827" spans="1:35" ht="26.4">
      <c r="A1827" s="245"/>
      <c r="B1827" s="245"/>
      <c r="C1827" s="245"/>
      <c r="D1827" s="245"/>
      <c r="E1827" s="245"/>
      <c r="F1827" s="280"/>
      <c r="G1827" s="245"/>
      <c r="H1827" s="245"/>
      <c r="I1827" s="245"/>
      <c r="L1827" s="245"/>
      <c r="P1827" s="366"/>
      <c r="R1827" s="355"/>
      <c r="S1827" s="369"/>
      <c r="T1827" s="328"/>
      <c r="U1827" s="85" ph="1"/>
      <c r="W1827" s="216"/>
      <c r="X1827" s="245"/>
      <c r="Y1827" s="187"/>
      <c r="Z1827" s="245"/>
      <c r="AA1827" s="245"/>
      <c r="AB1827" s="332"/>
      <c r="AD1827" s="245"/>
      <c r="AE1827" s="187"/>
      <c r="AF1827" s="367"/>
      <c r="AG1827" s="245"/>
      <c r="AI1827" s="245"/>
    </row>
    <row r="1828" spans="1:35" ht="26.4">
      <c r="A1828" s="245"/>
      <c r="B1828" s="245"/>
      <c r="C1828" s="245"/>
      <c r="D1828" s="245"/>
      <c r="E1828" s="245"/>
      <c r="F1828" s="280"/>
      <c r="G1828" s="245"/>
      <c r="H1828" s="245"/>
      <c r="I1828" s="245"/>
      <c r="L1828" s="123"/>
      <c r="P1828" s="366"/>
      <c r="R1828" s="355"/>
      <c r="S1828" s="369"/>
      <c r="T1828" s="328"/>
      <c r="U1828" s="85" ph="1"/>
      <c r="W1828" s="216"/>
      <c r="X1828" s="245"/>
      <c r="Y1828" s="187"/>
      <c r="Z1828" s="245"/>
      <c r="AA1828" s="245"/>
      <c r="AB1828" s="332"/>
      <c r="AD1828" s="245"/>
      <c r="AE1828" s="187"/>
      <c r="AF1828" s="367"/>
      <c r="AG1828" s="245"/>
      <c r="AI1828" s="245"/>
    </row>
    <row r="1829" spans="1:35" ht="26.4">
      <c r="A1829" s="245"/>
      <c r="B1829" s="245"/>
      <c r="C1829" s="245"/>
      <c r="D1829" s="245"/>
      <c r="E1829" s="245"/>
      <c r="F1829" s="280"/>
      <c r="G1829" s="245"/>
      <c r="H1829" s="245"/>
      <c r="I1829" s="245"/>
      <c r="L1829" s="123"/>
      <c r="P1829" s="366"/>
      <c r="R1829" s="355"/>
      <c r="S1829" s="369"/>
      <c r="T1829" s="328"/>
      <c r="U1829" s="85" ph="1"/>
      <c r="W1829" s="216"/>
      <c r="X1829" s="245"/>
      <c r="Y1829" s="187"/>
      <c r="Z1829" s="245"/>
      <c r="AA1829" s="245"/>
      <c r="AB1829" s="332"/>
      <c r="AD1829" s="245"/>
      <c r="AE1829" s="187"/>
      <c r="AF1829" s="367"/>
      <c r="AG1829" s="245"/>
      <c r="AI1829" s="245"/>
    </row>
    <row r="1830" spans="1:35" ht="26.4">
      <c r="A1830" s="245"/>
      <c r="B1830" s="245"/>
      <c r="C1830" s="245"/>
      <c r="D1830" s="245"/>
      <c r="E1830" s="245"/>
      <c r="F1830" s="280"/>
      <c r="G1830" s="245"/>
      <c r="H1830" s="245"/>
      <c r="I1830" s="245"/>
      <c r="L1830" s="123"/>
      <c r="P1830" s="366"/>
      <c r="R1830" s="355"/>
      <c r="S1830" s="369"/>
      <c r="T1830" s="328"/>
      <c r="U1830" s="85" ph="1"/>
      <c r="W1830" s="216"/>
      <c r="X1830" s="245"/>
      <c r="Y1830" s="187"/>
      <c r="Z1830" s="245"/>
      <c r="AA1830" s="245"/>
      <c r="AB1830" s="332"/>
      <c r="AD1830" s="245"/>
      <c r="AE1830" s="187"/>
      <c r="AF1830" s="367"/>
      <c r="AG1830" s="245"/>
      <c r="AI1830" s="245"/>
    </row>
    <row r="1831" spans="1:35" ht="26.4">
      <c r="A1831" s="245"/>
      <c r="B1831" s="245"/>
      <c r="C1831" s="245"/>
      <c r="D1831" s="245"/>
      <c r="E1831" s="245"/>
      <c r="F1831" s="280"/>
      <c r="G1831" s="245"/>
      <c r="H1831" s="245"/>
      <c r="I1831" s="245"/>
      <c r="L1831" s="123"/>
      <c r="P1831" s="366"/>
      <c r="R1831" s="355"/>
      <c r="S1831" s="369"/>
      <c r="T1831" s="328"/>
      <c r="U1831" s="85" ph="1"/>
      <c r="W1831" s="216"/>
      <c r="X1831" s="245"/>
      <c r="Y1831" s="187"/>
      <c r="Z1831" s="245"/>
      <c r="AA1831" s="245"/>
      <c r="AB1831" s="332"/>
      <c r="AD1831" s="245"/>
      <c r="AE1831" s="187"/>
      <c r="AF1831" s="367"/>
      <c r="AG1831" s="245"/>
      <c r="AI1831" s="245"/>
    </row>
    <row r="1832" spans="1:35" ht="26.4">
      <c r="A1832" s="245"/>
      <c r="B1832" s="245"/>
      <c r="C1832" s="245"/>
      <c r="D1832" s="245"/>
      <c r="E1832" s="245"/>
      <c r="F1832" s="280"/>
      <c r="G1832" s="245"/>
      <c r="H1832" s="245"/>
      <c r="I1832" s="245"/>
      <c r="L1832" s="123"/>
      <c r="P1832" s="366"/>
      <c r="R1832" s="355"/>
      <c r="S1832" s="369"/>
      <c r="T1832" s="328"/>
      <c r="U1832" s="85" ph="1"/>
      <c r="W1832" s="216"/>
      <c r="X1832" s="245"/>
      <c r="Y1832" s="187"/>
      <c r="Z1832" s="245"/>
      <c r="AA1832" s="245"/>
      <c r="AB1832" s="332"/>
      <c r="AD1832" s="245"/>
      <c r="AE1832" s="187"/>
      <c r="AF1832" s="367"/>
      <c r="AG1832" s="245"/>
      <c r="AI1832" s="245"/>
    </row>
    <row r="1833" spans="1:35" ht="26.4">
      <c r="A1833" s="245"/>
      <c r="B1833" s="245"/>
      <c r="C1833" s="245"/>
      <c r="D1833" s="245"/>
      <c r="E1833" s="245"/>
      <c r="F1833" s="280"/>
      <c r="G1833" s="245"/>
      <c r="H1833" s="245"/>
      <c r="I1833" s="245"/>
      <c r="L1833" s="123"/>
      <c r="P1833" s="366"/>
      <c r="R1833" s="355"/>
      <c r="S1833" s="369"/>
      <c r="T1833" s="328"/>
      <c r="U1833" s="85" ph="1"/>
      <c r="W1833" s="216"/>
      <c r="X1833" s="245"/>
      <c r="Y1833" s="187"/>
      <c r="Z1833" s="245"/>
      <c r="AA1833" s="245"/>
      <c r="AB1833" s="332"/>
      <c r="AD1833" s="245"/>
      <c r="AE1833" s="187"/>
      <c r="AF1833" s="367"/>
      <c r="AG1833" s="245"/>
      <c r="AI1833" s="245"/>
    </row>
    <row r="1834" spans="1:35" ht="26.4">
      <c r="A1834" s="245"/>
      <c r="B1834" s="245"/>
      <c r="C1834" s="245"/>
      <c r="D1834" s="245"/>
      <c r="E1834" s="245"/>
      <c r="F1834" s="280"/>
      <c r="G1834" s="245"/>
      <c r="H1834" s="245"/>
      <c r="I1834" s="245"/>
      <c r="L1834" s="123"/>
      <c r="P1834" s="366"/>
      <c r="R1834" s="355"/>
      <c r="S1834" s="369"/>
      <c r="T1834" s="328"/>
      <c r="U1834" s="85" ph="1"/>
      <c r="W1834" s="216"/>
      <c r="X1834" s="245"/>
      <c r="Y1834" s="187"/>
      <c r="Z1834" s="245"/>
      <c r="AA1834" s="245"/>
      <c r="AB1834" s="332"/>
      <c r="AD1834" s="245"/>
      <c r="AE1834" s="187"/>
      <c r="AF1834" s="367"/>
      <c r="AG1834" s="245"/>
      <c r="AI1834" s="245"/>
    </row>
    <row r="1835" spans="1:35" ht="26.4">
      <c r="A1835" s="245"/>
      <c r="B1835" s="245"/>
      <c r="C1835" s="245"/>
      <c r="D1835" s="245"/>
      <c r="E1835" s="245"/>
      <c r="F1835" s="280"/>
      <c r="G1835" s="245"/>
      <c r="H1835" s="245"/>
      <c r="I1835" s="245"/>
      <c r="L1835" s="123"/>
      <c r="P1835" s="366"/>
      <c r="R1835" s="355"/>
      <c r="S1835" s="369"/>
      <c r="T1835" s="328"/>
      <c r="U1835" s="85" ph="1"/>
      <c r="W1835" s="216"/>
      <c r="X1835" s="245"/>
      <c r="Y1835" s="187"/>
      <c r="Z1835" s="245"/>
      <c r="AA1835" s="245"/>
      <c r="AB1835" s="332"/>
      <c r="AD1835" s="245"/>
      <c r="AE1835" s="187"/>
      <c r="AF1835" s="367"/>
      <c r="AG1835" s="245"/>
      <c r="AI1835" s="245"/>
    </row>
    <row r="1836" spans="1:35" ht="26.4">
      <c r="A1836" s="245"/>
      <c r="B1836" s="245"/>
      <c r="C1836" s="245"/>
      <c r="D1836" s="245"/>
      <c r="E1836" s="245"/>
      <c r="F1836" s="280"/>
      <c r="G1836" s="245"/>
      <c r="H1836" s="245"/>
      <c r="I1836" s="245"/>
      <c r="L1836" s="123"/>
      <c r="P1836" s="366"/>
      <c r="R1836" s="355"/>
      <c r="S1836" s="369"/>
      <c r="T1836" s="328"/>
      <c r="U1836" s="85" ph="1"/>
      <c r="W1836" s="216"/>
      <c r="X1836" s="245"/>
      <c r="Y1836" s="187"/>
      <c r="Z1836" s="245"/>
      <c r="AA1836" s="245"/>
      <c r="AB1836" s="332"/>
      <c r="AD1836" s="245"/>
      <c r="AE1836" s="187"/>
      <c r="AF1836" s="367"/>
      <c r="AG1836" s="245"/>
      <c r="AI1836" s="245"/>
    </row>
    <row r="1837" spans="1:35" ht="26.4">
      <c r="A1837" s="245"/>
      <c r="B1837" s="245"/>
      <c r="C1837" s="245"/>
      <c r="D1837" s="245"/>
      <c r="E1837" s="245"/>
      <c r="F1837" s="280"/>
      <c r="G1837" s="245"/>
      <c r="H1837" s="245"/>
      <c r="I1837" s="245"/>
      <c r="L1837" s="123"/>
      <c r="P1837" s="366"/>
      <c r="R1837" s="355"/>
      <c r="S1837" s="369"/>
      <c r="T1837" s="328"/>
      <c r="U1837" s="85" ph="1"/>
      <c r="W1837" s="216"/>
      <c r="X1837" s="245"/>
      <c r="Y1837" s="187"/>
      <c r="Z1837" s="245"/>
      <c r="AA1837" s="245"/>
      <c r="AB1837" s="332"/>
      <c r="AD1837" s="245"/>
      <c r="AE1837" s="187"/>
      <c r="AF1837" s="367"/>
      <c r="AG1837" s="245"/>
      <c r="AI1837" s="245"/>
    </row>
    <row r="1838" spans="1:35" ht="26.4">
      <c r="A1838" s="245"/>
      <c r="B1838" s="245"/>
      <c r="C1838" s="245"/>
      <c r="D1838" s="245"/>
      <c r="E1838" s="245"/>
      <c r="F1838" s="280"/>
      <c r="G1838" s="245"/>
      <c r="H1838" s="245"/>
      <c r="I1838" s="245"/>
      <c r="L1838" s="123"/>
      <c r="P1838" s="366"/>
      <c r="R1838" s="355"/>
      <c r="S1838" s="369"/>
      <c r="T1838" s="328"/>
      <c r="U1838" s="85" ph="1"/>
      <c r="W1838" s="216"/>
      <c r="X1838" s="245"/>
      <c r="Y1838" s="187"/>
      <c r="Z1838" s="245"/>
      <c r="AA1838" s="245"/>
      <c r="AB1838" s="332"/>
      <c r="AD1838" s="245"/>
      <c r="AE1838" s="187"/>
      <c r="AF1838" s="367"/>
      <c r="AG1838" s="245"/>
      <c r="AI1838" s="245"/>
    </row>
    <row r="1839" spans="1:35" ht="26.4">
      <c r="A1839" s="245"/>
      <c r="B1839" s="245"/>
      <c r="C1839" s="245"/>
      <c r="D1839" s="245"/>
      <c r="E1839" s="245"/>
      <c r="F1839" s="280"/>
      <c r="G1839" s="245"/>
      <c r="H1839" s="245"/>
      <c r="I1839" s="245"/>
      <c r="L1839" s="123"/>
      <c r="P1839" s="366"/>
      <c r="R1839" s="355"/>
      <c r="S1839" s="369"/>
      <c r="T1839" s="328"/>
      <c r="U1839" s="85" ph="1"/>
      <c r="W1839" s="216"/>
      <c r="X1839" s="245"/>
      <c r="Y1839" s="187"/>
      <c r="Z1839" s="245"/>
      <c r="AA1839" s="245"/>
      <c r="AB1839" s="332"/>
      <c r="AD1839" s="245"/>
      <c r="AE1839" s="187"/>
      <c r="AF1839" s="367"/>
      <c r="AG1839" s="245"/>
      <c r="AI1839" s="245"/>
    </row>
    <row r="1840" spans="1:35" ht="26.4">
      <c r="A1840" s="245"/>
      <c r="B1840" s="245"/>
      <c r="C1840" s="245"/>
      <c r="D1840" s="245"/>
      <c r="E1840" s="245"/>
      <c r="F1840" s="280"/>
      <c r="G1840" s="245"/>
      <c r="H1840" s="245"/>
      <c r="I1840" s="245"/>
      <c r="L1840" s="123"/>
      <c r="P1840" s="366"/>
      <c r="R1840" s="355"/>
      <c r="S1840" s="369"/>
      <c r="T1840" s="328"/>
      <c r="U1840" s="85" ph="1"/>
      <c r="W1840" s="216"/>
      <c r="X1840" s="245"/>
      <c r="Y1840" s="187"/>
      <c r="Z1840" s="245"/>
      <c r="AA1840" s="245"/>
      <c r="AB1840" s="332"/>
      <c r="AD1840" s="245"/>
      <c r="AE1840" s="187"/>
      <c r="AF1840" s="367"/>
      <c r="AG1840" s="245"/>
      <c r="AI1840" s="245"/>
    </row>
    <row r="1841" spans="1:35" ht="26.4">
      <c r="A1841" s="245"/>
      <c r="B1841" s="245"/>
      <c r="C1841" s="245"/>
      <c r="D1841" s="245"/>
      <c r="E1841" s="245"/>
      <c r="F1841" s="280"/>
      <c r="G1841" s="245"/>
      <c r="H1841" s="245"/>
      <c r="I1841" s="245"/>
      <c r="L1841" s="123"/>
      <c r="P1841" s="366"/>
      <c r="R1841" s="355"/>
      <c r="S1841" s="369"/>
      <c r="T1841" s="328"/>
      <c r="U1841" s="85" ph="1"/>
      <c r="W1841" s="216"/>
      <c r="X1841" s="245"/>
      <c r="Y1841" s="187"/>
      <c r="Z1841" s="245"/>
      <c r="AA1841" s="245"/>
      <c r="AB1841" s="332"/>
      <c r="AD1841" s="245"/>
      <c r="AE1841" s="187"/>
      <c r="AF1841" s="367"/>
      <c r="AG1841" s="245"/>
      <c r="AI1841" s="245"/>
    </row>
    <row r="1842" spans="1:35" ht="26.4">
      <c r="A1842" s="245"/>
      <c r="B1842" s="245"/>
      <c r="C1842" s="245"/>
      <c r="D1842" s="245"/>
      <c r="E1842" s="245"/>
      <c r="F1842" s="280"/>
      <c r="G1842" s="245"/>
      <c r="H1842" s="245"/>
      <c r="I1842" s="245"/>
      <c r="L1842" s="123"/>
      <c r="P1842" s="366"/>
      <c r="R1842" s="355"/>
      <c r="S1842" s="369"/>
      <c r="T1842" s="328"/>
      <c r="U1842" s="85" ph="1"/>
      <c r="W1842" s="216"/>
      <c r="X1842" s="245"/>
      <c r="Y1842" s="187"/>
      <c r="Z1842" s="245"/>
      <c r="AA1842" s="245"/>
      <c r="AB1842" s="332"/>
      <c r="AD1842" s="245"/>
      <c r="AE1842" s="187"/>
      <c r="AF1842" s="367"/>
      <c r="AG1842" s="245"/>
      <c r="AI1842" s="245"/>
    </row>
    <row r="1843" spans="1:35" ht="26.4">
      <c r="A1843" s="245"/>
      <c r="B1843" s="245"/>
      <c r="C1843" s="245"/>
      <c r="D1843" s="245"/>
      <c r="E1843" s="245"/>
      <c r="F1843" s="280"/>
      <c r="G1843" s="245"/>
      <c r="H1843" s="245"/>
      <c r="I1843" s="245"/>
      <c r="L1843" s="123"/>
      <c r="P1843" s="366"/>
      <c r="R1843" s="355"/>
      <c r="S1843" s="369"/>
      <c r="T1843" s="328"/>
      <c r="U1843" s="85" ph="1"/>
      <c r="W1843" s="216"/>
      <c r="X1843" s="245"/>
      <c r="Y1843" s="187"/>
      <c r="Z1843" s="245"/>
      <c r="AA1843" s="245"/>
      <c r="AB1843" s="332"/>
      <c r="AD1843" s="245"/>
      <c r="AE1843" s="187"/>
      <c r="AF1843" s="367"/>
      <c r="AG1843" s="245"/>
      <c r="AI1843" s="245"/>
    </row>
    <row r="1844" spans="1:35" ht="26.4">
      <c r="A1844" s="245"/>
      <c r="B1844" s="245"/>
      <c r="C1844" s="245"/>
      <c r="D1844" s="245"/>
      <c r="E1844" s="245"/>
      <c r="F1844" s="280"/>
      <c r="G1844" s="245"/>
      <c r="H1844" s="245"/>
      <c r="I1844" s="245"/>
      <c r="L1844" s="123"/>
      <c r="P1844" s="366"/>
      <c r="R1844" s="355"/>
      <c r="S1844" s="369"/>
      <c r="T1844" s="328"/>
      <c r="U1844" s="85" ph="1"/>
      <c r="W1844" s="216"/>
      <c r="X1844" s="245"/>
      <c r="Y1844" s="187"/>
      <c r="Z1844" s="245"/>
      <c r="AA1844" s="245"/>
      <c r="AB1844" s="332"/>
      <c r="AD1844" s="245"/>
      <c r="AE1844" s="187"/>
      <c r="AF1844" s="367"/>
      <c r="AG1844" s="245"/>
      <c r="AI1844" s="245"/>
    </row>
    <row r="1845" spans="1:35" ht="26.4">
      <c r="A1845" s="245"/>
      <c r="B1845" s="245"/>
      <c r="C1845" s="245"/>
      <c r="D1845" s="245"/>
      <c r="E1845" s="245"/>
      <c r="F1845" s="280"/>
      <c r="G1845" s="245"/>
      <c r="H1845" s="245"/>
      <c r="I1845" s="245"/>
      <c r="L1845" s="123"/>
      <c r="P1845" s="366"/>
      <c r="R1845" s="355"/>
      <c r="S1845" s="369"/>
      <c r="T1845" s="328"/>
      <c r="U1845" s="85" ph="1"/>
      <c r="W1845" s="216"/>
      <c r="X1845" s="245"/>
      <c r="Y1845" s="187"/>
      <c r="Z1845" s="245"/>
      <c r="AA1845" s="245"/>
      <c r="AB1845" s="332"/>
      <c r="AD1845" s="245"/>
      <c r="AE1845" s="187"/>
      <c r="AF1845" s="367"/>
      <c r="AG1845" s="245"/>
      <c r="AI1845" s="245"/>
    </row>
    <row r="1846" spans="1:35" ht="26.4">
      <c r="A1846" s="245"/>
      <c r="B1846" s="245"/>
      <c r="C1846" s="245"/>
      <c r="D1846" s="245"/>
      <c r="E1846" s="245"/>
      <c r="F1846" s="280"/>
      <c r="G1846" s="245"/>
      <c r="H1846" s="245"/>
      <c r="I1846" s="245"/>
      <c r="L1846" s="123"/>
      <c r="P1846" s="366"/>
      <c r="R1846" s="355"/>
      <c r="S1846" s="369"/>
      <c r="T1846" s="328"/>
      <c r="U1846" s="85" ph="1"/>
      <c r="W1846" s="216"/>
      <c r="X1846" s="245"/>
      <c r="Y1846" s="187"/>
      <c r="Z1846" s="245"/>
      <c r="AA1846" s="245"/>
      <c r="AB1846" s="332"/>
      <c r="AD1846" s="245"/>
      <c r="AE1846" s="187"/>
      <c r="AF1846" s="367"/>
      <c r="AG1846" s="245"/>
      <c r="AI1846" s="245"/>
    </row>
    <row r="1847" spans="1:35" ht="26.4">
      <c r="A1847" s="245"/>
      <c r="B1847" s="245"/>
      <c r="C1847" s="245"/>
      <c r="D1847" s="245"/>
      <c r="E1847" s="245"/>
      <c r="F1847" s="280"/>
      <c r="G1847" s="245"/>
      <c r="H1847" s="245"/>
      <c r="I1847" s="245"/>
      <c r="L1847" s="123"/>
      <c r="P1847" s="366"/>
      <c r="R1847" s="355"/>
      <c r="S1847" s="369"/>
      <c r="T1847" s="328"/>
      <c r="U1847" s="85" ph="1"/>
      <c r="W1847" s="216"/>
      <c r="X1847" s="245"/>
      <c r="Y1847" s="187"/>
      <c r="Z1847" s="245"/>
      <c r="AA1847" s="245"/>
      <c r="AB1847" s="332"/>
      <c r="AD1847" s="245"/>
      <c r="AE1847" s="187"/>
      <c r="AF1847" s="367"/>
      <c r="AG1847" s="245"/>
      <c r="AI1847" s="245"/>
    </row>
    <row r="1848" spans="1:35" ht="26.4">
      <c r="A1848" s="245"/>
      <c r="B1848" s="245"/>
      <c r="C1848" s="245"/>
      <c r="D1848" s="245"/>
      <c r="E1848" s="245"/>
      <c r="F1848" s="280"/>
      <c r="G1848" s="245"/>
      <c r="H1848" s="245"/>
      <c r="I1848" s="245"/>
      <c r="L1848" s="123"/>
      <c r="P1848" s="366"/>
      <c r="R1848" s="355"/>
      <c r="S1848" s="369"/>
      <c r="T1848" s="328"/>
      <c r="U1848" s="85" ph="1"/>
      <c r="W1848" s="216"/>
      <c r="X1848" s="245"/>
      <c r="Y1848" s="187"/>
      <c r="Z1848" s="245"/>
      <c r="AA1848" s="245"/>
      <c r="AB1848" s="332"/>
      <c r="AD1848" s="245"/>
      <c r="AE1848" s="187"/>
      <c r="AF1848" s="367"/>
      <c r="AG1848" s="245"/>
      <c r="AI1848" s="245"/>
    </row>
    <row r="1849" spans="1:35" ht="26.4">
      <c r="A1849" s="245"/>
      <c r="B1849" s="245"/>
      <c r="C1849" s="245"/>
      <c r="D1849" s="245"/>
      <c r="E1849" s="245"/>
      <c r="F1849" s="280"/>
      <c r="G1849" s="245"/>
      <c r="H1849" s="245"/>
      <c r="I1849" s="245"/>
      <c r="L1849" s="123"/>
      <c r="P1849" s="366"/>
      <c r="R1849" s="355"/>
      <c r="S1849" s="369"/>
      <c r="T1849" s="328"/>
      <c r="U1849" s="85" ph="1"/>
      <c r="W1849" s="216"/>
      <c r="X1849" s="245"/>
      <c r="Y1849" s="187"/>
      <c r="Z1849" s="245"/>
      <c r="AA1849" s="245"/>
      <c r="AB1849" s="332"/>
      <c r="AD1849" s="245"/>
      <c r="AE1849" s="187"/>
      <c r="AF1849" s="367"/>
      <c r="AG1849" s="245"/>
      <c r="AI1849" s="245"/>
    </row>
    <row r="1850" spans="1:35" ht="26.4">
      <c r="A1850" s="245"/>
      <c r="B1850" s="245"/>
      <c r="C1850" s="245"/>
      <c r="D1850" s="245"/>
      <c r="E1850" s="245"/>
      <c r="F1850" s="280"/>
      <c r="G1850" s="245"/>
      <c r="H1850" s="245"/>
      <c r="I1850" s="245"/>
      <c r="L1850" s="123"/>
      <c r="P1850" s="366"/>
      <c r="R1850" s="355"/>
      <c r="S1850" s="369"/>
      <c r="T1850" s="328"/>
      <c r="U1850" s="85" ph="1"/>
      <c r="W1850" s="216"/>
      <c r="X1850" s="245"/>
      <c r="Y1850" s="187"/>
      <c r="Z1850" s="245"/>
      <c r="AA1850" s="245"/>
      <c r="AB1850" s="332"/>
      <c r="AD1850" s="245"/>
      <c r="AE1850" s="187"/>
      <c r="AF1850" s="367"/>
      <c r="AG1850" s="245"/>
      <c r="AI1850" s="245"/>
    </row>
    <row r="1851" spans="1:35" ht="26.4">
      <c r="A1851" s="245"/>
      <c r="B1851" s="245"/>
      <c r="C1851" s="245"/>
      <c r="D1851" s="245"/>
      <c r="E1851" s="245"/>
      <c r="F1851" s="280"/>
      <c r="G1851" s="245"/>
      <c r="H1851" s="245"/>
      <c r="I1851" s="245"/>
      <c r="L1851" s="123"/>
      <c r="P1851" s="366"/>
      <c r="R1851" s="355"/>
      <c r="S1851" s="369"/>
      <c r="T1851" s="328"/>
      <c r="U1851" s="85" ph="1"/>
      <c r="W1851" s="216"/>
      <c r="X1851" s="245"/>
      <c r="Y1851" s="187"/>
      <c r="Z1851" s="245"/>
      <c r="AA1851" s="245"/>
      <c r="AB1851" s="332"/>
      <c r="AD1851" s="245"/>
      <c r="AE1851" s="187"/>
      <c r="AF1851" s="367"/>
      <c r="AG1851" s="245"/>
      <c r="AI1851" s="245"/>
    </row>
    <row r="1852" spans="1:35" ht="26.4">
      <c r="A1852" s="245"/>
      <c r="B1852" s="245"/>
      <c r="C1852" s="245"/>
      <c r="D1852" s="245"/>
      <c r="E1852" s="245"/>
      <c r="F1852" s="280"/>
      <c r="G1852" s="245"/>
      <c r="H1852" s="245"/>
      <c r="I1852" s="245"/>
      <c r="L1852" s="123"/>
      <c r="P1852" s="366"/>
      <c r="R1852" s="355"/>
      <c r="S1852" s="369"/>
      <c r="T1852" s="328"/>
      <c r="U1852" s="85" ph="1"/>
      <c r="W1852" s="216"/>
      <c r="X1852" s="245"/>
      <c r="Y1852" s="187"/>
      <c r="Z1852" s="245"/>
      <c r="AA1852" s="245"/>
      <c r="AB1852" s="332"/>
      <c r="AD1852" s="245"/>
      <c r="AE1852" s="187"/>
      <c r="AF1852" s="367"/>
      <c r="AG1852" s="245"/>
      <c r="AI1852" s="245"/>
    </row>
    <row r="1853" spans="1:35" ht="26.4">
      <c r="A1853" s="245"/>
      <c r="B1853" s="245"/>
      <c r="C1853" s="245"/>
      <c r="D1853" s="245"/>
      <c r="E1853" s="245"/>
      <c r="F1853" s="280"/>
      <c r="G1853" s="245"/>
      <c r="H1853" s="245"/>
      <c r="I1853" s="245"/>
      <c r="L1853" s="123"/>
      <c r="P1853" s="366"/>
      <c r="R1853" s="355"/>
      <c r="S1853" s="369"/>
      <c r="T1853" s="328"/>
      <c r="U1853" s="85" ph="1"/>
      <c r="W1853" s="216"/>
      <c r="X1853" s="245"/>
      <c r="Y1853" s="187"/>
      <c r="Z1853" s="245"/>
      <c r="AA1853" s="245"/>
      <c r="AB1853" s="332"/>
      <c r="AD1853" s="245"/>
      <c r="AE1853" s="187"/>
      <c r="AF1853" s="367"/>
      <c r="AG1853" s="245"/>
      <c r="AI1853" s="245"/>
    </row>
    <row r="1854" spans="1:35" ht="26.4">
      <c r="A1854" s="245"/>
      <c r="B1854" s="245"/>
      <c r="C1854" s="245"/>
      <c r="D1854" s="245"/>
      <c r="E1854" s="245"/>
      <c r="F1854" s="280"/>
      <c r="G1854" s="245"/>
      <c r="H1854" s="245"/>
      <c r="I1854" s="245"/>
      <c r="L1854" s="123"/>
      <c r="P1854" s="366"/>
      <c r="R1854" s="355"/>
      <c r="S1854" s="369"/>
      <c r="T1854" s="328"/>
      <c r="U1854" s="85" ph="1"/>
      <c r="W1854" s="216"/>
      <c r="X1854" s="245"/>
      <c r="Y1854" s="187"/>
      <c r="Z1854" s="245"/>
      <c r="AA1854" s="245"/>
      <c r="AB1854" s="332"/>
      <c r="AD1854" s="245"/>
      <c r="AE1854" s="187"/>
      <c r="AF1854" s="367"/>
      <c r="AG1854" s="245"/>
      <c r="AI1854" s="245"/>
    </row>
    <row r="1855" spans="1:35" ht="26.4">
      <c r="A1855" s="245"/>
      <c r="B1855" s="245"/>
      <c r="C1855" s="245"/>
      <c r="D1855" s="245"/>
      <c r="E1855" s="245"/>
      <c r="F1855" s="280"/>
      <c r="G1855" s="245"/>
      <c r="H1855" s="245"/>
      <c r="I1855" s="245"/>
      <c r="L1855" s="123"/>
      <c r="P1855" s="366"/>
      <c r="R1855" s="355"/>
      <c r="S1855" s="369"/>
      <c r="T1855" s="328"/>
      <c r="U1855" s="85" ph="1"/>
      <c r="W1855" s="216"/>
      <c r="X1855" s="245"/>
      <c r="Y1855" s="187"/>
      <c r="Z1855" s="245"/>
      <c r="AA1855" s="245"/>
      <c r="AB1855" s="332"/>
      <c r="AD1855" s="245"/>
      <c r="AE1855" s="187"/>
      <c r="AF1855" s="367"/>
      <c r="AG1855" s="245"/>
      <c r="AI1855" s="245"/>
    </row>
    <row r="1856" spans="1:35" ht="26.4">
      <c r="A1856" s="245"/>
      <c r="B1856" s="245"/>
      <c r="C1856" s="245"/>
      <c r="D1856" s="245"/>
      <c r="E1856" s="245"/>
      <c r="F1856" s="280"/>
      <c r="G1856" s="245"/>
      <c r="H1856" s="245"/>
      <c r="I1856" s="245"/>
      <c r="L1856" s="123"/>
      <c r="P1856" s="366"/>
      <c r="R1856" s="355"/>
      <c r="S1856" s="369"/>
      <c r="T1856" s="328"/>
      <c r="U1856" s="85" ph="1"/>
      <c r="W1856" s="216"/>
      <c r="X1856" s="245"/>
      <c r="Y1856" s="187"/>
      <c r="Z1856" s="245"/>
      <c r="AA1856" s="245"/>
      <c r="AB1856" s="332"/>
      <c r="AD1856" s="245"/>
      <c r="AE1856" s="187"/>
      <c r="AF1856" s="367"/>
      <c r="AG1856" s="245"/>
      <c r="AI1856" s="245"/>
    </row>
    <row r="1857" spans="1:35" ht="26.4">
      <c r="A1857" s="245"/>
      <c r="B1857" s="245"/>
      <c r="C1857" s="245"/>
      <c r="D1857" s="245"/>
      <c r="E1857" s="245"/>
      <c r="F1857" s="280"/>
      <c r="G1857" s="245"/>
      <c r="H1857" s="245"/>
      <c r="I1857" s="245"/>
      <c r="L1857" s="123"/>
      <c r="P1857" s="366"/>
      <c r="R1857" s="355"/>
      <c r="S1857" s="369"/>
      <c r="T1857" s="328"/>
      <c r="U1857" s="85" ph="1"/>
      <c r="W1857" s="216"/>
      <c r="X1857" s="245"/>
      <c r="Y1857" s="187"/>
      <c r="Z1857" s="245"/>
      <c r="AA1857" s="245"/>
      <c r="AB1857" s="332"/>
      <c r="AD1857" s="245"/>
      <c r="AE1857" s="187"/>
      <c r="AF1857" s="367"/>
      <c r="AG1857" s="245"/>
      <c r="AI1857" s="245"/>
    </row>
    <row r="1858" spans="1:35" ht="26.4">
      <c r="A1858" s="245"/>
      <c r="B1858" s="245"/>
      <c r="C1858" s="245"/>
      <c r="D1858" s="245"/>
      <c r="E1858" s="245"/>
      <c r="F1858" s="280"/>
      <c r="G1858" s="245"/>
      <c r="H1858" s="245"/>
      <c r="I1858" s="245"/>
      <c r="L1858" s="123"/>
      <c r="P1858" s="366"/>
      <c r="R1858" s="355"/>
      <c r="S1858" s="369"/>
      <c r="T1858" s="328"/>
      <c r="U1858" s="85" ph="1"/>
      <c r="W1858" s="216"/>
      <c r="X1858" s="245"/>
      <c r="Y1858" s="187"/>
      <c r="Z1858" s="245"/>
      <c r="AA1858" s="245"/>
      <c r="AB1858" s="332"/>
      <c r="AD1858" s="245"/>
      <c r="AE1858" s="187"/>
      <c r="AF1858" s="367"/>
      <c r="AG1858" s="245"/>
      <c r="AI1858" s="245"/>
    </row>
    <row r="1859" spans="1:35" ht="26.4">
      <c r="A1859" s="245"/>
      <c r="B1859" s="245"/>
      <c r="C1859" s="245"/>
      <c r="D1859" s="245"/>
      <c r="E1859" s="245"/>
      <c r="F1859" s="280"/>
      <c r="G1859" s="245"/>
      <c r="H1859" s="245"/>
      <c r="I1859" s="245"/>
      <c r="L1859" s="123"/>
      <c r="P1859" s="366"/>
      <c r="R1859" s="355"/>
      <c r="S1859" s="369"/>
      <c r="T1859" s="328"/>
      <c r="U1859" s="85" ph="1"/>
      <c r="W1859" s="216"/>
      <c r="X1859" s="245"/>
      <c r="Y1859" s="187"/>
      <c r="Z1859" s="245"/>
      <c r="AA1859" s="245"/>
      <c r="AB1859" s="332"/>
      <c r="AD1859" s="245"/>
      <c r="AE1859" s="187"/>
      <c r="AF1859" s="367"/>
      <c r="AG1859" s="245"/>
      <c r="AI1859" s="245"/>
    </row>
    <row r="1860" spans="1:35" ht="26.4">
      <c r="A1860" s="245"/>
      <c r="B1860" s="245"/>
      <c r="C1860" s="245"/>
      <c r="D1860" s="245"/>
      <c r="E1860" s="245"/>
      <c r="F1860" s="280"/>
      <c r="G1860" s="245"/>
      <c r="H1860" s="245"/>
      <c r="I1860" s="245"/>
      <c r="L1860" s="123"/>
      <c r="P1860" s="366"/>
      <c r="R1860" s="355"/>
      <c r="S1860" s="369"/>
      <c r="T1860" s="328"/>
      <c r="U1860" s="85" ph="1"/>
      <c r="W1860" s="216"/>
      <c r="X1860" s="245"/>
      <c r="Y1860" s="187"/>
      <c r="Z1860" s="245"/>
      <c r="AA1860" s="245"/>
      <c r="AB1860" s="332"/>
      <c r="AD1860" s="245"/>
      <c r="AE1860" s="187"/>
      <c r="AF1860" s="367"/>
      <c r="AG1860" s="245"/>
      <c r="AI1860" s="245"/>
    </row>
    <row r="1861" spans="1:35" ht="26.4">
      <c r="A1861" s="245"/>
      <c r="B1861" s="245"/>
      <c r="C1861" s="245"/>
      <c r="D1861" s="245"/>
      <c r="E1861" s="245"/>
      <c r="F1861" s="280"/>
      <c r="G1861" s="245"/>
      <c r="H1861" s="245"/>
      <c r="I1861" s="245"/>
      <c r="L1861" s="123"/>
      <c r="P1861" s="366"/>
      <c r="R1861" s="355"/>
      <c r="S1861" s="369"/>
      <c r="T1861" s="328"/>
      <c r="U1861" s="85" ph="1"/>
      <c r="W1861" s="216"/>
      <c r="X1861" s="245"/>
      <c r="Y1861" s="187"/>
      <c r="Z1861" s="245"/>
      <c r="AA1861" s="245"/>
      <c r="AB1861" s="332"/>
      <c r="AD1861" s="245"/>
      <c r="AE1861" s="187"/>
      <c r="AF1861" s="367"/>
      <c r="AG1861" s="245"/>
      <c r="AI1861" s="245"/>
    </row>
    <row r="1862" spans="1:35" ht="26.4">
      <c r="A1862" s="245"/>
      <c r="B1862" s="245"/>
      <c r="C1862" s="245"/>
      <c r="D1862" s="245"/>
      <c r="E1862" s="245"/>
      <c r="F1862" s="280"/>
      <c r="G1862" s="245"/>
      <c r="H1862" s="245"/>
      <c r="I1862" s="245"/>
      <c r="L1862" s="123"/>
      <c r="P1862" s="366"/>
      <c r="R1862" s="355"/>
      <c r="S1862" s="369"/>
      <c r="T1862" s="328"/>
      <c r="U1862" s="85" ph="1"/>
      <c r="W1862" s="216"/>
      <c r="X1862" s="245"/>
      <c r="Y1862" s="187"/>
      <c r="Z1862" s="245"/>
      <c r="AA1862" s="245"/>
      <c r="AB1862" s="332"/>
      <c r="AD1862" s="245"/>
      <c r="AE1862" s="187"/>
      <c r="AF1862" s="367"/>
      <c r="AG1862" s="245"/>
      <c r="AI1862" s="245"/>
    </row>
    <row r="1863" spans="1:35" ht="26.4">
      <c r="A1863" s="245"/>
      <c r="B1863" s="245"/>
      <c r="C1863" s="245"/>
      <c r="D1863" s="245"/>
      <c r="E1863" s="245"/>
      <c r="F1863" s="280"/>
      <c r="G1863" s="245"/>
      <c r="H1863" s="245"/>
      <c r="I1863" s="245"/>
      <c r="L1863" s="123"/>
      <c r="P1863" s="366"/>
      <c r="R1863" s="355"/>
      <c r="S1863" s="369"/>
      <c r="T1863" s="328"/>
      <c r="U1863" s="85" ph="1"/>
      <c r="W1863" s="216"/>
      <c r="X1863" s="245"/>
      <c r="Y1863" s="187"/>
      <c r="Z1863" s="245"/>
      <c r="AA1863" s="245"/>
      <c r="AB1863" s="332"/>
      <c r="AD1863" s="245"/>
      <c r="AE1863" s="187"/>
      <c r="AF1863" s="367"/>
      <c r="AG1863" s="245"/>
      <c r="AI1863" s="245"/>
    </row>
    <row r="1864" spans="1:35" ht="26.4">
      <c r="A1864" s="245"/>
      <c r="B1864" s="245"/>
      <c r="C1864" s="245"/>
      <c r="D1864" s="245"/>
      <c r="E1864" s="245"/>
      <c r="F1864" s="280"/>
      <c r="G1864" s="245"/>
      <c r="H1864" s="245"/>
      <c r="I1864" s="245"/>
      <c r="L1864" s="123"/>
      <c r="P1864" s="366"/>
      <c r="R1864" s="355"/>
      <c r="S1864" s="369"/>
      <c r="T1864" s="328"/>
      <c r="U1864" s="85" ph="1"/>
      <c r="W1864" s="216"/>
      <c r="X1864" s="245"/>
      <c r="Y1864" s="187"/>
      <c r="Z1864" s="245"/>
      <c r="AA1864" s="245"/>
      <c r="AB1864" s="332"/>
      <c r="AD1864" s="245"/>
      <c r="AE1864" s="187"/>
      <c r="AF1864" s="367"/>
      <c r="AG1864" s="245"/>
      <c r="AI1864" s="245"/>
    </row>
    <row r="1865" spans="1:35" ht="26.4">
      <c r="A1865" s="245"/>
      <c r="B1865" s="245"/>
      <c r="C1865" s="245"/>
      <c r="D1865" s="245"/>
      <c r="E1865" s="245"/>
      <c r="F1865" s="280"/>
      <c r="G1865" s="245"/>
      <c r="H1865" s="245"/>
      <c r="I1865" s="245"/>
      <c r="L1865" s="123"/>
      <c r="P1865" s="366"/>
      <c r="R1865" s="355"/>
      <c r="S1865" s="369"/>
      <c r="T1865" s="328"/>
      <c r="U1865" s="85" ph="1"/>
      <c r="W1865" s="216"/>
      <c r="X1865" s="245"/>
      <c r="Y1865" s="187"/>
      <c r="Z1865" s="245"/>
      <c r="AA1865" s="245"/>
      <c r="AB1865" s="332"/>
      <c r="AD1865" s="245"/>
      <c r="AE1865" s="187"/>
      <c r="AF1865" s="367"/>
      <c r="AG1865" s="245"/>
      <c r="AI1865" s="245"/>
    </row>
    <row r="1866" spans="1:35" ht="26.4">
      <c r="A1866" s="245"/>
      <c r="B1866" s="245"/>
      <c r="C1866" s="245"/>
      <c r="D1866" s="245"/>
      <c r="E1866" s="245"/>
      <c r="F1866" s="280"/>
      <c r="G1866" s="245"/>
      <c r="H1866" s="245"/>
      <c r="I1866" s="245"/>
      <c r="L1866" s="123"/>
      <c r="P1866" s="366"/>
      <c r="R1866" s="355"/>
      <c r="S1866" s="369"/>
      <c r="T1866" s="328"/>
      <c r="U1866" s="85" ph="1"/>
      <c r="W1866" s="216"/>
      <c r="X1866" s="245"/>
      <c r="Y1866" s="187"/>
      <c r="Z1866" s="245"/>
      <c r="AA1866" s="245"/>
      <c r="AB1866" s="332"/>
      <c r="AD1866" s="245"/>
      <c r="AE1866" s="187"/>
      <c r="AF1866" s="367"/>
      <c r="AG1866" s="245"/>
      <c r="AI1866" s="245"/>
    </row>
    <row r="1867" spans="1:35" ht="26.4">
      <c r="A1867" s="245"/>
      <c r="B1867" s="245"/>
      <c r="C1867" s="245"/>
      <c r="D1867" s="245"/>
      <c r="E1867" s="245"/>
      <c r="F1867" s="280"/>
      <c r="G1867" s="245"/>
      <c r="H1867" s="245"/>
      <c r="I1867" s="245"/>
      <c r="L1867" s="123"/>
      <c r="P1867" s="366"/>
      <c r="R1867" s="355"/>
      <c r="S1867" s="369"/>
      <c r="T1867" s="328"/>
      <c r="U1867" s="85" ph="1"/>
      <c r="W1867" s="216"/>
      <c r="X1867" s="245"/>
      <c r="Y1867" s="187"/>
      <c r="Z1867" s="245"/>
      <c r="AA1867" s="245"/>
      <c r="AB1867" s="332"/>
      <c r="AD1867" s="245"/>
      <c r="AE1867" s="187"/>
      <c r="AF1867" s="367"/>
      <c r="AG1867" s="245"/>
      <c r="AI1867" s="245"/>
    </row>
    <row r="1868" spans="1:35" ht="26.4">
      <c r="A1868" s="245"/>
      <c r="B1868" s="245"/>
      <c r="C1868" s="245"/>
      <c r="D1868" s="245"/>
      <c r="E1868" s="245"/>
      <c r="F1868" s="280"/>
      <c r="G1868" s="245"/>
      <c r="H1868" s="245"/>
      <c r="I1868" s="245"/>
      <c r="L1868" s="123"/>
      <c r="P1868" s="366"/>
      <c r="R1868" s="355"/>
      <c r="S1868" s="369"/>
      <c r="T1868" s="328"/>
      <c r="U1868" s="85" ph="1"/>
      <c r="W1868" s="216"/>
      <c r="X1868" s="245"/>
      <c r="Y1868" s="187"/>
      <c r="Z1868" s="245"/>
      <c r="AA1868" s="245"/>
      <c r="AB1868" s="332"/>
      <c r="AD1868" s="245"/>
      <c r="AE1868" s="187"/>
      <c r="AF1868" s="367"/>
      <c r="AG1868" s="245"/>
      <c r="AI1868" s="245"/>
    </row>
    <row r="1869" spans="1:35" ht="26.4">
      <c r="A1869" s="245"/>
      <c r="B1869" s="245"/>
      <c r="C1869" s="245"/>
      <c r="D1869" s="245"/>
      <c r="E1869" s="245"/>
      <c r="F1869" s="280"/>
      <c r="G1869" s="245"/>
      <c r="H1869" s="245"/>
      <c r="I1869" s="245"/>
      <c r="L1869" s="123"/>
      <c r="P1869" s="366"/>
      <c r="R1869" s="355"/>
      <c r="S1869" s="369"/>
      <c r="T1869" s="328"/>
      <c r="U1869" s="85" ph="1"/>
      <c r="W1869" s="216"/>
      <c r="X1869" s="245"/>
      <c r="Y1869" s="187"/>
      <c r="Z1869" s="245"/>
      <c r="AA1869" s="245"/>
      <c r="AB1869" s="332"/>
      <c r="AD1869" s="245"/>
      <c r="AE1869" s="187"/>
      <c r="AF1869" s="367"/>
      <c r="AG1869" s="245"/>
      <c r="AI1869" s="245"/>
    </row>
    <row r="1870" spans="1:35" ht="26.4">
      <c r="A1870" s="245"/>
      <c r="B1870" s="245"/>
      <c r="C1870" s="245"/>
      <c r="D1870" s="245"/>
      <c r="E1870" s="245"/>
      <c r="F1870" s="280"/>
      <c r="G1870" s="245"/>
      <c r="H1870" s="245"/>
      <c r="I1870" s="245"/>
      <c r="L1870" s="245"/>
      <c r="P1870" s="366"/>
      <c r="R1870" s="355"/>
      <c r="S1870" s="369"/>
      <c r="T1870" s="328"/>
      <c r="U1870" s="85" ph="1"/>
      <c r="W1870" s="216"/>
      <c r="X1870" s="245"/>
      <c r="Y1870" s="187"/>
      <c r="Z1870" s="245"/>
      <c r="AA1870" s="245"/>
      <c r="AB1870" s="332"/>
      <c r="AD1870" s="245"/>
      <c r="AE1870" s="187"/>
      <c r="AF1870" s="367"/>
      <c r="AG1870" s="245"/>
      <c r="AI1870" s="245"/>
    </row>
    <row r="1871" spans="1:35" ht="26.4">
      <c r="A1871" s="245"/>
      <c r="B1871" s="245"/>
      <c r="C1871" s="245"/>
      <c r="D1871" s="245"/>
      <c r="E1871" s="245"/>
      <c r="F1871" s="280"/>
      <c r="G1871" s="245"/>
      <c r="H1871" s="245"/>
      <c r="I1871" s="245"/>
      <c r="L1871" s="245"/>
      <c r="P1871" s="366"/>
      <c r="R1871" s="355"/>
      <c r="S1871" s="369"/>
      <c r="T1871" s="328"/>
      <c r="U1871" s="85" ph="1"/>
      <c r="W1871" s="216"/>
      <c r="X1871" s="245"/>
      <c r="Y1871" s="187"/>
      <c r="Z1871" s="245"/>
      <c r="AA1871" s="245"/>
      <c r="AB1871" s="332"/>
      <c r="AD1871" s="245"/>
      <c r="AE1871" s="187"/>
      <c r="AF1871" s="367"/>
      <c r="AG1871" s="245"/>
      <c r="AI1871" s="245"/>
    </row>
    <row r="1872" spans="1:35" ht="26.4">
      <c r="A1872" s="245"/>
      <c r="B1872" s="245"/>
      <c r="C1872" s="245"/>
      <c r="D1872" s="245"/>
      <c r="E1872" s="245"/>
      <c r="F1872" s="280"/>
      <c r="G1872" s="245"/>
      <c r="H1872" s="245"/>
      <c r="I1872" s="245"/>
      <c r="L1872" s="123"/>
      <c r="P1872" s="366"/>
      <c r="R1872" s="355"/>
      <c r="S1872" s="369"/>
      <c r="T1872" s="328"/>
      <c r="U1872" s="85" ph="1"/>
      <c r="W1872" s="216"/>
      <c r="X1872" s="245"/>
      <c r="Y1872" s="187"/>
      <c r="Z1872" s="245"/>
      <c r="AA1872" s="245"/>
      <c r="AB1872" s="332"/>
      <c r="AD1872" s="245"/>
      <c r="AE1872" s="187"/>
      <c r="AF1872" s="367"/>
      <c r="AG1872" s="245"/>
      <c r="AI1872" s="245"/>
    </row>
    <row r="1873" spans="1:35" ht="26.4">
      <c r="A1873" s="245"/>
      <c r="B1873" s="245"/>
      <c r="C1873" s="245"/>
      <c r="D1873" s="245"/>
      <c r="E1873" s="245"/>
      <c r="F1873" s="280"/>
      <c r="G1873" s="245"/>
      <c r="H1873" s="245"/>
      <c r="I1873" s="245"/>
      <c r="L1873" s="123"/>
      <c r="P1873" s="366"/>
      <c r="R1873" s="355"/>
      <c r="S1873" s="369"/>
      <c r="T1873" s="328"/>
      <c r="U1873" s="85" ph="1"/>
      <c r="W1873" s="216"/>
      <c r="X1873" s="245"/>
      <c r="Y1873" s="187"/>
      <c r="Z1873" s="245"/>
      <c r="AA1873" s="245"/>
      <c r="AB1873" s="332"/>
      <c r="AD1873" s="245"/>
      <c r="AE1873" s="187"/>
      <c r="AF1873" s="367"/>
      <c r="AG1873" s="245"/>
      <c r="AI1873" s="245"/>
    </row>
    <row r="1874" spans="1:35" ht="26.4">
      <c r="A1874" s="245"/>
      <c r="B1874" s="245"/>
      <c r="C1874" s="245"/>
      <c r="D1874" s="245"/>
      <c r="E1874" s="245"/>
      <c r="F1874" s="280"/>
      <c r="G1874" s="245"/>
      <c r="H1874" s="245"/>
      <c r="I1874" s="245"/>
      <c r="L1874" s="123"/>
      <c r="P1874" s="366"/>
      <c r="R1874" s="355"/>
      <c r="S1874" s="369"/>
      <c r="T1874" s="328"/>
      <c r="U1874" s="85" ph="1"/>
      <c r="W1874" s="216"/>
      <c r="X1874" s="245"/>
      <c r="Y1874" s="187"/>
      <c r="Z1874" s="245"/>
      <c r="AA1874" s="245"/>
      <c r="AB1874" s="332"/>
      <c r="AD1874" s="245"/>
      <c r="AE1874" s="187"/>
      <c r="AF1874" s="367"/>
      <c r="AG1874" s="245"/>
      <c r="AI1874" s="245"/>
    </row>
    <row r="1875" spans="1:35" ht="26.4">
      <c r="A1875" s="245"/>
      <c r="B1875" s="245"/>
      <c r="C1875" s="245"/>
      <c r="D1875" s="245"/>
      <c r="E1875" s="245"/>
      <c r="F1875" s="280"/>
      <c r="G1875" s="245"/>
      <c r="H1875" s="245"/>
      <c r="I1875" s="245"/>
      <c r="L1875" s="123"/>
      <c r="P1875" s="366"/>
      <c r="R1875" s="355"/>
      <c r="S1875" s="369"/>
      <c r="T1875" s="328"/>
      <c r="U1875" s="85" ph="1"/>
      <c r="W1875" s="216"/>
      <c r="X1875" s="245"/>
      <c r="Y1875" s="187"/>
      <c r="Z1875" s="245"/>
      <c r="AA1875" s="245"/>
      <c r="AB1875" s="332"/>
      <c r="AD1875" s="245"/>
      <c r="AE1875" s="187"/>
      <c r="AF1875" s="367"/>
      <c r="AG1875" s="245"/>
      <c r="AI1875" s="245"/>
    </row>
    <row r="1876" spans="1:35" ht="26.4">
      <c r="A1876" s="245"/>
      <c r="B1876" s="245"/>
      <c r="C1876" s="245"/>
      <c r="D1876" s="245"/>
      <c r="E1876" s="245"/>
      <c r="F1876" s="280"/>
      <c r="G1876" s="245"/>
      <c r="H1876" s="245"/>
      <c r="I1876" s="245"/>
      <c r="L1876" s="123"/>
      <c r="P1876" s="366"/>
      <c r="R1876" s="355"/>
      <c r="S1876" s="369"/>
      <c r="T1876" s="328"/>
      <c r="U1876" s="85" ph="1"/>
      <c r="W1876" s="216"/>
      <c r="X1876" s="245"/>
      <c r="Y1876" s="187"/>
      <c r="Z1876" s="245"/>
      <c r="AA1876" s="245"/>
      <c r="AB1876" s="332"/>
      <c r="AD1876" s="245"/>
      <c r="AE1876" s="187"/>
      <c r="AF1876" s="367"/>
      <c r="AG1876" s="245"/>
      <c r="AI1876" s="245"/>
    </row>
    <row r="1877" spans="1:35" ht="26.4">
      <c r="A1877" s="245"/>
      <c r="B1877" s="245"/>
      <c r="C1877" s="245"/>
      <c r="D1877" s="245"/>
      <c r="E1877" s="245"/>
      <c r="F1877" s="280"/>
      <c r="G1877" s="245"/>
      <c r="H1877" s="245"/>
      <c r="I1877" s="245"/>
      <c r="L1877" s="123"/>
      <c r="P1877" s="366"/>
      <c r="R1877" s="355"/>
      <c r="S1877" s="369"/>
      <c r="T1877" s="328"/>
      <c r="U1877" s="85" ph="1"/>
      <c r="W1877" s="216"/>
      <c r="X1877" s="245"/>
      <c r="Y1877" s="187"/>
      <c r="Z1877" s="245"/>
      <c r="AA1877" s="245"/>
      <c r="AB1877" s="332"/>
      <c r="AD1877" s="245"/>
      <c r="AE1877" s="187"/>
      <c r="AF1877" s="367"/>
      <c r="AG1877" s="245"/>
      <c r="AI1877" s="245"/>
    </row>
    <row r="1878" spans="1:35" ht="26.4">
      <c r="A1878" s="245"/>
      <c r="B1878" s="245"/>
      <c r="C1878" s="245"/>
      <c r="D1878" s="245"/>
      <c r="E1878" s="245"/>
      <c r="F1878" s="280"/>
      <c r="G1878" s="245"/>
      <c r="H1878" s="245"/>
      <c r="I1878" s="245"/>
      <c r="L1878" s="123"/>
      <c r="P1878" s="366"/>
      <c r="R1878" s="355"/>
      <c r="S1878" s="369"/>
      <c r="T1878" s="328"/>
      <c r="U1878" s="85" ph="1"/>
      <c r="W1878" s="216"/>
      <c r="X1878" s="245"/>
      <c r="Y1878" s="187"/>
      <c r="Z1878" s="245"/>
      <c r="AA1878" s="245"/>
      <c r="AB1878" s="332"/>
      <c r="AD1878" s="245"/>
      <c r="AE1878" s="187"/>
      <c r="AF1878" s="367"/>
      <c r="AG1878" s="245"/>
      <c r="AI1878" s="245"/>
    </row>
    <row r="1879" spans="1:35" ht="26.4">
      <c r="A1879" s="245"/>
      <c r="B1879" s="245"/>
      <c r="C1879" s="245"/>
      <c r="D1879" s="245"/>
      <c r="E1879" s="245"/>
      <c r="F1879" s="280"/>
      <c r="G1879" s="245"/>
      <c r="H1879" s="245"/>
      <c r="I1879" s="245"/>
      <c r="L1879" s="123"/>
      <c r="P1879" s="366"/>
      <c r="R1879" s="355"/>
      <c r="S1879" s="369"/>
      <c r="T1879" s="328"/>
      <c r="U1879" s="85" ph="1"/>
      <c r="W1879" s="216"/>
      <c r="X1879" s="245"/>
      <c r="Y1879" s="187"/>
      <c r="Z1879" s="245"/>
      <c r="AA1879" s="245"/>
      <c r="AB1879" s="332"/>
      <c r="AD1879" s="245"/>
      <c r="AE1879" s="187"/>
      <c r="AF1879" s="367"/>
      <c r="AG1879" s="245"/>
      <c r="AI1879" s="245"/>
    </row>
    <row r="1880" spans="1:35" ht="26.4">
      <c r="A1880" s="245"/>
      <c r="B1880" s="245"/>
      <c r="C1880" s="245"/>
      <c r="D1880" s="245"/>
      <c r="E1880" s="245"/>
      <c r="F1880" s="280"/>
      <c r="G1880" s="245"/>
      <c r="H1880" s="245"/>
      <c r="I1880" s="245"/>
      <c r="L1880" s="123"/>
      <c r="P1880" s="366"/>
      <c r="R1880" s="355"/>
      <c r="S1880" s="369"/>
      <c r="T1880" s="328"/>
      <c r="U1880" s="85" ph="1"/>
      <c r="W1880" s="216"/>
      <c r="X1880" s="245"/>
      <c r="Y1880" s="187"/>
      <c r="Z1880" s="245"/>
      <c r="AA1880" s="245"/>
      <c r="AB1880" s="332"/>
      <c r="AD1880" s="245"/>
      <c r="AE1880" s="187"/>
      <c r="AF1880" s="367"/>
      <c r="AG1880" s="245"/>
      <c r="AI1880" s="245"/>
    </row>
    <row r="1881" spans="1:35" ht="26.4">
      <c r="A1881" s="245"/>
      <c r="B1881" s="245"/>
      <c r="C1881" s="245"/>
      <c r="D1881" s="245"/>
      <c r="E1881" s="245"/>
      <c r="F1881" s="280"/>
      <c r="G1881" s="245"/>
      <c r="H1881" s="245"/>
      <c r="I1881" s="245"/>
      <c r="L1881" s="123"/>
      <c r="P1881" s="366"/>
      <c r="R1881" s="355"/>
      <c r="S1881" s="369"/>
      <c r="T1881" s="328"/>
      <c r="U1881" s="85" ph="1"/>
      <c r="W1881" s="216"/>
      <c r="X1881" s="245"/>
      <c r="Y1881" s="187"/>
      <c r="Z1881" s="245"/>
      <c r="AA1881" s="245"/>
      <c r="AB1881" s="332"/>
      <c r="AD1881" s="245"/>
      <c r="AE1881" s="187"/>
      <c r="AF1881" s="367"/>
      <c r="AG1881" s="245"/>
      <c r="AI1881" s="245"/>
    </row>
    <row r="1882" spans="1:35" ht="26.4">
      <c r="A1882" s="245"/>
      <c r="B1882" s="245"/>
      <c r="C1882" s="245"/>
      <c r="D1882" s="245"/>
      <c r="E1882" s="245"/>
      <c r="F1882" s="280"/>
      <c r="G1882" s="245"/>
      <c r="H1882" s="245"/>
      <c r="I1882" s="245"/>
      <c r="L1882" s="123"/>
      <c r="P1882" s="366"/>
      <c r="R1882" s="355"/>
      <c r="S1882" s="369"/>
      <c r="T1882" s="328"/>
      <c r="U1882" s="85" ph="1"/>
      <c r="W1882" s="216"/>
      <c r="X1882" s="245"/>
      <c r="Y1882" s="187"/>
      <c r="Z1882" s="245"/>
      <c r="AA1882" s="245"/>
      <c r="AB1882" s="332"/>
      <c r="AD1882" s="245"/>
      <c r="AE1882" s="187"/>
      <c r="AF1882" s="367"/>
      <c r="AG1882" s="245"/>
      <c r="AI1882" s="245"/>
    </row>
    <row r="1883" spans="1:35" ht="26.4">
      <c r="A1883" s="245"/>
      <c r="B1883" s="245"/>
      <c r="C1883" s="245"/>
      <c r="D1883" s="245"/>
      <c r="E1883" s="245"/>
      <c r="F1883" s="280"/>
      <c r="G1883" s="245"/>
      <c r="H1883" s="245"/>
      <c r="I1883" s="245"/>
      <c r="L1883" s="123"/>
      <c r="P1883" s="366"/>
      <c r="R1883" s="355"/>
      <c r="S1883" s="369"/>
      <c r="T1883" s="328"/>
      <c r="U1883" s="85" ph="1"/>
      <c r="W1883" s="216"/>
      <c r="X1883" s="245"/>
      <c r="Y1883" s="187"/>
      <c r="Z1883" s="245"/>
      <c r="AA1883" s="245"/>
      <c r="AB1883" s="332"/>
      <c r="AD1883" s="245"/>
      <c r="AE1883" s="187"/>
      <c r="AF1883" s="367"/>
      <c r="AG1883" s="245"/>
      <c r="AI1883" s="245"/>
    </row>
    <row r="1884" spans="1:35" ht="26.4">
      <c r="A1884" s="245"/>
      <c r="B1884" s="245"/>
      <c r="C1884" s="245"/>
      <c r="D1884" s="245"/>
      <c r="E1884" s="245"/>
      <c r="F1884" s="280"/>
      <c r="G1884" s="245"/>
      <c r="H1884" s="245"/>
      <c r="I1884" s="245"/>
      <c r="L1884" s="245"/>
      <c r="P1884" s="366"/>
      <c r="R1884" s="355"/>
      <c r="S1884" s="369"/>
      <c r="T1884" s="328"/>
      <c r="U1884" s="85" ph="1"/>
      <c r="W1884" s="216"/>
      <c r="X1884" s="245"/>
      <c r="Y1884" s="187"/>
      <c r="Z1884" s="245"/>
      <c r="AA1884" s="245"/>
      <c r="AB1884" s="332"/>
      <c r="AD1884" s="245"/>
      <c r="AE1884" s="187"/>
      <c r="AF1884" s="367"/>
      <c r="AG1884" s="245"/>
      <c r="AI1884" s="245"/>
    </row>
    <row r="1885" spans="1:35" ht="26.4">
      <c r="A1885" s="245"/>
      <c r="B1885" s="245"/>
      <c r="C1885" s="245"/>
      <c r="D1885" s="245"/>
      <c r="E1885" s="245"/>
      <c r="F1885" s="280"/>
      <c r="G1885" s="245"/>
      <c r="H1885" s="245"/>
      <c r="I1885" s="245"/>
      <c r="L1885" s="123"/>
      <c r="P1885" s="366"/>
      <c r="R1885" s="355"/>
      <c r="S1885" s="369"/>
      <c r="T1885" s="328"/>
      <c r="U1885" s="85" ph="1"/>
      <c r="W1885" s="216"/>
      <c r="X1885" s="245"/>
      <c r="Y1885" s="187"/>
      <c r="Z1885" s="245"/>
      <c r="AA1885" s="245"/>
      <c r="AB1885" s="332"/>
      <c r="AD1885" s="245"/>
      <c r="AE1885" s="187"/>
      <c r="AF1885" s="367"/>
      <c r="AG1885" s="245"/>
      <c r="AI1885" s="245"/>
    </row>
    <row r="1886" spans="1:35" ht="26.4">
      <c r="A1886" s="245"/>
      <c r="B1886" s="245"/>
      <c r="C1886" s="245"/>
      <c r="D1886" s="245"/>
      <c r="E1886" s="245"/>
      <c r="F1886" s="280"/>
      <c r="G1886" s="245"/>
      <c r="H1886" s="245"/>
      <c r="I1886" s="245"/>
      <c r="L1886" s="123"/>
      <c r="P1886" s="366"/>
      <c r="R1886" s="355"/>
      <c r="S1886" s="369"/>
      <c r="T1886" s="328"/>
      <c r="U1886" s="85" ph="1"/>
      <c r="W1886" s="216"/>
      <c r="X1886" s="245"/>
      <c r="Y1886" s="187"/>
      <c r="Z1886" s="245"/>
      <c r="AA1886" s="245"/>
      <c r="AB1886" s="332"/>
      <c r="AD1886" s="245"/>
      <c r="AE1886" s="187"/>
      <c r="AF1886" s="367"/>
      <c r="AG1886" s="245"/>
      <c r="AI1886" s="245"/>
    </row>
    <row r="1887" spans="1:35" ht="26.4">
      <c r="A1887" s="245"/>
      <c r="B1887" s="245"/>
      <c r="C1887" s="245"/>
      <c r="D1887" s="245"/>
      <c r="E1887" s="245"/>
      <c r="F1887" s="280"/>
      <c r="G1887" s="245"/>
      <c r="H1887" s="245"/>
      <c r="I1887" s="245"/>
      <c r="L1887" s="123"/>
      <c r="P1887" s="366"/>
      <c r="R1887" s="355"/>
      <c r="S1887" s="369"/>
      <c r="T1887" s="328"/>
      <c r="U1887" s="85" ph="1"/>
      <c r="W1887" s="216"/>
      <c r="X1887" s="245"/>
      <c r="Y1887" s="187"/>
      <c r="Z1887" s="245"/>
      <c r="AA1887" s="245"/>
      <c r="AB1887" s="332"/>
      <c r="AD1887" s="245"/>
      <c r="AE1887" s="187"/>
      <c r="AF1887" s="367"/>
      <c r="AG1887" s="245"/>
      <c r="AI1887" s="245"/>
    </row>
    <row r="1888" spans="1:35" ht="26.4">
      <c r="A1888" s="245"/>
      <c r="B1888" s="245"/>
      <c r="C1888" s="245"/>
      <c r="D1888" s="245"/>
      <c r="E1888" s="245"/>
      <c r="F1888" s="280"/>
      <c r="G1888" s="245"/>
      <c r="H1888" s="245"/>
      <c r="I1888" s="245"/>
      <c r="L1888" s="123"/>
      <c r="P1888" s="366"/>
      <c r="R1888" s="355"/>
      <c r="S1888" s="369"/>
      <c r="T1888" s="328"/>
      <c r="U1888" s="85" ph="1"/>
      <c r="W1888" s="216"/>
      <c r="X1888" s="245"/>
      <c r="Y1888" s="187"/>
      <c r="Z1888" s="245"/>
      <c r="AA1888" s="245"/>
      <c r="AB1888" s="332"/>
      <c r="AD1888" s="245"/>
      <c r="AE1888" s="187"/>
      <c r="AF1888" s="367"/>
      <c r="AG1888" s="245"/>
      <c r="AI1888" s="245"/>
    </row>
    <row r="1889" spans="1:35" ht="26.4">
      <c r="A1889" s="245"/>
      <c r="B1889" s="245"/>
      <c r="C1889" s="245"/>
      <c r="D1889" s="245"/>
      <c r="E1889" s="245"/>
      <c r="F1889" s="280"/>
      <c r="G1889" s="245"/>
      <c r="H1889" s="245"/>
      <c r="I1889" s="245"/>
      <c r="L1889" s="123"/>
      <c r="P1889" s="366"/>
      <c r="R1889" s="355"/>
      <c r="S1889" s="369"/>
      <c r="T1889" s="328"/>
      <c r="U1889" s="85" ph="1"/>
      <c r="W1889" s="216"/>
      <c r="X1889" s="245"/>
      <c r="Y1889" s="187"/>
      <c r="Z1889" s="245"/>
      <c r="AA1889" s="245"/>
      <c r="AB1889" s="332"/>
      <c r="AD1889" s="245"/>
      <c r="AE1889" s="187"/>
      <c r="AF1889" s="367"/>
      <c r="AG1889" s="245"/>
      <c r="AI1889" s="245"/>
    </row>
    <row r="1890" spans="1:35" ht="26.4">
      <c r="A1890" s="245"/>
      <c r="B1890" s="245"/>
      <c r="C1890" s="245"/>
      <c r="D1890" s="245"/>
      <c r="E1890" s="245"/>
      <c r="F1890" s="280"/>
      <c r="G1890" s="245"/>
      <c r="H1890" s="245"/>
      <c r="I1890" s="245"/>
      <c r="L1890" s="123"/>
      <c r="P1890" s="366"/>
      <c r="R1890" s="355"/>
      <c r="S1890" s="369"/>
      <c r="T1890" s="328"/>
      <c r="U1890" s="85" ph="1"/>
      <c r="W1890" s="216"/>
      <c r="X1890" s="245"/>
      <c r="Y1890" s="187"/>
      <c r="Z1890" s="245"/>
      <c r="AA1890" s="245"/>
      <c r="AB1890" s="332"/>
      <c r="AD1890" s="245"/>
      <c r="AE1890" s="187"/>
      <c r="AF1890" s="367"/>
      <c r="AG1890" s="245"/>
      <c r="AI1890" s="245"/>
    </row>
    <row r="1891" spans="1:35" ht="26.4">
      <c r="A1891" s="245"/>
      <c r="B1891" s="245"/>
      <c r="C1891" s="245"/>
      <c r="D1891" s="245"/>
      <c r="E1891" s="245"/>
      <c r="F1891" s="280"/>
      <c r="G1891" s="245"/>
      <c r="H1891" s="245"/>
      <c r="I1891" s="245"/>
      <c r="L1891" s="51"/>
      <c r="P1891" s="366"/>
      <c r="R1891" s="355"/>
      <c r="S1891" s="369"/>
      <c r="T1891" s="328"/>
      <c r="U1891" s="85" ph="1"/>
      <c r="W1891" s="216"/>
      <c r="X1891" s="245"/>
      <c r="Y1891" s="187"/>
      <c r="Z1891" s="245"/>
      <c r="AA1891" s="245"/>
      <c r="AB1891" s="332"/>
      <c r="AD1891" s="245"/>
      <c r="AE1891" s="187"/>
      <c r="AF1891" s="367"/>
      <c r="AG1891" s="245"/>
      <c r="AI1891" s="245"/>
    </row>
    <row r="1892" spans="1:35" ht="26.4">
      <c r="A1892" s="245"/>
      <c r="B1892" s="245"/>
      <c r="C1892" s="245"/>
      <c r="D1892" s="245"/>
      <c r="E1892" s="245"/>
      <c r="F1892" s="280"/>
      <c r="G1892" s="245"/>
      <c r="H1892" s="245"/>
      <c r="I1892" s="245"/>
      <c r="L1892" s="123"/>
      <c r="P1892" s="366"/>
      <c r="R1892" s="355"/>
      <c r="S1892" s="369"/>
      <c r="T1892" s="328"/>
      <c r="U1892" s="85" ph="1"/>
      <c r="W1892" s="216"/>
      <c r="X1892" s="245"/>
      <c r="Y1892" s="187"/>
      <c r="Z1892" s="245"/>
      <c r="AA1892" s="245"/>
      <c r="AB1892" s="332"/>
      <c r="AD1892" s="245"/>
      <c r="AE1892" s="187"/>
      <c r="AF1892" s="367"/>
      <c r="AG1892" s="245"/>
      <c r="AI1892" s="245"/>
    </row>
    <row r="1893" spans="1:35" ht="26.4">
      <c r="A1893" s="245"/>
      <c r="B1893" s="245"/>
      <c r="C1893" s="245"/>
      <c r="D1893" s="245"/>
      <c r="E1893" s="245"/>
      <c r="F1893" s="280"/>
      <c r="G1893" s="245"/>
      <c r="H1893" s="245"/>
      <c r="I1893" s="245"/>
      <c r="L1893" s="123"/>
      <c r="P1893" s="366"/>
      <c r="R1893" s="355"/>
      <c r="S1893" s="369"/>
      <c r="T1893" s="328"/>
      <c r="U1893" s="85" ph="1"/>
      <c r="W1893" s="216"/>
      <c r="X1893" s="245"/>
      <c r="Y1893" s="187"/>
      <c r="Z1893" s="245"/>
      <c r="AA1893" s="245"/>
      <c r="AB1893" s="332"/>
      <c r="AD1893" s="245"/>
      <c r="AE1893" s="187"/>
      <c r="AF1893" s="367"/>
      <c r="AG1893" s="245"/>
      <c r="AI1893" s="245"/>
    </row>
    <row r="1894" spans="1:35" ht="26.4">
      <c r="A1894" s="245"/>
      <c r="B1894" s="245"/>
      <c r="C1894" s="245"/>
      <c r="D1894" s="245"/>
      <c r="E1894" s="245"/>
      <c r="F1894" s="280"/>
      <c r="G1894" s="245"/>
      <c r="H1894" s="245"/>
      <c r="I1894" s="245"/>
      <c r="L1894" s="123"/>
      <c r="P1894" s="366"/>
      <c r="R1894" s="355"/>
      <c r="S1894" s="369"/>
      <c r="T1894" s="328"/>
      <c r="U1894" s="85" ph="1"/>
      <c r="W1894" s="216"/>
      <c r="X1894" s="245"/>
      <c r="Y1894" s="187"/>
      <c r="Z1894" s="245"/>
      <c r="AA1894" s="245"/>
      <c r="AB1894" s="332"/>
      <c r="AD1894" s="245"/>
      <c r="AE1894" s="187"/>
      <c r="AF1894" s="367"/>
      <c r="AG1894" s="245"/>
      <c r="AI1894" s="245"/>
    </row>
    <row r="1895" spans="1:35" ht="26.4">
      <c r="A1895" s="245"/>
      <c r="B1895" s="245"/>
      <c r="C1895" s="245"/>
      <c r="D1895" s="245"/>
      <c r="E1895" s="245"/>
      <c r="F1895" s="280"/>
      <c r="G1895" s="245"/>
      <c r="H1895" s="245"/>
      <c r="I1895" s="245"/>
      <c r="L1895" s="123"/>
      <c r="P1895" s="366"/>
      <c r="R1895" s="355"/>
      <c r="S1895" s="369"/>
      <c r="T1895" s="328"/>
      <c r="U1895" s="85" ph="1"/>
      <c r="W1895" s="216"/>
      <c r="X1895" s="245"/>
      <c r="Y1895" s="187"/>
      <c r="Z1895" s="245"/>
      <c r="AA1895" s="245"/>
      <c r="AB1895" s="332"/>
      <c r="AD1895" s="245"/>
      <c r="AE1895" s="187"/>
      <c r="AF1895" s="367"/>
      <c r="AG1895" s="245"/>
      <c r="AI1895" s="245"/>
    </row>
    <row r="1896" spans="1:35" ht="26.4">
      <c r="A1896" s="245"/>
      <c r="B1896" s="245"/>
      <c r="C1896" s="245"/>
      <c r="D1896" s="245"/>
      <c r="E1896" s="245"/>
      <c r="F1896" s="280"/>
      <c r="G1896" s="245"/>
      <c r="H1896" s="245"/>
      <c r="I1896" s="245"/>
      <c r="L1896" s="123"/>
      <c r="P1896" s="366"/>
      <c r="R1896" s="355"/>
      <c r="S1896" s="369"/>
      <c r="T1896" s="328"/>
      <c r="U1896" s="85" ph="1"/>
      <c r="W1896" s="216"/>
      <c r="X1896" s="245"/>
      <c r="Y1896" s="187"/>
      <c r="Z1896" s="245"/>
      <c r="AA1896" s="245"/>
      <c r="AB1896" s="332"/>
      <c r="AD1896" s="245"/>
      <c r="AE1896" s="187"/>
      <c r="AF1896" s="367"/>
      <c r="AG1896" s="245"/>
      <c r="AI1896" s="245"/>
    </row>
    <row r="1897" spans="1:35" ht="26.4">
      <c r="A1897" s="245"/>
      <c r="B1897" s="245"/>
      <c r="C1897" s="245"/>
      <c r="D1897" s="245"/>
      <c r="E1897" s="245"/>
      <c r="F1897" s="280"/>
      <c r="G1897" s="245"/>
      <c r="H1897" s="245"/>
      <c r="I1897" s="245"/>
      <c r="L1897" s="123"/>
      <c r="P1897" s="366"/>
      <c r="R1897" s="355"/>
      <c r="S1897" s="369"/>
      <c r="T1897" s="328"/>
      <c r="U1897" s="85" ph="1"/>
      <c r="W1897" s="216"/>
      <c r="X1897" s="245"/>
      <c r="Y1897" s="187"/>
      <c r="Z1897" s="245"/>
      <c r="AA1897" s="245"/>
      <c r="AB1897" s="332"/>
      <c r="AD1897" s="245"/>
      <c r="AE1897" s="187"/>
      <c r="AF1897" s="367"/>
      <c r="AG1897" s="245"/>
      <c r="AI1897" s="245"/>
    </row>
    <row r="1898" spans="1:35" ht="26.4">
      <c r="A1898" s="245"/>
      <c r="B1898" s="245"/>
      <c r="C1898" s="245"/>
      <c r="D1898" s="245"/>
      <c r="E1898" s="245"/>
      <c r="F1898" s="280"/>
      <c r="G1898" s="245"/>
      <c r="H1898" s="245"/>
      <c r="I1898" s="245"/>
      <c r="L1898" s="123"/>
      <c r="P1898" s="366"/>
      <c r="R1898" s="355"/>
      <c r="S1898" s="369"/>
      <c r="T1898" s="328"/>
      <c r="U1898" s="85" ph="1"/>
      <c r="W1898" s="216"/>
      <c r="X1898" s="245"/>
      <c r="Y1898" s="187"/>
      <c r="Z1898" s="245"/>
      <c r="AA1898" s="245"/>
      <c r="AB1898" s="332"/>
      <c r="AD1898" s="245"/>
      <c r="AE1898" s="187"/>
      <c r="AF1898" s="367"/>
      <c r="AG1898" s="245"/>
      <c r="AI1898" s="245"/>
    </row>
    <row r="1899" spans="1:35" ht="26.4">
      <c r="A1899" s="245"/>
      <c r="B1899" s="245"/>
      <c r="C1899" s="245"/>
      <c r="D1899" s="245"/>
      <c r="E1899" s="245"/>
      <c r="F1899" s="280"/>
      <c r="G1899" s="245"/>
      <c r="H1899" s="245"/>
      <c r="I1899" s="245"/>
      <c r="L1899" s="123"/>
      <c r="P1899" s="366"/>
      <c r="R1899" s="355"/>
      <c r="S1899" s="369"/>
      <c r="T1899" s="328"/>
      <c r="U1899" s="85" ph="1"/>
      <c r="W1899" s="216"/>
      <c r="X1899" s="245"/>
      <c r="Y1899" s="187"/>
      <c r="Z1899" s="245"/>
      <c r="AA1899" s="245"/>
      <c r="AB1899" s="332"/>
      <c r="AD1899" s="245"/>
      <c r="AE1899" s="187"/>
      <c r="AF1899" s="367"/>
      <c r="AG1899" s="245"/>
      <c r="AI1899" s="245"/>
    </row>
    <row r="1900" spans="1:35" ht="26.4">
      <c r="A1900" s="245"/>
      <c r="B1900" s="245"/>
      <c r="C1900" s="245"/>
      <c r="D1900" s="245"/>
      <c r="E1900" s="245"/>
      <c r="F1900" s="280"/>
      <c r="G1900" s="245"/>
      <c r="H1900" s="245"/>
      <c r="I1900" s="245"/>
      <c r="L1900" s="123"/>
      <c r="P1900" s="366"/>
      <c r="R1900" s="355"/>
      <c r="S1900" s="369"/>
      <c r="T1900" s="328"/>
      <c r="U1900" s="85" ph="1"/>
      <c r="W1900" s="216"/>
      <c r="X1900" s="245"/>
      <c r="Y1900" s="187"/>
      <c r="Z1900" s="245"/>
      <c r="AA1900" s="245"/>
      <c r="AB1900" s="332"/>
      <c r="AD1900" s="245"/>
      <c r="AE1900" s="187"/>
      <c r="AF1900" s="367"/>
      <c r="AG1900" s="245"/>
      <c r="AI1900" s="245"/>
    </row>
    <row r="1901" spans="1:35" ht="26.4">
      <c r="A1901" s="245"/>
      <c r="B1901" s="245"/>
      <c r="C1901" s="245"/>
      <c r="D1901" s="245"/>
      <c r="E1901" s="245"/>
      <c r="F1901" s="280"/>
      <c r="G1901" s="245"/>
      <c r="H1901" s="245"/>
      <c r="I1901" s="245"/>
      <c r="L1901" s="123"/>
      <c r="P1901" s="366"/>
      <c r="R1901" s="355"/>
      <c r="S1901" s="369"/>
      <c r="T1901" s="328"/>
      <c r="U1901" s="85" ph="1"/>
      <c r="W1901" s="216"/>
      <c r="X1901" s="245"/>
      <c r="Y1901" s="187"/>
      <c r="Z1901" s="245"/>
      <c r="AA1901" s="245"/>
      <c r="AB1901" s="332"/>
      <c r="AD1901" s="245"/>
      <c r="AE1901" s="187"/>
      <c r="AF1901" s="367"/>
      <c r="AG1901" s="245"/>
      <c r="AI1901" s="245"/>
    </row>
    <row r="1902" spans="1:35" ht="26.4">
      <c r="A1902" s="245"/>
      <c r="B1902" s="245"/>
      <c r="C1902" s="245"/>
      <c r="D1902" s="245"/>
      <c r="E1902" s="245"/>
      <c r="F1902" s="280"/>
      <c r="G1902" s="245"/>
      <c r="H1902" s="245"/>
      <c r="I1902" s="245"/>
      <c r="L1902" s="123"/>
      <c r="P1902" s="366"/>
      <c r="R1902" s="355"/>
      <c r="S1902" s="369"/>
      <c r="T1902" s="328"/>
      <c r="U1902" s="85" ph="1"/>
      <c r="W1902" s="216"/>
      <c r="X1902" s="245"/>
      <c r="Y1902" s="187"/>
      <c r="Z1902" s="245"/>
      <c r="AA1902" s="245"/>
      <c r="AB1902" s="332"/>
      <c r="AD1902" s="245"/>
      <c r="AE1902" s="187"/>
      <c r="AF1902" s="367"/>
      <c r="AG1902" s="245"/>
      <c r="AI1902" s="245"/>
    </row>
    <row r="1903" spans="1:35" ht="26.4">
      <c r="A1903" s="245"/>
      <c r="B1903" s="245"/>
      <c r="C1903" s="245"/>
      <c r="D1903" s="245"/>
      <c r="E1903" s="245"/>
      <c r="F1903" s="280"/>
      <c r="G1903" s="245"/>
      <c r="H1903" s="245"/>
      <c r="I1903" s="245"/>
      <c r="L1903" s="123"/>
      <c r="P1903" s="366"/>
      <c r="R1903" s="355"/>
      <c r="S1903" s="369"/>
      <c r="T1903" s="328"/>
      <c r="U1903" s="85" ph="1"/>
      <c r="W1903" s="216"/>
      <c r="X1903" s="245"/>
      <c r="Y1903" s="187"/>
      <c r="Z1903" s="245"/>
      <c r="AA1903" s="245"/>
      <c r="AB1903" s="332"/>
      <c r="AD1903" s="245"/>
      <c r="AE1903" s="187"/>
      <c r="AF1903" s="367"/>
      <c r="AG1903" s="245"/>
      <c r="AI1903" s="245"/>
    </row>
    <row r="1904" spans="1:35" ht="26.4">
      <c r="A1904" s="245"/>
      <c r="B1904" s="245"/>
      <c r="C1904" s="245"/>
      <c r="D1904" s="245"/>
      <c r="E1904" s="245"/>
      <c r="F1904" s="280"/>
      <c r="G1904" s="245"/>
      <c r="H1904" s="245"/>
      <c r="I1904" s="245"/>
      <c r="L1904" s="123"/>
      <c r="P1904" s="366"/>
      <c r="R1904" s="355"/>
      <c r="S1904" s="369"/>
      <c r="T1904" s="328"/>
      <c r="U1904" s="85" ph="1"/>
      <c r="W1904" s="216"/>
      <c r="X1904" s="245"/>
      <c r="Y1904" s="187"/>
      <c r="Z1904" s="245"/>
      <c r="AA1904" s="245"/>
      <c r="AB1904" s="332"/>
      <c r="AD1904" s="245"/>
      <c r="AE1904" s="187"/>
      <c r="AF1904" s="367"/>
      <c r="AG1904" s="245"/>
      <c r="AI1904" s="245"/>
    </row>
    <row r="1905" spans="1:35" ht="26.4">
      <c r="A1905" s="245"/>
      <c r="B1905" s="245"/>
      <c r="C1905" s="245"/>
      <c r="D1905" s="245"/>
      <c r="E1905" s="245"/>
      <c r="F1905" s="280"/>
      <c r="G1905" s="245"/>
      <c r="H1905" s="245"/>
      <c r="I1905" s="245"/>
      <c r="L1905" s="123"/>
      <c r="P1905" s="366"/>
      <c r="R1905" s="355"/>
      <c r="S1905" s="369"/>
      <c r="T1905" s="328"/>
      <c r="U1905" s="85" ph="1"/>
      <c r="W1905" s="216"/>
      <c r="X1905" s="245"/>
      <c r="Y1905" s="187"/>
      <c r="Z1905" s="245"/>
      <c r="AA1905" s="245"/>
      <c r="AB1905" s="332"/>
      <c r="AD1905" s="245"/>
      <c r="AE1905" s="187"/>
      <c r="AF1905" s="367"/>
      <c r="AG1905" s="245"/>
      <c r="AI1905" s="245"/>
    </row>
    <row r="1906" spans="1:35" ht="26.4">
      <c r="A1906" s="245"/>
      <c r="B1906" s="245"/>
      <c r="C1906" s="245"/>
      <c r="D1906" s="245"/>
      <c r="E1906" s="245"/>
      <c r="F1906" s="280"/>
      <c r="G1906" s="245"/>
      <c r="H1906" s="245"/>
      <c r="I1906" s="245"/>
      <c r="L1906" s="123"/>
      <c r="P1906" s="366"/>
      <c r="R1906" s="355"/>
      <c r="S1906" s="369"/>
      <c r="T1906" s="328"/>
      <c r="U1906" s="85" ph="1"/>
      <c r="W1906" s="216"/>
      <c r="X1906" s="245"/>
      <c r="Y1906" s="187"/>
      <c r="Z1906" s="245"/>
      <c r="AA1906" s="245"/>
      <c r="AB1906" s="332"/>
      <c r="AD1906" s="245"/>
      <c r="AE1906" s="187"/>
      <c r="AF1906" s="367"/>
      <c r="AG1906" s="245"/>
      <c r="AI1906" s="245"/>
    </row>
    <row r="1907" spans="1:35" ht="26.4">
      <c r="A1907" s="245"/>
      <c r="B1907" s="245"/>
      <c r="C1907" s="245"/>
      <c r="D1907" s="245"/>
      <c r="E1907" s="245"/>
      <c r="F1907" s="280"/>
      <c r="G1907" s="245"/>
      <c r="H1907" s="245"/>
      <c r="I1907" s="245"/>
      <c r="L1907" s="123"/>
      <c r="P1907" s="366"/>
      <c r="R1907" s="355"/>
      <c r="S1907" s="369"/>
      <c r="T1907" s="328"/>
      <c r="U1907" s="85" ph="1"/>
      <c r="W1907" s="216"/>
      <c r="X1907" s="245"/>
      <c r="Y1907" s="187"/>
      <c r="Z1907" s="245"/>
      <c r="AA1907" s="245"/>
      <c r="AB1907" s="332"/>
      <c r="AD1907" s="245"/>
      <c r="AE1907" s="187"/>
      <c r="AF1907" s="367"/>
      <c r="AG1907" s="245"/>
      <c r="AI1907" s="245"/>
    </row>
    <row r="1908" spans="1:35" ht="26.4">
      <c r="A1908" s="245"/>
      <c r="B1908" s="245"/>
      <c r="C1908" s="245"/>
      <c r="D1908" s="245"/>
      <c r="E1908" s="245"/>
      <c r="F1908" s="280"/>
      <c r="G1908" s="245"/>
      <c r="H1908" s="245"/>
      <c r="I1908" s="245"/>
      <c r="L1908" s="123"/>
      <c r="P1908" s="366"/>
      <c r="R1908" s="355"/>
      <c r="S1908" s="369"/>
      <c r="T1908" s="328"/>
      <c r="U1908" s="85" ph="1"/>
      <c r="W1908" s="216"/>
      <c r="X1908" s="245"/>
      <c r="Y1908" s="187"/>
      <c r="Z1908" s="245"/>
      <c r="AA1908" s="245"/>
      <c r="AB1908" s="332"/>
      <c r="AD1908" s="245"/>
      <c r="AE1908" s="187"/>
      <c r="AF1908" s="367"/>
      <c r="AG1908" s="245"/>
      <c r="AI1908" s="245"/>
    </row>
    <row r="1909" spans="1:35" ht="26.4">
      <c r="A1909" s="245"/>
      <c r="B1909" s="245"/>
      <c r="C1909" s="245"/>
      <c r="D1909" s="245"/>
      <c r="E1909" s="245"/>
      <c r="F1909" s="280"/>
      <c r="G1909" s="245"/>
      <c r="H1909" s="245"/>
      <c r="I1909" s="245"/>
      <c r="L1909" s="123"/>
      <c r="P1909" s="366"/>
      <c r="R1909" s="355"/>
      <c r="S1909" s="369"/>
      <c r="T1909" s="328"/>
      <c r="U1909" s="85" ph="1"/>
      <c r="W1909" s="216"/>
      <c r="X1909" s="245"/>
      <c r="Y1909" s="187"/>
      <c r="Z1909" s="245"/>
      <c r="AA1909" s="245"/>
      <c r="AB1909" s="332"/>
      <c r="AD1909" s="245"/>
      <c r="AE1909" s="187"/>
      <c r="AF1909" s="367"/>
      <c r="AG1909" s="245"/>
      <c r="AI1909" s="245"/>
    </row>
    <row r="1910" spans="1:35" ht="26.4">
      <c r="A1910" s="245"/>
      <c r="B1910" s="245"/>
      <c r="C1910" s="245"/>
      <c r="D1910" s="245"/>
      <c r="E1910" s="245"/>
      <c r="F1910" s="280"/>
      <c r="G1910" s="245"/>
      <c r="H1910" s="245"/>
      <c r="I1910" s="245"/>
      <c r="L1910" s="123"/>
      <c r="P1910" s="366"/>
      <c r="R1910" s="355"/>
      <c r="S1910" s="369"/>
      <c r="T1910" s="328"/>
      <c r="U1910" s="85" ph="1"/>
      <c r="W1910" s="216"/>
      <c r="X1910" s="245"/>
      <c r="Y1910" s="187"/>
      <c r="Z1910" s="245"/>
      <c r="AA1910" s="245"/>
      <c r="AB1910" s="332"/>
      <c r="AD1910" s="245"/>
      <c r="AE1910" s="187"/>
      <c r="AF1910" s="367"/>
      <c r="AG1910" s="245"/>
      <c r="AI1910" s="245"/>
    </row>
    <row r="1911" spans="1:35" ht="26.4">
      <c r="A1911" s="245"/>
      <c r="B1911" s="245"/>
      <c r="C1911" s="245"/>
      <c r="D1911" s="245"/>
      <c r="E1911" s="245"/>
      <c r="F1911" s="280"/>
      <c r="G1911" s="245"/>
      <c r="H1911" s="245"/>
      <c r="I1911" s="245"/>
      <c r="L1911" s="123"/>
      <c r="P1911" s="366"/>
      <c r="R1911" s="355"/>
      <c r="S1911" s="369"/>
      <c r="T1911" s="328"/>
      <c r="U1911" s="85" ph="1"/>
      <c r="W1911" s="216"/>
      <c r="X1911" s="245"/>
      <c r="Y1911" s="187"/>
      <c r="Z1911" s="245"/>
      <c r="AA1911" s="245"/>
      <c r="AB1911" s="332"/>
      <c r="AD1911" s="245"/>
      <c r="AE1911" s="187"/>
      <c r="AF1911" s="367"/>
      <c r="AG1911" s="245"/>
      <c r="AI1911" s="245"/>
    </row>
    <row r="1912" spans="1:35" ht="26.4">
      <c r="A1912" s="245"/>
      <c r="B1912" s="245"/>
      <c r="C1912" s="245"/>
      <c r="D1912" s="245"/>
      <c r="E1912" s="245"/>
      <c r="F1912" s="280"/>
      <c r="G1912" s="245"/>
      <c r="H1912" s="245"/>
      <c r="I1912" s="245"/>
      <c r="L1912" s="123"/>
      <c r="P1912" s="366"/>
      <c r="R1912" s="355"/>
      <c r="S1912" s="369"/>
      <c r="T1912" s="328"/>
      <c r="U1912" s="85" ph="1"/>
      <c r="W1912" s="216"/>
      <c r="X1912" s="245"/>
      <c r="Y1912" s="187"/>
      <c r="Z1912" s="245"/>
      <c r="AA1912" s="245"/>
      <c r="AB1912" s="332"/>
      <c r="AD1912" s="245"/>
      <c r="AE1912" s="187"/>
      <c r="AF1912" s="367"/>
      <c r="AG1912" s="245"/>
      <c r="AI1912" s="245"/>
    </row>
    <row r="1913" spans="1:35" ht="26.4">
      <c r="A1913" s="245"/>
      <c r="B1913" s="245"/>
      <c r="C1913" s="245"/>
      <c r="D1913" s="245"/>
      <c r="E1913" s="245"/>
      <c r="F1913" s="280"/>
      <c r="G1913" s="245"/>
      <c r="H1913" s="245"/>
      <c r="I1913" s="245"/>
      <c r="L1913" s="123"/>
      <c r="P1913" s="366"/>
      <c r="R1913" s="355"/>
      <c r="S1913" s="369"/>
      <c r="T1913" s="328"/>
      <c r="U1913" s="85" ph="1"/>
      <c r="W1913" s="216"/>
      <c r="X1913" s="245"/>
      <c r="Y1913" s="187"/>
      <c r="Z1913" s="245"/>
      <c r="AA1913" s="245"/>
      <c r="AB1913" s="332"/>
      <c r="AD1913" s="245"/>
      <c r="AE1913" s="187"/>
      <c r="AF1913" s="367"/>
      <c r="AG1913" s="245"/>
      <c r="AI1913" s="245"/>
    </row>
    <row r="1914" spans="1:35" ht="26.4">
      <c r="A1914" s="245"/>
      <c r="B1914" s="245"/>
      <c r="C1914" s="245"/>
      <c r="D1914" s="245"/>
      <c r="E1914" s="245"/>
      <c r="F1914" s="280"/>
      <c r="G1914" s="245"/>
      <c r="H1914" s="245"/>
      <c r="I1914" s="245"/>
      <c r="L1914" s="123"/>
      <c r="P1914" s="366"/>
      <c r="R1914" s="355"/>
      <c r="S1914" s="369"/>
      <c r="T1914" s="328"/>
      <c r="U1914" s="85" ph="1"/>
      <c r="W1914" s="216"/>
      <c r="X1914" s="245"/>
      <c r="Y1914" s="187"/>
      <c r="Z1914" s="245"/>
      <c r="AA1914" s="245"/>
      <c r="AB1914" s="332"/>
      <c r="AD1914" s="245"/>
      <c r="AE1914" s="187"/>
      <c r="AF1914" s="367"/>
      <c r="AG1914" s="245"/>
      <c r="AI1914" s="245"/>
    </row>
    <row r="1915" spans="1:35" ht="26.4">
      <c r="A1915" s="245"/>
      <c r="B1915" s="245"/>
      <c r="C1915" s="245"/>
      <c r="D1915" s="245"/>
      <c r="E1915" s="245"/>
      <c r="F1915" s="280"/>
      <c r="G1915" s="245"/>
      <c r="H1915" s="245"/>
      <c r="I1915" s="245"/>
      <c r="L1915" s="123"/>
      <c r="P1915" s="366"/>
      <c r="R1915" s="355"/>
      <c r="S1915" s="369"/>
      <c r="T1915" s="328"/>
      <c r="U1915" s="85" ph="1"/>
      <c r="W1915" s="216"/>
      <c r="X1915" s="245"/>
      <c r="Y1915" s="187"/>
      <c r="Z1915" s="245"/>
      <c r="AA1915" s="245"/>
      <c r="AB1915" s="332"/>
      <c r="AD1915" s="245"/>
      <c r="AE1915" s="187"/>
      <c r="AF1915" s="367"/>
      <c r="AG1915" s="245"/>
      <c r="AI1915" s="245"/>
    </row>
    <row r="1916" spans="1:35" ht="26.4">
      <c r="A1916" s="245"/>
      <c r="B1916" s="245"/>
      <c r="C1916" s="245"/>
      <c r="D1916" s="245"/>
      <c r="E1916" s="245"/>
      <c r="F1916" s="280"/>
      <c r="G1916" s="245"/>
      <c r="H1916" s="245"/>
      <c r="I1916" s="245"/>
      <c r="L1916" s="123"/>
      <c r="P1916" s="366"/>
      <c r="R1916" s="355"/>
      <c r="S1916" s="369"/>
      <c r="T1916" s="328"/>
      <c r="U1916" s="85" ph="1"/>
      <c r="W1916" s="216"/>
      <c r="X1916" s="245"/>
      <c r="Y1916" s="187"/>
      <c r="Z1916" s="245"/>
      <c r="AA1916" s="245"/>
      <c r="AB1916" s="332"/>
      <c r="AD1916" s="245"/>
      <c r="AE1916" s="187"/>
      <c r="AF1916" s="367"/>
      <c r="AG1916" s="245"/>
      <c r="AI1916" s="245"/>
    </row>
    <row r="1917" spans="1:35" ht="26.4">
      <c r="A1917" s="245"/>
      <c r="B1917" s="245"/>
      <c r="C1917" s="245"/>
      <c r="D1917" s="245"/>
      <c r="E1917" s="245"/>
      <c r="F1917" s="280"/>
      <c r="G1917" s="245"/>
      <c r="H1917" s="245"/>
      <c r="I1917" s="245"/>
      <c r="L1917" s="123"/>
      <c r="P1917" s="366"/>
      <c r="R1917" s="355"/>
      <c r="S1917" s="369"/>
      <c r="T1917" s="328"/>
      <c r="U1917" s="85" ph="1"/>
      <c r="W1917" s="216"/>
      <c r="X1917" s="245"/>
      <c r="Y1917" s="187"/>
      <c r="Z1917" s="245"/>
      <c r="AA1917" s="245"/>
      <c r="AB1917" s="332"/>
      <c r="AD1917" s="245"/>
      <c r="AE1917" s="187"/>
      <c r="AF1917" s="367"/>
      <c r="AG1917" s="245"/>
      <c r="AI1917" s="245"/>
    </row>
    <row r="1918" spans="1:35" ht="26.4">
      <c r="A1918" s="245"/>
      <c r="B1918" s="245"/>
      <c r="C1918" s="245"/>
      <c r="D1918" s="245"/>
      <c r="E1918" s="245"/>
      <c r="F1918" s="280"/>
      <c r="G1918" s="245"/>
      <c r="H1918" s="245"/>
      <c r="I1918" s="245"/>
      <c r="L1918" s="123"/>
      <c r="P1918" s="366"/>
      <c r="R1918" s="355"/>
      <c r="S1918" s="369"/>
      <c r="T1918" s="328"/>
      <c r="U1918" s="85" ph="1"/>
      <c r="W1918" s="216"/>
      <c r="X1918" s="245"/>
      <c r="Y1918" s="187"/>
      <c r="Z1918" s="245"/>
      <c r="AA1918" s="245"/>
      <c r="AB1918" s="332"/>
      <c r="AD1918" s="245"/>
      <c r="AE1918" s="187"/>
      <c r="AF1918" s="367"/>
      <c r="AG1918" s="245"/>
      <c r="AI1918" s="245"/>
    </row>
    <row r="1919" spans="1:35" ht="26.4">
      <c r="A1919" s="245"/>
      <c r="B1919" s="245"/>
      <c r="C1919" s="245"/>
      <c r="D1919" s="245"/>
      <c r="E1919" s="245"/>
      <c r="F1919" s="280"/>
      <c r="G1919" s="245"/>
      <c r="H1919" s="245"/>
      <c r="I1919" s="245"/>
      <c r="L1919" s="123"/>
      <c r="P1919" s="366"/>
      <c r="R1919" s="355"/>
      <c r="S1919" s="369"/>
      <c r="T1919" s="328"/>
      <c r="U1919" s="85" ph="1"/>
      <c r="W1919" s="216"/>
      <c r="X1919" s="245"/>
      <c r="Y1919" s="187"/>
      <c r="Z1919" s="245"/>
      <c r="AA1919" s="245"/>
      <c r="AB1919" s="332"/>
      <c r="AD1919" s="245"/>
      <c r="AE1919" s="187"/>
      <c r="AF1919" s="367"/>
      <c r="AG1919" s="245"/>
      <c r="AI1919" s="245"/>
    </row>
    <row r="1920" spans="1:35" ht="26.4">
      <c r="A1920" s="245"/>
      <c r="B1920" s="245"/>
      <c r="C1920" s="245"/>
      <c r="D1920" s="245"/>
      <c r="E1920" s="245"/>
      <c r="F1920" s="280"/>
      <c r="G1920" s="245"/>
      <c r="H1920" s="245"/>
      <c r="I1920" s="245"/>
      <c r="L1920" s="123"/>
      <c r="P1920" s="366"/>
      <c r="R1920" s="355"/>
      <c r="S1920" s="369"/>
      <c r="T1920" s="328"/>
      <c r="U1920" s="85" ph="1"/>
      <c r="W1920" s="216"/>
      <c r="X1920" s="245"/>
      <c r="Y1920" s="187"/>
      <c r="Z1920" s="245"/>
      <c r="AA1920" s="245"/>
      <c r="AB1920" s="332"/>
      <c r="AD1920" s="245"/>
      <c r="AE1920" s="187"/>
      <c r="AF1920" s="367"/>
      <c r="AG1920" s="245"/>
      <c r="AI1920" s="245"/>
    </row>
    <row r="1921" spans="1:35" ht="26.4">
      <c r="A1921" s="245"/>
      <c r="B1921" s="245"/>
      <c r="C1921" s="245"/>
      <c r="D1921" s="245"/>
      <c r="E1921" s="245"/>
      <c r="F1921" s="280"/>
      <c r="G1921" s="245"/>
      <c r="H1921" s="245"/>
      <c r="I1921" s="245"/>
      <c r="L1921" s="123"/>
      <c r="P1921" s="366"/>
      <c r="R1921" s="355"/>
      <c r="S1921" s="369"/>
      <c r="T1921" s="328"/>
      <c r="U1921" s="85" ph="1"/>
      <c r="W1921" s="216"/>
      <c r="X1921" s="245"/>
      <c r="Y1921" s="187"/>
      <c r="Z1921" s="245"/>
      <c r="AA1921" s="245"/>
      <c r="AB1921" s="332"/>
      <c r="AD1921" s="245"/>
      <c r="AE1921" s="187"/>
      <c r="AF1921" s="367"/>
      <c r="AG1921" s="245"/>
      <c r="AI1921" s="245"/>
    </row>
    <row r="1922" spans="1:35" ht="26.4">
      <c r="A1922" s="245"/>
      <c r="B1922" s="245"/>
      <c r="C1922" s="245"/>
      <c r="D1922" s="245"/>
      <c r="E1922" s="245"/>
      <c r="F1922" s="280"/>
      <c r="G1922" s="245"/>
      <c r="H1922" s="245"/>
      <c r="I1922" s="245"/>
      <c r="L1922" s="123"/>
      <c r="P1922" s="366"/>
      <c r="R1922" s="355"/>
      <c r="S1922" s="369"/>
      <c r="T1922" s="328"/>
      <c r="U1922" s="85" ph="1"/>
      <c r="W1922" s="216"/>
      <c r="X1922" s="245"/>
      <c r="Y1922" s="187"/>
      <c r="Z1922" s="245"/>
      <c r="AA1922" s="245"/>
      <c r="AB1922" s="332"/>
      <c r="AD1922" s="245"/>
      <c r="AE1922" s="187"/>
      <c r="AF1922" s="367"/>
      <c r="AG1922" s="245"/>
      <c r="AI1922" s="245"/>
    </row>
    <row r="1923" spans="1:35" ht="26.4">
      <c r="A1923" s="245"/>
      <c r="B1923" s="245"/>
      <c r="C1923" s="245"/>
      <c r="D1923" s="245"/>
      <c r="E1923" s="245"/>
      <c r="F1923" s="280"/>
      <c r="G1923" s="245"/>
      <c r="H1923" s="245"/>
      <c r="I1923" s="245"/>
      <c r="L1923" s="123"/>
      <c r="P1923" s="366"/>
      <c r="R1923" s="355"/>
      <c r="S1923" s="369"/>
      <c r="T1923" s="328"/>
      <c r="U1923" s="85" ph="1"/>
      <c r="W1923" s="216"/>
      <c r="X1923" s="245"/>
      <c r="Y1923" s="187"/>
      <c r="Z1923" s="245"/>
      <c r="AA1923" s="245"/>
      <c r="AB1923" s="332"/>
      <c r="AD1923" s="245"/>
      <c r="AE1923" s="187"/>
      <c r="AF1923" s="367"/>
      <c r="AG1923" s="245"/>
      <c r="AI1923" s="245"/>
    </row>
    <row r="1924" spans="1:35" ht="26.4">
      <c r="A1924" s="245"/>
      <c r="B1924" s="245"/>
      <c r="C1924" s="245"/>
      <c r="D1924" s="245"/>
      <c r="E1924" s="245"/>
      <c r="F1924" s="280"/>
      <c r="G1924" s="245"/>
      <c r="H1924" s="245"/>
      <c r="I1924" s="245"/>
      <c r="L1924" s="120"/>
      <c r="P1924" s="366"/>
      <c r="R1924" s="355"/>
      <c r="S1924" s="369"/>
      <c r="T1924" s="328"/>
      <c r="U1924" s="85" ph="1"/>
      <c r="W1924" s="216"/>
      <c r="X1924" s="245"/>
      <c r="Y1924" s="187"/>
      <c r="Z1924" s="245"/>
      <c r="AA1924" s="245"/>
      <c r="AB1924" s="332"/>
      <c r="AD1924" s="245"/>
      <c r="AE1924" s="187"/>
      <c r="AF1924" s="367"/>
      <c r="AG1924" s="245"/>
      <c r="AI1924" s="245"/>
    </row>
    <row r="1925" spans="1:35" ht="26.4">
      <c r="A1925" s="245"/>
      <c r="B1925" s="245"/>
      <c r="C1925" s="245"/>
      <c r="D1925" s="245"/>
      <c r="E1925" s="245"/>
      <c r="F1925" s="280"/>
      <c r="G1925" s="245"/>
      <c r="H1925" s="245"/>
      <c r="I1925" s="245"/>
      <c r="L1925" s="123"/>
      <c r="P1925" s="366"/>
      <c r="R1925" s="355"/>
      <c r="S1925" s="369"/>
      <c r="T1925" s="328"/>
      <c r="U1925" s="85" ph="1"/>
      <c r="W1925" s="216"/>
      <c r="X1925" s="245"/>
      <c r="Y1925" s="187"/>
      <c r="Z1925" s="245"/>
      <c r="AA1925" s="245"/>
      <c r="AB1925" s="332"/>
      <c r="AD1925" s="245"/>
      <c r="AE1925" s="187"/>
      <c r="AF1925" s="367"/>
      <c r="AG1925" s="245"/>
      <c r="AI1925" s="245"/>
    </row>
    <row r="1926" spans="1:35" ht="26.4">
      <c r="A1926" s="245"/>
      <c r="B1926" s="245"/>
      <c r="C1926" s="245"/>
      <c r="D1926" s="245"/>
      <c r="E1926" s="245"/>
      <c r="F1926" s="280"/>
      <c r="G1926" s="245"/>
      <c r="H1926" s="245"/>
      <c r="I1926" s="245"/>
      <c r="L1926" s="123"/>
      <c r="P1926" s="366"/>
      <c r="R1926" s="355"/>
      <c r="S1926" s="369"/>
      <c r="T1926" s="328"/>
      <c r="U1926" s="85" ph="1"/>
      <c r="W1926" s="216"/>
      <c r="X1926" s="245"/>
      <c r="Y1926" s="187"/>
      <c r="Z1926" s="245"/>
      <c r="AA1926" s="245"/>
      <c r="AB1926" s="332"/>
      <c r="AD1926" s="245"/>
      <c r="AE1926" s="187"/>
      <c r="AF1926" s="367"/>
      <c r="AG1926" s="245"/>
      <c r="AI1926" s="245"/>
    </row>
    <row r="1927" spans="1:35" ht="26.4">
      <c r="A1927" s="245"/>
      <c r="B1927" s="245"/>
      <c r="C1927" s="245"/>
      <c r="D1927" s="245"/>
      <c r="E1927" s="245"/>
      <c r="F1927" s="280"/>
      <c r="G1927" s="245"/>
      <c r="H1927" s="245"/>
      <c r="I1927" s="245"/>
      <c r="L1927" s="123"/>
      <c r="P1927" s="366"/>
      <c r="R1927" s="355"/>
      <c r="S1927" s="369"/>
      <c r="T1927" s="328"/>
      <c r="U1927" s="85" ph="1"/>
      <c r="W1927" s="216"/>
      <c r="X1927" s="245"/>
      <c r="Y1927" s="187"/>
      <c r="Z1927" s="245"/>
      <c r="AA1927" s="245"/>
      <c r="AB1927" s="332"/>
      <c r="AD1927" s="245"/>
      <c r="AE1927" s="187"/>
      <c r="AF1927" s="367"/>
      <c r="AG1927" s="245"/>
      <c r="AI1927" s="245"/>
    </row>
    <row r="1928" spans="1:35" ht="26.4">
      <c r="A1928" s="245"/>
      <c r="B1928" s="245"/>
      <c r="C1928" s="245"/>
      <c r="D1928" s="245"/>
      <c r="E1928" s="245"/>
      <c r="F1928" s="280"/>
      <c r="G1928" s="245"/>
      <c r="H1928" s="245"/>
      <c r="I1928" s="245"/>
      <c r="L1928" s="123"/>
      <c r="P1928" s="366"/>
      <c r="R1928" s="355"/>
      <c r="S1928" s="369"/>
      <c r="T1928" s="328"/>
      <c r="U1928" s="85" ph="1"/>
      <c r="W1928" s="216"/>
      <c r="X1928" s="245"/>
      <c r="Y1928" s="187"/>
      <c r="Z1928" s="245"/>
      <c r="AA1928" s="245"/>
      <c r="AB1928" s="332"/>
      <c r="AD1928" s="245"/>
      <c r="AE1928" s="187"/>
      <c r="AF1928" s="367"/>
      <c r="AG1928" s="245"/>
      <c r="AI1928" s="245"/>
    </row>
    <row r="1929" spans="1:35" ht="26.4">
      <c r="A1929" s="245"/>
      <c r="B1929" s="245"/>
      <c r="C1929" s="245"/>
      <c r="D1929" s="245"/>
      <c r="E1929" s="245"/>
      <c r="F1929" s="280"/>
      <c r="G1929" s="245"/>
      <c r="H1929" s="245"/>
      <c r="I1929" s="245"/>
      <c r="L1929" s="123"/>
      <c r="P1929" s="366"/>
      <c r="R1929" s="355"/>
      <c r="S1929" s="369"/>
      <c r="T1929" s="328"/>
      <c r="U1929" s="85" ph="1"/>
      <c r="W1929" s="216"/>
      <c r="X1929" s="245"/>
      <c r="Y1929" s="187"/>
      <c r="Z1929" s="245"/>
      <c r="AA1929" s="245"/>
      <c r="AB1929" s="332"/>
      <c r="AD1929" s="245"/>
      <c r="AE1929" s="187"/>
      <c r="AF1929" s="367"/>
      <c r="AG1929" s="245"/>
      <c r="AI1929" s="245"/>
    </row>
    <row r="1930" spans="1:35" ht="26.4">
      <c r="A1930" s="245"/>
      <c r="B1930" s="245"/>
      <c r="C1930" s="245"/>
      <c r="D1930" s="245"/>
      <c r="E1930" s="245"/>
      <c r="F1930" s="280"/>
      <c r="G1930" s="245"/>
      <c r="H1930" s="245"/>
      <c r="I1930" s="245"/>
      <c r="L1930" s="123"/>
      <c r="P1930" s="366"/>
      <c r="R1930" s="355"/>
      <c r="S1930" s="369"/>
      <c r="T1930" s="328"/>
      <c r="U1930" s="85" ph="1"/>
      <c r="W1930" s="216"/>
      <c r="X1930" s="245"/>
      <c r="Y1930" s="187"/>
      <c r="Z1930" s="245"/>
      <c r="AA1930" s="245"/>
      <c r="AB1930" s="332"/>
      <c r="AD1930" s="245"/>
      <c r="AE1930" s="187"/>
      <c r="AF1930" s="367"/>
      <c r="AG1930" s="245"/>
      <c r="AI1930" s="245"/>
    </row>
    <row r="1931" spans="1:35" ht="26.4">
      <c r="A1931" s="245"/>
      <c r="B1931" s="245"/>
      <c r="C1931" s="245"/>
      <c r="D1931" s="245"/>
      <c r="E1931" s="245"/>
      <c r="F1931" s="280"/>
      <c r="G1931" s="245"/>
      <c r="H1931" s="245"/>
      <c r="I1931" s="245"/>
      <c r="L1931" s="123"/>
      <c r="P1931" s="366"/>
      <c r="R1931" s="355"/>
      <c r="S1931" s="369"/>
      <c r="T1931" s="328"/>
      <c r="U1931" s="85" ph="1"/>
      <c r="W1931" s="216"/>
      <c r="X1931" s="245"/>
      <c r="Y1931" s="187"/>
      <c r="Z1931" s="245"/>
      <c r="AA1931" s="245"/>
      <c r="AB1931" s="332"/>
      <c r="AD1931" s="245"/>
      <c r="AE1931" s="187"/>
      <c r="AF1931" s="367"/>
      <c r="AG1931" s="245"/>
      <c r="AI1931" s="245"/>
    </row>
    <row r="1932" spans="1:35" ht="26.4">
      <c r="A1932" s="245"/>
      <c r="B1932" s="245"/>
      <c r="C1932" s="245"/>
      <c r="D1932" s="245"/>
      <c r="E1932" s="245"/>
      <c r="F1932" s="280"/>
      <c r="G1932" s="245"/>
      <c r="H1932" s="245"/>
      <c r="I1932" s="245"/>
      <c r="L1932" s="123"/>
      <c r="P1932" s="366"/>
      <c r="R1932" s="355"/>
      <c r="S1932" s="369"/>
      <c r="T1932" s="328"/>
      <c r="U1932" s="85" ph="1"/>
      <c r="W1932" s="216"/>
      <c r="X1932" s="245"/>
      <c r="Y1932" s="187"/>
      <c r="Z1932" s="245"/>
      <c r="AA1932" s="245"/>
      <c r="AB1932" s="332"/>
      <c r="AD1932" s="245"/>
      <c r="AE1932" s="187"/>
      <c r="AF1932" s="367"/>
      <c r="AG1932" s="245"/>
      <c r="AI1932" s="245"/>
    </row>
    <row r="1933" spans="1:35" ht="26.4">
      <c r="A1933" s="245"/>
      <c r="B1933" s="245"/>
      <c r="C1933" s="245"/>
      <c r="D1933" s="245"/>
      <c r="E1933" s="245"/>
      <c r="F1933" s="280"/>
      <c r="G1933" s="245"/>
      <c r="H1933" s="245"/>
      <c r="I1933" s="245"/>
      <c r="L1933" s="123"/>
      <c r="P1933" s="366"/>
      <c r="R1933" s="355"/>
      <c r="S1933" s="369"/>
      <c r="T1933" s="328"/>
      <c r="U1933" s="85" ph="1"/>
      <c r="W1933" s="216"/>
      <c r="X1933" s="245"/>
      <c r="Y1933" s="187"/>
      <c r="Z1933" s="245"/>
      <c r="AA1933" s="245"/>
      <c r="AB1933" s="332"/>
      <c r="AD1933" s="245"/>
      <c r="AE1933" s="187"/>
      <c r="AF1933" s="367"/>
      <c r="AG1933" s="245"/>
      <c r="AI1933" s="245"/>
    </row>
    <row r="1934" spans="1:35" ht="26.4">
      <c r="A1934" s="245"/>
      <c r="B1934" s="245"/>
      <c r="C1934" s="245"/>
      <c r="D1934" s="245"/>
      <c r="E1934" s="245"/>
      <c r="F1934" s="280"/>
      <c r="G1934" s="245"/>
      <c r="H1934" s="245"/>
      <c r="I1934" s="245"/>
      <c r="L1934" s="123"/>
      <c r="P1934" s="366"/>
      <c r="R1934" s="355"/>
      <c r="S1934" s="369"/>
      <c r="T1934" s="328"/>
      <c r="U1934" s="85" ph="1"/>
      <c r="W1934" s="216"/>
      <c r="X1934" s="245"/>
      <c r="Y1934" s="187"/>
      <c r="Z1934" s="245"/>
      <c r="AA1934" s="245"/>
      <c r="AB1934" s="332"/>
      <c r="AD1934" s="245"/>
      <c r="AE1934" s="187"/>
      <c r="AF1934" s="367"/>
      <c r="AG1934" s="245"/>
      <c r="AI1934" s="245"/>
    </row>
    <row r="1935" spans="1:35" ht="26.4">
      <c r="A1935" s="245"/>
      <c r="B1935" s="245"/>
      <c r="C1935" s="245"/>
      <c r="D1935" s="245"/>
      <c r="E1935" s="245"/>
      <c r="F1935" s="280"/>
      <c r="G1935" s="245"/>
      <c r="H1935" s="245"/>
      <c r="I1935" s="245"/>
      <c r="L1935" s="123"/>
      <c r="P1935" s="366"/>
      <c r="R1935" s="355"/>
      <c r="S1935" s="369"/>
      <c r="T1935" s="328"/>
      <c r="U1935" s="85" ph="1"/>
      <c r="W1935" s="216"/>
      <c r="X1935" s="245"/>
      <c r="Y1935" s="187"/>
      <c r="Z1935" s="245"/>
      <c r="AA1935" s="245"/>
      <c r="AB1935" s="332"/>
      <c r="AD1935" s="245"/>
      <c r="AE1935" s="187"/>
      <c r="AF1935" s="367"/>
      <c r="AG1935" s="245"/>
      <c r="AI1935" s="245"/>
    </row>
    <row r="1936" spans="1:35" ht="26.4">
      <c r="A1936" s="245"/>
      <c r="B1936" s="245"/>
      <c r="C1936" s="245"/>
      <c r="D1936" s="245"/>
      <c r="E1936" s="245"/>
      <c r="F1936" s="280"/>
      <c r="G1936" s="245"/>
      <c r="H1936" s="245"/>
      <c r="I1936" s="245"/>
      <c r="L1936" s="123"/>
      <c r="P1936" s="366"/>
      <c r="R1936" s="355"/>
      <c r="S1936" s="369"/>
      <c r="T1936" s="328"/>
      <c r="U1936" s="85" ph="1"/>
      <c r="W1936" s="216"/>
      <c r="X1936" s="245"/>
      <c r="Y1936" s="187"/>
      <c r="Z1936" s="245"/>
      <c r="AA1936" s="245"/>
      <c r="AB1936" s="332"/>
      <c r="AD1936" s="245"/>
      <c r="AE1936" s="187"/>
      <c r="AF1936" s="367"/>
      <c r="AG1936" s="245"/>
      <c r="AI1936" s="245"/>
    </row>
    <row r="1937" spans="1:35" ht="26.4">
      <c r="A1937" s="245"/>
      <c r="B1937" s="245"/>
      <c r="C1937" s="245"/>
      <c r="D1937" s="245"/>
      <c r="E1937" s="245"/>
      <c r="F1937" s="280"/>
      <c r="G1937" s="245"/>
      <c r="H1937" s="245"/>
      <c r="I1937" s="245"/>
      <c r="L1937" s="123"/>
      <c r="P1937" s="366"/>
      <c r="R1937" s="355"/>
      <c r="S1937" s="369"/>
      <c r="T1937" s="328"/>
      <c r="U1937" s="85" ph="1"/>
      <c r="W1937" s="216"/>
      <c r="X1937" s="245"/>
      <c r="Y1937" s="187"/>
      <c r="Z1937" s="245"/>
      <c r="AA1937" s="245"/>
      <c r="AB1937" s="332"/>
      <c r="AD1937" s="245"/>
      <c r="AE1937" s="187"/>
      <c r="AF1937" s="367"/>
      <c r="AG1937" s="245"/>
      <c r="AI1937" s="245"/>
    </row>
    <row r="1938" spans="1:35" ht="26.4">
      <c r="A1938" s="245"/>
      <c r="B1938" s="245"/>
      <c r="C1938" s="245"/>
      <c r="D1938" s="245"/>
      <c r="E1938" s="245"/>
      <c r="F1938" s="280"/>
      <c r="G1938" s="245"/>
      <c r="H1938" s="245"/>
      <c r="I1938" s="245"/>
      <c r="L1938" s="123"/>
      <c r="P1938" s="366"/>
      <c r="R1938" s="355"/>
      <c r="S1938" s="369"/>
      <c r="T1938" s="328"/>
      <c r="U1938" s="85" ph="1"/>
      <c r="W1938" s="216"/>
      <c r="X1938" s="245"/>
      <c r="Y1938" s="187"/>
      <c r="Z1938" s="245"/>
      <c r="AA1938" s="245"/>
      <c r="AB1938" s="332"/>
      <c r="AD1938" s="245"/>
      <c r="AE1938" s="187"/>
      <c r="AF1938" s="367"/>
      <c r="AG1938" s="245"/>
      <c r="AI1938" s="245"/>
    </row>
    <row r="1939" spans="1:35" ht="26.4">
      <c r="A1939" s="245"/>
      <c r="B1939" s="245"/>
      <c r="C1939" s="245"/>
      <c r="D1939" s="245"/>
      <c r="E1939" s="245"/>
      <c r="F1939" s="280"/>
      <c r="G1939" s="245"/>
      <c r="H1939" s="245"/>
      <c r="I1939" s="245"/>
      <c r="L1939" s="123"/>
      <c r="P1939" s="366"/>
      <c r="R1939" s="355"/>
      <c r="S1939" s="369"/>
      <c r="T1939" s="328"/>
      <c r="U1939" s="85" ph="1"/>
      <c r="W1939" s="216"/>
      <c r="X1939" s="245"/>
      <c r="Y1939" s="187"/>
      <c r="Z1939" s="245"/>
      <c r="AA1939" s="245"/>
      <c r="AB1939" s="332"/>
      <c r="AD1939" s="245"/>
      <c r="AE1939" s="187"/>
      <c r="AF1939" s="367"/>
      <c r="AG1939" s="245"/>
      <c r="AI1939" s="245"/>
    </row>
    <row r="1940" spans="1:35" ht="26.4">
      <c r="A1940" s="245"/>
      <c r="B1940" s="245"/>
      <c r="C1940" s="245"/>
      <c r="D1940" s="245"/>
      <c r="E1940" s="245"/>
      <c r="F1940" s="280"/>
      <c r="G1940" s="245"/>
      <c r="H1940" s="245"/>
      <c r="I1940" s="245"/>
      <c r="L1940" s="123"/>
      <c r="P1940" s="366"/>
      <c r="R1940" s="355"/>
      <c r="S1940" s="369"/>
      <c r="T1940" s="328"/>
      <c r="U1940" s="85" ph="1"/>
      <c r="W1940" s="216"/>
      <c r="X1940" s="245"/>
      <c r="Y1940" s="187"/>
      <c r="Z1940" s="245"/>
      <c r="AA1940" s="245"/>
      <c r="AB1940" s="332"/>
      <c r="AD1940" s="245"/>
      <c r="AE1940" s="187"/>
      <c r="AF1940" s="367"/>
      <c r="AG1940" s="245"/>
      <c r="AI1940" s="245"/>
    </row>
    <row r="1941" spans="1:35" ht="26.4">
      <c r="A1941" s="245"/>
      <c r="B1941" s="245"/>
      <c r="C1941" s="245"/>
      <c r="D1941" s="245"/>
      <c r="E1941" s="245"/>
      <c r="F1941" s="280"/>
      <c r="G1941" s="245"/>
      <c r="H1941" s="245"/>
      <c r="I1941" s="245"/>
      <c r="L1941" s="123"/>
      <c r="P1941" s="366"/>
      <c r="R1941" s="355"/>
      <c r="S1941" s="369"/>
      <c r="T1941" s="328"/>
      <c r="U1941" s="85" ph="1"/>
      <c r="W1941" s="216"/>
      <c r="X1941" s="245"/>
      <c r="Y1941" s="187"/>
      <c r="Z1941" s="245"/>
      <c r="AA1941" s="245"/>
      <c r="AB1941" s="332"/>
      <c r="AD1941" s="245"/>
      <c r="AE1941" s="187"/>
      <c r="AF1941" s="367"/>
      <c r="AG1941" s="245"/>
      <c r="AI1941" s="245"/>
    </row>
    <row r="1942" spans="1:35" ht="26.4">
      <c r="A1942" s="245"/>
      <c r="B1942" s="245"/>
      <c r="C1942" s="245"/>
      <c r="D1942" s="245"/>
      <c r="E1942" s="245"/>
      <c r="F1942" s="280"/>
      <c r="G1942" s="245"/>
      <c r="H1942" s="245"/>
      <c r="I1942" s="245"/>
      <c r="L1942" s="123"/>
      <c r="P1942" s="366"/>
      <c r="R1942" s="355"/>
      <c r="S1942" s="369"/>
      <c r="T1942" s="328"/>
      <c r="U1942" s="85" ph="1"/>
      <c r="W1942" s="216"/>
      <c r="X1942" s="245"/>
      <c r="Y1942" s="187"/>
      <c r="Z1942" s="245"/>
      <c r="AA1942" s="245"/>
      <c r="AB1942" s="332"/>
      <c r="AD1942" s="245"/>
      <c r="AE1942" s="187"/>
      <c r="AF1942" s="367"/>
      <c r="AG1942" s="245"/>
      <c r="AI1942" s="245"/>
    </row>
    <row r="1943" spans="1:35" ht="26.4">
      <c r="A1943" s="245"/>
      <c r="B1943" s="245"/>
      <c r="C1943" s="245"/>
      <c r="D1943" s="245"/>
      <c r="E1943" s="245"/>
      <c r="F1943" s="280"/>
      <c r="G1943" s="245"/>
      <c r="H1943" s="245"/>
      <c r="I1943" s="245"/>
      <c r="L1943" s="123"/>
      <c r="P1943" s="366"/>
      <c r="R1943" s="355"/>
      <c r="S1943" s="369"/>
      <c r="T1943" s="328"/>
      <c r="U1943" s="85" ph="1"/>
      <c r="W1943" s="216"/>
      <c r="X1943" s="245"/>
      <c r="Y1943" s="187"/>
      <c r="Z1943" s="245"/>
      <c r="AA1943" s="245"/>
      <c r="AB1943" s="332"/>
      <c r="AD1943" s="245"/>
      <c r="AE1943" s="187"/>
      <c r="AF1943" s="367"/>
      <c r="AG1943" s="245"/>
      <c r="AI1943" s="245"/>
    </row>
    <row r="1944" spans="1:35" ht="26.4">
      <c r="A1944" s="245"/>
      <c r="B1944" s="245"/>
      <c r="C1944" s="245"/>
      <c r="D1944" s="245"/>
      <c r="E1944" s="245"/>
      <c r="F1944" s="280"/>
      <c r="G1944" s="245"/>
      <c r="H1944" s="245"/>
      <c r="I1944" s="245"/>
      <c r="L1944" s="123"/>
      <c r="P1944" s="366"/>
      <c r="R1944" s="355"/>
      <c r="S1944" s="369"/>
      <c r="T1944" s="328"/>
      <c r="U1944" s="85" ph="1"/>
      <c r="W1944" s="216"/>
      <c r="X1944" s="245"/>
      <c r="Y1944" s="187"/>
      <c r="Z1944" s="245"/>
      <c r="AA1944" s="245"/>
      <c r="AB1944" s="332"/>
      <c r="AD1944" s="245"/>
      <c r="AE1944" s="187"/>
      <c r="AF1944" s="367"/>
      <c r="AG1944" s="245"/>
      <c r="AI1944" s="245"/>
    </row>
    <row r="1945" spans="1:35" ht="26.4">
      <c r="A1945" s="245"/>
      <c r="B1945" s="245"/>
      <c r="C1945" s="245"/>
      <c r="D1945" s="245"/>
      <c r="E1945" s="245"/>
      <c r="F1945" s="280"/>
      <c r="G1945" s="245"/>
      <c r="H1945" s="245"/>
      <c r="I1945" s="245"/>
      <c r="L1945" s="123"/>
      <c r="P1945" s="366"/>
      <c r="R1945" s="355"/>
      <c r="S1945" s="369"/>
      <c r="T1945" s="328"/>
      <c r="U1945" s="85" ph="1"/>
      <c r="W1945" s="216"/>
      <c r="X1945" s="245"/>
      <c r="Y1945" s="187"/>
      <c r="Z1945" s="245"/>
      <c r="AA1945" s="245"/>
      <c r="AB1945" s="332"/>
      <c r="AD1945" s="245"/>
      <c r="AE1945" s="187"/>
      <c r="AF1945" s="367"/>
      <c r="AG1945" s="245"/>
      <c r="AI1945" s="245"/>
    </row>
    <row r="1946" spans="1:35" ht="26.4">
      <c r="A1946" s="245"/>
      <c r="B1946" s="245"/>
      <c r="C1946" s="245"/>
      <c r="D1946" s="245"/>
      <c r="E1946" s="245"/>
      <c r="F1946" s="280"/>
      <c r="G1946" s="245"/>
      <c r="H1946" s="245"/>
      <c r="I1946" s="245"/>
      <c r="L1946" s="123"/>
      <c r="P1946" s="366"/>
      <c r="R1946" s="355"/>
      <c r="S1946" s="369"/>
      <c r="T1946" s="328"/>
      <c r="U1946" s="85" ph="1"/>
      <c r="W1946" s="216"/>
      <c r="X1946" s="245"/>
      <c r="Y1946" s="187"/>
      <c r="Z1946" s="245"/>
      <c r="AA1946" s="245"/>
      <c r="AB1946" s="332"/>
      <c r="AD1946" s="245"/>
      <c r="AE1946" s="187"/>
      <c r="AF1946" s="367"/>
      <c r="AG1946" s="245"/>
      <c r="AI1946" s="245"/>
    </row>
    <row r="1947" spans="1:35" ht="26.4">
      <c r="A1947" s="245"/>
      <c r="B1947" s="245"/>
      <c r="C1947" s="245"/>
      <c r="D1947" s="245"/>
      <c r="E1947" s="245"/>
      <c r="F1947" s="280"/>
      <c r="G1947" s="245"/>
      <c r="H1947" s="245"/>
      <c r="I1947" s="245"/>
      <c r="L1947" s="123"/>
      <c r="P1947" s="366"/>
      <c r="R1947" s="355"/>
      <c r="S1947" s="369"/>
      <c r="T1947" s="328"/>
      <c r="U1947" s="85" ph="1"/>
      <c r="W1947" s="216"/>
      <c r="X1947" s="245"/>
      <c r="Y1947" s="187"/>
      <c r="Z1947" s="245"/>
      <c r="AA1947" s="245"/>
      <c r="AB1947" s="332"/>
      <c r="AD1947" s="245"/>
      <c r="AE1947" s="187"/>
      <c r="AF1947" s="367"/>
      <c r="AG1947" s="245"/>
      <c r="AI1947" s="245"/>
    </row>
    <row r="1948" spans="1:35" ht="26.4">
      <c r="A1948" s="245"/>
      <c r="B1948" s="245"/>
      <c r="C1948" s="245"/>
      <c r="D1948" s="245"/>
      <c r="E1948" s="245"/>
      <c r="F1948" s="280"/>
      <c r="G1948" s="245"/>
      <c r="H1948" s="245"/>
      <c r="I1948" s="245"/>
      <c r="L1948" s="245"/>
      <c r="P1948" s="366"/>
      <c r="R1948" s="355"/>
      <c r="S1948" s="369"/>
      <c r="T1948" s="328"/>
      <c r="U1948" s="85" ph="1"/>
      <c r="W1948" s="216"/>
      <c r="X1948" s="245"/>
      <c r="Y1948" s="187"/>
      <c r="Z1948" s="245"/>
      <c r="AA1948" s="245"/>
      <c r="AB1948" s="332"/>
      <c r="AD1948" s="245"/>
      <c r="AE1948" s="187"/>
      <c r="AF1948" s="367"/>
      <c r="AG1948" s="245"/>
      <c r="AI1948" s="245"/>
    </row>
    <row r="1949" spans="1:35" ht="26.4">
      <c r="A1949" s="245"/>
      <c r="B1949" s="245"/>
      <c r="C1949" s="245"/>
      <c r="D1949" s="245"/>
      <c r="E1949" s="245"/>
      <c r="F1949" s="280"/>
      <c r="G1949" s="245"/>
      <c r="H1949" s="245"/>
      <c r="I1949" s="245"/>
      <c r="L1949" s="123"/>
      <c r="P1949" s="366"/>
      <c r="R1949" s="355"/>
      <c r="S1949" s="369"/>
      <c r="T1949" s="328"/>
      <c r="U1949" s="85" ph="1"/>
      <c r="W1949" s="216"/>
      <c r="X1949" s="245"/>
      <c r="Y1949" s="187"/>
      <c r="Z1949" s="245"/>
      <c r="AA1949" s="245"/>
      <c r="AB1949" s="332"/>
      <c r="AD1949" s="245"/>
      <c r="AE1949" s="187"/>
      <c r="AF1949" s="367"/>
      <c r="AG1949" s="245"/>
      <c r="AI1949" s="245"/>
    </row>
    <row r="1950" spans="1:35" ht="26.4">
      <c r="A1950" s="245"/>
      <c r="B1950" s="245"/>
      <c r="C1950" s="245"/>
      <c r="D1950" s="245"/>
      <c r="E1950" s="245"/>
      <c r="F1950" s="280"/>
      <c r="G1950" s="245"/>
      <c r="H1950" s="245"/>
      <c r="I1950" s="245"/>
      <c r="L1950" s="123"/>
      <c r="P1950" s="366"/>
      <c r="R1950" s="355"/>
      <c r="S1950" s="369"/>
      <c r="T1950" s="328"/>
      <c r="U1950" s="85" ph="1"/>
      <c r="W1950" s="216"/>
      <c r="X1950" s="245"/>
      <c r="Y1950" s="187"/>
      <c r="Z1950" s="245"/>
      <c r="AA1950" s="245"/>
      <c r="AB1950" s="332"/>
      <c r="AD1950" s="245"/>
      <c r="AE1950" s="187"/>
      <c r="AF1950" s="367"/>
      <c r="AG1950" s="245"/>
      <c r="AI1950" s="245"/>
    </row>
    <row r="1951" spans="1:35" ht="26.4">
      <c r="A1951" s="245"/>
      <c r="B1951" s="245"/>
      <c r="C1951" s="245"/>
      <c r="D1951" s="245"/>
      <c r="E1951" s="245"/>
      <c r="F1951" s="280"/>
      <c r="G1951" s="245"/>
      <c r="H1951" s="245"/>
      <c r="I1951" s="245"/>
      <c r="L1951" s="123"/>
      <c r="P1951" s="366"/>
      <c r="R1951" s="355"/>
      <c r="S1951" s="369"/>
      <c r="T1951" s="328"/>
      <c r="U1951" s="85" ph="1"/>
      <c r="W1951" s="216"/>
      <c r="X1951" s="245"/>
      <c r="Y1951" s="187"/>
      <c r="Z1951" s="245"/>
      <c r="AA1951" s="245"/>
      <c r="AB1951" s="332"/>
      <c r="AD1951" s="245"/>
      <c r="AE1951" s="187"/>
      <c r="AF1951" s="367"/>
      <c r="AG1951" s="245"/>
      <c r="AI1951" s="245"/>
    </row>
    <row r="1952" spans="1:35" ht="26.4">
      <c r="A1952" s="245"/>
      <c r="B1952" s="245"/>
      <c r="C1952" s="245"/>
      <c r="D1952" s="245"/>
      <c r="E1952" s="245"/>
      <c r="F1952" s="280"/>
      <c r="G1952" s="245"/>
      <c r="H1952" s="245"/>
      <c r="I1952" s="245"/>
      <c r="L1952" s="123"/>
      <c r="P1952" s="366"/>
      <c r="R1952" s="355"/>
      <c r="S1952" s="369"/>
      <c r="T1952" s="328"/>
      <c r="U1952" s="85" ph="1"/>
      <c r="W1952" s="216"/>
      <c r="X1952" s="245"/>
      <c r="Y1952" s="187"/>
      <c r="Z1952" s="245"/>
      <c r="AA1952" s="245"/>
      <c r="AB1952" s="332"/>
      <c r="AD1952" s="245"/>
      <c r="AE1952" s="187"/>
      <c r="AF1952" s="367"/>
      <c r="AG1952" s="245"/>
      <c r="AI1952" s="245"/>
    </row>
    <row r="1953" spans="1:35" ht="26.4">
      <c r="A1953" s="245"/>
      <c r="B1953" s="245"/>
      <c r="C1953" s="245"/>
      <c r="D1953" s="245"/>
      <c r="E1953" s="245"/>
      <c r="F1953" s="280"/>
      <c r="G1953" s="245"/>
      <c r="H1953" s="245"/>
      <c r="I1953" s="245"/>
      <c r="L1953" s="245"/>
      <c r="P1953" s="366"/>
      <c r="R1953" s="355"/>
      <c r="S1953" s="369"/>
      <c r="T1953" s="328"/>
      <c r="U1953" s="85" ph="1"/>
      <c r="W1953" s="216"/>
      <c r="X1953" s="245"/>
      <c r="Y1953" s="187"/>
      <c r="Z1953" s="245"/>
      <c r="AA1953" s="245"/>
      <c r="AB1953" s="332"/>
      <c r="AD1953" s="245"/>
      <c r="AE1953" s="187"/>
      <c r="AF1953" s="367"/>
      <c r="AG1953" s="245"/>
      <c r="AI1953" s="245"/>
    </row>
    <row r="1954" spans="1:35" ht="26.4">
      <c r="A1954" s="245"/>
      <c r="B1954" s="245"/>
      <c r="C1954" s="245"/>
      <c r="D1954" s="245"/>
      <c r="E1954" s="245"/>
      <c r="F1954" s="280"/>
      <c r="G1954" s="245"/>
      <c r="H1954" s="245"/>
      <c r="I1954" s="245"/>
      <c r="L1954" s="123"/>
      <c r="P1954" s="366"/>
      <c r="R1954" s="355"/>
      <c r="S1954" s="369"/>
      <c r="T1954" s="328"/>
      <c r="U1954" s="85" ph="1"/>
      <c r="W1954" s="216"/>
      <c r="X1954" s="245"/>
      <c r="Y1954" s="187"/>
      <c r="Z1954" s="245"/>
      <c r="AA1954" s="245"/>
      <c r="AB1954" s="332"/>
      <c r="AD1954" s="245"/>
      <c r="AE1954" s="187"/>
      <c r="AF1954" s="367"/>
      <c r="AG1954" s="245"/>
      <c r="AI1954" s="245"/>
    </row>
    <row r="1955" spans="1:35" ht="26.4">
      <c r="A1955" s="245"/>
      <c r="B1955" s="245"/>
      <c r="C1955" s="245"/>
      <c r="D1955" s="245"/>
      <c r="E1955" s="245"/>
      <c r="F1955" s="280"/>
      <c r="G1955" s="245"/>
      <c r="H1955" s="245"/>
      <c r="I1955" s="245"/>
      <c r="L1955" s="123"/>
      <c r="P1955" s="366"/>
      <c r="R1955" s="355"/>
      <c r="S1955" s="369"/>
      <c r="T1955" s="328"/>
      <c r="U1955" s="85" ph="1"/>
      <c r="W1955" s="216"/>
      <c r="X1955" s="245"/>
      <c r="Y1955" s="187"/>
      <c r="Z1955" s="245"/>
      <c r="AA1955" s="245"/>
      <c r="AB1955" s="332"/>
      <c r="AD1955" s="245"/>
      <c r="AE1955" s="187"/>
      <c r="AF1955" s="367"/>
      <c r="AG1955" s="245"/>
      <c r="AI1955" s="245"/>
    </row>
    <row r="1956" spans="1:35" ht="26.4">
      <c r="A1956" s="245"/>
      <c r="B1956" s="245"/>
      <c r="C1956" s="245"/>
      <c r="D1956" s="245"/>
      <c r="E1956" s="245"/>
      <c r="F1956" s="280"/>
      <c r="G1956" s="245"/>
      <c r="H1956" s="245"/>
      <c r="I1956" s="245"/>
      <c r="L1956" s="123"/>
      <c r="P1956" s="366"/>
      <c r="R1956" s="355"/>
      <c r="S1956" s="369"/>
      <c r="T1956" s="328"/>
      <c r="U1956" s="85" ph="1"/>
      <c r="W1956" s="216"/>
      <c r="X1956" s="245"/>
      <c r="Y1956" s="187"/>
      <c r="Z1956" s="245"/>
      <c r="AA1956" s="245"/>
      <c r="AB1956" s="332"/>
      <c r="AD1956" s="245"/>
      <c r="AE1956" s="187"/>
      <c r="AF1956" s="367"/>
      <c r="AG1956" s="245"/>
      <c r="AI1956" s="245"/>
    </row>
    <row r="1957" spans="1:35" ht="26.4">
      <c r="A1957" s="245"/>
      <c r="B1957" s="245"/>
      <c r="C1957" s="245"/>
      <c r="D1957" s="245"/>
      <c r="E1957" s="245"/>
      <c r="F1957" s="280"/>
      <c r="G1957" s="245"/>
      <c r="H1957" s="245"/>
      <c r="I1957" s="245"/>
      <c r="L1957" s="123"/>
      <c r="P1957" s="366"/>
      <c r="R1957" s="355"/>
      <c r="S1957" s="369"/>
      <c r="T1957" s="328"/>
      <c r="U1957" s="85" ph="1"/>
      <c r="W1957" s="216"/>
      <c r="X1957" s="245"/>
      <c r="Y1957" s="187"/>
      <c r="Z1957" s="245"/>
      <c r="AA1957" s="245"/>
      <c r="AB1957" s="332"/>
      <c r="AD1957" s="245"/>
      <c r="AE1957" s="187"/>
      <c r="AF1957" s="367"/>
      <c r="AG1957" s="245"/>
      <c r="AI1957" s="245"/>
    </row>
    <row r="1958" spans="1:35" ht="26.4">
      <c r="A1958" s="245"/>
      <c r="B1958" s="245"/>
      <c r="C1958" s="245"/>
      <c r="D1958" s="245"/>
      <c r="E1958" s="245"/>
      <c r="F1958" s="280"/>
      <c r="G1958" s="245"/>
      <c r="H1958" s="245"/>
      <c r="I1958" s="245"/>
      <c r="L1958" s="123"/>
      <c r="P1958" s="366"/>
      <c r="R1958" s="355"/>
      <c r="S1958" s="369"/>
      <c r="T1958" s="328"/>
      <c r="U1958" s="85" ph="1"/>
      <c r="W1958" s="216"/>
      <c r="X1958" s="245"/>
      <c r="Y1958" s="187"/>
      <c r="Z1958" s="245"/>
      <c r="AA1958" s="245"/>
      <c r="AB1958" s="332"/>
      <c r="AD1958" s="245"/>
      <c r="AE1958" s="187"/>
      <c r="AF1958" s="367"/>
      <c r="AG1958" s="245"/>
      <c r="AI1958" s="245"/>
    </row>
    <row r="1959" spans="1:35" ht="26.4">
      <c r="A1959" s="245"/>
      <c r="B1959" s="245"/>
      <c r="C1959" s="245"/>
      <c r="D1959" s="245"/>
      <c r="E1959" s="245"/>
      <c r="F1959" s="280"/>
      <c r="G1959" s="245"/>
      <c r="H1959" s="245"/>
      <c r="I1959" s="245"/>
      <c r="L1959" s="123"/>
      <c r="P1959" s="366"/>
      <c r="R1959" s="355"/>
      <c r="S1959" s="369"/>
      <c r="T1959" s="328"/>
      <c r="U1959" s="85" ph="1"/>
      <c r="W1959" s="216"/>
      <c r="X1959" s="245"/>
      <c r="Y1959" s="187"/>
      <c r="Z1959" s="245"/>
      <c r="AA1959" s="245"/>
      <c r="AB1959" s="332"/>
      <c r="AD1959" s="245"/>
      <c r="AE1959" s="187"/>
      <c r="AF1959" s="367"/>
      <c r="AG1959" s="245"/>
      <c r="AI1959" s="245"/>
    </row>
    <row r="1960" spans="1:35" ht="26.4">
      <c r="A1960" s="245"/>
      <c r="B1960" s="245"/>
      <c r="C1960" s="245"/>
      <c r="D1960" s="245"/>
      <c r="E1960" s="245"/>
      <c r="F1960" s="280"/>
      <c r="G1960" s="245"/>
      <c r="H1960" s="245"/>
      <c r="I1960" s="245"/>
      <c r="L1960" s="123"/>
      <c r="P1960" s="366"/>
      <c r="R1960" s="355"/>
      <c r="S1960" s="369"/>
      <c r="T1960" s="328"/>
      <c r="U1960" s="85" ph="1"/>
      <c r="W1960" s="216"/>
      <c r="X1960" s="245"/>
      <c r="Y1960" s="187"/>
      <c r="Z1960" s="245"/>
      <c r="AA1960" s="245"/>
      <c r="AB1960" s="332"/>
      <c r="AD1960" s="245"/>
      <c r="AE1960" s="187"/>
      <c r="AF1960" s="367"/>
      <c r="AG1960" s="245"/>
      <c r="AI1960" s="245"/>
    </row>
    <row r="1961" spans="1:35" ht="26.4">
      <c r="A1961" s="245"/>
      <c r="B1961" s="245"/>
      <c r="C1961" s="245"/>
      <c r="D1961" s="245"/>
      <c r="E1961" s="245"/>
      <c r="F1961" s="280"/>
      <c r="G1961" s="245"/>
      <c r="H1961" s="245"/>
      <c r="I1961" s="245"/>
      <c r="L1961" s="123"/>
      <c r="P1961" s="366"/>
      <c r="R1961" s="355"/>
      <c r="S1961" s="369"/>
      <c r="T1961" s="328"/>
      <c r="U1961" s="85" ph="1"/>
      <c r="W1961" s="216"/>
      <c r="X1961" s="245"/>
      <c r="Y1961" s="187"/>
      <c r="Z1961" s="245"/>
      <c r="AA1961" s="245"/>
      <c r="AB1961" s="332"/>
      <c r="AD1961" s="245"/>
      <c r="AE1961" s="187"/>
      <c r="AF1961" s="367"/>
      <c r="AG1961" s="245"/>
      <c r="AI1961" s="245"/>
    </row>
    <row r="1962" spans="1:35" ht="26.4">
      <c r="A1962" s="245"/>
      <c r="B1962" s="245"/>
      <c r="C1962" s="245"/>
      <c r="D1962" s="245"/>
      <c r="E1962" s="245"/>
      <c r="F1962" s="280"/>
      <c r="G1962" s="245"/>
      <c r="H1962" s="245"/>
      <c r="I1962" s="245"/>
      <c r="L1962" s="123"/>
      <c r="P1962" s="366"/>
      <c r="R1962" s="355"/>
      <c r="S1962" s="369"/>
      <c r="T1962" s="328"/>
      <c r="U1962" s="85" ph="1"/>
      <c r="W1962" s="216"/>
      <c r="X1962" s="245"/>
      <c r="Y1962" s="187"/>
      <c r="Z1962" s="245"/>
      <c r="AA1962" s="245"/>
      <c r="AB1962" s="332"/>
      <c r="AD1962" s="245"/>
      <c r="AE1962" s="187"/>
      <c r="AF1962" s="367"/>
      <c r="AG1962" s="245"/>
      <c r="AI1962" s="245"/>
    </row>
    <row r="1963" spans="1:35" ht="26.4">
      <c r="A1963" s="245"/>
      <c r="B1963" s="245"/>
      <c r="C1963" s="245"/>
      <c r="D1963" s="245"/>
      <c r="E1963" s="245"/>
      <c r="F1963" s="280"/>
      <c r="G1963" s="245"/>
      <c r="H1963" s="245"/>
      <c r="I1963" s="245"/>
      <c r="L1963" s="123"/>
      <c r="P1963" s="366"/>
      <c r="R1963" s="355"/>
      <c r="S1963" s="369"/>
      <c r="T1963" s="328"/>
      <c r="U1963" s="85" ph="1"/>
      <c r="W1963" s="216"/>
      <c r="X1963" s="245"/>
      <c r="Y1963" s="187"/>
      <c r="Z1963" s="245"/>
      <c r="AA1963" s="245"/>
      <c r="AB1963" s="332"/>
      <c r="AD1963" s="245"/>
      <c r="AE1963" s="187"/>
      <c r="AF1963" s="367"/>
      <c r="AG1963" s="245"/>
      <c r="AI1963" s="245"/>
    </row>
    <row r="1964" spans="1:35" ht="26.4">
      <c r="A1964" s="245"/>
      <c r="B1964" s="245"/>
      <c r="C1964" s="245"/>
      <c r="D1964" s="245"/>
      <c r="E1964" s="245"/>
      <c r="F1964" s="280"/>
      <c r="G1964" s="245"/>
      <c r="H1964" s="245"/>
      <c r="I1964" s="245"/>
      <c r="L1964" s="123"/>
      <c r="P1964" s="366"/>
      <c r="R1964" s="355"/>
      <c r="S1964" s="369"/>
      <c r="T1964" s="328"/>
      <c r="U1964" s="85" ph="1"/>
      <c r="W1964" s="216"/>
      <c r="X1964" s="245"/>
      <c r="Y1964" s="187"/>
      <c r="Z1964" s="245"/>
      <c r="AA1964" s="245"/>
      <c r="AB1964" s="332"/>
      <c r="AD1964" s="245"/>
      <c r="AE1964" s="187"/>
      <c r="AF1964" s="367"/>
      <c r="AG1964" s="245"/>
      <c r="AI1964" s="245"/>
    </row>
    <row r="1965" spans="1:35" ht="26.4">
      <c r="A1965" s="245"/>
      <c r="B1965" s="245"/>
      <c r="C1965" s="245"/>
      <c r="D1965" s="245"/>
      <c r="E1965" s="245"/>
      <c r="F1965" s="280"/>
      <c r="G1965" s="245"/>
      <c r="H1965" s="245"/>
      <c r="I1965" s="245"/>
      <c r="L1965" s="245"/>
      <c r="P1965" s="366"/>
      <c r="R1965" s="355"/>
      <c r="S1965" s="369"/>
      <c r="T1965" s="328"/>
      <c r="U1965" s="85" ph="1"/>
      <c r="W1965" s="216"/>
      <c r="X1965" s="245"/>
      <c r="Y1965" s="187"/>
      <c r="Z1965" s="245"/>
      <c r="AA1965" s="245"/>
      <c r="AB1965" s="332"/>
      <c r="AD1965" s="245"/>
      <c r="AE1965" s="187"/>
      <c r="AF1965" s="367"/>
      <c r="AG1965" s="245"/>
      <c r="AI1965" s="245"/>
    </row>
    <row r="1966" spans="1:35" ht="26.4">
      <c r="A1966" s="245"/>
      <c r="B1966" s="245"/>
      <c r="C1966" s="245"/>
      <c r="D1966" s="245"/>
      <c r="E1966" s="245"/>
      <c r="F1966" s="280"/>
      <c r="G1966" s="245"/>
      <c r="H1966" s="245"/>
      <c r="I1966" s="245"/>
      <c r="L1966" s="245"/>
      <c r="P1966" s="366"/>
      <c r="R1966" s="355"/>
      <c r="S1966" s="369"/>
      <c r="T1966" s="328"/>
      <c r="U1966" s="85" ph="1"/>
      <c r="W1966" s="216"/>
      <c r="X1966" s="245"/>
      <c r="Y1966" s="187"/>
      <c r="Z1966" s="245"/>
      <c r="AA1966" s="245"/>
      <c r="AB1966" s="332"/>
      <c r="AD1966" s="245"/>
      <c r="AE1966" s="187"/>
      <c r="AF1966" s="367"/>
      <c r="AG1966" s="245"/>
      <c r="AI1966" s="245"/>
    </row>
    <row r="1967" spans="1:35" ht="26.4">
      <c r="A1967" s="245"/>
      <c r="B1967" s="245"/>
      <c r="C1967" s="245"/>
      <c r="D1967" s="245"/>
      <c r="E1967" s="245"/>
      <c r="F1967" s="280"/>
      <c r="G1967" s="245"/>
      <c r="H1967" s="245"/>
      <c r="I1967" s="245"/>
      <c r="L1967" s="245"/>
      <c r="P1967" s="366"/>
      <c r="R1967" s="355"/>
      <c r="S1967" s="369"/>
      <c r="T1967" s="328"/>
      <c r="U1967" s="85" ph="1"/>
      <c r="W1967" s="216"/>
      <c r="X1967" s="245"/>
      <c r="Y1967" s="187"/>
      <c r="Z1967" s="245"/>
      <c r="AA1967" s="245"/>
      <c r="AB1967" s="332"/>
      <c r="AD1967" s="245"/>
      <c r="AE1967" s="187"/>
      <c r="AF1967" s="367"/>
      <c r="AG1967" s="245"/>
      <c r="AI1967" s="245"/>
    </row>
    <row r="1968" spans="1:35" ht="26.4">
      <c r="A1968" s="245"/>
      <c r="B1968" s="245"/>
      <c r="C1968" s="245"/>
      <c r="D1968" s="245"/>
      <c r="E1968" s="245"/>
      <c r="F1968" s="280"/>
      <c r="G1968" s="245"/>
      <c r="H1968" s="245"/>
      <c r="I1968" s="245"/>
      <c r="L1968" s="245"/>
      <c r="P1968" s="366"/>
      <c r="R1968" s="355"/>
      <c r="S1968" s="369"/>
      <c r="T1968" s="328"/>
      <c r="U1968" s="85" ph="1"/>
      <c r="W1968" s="216"/>
      <c r="X1968" s="245"/>
      <c r="Y1968" s="187"/>
      <c r="Z1968" s="245"/>
      <c r="AA1968" s="245"/>
      <c r="AB1968" s="332"/>
      <c r="AD1968" s="245"/>
      <c r="AE1968" s="187"/>
      <c r="AF1968" s="367"/>
      <c r="AG1968" s="245"/>
      <c r="AI1968" s="245"/>
    </row>
    <row r="1969" spans="1:35" ht="26.4">
      <c r="A1969" s="245"/>
      <c r="B1969" s="245"/>
      <c r="C1969" s="245"/>
      <c r="D1969" s="245"/>
      <c r="E1969" s="245"/>
      <c r="F1969" s="280"/>
      <c r="G1969" s="245"/>
      <c r="H1969" s="245"/>
      <c r="I1969" s="245"/>
      <c r="L1969" s="245"/>
      <c r="P1969" s="366"/>
      <c r="R1969" s="355"/>
      <c r="S1969" s="369"/>
      <c r="T1969" s="328"/>
      <c r="U1969" s="85" ph="1"/>
      <c r="W1969" s="216"/>
      <c r="X1969" s="245"/>
      <c r="Y1969" s="187"/>
      <c r="Z1969" s="245"/>
      <c r="AA1969" s="245"/>
      <c r="AB1969" s="332"/>
      <c r="AD1969" s="245"/>
      <c r="AE1969" s="187"/>
      <c r="AF1969" s="367"/>
      <c r="AG1969" s="245"/>
      <c r="AI1969" s="245"/>
    </row>
    <row r="1970" spans="1:35" ht="26.4">
      <c r="A1970" s="245"/>
      <c r="B1970" s="245"/>
      <c r="C1970" s="245"/>
      <c r="D1970" s="245"/>
      <c r="E1970" s="245"/>
      <c r="F1970" s="280"/>
      <c r="G1970" s="245"/>
      <c r="H1970" s="245"/>
      <c r="I1970" s="245"/>
      <c r="L1970" s="245"/>
      <c r="P1970" s="366"/>
      <c r="R1970" s="355"/>
      <c r="S1970" s="369"/>
      <c r="T1970" s="328"/>
      <c r="U1970" s="85" ph="1"/>
      <c r="W1970" s="216"/>
      <c r="X1970" s="245"/>
      <c r="Y1970" s="187"/>
      <c r="Z1970" s="245"/>
      <c r="AA1970" s="245"/>
      <c r="AB1970" s="332"/>
      <c r="AD1970" s="245"/>
      <c r="AE1970" s="187"/>
      <c r="AF1970" s="367"/>
      <c r="AG1970" s="245"/>
      <c r="AI1970" s="245"/>
    </row>
    <row r="1971" spans="1:35" ht="26.4">
      <c r="A1971" s="245"/>
      <c r="B1971" s="245"/>
      <c r="C1971" s="245"/>
      <c r="D1971" s="245"/>
      <c r="E1971" s="245"/>
      <c r="F1971" s="280"/>
      <c r="G1971" s="245"/>
      <c r="H1971" s="245"/>
      <c r="I1971" s="245"/>
      <c r="L1971" s="245"/>
      <c r="P1971" s="366"/>
      <c r="R1971" s="355"/>
      <c r="S1971" s="369"/>
      <c r="T1971" s="328"/>
      <c r="U1971" s="85" ph="1"/>
      <c r="W1971" s="216"/>
      <c r="X1971" s="245"/>
      <c r="Y1971" s="187"/>
      <c r="Z1971" s="245"/>
      <c r="AA1971" s="245"/>
      <c r="AB1971" s="332"/>
      <c r="AD1971" s="245"/>
      <c r="AE1971" s="187"/>
      <c r="AF1971" s="367"/>
      <c r="AG1971" s="245"/>
      <c r="AI1971" s="245"/>
    </row>
    <row r="1972" spans="1:35" ht="26.4">
      <c r="A1972" s="245"/>
      <c r="B1972" s="245"/>
      <c r="C1972" s="245"/>
      <c r="D1972" s="245"/>
      <c r="E1972" s="245"/>
      <c r="F1972" s="280"/>
      <c r="G1972" s="245"/>
      <c r="H1972" s="245"/>
      <c r="I1972" s="245"/>
      <c r="L1972" s="245"/>
      <c r="P1972" s="366"/>
      <c r="R1972" s="355"/>
      <c r="S1972" s="369"/>
      <c r="T1972" s="328"/>
      <c r="U1972" s="85" ph="1"/>
      <c r="W1972" s="216"/>
      <c r="X1972" s="245"/>
      <c r="Y1972" s="187"/>
      <c r="Z1972" s="245"/>
      <c r="AA1972" s="245"/>
      <c r="AB1972" s="332"/>
      <c r="AD1972" s="245"/>
      <c r="AE1972" s="187"/>
      <c r="AF1972" s="367"/>
      <c r="AG1972" s="245"/>
      <c r="AI1972" s="245"/>
    </row>
    <row r="1973" spans="1:35" ht="26.4">
      <c r="A1973" s="245"/>
      <c r="B1973" s="245"/>
      <c r="C1973" s="245"/>
      <c r="D1973" s="245"/>
      <c r="E1973" s="245"/>
      <c r="F1973" s="280"/>
      <c r="G1973" s="245"/>
      <c r="H1973" s="245"/>
      <c r="I1973" s="245"/>
      <c r="L1973" s="245"/>
      <c r="P1973" s="366"/>
      <c r="R1973" s="355"/>
      <c r="S1973" s="369"/>
      <c r="T1973" s="328"/>
      <c r="U1973" s="85" ph="1"/>
      <c r="W1973" s="216"/>
      <c r="X1973" s="245"/>
      <c r="Y1973" s="187"/>
      <c r="Z1973" s="245"/>
      <c r="AA1973" s="245"/>
      <c r="AB1973" s="332"/>
      <c r="AD1973" s="245"/>
      <c r="AE1973" s="187"/>
      <c r="AF1973" s="367"/>
      <c r="AG1973" s="245"/>
      <c r="AI1973" s="245"/>
    </row>
    <row r="1974" spans="1:35" ht="26.4">
      <c r="A1974" s="245"/>
      <c r="B1974" s="245"/>
      <c r="C1974" s="245"/>
      <c r="D1974" s="245"/>
      <c r="E1974" s="245"/>
      <c r="F1974" s="280"/>
      <c r="G1974" s="245"/>
      <c r="H1974" s="245"/>
      <c r="I1974" s="245"/>
      <c r="L1974" s="123"/>
      <c r="P1974" s="366"/>
      <c r="R1974" s="355"/>
      <c r="S1974" s="369"/>
      <c r="T1974" s="328"/>
      <c r="U1974" s="85" ph="1"/>
      <c r="W1974" s="216"/>
      <c r="X1974" s="245"/>
      <c r="Y1974" s="187"/>
      <c r="Z1974" s="245"/>
      <c r="AA1974" s="245"/>
      <c r="AB1974" s="332"/>
      <c r="AD1974" s="245"/>
      <c r="AE1974" s="187"/>
      <c r="AF1974" s="367"/>
      <c r="AG1974" s="245"/>
      <c r="AI1974" s="245"/>
    </row>
    <row r="1975" spans="1:35" ht="26.4">
      <c r="A1975" s="245"/>
      <c r="B1975" s="245"/>
      <c r="C1975" s="245"/>
      <c r="D1975" s="245"/>
      <c r="E1975" s="245"/>
      <c r="F1975" s="280"/>
      <c r="G1975" s="245"/>
      <c r="H1975" s="245"/>
      <c r="I1975" s="245"/>
      <c r="L1975" s="245"/>
      <c r="P1975" s="366"/>
      <c r="R1975" s="355"/>
      <c r="S1975" s="369"/>
      <c r="T1975" s="328"/>
      <c r="U1975" s="85" ph="1"/>
      <c r="W1975" s="216"/>
      <c r="X1975" s="245"/>
      <c r="Y1975" s="187"/>
      <c r="Z1975" s="245"/>
      <c r="AA1975" s="245"/>
      <c r="AB1975" s="332"/>
      <c r="AD1975" s="245"/>
      <c r="AE1975" s="187"/>
      <c r="AF1975" s="367"/>
      <c r="AG1975" s="245"/>
      <c r="AI1975" s="245"/>
    </row>
    <row r="1976" spans="1:35" ht="26.4">
      <c r="A1976" s="245"/>
      <c r="B1976" s="245"/>
      <c r="C1976" s="245"/>
      <c r="D1976" s="245"/>
      <c r="E1976" s="245"/>
      <c r="F1976" s="280"/>
      <c r="G1976" s="245"/>
      <c r="H1976" s="245"/>
      <c r="I1976" s="245"/>
      <c r="L1976" s="245"/>
      <c r="P1976" s="366"/>
      <c r="R1976" s="355"/>
      <c r="S1976" s="369"/>
      <c r="T1976" s="328"/>
      <c r="U1976" s="85" ph="1"/>
      <c r="W1976" s="216"/>
      <c r="X1976" s="245"/>
      <c r="Y1976" s="187"/>
      <c r="Z1976" s="245"/>
      <c r="AA1976" s="245"/>
      <c r="AB1976" s="332"/>
      <c r="AD1976" s="245"/>
      <c r="AE1976" s="187"/>
      <c r="AF1976" s="367"/>
      <c r="AG1976" s="245"/>
      <c r="AI1976" s="245"/>
    </row>
    <row r="1977" spans="1:35" ht="26.4">
      <c r="A1977" s="245"/>
      <c r="B1977" s="245"/>
      <c r="C1977" s="245"/>
      <c r="D1977" s="245"/>
      <c r="E1977" s="245"/>
      <c r="F1977" s="280"/>
      <c r="G1977" s="245"/>
      <c r="H1977" s="245"/>
      <c r="I1977" s="245"/>
      <c r="L1977" s="245"/>
      <c r="P1977" s="366"/>
      <c r="R1977" s="355"/>
      <c r="S1977" s="369"/>
      <c r="T1977" s="328"/>
      <c r="U1977" s="85" ph="1"/>
      <c r="W1977" s="216"/>
      <c r="X1977" s="245"/>
      <c r="Y1977" s="187"/>
      <c r="Z1977" s="245"/>
      <c r="AA1977" s="245"/>
      <c r="AB1977" s="332"/>
      <c r="AD1977" s="245"/>
      <c r="AE1977" s="187"/>
      <c r="AF1977" s="367"/>
      <c r="AG1977" s="245"/>
      <c r="AI1977" s="245"/>
    </row>
    <row r="1978" spans="1:35" ht="26.4">
      <c r="A1978" s="245"/>
      <c r="B1978" s="245"/>
      <c r="C1978" s="245"/>
      <c r="D1978" s="245"/>
      <c r="E1978" s="245"/>
      <c r="F1978" s="280"/>
      <c r="G1978" s="245"/>
      <c r="H1978" s="245"/>
      <c r="I1978" s="245"/>
      <c r="L1978" s="123"/>
      <c r="P1978" s="366"/>
      <c r="R1978" s="355"/>
      <c r="S1978" s="369"/>
      <c r="T1978" s="328"/>
      <c r="U1978" s="85" ph="1"/>
      <c r="W1978" s="216"/>
      <c r="X1978" s="245"/>
      <c r="Y1978" s="187"/>
      <c r="Z1978" s="245"/>
      <c r="AA1978" s="245"/>
      <c r="AB1978" s="332"/>
      <c r="AD1978" s="245"/>
      <c r="AE1978" s="187"/>
      <c r="AF1978" s="367"/>
      <c r="AG1978" s="245"/>
      <c r="AI1978" s="245"/>
    </row>
    <row r="1979" spans="1:35" ht="26.4">
      <c r="A1979" s="245"/>
      <c r="B1979" s="245"/>
      <c r="C1979" s="245"/>
      <c r="D1979" s="245"/>
      <c r="E1979" s="245"/>
      <c r="F1979" s="280"/>
      <c r="G1979" s="245"/>
      <c r="H1979" s="245"/>
      <c r="I1979" s="245"/>
      <c r="L1979" s="245"/>
      <c r="P1979" s="366"/>
      <c r="R1979" s="355"/>
      <c r="S1979" s="369"/>
      <c r="T1979" s="328"/>
      <c r="U1979" s="85" ph="1"/>
      <c r="W1979" s="216"/>
      <c r="X1979" s="245"/>
      <c r="Y1979" s="187"/>
      <c r="Z1979" s="245"/>
      <c r="AA1979" s="245"/>
      <c r="AB1979" s="332"/>
      <c r="AD1979" s="245"/>
      <c r="AE1979" s="187"/>
      <c r="AF1979" s="367"/>
      <c r="AG1979" s="245"/>
      <c r="AI1979" s="245"/>
    </row>
    <row r="1980" spans="1:35" ht="26.4">
      <c r="A1980" s="245"/>
      <c r="B1980" s="245"/>
      <c r="C1980" s="245"/>
      <c r="D1980" s="245"/>
      <c r="E1980" s="245"/>
      <c r="F1980" s="280"/>
      <c r="G1980" s="245"/>
      <c r="H1980" s="245"/>
      <c r="I1980" s="245"/>
      <c r="L1980" s="245"/>
      <c r="P1980" s="366"/>
      <c r="R1980" s="355"/>
      <c r="S1980" s="369"/>
      <c r="T1980" s="328"/>
      <c r="U1980" s="85" ph="1"/>
      <c r="W1980" s="216"/>
      <c r="X1980" s="245"/>
      <c r="Y1980" s="187"/>
      <c r="Z1980" s="245"/>
      <c r="AA1980" s="245"/>
      <c r="AB1980" s="332"/>
      <c r="AD1980" s="245"/>
      <c r="AE1980" s="187"/>
      <c r="AF1980" s="367"/>
      <c r="AG1980" s="245"/>
      <c r="AI1980" s="245"/>
    </row>
    <row r="1981" spans="1:35" ht="26.4">
      <c r="A1981" s="245"/>
      <c r="B1981" s="245"/>
      <c r="C1981" s="245"/>
      <c r="D1981" s="245"/>
      <c r="E1981" s="245"/>
      <c r="F1981" s="280"/>
      <c r="G1981" s="245"/>
      <c r="H1981" s="245"/>
      <c r="I1981" s="245"/>
      <c r="L1981" s="123"/>
      <c r="P1981" s="366"/>
      <c r="R1981" s="355"/>
      <c r="S1981" s="369"/>
      <c r="T1981" s="328"/>
      <c r="U1981" s="85" ph="1"/>
      <c r="W1981" s="216"/>
      <c r="X1981" s="245"/>
      <c r="Y1981" s="187"/>
      <c r="Z1981" s="245"/>
      <c r="AA1981" s="245"/>
      <c r="AB1981" s="332"/>
      <c r="AD1981" s="245"/>
      <c r="AE1981" s="187"/>
      <c r="AF1981" s="367"/>
      <c r="AG1981" s="245"/>
      <c r="AI1981" s="245"/>
    </row>
    <row r="1982" spans="1:35" ht="26.4">
      <c r="A1982" s="245"/>
      <c r="B1982" s="245"/>
      <c r="C1982" s="245"/>
      <c r="D1982" s="245"/>
      <c r="E1982" s="245"/>
      <c r="F1982" s="280"/>
      <c r="G1982" s="245"/>
      <c r="H1982" s="245"/>
      <c r="I1982" s="245"/>
      <c r="L1982" s="123"/>
      <c r="P1982" s="366"/>
      <c r="R1982" s="355"/>
      <c r="S1982" s="369"/>
      <c r="T1982" s="328"/>
      <c r="U1982" s="85" ph="1"/>
      <c r="W1982" s="216"/>
      <c r="X1982" s="245"/>
      <c r="Y1982" s="187"/>
      <c r="Z1982" s="245"/>
      <c r="AA1982" s="245"/>
      <c r="AB1982" s="332"/>
      <c r="AD1982" s="245"/>
      <c r="AE1982" s="187"/>
      <c r="AF1982" s="367"/>
      <c r="AG1982" s="245"/>
      <c r="AI1982" s="245"/>
    </row>
    <row r="1983" spans="1:35" ht="26.4">
      <c r="A1983" s="245"/>
      <c r="B1983" s="245"/>
      <c r="C1983" s="245"/>
      <c r="D1983" s="245"/>
      <c r="E1983" s="245"/>
      <c r="F1983" s="280"/>
      <c r="G1983" s="245"/>
      <c r="H1983" s="245"/>
      <c r="I1983" s="245"/>
      <c r="P1983" s="366"/>
      <c r="R1983" s="355"/>
      <c r="S1983" s="369"/>
      <c r="T1983" s="328"/>
      <c r="U1983" s="85" ph="1"/>
      <c r="W1983" s="216"/>
      <c r="X1983" s="245"/>
      <c r="Y1983" s="187"/>
      <c r="Z1983" s="245"/>
      <c r="AA1983" s="245"/>
      <c r="AB1983" s="332"/>
      <c r="AD1983" s="245"/>
      <c r="AE1983" s="187"/>
      <c r="AF1983" s="367"/>
      <c r="AG1983" s="245"/>
      <c r="AI1983" s="245"/>
    </row>
    <row r="1984" spans="1:35" ht="26.4">
      <c r="A1984" s="245"/>
      <c r="B1984" s="245"/>
      <c r="C1984" s="245"/>
      <c r="D1984" s="245"/>
      <c r="E1984" s="245"/>
      <c r="F1984" s="280"/>
      <c r="G1984" s="245"/>
      <c r="H1984" s="245"/>
      <c r="I1984" s="245"/>
      <c r="P1984" s="366"/>
      <c r="R1984" s="355"/>
      <c r="S1984" s="369"/>
      <c r="T1984" s="328"/>
      <c r="U1984" s="85" ph="1"/>
      <c r="W1984" s="216"/>
      <c r="X1984" s="245"/>
      <c r="Y1984" s="187"/>
      <c r="Z1984" s="245"/>
      <c r="AA1984" s="245"/>
      <c r="AB1984" s="332"/>
      <c r="AD1984" s="245"/>
      <c r="AE1984" s="187"/>
      <c r="AF1984" s="367"/>
      <c r="AG1984" s="245"/>
      <c r="AI1984" s="245"/>
    </row>
    <row r="1985" spans="1:35" ht="26.4">
      <c r="A1985" s="245"/>
      <c r="B1985" s="245"/>
      <c r="C1985" s="245"/>
      <c r="D1985" s="245"/>
      <c r="E1985" s="245"/>
      <c r="F1985" s="280"/>
      <c r="G1985" s="245"/>
      <c r="H1985" s="245"/>
      <c r="I1985" s="245"/>
      <c r="P1985" s="366"/>
      <c r="R1985" s="355"/>
      <c r="S1985" s="369"/>
      <c r="T1985" s="328"/>
      <c r="U1985" s="85" ph="1"/>
      <c r="W1985" s="216"/>
      <c r="X1985" s="245"/>
      <c r="Y1985" s="187"/>
      <c r="Z1985" s="245"/>
      <c r="AA1985" s="245"/>
      <c r="AB1985" s="332"/>
      <c r="AD1985" s="245"/>
      <c r="AE1985" s="187"/>
      <c r="AF1985" s="367"/>
      <c r="AG1985" s="245"/>
      <c r="AI1985" s="245"/>
    </row>
    <row r="1986" spans="1:35" ht="26.4">
      <c r="A1986" s="245"/>
      <c r="B1986" s="245"/>
      <c r="C1986" s="245"/>
      <c r="D1986" s="245"/>
      <c r="E1986" s="245"/>
      <c r="F1986" s="280"/>
      <c r="G1986" s="245"/>
      <c r="H1986" s="245"/>
      <c r="I1986" s="245"/>
      <c r="P1986" s="366"/>
      <c r="R1986" s="355"/>
      <c r="S1986" s="369"/>
      <c r="T1986" s="328"/>
      <c r="U1986" s="85" ph="1"/>
      <c r="W1986" s="216"/>
      <c r="X1986" s="245"/>
      <c r="Y1986" s="187"/>
      <c r="Z1986" s="245"/>
      <c r="AA1986" s="245"/>
      <c r="AB1986" s="332"/>
      <c r="AD1986" s="245"/>
      <c r="AE1986" s="187"/>
      <c r="AF1986" s="367"/>
      <c r="AG1986" s="245"/>
      <c r="AI1986" s="245"/>
    </row>
    <row r="1987" spans="1:35" ht="26.4">
      <c r="A1987" s="245"/>
      <c r="B1987" s="245"/>
      <c r="C1987" s="245"/>
      <c r="D1987" s="245"/>
      <c r="E1987" s="245"/>
      <c r="F1987" s="280"/>
      <c r="G1987" s="245"/>
      <c r="H1987" s="245"/>
      <c r="I1987" s="245"/>
      <c r="P1987" s="366"/>
      <c r="R1987" s="355"/>
      <c r="S1987" s="369"/>
      <c r="T1987" s="328"/>
      <c r="U1987" s="85" ph="1"/>
      <c r="W1987" s="216"/>
      <c r="X1987" s="245"/>
      <c r="Y1987" s="187"/>
      <c r="Z1987" s="245"/>
      <c r="AA1987" s="245"/>
      <c r="AB1987" s="332"/>
      <c r="AD1987" s="245"/>
      <c r="AE1987" s="187"/>
      <c r="AF1987" s="367"/>
      <c r="AG1987" s="245"/>
      <c r="AI1987" s="245"/>
    </row>
    <row r="1988" spans="1:35" ht="26.4">
      <c r="A1988" s="245"/>
      <c r="B1988" s="245"/>
      <c r="C1988" s="245"/>
      <c r="D1988" s="245"/>
      <c r="E1988" s="245"/>
      <c r="F1988" s="280"/>
      <c r="G1988" s="245"/>
      <c r="H1988" s="245"/>
      <c r="I1988" s="245"/>
      <c r="P1988" s="366"/>
      <c r="R1988" s="355"/>
      <c r="S1988" s="369"/>
      <c r="T1988" s="328"/>
      <c r="U1988" s="85" ph="1"/>
      <c r="W1988" s="216"/>
      <c r="X1988" s="245"/>
      <c r="Y1988" s="187"/>
      <c r="Z1988" s="245"/>
      <c r="AA1988" s="245"/>
      <c r="AB1988" s="332"/>
      <c r="AD1988" s="245"/>
      <c r="AE1988" s="187"/>
      <c r="AF1988" s="367"/>
      <c r="AG1988" s="245"/>
      <c r="AI1988" s="245"/>
    </row>
    <row r="1989" spans="1:35" ht="26.4">
      <c r="A1989" s="245"/>
      <c r="B1989" s="245"/>
      <c r="C1989" s="245"/>
      <c r="D1989" s="245"/>
      <c r="E1989" s="245"/>
      <c r="F1989" s="280"/>
      <c r="G1989" s="245"/>
      <c r="H1989" s="245"/>
      <c r="I1989" s="245"/>
      <c r="P1989" s="366"/>
      <c r="R1989" s="355"/>
      <c r="S1989" s="369"/>
      <c r="T1989" s="328"/>
      <c r="U1989" s="85" ph="1"/>
      <c r="W1989" s="216"/>
      <c r="X1989" s="245"/>
      <c r="Y1989" s="187"/>
      <c r="Z1989" s="245"/>
      <c r="AA1989" s="245"/>
      <c r="AB1989" s="332"/>
      <c r="AD1989" s="245"/>
      <c r="AE1989" s="187"/>
      <c r="AF1989" s="367"/>
      <c r="AG1989" s="245"/>
      <c r="AI1989" s="245"/>
    </row>
    <row r="1990" spans="1:35" ht="26.4">
      <c r="A1990" s="245"/>
      <c r="B1990" s="245"/>
      <c r="C1990" s="245"/>
      <c r="D1990" s="245"/>
      <c r="E1990" s="245"/>
      <c r="F1990" s="280"/>
      <c r="G1990" s="245"/>
      <c r="H1990" s="245"/>
      <c r="I1990" s="245"/>
      <c r="P1990" s="366"/>
      <c r="R1990" s="355"/>
      <c r="S1990" s="369"/>
      <c r="T1990" s="328"/>
      <c r="U1990" s="85" ph="1"/>
      <c r="W1990" s="216"/>
      <c r="X1990" s="245"/>
      <c r="Y1990" s="187"/>
      <c r="Z1990" s="245"/>
      <c r="AA1990" s="245"/>
      <c r="AB1990" s="332"/>
      <c r="AD1990" s="245"/>
      <c r="AE1990" s="187"/>
      <c r="AF1990" s="367"/>
      <c r="AG1990" s="245"/>
      <c r="AI1990" s="245"/>
    </row>
    <row r="1991" spans="1:35" ht="26.4">
      <c r="A1991" s="245"/>
      <c r="B1991" s="245"/>
      <c r="C1991" s="245"/>
      <c r="D1991" s="245"/>
      <c r="E1991" s="245"/>
      <c r="F1991" s="280"/>
      <c r="G1991" s="245"/>
      <c r="H1991" s="245"/>
      <c r="I1991" s="245"/>
      <c r="P1991" s="366"/>
      <c r="R1991" s="355"/>
      <c r="S1991" s="369"/>
      <c r="T1991" s="328"/>
      <c r="U1991" s="85" ph="1"/>
      <c r="W1991" s="216"/>
      <c r="X1991" s="245"/>
      <c r="Y1991" s="187"/>
      <c r="Z1991" s="245"/>
      <c r="AA1991" s="245"/>
      <c r="AB1991" s="332"/>
      <c r="AD1991" s="245"/>
      <c r="AE1991" s="187"/>
      <c r="AF1991" s="367"/>
      <c r="AG1991" s="245"/>
      <c r="AI1991" s="245"/>
    </row>
    <row r="1992" spans="1:35" ht="26.4">
      <c r="A1992" s="245"/>
      <c r="B1992" s="245"/>
      <c r="C1992" s="245"/>
      <c r="D1992" s="245"/>
      <c r="E1992" s="245"/>
      <c r="F1992" s="280"/>
      <c r="G1992" s="245"/>
      <c r="H1992" s="245"/>
      <c r="I1992" s="245"/>
      <c r="P1992" s="366"/>
      <c r="R1992" s="355"/>
      <c r="S1992" s="369"/>
      <c r="T1992" s="328"/>
      <c r="U1992" s="85" ph="1"/>
      <c r="W1992" s="216"/>
      <c r="X1992" s="245"/>
      <c r="Y1992" s="187"/>
      <c r="Z1992" s="245"/>
      <c r="AA1992" s="245"/>
      <c r="AB1992" s="332"/>
      <c r="AD1992" s="245"/>
      <c r="AE1992" s="187"/>
      <c r="AF1992" s="367"/>
      <c r="AG1992" s="245"/>
      <c r="AI1992" s="245"/>
    </row>
    <row r="1993" spans="1:35" ht="26.4">
      <c r="A1993" s="245"/>
      <c r="B1993" s="245"/>
      <c r="C1993" s="245"/>
      <c r="D1993" s="245"/>
      <c r="E1993" s="245"/>
      <c r="F1993" s="280"/>
      <c r="G1993" s="245"/>
      <c r="H1993" s="245"/>
      <c r="I1993" s="245"/>
      <c r="P1993" s="366"/>
      <c r="R1993" s="355"/>
      <c r="S1993" s="369"/>
      <c r="T1993" s="328"/>
      <c r="U1993" s="85" ph="1"/>
      <c r="W1993" s="216"/>
      <c r="X1993" s="245"/>
      <c r="Y1993" s="187"/>
      <c r="Z1993" s="245"/>
      <c r="AA1993" s="245"/>
      <c r="AB1993" s="332"/>
      <c r="AD1993" s="245"/>
      <c r="AE1993" s="187"/>
      <c r="AF1993" s="367"/>
      <c r="AG1993" s="245"/>
      <c r="AI1993" s="245"/>
    </row>
    <row r="1994" spans="1:35" ht="26.4">
      <c r="A1994" s="245"/>
      <c r="B1994" s="245"/>
      <c r="C1994" s="245"/>
      <c r="D1994" s="245"/>
      <c r="E1994" s="245"/>
      <c r="F1994" s="280"/>
      <c r="G1994" s="245"/>
      <c r="H1994" s="245"/>
      <c r="I1994" s="245"/>
      <c r="P1994" s="366"/>
      <c r="R1994" s="355"/>
      <c r="S1994" s="369"/>
      <c r="T1994" s="328"/>
      <c r="U1994" s="85" ph="1"/>
      <c r="W1994" s="216"/>
      <c r="X1994" s="245"/>
      <c r="Y1994" s="187"/>
      <c r="Z1994" s="245"/>
      <c r="AA1994" s="245"/>
      <c r="AB1994" s="332"/>
      <c r="AD1994" s="245"/>
      <c r="AE1994" s="187"/>
      <c r="AF1994" s="367"/>
      <c r="AG1994" s="245"/>
      <c r="AI1994" s="245"/>
    </row>
    <row r="1995" spans="1:35" ht="26.4">
      <c r="A1995" s="245"/>
      <c r="B1995" s="245"/>
      <c r="C1995" s="245"/>
      <c r="D1995" s="245"/>
      <c r="E1995" s="245"/>
      <c r="F1995" s="280"/>
      <c r="G1995" s="245"/>
      <c r="H1995" s="245"/>
      <c r="I1995" s="245"/>
      <c r="P1995" s="366"/>
      <c r="R1995" s="355"/>
      <c r="S1995" s="369"/>
      <c r="T1995" s="328"/>
      <c r="U1995" s="85" ph="1"/>
      <c r="W1995" s="216"/>
      <c r="X1995" s="245"/>
      <c r="Y1995" s="187"/>
      <c r="Z1995" s="245"/>
      <c r="AA1995" s="245"/>
      <c r="AB1995" s="332"/>
      <c r="AD1995" s="245"/>
      <c r="AE1995" s="187"/>
      <c r="AF1995" s="367"/>
      <c r="AG1995" s="245"/>
      <c r="AI1995" s="245"/>
    </row>
    <row r="1996" spans="1:35" ht="26.4">
      <c r="A1996" s="245"/>
      <c r="B1996" s="245"/>
      <c r="C1996" s="245"/>
      <c r="D1996" s="245"/>
      <c r="E1996" s="245"/>
      <c r="F1996" s="280"/>
      <c r="G1996" s="245"/>
      <c r="H1996" s="245"/>
      <c r="I1996" s="245"/>
      <c r="P1996" s="366"/>
      <c r="R1996" s="355"/>
      <c r="S1996" s="369"/>
      <c r="T1996" s="328"/>
      <c r="U1996" s="85" ph="1"/>
      <c r="W1996" s="216"/>
      <c r="X1996" s="245"/>
      <c r="Y1996" s="187"/>
      <c r="Z1996" s="245"/>
      <c r="AA1996" s="245"/>
      <c r="AB1996" s="332"/>
      <c r="AD1996" s="245"/>
      <c r="AE1996" s="187"/>
      <c r="AF1996" s="367"/>
      <c r="AG1996" s="245"/>
      <c r="AI1996" s="245"/>
    </row>
    <row r="1997" spans="1:35" ht="26.4">
      <c r="A1997" s="245"/>
      <c r="B1997" s="245"/>
      <c r="C1997" s="245"/>
      <c r="D1997" s="245"/>
      <c r="E1997" s="245"/>
      <c r="F1997" s="280"/>
      <c r="G1997" s="245"/>
      <c r="H1997" s="245"/>
      <c r="I1997" s="245"/>
      <c r="P1997" s="366"/>
      <c r="R1997" s="355"/>
      <c r="S1997" s="369"/>
      <c r="T1997" s="328"/>
      <c r="U1997" s="85" ph="1"/>
      <c r="W1997" s="216"/>
      <c r="X1997" s="245"/>
      <c r="Y1997" s="187"/>
      <c r="Z1997" s="245"/>
      <c r="AA1997" s="245"/>
      <c r="AB1997" s="332"/>
      <c r="AD1997" s="245"/>
      <c r="AE1997" s="187"/>
      <c r="AF1997" s="367"/>
      <c r="AG1997" s="245"/>
      <c r="AI1997" s="245"/>
    </row>
    <row r="1998" spans="1:35" ht="26.4">
      <c r="A1998" s="245"/>
      <c r="B1998" s="245"/>
      <c r="C1998" s="245"/>
      <c r="D1998" s="245"/>
      <c r="E1998" s="245"/>
      <c r="F1998" s="280"/>
      <c r="G1998" s="245"/>
      <c r="H1998" s="245"/>
      <c r="I1998" s="245"/>
      <c r="P1998" s="366"/>
      <c r="R1998" s="355"/>
      <c r="S1998" s="369"/>
      <c r="T1998" s="328"/>
      <c r="U1998" s="85" ph="1"/>
      <c r="W1998" s="216"/>
      <c r="X1998" s="245"/>
      <c r="Y1998" s="187"/>
      <c r="Z1998" s="245"/>
      <c r="AA1998" s="245"/>
      <c r="AB1998" s="332"/>
      <c r="AD1998" s="245"/>
      <c r="AE1998" s="187"/>
      <c r="AF1998" s="367"/>
      <c r="AG1998" s="245"/>
      <c r="AI1998" s="245"/>
    </row>
    <row r="1999" spans="1:35" ht="26.4">
      <c r="A1999" s="245"/>
      <c r="B1999" s="245"/>
      <c r="C1999" s="245"/>
      <c r="D1999" s="245"/>
      <c r="E1999" s="245"/>
      <c r="F1999" s="280"/>
      <c r="G1999" s="245"/>
      <c r="H1999" s="245"/>
      <c r="I1999" s="245"/>
      <c r="P1999" s="366"/>
      <c r="R1999" s="355"/>
      <c r="S1999" s="369"/>
      <c r="T1999" s="328"/>
      <c r="U1999" s="85" ph="1"/>
      <c r="W1999" s="216"/>
      <c r="X1999" s="245"/>
      <c r="Y1999" s="187"/>
      <c r="Z1999" s="245"/>
      <c r="AA1999" s="245"/>
      <c r="AB1999" s="332"/>
      <c r="AD1999" s="245"/>
      <c r="AE1999" s="187"/>
      <c r="AF1999" s="367"/>
      <c r="AG1999" s="245"/>
      <c r="AI1999" s="245"/>
    </row>
    <row r="2000" spans="1:35" ht="26.4">
      <c r="A2000" s="245"/>
      <c r="B2000" s="245"/>
      <c r="C2000" s="245"/>
      <c r="D2000" s="245"/>
      <c r="E2000" s="245"/>
      <c r="F2000" s="280"/>
      <c r="G2000" s="245"/>
      <c r="H2000" s="245"/>
      <c r="I2000" s="245"/>
      <c r="P2000" s="366"/>
      <c r="R2000" s="355"/>
      <c r="S2000" s="369"/>
      <c r="T2000" s="328"/>
      <c r="U2000" s="85" ph="1"/>
      <c r="W2000" s="216"/>
      <c r="X2000" s="245"/>
      <c r="Y2000" s="187"/>
      <c r="Z2000" s="245"/>
      <c r="AA2000" s="245"/>
      <c r="AB2000" s="332"/>
      <c r="AD2000" s="245"/>
      <c r="AE2000" s="187"/>
      <c r="AF2000" s="367"/>
      <c r="AG2000" s="245"/>
      <c r="AI2000" s="245"/>
    </row>
    <row r="2001" spans="1:35" ht="26.4">
      <c r="A2001" s="245"/>
      <c r="B2001" s="245"/>
      <c r="C2001" s="245"/>
      <c r="D2001" s="245"/>
      <c r="E2001" s="245"/>
      <c r="F2001" s="280"/>
      <c r="G2001" s="245"/>
      <c r="H2001" s="245"/>
      <c r="I2001" s="245"/>
      <c r="P2001" s="366"/>
      <c r="R2001" s="355"/>
      <c r="S2001" s="369"/>
      <c r="T2001" s="328"/>
      <c r="U2001" s="85" ph="1"/>
      <c r="W2001" s="216"/>
      <c r="X2001" s="245"/>
      <c r="Y2001" s="187"/>
      <c r="Z2001" s="245"/>
      <c r="AA2001" s="245"/>
      <c r="AB2001" s="332"/>
      <c r="AD2001" s="245"/>
      <c r="AE2001" s="187"/>
      <c r="AF2001" s="367"/>
      <c r="AG2001" s="245"/>
      <c r="AI2001" s="245"/>
    </row>
    <row r="2002" spans="1:35" ht="26.4">
      <c r="A2002" s="245"/>
      <c r="B2002" s="245"/>
      <c r="C2002" s="245"/>
      <c r="D2002" s="245"/>
      <c r="E2002" s="245"/>
      <c r="F2002" s="280"/>
      <c r="G2002" s="245"/>
      <c r="H2002" s="245"/>
      <c r="I2002" s="245"/>
      <c r="P2002" s="366"/>
      <c r="R2002" s="355"/>
      <c r="S2002" s="369"/>
      <c r="T2002" s="328"/>
      <c r="U2002" s="85" ph="1"/>
      <c r="W2002" s="216"/>
      <c r="X2002" s="245"/>
      <c r="Y2002" s="187"/>
      <c r="Z2002" s="245"/>
      <c r="AA2002" s="245"/>
      <c r="AB2002" s="332"/>
      <c r="AD2002" s="245"/>
      <c r="AE2002" s="187"/>
      <c r="AF2002" s="367"/>
      <c r="AG2002" s="245"/>
      <c r="AI2002" s="245"/>
    </row>
    <row r="2003" spans="1:35" ht="26.4">
      <c r="A2003" s="245"/>
      <c r="B2003" s="245"/>
      <c r="C2003" s="245"/>
      <c r="D2003" s="245"/>
      <c r="E2003" s="245"/>
      <c r="F2003" s="280"/>
      <c r="G2003" s="245"/>
      <c r="H2003" s="245"/>
      <c r="I2003" s="245"/>
      <c r="P2003" s="366"/>
      <c r="R2003" s="355"/>
      <c r="S2003" s="369"/>
      <c r="T2003" s="328"/>
      <c r="U2003" s="85" ph="1"/>
      <c r="W2003" s="216"/>
      <c r="X2003" s="245"/>
      <c r="Y2003" s="187"/>
      <c r="Z2003" s="245"/>
      <c r="AA2003" s="245"/>
      <c r="AB2003" s="332"/>
      <c r="AD2003" s="245"/>
      <c r="AE2003" s="187"/>
      <c r="AF2003" s="367"/>
      <c r="AG2003" s="245"/>
      <c r="AI2003" s="245"/>
    </row>
    <row r="2004" spans="1:35" ht="26.4">
      <c r="A2004" s="245"/>
      <c r="B2004" s="245"/>
      <c r="C2004" s="245"/>
      <c r="D2004" s="245"/>
      <c r="E2004" s="245"/>
      <c r="F2004" s="280"/>
      <c r="G2004" s="245"/>
      <c r="H2004" s="245"/>
      <c r="I2004" s="245"/>
      <c r="P2004" s="366"/>
      <c r="R2004" s="355"/>
      <c r="S2004" s="369"/>
      <c r="T2004" s="328"/>
      <c r="U2004" s="85" ph="1"/>
      <c r="W2004" s="216"/>
      <c r="X2004" s="245"/>
      <c r="Y2004" s="187"/>
      <c r="Z2004" s="245"/>
      <c r="AA2004" s="245"/>
      <c r="AB2004" s="332"/>
      <c r="AD2004" s="245"/>
      <c r="AE2004" s="187"/>
      <c r="AF2004" s="367"/>
      <c r="AG2004" s="245"/>
      <c r="AI2004" s="245"/>
    </row>
    <row r="2005" spans="1:35" ht="26.4">
      <c r="A2005" s="245"/>
      <c r="B2005" s="245"/>
      <c r="C2005" s="245"/>
      <c r="D2005" s="245"/>
      <c r="E2005" s="245"/>
      <c r="F2005" s="280"/>
      <c r="G2005" s="245"/>
      <c r="H2005" s="245"/>
      <c r="I2005" s="245"/>
      <c r="P2005" s="366"/>
      <c r="R2005" s="355"/>
      <c r="S2005" s="369"/>
      <c r="T2005" s="328"/>
      <c r="U2005" s="85" ph="1"/>
      <c r="W2005" s="216"/>
      <c r="X2005" s="245"/>
      <c r="Y2005" s="187"/>
      <c r="Z2005" s="245"/>
      <c r="AA2005" s="245"/>
      <c r="AB2005" s="332"/>
      <c r="AD2005" s="245"/>
      <c r="AE2005" s="187"/>
      <c r="AF2005" s="367"/>
      <c r="AG2005" s="245"/>
      <c r="AI2005" s="245"/>
    </row>
    <row r="2006" spans="1:35" ht="26.4">
      <c r="A2006" s="245"/>
      <c r="B2006" s="245"/>
      <c r="C2006" s="245"/>
      <c r="D2006" s="245"/>
      <c r="E2006" s="245"/>
      <c r="F2006" s="280"/>
      <c r="G2006" s="245"/>
      <c r="H2006" s="245"/>
      <c r="I2006" s="245"/>
      <c r="P2006" s="366"/>
      <c r="R2006" s="355"/>
      <c r="S2006" s="369"/>
      <c r="T2006" s="328"/>
      <c r="U2006" s="85" ph="1"/>
      <c r="W2006" s="216"/>
      <c r="X2006" s="245"/>
      <c r="Y2006" s="187"/>
      <c r="Z2006" s="245"/>
      <c r="AA2006" s="245"/>
      <c r="AB2006" s="332"/>
      <c r="AD2006" s="245"/>
      <c r="AE2006" s="187"/>
      <c r="AF2006" s="367"/>
      <c r="AG2006" s="245"/>
      <c r="AI2006" s="245"/>
    </row>
    <row r="2007" spans="1:35" ht="26.4">
      <c r="A2007" s="245"/>
      <c r="B2007" s="245"/>
      <c r="C2007" s="245"/>
      <c r="D2007" s="245"/>
      <c r="E2007" s="245"/>
      <c r="F2007" s="280"/>
      <c r="G2007" s="245"/>
      <c r="H2007" s="245"/>
      <c r="I2007" s="245"/>
      <c r="P2007" s="366"/>
      <c r="R2007" s="355"/>
      <c r="S2007" s="369"/>
      <c r="T2007" s="328"/>
      <c r="U2007" s="85" ph="1"/>
      <c r="W2007" s="216"/>
      <c r="X2007" s="245"/>
      <c r="Y2007" s="187"/>
      <c r="Z2007" s="245"/>
      <c r="AA2007" s="245"/>
      <c r="AB2007" s="332"/>
      <c r="AD2007" s="245"/>
      <c r="AE2007" s="187"/>
      <c r="AF2007" s="367"/>
      <c r="AG2007" s="245"/>
      <c r="AI2007" s="245"/>
    </row>
    <row r="2008" spans="1:35" ht="26.4">
      <c r="A2008" s="245"/>
      <c r="B2008" s="245"/>
      <c r="C2008" s="245"/>
      <c r="D2008" s="245"/>
      <c r="E2008" s="245"/>
      <c r="F2008" s="280"/>
      <c r="G2008" s="245"/>
      <c r="H2008" s="245"/>
      <c r="I2008" s="245"/>
      <c r="P2008" s="366"/>
      <c r="R2008" s="355"/>
      <c r="S2008" s="369"/>
      <c r="T2008" s="328"/>
      <c r="U2008" s="85" ph="1"/>
      <c r="W2008" s="216"/>
      <c r="X2008" s="245"/>
      <c r="Y2008" s="187"/>
      <c r="Z2008" s="245"/>
      <c r="AA2008" s="245"/>
      <c r="AB2008" s="332"/>
      <c r="AD2008" s="245"/>
      <c r="AE2008" s="187"/>
      <c r="AF2008" s="367"/>
      <c r="AG2008" s="245"/>
      <c r="AI2008" s="245"/>
    </row>
    <row r="2009" spans="1:35" ht="26.4">
      <c r="A2009" s="245"/>
      <c r="B2009" s="245"/>
      <c r="C2009" s="245"/>
      <c r="D2009" s="245"/>
      <c r="E2009" s="245"/>
      <c r="F2009" s="280"/>
      <c r="G2009" s="245"/>
      <c r="H2009" s="245"/>
      <c r="I2009" s="245"/>
      <c r="P2009" s="366"/>
      <c r="R2009" s="355"/>
      <c r="S2009" s="369"/>
      <c r="T2009" s="328"/>
      <c r="U2009" s="85" ph="1"/>
      <c r="W2009" s="216"/>
      <c r="X2009" s="245"/>
      <c r="Y2009" s="187"/>
      <c r="Z2009" s="245"/>
      <c r="AA2009" s="245"/>
      <c r="AB2009" s="332"/>
      <c r="AD2009" s="245"/>
      <c r="AE2009" s="187"/>
      <c r="AF2009" s="367"/>
      <c r="AG2009" s="245"/>
      <c r="AI2009" s="245"/>
    </row>
    <row r="2010" spans="1:35" ht="26.4">
      <c r="A2010" s="245"/>
      <c r="B2010" s="245"/>
      <c r="C2010" s="245"/>
      <c r="D2010" s="245"/>
      <c r="E2010" s="245"/>
      <c r="F2010" s="280"/>
      <c r="G2010" s="245"/>
      <c r="H2010" s="245"/>
      <c r="I2010" s="245"/>
      <c r="P2010" s="366"/>
      <c r="R2010" s="355"/>
      <c r="S2010" s="369"/>
      <c r="T2010" s="328"/>
      <c r="U2010" s="85" ph="1"/>
      <c r="W2010" s="216"/>
      <c r="X2010" s="245"/>
      <c r="Y2010" s="187"/>
      <c r="Z2010" s="245"/>
      <c r="AA2010" s="245"/>
      <c r="AB2010" s="332"/>
      <c r="AD2010" s="245"/>
      <c r="AE2010" s="187"/>
      <c r="AF2010" s="367"/>
      <c r="AG2010" s="245"/>
      <c r="AI2010" s="245"/>
    </row>
    <row r="2011" spans="1:35" ht="26.4">
      <c r="A2011" s="245"/>
      <c r="B2011" s="245"/>
      <c r="C2011" s="245"/>
      <c r="D2011" s="245"/>
      <c r="E2011" s="245"/>
      <c r="F2011" s="280"/>
      <c r="G2011" s="245"/>
      <c r="H2011" s="245"/>
      <c r="I2011" s="245"/>
      <c r="P2011" s="366"/>
      <c r="R2011" s="355"/>
      <c r="S2011" s="369"/>
      <c r="T2011" s="328"/>
      <c r="U2011" s="85" ph="1"/>
      <c r="W2011" s="216"/>
      <c r="X2011" s="245"/>
      <c r="Y2011" s="187"/>
      <c r="Z2011" s="245"/>
      <c r="AA2011" s="245"/>
      <c r="AB2011" s="332"/>
      <c r="AD2011" s="245"/>
      <c r="AE2011" s="187"/>
      <c r="AF2011" s="367"/>
      <c r="AG2011" s="245"/>
      <c r="AI2011" s="245"/>
    </row>
    <row r="2012" spans="1:35" ht="26.4">
      <c r="A2012" s="245"/>
      <c r="B2012" s="245"/>
      <c r="C2012" s="245"/>
      <c r="D2012" s="245"/>
      <c r="E2012" s="245"/>
      <c r="F2012" s="280"/>
      <c r="G2012" s="245"/>
      <c r="H2012" s="245"/>
      <c r="I2012" s="245"/>
      <c r="P2012" s="366"/>
      <c r="R2012" s="355"/>
      <c r="S2012" s="369"/>
      <c r="T2012" s="328"/>
      <c r="U2012" s="85" ph="1"/>
      <c r="W2012" s="216"/>
      <c r="X2012" s="245"/>
      <c r="Y2012" s="187"/>
      <c r="Z2012" s="245"/>
      <c r="AA2012" s="245"/>
      <c r="AB2012" s="332"/>
      <c r="AD2012" s="245"/>
      <c r="AE2012" s="187"/>
      <c r="AF2012" s="367"/>
      <c r="AG2012" s="245"/>
      <c r="AI2012" s="245"/>
    </row>
    <row r="2013" spans="1:35" ht="26.4">
      <c r="A2013" s="245"/>
      <c r="B2013" s="245"/>
      <c r="C2013" s="245"/>
      <c r="D2013" s="245"/>
      <c r="E2013" s="245"/>
      <c r="F2013" s="280"/>
      <c r="G2013" s="245"/>
      <c r="H2013" s="245"/>
      <c r="I2013" s="245"/>
      <c r="P2013" s="366"/>
      <c r="R2013" s="355"/>
      <c r="S2013" s="369"/>
      <c r="T2013" s="328"/>
      <c r="U2013" s="85" ph="1"/>
      <c r="W2013" s="216"/>
      <c r="X2013" s="245"/>
      <c r="Y2013" s="187"/>
      <c r="Z2013" s="245"/>
      <c r="AA2013" s="245"/>
      <c r="AB2013" s="332"/>
      <c r="AD2013" s="245"/>
      <c r="AE2013" s="187"/>
      <c r="AF2013" s="367"/>
      <c r="AG2013" s="245"/>
      <c r="AI2013" s="245"/>
    </row>
    <row r="2014" spans="1:35" ht="26.4">
      <c r="A2014" s="245"/>
      <c r="B2014" s="245"/>
      <c r="C2014" s="245"/>
      <c r="D2014" s="245"/>
      <c r="E2014" s="245"/>
      <c r="F2014" s="280"/>
      <c r="G2014" s="245"/>
      <c r="H2014" s="245"/>
      <c r="I2014" s="245"/>
      <c r="P2014" s="366"/>
      <c r="R2014" s="355"/>
      <c r="S2014" s="369"/>
      <c r="T2014" s="328"/>
      <c r="U2014" s="85" ph="1"/>
      <c r="W2014" s="216"/>
      <c r="X2014" s="245"/>
      <c r="Y2014" s="187"/>
      <c r="Z2014" s="245"/>
      <c r="AA2014" s="245"/>
      <c r="AB2014" s="332"/>
      <c r="AD2014" s="245"/>
      <c r="AE2014" s="187"/>
      <c r="AF2014" s="367"/>
      <c r="AG2014" s="245"/>
      <c r="AI2014" s="245"/>
    </row>
    <row r="2015" spans="1:35" ht="26.4">
      <c r="A2015" s="245"/>
      <c r="B2015" s="245"/>
      <c r="C2015" s="245"/>
      <c r="D2015" s="245"/>
      <c r="E2015" s="245"/>
      <c r="F2015" s="280"/>
      <c r="G2015" s="245"/>
      <c r="H2015" s="245"/>
      <c r="I2015" s="245"/>
      <c r="P2015" s="366"/>
      <c r="R2015" s="355"/>
      <c r="S2015" s="369"/>
      <c r="T2015" s="328"/>
      <c r="U2015" s="85" ph="1"/>
      <c r="W2015" s="216"/>
      <c r="X2015" s="245"/>
      <c r="Y2015" s="187"/>
      <c r="Z2015" s="245"/>
      <c r="AA2015" s="245"/>
      <c r="AB2015" s="332"/>
      <c r="AD2015" s="245"/>
      <c r="AE2015" s="187"/>
      <c r="AF2015" s="367"/>
      <c r="AG2015" s="245"/>
      <c r="AI2015" s="245"/>
    </row>
    <row r="2016" spans="1:35" ht="26.4">
      <c r="A2016" s="245"/>
      <c r="B2016" s="245"/>
      <c r="C2016" s="245"/>
      <c r="D2016" s="245"/>
      <c r="E2016" s="245"/>
      <c r="F2016" s="280"/>
      <c r="G2016" s="245"/>
      <c r="H2016" s="245"/>
      <c r="I2016" s="245"/>
      <c r="P2016" s="366"/>
      <c r="R2016" s="355"/>
      <c r="S2016" s="369"/>
      <c r="T2016" s="328"/>
      <c r="U2016" s="85" ph="1"/>
      <c r="W2016" s="216"/>
      <c r="X2016" s="245"/>
      <c r="Y2016" s="187"/>
      <c r="Z2016" s="245"/>
      <c r="AA2016" s="245"/>
      <c r="AB2016" s="332"/>
      <c r="AD2016" s="245"/>
      <c r="AE2016" s="187"/>
      <c r="AF2016" s="367"/>
      <c r="AG2016" s="245"/>
      <c r="AI2016" s="245"/>
    </row>
    <row r="2017" spans="1:35" ht="26.4">
      <c r="A2017" s="245"/>
      <c r="B2017" s="245"/>
      <c r="C2017" s="245"/>
      <c r="D2017" s="245"/>
      <c r="E2017" s="245"/>
      <c r="F2017" s="280"/>
      <c r="G2017" s="245"/>
      <c r="H2017" s="245"/>
      <c r="I2017" s="245"/>
      <c r="P2017" s="366"/>
      <c r="R2017" s="355"/>
      <c r="S2017" s="369"/>
      <c r="T2017" s="328"/>
      <c r="U2017" s="85" ph="1"/>
      <c r="W2017" s="216"/>
      <c r="X2017" s="245"/>
      <c r="Y2017" s="187"/>
      <c r="Z2017" s="245"/>
      <c r="AA2017" s="245"/>
      <c r="AB2017" s="332"/>
      <c r="AD2017" s="245"/>
      <c r="AE2017" s="187"/>
      <c r="AF2017" s="367"/>
      <c r="AG2017" s="245"/>
      <c r="AI2017" s="245"/>
    </row>
    <row r="2018" spans="1:35" ht="26.4">
      <c r="A2018" s="245"/>
      <c r="B2018" s="245"/>
      <c r="C2018" s="245"/>
      <c r="D2018" s="245"/>
      <c r="E2018" s="245"/>
      <c r="F2018" s="280"/>
      <c r="G2018" s="245"/>
      <c r="H2018" s="245"/>
      <c r="I2018" s="245"/>
      <c r="P2018" s="366"/>
      <c r="R2018" s="355"/>
      <c r="S2018" s="369"/>
      <c r="T2018" s="328"/>
      <c r="U2018" s="85" ph="1"/>
      <c r="W2018" s="216"/>
      <c r="X2018" s="245"/>
      <c r="Y2018" s="187"/>
      <c r="Z2018" s="245"/>
      <c r="AA2018" s="245"/>
      <c r="AB2018" s="332"/>
      <c r="AD2018" s="245"/>
      <c r="AE2018" s="187"/>
      <c r="AF2018" s="367"/>
      <c r="AG2018" s="245"/>
      <c r="AI2018" s="245"/>
    </row>
    <row r="2019" spans="1:35" ht="26.4">
      <c r="A2019" s="245"/>
      <c r="B2019" s="245"/>
      <c r="C2019" s="245"/>
      <c r="D2019" s="245"/>
      <c r="E2019" s="245"/>
      <c r="F2019" s="280"/>
      <c r="G2019" s="245"/>
      <c r="H2019" s="245"/>
      <c r="I2019" s="245"/>
      <c r="P2019" s="366"/>
      <c r="R2019" s="355"/>
      <c r="S2019" s="369"/>
      <c r="T2019" s="328"/>
      <c r="U2019" s="85" ph="1"/>
      <c r="W2019" s="216"/>
      <c r="X2019" s="245"/>
      <c r="Y2019" s="187"/>
      <c r="Z2019" s="245"/>
      <c r="AA2019" s="245"/>
      <c r="AB2019" s="332"/>
      <c r="AD2019" s="245"/>
      <c r="AE2019" s="187"/>
      <c r="AF2019" s="367"/>
      <c r="AG2019" s="245"/>
      <c r="AI2019" s="245"/>
    </row>
    <row r="2020" spans="1:35" ht="26.4">
      <c r="A2020" s="245"/>
      <c r="B2020" s="245"/>
      <c r="C2020" s="245"/>
      <c r="D2020" s="245"/>
      <c r="E2020" s="245"/>
      <c r="F2020" s="280"/>
      <c r="G2020" s="245"/>
      <c r="H2020" s="245"/>
      <c r="I2020" s="245"/>
      <c r="P2020" s="366"/>
      <c r="R2020" s="355"/>
      <c r="S2020" s="369"/>
      <c r="T2020" s="328"/>
      <c r="U2020" s="85" ph="1"/>
      <c r="W2020" s="216"/>
      <c r="X2020" s="245"/>
      <c r="Y2020" s="187"/>
      <c r="Z2020" s="245"/>
      <c r="AA2020" s="245"/>
      <c r="AB2020" s="332"/>
      <c r="AD2020" s="245"/>
      <c r="AE2020" s="187"/>
      <c r="AF2020" s="367"/>
      <c r="AG2020" s="245"/>
      <c r="AI2020" s="245"/>
    </row>
    <row r="2021" spans="1:35" ht="26.4">
      <c r="A2021" s="245"/>
      <c r="B2021" s="245"/>
      <c r="C2021" s="245"/>
      <c r="D2021" s="245"/>
      <c r="E2021" s="245"/>
      <c r="F2021" s="280"/>
      <c r="G2021" s="245"/>
      <c r="H2021" s="245"/>
      <c r="I2021" s="245"/>
      <c r="P2021" s="366"/>
      <c r="R2021" s="355"/>
      <c r="S2021" s="369"/>
      <c r="T2021" s="328"/>
      <c r="U2021" s="85" ph="1"/>
      <c r="W2021" s="216"/>
      <c r="X2021" s="245"/>
      <c r="Y2021" s="187"/>
      <c r="Z2021" s="245"/>
      <c r="AA2021" s="245"/>
      <c r="AB2021" s="332"/>
      <c r="AD2021" s="245"/>
      <c r="AE2021" s="187"/>
      <c r="AF2021" s="367"/>
      <c r="AG2021" s="245"/>
      <c r="AI2021" s="245"/>
    </row>
    <row r="2022" spans="1:35" ht="26.4">
      <c r="A2022" s="245"/>
      <c r="B2022" s="245"/>
      <c r="C2022" s="245"/>
      <c r="D2022" s="245"/>
      <c r="E2022" s="245"/>
      <c r="F2022" s="280"/>
      <c r="G2022" s="245"/>
      <c r="H2022" s="245"/>
      <c r="I2022" s="245"/>
      <c r="P2022" s="366"/>
      <c r="R2022" s="355"/>
      <c r="S2022" s="369"/>
      <c r="T2022" s="328"/>
      <c r="U2022" s="85" ph="1"/>
      <c r="W2022" s="216"/>
      <c r="X2022" s="245"/>
      <c r="Y2022" s="187"/>
      <c r="Z2022" s="245"/>
      <c r="AA2022" s="245"/>
      <c r="AB2022" s="332"/>
      <c r="AD2022" s="245"/>
      <c r="AE2022" s="187"/>
      <c r="AF2022" s="367"/>
      <c r="AG2022" s="245"/>
      <c r="AI2022" s="245"/>
    </row>
    <row r="2023" spans="1:35" ht="26.4">
      <c r="A2023" s="245"/>
      <c r="B2023" s="245"/>
      <c r="C2023" s="245"/>
      <c r="D2023" s="245"/>
      <c r="E2023" s="245"/>
      <c r="F2023" s="280"/>
      <c r="G2023" s="245"/>
      <c r="H2023" s="245"/>
      <c r="I2023" s="245"/>
      <c r="P2023" s="366"/>
      <c r="R2023" s="355"/>
      <c r="S2023" s="369"/>
      <c r="T2023" s="328"/>
      <c r="U2023" s="85" ph="1"/>
      <c r="W2023" s="216"/>
      <c r="X2023" s="245"/>
      <c r="Y2023" s="187"/>
      <c r="Z2023" s="245"/>
      <c r="AA2023" s="245"/>
      <c r="AB2023" s="332"/>
      <c r="AD2023" s="245"/>
      <c r="AE2023" s="187"/>
      <c r="AF2023" s="367"/>
      <c r="AG2023" s="245"/>
      <c r="AI2023" s="245"/>
    </row>
    <row r="2024" spans="1:35" ht="26.4">
      <c r="A2024" s="245"/>
      <c r="B2024" s="245"/>
      <c r="C2024" s="245"/>
      <c r="D2024" s="245"/>
      <c r="E2024" s="245"/>
      <c r="F2024" s="280"/>
      <c r="G2024" s="245"/>
      <c r="H2024" s="245"/>
      <c r="I2024" s="245"/>
      <c r="P2024" s="366"/>
      <c r="R2024" s="355"/>
      <c r="S2024" s="369"/>
      <c r="T2024" s="328"/>
      <c r="U2024" s="85" ph="1"/>
      <c r="W2024" s="216"/>
      <c r="X2024" s="245"/>
      <c r="Y2024" s="187"/>
      <c r="Z2024" s="245"/>
      <c r="AA2024" s="245"/>
      <c r="AB2024" s="332"/>
      <c r="AD2024" s="245"/>
      <c r="AE2024" s="187"/>
      <c r="AF2024" s="367"/>
      <c r="AG2024" s="245"/>
      <c r="AI2024" s="245"/>
    </row>
    <row r="2025" spans="1:35" ht="26.4">
      <c r="A2025" s="245"/>
      <c r="B2025" s="245"/>
      <c r="C2025" s="245"/>
      <c r="D2025" s="245"/>
      <c r="E2025" s="245"/>
      <c r="F2025" s="280"/>
      <c r="G2025" s="245"/>
      <c r="H2025" s="245"/>
      <c r="I2025" s="245"/>
      <c r="P2025" s="366"/>
      <c r="R2025" s="355"/>
      <c r="S2025" s="369"/>
      <c r="T2025" s="328"/>
      <c r="U2025" s="85" ph="1"/>
      <c r="W2025" s="216"/>
      <c r="X2025" s="245"/>
      <c r="Y2025" s="187"/>
      <c r="Z2025" s="245"/>
      <c r="AA2025" s="245"/>
      <c r="AB2025" s="332"/>
      <c r="AD2025" s="245"/>
      <c r="AE2025" s="187"/>
      <c r="AF2025" s="367"/>
      <c r="AG2025" s="245"/>
      <c r="AI2025" s="245"/>
    </row>
    <row r="2026" spans="1:35" ht="26.4">
      <c r="A2026" s="245"/>
      <c r="B2026" s="245"/>
      <c r="C2026" s="245"/>
      <c r="D2026" s="245"/>
      <c r="E2026" s="245"/>
      <c r="F2026" s="280"/>
      <c r="G2026" s="245"/>
      <c r="H2026" s="245"/>
      <c r="I2026" s="245"/>
      <c r="P2026" s="366"/>
      <c r="R2026" s="355"/>
      <c r="S2026" s="369"/>
      <c r="T2026" s="328"/>
      <c r="U2026" s="85" ph="1"/>
      <c r="W2026" s="216"/>
      <c r="X2026" s="245"/>
      <c r="Y2026" s="187"/>
      <c r="Z2026" s="245"/>
      <c r="AA2026" s="245"/>
      <c r="AB2026" s="332"/>
      <c r="AD2026" s="245"/>
      <c r="AE2026" s="187"/>
      <c r="AF2026" s="367"/>
      <c r="AG2026" s="245"/>
      <c r="AI2026" s="245"/>
    </row>
    <row r="2027" spans="1:35" ht="26.4">
      <c r="A2027" s="245"/>
      <c r="B2027" s="245"/>
      <c r="C2027" s="245"/>
      <c r="D2027" s="245"/>
      <c r="E2027" s="245"/>
      <c r="F2027" s="280"/>
      <c r="G2027" s="245"/>
      <c r="H2027" s="245"/>
      <c r="I2027" s="245"/>
      <c r="P2027" s="366"/>
      <c r="R2027" s="355"/>
      <c r="S2027" s="369"/>
      <c r="T2027" s="328"/>
      <c r="U2027" s="85" ph="1"/>
      <c r="W2027" s="216"/>
      <c r="X2027" s="245"/>
      <c r="Y2027" s="187"/>
      <c r="Z2027" s="245"/>
      <c r="AA2027" s="245"/>
      <c r="AB2027" s="332"/>
      <c r="AD2027" s="245"/>
      <c r="AE2027" s="187"/>
      <c r="AF2027" s="367"/>
      <c r="AG2027" s="245"/>
      <c r="AI2027" s="245"/>
    </row>
    <row r="2028" spans="1:35" ht="26.4">
      <c r="A2028" s="245"/>
      <c r="B2028" s="245"/>
      <c r="C2028" s="245"/>
      <c r="D2028" s="245"/>
      <c r="E2028" s="245"/>
      <c r="F2028" s="280"/>
      <c r="G2028" s="245"/>
      <c r="H2028" s="245"/>
      <c r="I2028" s="245"/>
      <c r="P2028" s="366"/>
      <c r="R2028" s="355"/>
      <c r="S2028" s="369"/>
      <c r="T2028" s="328"/>
      <c r="U2028" s="85" ph="1"/>
      <c r="W2028" s="216"/>
      <c r="X2028" s="245"/>
      <c r="Y2028" s="187"/>
      <c r="Z2028" s="245"/>
      <c r="AA2028" s="245"/>
      <c r="AB2028" s="332"/>
      <c r="AD2028" s="245"/>
      <c r="AE2028" s="187"/>
      <c r="AF2028" s="367"/>
      <c r="AG2028" s="245"/>
      <c r="AI2028" s="245"/>
    </row>
    <row r="2029" spans="1:35" ht="26.4">
      <c r="A2029" s="245"/>
      <c r="B2029" s="245"/>
      <c r="C2029" s="245"/>
      <c r="D2029" s="245"/>
      <c r="E2029" s="245"/>
      <c r="F2029" s="280"/>
      <c r="G2029" s="245"/>
      <c r="H2029" s="245"/>
      <c r="I2029" s="245"/>
      <c r="P2029" s="366"/>
      <c r="R2029" s="355"/>
      <c r="S2029" s="369"/>
      <c r="T2029" s="328"/>
      <c r="U2029" s="85" ph="1"/>
      <c r="W2029" s="216"/>
      <c r="X2029" s="245"/>
      <c r="Y2029" s="187"/>
      <c r="Z2029" s="245"/>
      <c r="AA2029" s="245"/>
      <c r="AB2029" s="332"/>
      <c r="AD2029" s="245"/>
      <c r="AE2029" s="187"/>
      <c r="AF2029" s="367"/>
      <c r="AG2029" s="245"/>
      <c r="AI2029" s="245"/>
    </row>
    <row r="2030" spans="1:35" ht="26.4">
      <c r="A2030" s="245"/>
      <c r="B2030" s="245"/>
      <c r="C2030" s="245"/>
      <c r="D2030" s="245"/>
      <c r="E2030" s="245"/>
      <c r="F2030" s="280"/>
      <c r="G2030" s="245"/>
      <c r="H2030" s="245"/>
      <c r="I2030" s="245"/>
      <c r="P2030" s="366"/>
      <c r="R2030" s="355"/>
      <c r="S2030" s="369"/>
      <c r="T2030" s="328"/>
      <c r="U2030" s="85" ph="1"/>
      <c r="W2030" s="216"/>
      <c r="X2030" s="245"/>
      <c r="Y2030" s="187"/>
      <c r="Z2030" s="245"/>
      <c r="AA2030" s="245"/>
      <c r="AB2030" s="332"/>
      <c r="AD2030" s="245"/>
      <c r="AE2030" s="187"/>
      <c r="AF2030" s="367"/>
      <c r="AG2030" s="245"/>
      <c r="AI2030" s="245"/>
    </row>
    <row r="2031" spans="1:35" ht="26.4">
      <c r="A2031" s="245"/>
      <c r="B2031" s="245"/>
      <c r="C2031" s="245"/>
      <c r="D2031" s="245"/>
      <c r="E2031" s="245"/>
      <c r="F2031" s="280"/>
      <c r="G2031" s="245"/>
      <c r="H2031" s="245"/>
      <c r="I2031" s="245"/>
      <c r="P2031" s="366"/>
      <c r="R2031" s="355"/>
      <c r="S2031" s="369"/>
      <c r="T2031" s="328"/>
      <c r="U2031" s="85" ph="1"/>
      <c r="W2031" s="216"/>
      <c r="X2031" s="245"/>
      <c r="Y2031" s="187"/>
      <c r="Z2031" s="245"/>
      <c r="AA2031" s="245"/>
      <c r="AB2031" s="332"/>
      <c r="AD2031" s="245"/>
      <c r="AE2031" s="187"/>
      <c r="AF2031" s="367"/>
      <c r="AG2031" s="245"/>
      <c r="AI2031" s="245"/>
    </row>
    <row r="2032" spans="1:35" ht="26.4">
      <c r="A2032" s="245"/>
      <c r="B2032" s="245"/>
      <c r="C2032" s="245"/>
      <c r="D2032" s="245"/>
      <c r="E2032" s="245"/>
      <c r="F2032" s="280"/>
      <c r="G2032" s="245"/>
      <c r="H2032" s="245"/>
      <c r="I2032" s="245"/>
      <c r="P2032" s="366"/>
      <c r="R2032" s="355"/>
      <c r="S2032" s="369"/>
      <c r="T2032" s="328"/>
      <c r="U2032" s="85" ph="1"/>
      <c r="W2032" s="216"/>
      <c r="X2032" s="245"/>
      <c r="Y2032" s="187"/>
      <c r="Z2032" s="245"/>
      <c r="AA2032" s="245"/>
      <c r="AB2032" s="332"/>
      <c r="AD2032" s="245"/>
      <c r="AE2032" s="187"/>
      <c r="AF2032" s="367"/>
      <c r="AG2032" s="245"/>
      <c r="AI2032" s="245"/>
    </row>
    <row r="2033" spans="1:35" ht="26.4">
      <c r="A2033" s="245"/>
      <c r="B2033" s="245"/>
      <c r="C2033" s="245"/>
      <c r="D2033" s="245"/>
      <c r="E2033" s="245"/>
      <c r="F2033" s="280"/>
      <c r="G2033" s="245"/>
      <c r="H2033" s="245"/>
      <c r="I2033" s="245"/>
      <c r="P2033" s="366"/>
      <c r="R2033" s="355"/>
      <c r="S2033" s="369"/>
      <c r="T2033" s="328"/>
      <c r="U2033" s="85" ph="1"/>
      <c r="W2033" s="216"/>
      <c r="X2033" s="245"/>
      <c r="Y2033" s="187"/>
      <c r="Z2033" s="245"/>
      <c r="AA2033" s="245"/>
      <c r="AB2033" s="332"/>
      <c r="AD2033" s="245"/>
      <c r="AE2033" s="187"/>
      <c r="AF2033" s="367"/>
      <c r="AG2033" s="245"/>
      <c r="AI2033" s="245"/>
    </row>
    <row r="2034" spans="1:35" ht="26.4">
      <c r="A2034" s="245"/>
      <c r="B2034" s="245"/>
      <c r="C2034" s="245"/>
      <c r="D2034" s="245"/>
      <c r="E2034" s="245"/>
      <c r="F2034" s="280"/>
      <c r="G2034" s="245"/>
      <c r="H2034" s="245"/>
      <c r="I2034" s="245"/>
      <c r="P2034" s="366"/>
      <c r="R2034" s="355"/>
      <c r="S2034" s="369"/>
      <c r="T2034" s="328"/>
      <c r="U2034" s="85" ph="1"/>
      <c r="W2034" s="216"/>
      <c r="X2034" s="245"/>
      <c r="Y2034" s="187"/>
      <c r="Z2034" s="245"/>
      <c r="AA2034" s="245"/>
      <c r="AB2034" s="332"/>
      <c r="AD2034" s="245"/>
      <c r="AE2034" s="187"/>
      <c r="AF2034" s="367"/>
      <c r="AG2034" s="245"/>
      <c r="AI2034" s="245"/>
    </row>
    <row r="2035" spans="1:35" ht="26.4">
      <c r="A2035" s="245"/>
      <c r="B2035" s="245"/>
      <c r="C2035" s="245"/>
      <c r="D2035" s="245"/>
      <c r="E2035" s="245"/>
      <c r="F2035" s="280"/>
      <c r="G2035" s="245"/>
      <c r="H2035" s="245"/>
      <c r="I2035" s="245"/>
      <c r="P2035" s="366"/>
      <c r="R2035" s="355"/>
      <c r="S2035" s="369"/>
      <c r="T2035" s="328"/>
      <c r="U2035" s="85" ph="1"/>
      <c r="W2035" s="216"/>
      <c r="X2035" s="245"/>
      <c r="Y2035" s="187"/>
      <c r="Z2035" s="245"/>
      <c r="AA2035" s="245"/>
      <c r="AB2035" s="332"/>
      <c r="AD2035" s="245"/>
      <c r="AE2035" s="187"/>
      <c r="AF2035" s="367"/>
      <c r="AG2035" s="245"/>
      <c r="AI2035" s="245"/>
    </row>
    <row r="2036" spans="1:35" ht="26.4">
      <c r="A2036" s="245"/>
      <c r="B2036" s="245"/>
      <c r="C2036" s="245"/>
      <c r="D2036" s="245"/>
      <c r="E2036" s="245"/>
      <c r="F2036" s="280"/>
      <c r="G2036" s="245"/>
      <c r="H2036" s="245"/>
      <c r="I2036" s="245"/>
      <c r="P2036" s="366"/>
      <c r="R2036" s="355"/>
      <c r="S2036" s="369"/>
      <c r="T2036" s="328"/>
      <c r="U2036" s="85" ph="1"/>
      <c r="W2036" s="216"/>
      <c r="X2036" s="245"/>
      <c r="Y2036" s="187"/>
      <c r="Z2036" s="245"/>
      <c r="AA2036" s="245"/>
      <c r="AB2036" s="332"/>
      <c r="AD2036" s="245"/>
      <c r="AE2036" s="187"/>
      <c r="AF2036" s="367"/>
      <c r="AG2036" s="245"/>
      <c r="AI2036" s="245"/>
    </row>
    <row r="2037" spans="1:35" ht="26.4">
      <c r="A2037" s="245"/>
      <c r="B2037" s="245"/>
      <c r="C2037" s="245"/>
      <c r="D2037" s="245"/>
      <c r="E2037" s="245"/>
      <c r="F2037" s="280"/>
      <c r="G2037" s="245"/>
      <c r="H2037" s="245"/>
      <c r="I2037" s="245"/>
      <c r="P2037" s="366"/>
      <c r="R2037" s="355"/>
      <c r="S2037" s="369"/>
      <c r="T2037" s="328"/>
      <c r="U2037" s="85" ph="1"/>
      <c r="W2037" s="216"/>
      <c r="X2037" s="245"/>
      <c r="Y2037" s="187"/>
      <c r="Z2037" s="245"/>
      <c r="AA2037" s="245"/>
      <c r="AB2037" s="332"/>
      <c r="AD2037" s="245"/>
      <c r="AE2037" s="187"/>
      <c r="AF2037" s="367"/>
      <c r="AG2037" s="245"/>
      <c r="AI2037" s="245"/>
    </row>
    <row r="2038" spans="1:35" ht="26.4">
      <c r="A2038" s="245"/>
      <c r="B2038" s="245"/>
      <c r="C2038" s="245"/>
      <c r="D2038" s="245"/>
      <c r="E2038" s="245"/>
      <c r="F2038" s="280"/>
      <c r="G2038" s="245"/>
      <c r="H2038" s="245"/>
      <c r="I2038" s="245"/>
      <c r="P2038" s="366"/>
      <c r="R2038" s="355"/>
      <c r="S2038" s="369"/>
      <c r="T2038" s="328"/>
      <c r="U2038" s="85" ph="1"/>
      <c r="W2038" s="216"/>
      <c r="X2038" s="245"/>
      <c r="Y2038" s="187"/>
      <c r="Z2038" s="245"/>
      <c r="AA2038" s="245"/>
      <c r="AB2038" s="332"/>
      <c r="AD2038" s="245"/>
      <c r="AE2038" s="187"/>
      <c r="AF2038" s="367"/>
      <c r="AG2038" s="245"/>
      <c r="AI2038" s="245"/>
    </row>
    <row r="2039" spans="1:35" ht="26.4">
      <c r="A2039" s="245"/>
      <c r="B2039" s="245"/>
      <c r="C2039" s="245"/>
      <c r="D2039" s="245"/>
      <c r="E2039" s="245"/>
      <c r="F2039" s="280"/>
      <c r="G2039" s="245"/>
      <c r="H2039" s="245"/>
      <c r="I2039" s="245"/>
      <c r="P2039" s="366"/>
      <c r="R2039" s="355"/>
      <c r="S2039" s="369"/>
      <c r="T2039" s="328"/>
      <c r="U2039" s="85" ph="1"/>
      <c r="W2039" s="216"/>
      <c r="X2039" s="245"/>
      <c r="Y2039" s="187"/>
      <c r="Z2039" s="245"/>
      <c r="AA2039" s="245"/>
      <c r="AB2039" s="332"/>
      <c r="AD2039" s="245"/>
      <c r="AE2039" s="187"/>
      <c r="AF2039" s="367"/>
      <c r="AG2039" s="245"/>
      <c r="AI2039" s="245"/>
    </row>
    <row r="2040" spans="1:35" ht="26.4">
      <c r="A2040" s="245"/>
      <c r="B2040" s="245"/>
      <c r="C2040" s="245"/>
      <c r="D2040" s="245"/>
      <c r="E2040" s="245"/>
      <c r="F2040" s="280"/>
      <c r="G2040" s="245"/>
      <c r="H2040" s="245"/>
      <c r="I2040" s="245"/>
      <c r="P2040" s="366"/>
      <c r="R2040" s="355"/>
      <c r="S2040" s="369"/>
      <c r="T2040" s="328"/>
      <c r="U2040" s="85" ph="1"/>
      <c r="W2040" s="216"/>
      <c r="X2040" s="245"/>
      <c r="Y2040" s="187"/>
      <c r="Z2040" s="245"/>
      <c r="AA2040" s="245"/>
      <c r="AB2040" s="332"/>
      <c r="AD2040" s="245"/>
      <c r="AE2040" s="187"/>
      <c r="AF2040" s="367"/>
      <c r="AG2040" s="245"/>
      <c r="AI2040" s="245"/>
    </row>
    <row r="2041" spans="1:35" ht="26.4">
      <c r="A2041" s="245"/>
      <c r="B2041" s="245"/>
      <c r="C2041" s="245"/>
      <c r="D2041" s="245"/>
      <c r="E2041" s="245"/>
      <c r="F2041" s="280"/>
      <c r="G2041" s="245"/>
      <c r="H2041" s="245"/>
      <c r="I2041" s="245"/>
      <c r="P2041" s="366"/>
      <c r="R2041" s="355"/>
      <c r="S2041" s="369"/>
      <c r="T2041" s="328"/>
      <c r="U2041" s="85" ph="1"/>
      <c r="W2041" s="216"/>
      <c r="X2041" s="245"/>
      <c r="Y2041" s="187"/>
      <c r="Z2041" s="245"/>
      <c r="AA2041" s="245"/>
      <c r="AB2041" s="332"/>
      <c r="AD2041" s="245"/>
      <c r="AE2041" s="187"/>
      <c r="AF2041" s="367"/>
      <c r="AG2041" s="245"/>
      <c r="AI2041" s="245"/>
    </row>
    <row r="2042" spans="1:35" ht="26.4">
      <c r="A2042" s="245"/>
      <c r="B2042" s="245"/>
      <c r="C2042" s="245"/>
      <c r="D2042" s="245"/>
      <c r="E2042" s="245"/>
      <c r="F2042" s="280"/>
      <c r="G2042" s="245"/>
      <c r="H2042" s="245"/>
      <c r="I2042" s="245"/>
      <c r="P2042" s="366"/>
      <c r="R2042" s="355"/>
      <c r="S2042" s="369"/>
      <c r="T2042" s="328"/>
      <c r="U2042" s="85" ph="1"/>
      <c r="W2042" s="216"/>
      <c r="X2042" s="245"/>
      <c r="Y2042" s="187"/>
      <c r="Z2042" s="245"/>
      <c r="AA2042" s="245"/>
      <c r="AB2042" s="332"/>
      <c r="AD2042" s="245"/>
      <c r="AE2042" s="187"/>
      <c r="AF2042" s="367"/>
      <c r="AG2042" s="245"/>
      <c r="AI2042" s="245"/>
    </row>
    <row r="2043" spans="1:35" ht="26.4">
      <c r="A2043" s="245"/>
      <c r="B2043" s="245"/>
      <c r="C2043" s="245"/>
      <c r="D2043" s="245"/>
      <c r="E2043" s="245"/>
      <c r="F2043" s="280"/>
      <c r="G2043" s="245"/>
      <c r="H2043" s="245"/>
      <c r="I2043" s="245"/>
      <c r="P2043" s="366"/>
      <c r="R2043" s="355"/>
      <c r="S2043" s="369"/>
      <c r="T2043" s="328"/>
      <c r="U2043" s="85" ph="1"/>
      <c r="W2043" s="216"/>
      <c r="X2043" s="245"/>
      <c r="Y2043" s="187"/>
      <c r="Z2043" s="245"/>
      <c r="AA2043" s="245"/>
      <c r="AB2043" s="332"/>
      <c r="AD2043" s="245"/>
      <c r="AE2043" s="187"/>
      <c r="AF2043" s="367"/>
      <c r="AG2043" s="245"/>
      <c r="AI2043" s="245"/>
    </row>
    <row r="2044" spans="1:35" ht="26.4">
      <c r="A2044" s="245"/>
      <c r="B2044" s="245"/>
      <c r="C2044" s="245"/>
      <c r="D2044" s="245"/>
      <c r="E2044" s="245"/>
      <c r="F2044" s="280"/>
      <c r="G2044" s="245"/>
      <c r="H2044" s="245"/>
      <c r="I2044" s="245"/>
      <c r="P2044" s="366"/>
      <c r="R2044" s="355"/>
      <c r="S2044" s="369"/>
      <c r="T2044" s="328"/>
      <c r="U2044" s="85" ph="1"/>
      <c r="W2044" s="216"/>
      <c r="X2044" s="245"/>
      <c r="Y2044" s="187"/>
      <c r="Z2044" s="245"/>
      <c r="AA2044" s="245"/>
      <c r="AB2044" s="332"/>
      <c r="AD2044" s="245"/>
      <c r="AE2044" s="187"/>
      <c r="AF2044" s="367"/>
      <c r="AG2044" s="245"/>
      <c r="AI2044" s="245"/>
    </row>
    <row r="2045" spans="1:35" ht="26.4">
      <c r="A2045" s="245"/>
      <c r="B2045" s="245"/>
      <c r="C2045" s="245"/>
      <c r="D2045" s="245"/>
      <c r="E2045" s="245"/>
      <c r="F2045" s="280"/>
      <c r="G2045" s="245"/>
      <c r="H2045" s="245"/>
      <c r="I2045" s="245"/>
      <c r="P2045" s="366"/>
      <c r="R2045" s="355"/>
      <c r="S2045" s="369"/>
      <c r="T2045" s="328"/>
      <c r="U2045" s="85" ph="1"/>
      <c r="W2045" s="216"/>
      <c r="X2045" s="245"/>
      <c r="Y2045" s="187"/>
      <c r="Z2045" s="245"/>
      <c r="AA2045" s="245"/>
      <c r="AB2045" s="332"/>
      <c r="AD2045" s="245"/>
      <c r="AE2045" s="187"/>
      <c r="AF2045" s="367"/>
      <c r="AG2045" s="245"/>
      <c r="AI2045" s="245"/>
    </row>
    <row r="2046" spans="1:35" ht="26.4">
      <c r="A2046" s="245"/>
      <c r="B2046" s="245"/>
      <c r="C2046" s="245"/>
      <c r="D2046" s="245"/>
      <c r="E2046" s="245"/>
      <c r="F2046" s="280"/>
      <c r="G2046" s="245"/>
      <c r="H2046" s="245"/>
      <c r="I2046" s="245"/>
      <c r="P2046" s="366"/>
      <c r="R2046" s="355"/>
      <c r="S2046" s="369"/>
      <c r="T2046" s="328"/>
      <c r="U2046" s="85" ph="1"/>
      <c r="W2046" s="216"/>
      <c r="X2046" s="245"/>
      <c r="Y2046" s="187"/>
      <c r="Z2046" s="245"/>
      <c r="AA2046" s="245"/>
      <c r="AB2046" s="332"/>
      <c r="AD2046" s="245"/>
      <c r="AE2046" s="187"/>
      <c r="AF2046" s="367"/>
      <c r="AG2046" s="245"/>
      <c r="AI2046" s="245"/>
    </row>
    <row r="2047" spans="1:35" ht="26.4">
      <c r="A2047" s="245"/>
      <c r="B2047" s="245"/>
      <c r="C2047" s="245"/>
      <c r="D2047" s="245"/>
      <c r="E2047" s="245"/>
      <c r="F2047" s="280"/>
      <c r="G2047" s="245"/>
      <c r="H2047" s="245"/>
      <c r="I2047" s="245"/>
      <c r="P2047" s="366"/>
      <c r="R2047" s="355"/>
      <c r="S2047" s="369"/>
      <c r="T2047" s="328"/>
      <c r="U2047" s="85" ph="1"/>
      <c r="W2047" s="216"/>
      <c r="X2047" s="245"/>
      <c r="Y2047" s="187"/>
      <c r="Z2047" s="245"/>
      <c r="AA2047" s="245"/>
      <c r="AB2047" s="332"/>
      <c r="AD2047" s="245"/>
      <c r="AE2047" s="187"/>
      <c r="AF2047" s="367"/>
      <c r="AG2047" s="245"/>
      <c r="AI2047" s="245"/>
    </row>
    <row r="2048" spans="1:35" ht="26.4">
      <c r="A2048" s="245"/>
      <c r="B2048" s="245"/>
      <c r="C2048" s="245"/>
      <c r="D2048" s="245"/>
      <c r="E2048" s="245"/>
      <c r="F2048" s="280"/>
      <c r="G2048" s="245"/>
      <c r="H2048" s="245"/>
      <c r="I2048" s="245"/>
      <c r="P2048" s="366"/>
      <c r="R2048" s="355"/>
      <c r="S2048" s="369"/>
      <c r="T2048" s="328"/>
      <c r="U2048" s="85" ph="1"/>
      <c r="W2048" s="216"/>
      <c r="X2048" s="245"/>
      <c r="Y2048" s="187"/>
      <c r="Z2048" s="245"/>
      <c r="AA2048" s="245"/>
      <c r="AB2048" s="332"/>
      <c r="AD2048" s="245"/>
      <c r="AE2048" s="187"/>
      <c r="AF2048" s="367"/>
      <c r="AG2048" s="245"/>
      <c r="AI2048" s="245"/>
    </row>
    <row r="2049" spans="1:35" ht="26.4">
      <c r="A2049" s="245"/>
      <c r="B2049" s="245"/>
      <c r="C2049" s="245"/>
      <c r="D2049" s="245"/>
      <c r="E2049" s="245"/>
      <c r="F2049" s="280"/>
      <c r="G2049" s="245"/>
      <c r="H2049" s="245"/>
      <c r="I2049" s="245"/>
      <c r="P2049" s="366"/>
      <c r="R2049" s="355"/>
      <c r="S2049" s="369"/>
      <c r="T2049" s="328"/>
      <c r="U2049" s="85" ph="1"/>
      <c r="W2049" s="216"/>
      <c r="X2049" s="245"/>
      <c r="Y2049" s="187"/>
      <c r="Z2049" s="245"/>
      <c r="AA2049" s="245"/>
      <c r="AB2049" s="332"/>
      <c r="AD2049" s="245"/>
      <c r="AE2049" s="187"/>
      <c r="AF2049" s="367"/>
      <c r="AG2049" s="245"/>
      <c r="AI2049" s="245"/>
    </row>
    <row r="2050" spans="1:35" ht="26.4">
      <c r="A2050" s="245"/>
      <c r="B2050" s="245"/>
      <c r="C2050" s="245"/>
      <c r="D2050" s="245"/>
      <c r="E2050" s="245"/>
      <c r="F2050" s="280"/>
      <c r="G2050" s="245"/>
      <c r="H2050" s="245"/>
      <c r="I2050" s="245"/>
      <c r="P2050" s="366"/>
      <c r="R2050" s="355"/>
      <c r="S2050" s="369"/>
      <c r="T2050" s="328"/>
      <c r="U2050" s="85" ph="1"/>
      <c r="W2050" s="216"/>
      <c r="X2050" s="245"/>
      <c r="Y2050" s="187"/>
      <c r="Z2050" s="245"/>
      <c r="AA2050" s="245"/>
      <c r="AB2050" s="332"/>
      <c r="AD2050" s="245"/>
      <c r="AE2050" s="187"/>
      <c r="AF2050" s="367"/>
      <c r="AG2050" s="245"/>
      <c r="AI2050" s="245"/>
    </row>
    <row r="2051" spans="1:35" ht="26.4">
      <c r="A2051" s="245"/>
      <c r="B2051" s="245"/>
      <c r="C2051" s="245"/>
      <c r="D2051" s="245"/>
      <c r="E2051" s="245"/>
      <c r="F2051" s="280"/>
      <c r="G2051" s="245"/>
      <c r="H2051" s="245"/>
      <c r="I2051" s="245"/>
      <c r="P2051" s="366"/>
      <c r="R2051" s="355"/>
      <c r="S2051" s="369"/>
      <c r="T2051" s="328"/>
      <c r="U2051" s="85" ph="1"/>
      <c r="W2051" s="216"/>
      <c r="X2051" s="245"/>
      <c r="Y2051" s="187"/>
      <c r="Z2051" s="245"/>
      <c r="AA2051" s="245"/>
      <c r="AB2051" s="332"/>
      <c r="AD2051" s="245"/>
      <c r="AE2051" s="187"/>
      <c r="AF2051" s="367"/>
      <c r="AG2051" s="245"/>
      <c r="AI2051" s="245"/>
    </row>
    <row r="2052" spans="1:35" ht="26.4">
      <c r="A2052" s="245"/>
      <c r="B2052" s="245"/>
      <c r="C2052" s="245"/>
      <c r="D2052" s="245"/>
      <c r="E2052" s="245"/>
      <c r="F2052" s="280"/>
      <c r="G2052" s="245"/>
      <c r="H2052" s="245"/>
      <c r="I2052" s="245"/>
      <c r="P2052" s="366"/>
      <c r="R2052" s="355"/>
      <c r="S2052" s="369"/>
      <c r="T2052" s="328"/>
      <c r="U2052" s="85" ph="1"/>
      <c r="W2052" s="216"/>
      <c r="X2052" s="245"/>
      <c r="Y2052" s="187"/>
      <c r="Z2052" s="245"/>
      <c r="AA2052" s="245"/>
      <c r="AB2052" s="332"/>
      <c r="AD2052" s="245"/>
      <c r="AE2052" s="187"/>
      <c r="AF2052" s="367"/>
      <c r="AG2052" s="245"/>
      <c r="AI2052" s="245"/>
    </row>
    <row r="2053" spans="1:35" ht="26.4">
      <c r="A2053" s="245"/>
      <c r="B2053" s="245"/>
      <c r="C2053" s="245"/>
      <c r="D2053" s="245"/>
      <c r="E2053" s="245"/>
      <c r="F2053" s="280"/>
      <c r="G2053" s="245"/>
      <c r="H2053" s="245"/>
      <c r="I2053" s="245"/>
      <c r="P2053" s="366"/>
      <c r="R2053" s="355"/>
      <c r="S2053" s="369"/>
      <c r="T2053" s="328"/>
      <c r="U2053" s="85" ph="1"/>
      <c r="W2053" s="216"/>
      <c r="X2053" s="245"/>
      <c r="Y2053" s="187"/>
      <c r="Z2053" s="245"/>
      <c r="AA2053" s="245"/>
      <c r="AB2053" s="332"/>
      <c r="AD2053" s="245"/>
      <c r="AE2053" s="187"/>
      <c r="AF2053" s="367"/>
      <c r="AG2053" s="245"/>
      <c r="AI2053" s="245"/>
    </row>
    <row r="2054" spans="1:35" ht="26.4">
      <c r="A2054" s="245"/>
      <c r="B2054" s="245"/>
      <c r="C2054" s="245"/>
      <c r="D2054" s="245"/>
      <c r="E2054" s="245"/>
      <c r="F2054" s="280"/>
      <c r="G2054" s="245"/>
      <c r="H2054" s="245"/>
      <c r="I2054" s="245"/>
      <c r="P2054" s="366"/>
      <c r="R2054" s="355"/>
      <c r="S2054" s="369"/>
      <c r="T2054" s="328"/>
      <c r="U2054" s="85" ph="1"/>
      <c r="W2054" s="216"/>
      <c r="X2054" s="245"/>
      <c r="Y2054" s="187"/>
      <c r="Z2054" s="245"/>
      <c r="AA2054" s="245"/>
      <c r="AB2054" s="332"/>
      <c r="AD2054" s="245"/>
      <c r="AE2054" s="187"/>
      <c r="AF2054" s="367"/>
      <c r="AG2054" s="245"/>
      <c r="AI2054" s="245"/>
    </row>
    <row r="2055" spans="1:35" ht="26.4">
      <c r="A2055" s="245"/>
      <c r="B2055" s="245"/>
      <c r="C2055" s="245"/>
      <c r="D2055" s="245"/>
      <c r="E2055" s="245"/>
      <c r="F2055" s="280"/>
      <c r="G2055" s="245"/>
      <c r="H2055" s="245"/>
      <c r="I2055" s="245"/>
      <c r="P2055" s="366"/>
      <c r="R2055" s="355"/>
      <c r="S2055" s="369"/>
      <c r="T2055" s="328"/>
      <c r="U2055" s="85" ph="1"/>
      <c r="W2055" s="216"/>
      <c r="X2055" s="245"/>
      <c r="Y2055" s="187"/>
      <c r="Z2055" s="245"/>
      <c r="AA2055" s="245"/>
      <c r="AB2055" s="332"/>
      <c r="AD2055" s="245"/>
      <c r="AE2055" s="187"/>
      <c r="AF2055" s="367"/>
      <c r="AG2055" s="245"/>
      <c r="AI2055" s="245"/>
    </row>
    <row r="2056" spans="1:35" ht="26.4">
      <c r="A2056" s="245"/>
      <c r="B2056" s="245"/>
      <c r="C2056" s="245"/>
      <c r="D2056" s="245"/>
      <c r="E2056" s="245"/>
      <c r="F2056" s="280"/>
      <c r="G2056" s="245"/>
      <c r="H2056" s="245"/>
      <c r="I2056" s="245"/>
      <c r="P2056" s="366"/>
      <c r="R2056" s="355"/>
      <c r="S2056" s="369"/>
      <c r="T2056" s="328"/>
      <c r="U2056" s="85" ph="1"/>
      <c r="W2056" s="216"/>
      <c r="X2056" s="245"/>
      <c r="Y2056" s="187"/>
      <c r="Z2056" s="245"/>
      <c r="AA2056" s="245"/>
      <c r="AB2056" s="332"/>
      <c r="AD2056" s="245"/>
      <c r="AE2056" s="187"/>
      <c r="AF2056" s="367"/>
      <c r="AG2056" s="245"/>
      <c r="AI2056" s="245"/>
    </row>
    <row r="2057" spans="1:35" ht="26.4">
      <c r="A2057" s="245"/>
      <c r="B2057" s="245"/>
      <c r="C2057" s="245"/>
      <c r="D2057" s="245"/>
      <c r="E2057" s="245"/>
      <c r="F2057" s="280"/>
      <c r="G2057" s="245"/>
      <c r="H2057" s="245"/>
      <c r="I2057" s="245"/>
      <c r="P2057" s="366"/>
      <c r="R2057" s="355"/>
      <c r="S2057" s="369"/>
      <c r="T2057" s="328"/>
      <c r="U2057" s="85" ph="1"/>
      <c r="W2057" s="216"/>
      <c r="X2057" s="245"/>
      <c r="Y2057" s="187"/>
      <c r="Z2057" s="245"/>
      <c r="AA2057" s="245"/>
      <c r="AB2057" s="332"/>
      <c r="AD2057" s="245"/>
      <c r="AE2057" s="187"/>
      <c r="AF2057" s="367"/>
      <c r="AG2057" s="245"/>
      <c r="AI2057" s="245"/>
    </row>
    <row r="2058" spans="1:35" ht="26.4">
      <c r="A2058" s="245"/>
      <c r="B2058" s="245"/>
      <c r="C2058" s="245"/>
      <c r="D2058" s="245"/>
      <c r="E2058" s="245"/>
      <c r="F2058" s="280"/>
      <c r="G2058" s="245"/>
      <c r="H2058" s="245"/>
      <c r="I2058" s="245"/>
      <c r="P2058" s="366"/>
      <c r="R2058" s="355"/>
      <c r="S2058" s="369"/>
      <c r="T2058" s="328"/>
      <c r="U2058" s="85" ph="1"/>
      <c r="W2058" s="216"/>
      <c r="X2058" s="245"/>
      <c r="Y2058" s="187"/>
      <c r="Z2058" s="245"/>
      <c r="AA2058" s="245"/>
      <c r="AB2058" s="332"/>
      <c r="AD2058" s="245"/>
      <c r="AE2058" s="187"/>
      <c r="AF2058" s="367"/>
      <c r="AG2058" s="245"/>
      <c r="AI2058" s="245"/>
    </row>
    <row r="2059" spans="1:35" ht="26.4">
      <c r="A2059" s="245"/>
      <c r="B2059" s="245"/>
      <c r="C2059" s="245"/>
      <c r="D2059" s="245"/>
      <c r="E2059" s="245"/>
      <c r="F2059" s="280"/>
      <c r="G2059" s="245"/>
      <c r="H2059" s="245"/>
      <c r="I2059" s="245"/>
      <c r="P2059" s="366"/>
      <c r="R2059" s="355"/>
      <c r="S2059" s="369"/>
      <c r="T2059" s="328"/>
      <c r="U2059" s="85" ph="1"/>
      <c r="W2059" s="216"/>
      <c r="X2059" s="245"/>
      <c r="Y2059" s="187"/>
      <c r="Z2059" s="245"/>
      <c r="AA2059" s="245"/>
      <c r="AB2059" s="332"/>
      <c r="AD2059" s="245"/>
      <c r="AE2059" s="187"/>
      <c r="AF2059" s="367"/>
      <c r="AG2059" s="245"/>
      <c r="AI2059" s="245"/>
    </row>
    <row r="2060" spans="1:35" ht="26.4">
      <c r="A2060" s="245"/>
      <c r="B2060" s="245"/>
      <c r="C2060" s="245"/>
      <c r="D2060" s="245"/>
      <c r="E2060" s="245"/>
      <c r="F2060" s="280"/>
      <c r="G2060" s="245"/>
      <c r="H2060" s="245"/>
      <c r="I2060" s="245"/>
      <c r="P2060" s="366"/>
      <c r="R2060" s="355"/>
      <c r="S2060" s="369"/>
      <c r="T2060" s="328"/>
      <c r="U2060" s="85" ph="1"/>
      <c r="W2060" s="216"/>
      <c r="X2060" s="245"/>
      <c r="Y2060" s="187"/>
      <c r="Z2060" s="245"/>
      <c r="AA2060" s="245"/>
      <c r="AB2060" s="332"/>
      <c r="AD2060" s="245"/>
      <c r="AE2060" s="187"/>
      <c r="AF2060" s="367"/>
      <c r="AG2060" s="245"/>
      <c r="AI2060" s="245"/>
    </row>
    <row r="2061" spans="1:35" ht="26.4">
      <c r="A2061" s="245"/>
      <c r="B2061" s="245"/>
      <c r="C2061" s="245"/>
      <c r="D2061" s="245"/>
      <c r="E2061" s="245"/>
      <c r="F2061" s="280"/>
      <c r="G2061" s="245"/>
      <c r="H2061" s="245"/>
      <c r="I2061" s="245"/>
      <c r="P2061" s="366"/>
      <c r="R2061" s="355"/>
      <c r="S2061" s="369"/>
      <c r="T2061" s="328"/>
      <c r="U2061" s="85" ph="1"/>
      <c r="W2061" s="216"/>
      <c r="X2061" s="245"/>
      <c r="Y2061" s="187"/>
      <c r="Z2061" s="245"/>
      <c r="AA2061" s="245"/>
      <c r="AB2061" s="332"/>
      <c r="AD2061" s="245"/>
      <c r="AE2061" s="187"/>
      <c r="AF2061" s="367"/>
      <c r="AG2061" s="245"/>
      <c r="AI2061" s="245"/>
    </row>
    <row r="2062" spans="1:35" ht="26.4">
      <c r="A2062" s="245"/>
      <c r="B2062" s="245"/>
      <c r="C2062" s="245"/>
      <c r="D2062" s="245"/>
      <c r="E2062" s="245"/>
      <c r="F2062" s="280"/>
      <c r="G2062" s="245"/>
      <c r="H2062" s="245"/>
      <c r="I2062" s="245"/>
      <c r="P2062" s="366"/>
      <c r="R2062" s="355"/>
      <c r="S2062" s="369"/>
      <c r="T2062" s="328"/>
      <c r="U2062" s="85" ph="1"/>
      <c r="W2062" s="216"/>
      <c r="X2062" s="245"/>
      <c r="Y2062" s="187"/>
      <c r="Z2062" s="245"/>
      <c r="AA2062" s="245"/>
      <c r="AB2062" s="332"/>
      <c r="AD2062" s="245"/>
      <c r="AE2062" s="187"/>
      <c r="AF2062" s="367"/>
      <c r="AG2062" s="245"/>
      <c r="AI2062" s="245"/>
    </row>
    <row r="2063" spans="1:35" ht="26.4">
      <c r="A2063" s="245"/>
      <c r="B2063" s="245"/>
      <c r="C2063" s="245"/>
      <c r="D2063" s="245"/>
      <c r="E2063" s="245"/>
      <c r="F2063" s="280"/>
      <c r="G2063" s="245"/>
      <c r="H2063" s="245"/>
      <c r="I2063" s="245"/>
      <c r="P2063" s="366"/>
      <c r="R2063" s="355"/>
      <c r="S2063" s="369"/>
      <c r="T2063" s="328"/>
      <c r="U2063" s="85" ph="1"/>
      <c r="W2063" s="216"/>
      <c r="X2063" s="245"/>
      <c r="Y2063" s="187"/>
      <c r="Z2063" s="245"/>
      <c r="AA2063" s="245"/>
      <c r="AB2063" s="332"/>
      <c r="AD2063" s="245"/>
      <c r="AE2063" s="187"/>
      <c r="AF2063" s="367"/>
      <c r="AG2063" s="245"/>
      <c r="AI2063" s="245"/>
    </row>
    <row r="2064" spans="1:35" ht="26.4">
      <c r="A2064" s="245"/>
      <c r="B2064" s="245"/>
      <c r="C2064" s="245"/>
      <c r="D2064" s="245"/>
      <c r="E2064" s="245"/>
      <c r="F2064" s="280"/>
      <c r="G2064" s="245"/>
      <c r="H2064" s="245"/>
      <c r="I2064" s="245"/>
      <c r="P2064" s="366"/>
      <c r="R2064" s="355"/>
      <c r="S2064" s="369"/>
      <c r="T2064" s="328"/>
      <c r="U2064" s="85" ph="1"/>
      <c r="W2064" s="216"/>
      <c r="X2064" s="245"/>
      <c r="Y2064" s="187"/>
      <c r="Z2064" s="245"/>
      <c r="AA2064" s="245"/>
      <c r="AB2064" s="332"/>
      <c r="AD2064" s="245"/>
      <c r="AE2064" s="187"/>
      <c r="AF2064" s="367"/>
      <c r="AG2064" s="245"/>
      <c r="AI2064" s="245"/>
    </row>
    <row r="2065" spans="1:35" ht="26.4">
      <c r="A2065" s="245"/>
      <c r="B2065" s="245"/>
      <c r="C2065" s="245"/>
      <c r="D2065" s="245"/>
      <c r="E2065" s="245"/>
      <c r="F2065" s="280"/>
      <c r="G2065" s="245"/>
      <c r="H2065" s="245"/>
      <c r="I2065" s="245"/>
      <c r="P2065" s="366"/>
      <c r="R2065" s="355"/>
      <c r="S2065" s="369"/>
      <c r="T2065" s="328"/>
      <c r="U2065" s="85" ph="1"/>
      <c r="W2065" s="216"/>
      <c r="X2065" s="245"/>
      <c r="Y2065" s="187"/>
      <c r="Z2065" s="245"/>
      <c r="AA2065" s="245"/>
      <c r="AB2065" s="332"/>
      <c r="AD2065" s="245"/>
      <c r="AE2065" s="187"/>
      <c r="AF2065" s="367"/>
      <c r="AG2065" s="245"/>
      <c r="AI2065" s="245"/>
    </row>
    <row r="2066" spans="1:35" ht="26.4">
      <c r="A2066" s="245"/>
      <c r="B2066" s="245"/>
      <c r="C2066" s="245"/>
      <c r="D2066" s="245"/>
      <c r="E2066" s="245"/>
      <c r="F2066" s="280"/>
      <c r="G2066" s="245"/>
      <c r="H2066" s="245"/>
      <c r="I2066" s="245"/>
      <c r="P2066" s="366"/>
      <c r="R2066" s="355"/>
      <c r="S2066" s="369"/>
      <c r="T2066" s="328"/>
      <c r="U2066" s="85" ph="1"/>
      <c r="W2066" s="216"/>
      <c r="X2066" s="245"/>
      <c r="Y2066" s="187"/>
      <c r="Z2066" s="245"/>
      <c r="AA2066" s="245"/>
      <c r="AB2066" s="332"/>
      <c r="AD2066" s="245"/>
      <c r="AE2066" s="187"/>
      <c r="AF2066" s="367"/>
      <c r="AG2066" s="245"/>
      <c r="AI2066" s="245"/>
    </row>
    <row r="2067" spans="1:35" ht="26.4">
      <c r="A2067" s="245"/>
      <c r="B2067" s="245"/>
      <c r="C2067" s="245"/>
      <c r="D2067" s="245"/>
      <c r="E2067" s="245"/>
      <c r="F2067" s="280"/>
      <c r="G2067" s="245"/>
      <c r="H2067" s="245"/>
      <c r="I2067" s="245"/>
      <c r="P2067" s="366"/>
      <c r="R2067" s="355"/>
      <c r="S2067" s="369"/>
      <c r="T2067" s="328"/>
      <c r="U2067" s="85" ph="1"/>
      <c r="W2067" s="216"/>
      <c r="X2067" s="245"/>
      <c r="Y2067" s="187"/>
      <c r="Z2067" s="245"/>
      <c r="AA2067" s="245"/>
      <c r="AB2067" s="332"/>
      <c r="AD2067" s="245"/>
      <c r="AE2067" s="187"/>
      <c r="AF2067" s="367"/>
      <c r="AG2067" s="245"/>
      <c r="AI2067" s="245"/>
    </row>
    <row r="2068" spans="1:35" ht="26.4">
      <c r="A2068" s="245"/>
      <c r="B2068" s="245"/>
      <c r="C2068" s="245"/>
      <c r="D2068" s="245"/>
      <c r="E2068" s="245"/>
      <c r="F2068" s="280"/>
      <c r="G2068" s="245"/>
      <c r="H2068" s="245"/>
      <c r="I2068" s="245"/>
      <c r="P2068" s="366"/>
      <c r="R2068" s="355"/>
      <c r="S2068" s="369"/>
      <c r="T2068" s="328"/>
      <c r="U2068" s="85" ph="1"/>
      <c r="W2068" s="216"/>
      <c r="X2068" s="245"/>
      <c r="Y2068" s="187"/>
      <c r="Z2068" s="245"/>
      <c r="AA2068" s="245"/>
      <c r="AB2068" s="332"/>
      <c r="AD2068" s="245"/>
      <c r="AE2068" s="187"/>
      <c r="AF2068" s="367"/>
      <c r="AG2068" s="245"/>
      <c r="AI2068" s="245"/>
    </row>
    <row r="2069" spans="1:35" ht="26.4">
      <c r="A2069" s="245"/>
      <c r="B2069" s="245"/>
      <c r="C2069" s="245"/>
      <c r="D2069" s="245"/>
      <c r="E2069" s="245"/>
      <c r="F2069" s="280"/>
      <c r="G2069" s="245"/>
      <c r="H2069" s="245"/>
      <c r="I2069" s="245"/>
      <c r="P2069" s="366"/>
      <c r="R2069" s="355"/>
      <c r="S2069" s="369"/>
      <c r="T2069" s="328"/>
      <c r="U2069" s="85" ph="1"/>
      <c r="W2069" s="216"/>
      <c r="X2069" s="245"/>
      <c r="Y2069" s="187"/>
      <c r="Z2069" s="245"/>
      <c r="AA2069" s="245"/>
      <c r="AB2069" s="332"/>
      <c r="AD2069" s="245"/>
      <c r="AE2069" s="187"/>
      <c r="AF2069" s="367"/>
      <c r="AG2069" s="245"/>
      <c r="AI2069" s="245"/>
    </row>
    <row r="2070" spans="1:35" ht="26.4">
      <c r="A2070" s="245"/>
      <c r="B2070" s="245"/>
      <c r="C2070" s="245"/>
      <c r="D2070" s="245"/>
      <c r="E2070" s="245"/>
      <c r="F2070" s="280"/>
      <c r="G2070" s="245"/>
      <c r="H2070" s="245"/>
      <c r="I2070" s="245"/>
      <c r="P2070" s="366"/>
      <c r="R2070" s="355"/>
      <c r="S2070" s="369"/>
      <c r="T2070" s="328"/>
      <c r="U2070" s="85" ph="1"/>
      <c r="W2070" s="216"/>
      <c r="X2070" s="245"/>
      <c r="Y2070" s="187"/>
      <c r="Z2070" s="245"/>
      <c r="AA2070" s="245"/>
      <c r="AB2070" s="332"/>
      <c r="AD2070" s="245"/>
      <c r="AE2070" s="187"/>
      <c r="AF2070" s="367"/>
      <c r="AG2070" s="245"/>
      <c r="AI2070" s="245"/>
    </row>
    <row r="2071" spans="1:35" ht="26.4">
      <c r="A2071" s="245"/>
      <c r="B2071" s="245"/>
      <c r="C2071" s="245"/>
      <c r="D2071" s="245"/>
      <c r="E2071" s="245"/>
      <c r="F2071" s="280"/>
      <c r="G2071" s="245"/>
      <c r="H2071" s="245"/>
      <c r="I2071" s="245"/>
      <c r="P2071" s="366"/>
      <c r="R2071" s="355"/>
      <c r="S2071" s="369"/>
      <c r="T2071" s="328"/>
      <c r="U2071" s="85" ph="1"/>
      <c r="W2071" s="216"/>
      <c r="X2071" s="245"/>
      <c r="Y2071" s="187"/>
      <c r="Z2071" s="245"/>
      <c r="AA2071" s="245"/>
      <c r="AB2071" s="332"/>
      <c r="AD2071" s="245"/>
      <c r="AE2071" s="187"/>
      <c r="AF2071" s="367"/>
      <c r="AG2071" s="245"/>
      <c r="AI2071" s="245"/>
    </row>
    <row r="2072" spans="1:35" ht="26.4">
      <c r="A2072" s="245"/>
      <c r="B2072" s="245"/>
      <c r="C2072" s="245"/>
      <c r="D2072" s="245"/>
      <c r="E2072" s="245"/>
      <c r="F2072" s="280"/>
      <c r="G2072" s="245"/>
      <c r="H2072" s="245"/>
      <c r="I2072" s="245"/>
      <c r="P2072" s="366"/>
      <c r="R2072" s="355"/>
      <c r="S2072" s="369"/>
      <c r="T2072" s="328"/>
      <c r="U2072" s="85" ph="1"/>
      <c r="W2072" s="216"/>
      <c r="X2072" s="245"/>
      <c r="Y2072" s="187"/>
      <c r="Z2072" s="245"/>
      <c r="AA2072" s="245"/>
      <c r="AB2072" s="332"/>
      <c r="AD2072" s="245"/>
      <c r="AE2072" s="187"/>
      <c r="AF2072" s="367"/>
      <c r="AG2072" s="245"/>
      <c r="AI2072" s="245"/>
    </row>
    <row r="2073" spans="1:35" ht="26.4">
      <c r="A2073" s="245"/>
      <c r="B2073" s="245"/>
      <c r="C2073" s="245"/>
      <c r="D2073" s="245"/>
      <c r="E2073" s="245"/>
      <c r="F2073" s="280"/>
      <c r="G2073" s="245"/>
      <c r="H2073" s="245"/>
      <c r="I2073" s="245"/>
      <c r="P2073" s="366"/>
      <c r="R2073" s="355"/>
      <c r="S2073" s="369"/>
      <c r="T2073" s="328"/>
      <c r="U2073" s="85" ph="1"/>
      <c r="W2073" s="216"/>
      <c r="X2073" s="245"/>
      <c r="Y2073" s="187"/>
      <c r="Z2073" s="245"/>
      <c r="AA2073" s="245"/>
      <c r="AB2073" s="332"/>
      <c r="AD2073" s="245"/>
      <c r="AE2073" s="187"/>
      <c r="AF2073" s="367"/>
      <c r="AG2073" s="245"/>
      <c r="AI2073" s="245"/>
    </row>
    <row r="2074" spans="1:35" ht="26.4">
      <c r="A2074" s="245"/>
      <c r="B2074" s="245"/>
      <c r="C2074" s="245"/>
      <c r="D2074" s="245"/>
      <c r="E2074" s="245"/>
      <c r="F2074" s="280"/>
      <c r="G2074" s="245"/>
      <c r="H2074" s="245"/>
      <c r="I2074" s="245"/>
      <c r="P2074" s="366"/>
      <c r="R2074" s="355"/>
      <c r="S2074" s="369"/>
      <c r="T2074" s="328"/>
      <c r="U2074" s="85" ph="1"/>
      <c r="W2074" s="216"/>
      <c r="X2074" s="245"/>
      <c r="Y2074" s="187"/>
      <c r="Z2074" s="245"/>
      <c r="AA2074" s="245"/>
      <c r="AB2074" s="332"/>
      <c r="AD2074" s="245"/>
      <c r="AE2074" s="187"/>
      <c r="AF2074" s="367"/>
      <c r="AG2074" s="245"/>
      <c r="AI2074" s="245"/>
    </row>
    <row r="2075" spans="1:35" ht="26.4">
      <c r="A2075" s="245"/>
      <c r="B2075" s="245"/>
      <c r="C2075" s="245"/>
      <c r="D2075" s="245"/>
      <c r="E2075" s="245"/>
      <c r="F2075" s="280"/>
      <c r="G2075" s="245"/>
      <c r="H2075" s="245"/>
      <c r="I2075" s="245"/>
      <c r="P2075" s="366"/>
      <c r="R2075" s="355"/>
      <c r="S2075" s="369"/>
      <c r="T2075" s="328"/>
      <c r="U2075" s="85" ph="1"/>
      <c r="W2075" s="216"/>
      <c r="X2075" s="245"/>
      <c r="Y2075" s="187"/>
      <c r="Z2075" s="245"/>
      <c r="AA2075" s="245"/>
      <c r="AB2075" s="332"/>
      <c r="AD2075" s="245"/>
      <c r="AE2075" s="187"/>
      <c r="AF2075" s="367"/>
      <c r="AG2075" s="245"/>
      <c r="AI2075" s="245"/>
    </row>
    <row r="2076" spans="1:35" ht="26.4">
      <c r="A2076" s="245"/>
      <c r="B2076" s="245"/>
      <c r="C2076" s="245"/>
      <c r="D2076" s="245"/>
      <c r="E2076" s="245"/>
      <c r="F2076" s="280"/>
      <c r="G2076" s="245"/>
      <c r="H2076" s="245"/>
      <c r="I2076" s="245"/>
      <c r="P2076" s="366"/>
      <c r="R2076" s="355"/>
      <c r="S2076" s="369"/>
      <c r="T2076" s="328"/>
      <c r="U2076" s="85" ph="1"/>
      <c r="W2076" s="216"/>
      <c r="X2076" s="245"/>
      <c r="Y2076" s="187"/>
      <c r="Z2076" s="245"/>
      <c r="AA2076" s="245"/>
      <c r="AB2076" s="332"/>
      <c r="AD2076" s="245"/>
      <c r="AE2076" s="187"/>
      <c r="AF2076" s="367"/>
      <c r="AG2076" s="245"/>
      <c r="AI2076" s="245"/>
    </row>
    <row r="2077" spans="1:35" ht="26.4">
      <c r="A2077" s="245"/>
      <c r="B2077" s="245"/>
      <c r="C2077" s="245"/>
      <c r="D2077" s="245"/>
      <c r="E2077" s="245"/>
      <c r="F2077" s="280"/>
      <c r="G2077" s="245"/>
      <c r="H2077" s="245"/>
      <c r="I2077" s="245"/>
      <c r="P2077" s="366"/>
      <c r="R2077" s="355"/>
      <c r="S2077" s="369"/>
      <c r="T2077" s="328"/>
      <c r="U2077" s="85" ph="1"/>
      <c r="W2077" s="216"/>
      <c r="X2077" s="245"/>
      <c r="Y2077" s="187"/>
      <c r="Z2077" s="245"/>
      <c r="AA2077" s="245"/>
      <c r="AB2077" s="332"/>
      <c r="AD2077" s="245"/>
      <c r="AE2077" s="187"/>
      <c r="AF2077" s="367"/>
      <c r="AG2077" s="245"/>
      <c r="AI2077" s="245"/>
    </row>
    <row r="2078" spans="1:35" ht="26.4">
      <c r="A2078" s="245"/>
      <c r="B2078" s="245"/>
      <c r="C2078" s="245"/>
      <c r="D2078" s="245"/>
      <c r="E2078" s="245"/>
      <c r="F2078" s="280"/>
      <c r="G2078" s="245"/>
      <c r="H2078" s="245"/>
      <c r="I2078" s="245"/>
      <c r="P2078" s="366"/>
      <c r="R2078" s="355"/>
      <c r="S2078" s="369"/>
      <c r="T2078" s="328"/>
      <c r="U2078" s="85" ph="1"/>
      <c r="W2078" s="216"/>
      <c r="X2078" s="245"/>
      <c r="Y2078" s="187"/>
      <c r="Z2078" s="245"/>
      <c r="AA2078" s="245"/>
      <c r="AB2078" s="332"/>
      <c r="AD2078" s="245"/>
      <c r="AE2078" s="187"/>
      <c r="AF2078" s="367"/>
      <c r="AG2078" s="245"/>
      <c r="AI2078" s="245"/>
    </row>
    <row r="2079" spans="1:35" ht="26.4">
      <c r="A2079" s="245"/>
      <c r="B2079" s="245"/>
      <c r="C2079" s="245"/>
      <c r="D2079" s="245"/>
      <c r="E2079" s="245"/>
      <c r="F2079" s="280"/>
      <c r="G2079" s="245"/>
      <c r="H2079" s="245"/>
      <c r="I2079" s="245"/>
      <c r="P2079" s="366"/>
      <c r="R2079" s="355"/>
      <c r="S2079" s="369"/>
      <c r="T2079" s="328"/>
      <c r="U2079" s="85" ph="1"/>
      <c r="W2079" s="216"/>
      <c r="X2079" s="245"/>
      <c r="Y2079" s="187"/>
      <c r="Z2079" s="245"/>
      <c r="AA2079" s="245"/>
      <c r="AB2079" s="332"/>
      <c r="AD2079" s="245"/>
      <c r="AE2079" s="187"/>
      <c r="AF2079" s="367"/>
      <c r="AG2079" s="245"/>
      <c r="AI2079" s="245"/>
    </row>
    <row r="2080" spans="1:35" ht="26.4">
      <c r="A2080" s="245"/>
      <c r="B2080" s="245"/>
      <c r="C2080" s="245"/>
      <c r="D2080" s="245"/>
      <c r="E2080" s="245"/>
      <c r="F2080" s="280"/>
      <c r="G2080" s="245"/>
      <c r="H2080" s="245"/>
      <c r="I2080" s="245"/>
      <c r="P2080" s="366"/>
      <c r="R2080" s="355"/>
      <c r="S2080" s="369"/>
      <c r="T2080" s="328"/>
      <c r="U2080" s="85" ph="1"/>
      <c r="W2080" s="216"/>
      <c r="X2080" s="245"/>
      <c r="Y2080" s="187"/>
      <c r="Z2080" s="245"/>
      <c r="AA2080" s="245"/>
      <c r="AB2080" s="332"/>
      <c r="AD2080" s="245"/>
      <c r="AE2080" s="187"/>
      <c r="AF2080" s="367"/>
      <c r="AG2080" s="245"/>
      <c r="AI2080" s="245"/>
    </row>
    <row r="2081" spans="1:35" ht="26.4">
      <c r="A2081" s="245"/>
      <c r="B2081" s="245"/>
      <c r="C2081" s="245"/>
      <c r="D2081" s="245"/>
      <c r="E2081" s="245"/>
      <c r="F2081" s="280"/>
      <c r="G2081" s="245"/>
      <c r="H2081" s="245"/>
      <c r="I2081" s="245"/>
      <c r="P2081" s="366"/>
      <c r="R2081" s="355"/>
      <c r="S2081" s="369"/>
      <c r="T2081" s="328"/>
      <c r="U2081" s="85" ph="1"/>
      <c r="W2081" s="216"/>
      <c r="X2081" s="245"/>
      <c r="Y2081" s="187"/>
      <c r="Z2081" s="245"/>
      <c r="AA2081" s="245"/>
      <c r="AB2081" s="332"/>
      <c r="AD2081" s="245"/>
      <c r="AE2081" s="187"/>
      <c r="AF2081" s="367"/>
      <c r="AG2081" s="245"/>
      <c r="AI2081" s="245"/>
    </row>
    <row r="2082" spans="1:35" ht="26.4">
      <c r="A2082" s="245"/>
      <c r="B2082" s="245"/>
      <c r="C2082" s="245"/>
      <c r="D2082" s="245"/>
      <c r="E2082" s="245"/>
      <c r="F2082" s="280"/>
      <c r="G2082" s="245"/>
      <c r="H2082" s="245"/>
      <c r="I2082" s="245"/>
      <c r="P2082" s="366"/>
      <c r="R2082" s="355"/>
      <c r="S2082" s="369"/>
      <c r="T2082" s="328"/>
      <c r="U2082" s="85" ph="1"/>
      <c r="W2082" s="216"/>
      <c r="X2082" s="245"/>
      <c r="Y2082" s="187"/>
      <c r="Z2082" s="245"/>
      <c r="AA2082" s="245"/>
      <c r="AB2082" s="332"/>
      <c r="AD2082" s="245"/>
      <c r="AE2082" s="187"/>
      <c r="AF2082" s="367"/>
      <c r="AG2082" s="245"/>
      <c r="AI2082" s="245"/>
    </row>
    <row r="2083" spans="1:35" ht="26.4">
      <c r="A2083" s="245"/>
      <c r="B2083" s="245"/>
      <c r="C2083" s="245"/>
      <c r="D2083" s="245"/>
      <c r="E2083" s="245"/>
      <c r="F2083" s="280"/>
      <c r="G2083" s="245"/>
      <c r="H2083" s="245"/>
      <c r="I2083" s="245"/>
      <c r="P2083" s="366"/>
      <c r="R2083" s="355"/>
      <c r="S2083" s="369"/>
      <c r="T2083" s="328"/>
      <c r="U2083" s="85" ph="1"/>
      <c r="W2083" s="216"/>
      <c r="X2083" s="245"/>
      <c r="Y2083" s="187"/>
      <c r="Z2083" s="245"/>
      <c r="AA2083" s="245"/>
      <c r="AB2083" s="332"/>
      <c r="AD2083" s="245"/>
      <c r="AE2083" s="187"/>
      <c r="AF2083" s="367"/>
      <c r="AG2083" s="245"/>
      <c r="AI2083" s="245"/>
    </row>
    <row r="2084" spans="1:35" ht="26.4">
      <c r="A2084" s="245"/>
      <c r="B2084" s="245"/>
      <c r="C2084" s="245"/>
      <c r="D2084" s="245"/>
      <c r="E2084" s="245"/>
      <c r="F2084" s="280"/>
      <c r="G2084" s="245"/>
      <c r="H2084" s="245"/>
      <c r="I2084" s="245"/>
      <c r="P2084" s="366"/>
      <c r="R2084" s="355"/>
      <c r="S2084" s="369"/>
      <c r="T2084" s="328"/>
      <c r="U2084" s="85" ph="1"/>
      <c r="W2084" s="216"/>
      <c r="X2084" s="245"/>
      <c r="Y2084" s="187"/>
      <c r="Z2084" s="245"/>
      <c r="AA2084" s="245"/>
      <c r="AB2084" s="332"/>
      <c r="AD2084" s="245"/>
      <c r="AE2084" s="187"/>
      <c r="AF2084" s="367"/>
      <c r="AG2084" s="245"/>
      <c r="AI2084" s="245"/>
    </row>
    <row r="2085" spans="1:35" ht="26.4">
      <c r="A2085" s="245"/>
      <c r="B2085" s="245"/>
      <c r="C2085" s="245"/>
      <c r="D2085" s="245"/>
      <c r="E2085" s="245"/>
      <c r="F2085" s="280"/>
      <c r="G2085" s="245"/>
      <c r="H2085" s="245"/>
      <c r="I2085" s="245"/>
      <c r="P2085" s="366"/>
      <c r="R2085" s="355"/>
      <c r="S2085" s="369"/>
      <c r="T2085" s="328"/>
      <c r="U2085" s="85" ph="1"/>
      <c r="W2085" s="216"/>
      <c r="X2085" s="245"/>
      <c r="Y2085" s="187"/>
      <c r="Z2085" s="245"/>
      <c r="AA2085" s="245"/>
      <c r="AB2085" s="332"/>
      <c r="AD2085" s="245"/>
      <c r="AE2085" s="187"/>
      <c r="AF2085" s="367"/>
      <c r="AG2085" s="245"/>
      <c r="AI2085" s="245"/>
    </row>
    <row r="2086" spans="1:35" ht="26.4">
      <c r="A2086" s="245"/>
      <c r="B2086" s="245"/>
      <c r="C2086" s="245"/>
      <c r="D2086" s="245"/>
      <c r="E2086" s="245"/>
      <c r="F2086" s="280"/>
      <c r="G2086" s="245"/>
      <c r="H2086" s="245"/>
      <c r="I2086" s="245"/>
      <c r="P2086" s="366"/>
      <c r="R2086" s="355"/>
      <c r="S2086" s="369"/>
      <c r="T2086" s="328"/>
      <c r="U2086" s="85" ph="1"/>
      <c r="W2086" s="216"/>
      <c r="X2086" s="245"/>
      <c r="Y2086" s="187"/>
      <c r="Z2086" s="245"/>
      <c r="AA2086" s="245"/>
      <c r="AB2086" s="332"/>
      <c r="AD2086" s="245"/>
      <c r="AE2086" s="187"/>
      <c r="AF2086" s="367"/>
      <c r="AG2086" s="245"/>
      <c r="AI2086" s="245"/>
    </row>
    <row r="2087" spans="1:35" ht="26.4">
      <c r="A2087" s="245"/>
      <c r="B2087" s="245"/>
      <c r="C2087" s="245"/>
      <c r="D2087" s="245"/>
      <c r="E2087" s="245"/>
      <c r="F2087" s="280"/>
      <c r="G2087" s="245"/>
      <c r="H2087" s="245"/>
      <c r="I2087" s="245"/>
      <c r="P2087" s="366"/>
      <c r="R2087" s="355"/>
      <c r="S2087" s="369"/>
      <c r="T2087" s="328"/>
      <c r="U2087" s="85" ph="1"/>
      <c r="W2087" s="216"/>
      <c r="X2087" s="245"/>
      <c r="Y2087" s="187"/>
      <c r="Z2087" s="245"/>
      <c r="AA2087" s="245"/>
      <c r="AB2087" s="332"/>
      <c r="AD2087" s="245"/>
      <c r="AE2087" s="187"/>
      <c r="AF2087" s="367"/>
      <c r="AG2087" s="245"/>
      <c r="AI2087" s="245"/>
    </row>
    <row r="2088" spans="1:35" ht="26.4">
      <c r="A2088" s="245"/>
      <c r="B2088" s="245"/>
      <c r="C2088" s="245"/>
      <c r="D2088" s="245"/>
      <c r="E2088" s="245"/>
      <c r="F2088" s="280"/>
      <c r="G2088" s="245"/>
      <c r="H2088" s="245"/>
      <c r="I2088" s="245"/>
      <c r="P2088" s="366"/>
      <c r="R2088" s="355"/>
      <c r="S2088" s="369"/>
      <c r="T2088" s="328"/>
      <c r="U2088" s="85" ph="1"/>
      <c r="W2088" s="216"/>
      <c r="X2088" s="245"/>
      <c r="Y2088" s="187"/>
      <c r="Z2088" s="245"/>
      <c r="AA2088" s="245"/>
      <c r="AB2088" s="332"/>
      <c r="AD2088" s="245"/>
      <c r="AE2088" s="187"/>
      <c r="AF2088" s="367"/>
      <c r="AG2088" s="245"/>
      <c r="AI2088" s="245"/>
    </row>
    <row r="2089" spans="1:35" ht="26.4">
      <c r="A2089" s="245"/>
      <c r="B2089" s="245"/>
      <c r="C2089" s="245"/>
      <c r="D2089" s="245"/>
      <c r="E2089" s="245"/>
      <c r="F2089" s="280"/>
      <c r="G2089" s="245"/>
      <c r="H2089" s="245"/>
      <c r="I2089" s="245"/>
      <c r="P2089" s="366"/>
      <c r="R2089" s="355"/>
      <c r="S2089" s="369"/>
      <c r="T2089" s="328"/>
      <c r="U2089" s="85" ph="1"/>
      <c r="W2089" s="216"/>
      <c r="X2089" s="245"/>
      <c r="Y2089" s="187"/>
      <c r="Z2089" s="245"/>
      <c r="AA2089" s="245"/>
      <c r="AB2089" s="332"/>
      <c r="AD2089" s="245"/>
      <c r="AE2089" s="187"/>
      <c r="AF2089" s="367"/>
      <c r="AG2089" s="245"/>
      <c r="AI2089" s="245"/>
    </row>
    <row r="2090" spans="1:35" ht="26.4">
      <c r="A2090" s="245"/>
      <c r="B2090" s="245"/>
      <c r="C2090" s="245"/>
      <c r="D2090" s="245"/>
      <c r="E2090" s="245"/>
      <c r="F2090" s="280"/>
      <c r="G2090" s="245"/>
      <c r="H2090" s="245"/>
      <c r="I2090" s="245"/>
      <c r="P2090" s="366"/>
      <c r="R2090" s="355"/>
      <c r="S2090" s="369"/>
      <c r="T2090" s="328"/>
      <c r="U2090" s="85" ph="1"/>
      <c r="W2090" s="216"/>
      <c r="X2090" s="245"/>
      <c r="Y2090" s="187"/>
      <c r="Z2090" s="245"/>
      <c r="AA2090" s="245"/>
      <c r="AB2090" s="332"/>
      <c r="AD2090" s="245"/>
      <c r="AE2090" s="187"/>
      <c r="AF2090" s="367"/>
      <c r="AG2090" s="245"/>
      <c r="AI2090" s="245"/>
    </row>
    <row r="2091" spans="1:35" ht="26.4">
      <c r="A2091" s="245"/>
      <c r="B2091" s="245"/>
      <c r="C2091" s="245"/>
      <c r="D2091" s="245"/>
      <c r="E2091" s="245"/>
      <c r="F2091" s="280"/>
      <c r="G2091" s="245"/>
      <c r="H2091" s="245"/>
      <c r="I2091" s="245"/>
      <c r="P2091" s="366"/>
      <c r="R2091" s="355"/>
      <c r="S2091" s="369"/>
      <c r="T2091" s="328"/>
      <c r="U2091" s="85" ph="1"/>
      <c r="W2091" s="216"/>
      <c r="X2091" s="245"/>
      <c r="Y2091" s="187"/>
      <c r="Z2091" s="245"/>
      <c r="AA2091" s="245"/>
      <c r="AB2091" s="332"/>
      <c r="AD2091" s="245"/>
      <c r="AE2091" s="187"/>
      <c r="AF2091" s="367"/>
      <c r="AG2091" s="245"/>
      <c r="AI2091" s="245"/>
    </row>
    <row r="2092" spans="1:35" ht="26.4">
      <c r="A2092" s="245"/>
      <c r="B2092" s="245"/>
      <c r="C2092" s="245"/>
      <c r="D2092" s="245"/>
      <c r="E2092" s="245"/>
      <c r="F2092" s="280"/>
      <c r="G2092" s="245"/>
      <c r="H2092" s="245"/>
      <c r="I2092" s="245"/>
      <c r="P2092" s="366"/>
      <c r="R2092" s="355"/>
      <c r="S2092" s="369"/>
      <c r="T2092" s="328"/>
      <c r="U2092" s="85" ph="1"/>
      <c r="W2092" s="216"/>
      <c r="X2092" s="245"/>
      <c r="Y2092" s="187"/>
      <c r="Z2092" s="245"/>
      <c r="AA2092" s="245"/>
      <c r="AB2092" s="332"/>
      <c r="AD2092" s="245"/>
      <c r="AE2092" s="187"/>
      <c r="AF2092" s="367"/>
      <c r="AG2092" s="245"/>
      <c r="AI2092" s="245"/>
    </row>
    <row r="2093" spans="1:35" ht="26.4">
      <c r="A2093" s="245"/>
      <c r="B2093" s="245"/>
      <c r="C2093" s="245"/>
      <c r="D2093" s="245"/>
      <c r="E2093" s="245"/>
      <c r="F2093" s="280"/>
      <c r="G2093" s="245"/>
      <c r="H2093" s="245"/>
      <c r="I2093" s="245"/>
      <c r="P2093" s="366"/>
      <c r="R2093" s="355"/>
      <c r="S2093" s="369"/>
      <c r="T2093" s="328"/>
      <c r="U2093" s="85" ph="1"/>
      <c r="W2093" s="216"/>
      <c r="X2093" s="245"/>
      <c r="Y2093" s="187"/>
      <c r="Z2093" s="245"/>
      <c r="AA2093" s="245"/>
      <c r="AB2093" s="332"/>
      <c r="AD2093" s="245"/>
      <c r="AE2093" s="187"/>
      <c r="AF2093" s="367"/>
      <c r="AG2093" s="245"/>
      <c r="AI2093" s="245"/>
    </row>
    <row r="2094" spans="1:35" ht="26.4">
      <c r="A2094" s="245"/>
      <c r="B2094" s="245"/>
      <c r="C2094" s="245"/>
      <c r="D2094" s="245"/>
      <c r="E2094" s="245"/>
      <c r="F2094" s="280"/>
      <c r="G2094" s="245"/>
      <c r="H2094" s="245"/>
      <c r="I2094" s="245"/>
      <c r="P2094" s="366"/>
      <c r="R2094" s="355"/>
      <c r="S2094" s="369"/>
      <c r="T2094" s="328"/>
      <c r="U2094" s="85" ph="1"/>
      <c r="W2094" s="216"/>
      <c r="X2094" s="245"/>
      <c r="Y2094" s="187"/>
      <c r="Z2094" s="245"/>
      <c r="AA2094" s="245"/>
      <c r="AB2094" s="332"/>
      <c r="AD2094" s="245"/>
      <c r="AE2094" s="187"/>
      <c r="AF2094" s="367"/>
      <c r="AG2094" s="245"/>
      <c r="AI2094" s="245"/>
    </row>
    <row r="2095" spans="1:35" ht="26.4">
      <c r="A2095" s="245"/>
      <c r="B2095" s="245"/>
      <c r="C2095" s="245"/>
      <c r="D2095" s="245"/>
      <c r="E2095" s="245"/>
      <c r="F2095" s="280"/>
      <c r="G2095" s="245"/>
      <c r="H2095" s="245"/>
      <c r="I2095" s="245"/>
      <c r="P2095" s="366"/>
      <c r="R2095" s="355"/>
      <c r="S2095" s="369"/>
      <c r="T2095" s="328"/>
      <c r="U2095" s="85" ph="1"/>
      <c r="W2095" s="216"/>
      <c r="X2095" s="245"/>
      <c r="Y2095" s="187"/>
      <c r="Z2095" s="245"/>
      <c r="AA2095" s="245"/>
      <c r="AB2095" s="332"/>
      <c r="AD2095" s="245"/>
      <c r="AE2095" s="187"/>
      <c r="AF2095" s="367"/>
      <c r="AG2095" s="245"/>
      <c r="AI2095" s="245"/>
    </row>
    <row r="2096" spans="1:35" ht="26.4">
      <c r="A2096" s="245"/>
      <c r="B2096" s="245"/>
      <c r="C2096" s="245"/>
      <c r="D2096" s="245"/>
      <c r="E2096" s="245"/>
      <c r="F2096" s="280"/>
      <c r="G2096" s="245"/>
      <c r="H2096" s="245"/>
      <c r="I2096" s="245"/>
      <c r="P2096" s="366"/>
      <c r="R2096" s="355"/>
      <c r="S2096" s="369"/>
      <c r="T2096" s="328"/>
      <c r="U2096" s="85" ph="1"/>
      <c r="W2096" s="216"/>
      <c r="X2096" s="245"/>
      <c r="Y2096" s="187"/>
      <c r="Z2096" s="245"/>
      <c r="AA2096" s="245"/>
      <c r="AB2096" s="332"/>
      <c r="AD2096" s="245"/>
      <c r="AE2096" s="187"/>
      <c r="AF2096" s="367"/>
      <c r="AG2096" s="245"/>
      <c r="AI2096" s="245"/>
    </row>
    <row r="2097" spans="1:35" ht="26.4">
      <c r="A2097" s="245"/>
      <c r="B2097" s="245"/>
      <c r="C2097" s="245"/>
      <c r="D2097" s="245"/>
      <c r="E2097" s="245"/>
      <c r="F2097" s="280"/>
      <c r="G2097" s="245"/>
      <c r="H2097" s="245"/>
      <c r="I2097" s="245"/>
      <c r="P2097" s="366"/>
      <c r="R2097" s="355"/>
      <c r="S2097" s="369"/>
      <c r="T2097" s="328"/>
      <c r="U2097" s="85" ph="1"/>
      <c r="W2097" s="216"/>
      <c r="X2097" s="245"/>
      <c r="Y2097" s="187"/>
      <c r="Z2097" s="245"/>
      <c r="AA2097" s="245"/>
      <c r="AB2097" s="332"/>
      <c r="AD2097" s="245"/>
      <c r="AE2097" s="187"/>
      <c r="AF2097" s="367"/>
      <c r="AG2097" s="245"/>
      <c r="AI2097" s="245"/>
    </row>
    <row r="2098" spans="1:35" ht="26.4">
      <c r="A2098" s="245"/>
      <c r="B2098" s="245"/>
      <c r="C2098" s="245"/>
      <c r="D2098" s="245"/>
      <c r="E2098" s="245"/>
      <c r="F2098" s="280"/>
      <c r="G2098" s="245"/>
      <c r="H2098" s="245"/>
      <c r="I2098" s="245"/>
      <c r="P2098" s="366"/>
      <c r="R2098" s="355"/>
      <c r="S2098" s="369"/>
      <c r="T2098" s="328"/>
      <c r="U2098" s="85" ph="1"/>
      <c r="W2098" s="216"/>
      <c r="X2098" s="245"/>
      <c r="Y2098" s="187"/>
      <c r="Z2098" s="245"/>
      <c r="AA2098" s="245"/>
      <c r="AB2098" s="332"/>
      <c r="AD2098" s="245"/>
      <c r="AE2098" s="187"/>
      <c r="AF2098" s="367"/>
      <c r="AG2098" s="245"/>
      <c r="AI2098" s="245"/>
    </row>
    <row r="2099" spans="1:35" ht="26.4">
      <c r="A2099" s="245"/>
      <c r="B2099" s="245"/>
      <c r="C2099" s="245"/>
      <c r="D2099" s="245"/>
      <c r="E2099" s="245"/>
      <c r="F2099" s="280"/>
      <c r="G2099" s="245"/>
      <c r="H2099" s="245"/>
      <c r="I2099" s="245"/>
      <c r="P2099" s="366"/>
      <c r="R2099" s="355"/>
      <c r="S2099" s="369"/>
      <c r="T2099" s="328"/>
      <c r="U2099" s="85" ph="1"/>
      <c r="W2099" s="216"/>
      <c r="X2099" s="245"/>
      <c r="Y2099" s="187"/>
      <c r="Z2099" s="245"/>
      <c r="AA2099" s="245"/>
      <c r="AB2099" s="332"/>
      <c r="AD2099" s="245"/>
      <c r="AE2099" s="187"/>
      <c r="AF2099" s="367"/>
      <c r="AG2099" s="245"/>
      <c r="AI2099" s="245"/>
    </row>
    <row r="2100" spans="1:35" ht="26.4">
      <c r="A2100" s="245"/>
      <c r="B2100" s="245"/>
      <c r="C2100" s="245"/>
      <c r="D2100" s="245"/>
      <c r="E2100" s="245"/>
      <c r="F2100" s="280"/>
      <c r="G2100" s="245"/>
      <c r="H2100" s="245"/>
      <c r="I2100" s="245"/>
      <c r="P2100" s="366"/>
      <c r="R2100" s="355"/>
      <c r="S2100" s="369"/>
      <c r="T2100" s="328"/>
      <c r="U2100" s="85" ph="1"/>
      <c r="W2100" s="216"/>
      <c r="X2100" s="245"/>
      <c r="Y2100" s="187"/>
      <c r="Z2100" s="245"/>
      <c r="AA2100" s="245"/>
      <c r="AB2100" s="332"/>
      <c r="AD2100" s="245"/>
      <c r="AE2100" s="187"/>
      <c r="AF2100" s="367"/>
      <c r="AG2100" s="245"/>
      <c r="AI2100" s="245"/>
    </row>
    <row r="2101" spans="1:35" ht="26.4">
      <c r="A2101" s="245"/>
      <c r="B2101" s="245"/>
      <c r="C2101" s="245"/>
      <c r="D2101" s="245"/>
      <c r="E2101" s="245"/>
      <c r="F2101" s="280"/>
      <c r="G2101" s="245"/>
      <c r="H2101" s="245"/>
      <c r="I2101" s="245"/>
      <c r="P2101" s="366"/>
      <c r="R2101" s="355"/>
      <c r="S2101" s="369"/>
      <c r="T2101" s="328"/>
      <c r="U2101" s="85" ph="1"/>
      <c r="W2101" s="216"/>
      <c r="X2101" s="245"/>
      <c r="Y2101" s="187"/>
      <c r="Z2101" s="245"/>
      <c r="AA2101" s="245"/>
      <c r="AB2101" s="332"/>
      <c r="AD2101" s="245"/>
      <c r="AE2101" s="187"/>
      <c r="AF2101" s="367"/>
      <c r="AG2101" s="245"/>
      <c r="AI2101" s="245"/>
    </row>
    <row r="2102" spans="1:35" ht="26.4">
      <c r="A2102" s="245"/>
      <c r="B2102" s="245"/>
      <c r="C2102" s="245"/>
      <c r="D2102" s="245"/>
      <c r="E2102" s="245"/>
      <c r="F2102" s="280"/>
      <c r="G2102" s="245"/>
      <c r="H2102" s="245"/>
      <c r="I2102" s="245"/>
      <c r="P2102" s="366"/>
      <c r="R2102" s="355"/>
      <c r="S2102" s="369"/>
      <c r="T2102" s="328"/>
      <c r="U2102" s="85" ph="1"/>
      <c r="W2102" s="216"/>
      <c r="X2102" s="245"/>
      <c r="Y2102" s="187"/>
      <c r="Z2102" s="245"/>
      <c r="AA2102" s="245"/>
      <c r="AB2102" s="332"/>
      <c r="AD2102" s="245"/>
      <c r="AE2102" s="187"/>
      <c r="AF2102" s="367"/>
      <c r="AG2102" s="245"/>
      <c r="AI2102" s="245"/>
    </row>
    <row r="2103" spans="1:35" ht="26.4">
      <c r="A2103" s="245"/>
      <c r="B2103" s="245"/>
      <c r="C2103" s="245"/>
      <c r="D2103" s="245"/>
      <c r="E2103" s="245"/>
      <c r="F2103" s="280"/>
      <c r="G2103" s="245"/>
      <c r="H2103" s="245"/>
      <c r="I2103" s="245"/>
      <c r="P2103" s="366"/>
      <c r="R2103" s="355"/>
      <c r="S2103" s="369"/>
      <c r="T2103" s="328"/>
      <c r="U2103" s="85" ph="1"/>
      <c r="W2103" s="216"/>
      <c r="X2103" s="245"/>
      <c r="Y2103" s="187"/>
      <c r="Z2103" s="245"/>
      <c r="AA2103" s="245"/>
      <c r="AB2103" s="332"/>
      <c r="AD2103" s="245"/>
      <c r="AE2103" s="187"/>
      <c r="AF2103" s="367"/>
      <c r="AG2103" s="245"/>
      <c r="AI2103" s="245"/>
    </row>
    <row r="2104" spans="1:35" ht="26.4">
      <c r="A2104" s="245"/>
      <c r="B2104" s="245"/>
      <c r="C2104" s="245"/>
      <c r="D2104" s="245"/>
      <c r="E2104" s="245"/>
      <c r="F2104" s="280"/>
      <c r="G2104" s="245"/>
      <c r="H2104" s="245"/>
      <c r="I2104" s="245"/>
      <c r="P2104" s="366"/>
      <c r="R2104" s="355"/>
      <c r="S2104" s="369"/>
      <c r="T2104" s="328"/>
      <c r="U2104" s="85" ph="1"/>
      <c r="W2104" s="216"/>
      <c r="X2104" s="245"/>
      <c r="Y2104" s="187"/>
      <c r="Z2104" s="245"/>
      <c r="AA2104" s="245"/>
      <c r="AB2104" s="332"/>
      <c r="AD2104" s="245"/>
      <c r="AE2104" s="187"/>
      <c r="AF2104" s="367"/>
      <c r="AG2104" s="245"/>
      <c r="AI2104" s="245"/>
    </row>
    <row r="2105" spans="1:35" ht="26.4">
      <c r="A2105" s="245"/>
      <c r="B2105" s="245"/>
      <c r="C2105" s="245"/>
      <c r="D2105" s="245"/>
      <c r="E2105" s="245"/>
      <c r="F2105" s="280"/>
      <c r="G2105" s="245"/>
      <c r="H2105" s="245"/>
      <c r="I2105" s="245"/>
      <c r="P2105" s="366"/>
      <c r="R2105" s="355"/>
      <c r="S2105" s="369"/>
      <c r="T2105" s="328"/>
      <c r="U2105" s="85" ph="1"/>
      <c r="W2105" s="216"/>
      <c r="X2105" s="245"/>
      <c r="Y2105" s="187"/>
      <c r="Z2105" s="245"/>
      <c r="AA2105" s="245"/>
      <c r="AB2105" s="332"/>
      <c r="AD2105" s="245"/>
      <c r="AE2105" s="187"/>
      <c r="AF2105" s="367"/>
      <c r="AG2105" s="245"/>
      <c r="AI2105" s="245"/>
    </row>
    <row r="2106" spans="1:35" ht="26.4">
      <c r="A2106" s="245"/>
      <c r="B2106" s="245"/>
      <c r="C2106" s="245"/>
      <c r="D2106" s="245"/>
      <c r="E2106" s="245"/>
      <c r="F2106" s="280"/>
      <c r="G2106" s="245"/>
      <c r="H2106" s="245"/>
      <c r="I2106" s="245"/>
      <c r="P2106" s="366"/>
      <c r="R2106" s="355"/>
      <c r="S2106" s="369"/>
      <c r="T2106" s="328"/>
      <c r="U2106" s="85" ph="1"/>
      <c r="W2106" s="216"/>
      <c r="X2106" s="245"/>
      <c r="Y2106" s="187"/>
      <c r="Z2106" s="245"/>
      <c r="AA2106" s="245"/>
      <c r="AB2106" s="332"/>
      <c r="AD2106" s="245"/>
      <c r="AE2106" s="187"/>
      <c r="AF2106" s="367"/>
      <c r="AG2106" s="245"/>
      <c r="AI2106" s="245"/>
    </row>
    <row r="2107" spans="1:35" ht="26.4">
      <c r="A2107" s="245"/>
      <c r="B2107" s="245"/>
      <c r="C2107" s="245"/>
      <c r="D2107" s="245"/>
      <c r="E2107" s="245"/>
      <c r="F2107" s="280"/>
      <c r="G2107" s="245"/>
      <c r="H2107" s="245"/>
      <c r="I2107" s="245"/>
      <c r="P2107" s="366"/>
      <c r="R2107" s="355"/>
      <c r="S2107" s="369"/>
      <c r="T2107" s="328"/>
      <c r="U2107" s="85" ph="1"/>
      <c r="W2107" s="216"/>
      <c r="X2107" s="245"/>
      <c r="Y2107" s="187"/>
      <c r="Z2107" s="245"/>
      <c r="AA2107" s="245"/>
      <c r="AB2107" s="332"/>
      <c r="AD2107" s="245"/>
      <c r="AE2107" s="187"/>
      <c r="AF2107" s="367"/>
      <c r="AG2107" s="245"/>
      <c r="AI2107" s="245"/>
    </row>
    <row r="2108" spans="1:35" ht="26.4">
      <c r="A2108" s="245"/>
      <c r="B2108" s="245"/>
      <c r="C2108" s="245"/>
      <c r="D2108" s="245"/>
      <c r="E2108" s="245"/>
      <c r="F2108" s="280"/>
      <c r="G2108" s="245"/>
      <c r="H2108" s="245"/>
      <c r="I2108" s="245"/>
      <c r="P2108" s="366"/>
      <c r="R2108" s="355"/>
      <c r="S2108" s="369"/>
      <c r="T2108" s="328"/>
      <c r="U2108" s="85" ph="1"/>
      <c r="W2108" s="216"/>
      <c r="X2108" s="245"/>
      <c r="Y2108" s="187"/>
      <c r="Z2108" s="245"/>
      <c r="AA2108" s="245"/>
      <c r="AB2108" s="332"/>
      <c r="AD2108" s="245"/>
      <c r="AE2108" s="187"/>
      <c r="AF2108" s="367"/>
      <c r="AG2108" s="245"/>
      <c r="AI2108" s="245"/>
    </row>
    <row r="2109" spans="1:35" ht="26.4">
      <c r="A2109" s="245"/>
      <c r="B2109" s="245"/>
      <c r="C2109" s="245"/>
      <c r="D2109" s="245"/>
      <c r="E2109" s="245"/>
      <c r="F2109" s="280"/>
      <c r="G2109" s="245"/>
      <c r="H2109" s="245"/>
      <c r="I2109" s="245"/>
      <c r="P2109" s="366"/>
      <c r="R2109" s="355"/>
      <c r="S2109" s="369"/>
      <c r="T2109" s="328"/>
      <c r="U2109" s="85" ph="1"/>
      <c r="W2109" s="216"/>
      <c r="X2109" s="245"/>
      <c r="Y2109" s="187"/>
      <c r="Z2109" s="245"/>
      <c r="AA2109" s="245"/>
      <c r="AB2109" s="332"/>
      <c r="AD2109" s="245"/>
      <c r="AE2109" s="187"/>
      <c r="AF2109" s="367"/>
      <c r="AG2109" s="245"/>
      <c r="AI2109" s="245"/>
    </row>
    <row r="2110" spans="1:35" ht="26.4">
      <c r="A2110" s="245"/>
      <c r="B2110" s="245"/>
      <c r="C2110" s="245"/>
      <c r="D2110" s="245"/>
      <c r="E2110" s="245"/>
      <c r="F2110" s="280"/>
      <c r="G2110" s="245"/>
      <c r="H2110" s="245"/>
      <c r="I2110" s="245"/>
      <c r="P2110" s="366"/>
      <c r="R2110" s="355"/>
      <c r="S2110" s="369"/>
      <c r="T2110" s="328"/>
      <c r="U2110" s="85" ph="1"/>
      <c r="W2110" s="216"/>
      <c r="X2110" s="245"/>
      <c r="Y2110" s="187"/>
      <c r="Z2110" s="245"/>
      <c r="AA2110" s="245"/>
      <c r="AB2110" s="332"/>
      <c r="AD2110" s="245"/>
      <c r="AE2110" s="187"/>
      <c r="AF2110" s="367"/>
      <c r="AG2110" s="245"/>
      <c r="AI2110" s="245"/>
    </row>
    <row r="2111" spans="1:35" ht="26.4">
      <c r="A2111" s="245"/>
      <c r="B2111" s="245"/>
      <c r="C2111" s="245"/>
      <c r="D2111" s="245"/>
      <c r="E2111" s="245"/>
      <c r="F2111" s="280"/>
      <c r="G2111" s="245"/>
      <c r="H2111" s="245"/>
      <c r="I2111" s="245"/>
      <c r="P2111" s="366"/>
      <c r="R2111" s="355"/>
      <c r="S2111" s="369"/>
      <c r="T2111" s="328"/>
      <c r="U2111" s="85" ph="1"/>
      <c r="W2111" s="216"/>
      <c r="X2111" s="245"/>
      <c r="Y2111" s="187"/>
      <c r="Z2111" s="245"/>
      <c r="AA2111" s="245"/>
      <c r="AB2111" s="332"/>
      <c r="AD2111" s="245"/>
      <c r="AE2111" s="187"/>
      <c r="AF2111" s="367"/>
      <c r="AG2111" s="245"/>
      <c r="AI2111" s="245"/>
    </row>
    <row r="2112" spans="1:35" ht="26.4">
      <c r="A2112" s="245"/>
      <c r="B2112" s="245"/>
      <c r="C2112" s="245"/>
      <c r="D2112" s="245"/>
      <c r="E2112" s="245"/>
      <c r="F2112" s="280"/>
      <c r="G2112" s="245"/>
      <c r="H2112" s="245"/>
      <c r="I2112" s="245"/>
      <c r="P2112" s="366"/>
      <c r="R2112" s="355"/>
      <c r="S2112" s="369"/>
      <c r="T2112" s="328"/>
      <c r="U2112" s="85" ph="1"/>
      <c r="W2112" s="216"/>
      <c r="X2112" s="245"/>
      <c r="Y2112" s="187"/>
      <c r="Z2112" s="245"/>
      <c r="AA2112" s="245"/>
      <c r="AB2112" s="332"/>
      <c r="AD2112" s="245"/>
      <c r="AE2112" s="187"/>
      <c r="AF2112" s="367"/>
      <c r="AG2112" s="245"/>
      <c r="AI2112" s="245"/>
    </row>
    <row r="2113" spans="1:35" ht="26.4">
      <c r="A2113" s="245"/>
      <c r="B2113" s="245"/>
      <c r="C2113" s="245"/>
      <c r="D2113" s="245"/>
      <c r="E2113" s="245"/>
      <c r="F2113" s="280"/>
      <c r="G2113" s="245"/>
      <c r="H2113" s="245"/>
      <c r="I2113" s="245"/>
      <c r="P2113" s="366"/>
      <c r="R2113" s="355"/>
      <c r="S2113" s="369"/>
      <c r="T2113" s="328"/>
      <c r="U2113" s="85" ph="1"/>
      <c r="W2113" s="216"/>
      <c r="X2113" s="245"/>
      <c r="Y2113" s="187"/>
      <c r="Z2113" s="245"/>
      <c r="AA2113" s="245"/>
      <c r="AB2113" s="332"/>
      <c r="AD2113" s="245"/>
      <c r="AE2113" s="187"/>
      <c r="AF2113" s="367"/>
      <c r="AG2113" s="245"/>
      <c r="AI2113" s="245"/>
    </row>
    <row r="2114" spans="1:35" ht="26.4">
      <c r="A2114" s="245"/>
      <c r="B2114" s="245"/>
      <c r="C2114" s="245"/>
      <c r="D2114" s="245"/>
      <c r="E2114" s="245"/>
      <c r="F2114" s="280"/>
      <c r="G2114" s="245"/>
      <c r="H2114" s="245"/>
      <c r="I2114" s="245"/>
      <c r="P2114" s="366"/>
      <c r="R2114" s="355"/>
      <c r="S2114" s="369"/>
      <c r="T2114" s="328"/>
      <c r="U2114" s="85" ph="1"/>
      <c r="W2114" s="216"/>
      <c r="X2114" s="245"/>
      <c r="Y2114" s="187"/>
      <c r="Z2114" s="245"/>
      <c r="AA2114" s="245"/>
      <c r="AB2114" s="332"/>
      <c r="AD2114" s="245"/>
      <c r="AE2114" s="187"/>
      <c r="AF2114" s="367"/>
      <c r="AG2114" s="245"/>
      <c r="AI2114" s="245"/>
    </row>
    <row r="2115" spans="1:35" ht="26.4">
      <c r="A2115" s="245"/>
      <c r="B2115" s="245"/>
      <c r="C2115" s="245"/>
      <c r="D2115" s="245"/>
      <c r="E2115" s="245"/>
      <c r="F2115" s="280"/>
      <c r="G2115" s="245"/>
      <c r="H2115" s="245"/>
      <c r="I2115" s="245"/>
      <c r="P2115" s="366"/>
      <c r="R2115" s="355"/>
      <c r="S2115" s="369"/>
      <c r="T2115" s="328"/>
      <c r="U2115" s="85" ph="1"/>
      <c r="W2115" s="216"/>
      <c r="X2115" s="245"/>
      <c r="Y2115" s="187"/>
      <c r="Z2115" s="245"/>
      <c r="AA2115" s="245"/>
      <c r="AB2115" s="332"/>
      <c r="AD2115" s="245"/>
      <c r="AE2115" s="187"/>
      <c r="AF2115" s="367"/>
      <c r="AG2115" s="245"/>
      <c r="AI2115" s="245"/>
    </row>
    <row r="2116" spans="1:35" ht="26.4">
      <c r="A2116" s="245"/>
      <c r="B2116" s="245"/>
      <c r="C2116" s="245"/>
      <c r="D2116" s="245"/>
      <c r="E2116" s="245"/>
      <c r="F2116" s="280"/>
      <c r="G2116" s="245"/>
      <c r="H2116" s="245"/>
      <c r="I2116" s="245"/>
      <c r="P2116" s="366"/>
      <c r="R2116" s="355"/>
      <c r="S2116" s="369"/>
      <c r="T2116" s="328"/>
      <c r="U2116" s="85" ph="1"/>
      <c r="W2116" s="216"/>
      <c r="X2116" s="245"/>
      <c r="Y2116" s="187"/>
      <c r="Z2116" s="245"/>
      <c r="AA2116" s="245"/>
      <c r="AB2116" s="332"/>
      <c r="AD2116" s="245"/>
      <c r="AE2116" s="187"/>
      <c r="AF2116" s="367"/>
      <c r="AG2116" s="245"/>
      <c r="AI2116" s="245"/>
    </row>
    <row r="2117" spans="1:35" ht="26.4">
      <c r="A2117" s="245"/>
      <c r="B2117" s="245"/>
      <c r="C2117" s="245"/>
      <c r="D2117" s="245"/>
      <c r="E2117" s="245"/>
      <c r="F2117" s="280"/>
      <c r="G2117" s="245"/>
      <c r="H2117" s="245"/>
      <c r="I2117" s="245"/>
      <c r="P2117" s="366"/>
      <c r="R2117" s="355"/>
      <c r="S2117" s="369"/>
      <c r="T2117" s="328"/>
      <c r="U2117" s="85" ph="1"/>
      <c r="W2117" s="216"/>
      <c r="X2117" s="245"/>
      <c r="Y2117" s="187"/>
      <c r="Z2117" s="245"/>
      <c r="AA2117" s="245"/>
      <c r="AB2117" s="332"/>
      <c r="AD2117" s="245"/>
      <c r="AE2117" s="187"/>
      <c r="AF2117" s="367"/>
      <c r="AG2117" s="245"/>
      <c r="AI2117" s="245"/>
    </row>
    <row r="2118" spans="1:35" ht="26.4">
      <c r="A2118" s="245"/>
      <c r="B2118" s="245"/>
      <c r="C2118" s="245"/>
      <c r="D2118" s="245"/>
      <c r="E2118" s="245"/>
      <c r="F2118" s="280"/>
      <c r="G2118" s="245"/>
      <c r="H2118" s="245"/>
      <c r="I2118" s="245"/>
      <c r="P2118" s="366"/>
      <c r="R2118" s="355"/>
      <c r="S2118" s="369"/>
      <c r="T2118" s="328"/>
      <c r="U2118" s="85" ph="1"/>
      <c r="W2118" s="216"/>
      <c r="X2118" s="245"/>
      <c r="Y2118" s="187"/>
      <c r="Z2118" s="245"/>
      <c r="AA2118" s="245"/>
      <c r="AB2118" s="332"/>
      <c r="AD2118" s="245"/>
      <c r="AE2118" s="187"/>
      <c r="AF2118" s="367"/>
      <c r="AG2118" s="245"/>
      <c r="AI2118" s="245"/>
    </row>
    <row r="2119" spans="1:35" ht="26.4">
      <c r="A2119" s="245"/>
      <c r="B2119" s="245"/>
      <c r="C2119" s="245"/>
      <c r="D2119" s="245"/>
      <c r="E2119" s="245"/>
      <c r="F2119" s="280"/>
      <c r="G2119" s="245"/>
      <c r="H2119" s="245"/>
      <c r="I2119" s="245"/>
      <c r="P2119" s="366"/>
      <c r="R2119" s="355"/>
      <c r="S2119" s="369"/>
      <c r="T2119" s="328"/>
      <c r="U2119" s="85" ph="1"/>
      <c r="W2119" s="216"/>
      <c r="X2119" s="245"/>
      <c r="Y2119" s="187"/>
      <c r="Z2119" s="245"/>
      <c r="AA2119" s="245"/>
      <c r="AB2119" s="332"/>
      <c r="AD2119" s="245"/>
      <c r="AE2119" s="187"/>
      <c r="AF2119" s="367"/>
      <c r="AG2119" s="245"/>
      <c r="AI2119" s="245"/>
    </row>
    <row r="2120" spans="1:35" ht="26.4">
      <c r="A2120" s="245"/>
      <c r="B2120" s="245"/>
      <c r="C2120" s="245"/>
      <c r="D2120" s="245"/>
      <c r="E2120" s="245"/>
      <c r="F2120" s="280"/>
      <c r="G2120" s="245"/>
      <c r="H2120" s="245"/>
      <c r="I2120" s="245"/>
      <c r="P2120" s="366"/>
      <c r="R2120" s="355"/>
      <c r="S2120" s="369"/>
      <c r="T2120" s="328"/>
      <c r="U2120" s="85" ph="1"/>
      <c r="W2120" s="216"/>
      <c r="X2120" s="245"/>
      <c r="Y2120" s="187"/>
      <c r="Z2120" s="245"/>
      <c r="AA2120" s="245"/>
      <c r="AB2120" s="332"/>
      <c r="AD2120" s="245"/>
      <c r="AE2120" s="187"/>
      <c r="AF2120" s="367"/>
      <c r="AG2120" s="245"/>
      <c r="AI2120" s="245"/>
    </row>
    <row r="2121" spans="1:35" ht="26.4">
      <c r="A2121" s="245"/>
      <c r="B2121" s="245"/>
      <c r="C2121" s="245"/>
      <c r="D2121" s="245"/>
      <c r="E2121" s="245"/>
      <c r="F2121" s="280"/>
      <c r="G2121" s="245"/>
      <c r="H2121" s="245"/>
      <c r="I2121" s="245"/>
      <c r="P2121" s="366"/>
      <c r="R2121" s="355"/>
      <c r="S2121" s="369"/>
      <c r="T2121" s="328"/>
      <c r="U2121" s="85" ph="1"/>
      <c r="W2121" s="216"/>
      <c r="X2121" s="245"/>
      <c r="Y2121" s="187"/>
      <c r="Z2121" s="245"/>
      <c r="AA2121" s="245"/>
      <c r="AB2121" s="332"/>
      <c r="AD2121" s="245"/>
      <c r="AE2121" s="187"/>
      <c r="AF2121" s="367"/>
      <c r="AG2121" s="245"/>
      <c r="AI2121" s="245"/>
    </row>
    <row r="2122" spans="1:35" ht="26.4">
      <c r="A2122" s="245"/>
      <c r="B2122" s="245"/>
      <c r="C2122" s="245"/>
      <c r="D2122" s="245"/>
      <c r="E2122" s="245"/>
      <c r="F2122" s="280"/>
      <c r="G2122" s="245"/>
      <c r="H2122" s="245"/>
      <c r="I2122" s="245"/>
      <c r="P2122" s="366"/>
      <c r="R2122" s="355"/>
      <c r="S2122" s="369"/>
      <c r="T2122" s="328"/>
      <c r="U2122" s="85" ph="1"/>
      <c r="W2122" s="216"/>
      <c r="X2122" s="245"/>
      <c r="Y2122" s="187"/>
      <c r="Z2122" s="245"/>
      <c r="AA2122" s="245"/>
      <c r="AB2122" s="332"/>
      <c r="AD2122" s="245"/>
      <c r="AE2122" s="187"/>
      <c r="AF2122" s="367"/>
      <c r="AG2122" s="245"/>
      <c r="AI2122" s="245"/>
    </row>
    <row r="2123" spans="1:35" ht="26.4">
      <c r="A2123" s="245"/>
      <c r="B2123" s="245"/>
      <c r="C2123" s="245"/>
      <c r="D2123" s="245"/>
      <c r="E2123" s="245"/>
      <c r="F2123" s="280"/>
      <c r="G2123" s="245"/>
      <c r="H2123" s="245"/>
      <c r="I2123" s="245"/>
      <c r="P2123" s="366"/>
      <c r="R2123" s="355"/>
      <c r="S2123" s="369"/>
      <c r="T2123" s="328"/>
      <c r="U2123" s="85" ph="1"/>
      <c r="W2123" s="216"/>
      <c r="X2123" s="245"/>
      <c r="Y2123" s="187"/>
      <c r="Z2123" s="245"/>
      <c r="AA2123" s="245"/>
      <c r="AB2123" s="332"/>
      <c r="AD2123" s="245"/>
      <c r="AE2123" s="187"/>
      <c r="AF2123" s="367"/>
      <c r="AG2123" s="245"/>
      <c r="AI2123" s="245"/>
    </row>
    <row r="2124" spans="1:35" ht="26.4">
      <c r="A2124" s="245"/>
      <c r="B2124" s="245"/>
      <c r="C2124" s="245"/>
      <c r="D2124" s="245"/>
      <c r="E2124" s="245"/>
      <c r="F2124" s="280"/>
      <c r="G2124" s="245"/>
      <c r="H2124" s="245"/>
      <c r="I2124" s="245"/>
      <c r="P2124" s="366"/>
      <c r="R2124" s="355"/>
      <c r="S2124" s="369"/>
      <c r="T2124" s="328"/>
      <c r="U2124" s="85" ph="1"/>
      <c r="W2124" s="216"/>
      <c r="X2124" s="245"/>
      <c r="Y2124" s="187"/>
      <c r="Z2124" s="245"/>
      <c r="AA2124" s="245"/>
      <c r="AB2124" s="332"/>
      <c r="AD2124" s="245"/>
      <c r="AE2124" s="187"/>
      <c r="AF2124" s="367"/>
      <c r="AG2124" s="245"/>
      <c r="AI2124" s="245"/>
    </row>
    <row r="2125" spans="1:35" ht="26.4">
      <c r="A2125" s="245"/>
      <c r="B2125" s="245"/>
      <c r="C2125" s="245"/>
      <c r="D2125" s="245"/>
      <c r="E2125" s="245"/>
      <c r="F2125" s="280"/>
      <c r="G2125" s="245"/>
      <c r="H2125" s="245"/>
      <c r="I2125" s="245"/>
      <c r="P2125" s="366"/>
      <c r="R2125" s="355"/>
      <c r="S2125" s="369"/>
      <c r="T2125" s="328"/>
      <c r="U2125" s="85" ph="1"/>
      <c r="W2125" s="216"/>
      <c r="X2125" s="245"/>
      <c r="Y2125" s="187"/>
      <c r="Z2125" s="245"/>
      <c r="AA2125" s="245"/>
      <c r="AB2125" s="332"/>
      <c r="AD2125" s="245"/>
      <c r="AE2125" s="187"/>
      <c r="AF2125" s="367"/>
      <c r="AG2125" s="245"/>
      <c r="AI2125" s="245"/>
    </row>
    <row r="2126" spans="1:35" ht="26.4">
      <c r="A2126" s="245"/>
      <c r="B2126" s="245"/>
      <c r="C2126" s="245"/>
      <c r="D2126" s="245"/>
      <c r="E2126" s="245"/>
      <c r="F2126" s="280"/>
      <c r="G2126" s="245"/>
      <c r="H2126" s="245"/>
      <c r="I2126" s="245"/>
      <c r="P2126" s="366"/>
      <c r="R2126" s="355"/>
      <c r="S2126" s="369"/>
      <c r="T2126" s="328"/>
      <c r="U2126" s="85" ph="1"/>
      <c r="W2126" s="216"/>
      <c r="X2126" s="245"/>
      <c r="Y2126" s="187"/>
      <c r="Z2126" s="245"/>
      <c r="AA2126" s="245"/>
      <c r="AB2126" s="332"/>
      <c r="AD2126" s="245"/>
      <c r="AE2126" s="187"/>
      <c r="AF2126" s="367"/>
      <c r="AG2126" s="245"/>
      <c r="AI2126" s="245"/>
    </row>
    <row r="2127" spans="1:35" ht="26.4">
      <c r="A2127" s="245"/>
      <c r="B2127" s="245"/>
      <c r="C2127" s="245"/>
      <c r="D2127" s="245"/>
      <c r="E2127" s="245"/>
      <c r="F2127" s="280"/>
      <c r="G2127" s="245"/>
      <c r="H2127" s="245"/>
      <c r="I2127" s="245"/>
      <c r="P2127" s="366"/>
      <c r="R2127" s="355"/>
      <c r="S2127" s="369"/>
      <c r="T2127" s="328"/>
      <c r="U2127" s="85" ph="1"/>
      <c r="W2127" s="216"/>
      <c r="X2127" s="245"/>
      <c r="Y2127" s="187"/>
      <c r="Z2127" s="245"/>
      <c r="AA2127" s="245"/>
      <c r="AB2127" s="332"/>
      <c r="AD2127" s="245"/>
      <c r="AE2127" s="187"/>
      <c r="AF2127" s="367"/>
      <c r="AG2127" s="245"/>
      <c r="AI2127" s="245"/>
    </row>
    <row r="2128" spans="1:35" ht="26.4">
      <c r="A2128" s="245"/>
      <c r="B2128" s="245"/>
      <c r="C2128" s="245"/>
      <c r="D2128" s="245"/>
      <c r="E2128" s="245"/>
      <c r="F2128" s="280"/>
      <c r="G2128" s="245"/>
      <c r="H2128" s="245"/>
      <c r="I2128" s="245"/>
      <c r="P2128" s="366"/>
      <c r="R2128" s="355"/>
      <c r="S2128" s="369"/>
      <c r="T2128" s="328"/>
      <c r="U2128" s="85" ph="1"/>
      <c r="W2128" s="216"/>
      <c r="X2128" s="245"/>
      <c r="Y2128" s="187"/>
      <c r="Z2128" s="245"/>
      <c r="AA2128" s="245"/>
      <c r="AB2128" s="332"/>
      <c r="AD2128" s="245"/>
      <c r="AE2128" s="187"/>
      <c r="AF2128" s="367"/>
      <c r="AG2128" s="245"/>
      <c r="AI2128" s="245"/>
    </row>
    <row r="2129" spans="1:35" ht="26.4">
      <c r="A2129" s="245"/>
      <c r="B2129" s="245"/>
      <c r="C2129" s="245"/>
      <c r="D2129" s="245"/>
      <c r="E2129" s="245"/>
      <c r="F2129" s="280"/>
      <c r="G2129" s="245"/>
      <c r="H2129" s="245"/>
      <c r="I2129" s="245"/>
      <c r="P2129" s="366"/>
      <c r="R2129" s="355"/>
      <c r="S2129" s="369"/>
      <c r="T2129" s="328"/>
      <c r="U2129" s="85" ph="1"/>
      <c r="W2129" s="216"/>
      <c r="X2129" s="245"/>
      <c r="Y2129" s="187"/>
      <c r="Z2129" s="245"/>
      <c r="AA2129" s="245"/>
      <c r="AB2129" s="332"/>
      <c r="AD2129" s="245"/>
      <c r="AE2129" s="187"/>
      <c r="AF2129" s="367"/>
      <c r="AG2129" s="245"/>
      <c r="AI2129" s="245"/>
    </row>
    <row r="2130" spans="1:35" ht="26.4">
      <c r="A2130" s="245"/>
      <c r="B2130" s="245"/>
      <c r="C2130" s="245"/>
      <c r="D2130" s="245"/>
      <c r="E2130" s="245"/>
      <c r="F2130" s="280"/>
      <c r="G2130" s="245"/>
      <c r="H2130" s="245"/>
      <c r="I2130" s="245"/>
      <c r="P2130" s="366"/>
      <c r="R2130" s="355"/>
      <c r="S2130" s="369"/>
      <c r="T2130" s="328"/>
      <c r="U2130" s="85" ph="1"/>
      <c r="W2130" s="216"/>
      <c r="X2130" s="245"/>
      <c r="Y2130" s="187"/>
      <c r="Z2130" s="245"/>
      <c r="AA2130" s="245"/>
      <c r="AB2130" s="332"/>
      <c r="AD2130" s="245"/>
      <c r="AE2130" s="187"/>
      <c r="AF2130" s="367"/>
      <c r="AG2130" s="245"/>
      <c r="AI2130" s="245"/>
    </row>
    <row r="2131" spans="1:35" ht="26.4">
      <c r="A2131" s="245"/>
      <c r="B2131" s="245"/>
      <c r="C2131" s="245"/>
      <c r="D2131" s="245"/>
      <c r="E2131" s="245"/>
      <c r="F2131" s="280"/>
      <c r="G2131" s="245"/>
      <c r="H2131" s="245"/>
      <c r="I2131" s="245"/>
      <c r="P2131" s="366"/>
      <c r="R2131" s="355"/>
      <c r="S2131" s="369"/>
      <c r="T2131" s="328"/>
      <c r="U2131" s="85" ph="1"/>
      <c r="W2131" s="216"/>
      <c r="X2131" s="245"/>
      <c r="Y2131" s="187"/>
      <c r="Z2131" s="245"/>
      <c r="AA2131" s="245"/>
      <c r="AB2131" s="332"/>
      <c r="AD2131" s="245"/>
      <c r="AE2131" s="187"/>
      <c r="AF2131" s="367"/>
      <c r="AG2131" s="245"/>
      <c r="AI2131" s="245"/>
    </row>
    <row r="2132" spans="1:35" ht="26.4">
      <c r="A2132" s="245"/>
      <c r="B2132" s="245"/>
      <c r="C2132" s="245"/>
      <c r="D2132" s="245"/>
      <c r="E2132" s="245"/>
      <c r="F2132" s="280"/>
      <c r="G2132" s="245"/>
      <c r="H2132" s="245"/>
      <c r="I2132" s="245"/>
      <c r="P2132" s="366"/>
      <c r="R2132" s="355"/>
      <c r="S2132" s="369"/>
      <c r="T2132" s="328"/>
      <c r="U2132" s="85" ph="1"/>
      <c r="W2132" s="216"/>
      <c r="X2132" s="245"/>
      <c r="Y2132" s="187"/>
      <c r="Z2132" s="245"/>
      <c r="AA2132" s="245"/>
      <c r="AB2132" s="332"/>
      <c r="AD2132" s="245"/>
      <c r="AE2132" s="187"/>
      <c r="AF2132" s="367"/>
      <c r="AG2132" s="245"/>
      <c r="AI2132" s="245"/>
    </row>
    <row r="2133" spans="1:35" ht="26.4">
      <c r="A2133" s="245"/>
      <c r="B2133" s="245"/>
      <c r="C2133" s="245"/>
      <c r="D2133" s="245"/>
      <c r="E2133" s="245"/>
      <c r="F2133" s="280"/>
      <c r="G2133" s="245"/>
      <c r="H2133" s="245"/>
      <c r="I2133" s="245"/>
      <c r="P2133" s="366"/>
      <c r="R2133" s="355"/>
      <c r="S2133" s="369"/>
      <c r="T2133" s="328"/>
      <c r="U2133" s="85" ph="1"/>
      <c r="W2133" s="216"/>
      <c r="X2133" s="245"/>
      <c r="Y2133" s="187"/>
      <c r="Z2133" s="245"/>
      <c r="AA2133" s="245"/>
      <c r="AB2133" s="332"/>
      <c r="AD2133" s="245"/>
      <c r="AE2133" s="187"/>
      <c r="AF2133" s="367"/>
      <c r="AG2133" s="245"/>
      <c r="AI2133" s="245"/>
    </row>
    <row r="2134" spans="1:35" ht="26.4">
      <c r="A2134" s="245"/>
      <c r="B2134" s="245"/>
      <c r="C2134" s="245"/>
      <c r="D2134" s="245"/>
      <c r="E2134" s="245"/>
      <c r="F2134" s="280"/>
      <c r="G2134" s="245"/>
      <c r="H2134" s="245"/>
      <c r="I2134" s="245"/>
      <c r="P2134" s="366"/>
      <c r="R2134" s="355"/>
      <c r="S2134" s="369"/>
      <c r="T2134" s="328"/>
      <c r="U2134" s="85" ph="1"/>
      <c r="W2134" s="216"/>
      <c r="X2134" s="245"/>
      <c r="Y2134" s="187"/>
      <c r="Z2134" s="245"/>
      <c r="AA2134" s="245"/>
      <c r="AB2134" s="332"/>
      <c r="AD2134" s="245"/>
      <c r="AE2134" s="187"/>
      <c r="AF2134" s="367"/>
      <c r="AG2134" s="245"/>
      <c r="AI2134" s="245"/>
    </row>
    <row r="2135" spans="1:35" ht="26.4">
      <c r="A2135" s="245"/>
      <c r="B2135" s="245"/>
      <c r="C2135" s="245"/>
      <c r="D2135" s="245"/>
      <c r="E2135" s="245"/>
      <c r="F2135" s="280"/>
      <c r="G2135" s="245"/>
      <c r="H2135" s="245"/>
      <c r="I2135" s="245"/>
      <c r="P2135" s="366"/>
      <c r="R2135" s="355"/>
      <c r="S2135" s="369"/>
      <c r="T2135" s="328"/>
      <c r="U2135" s="85" ph="1"/>
      <c r="W2135" s="216"/>
      <c r="X2135" s="245"/>
      <c r="Y2135" s="187"/>
      <c r="Z2135" s="245"/>
      <c r="AA2135" s="245"/>
      <c r="AB2135" s="332"/>
      <c r="AD2135" s="245"/>
      <c r="AE2135" s="187"/>
      <c r="AF2135" s="367"/>
      <c r="AG2135" s="245"/>
      <c r="AI2135" s="245"/>
    </row>
    <row r="2136" spans="1:35" ht="26.4">
      <c r="A2136" s="245"/>
      <c r="B2136" s="245"/>
      <c r="C2136" s="245"/>
      <c r="D2136" s="245"/>
      <c r="E2136" s="245"/>
      <c r="F2136" s="280"/>
      <c r="G2136" s="245"/>
      <c r="H2136" s="245"/>
      <c r="I2136" s="245"/>
      <c r="P2136" s="366"/>
      <c r="R2136" s="355"/>
      <c r="S2136" s="369"/>
      <c r="T2136" s="328"/>
      <c r="U2136" s="85" ph="1"/>
      <c r="W2136" s="216"/>
      <c r="X2136" s="245"/>
      <c r="Y2136" s="187"/>
      <c r="Z2136" s="245"/>
      <c r="AA2136" s="245"/>
      <c r="AB2136" s="332"/>
      <c r="AD2136" s="245"/>
      <c r="AE2136" s="187"/>
      <c r="AF2136" s="367"/>
      <c r="AG2136" s="245"/>
      <c r="AI2136" s="245"/>
    </row>
    <row r="2137" spans="1:35" ht="26.4">
      <c r="A2137" s="245"/>
      <c r="B2137" s="245"/>
      <c r="C2137" s="245"/>
      <c r="D2137" s="245"/>
      <c r="E2137" s="245"/>
      <c r="F2137" s="280"/>
      <c r="G2137" s="245"/>
      <c r="H2137" s="245"/>
      <c r="I2137" s="245"/>
      <c r="P2137" s="366"/>
      <c r="R2137" s="355"/>
      <c r="S2137" s="369"/>
      <c r="T2137" s="328"/>
      <c r="U2137" s="85" ph="1"/>
      <c r="W2137" s="216"/>
      <c r="X2137" s="245"/>
      <c r="Y2137" s="187"/>
      <c r="Z2137" s="245"/>
      <c r="AA2137" s="245"/>
      <c r="AB2137" s="332"/>
      <c r="AD2137" s="245"/>
      <c r="AE2137" s="187"/>
      <c r="AF2137" s="367"/>
      <c r="AG2137" s="245"/>
      <c r="AI2137" s="245"/>
    </row>
    <row r="2138" spans="1:35" ht="26.4">
      <c r="A2138" s="245"/>
      <c r="B2138" s="245"/>
      <c r="C2138" s="245"/>
      <c r="D2138" s="245"/>
      <c r="E2138" s="245"/>
      <c r="F2138" s="280"/>
      <c r="G2138" s="245"/>
      <c r="H2138" s="245"/>
      <c r="I2138" s="245"/>
      <c r="P2138" s="366"/>
      <c r="R2138" s="355"/>
      <c r="S2138" s="369"/>
      <c r="T2138" s="328"/>
      <c r="U2138" s="85" ph="1"/>
      <c r="W2138" s="216"/>
      <c r="X2138" s="245"/>
      <c r="Y2138" s="187"/>
      <c r="Z2138" s="245"/>
      <c r="AA2138" s="245"/>
      <c r="AB2138" s="332"/>
      <c r="AD2138" s="245"/>
      <c r="AE2138" s="187"/>
      <c r="AF2138" s="367"/>
      <c r="AG2138" s="245"/>
      <c r="AI2138" s="245"/>
    </row>
    <row r="2139" spans="1:35" ht="26.4">
      <c r="A2139" s="245"/>
      <c r="B2139" s="245"/>
      <c r="C2139" s="245"/>
      <c r="D2139" s="245"/>
      <c r="E2139" s="245"/>
      <c r="F2139" s="280"/>
      <c r="G2139" s="245"/>
      <c r="H2139" s="245"/>
      <c r="I2139" s="245"/>
      <c r="P2139" s="366"/>
      <c r="R2139" s="355"/>
      <c r="S2139" s="369"/>
      <c r="T2139" s="328"/>
      <c r="U2139" s="85" ph="1"/>
      <c r="W2139" s="216"/>
      <c r="X2139" s="245"/>
      <c r="Y2139" s="187"/>
      <c r="Z2139" s="245"/>
      <c r="AA2139" s="245"/>
      <c r="AB2139" s="332"/>
      <c r="AD2139" s="245"/>
      <c r="AE2139" s="187"/>
      <c r="AF2139" s="367"/>
      <c r="AG2139" s="245"/>
      <c r="AI2139" s="245"/>
    </row>
    <row r="2140" spans="1:35" ht="26.4">
      <c r="A2140" s="245"/>
      <c r="B2140" s="245"/>
      <c r="C2140" s="245"/>
      <c r="D2140" s="245"/>
      <c r="E2140" s="245"/>
      <c r="F2140" s="280"/>
      <c r="G2140" s="245"/>
      <c r="H2140" s="245"/>
      <c r="I2140" s="245"/>
      <c r="P2140" s="366"/>
      <c r="R2140" s="355"/>
      <c r="S2140" s="369"/>
      <c r="T2140" s="328"/>
      <c r="U2140" s="85" ph="1"/>
      <c r="W2140" s="216"/>
      <c r="X2140" s="245"/>
      <c r="Y2140" s="187"/>
      <c r="Z2140" s="245"/>
      <c r="AA2140" s="245"/>
      <c r="AB2140" s="332"/>
      <c r="AD2140" s="245"/>
      <c r="AE2140" s="187"/>
      <c r="AF2140" s="367"/>
      <c r="AG2140" s="245"/>
      <c r="AI2140" s="245"/>
    </row>
    <row r="2141" spans="1:35" ht="26.4">
      <c r="A2141" s="245"/>
      <c r="B2141" s="245"/>
      <c r="C2141" s="245"/>
      <c r="D2141" s="245"/>
      <c r="E2141" s="245"/>
      <c r="F2141" s="280"/>
      <c r="G2141" s="245"/>
      <c r="H2141" s="245"/>
      <c r="I2141" s="245"/>
      <c r="P2141" s="366"/>
      <c r="R2141" s="355"/>
      <c r="S2141" s="369"/>
      <c r="T2141" s="328"/>
      <c r="U2141" s="85" ph="1"/>
      <c r="W2141" s="216"/>
      <c r="X2141" s="245"/>
      <c r="Y2141" s="187"/>
      <c r="Z2141" s="245"/>
      <c r="AA2141" s="245"/>
      <c r="AB2141" s="332"/>
      <c r="AD2141" s="245"/>
      <c r="AE2141" s="187"/>
      <c r="AF2141" s="367"/>
      <c r="AG2141" s="245"/>
      <c r="AI2141" s="245"/>
    </row>
    <row r="2142" spans="1:35" ht="26.4">
      <c r="A2142" s="245"/>
      <c r="B2142" s="245"/>
      <c r="C2142" s="245"/>
      <c r="D2142" s="245"/>
      <c r="E2142" s="245"/>
      <c r="F2142" s="280"/>
      <c r="G2142" s="245"/>
      <c r="H2142" s="245"/>
      <c r="I2142" s="245"/>
      <c r="P2142" s="366"/>
      <c r="R2142" s="355"/>
      <c r="S2142" s="369"/>
      <c r="T2142" s="328"/>
      <c r="U2142" s="85" ph="1"/>
      <c r="W2142" s="216"/>
      <c r="X2142" s="245"/>
      <c r="Y2142" s="187"/>
      <c r="Z2142" s="245"/>
      <c r="AA2142" s="245"/>
      <c r="AB2142" s="332"/>
      <c r="AD2142" s="245"/>
      <c r="AE2142" s="187"/>
      <c r="AF2142" s="367"/>
      <c r="AG2142" s="245"/>
      <c r="AI2142" s="245"/>
    </row>
    <row r="2143" spans="1:35" ht="26.4">
      <c r="A2143" s="245"/>
      <c r="B2143" s="245"/>
      <c r="C2143" s="245"/>
      <c r="D2143" s="245"/>
      <c r="E2143" s="245"/>
      <c r="F2143" s="280"/>
      <c r="G2143" s="245"/>
      <c r="H2143" s="245"/>
      <c r="I2143" s="245"/>
      <c r="P2143" s="366"/>
      <c r="R2143" s="355"/>
      <c r="S2143" s="369"/>
      <c r="T2143" s="328"/>
      <c r="U2143" s="85" ph="1"/>
      <c r="W2143" s="216"/>
      <c r="X2143" s="245"/>
      <c r="Y2143" s="187"/>
      <c r="Z2143" s="245"/>
      <c r="AA2143" s="245"/>
      <c r="AB2143" s="332"/>
      <c r="AD2143" s="245"/>
      <c r="AE2143" s="187"/>
      <c r="AF2143" s="367"/>
      <c r="AG2143" s="245"/>
      <c r="AI2143" s="245"/>
    </row>
    <row r="2144" spans="1:35" ht="26.4">
      <c r="A2144" s="245"/>
      <c r="B2144" s="245"/>
      <c r="C2144" s="245"/>
      <c r="D2144" s="245"/>
      <c r="E2144" s="245"/>
      <c r="F2144" s="280"/>
      <c r="G2144" s="245"/>
      <c r="H2144" s="245"/>
      <c r="I2144" s="245"/>
      <c r="P2144" s="366"/>
      <c r="R2144" s="355"/>
      <c r="S2144" s="369"/>
      <c r="T2144" s="328"/>
      <c r="U2144" s="85" ph="1"/>
      <c r="W2144" s="216"/>
      <c r="X2144" s="245"/>
      <c r="Y2144" s="187"/>
      <c r="Z2144" s="245"/>
      <c r="AA2144" s="245"/>
      <c r="AB2144" s="332"/>
      <c r="AD2144" s="245"/>
      <c r="AE2144" s="187"/>
      <c r="AF2144" s="367"/>
      <c r="AG2144" s="245"/>
      <c r="AI2144" s="245"/>
    </row>
    <row r="2145" spans="1:35" ht="26.4">
      <c r="A2145" s="245"/>
      <c r="B2145" s="245"/>
      <c r="C2145" s="245"/>
      <c r="D2145" s="245"/>
      <c r="E2145" s="245"/>
      <c r="F2145" s="280"/>
      <c r="G2145" s="245"/>
      <c r="H2145" s="245"/>
      <c r="I2145" s="245"/>
      <c r="P2145" s="366"/>
      <c r="R2145" s="355"/>
      <c r="S2145" s="369"/>
      <c r="T2145" s="328"/>
      <c r="U2145" s="85" ph="1"/>
      <c r="W2145" s="216"/>
      <c r="X2145" s="245"/>
      <c r="Y2145" s="187"/>
      <c r="Z2145" s="245"/>
      <c r="AA2145" s="245"/>
      <c r="AB2145" s="332"/>
      <c r="AD2145" s="245"/>
      <c r="AE2145" s="187"/>
      <c r="AF2145" s="367"/>
      <c r="AG2145" s="245"/>
      <c r="AI2145" s="245"/>
    </row>
    <row r="2146" spans="1:35" ht="26.4">
      <c r="A2146" s="245"/>
      <c r="B2146" s="245"/>
      <c r="C2146" s="245"/>
      <c r="D2146" s="245"/>
      <c r="E2146" s="245"/>
      <c r="F2146" s="280"/>
      <c r="G2146" s="245"/>
      <c r="H2146" s="245"/>
      <c r="I2146" s="245"/>
      <c r="P2146" s="366"/>
      <c r="R2146" s="355"/>
      <c r="S2146" s="369"/>
      <c r="T2146" s="328"/>
      <c r="U2146" s="85" ph="1"/>
      <c r="W2146" s="216"/>
      <c r="X2146" s="245"/>
      <c r="Y2146" s="187"/>
      <c r="Z2146" s="245"/>
      <c r="AA2146" s="245"/>
      <c r="AB2146" s="332"/>
      <c r="AD2146" s="245"/>
      <c r="AE2146" s="187"/>
      <c r="AF2146" s="367"/>
      <c r="AG2146" s="245"/>
      <c r="AI2146" s="245"/>
    </row>
    <row r="2147" spans="1:35" ht="26.4">
      <c r="A2147" s="245"/>
      <c r="B2147" s="245"/>
      <c r="C2147" s="245"/>
      <c r="D2147" s="245"/>
      <c r="E2147" s="245"/>
      <c r="F2147" s="280"/>
      <c r="G2147" s="245"/>
      <c r="H2147" s="245"/>
      <c r="I2147" s="245"/>
      <c r="P2147" s="366"/>
      <c r="R2147" s="355"/>
      <c r="S2147" s="369"/>
      <c r="T2147" s="328"/>
      <c r="U2147" s="85" ph="1"/>
      <c r="W2147" s="216"/>
      <c r="X2147" s="245"/>
      <c r="Y2147" s="187"/>
      <c r="Z2147" s="245"/>
      <c r="AA2147" s="245"/>
      <c r="AB2147" s="332"/>
      <c r="AD2147" s="245"/>
      <c r="AE2147" s="187"/>
      <c r="AF2147" s="367"/>
      <c r="AG2147" s="245"/>
      <c r="AI2147" s="245"/>
    </row>
    <row r="2148" spans="1:35" ht="26.4">
      <c r="A2148" s="245"/>
      <c r="B2148" s="245"/>
      <c r="C2148" s="245"/>
      <c r="D2148" s="245"/>
      <c r="E2148" s="245"/>
      <c r="F2148" s="280"/>
      <c r="G2148" s="245"/>
      <c r="H2148" s="245"/>
      <c r="I2148" s="245"/>
      <c r="P2148" s="366"/>
      <c r="R2148" s="355"/>
      <c r="S2148" s="369"/>
      <c r="T2148" s="328"/>
      <c r="U2148" s="85" ph="1"/>
      <c r="W2148" s="216"/>
      <c r="X2148" s="245"/>
      <c r="Y2148" s="187"/>
      <c r="Z2148" s="245"/>
      <c r="AA2148" s="245"/>
      <c r="AB2148" s="332"/>
      <c r="AD2148" s="245"/>
      <c r="AE2148" s="187"/>
      <c r="AF2148" s="367"/>
      <c r="AG2148" s="245"/>
      <c r="AI2148" s="245"/>
    </row>
    <row r="2149" spans="1:35" ht="26.4">
      <c r="A2149" s="245"/>
      <c r="B2149" s="245"/>
      <c r="C2149" s="245"/>
      <c r="D2149" s="245"/>
      <c r="E2149" s="245"/>
      <c r="F2149" s="280"/>
      <c r="G2149" s="245"/>
      <c r="H2149" s="245"/>
      <c r="I2149" s="245"/>
      <c r="P2149" s="366"/>
      <c r="R2149" s="355"/>
      <c r="S2149" s="369"/>
      <c r="T2149" s="328"/>
      <c r="U2149" s="85" ph="1"/>
      <c r="W2149" s="216"/>
      <c r="X2149" s="245"/>
      <c r="Y2149" s="187"/>
      <c r="Z2149" s="245"/>
      <c r="AA2149" s="245"/>
      <c r="AB2149" s="332"/>
      <c r="AD2149" s="245"/>
      <c r="AE2149" s="187"/>
      <c r="AF2149" s="367"/>
      <c r="AG2149" s="245"/>
      <c r="AI2149" s="245"/>
    </row>
    <row r="2150" spans="1:35" ht="26.4">
      <c r="A2150" s="245"/>
      <c r="B2150" s="245"/>
      <c r="C2150" s="245"/>
      <c r="D2150" s="245"/>
      <c r="E2150" s="245"/>
      <c r="F2150" s="280"/>
      <c r="G2150" s="245"/>
      <c r="H2150" s="245"/>
      <c r="I2150" s="245"/>
      <c r="P2150" s="366"/>
      <c r="R2150" s="355"/>
      <c r="S2150" s="369"/>
      <c r="T2150" s="328"/>
      <c r="U2150" s="85" ph="1"/>
      <c r="W2150" s="216"/>
      <c r="X2150" s="245"/>
      <c r="Y2150" s="187"/>
      <c r="Z2150" s="245"/>
      <c r="AA2150" s="245"/>
      <c r="AB2150" s="332"/>
      <c r="AD2150" s="245"/>
      <c r="AE2150" s="187"/>
      <c r="AF2150" s="367"/>
      <c r="AG2150" s="245"/>
      <c r="AI2150" s="245"/>
    </row>
    <row r="2151" spans="1:35" ht="26.4">
      <c r="A2151" s="245"/>
      <c r="B2151" s="245"/>
      <c r="C2151" s="245"/>
      <c r="D2151" s="245"/>
      <c r="E2151" s="245"/>
      <c r="F2151" s="280"/>
      <c r="G2151" s="245"/>
      <c r="H2151" s="245"/>
      <c r="I2151" s="245"/>
      <c r="P2151" s="366"/>
      <c r="R2151" s="355"/>
      <c r="S2151" s="369"/>
      <c r="T2151" s="328"/>
      <c r="U2151" s="85" ph="1"/>
      <c r="W2151" s="216"/>
      <c r="X2151" s="245"/>
      <c r="Y2151" s="187"/>
      <c r="Z2151" s="245"/>
      <c r="AA2151" s="245"/>
      <c r="AB2151" s="332"/>
      <c r="AD2151" s="245"/>
      <c r="AE2151" s="187"/>
      <c r="AF2151" s="367"/>
      <c r="AG2151" s="245"/>
      <c r="AI2151" s="245"/>
    </row>
    <row r="2152" spans="1:35" ht="26.4">
      <c r="A2152" s="245"/>
      <c r="B2152" s="245"/>
      <c r="C2152" s="245"/>
      <c r="D2152" s="245"/>
      <c r="E2152" s="245"/>
      <c r="F2152" s="280"/>
      <c r="G2152" s="245"/>
      <c r="H2152" s="245"/>
      <c r="I2152" s="245"/>
      <c r="P2152" s="366"/>
      <c r="R2152" s="355"/>
      <c r="S2152" s="369"/>
      <c r="T2152" s="328"/>
      <c r="U2152" s="85" ph="1"/>
      <c r="W2152" s="216"/>
      <c r="X2152" s="245"/>
      <c r="Y2152" s="187"/>
      <c r="Z2152" s="245"/>
      <c r="AA2152" s="245"/>
      <c r="AB2152" s="332"/>
      <c r="AD2152" s="245"/>
      <c r="AE2152" s="187"/>
      <c r="AF2152" s="367"/>
      <c r="AG2152" s="245"/>
      <c r="AI2152" s="245"/>
    </row>
    <row r="2153" spans="1:35" ht="26.4">
      <c r="A2153" s="245"/>
      <c r="B2153" s="245"/>
      <c r="C2153" s="245"/>
      <c r="D2153" s="245"/>
      <c r="E2153" s="245"/>
      <c r="F2153" s="280"/>
      <c r="G2153" s="245"/>
      <c r="H2153" s="245"/>
      <c r="I2153" s="245"/>
      <c r="P2153" s="366"/>
      <c r="R2153" s="355"/>
      <c r="S2153" s="369"/>
      <c r="T2153" s="328"/>
      <c r="U2153" s="85" ph="1"/>
      <c r="W2153" s="216"/>
      <c r="X2153" s="245"/>
      <c r="Y2153" s="187"/>
      <c r="Z2153" s="245"/>
      <c r="AA2153" s="245"/>
      <c r="AB2153" s="332"/>
      <c r="AD2153" s="245"/>
      <c r="AE2153" s="187"/>
      <c r="AF2153" s="367"/>
      <c r="AG2153" s="245"/>
      <c r="AI2153" s="245"/>
    </row>
    <row r="2154" spans="1:35" ht="26.4">
      <c r="A2154" s="245"/>
      <c r="B2154" s="245"/>
      <c r="C2154" s="245"/>
      <c r="D2154" s="245"/>
      <c r="E2154" s="245"/>
      <c r="F2154" s="280"/>
      <c r="G2154" s="245"/>
      <c r="H2154" s="245"/>
      <c r="I2154" s="245"/>
      <c r="P2154" s="366"/>
      <c r="R2154" s="355"/>
      <c r="S2154" s="369"/>
      <c r="T2154" s="328"/>
      <c r="U2154" s="85" ph="1"/>
      <c r="W2154" s="216"/>
      <c r="X2154" s="245"/>
      <c r="Y2154" s="187"/>
      <c r="Z2154" s="245"/>
      <c r="AA2154" s="245"/>
      <c r="AB2154" s="332"/>
      <c r="AD2154" s="245"/>
      <c r="AE2154" s="187"/>
      <c r="AF2154" s="367"/>
      <c r="AG2154" s="245"/>
      <c r="AI2154" s="245"/>
    </row>
    <row r="2155" spans="1:35" ht="26.4">
      <c r="A2155" s="245"/>
      <c r="B2155" s="245"/>
      <c r="C2155" s="245"/>
      <c r="D2155" s="245"/>
      <c r="E2155" s="245"/>
      <c r="F2155" s="280"/>
      <c r="G2155" s="245"/>
      <c r="H2155" s="245"/>
      <c r="I2155" s="245"/>
      <c r="P2155" s="366"/>
      <c r="R2155" s="355"/>
      <c r="S2155" s="369"/>
      <c r="T2155" s="328"/>
      <c r="U2155" s="85" ph="1"/>
      <c r="W2155" s="216"/>
      <c r="X2155" s="245"/>
      <c r="Y2155" s="187"/>
      <c r="Z2155" s="245"/>
      <c r="AA2155" s="245"/>
      <c r="AB2155" s="332"/>
      <c r="AD2155" s="245"/>
      <c r="AE2155" s="187"/>
      <c r="AF2155" s="367"/>
      <c r="AG2155" s="245"/>
      <c r="AI2155" s="245"/>
    </row>
    <row r="2156" spans="1:35" ht="26.4">
      <c r="A2156" s="245"/>
      <c r="B2156" s="245"/>
      <c r="C2156" s="245"/>
      <c r="D2156" s="245"/>
      <c r="E2156" s="245"/>
      <c r="F2156" s="280"/>
      <c r="G2156" s="245"/>
      <c r="H2156" s="245"/>
      <c r="I2156" s="245"/>
      <c r="P2156" s="366"/>
      <c r="R2156" s="355"/>
      <c r="S2156" s="369"/>
      <c r="T2156" s="328"/>
      <c r="U2156" s="85" ph="1"/>
      <c r="W2156" s="216"/>
      <c r="X2156" s="245"/>
      <c r="Y2156" s="187"/>
      <c r="Z2156" s="245"/>
      <c r="AA2156" s="245"/>
      <c r="AB2156" s="332"/>
      <c r="AD2156" s="245"/>
      <c r="AE2156" s="187"/>
      <c r="AF2156" s="367"/>
      <c r="AG2156" s="245"/>
      <c r="AI2156" s="245"/>
    </row>
    <row r="2157" spans="1:35" ht="26.4">
      <c r="A2157" s="245"/>
      <c r="B2157" s="245"/>
      <c r="C2157" s="245"/>
      <c r="D2157" s="245"/>
      <c r="E2157" s="245"/>
      <c r="F2157" s="280"/>
      <c r="G2157" s="245"/>
      <c r="H2157" s="245"/>
      <c r="I2157" s="245"/>
      <c r="P2157" s="366"/>
      <c r="R2157" s="355"/>
      <c r="S2157" s="369"/>
      <c r="T2157" s="328"/>
      <c r="U2157" s="85" ph="1"/>
      <c r="W2157" s="216"/>
      <c r="X2157" s="245"/>
      <c r="Y2157" s="187"/>
      <c r="Z2157" s="245"/>
      <c r="AA2157" s="245"/>
      <c r="AB2157" s="332"/>
      <c r="AD2157" s="245"/>
      <c r="AE2157" s="187"/>
      <c r="AF2157" s="367"/>
      <c r="AG2157" s="245"/>
      <c r="AI2157" s="245"/>
    </row>
    <row r="2158" spans="1:35" ht="26.4">
      <c r="A2158" s="245"/>
      <c r="B2158" s="245"/>
      <c r="C2158" s="245"/>
      <c r="D2158" s="245"/>
      <c r="E2158" s="245"/>
      <c r="F2158" s="280"/>
      <c r="G2158" s="245"/>
      <c r="H2158" s="245"/>
      <c r="I2158" s="245"/>
      <c r="P2158" s="366"/>
      <c r="R2158" s="355"/>
      <c r="S2158" s="369"/>
      <c r="T2158" s="328"/>
      <c r="U2158" s="85" ph="1"/>
      <c r="W2158" s="216"/>
      <c r="X2158" s="245"/>
      <c r="Y2158" s="187"/>
      <c r="Z2158" s="245"/>
      <c r="AA2158" s="245"/>
      <c r="AB2158" s="332"/>
      <c r="AD2158" s="245"/>
      <c r="AE2158" s="187"/>
      <c r="AF2158" s="367"/>
      <c r="AG2158" s="245"/>
      <c r="AI2158" s="245"/>
    </row>
    <row r="2159" spans="1:35" ht="26.4">
      <c r="A2159" s="245"/>
      <c r="B2159" s="245"/>
      <c r="C2159" s="245"/>
      <c r="D2159" s="245"/>
      <c r="E2159" s="245"/>
      <c r="F2159" s="280"/>
      <c r="G2159" s="245"/>
      <c r="H2159" s="245"/>
      <c r="I2159" s="245"/>
      <c r="P2159" s="366"/>
      <c r="R2159" s="355"/>
      <c r="S2159" s="369"/>
      <c r="T2159" s="328"/>
      <c r="U2159" s="85" ph="1"/>
      <c r="W2159" s="216"/>
      <c r="X2159" s="245"/>
      <c r="Y2159" s="187"/>
      <c r="Z2159" s="245"/>
      <c r="AA2159" s="245"/>
      <c r="AB2159" s="332"/>
      <c r="AD2159" s="245"/>
      <c r="AE2159" s="187"/>
      <c r="AF2159" s="367"/>
      <c r="AG2159" s="245"/>
      <c r="AI2159" s="245"/>
    </row>
    <row r="2160" spans="1:35" ht="26.4">
      <c r="A2160" s="245"/>
      <c r="B2160" s="245"/>
      <c r="C2160" s="245"/>
      <c r="D2160" s="245"/>
      <c r="E2160" s="245"/>
      <c r="F2160" s="280"/>
      <c r="G2160" s="245"/>
      <c r="H2160" s="245"/>
      <c r="I2160" s="245"/>
      <c r="P2160" s="366"/>
      <c r="R2160" s="355"/>
      <c r="S2160" s="369"/>
      <c r="T2160" s="328"/>
      <c r="U2160" s="85" ph="1"/>
      <c r="W2160" s="216"/>
      <c r="X2160" s="245"/>
      <c r="Y2160" s="187"/>
      <c r="Z2160" s="245"/>
      <c r="AA2160" s="245"/>
      <c r="AB2160" s="332"/>
      <c r="AD2160" s="245"/>
      <c r="AE2160" s="187"/>
      <c r="AF2160" s="367"/>
      <c r="AG2160" s="245"/>
      <c r="AI2160" s="245"/>
    </row>
    <row r="2161" spans="1:35" ht="26.4">
      <c r="A2161" s="245"/>
      <c r="B2161" s="245"/>
      <c r="C2161" s="245"/>
      <c r="D2161" s="245"/>
      <c r="E2161" s="245"/>
      <c r="F2161" s="280"/>
      <c r="G2161" s="245"/>
      <c r="H2161" s="245"/>
      <c r="I2161" s="245"/>
      <c r="P2161" s="366"/>
      <c r="R2161" s="355"/>
      <c r="S2161" s="369"/>
      <c r="T2161" s="328"/>
      <c r="U2161" s="85" ph="1"/>
      <c r="W2161" s="216"/>
      <c r="X2161" s="245"/>
      <c r="Y2161" s="187"/>
      <c r="Z2161" s="245"/>
      <c r="AA2161" s="245"/>
      <c r="AB2161" s="332"/>
      <c r="AD2161" s="245"/>
      <c r="AE2161" s="187"/>
      <c r="AF2161" s="367"/>
      <c r="AG2161" s="245"/>
      <c r="AI2161" s="245"/>
    </row>
    <row r="2162" spans="1:35" ht="26.4">
      <c r="A2162" s="245"/>
      <c r="B2162" s="245"/>
      <c r="C2162" s="245"/>
      <c r="D2162" s="245"/>
      <c r="E2162" s="245"/>
      <c r="F2162" s="280"/>
      <c r="G2162" s="245"/>
      <c r="H2162" s="245"/>
      <c r="I2162" s="245"/>
      <c r="P2162" s="366"/>
      <c r="R2162" s="355"/>
      <c r="S2162" s="369"/>
      <c r="T2162" s="328"/>
      <c r="U2162" s="85" ph="1"/>
      <c r="W2162" s="216"/>
      <c r="X2162" s="245"/>
      <c r="Y2162" s="187"/>
      <c r="Z2162" s="245"/>
      <c r="AA2162" s="245"/>
      <c r="AB2162" s="332"/>
      <c r="AD2162" s="245"/>
      <c r="AE2162" s="187"/>
      <c r="AF2162" s="367"/>
      <c r="AG2162" s="245"/>
      <c r="AI2162" s="245"/>
    </row>
    <row r="2163" spans="1:35" ht="26.4">
      <c r="A2163" s="245"/>
      <c r="B2163" s="245"/>
      <c r="C2163" s="245"/>
      <c r="D2163" s="245"/>
      <c r="E2163" s="245"/>
      <c r="F2163" s="280"/>
      <c r="G2163" s="245"/>
      <c r="H2163" s="245"/>
      <c r="I2163" s="245"/>
      <c r="P2163" s="366"/>
      <c r="R2163" s="355"/>
      <c r="S2163" s="369"/>
      <c r="T2163" s="328"/>
      <c r="U2163" s="85" ph="1"/>
      <c r="W2163" s="216"/>
      <c r="X2163" s="245"/>
      <c r="Y2163" s="187"/>
      <c r="Z2163" s="245"/>
      <c r="AA2163" s="245"/>
      <c r="AB2163" s="332"/>
      <c r="AD2163" s="245"/>
      <c r="AE2163" s="187"/>
      <c r="AF2163" s="367"/>
      <c r="AG2163" s="245"/>
      <c r="AI2163" s="245"/>
    </row>
    <row r="2164" spans="1:35" ht="26.4">
      <c r="A2164" s="245"/>
      <c r="B2164" s="245"/>
      <c r="C2164" s="245"/>
      <c r="D2164" s="245"/>
      <c r="E2164" s="245"/>
      <c r="F2164" s="280"/>
      <c r="G2164" s="245"/>
      <c r="H2164" s="245"/>
      <c r="I2164" s="245"/>
      <c r="P2164" s="366"/>
      <c r="R2164" s="355"/>
      <c r="S2164" s="369"/>
      <c r="T2164" s="328"/>
      <c r="U2164" s="85" ph="1"/>
      <c r="W2164" s="216"/>
      <c r="X2164" s="245"/>
      <c r="Y2164" s="187"/>
      <c r="Z2164" s="245"/>
      <c r="AA2164" s="245"/>
      <c r="AB2164" s="332"/>
      <c r="AD2164" s="245"/>
      <c r="AE2164" s="187"/>
      <c r="AF2164" s="367"/>
      <c r="AG2164" s="245"/>
      <c r="AI2164" s="245"/>
    </row>
    <row r="2165" spans="1:35" ht="26.4">
      <c r="A2165" s="245"/>
      <c r="B2165" s="245"/>
      <c r="C2165" s="245"/>
      <c r="D2165" s="245"/>
      <c r="E2165" s="245"/>
      <c r="F2165" s="280"/>
      <c r="G2165" s="245"/>
      <c r="H2165" s="245"/>
      <c r="I2165" s="245"/>
      <c r="P2165" s="366"/>
      <c r="R2165" s="355"/>
      <c r="S2165" s="369"/>
      <c r="T2165" s="328"/>
      <c r="U2165" s="85" ph="1"/>
      <c r="W2165" s="216"/>
      <c r="X2165" s="245"/>
      <c r="Y2165" s="187"/>
      <c r="Z2165" s="245"/>
      <c r="AA2165" s="245"/>
      <c r="AB2165" s="332"/>
      <c r="AD2165" s="245"/>
      <c r="AE2165" s="187"/>
      <c r="AF2165" s="367"/>
      <c r="AG2165" s="245"/>
      <c r="AI2165" s="245"/>
    </row>
    <row r="2166" spans="1:35" ht="26.4">
      <c r="A2166" s="245"/>
      <c r="B2166" s="245"/>
      <c r="C2166" s="245"/>
      <c r="D2166" s="245"/>
      <c r="E2166" s="245"/>
      <c r="F2166" s="280"/>
      <c r="G2166" s="245"/>
      <c r="H2166" s="245"/>
      <c r="I2166" s="245"/>
      <c r="P2166" s="366"/>
      <c r="R2166" s="355"/>
      <c r="S2166" s="369"/>
      <c r="T2166" s="328"/>
      <c r="U2166" s="85" ph="1"/>
      <c r="W2166" s="216"/>
      <c r="X2166" s="245"/>
      <c r="Y2166" s="187"/>
      <c r="Z2166" s="245"/>
      <c r="AA2166" s="245"/>
      <c r="AB2166" s="332"/>
      <c r="AD2166" s="245"/>
      <c r="AE2166" s="187"/>
      <c r="AF2166" s="367"/>
      <c r="AG2166" s="245"/>
      <c r="AI2166" s="245"/>
    </row>
    <row r="2167" spans="1:35" ht="26.4">
      <c r="A2167" s="245"/>
      <c r="B2167" s="245"/>
      <c r="C2167" s="245"/>
      <c r="D2167" s="245"/>
      <c r="E2167" s="245"/>
      <c r="F2167" s="280"/>
      <c r="G2167" s="245"/>
      <c r="H2167" s="245"/>
      <c r="I2167" s="245"/>
      <c r="P2167" s="366"/>
      <c r="R2167" s="355"/>
      <c r="S2167" s="369"/>
      <c r="T2167" s="328"/>
      <c r="U2167" s="85" ph="1"/>
      <c r="W2167" s="216"/>
      <c r="X2167" s="245"/>
      <c r="Y2167" s="187"/>
      <c r="Z2167" s="245"/>
      <c r="AA2167" s="245"/>
      <c r="AB2167" s="332"/>
      <c r="AD2167" s="245"/>
      <c r="AE2167" s="187"/>
      <c r="AF2167" s="367"/>
      <c r="AG2167" s="245"/>
      <c r="AI2167" s="245"/>
    </row>
    <row r="2168" spans="1:35" ht="26.4">
      <c r="A2168" s="245"/>
      <c r="B2168" s="245"/>
      <c r="C2168" s="245"/>
      <c r="D2168" s="245"/>
      <c r="E2168" s="245"/>
      <c r="F2168" s="280"/>
      <c r="G2168" s="245"/>
      <c r="H2168" s="245"/>
      <c r="I2168" s="245"/>
      <c r="P2168" s="366"/>
      <c r="R2168" s="355"/>
      <c r="S2168" s="369"/>
      <c r="T2168" s="328"/>
      <c r="U2168" s="85" ph="1"/>
      <c r="W2168" s="216"/>
      <c r="X2168" s="245"/>
      <c r="Y2168" s="187"/>
      <c r="Z2168" s="245"/>
      <c r="AA2168" s="245"/>
      <c r="AB2168" s="332"/>
      <c r="AD2168" s="245"/>
      <c r="AE2168" s="187"/>
      <c r="AF2168" s="367"/>
      <c r="AG2168" s="245"/>
      <c r="AI2168" s="245"/>
    </row>
    <row r="2169" spans="1:35" ht="26.4">
      <c r="A2169" s="245"/>
      <c r="B2169" s="245"/>
      <c r="C2169" s="245"/>
      <c r="D2169" s="245"/>
      <c r="E2169" s="245"/>
      <c r="F2169" s="280"/>
      <c r="G2169" s="245"/>
      <c r="H2169" s="245"/>
      <c r="I2169" s="245"/>
      <c r="P2169" s="366"/>
      <c r="R2169" s="355"/>
      <c r="S2169" s="369"/>
      <c r="T2169" s="328"/>
      <c r="U2169" s="85" ph="1"/>
      <c r="W2169" s="216"/>
      <c r="X2169" s="245"/>
      <c r="Y2169" s="187"/>
      <c r="Z2169" s="245"/>
      <c r="AA2169" s="245"/>
      <c r="AB2169" s="332"/>
      <c r="AD2169" s="245"/>
      <c r="AE2169" s="187"/>
      <c r="AF2169" s="367"/>
      <c r="AG2169" s="245"/>
      <c r="AI2169" s="245"/>
    </row>
    <row r="2170" spans="1:35" ht="26.4">
      <c r="A2170" s="245"/>
      <c r="B2170" s="245"/>
      <c r="C2170" s="245"/>
      <c r="D2170" s="245"/>
      <c r="E2170" s="245"/>
      <c r="F2170" s="280"/>
      <c r="G2170" s="245"/>
      <c r="H2170" s="245"/>
      <c r="I2170" s="245"/>
      <c r="P2170" s="366"/>
      <c r="R2170" s="355"/>
      <c r="S2170" s="369"/>
      <c r="T2170" s="328"/>
      <c r="U2170" s="85" ph="1"/>
      <c r="W2170" s="216"/>
      <c r="X2170" s="245"/>
      <c r="Y2170" s="187"/>
      <c r="Z2170" s="245"/>
      <c r="AA2170" s="245"/>
      <c r="AB2170" s="332"/>
      <c r="AD2170" s="245"/>
      <c r="AE2170" s="187"/>
      <c r="AF2170" s="367"/>
      <c r="AG2170" s="245"/>
      <c r="AI2170" s="245"/>
    </row>
    <row r="2171" spans="1:35" ht="26.4">
      <c r="A2171" s="245"/>
      <c r="B2171" s="245"/>
      <c r="C2171" s="245"/>
      <c r="D2171" s="245"/>
      <c r="E2171" s="245"/>
      <c r="F2171" s="280"/>
      <c r="G2171" s="245"/>
      <c r="H2171" s="245"/>
      <c r="I2171" s="245"/>
      <c r="P2171" s="366"/>
      <c r="R2171" s="355"/>
      <c r="S2171" s="369"/>
      <c r="T2171" s="328"/>
      <c r="U2171" s="85" ph="1"/>
      <c r="W2171" s="216"/>
      <c r="X2171" s="245"/>
      <c r="Y2171" s="187"/>
      <c r="Z2171" s="245"/>
      <c r="AA2171" s="245"/>
      <c r="AB2171" s="332"/>
      <c r="AD2171" s="245"/>
      <c r="AE2171" s="187"/>
      <c r="AF2171" s="367"/>
      <c r="AG2171" s="245"/>
      <c r="AI2171" s="245"/>
    </row>
    <row r="2172" spans="1:35" ht="26.4">
      <c r="A2172" s="245"/>
      <c r="B2172" s="245"/>
      <c r="C2172" s="245"/>
      <c r="D2172" s="245"/>
      <c r="E2172" s="245"/>
      <c r="F2172" s="280"/>
      <c r="G2172" s="245"/>
      <c r="H2172" s="245"/>
      <c r="I2172" s="245"/>
      <c r="P2172" s="366"/>
      <c r="R2172" s="355"/>
      <c r="S2172" s="369"/>
      <c r="T2172" s="328"/>
      <c r="U2172" s="85" ph="1"/>
      <c r="W2172" s="216"/>
      <c r="X2172" s="245"/>
      <c r="Y2172" s="187"/>
      <c r="Z2172" s="245"/>
      <c r="AA2172" s="245"/>
      <c r="AB2172" s="332"/>
      <c r="AD2172" s="245"/>
      <c r="AE2172" s="187"/>
      <c r="AF2172" s="367"/>
      <c r="AG2172" s="245"/>
      <c r="AI2172" s="245"/>
    </row>
    <row r="2173" spans="1:35" ht="26.4">
      <c r="A2173" s="245"/>
      <c r="B2173" s="245"/>
      <c r="C2173" s="245"/>
      <c r="D2173" s="245"/>
      <c r="E2173" s="245"/>
      <c r="F2173" s="280"/>
      <c r="G2173" s="245"/>
      <c r="H2173" s="245"/>
      <c r="I2173" s="245"/>
      <c r="P2173" s="366"/>
      <c r="R2173" s="355"/>
      <c r="S2173" s="369"/>
      <c r="T2173" s="328"/>
      <c r="U2173" s="85" ph="1"/>
      <c r="W2173" s="216"/>
      <c r="X2173" s="245"/>
      <c r="Y2173" s="187"/>
      <c r="Z2173" s="245"/>
      <c r="AA2173" s="245"/>
      <c r="AB2173" s="332"/>
      <c r="AD2173" s="245"/>
      <c r="AE2173" s="187"/>
      <c r="AF2173" s="367"/>
      <c r="AG2173" s="245"/>
      <c r="AI2173" s="245"/>
    </row>
    <row r="2174" spans="1:35" ht="26.4">
      <c r="A2174" s="245"/>
      <c r="B2174" s="245"/>
      <c r="C2174" s="245"/>
      <c r="D2174" s="245"/>
      <c r="E2174" s="245"/>
      <c r="F2174" s="280"/>
      <c r="G2174" s="245"/>
      <c r="H2174" s="245"/>
      <c r="I2174" s="245"/>
      <c r="P2174" s="366"/>
      <c r="R2174" s="355"/>
      <c r="S2174" s="369"/>
      <c r="T2174" s="328"/>
      <c r="U2174" s="85" ph="1"/>
      <c r="W2174" s="216"/>
      <c r="X2174" s="245"/>
      <c r="Y2174" s="187"/>
      <c r="Z2174" s="245"/>
      <c r="AA2174" s="245"/>
      <c r="AB2174" s="332"/>
      <c r="AD2174" s="245"/>
      <c r="AE2174" s="187"/>
      <c r="AF2174" s="367"/>
      <c r="AG2174" s="245"/>
      <c r="AI2174" s="245"/>
    </row>
    <row r="2175" spans="1:35" ht="26.4">
      <c r="A2175" s="245"/>
      <c r="B2175" s="245"/>
      <c r="C2175" s="245"/>
      <c r="D2175" s="245"/>
      <c r="E2175" s="245"/>
      <c r="F2175" s="280"/>
      <c r="G2175" s="245"/>
      <c r="H2175" s="245"/>
      <c r="I2175" s="245"/>
      <c r="P2175" s="366"/>
      <c r="R2175" s="355"/>
      <c r="S2175" s="369"/>
      <c r="T2175" s="328"/>
      <c r="U2175" s="85" ph="1"/>
      <c r="W2175" s="216"/>
      <c r="X2175" s="245"/>
      <c r="Y2175" s="187"/>
      <c r="Z2175" s="245"/>
      <c r="AA2175" s="245"/>
      <c r="AB2175" s="332"/>
      <c r="AD2175" s="245"/>
      <c r="AE2175" s="187"/>
      <c r="AF2175" s="367"/>
      <c r="AG2175" s="245"/>
      <c r="AI2175" s="245"/>
    </row>
    <row r="2176" spans="1:35" ht="26.4">
      <c r="A2176" s="245"/>
      <c r="B2176" s="245"/>
      <c r="C2176" s="245"/>
      <c r="D2176" s="245"/>
      <c r="E2176" s="245"/>
      <c r="F2176" s="280"/>
      <c r="G2176" s="245"/>
      <c r="H2176" s="245"/>
      <c r="I2176" s="245"/>
      <c r="P2176" s="366"/>
      <c r="R2176" s="355"/>
      <c r="S2176" s="369"/>
      <c r="T2176" s="328"/>
      <c r="U2176" s="85" ph="1"/>
      <c r="W2176" s="216"/>
      <c r="X2176" s="245"/>
      <c r="Y2176" s="187"/>
      <c r="Z2176" s="245"/>
      <c r="AA2176" s="245"/>
      <c r="AB2176" s="332"/>
      <c r="AD2176" s="245"/>
      <c r="AE2176" s="187"/>
      <c r="AF2176" s="367"/>
      <c r="AG2176" s="245"/>
      <c r="AI2176" s="245"/>
    </row>
    <row r="2177" spans="1:35" ht="26.4">
      <c r="A2177" s="245"/>
      <c r="B2177" s="245"/>
      <c r="C2177" s="245"/>
      <c r="D2177" s="245"/>
      <c r="E2177" s="245"/>
      <c r="F2177" s="280"/>
      <c r="G2177" s="245"/>
      <c r="H2177" s="245"/>
      <c r="I2177" s="245"/>
      <c r="P2177" s="366"/>
      <c r="R2177" s="355"/>
      <c r="S2177" s="369"/>
      <c r="T2177" s="328"/>
      <c r="U2177" s="85" ph="1"/>
      <c r="W2177" s="216"/>
      <c r="X2177" s="245"/>
      <c r="Y2177" s="187"/>
      <c r="Z2177" s="245"/>
      <c r="AA2177" s="245"/>
      <c r="AB2177" s="332"/>
      <c r="AD2177" s="245"/>
      <c r="AE2177" s="187"/>
      <c r="AF2177" s="367"/>
      <c r="AG2177" s="245"/>
      <c r="AI2177" s="245"/>
    </row>
    <row r="2178" spans="1:35" ht="26.4">
      <c r="A2178" s="245"/>
      <c r="B2178" s="245"/>
      <c r="C2178" s="245"/>
      <c r="D2178" s="245"/>
      <c r="E2178" s="245"/>
      <c r="F2178" s="280"/>
      <c r="G2178" s="245"/>
      <c r="H2178" s="245"/>
      <c r="I2178" s="245"/>
      <c r="P2178" s="366"/>
      <c r="R2178" s="355"/>
      <c r="S2178" s="369"/>
      <c r="T2178" s="328"/>
      <c r="U2178" s="85" ph="1"/>
      <c r="W2178" s="216"/>
      <c r="X2178" s="245"/>
      <c r="Y2178" s="187"/>
      <c r="Z2178" s="245"/>
      <c r="AA2178" s="245"/>
      <c r="AB2178" s="332"/>
      <c r="AD2178" s="245"/>
      <c r="AE2178" s="187"/>
      <c r="AF2178" s="367"/>
      <c r="AG2178" s="245"/>
      <c r="AI2178" s="245"/>
    </row>
    <row r="2179" spans="1:35" ht="26.4">
      <c r="A2179" s="245"/>
      <c r="B2179" s="245"/>
      <c r="C2179" s="245"/>
      <c r="D2179" s="245"/>
      <c r="E2179" s="245"/>
      <c r="F2179" s="280"/>
      <c r="G2179" s="245"/>
      <c r="H2179" s="245"/>
      <c r="I2179" s="245"/>
      <c r="P2179" s="366"/>
      <c r="R2179" s="355"/>
      <c r="S2179" s="369"/>
      <c r="T2179" s="328"/>
      <c r="U2179" s="85" ph="1"/>
      <c r="W2179" s="216"/>
      <c r="X2179" s="245"/>
      <c r="Y2179" s="187"/>
      <c r="Z2179" s="245"/>
      <c r="AA2179" s="245"/>
      <c r="AB2179" s="332"/>
      <c r="AD2179" s="245"/>
      <c r="AE2179" s="187"/>
      <c r="AF2179" s="367"/>
      <c r="AG2179" s="245"/>
      <c r="AI2179" s="245"/>
    </row>
    <row r="2180" spans="1:35" ht="26.4">
      <c r="A2180" s="245"/>
      <c r="B2180" s="245"/>
      <c r="C2180" s="245"/>
      <c r="D2180" s="245"/>
      <c r="E2180" s="245"/>
      <c r="F2180" s="280"/>
      <c r="G2180" s="245"/>
      <c r="H2180" s="245"/>
      <c r="I2180" s="245"/>
      <c r="P2180" s="366"/>
      <c r="R2180" s="355"/>
      <c r="S2180" s="369"/>
      <c r="T2180" s="328"/>
      <c r="U2180" s="85" ph="1"/>
      <c r="W2180" s="216"/>
      <c r="X2180" s="245"/>
      <c r="Y2180" s="187"/>
      <c r="Z2180" s="245"/>
      <c r="AA2180" s="245"/>
      <c r="AB2180" s="332"/>
      <c r="AD2180" s="245"/>
      <c r="AE2180" s="187"/>
      <c r="AF2180" s="367"/>
      <c r="AG2180" s="245"/>
      <c r="AI2180" s="245"/>
    </row>
    <row r="2181" spans="1:35" ht="26.4">
      <c r="A2181" s="245"/>
      <c r="B2181" s="245"/>
      <c r="C2181" s="245"/>
      <c r="D2181" s="245"/>
      <c r="E2181" s="245"/>
      <c r="F2181" s="280"/>
      <c r="G2181" s="245"/>
      <c r="H2181" s="245"/>
      <c r="I2181" s="245"/>
      <c r="P2181" s="366"/>
      <c r="R2181" s="355"/>
      <c r="S2181" s="369"/>
      <c r="T2181" s="328"/>
      <c r="U2181" s="85" ph="1"/>
      <c r="W2181" s="216"/>
      <c r="X2181" s="245"/>
      <c r="Y2181" s="187"/>
      <c r="Z2181" s="245"/>
      <c r="AA2181" s="245"/>
      <c r="AB2181" s="332"/>
      <c r="AD2181" s="245"/>
      <c r="AE2181" s="187"/>
      <c r="AF2181" s="367"/>
      <c r="AG2181" s="245"/>
      <c r="AI2181" s="245"/>
    </row>
    <row r="2182" spans="1:35" ht="26.4">
      <c r="A2182" s="245"/>
      <c r="B2182" s="245"/>
      <c r="C2182" s="245"/>
      <c r="D2182" s="245"/>
      <c r="E2182" s="245"/>
      <c r="F2182" s="280"/>
      <c r="G2182" s="245"/>
      <c r="H2182" s="245"/>
      <c r="I2182" s="245"/>
      <c r="P2182" s="366"/>
      <c r="R2182" s="355"/>
      <c r="S2182" s="369"/>
      <c r="T2182" s="328"/>
      <c r="U2182" s="85" ph="1"/>
      <c r="W2182" s="216"/>
      <c r="X2182" s="245"/>
      <c r="Y2182" s="187"/>
      <c r="Z2182" s="245"/>
      <c r="AA2182" s="245"/>
      <c r="AB2182" s="332"/>
      <c r="AD2182" s="245"/>
      <c r="AE2182" s="187"/>
      <c r="AF2182" s="367"/>
      <c r="AG2182" s="245"/>
      <c r="AI2182" s="245"/>
    </row>
    <row r="2183" spans="1:35" ht="26.4">
      <c r="A2183" s="245"/>
      <c r="B2183" s="245"/>
      <c r="C2183" s="245"/>
      <c r="D2183" s="245"/>
      <c r="E2183" s="245"/>
      <c r="F2183" s="280"/>
      <c r="G2183" s="245"/>
      <c r="H2183" s="245"/>
      <c r="I2183" s="245"/>
      <c r="P2183" s="366"/>
      <c r="R2183" s="355"/>
      <c r="S2183" s="369"/>
      <c r="T2183" s="328"/>
      <c r="U2183" s="85" ph="1"/>
      <c r="W2183" s="216"/>
      <c r="X2183" s="245"/>
      <c r="Y2183" s="187"/>
      <c r="Z2183" s="245"/>
      <c r="AA2183" s="245"/>
      <c r="AB2183" s="332"/>
      <c r="AD2183" s="245"/>
      <c r="AE2183" s="187"/>
      <c r="AF2183" s="367"/>
      <c r="AG2183" s="245"/>
      <c r="AI2183" s="245"/>
    </row>
    <row r="2184" spans="1:35" ht="26.4">
      <c r="A2184" s="245"/>
      <c r="B2184" s="245"/>
      <c r="C2184" s="245"/>
      <c r="D2184" s="245"/>
      <c r="E2184" s="245"/>
      <c r="F2184" s="280"/>
      <c r="G2184" s="245"/>
      <c r="H2184" s="245"/>
      <c r="I2184" s="245"/>
      <c r="P2184" s="366"/>
      <c r="R2184" s="355"/>
      <c r="S2184" s="369"/>
      <c r="T2184" s="328"/>
      <c r="U2184" s="85" ph="1"/>
      <c r="W2184" s="216"/>
      <c r="X2184" s="245"/>
      <c r="Y2184" s="187"/>
      <c r="Z2184" s="245"/>
      <c r="AA2184" s="245"/>
      <c r="AB2184" s="332"/>
      <c r="AD2184" s="245"/>
      <c r="AE2184" s="187"/>
      <c r="AF2184" s="367"/>
      <c r="AG2184" s="245"/>
      <c r="AI2184" s="245"/>
    </row>
    <row r="2185" spans="1:35" ht="26.4">
      <c r="A2185" s="245"/>
      <c r="B2185" s="245"/>
      <c r="C2185" s="245"/>
      <c r="D2185" s="245"/>
      <c r="E2185" s="245"/>
      <c r="F2185" s="280"/>
      <c r="G2185" s="245"/>
      <c r="H2185" s="245"/>
      <c r="I2185" s="245"/>
      <c r="P2185" s="366"/>
      <c r="R2185" s="355"/>
      <c r="S2185" s="369"/>
      <c r="T2185" s="328"/>
      <c r="U2185" s="85" ph="1"/>
      <c r="W2185" s="216"/>
      <c r="X2185" s="245"/>
      <c r="Y2185" s="187"/>
      <c r="Z2185" s="245"/>
      <c r="AA2185" s="245"/>
      <c r="AB2185" s="332"/>
      <c r="AD2185" s="245"/>
      <c r="AE2185" s="187"/>
      <c r="AF2185" s="367"/>
      <c r="AG2185" s="245"/>
      <c r="AI2185" s="245"/>
    </row>
    <row r="2186" spans="1:35" ht="26.4">
      <c r="A2186" s="245"/>
      <c r="B2186" s="245"/>
      <c r="C2186" s="245"/>
      <c r="D2186" s="245"/>
      <c r="E2186" s="245"/>
      <c r="F2186" s="280"/>
      <c r="G2186" s="245"/>
      <c r="H2186" s="245"/>
      <c r="I2186" s="245"/>
      <c r="P2186" s="366"/>
      <c r="R2186" s="355"/>
      <c r="S2186" s="369"/>
      <c r="T2186" s="328"/>
      <c r="U2186" s="85" ph="1"/>
      <c r="W2186" s="216"/>
      <c r="X2186" s="245"/>
      <c r="Y2186" s="187"/>
      <c r="Z2186" s="245"/>
      <c r="AA2186" s="245"/>
      <c r="AB2186" s="332"/>
      <c r="AD2186" s="245"/>
      <c r="AE2186" s="187"/>
      <c r="AF2186" s="367"/>
      <c r="AG2186" s="245"/>
      <c r="AI2186" s="245"/>
    </row>
    <row r="2187" spans="1:35" ht="26.4">
      <c r="A2187" s="245"/>
      <c r="B2187" s="245"/>
      <c r="C2187" s="245"/>
      <c r="D2187" s="245"/>
      <c r="E2187" s="245"/>
      <c r="F2187" s="280"/>
      <c r="G2187" s="245"/>
      <c r="H2187" s="245"/>
      <c r="I2187" s="245"/>
      <c r="P2187" s="366"/>
      <c r="R2187" s="355"/>
      <c r="S2187" s="369"/>
      <c r="T2187" s="328"/>
      <c r="U2187" s="85" ph="1"/>
      <c r="W2187" s="216"/>
      <c r="X2187" s="245"/>
      <c r="Y2187" s="187"/>
      <c r="Z2187" s="245"/>
      <c r="AA2187" s="245"/>
      <c r="AB2187" s="332"/>
      <c r="AD2187" s="245"/>
      <c r="AE2187" s="187"/>
      <c r="AF2187" s="367"/>
      <c r="AG2187" s="245"/>
      <c r="AI2187" s="245"/>
    </row>
    <row r="2188" spans="1:35" ht="26.4">
      <c r="A2188" s="245"/>
      <c r="B2188" s="245"/>
      <c r="C2188" s="245"/>
      <c r="D2188" s="245"/>
      <c r="E2188" s="245"/>
      <c r="F2188" s="280"/>
      <c r="G2188" s="245"/>
      <c r="H2188" s="245"/>
      <c r="I2188" s="245"/>
      <c r="P2188" s="366"/>
      <c r="R2188" s="355"/>
      <c r="S2188" s="369"/>
      <c r="T2188" s="328"/>
      <c r="U2188" s="85" ph="1"/>
      <c r="W2188" s="216"/>
      <c r="X2188" s="245"/>
      <c r="Y2188" s="187"/>
      <c r="Z2188" s="245"/>
      <c r="AA2188" s="245"/>
      <c r="AB2188" s="332"/>
      <c r="AD2188" s="245"/>
      <c r="AE2188" s="187"/>
      <c r="AF2188" s="367"/>
      <c r="AG2188" s="245"/>
      <c r="AI2188" s="245"/>
    </row>
    <row r="2189" spans="1:35" ht="26.4">
      <c r="A2189" s="245"/>
      <c r="B2189" s="245"/>
      <c r="C2189" s="245"/>
      <c r="D2189" s="245"/>
      <c r="E2189" s="245"/>
      <c r="F2189" s="280"/>
      <c r="G2189" s="245"/>
      <c r="H2189" s="245"/>
      <c r="I2189" s="245"/>
      <c r="P2189" s="366"/>
      <c r="R2189" s="355"/>
      <c r="S2189" s="369"/>
      <c r="T2189" s="328"/>
      <c r="U2189" s="85" ph="1"/>
      <c r="W2189" s="216"/>
      <c r="X2189" s="245"/>
      <c r="Y2189" s="187"/>
      <c r="Z2189" s="245"/>
      <c r="AA2189" s="245"/>
      <c r="AB2189" s="332"/>
      <c r="AD2189" s="245"/>
      <c r="AE2189" s="187"/>
      <c r="AF2189" s="367"/>
      <c r="AG2189" s="245"/>
      <c r="AI2189" s="245"/>
    </row>
    <row r="2190" spans="1:35" ht="26.4">
      <c r="A2190" s="245"/>
      <c r="B2190" s="245"/>
      <c r="C2190" s="245"/>
      <c r="D2190" s="245"/>
      <c r="E2190" s="245"/>
      <c r="F2190" s="280"/>
      <c r="G2190" s="245"/>
      <c r="H2190" s="245"/>
      <c r="I2190" s="245"/>
      <c r="P2190" s="366"/>
      <c r="R2190" s="355"/>
      <c r="S2190" s="369"/>
      <c r="T2190" s="328"/>
      <c r="U2190" s="85" ph="1"/>
      <c r="W2190" s="216"/>
      <c r="X2190" s="245"/>
      <c r="Y2190" s="187"/>
      <c r="Z2190" s="245"/>
      <c r="AA2190" s="245"/>
      <c r="AB2190" s="332"/>
      <c r="AD2190" s="245"/>
      <c r="AE2190" s="187"/>
      <c r="AF2190" s="367"/>
      <c r="AG2190" s="245"/>
      <c r="AI2190" s="245"/>
    </row>
    <row r="2191" spans="1:35" ht="26.4">
      <c r="A2191" s="245"/>
      <c r="B2191" s="245"/>
      <c r="C2191" s="245"/>
      <c r="D2191" s="245"/>
      <c r="E2191" s="245"/>
      <c r="F2191" s="280"/>
      <c r="G2191" s="245"/>
      <c r="H2191" s="245"/>
      <c r="I2191" s="245"/>
      <c r="P2191" s="366"/>
      <c r="R2191" s="355"/>
      <c r="S2191" s="369"/>
      <c r="T2191" s="328"/>
      <c r="U2191" s="85" ph="1"/>
      <c r="W2191" s="216"/>
      <c r="X2191" s="245"/>
      <c r="Y2191" s="187"/>
      <c r="Z2191" s="245"/>
      <c r="AA2191" s="245"/>
      <c r="AB2191" s="332"/>
      <c r="AD2191" s="245"/>
      <c r="AE2191" s="187"/>
      <c r="AF2191" s="367"/>
      <c r="AG2191" s="245"/>
      <c r="AI2191" s="245"/>
    </row>
    <row r="2192" spans="1:35" ht="26.4">
      <c r="A2192" s="245"/>
      <c r="B2192" s="245"/>
      <c r="C2192" s="245"/>
      <c r="D2192" s="245"/>
      <c r="E2192" s="245"/>
      <c r="F2192" s="280"/>
      <c r="G2192" s="245"/>
      <c r="H2192" s="245"/>
      <c r="I2192" s="245"/>
      <c r="P2192" s="366"/>
      <c r="R2192" s="355"/>
      <c r="S2192" s="369"/>
      <c r="T2192" s="328"/>
      <c r="U2192" s="85" ph="1"/>
      <c r="W2192" s="216"/>
      <c r="X2192" s="245"/>
      <c r="Y2192" s="187"/>
      <c r="Z2192" s="245"/>
      <c r="AA2192" s="245"/>
      <c r="AB2192" s="332"/>
      <c r="AD2192" s="245"/>
      <c r="AE2192" s="187"/>
      <c r="AF2192" s="367"/>
      <c r="AG2192" s="245"/>
      <c r="AI2192" s="245"/>
    </row>
    <row r="2193" spans="1:35" ht="26.4">
      <c r="A2193" s="245"/>
      <c r="B2193" s="245"/>
      <c r="C2193" s="245"/>
      <c r="D2193" s="245"/>
      <c r="E2193" s="245"/>
      <c r="F2193" s="280"/>
      <c r="G2193" s="245"/>
      <c r="H2193" s="245"/>
      <c r="I2193" s="245"/>
      <c r="P2193" s="366"/>
      <c r="R2193" s="355"/>
      <c r="S2193" s="369"/>
      <c r="T2193" s="328"/>
      <c r="U2193" s="85" ph="1"/>
      <c r="W2193" s="216"/>
      <c r="X2193" s="245"/>
      <c r="Y2193" s="187"/>
      <c r="Z2193" s="245"/>
      <c r="AA2193" s="245"/>
      <c r="AB2193" s="332"/>
      <c r="AD2193" s="245"/>
      <c r="AE2193" s="187"/>
      <c r="AF2193" s="367"/>
      <c r="AG2193" s="245"/>
      <c r="AI2193" s="245"/>
    </row>
    <row r="2194" spans="1:35" ht="26.4">
      <c r="A2194" s="245"/>
      <c r="B2194" s="245"/>
      <c r="C2194" s="245"/>
      <c r="D2194" s="245"/>
      <c r="E2194" s="245"/>
      <c r="F2194" s="280"/>
      <c r="G2194" s="245"/>
      <c r="H2194" s="245"/>
      <c r="I2194" s="245"/>
      <c r="P2194" s="366"/>
      <c r="R2194" s="355"/>
      <c r="S2194" s="369"/>
      <c r="T2194" s="328"/>
      <c r="U2194" s="85" ph="1"/>
      <c r="W2194" s="216"/>
      <c r="X2194" s="245"/>
      <c r="Y2194" s="187"/>
      <c r="Z2194" s="245"/>
      <c r="AA2194" s="245"/>
      <c r="AB2194" s="332"/>
      <c r="AD2194" s="245"/>
      <c r="AE2194" s="187"/>
      <c r="AF2194" s="367"/>
      <c r="AG2194" s="245"/>
      <c r="AI2194" s="245"/>
    </row>
    <row r="2195" spans="1:35" ht="26.4">
      <c r="A2195" s="245"/>
      <c r="B2195" s="245"/>
      <c r="C2195" s="245"/>
      <c r="D2195" s="245"/>
      <c r="E2195" s="245"/>
      <c r="F2195" s="280"/>
      <c r="G2195" s="245"/>
      <c r="H2195" s="245"/>
      <c r="I2195" s="245"/>
      <c r="P2195" s="366"/>
      <c r="R2195" s="355"/>
      <c r="S2195" s="369"/>
      <c r="T2195" s="328"/>
      <c r="U2195" s="85" ph="1"/>
      <c r="W2195" s="216"/>
      <c r="X2195" s="245"/>
      <c r="Y2195" s="187"/>
      <c r="Z2195" s="245"/>
      <c r="AA2195" s="245"/>
      <c r="AB2195" s="332"/>
      <c r="AD2195" s="245"/>
      <c r="AE2195" s="187"/>
      <c r="AF2195" s="367"/>
      <c r="AG2195" s="245"/>
      <c r="AI2195" s="245"/>
    </row>
    <row r="2196" spans="1:35" ht="26.4">
      <c r="A2196" s="245"/>
      <c r="B2196" s="245"/>
      <c r="C2196" s="245"/>
      <c r="D2196" s="245"/>
      <c r="E2196" s="245"/>
      <c r="F2196" s="280"/>
      <c r="G2196" s="245"/>
      <c r="H2196" s="245"/>
      <c r="I2196" s="245"/>
      <c r="P2196" s="366"/>
      <c r="R2196" s="355"/>
      <c r="S2196" s="369"/>
      <c r="T2196" s="328"/>
      <c r="U2196" s="85" ph="1"/>
      <c r="W2196" s="216"/>
      <c r="X2196" s="245"/>
      <c r="Y2196" s="187"/>
      <c r="Z2196" s="245"/>
      <c r="AA2196" s="245"/>
      <c r="AB2196" s="332"/>
      <c r="AD2196" s="245"/>
      <c r="AE2196" s="187"/>
      <c r="AF2196" s="367"/>
      <c r="AG2196" s="245"/>
      <c r="AI2196" s="245"/>
    </row>
    <row r="2197" spans="1:35" ht="26.4">
      <c r="A2197" s="245"/>
      <c r="B2197" s="245"/>
      <c r="C2197" s="245"/>
      <c r="D2197" s="245"/>
      <c r="E2197" s="245"/>
      <c r="F2197" s="280"/>
      <c r="G2197" s="245"/>
      <c r="H2197" s="245"/>
      <c r="I2197" s="245"/>
      <c r="P2197" s="366"/>
      <c r="R2197" s="355"/>
      <c r="S2197" s="369"/>
      <c r="T2197" s="328"/>
      <c r="U2197" s="85" ph="1"/>
      <c r="W2197" s="216"/>
      <c r="X2197" s="245"/>
      <c r="Y2197" s="187"/>
      <c r="Z2197" s="245"/>
      <c r="AA2197" s="245"/>
      <c r="AB2197" s="332"/>
      <c r="AD2197" s="245"/>
      <c r="AE2197" s="187"/>
      <c r="AF2197" s="367"/>
      <c r="AG2197" s="245"/>
      <c r="AI2197" s="245"/>
    </row>
    <row r="2198" spans="1:35" ht="26.4">
      <c r="A2198" s="245"/>
      <c r="B2198" s="245"/>
      <c r="C2198" s="245"/>
      <c r="D2198" s="245"/>
      <c r="E2198" s="245"/>
      <c r="F2198" s="280"/>
      <c r="G2198" s="245"/>
      <c r="H2198" s="245"/>
      <c r="I2198" s="245"/>
      <c r="P2198" s="366"/>
      <c r="R2198" s="355"/>
      <c r="S2198" s="369"/>
      <c r="T2198" s="328"/>
      <c r="U2198" s="85" ph="1"/>
      <c r="W2198" s="216"/>
      <c r="X2198" s="245"/>
      <c r="Y2198" s="187"/>
      <c r="Z2198" s="245"/>
      <c r="AA2198" s="245"/>
      <c r="AB2198" s="332"/>
      <c r="AD2198" s="245"/>
      <c r="AE2198" s="187"/>
      <c r="AF2198" s="367"/>
      <c r="AG2198" s="245"/>
      <c r="AI2198" s="245"/>
    </row>
    <row r="2199" spans="1:35" ht="26.4">
      <c r="A2199" s="245"/>
      <c r="B2199" s="245"/>
      <c r="C2199" s="245"/>
      <c r="D2199" s="245"/>
      <c r="E2199" s="245"/>
      <c r="F2199" s="280"/>
      <c r="G2199" s="245"/>
      <c r="H2199" s="245"/>
      <c r="I2199" s="245"/>
      <c r="P2199" s="366"/>
      <c r="R2199" s="355"/>
      <c r="S2199" s="369"/>
      <c r="T2199" s="328"/>
      <c r="U2199" s="85" ph="1"/>
      <c r="W2199" s="216"/>
      <c r="X2199" s="245"/>
      <c r="Y2199" s="187"/>
      <c r="Z2199" s="245"/>
      <c r="AA2199" s="245"/>
      <c r="AB2199" s="332"/>
      <c r="AD2199" s="245"/>
      <c r="AE2199" s="187"/>
      <c r="AF2199" s="367"/>
      <c r="AG2199" s="245"/>
      <c r="AI2199" s="245"/>
    </row>
    <row r="2200" spans="1:35" ht="26.4">
      <c r="A2200" s="245"/>
      <c r="B2200" s="245"/>
      <c r="C2200" s="245"/>
      <c r="D2200" s="245"/>
      <c r="E2200" s="245"/>
      <c r="F2200" s="280"/>
      <c r="G2200" s="245"/>
      <c r="H2200" s="245"/>
      <c r="I2200" s="245"/>
      <c r="P2200" s="366"/>
      <c r="R2200" s="355"/>
      <c r="S2200" s="369"/>
      <c r="T2200" s="328"/>
      <c r="U2200" s="85" ph="1"/>
      <c r="W2200" s="216"/>
      <c r="X2200" s="245"/>
      <c r="Y2200" s="187"/>
      <c r="Z2200" s="245"/>
      <c r="AA2200" s="245"/>
      <c r="AB2200" s="332"/>
      <c r="AD2200" s="245"/>
      <c r="AE2200" s="187"/>
      <c r="AF2200" s="367"/>
      <c r="AG2200" s="245"/>
      <c r="AI2200" s="245"/>
    </row>
    <row r="2201" spans="1:35" ht="26.4">
      <c r="A2201" s="245"/>
      <c r="B2201" s="245"/>
      <c r="C2201" s="245"/>
      <c r="D2201" s="245"/>
      <c r="E2201" s="245"/>
      <c r="F2201" s="280"/>
      <c r="G2201" s="245"/>
      <c r="H2201" s="245"/>
      <c r="I2201" s="245"/>
      <c r="P2201" s="366"/>
      <c r="R2201" s="355"/>
      <c r="S2201" s="369"/>
      <c r="T2201" s="328"/>
      <c r="U2201" s="85" ph="1"/>
      <c r="W2201" s="216"/>
      <c r="X2201" s="245"/>
      <c r="Y2201" s="187"/>
      <c r="Z2201" s="245"/>
      <c r="AA2201" s="245"/>
      <c r="AB2201" s="332"/>
      <c r="AD2201" s="245"/>
      <c r="AE2201" s="187"/>
      <c r="AF2201" s="367"/>
      <c r="AG2201" s="245"/>
      <c r="AI2201" s="245"/>
    </row>
    <row r="2202" spans="1:35" ht="26.4">
      <c r="A2202" s="245"/>
      <c r="B2202" s="245"/>
      <c r="C2202" s="245"/>
      <c r="D2202" s="245"/>
      <c r="E2202" s="245"/>
      <c r="F2202" s="280"/>
      <c r="G2202" s="245"/>
      <c r="H2202" s="245"/>
      <c r="I2202" s="245"/>
      <c r="P2202" s="366"/>
      <c r="R2202" s="355"/>
      <c r="S2202" s="369"/>
      <c r="T2202" s="328"/>
      <c r="U2202" s="85" ph="1"/>
      <c r="W2202" s="216"/>
      <c r="X2202" s="245"/>
      <c r="Y2202" s="187"/>
      <c r="Z2202" s="245"/>
      <c r="AA2202" s="245"/>
      <c r="AB2202" s="332"/>
      <c r="AD2202" s="245"/>
      <c r="AE2202" s="187"/>
      <c r="AF2202" s="367"/>
      <c r="AG2202" s="245"/>
      <c r="AI2202" s="245"/>
    </row>
    <row r="2203" spans="1:35" ht="26.4">
      <c r="A2203" s="245"/>
      <c r="B2203" s="245"/>
      <c r="C2203" s="245"/>
      <c r="D2203" s="245"/>
      <c r="E2203" s="245"/>
      <c r="F2203" s="280"/>
      <c r="G2203" s="245"/>
      <c r="H2203" s="245"/>
      <c r="I2203" s="245"/>
      <c r="P2203" s="366"/>
      <c r="R2203" s="355"/>
      <c r="S2203" s="369"/>
      <c r="T2203" s="328"/>
      <c r="U2203" s="85" ph="1"/>
      <c r="W2203" s="216"/>
      <c r="X2203" s="245"/>
      <c r="Y2203" s="187"/>
      <c r="Z2203" s="245"/>
      <c r="AA2203" s="245"/>
      <c r="AB2203" s="332"/>
      <c r="AD2203" s="245"/>
      <c r="AE2203" s="187"/>
      <c r="AF2203" s="367"/>
      <c r="AG2203" s="245"/>
      <c r="AI2203" s="245"/>
    </row>
    <row r="2204" spans="1:35" ht="26.4">
      <c r="A2204" s="245"/>
      <c r="B2204" s="245"/>
      <c r="C2204" s="245"/>
      <c r="D2204" s="245"/>
      <c r="E2204" s="245"/>
      <c r="F2204" s="280"/>
      <c r="G2204" s="245"/>
      <c r="H2204" s="245"/>
      <c r="I2204" s="245"/>
      <c r="P2204" s="366"/>
      <c r="R2204" s="355"/>
      <c r="S2204" s="369"/>
      <c r="T2204" s="328"/>
      <c r="U2204" s="85" ph="1"/>
      <c r="W2204" s="216"/>
      <c r="X2204" s="245"/>
      <c r="Y2204" s="187"/>
      <c r="Z2204" s="245"/>
      <c r="AA2204" s="245"/>
      <c r="AB2204" s="332"/>
      <c r="AD2204" s="245"/>
      <c r="AE2204" s="187"/>
      <c r="AF2204" s="367"/>
      <c r="AG2204" s="245"/>
      <c r="AI2204" s="245"/>
    </row>
    <row r="2205" spans="1:35" ht="26.4">
      <c r="A2205" s="245"/>
      <c r="B2205" s="245"/>
      <c r="C2205" s="245"/>
      <c r="D2205" s="245"/>
      <c r="E2205" s="245"/>
      <c r="F2205" s="280"/>
      <c r="G2205" s="245"/>
      <c r="H2205" s="245"/>
      <c r="I2205" s="245"/>
      <c r="P2205" s="366"/>
      <c r="R2205" s="355"/>
      <c r="S2205" s="369"/>
      <c r="T2205" s="328"/>
      <c r="U2205" s="85" ph="1"/>
      <c r="W2205" s="216"/>
      <c r="X2205" s="245"/>
      <c r="Y2205" s="187"/>
      <c r="Z2205" s="245"/>
      <c r="AA2205" s="245"/>
      <c r="AB2205" s="332"/>
      <c r="AD2205" s="245"/>
      <c r="AE2205" s="187"/>
      <c r="AF2205" s="367"/>
      <c r="AG2205" s="245"/>
      <c r="AI2205" s="245"/>
    </row>
    <row r="2206" spans="1:35" ht="26.4">
      <c r="A2206" s="245"/>
      <c r="B2206" s="245"/>
      <c r="C2206" s="245"/>
      <c r="D2206" s="245"/>
      <c r="E2206" s="245"/>
      <c r="F2206" s="280"/>
      <c r="G2206" s="245"/>
      <c r="H2206" s="245"/>
      <c r="I2206" s="245"/>
      <c r="P2206" s="366"/>
      <c r="R2206" s="355"/>
      <c r="S2206" s="369"/>
      <c r="T2206" s="328"/>
      <c r="U2206" s="85" ph="1"/>
      <c r="W2206" s="216"/>
      <c r="X2206" s="245"/>
      <c r="Y2206" s="187"/>
      <c r="Z2206" s="245"/>
      <c r="AA2206" s="245"/>
      <c r="AB2206" s="332"/>
      <c r="AD2206" s="245"/>
      <c r="AE2206" s="187"/>
      <c r="AF2206" s="367"/>
      <c r="AG2206" s="245"/>
      <c r="AI2206" s="245"/>
    </row>
    <row r="2207" spans="1:35" ht="26.4">
      <c r="A2207" s="245"/>
      <c r="B2207" s="245"/>
      <c r="C2207" s="245"/>
      <c r="D2207" s="245"/>
      <c r="E2207" s="245"/>
      <c r="F2207" s="280"/>
      <c r="G2207" s="245"/>
      <c r="H2207" s="245"/>
      <c r="I2207" s="245"/>
      <c r="P2207" s="366"/>
      <c r="R2207" s="355"/>
      <c r="S2207" s="369"/>
      <c r="T2207" s="328"/>
      <c r="U2207" s="85" ph="1"/>
      <c r="W2207" s="216"/>
      <c r="X2207" s="245"/>
      <c r="Y2207" s="187"/>
      <c r="Z2207" s="245"/>
      <c r="AA2207" s="245"/>
      <c r="AB2207" s="332"/>
      <c r="AD2207" s="245"/>
      <c r="AE2207" s="187"/>
      <c r="AF2207" s="367"/>
      <c r="AG2207" s="245"/>
      <c r="AI2207" s="245"/>
    </row>
    <row r="2208" spans="1:35" ht="26.4">
      <c r="A2208" s="245"/>
      <c r="B2208" s="245"/>
      <c r="C2208" s="245"/>
      <c r="D2208" s="245"/>
      <c r="E2208" s="245"/>
      <c r="F2208" s="280"/>
      <c r="G2208" s="245"/>
      <c r="H2208" s="245"/>
      <c r="I2208" s="245"/>
      <c r="P2208" s="366"/>
      <c r="R2208" s="355"/>
      <c r="S2208" s="369"/>
      <c r="T2208" s="328"/>
      <c r="U2208" s="85" ph="1"/>
      <c r="W2208" s="216"/>
      <c r="X2208" s="245"/>
      <c r="Y2208" s="187"/>
      <c r="Z2208" s="245"/>
      <c r="AA2208" s="245"/>
      <c r="AB2208" s="332"/>
      <c r="AD2208" s="245"/>
      <c r="AE2208" s="187"/>
      <c r="AF2208" s="367"/>
      <c r="AG2208" s="245"/>
      <c r="AI2208" s="245"/>
    </row>
    <row r="2209" spans="1:35" ht="26.4">
      <c r="A2209" s="245"/>
      <c r="B2209" s="245"/>
      <c r="C2209" s="245"/>
      <c r="D2209" s="245"/>
      <c r="E2209" s="245"/>
      <c r="F2209" s="280"/>
      <c r="G2209" s="245"/>
      <c r="H2209" s="245"/>
      <c r="I2209" s="245"/>
      <c r="P2209" s="366"/>
      <c r="R2209" s="355"/>
      <c r="S2209" s="369"/>
      <c r="T2209" s="328"/>
      <c r="U2209" s="85" ph="1"/>
      <c r="W2209" s="216"/>
      <c r="X2209" s="245"/>
      <c r="Y2209" s="187"/>
      <c r="Z2209" s="245"/>
      <c r="AA2209" s="245"/>
      <c r="AB2209" s="332"/>
      <c r="AD2209" s="245"/>
      <c r="AE2209" s="187"/>
      <c r="AF2209" s="367"/>
      <c r="AG2209" s="245"/>
      <c r="AI2209" s="245"/>
    </row>
    <row r="2210" spans="1:35" ht="26.4">
      <c r="A2210" s="245"/>
      <c r="B2210" s="245"/>
      <c r="C2210" s="245"/>
      <c r="D2210" s="245"/>
      <c r="E2210" s="245"/>
      <c r="F2210" s="280"/>
      <c r="G2210" s="245"/>
      <c r="H2210" s="245"/>
      <c r="I2210" s="245"/>
      <c r="P2210" s="366"/>
      <c r="R2210" s="355"/>
      <c r="S2210" s="369"/>
      <c r="T2210" s="328"/>
      <c r="U2210" s="85" ph="1"/>
      <c r="W2210" s="216"/>
      <c r="X2210" s="245"/>
      <c r="Y2210" s="187"/>
      <c r="Z2210" s="245"/>
      <c r="AA2210" s="245"/>
      <c r="AB2210" s="332"/>
      <c r="AD2210" s="245"/>
      <c r="AE2210" s="187"/>
      <c r="AF2210" s="367"/>
      <c r="AG2210" s="245"/>
      <c r="AI2210" s="245"/>
    </row>
    <row r="2211" spans="1:35" ht="26.4">
      <c r="A2211" s="245"/>
      <c r="B2211" s="245"/>
      <c r="C2211" s="245"/>
      <c r="D2211" s="245"/>
      <c r="E2211" s="245"/>
      <c r="F2211" s="280"/>
      <c r="G2211" s="245"/>
      <c r="H2211" s="245"/>
      <c r="I2211" s="245"/>
      <c r="P2211" s="366"/>
      <c r="R2211" s="355"/>
      <c r="S2211" s="369"/>
      <c r="T2211" s="328"/>
      <c r="U2211" s="85" ph="1"/>
      <c r="W2211" s="216"/>
      <c r="X2211" s="245"/>
      <c r="Y2211" s="187"/>
      <c r="Z2211" s="245"/>
      <c r="AA2211" s="245"/>
      <c r="AB2211" s="332"/>
      <c r="AD2211" s="245"/>
      <c r="AE2211" s="187"/>
      <c r="AF2211" s="367"/>
      <c r="AG2211" s="245"/>
      <c r="AI2211" s="245"/>
    </row>
    <row r="2212" spans="1:35" ht="26.4">
      <c r="A2212" s="245"/>
      <c r="B2212" s="245"/>
      <c r="C2212" s="245"/>
      <c r="D2212" s="245"/>
      <c r="E2212" s="245"/>
      <c r="F2212" s="280"/>
      <c r="G2212" s="245"/>
      <c r="H2212" s="245"/>
      <c r="I2212" s="245"/>
      <c r="P2212" s="366"/>
      <c r="R2212" s="355"/>
      <c r="S2212" s="369"/>
      <c r="T2212" s="328"/>
      <c r="U2212" s="85" ph="1"/>
      <c r="W2212" s="216"/>
      <c r="X2212" s="245"/>
      <c r="Y2212" s="187"/>
      <c r="Z2212" s="245"/>
      <c r="AA2212" s="245"/>
      <c r="AB2212" s="332"/>
      <c r="AD2212" s="245"/>
      <c r="AE2212" s="187"/>
      <c r="AF2212" s="367"/>
      <c r="AG2212" s="245"/>
      <c r="AI2212" s="245"/>
    </row>
    <row r="2213" spans="1:35" ht="26.4">
      <c r="A2213" s="245"/>
      <c r="B2213" s="245"/>
      <c r="C2213" s="245"/>
      <c r="D2213" s="245"/>
      <c r="E2213" s="245"/>
      <c r="F2213" s="280"/>
      <c r="G2213" s="245"/>
      <c r="H2213" s="245"/>
      <c r="I2213" s="245"/>
      <c r="P2213" s="366"/>
      <c r="R2213" s="355"/>
      <c r="S2213" s="369"/>
      <c r="T2213" s="328"/>
      <c r="U2213" s="85" ph="1"/>
      <c r="W2213" s="216"/>
      <c r="X2213" s="245"/>
      <c r="Y2213" s="187"/>
      <c r="Z2213" s="245"/>
      <c r="AA2213" s="245"/>
      <c r="AB2213" s="332"/>
      <c r="AD2213" s="245"/>
      <c r="AE2213" s="187"/>
      <c r="AF2213" s="367"/>
      <c r="AG2213" s="245"/>
      <c r="AI2213" s="245"/>
    </row>
    <row r="2214" spans="1:35" ht="26.4">
      <c r="A2214" s="245"/>
      <c r="B2214" s="245"/>
      <c r="C2214" s="245"/>
      <c r="D2214" s="245"/>
      <c r="E2214" s="245"/>
      <c r="F2214" s="280"/>
      <c r="G2214" s="245"/>
      <c r="H2214" s="245"/>
      <c r="I2214" s="245"/>
      <c r="P2214" s="366"/>
      <c r="R2214" s="355"/>
      <c r="S2214" s="369"/>
      <c r="T2214" s="328"/>
      <c r="U2214" s="85" ph="1"/>
      <c r="W2214" s="216"/>
      <c r="X2214" s="245"/>
      <c r="Y2214" s="187"/>
      <c r="Z2214" s="245"/>
      <c r="AA2214" s="245"/>
      <c r="AB2214" s="332"/>
      <c r="AD2214" s="245"/>
      <c r="AE2214" s="187"/>
      <c r="AF2214" s="367"/>
      <c r="AG2214" s="245"/>
      <c r="AI2214" s="245"/>
    </row>
    <row r="2215" spans="1:35" ht="26.4">
      <c r="A2215" s="245"/>
      <c r="B2215" s="245"/>
      <c r="C2215" s="245"/>
      <c r="D2215" s="245"/>
      <c r="E2215" s="245"/>
      <c r="F2215" s="280"/>
      <c r="G2215" s="245"/>
      <c r="H2215" s="245"/>
      <c r="I2215" s="245"/>
      <c r="P2215" s="366"/>
      <c r="R2215" s="355"/>
      <c r="S2215" s="369"/>
      <c r="T2215" s="328"/>
      <c r="U2215" s="85" ph="1"/>
      <c r="W2215" s="216"/>
      <c r="X2215" s="245"/>
      <c r="Y2215" s="187"/>
      <c r="Z2215" s="245"/>
      <c r="AA2215" s="245"/>
      <c r="AB2215" s="332"/>
      <c r="AD2215" s="245"/>
      <c r="AE2215" s="187"/>
      <c r="AF2215" s="367"/>
      <c r="AG2215" s="245"/>
      <c r="AI2215" s="245"/>
    </row>
    <row r="2216" spans="1:35" ht="26.4">
      <c r="A2216" s="245"/>
      <c r="B2216" s="245"/>
      <c r="C2216" s="245"/>
      <c r="D2216" s="245"/>
      <c r="E2216" s="245"/>
      <c r="F2216" s="280"/>
      <c r="G2216" s="245"/>
      <c r="H2216" s="245"/>
      <c r="I2216" s="245"/>
      <c r="P2216" s="366"/>
      <c r="R2216" s="355"/>
      <c r="S2216" s="369"/>
      <c r="T2216" s="328"/>
      <c r="U2216" s="85" ph="1"/>
      <c r="W2216" s="216"/>
      <c r="X2216" s="245"/>
      <c r="Y2216" s="187"/>
      <c r="Z2216" s="245"/>
      <c r="AA2216" s="245"/>
      <c r="AB2216" s="332"/>
      <c r="AD2216" s="245"/>
      <c r="AE2216" s="187"/>
      <c r="AF2216" s="367"/>
      <c r="AG2216" s="245"/>
      <c r="AI2216" s="245"/>
    </row>
    <row r="2217" spans="1:35" ht="26.4">
      <c r="A2217" s="245"/>
      <c r="B2217" s="245"/>
      <c r="C2217" s="245"/>
      <c r="D2217" s="245"/>
      <c r="E2217" s="245"/>
      <c r="F2217" s="280"/>
      <c r="G2217" s="245"/>
      <c r="H2217" s="245"/>
      <c r="I2217" s="245"/>
      <c r="P2217" s="366"/>
      <c r="R2217" s="355"/>
      <c r="S2217" s="369"/>
      <c r="T2217" s="328"/>
      <c r="U2217" s="85" ph="1"/>
      <c r="W2217" s="216"/>
      <c r="X2217" s="245"/>
      <c r="Y2217" s="187"/>
      <c r="Z2217" s="245"/>
      <c r="AA2217" s="245"/>
      <c r="AB2217" s="332"/>
      <c r="AD2217" s="245"/>
      <c r="AE2217" s="187"/>
      <c r="AF2217" s="367"/>
      <c r="AG2217" s="245"/>
      <c r="AI2217" s="245"/>
    </row>
    <row r="2218" spans="1:35" ht="26.4">
      <c r="A2218" s="245"/>
      <c r="B2218" s="245"/>
      <c r="C2218" s="245"/>
      <c r="D2218" s="245"/>
      <c r="E2218" s="245"/>
      <c r="F2218" s="280"/>
      <c r="G2218" s="245"/>
      <c r="H2218" s="245"/>
      <c r="I2218" s="245"/>
      <c r="P2218" s="366"/>
      <c r="R2218" s="355"/>
      <c r="S2218" s="369"/>
      <c r="T2218" s="328"/>
      <c r="U2218" s="85" ph="1"/>
      <c r="W2218" s="216"/>
      <c r="X2218" s="245"/>
      <c r="Y2218" s="187"/>
      <c r="Z2218" s="245"/>
      <c r="AA2218" s="245"/>
      <c r="AB2218" s="332"/>
      <c r="AD2218" s="245"/>
      <c r="AE2218" s="187"/>
      <c r="AF2218" s="367"/>
      <c r="AG2218" s="245"/>
      <c r="AI2218" s="245"/>
    </row>
    <row r="2219" spans="1:35" ht="26.4">
      <c r="A2219" s="245"/>
      <c r="B2219" s="245"/>
      <c r="C2219" s="245"/>
      <c r="D2219" s="245"/>
      <c r="E2219" s="245"/>
      <c r="F2219" s="280"/>
      <c r="G2219" s="245"/>
      <c r="H2219" s="245"/>
      <c r="I2219" s="245"/>
      <c r="P2219" s="366"/>
      <c r="R2219" s="355"/>
      <c r="S2219" s="369"/>
      <c r="T2219" s="328"/>
      <c r="U2219" s="85" ph="1"/>
      <c r="W2219" s="216"/>
      <c r="X2219" s="245"/>
      <c r="Y2219" s="187"/>
      <c r="Z2219" s="245"/>
      <c r="AA2219" s="245"/>
      <c r="AB2219" s="332"/>
      <c r="AD2219" s="245"/>
      <c r="AE2219" s="187"/>
      <c r="AF2219" s="367"/>
      <c r="AG2219" s="245"/>
      <c r="AI2219" s="245"/>
    </row>
    <row r="2220" spans="1:35" ht="26.4">
      <c r="A2220" s="245"/>
      <c r="B2220" s="245"/>
      <c r="C2220" s="245"/>
      <c r="D2220" s="245"/>
      <c r="E2220" s="245"/>
      <c r="F2220" s="280"/>
      <c r="G2220" s="245"/>
      <c r="H2220" s="245"/>
      <c r="I2220" s="245"/>
      <c r="P2220" s="366"/>
      <c r="R2220" s="355"/>
      <c r="S2220" s="369"/>
      <c r="T2220" s="328"/>
      <c r="U2220" s="85" ph="1"/>
      <c r="W2220" s="216"/>
      <c r="X2220" s="245"/>
      <c r="Y2220" s="187"/>
      <c r="Z2220" s="245"/>
      <c r="AA2220" s="245"/>
      <c r="AB2220" s="332"/>
      <c r="AD2220" s="245"/>
      <c r="AE2220" s="187"/>
      <c r="AF2220" s="367"/>
      <c r="AG2220" s="245"/>
      <c r="AI2220" s="245"/>
    </row>
    <row r="2221" spans="1:35" ht="26.4">
      <c r="A2221" s="245"/>
      <c r="B2221" s="245"/>
      <c r="C2221" s="245"/>
      <c r="D2221" s="245"/>
      <c r="E2221" s="245"/>
      <c r="F2221" s="280"/>
      <c r="G2221" s="245"/>
      <c r="H2221" s="245"/>
      <c r="I2221" s="245"/>
      <c r="P2221" s="366"/>
      <c r="R2221" s="355"/>
      <c r="S2221" s="369"/>
      <c r="T2221" s="328"/>
      <c r="U2221" s="85" ph="1"/>
      <c r="W2221" s="216"/>
      <c r="X2221" s="245"/>
      <c r="Y2221" s="187"/>
      <c r="Z2221" s="245"/>
      <c r="AA2221" s="245"/>
      <c r="AB2221" s="332"/>
      <c r="AD2221" s="245"/>
      <c r="AE2221" s="187"/>
      <c r="AF2221" s="367"/>
      <c r="AG2221" s="245"/>
      <c r="AI2221" s="245"/>
    </row>
    <row r="2222" spans="1:35" ht="26.4">
      <c r="A2222" s="245"/>
      <c r="B2222" s="245"/>
      <c r="C2222" s="245"/>
      <c r="D2222" s="245"/>
      <c r="E2222" s="245"/>
      <c r="F2222" s="280"/>
      <c r="G2222" s="245"/>
      <c r="H2222" s="245"/>
      <c r="I2222" s="245"/>
      <c r="P2222" s="366"/>
      <c r="R2222" s="355"/>
      <c r="S2222" s="369"/>
      <c r="T2222" s="328"/>
      <c r="U2222" s="85" ph="1"/>
      <c r="W2222" s="216"/>
      <c r="X2222" s="245"/>
      <c r="Y2222" s="187"/>
      <c r="Z2222" s="245"/>
      <c r="AA2222" s="245"/>
      <c r="AB2222" s="332"/>
      <c r="AD2222" s="245"/>
      <c r="AE2222" s="187"/>
      <c r="AF2222" s="367"/>
      <c r="AG2222" s="245"/>
      <c r="AI2222" s="245"/>
    </row>
    <row r="2223" spans="1:35" ht="26.4">
      <c r="A2223" s="245"/>
      <c r="B2223" s="245"/>
      <c r="C2223" s="245"/>
      <c r="D2223" s="245"/>
      <c r="E2223" s="245"/>
      <c r="F2223" s="280"/>
      <c r="G2223" s="245"/>
      <c r="H2223" s="245"/>
      <c r="I2223" s="245"/>
      <c r="P2223" s="366"/>
      <c r="R2223" s="355"/>
      <c r="S2223" s="369"/>
      <c r="T2223" s="328"/>
      <c r="U2223" s="85" ph="1"/>
      <c r="W2223" s="216"/>
      <c r="X2223" s="245"/>
      <c r="Y2223" s="187"/>
      <c r="Z2223" s="245"/>
      <c r="AA2223" s="245"/>
      <c r="AB2223" s="332"/>
      <c r="AD2223" s="245"/>
      <c r="AE2223" s="187"/>
      <c r="AF2223" s="367"/>
      <c r="AG2223" s="245"/>
      <c r="AI2223" s="245"/>
    </row>
    <row r="2224" spans="1:35" ht="26.4">
      <c r="A2224" s="245"/>
      <c r="B2224" s="245"/>
      <c r="C2224" s="245"/>
      <c r="D2224" s="245"/>
      <c r="E2224" s="245"/>
      <c r="F2224" s="280"/>
      <c r="G2224" s="245"/>
      <c r="H2224" s="245"/>
      <c r="I2224" s="245"/>
      <c r="P2224" s="366"/>
      <c r="R2224" s="355"/>
      <c r="S2224" s="369"/>
      <c r="T2224" s="328"/>
      <c r="U2224" s="85" ph="1"/>
      <c r="W2224" s="216"/>
      <c r="X2224" s="245"/>
      <c r="Y2224" s="187"/>
      <c r="Z2224" s="245"/>
      <c r="AA2224" s="245"/>
      <c r="AB2224" s="332"/>
      <c r="AD2224" s="245"/>
      <c r="AE2224" s="187"/>
      <c r="AF2224" s="367"/>
      <c r="AG2224" s="245"/>
      <c r="AI2224" s="245"/>
    </row>
    <row r="2225" spans="1:35" ht="26.4">
      <c r="A2225" s="245"/>
      <c r="B2225" s="245"/>
      <c r="C2225" s="245"/>
      <c r="D2225" s="245"/>
      <c r="E2225" s="245"/>
      <c r="F2225" s="280"/>
      <c r="G2225" s="245"/>
      <c r="H2225" s="245"/>
      <c r="I2225" s="245"/>
      <c r="P2225" s="366"/>
      <c r="R2225" s="355"/>
      <c r="S2225" s="369"/>
      <c r="T2225" s="328"/>
      <c r="U2225" s="85" ph="1"/>
      <c r="W2225" s="216"/>
      <c r="X2225" s="245"/>
      <c r="Y2225" s="187"/>
      <c r="Z2225" s="245"/>
      <c r="AA2225" s="245"/>
      <c r="AB2225" s="332"/>
      <c r="AD2225" s="245"/>
      <c r="AE2225" s="187"/>
      <c r="AF2225" s="367"/>
      <c r="AG2225" s="245"/>
      <c r="AI2225" s="245"/>
    </row>
    <row r="2226" spans="1:35" ht="26.4">
      <c r="A2226" s="245"/>
      <c r="B2226" s="245"/>
      <c r="C2226" s="245"/>
      <c r="D2226" s="245"/>
      <c r="E2226" s="245"/>
      <c r="F2226" s="280"/>
      <c r="G2226" s="245"/>
      <c r="H2226" s="245"/>
      <c r="I2226" s="245"/>
      <c r="P2226" s="366"/>
      <c r="R2226" s="355"/>
      <c r="S2226" s="369"/>
      <c r="T2226" s="328"/>
      <c r="U2226" s="85" ph="1"/>
      <c r="W2226" s="216"/>
      <c r="X2226" s="245"/>
      <c r="Y2226" s="187"/>
      <c r="Z2226" s="245"/>
      <c r="AA2226" s="245"/>
      <c r="AB2226" s="332"/>
      <c r="AD2226" s="245"/>
      <c r="AE2226" s="187"/>
      <c r="AF2226" s="367"/>
      <c r="AG2226" s="245"/>
      <c r="AI2226" s="245"/>
    </row>
    <row r="2227" spans="1:35" ht="26.4">
      <c r="A2227" s="245"/>
      <c r="B2227" s="245"/>
      <c r="C2227" s="245"/>
      <c r="D2227" s="245"/>
      <c r="E2227" s="245"/>
      <c r="F2227" s="280"/>
      <c r="G2227" s="245"/>
      <c r="H2227" s="245"/>
      <c r="I2227" s="245"/>
      <c r="P2227" s="366"/>
      <c r="R2227" s="355"/>
      <c r="S2227" s="369"/>
      <c r="T2227" s="328"/>
      <c r="U2227" s="85" ph="1"/>
      <c r="W2227" s="216"/>
      <c r="X2227" s="245"/>
      <c r="Y2227" s="187"/>
      <c r="Z2227" s="245"/>
      <c r="AA2227" s="245"/>
      <c r="AB2227" s="332"/>
      <c r="AD2227" s="245"/>
      <c r="AE2227" s="187"/>
      <c r="AF2227" s="367"/>
      <c r="AG2227" s="245"/>
      <c r="AI2227" s="245"/>
    </row>
    <row r="2228" spans="1:35" ht="26.4">
      <c r="A2228" s="245"/>
      <c r="B2228" s="245"/>
      <c r="C2228" s="245"/>
      <c r="D2228" s="245"/>
      <c r="E2228" s="245"/>
      <c r="F2228" s="280"/>
      <c r="G2228" s="245"/>
      <c r="H2228" s="245"/>
      <c r="I2228" s="245"/>
      <c r="P2228" s="366"/>
      <c r="R2228" s="355"/>
      <c r="S2228" s="369"/>
      <c r="T2228" s="328"/>
      <c r="U2228" s="85" ph="1"/>
      <c r="W2228" s="216"/>
      <c r="X2228" s="245"/>
      <c r="Y2228" s="187"/>
      <c r="Z2228" s="245"/>
      <c r="AA2228" s="245"/>
      <c r="AB2228" s="332"/>
      <c r="AD2228" s="245"/>
      <c r="AE2228" s="187"/>
      <c r="AF2228" s="367"/>
      <c r="AG2228" s="245"/>
      <c r="AI2228" s="245"/>
    </row>
    <row r="2229" spans="1:35" ht="26.4">
      <c r="A2229" s="245"/>
      <c r="B2229" s="245"/>
      <c r="C2229" s="245"/>
      <c r="D2229" s="245"/>
      <c r="E2229" s="245"/>
      <c r="F2229" s="280"/>
      <c r="G2229" s="245"/>
      <c r="H2229" s="245"/>
      <c r="I2229" s="245"/>
      <c r="P2229" s="366"/>
      <c r="R2229" s="355"/>
      <c r="S2229" s="369"/>
      <c r="T2229" s="328"/>
      <c r="U2229" s="85" ph="1"/>
      <c r="W2229" s="216"/>
      <c r="X2229" s="245"/>
      <c r="Y2229" s="187"/>
      <c r="Z2229" s="245"/>
      <c r="AA2229" s="245"/>
      <c r="AB2229" s="332"/>
      <c r="AD2229" s="245"/>
      <c r="AE2229" s="187"/>
      <c r="AF2229" s="367"/>
      <c r="AG2229" s="245"/>
      <c r="AI2229" s="245"/>
    </row>
    <row r="2230" spans="1:35" ht="26.4">
      <c r="A2230" s="245"/>
      <c r="B2230" s="245"/>
      <c r="C2230" s="245"/>
      <c r="D2230" s="245"/>
      <c r="E2230" s="245"/>
      <c r="F2230" s="280"/>
      <c r="G2230" s="245"/>
      <c r="H2230" s="245"/>
      <c r="I2230" s="245"/>
      <c r="P2230" s="366"/>
      <c r="R2230" s="355"/>
      <c r="S2230" s="369"/>
      <c r="T2230" s="328"/>
      <c r="U2230" s="85" ph="1"/>
      <c r="W2230" s="216"/>
      <c r="X2230" s="245"/>
      <c r="Y2230" s="187"/>
      <c r="Z2230" s="245"/>
      <c r="AA2230" s="245"/>
      <c r="AB2230" s="332"/>
      <c r="AD2230" s="245"/>
      <c r="AE2230" s="187"/>
      <c r="AF2230" s="367"/>
      <c r="AG2230" s="245"/>
      <c r="AI2230" s="245"/>
    </row>
    <row r="2231" spans="1:35" ht="26.4">
      <c r="A2231" s="245"/>
      <c r="B2231" s="245"/>
      <c r="C2231" s="245"/>
      <c r="D2231" s="245"/>
      <c r="E2231" s="245"/>
      <c r="F2231" s="280"/>
      <c r="G2231" s="245"/>
      <c r="H2231" s="245"/>
      <c r="I2231" s="245"/>
      <c r="P2231" s="366"/>
      <c r="R2231" s="355"/>
      <c r="S2231" s="369"/>
      <c r="T2231" s="328"/>
      <c r="U2231" s="85" ph="1"/>
      <c r="W2231" s="216"/>
      <c r="X2231" s="245"/>
      <c r="Y2231" s="187"/>
      <c r="Z2231" s="245"/>
      <c r="AA2231" s="245"/>
      <c r="AB2231" s="332"/>
      <c r="AD2231" s="245"/>
      <c r="AE2231" s="187"/>
      <c r="AF2231" s="367"/>
      <c r="AG2231" s="245"/>
      <c r="AI2231" s="245"/>
    </row>
    <row r="2232" spans="1:35" ht="26.4">
      <c r="A2232" s="245"/>
      <c r="B2232" s="245"/>
      <c r="C2232" s="245"/>
      <c r="D2232" s="245"/>
      <c r="E2232" s="245"/>
      <c r="F2232" s="280"/>
      <c r="G2232" s="245"/>
      <c r="H2232" s="245"/>
      <c r="I2232" s="245"/>
      <c r="P2232" s="366"/>
      <c r="R2232" s="355"/>
      <c r="S2232" s="369"/>
      <c r="T2232" s="328"/>
      <c r="U2232" s="85" ph="1"/>
      <c r="W2232" s="216"/>
      <c r="X2232" s="245"/>
      <c r="Y2232" s="187"/>
      <c r="Z2232" s="245"/>
      <c r="AA2232" s="245"/>
      <c r="AB2232" s="332"/>
      <c r="AD2232" s="245"/>
      <c r="AE2232" s="187"/>
      <c r="AF2232" s="367"/>
      <c r="AG2232" s="245"/>
      <c r="AI2232" s="245"/>
    </row>
    <row r="2233" spans="1:35" ht="26.4">
      <c r="A2233" s="245"/>
      <c r="B2233" s="245"/>
      <c r="C2233" s="245"/>
      <c r="D2233" s="245"/>
      <c r="E2233" s="245"/>
      <c r="F2233" s="280"/>
      <c r="G2233" s="245"/>
      <c r="H2233" s="245"/>
      <c r="I2233" s="245"/>
      <c r="P2233" s="366"/>
      <c r="R2233" s="355"/>
      <c r="S2233" s="369"/>
      <c r="T2233" s="328"/>
      <c r="U2233" s="85" ph="1"/>
      <c r="W2233" s="216"/>
      <c r="X2233" s="245"/>
      <c r="Y2233" s="187"/>
      <c r="Z2233" s="245"/>
      <c r="AA2233" s="245"/>
      <c r="AB2233" s="332"/>
      <c r="AD2233" s="245"/>
      <c r="AE2233" s="187"/>
      <c r="AF2233" s="367"/>
      <c r="AG2233" s="245"/>
      <c r="AI2233" s="245"/>
    </row>
    <row r="2234" spans="1:35" ht="26.4">
      <c r="A2234" s="245"/>
      <c r="B2234" s="245"/>
      <c r="C2234" s="245"/>
      <c r="D2234" s="245"/>
      <c r="E2234" s="245"/>
      <c r="F2234" s="280"/>
      <c r="G2234" s="245"/>
      <c r="H2234" s="245"/>
      <c r="I2234" s="245"/>
      <c r="P2234" s="366"/>
      <c r="R2234" s="355"/>
      <c r="S2234" s="369"/>
      <c r="T2234" s="328"/>
      <c r="U2234" s="85" ph="1"/>
      <c r="W2234" s="216"/>
      <c r="X2234" s="245"/>
      <c r="Y2234" s="187"/>
      <c r="Z2234" s="245"/>
      <c r="AA2234" s="245"/>
      <c r="AB2234" s="332"/>
      <c r="AD2234" s="245"/>
      <c r="AE2234" s="187"/>
      <c r="AF2234" s="367"/>
      <c r="AG2234" s="245"/>
      <c r="AI2234" s="245"/>
    </row>
    <row r="2235" spans="1:35" ht="26.4">
      <c r="A2235" s="245"/>
      <c r="B2235" s="245"/>
      <c r="C2235" s="245"/>
      <c r="D2235" s="245"/>
      <c r="E2235" s="245"/>
      <c r="F2235" s="280"/>
      <c r="G2235" s="245"/>
      <c r="H2235" s="245"/>
      <c r="I2235" s="245"/>
      <c r="P2235" s="366"/>
      <c r="R2235" s="355"/>
      <c r="S2235" s="369"/>
      <c r="T2235" s="328"/>
      <c r="U2235" s="85" ph="1"/>
      <c r="W2235" s="216"/>
      <c r="X2235" s="245"/>
      <c r="Y2235" s="187"/>
      <c r="Z2235" s="245"/>
      <c r="AA2235" s="245"/>
      <c r="AB2235" s="332"/>
      <c r="AD2235" s="245"/>
      <c r="AE2235" s="187"/>
      <c r="AF2235" s="367"/>
      <c r="AG2235" s="245"/>
      <c r="AI2235" s="245"/>
    </row>
    <row r="2236" spans="1:35" ht="26.4">
      <c r="A2236" s="245"/>
      <c r="B2236" s="245"/>
      <c r="C2236" s="245"/>
      <c r="D2236" s="245"/>
      <c r="E2236" s="245"/>
      <c r="F2236" s="280"/>
      <c r="G2236" s="245"/>
      <c r="H2236" s="245"/>
      <c r="I2236" s="245"/>
      <c r="P2236" s="366"/>
      <c r="R2236" s="355"/>
      <c r="S2236" s="369"/>
      <c r="T2236" s="328"/>
      <c r="U2236" s="85" ph="1"/>
      <c r="W2236" s="216"/>
      <c r="X2236" s="245"/>
      <c r="Y2236" s="187"/>
      <c r="Z2236" s="245"/>
      <c r="AA2236" s="245"/>
      <c r="AB2236" s="332"/>
      <c r="AD2236" s="245"/>
      <c r="AE2236" s="187"/>
      <c r="AF2236" s="367"/>
      <c r="AG2236" s="245"/>
      <c r="AI2236" s="245"/>
    </row>
    <row r="2237" spans="1:35" ht="26.4">
      <c r="A2237" s="245"/>
      <c r="B2237" s="245"/>
      <c r="C2237" s="245"/>
      <c r="D2237" s="245"/>
      <c r="E2237" s="245"/>
      <c r="F2237" s="280"/>
      <c r="G2237" s="245"/>
      <c r="H2237" s="245"/>
      <c r="I2237" s="245"/>
      <c r="P2237" s="366"/>
      <c r="R2237" s="355"/>
      <c r="S2237" s="369"/>
      <c r="T2237" s="328"/>
      <c r="U2237" s="85" ph="1"/>
      <c r="W2237" s="216"/>
      <c r="X2237" s="245"/>
      <c r="Y2237" s="187"/>
      <c r="Z2237" s="245"/>
      <c r="AA2237" s="245"/>
      <c r="AB2237" s="332"/>
      <c r="AD2237" s="245"/>
      <c r="AE2237" s="187"/>
      <c r="AF2237" s="367"/>
      <c r="AG2237" s="245"/>
      <c r="AI2237" s="245"/>
    </row>
    <row r="2238" spans="1:35" ht="26.4">
      <c r="A2238" s="245"/>
      <c r="B2238" s="245"/>
      <c r="C2238" s="245"/>
      <c r="D2238" s="245"/>
      <c r="E2238" s="245"/>
      <c r="F2238" s="280"/>
      <c r="G2238" s="245"/>
      <c r="H2238" s="245"/>
      <c r="I2238" s="245"/>
      <c r="P2238" s="366"/>
      <c r="R2238" s="355"/>
      <c r="S2238" s="369"/>
      <c r="T2238" s="328"/>
      <c r="U2238" s="85" ph="1"/>
      <c r="W2238" s="216"/>
      <c r="X2238" s="245"/>
      <c r="Y2238" s="187"/>
      <c r="Z2238" s="245"/>
      <c r="AA2238" s="245"/>
      <c r="AB2238" s="332"/>
      <c r="AD2238" s="245"/>
      <c r="AE2238" s="187"/>
      <c r="AF2238" s="367"/>
      <c r="AG2238" s="245"/>
      <c r="AI2238" s="245"/>
    </row>
    <row r="2239" spans="1:35" ht="26.4">
      <c r="A2239" s="245"/>
      <c r="B2239" s="245"/>
      <c r="C2239" s="245"/>
      <c r="D2239" s="245"/>
      <c r="E2239" s="245"/>
      <c r="F2239" s="280"/>
      <c r="G2239" s="245"/>
      <c r="H2239" s="245"/>
      <c r="I2239" s="245"/>
      <c r="P2239" s="366"/>
      <c r="R2239" s="355"/>
      <c r="S2239" s="369"/>
      <c r="T2239" s="328"/>
      <c r="U2239" s="85" ph="1"/>
      <c r="W2239" s="216"/>
      <c r="X2239" s="245"/>
      <c r="Y2239" s="187"/>
      <c r="Z2239" s="245"/>
      <c r="AA2239" s="245"/>
      <c r="AB2239" s="332"/>
      <c r="AD2239" s="245"/>
      <c r="AE2239" s="187"/>
      <c r="AF2239" s="367"/>
      <c r="AG2239" s="245"/>
      <c r="AI2239" s="245"/>
    </row>
    <row r="2240" spans="1:35" ht="26.4">
      <c r="A2240" s="245"/>
      <c r="B2240" s="245"/>
      <c r="C2240" s="245"/>
      <c r="D2240" s="245"/>
      <c r="E2240" s="245"/>
      <c r="F2240" s="280"/>
      <c r="G2240" s="245"/>
      <c r="H2240" s="245"/>
      <c r="I2240" s="245"/>
      <c r="P2240" s="366"/>
      <c r="R2240" s="355"/>
      <c r="S2240" s="369"/>
      <c r="T2240" s="328"/>
      <c r="U2240" s="85" ph="1"/>
      <c r="W2240" s="216"/>
      <c r="X2240" s="245"/>
      <c r="Y2240" s="187"/>
      <c r="Z2240" s="245"/>
      <c r="AA2240" s="245"/>
      <c r="AB2240" s="332"/>
      <c r="AD2240" s="245"/>
      <c r="AE2240" s="187"/>
      <c r="AF2240" s="367"/>
      <c r="AG2240" s="245"/>
      <c r="AI2240" s="245"/>
    </row>
    <row r="2241" spans="1:35" ht="26.4">
      <c r="A2241" s="245"/>
      <c r="B2241" s="245"/>
      <c r="C2241" s="245"/>
      <c r="D2241" s="245"/>
      <c r="E2241" s="245"/>
      <c r="F2241" s="280"/>
      <c r="G2241" s="245"/>
      <c r="H2241" s="245"/>
      <c r="I2241" s="245"/>
      <c r="P2241" s="366"/>
      <c r="R2241" s="355"/>
      <c r="S2241" s="369"/>
      <c r="T2241" s="328"/>
      <c r="U2241" s="85" ph="1"/>
      <c r="W2241" s="216"/>
      <c r="X2241" s="245"/>
      <c r="Y2241" s="187"/>
      <c r="Z2241" s="245"/>
      <c r="AA2241" s="245"/>
      <c r="AB2241" s="332"/>
      <c r="AD2241" s="245"/>
      <c r="AE2241" s="187"/>
      <c r="AF2241" s="367"/>
      <c r="AG2241" s="245"/>
      <c r="AI2241" s="245"/>
    </row>
    <row r="2242" spans="1:35" ht="26.4">
      <c r="A2242" s="245"/>
      <c r="B2242" s="245"/>
      <c r="C2242" s="245"/>
      <c r="D2242" s="245"/>
      <c r="E2242" s="245"/>
      <c r="F2242" s="280"/>
      <c r="G2242" s="245"/>
      <c r="H2242" s="245"/>
      <c r="I2242" s="245"/>
      <c r="P2242" s="366"/>
      <c r="R2242" s="355"/>
      <c r="S2242" s="369"/>
      <c r="T2242" s="328"/>
      <c r="U2242" s="85" ph="1"/>
      <c r="W2242" s="216"/>
      <c r="X2242" s="245"/>
      <c r="Y2242" s="187"/>
      <c r="Z2242" s="245"/>
      <c r="AA2242" s="245"/>
      <c r="AB2242" s="332"/>
      <c r="AD2242" s="245"/>
      <c r="AE2242" s="187"/>
      <c r="AF2242" s="367"/>
      <c r="AG2242" s="245"/>
      <c r="AI2242" s="245"/>
    </row>
    <row r="2243" spans="1:35" ht="26.4">
      <c r="A2243" s="245"/>
      <c r="B2243" s="245"/>
      <c r="C2243" s="245"/>
      <c r="D2243" s="245"/>
      <c r="E2243" s="245"/>
      <c r="F2243" s="280"/>
      <c r="G2243" s="245"/>
      <c r="H2243" s="245"/>
      <c r="I2243" s="245"/>
      <c r="P2243" s="366"/>
      <c r="R2243" s="355"/>
      <c r="S2243" s="369"/>
      <c r="T2243" s="328"/>
      <c r="U2243" s="85" ph="1"/>
      <c r="W2243" s="216"/>
      <c r="X2243" s="245"/>
      <c r="Y2243" s="187"/>
      <c r="Z2243" s="245"/>
      <c r="AA2243" s="245"/>
      <c r="AB2243" s="332"/>
      <c r="AD2243" s="245"/>
      <c r="AE2243" s="187"/>
      <c r="AF2243" s="367"/>
      <c r="AG2243" s="245"/>
      <c r="AI2243" s="245"/>
    </row>
    <row r="2244" spans="1:35" ht="26.4">
      <c r="A2244" s="245"/>
      <c r="B2244" s="245"/>
      <c r="C2244" s="245"/>
      <c r="D2244" s="245"/>
      <c r="E2244" s="245"/>
      <c r="F2244" s="280"/>
      <c r="G2244" s="245"/>
      <c r="H2244" s="245"/>
      <c r="I2244" s="245"/>
      <c r="P2244" s="366"/>
      <c r="R2244" s="355"/>
      <c r="S2244" s="369"/>
      <c r="T2244" s="328"/>
      <c r="U2244" s="85" ph="1"/>
      <c r="W2244" s="216"/>
      <c r="X2244" s="245"/>
      <c r="Y2244" s="187"/>
      <c r="Z2244" s="245"/>
      <c r="AA2244" s="245"/>
      <c r="AB2244" s="332"/>
      <c r="AD2244" s="245"/>
      <c r="AE2244" s="187"/>
      <c r="AF2244" s="367"/>
      <c r="AG2244" s="245"/>
      <c r="AI2244" s="245"/>
    </row>
    <row r="2245" spans="1:35" ht="26.4">
      <c r="A2245" s="245"/>
      <c r="B2245" s="245"/>
      <c r="C2245" s="245"/>
      <c r="D2245" s="245"/>
      <c r="E2245" s="245"/>
      <c r="F2245" s="280"/>
      <c r="G2245" s="245"/>
      <c r="H2245" s="245"/>
      <c r="I2245" s="245"/>
      <c r="P2245" s="366"/>
      <c r="R2245" s="355"/>
      <c r="S2245" s="369"/>
      <c r="T2245" s="328"/>
      <c r="U2245" s="85" ph="1"/>
      <c r="W2245" s="216"/>
      <c r="X2245" s="245"/>
      <c r="Y2245" s="187"/>
      <c r="Z2245" s="245"/>
      <c r="AA2245" s="245"/>
      <c r="AB2245" s="332"/>
      <c r="AD2245" s="245"/>
      <c r="AE2245" s="187"/>
      <c r="AF2245" s="367"/>
      <c r="AG2245" s="245"/>
      <c r="AI2245" s="245"/>
    </row>
    <row r="2246" spans="1:35" ht="26.4">
      <c r="A2246" s="245"/>
      <c r="B2246" s="245"/>
      <c r="C2246" s="245"/>
      <c r="D2246" s="245"/>
      <c r="E2246" s="245"/>
      <c r="F2246" s="280"/>
      <c r="G2246" s="245"/>
      <c r="H2246" s="245"/>
      <c r="I2246" s="245"/>
      <c r="P2246" s="366"/>
      <c r="R2246" s="355"/>
      <c r="S2246" s="369"/>
      <c r="T2246" s="328"/>
      <c r="U2246" s="85" ph="1"/>
      <c r="W2246" s="216"/>
      <c r="X2246" s="245"/>
      <c r="Y2246" s="187"/>
      <c r="Z2246" s="245"/>
      <c r="AA2246" s="245"/>
      <c r="AB2246" s="332"/>
      <c r="AD2246" s="245"/>
      <c r="AE2246" s="187"/>
      <c r="AF2246" s="367"/>
      <c r="AG2246" s="245"/>
      <c r="AI2246" s="245"/>
    </row>
    <row r="2247" spans="1:35" ht="26.4">
      <c r="A2247" s="245"/>
      <c r="B2247" s="245"/>
      <c r="C2247" s="245"/>
      <c r="D2247" s="245"/>
      <c r="E2247" s="245"/>
      <c r="F2247" s="280"/>
      <c r="G2247" s="245"/>
      <c r="H2247" s="245"/>
      <c r="I2247" s="245"/>
      <c r="P2247" s="366"/>
      <c r="R2247" s="355"/>
      <c r="S2247" s="369"/>
      <c r="T2247" s="328"/>
      <c r="U2247" s="85" ph="1"/>
      <c r="W2247" s="216"/>
      <c r="X2247" s="245"/>
      <c r="Y2247" s="187"/>
      <c r="Z2247" s="245"/>
      <c r="AA2247" s="245"/>
      <c r="AB2247" s="332"/>
      <c r="AD2247" s="245"/>
      <c r="AE2247" s="187"/>
      <c r="AF2247" s="367"/>
      <c r="AG2247" s="245"/>
      <c r="AI2247" s="245"/>
    </row>
    <row r="2248" spans="1:35" ht="26.4">
      <c r="A2248" s="245"/>
      <c r="B2248" s="245"/>
      <c r="C2248" s="245"/>
      <c r="D2248" s="245"/>
      <c r="E2248" s="245"/>
      <c r="F2248" s="280"/>
      <c r="G2248" s="245"/>
      <c r="H2248" s="245"/>
      <c r="I2248" s="245"/>
      <c r="P2248" s="366"/>
      <c r="R2248" s="355"/>
      <c r="S2248" s="369"/>
      <c r="T2248" s="328"/>
      <c r="U2248" s="85" ph="1"/>
      <c r="W2248" s="216"/>
      <c r="X2248" s="245"/>
      <c r="Y2248" s="187"/>
      <c r="Z2248" s="245"/>
      <c r="AA2248" s="245"/>
      <c r="AB2248" s="332"/>
      <c r="AD2248" s="245"/>
      <c r="AE2248" s="187"/>
      <c r="AF2248" s="367"/>
      <c r="AG2248" s="245"/>
      <c r="AI2248" s="245"/>
    </row>
    <row r="2249" spans="1:35" ht="26.4">
      <c r="A2249" s="245"/>
      <c r="B2249" s="245"/>
      <c r="C2249" s="245"/>
      <c r="D2249" s="245"/>
      <c r="E2249" s="245"/>
      <c r="F2249" s="280"/>
      <c r="G2249" s="245"/>
      <c r="H2249" s="245"/>
      <c r="I2249" s="245"/>
      <c r="P2249" s="366"/>
      <c r="R2249" s="355"/>
      <c r="S2249" s="369"/>
      <c r="T2249" s="328"/>
      <c r="U2249" s="85" ph="1"/>
      <c r="W2249" s="216"/>
      <c r="X2249" s="245"/>
      <c r="Y2249" s="187"/>
      <c r="Z2249" s="245"/>
      <c r="AA2249" s="245"/>
      <c r="AB2249" s="332"/>
      <c r="AD2249" s="245"/>
      <c r="AE2249" s="187"/>
      <c r="AF2249" s="367"/>
      <c r="AG2249" s="245"/>
      <c r="AI2249" s="245"/>
    </row>
    <row r="2250" spans="1:35" ht="26.4">
      <c r="A2250" s="245"/>
      <c r="B2250" s="245"/>
      <c r="C2250" s="245"/>
      <c r="D2250" s="245"/>
      <c r="E2250" s="245"/>
      <c r="F2250" s="280"/>
      <c r="G2250" s="245"/>
      <c r="H2250" s="245"/>
      <c r="I2250" s="245"/>
      <c r="P2250" s="366"/>
      <c r="R2250" s="355"/>
      <c r="S2250" s="369"/>
      <c r="T2250" s="328"/>
      <c r="U2250" s="85" ph="1"/>
      <c r="W2250" s="216"/>
      <c r="X2250" s="245"/>
      <c r="Y2250" s="187"/>
      <c r="Z2250" s="245"/>
      <c r="AA2250" s="245"/>
      <c r="AB2250" s="332"/>
      <c r="AD2250" s="245"/>
      <c r="AE2250" s="187"/>
      <c r="AF2250" s="367"/>
      <c r="AG2250" s="245"/>
      <c r="AI2250" s="245"/>
    </row>
    <row r="2251" spans="1:35" ht="26.4">
      <c r="A2251" s="245"/>
      <c r="B2251" s="245"/>
      <c r="C2251" s="245"/>
      <c r="D2251" s="245"/>
      <c r="E2251" s="245"/>
      <c r="F2251" s="280"/>
      <c r="G2251" s="245"/>
      <c r="H2251" s="245"/>
      <c r="I2251" s="245"/>
      <c r="P2251" s="366"/>
      <c r="R2251" s="355"/>
      <c r="S2251" s="369"/>
      <c r="T2251" s="328"/>
      <c r="U2251" s="85" ph="1"/>
      <c r="W2251" s="216"/>
      <c r="X2251" s="245"/>
      <c r="Y2251" s="187"/>
      <c r="Z2251" s="245"/>
      <c r="AA2251" s="245"/>
      <c r="AB2251" s="332"/>
      <c r="AD2251" s="245"/>
      <c r="AE2251" s="187"/>
      <c r="AF2251" s="367"/>
      <c r="AG2251" s="245"/>
      <c r="AI2251" s="245"/>
    </row>
    <row r="2252" spans="1:35" ht="26.4">
      <c r="A2252" s="245"/>
      <c r="B2252" s="245"/>
      <c r="C2252" s="245"/>
      <c r="D2252" s="245"/>
      <c r="E2252" s="245"/>
      <c r="F2252" s="280"/>
      <c r="G2252" s="245"/>
      <c r="H2252" s="245"/>
      <c r="I2252" s="245"/>
      <c r="P2252" s="366"/>
      <c r="R2252" s="355"/>
      <c r="S2252" s="369"/>
      <c r="T2252" s="328"/>
      <c r="U2252" s="85" ph="1"/>
      <c r="W2252" s="216"/>
      <c r="X2252" s="245"/>
      <c r="Y2252" s="187"/>
      <c r="Z2252" s="245"/>
      <c r="AA2252" s="245"/>
      <c r="AB2252" s="332"/>
      <c r="AD2252" s="245"/>
      <c r="AE2252" s="187"/>
      <c r="AF2252" s="367"/>
      <c r="AG2252" s="245"/>
      <c r="AI2252" s="245"/>
    </row>
    <row r="2253" spans="1:35" ht="26.4">
      <c r="A2253" s="245"/>
      <c r="B2253" s="245"/>
      <c r="C2253" s="245"/>
      <c r="D2253" s="245"/>
      <c r="E2253" s="245"/>
      <c r="F2253" s="280"/>
      <c r="G2253" s="245"/>
      <c r="H2253" s="245"/>
      <c r="I2253" s="245"/>
      <c r="P2253" s="366"/>
      <c r="R2253" s="355"/>
      <c r="S2253" s="369"/>
      <c r="T2253" s="328"/>
      <c r="U2253" s="85" ph="1"/>
      <c r="W2253" s="216"/>
      <c r="X2253" s="245"/>
      <c r="Y2253" s="187"/>
      <c r="Z2253" s="245"/>
      <c r="AA2253" s="245"/>
      <c r="AB2253" s="332"/>
      <c r="AD2253" s="245"/>
      <c r="AE2253" s="187"/>
      <c r="AF2253" s="367"/>
      <c r="AG2253" s="245"/>
      <c r="AI2253" s="245"/>
    </row>
    <row r="2254" spans="1:35" ht="26.4">
      <c r="A2254" s="245"/>
      <c r="B2254" s="245"/>
      <c r="C2254" s="245"/>
      <c r="D2254" s="245"/>
      <c r="E2254" s="245"/>
      <c r="F2254" s="280"/>
      <c r="G2254" s="245"/>
      <c r="H2254" s="245"/>
      <c r="I2254" s="245"/>
      <c r="P2254" s="366"/>
      <c r="R2254" s="355"/>
      <c r="S2254" s="369"/>
      <c r="T2254" s="328"/>
      <c r="U2254" s="85" ph="1"/>
      <c r="W2254" s="216"/>
      <c r="X2254" s="245"/>
      <c r="Y2254" s="187"/>
      <c r="Z2254" s="245"/>
      <c r="AA2254" s="245"/>
      <c r="AB2254" s="332"/>
      <c r="AD2254" s="245"/>
      <c r="AE2254" s="187"/>
      <c r="AF2254" s="367"/>
      <c r="AG2254" s="245"/>
      <c r="AI2254" s="245"/>
    </row>
    <row r="2255" spans="1:35" ht="26.4">
      <c r="A2255" s="245"/>
      <c r="B2255" s="245"/>
      <c r="C2255" s="245"/>
      <c r="D2255" s="245"/>
      <c r="E2255" s="245"/>
      <c r="F2255" s="280"/>
      <c r="G2255" s="245"/>
      <c r="H2255" s="245"/>
      <c r="I2255" s="245"/>
      <c r="P2255" s="366"/>
      <c r="R2255" s="355"/>
      <c r="S2255" s="369"/>
      <c r="T2255" s="328"/>
      <c r="U2255" s="85" ph="1"/>
      <c r="W2255" s="216"/>
      <c r="X2255" s="245"/>
      <c r="Y2255" s="187"/>
      <c r="Z2255" s="245"/>
      <c r="AA2255" s="245"/>
      <c r="AB2255" s="332"/>
      <c r="AD2255" s="245"/>
      <c r="AE2255" s="187"/>
      <c r="AF2255" s="367"/>
      <c r="AG2255" s="245"/>
      <c r="AI2255" s="245"/>
    </row>
    <row r="2256" spans="1:35" ht="26.4">
      <c r="A2256" s="245"/>
      <c r="B2256" s="245"/>
      <c r="C2256" s="245"/>
      <c r="D2256" s="245"/>
      <c r="E2256" s="245"/>
      <c r="F2256" s="280"/>
      <c r="G2256" s="245"/>
      <c r="H2256" s="245"/>
      <c r="I2256" s="245"/>
      <c r="P2256" s="366"/>
      <c r="R2256" s="355"/>
      <c r="S2256" s="369"/>
      <c r="T2256" s="328"/>
      <c r="U2256" s="85" ph="1"/>
      <c r="W2256" s="216"/>
      <c r="X2256" s="245"/>
      <c r="Y2256" s="187"/>
      <c r="Z2256" s="245"/>
      <c r="AA2256" s="245"/>
      <c r="AB2256" s="332"/>
      <c r="AD2256" s="245"/>
      <c r="AE2256" s="187"/>
      <c r="AF2256" s="367"/>
      <c r="AG2256" s="245"/>
      <c r="AI2256" s="245"/>
    </row>
    <row r="2257" spans="1:35" ht="26.4">
      <c r="A2257" s="245"/>
      <c r="B2257" s="245"/>
      <c r="C2257" s="245"/>
      <c r="D2257" s="245"/>
      <c r="E2257" s="245"/>
      <c r="F2257" s="280"/>
      <c r="G2257" s="245"/>
      <c r="H2257" s="245"/>
      <c r="I2257" s="245"/>
      <c r="P2257" s="366"/>
      <c r="R2257" s="355"/>
      <c r="S2257" s="369"/>
      <c r="T2257" s="328"/>
      <c r="U2257" s="85" ph="1"/>
      <c r="W2257" s="216"/>
      <c r="X2257" s="245"/>
      <c r="Y2257" s="187"/>
      <c r="Z2257" s="245"/>
      <c r="AA2257" s="245"/>
      <c r="AB2257" s="332"/>
      <c r="AD2257" s="245"/>
      <c r="AE2257" s="187"/>
      <c r="AF2257" s="367"/>
      <c r="AG2257" s="245"/>
      <c r="AI2257" s="245"/>
    </row>
    <row r="2258" spans="1:35" ht="26.4">
      <c r="A2258" s="245"/>
      <c r="B2258" s="245"/>
      <c r="C2258" s="245"/>
      <c r="D2258" s="245"/>
      <c r="E2258" s="245"/>
      <c r="F2258" s="280"/>
      <c r="G2258" s="245"/>
      <c r="H2258" s="245"/>
      <c r="I2258" s="245"/>
      <c r="P2258" s="366"/>
      <c r="R2258" s="355"/>
      <c r="S2258" s="369"/>
      <c r="T2258" s="328"/>
      <c r="U2258" s="85" ph="1"/>
      <c r="W2258" s="216"/>
      <c r="X2258" s="245"/>
      <c r="Y2258" s="187"/>
      <c r="Z2258" s="245"/>
      <c r="AA2258" s="245"/>
      <c r="AB2258" s="332"/>
      <c r="AD2258" s="245"/>
      <c r="AE2258" s="187"/>
      <c r="AF2258" s="367"/>
      <c r="AG2258" s="245"/>
      <c r="AI2258" s="245"/>
    </row>
    <row r="2259" spans="1:35" ht="26.4">
      <c r="A2259" s="245"/>
      <c r="B2259" s="245"/>
      <c r="C2259" s="245"/>
      <c r="D2259" s="245"/>
      <c r="E2259" s="245"/>
      <c r="F2259" s="280"/>
      <c r="G2259" s="245"/>
      <c r="H2259" s="245"/>
      <c r="I2259" s="245"/>
      <c r="P2259" s="366"/>
      <c r="R2259" s="355"/>
      <c r="S2259" s="369"/>
      <c r="T2259" s="328"/>
      <c r="U2259" s="85" ph="1"/>
      <c r="W2259" s="216"/>
      <c r="X2259" s="245"/>
      <c r="Y2259" s="187"/>
      <c r="Z2259" s="245"/>
      <c r="AA2259" s="245"/>
      <c r="AB2259" s="332"/>
      <c r="AD2259" s="245"/>
      <c r="AE2259" s="187"/>
      <c r="AF2259" s="367"/>
      <c r="AG2259" s="245"/>
      <c r="AI2259" s="245"/>
    </row>
    <row r="2260" spans="1:35" ht="26.4">
      <c r="A2260" s="245"/>
      <c r="B2260" s="245"/>
      <c r="C2260" s="245"/>
      <c r="D2260" s="245"/>
      <c r="E2260" s="245"/>
      <c r="F2260" s="280"/>
      <c r="G2260" s="245"/>
      <c r="H2260" s="245"/>
      <c r="I2260" s="245"/>
      <c r="P2260" s="366"/>
      <c r="R2260" s="355"/>
      <c r="S2260" s="369"/>
      <c r="T2260" s="328"/>
      <c r="U2260" s="85" ph="1"/>
      <c r="W2260" s="216"/>
      <c r="X2260" s="245"/>
      <c r="Y2260" s="187"/>
      <c r="Z2260" s="245"/>
      <c r="AA2260" s="245"/>
      <c r="AB2260" s="332"/>
      <c r="AD2260" s="245"/>
      <c r="AE2260" s="187"/>
      <c r="AF2260" s="367"/>
      <c r="AG2260" s="245"/>
      <c r="AI2260" s="245"/>
    </row>
    <row r="2261" spans="1:35" ht="26.4">
      <c r="A2261" s="245"/>
      <c r="B2261" s="245"/>
      <c r="C2261" s="245"/>
      <c r="D2261" s="245"/>
      <c r="E2261" s="245"/>
      <c r="F2261" s="280"/>
      <c r="G2261" s="245"/>
      <c r="H2261" s="245"/>
      <c r="I2261" s="245"/>
      <c r="P2261" s="366"/>
      <c r="R2261" s="355"/>
      <c r="S2261" s="369"/>
      <c r="T2261" s="328"/>
      <c r="U2261" s="85" ph="1"/>
      <c r="W2261" s="216"/>
      <c r="X2261" s="245"/>
      <c r="Y2261" s="187"/>
      <c r="Z2261" s="245"/>
      <c r="AA2261" s="245"/>
      <c r="AB2261" s="332"/>
      <c r="AD2261" s="245"/>
      <c r="AE2261" s="187"/>
      <c r="AF2261" s="367"/>
      <c r="AG2261" s="245"/>
      <c r="AI2261" s="245"/>
    </row>
    <row r="2262" spans="1:35" ht="26.4">
      <c r="A2262" s="245"/>
      <c r="B2262" s="245"/>
      <c r="C2262" s="245"/>
      <c r="D2262" s="245"/>
      <c r="E2262" s="245"/>
      <c r="F2262" s="280"/>
      <c r="G2262" s="245"/>
      <c r="H2262" s="245"/>
      <c r="I2262" s="245"/>
      <c r="P2262" s="366"/>
      <c r="R2262" s="355"/>
      <c r="S2262" s="369"/>
      <c r="T2262" s="328"/>
      <c r="U2262" s="85" ph="1"/>
      <c r="W2262" s="216"/>
      <c r="X2262" s="245"/>
      <c r="Y2262" s="187"/>
      <c r="Z2262" s="245"/>
      <c r="AA2262" s="245"/>
      <c r="AB2262" s="332"/>
      <c r="AD2262" s="245"/>
      <c r="AE2262" s="187"/>
      <c r="AF2262" s="367"/>
      <c r="AG2262" s="245"/>
      <c r="AI2262" s="245"/>
    </row>
    <row r="2263" spans="1:35" ht="26.4">
      <c r="A2263" s="245"/>
      <c r="B2263" s="245"/>
      <c r="C2263" s="245"/>
      <c r="D2263" s="245"/>
      <c r="E2263" s="245"/>
      <c r="F2263" s="280"/>
      <c r="G2263" s="245"/>
      <c r="H2263" s="245"/>
      <c r="I2263" s="245"/>
      <c r="P2263" s="366"/>
      <c r="R2263" s="355"/>
      <c r="S2263" s="369"/>
      <c r="T2263" s="328"/>
      <c r="U2263" s="85" ph="1"/>
      <c r="W2263" s="216"/>
      <c r="X2263" s="245"/>
      <c r="Y2263" s="187"/>
      <c r="Z2263" s="245"/>
      <c r="AA2263" s="245"/>
      <c r="AB2263" s="332"/>
      <c r="AD2263" s="245"/>
      <c r="AE2263" s="187"/>
      <c r="AF2263" s="367"/>
      <c r="AG2263" s="245"/>
      <c r="AI2263" s="245"/>
    </row>
    <row r="2264" spans="1:35" ht="26.4">
      <c r="A2264" s="245"/>
      <c r="B2264" s="245"/>
      <c r="C2264" s="245"/>
      <c r="D2264" s="245"/>
      <c r="E2264" s="245"/>
      <c r="F2264" s="280"/>
      <c r="G2264" s="245"/>
      <c r="H2264" s="245"/>
      <c r="I2264" s="245"/>
      <c r="P2264" s="366"/>
      <c r="R2264" s="355"/>
      <c r="S2264" s="369"/>
      <c r="T2264" s="328"/>
      <c r="U2264" s="85" ph="1"/>
      <c r="W2264" s="216"/>
      <c r="X2264" s="245"/>
      <c r="Y2264" s="187"/>
      <c r="Z2264" s="245"/>
      <c r="AA2264" s="245"/>
      <c r="AB2264" s="332"/>
      <c r="AD2264" s="245"/>
      <c r="AE2264" s="187"/>
      <c r="AF2264" s="367"/>
      <c r="AG2264" s="245"/>
      <c r="AI2264" s="245"/>
    </row>
    <row r="2265" spans="1:35" ht="26.4">
      <c r="A2265" s="245"/>
      <c r="B2265" s="245"/>
      <c r="C2265" s="245"/>
      <c r="D2265" s="245"/>
      <c r="E2265" s="245"/>
      <c r="F2265" s="280"/>
      <c r="G2265" s="245"/>
      <c r="H2265" s="245"/>
      <c r="I2265" s="245"/>
      <c r="P2265" s="366"/>
      <c r="R2265" s="355"/>
      <c r="S2265" s="369"/>
      <c r="T2265" s="328"/>
      <c r="U2265" s="85" ph="1"/>
      <c r="W2265" s="216"/>
      <c r="X2265" s="245"/>
      <c r="Y2265" s="187"/>
      <c r="Z2265" s="245"/>
      <c r="AA2265" s="245"/>
      <c r="AB2265" s="332"/>
      <c r="AD2265" s="245"/>
      <c r="AE2265" s="187"/>
      <c r="AF2265" s="367"/>
      <c r="AG2265" s="245"/>
      <c r="AI2265" s="245"/>
    </row>
    <row r="2266" spans="1:35" ht="26.4">
      <c r="A2266" s="245"/>
      <c r="B2266" s="245"/>
      <c r="C2266" s="245"/>
      <c r="D2266" s="245"/>
      <c r="E2266" s="245"/>
      <c r="F2266" s="280"/>
      <c r="G2266" s="245"/>
      <c r="H2266" s="245"/>
      <c r="I2266" s="245"/>
      <c r="P2266" s="366"/>
      <c r="R2266" s="355"/>
      <c r="S2266" s="369"/>
      <c r="T2266" s="328"/>
      <c r="U2266" s="85" ph="1"/>
      <c r="W2266" s="216"/>
      <c r="X2266" s="245"/>
      <c r="Y2266" s="187"/>
      <c r="Z2266" s="245"/>
      <c r="AA2266" s="245"/>
      <c r="AB2266" s="332"/>
      <c r="AD2266" s="245"/>
      <c r="AE2266" s="187"/>
      <c r="AF2266" s="367"/>
      <c r="AG2266" s="245"/>
      <c r="AI2266" s="245"/>
    </row>
    <row r="2267" spans="1:35" ht="26.4">
      <c r="A2267" s="245"/>
      <c r="B2267" s="245"/>
      <c r="C2267" s="245"/>
      <c r="D2267" s="245"/>
      <c r="E2267" s="245"/>
      <c r="F2267" s="280"/>
      <c r="G2267" s="245"/>
      <c r="H2267" s="245"/>
      <c r="I2267" s="245"/>
      <c r="P2267" s="366"/>
      <c r="R2267" s="355"/>
      <c r="S2267" s="369"/>
      <c r="T2267" s="328"/>
      <c r="U2267" s="85" ph="1"/>
      <c r="W2267" s="216"/>
      <c r="X2267" s="245"/>
      <c r="Y2267" s="187"/>
      <c r="Z2267" s="245"/>
      <c r="AA2267" s="245"/>
      <c r="AB2267" s="332"/>
      <c r="AD2267" s="245"/>
      <c r="AE2267" s="187"/>
      <c r="AF2267" s="367"/>
      <c r="AG2267" s="245"/>
      <c r="AI2267" s="245"/>
    </row>
    <row r="2268" spans="1:35" ht="26.4">
      <c r="A2268" s="245"/>
      <c r="B2268" s="245"/>
      <c r="C2268" s="245"/>
      <c r="D2268" s="245"/>
      <c r="E2268" s="245"/>
      <c r="F2268" s="280"/>
      <c r="G2268" s="245"/>
      <c r="H2268" s="245"/>
      <c r="I2268" s="245"/>
      <c r="P2268" s="366"/>
      <c r="R2268" s="355"/>
      <c r="S2268" s="369"/>
      <c r="T2268" s="328"/>
      <c r="U2268" s="85" ph="1"/>
      <c r="W2268" s="216"/>
      <c r="X2268" s="245"/>
      <c r="Y2268" s="187"/>
      <c r="Z2268" s="245"/>
      <c r="AA2268" s="245"/>
      <c r="AB2268" s="332"/>
      <c r="AD2268" s="245"/>
      <c r="AE2268" s="187"/>
      <c r="AF2268" s="367"/>
      <c r="AG2268" s="245"/>
      <c r="AI2268" s="245"/>
    </row>
    <row r="2269" spans="1:35" ht="26.4">
      <c r="A2269" s="245"/>
      <c r="B2269" s="245"/>
      <c r="C2269" s="245"/>
      <c r="D2269" s="245"/>
      <c r="E2269" s="245"/>
      <c r="F2269" s="280"/>
      <c r="G2269" s="245"/>
      <c r="H2269" s="245"/>
      <c r="I2269" s="245"/>
      <c r="P2269" s="366"/>
      <c r="R2269" s="355"/>
      <c r="S2269" s="369"/>
      <c r="T2269" s="328"/>
      <c r="U2269" s="85" ph="1"/>
      <c r="W2269" s="216"/>
      <c r="X2269" s="245"/>
      <c r="Y2269" s="187"/>
      <c r="Z2269" s="245"/>
      <c r="AA2269" s="245"/>
      <c r="AB2269" s="332"/>
      <c r="AD2269" s="245"/>
      <c r="AE2269" s="187"/>
      <c r="AF2269" s="367"/>
      <c r="AG2269" s="245"/>
      <c r="AI2269" s="245"/>
    </row>
    <row r="2270" spans="1:35" ht="26.4">
      <c r="A2270" s="245"/>
      <c r="B2270" s="245"/>
      <c r="C2270" s="245"/>
      <c r="D2270" s="245"/>
      <c r="E2270" s="245"/>
      <c r="F2270" s="280"/>
      <c r="G2270" s="245"/>
      <c r="H2270" s="245"/>
      <c r="I2270" s="245"/>
      <c r="P2270" s="366"/>
      <c r="R2270" s="355"/>
      <c r="S2270" s="369"/>
      <c r="T2270" s="328"/>
      <c r="U2270" s="85" ph="1"/>
      <c r="W2270" s="216"/>
      <c r="X2270" s="245"/>
      <c r="Y2270" s="187"/>
      <c r="Z2270" s="245"/>
      <c r="AA2270" s="245"/>
      <c r="AB2270" s="332"/>
      <c r="AD2270" s="245"/>
      <c r="AE2270" s="187"/>
      <c r="AF2270" s="367"/>
      <c r="AG2270" s="245"/>
      <c r="AI2270" s="245"/>
    </row>
    <row r="2271" spans="1:35" ht="26.4">
      <c r="A2271" s="245"/>
      <c r="B2271" s="245"/>
      <c r="C2271" s="245"/>
      <c r="D2271" s="245"/>
      <c r="E2271" s="245"/>
      <c r="F2271" s="280"/>
      <c r="G2271" s="245"/>
      <c r="H2271" s="245"/>
      <c r="I2271" s="245"/>
      <c r="P2271" s="366"/>
      <c r="R2271" s="355"/>
      <c r="S2271" s="369"/>
      <c r="T2271" s="328"/>
      <c r="U2271" s="85" ph="1"/>
      <c r="W2271" s="216"/>
      <c r="X2271" s="245"/>
      <c r="Y2271" s="187"/>
      <c r="Z2271" s="245"/>
      <c r="AA2271" s="245"/>
      <c r="AB2271" s="332"/>
      <c r="AD2271" s="245"/>
      <c r="AE2271" s="187"/>
      <c r="AF2271" s="367"/>
      <c r="AG2271" s="245"/>
      <c r="AI2271" s="245"/>
    </row>
    <row r="2272" spans="1:35" ht="26.4">
      <c r="A2272" s="245"/>
      <c r="B2272" s="245"/>
      <c r="C2272" s="245"/>
      <c r="D2272" s="245"/>
      <c r="E2272" s="245"/>
      <c r="F2272" s="280"/>
      <c r="G2272" s="245"/>
      <c r="H2272" s="245"/>
      <c r="I2272" s="245"/>
      <c r="P2272" s="366"/>
      <c r="R2272" s="355"/>
      <c r="S2272" s="369"/>
      <c r="T2272" s="328"/>
      <c r="U2272" s="85" ph="1"/>
      <c r="W2272" s="216"/>
      <c r="X2272" s="245"/>
      <c r="Y2272" s="187"/>
      <c r="Z2272" s="245"/>
      <c r="AA2272" s="245"/>
      <c r="AB2272" s="332"/>
      <c r="AD2272" s="245"/>
      <c r="AE2272" s="187"/>
      <c r="AF2272" s="367"/>
      <c r="AG2272" s="245"/>
      <c r="AI2272" s="245"/>
    </row>
    <row r="2273" spans="1:35" ht="26.4">
      <c r="A2273" s="245"/>
      <c r="B2273" s="245"/>
      <c r="C2273" s="245"/>
      <c r="D2273" s="245"/>
      <c r="E2273" s="245"/>
      <c r="F2273" s="280"/>
      <c r="G2273" s="245"/>
      <c r="H2273" s="245"/>
      <c r="I2273" s="245"/>
      <c r="P2273" s="366"/>
      <c r="R2273" s="355"/>
      <c r="S2273" s="369"/>
      <c r="T2273" s="328"/>
      <c r="U2273" s="85" ph="1"/>
      <c r="W2273" s="216"/>
      <c r="X2273" s="245"/>
      <c r="Y2273" s="187"/>
      <c r="Z2273" s="245"/>
      <c r="AA2273" s="245"/>
      <c r="AB2273" s="332"/>
      <c r="AD2273" s="245"/>
      <c r="AE2273" s="187"/>
      <c r="AF2273" s="367"/>
      <c r="AG2273" s="245"/>
      <c r="AI2273" s="245"/>
    </row>
    <row r="2274" spans="1:35" ht="26.4">
      <c r="A2274" s="245"/>
      <c r="B2274" s="245"/>
      <c r="C2274" s="245"/>
      <c r="D2274" s="245"/>
      <c r="E2274" s="245"/>
      <c r="F2274" s="280"/>
      <c r="G2274" s="245"/>
      <c r="H2274" s="245"/>
      <c r="I2274" s="245"/>
      <c r="P2274" s="366"/>
      <c r="R2274" s="355"/>
      <c r="S2274" s="369"/>
      <c r="T2274" s="328"/>
      <c r="U2274" s="85" ph="1"/>
      <c r="W2274" s="216"/>
      <c r="X2274" s="245"/>
      <c r="Y2274" s="187"/>
      <c r="Z2274" s="245"/>
      <c r="AA2274" s="245"/>
      <c r="AB2274" s="332"/>
      <c r="AD2274" s="245"/>
      <c r="AE2274" s="187"/>
      <c r="AF2274" s="367"/>
      <c r="AG2274" s="245"/>
      <c r="AI2274" s="245"/>
    </row>
    <row r="2275" spans="1:35" ht="26.4">
      <c r="A2275" s="245"/>
      <c r="B2275" s="245"/>
      <c r="C2275" s="245"/>
      <c r="D2275" s="245"/>
      <c r="E2275" s="245"/>
      <c r="F2275" s="280"/>
      <c r="G2275" s="245"/>
      <c r="H2275" s="245"/>
      <c r="I2275" s="245"/>
      <c r="P2275" s="366"/>
      <c r="R2275" s="355"/>
      <c r="S2275" s="369"/>
      <c r="T2275" s="328"/>
      <c r="U2275" s="85" ph="1"/>
      <c r="W2275" s="216"/>
      <c r="X2275" s="245"/>
      <c r="Y2275" s="187"/>
      <c r="Z2275" s="245"/>
      <c r="AA2275" s="245"/>
      <c r="AB2275" s="332"/>
      <c r="AD2275" s="245"/>
      <c r="AE2275" s="187"/>
      <c r="AF2275" s="367"/>
      <c r="AG2275" s="245"/>
      <c r="AI2275" s="245"/>
    </row>
    <row r="2276" spans="1:35" ht="26.4">
      <c r="A2276" s="245"/>
      <c r="B2276" s="245"/>
      <c r="C2276" s="245"/>
      <c r="D2276" s="245"/>
      <c r="E2276" s="245"/>
      <c r="F2276" s="280"/>
      <c r="G2276" s="245"/>
      <c r="H2276" s="245"/>
      <c r="I2276" s="245"/>
      <c r="P2276" s="366"/>
      <c r="R2276" s="355"/>
      <c r="S2276" s="369"/>
      <c r="T2276" s="328"/>
      <c r="U2276" s="85" ph="1"/>
      <c r="W2276" s="216"/>
      <c r="X2276" s="245"/>
      <c r="Y2276" s="187"/>
      <c r="Z2276" s="245"/>
      <c r="AA2276" s="245"/>
      <c r="AB2276" s="332"/>
      <c r="AD2276" s="245"/>
      <c r="AE2276" s="187"/>
      <c r="AF2276" s="367"/>
      <c r="AG2276" s="245"/>
      <c r="AI2276" s="245"/>
    </row>
    <row r="2277" spans="1:35" ht="26.4">
      <c r="A2277" s="245"/>
      <c r="B2277" s="245"/>
      <c r="C2277" s="245"/>
      <c r="D2277" s="245"/>
      <c r="E2277" s="245"/>
      <c r="F2277" s="280"/>
      <c r="G2277" s="245"/>
      <c r="H2277" s="245"/>
      <c r="I2277" s="245"/>
      <c r="P2277" s="366"/>
      <c r="R2277" s="355"/>
      <c r="S2277" s="369"/>
      <c r="T2277" s="328"/>
      <c r="U2277" s="85" ph="1"/>
      <c r="W2277" s="216"/>
      <c r="X2277" s="245"/>
      <c r="Y2277" s="187"/>
      <c r="Z2277" s="245"/>
      <c r="AA2277" s="245"/>
      <c r="AB2277" s="332"/>
      <c r="AD2277" s="245"/>
      <c r="AE2277" s="187"/>
      <c r="AF2277" s="367"/>
      <c r="AG2277" s="245"/>
      <c r="AI2277" s="245"/>
    </row>
    <row r="2278" spans="1:35" ht="26.4">
      <c r="A2278" s="245"/>
      <c r="B2278" s="245"/>
      <c r="C2278" s="245"/>
      <c r="D2278" s="245"/>
      <c r="E2278" s="245"/>
      <c r="F2278" s="280"/>
      <c r="G2278" s="245"/>
      <c r="H2278" s="245"/>
      <c r="I2278" s="245"/>
      <c r="P2278" s="366"/>
      <c r="R2278" s="355"/>
      <c r="S2278" s="369"/>
      <c r="T2278" s="328"/>
      <c r="U2278" s="85" ph="1"/>
      <c r="W2278" s="216"/>
      <c r="X2278" s="245"/>
      <c r="Y2278" s="187"/>
      <c r="Z2278" s="245"/>
      <c r="AA2278" s="245"/>
      <c r="AB2278" s="332"/>
      <c r="AD2278" s="245"/>
      <c r="AE2278" s="187"/>
      <c r="AF2278" s="367"/>
      <c r="AG2278" s="245"/>
      <c r="AI2278" s="245"/>
    </row>
    <row r="2279" spans="1:35" ht="26.4">
      <c r="A2279" s="245"/>
      <c r="B2279" s="245"/>
      <c r="C2279" s="245"/>
      <c r="D2279" s="245"/>
      <c r="E2279" s="245"/>
      <c r="F2279" s="280"/>
      <c r="G2279" s="245"/>
      <c r="H2279" s="245"/>
      <c r="I2279" s="245"/>
      <c r="P2279" s="366"/>
      <c r="R2279" s="355"/>
      <c r="S2279" s="369"/>
      <c r="T2279" s="328"/>
      <c r="U2279" s="85" ph="1"/>
      <c r="W2279" s="216"/>
      <c r="X2279" s="245"/>
      <c r="Y2279" s="187"/>
      <c r="Z2279" s="245"/>
      <c r="AA2279" s="245"/>
      <c r="AB2279" s="332"/>
      <c r="AD2279" s="245"/>
      <c r="AE2279" s="187"/>
      <c r="AF2279" s="367"/>
      <c r="AG2279" s="245"/>
      <c r="AI2279" s="245"/>
    </row>
    <row r="2280" spans="1:35" ht="26.4">
      <c r="A2280" s="245"/>
      <c r="B2280" s="245"/>
      <c r="C2280" s="245"/>
      <c r="D2280" s="245"/>
      <c r="E2280" s="245"/>
      <c r="F2280" s="280"/>
      <c r="G2280" s="245"/>
      <c r="H2280" s="245"/>
      <c r="I2280" s="245"/>
      <c r="P2280" s="366"/>
      <c r="R2280" s="355"/>
      <c r="S2280" s="369"/>
      <c r="T2280" s="328"/>
      <c r="U2280" s="85" ph="1"/>
      <c r="W2280" s="216"/>
      <c r="X2280" s="245"/>
      <c r="Y2280" s="187"/>
      <c r="Z2280" s="245"/>
      <c r="AA2280" s="245"/>
      <c r="AB2280" s="332"/>
      <c r="AD2280" s="245"/>
      <c r="AE2280" s="187"/>
      <c r="AF2280" s="367"/>
      <c r="AG2280" s="245"/>
      <c r="AI2280" s="245"/>
    </row>
    <row r="2281" spans="1:35" ht="26.4">
      <c r="A2281" s="245"/>
      <c r="B2281" s="245"/>
      <c r="C2281" s="245"/>
      <c r="D2281" s="245"/>
      <c r="E2281" s="245"/>
      <c r="F2281" s="280"/>
      <c r="G2281" s="245"/>
      <c r="H2281" s="245"/>
      <c r="I2281" s="245"/>
      <c r="P2281" s="366"/>
      <c r="R2281" s="355"/>
      <c r="S2281" s="369"/>
      <c r="T2281" s="328"/>
      <c r="U2281" s="85" ph="1"/>
      <c r="W2281" s="216"/>
      <c r="X2281" s="245"/>
      <c r="Y2281" s="187"/>
      <c r="Z2281" s="245"/>
      <c r="AA2281" s="245"/>
      <c r="AB2281" s="332"/>
      <c r="AD2281" s="245"/>
      <c r="AE2281" s="187"/>
      <c r="AF2281" s="367"/>
      <c r="AG2281" s="245"/>
      <c r="AI2281" s="245"/>
    </row>
    <row r="2282" spans="1:35" ht="26.4">
      <c r="A2282" s="245"/>
      <c r="B2282" s="245"/>
      <c r="C2282" s="245"/>
      <c r="D2282" s="245"/>
      <c r="E2282" s="245"/>
      <c r="F2282" s="280"/>
      <c r="G2282" s="245"/>
      <c r="H2282" s="245"/>
      <c r="I2282" s="245"/>
      <c r="P2282" s="366"/>
      <c r="R2282" s="355"/>
      <c r="S2282" s="369"/>
      <c r="T2282" s="328"/>
      <c r="U2282" s="85" ph="1"/>
      <c r="W2282" s="216"/>
      <c r="X2282" s="245"/>
      <c r="Y2282" s="187"/>
      <c r="Z2282" s="245"/>
      <c r="AA2282" s="245"/>
      <c r="AB2282" s="332"/>
      <c r="AD2282" s="245"/>
      <c r="AE2282" s="187"/>
      <c r="AF2282" s="367"/>
      <c r="AG2282" s="245"/>
      <c r="AI2282" s="245"/>
    </row>
    <row r="2283" spans="1:35" ht="26.4">
      <c r="A2283" s="245"/>
      <c r="B2283" s="245"/>
      <c r="C2283" s="245"/>
      <c r="D2283" s="245"/>
      <c r="E2283" s="245"/>
      <c r="F2283" s="280"/>
      <c r="G2283" s="245"/>
      <c r="H2283" s="245"/>
      <c r="I2283" s="245"/>
      <c r="P2283" s="366"/>
      <c r="R2283" s="355"/>
      <c r="S2283" s="369"/>
      <c r="T2283" s="328"/>
      <c r="U2283" s="85" ph="1"/>
      <c r="W2283" s="216"/>
      <c r="X2283" s="245"/>
      <c r="Y2283" s="187"/>
      <c r="Z2283" s="245"/>
      <c r="AA2283" s="245"/>
      <c r="AB2283" s="332"/>
      <c r="AD2283" s="245"/>
      <c r="AE2283" s="187"/>
      <c r="AF2283" s="367"/>
      <c r="AG2283" s="245"/>
      <c r="AI2283" s="245"/>
    </row>
    <row r="2284" spans="1:35" ht="26.4">
      <c r="A2284" s="245"/>
      <c r="B2284" s="245"/>
      <c r="C2284" s="245"/>
      <c r="D2284" s="245"/>
      <c r="E2284" s="245"/>
      <c r="F2284" s="280"/>
      <c r="G2284" s="245"/>
      <c r="H2284" s="245"/>
      <c r="I2284" s="245"/>
      <c r="P2284" s="366"/>
      <c r="R2284" s="355"/>
      <c r="S2284" s="369"/>
      <c r="T2284" s="328"/>
      <c r="U2284" s="85" ph="1"/>
      <c r="W2284" s="216"/>
      <c r="X2284" s="245"/>
      <c r="Y2284" s="187"/>
      <c r="Z2284" s="245"/>
      <c r="AA2284" s="245"/>
      <c r="AB2284" s="332"/>
      <c r="AD2284" s="245"/>
      <c r="AE2284" s="187"/>
      <c r="AF2284" s="367"/>
      <c r="AG2284" s="245"/>
      <c r="AI2284" s="245"/>
    </row>
    <row r="2285" spans="1:35" ht="26.4">
      <c r="A2285" s="245"/>
      <c r="B2285" s="245"/>
      <c r="C2285" s="245"/>
      <c r="D2285" s="245"/>
      <c r="E2285" s="245"/>
      <c r="F2285" s="280"/>
      <c r="G2285" s="245"/>
      <c r="H2285" s="245"/>
      <c r="I2285" s="245"/>
      <c r="P2285" s="366"/>
      <c r="R2285" s="355"/>
      <c r="S2285" s="369"/>
      <c r="T2285" s="328"/>
      <c r="U2285" s="85" ph="1"/>
      <c r="W2285" s="216"/>
      <c r="X2285" s="245"/>
      <c r="Y2285" s="187"/>
      <c r="Z2285" s="245"/>
      <c r="AA2285" s="245"/>
      <c r="AB2285" s="332"/>
      <c r="AD2285" s="245"/>
      <c r="AE2285" s="187"/>
      <c r="AF2285" s="367"/>
      <c r="AG2285" s="245"/>
      <c r="AI2285" s="245"/>
    </row>
    <row r="2286" spans="1:35" ht="26.4">
      <c r="A2286" s="245"/>
      <c r="B2286" s="245"/>
      <c r="C2286" s="245"/>
      <c r="D2286" s="245"/>
      <c r="E2286" s="245"/>
      <c r="F2286" s="280"/>
      <c r="G2286" s="245"/>
      <c r="H2286" s="245"/>
      <c r="I2286" s="245"/>
      <c r="P2286" s="366"/>
      <c r="R2286" s="355"/>
      <c r="S2286" s="369"/>
      <c r="T2286" s="328"/>
      <c r="U2286" s="85" ph="1"/>
      <c r="W2286" s="216"/>
      <c r="X2286" s="245"/>
      <c r="Y2286" s="187"/>
      <c r="Z2286" s="245"/>
      <c r="AA2286" s="245"/>
      <c r="AB2286" s="332"/>
      <c r="AD2286" s="245"/>
      <c r="AE2286" s="187"/>
      <c r="AF2286" s="367"/>
      <c r="AG2286" s="245"/>
      <c r="AI2286" s="245"/>
    </row>
    <row r="2287" spans="1:35" ht="26.4">
      <c r="A2287" s="245"/>
      <c r="B2287" s="245"/>
      <c r="C2287" s="245"/>
      <c r="D2287" s="245"/>
      <c r="E2287" s="245"/>
      <c r="F2287" s="280"/>
      <c r="G2287" s="245"/>
      <c r="H2287" s="245"/>
      <c r="I2287" s="245"/>
      <c r="P2287" s="366"/>
      <c r="R2287" s="355"/>
      <c r="S2287" s="369"/>
      <c r="T2287" s="328"/>
      <c r="U2287" s="85" ph="1"/>
      <c r="W2287" s="216"/>
      <c r="X2287" s="245"/>
      <c r="Y2287" s="187"/>
      <c r="Z2287" s="245"/>
      <c r="AA2287" s="245"/>
      <c r="AB2287" s="332"/>
      <c r="AD2287" s="245"/>
      <c r="AE2287" s="187"/>
      <c r="AF2287" s="367"/>
      <c r="AG2287" s="245"/>
      <c r="AI2287" s="245"/>
    </row>
    <row r="2288" spans="1:35" ht="26.4">
      <c r="A2288" s="245"/>
      <c r="B2288" s="245"/>
      <c r="C2288" s="245"/>
      <c r="D2288" s="245"/>
      <c r="E2288" s="245"/>
      <c r="F2288" s="280"/>
      <c r="G2288" s="245"/>
      <c r="H2288" s="245"/>
      <c r="I2288" s="245"/>
      <c r="P2288" s="366"/>
      <c r="R2288" s="355"/>
      <c r="S2288" s="369"/>
      <c r="T2288" s="328"/>
      <c r="U2288" s="85" ph="1"/>
      <c r="W2288" s="216"/>
      <c r="X2288" s="245"/>
      <c r="Y2288" s="187"/>
      <c r="Z2288" s="245"/>
      <c r="AA2288" s="245"/>
      <c r="AB2288" s="332"/>
      <c r="AD2288" s="245"/>
      <c r="AE2288" s="187"/>
      <c r="AF2288" s="367"/>
      <c r="AG2288" s="245"/>
      <c r="AI2288" s="245"/>
    </row>
    <row r="2289" spans="1:35" ht="26.4">
      <c r="A2289" s="245"/>
      <c r="B2289" s="245"/>
      <c r="C2289" s="245"/>
      <c r="D2289" s="245"/>
      <c r="E2289" s="245"/>
      <c r="F2289" s="280"/>
      <c r="G2289" s="245"/>
      <c r="H2289" s="245"/>
      <c r="I2289" s="245"/>
      <c r="P2289" s="366"/>
      <c r="R2289" s="355"/>
      <c r="S2289" s="369"/>
      <c r="T2289" s="328"/>
      <c r="U2289" s="85" ph="1"/>
      <c r="W2289" s="216"/>
      <c r="X2289" s="245"/>
      <c r="Y2289" s="187"/>
      <c r="Z2289" s="245"/>
      <c r="AA2289" s="245"/>
      <c r="AB2289" s="332"/>
      <c r="AD2289" s="245"/>
      <c r="AE2289" s="187"/>
      <c r="AF2289" s="367"/>
      <c r="AG2289" s="245"/>
      <c r="AI2289" s="245"/>
    </row>
    <row r="2290" spans="1:35" ht="26.4">
      <c r="A2290" s="245"/>
      <c r="B2290" s="245"/>
      <c r="C2290" s="245"/>
      <c r="D2290" s="245"/>
      <c r="E2290" s="245"/>
      <c r="F2290" s="280"/>
      <c r="G2290" s="245"/>
      <c r="H2290" s="245"/>
      <c r="I2290" s="245"/>
      <c r="P2290" s="366"/>
      <c r="R2290" s="355"/>
      <c r="S2290" s="369"/>
      <c r="T2290" s="328"/>
      <c r="U2290" s="85" ph="1"/>
      <c r="W2290" s="216"/>
      <c r="X2290" s="245"/>
      <c r="Y2290" s="187"/>
      <c r="Z2290" s="245"/>
      <c r="AA2290" s="245"/>
      <c r="AB2290" s="332"/>
      <c r="AD2290" s="245"/>
      <c r="AE2290" s="187"/>
      <c r="AF2290" s="367"/>
      <c r="AG2290" s="245"/>
      <c r="AI2290" s="245"/>
    </row>
    <row r="2291" spans="1:35" ht="26.4">
      <c r="A2291" s="245"/>
      <c r="B2291" s="245"/>
      <c r="C2291" s="245"/>
      <c r="D2291" s="245"/>
      <c r="E2291" s="245"/>
      <c r="F2291" s="280"/>
      <c r="G2291" s="245"/>
      <c r="H2291" s="245"/>
      <c r="I2291" s="245"/>
      <c r="P2291" s="366"/>
      <c r="R2291" s="355"/>
      <c r="S2291" s="369"/>
      <c r="T2291" s="328"/>
      <c r="U2291" s="85" ph="1"/>
      <c r="W2291" s="216"/>
      <c r="X2291" s="245"/>
      <c r="Y2291" s="187"/>
      <c r="Z2291" s="245"/>
      <c r="AA2291" s="245"/>
      <c r="AB2291" s="332"/>
      <c r="AD2291" s="245"/>
      <c r="AE2291" s="187"/>
      <c r="AF2291" s="367"/>
      <c r="AG2291" s="245"/>
      <c r="AI2291" s="245"/>
    </row>
    <row r="2292" spans="1:35" ht="26.4">
      <c r="A2292" s="245"/>
      <c r="B2292" s="245"/>
      <c r="C2292" s="245"/>
      <c r="D2292" s="245"/>
      <c r="E2292" s="245"/>
      <c r="F2292" s="280"/>
      <c r="G2292" s="245"/>
      <c r="H2292" s="245"/>
      <c r="I2292" s="245"/>
      <c r="P2292" s="366"/>
      <c r="R2292" s="355"/>
      <c r="S2292" s="369"/>
      <c r="T2292" s="328"/>
      <c r="U2292" s="85" ph="1"/>
      <c r="W2292" s="216"/>
      <c r="X2292" s="245"/>
      <c r="Y2292" s="187"/>
      <c r="Z2292" s="245"/>
      <c r="AA2292" s="245"/>
      <c r="AB2292" s="332"/>
      <c r="AD2292" s="245"/>
      <c r="AE2292" s="187"/>
      <c r="AF2292" s="367"/>
      <c r="AG2292" s="245"/>
      <c r="AI2292" s="245"/>
    </row>
    <row r="2293" spans="1:35" ht="26.4">
      <c r="A2293" s="245"/>
      <c r="B2293" s="245"/>
      <c r="C2293" s="245"/>
      <c r="D2293" s="245"/>
      <c r="E2293" s="245"/>
      <c r="F2293" s="280"/>
      <c r="G2293" s="245"/>
      <c r="H2293" s="245"/>
      <c r="I2293" s="245"/>
      <c r="P2293" s="366"/>
      <c r="R2293" s="355"/>
      <c r="S2293" s="369"/>
      <c r="T2293" s="328"/>
      <c r="U2293" s="85" ph="1"/>
      <c r="W2293" s="216"/>
      <c r="X2293" s="245"/>
      <c r="Y2293" s="187"/>
      <c r="Z2293" s="245"/>
      <c r="AA2293" s="245"/>
      <c r="AB2293" s="332"/>
      <c r="AD2293" s="245"/>
      <c r="AE2293" s="187"/>
      <c r="AF2293" s="367"/>
      <c r="AG2293" s="245"/>
      <c r="AI2293" s="245"/>
    </row>
    <row r="2294" spans="1:35" ht="26.4">
      <c r="A2294" s="245"/>
      <c r="B2294" s="245"/>
      <c r="C2294" s="245"/>
      <c r="D2294" s="245"/>
      <c r="E2294" s="245"/>
      <c r="F2294" s="280"/>
      <c r="G2294" s="245"/>
      <c r="H2294" s="245"/>
      <c r="I2294" s="245"/>
      <c r="P2294" s="366"/>
      <c r="R2294" s="355"/>
      <c r="S2294" s="369"/>
      <c r="T2294" s="328"/>
      <c r="U2294" s="85" ph="1"/>
      <c r="W2294" s="216"/>
      <c r="X2294" s="245"/>
      <c r="Y2294" s="187"/>
      <c r="Z2294" s="245"/>
      <c r="AA2294" s="245"/>
      <c r="AB2294" s="332"/>
      <c r="AD2294" s="245"/>
      <c r="AE2294" s="187"/>
      <c r="AF2294" s="367"/>
      <c r="AG2294" s="245"/>
      <c r="AI2294" s="245"/>
    </row>
    <row r="2295" spans="1:35" ht="26.4">
      <c r="A2295" s="245"/>
      <c r="B2295" s="245"/>
      <c r="C2295" s="245"/>
      <c r="D2295" s="245"/>
      <c r="E2295" s="245"/>
      <c r="F2295" s="280"/>
      <c r="G2295" s="245"/>
      <c r="H2295" s="245"/>
      <c r="I2295" s="245"/>
      <c r="P2295" s="366"/>
      <c r="R2295" s="355"/>
      <c r="S2295" s="369"/>
      <c r="T2295" s="328"/>
      <c r="U2295" s="85" ph="1"/>
      <c r="W2295" s="216"/>
      <c r="X2295" s="245"/>
      <c r="Y2295" s="187"/>
      <c r="Z2295" s="245"/>
      <c r="AA2295" s="245"/>
      <c r="AB2295" s="332"/>
      <c r="AD2295" s="245"/>
      <c r="AE2295" s="187"/>
      <c r="AF2295" s="367"/>
      <c r="AG2295" s="245"/>
      <c r="AI2295" s="245"/>
    </row>
    <row r="2296" spans="1:35" ht="26.4">
      <c r="A2296" s="245"/>
      <c r="B2296" s="245"/>
      <c r="C2296" s="245"/>
      <c r="D2296" s="245"/>
      <c r="E2296" s="245"/>
      <c r="F2296" s="280"/>
      <c r="G2296" s="245"/>
      <c r="H2296" s="245"/>
      <c r="I2296" s="245"/>
      <c r="P2296" s="366"/>
      <c r="R2296" s="355"/>
      <c r="S2296" s="369"/>
      <c r="T2296" s="328"/>
      <c r="U2296" s="85" ph="1"/>
      <c r="W2296" s="216"/>
      <c r="X2296" s="245"/>
      <c r="Y2296" s="187"/>
      <c r="Z2296" s="245"/>
      <c r="AA2296" s="245"/>
      <c r="AB2296" s="332"/>
      <c r="AD2296" s="245"/>
      <c r="AE2296" s="187"/>
      <c r="AF2296" s="367"/>
      <c r="AG2296" s="245"/>
      <c r="AI2296" s="245"/>
    </row>
    <row r="2297" spans="1:35" ht="26.4">
      <c r="A2297" s="245"/>
      <c r="B2297" s="245"/>
      <c r="C2297" s="245"/>
      <c r="D2297" s="245"/>
      <c r="E2297" s="245"/>
      <c r="F2297" s="280"/>
      <c r="G2297" s="245"/>
      <c r="H2297" s="245"/>
      <c r="I2297" s="245"/>
      <c r="P2297" s="366"/>
      <c r="R2297" s="355"/>
      <c r="S2297" s="369"/>
      <c r="T2297" s="328"/>
      <c r="U2297" s="85" ph="1"/>
      <c r="W2297" s="216"/>
      <c r="X2297" s="245"/>
      <c r="Y2297" s="187"/>
      <c r="Z2297" s="245"/>
      <c r="AA2297" s="245"/>
      <c r="AB2297" s="332"/>
      <c r="AD2297" s="245"/>
      <c r="AE2297" s="187"/>
      <c r="AF2297" s="367"/>
      <c r="AG2297" s="245"/>
      <c r="AI2297" s="245"/>
    </row>
    <row r="2298" spans="1:35" ht="26.4">
      <c r="A2298" s="245"/>
      <c r="B2298" s="245"/>
      <c r="C2298" s="245"/>
      <c r="D2298" s="245"/>
      <c r="E2298" s="245"/>
      <c r="F2298" s="280"/>
      <c r="G2298" s="245"/>
      <c r="H2298" s="245"/>
      <c r="I2298" s="245"/>
      <c r="P2298" s="366"/>
      <c r="R2298" s="355"/>
      <c r="S2298" s="369"/>
      <c r="T2298" s="328"/>
      <c r="U2298" s="85" ph="1"/>
      <c r="W2298" s="216"/>
      <c r="X2298" s="245"/>
      <c r="Y2298" s="187"/>
      <c r="Z2298" s="245"/>
      <c r="AA2298" s="245"/>
      <c r="AB2298" s="332"/>
      <c r="AD2298" s="245"/>
      <c r="AE2298" s="187"/>
      <c r="AF2298" s="367"/>
      <c r="AG2298" s="245"/>
      <c r="AI2298" s="245"/>
    </row>
    <row r="2299" spans="1:35" ht="26.4">
      <c r="A2299" s="245"/>
      <c r="B2299" s="245"/>
      <c r="C2299" s="245"/>
      <c r="D2299" s="245"/>
      <c r="E2299" s="245"/>
      <c r="F2299" s="280"/>
      <c r="G2299" s="245"/>
      <c r="H2299" s="245"/>
      <c r="I2299" s="245"/>
      <c r="P2299" s="366"/>
      <c r="R2299" s="355"/>
      <c r="S2299" s="369"/>
      <c r="T2299" s="328"/>
      <c r="U2299" s="85" ph="1"/>
      <c r="W2299" s="216"/>
      <c r="X2299" s="245"/>
      <c r="Y2299" s="187"/>
      <c r="Z2299" s="245"/>
      <c r="AA2299" s="245"/>
      <c r="AB2299" s="332"/>
      <c r="AD2299" s="245"/>
      <c r="AE2299" s="187"/>
      <c r="AF2299" s="367"/>
      <c r="AG2299" s="245"/>
      <c r="AI2299" s="245"/>
    </row>
    <row r="2300" spans="1:35" ht="26.4">
      <c r="A2300" s="245"/>
      <c r="B2300" s="245"/>
      <c r="C2300" s="245"/>
      <c r="D2300" s="245"/>
      <c r="E2300" s="245"/>
      <c r="F2300" s="280"/>
      <c r="G2300" s="245"/>
      <c r="H2300" s="245"/>
      <c r="I2300" s="245"/>
      <c r="P2300" s="366"/>
      <c r="R2300" s="355"/>
      <c r="S2300" s="369"/>
      <c r="T2300" s="328"/>
      <c r="U2300" s="85" ph="1"/>
      <c r="W2300" s="216"/>
      <c r="X2300" s="245"/>
      <c r="Y2300" s="187"/>
      <c r="Z2300" s="245"/>
      <c r="AA2300" s="245"/>
      <c r="AB2300" s="332"/>
      <c r="AD2300" s="245"/>
      <c r="AE2300" s="187"/>
      <c r="AF2300" s="367"/>
      <c r="AG2300" s="245"/>
      <c r="AI2300" s="245"/>
    </row>
    <row r="2301" spans="1:35" ht="26.4">
      <c r="A2301" s="245"/>
      <c r="B2301" s="245"/>
      <c r="C2301" s="245"/>
      <c r="D2301" s="245"/>
      <c r="E2301" s="245"/>
      <c r="F2301" s="280"/>
      <c r="G2301" s="245"/>
      <c r="H2301" s="245"/>
      <c r="I2301" s="245"/>
      <c r="P2301" s="366"/>
      <c r="R2301" s="355"/>
      <c r="S2301" s="369"/>
      <c r="T2301" s="328"/>
      <c r="U2301" s="85" ph="1"/>
      <c r="W2301" s="216"/>
      <c r="X2301" s="245"/>
      <c r="Y2301" s="187"/>
      <c r="Z2301" s="245"/>
      <c r="AA2301" s="245"/>
      <c r="AB2301" s="332"/>
      <c r="AD2301" s="245"/>
      <c r="AE2301" s="187"/>
      <c r="AF2301" s="367"/>
      <c r="AG2301" s="245"/>
      <c r="AI2301" s="245"/>
    </row>
    <row r="2302" spans="1:35" ht="26.4">
      <c r="A2302" s="245"/>
      <c r="B2302" s="245"/>
      <c r="C2302" s="245"/>
      <c r="D2302" s="245"/>
      <c r="E2302" s="245"/>
      <c r="F2302" s="280"/>
      <c r="G2302" s="245"/>
      <c r="H2302" s="245"/>
      <c r="I2302" s="245"/>
      <c r="P2302" s="366"/>
      <c r="R2302" s="355"/>
      <c r="S2302" s="369"/>
      <c r="T2302" s="328"/>
      <c r="U2302" s="85" ph="1"/>
      <c r="W2302" s="216"/>
      <c r="X2302" s="245"/>
      <c r="Y2302" s="187"/>
      <c r="Z2302" s="245"/>
      <c r="AA2302" s="245"/>
      <c r="AB2302" s="332"/>
      <c r="AD2302" s="245"/>
      <c r="AE2302" s="187"/>
      <c r="AF2302" s="367"/>
      <c r="AG2302" s="245"/>
      <c r="AI2302" s="245"/>
    </row>
    <row r="2303" spans="1:35" ht="26.4">
      <c r="A2303" s="245"/>
      <c r="B2303" s="245"/>
      <c r="C2303" s="245"/>
      <c r="D2303" s="245"/>
      <c r="E2303" s="245"/>
      <c r="F2303" s="280"/>
      <c r="G2303" s="245"/>
      <c r="H2303" s="245"/>
      <c r="I2303" s="245"/>
      <c r="P2303" s="366"/>
      <c r="R2303" s="355"/>
      <c r="S2303" s="369"/>
      <c r="T2303" s="328"/>
      <c r="U2303" s="85" ph="1"/>
      <c r="W2303" s="216"/>
      <c r="X2303" s="245"/>
      <c r="Y2303" s="187"/>
      <c r="Z2303" s="245"/>
      <c r="AA2303" s="245"/>
      <c r="AB2303" s="332"/>
      <c r="AD2303" s="245"/>
      <c r="AE2303" s="187"/>
      <c r="AF2303" s="367"/>
      <c r="AG2303" s="245"/>
      <c r="AI2303" s="245"/>
    </row>
    <row r="2304" spans="1:35" ht="26.4">
      <c r="A2304" s="245"/>
      <c r="B2304" s="245"/>
      <c r="C2304" s="245"/>
      <c r="D2304" s="245"/>
      <c r="E2304" s="245"/>
      <c r="F2304" s="280"/>
      <c r="G2304" s="245"/>
      <c r="H2304" s="245"/>
      <c r="I2304" s="245"/>
      <c r="P2304" s="366"/>
      <c r="R2304" s="355"/>
      <c r="S2304" s="369"/>
      <c r="T2304" s="328"/>
      <c r="U2304" s="85" ph="1"/>
      <c r="W2304" s="216"/>
      <c r="X2304" s="245"/>
      <c r="Y2304" s="187"/>
      <c r="Z2304" s="245"/>
      <c r="AA2304" s="245"/>
      <c r="AB2304" s="332"/>
      <c r="AD2304" s="245"/>
      <c r="AE2304" s="187"/>
      <c r="AF2304" s="367"/>
      <c r="AG2304" s="245"/>
      <c r="AI2304" s="245"/>
    </row>
    <row r="2305" spans="1:35" ht="26.4">
      <c r="A2305" s="245"/>
      <c r="B2305" s="245"/>
      <c r="C2305" s="245"/>
      <c r="D2305" s="245"/>
      <c r="E2305" s="245"/>
      <c r="F2305" s="280"/>
      <c r="G2305" s="245"/>
      <c r="H2305" s="245"/>
      <c r="I2305" s="245"/>
      <c r="P2305" s="366"/>
      <c r="R2305" s="355"/>
      <c r="S2305" s="369"/>
      <c r="T2305" s="328"/>
      <c r="U2305" s="85" ph="1"/>
      <c r="W2305" s="216"/>
      <c r="X2305" s="245"/>
      <c r="Y2305" s="187"/>
      <c r="Z2305" s="245"/>
      <c r="AA2305" s="245"/>
      <c r="AB2305" s="332"/>
      <c r="AD2305" s="245"/>
      <c r="AE2305" s="187"/>
      <c r="AF2305" s="367"/>
      <c r="AG2305" s="245"/>
      <c r="AI2305" s="245"/>
    </row>
    <row r="2306" spans="1:35" ht="26.4">
      <c r="A2306" s="245"/>
      <c r="B2306" s="245"/>
      <c r="C2306" s="245"/>
      <c r="D2306" s="245"/>
      <c r="E2306" s="245"/>
      <c r="F2306" s="280"/>
      <c r="G2306" s="245"/>
      <c r="H2306" s="245"/>
      <c r="I2306" s="245"/>
      <c r="P2306" s="366"/>
      <c r="R2306" s="355"/>
      <c r="S2306" s="369"/>
      <c r="T2306" s="328"/>
      <c r="U2306" s="85" ph="1"/>
      <c r="W2306" s="216"/>
      <c r="X2306" s="245"/>
      <c r="Y2306" s="187"/>
      <c r="Z2306" s="245"/>
      <c r="AA2306" s="245"/>
      <c r="AB2306" s="332"/>
      <c r="AD2306" s="245"/>
      <c r="AE2306" s="187"/>
      <c r="AF2306" s="367"/>
      <c r="AG2306" s="245"/>
      <c r="AI2306" s="245"/>
    </row>
    <row r="2307" spans="1:35" ht="26.4">
      <c r="A2307" s="245"/>
      <c r="B2307" s="245"/>
      <c r="C2307" s="245"/>
      <c r="D2307" s="245"/>
      <c r="E2307" s="245"/>
      <c r="F2307" s="280"/>
      <c r="G2307" s="245"/>
      <c r="H2307" s="245"/>
      <c r="I2307" s="245"/>
      <c r="P2307" s="366"/>
      <c r="R2307" s="355"/>
      <c r="S2307" s="369"/>
      <c r="T2307" s="328"/>
      <c r="U2307" s="85" ph="1"/>
      <c r="W2307" s="216"/>
      <c r="X2307" s="245"/>
      <c r="Y2307" s="187"/>
      <c r="Z2307" s="245"/>
      <c r="AA2307" s="245"/>
      <c r="AB2307" s="332"/>
      <c r="AD2307" s="245"/>
      <c r="AE2307" s="187"/>
      <c r="AF2307" s="367"/>
      <c r="AG2307" s="245"/>
      <c r="AI2307" s="245"/>
    </row>
    <row r="2308" spans="1:35" ht="26.4">
      <c r="A2308" s="245"/>
      <c r="B2308" s="245"/>
      <c r="C2308" s="245"/>
      <c r="D2308" s="245"/>
      <c r="E2308" s="245"/>
      <c r="F2308" s="280"/>
      <c r="G2308" s="245"/>
      <c r="H2308" s="245"/>
      <c r="I2308" s="245"/>
      <c r="P2308" s="366"/>
      <c r="R2308" s="355"/>
      <c r="S2308" s="369"/>
      <c r="T2308" s="328"/>
      <c r="U2308" s="85" ph="1"/>
      <c r="W2308" s="216"/>
      <c r="X2308" s="245"/>
      <c r="Y2308" s="187"/>
      <c r="Z2308" s="245"/>
      <c r="AA2308" s="245"/>
      <c r="AB2308" s="332"/>
      <c r="AD2308" s="245"/>
      <c r="AE2308" s="187"/>
      <c r="AF2308" s="367"/>
      <c r="AG2308" s="245"/>
      <c r="AI2308" s="245"/>
    </row>
    <row r="2309" spans="1:35" ht="26.4">
      <c r="A2309" s="245"/>
      <c r="B2309" s="245"/>
      <c r="C2309" s="245"/>
      <c r="D2309" s="245"/>
      <c r="E2309" s="245"/>
      <c r="F2309" s="280"/>
      <c r="G2309" s="245"/>
      <c r="H2309" s="245"/>
      <c r="I2309" s="245"/>
      <c r="P2309" s="366"/>
      <c r="R2309" s="355"/>
      <c r="S2309" s="369"/>
      <c r="T2309" s="328"/>
      <c r="U2309" s="85" ph="1"/>
      <c r="W2309" s="216"/>
      <c r="X2309" s="245"/>
      <c r="Y2309" s="187"/>
      <c r="Z2309" s="245"/>
      <c r="AA2309" s="245"/>
      <c r="AB2309" s="332"/>
      <c r="AD2309" s="245"/>
      <c r="AE2309" s="187"/>
      <c r="AF2309" s="367"/>
      <c r="AG2309" s="245"/>
      <c r="AI2309" s="245"/>
    </row>
    <row r="2310" spans="1:35" ht="26.4">
      <c r="A2310" s="245"/>
      <c r="B2310" s="245"/>
      <c r="C2310" s="245"/>
      <c r="D2310" s="245"/>
      <c r="E2310" s="245"/>
      <c r="F2310" s="280"/>
      <c r="G2310" s="245"/>
      <c r="H2310" s="245"/>
      <c r="I2310" s="245"/>
      <c r="P2310" s="366"/>
      <c r="R2310" s="355"/>
      <c r="S2310" s="369"/>
      <c r="T2310" s="328"/>
      <c r="U2310" s="85" ph="1"/>
      <c r="W2310" s="216"/>
      <c r="X2310" s="245"/>
      <c r="Y2310" s="187"/>
      <c r="Z2310" s="245"/>
      <c r="AA2310" s="245"/>
      <c r="AB2310" s="332"/>
      <c r="AD2310" s="245"/>
      <c r="AE2310" s="187"/>
      <c r="AF2310" s="367"/>
      <c r="AG2310" s="245"/>
      <c r="AI2310" s="245"/>
    </row>
    <row r="2311" spans="1:35" ht="26.4">
      <c r="A2311" s="245"/>
      <c r="B2311" s="245"/>
      <c r="C2311" s="245"/>
      <c r="D2311" s="245"/>
      <c r="E2311" s="245"/>
      <c r="F2311" s="280"/>
      <c r="G2311" s="245"/>
      <c r="H2311" s="245"/>
      <c r="I2311" s="245"/>
      <c r="P2311" s="366"/>
      <c r="R2311" s="355"/>
      <c r="S2311" s="369"/>
      <c r="T2311" s="328"/>
      <c r="U2311" s="85" ph="1"/>
      <c r="W2311" s="216"/>
      <c r="X2311" s="245"/>
      <c r="Y2311" s="187"/>
      <c r="Z2311" s="245"/>
      <c r="AA2311" s="245"/>
      <c r="AB2311" s="332"/>
      <c r="AD2311" s="245"/>
      <c r="AE2311" s="187"/>
      <c r="AF2311" s="367"/>
      <c r="AG2311" s="245"/>
      <c r="AI2311" s="245"/>
    </row>
    <row r="2312" spans="1:35" ht="26.4">
      <c r="A2312" s="245"/>
      <c r="B2312" s="245"/>
      <c r="C2312" s="245"/>
      <c r="D2312" s="245"/>
      <c r="E2312" s="245"/>
      <c r="F2312" s="280"/>
      <c r="G2312" s="245"/>
      <c r="H2312" s="245"/>
      <c r="I2312" s="245"/>
      <c r="P2312" s="366"/>
      <c r="R2312" s="355"/>
      <c r="S2312" s="369"/>
      <c r="T2312" s="328"/>
      <c r="U2312" s="85" ph="1"/>
      <c r="W2312" s="216"/>
      <c r="X2312" s="245"/>
      <c r="Y2312" s="187"/>
      <c r="Z2312" s="245"/>
      <c r="AA2312" s="245"/>
      <c r="AB2312" s="332"/>
      <c r="AD2312" s="245"/>
      <c r="AE2312" s="187"/>
      <c r="AF2312" s="367"/>
      <c r="AG2312" s="245"/>
      <c r="AI2312" s="245"/>
    </row>
    <row r="2313" spans="1:35" ht="26.4">
      <c r="A2313" s="245"/>
      <c r="B2313" s="245"/>
      <c r="C2313" s="245"/>
      <c r="D2313" s="245"/>
      <c r="E2313" s="245"/>
      <c r="F2313" s="280"/>
      <c r="G2313" s="245"/>
      <c r="H2313" s="245"/>
      <c r="I2313" s="245"/>
      <c r="P2313" s="366"/>
      <c r="R2313" s="355"/>
      <c r="S2313" s="369"/>
      <c r="T2313" s="328"/>
      <c r="U2313" s="85" ph="1"/>
      <c r="W2313" s="216"/>
      <c r="X2313" s="245"/>
      <c r="Y2313" s="187"/>
      <c r="Z2313" s="245"/>
      <c r="AA2313" s="245"/>
      <c r="AB2313" s="332"/>
      <c r="AD2313" s="245"/>
      <c r="AE2313" s="187"/>
      <c r="AF2313" s="367"/>
      <c r="AG2313" s="245"/>
      <c r="AI2313" s="245"/>
    </row>
    <row r="2314" spans="1:35" ht="26.4">
      <c r="A2314" s="245"/>
      <c r="B2314" s="245"/>
      <c r="C2314" s="245"/>
      <c r="D2314" s="245"/>
      <c r="E2314" s="245"/>
      <c r="F2314" s="280"/>
      <c r="G2314" s="245"/>
      <c r="H2314" s="245"/>
      <c r="I2314" s="245"/>
      <c r="P2314" s="366"/>
      <c r="R2314" s="355"/>
      <c r="S2314" s="369"/>
      <c r="T2314" s="328"/>
      <c r="U2314" s="85" ph="1"/>
      <c r="W2314" s="216"/>
      <c r="X2314" s="245"/>
      <c r="Y2314" s="187"/>
      <c r="Z2314" s="245"/>
      <c r="AA2314" s="245"/>
      <c r="AB2314" s="332"/>
      <c r="AD2314" s="245"/>
      <c r="AE2314" s="187"/>
      <c r="AF2314" s="367"/>
      <c r="AG2314" s="245"/>
      <c r="AI2314" s="245"/>
    </row>
    <row r="2315" spans="1:35" ht="26.4">
      <c r="A2315" s="245"/>
      <c r="B2315" s="245"/>
      <c r="C2315" s="245"/>
      <c r="D2315" s="245"/>
      <c r="E2315" s="245"/>
      <c r="F2315" s="280"/>
      <c r="G2315" s="245"/>
      <c r="H2315" s="245"/>
      <c r="I2315" s="245"/>
      <c r="P2315" s="366"/>
      <c r="R2315" s="355"/>
      <c r="S2315" s="369"/>
      <c r="T2315" s="328"/>
      <c r="U2315" s="85" ph="1"/>
      <c r="W2315" s="216"/>
      <c r="X2315" s="245"/>
      <c r="Y2315" s="187"/>
      <c r="Z2315" s="245"/>
      <c r="AA2315" s="245"/>
      <c r="AB2315" s="332"/>
      <c r="AD2315" s="245"/>
      <c r="AE2315" s="187"/>
      <c r="AF2315" s="367"/>
      <c r="AG2315" s="245"/>
      <c r="AI2315" s="245"/>
    </row>
    <row r="2316" spans="1:35" ht="26.4">
      <c r="A2316" s="245"/>
      <c r="B2316" s="245"/>
      <c r="C2316" s="245"/>
      <c r="D2316" s="245"/>
      <c r="E2316" s="245"/>
      <c r="F2316" s="280"/>
      <c r="G2316" s="245"/>
      <c r="H2316" s="245"/>
      <c r="I2316" s="245"/>
      <c r="S2316" s="369"/>
      <c r="T2316" s="328"/>
      <c r="U2316" s="85" ph="1"/>
      <c r="W2316" s="216"/>
      <c r="X2316" s="245"/>
      <c r="Y2316" s="187"/>
      <c r="Z2316" s="245"/>
      <c r="AA2316" s="245"/>
      <c r="AB2316" s="332"/>
      <c r="AD2316" s="245"/>
      <c r="AE2316" s="187"/>
      <c r="AF2316" s="367"/>
      <c r="AG2316" s="245"/>
      <c r="AI2316" s="245"/>
    </row>
    <row r="2317" spans="1:35" ht="26.4">
      <c r="A2317" s="245"/>
      <c r="B2317" s="245"/>
      <c r="C2317" s="245"/>
      <c r="D2317" s="245"/>
      <c r="E2317" s="245"/>
      <c r="F2317" s="280"/>
      <c r="G2317" s="245"/>
      <c r="H2317" s="245"/>
      <c r="I2317" s="245"/>
      <c r="S2317" s="369"/>
      <c r="T2317" s="328"/>
      <c r="U2317" s="85" ph="1"/>
      <c r="W2317" s="216"/>
      <c r="X2317" s="245"/>
      <c r="Y2317" s="187"/>
      <c r="Z2317" s="245"/>
      <c r="AA2317" s="245"/>
      <c r="AB2317" s="332"/>
      <c r="AD2317" s="245"/>
      <c r="AE2317" s="187"/>
      <c r="AF2317" s="367"/>
      <c r="AG2317" s="245"/>
      <c r="AI2317" s="245"/>
    </row>
    <row r="2318" spans="1:35" ht="26.4">
      <c r="A2318" s="245"/>
      <c r="B2318" s="245"/>
      <c r="C2318" s="245"/>
      <c r="D2318" s="245"/>
      <c r="E2318" s="245"/>
      <c r="F2318" s="280"/>
      <c r="G2318" s="245"/>
      <c r="H2318" s="245"/>
      <c r="I2318" s="245"/>
      <c r="S2318" s="369"/>
      <c r="T2318" s="328"/>
      <c r="U2318" s="85" ph="1"/>
      <c r="W2318" s="216"/>
      <c r="X2318" s="245"/>
      <c r="Y2318" s="187"/>
      <c r="Z2318" s="245"/>
      <c r="AA2318" s="245"/>
      <c r="AB2318" s="332"/>
      <c r="AD2318" s="245"/>
      <c r="AE2318" s="187"/>
      <c r="AF2318" s="367"/>
      <c r="AG2318" s="245"/>
      <c r="AI2318" s="245"/>
    </row>
    <row r="2319" spans="1:35" ht="26.4">
      <c r="A2319" s="245"/>
      <c r="B2319" s="245"/>
      <c r="C2319" s="245"/>
      <c r="D2319" s="245"/>
      <c r="E2319" s="245"/>
      <c r="F2319" s="280"/>
      <c r="G2319" s="245"/>
      <c r="H2319" s="245"/>
      <c r="I2319" s="245"/>
      <c r="S2319" s="369"/>
      <c r="T2319" s="328"/>
      <c r="U2319" s="85" ph="1"/>
      <c r="W2319" s="216"/>
      <c r="X2319" s="245"/>
      <c r="Y2319" s="187"/>
      <c r="Z2319" s="245"/>
      <c r="AA2319" s="245"/>
      <c r="AB2319" s="332"/>
      <c r="AD2319" s="245"/>
      <c r="AE2319" s="187"/>
      <c r="AF2319" s="367"/>
      <c r="AG2319" s="245"/>
      <c r="AI2319" s="245"/>
    </row>
    <row r="2320" spans="1:35" ht="26.4">
      <c r="A2320" s="245"/>
      <c r="B2320" s="245"/>
      <c r="C2320" s="245"/>
      <c r="D2320" s="245"/>
      <c r="E2320" s="245"/>
      <c r="F2320" s="280"/>
      <c r="G2320" s="245"/>
      <c r="H2320" s="245"/>
      <c r="I2320" s="245"/>
      <c r="S2320" s="369"/>
      <c r="T2320" s="328"/>
      <c r="U2320" s="85" ph="1"/>
      <c r="W2320" s="216"/>
      <c r="X2320" s="245"/>
      <c r="Y2320" s="187"/>
      <c r="Z2320" s="245"/>
      <c r="AA2320" s="245"/>
      <c r="AB2320" s="332"/>
      <c r="AD2320" s="245"/>
      <c r="AE2320" s="187"/>
      <c r="AF2320" s="367"/>
      <c r="AG2320" s="245"/>
      <c r="AI2320" s="245"/>
    </row>
    <row r="2321" spans="1:35" ht="26.4">
      <c r="A2321" s="245"/>
      <c r="B2321" s="245"/>
      <c r="C2321" s="245"/>
      <c r="D2321" s="245"/>
      <c r="E2321" s="245"/>
      <c r="F2321" s="280"/>
      <c r="G2321" s="245"/>
      <c r="H2321" s="245"/>
      <c r="I2321" s="245"/>
      <c r="S2321" s="369"/>
      <c r="T2321" s="328"/>
      <c r="U2321" s="85" ph="1"/>
      <c r="W2321" s="216"/>
      <c r="X2321" s="245"/>
      <c r="Y2321" s="187"/>
      <c r="Z2321" s="245"/>
      <c r="AA2321" s="245"/>
      <c r="AB2321" s="332"/>
      <c r="AD2321" s="245"/>
      <c r="AE2321" s="187"/>
      <c r="AF2321" s="367"/>
      <c r="AG2321" s="245"/>
      <c r="AI2321" s="245"/>
    </row>
    <row r="2322" spans="1:35" ht="26.4">
      <c r="A2322" s="245"/>
      <c r="B2322" s="245"/>
      <c r="C2322" s="245"/>
      <c r="D2322" s="245"/>
      <c r="E2322" s="245"/>
      <c r="F2322" s="280"/>
      <c r="G2322" s="245"/>
      <c r="H2322" s="245"/>
      <c r="I2322" s="245"/>
      <c r="S2322" s="369"/>
      <c r="T2322" s="328"/>
      <c r="U2322" s="85" ph="1"/>
      <c r="W2322" s="216"/>
      <c r="X2322" s="245"/>
      <c r="Y2322" s="187"/>
      <c r="Z2322" s="245"/>
      <c r="AA2322" s="245"/>
      <c r="AB2322" s="332"/>
      <c r="AD2322" s="245"/>
      <c r="AE2322" s="187"/>
      <c r="AF2322" s="367"/>
      <c r="AG2322" s="245"/>
      <c r="AI2322" s="245"/>
    </row>
    <row r="2323" spans="1:35" ht="26.4">
      <c r="A2323" s="245"/>
      <c r="B2323" s="245"/>
      <c r="C2323" s="245"/>
      <c r="D2323" s="245"/>
      <c r="E2323" s="245"/>
      <c r="F2323" s="280"/>
      <c r="G2323" s="245"/>
      <c r="H2323" s="245"/>
      <c r="I2323" s="245"/>
      <c r="S2323" s="369"/>
      <c r="T2323" s="328"/>
      <c r="U2323" s="85" ph="1"/>
      <c r="W2323" s="216"/>
      <c r="X2323" s="245"/>
      <c r="Y2323" s="187"/>
      <c r="Z2323" s="245"/>
      <c r="AA2323" s="245"/>
      <c r="AB2323" s="332"/>
      <c r="AD2323" s="245"/>
      <c r="AE2323" s="187"/>
      <c r="AF2323" s="367"/>
      <c r="AG2323" s="245"/>
      <c r="AI2323" s="245"/>
    </row>
    <row r="2324" spans="1:35" ht="26.4">
      <c r="A2324" s="245"/>
      <c r="B2324" s="245"/>
      <c r="C2324" s="245"/>
      <c r="D2324" s="245"/>
      <c r="E2324" s="245"/>
      <c r="F2324" s="280"/>
      <c r="G2324" s="245"/>
      <c r="H2324" s="245"/>
      <c r="I2324" s="245"/>
      <c r="S2324" s="369"/>
      <c r="T2324" s="328"/>
      <c r="U2324" s="85" ph="1"/>
      <c r="W2324" s="216"/>
      <c r="X2324" s="245"/>
      <c r="Y2324" s="187"/>
      <c r="Z2324" s="245"/>
      <c r="AA2324" s="245"/>
      <c r="AB2324" s="332"/>
      <c r="AD2324" s="245"/>
      <c r="AE2324" s="187"/>
      <c r="AF2324" s="367"/>
      <c r="AG2324" s="245"/>
      <c r="AI2324" s="245"/>
    </row>
    <row r="2325" spans="1:35" ht="26.4">
      <c r="A2325" s="245"/>
      <c r="B2325" s="245"/>
      <c r="C2325" s="245"/>
      <c r="D2325" s="245"/>
      <c r="E2325" s="245"/>
      <c r="F2325" s="280"/>
      <c r="G2325" s="245"/>
      <c r="H2325" s="245"/>
      <c r="I2325" s="245"/>
      <c r="S2325" s="369"/>
      <c r="T2325" s="328"/>
      <c r="U2325" s="85" ph="1"/>
      <c r="W2325" s="216"/>
      <c r="X2325" s="245"/>
      <c r="Y2325" s="187"/>
      <c r="Z2325" s="245"/>
      <c r="AA2325" s="245"/>
      <c r="AB2325" s="332"/>
      <c r="AD2325" s="245"/>
      <c r="AE2325" s="187"/>
      <c r="AF2325" s="367"/>
      <c r="AG2325" s="245"/>
      <c r="AI2325" s="245"/>
    </row>
    <row r="2326" spans="1:35" ht="26.4">
      <c r="A2326" s="245"/>
      <c r="B2326" s="245"/>
      <c r="C2326" s="245"/>
      <c r="D2326" s="245"/>
      <c r="E2326" s="245"/>
      <c r="F2326" s="280"/>
      <c r="G2326" s="245"/>
      <c r="H2326" s="245"/>
      <c r="I2326" s="245"/>
      <c r="S2326" s="369"/>
      <c r="T2326" s="328"/>
      <c r="U2326" s="85" ph="1"/>
      <c r="W2326" s="216"/>
      <c r="X2326" s="245"/>
      <c r="Y2326" s="187"/>
      <c r="Z2326" s="245"/>
      <c r="AA2326" s="245"/>
      <c r="AB2326" s="332"/>
      <c r="AD2326" s="245"/>
      <c r="AE2326" s="187"/>
      <c r="AF2326" s="367"/>
      <c r="AG2326" s="245"/>
      <c r="AI2326" s="245"/>
    </row>
    <row r="2327" spans="1:35" ht="26.4">
      <c r="A2327" s="245"/>
      <c r="B2327" s="245"/>
      <c r="C2327" s="245"/>
      <c r="D2327" s="245"/>
      <c r="E2327" s="245"/>
      <c r="F2327" s="280"/>
      <c r="G2327" s="245"/>
      <c r="H2327" s="245"/>
      <c r="I2327" s="245"/>
      <c r="S2327" s="369"/>
      <c r="T2327" s="328"/>
      <c r="U2327" s="85" ph="1"/>
      <c r="W2327" s="216"/>
      <c r="X2327" s="245"/>
      <c r="Y2327" s="187"/>
      <c r="Z2327" s="245"/>
      <c r="AA2327" s="245"/>
      <c r="AB2327" s="332"/>
      <c r="AD2327" s="245"/>
      <c r="AE2327" s="187"/>
      <c r="AF2327" s="367"/>
      <c r="AG2327" s="245"/>
      <c r="AI2327" s="245"/>
    </row>
    <row r="2328" spans="1:35" ht="26.4">
      <c r="A2328" s="245"/>
      <c r="B2328" s="245"/>
      <c r="C2328" s="245"/>
      <c r="D2328" s="245"/>
      <c r="E2328" s="245"/>
      <c r="F2328" s="280"/>
      <c r="G2328" s="245"/>
      <c r="H2328" s="245"/>
      <c r="I2328" s="245"/>
      <c r="S2328" s="369"/>
      <c r="T2328" s="328"/>
      <c r="U2328" s="85" ph="1"/>
      <c r="W2328" s="216"/>
      <c r="X2328" s="245"/>
      <c r="Y2328" s="187"/>
      <c r="Z2328" s="245"/>
      <c r="AA2328" s="245"/>
      <c r="AB2328" s="332"/>
      <c r="AD2328" s="245"/>
      <c r="AE2328" s="187"/>
      <c r="AF2328" s="367"/>
      <c r="AG2328" s="245"/>
      <c r="AI2328" s="245"/>
    </row>
    <row r="2329" spans="1:35" ht="26.4">
      <c r="A2329" s="245"/>
      <c r="B2329" s="245"/>
      <c r="C2329" s="245"/>
      <c r="D2329" s="245"/>
      <c r="E2329" s="245"/>
      <c r="F2329" s="280"/>
      <c r="G2329" s="245"/>
      <c r="H2329" s="245"/>
      <c r="I2329" s="245"/>
      <c r="S2329" s="369"/>
      <c r="T2329" s="328"/>
      <c r="U2329" s="85" ph="1"/>
      <c r="W2329" s="216"/>
      <c r="X2329" s="245"/>
      <c r="Y2329" s="187"/>
      <c r="Z2329" s="245"/>
      <c r="AA2329" s="245"/>
      <c r="AB2329" s="332"/>
      <c r="AD2329" s="245"/>
      <c r="AE2329" s="187"/>
      <c r="AF2329" s="367"/>
      <c r="AG2329" s="245"/>
      <c r="AI2329" s="245"/>
    </row>
    <row r="2330" spans="1:35" ht="26.4">
      <c r="A2330" s="245"/>
      <c r="B2330" s="245"/>
      <c r="C2330" s="245"/>
      <c r="D2330" s="245"/>
      <c r="E2330" s="245"/>
      <c r="F2330" s="280"/>
      <c r="G2330" s="245"/>
      <c r="H2330" s="245"/>
      <c r="I2330" s="245"/>
      <c r="S2330" s="369"/>
      <c r="T2330" s="328"/>
      <c r="U2330" s="85" ph="1"/>
      <c r="W2330" s="216"/>
      <c r="X2330" s="245"/>
      <c r="Y2330" s="187"/>
      <c r="Z2330" s="245"/>
      <c r="AA2330" s="245"/>
      <c r="AB2330" s="332"/>
      <c r="AD2330" s="245"/>
      <c r="AE2330" s="187"/>
      <c r="AF2330" s="367"/>
      <c r="AG2330" s="245"/>
      <c r="AI2330" s="245"/>
    </row>
    <row r="2331" spans="1:35" ht="26.4">
      <c r="A2331" s="245"/>
      <c r="B2331" s="245"/>
      <c r="C2331" s="245"/>
      <c r="D2331" s="245"/>
      <c r="E2331" s="245"/>
      <c r="F2331" s="280"/>
      <c r="G2331" s="245"/>
      <c r="H2331" s="245"/>
      <c r="I2331" s="245"/>
      <c r="S2331" s="369"/>
      <c r="T2331" s="328"/>
      <c r="U2331" s="85" ph="1"/>
      <c r="W2331" s="216"/>
      <c r="X2331" s="245"/>
      <c r="Y2331" s="187"/>
      <c r="Z2331" s="245"/>
      <c r="AA2331" s="245"/>
      <c r="AB2331" s="332"/>
      <c r="AD2331" s="245"/>
      <c r="AE2331" s="187"/>
      <c r="AF2331" s="367"/>
      <c r="AG2331" s="245"/>
      <c r="AI2331" s="245"/>
    </row>
    <row r="2332" spans="1:35" ht="26.4">
      <c r="A2332" s="245"/>
      <c r="B2332" s="245"/>
      <c r="C2332" s="245"/>
      <c r="D2332" s="245"/>
      <c r="E2332" s="245"/>
      <c r="F2332" s="280"/>
      <c r="G2332" s="245"/>
      <c r="H2332" s="245"/>
      <c r="I2332" s="245"/>
      <c r="S2332" s="369"/>
      <c r="T2332" s="328"/>
      <c r="U2332" s="85" ph="1"/>
      <c r="W2332" s="216"/>
      <c r="X2332" s="245"/>
      <c r="Y2332" s="187"/>
      <c r="Z2332" s="245"/>
      <c r="AA2332" s="245"/>
      <c r="AB2332" s="332"/>
      <c r="AD2332" s="245"/>
      <c r="AE2332" s="187"/>
      <c r="AF2332" s="367"/>
      <c r="AG2332" s="245"/>
      <c r="AI2332" s="245"/>
    </row>
    <row r="2333" spans="1:35" ht="26.4">
      <c r="A2333" s="245"/>
      <c r="B2333" s="245"/>
      <c r="C2333" s="245"/>
      <c r="D2333" s="245"/>
      <c r="E2333" s="245"/>
      <c r="F2333" s="280"/>
      <c r="G2333" s="245"/>
      <c r="H2333" s="245"/>
      <c r="I2333" s="245"/>
      <c r="S2333" s="369"/>
      <c r="T2333" s="328"/>
      <c r="U2333" s="85" ph="1"/>
      <c r="W2333" s="216"/>
      <c r="X2333" s="245"/>
      <c r="Y2333" s="187"/>
      <c r="Z2333" s="245"/>
      <c r="AA2333" s="245"/>
      <c r="AB2333" s="332"/>
      <c r="AD2333" s="245"/>
      <c r="AE2333" s="187"/>
      <c r="AF2333" s="367"/>
      <c r="AG2333" s="245"/>
      <c r="AI2333" s="245"/>
    </row>
    <row r="2334" spans="1:35" ht="26.4">
      <c r="A2334" s="245"/>
      <c r="B2334" s="245"/>
      <c r="C2334" s="245"/>
      <c r="D2334" s="245"/>
      <c r="E2334" s="245"/>
      <c r="F2334" s="280"/>
      <c r="G2334" s="245"/>
      <c r="H2334" s="245"/>
      <c r="I2334" s="245"/>
      <c r="S2334" s="369"/>
      <c r="T2334" s="328"/>
      <c r="U2334" s="85" ph="1"/>
      <c r="W2334" s="216"/>
      <c r="X2334" s="245"/>
      <c r="Y2334" s="187"/>
      <c r="Z2334" s="245"/>
      <c r="AA2334" s="245"/>
      <c r="AB2334" s="332"/>
      <c r="AD2334" s="245"/>
      <c r="AE2334" s="187"/>
      <c r="AF2334" s="367"/>
      <c r="AG2334" s="245"/>
      <c r="AI2334" s="245"/>
    </row>
    <row r="2335" spans="1:35" ht="26.4">
      <c r="A2335" s="245"/>
      <c r="B2335" s="245"/>
      <c r="C2335" s="245"/>
      <c r="D2335" s="245"/>
      <c r="E2335" s="245"/>
      <c r="F2335" s="280"/>
      <c r="G2335" s="245"/>
      <c r="H2335" s="245"/>
      <c r="I2335" s="245"/>
      <c r="S2335" s="369"/>
      <c r="T2335" s="328"/>
      <c r="U2335" s="85" ph="1"/>
      <c r="W2335" s="216"/>
      <c r="X2335" s="245"/>
      <c r="Y2335" s="187"/>
      <c r="Z2335" s="245"/>
      <c r="AA2335" s="245"/>
      <c r="AB2335" s="332"/>
      <c r="AD2335" s="245"/>
      <c r="AE2335" s="187"/>
      <c r="AF2335" s="367"/>
      <c r="AG2335" s="245"/>
      <c r="AI2335" s="245"/>
    </row>
    <row r="2336" spans="1:35" ht="26.4">
      <c r="A2336" s="245"/>
      <c r="B2336" s="245"/>
      <c r="C2336" s="245"/>
      <c r="D2336" s="245"/>
      <c r="E2336" s="245"/>
      <c r="F2336" s="280"/>
      <c r="G2336" s="245"/>
      <c r="H2336" s="245"/>
      <c r="I2336" s="245"/>
      <c r="S2336" s="369"/>
      <c r="T2336" s="328"/>
      <c r="U2336" s="85" ph="1"/>
      <c r="W2336" s="216"/>
      <c r="X2336" s="245"/>
      <c r="Y2336" s="187"/>
      <c r="Z2336" s="245"/>
      <c r="AA2336" s="245"/>
      <c r="AB2336" s="332"/>
      <c r="AD2336" s="245"/>
      <c r="AE2336" s="187"/>
      <c r="AF2336" s="367"/>
      <c r="AG2336" s="245"/>
      <c r="AI2336" s="245"/>
    </row>
    <row r="2337" spans="1:35" ht="26.4">
      <c r="A2337" s="245"/>
      <c r="B2337" s="245"/>
      <c r="C2337" s="245"/>
      <c r="D2337" s="245"/>
      <c r="E2337" s="245"/>
      <c r="F2337" s="280"/>
      <c r="G2337" s="245"/>
      <c r="H2337" s="245"/>
      <c r="I2337" s="245"/>
      <c r="S2337" s="369"/>
      <c r="T2337" s="328"/>
      <c r="U2337" s="85" ph="1"/>
      <c r="W2337" s="216"/>
      <c r="X2337" s="245"/>
      <c r="Y2337" s="187"/>
      <c r="Z2337" s="245"/>
      <c r="AA2337" s="245"/>
      <c r="AB2337" s="332"/>
      <c r="AD2337" s="245"/>
      <c r="AE2337" s="187"/>
      <c r="AF2337" s="367"/>
      <c r="AG2337" s="245"/>
      <c r="AI2337" s="245"/>
    </row>
    <row r="2338" spans="1:35" ht="26.4">
      <c r="A2338" s="245"/>
      <c r="B2338" s="245"/>
      <c r="C2338" s="245"/>
      <c r="D2338" s="245"/>
      <c r="E2338" s="245"/>
      <c r="F2338" s="280"/>
      <c r="G2338" s="245"/>
      <c r="H2338" s="245"/>
      <c r="I2338" s="245"/>
      <c r="S2338" s="369"/>
      <c r="T2338" s="328"/>
      <c r="U2338" s="85" ph="1"/>
      <c r="W2338" s="216"/>
      <c r="X2338" s="245"/>
      <c r="Y2338" s="187"/>
      <c r="Z2338" s="245"/>
      <c r="AA2338" s="245"/>
      <c r="AB2338" s="332"/>
      <c r="AD2338" s="245"/>
      <c r="AE2338" s="187"/>
      <c r="AF2338" s="367"/>
      <c r="AG2338" s="245"/>
      <c r="AI2338" s="245"/>
    </row>
    <row r="2339" spans="1:35" ht="26.4">
      <c r="A2339" s="245"/>
      <c r="B2339" s="245"/>
      <c r="C2339" s="245"/>
      <c r="D2339" s="245"/>
      <c r="E2339" s="245"/>
      <c r="F2339" s="280"/>
      <c r="G2339" s="245"/>
      <c r="H2339" s="245"/>
      <c r="I2339" s="245"/>
      <c r="S2339" s="369"/>
      <c r="T2339" s="328"/>
      <c r="U2339" s="85" ph="1"/>
      <c r="W2339" s="216"/>
      <c r="X2339" s="245"/>
      <c r="Y2339" s="187"/>
      <c r="Z2339" s="245"/>
      <c r="AA2339" s="245"/>
      <c r="AB2339" s="332"/>
      <c r="AD2339" s="245"/>
      <c r="AE2339" s="187"/>
      <c r="AF2339" s="367"/>
      <c r="AG2339" s="245"/>
      <c r="AI2339" s="245"/>
    </row>
    <row r="2340" spans="1:35" ht="26.4">
      <c r="A2340" s="245"/>
      <c r="B2340" s="245"/>
      <c r="C2340" s="245"/>
      <c r="D2340" s="245"/>
      <c r="E2340" s="245"/>
      <c r="F2340" s="280"/>
      <c r="G2340" s="245"/>
      <c r="H2340" s="245"/>
      <c r="I2340" s="245"/>
      <c r="S2340" s="369"/>
      <c r="T2340" s="328"/>
      <c r="U2340" s="85" ph="1"/>
      <c r="W2340" s="216"/>
      <c r="X2340" s="245"/>
      <c r="Y2340" s="187"/>
      <c r="Z2340" s="245"/>
      <c r="AA2340" s="245"/>
      <c r="AB2340" s="332"/>
      <c r="AD2340" s="245"/>
      <c r="AE2340" s="187"/>
      <c r="AF2340" s="367"/>
      <c r="AG2340" s="245"/>
      <c r="AI2340" s="245"/>
    </row>
    <row r="2341" spans="1:35" ht="26.4">
      <c r="A2341" s="245"/>
      <c r="B2341" s="245"/>
      <c r="C2341" s="245"/>
      <c r="D2341" s="245"/>
      <c r="E2341" s="245"/>
      <c r="F2341" s="280"/>
      <c r="G2341" s="245"/>
      <c r="H2341" s="245"/>
      <c r="I2341" s="245"/>
      <c r="S2341" s="369"/>
      <c r="T2341" s="328"/>
      <c r="U2341" s="85" ph="1"/>
      <c r="W2341" s="216"/>
      <c r="X2341" s="245"/>
      <c r="Y2341" s="187"/>
      <c r="Z2341" s="245"/>
      <c r="AA2341" s="245"/>
      <c r="AB2341" s="332"/>
      <c r="AD2341" s="245"/>
      <c r="AE2341" s="187"/>
      <c r="AF2341" s="367"/>
      <c r="AG2341" s="245"/>
      <c r="AI2341" s="245"/>
    </row>
    <row r="2342" spans="1:35" ht="26.4">
      <c r="A2342" s="245"/>
      <c r="B2342" s="245"/>
      <c r="C2342" s="245"/>
      <c r="D2342" s="245"/>
      <c r="E2342" s="245"/>
      <c r="F2342" s="280"/>
      <c r="G2342" s="245"/>
      <c r="H2342" s="245"/>
      <c r="I2342" s="245"/>
      <c r="S2342" s="369"/>
      <c r="T2342" s="328"/>
      <c r="U2342" s="85" ph="1"/>
      <c r="W2342" s="216"/>
      <c r="X2342" s="245"/>
      <c r="Y2342" s="187"/>
      <c r="Z2342" s="245"/>
      <c r="AA2342" s="245"/>
      <c r="AB2342" s="332"/>
      <c r="AD2342" s="245"/>
      <c r="AE2342" s="187"/>
      <c r="AF2342" s="367"/>
      <c r="AG2342" s="245"/>
      <c r="AI2342" s="245"/>
    </row>
    <row r="2343" spans="1:35" ht="26.4">
      <c r="A2343" s="245"/>
      <c r="B2343" s="245"/>
      <c r="C2343" s="245"/>
      <c r="D2343" s="245"/>
      <c r="E2343" s="245"/>
      <c r="F2343" s="280"/>
      <c r="G2343" s="245"/>
      <c r="H2343" s="245"/>
      <c r="I2343" s="245"/>
      <c r="S2343" s="369"/>
      <c r="T2343" s="328"/>
      <c r="U2343" s="85" ph="1"/>
      <c r="W2343" s="216"/>
      <c r="X2343" s="245"/>
      <c r="Y2343" s="187"/>
      <c r="Z2343" s="245"/>
      <c r="AA2343" s="245"/>
      <c r="AB2343" s="332"/>
      <c r="AD2343" s="245"/>
      <c r="AE2343" s="187"/>
      <c r="AF2343" s="367"/>
      <c r="AG2343" s="245"/>
      <c r="AI2343" s="245"/>
    </row>
    <row r="2344" spans="1:35" ht="26.4">
      <c r="A2344" s="245"/>
      <c r="B2344" s="245"/>
      <c r="C2344" s="245"/>
      <c r="D2344" s="245"/>
      <c r="E2344" s="245"/>
      <c r="F2344" s="280"/>
      <c r="G2344" s="245"/>
      <c r="H2344" s="245"/>
      <c r="I2344" s="245"/>
      <c r="S2344" s="369"/>
      <c r="T2344" s="328"/>
      <c r="U2344" s="85" ph="1"/>
      <c r="W2344" s="216"/>
      <c r="X2344" s="245"/>
      <c r="Y2344" s="187"/>
      <c r="Z2344" s="245"/>
      <c r="AA2344" s="245"/>
      <c r="AB2344" s="332"/>
      <c r="AD2344" s="245"/>
      <c r="AE2344" s="187"/>
      <c r="AF2344" s="367"/>
      <c r="AG2344" s="245"/>
      <c r="AI2344" s="245"/>
    </row>
    <row r="2345" spans="1:35" ht="26.4">
      <c r="A2345" s="245"/>
      <c r="B2345" s="245"/>
      <c r="C2345" s="245"/>
      <c r="D2345" s="245"/>
      <c r="E2345" s="245"/>
      <c r="F2345" s="280"/>
      <c r="G2345" s="245"/>
      <c r="H2345" s="245"/>
      <c r="I2345" s="245"/>
      <c r="S2345" s="369"/>
      <c r="T2345" s="328"/>
      <c r="U2345" s="85" ph="1"/>
      <c r="W2345" s="216"/>
      <c r="X2345" s="245"/>
      <c r="Y2345" s="187"/>
      <c r="Z2345" s="245"/>
      <c r="AA2345" s="245"/>
      <c r="AB2345" s="332"/>
      <c r="AD2345" s="245"/>
      <c r="AE2345" s="187"/>
      <c r="AF2345" s="367"/>
      <c r="AG2345" s="245"/>
      <c r="AI2345" s="245"/>
    </row>
    <row r="2346" spans="1:35" ht="26.4">
      <c r="A2346" s="245"/>
      <c r="B2346" s="245"/>
      <c r="C2346" s="245"/>
      <c r="D2346" s="245"/>
      <c r="E2346" s="245"/>
      <c r="F2346" s="280"/>
      <c r="G2346" s="245"/>
      <c r="H2346" s="245"/>
      <c r="I2346" s="245"/>
      <c r="S2346" s="369"/>
      <c r="T2346" s="328"/>
      <c r="U2346" s="85" ph="1"/>
      <c r="W2346" s="216"/>
      <c r="X2346" s="245"/>
      <c r="Y2346" s="187"/>
      <c r="Z2346" s="245"/>
      <c r="AA2346" s="245"/>
      <c r="AB2346" s="332"/>
      <c r="AD2346" s="245"/>
      <c r="AE2346" s="187"/>
      <c r="AF2346" s="367"/>
      <c r="AG2346" s="245"/>
      <c r="AI2346" s="245"/>
    </row>
    <row r="2347" spans="1:35" ht="26.4">
      <c r="A2347" s="245"/>
      <c r="B2347" s="245"/>
      <c r="C2347" s="245"/>
      <c r="D2347" s="245"/>
      <c r="E2347" s="245"/>
      <c r="F2347" s="280"/>
      <c r="G2347" s="245"/>
      <c r="H2347" s="245"/>
      <c r="I2347" s="245"/>
      <c r="S2347" s="369"/>
      <c r="T2347" s="328"/>
      <c r="U2347" s="85" ph="1"/>
      <c r="W2347" s="216"/>
      <c r="X2347" s="245"/>
      <c r="Y2347" s="187"/>
      <c r="Z2347" s="245"/>
      <c r="AA2347" s="245"/>
      <c r="AB2347" s="332"/>
      <c r="AD2347" s="245"/>
      <c r="AE2347" s="187"/>
      <c r="AF2347" s="367"/>
      <c r="AG2347" s="245"/>
      <c r="AI2347" s="245"/>
    </row>
    <row r="2348" spans="1:35" ht="26.4">
      <c r="A2348" s="245"/>
      <c r="B2348" s="245"/>
      <c r="C2348" s="245"/>
      <c r="D2348" s="245"/>
      <c r="E2348" s="245"/>
      <c r="F2348" s="280"/>
      <c r="G2348" s="245"/>
      <c r="H2348" s="245"/>
      <c r="I2348" s="245"/>
      <c r="S2348" s="369"/>
      <c r="T2348" s="328"/>
      <c r="U2348" s="85" ph="1"/>
      <c r="W2348" s="216"/>
      <c r="X2348" s="245"/>
      <c r="Y2348" s="187"/>
      <c r="Z2348" s="245"/>
      <c r="AA2348" s="245"/>
      <c r="AB2348" s="332"/>
      <c r="AD2348" s="245"/>
      <c r="AE2348" s="187"/>
      <c r="AF2348" s="367"/>
      <c r="AG2348" s="245"/>
      <c r="AI2348" s="245"/>
    </row>
    <row r="2349" spans="1:35" ht="26.4">
      <c r="A2349" s="245"/>
      <c r="B2349" s="245"/>
      <c r="C2349" s="245"/>
      <c r="D2349" s="245"/>
      <c r="E2349" s="245"/>
      <c r="F2349" s="280"/>
      <c r="G2349" s="245"/>
      <c r="H2349" s="245"/>
      <c r="I2349" s="245"/>
      <c r="S2349" s="369"/>
      <c r="T2349" s="328"/>
      <c r="U2349" s="85" ph="1"/>
      <c r="W2349" s="216"/>
      <c r="X2349" s="245"/>
      <c r="Y2349" s="187"/>
      <c r="Z2349" s="245"/>
      <c r="AA2349" s="245"/>
      <c r="AB2349" s="332"/>
      <c r="AD2349" s="245"/>
      <c r="AE2349" s="187"/>
      <c r="AF2349" s="367"/>
      <c r="AG2349" s="245"/>
      <c r="AI2349" s="245"/>
    </row>
    <row r="2350" spans="1:35" ht="26.4">
      <c r="A2350" s="245"/>
      <c r="B2350" s="245"/>
      <c r="C2350" s="245"/>
      <c r="D2350" s="245"/>
      <c r="E2350" s="245"/>
      <c r="F2350" s="280"/>
      <c r="G2350" s="245"/>
      <c r="H2350" s="245"/>
      <c r="I2350" s="245"/>
      <c r="S2350" s="369"/>
      <c r="T2350" s="328"/>
      <c r="U2350" s="85" ph="1"/>
      <c r="W2350" s="216"/>
      <c r="X2350" s="245"/>
      <c r="Y2350" s="187"/>
      <c r="Z2350" s="245"/>
      <c r="AA2350" s="245"/>
      <c r="AB2350" s="332"/>
      <c r="AD2350" s="245"/>
      <c r="AE2350" s="187"/>
      <c r="AF2350" s="367"/>
      <c r="AG2350" s="245"/>
      <c r="AI2350" s="245"/>
    </row>
    <row r="2351" spans="1:35" ht="26.4">
      <c r="A2351" s="245"/>
      <c r="B2351" s="245"/>
      <c r="C2351" s="245"/>
      <c r="D2351" s="245"/>
      <c r="E2351" s="245"/>
      <c r="F2351" s="280"/>
      <c r="G2351" s="245"/>
      <c r="H2351" s="245"/>
      <c r="I2351" s="245"/>
      <c r="S2351" s="369"/>
      <c r="T2351" s="328"/>
      <c r="U2351" s="85" ph="1"/>
      <c r="W2351" s="216"/>
      <c r="X2351" s="245"/>
      <c r="Y2351" s="187"/>
      <c r="Z2351" s="245"/>
      <c r="AA2351" s="245"/>
      <c r="AB2351" s="332"/>
      <c r="AD2351" s="245"/>
      <c r="AE2351" s="187"/>
      <c r="AF2351" s="367"/>
      <c r="AG2351" s="245"/>
      <c r="AI2351" s="245"/>
    </row>
    <row r="2352" spans="1:35" ht="26.4">
      <c r="A2352" s="245"/>
      <c r="B2352" s="245"/>
      <c r="C2352" s="245"/>
      <c r="D2352" s="245"/>
      <c r="E2352" s="245"/>
      <c r="F2352" s="280"/>
      <c r="G2352" s="245"/>
      <c r="H2352" s="245"/>
      <c r="I2352" s="245"/>
      <c r="S2352" s="369"/>
      <c r="T2352" s="328"/>
      <c r="U2352" s="85" ph="1"/>
      <c r="W2352" s="216"/>
      <c r="X2352" s="245"/>
      <c r="Y2352" s="187"/>
      <c r="Z2352" s="245"/>
      <c r="AA2352" s="245"/>
      <c r="AB2352" s="332"/>
      <c r="AD2352" s="245"/>
      <c r="AE2352" s="187"/>
      <c r="AF2352" s="367"/>
      <c r="AG2352" s="245"/>
      <c r="AI2352" s="245"/>
    </row>
    <row r="2353" spans="1:35" ht="26.4">
      <c r="A2353" s="245"/>
      <c r="B2353" s="245"/>
      <c r="C2353" s="245"/>
      <c r="D2353" s="245"/>
      <c r="E2353" s="245"/>
      <c r="F2353" s="280"/>
      <c r="G2353" s="245"/>
      <c r="H2353" s="245"/>
      <c r="I2353" s="245"/>
      <c r="S2353" s="369"/>
      <c r="T2353" s="328"/>
      <c r="U2353" s="85" ph="1"/>
      <c r="W2353" s="216"/>
      <c r="X2353" s="245"/>
      <c r="Y2353" s="187"/>
      <c r="Z2353" s="245"/>
      <c r="AA2353" s="245"/>
      <c r="AB2353" s="332"/>
      <c r="AD2353" s="245"/>
      <c r="AE2353" s="187"/>
      <c r="AF2353" s="367"/>
      <c r="AG2353" s="245"/>
      <c r="AI2353" s="245"/>
    </row>
    <row r="2354" spans="1:35" ht="26.4">
      <c r="A2354" s="245"/>
      <c r="B2354" s="245"/>
      <c r="C2354" s="245"/>
      <c r="D2354" s="245"/>
      <c r="E2354" s="245"/>
      <c r="F2354" s="280"/>
      <c r="G2354" s="245"/>
      <c r="H2354" s="245"/>
      <c r="I2354" s="245"/>
      <c r="S2354" s="369"/>
      <c r="T2354" s="328"/>
      <c r="U2354" s="85" ph="1"/>
      <c r="W2354" s="216"/>
      <c r="X2354" s="245"/>
      <c r="Y2354" s="187"/>
      <c r="Z2354" s="245"/>
      <c r="AA2354" s="245"/>
      <c r="AB2354" s="332"/>
      <c r="AD2354" s="245"/>
      <c r="AE2354" s="187"/>
      <c r="AF2354" s="367"/>
      <c r="AG2354" s="245"/>
      <c r="AI2354" s="245"/>
    </row>
    <row r="2355" spans="1:35" ht="26.4">
      <c r="A2355" s="245"/>
      <c r="B2355" s="245"/>
      <c r="C2355" s="245"/>
      <c r="D2355" s="245"/>
      <c r="E2355" s="245"/>
      <c r="F2355" s="280"/>
      <c r="G2355" s="245"/>
      <c r="H2355" s="245"/>
      <c r="I2355" s="245"/>
      <c r="S2355" s="369"/>
      <c r="T2355" s="328"/>
      <c r="U2355" s="85" ph="1"/>
      <c r="W2355" s="216"/>
      <c r="X2355" s="245"/>
      <c r="Y2355" s="187"/>
      <c r="Z2355" s="245"/>
      <c r="AA2355" s="245"/>
      <c r="AB2355" s="332"/>
      <c r="AD2355" s="245"/>
      <c r="AE2355" s="187"/>
      <c r="AF2355" s="367"/>
      <c r="AG2355" s="245"/>
      <c r="AI2355" s="245"/>
    </row>
    <row r="2356" spans="1:35" ht="26.4">
      <c r="A2356" s="245"/>
      <c r="B2356" s="245"/>
      <c r="C2356" s="245"/>
      <c r="D2356" s="245"/>
      <c r="E2356" s="245"/>
      <c r="F2356" s="280"/>
      <c r="G2356" s="245"/>
      <c r="H2356" s="245"/>
      <c r="I2356" s="245"/>
      <c r="S2356" s="369"/>
      <c r="T2356" s="328"/>
      <c r="U2356" s="85" ph="1"/>
      <c r="W2356" s="216"/>
      <c r="X2356" s="245"/>
      <c r="Y2356" s="187"/>
      <c r="Z2356" s="245"/>
      <c r="AA2356" s="245"/>
      <c r="AB2356" s="332"/>
      <c r="AD2356" s="245"/>
      <c r="AE2356" s="187"/>
      <c r="AF2356" s="367"/>
      <c r="AG2356" s="245"/>
      <c r="AI2356" s="245"/>
    </row>
    <row r="2357" spans="1:35" ht="26.4">
      <c r="A2357" s="245"/>
      <c r="B2357" s="245"/>
      <c r="C2357" s="245"/>
      <c r="D2357" s="245"/>
      <c r="E2357" s="245"/>
      <c r="F2357" s="280"/>
      <c r="G2357" s="245"/>
      <c r="H2357" s="245"/>
      <c r="I2357" s="245"/>
      <c r="S2357" s="369"/>
      <c r="T2357" s="328"/>
      <c r="U2357" s="85" ph="1"/>
      <c r="W2357" s="216"/>
      <c r="X2357" s="245"/>
      <c r="Y2357" s="187"/>
      <c r="Z2357" s="245"/>
      <c r="AA2357" s="245"/>
      <c r="AB2357" s="332"/>
      <c r="AD2357" s="245"/>
      <c r="AE2357" s="187"/>
      <c r="AF2357" s="367"/>
      <c r="AG2357" s="245"/>
      <c r="AI2357" s="245"/>
    </row>
    <row r="2358" spans="1:35" ht="26.4">
      <c r="A2358" s="245"/>
      <c r="B2358" s="245"/>
      <c r="C2358" s="245"/>
      <c r="D2358" s="245"/>
      <c r="E2358" s="245"/>
      <c r="F2358" s="280"/>
      <c r="G2358" s="245"/>
      <c r="H2358" s="245"/>
      <c r="I2358" s="245"/>
      <c r="S2358" s="369"/>
      <c r="T2358" s="328"/>
      <c r="U2358" s="85" ph="1"/>
      <c r="W2358" s="216"/>
      <c r="X2358" s="245"/>
      <c r="Y2358" s="187"/>
      <c r="Z2358" s="245"/>
      <c r="AA2358" s="245"/>
      <c r="AB2358" s="332"/>
      <c r="AD2358" s="245"/>
      <c r="AE2358" s="187"/>
      <c r="AF2358" s="367"/>
      <c r="AG2358" s="245"/>
      <c r="AI2358" s="245"/>
    </row>
    <row r="2359" spans="1:35" ht="26.4">
      <c r="A2359" s="245"/>
      <c r="B2359" s="245"/>
      <c r="C2359" s="245"/>
      <c r="D2359" s="245"/>
      <c r="E2359" s="245"/>
      <c r="F2359" s="280"/>
      <c r="G2359" s="245"/>
      <c r="H2359" s="245"/>
      <c r="I2359" s="245"/>
      <c r="S2359" s="369"/>
      <c r="T2359" s="328"/>
      <c r="U2359" s="85" ph="1"/>
      <c r="W2359" s="216"/>
      <c r="X2359" s="245"/>
      <c r="Y2359" s="187"/>
      <c r="Z2359" s="245"/>
      <c r="AA2359" s="245"/>
      <c r="AB2359" s="332"/>
      <c r="AD2359" s="245"/>
      <c r="AE2359" s="187"/>
      <c r="AF2359" s="367"/>
      <c r="AG2359" s="245"/>
      <c r="AI2359" s="245"/>
    </row>
    <row r="2360" spans="1:35" ht="26.4">
      <c r="A2360" s="245"/>
      <c r="B2360" s="245"/>
      <c r="C2360" s="245"/>
      <c r="D2360" s="245"/>
      <c r="E2360" s="245"/>
      <c r="F2360" s="280"/>
      <c r="G2360" s="245"/>
      <c r="H2360" s="245"/>
      <c r="I2360" s="245"/>
      <c r="S2360" s="369"/>
      <c r="T2360" s="328"/>
      <c r="U2360" s="85" ph="1"/>
      <c r="W2360" s="216"/>
      <c r="X2360" s="245"/>
      <c r="Y2360" s="187"/>
      <c r="Z2360" s="245"/>
      <c r="AA2360" s="245"/>
      <c r="AB2360" s="332"/>
      <c r="AD2360" s="245"/>
      <c r="AE2360" s="187"/>
      <c r="AF2360" s="367"/>
      <c r="AG2360" s="245"/>
      <c r="AI2360" s="245"/>
    </row>
    <row r="2361" spans="1:35" ht="26.4">
      <c r="A2361" s="245"/>
      <c r="B2361" s="245"/>
      <c r="C2361" s="245"/>
      <c r="D2361" s="245"/>
      <c r="E2361" s="245"/>
      <c r="F2361" s="280"/>
      <c r="G2361" s="245"/>
      <c r="H2361" s="245"/>
      <c r="I2361" s="245"/>
      <c r="S2361" s="369"/>
      <c r="T2361" s="328"/>
      <c r="U2361" s="85" ph="1"/>
      <c r="W2361" s="216"/>
      <c r="X2361" s="245"/>
      <c r="Y2361" s="187"/>
      <c r="Z2361" s="245"/>
      <c r="AA2361" s="245"/>
      <c r="AB2361" s="332"/>
      <c r="AD2361" s="245"/>
      <c r="AE2361" s="187"/>
      <c r="AF2361" s="367"/>
      <c r="AG2361" s="245"/>
      <c r="AI2361" s="245"/>
    </row>
    <row r="2362" spans="1:35" ht="26.4">
      <c r="A2362" s="245"/>
      <c r="B2362" s="245"/>
      <c r="C2362" s="245"/>
      <c r="D2362" s="245"/>
      <c r="E2362" s="245"/>
      <c r="F2362" s="280"/>
      <c r="G2362" s="245"/>
      <c r="H2362" s="245"/>
      <c r="I2362" s="245"/>
      <c r="S2362" s="369"/>
      <c r="T2362" s="328"/>
      <c r="U2362" s="85" ph="1"/>
      <c r="W2362" s="216"/>
      <c r="X2362" s="245"/>
      <c r="Y2362" s="187"/>
      <c r="Z2362" s="245"/>
      <c r="AA2362" s="245"/>
      <c r="AB2362" s="332"/>
      <c r="AD2362" s="245"/>
      <c r="AE2362" s="187"/>
      <c r="AF2362" s="367"/>
      <c r="AG2362" s="245"/>
      <c r="AI2362" s="245"/>
    </row>
    <row r="2363" spans="1:35" ht="26.4">
      <c r="A2363" s="245"/>
      <c r="B2363" s="245"/>
      <c r="C2363" s="245"/>
      <c r="D2363" s="245"/>
      <c r="E2363" s="245"/>
      <c r="F2363" s="280"/>
      <c r="G2363" s="245"/>
      <c r="H2363" s="245"/>
      <c r="I2363" s="245"/>
      <c r="S2363" s="369"/>
      <c r="T2363" s="328"/>
      <c r="U2363" s="85" ph="1"/>
      <c r="W2363" s="216"/>
      <c r="X2363" s="245"/>
      <c r="Y2363" s="187"/>
      <c r="Z2363" s="245"/>
      <c r="AA2363" s="245"/>
      <c r="AB2363" s="332"/>
      <c r="AD2363" s="245"/>
      <c r="AE2363" s="187"/>
      <c r="AF2363" s="367"/>
      <c r="AG2363" s="245"/>
      <c r="AI2363" s="245"/>
    </row>
    <row r="2364" spans="1:35" ht="26.4">
      <c r="A2364" s="245"/>
      <c r="B2364" s="245"/>
      <c r="C2364" s="245"/>
      <c r="D2364" s="245"/>
      <c r="E2364" s="245"/>
      <c r="F2364" s="280"/>
      <c r="G2364" s="245"/>
      <c r="H2364" s="245"/>
      <c r="I2364" s="245"/>
      <c r="S2364" s="369"/>
      <c r="T2364" s="328"/>
      <c r="U2364" s="85" ph="1"/>
      <c r="W2364" s="216"/>
      <c r="X2364" s="245"/>
      <c r="Y2364" s="187"/>
      <c r="Z2364" s="245"/>
      <c r="AA2364" s="245"/>
      <c r="AB2364" s="332"/>
      <c r="AD2364" s="245"/>
      <c r="AE2364" s="187"/>
      <c r="AF2364" s="367"/>
      <c r="AG2364" s="245"/>
      <c r="AI2364" s="245"/>
    </row>
    <row r="2365" spans="1:35" ht="26.4">
      <c r="A2365" s="245"/>
      <c r="B2365" s="245"/>
      <c r="C2365" s="245"/>
      <c r="D2365" s="245"/>
      <c r="E2365" s="245"/>
      <c r="F2365" s="280"/>
      <c r="G2365" s="245"/>
      <c r="H2365" s="245"/>
      <c r="I2365" s="245"/>
      <c r="S2365" s="369"/>
      <c r="T2365" s="328"/>
      <c r="U2365" s="85" ph="1"/>
      <c r="W2365" s="216"/>
      <c r="X2365" s="245"/>
      <c r="Y2365" s="187"/>
      <c r="Z2365" s="245"/>
      <c r="AA2365" s="245"/>
      <c r="AB2365" s="332"/>
      <c r="AD2365" s="245"/>
      <c r="AE2365" s="187"/>
      <c r="AF2365" s="367"/>
      <c r="AG2365" s="245"/>
      <c r="AI2365" s="245"/>
    </row>
    <row r="2366" spans="1:35" ht="26.4">
      <c r="A2366" s="245"/>
      <c r="B2366" s="245"/>
      <c r="C2366" s="245"/>
      <c r="D2366" s="245"/>
      <c r="E2366" s="245"/>
      <c r="F2366" s="280"/>
      <c r="G2366" s="245"/>
      <c r="H2366" s="245"/>
      <c r="I2366" s="245"/>
      <c r="S2366" s="369"/>
      <c r="T2366" s="328"/>
      <c r="U2366" s="85" ph="1"/>
      <c r="W2366" s="216"/>
      <c r="X2366" s="245"/>
      <c r="Y2366" s="187"/>
      <c r="Z2366" s="245"/>
      <c r="AA2366" s="245"/>
      <c r="AB2366" s="332"/>
      <c r="AD2366" s="245"/>
      <c r="AE2366" s="187"/>
      <c r="AF2366" s="367"/>
      <c r="AG2366" s="245"/>
      <c r="AI2366" s="245"/>
    </row>
    <row r="2367" spans="1:35" ht="26.4">
      <c r="A2367" s="245"/>
      <c r="B2367" s="245"/>
      <c r="C2367" s="245"/>
      <c r="D2367" s="245"/>
      <c r="E2367" s="245"/>
      <c r="F2367" s="280"/>
      <c r="G2367" s="245"/>
      <c r="H2367" s="245"/>
      <c r="I2367" s="245"/>
      <c r="S2367" s="369"/>
      <c r="T2367" s="328"/>
      <c r="U2367" s="85" ph="1"/>
      <c r="W2367" s="216"/>
      <c r="X2367" s="245"/>
      <c r="Y2367" s="187"/>
      <c r="Z2367" s="245"/>
      <c r="AA2367" s="245"/>
      <c r="AB2367" s="332"/>
      <c r="AD2367" s="245"/>
      <c r="AE2367" s="187"/>
      <c r="AF2367" s="367"/>
      <c r="AG2367" s="245"/>
      <c r="AI2367" s="245"/>
    </row>
    <row r="2368" spans="1:35" ht="26.4">
      <c r="A2368" s="245"/>
      <c r="B2368" s="245"/>
      <c r="C2368" s="245"/>
      <c r="D2368" s="245"/>
      <c r="E2368" s="245"/>
      <c r="F2368" s="280"/>
      <c r="G2368" s="245"/>
      <c r="H2368" s="245"/>
      <c r="I2368" s="245"/>
      <c r="S2368" s="369"/>
      <c r="T2368" s="328"/>
      <c r="U2368" s="85" ph="1"/>
      <c r="W2368" s="216"/>
      <c r="X2368" s="245"/>
      <c r="Y2368" s="187"/>
      <c r="Z2368" s="245"/>
      <c r="AA2368" s="245"/>
      <c r="AB2368" s="332"/>
      <c r="AD2368" s="245"/>
      <c r="AE2368" s="187"/>
      <c r="AF2368" s="367"/>
      <c r="AG2368" s="245"/>
      <c r="AI2368" s="245"/>
    </row>
    <row r="2369" spans="1:35" ht="26.4">
      <c r="A2369" s="245"/>
      <c r="B2369" s="245"/>
      <c r="C2369" s="245"/>
      <c r="D2369" s="245"/>
      <c r="E2369" s="245"/>
      <c r="F2369" s="280"/>
      <c r="G2369" s="245"/>
      <c r="H2369" s="245"/>
      <c r="I2369" s="245"/>
      <c r="S2369" s="369"/>
      <c r="T2369" s="328"/>
      <c r="U2369" s="85" ph="1"/>
      <c r="W2369" s="216"/>
      <c r="X2369" s="245"/>
      <c r="Y2369" s="187"/>
      <c r="Z2369" s="245"/>
      <c r="AA2369" s="245"/>
      <c r="AB2369" s="332"/>
      <c r="AD2369" s="245"/>
      <c r="AE2369" s="187"/>
      <c r="AF2369" s="367"/>
      <c r="AG2369" s="245"/>
      <c r="AI2369" s="245"/>
    </row>
    <row r="2370" spans="1:35" ht="26.4">
      <c r="A2370" s="245"/>
      <c r="B2370" s="245"/>
      <c r="C2370" s="245"/>
      <c r="D2370" s="245"/>
      <c r="E2370" s="245"/>
      <c r="F2370" s="280"/>
      <c r="G2370" s="245"/>
      <c r="H2370" s="245"/>
      <c r="I2370" s="245"/>
      <c r="S2370" s="369"/>
      <c r="T2370" s="328"/>
      <c r="U2370" s="85" ph="1"/>
      <c r="W2370" s="216"/>
      <c r="X2370" s="245"/>
      <c r="Y2370" s="187"/>
      <c r="Z2370" s="245"/>
      <c r="AA2370" s="245"/>
      <c r="AB2370" s="332"/>
      <c r="AD2370" s="245"/>
      <c r="AE2370" s="187"/>
      <c r="AF2370" s="367"/>
      <c r="AG2370" s="245"/>
      <c r="AI2370" s="245"/>
    </row>
    <row r="2371" spans="1:35" ht="26.4">
      <c r="A2371" s="245"/>
      <c r="B2371" s="245"/>
      <c r="C2371" s="245"/>
      <c r="D2371" s="245"/>
      <c r="E2371" s="245"/>
      <c r="F2371" s="280"/>
      <c r="G2371" s="245"/>
      <c r="H2371" s="245"/>
      <c r="I2371" s="245"/>
      <c r="S2371" s="369"/>
      <c r="T2371" s="328"/>
      <c r="U2371" s="85" ph="1"/>
      <c r="W2371" s="216"/>
      <c r="X2371" s="245"/>
      <c r="Y2371" s="187"/>
      <c r="Z2371" s="245"/>
      <c r="AA2371" s="245"/>
      <c r="AB2371" s="332"/>
      <c r="AD2371" s="245"/>
      <c r="AE2371" s="187"/>
      <c r="AF2371" s="367"/>
      <c r="AG2371" s="245"/>
      <c r="AI2371" s="245"/>
    </row>
    <row r="2372" spans="1:35" ht="26.4">
      <c r="A2372" s="245"/>
      <c r="B2372" s="245"/>
      <c r="C2372" s="245"/>
      <c r="D2372" s="245"/>
      <c r="E2372" s="245"/>
      <c r="F2372" s="280"/>
      <c r="G2372" s="245"/>
      <c r="H2372" s="245"/>
      <c r="I2372" s="245"/>
      <c r="S2372" s="369"/>
      <c r="T2372" s="328"/>
      <c r="U2372" s="85" ph="1"/>
      <c r="W2372" s="216"/>
      <c r="X2372" s="245"/>
      <c r="Y2372" s="187"/>
      <c r="Z2372" s="245"/>
      <c r="AA2372" s="245"/>
      <c r="AB2372" s="332"/>
      <c r="AD2372" s="245"/>
      <c r="AE2372" s="187"/>
      <c r="AF2372" s="367"/>
      <c r="AG2372" s="245"/>
      <c r="AI2372" s="245"/>
    </row>
    <row r="2373" spans="1:35" ht="26.4">
      <c r="A2373" s="245"/>
      <c r="B2373" s="245"/>
      <c r="C2373" s="245"/>
      <c r="D2373" s="245"/>
      <c r="E2373" s="245"/>
      <c r="F2373" s="280"/>
      <c r="G2373" s="245"/>
      <c r="H2373" s="245"/>
      <c r="I2373" s="245"/>
      <c r="S2373" s="369"/>
      <c r="T2373" s="328"/>
      <c r="U2373" s="85" ph="1"/>
      <c r="W2373" s="216"/>
      <c r="X2373" s="245"/>
      <c r="Y2373" s="187"/>
      <c r="Z2373" s="245"/>
      <c r="AA2373" s="245"/>
      <c r="AB2373" s="332"/>
      <c r="AD2373" s="245"/>
      <c r="AE2373" s="187"/>
      <c r="AF2373" s="367"/>
      <c r="AG2373" s="245"/>
      <c r="AI2373" s="245"/>
    </row>
    <row r="2374" spans="1:35" ht="26.4">
      <c r="A2374" s="245"/>
      <c r="B2374" s="245"/>
      <c r="C2374" s="245"/>
      <c r="D2374" s="245"/>
      <c r="E2374" s="245"/>
      <c r="F2374" s="280"/>
      <c r="G2374" s="245"/>
      <c r="H2374" s="245"/>
      <c r="I2374" s="245"/>
      <c r="S2374" s="369"/>
      <c r="T2374" s="328"/>
      <c r="U2374" s="85" ph="1"/>
      <c r="W2374" s="216"/>
      <c r="X2374" s="245"/>
      <c r="Y2374" s="187"/>
      <c r="Z2374" s="245"/>
      <c r="AA2374" s="245"/>
      <c r="AB2374" s="332"/>
      <c r="AD2374" s="245"/>
      <c r="AE2374" s="187"/>
      <c r="AF2374" s="367"/>
      <c r="AG2374" s="245"/>
      <c r="AI2374" s="245"/>
    </row>
    <row r="2375" spans="1:35" ht="26.4">
      <c r="A2375" s="245"/>
      <c r="B2375" s="245"/>
      <c r="C2375" s="245"/>
      <c r="D2375" s="245"/>
      <c r="E2375" s="245"/>
      <c r="F2375" s="280"/>
      <c r="G2375" s="245"/>
      <c r="H2375" s="245"/>
      <c r="I2375" s="245"/>
      <c r="S2375" s="369"/>
      <c r="T2375" s="328"/>
      <c r="U2375" s="85" ph="1"/>
      <c r="W2375" s="216"/>
      <c r="X2375" s="245"/>
      <c r="Y2375" s="187"/>
      <c r="Z2375" s="245"/>
      <c r="AA2375" s="245"/>
      <c r="AB2375" s="332"/>
      <c r="AD2375" s="245"/>
      <c r="AE2375" s="187"/>
      <c r="AF2375" s="367"/>
      <c r="AG2375" s="245"/>
      <c r="AI2375" s="245"/>
    </row>
    <row r="2376" spans="1:35" ht="26.4">
      <c r="A2376" s="245"/>
      <c r="B2376" s="245"/>
      <c r="C2376" s="245"/>
      <c r="D2376" s="245"/>
      <c r="E2376" s="245"/>
      <c r="F2376" s="280"/>
      <c r="G2376" s="245"/>
      <c r="H2376" s="245"/>
      <c r="I2376" s="245"/>
      <c r="S2376" s="369"/>
      <c r="T2376" s="328"/>
      <c r="U2376" s="85" ph="1"/>
      <c r="W2376" s="216"/>
      <c r="X2376" s="245"/>
      <c r="Y2376" s="187"/>
      <c r="Z2376" s="245"/>
      <c r="AA2376" s="245"/>
      <c r="AB2376" s="332"/>
      <c r="AD2376" s="245"/>
      <c r="AE2376" s="187"/>
      <c r="AF2376" s="367"/>
      <c r="AG2376" s="245"/>
      <c r="AI2376" s="245"/>
    </row>
    <row r="2377" spans="1:35" ht="26.4">
      <c r="A2377" s="245"/>
      <c r="B2377" s="245"/>
      <c r="C2377" s="245"/>
      <c r="D2377" s="245"/>
      <c r="E2377" s="245"/>
      <c r="F2377" s="280"/>
      <c r="G2377" s="245"/>
      <c r="H2377" s="245"/>
      <c r="I2377" s="245"/>
      <c r="S2377" s="369"/>
      <c r="T2377" s="328"/>
      <c r="U2377" s="85" ph="1"/>
      <c r="W2377" s="216"/>
      <c r="X2377" s="245"/>
      <c r="Y2377" s="187"/>
      <c r="Z2377" s="245"/>
      <c r="AA2377" s="245"/>
      <c r="AB2377" s="332"/>
      <c r="AD2377" s="245"/>
      <c r="AE2377" s="187"/>
      <c r="AF2377" s="367"/>
      <c r="AG2377" s="245"/>
      <c r="AI2377" s="245"/>
    </row>
    <row r="2378" spans="1:35" ht="26.4">
      <c r="A2378" s="245"/>
      <c r="B2378" s="245"/>
      <c r="C2378" s="245"/>
      <c r="D2378" s="245"/>
      <c r="E2378" s="245"/>
      <c r="F2378" s="280"/>
      <c r="G2378" s="245"/>
      <c r="H2378" s="245"/>
      <c r="I2378" s="245"/>
      <c r="S2378" s="369"/>
      <c r="T2378" s="328"/>
      <c r="U2378" s="85" ph="1"/>
      <c r="W2378" s="216"/>
      <c r="X2378" s="245"/>
      <c r="Y2378" s="187"/>
      <c r="Z2378" s="245"/>
      <c r="AA2378" s="245"/>
      <c r="AB2378" s="332"/>
      <c r="AD2378" s="245"/>
      <c r="AE2378" s="187"/>
      <c r="AF2378" s="367"/>
      <c r="AG2378" s="245"/>
      <c r="AI2378" s="245"/>
    </row>
    <row r="2379" spans="1:35" ht="26.4">
      <c r="A2379" s="245"/>
      <c r="B2379" s="245"/>
      <c r="C2379" s="245"/>
      <c r="D2379" s="245"/>
      <c r="E2379" s="245"/>
      <c r="F2379" s="280"/>
      <c r="G2379" s="245"/>
      <c r="H2379" s="245"/>
      <c r="I2379" s="245"/>
      <c r="S2379" s="369"/>
      <c r="T2379" s="328"/>
      <c r="U2379" s="85" ph="1"/>
      <c r="W2379" s="216"/>
      <c r="X2379" s="245"/>
      <c r="Y2379" s="187"/>
      <c r="Z2379" s="245"/>
      <c r="AA2379" s="245"/>
      <c r="AB2379" s="332"/>
      <c r="AD2379" s="245"/>
      <c r="AE2379" s="187"/>
      <c r="AF2379" s="367"/>
      <c r="AG2379" s="245"/>
      <c r="AI2379" s="245"/>
    </row>
    <row r="2380" spans="1:35" ht="26.4">
      <c r="A2380" s="245"/>
      <c r="B2380" s="245"/>
      <c r="C2380" s="245"/>
      <c r="D2380" s="245"/>
      <c r="E2380" s="245"/>
      <c r="F2380" s="280"/>
      <c r="G2380" s="245"/>
      <c r="H2380" s="245"/>
      <c r="I2380" s="245"/>
      <c r="S2380" s="369"/>
      <c r="T2380" s="328"/>
      <c r="U2380" s="85" ph="1"/>
      <c r="W2380" s="216"/>
      <c r="X2380" s="245"/>
      <c r="Y2380" s="187"/>
      <c r="Z2380" s="245"/>
      <c r="AA2380" s="245"/>
      <c r="AB2380" s="332"/>
      <c r="AD2380" s="245"/>
      <c r="AE2380" s="187"/>
      <c r="AF2380" s="367"/>
      <c r="AG2380" s="245"/>
      <c r="AI2380" s="245"/>
    </row>
    <row r="2381" spans="1:35" ht="26.4">
      <c r="A2381" s="245"/>
      <c r="B2381" s="245"/>
      <c r="C2381" s="245"/>
      <c r="D2381" s="245"/>
      <c r="E2381" s="245"/>
      <c r="F2381" s="280"/>
      <c r="G2381" s="245"/>
      <c r="H2381" s="245"/>
      <c r="I2381" s="245"/>
      <c r="S2381" s="369"/>
      <c r="T2381" s="328"/>
      <c r="U2381" s="85" ph="1"/>
      <c r="W2381" s="216"/>
      <c r="X2381" s="245"/>
      <c r="Y2381" s="187"/>
      <c r="Z2381" s="245"/>
      <c r="AA2381" s="245"/>
      <c r="AB2381" s="332"/>
      <c r="AD2381" s="245"/>
      <c r="AE2381" s="187"/>
      <c r="AF2381" s="367"/>
      <c r="AG2381" s="245"/>
      <c r="AI2381" s="245"/>
    </row>
    <row r="2382" spans="1:35" ht="26.4">
      <c r="A2382" s="245"/>
      <c r="B2382" s="245"/>
      <c r="C2382" s="245"/>
      <c r="D2382" s="245"/>
      <c r="E2382" s="245"/>
      <c r="F2382" s="280"/>
      <c r="G2382" s="245"/>
      <c r="H2382" s="245"/>
      <c r="I2382" s="245"/>
      <c r="S2382" s="369"/>
      <c r="T2382" s="328"/>
      <c r="U2382" s="85" ph="1"/>
      <c r="W2382" s="216"/>
      <c r="X2382" s="245"/>
      <c r="Y2382" s="187"/>
      <c r="Z2382" s="245"/>
      <c r="AA2382" s="245"/>
      <c r="AB2382" s="332"/>
      <c r="AD2382" s="245"/>
      <c r="AE2382" s="187"/>
      <c r="AF2382" s="367"/>
      <c r="AG2382" s="245"/>
      <c r="AI2382" s="245"/>
    </row>
    <row r="2383" spans="1:35" ht="26.4">
      <c r="A2383" s="245"/>
      <c r="B2383" s="245"/>
      <c r="C2383" s="245"/>
      <c r="D2383" s="245"/>
      <c r="E2383" s="245"/>
      <c r="F2383" s="280"/>
      <c r="G2383" s="245"/>
      <c r="H2383" s="245"/>
      <c r="I2383" s="245"/>
      <c r="S2383" s="369"/>
      <c r="T2383" s="328"/>
      <c r="U2383" s="85" ph="1"/>
      <c r="W2383" s="216"/>
      <c r="X2383" s="245"/>
      <c r="Y2383" s="187"/>
      <c r="Z2383" s="245"/>
      <c r="AA2383" s="245"/>
      <c r="AB2383" s="332"/>
      <c r="AD2383" s="245"/>
      <c r="AE2383" s="187"/>
      <c r="AF2383" s="367"/>
      <c r="AG2383" s="245"/>
      <c r="AI2383" s="245"/>
    </row>
    <row r="2384" spans="1:35" ht="26.4">
      <c r="A2384" s="245"/>
      <c r="B2384" s="245"/>
      <c r="C2384" s="245"/>
      <c r="D2384" s="245"/>
      <c r="E2384" s="245"/>
      <c r="F2384" s="280"/>
      <c r="G2384" s="245"/>
      <c r="H2384" s="245"/>
      <c r="I2384" s="245"/>
      <c r="S2384" s="369"/>
      <c r="T2384" s="328"/>
      <c r="U2384" s="85" ph="1"/>
      <c r="W2384" s="216"/>
      <c r="X2384" s="245"/>
      <c r="Y2384" s="187"/>
      <c r="Z2384" s="245"/>
      <c r="AA2384" s="245"/>
      <c r="AB2384" s="332"/>
      <c r="AD2384" s="245"/>
      <c r="AE2384" s="187"/>
      <c r="AF2384" s="367"/>
      <c r="AG2384" s="245"/>
      <c r="AI2384" s="245"/>
    </row>
    <row r="2385" spans="1:35" ht="26.4">
      <c r="A2385" s="245"/>
      <c r="B2385" s="245"/>
      <c r="C2385" s="245"/>
      <c r="D2385" s="245"/>
      <c r="E2385" s="245"/>
      <c r="F2385" s="280"/>
      <c r="G2385" s="245"/>
      <c r="H2385" s="245"/>
      <c r="I2385" s="245"/>
      <c r="S2385" s="369"/>
      <c r="T2385" s="328"/>
      <c r="U2385" s="85" ph="1"/>
      <c r="W2385" s="216"/>
      <c r="X2385" s="245"/>
      <c r="Y2385" s="187"/>
      <c r="Z2385" s="245"/>
      <c r="AA2385" s="245"/>
      <c r="AB2385" s="332"/>
      <c r="AD2385" s="245"/>
      <c r="AE2385" s="187"/>
      <c r="AF2385" s="367"/>
      <c r="AG2385" s="245"/>
      <c r="AI2385" s="245"/>
    </row>
    <row r="2386" spans="1:35" ht="26.4">
      <c r="A2386" s="245"/>
      <c r="B2386" s="245"/>
      <c r="C2386" s="245"/>
      <c r="D2386" s="245"/>
      <c r="E2386" s="245"/>
      <c r="F2386" s="280"/>
      <c r="G2386" s="245"/>
      <c r="H2386" s="245"/>
      <c r="I2386" s="245"/>
      <c r="S2386" s="369"/>
      <c r="T2386" s="328"/>
      <c r="U2386" s="85" ph="1"/>
      <c r="W2386" s="216"/>
      <c r="X2386" s="245"/>
      <c r="Y2386" s="187"/>
      <c r="Z2386" s="245"/>
      <c r="AA2386" s="245"/>
      <c r="AB2386" s="332"/>
      <c r="AD2386" s="245"/>
      <c r="AE2386" s="187"/>
      <c r="AF2386" s="367"/>
      <c r="AG2386" s="245"/>
      <c r="AI2386" s="245"/>
    </row>
    <row r="2387" spans="1:35" ht="26.4">
      <c r="A2387" s="245"/>
      <c r="B2387" s="245"/>
      <c r="C2387" s="245"/>
      <c r="D2387" s="245"/>
      <c r="E2387" s="245"/>
      <c r="F2387" s="280"/>
      <c r="G2387" s="245"/>
      <c r="H2387" s="245"/>
      <c r="I2387" s="245"/>
      <c r="S2387" s="369"/>
      <c r="T2387" s="328"/>
      <c r="U2387" s="85" ph="1"/>
      <c r="W2387" s="216"/>
      <c r="X2387" s="245"/>
      <c r="Y2387" s="187"/>
      <c r="Z2387" s="245"/>
      <c r="AA2387" s="245"/>
      <c r="AB2387" s="332"/>
      <c r="AD2387" s="245"/>
      <c r="AE2387" s="187"/>
      <c r="AF2387" s="367"/>
      <c r="AG2387" s="245"/>
      <c r="AI2387" s="245"/>
    </row>
    <row r="2388" spans="1:35" ht="26.4">
      <c r="A2388" s="245"/>
      <c r="B2388" s="245"/>
      <c r="C2388" s="245"/>
      <c r="D2388" s="245"/>
      <c r="E2388" s="245"/>
      <c r="F2388" s="280"/>
      <c r="G2388" s="245"/>
      <c r="H2388" s="245"/>
      <c r="I2388" s="245"/>
      <c r="S2388" s="369"/>
      <c r="T2388" s="328"/>
      <c r="U2388" s="85" ph="1"/>
      <c r="W2388" s="216"/>
      <c r="X2388" s="245"/>
      <c r="Y2388" s="187"/>
      <c r="Z2388" s="245"/>
      <c r="AA2388" s="245"/>
      <c r="AB2388" s="332"/>
      <c r="AD2388" s="245"/>
      <c r="AE2388" s="187"/>
      <c r="AF2388" s="367"/>
      <c r="AG2388" s="245"/>
      <c r="AI2388" s="245"/>
    </row>
    <row r="2389" spans="1:35" ht="26.4">
      <c r="A2389" s="245"/>
      <c r="B2389" s="245"/>
      <c r="C2389" s="245"/>
      <c r="D2389" s="245"/>
      <c r="E2389" s="245"/>
      <c r="F2389" s="280"/>
      <c r="G2389" s="245"/>
      <c r="H2389" s="245"/>
      <c r="I2389" s="245"/>
      <c r="S2389" s="369"/>
      <c r="T2389" s="328"/>
      <c r="U2389" s="85" ph="1"/>
      <c r="W2389" s="216"/>
      <c r="X2389" s="245"/>
      <c r="Y2389" s="187"/>
      <c r="Z2389" s="245"/>
      <c r="AA2389" s="245"/>
      <c r="AB2389" s="332"/>
      <c r="AD2389" s="245"/>
      <c r="AE2389" s="187"/>
      <c r="AF2389" s="367"/>
      <c r="AG2389" s="245"/>
      <c r="AI2389" s="245"/>
    </row>
    <row r="2390" spans="1:35" ht="26.4">
      <c r="A2390" s="245"/>
      <c r="B2390" s="245"/>
      <c r="C2390" s="245"/>
      <c r="D2390" s="245"/>
      <c r="E2390" s="245"/>
      <c r="F2390" s="280"/>
      <c r="G2390" s="245"/>
      <c r="H2390" s="245"/>
      <c r="I2390" s="245"/>
      <c r="S2390" s="369"/>
      <c r="T2390" s="328"/>
      <c r="U2390" s="85" ph="1"/>
      <c r="W2390" s="216"/>
      <c r="X2390" s="245"/>
      <c r="Y2390" s="187"/>
      <c r="Z2390" s="245"/>
      <c r="AA2390" s="245"/>
      <c r="AB2390" s="332"/>
      <c r="AD2390" s="245"/>
      <c r="AE2390" s="187"/>
      <c r="AF2390" s="367"/>
      <c r="AG2390" s="245"/>
      <c r="AI2390" s="245"/>
    </row>
    <row r="2391" spans="1:35" ht="26.4">
      <c r="A2391" s="245"/>
      <c r="B2391" s="245"/>
      <c r="C2391" s="245"/>
      <c r="D2391" s="245"/>
      <c r="E2391" s="245"/>
      <c r="F2391" s="280"/>
      <c r="G2391" s="245"/>
      <c r="H2391" s="245"/>
      <c r="I2391" s="245"/>
      <c r="S2391" s="369"/>
      <c r="T2391" s="328"/>
      <c r="U2391" s="85" ph="1"/>
      <c r="W2391" s="216"/>
      <c r="X2391" s="245"/>
      <c r="Y2391" s="187"/>
      <c r="Z2391" s="245"/>
      <c r="AA2391" s="245"/>
      <c r="AB2391" s="332"/>
      <c r="AD2391" s="245"/>
      <c r="AE2391" s="187"/>
      <c r="AF2391" s="367"/>
      <c r="AG2391" s="245"/>
      <c r="AI2391" s="245"/>
    </row>
    <row r="2392" spans="1:35" ht="26.4">
      <c r="A2392" s="245"/>
      <c r="B2392" s="245"/>
      <c r="C2392" s="245"/>
      <c r="D2392" s="245"/>
      <c r="E2392" s="245"/>
      <c r="F2392" s="280"/>
      <c r="G2392" s="245"/>
      <c r="H2392" s="245"/>
      <c r="I2392" s="245"/>
      <c r="S2392" s="369"/>
      <c r="T2392" s="328"/>
      <c r="U2392" s="85" ph="1"/>
      <c r="W2392" s="216"/>
      <c r="X2392" s="245"/>
      <c r="Y2392" s="187"/>
      <c r="Z2392" s="245"/>
      <c r="AA2392" s="245"/>
      <c r="AB2392" s="332"/>
      <c r="AD2392" s="245"/>
      <c r="AE2392" s="187"/>
      <c r="AF2392" s="367"/>
      <c r="AG2392" s="245"/>
      <c r="AI2392" s="245"/>
    </row>
    <row r="2393" spans="1:35" ht="26.4">
      <c r="A2393" s="245"/>
      <c r="B2393" s="245"/>
      <c r="C2393" s="245"/>
      <c r="D2393" s="245"/>
      <c r="E2393" s="245"/>
      <c r="F2393" s="280"/>
      <c r="G2393" s="245"/>
      <c r="H2393" s="245"/>
      <c r="I2393" s="245"/>
      <c r="S2393" s="369"/>
      <c r="T2393" s="328"/>
      <c r="U2393" s="85" ph="1"/>
      <c r="W2393" s="216"/>
      <c r="X2393" s="245"/>
      <c r="Y2393" s="187"/>
      <c r="Z2393" s="245"/>
      <c r="AA2393" s="245"/>
      <c r="AB2393" s="332"/>
      <c r="AD2393" s="245"/>
      <c r="AE2393" s="187"/>
      <c r="AF2393" s="367"/>
      <c r="AG2393" s="245"/>
      <c r="AI2393" s="245"/>
    </row>
    <row r="2394" spans="1:35" ht="26.4">
      <c r="A2394" s="245"/>
      <c r="B2394" s="245"/>
      <c r="C2394" s="245"/>
      <c r="D2394" s="245"/>
      <c r="E2394" s="245"/>
      <c r="F2394" s="280"/>
      <c r="G2394" s="245"/>
      <c r="H2394" s="245"/>
      <c r="I2394" s="245"/>
      <c r="S2394" s="369"/>
      <c r="T2394" s="328"/>
      <c r="U2394" s="85" ph="1"/>
      <c r="W2394" s="216"/>
      <c r="X2394" s="245"/>
      <c r="Y2394" s="187"/>
      <c r="Z2394" s="245"/>
      <c r="AA2394" s="245"/>
      <c r="AB2394" s="332"/>
      <c r="AD2394" s="245"/>
      <c r="AE2394" s="187"/>
      <c r="AF2394" s="367"/>
      <c r="AG2394" s="245"/>
      <c r="AI2394" s="245"/>
    </row>
    <row r="2395" spans="1:35" ht="26.4">
      <c r="A2395" s="245"/>
      <c r="B2395" s="245"/>
      <c r="C2395" s="245"/>
      <c r="D2395" s="245"/>
      <c r="E2395" s="245"/>
      <c r="F2395" s="280"/>
      <c r="G2395" s="245"/>
      <c r="H2395" s="245"/>
      <c r="I2395" s="245"/>
      <c r="S2395" s="369"/>
      <c r="T2395" s="328"/>
      <c r="U2395" s="85" ph="1"/>
      <c r="W2395" s="216"/>
      <c r="X2395" s="245"/>
      <c r="Y2395" s="187"/>
      <c r="Z2395" s="245"/>
      <c r="AA2395" s="245"/>
      <c r="AB2395" s="332"/>
      <c r="AD2395" s="245"/>
      <c r="AE2395" s="187"/>
      <c r="AF2395" s="367"/>
      <c r="AG2395" s="245"/>
      <c r="AI2395" s="245"/>
    </row>
    <row r="2396" spans="1:35" ht="26.4">
      <c r="A2396" s="245"/>
      <c r="B2396" s="245"/>
      <c r="C2396" s="245"/>
      <c r="D2396" s="245"/>
      <c r="E2396" s="245"/>
      <c r="F2396" s="280"/>
      <c r="G2396" s="245"/>
      <c r="H2396" s="245"/>
      <c r="I2396" s="245"/>
      <c r="S2396" s="369"/>
      <c r="T2396" s="328"/>
      <c r="U2396" s="85" ph="1"/>
      <c r="W2396" s="216"/>
      <c r="X2396" s="245"/>
      <c r="Y2396" s="187"/>
      <c r="Z2396" s="245"/>
      <c r="AA2396" s="245"/>
      <c r="AB2396" s="332"/>
      <c r="AD2396" s="245"/>
      <c r="AE2396" s="187"/>
      <c r="AF2396" s="367"/>
      <c r="AG2396" s="245"/>
      <c r="AI2396" s="245"/>
    </row>
    <row r="2397" spans="1:35" ht="26.4">
      <c r="A2397" s="245"/>
      <c r="B2397" s="245"/>
      <c r="C2397" s="245"/>
      <c r="D2397" s="245"/>
      <c r="E2397" s="245"/>
      <c r="F2397" s="280"/>
      <c r="G2397" s="245"/>
      <c r="H2397" s="245"/>
      <c r="I2397" s="245"/>
      <c r="S2397" s="369"/>
      <c r="T2397" s="328"/>
      <c r="U2397" s="85" ph="1"/>
      <c r="W2397" s="216"/>
      <c r="X2397" s="245"/>
      <c r="Y2397" s="187"/>
      <c r="Z2397" s="245"/>
      <c r="AA2397" s="245"/>
      <c r="AB2397" s="332"/>
      <c r="AD2397" s="245"/>
      <c r="AE2397" s="187"/>
      <c r="AF2397" s="367"/>
      <c r="AG2397" s="245"/>
      <c r="AI2397" s="245"/>
    </row>
    <row r="2398" spans="1:35" ht="26.4">
      <c r="A2398" s="245"/>
      <c r="B2398" s="245"/>
      <c r="C2398" s="245"/>
      <c r="D2398" s="245"/>
      <c r="E2398" s="245"/>
      <c r="F2398" s="280"/>
      <c r="G2398" s="245"/>
      <c r="H2398" s="245"/>
      <c r="I2398" s="245"/>
      <c r="S2398" s="369"/>
      <c r="T2398" s="328"/>
      <c r="U2398" s="85" ph="1"/>
      <c r="W2398" s="216"/>
      <c r="X2398" s="245"/>
      <c r="Y2398" s="187"/>
      <c r="Z2398" s="245"/>
      <c r="AA2398" s="245"/>
      <c r="AB2398" s="332"/>
      <c r="AD2398" s="245"/>
      <c r="AE2398" s="187"/>
      <c r="AF2398" s="367"/>
      <c r="AG2398" s="245"/>
      <c r="AI2398" s="245"/>
    </row>
    <row r="2399" spans="1:35" ht="26.4">
      <c r="A2399" s="245"/>
      <c r="B2399" s="245"/>
      <c r="C2399" s="245"/>
      <c r="D2399" s="245"/>
      <c r="E2399" s="245"/>
      <c r="F2399" s="280"/>
      <c r="G2399" s="245"/>
      <c r="H2399" s="245"/>
      <c r="I2399" s="245"/>
      <c r="S2399" s="369"/>
      <c r="T2399" s="328"/>
      <c r="U2399" s="85" ph="1"/>
      <c r="W2399" s="216"/>
      <c r="X2399" s="245"/>
      <c r="Y2399" s="187"/>
      <c r="Z2399" s="245"/>
      <c r="AA2399" s="245"/>
      <c r="AB2399" s="332"/>
      <c r="AD2399" s="245"/>
      <c r="AE2399" s="187"/>
      <c r="AF2399" s="367"/>
      <c r="AG2399" s="245"/>
      <c r="AI2399" s="245"/>
    </row>
    <row r="2400" spans="1:35" ht="26.4">
      <c r="A2400" s="245"/>
      <c r="B2400" s="245"/>
      <c r="C2400" s="245"/>
      <c r="D2400" s="245"/>
      <c r="E2400" s="245"/>
      <c r="F2400" s="280"/>
      <c r="G2400" s="245"/>
      <c r="H2400" s="245"/>
      <c r="I2400" s="245"/>
      <c r="S2400" s="369"/>
      <c r="T2400" s="328"/>
      <c r="U2400" s="85" ph="1"/>
      <c r="W2400" s="216"/>
      <c r="X2400" s="245"/>
      <c r="Y2400" s="187"/>
      <c r="Z2400" s="245"/>
      <c r="AA2400" s="245"/>
      <c r="AB2400" s="332"/>
      <c r="AD2400" s="245"/>
      <c r="AE2400" s="187"/>
      <c r="AF2400" s="367"/>
      <c r="AG2400" s="245"/>
      <c r="AI2400" s="245"/>
    </row>
    <row r="2401" spans="19:21" ht="26.4">
      <c r="S2401" s="369"/>
      <c r="U2401" s="85" ph="1"/>
    </row>
    <row r="2402" spans="19:21" ht="26.4">
      <c r="S2402" s="369"/>
      <c r="U2402" s="85" ph="1"/>
    </row>
    <row r="2403" spans="19:21" ht="26.4">
      <c r="S2403" s="369"/>
      <c r="U2403" s="85" ph="1"/>
    </row>
    <row r="2404" spans="19:21" ht="26.4">
      <c r="S2404" s="369"/>
      <c r="U2404" s="85" ph="1"/>
    </row>
    <row r="2405" spans="19:21" ht="26.4">
      <c r="S2405" s="369"/>
      <c r="U2405" s="85" ph="1"/>
    </row>
    <row r="2406" spans="19:21" ht="26.4">
      <c r="S2406" s="369"/>
      <c r="U2406" s="85" ph="1"/>
    </row>
    <row r="2407" spans="19:21" ht="26.4">
      <c r="S2407" s="369"/>
      <c r="U2407" s="85" ph="1"/>
    </row>
    <row r="2408" spans="19:21" ht="26.4">
      <c r="S2408" s="369"/>
      <c r="U2408" s="85" ph="1"/>
    </row>
    <row r="2409" spans="19:21" ht="26.4">
      <c r="S2409" s="369"/>
      <c r="U2409" s="85" ph="1"/>
    </row>
    <row r="2410" spans="19:21" ht="26.4">
      <c r="S2410" s="369"/>
      <c r="U2410" s="85" ph="1"/>
    </row>
    <row r="2411" spans="19:21" ht="26.4">
      <c r="S2411" s="369"/>
      <c r="U2411" s="85" ph="1"/>
    </row>
    <row r="2412" spans="19:21" ht="26.4">
      <c r="S2412" s="369"/>
      <c r="U2412" s="85" ph="1"/>
    </row>
    <row r="2413" spans="19:21" ht="26.4">
      <c r="U2413" s="85" ph="1"/>
    </row>
    <row r="2414" spans="19:21" ht="26.4">
      <c r="U2414" s="85" ph="1"/>
    </row>
    <row r="2415" spans="19:21" ht="26.4">
      <c r="U2415" s="85" ph="1"/>
    </row>
    <row r="2416" spans="19:21" ht="26.4">
      <c r="U2416" s="85" ph="1"/>
    </row>
    <row r="2417" spans="21:21" ht="26.4">
      <c r="U2417" s="85" ph="1"/>
    </row>
    <row r="2418" spans="21:21" ht="26.4">
      <c r="U2418" s="85" ph="1"/>
    </row>
    <row r="2419" spans="21:21" ht="26.4">
      <c r="U2419" s="85" ph="1"/>
    </row>
    <row r="2420" spans="21:21" ht="26.4">
      <c r="U2420" s="85" ph="1"/>
    </row>
    <row r="2421" spans="21:21" ht="26.4">
      <c r="U2421" s="85" ph="1"/>
    </row>
    <row r="2422" spans="21:21" ht="26.4">
      <c r="U2422" s="85" ph="1"/>
    </row>
    <row r="2423" spans="21:21" ht="26.4">
      <c r="U2423" s="85" ph="1"/>
    </row>
    <row r="2424" spans="21:21" ht="26.4">
      <c r="U2424" s="85" ph="1"/>
    </row>
    <row r="2425" spans="21:21" ht="26.4">
      <c r="U2425" s="85" ph="1"/>
    </row>
    <row r="2426" spans="21:21" ht="26.4">
      <c r="U2426" s="85" ph="1"/>
    </row>
    <row r="2427" spans="21:21" ht="26.4">
      <c r="U2427" s="85" ph="1"/>
    </row>
    <row r="2428" spans="21:21" ht="26.4">
      <c r="U2428" s="85" ph="1"/>
    </row>
    <row r="2429" spans="21:21" ht="26.4">
      <c r="U2429" s="85" ph="1"/>
    </row>
    <row r="2430" spans="21:21" ht="26.4">
      <c r="U2430" s="85" ph="1"/>
    </row>
    <row r="2431" spans="21:21" ht="26.4">
      <c r="U2431" s="85" ph="1"/>
    </row>
    <row r="2432" spans="21:21" ht="26.4">
      <c r="U2432" s="85" ph="1"/>
    </row>
    <row r="2433" spans="21:21" ht="26.4">
      <c r="U2433" s="85" ph="1"/>
    </row>
    <row r="2434" spans="21:21" ht="26.4">
      <c r="U2434" s="85" ph="1"/>
    </row>
    <row r="2435" spans="21:21" ht="26.4">
      <c r="U2435" s="85" ph="1"/>
    </row>
    <row r="2436" spans="21:21" ht="26.4">
      <c r="U2436" s="85" ph="1"/>
    </row>
    <row r="2437" spans="21:21" ht="26.4">
      <c r="U2437" s="85" ph="1"/>
    </row>
    <row r="2438" spans="21:21" ht="26.4">
      <c r="U2438" s="85" ph="1"/>
    </row>
    <row r="2439" spans="21:21" ht="26.4">
      <c r="U2439" s="85" ph="1"/>
    </row>
    <row r="2440" spans="21:21" ht="26.4">
      <c r="U2440" s="85" ph="1"/>
    </row>
    <row r="2441" spans="21:21" ht="26.4">
      <c r="U2441" s="85" ph="1"/>
    </row>
    <row r="2442" spans="21:21" ht="26.4">
      <c r="U2442" s="85" ph="1"/>
    </row>
    <row r="2443" spans="21:21" ht="26.4">
      <c r="U2443" s="85" ph="1"/>
    </row>
    <row r="2444" spans="21:21" ht="26.4">
      <c r="U2444" s="85" ph="1"/>
    </row>
    <row r="2445" spans="21:21" ht="26.4">
      <c r="U2445" s="85" ph="1"/>
    </row>
    <row r="2446" spans="21:21" ht="26.4">
      <c r="U2446" s="85" ph="1"/>
    </row>
    <row r="2447" spans="21:21" ht="26.4">
      <c r="U2447" s="85" ph="1"/>
    </row>
    <row r="2448" spans="21:21" ht="26.4">
      <c r="U2448" s="85" ph="1"/>
    </row>
    <row r="2449" spans="21:21" ht="26.4">
      <c r="U2449" s="85" ph="1"/>
    </row>
    <row r="2450" spans="21:21" ht="26.4">
      <c r="U2450" s="85" ph="1"/>
    </row>
    <row r="2451" spans="21:21" ht="26.4">
      <c r="U2451" s="85" ph="1"/>
    </row>
    <row r="2452" spans="21:21" ht="26.4">
      <c r="U2452" s="85" ph="1"/>
    </row>
    <row r="2453" spans="21:21" ht="26.4">
      <c r="U2453" s="85" ph="1"/>
    </row>
    <row r="2454" spans="21:21" ht="26.4">
      <c r="U2454" s="85" ph="1"/>
    </row>
    <row r="2455" spans="21:21" ht="26.4">
      <c r="U2455" s="85" ph="1"/>
    </row>
    <row r="2456" spans="21:21" ht="26.4">
      <c r="U2456" s="85" ph="1"/>
    </row>
    <row r="2457" spans="21:21" ht="26.4">
      <c r="U2457" s="85" ph="1"/>
    </row>
    <row r="2458" spans="21:21" ht="26.4">
      <c r="U2458" s="85" ph="1"/>
    </row>
    <row r="2459" spans="21:21" ht="26.4">
      <c r="U2459" s="85" ph="1"/>
    </row>
    <row r="2460" spans="21:21" ht="26.4">
      <c r="U2460" s="85" ph="1"/>
    </row>
    <row r="2461" spans="21:21" ht="26.4">
      <c r="U2461" s="85" ph="1"/>
    </row>
    <row r="2462" spans="21:21" ht="26.4">
      <c r="U2462" s="85" ph="1"/>
    </row>
    <row r="2463" spans="21:21" ht="26.4">
      <c r="U2463" s="85" ph="1"/>
    </row>
    <row r="2464" spans="21:21" ht="26.4">
      <c r="U2464" s="85" ph="1"/>
    </row>
    <row r="2465" spans="21:21" ht="26.4">
      <c r="U2465" s="85" ph="1"/>
    </row>
    <row r="2466" spans="21:21" ht="26.4">
      <c r="U2466" s="85" ph="1"/>
    </row>
    <row r="2467" spans="21:21" ht="26.4">
      <c r="U2467" s="85" ph="1"/>
    </row>
    <row r="2468" spans="21:21" ht="26.4">
      <c r="U2468" s="85" ph="1"/>
    </row>
    <row r="2469" spans="21:21" ht="26.4">
      <c r="U2469" s="85" ph="1"/>
    </row>
    <row r="2470" spans="21:21" ht="26.4">
      <c r="U2470" s="85" ph="1"/>
    </row>
    <row r="2471" spans="21:21" ht="26.4">
      <c r="U2471" s="85" ph="1"/>
    </row>
    <row r="2472" spans="21:21" ht="26.4">
      <c r="U2472" s="85" ph="1"/>
    </row>
    <row r="2473" spans="21:21" ht="26.4">
      <c r="U2473" s="85" ph="1"/>
    </row>
    <row r="2474" spans="21:21" ht="26.4">
      <c r="U2474" s="85" ph="1"/>
    </row>
    <row r="2475" spans="21:21" ht="26.4">
      <c r="U2475" s="85" ph="1"/>
    </row>
    <row r="2476" spans="21:21" ht="26.4">
      <c r="U2476" s="85" ph="1"/>
    </row>
    <row r="2477" spans="21:21" ht="26.4">
      <c r="U2477" s="85" ph="1"/>
    </row>
    <row r="2478" spans="21:21" ht="26.4">
      <c r="U2478" s="85" ph="1"/>
    </row>
    <row r="2479" spans="21:21" ht="26.4">
      <c r="U2479" s="85" ph="1"/>
    </row>
    <row r="2480" spans="21:21" ht="26.4">
      <c r="U2480" s="85" ph="1"/>
    </row>
    <row r="2481" spans="21:21" ht="26.4">
      <c r="U2481" s="85" ph="1"/>
    </row>
    <row r="2482" spans="21:21" ht="26.4">
      <c r="U2482" s="85" ph="1"/>
    </row>
    <row r="2483" spans="21:21" ht="26.4">
      <c r="U2483" s="85" ph="1"/>
    </row>
    <row r="2484" spans="21:21" ht="26.4">
      <c r="U2484" s="85" ph="1"/>
    </row>
    <row r="2485" spans="21:21" ht="26.4">
      <c r="U2485" s="85" ph="1"/>
    </row>
    <row r="2486" spans="21:21" ht="26.4">
      <c r="U2486" s="85" ph="1"/>
    </row>
    <row r="2487" spans="21:21" ht="26.4">
      <c r="U2487" s="85" ph="1"/>
    </row>
    <row r="2488" spans="21:21" ht="26.4">
      <c r="U2488" s="85" ph="1"/>
    </row>
    <row r="2489" spans="21:21" ht="26.4">
      <c r="U2489" s="85" ph="1"/>
    </row>
    <row r="2490" spans="21:21" ht="26.4">
      <c r="U2490" s="85" ph="1"/>
    </row>
    <row r="2491" spans="21:21" ht="26.4">
      <c r="U2491" s="85" ph="1"/>
    </row>
    <row r="2492" spans="21:21" ht="26.4">
      <c r="U2492" s="85" ph="1"/>
    </row>
    <row r="2493" spans="21:21" ht="26.4">
      <c r="U2493" s="85" ph="1"/>
    </row>
    <row r="2494" spans="21:21" ht="26.4">
      <c r="U2494" s="85" ph="1"/>
    </row>
    <row r="2495" spans="21:21" ht="26.4">
      <c r="U2495" s="85" ph="1"/>
    </row>
    <row r="2496" spans="21:21" ht="26.4">
      <c r="U2496" s="85" ph="1"/>
    </row>
    <row r="2497" spans="21:21" ht="26.4">
      <c r="U2497" s="85" ph="1"/>
    </row>
    <row r="2498" spans="21:21" ht="26.4">
      <c r="U2498" s="85" ph="1"/>
    </row>
    <row r="2499" spans="21:21" ht="26.4">
      <c r="U2499" s="85" ph="1"/>
    </row>
    <row r="2500" spans="21:21" ht="26.4">
      <c r="U2500" s="85" ph="1"/>
    </row>
    <row r="2501" spans="21:21" ht="26.4">
      <c r="U2501" s="85" ph="1"/>
    </row>
    <row r="2502" spans="21:21" ht="26.4">
      <c r="U2502" s="85" ph="1"/>
    </row>
    <row r="2503" spans="21:21" ht="26.4">
      <c r="U2503" s="85" ph="1"/>
    </row>
    <row r="2504" spans="21:21" ht="26.4">
      <c r="U2504" s="85" ph="1"/>
    </row>
    <row r="2505" spans="21:21" ht="26.4">
      <c r="U2505" s="85" ph="1"/>
    </row>
    <row r="2506" spans="21:21" ht="26.4">
      <c r="U2506" s="85" ph="1"/>
    </row>
    <row r="2507" spans="21:21" ht="26.4">
      <c r="U2507" s="85" ph="1"/>
    </row>
    <row r="2508" spans="21:21" ht="26.4">
      <c r="U2508" s="85" ph="1"/>
    </row>
    <row r="2509" spans="21:21" ht="26.4">
      <c r="U2509" s="85" ph="1"/>
    </row>
    <row r="2510" spans="21:21" ht="26.4">
      <c r="U2510" s="85" ph="1"/>
    </row>
    <row r="2511" spans="21:21" ht="26.4">
      <c r="U2511" s="85" ph="1"/>
    </row>
    <row r="2512" spans="21:21" ht="26.4">
      <c r="U2512" s="85" ph="1"/>
    </row>
    <row r="2513" spans="21:21" ht="26.4">
      <c r="U2513" s="85" ph="1"/>
    </row>
    <row r="2514" spans="21:21" ht="26.4">
      <c r="U2514" s="85" ph="1"/>
    </row>
    <row r="2515" spans="21:21" ht="26.4">
      <c r="U2515" s="85" ph="1"/>
    </row>
    <row r="2516" spans="21:21" ht="26.4">
      <c r="U2516" s="85" ph="1"/>
    </row>
    <row r="2517" spans="21:21" ht="26.4">
      <c r="U2517" s="85" ph="1"/>
    </row>
    <row r="2518" spans="21:21" ht="26.4">
      <c r="U2518" s="85" ph="1"/>
    </row>
    <row r="2519" spans="21:21" ht="26.4">
      <c r="U2519" s="85" ph="1"/>
    </row>
    <row r="2520" spans="21:21" ht="26.4">
      <c r="U2520" s="85" ph="1"/>
    </row>
    <row r="2521" spans="21:21" ht="26.4">
      <c r="U2521" s="85" ph="1"/>
    </row>
    <row r="2522" spans="21:21" ht="26.4">
      <c r="U2522" s="85" ph="1"/>
    </row>
    <row r="2523" spans="21:21" ht="26.4">
      <c r="U2523" s="85" ph="1"/>
    </row>
    <row r="2524" spans="21:21" ht="26.4">
      <c r="U2524" s="85" ph="1"/>
    </row>
    <row r="2525" spans="21:21" ht="26.4">
      <c r="U2525" s="85" ph="1"/>
    </row>
    <row r="2526" spans="21:21" ht="26.4">
      <c r="U2526" s="85" ph="1"/>
    </row>
    <row r="2527" spans="21:21" ht="26.4">
      <c r="U2527" s="85" ph="1"/>
    </row>
    <row r="2528" spans="21:21" ht="26.4">
      <c r="U2528" s="85" ph="1"/>
    </row>
    <row r="2529" spans="21:21" ht="26.4">
      <c r="U2529" s="85" ph="1"/>
    </row>
    <row r="2530" spans="21:21" ht="26.4">
      <c r="U2530" s="85" ph="1"/>
    </row>
    <row r="2531" spans="21:21" ht="26.4">
      <c r="U2531" s="85" ph="1"/>
    </row>
    <row r="2532" spans="21:21" ht="26.4">
      <c r="U2532" s="85" ph="1"/>
    </row>
    <row r="2533" spans="21:21" ht="26.4">
      <c r="U2533" s="85" ph="1"/>
    </row>
    <row r="2534" spans="21:21" ht="26.4">
      <c r="U2534" s="85" ph="1"/>
    </row>
    <row r="2535" spans="21:21" ht="26.4">
      <c r="U2535" s="85" ph="1"/>
    </row>
    <row r="2536" spans="21:21" ht="26.4">
      <c r="U2536" s="85" ph="1"/>
    </row>
    <row r="2537" spans="21:21" ht="26.4">
      <c r="U2537" s="85" ph="1"/>
    </row>
    <row r="2538" spans="21:21" ht="26.4">
      <c r="U2538" s="85" ph="1"/>
    </row>
    <row r="2539" spans="21:21" ht="26.4">
      <c r="U2539" s="85" ph="1"/>
    </row>
    <row r="2540" spans="21:21" ht="26.4">
      <c r="U2540" s="85" ph="1"/>
    </row>
    <row r="2541" spans="21:21" ht="26.4">
      <c r="U2541" s="85" ph="1"/>
    </row>
    <row r="2542" spans="21:21" ht="26.4">
      <c r="U2542" s="85" ph="1"/>
    </row>
    <row r="2543" spans="21:21" ht="26.4">
      <c r="U2543" s="85" ph="1"/>
    </row>
    <row r="2544" spans="21:21" ht="26.4">
      <c r="U2544" s="85" ph="1"/>
    </row>
    <row r="2545" spans="21:21" ht="26.4">
      <c r="U2545" s="85" ph="1"/>
    </row>
    <row r="2546" spans="21:21" ht="26.4">
      <c r="U2546" s="85" ph="1"/>
    </row>
    <row r="2547" spans="21:21" ht="26.4">
      <c r="U2547" s="85" ph="1"/>
    </row>
    <row r="2548" spans="21:21" ht="26.4">
      <c r="U2548" s="85" ph="1"/>
    </row>
    <row r="2549" spans="21:21" ht="26.4">
      <c r="U2549" s="85" ph="1"/>
    </row>
    <row r="2550" spans="21:21" ht="26.4">
      <c r="U2550" s="85" ph="1"/>
    </row>
    <row r="2551" spans="21:21" ht="26.4">
      <c r="U2551" s="85" ph="1"/>
    </row>
    <row r="2552" spans="21:21" ht="26.4">
      <c r="U2552" s="85" ph="1"/>
    </row>
    <row r="2553" spans="21:21" ht="26.4">
      <c r="U2553" s="85" ph="1"/>
    </row>
    <row r="2554" spans="21:21" ht="26.4">
      <c r="U2554" s="85" ph="1"/>
    </row>
    <row r="2555" spans="21:21" ht="26.4">
      <c r="U2555" s="85" ph="1"/>
    </row>
    <row r="2556" spans="21:21" ht="26.4">
      <c r="U2556" s="85" ph="1"/>
    </row>
    <row r="2557" spans="21:21" ht="26.4">
      <c r="U2557" s="85" ph="1"/>
    </row>
    <row r="2558" spans="21:21" ht="26.4">
      <c r="U2558" s="85" ph="1"/>
    </row>
    <row r="2559" spans="21:21" ht="26.4">
      <c r="U2559" s="85" ph="1"/>
    </row>
    <row r="2560" spans="21:21" ht="26.4">
      <c r="U2560" s="85" ph="1"/>
    </row>
    <row r="2561" spans="21:21" ht="26.4">
      <c r="U2561" s="85" ph="1"/>
    </row>
    <row r="2562" spans="21:21" ht="26.4">
      <c r="U2562" s="85" ph="1"/>
    </row>
    <row r="2563" spans="21:21" ht="26.4">
      <c r="U2563" s="85" ph="1"/>
    </row>
    <row r="2564" spans="21:21" ht="26.4">
      <c r="U2564" s="85" ph="1"/>
    </row>
    <row r="2565" spans="21:21" ht="26.4">
      <c r="U2565" s="85" ph="1"/>
    </row>
    <row r="2566" spans="21:21" ht="26.4">
      <c r="U2566" s="85" ph="1"/>
    </row>
    <row r="2567" spans="21:21" ht="26.4">
      <c r="U2567" s="85" ph="1"/>
    </row>
    <row r="2568" spans="21:21" ht="26.4">
      <c r="U2568" s="85" ph="1"/>
    </row>
    <row r="2569" spans="21:21" ht="26.4">
      <c r="U2569" s="85" ph="1"/>
    </row>
    <row r="2570" spans="21:21" ht="26.4">
      <c r="U2570" s="85" ph="1"/>
    </row>
    <row r="2571" spans="21:21" ht="26.4">
      <c r="U2571" s="85" ph="1"/>
    </row>
    <row r="2572" spans="21:21" ht="26.4">
      <c r="U2572" s="85" ph="1"/>
    </row>
    <row r="2573" spans="21:21" ht="26.4">
      <c r="U2573" s="85" ph="1"/>
    </row>
    <row r="2574" spans="21:21" ht="26.4">
      <c r="U2574" s="85" ph="1"/>
    </row>
    <row r="2575" spans="21:21" ht="26.4">
      <c r="U2575" s="85" ph="1"/>
    </row>
    <row r="2576" spans="21:21" ht="26.4">
      <c r="U2576" s="85" ph="1"/>
    </row>
    <row r="2577" spans="21:21" ht="26.4">
      <c r="U2577" s="85" ph="1"/>
    </row>
    <row r="2578" spans="21:21" ht="26.4">
      <c r="U2578" s="85" ph="1"/>
    </row>
    <row r="2579" spans="21:21" ht="26.4">
      <c r="U2579" s="85" ph="1"/>
    </row>
    <row r="2580" spans="21:21" ht="26.4">
      <c r="U2580" s="85" ph="1"/>
    </row>
    <row r="2581" spans="21:21" ht="26.4">
      <c r="U2581" s="85" ph="1"/>
    </row>
    <row r="2582" spans="21:21" ht="26.4">
      <c r="U2582" s="85" ph="1"/>
    </row>
    <row r="2583" spans="21:21" ht="26.4">
      <c r="U2583" s="85" ph="1"/>
    </row>
    <row r="2584" spans="21:21" ht="26.4">
      <c r="U2584" s="85" ph="1"/>
    </row>
    <row r="2585" spans="21:21" ht="26.4">
      <c r="U2585" s="85" ph="1"/>
    </row>
    <row r="2586" spans="21:21" ht="26.4">
      <c r="U2586" s="85" ph="1"/>
    </row>
    <row r="2587" spans="21:21" ht="26.4">
      <c r="U2587" s="85" ph="1"/>
    </row>
    <row r="2588" spans="21:21" ht="26.4">
      <c r="U2588" s="85" ph="1"/>
    </row>
    <row r="2589" spans="21:21" ht="26.4">
      <c r="U2589" s="85" ph="1"/>
    </row>
    <row r="2590" spans="21:21" ht="26.4">
      <c r="U2590" s="85" ph="1"/>
    </row>
    <row r="2591" spans="21:21" ht="26.4">
      <c r="U2591" s="85" ph="1"/>
    </row>
    <row r="2592" spans="21:21" ht="26.4">
      <c r="U2592" s="85" ph="1"/>
    </row>
    <row r="2593" spans="21:21" ht="26.4">
      <c r="U2593" s="85" ph="1"/>
    </row>
    <row r="2594" spans="21:21" ht="26.4">
      <c r="U2594" s="85" ph="1"/>
    </row>
    <row r="2595" spans="21:21" ht="26.4">
      <c r="U2595" s="85" ph="1"/>
    </row>
    <row r="2596" spans="21:21" ht="26.4">
      <c r="U2596" s="85" ph="1"/>
    </row>
    <row r="2597" spans="21:21" ht="26.4">
      <c r="U2597" s="85" ph="1"/>
    </row>
    <row r="2598" spans="21:21" ht="26.4">
      <c r="U2598" s="85" ph="1"/>
    </row>
    <row r="2599" spans="21:21" ht="26.4">
      <c r="U2599" s="85" ph="1"/>
    </row>
    <row r="2600" spans="21:21" ht="26.4">
      <c r="U2600" s="85" ph="1"/>
    </row>
    <row r="2601" spans="21:21" ht="26.4">
      <c r="U2601" s="85" ph="1"/>
    </row>
    <row r="2602" spans="21:21" ht="26.4">
      <c r="U2602" s="85" ph="1"/>
    </row>
    <row r="2603" spans="21:21" ht="26.4">
      <c r="U2603" s="85" ph="1"/>
    </row>
    <row r="2604" spans="21:21" ht="26.4">
      <c r="U2604" s="85" ph="1"/>
    </row>
    <row r="2605" spans="21:21" ht="26.4">
      <c r="U2605" s="85" ph="1"/>
    </row>
    <row r="2606" spans="21:21" ht="26.4">
      <c r="U2606" s="85" ph="1"/>
    </row>
    <row r="2607" spans="21:21" ht="26.4">
      <c r="U2607" s="85" ph="1"/>
    </row>
    <row r="2608" spans="21:21" ht="26.4">
      <c r="U2608" s="85" ph="1"/>
    </row>
    <row r="2609" spans="21:21" ht="26.4">
      <c r="U2609" s="85" ph="1"/>
    </row>
    <row r="2610" spans="21:21" ht="26.4">
      <c r="U2610" s="85" ph="1"/>
    </row>
    <row r="2611" spans="21:21" ht="26.4">
      <c r="U2611" s="85" ph="1"/>
    </row>
    <row r="2612" spans="21:21" ht="26.4">
      <c r="U2612" s="85" ph="1"/>
    </row>
    <row r="2613" spans="21:21" ht="26.4">
      <c r="U2613" s="85" ph="1"/>
    </row>
    <row r="2614" spans="21:21" ht="26.4">
      <c r="U2614" s="85" ph="1"/>
    </row>
    <row r="2615" spans="21:21" ht="26.4">
      <c r="U2615" s="85" ph="1"/>
    </row>
    <row r="2616" spans="21:21" ht="26.4">
      <c r="U2616" s="85" ph="1"/>
    </row>
    <row r="2617" spans="21:21" ht="26.4">
      <c r="U2617" s="85" ph="1"/>
    </row>
    <row r="2618" spans="21:21" ht="26.4">
      <c r="U2618" s="85" ph="1"/>
    </row>
    <row r="2619" spans="21:21" ht="26.4">
      <c r="U2619" s="85" ph="1"/>
    </row>
    <row r="2620" spans="21:21" ht="26.4">
      <c r="U2620" s="85" ph="1"/>
    </row>
    <row r="2621" spans="21:21" ht="26.4">
      <c r="U2621" s="85" ph="1"/>
    </row>
    <row r="2622" spans="21:21" ht="26.4">
      <c r="U2622" s="85" ph="1"/>
    </row>
    <row r="2623" spans="21:21" ht="26.4">
      <c r="U2623" s="85" ph="1"/>
    </row>
    <row r="2624" spans="21:21" ht="26.4">
      <c r="U2624" s="85" ph="1"/>
    </row>
    <row r="2625" spans="21:21" ht="26.4">
      <c r="U2625" s="85" ph="1"/>
    </row>
    <row r="2626" spans="21:21" ht="26.4">
      <c r="U2626" s="85" ph="1"/>
    </row>
    <row r="2627" spans="21:21" ht="26.4">
      <c r="U2627" s="85" ph="1"/>
    </row>
    <row r="2628" spans="21:21" ht="26.4">
      <c r="U2628" s="85" ph="1"/>
    </row>
    <row r="2629" spans="21:21" ht="26.4">
      <c r="U2629" s="85" ph="1"/>
    </row>
    <row r="2630" spans="21:21" ht="26.4">
      <c r="U2630" s="85" ph="1"/>
    </row>
    <row r="2631" spans="21:21" ht="26.4">
      <c r="U2631" s="85" ph="1"/>
    </row>
    <row r="2632" spans="21:21" ht="26.4">
      <c r="U2632" s="85" ph="1"/>
    </row>
    <row r="2633" spans="21:21" ht="26.4">
      <c r="U2633" s="85" ph="1"/>
    </row>
    <row r="2634" spans="21:21" ht="26.4">
      <c r="U2634" s="85" ph="1"/>
    </row>
    <row r="2635" spans="21:21" ht="26.4">
      <c r="U2635" s="85" ph="1"/>
    </row>
    <row r="2636" spans="21:21" ht="26.4">
      <c r="U2636" s="85" ph="1"/>
    </row>
    <row r="2637" spans="21:21" ht="26.4">
      <c r="U2637" s="85" ph="1"/>
    </row>
    <row r="2638" spans="21:21" ht="26.4">
      <c r="U2638" s="85" ph="1"/>
    </row>
    <row r="2639" spans="21:21" ht="26.4">
      <c r="U2639" s="85" ph="1"/>
    </row>
    <row r="2640" spans="21:21" ht="26.4">
      <c r="U2640" s="85" ph="1"/>
    </row>
    <row r="2641" spans="21:21" ht="26.4">
      <c r="U2641" s="85" ph="1"/>
    </row>
    <row r="2642" spans="21:21" ht="26.4">
      <c r="U2642" s="85" ph="1"/>
    </row>
    <row r="2643" spans="21:21" ht="26.4">
      <c r="U2643" s="85" ph="1"/>
    </row>
    <row r="2644" spans="21:21" ht="26.4">
      <c r="U2644" s="85" ph="1"/>
    </row>
    <row r="2645" spans="21:21" ht="26.4">
      <c r="U2645" s="85" ph="1"/>
    </row>
    <row r="2646" spans="21:21" ht="26.4">
      <c r="U2646" s="85" ph="1"/>
    </row>
    <row r="2647" spans="21:21" ht="26.4">
      <c r="U2647" s="85" ph="1"/>
    </row>
    <row r="2648" spans="21:21" ht="26.4">
      <c r="U2648" s="85" ph="1"/>
    </row>
    <row r="2649" spans="21:21" ht="26.4">
      <c r="U2649" s="85" ph="1"/>
    </row>
    <row r="2650" spans="21:21" ht="26.4">
      <c r="U2650" s="85" ph="1"/>
    </row>
    <row r="2651" spans="21:21" ht="26.4">
      <c r="U2651" s="85" ph="1"/>
    </row>
    <row r="2652" spans="21:21" ht="26.4">
      <c r="U2652" s="85" ph="1"/>
    </row>
    <row r="2653" spans="21:21" ht="26.4">
      <c r="U2653" s="85" ph="1"/>
    </row>
    <row r="2654" spans="21:21" ht="26.4">
      <c r="U2654" s="85" ph="1"/>
    </row>
    <row r="2655" spans="21:21" ht="26.4">
      <c r="U2655" s="85" ph="1"/>
    </row>
    <row r="2656" spans="21:21" ht="26.4">
      <c r="U2656" s="85" ph="1"/>
    </row>
    <row r="2657" spans="21:21" ht="26.4">
      <c r="U2657" s="85" ph="1"/>
    </row>
    <row r="2658" spans="21:21" ht="26.4">
      <c r="U2658" s="85" ph="1"/>
    </row>
    <row r="2659" spans="21:21" ht="26.4">
      <c r="U2659" s="85" ph="1"/>
    </row>
    <row r="2660" spans="21:21" ht="26.4">
      <c r="U2660" s="85" ph="1"/>
    </row>
    <row r="2661" spans="21:21" ht="26.4">
      <c r="U2661" s="85" ph="1"/>
    </row>
    <row r="2662" spans="21:21" ht="26.4">
      <c r="U2662" s="85" ph="1"/>
    </row>
    <row r="2663" spans="21:21" ht="26.4">
      <c r="U2663" s="85" ph="1"/>
    </row>
    <row r="2664" spans="21:21" ht="26.4">
      <c r="U2664" s="85" ph="1"/>
    </row>
    <row r="2665" spans="21:21" ht="26.4">
      <c r="U2665" s="85" ph="1"/>
    </row>
    <row r="2666" spans="21:21" ht="26.4">
      <c r="U2666" s="85" ph="1"/>
    </row>
    <row r="2667" spans="21:21" ht="26.4">
      <c r="U2667" s="85" ph="1"/>
    </row>
    <row r="2668" spans="21:21" ht="26.4">
      <c r="U2668" s="85" ph="1"/>
    </row>
    <row r="2669" spans="21:21" ht="26.4">
      <c r="U2669" s="85" ph="1"/>
    </row>
    <row r="2670" spans="21:21" ht="26.4">
      <c r="U2670" s="85" ph="1"/>
    </row>
    <row r="2671" spans="21:21" ht="26.4">
      <c r="U2671" s="85" ph="1"/>
    </row>
    <row r="2672" spans="21:21" ht="26.4">
      <c r="U2672" s="85" ph="1"/>
    </row>
    <row r="2673" spans="21:21" ht="26.4">
      <c r="U2673" s="85" ph="1"/>
    </row>
    <row r="2674" spans="21:21" ht="26.4">
      <c r="U2674" s="85" ph="1"/>
    </row>
    <row r="2675" spans="21:21" ht="26.4">
      <c r="U2675" s="85" ph="1"/>
    </row>
    <row r="2676" spans="21:21" ht="26.4">
      <c r="U2676" s="85" ph="1"/>
    </row>
    <row r="2677" spans="21:21" ht="26.4">
      <c r="U2677" s="85" ph="1"/>
    </row>
    <row r="2678" spans="21:21" ht="26.4">
      <c r="U2678" s="85" ph="1"/>
    </row>
    <row r="2679" spans="21:21" ht="26.4">
      <c r="U2679" s="85" ph="1"/>
    </row>
    <row r="2680" spans="21:21" ht="26.4">
      <c r="U2680" s="85" ph="1"/>
    </row>
    <row r="2681" spans="21:21" ht="26.4">
      <c r="U2681" s="85" ph="1"/>
    </row>
    <row r="2682" spans="21:21" ht="26.4">
      <c r="U2682" s="85" ph="1"/>
    </row>
    <row r="2683" spans="21:21" ht="26.4">
      <c r="U2683" s="85" ph="1"/>
    </row>
    <row r="2684" spans="21:21" ht="26.4">
      <c r="U2684" s="85" ph="1"/>
    </row>
    <row r="2685" spans="21:21" ht="26.4">
      <c r="U2685" s="85" ph="1"/>
    </row>
    <row r="2686" spans="21:21" ht="26.4">
      <c r="U2686" s="85" ph="1"/>
    </row>
    <row r="2687" spans="21:21" ht="26.4">
      <c r="U2687" s="85" ph="1"/>
    </row>
    <row r="2688" spans="21:21" ht="26.4">
      <c r="U2688" s="85" ph="1"/>
    </row>
    <row r="2689" spans="21:21" ht="26.4">
      <c r="U2689" s="85" ph="1"/>
    </row>
    <row r="2690" spans="21:21" ht="26.4">
      <c r="U2690" s="85" ph="1"/>
    </row>
    <row r="2691" spans="21:21" ht="26.4">
      <c r="U2691" s="85" ph="1"/>
    </row>
    <row r="2692" spans="21:21" ht="26.4">
      <c r="U2692" s="85" ph="1"/>
    </row>
    <row r="2693" spans="21:21" ht="26.4">
      <c r="U2693" s="85" ph="1"/>
    </row>
    <row r="2694" spans="21:21" ht="26.4">
      <c r="U2694" s="85" ph="1"/>
    </row>
    <row r="2695" spans="21:21" ht="26.4">
      <c r="U2695" s="85" ph="1"/>
    </row>
    <row r="2696" spans="21:21" ht="26.4">
      <c r="U2696" s="85" ph="1"/>
    </row>
    <row r="2697" spans="21:21" ht="26.4">
      <c r="U2697" s="85" ph="1"/>
    </row>
    <row r="2698" spans="21:21" ht="26.4">
      <c r="U2698" s="85" ph="1"/>
    </row>
    <row r="2699" spans="21:21" ht="26.4">
      <c r="U2699" s="85" ph="1"/>
    </row>
    <row r="2700" spans="21:21" ht="26.4">
      <c r="U2700" s="85" ph="1"/>
    </row>
    <row r="2701" spans="21:21" ht="26.4">
      <c r="U2701" s="85" ph="1"/>
    </row>
    <row r="2702" spans="21:21" ht="26.4">
      <c r="U2702" s="85" ph="1"/>
    </row>
    <row r="2703" spans="21:21" ht="26.4">
      <c r="U2703" s="85" ph="1"/>
    </row>
    <row r="2704" spans="21:21" ht="26.4">
      <c r="U2704" s="85" ph="1"/>
    </row>
    <row r="2705" spans="21:21" ht="26.4">
      <c r="U2705" s="85" ph="1"/>
    </row>
    <row r="2706" spans="21:21" ht="26.4">
      <c r="U2706" s="85" ph="1"/>
    </row>
    <row r="2707" spans="21:21" ht="26.4">
      <c r="U2707" s="85" ph="1"/>
    </row>
    <row r="2708" spans="21:21" ht="26.4">
      <c r="U2708" s="85" ph="1"/>
    </row>
    <row r="2709" spans="21:21" ht="26.4">
      <c r="U2709" s="85" ph="1"/>
    </row>
    <row r="2710" spans="21:21" ht="26.4">
      <c r="U2710" s="85" ph="1"/>
    </row>
    <row r="2711" spans="21:21" ht="26.4">
      <c r="U2711" s="85" ph="1"/>
    </row>
    <row r="2712" spans="21:21" ht="26.4">
      <c r="U2712" s="85" ph="1"/>
    </row>
    <row r="2713" spans="21:21" ht="26.4">
      <c r="U2713" s="85" ph="1"/>
    </row>
    <row r="2714" spans="21:21" ht="26.4">
      <c r="U2714" s="85" ph="1"/>
    </row>
    <row r="2715" spans="21:21" ht="26.4">
      <c r="U2715" s="85" ph="1"/>
    </row>
    <row r="2716" spans="21:21" ht="26.4">
      <c r="U2716" s="85" ph="1"/>
    </row>
    <row r="2717" spans="21:21" ht="26.4">
      <c r="U2717" s="85" ph="1"/>
    </row>
    <row r="2718" spans="21:21" ht="26.4">
      <c r="U2718" s="85" ph="1"/>
    </row>
    <row r="2719" spans="21:21" ht="26.4">
      <c r="U2719" s="85" ph="1"/>
    </row>
    <row r="2720" spans="21:21" ht="26.4">
      <c r="U2720" s="85" ph="1"/>
    </row>
    <row r="2721" spans="21:21" ht="26.4">
      <c r="U2721" s="85" ph="1"/>
    </row>
    <row r="2722" spans="21:21" ht="26.4">
      <c r="U2722" s="85" ph="1"/>
    </row>
    <row r="2723" spans="21:21" ht="26.4">
      <c r="U2723" s="85" ph="1"/>
    </row>
    <row r="2724" spans="21:21" ht="26.4">
      <c r="U2724" s="85" ph="1"/>
    </row>
    <row r="2725" spans="21:21" ht="26.4">
      <c r="U2725" s="85" ph="1"/>
    </row>
    <row r="2726" spans="21:21" ht="26.4">
      <c r="U2726" s="85" ph="1"/>
    </row>
    <row r="2727" spans="21:21" ht="26.4">
      <c r="U2727" s="85" ph="1"/>
    </row>
    <row r="2728" spans="21:21" ht="26.4">
      <c r="U2728" s="85" ph="1"/>
    </row>
    <row r="2729" spans="21:21" ht="26.4">
      <c r="U2729" s="85" ph="1"/>
    </row>
    <row r="2730" spans="21:21" ht="26.4">
      <c r="U2730" s="85" ph="1"/>
    </row>
    <row r="2731" spans="21:21" ht="26.4">
      <c r="U2731" s="85" ph="1"/>
    </row>
    <row r="2732" spans="21:21" ht="26.4">
      <c r="U2732" s="85" ph="1"/>
    </row>
    <row r="2733" spans="21:21" ht="26.4">
      <c r="U2733" s="85" ph="1"/>
    </row>
    <row r="2734" spans="21:21" ht="26.4">
      <c r="U2734" s="85" ph="1"/>
    </row>
    <row r="2735" spans="21:21" ht="26.4">
      <c r="U2735" s="85" ph="1"/>
    </row>
    <row r="2736" spans="21:21" ht="26.4">
      <c r="U2736" s="85" ph="1"/>
    </row>
    <row r="2737" spans="21:21" ht="26.4">
      <c r="U2737" s="85" ph="1"/>
    </row>
    <row r="2738" spans="21:21" ht="26.4">
      <c r="U2738" s="85" ph="1"/>
    </row>
    <row r="2739" spans="21:21" ht="26.4">
      <c r="U2739" s="85" ph="1"/>
    </row>
    <row r="2740" spans="21:21" ht="26.4">
      <c r="U2740" s="85" ph="1"/>
    </row>
    <row r="2741" spans="21:21" ht="26.4">
      <c r="U2741" s="85" ph="1"/>
    </row>
    <row r="2742" spans="21:21" ht="26.4">
      <c r="U2742" s="85" ph="1"/>
    </row>
    <row r="2743" spans="21:21" ht="26.4">
      <c r="U2743" s="85" ph="1"/>
    </row>
    <row r="2744" spans="21:21" ht="26.4">
      <c r="U2744" s="85" ph="1"/>
    </row>
    <row r="2745" spans="21:21" ht="26.4">
      <c r="U2745" s="85" ph="1"/>
    </row>
    <row r="2746" spans="21:21" ht="26.4">
      <c r="U2746" s="85" ph="1"/>
    </row>
    <row r="2747" spans="21:21" ht="26.4">
      <c r="U2747" s="85" ph="1"/>
    </row>
    <row r="2748" spans="21:21" ht="26.4">
      <c r="U2748" s="85" ph="1"/>
    </row>
    <row r="2749" spans="21:21" ht="26.4">
      <c r="U2749" s="85" ph="1"/>
    </row>
    <row r="2750" spans="21:21" ht="26.4">
      <c r="U2750" s="85" ph="1"/>
    </row>
    <row r="2751" spans="21:21" ht="26.4">
      <c r="U2751" s="85" ph="1"/>
    </row>
    <row r="2752" spans="21:21" ht="26.4">
      <c r="U2752" s="85" ph="1"/>
    </row>
    <row r="2753" spans="21:21" ht="26.4">
      <c r="U2753" s="85" ph="1"/>
    </row>
    <row r="2754" spans="21:21" ht="26.4">
      <c r="U2754" s="85" ph="1"/>
    </row>
    <row r="2755" spans="21:21" ht="26.4">
      <c r="U2755" s="85" ph="1"/>
    </row>
    <row r="2756" spans="21:21" ht="26.4">
      <c r="U2756" s="85" ph="1"/>
    </row>
    <row r="2757" spans="21:21" ht="26.4">
      <c r="U2757" s="85" ph="1"/>
    </row>
    <row r="2758" spans="21:21" ht="26.4">
      <c r="U2758" s="85" ph="1"/>
    </row>
    <row r="2759" spans="21:21" ht="26.4">
      <c r="U2759" s="85" ph="1"/>
    </row>
    <row r="2760" spans="21:21" ht="26.4">
      <c r="U2760" s="85" ph="1"/>
    </row>
    <row r="2761" spans="21:21" ht="26.4">
      <c r="U2761" s="85" ph="1"/>
    </row>
    <row r="2762" spans="21:21" ht="26.4">
      <c r="U2762" s="85" ph="1"/>
    </row>
    <row r="2763" spans="21:21" ht="26.4">
      <c r="U2763" s="85" ph="1"/>
    </row>
    <row r="2764" spans="21:21" ht="26.4">
      <c r="U2764" s="85" ph="1"/>
    </row>
    <row r="2765" spans="21:21" ht="26.4">
      <c r="U2765" s="85" ph="1"/>
    </row>
    <row r="2766" spans="21:21" ht="26.4">
      <c r="U2766" s="85" ph="1"/>
    </row>
    <row r="2767" spans="21:21" ht="26.4">
      <c r="U2767" s="85" ph="1"/>
    </row>
    <row r="2768" spans="21:21" ht="26.4">
      <c r="U2768" s="85" ph="1"/>
    </row>
    <row r="2769" spans="21:21" ht="26.4">
      <c r="U2769" s="85" ph="1"/>
    </row>
    <row r="2770" spans="21:21" ht="26.4">
      <c r="U2770" s="85" ph="1"/>
    </row>
    <row r="2771" spans="21:21" ht="26.4">
      <c r="U2771" s="85" ph="1"/>
    </row>
    <row r="2772" spans="21:21" ht="26.4">
      <c r="U2772" s="85" ph="1"/>
    </row>
    <row r="2773" spans="21:21" ht="26.4">
      <c r="U2773" s="85" ph="1"/>
    </row>
    <row r="2774" spans="21:21" ht="26.4">
      <c r="U2774" s="85" ph="1"/>
    </row>
    <row r="2775" spans="21:21" ht="26.4">
      <c r="U2775" s="85" ph="1"/>
    </row>
    <row r="2776" spans="21:21" ht="26.4">
      <c r="U2776" s="85" ph="1"/>
    </row>
    <row r="2777" spans="21:21" ht="26.4">
      <c r="U2777" s="85" ph="1"/>
    </row>
    <row r="2778" spans="21:21" ht="26.4">
      <c r="U2778" s="85" ph="1"/>
    </row>
    <row r="2779" spans="21:21" ht="26.4">
      <c r="U2779" s="85" ph="1"/>
    </row>
    <row r="2780" spans="21:21" ht="26.4">
      <c r="U2780" s="85" ph="1"/>
    </row>
    <row r="2781" spans="21:21" ht="26.4">
      <c r="U2781" s="85" ph="1"/>
    </row>
    <row r="2782" spans="21:21" ht="26.4">
      <c r="U2782" s="85" ph="1"/>
    </row>
    <row r="2783" spans="21:21" ht="26.4">
      <c r="U2783" s="85" ph="1"/>
    </row>
    <row r="2784" spans="21:21" ht="26.4">
      <c r="U2784" s="85" ph="1"/>
    </row>
    <row r="2785" spans="21:21" ht="26.4">
      <c r="U2785" s="85" ph="1"/>
    </row>
    <row r="2786" spans="21:21" ht="26.4">
      <c r="U2786" s="85" ph="1"/>
    </row>
    <row r="2787" spans="21:21" ht="26.4">
      <c r="U2787" s="85" ph="1"/>
    </row>
    <row r="2788" spans="21:21" ht="26.4">
      <c r="U2788" s="85" ph="1"/>
    </row>
    <row r="2789" spans="21:21" ht="26.4">
      <c r="U2789" s="85" ph="1"/>
    </row>
    <row r="2790" spans="21:21" ht="26.4">
      <c r="U2790" s="85" ph="1"/>
    </row>
    <row r="2791" spans="21:21" ht="26.4">
      <c r="U2791" s="85" ph="1"/>
    </row>
    <row r="2792" spans="21:21" ht="26.4">
      <c r="U2792" s="85" ph="1"/>
    </row>
    <row r="2793" spans="21:21" ht="26.4">
      <c r="U2793" s="85" ph="1"/>
    </row>
    <row r="2794" spans="21:21" ht="26.4">
      <c r="U2794" s="85" ph="1"/>
    </row>
    <row r="2795" spans="21:21" ht="26.4">
      <c r="U2795" s="85" ph="1"/>
    </row>
    <row r="2796" spans="21:21" ht="26.4">
      <c r="U2796" s="85" ph="1"/>
    </row>
    <row r="2797" spans="21:21" ht="26.4">
      <c r="U2797" s="85" ph="1"/>
    </row>
    <row r="2798" spans="21:21" ht="26.4">
      <c r="U2798" s="85" ph="1"/>
    </row>
    <row r="2799" spans="21:21" ht="26.4">
      <c r="U2799" s="85" ph="1"/>
    </row>
    <row r="2800" spans="21:21" ht="26.4">
      <c r="U2800" s="85" ph="1"/>
    </row>
    <row r="2801" spans="21:21" ht="26.4">
      <c r="U2801" s="85" ph="1"/>
    </row>
    <row r="2802" spans="21:21" ht="26.4">
      <c r="U2802" s="85" ph="1"/>
    </row>
    <row r="2803" spans="21:21" ht="26.4">
      <c r="U2803" s="85" ph="1"/>
    </row>
    <row r="2804" spans="21:21" ht="26.4">
      <c r="U2804" s="85" ph="1"/>
    </row>
    <row r="2805" spans="21:21" ht="26.4">
      <c r="U2805" s="85" ph="1"/>
    </row>
    <row r="2806" spans="21:21" ht="26.4">
      <c r="U2806" s="85" ph="1"/>
    </row>
    <row r="2807" spans="21:21" ht="26.4">
      <c r="U2807" s="85" ph="1"/>
    </row>
    <row r="2808" spans="21:21" ht="26.4">
      <c r="U2808" s="85" ph="1"/>
    </row>
    <row r="2809" spans="21:21" ht="26.4">
      <c r="U2809" s="85" ph="1"/>
    </row>
    <row r="2810" spans="21:21" ht="26.4">
      <c r="U2810" s="85" ph="1"/>
    </row>
    <row r="2811" spans="21:21" ht="26.4">
      <c r="U2811" s="85" ph="1"/>
    </row>
    <row r="2812" spans="21:21" ht="26.4">
      <c r="U2812" s="85" ph="1"/>
    </row>
    <row r="2813" spans="21:21" ht="26.4">
      <c r="U2813" s="85" ph="1"/>
    </row>
    <row r="2814" spans="21:21" ht="26.4">
      <c r="U2814" s="85" ph="1"/>
    </row>
    <row r="2815" spans="21:21" ht="26.4">
      <c r="U2815" s="85" ph="1"/>
    </row>
    <row r="2816" spans="21:21" ht="26.4">
      <c r="U2816" s="85" ph="1"/>
    </row>
    <row r="2817" spans="21:21" ht="26.4">
      <c r="U2817" s="85" ph="1"/>
    </row>
    <row r="2818" spans="21:21" ht="26.4">
      <c r="U2818" s="85" ph="1"/>
    </row>
    <row r="2819" spans="21:21" ht="26.4">
      <c r="U2819" s="85" ph="1"/>
    </row>
    <row r="2820" spans="21:21" ht="26.4">
      <c r="U2820" s="85" ph="1"/>
    </row>
    <row r="2821" spans="21:21" ht="26.4">
      <c r="U2821" s="85" ph="1"/>
    </row>
    <row r="2822" spans="21:21" ht="26.4">
      <c r="U2822" s="85" ph="1"/>
    </row>
    <row r="2823" spans="21:21" ht="26.4">
      <c r="U2823" s="85" ph="1"/>
    </row>
    <row r="2824" spans="21:21" ht="26.4">
      <c r="U2824" s="85" ph="1"/>
    </row>
    <row r="2825" spans="21:21" ht="26.4">
      <c r="U2825" s="85" ph="1"/>
    </row>
    <row r="2826" spans="21:21" ht="26.4">
      <c r="U2826" s="85" ph="1"/>
    </row>
    <row r="2827" spans="21:21" ht="26.4">
      <c r="U2827" s="85" ph="1"/>
    </row>
    <row r="2828" spans="21:21" ht="26.4">
      <c r="U2828" s="85" ph="1"/>
    </row>
    <row r="2829" spans="21:21" ht="26.4">
      <c r="U2829" s="85" ph="1"/>
    </row>
    <row r="2830" spans="21:21" ht="26.4">
      <c r="U2830" s="85" ph="1"/>
    </row>
    <row r="2831" spans="21:21" ht="26.4">
      <c r="U2831" s="85" ph="1"/>
    </row>
    <row r="2832" spans="21:21" ht="26.4">
      <c r="U2832" s="85" ph="1"/>
    </row>
    <row r="2833" spans="21:21" ht="26.4">
      <c r="U2833" s="85" ph="1"/>
    </row>
    <row r="2834" spans="21:21" ht="26.4">
      <c r="U2834" s="85" ph="1"/>
    </row>
    <row r="2835" spans="21:21" ht="26.4">
      <c r="U2835" s="85" ph="1"/>
    </row>
    <row r="2836" spans="21:21" ht="26.4">
      <c r="U2836" s="85" ph="1"/>
    </row>
    <row r="2837" spans="21:21" ht="26.4">
      <c r="U2837" s="85" ph="1"/>
    </row>
    <row r="2838" spans="21:21" ht="26.4">
      <c r="U2838" s="85" ph="1"/>
    </row>
    <row r="2839" spans="21:21" ht="26.4">
      <c r="U2839" s="85" ph="1"/>
    </row>
    <row r="2840" spans="21:21" ht="26.4">
      <c r="U2840" s="85" ph="1"/>
    </row>
    <row r="2841" spans="21:21" ht="26.4">
      <c r="U2841" s="85" ph="1"/>
    </row>
    <row r="2842" spans="21:21" ht="26.4">
      <c r="U2842" s="85" ph="1"/>
    </row>
    <row r="2843" spans="21:21" ht="26.4">
      <c r="U2843" s="85" ph="1"/>
    </row>
    <row r="2844" spans="21:21" ht="26.4">
      <c r="U2844" s="85" ph="1"/>
    </row>
    <row r="2845" spans="21:21" ht="26.4">
      <c r="U2845" s="85" ph="1"/>
    </row>
    <row r="2846" spans="21:21" ht="26.4">
      <c r="U2846" s="85" ph="1"/>
    </row>
    <row r="2847" spans="21:21" ht="26.4">
      <c r="U2847" s="85" ph="1"/>
    </row>
    <row r="2848" spans="21:21" ht="26.4">
      <c r="U2848" s="85" ph="1"/>
    </row>
    <row r="2849" spans="21:21" ht="26.4">
      <c r="U2849" s="85" ph="1"/>
    </row>
    <row r="2850" spans="21:21" ht="26.4">
      <c r="U2850" s="85" ph="1"/>
    </row>
    <row r="2851" spans="21:21" ht="26.4">
      <c r="U2851" s="85" ph="1"/>
    </row>
    <row r="2852" spans="21:21" ht="26.4">
      <c r="U2852" s="85" ph="1"/>
    </row>
    <row r="2853" spans="21:21" ht="26.4">
      <c r="U2853" s="85" ph="1"/>
    </row>
    <row r="2854" spans="21:21" ht="26.4">
      <c r="U2854" s="85" ph="1"/>
    </row>
    <row r="2855" spans="21:21" ht="26.4">
      <c r="U2855" s="85" ph="1"/>
    </row>
    <row r="2856" spans="21:21" ht="26.4">
      <c r="U2856" s="85" ph="1"/>
    </row>
    <row r="2857" spans="21:21" ht="26.4">
      <c r="U2857" s="85" ph="1"/>
    </row>
    <row r="2858" spans="21:21" ht="26.4">
      <c r="U2858" s="85" ph="1"/>
    </row>
    <row r="2859" spans="21:21" ht="26.4">
      <c r="U2859" s="85" ph="1"/>
    </row>
    <row r="2860" spans="21:21" ht="26.4">
      <c r="U2860" s="85" ph="1"/>
    </row>
    <row r="2861" spans="21:21" ht="26.4">
      <c r="U2861" s="85" ph="1"/>
    </row>
    <row r="2862" spans="21:21" ht="26.4">
      <c r="U2862" s="85" ph="1"/>
    </row>
    <row r="2863" spans="21:21" ht="26.4">
      <c r="U2863" s="85" ph="1"/>
    </row>
    <row r="2864" spans="21:21" ht="26.4">
      <c r="U2864" s="85" ph="1"/>
    </row>
    <row r="2865" spans="21:21" ht="26.4">
      <c r="U2865" s="85" ph="1"/>
    </row>
    <row r="2866" spans="21:21" ht="26.4">
      <c r="U2866" s="85" ph="1"/>
    </row>
    <row r="2867" spans="21:21" ht="26.4">
      <c r="U2867" s="85" ph="1"/>
    </row>
    <row r="2868" spans="21:21" ht="26.4">
      <c r="U2868" s="85" ph="1"/>
    </row>
    <row r="2869" spans="21:21" ht="26.4">
      <c r="U2869" s="85" ph="1"/>
    </row>
    <row r="2870" spans="21:21" ht="26.4">
      <c r="U2870" s="85" ph="1"/>
    </row>
    <row r="2871" spans="21:21" ht="26.4">
      <c r="U2871" s="85" ph="1"/>
    </row>
    <row r="2872" spans="21:21" ht="26.4">
      <c r="U2872" s="85" ph="1"/>
    </row>
    <row r="2873" spans="21:21" ht="26.4">
      <c r="U2873" s="85" ph="1"/>
    </row>
    <row r="2874" spans="21:21" ht="26.4">
      <c r="U2874" s="85" ph="1"/>
    </row>
    <row r="2875" spans="21:21" ht="26.4">
      <c r="U2875" s="85" ph="1"/>
    </row>
    <row r="2876" spans="21:21" ht="26.4">
      <c r="U2876" s="85" ph="1"/>
    </row>
    <row r="2877" spans="21:21" ht="26.4">
      <c r="U2877" s="85" ph="1"/>
    </row>
    <row r="2878" spans="21:21" ht="26.4">
      <c r="U2878" s="85" ph="1"/>
    </row>
    <row r="2879" spans="21:21" ht="26.4">
      <c r="U2879" s="85" ph="1"/>
    </row>
    <row r="2880" spans="21:21" ht="26.4">
      <c r="U2880" s="85" ph="1"/>
    </row>
    <row r="2881" spans="21:21" ht="26.4">
      <c r="U2881" s="85" ph="1"/>
    </row>
    <row r="2882" spans="21:21" ht="26.4">
      <c r="U2882" s="85" ph="1"/>
    </row>
    <row r="2883" spans="21:21" ht="26.4">
      <c r="U2883" s="85" ph="1"/>
    </row>
    <row r="2884" spans="21:21" ht="26.4">
      <c r="U2884" s="85" ph="1"/>
    </row>
    <row r="2885" spans="21:21" ht="26.4">
      <c r="U2885" s="85" ph="1"/>
    </row>
    <row r="2886" spans="21:21" ht="26.4">
      <c r="U2886" s="85" ph="1"/>
    </row>
    <row r="2887" spans="21:21" ht="26.4">
      <c r="U2887" s="85" ph="1"/>
    </row>
    <row r="2888" spans="21:21" ht="26.4">
      <c r="U2888" s="85" ph="1"/>
    </row>
    <row r="2889" spans="21:21" ht="26.4">
      <c r="U2889" s="85" ph="1"/>
    </row>
    <row r="2890" spans="21:21" ht="26.4">
      <c r="U2890" s="85" ph="1"/>
    </row>
    <row r="2891" spans="21:21" ht="26.4">
      <c r="U2891" s="85" ph="1"/>
    </row>
    <row r="2892" spans="21:21" ht="26.4">
      <c r="U2892" s="85" ph="1"/>
    </row>
    <row r="2893" spans="21:21" ht="26.4">
      <c r="U2893" s="85" ph="1"/>
    </row>
    <row r="2894" spans="21:21" ht="26.4">
      <c r="U2894" s="85" ph="1"/>
    </row>
    <row r="2895" spans="21:21" ht="26.4">
      <c r="U2895" s="85" ph="1"/>
    </row>
    <row r="2896" spans="21:21" ht="26.4">
      <c r="U2896" s="85" ph="1"/>
    </row>
    <row r="2897" spans="21:21" ht="26.4">
      <c r="U2897" s="85" ph="1"/>
    </row>
    <row r="2898" spans="21:21" ht="26.4">
      <c r="U2898" s="85" ph="1"/>
    </row>
    <row r="2899" spans="21:21" ht="26.4">
      <c r="U2899" s="85" ph="1"/>
    </row>
    <row r="2900" spans="21:21" ht="26.4">
      <c r="U2900" s="85" ph="1"/>
    </row>
    <row r="2901" spans="21:21" ht="26.4">
      <c r="U2901" s="85" ph="1"/>
    </row>
    <row r="2902" spans="21:21" ht="26.4">
      <c r="U2902" s="85" ph="1"/>
    </row>
    <row r="2903" spans="21:21" ht="26.4">
      <c r="U2903" s="85" ph="1"/>
    </row>
    <row r="2904" spans="21:21" ht="26.4">
      <c r="U2904" s="85" ph="1"/>
    </row>
    <row r="2905" spans="21:21" ht="26.4">
      <c r="U2905" s="85" ph="1"/>
    </row>
    <row r="2906" spans="21:21" ht="26.4">
      <c r="U2906" s="85" ph="1"/>
    </row>
    <row r="2907" spans="21:21" ht="26.4">
      <c r="U2907" s="85" ph="1"/>
    </row>
    <row r="2908" spans="21:21" ht="26.4">
      <c r="U2908" s="85" ph="1"/>
    </row>
    <row r="2909" spans="21:21" ht="26.4">
      <c r="U2909" s="85" ph="1"/>
    </row>
    <row r="2910" spans="21:21" ht="26.4">
      <c r="U2910" s="85" ph="1"/>
    </row>
    <row r="2911" spans="21:21" ht="26.4">
      <c r="U2911" s="85" ph="1"/>
    </row>
    <row r="2912" spans="21:21" ht="26.4">
      <c r="U2912" s="85" ph="1"/>
    </row>
    <row r="2913" spans="21:21" ht="26.4">
      <c r="U2913" s="85" ph="1"/>
    </row>
    <row r="2914" spans="21:21" ht="26.4">
      <c r="U2914" s="85" ph="1"/>
    </row>
    <row r="2915" spans="21:21" ht="26.4">
      <c r="U2915" s="85" ph="1"/>
    </row>
    <row r="2916" spans="21:21" ht="26.4">
      <c r="U2916" s="85" ph="1"/>
    </row>
    <row r="2917" spans="21:21" ht="26.4">
      <c r="U2917" s="85" ph="1"/>
    </row>
    <row r="2918" spans="21:21" ht="26.4">
      <c r="U2918" s="85" ph="1"/>
    </row>
    <row r="2919" spans="21:21" ht="26.4">
      <c r="U2919" s="85" ph="1"/>
    </row>
    <row r="2920" spans="21:21" ht="26.4">
      <c r="U2920" s="85" ph="1"/>
    </row>
    <row r="2921" spans="21:21" ht="26.4">
      <c r="U2921" s="85" ph="1"/>
    </row>
    <row r="2922" spans="21:21" ht="26.4">
      <c r="U2922" s="85" ph="1"/>
    </row>
    <row r="2923" spans="21:21" ht="26.4">
      <c r="U2923" s="85" ph="1"/>
    </row>
    <row r="2924" spans="21:21" ht="26.4">
      <c r="U2924" s="85" ph="1"/>
    </row>
    <row r="2925" spans="21:21" ht="26.4">
      <c r="U2925" s="85" ph="1"/>
    </row>
    <row r="2926" spans="21:21" ht="26.4">
      <c r="U2926" s="85" ph="1"/>
    </row>
    <row r="2927" spans="21:21" ht="26.4">
      <c r="U2927" s="85" ph="1"/>
    </row>
    <row r="2928" spans="21:21" ht="26.4">
      <c r="U2928" s="85" ph="1"/>
    </row>
    <row r="2929" spans="21:21" ht="26.4">
      <c r="U2929" s="85" ph="1"/>
    </row>
    <row r="2930" spans="21:21" ht="26.4">
      <c r="U2930" s="85" ph="1"/>
    </row>
    <row r="2931" spans="21:21" ht="26.4">
      <c r="U2931" s="85" ph="1"/>
    </row>
    <row r="2932" spans="21:21" ht="26.4">
      <c r="U2932" s="85" ph="1"/>
    </row>
    <row r="2933" spans="21:21" ht="26.4">
      <c r="U2933" s="85" ph="1"/>
    </row>
    <row r="2934" spans="21:21" ht="26.4">
      <c r="U2934" s="85" ph="1"/>
    </row>
    <row r="2935" spans="21:21" ht="26.4">
      <c r="U2935" s="85" ph="1"/>
    </row>
    <row r="2936" spans="21:21" ht="26.4">
      <c r="U2936" s="85" ph="1"/>
    </row>
    <row r="2937" spans="21:21" ht="26.4">
      <c r="U2937" s="85" ph="1"/>
    </row>
    <row r="2938" spans="21:21" ht="26.4">
      <c r="U2938" s="85" ph="1"/>
    </row>
    <row r="2939" spans="21:21" ht="26.4">
      <c r="U2939" s="85" ph="1"/>
    </row>
    <row r="2940" spans="21:21" ht="26.4">
      <c r="U2940" s="85" ph="1"/>
    </row>
    <row r="2941" spans="21:21" ht="26.4">
      <c r="U2941" s="85" ph="1"/>
    </row>
    <row r="2942" spans="21:21" ht="26.4">
      <c r="U2942" s="85" ph="1"/>
    </row>
    <row r="2943" spans="21:21" ht="26.4">
      <c r="U2943" s="85" ph="1"/>
    </row>
    <row r="2944" spans="21:21" ht="26.4">
      <c r="U2944" s="85" ph="1"/>
    </row>
    <row r="2945" spans="21:21" ht="26.4">
      <c r="U2945" s="85" ph="1"/>
    </row>
    <row r="2946" spans="21:21" ht="26.4">
      <c r="U2946" s="85" ph="1"/>
    </row>
    <row r="2947" spans="21:21" ht="26.4">
      <c r="U2947" s="85" ph="1"/>
    </row>
    <row r="2948" spans="21:21" ht="26.4">
      <c r="U2948" s="85" ph="1"/>
    </row>
    <row r="2949" spans="21:21" ht="26.4">
      <c r="U2949" s="85" ph="1"/>
    </row>
    <row r="2950" spans="21:21" ht="26.4">
      <c r="U2950" s="85" ph="1"/>
    </row>
    <row r="2951" spans="21:21" ht="26.4">
      <c r="U2951" s="85" ph="1"/>
    </row>
    <row r="2952" spans="21:21" ht="26.4">
      <c r="U2952" s="85" ph="1"/>
    </row>
    <row r="2953" spans="21:21" ht="26.4">
      <c r="U2953" s="85" ph="1"/>
    </row>
    <row r="2954" spans="21:21" ht="26.4">
      <c r="U2954" s="85" ph="1"/>
    </row>
    <row r="2955" spans="21:21" ht="26.4">
      <c r="U2955" s="85" ph="1"/>
    </row>
    <row r="2956" spans="21:21" ht="26.4">
      <c r="U2956" s="85" ph="1"/>
    </row>
    <row r="2957" spans="21:21" ht="26.4">
      <c r="U2957" s="85" ph="1"/>
    </row>
    <row r="2958" spans="21:21" ht="26.4">
      <c r="U2958" s="85" ph="1"/>
    </row>
    <row r="2959" spans="21:21" ht="26.4">
      <c r="U2959" s="85" ph="1"/>
    </row>
    <row r="2960" spans="21:21" ht="26.4">
      <c r="U2960" s="85" ph="1"/>
    </row>
    <row r="2961" spans="21:21" ht="26.4">
      <c r="U2961" s="85" ph="1"/>
    </row>
    <row r="2962" spans="21:21" ht="26.4">
      <c r="U2962" s="85" ph="1"/>
    </row>
    <row r="2963" spans="21:21" ht="26.4">
      <c r="U2963" s="85" ph="1"/>
    </row>
    <row r="2964" spans="21:21" ht="26.4">
      <c r="U2964" s="85" ph="1"/>
    </row>
    <row r="2965" spans="21:21" ht="26.4">
      <c r="U2965" s="85" ph="1"/>
    </row>
    <row r="2966" spans="21:21" ht="26.4">
      <c r="U2966" s="85" ph="1"/>
    </row>
    <row r="2967" spans="21:21" ht="26.4">
      <c r="U2967" s="85" ph="1"/>
    </row>
    <row r="2968" spans="21:21" ht="26.4">
      <c r="U2968" s="85" ph="1"/>
    </row>
    <row r="2969" spans="21:21" ht="26.4">
      <c r="U2969" s="85" ph="1"/>
    </row>
    <row r="2970" spans="21:21" ht="26.4">
      <c r="U2970" s="85" ph="1"/>
    </row>
    <row r="2971" spans="21:21" ht="26.4">
      <c r="U2971" s="85" ph="1"/>
    </row>
    <row r="2972" spans="21:21" ht="26.4">
      <c r="U2972" s="85" ph="1"/>
    </row>
    <row r="2973" spans="21:21" ht="26.4">
      <c r="U2973" s="85" ph="1"/>
    </row>
    <row r="2974" spans="21:21" ht="26.4">
      <c r="U2974" s="85" ph="1"/>
    </row>
    <row r="2975" spans="21:21" ht="26.4">
      <c r="U2975" s="85" ph="1"/>
    </row>
    <row r="2976" spans="21:21" ht="26.4">
      <c r="U2976" s="85" ph="1"/>
    </row>
    <row r="2977" spans="21:21" ht="26.4">
      <c r="U2977" s="85" ph="1"/>
    </row>
    <row r="2978" spans="21:21" ht="26.4">
      <c r="U2978" s="85" ph="1"/>
    </row>
    <row r="2979" spans="21:21" ht="26.4">
      <c r="U2979" s="85" ph="1"/>
    </row>
    <row r="2980" spans="21:21" ht="26.4">
      <c r="U2980" s="85" ph="1"/>
    </row>
    <row r="2981" spans="21:21" ht="26.4">
      <c r="U2981" s="85" ph="1"/>
    </row>
    <row r="2982" spans="21:21" ht="26.4">
      <c r="U2982" s="85" ph="1"/>
    </row>
    <row r="2983" spans="21:21" ht="26.4">
      <c r="U2983" s="85" ph="1"/>
    </row>
    <row r="2984" spans="21:21" ht="26.4">
      <c r="U2984" s="85" ph="1"/>
    </row>
    <row r="2985" spans="21:21" ht="26.4">
      <c r="U2985" s="85" ph="1"/>
    </row>
    <row r="2986" spans="21:21" ht="26.4">
      <c r="U2986" s="85" ph="1"/>
    </row>
    <row r="2987" spans="21:21" ht="26.4">
      <c r="U2987" s="85" ph="1"/>
    </row>
    <row r="2988" spans="21:21" ht="26.4">
      <c r="U2988" s="85" ph="1"/>
    </row>
    <row r="2989" spans="21:21" ht="26.4">
      <c r="U2989" s="85" ph="1"/>
    </row>
    <row r="2990" spans="21:21" ht="26.4">
      <c r="U2990" s="85" ph="1"/>
    </row>
    <row r="2991" spans="21:21" ht="26.4">
      <c r="U2991" s="85" ph="1"/>
    </row>
    <row r="2992" spans="21:21" ht="26.4">
      <c r="U2992" s="85" ph="1"/>
    </row>
    <row r="2993" spans="21:21" ht="26.4">
      <c r="U2993" s="85" ph="1"/>
    </row>
    <row r="2994" spans="21:21" ht="26.4">
      <c r="U2994" s="85" ph="1"/>
    </row>
    <row r="2995" spans="21:21" ht="26.4">
      <c r="U2995" s="85" ph="1"/>
    </row>
    <row r="2996" spans="21:21" ht="26.4">
      <c r="U2996" s="85" ph="1"/>
    </row>
    <row r="2997" spans="21:21" ht="26.4">
      <c r="U2997" s="85" ph="1"/>
    </row>
    <row r="2998" spans="21:21" ht="26.4">
      <c r="U2998" s="85" ph="1"/>
    </row>
    <row r="2999" spans="21:21" ht="26.4">
      <c r="U2999" s="85" ph="1"/>
    </row>
    <row r="3000" spans="21:21" ht="26.4">
      <c r="U3000" s="85" ph="1"/>
    </row>
    <row r="3001" spans="21:21" ht="26.4">
      <c r="U3001" s="85" ph="1"/>
    </row>
    <row r="3002" spans="21:21" ht="26.4">
      <c r="U3002" s="85" ph="1"/>
    </row>
    <row r="3003" spans="21:21" ht="26.4">
      <c r="U3003" s="85" ph="1"/>
    </row>
    <row r="3004" spans="21:21" ht="26.4">
      <c r="U3004" s="85" ph="1"/>
    </row>
    <row r="3005" spans="21:21" ht="26.4">
      <c r="U3005" s="85" ph="1"/>
    </row>
    <row r="3006" spans="21:21" ht="26.4">
      <c r="U3006" s="85" ph="1"/>
    </row>
    <row r="3007" spans="21:21" ht="26.4">
      <c r="U3007" s="85" ph="1"/>
    </row>
    <row r="3008" spans="21:21" ht="26.4">
      <c r="U3008" s="85" ph="1"/>
    </row>
    <row r="3009" spans="21:21" ht="26.4">
      <c r="U3009" s="85" ph="1"/>
    </row>
    <row r="3010" spans="21:21" ht="26.4">
      <c r="U3010" s="85" ph="1"/>
    </row>
    <row r="3011" spans="21:21" ht="26.4">
      <c r="U3011" s="85" ph="1"/>
    </row>
    <row r="3012" spans="21:21" ht="26.4">
      <c r="U3012" s="85" ph="1"/>
    </row>
    <row r="3013" spans="21:21" ht="26.4">
      <c r="U3013" s="85" ph="1"/>
    </row>
    <row r="3014" spans="21:21" ht="26.4">
      <c r="U3014" s="85" ph="1"/>
    </row>
    <row r="3015" spans="21:21" ht="26.4">
      <c r="U3015" s="85" ph="1"/>
    </row>
    <row r="3016" spans="21:21" ht="26.4">
      <c r="U3016" s="85" ph="1"/>
    </row>
    <row r="3017" spans="21:21" ht="26.4">
      <c r="U3017" s="85" ph="1"/>
    </row>
    <row r="3018" spans="21:21" ht="26.4">
      <c r="U3018" s="85" ph="1"/>
    </row>
    <row r="3019" spans="21:21" ht="26.4">
      <c r="U3019" s="85" ph="1"/>
    </row>
    <row r="3020" spans="21:21" ht="26.4">
      <c r="U3020" s="85" ph="1"/>
    </row>
    <row r="3021" spans="21:21" ht="26.4">
      <c r="U3021" s="85" ph="1"/>
    </row>
    <row r="3022" spans="21:21" ht="26.4">
      <c r="U3022" s="85" ph="1"/>
    </row>
    <row r="3023" spans="21:21" ht="26.4">
      <c r="U3023" s="85" ph="1"/>
    </row>
    <row r="3024" spans="21:21" ht="26.4">
      <c r="U3024" s="85" ph="1"/>
    </row>
    <row r="3025" spans="21:21" ht="26.4">
      <c r="U3025" s="85" ph="1"/>
    </row>
    <row r="3026" spans="21:21" ht="26.4">
      <c r="U3026" s="85" ph="1"/>
    </row>
    <row r="3027" spans="21:21" ht="26.4">
      <c r="U3027" s="85" ph="1"/>
    </row>
    <row r="3028" spans="21:21" ht="26.4">
      <c r="U3028" s="85" ph="1"/>
    </row>
    <row r="3029" spans="21:21" ht="26.4">
      <c r="U3029" s="85" ph="1"/>
    </row>
    <row r="3030" spans="21:21" ht="26.4">
      <c r="U3030" s="85" ph="1"/>
    </row>
    <row r="3031" spans="21:21" ht="26.4">
      <c r="U3031" s="85" ph="1"/>
    </row>
    <row r="3032" spans="21:21" ht="26.4">
      <c r="U3032" s="85" ph="1"/>
    </row>
    <row r="3033" spans="21:21" ht="26.4">
      <c r="U3033" s="85" ph="1"/>
    </row>
    <row r="3034" spans="21:21" ht="26.4">
      <c r="U3034" s="85" ph="1"/>
    </row>
    <row r="3035" spans="21:21" ht="26.4">
      <c r="U3035" s="85" ph="1"/>
    </row>
    <row r="3036" spans="21:21" ht="26.4">
      <c r="U3036" s="85" ph="1"/>
    </row>
    <row r="3037" spans="21:21" ht="26.4">
      <c r="U3037" s="85" ph="1"/>
    </row>
    <row r="3038" spans="21:21" ht="26.4">
      <c r="U3038" s="85" ph="1"/>
    </row>
    <row r="3039" spans="21:21" ht="26.4">
      <c r="U3039" s="85" ph="1"/>
    </row>
    <row r="3040" spans="21:21" ht="26.4">
      <c r="U3040" s="85" ph="1"/>
    </row>
    <row r="3041" spans="21:21" ht="26.4">
      <c r="U3041" s="85" ph="1"/>
    </row>
    <row r="3042" spans="21:21" ht="26.4">
      <c r="U3042" s="85" ph="1"/>
    </row>
    <row r="3043" spans="21:21" ht="26.4">
      <c r="U3043" s="85" ph="1"/>
    </row>
    <row r="3044" spans="21:21" ht="26.4">
      <c r="U3044" s="85" ph="1"/>
    </row>
    <row r="3045" spans="21:21" ht="26.4">
      <c r="U3045" s="85" ph="1"/>
    </row>
    <row r="3046" spans="21:21" ht="26.4">
      <c r="U3046" s="85" ph="1"/>
    </row>
    <row r="3047" spans="21:21" ht="26.4">
      <c r="U3047" s="85" ph="1"/>
    </row>
    <row r="3048" spans="21:21" ht="26.4">
      <c r="U3048" s="85" ph="1"/>
    </row>
    <row r="3049" spans="21:21" ht="26.4">
      <c r="U3049" s="85" ph="1"/>
    </row>
    <row r="3050" spans="21:21" ht="26.4">
      <c r="U3050" s="85" ph="1"/>
    </row>
    <row r="3051" spans="21:21" ht="26.4">
      <c r="U3051" s="85" ph="1"/>
    </row>
    <row r="3052" spans="21:21" ht="26.4">
      <c r="U3052" s="85" ph="1"/>
    </row>
    <row r="3053" spans="21:21" ht="26.4">
      <c r="U3053" s="85" ph="1"/>
    </row>
    <row r="3054" spans="21:21" ht="26.4">
      <c r="U3054" s="85" ph="1"/>
    </row>
    <row r="3055" spans="21:21" ht="26.4">
      <c r="U3055" s="85" ph="1"/>
    </row>
    <row r="3056" spans="21:21" ht="26.4">
      <c r="U3056" s="85" ph="1"/>
    </row>
    <row r="3057" spans="21:21" ht="26.4">
      <c r="U3057" s="85" ph="1"/>
    </row>
    <row r="3058" spans="21:21" ht="26.4">
      <c r="U3058" s="85" ph="1"/>
    </row>
    <row r="3059" spans="21:21" ht="26.4">
      <c r="U3059" s="85" ph="1"/>
    </row>
    <row r="3060" spans="21:21" ht="26.4">
      <c r="U3060" s="85" ph="1"/>
    </row>
    <row r="3061" spans="21:21" ht="26.4">
      <c r="U3061" s="85" ph="1"/>
    </row>
    <row r="3062" spans="21:21" ht="26.4">
      <c r="U3062" s="85" ph="1"/>
    </row>
    <row r="3063" spans="21:21" ht="26.4">
      <c r="U3063" s="85" ph="1"/>
    </row>
    <row r="3064" spans="21:21" ht="26.4">
      <c r="U3064" s="85" ph="1"/>
    </row>
    <row r="3065" spans="21:21" ht="26.4">
      <c r="U3065" s="85" ph="1"/>
    </row>
    <row r="3066" spans="21:21" ht="26.4">
      <c r="U3066" s="85" ph="1"/>
    </row>
    <row r="3067" spans="21:21" ht="26.4">
      <c r="U3067" s="85" ph="1"/>
    </row>
    <row r="3068" spans="21:21" ht="26.4">
      <c r="U3068" s="85" ph="1"/>
    </row>
    <row r="3069" spans="21:21" ht="26.4">
      <c r="U3069" s="85" ph="1"/>
    </row>
    <row r="3070" spans="21:21" ht="26.4">
      <c r="U3070" s="85" ph="1"/>
    </row>
    <row r="3071" spans="21:21" ht="26.4">
      <c r="U3071" s="85" ph="1"/>
    </row>
    <row r="3072" spans="21:21" ht="26.4">
      <c r="U3072" s="85" ph="1"/>
    </row>
    <row r="3073" spans="21:21" ht="26.4">
      <c r="U3073" s="85" ph="1"/>
    </row>
    <row r="3074" spans="21:21" ht="26.4">
      <c r="U3074" s="85" ph="1"/>
    </row>
    <row r="3075" spans="21:21" ht="26.4">
      <c r="U3075" s="85" ph="1"/>
    </row>
    <row r="3076" spans="21:21" ht="26.4">
      <c r="U3076" s="85" ph="1"/>
    </row>
    <row r="3077" spans="21:21" ht="26.4">
      <c r="U3077" s="85" ph="1"/>
    </row>
    <row r="3078" spans="21:21" ht="26.4">
      <c r="U3078" s="85" ph="1"/>
    </row>
    <row r="3079" spans="21:21" ht="26.4">
      <c r="U3079" s="85" ph="1"/>
    </row>
    <row r="3080" spans="21:21" ht="26.4">
      <c r="U3080" s="85" ph="1"/>
    </row>
    <row r="3081" spans="21:21" ht="26.4">
      <c r="U3081" s="85" ph="1"/>
    </row>
    <row r="3082" spans="21:21" ht="26.4">
      <c r="U3082" s="85" ph="1"/>
    </row>
    <row r="3083" spans="21:21" ht="26.4">
      <c r="U3083" s="85" ph="1"/>
    </row>
    <row r="3084" spans="21:21" ht="26.4">
      <c r="U3084" s="85" ph="1"/>
    </row>
    <row r="3085" spans="21:21" ht="26.4">
      <c r="U3085" s="85" ph="1"/>
    </row>
    <row r="3086" spans="21:21" ht="26.4">
      <c r="U3086" s="85" ph="1"/>
    </row>
    <row r="3087" spans="21:21" ht="26.4">
      <c r="U3087" s="85" ph="1"/>
    </row>
    <row r="3088" spans="21:21" ht="26.4">
      <c r="U3088" s="85" ph="1"/>
    </row>
    <row r="3089" spans="21:21" ht="26.4">
      <c r="U3089" s="85" ph="1"/>
    </row>
    <row r="3090" spans="21:21" ht="26.4">
      <c r="U3090" s="85" ph="1"/>
    </row>
    <row r="3091" spans="21:21" ht="26.4">
      <c r="U3091" s="85" ph="1"/>
    </row>
    <row r="3092" spans="21:21" ht="26.4">
      <c r="U3092" s="85" ph="1"/>
    </row>
    <row r="3093" spans="21:21" ht="26.4">
      <c r="U3093" s="85" ph="1"/>
    </row>
    <row r="3094" spans="21:21" ht="26.4">
      <c r="U3094" s="85" ph="1"/>
    </row>
    <row r="3095" spans="21:21" ht="26.4">
      <c r="U3095" s="85" ph="1"/>
    </row>
    <row r="3096" spans="21:21" ht="26.4">
      <c r="U3096" s="85" ph="1"/>
    </row>
    <row r="3097" spans="21:21" ht="26.4">
      <c r="U3097" s="85" ph="1"/>
    </row>
    <row r="3098" spans="21:21" ht="26.4">
      <c r="U3098" s="85" ph="1"/>
    </row>
    <row r="3099" spans="21:21" ht="26.4">
      <c r="U3099" s="85" ph="1"/>
    </row>
    <row r="3100" spans="21:21" ht="26.4">
      <c r="U3100" s="85" ph="1"/>
    </row>
    <row r="3101" spans="21:21" ht="26.4">
      <c r="U3101" s="85" ph="1"/>
    </row>
    <row r="3102" spans="21:21" ht="26.4">
      <c r="U3102" s="85" ph="1"/>
    </row>
    <row r="3103" spans="21:21" ht="26.4">
      <c r="U3103" s="85" ph="1"/>
    </row>
    <row r="3104" spans="21:21" ht="26.4">
      <c r="U3104" s="85" ph="1"/>
    </row>
    <row r="3105" spans="21:21" ht="26.4">
      <c r="U3105" s="85" ph="1"/>
    </row>
    <row r="3106" spans="21:21" ht="26.4">
      <c r="U3106" s="85" ph="1"/>
    </row>
    <row r="3107" spans="21:21" ht="26.4">
      <c r="U3107" s="85" ph="1"/>
    </row>
    <row r="3108" spans="21:21" ht="26.4">
      <c r="U3108" s="85" ph="1"/>
    </row>
    <row r="3109" spans="21:21" ht="26.4">
      <c r="U3109" s="85" ph="1"/>
    </row>
    <row r="3110" spans="21:21" ht="26.4">
      <c r="U3110" s="85" ph="1"/>
    </row>
    <row r="3111" spans="21:21" ht="26.4">
      <c r="U3111" s="85" ph="1"/>
    </row>
    <row r="3112" spans="21:21" ht="26.4">
      <c r="U3112" s="85" ph="1"/>
    </row>
    <row r="3113" spans="21:21" ht="26.4">
      <c r="U3113" s="85" ph="1"/>
    </row>
    <row r="3114" spans="21:21" ht="26.4">
      <c r="U3114" s="85" ph="1"/>
    </row>
    <row r="3115" spans="21:21" ht="26.4">
      <c r="U3115" s="85" ph="1"/>
    </row>
    <row r="3116" spans="21:21" ht="26.4">
      <c r="U3116" s="85" ph="1"/>
    </row>
    <row r="3117" spans="21:21" ht="26.4">
      <c r="U3117" s="85" ph="1"/>
    </row>
    <row r="3118" spans="21:21" ht="26.4">
      <c r="U3118" s="85" ph="1"/>
    </row>
    <row r="3119" spans="21:21" ht="26.4">
      <c r="U3119" s="85" ph="1"/>
    </row>
    <row r="3120" spans="21:21" ht="26.4">
      <c r="U3120" s="85" ph="1"/>
    </row>
    <row r="3121" spans="21:21" ht="26.4">
      <c r="U3121" s="85" ph="1"/>
    </row>
    <row r="3122" spans="21:21" ht="26.4">
      <c r="U3122" s="85" ph="1"/>
    </row>
    <row r="3123" spans="21:21" ht="26.4">
      <c r="U3123" s="85" ph="1"/>
    </row>
    <row r="3124" spans="21:21" ht="26.4">
      <c r="U3124" s="85" ph="1"/>
    </row>
    <row r="3125" spans="21:21" ht="26.4">
      <c r="U3125" s="85" ph="1"/>
    </row>
    <row r="3126" spans="21:21" ht="26.4">
      <c r="U3126" s="85" ph="1"/>
    </row>
    <row r="3127" spans="21:21" ht="26.4">
      <c r="U3127" s="85" ph="1"/>
    </row>
    <row r="3128" spans="21:21" ht="26.4">
      <c r="U3128" s="85" ph="1"/>
    </row>
    <row r="3129" spans="21:21" ht="26.4">
      <c r="U3129" s="85" ph="1"/>
    </row>
    <row r="3130" spans="21:21" ht="26.4">
      <c r="U3130" s="85" ph="1"/>
    </row>
    <row r="3131" spans="21:21" ht="26.4">
      <c r="U3131" s="85" ph="1"/>
    </row>
    <row r="3132" spans="21:21" ht="26.4">
      <c r="U3132" s="85" ph="1"/>
    </row>
    <row r="3133" spans="21:21" ht="26.4">
      <c r="U3133" s="85" ph="1"/>
    </row>
    <row r="3134" spans="21:21" ht="26.4">
      <c r="U3134" s="85" ph="1"/>
    </row>
    <row r="3135" spans="21:21" ht="26.4">
      <c r="U3135" s="85" ph="1"/>
    </row>
    <row r="3136" spans="21:21" ht="26.4">
      <c r="U3136" s="85" ph="1"/>
    </row>
    <row r="3137" spans="21:21" ht="26.4">
      <c r="U3137" s="85" ph="1"/>
    </row>
    <row r="3138" spans="21:21" ht="26.4">
      <c r="U3138" s="85" ph="1"/>
    </row>
    <row r="3139" spans="21:21" ht="26.4">
      <c r="U3139" s="85" ph="1"/>
    </row>
    <row r="3140" spans="21:21" ht="26.4">
      <c r="U3140" s="85" ph="1"/>
    </row>
    <row r="3141" spans="21:21" ht="26.4">
      <c r="U3141" s="85" ph="1"/>
    </row>
    <row r="3142" spans="21:21" ht="26.4">
      <c r="U3142" s="85" ph="1"/>
    </row>
    <row r="3143" spans="21:21" ht="26.4">
      <c r="U3143" s="85" ph="1"/>
    </row>
    <row r="3144" spans="21:21" ht="26.4">
      <c r="U3144" s="85" ph="1"/>
    </row>
    <row r="3145" spans="21:21" ht="26.4">
      <c r="U3145" s="85" ph="1"/>
    </row>
    <row r="3146" spans="21:21" ht="26.4">
      <c r="U3146" s="85" ph="1"/>
    </row>
    <row r="3147" spans="21:21" ht="26.4">
      <c r="U3147" s="85" ph="1"/>
    </row>
    <row r="3148" spans="21:21" ht="26.4">
      <c r="U3148" s="85" ph="1"/>
    </row>
    <row r="3149" spans="21:21" ht="26.4">
      <c r="U3149" s="85" ph="1"/>
    </row>
    <row r="3150" spans="21:21" ht="26.4">
      <c r="U3150" s="85" ph="1"/>
    </row>
    <row r="3151" spans="21:21" ht="26.4">
      <c r="U3151" s="85" ph="1"/>
    </row>
    <row r="3152" spans="21:21" ht="26.4">
      <c r="U3152" s="85" ph="1"/>
    </row>
    <row r="3153" spans="21:21" ht="26.4">
      <c r="U3153" s="85" ph="1"/>
    </row>
    <row r="3154" spans="21:21" ht="26.4">
      <c r="U3154" s="85" ph="1"/>
    </row>
    <row r="3155" spans="21:21" ht="26.4">
      <c r="U3155" s="85" ph="1"/>
    </row>
    <row r="3156" spans="21:21" ht="26.4">
      <c r="U3156" s="85" ph="1"/>
    </row>
    <row r="3157" spans="21:21" ht="26.4">
      <c r="U3157" s="85" ph="1"/>
    </row>
    <row r="3158" spans="21:21" ht="26.4">
      <c r="U3158" s="85" ph="1"/>
    </row>
    <row r="3159" spans="21:21" ht="26.4">
      <c r="U3159" s="85" ph="1"/>
    </row>
    <row r="3160" spans="21:21" ht="26.4">
      <c r="U3160" s="85" ph="1"/>
    </row>
    <row r="3161" spans="21:21" ht="26.4">
      <c r="U3161" s="85" ph="1"/>
    </row>
    <row r="3162" spans="21:21" ht="26.4">
      <c r="U3162" s="85" ph="1"/>
    </row>
    <row r="3163" spans="21:21" ht="26.4">
      <c r="U3163" s="85" ph="1"/>
    </row>
    <row r="3164" spans="21:21" ht="26.4">
      <c r="U3164" s="85" ph="1"/>
    </row>
    <row r="3165" spans="21:21" ht="26.4">
      <c r="U3165" s="85" ph="1"/>
    </row>
    <row r="3166" spans="21:21" ht="26.4">
      <c r="U3166" s="85" ph="1"/>
    </row>
    <row r="3167" spans="21:21" ht="26.4">
      <c r="U3167" s="85" ph="1"/>
    </row>
    <row r="3168" spans="21:21" ht="26.4">
      <c r="U3168" s="85" ph="1"/>
    </row>
    <row r="3169" spans="21:21" ht="26.4">
      <c r="U3169" s="85" ph="1"/>
    </row>
    <row r="3170" spans="21:21" ht="26.4">
      <c r="U3170" s="85" ph="1"/>
    </row>
    <row r="3171" spans="21:21" ht="26.4">
      <c r="U3171" s="85" ph="1"/>
    </row>
    <row r="3172" spans="21:21" ht="26.4">
      <c r="U3172" s="85" ph="1"/>
    </row>
    <row r="3173" spans="21:21" ht="26.4">
      <c r="U3173" s="85" ph="1"/>
    </row>
    <row r="3174" spans="21:21" ht="26.4">
      <c r="U3174" s="85" ph="1"/>
    </row>
    <row r="3175" spans="21:21" ht="26.4">
      <c r="U3175" s="85" ph="1"/>
    </row>
    <row r="3176" spans="21:21" ht="26.4">
      <c r="U3176" s="85" ph="1"/>
    </row>
    <row r="3177" spans="21:21" ht="26.4">
      <c r="U3177" s="85" ph="1"/>
    </row>
    <row r="3178" spans="21:21" ht="26.4">
      <c r="U3178" s="85" ph="1"/>
    </row>
    <row r="3179" spans="21:21" ht="26.4">
      <c r="U3179" s="85" ph="1"/>
    </row>
    <row r="3180" spans="21:21" ht="26.4">
      <c r="U3180" s="85" ph="1"/>
    </row>
    <row r="3181" spans="21:21" ht="26.4">
      <c r="U3181" s="85" ph="1"/>
    </row>
    <row r="3182" spans="21:21" ht="26.4">
      <c r="U3182" s="85" ph="1"/>
    </row>
    <row r="3183" spans="21:21" ht="26.4">
      <c r="U3183" s="85" ph="1"/>
    </row>
    <row r="3184" spans="21:21" ht="26.4">
      <c r="U3184" s="85" ph="1"/>
    </row>
    <row r="3185" spans="21:21" ht="26.4">
      <c r="U3185" s="85" ph="1"/>
    </row>
    <row r="3186" spans="21:21" ht="26.4">
      <c r="U3186" s="85" ph="1"/>
    </row>
    <row r="3187" spans="21:21" ht="26.4">
      <c r="U3187" s="85" ph="1"/>
    </row>
    <row r="3188" spans="21:21" ht="26.4">
      <c r="U3188" s="85" ph="1"/>
    </row>
    <row r="3189" spans="21:21" ht="26.4">
      <c r="U3189" s="85" ph="1"/>
    </row>
    <row r="3190" spans="21:21" ht="26.4">
      <c r="U3190" s="85" ph="1"/>
    </row>
    <row r="3191" spans="21:21" ht="26.4">
      <c r="U3191" s="85" ph="1"/>
    </row>
    <row r="3192" spans="21:21" ht="26.4">
      <c r="U3192" s="85" ph="1"/>
    </row>
    <row r="3193" spans="21:21" ht="26.4">
      <c r="U3193" s="85" ph="1"/>
    </row>
    <row r="3194" spans="21:21" ht="26.4">
      <c r="U3194" s="85" ph="1"/>
    </row>
    <row r="3195" spans="21:21" ht="26.4">
      <c r="U3195" s="85" ph="1"/>
    </row>
    <row r="3196" spans="21:21" ht="26.4">
      <c r="U3196" s="85" ph="1"/>
    </row>
    <row r="3197" spans="21:21" ht="26.4">
      <c r="U3197" s="85" ph="1"/>
    </row>
    <row r="3198" spans="21:21" ht="26.4">
      <c r="U3198" s="85" ph="1"/>
    </row>
    <row r="3199" spans="21:21" ht="26.4">
      <c r="U3199" s="85" ph="1"/>
    </row>
    <row r="3200" spans="21:21" ht="26.4">
      <c r="U3200" s="85" ph="1"/>
    </row>
    <row r="3201" spans="21:21" ht="26.4">
      <c r="U3201" s="85" ph="1"/>
    </row>
    <row r="3202" spans="21:21" ht="26.4">
      <c r="U3202" s="85" ph="1"/>
    </row>
    <row r="3203" spans="21:21" ht="26.4">
      <c r="U3203" s="85" ph="1"/>
    </row>
    <row r="3204" spans="21:21" ht="26.4">
      <c r="U3204" s="85" ph="1"/>
    </row>
    <row r="3205" spans="21:21" ht="26.4">
      <c r="U3205" s="85" ph="1"/>
    </row>
    <row r="3206" spans="21:21" ht="26.4">
      <c r="U3206" s="85" ph="1"/>
    </row>
    <row r="3207" spans="21:21" ht="26.4">
      <c r="U3207" s="85" ph="1"/>
    </row>
    <row r="3208" spans="21:21" ht="26.4">
      <c r="U3208" s="85" ph="1"/>
    </row>
    <row r="3209" spans="21:21" ht="26.4">
      <c r="U3209" s="85" ph="1"/>
    </row>
    <row r="3210" spans="21:21" ht="26.4">
      <c r="U3210" s="85" ph="1"/>
    </row>
    <row r="3211" spans="21:21" ht="26.4">
      <c r="U3211" s="85" ph="1"/>
    </row>
    <row r="3212" spans="21:21" ht="26.4">
      <c r="U3212" s="85" ph="1"/>
    </row>
    <row r="3213" spans="21:21" ht="26.4">
      <c r="U3213" s="85" ph="1"/>
    </row>
    <row r="3214" spans="21:21" ht="26.4">
      <c r="U3214" s="85" ph="1"/>
    </row>
    <row r="3215" spans="21:21" ht="26.4">
      <c r="U3215" s="85" ph="1"/>
    </row>
    <row r="3216" spans="21:21" ht="26.4">
      <c r="U3216" s="85" ph="1"/>
    </row>
    <row r="3217" spans="21:21" ht="26.4">
      <c r="U3217" s="85" ph="1"/>
    </row>
    <row r="3218" spans="21:21" ht="26.4">
      <c r="U3218" s="85" ph="1"/>
    </row>
    <row r="3219" spans="21:21" ht="26.4">
      <c r="U3219" s="85" ph="1"/>
    </row>
    <row r="3220" spans="21:21" ht="26.4">
      <c r="U3220" s="85" ph="1"/>
    </row>
    <row r="3221" spans="21:21" ht="26.4">
      <c r="U3221" s="85" ph="1"/>
    </row>
    <row r="3222" spans="21:21" ht="26.4">
      <c r="U3222" s="85" ph="1"/>
    </row>
    <row r="3223" spans="21:21" ht="26.4">
      <c r="U3223" s="85" ph="1"/>
    </row>
    <row r="3224" spans="21:21" ht="26.4">
      <c r="U3224" s="85" ph="1"/>
    </row>
    <row r="3225" spans="21:21" ht="26.4">
      <c r="U3225" s="85" ph="1"/>
    </row>
    <row r="3226" spans="21:21" ht="26.4">
      <c r="U3226" s="85" ph="1"/>
    </row>
    <row r="3227" spans="21:21" ht="26.4">
      <c r="U3227" s="85" ph="1"/>
    </row>
    <row r="3228" spans="21:21" ht="26.4">
      <c r="U3228" s="85" ph="1"/>
    </row>
    <row r="3229" spans="21:21" ht="26.4">
      <c r="U3229" s="85" ph="1"/>
    </row>
    <row r="3230" spans="21:21" ht="26.4">
      <c r="U3230" s="85" ph="1"/>
    </row>
    <row r="3231" spans="21:21" ht="26.4">
      <c r="U3231" s="85" ph="1"/>
    </row>
    <row r="3232" spans="21:21" ht="26.4">
      <c r="U3232" s="85" ph="1"/>
    </row>
    <row r="3233" spans="21:21" ht="26.4">
      <c r="U3233" s="85" ph="1"/>
    </row>
    <row r="3234" spans="21:21" ht="26.4">
      <c r="U3234" s="85" ph="1"/>
    </row>
    <row r="3235" spans="21:21" ht="26.4">
      <c r="U3235" s="85" ph="1"/>
    </row>
    <row r="3236" spans="21:21" ht="26.4">
      <c r="U3236" s="85" ph="1"/>
    </row>
    <row r="3237" spans="21:21" ht="26.4">
      <c r="U3237" s="85" ph="1"/>
    </row>
    <row r="3238" spans="21:21" ht="26.4">
      <c r="U3238" s="85" ph="1"/>
    </row>
    <row r="3239" spans="21:21" ht="26.4">
      <c r="U3239" s="85" ph="1"/>
    </row>
    <row r="3240" spans="21:21" ht="26.4">
      <c r="U3240" s="85" ph="1"/>
    </row>
    <row r="3241" spans="21:21" ht="26.4">
      <c r="U3241" s="85" ph="1"/>
    </row>
    <row r="3242" spans="21:21" ht="26.4">
      <c r="U3242" s="85" ph="1"/>
    </row>
    <row r="3243" spans="21:21" ht="26.4">
      <c r="U3243" s="85" ph="1"/>
    </row>
    <row r="3244" spans="21:21" ht="26.4">
      <c r="U3244" s="85" ph="1"/>
    </row>
    <row r="3245" spans="21:21" ht="26.4">
      <c r="U3245" s="85" ph="1"/>
    </row>
    <row r="3246" spans="21:21" ht="26.4">
      <c r="U3246" s="85" ph="1"/>
    </row>
    <row r="3247" spans="21:21" ht="26.4">
      <c r="U3247" s="85" ph="1"/>
    </row>
    <row r="3248" spans="21:21" ht="26.4">
      <c r="U3248" s="85" ph="1"/>
    </row>
    <row r="3249" spans="21:21" ht="26.4">
      <c r="U3249" s="85" ph="1"/>
    </row>
    <row r="3250" spans="21:21" ht="26.4">
      <c r="U3250" s="85" ph="1"/>
    </row>
    <row r="3251" spans="21:21" ht="26.4">
      <c r="U3251" s="85" ph="1"/>
    </row>
    <row r="3252" spans="21:21" ht="26.4">
      <c r="U3252" s="85" ph="1"/>
    </row>
    <row r="3253" spans="21:21" ht="26.4">
      <c r="U3253" s="85" ph="1"/>
    </row>
    <row r="3254" spans="21:21" ht="26.4">
      <c r="U3254" s="85" ph="1"/>
    </row>
    <row r="3255" spans="21:21" ht="26.4">
      <c r="U3255" s="85" ph="1"/>
    </row>
    <row r="3256" spans="21:21" ht="26.4">
      <c r="U3256" s="85" ph="1"/>
    </row>
    <row r="3257" spans="21:21" ht="26.4">
      <c r="U3257" s="85" ph="1"/>
    </row>
    <row r="3258" spans="21:21" ht="26.4">
      <c r="U3258" s="85" ph="1"/>
    </row>
    <row r="3259" spans="21:21" ht="26.4">
      <c r="U3259" s="85" ph="1"/>
    </row>
    <row r="3260" spans="21:21" ht="26.4">
      <c r="U3260" s="85" ph="1"/>
    </row>
    <row r="3261" spans="21:21" ht="26.4">
      <c r="U3261" s="85" ph="1"/>
    </row>
    <row r="3262" spans="21:21" ht="26.4">
      <c r="U3262" s="85" ph="1"/>
    </row>
    <row r="3263" spans="21:21" ht="26.4">
      <c r="U3263" s="85" ph="1"/>
    </row>
    <row r="3264" spans="21:21" ht="26.4">
      <c r="U3264" s="85" ph="1"/>
    </row>
    <row r="3265" spans="21:21" ht="26.4">
      <c r="U3265" s="85" ph="1"/>
    </row>
    <row r="3266" spans="21:21" ht="26.4">
      <c r="U3266" s="85" ph="1"/>
    </row>
    <row r="3267" spans="21:21" ht="26.4">
      <c r="U3267" s="85" ph="1"/>
    </row>
    <row r="3268" spans="21:21" ht="26.4">
      <c r="U3268" s="85" ph="1"/>
    </row>
    <row r="3269" spans="21:21" ht="26.4">
      <c r="U3269" s="85" ph="1"/>
    </row>
    <row r="3270" spans="21:21" ht="26.4">
      <c r="U3270" s="85" ph="1"/>
    </row>
    <row r="3271" spans="21:21" ht="26.4">
      <c r="U3271" s="85" ph="1"/>
    </row>
    <row r="3272" spans="21:21" ht="26.4">
      <c r="U3272" s="85" ph="1"/>
    </row>
    <row r="3273" spans="21:21" ht="26.4">
      <c r="U3273" s="85" ph="1"/>
    </row>
    <row r="3274" spans="21:21" ht="26.4">
      <c r="U3274" s="85" ph="1"/>
    </row>
    <row r="3275" spans="21:21" ht="26.4">
      <c r="U3275" s="85" ph="1"/>
    </row>
    <row r="3276" spans="21:21" ht="26.4">
      <c r="U3276" s="85" ph="1"/>
    </row>
    <row r="3277" spans="21:21" ht="26.4">
      <c r="U3277" s="85" ph="1"/>
    </row>
    <row r="3278" spans="21:21" ht="26.4">
      <c r="U3278" s="85" ph="1"/>
    </row>
    <row r="3279" spans="21:21" ht="26.4">
      <c r="U3279" s="85" ph="1"/>
    </row>
    <row r="3280" spans="21:21" ht="26.4">
      <c r="U3280" s="85" ph="1"/>
    </row>
    <row r="3281" spans="21:21" ht="26.4">
      <c r="U3281" s="85" ph="1"/>
    </row>
    <row r="3282" spans="21:21" ht="26.4">
      <c r="U3282" s="85" ph="1"/>
    </row>
    <row r="3283" spans="21:21" ht="26.4">
      <c r="U3283" s="85" ph="1"/>
    </row>
    <row r="3284" spans="21:21" ht="26.4">
      <c r="U3284" s="85" ph="1"/>
    </row>
    <row r="3285" spans="21:21" ht="26.4">
      <c r="U3285" s="85" ph="1"/>
    </row>
    <row r="3286" spans="21:21" ht="26.4">
      <c r="U3286" s="85" ph="1"/>
    </row>
    <row r="3287" spans="21:21" ht="26.4">
      <c r="U3287" s="85" ph="1"/>
    </row>
    <row r="3288" spans="21:21" ht="26.4">
      <c r="U3288" s="85" ph="1"/>
    </row>
    <row r="3289" spans="21:21" ht="26.4">
      <c r="U3289" s="85" ph="1"/>
    </row>
    <row r="3290" spans="21:21" ht="26.4">
      <c r="U3290" s="85" ph="1"/>
    </row>
    <row r="3291" spans="21:21" ht="26.4">
      <c r="U3291" s="85" ph="1"/>
    </row>
    <row r="3292" spans="21:21" ht="26.4">
      <c r="U3292" s="85" ph="1"/>
    </row>
    <row r="3293" spans="21:21" ht="26.4">
      <c r="U3293" s="85" ph="1"/>
    </row>
    <row r="3294" spans="21:21" ht="26.4">
      <c r="U3294" s="85" ph="1"/>
    </row>
    <row r="3295" spans="21:21" ht="26.4">
      <c r="U3295" s="85" ph="1"/>
    </row>
    <row r="3296" spans="21:21" ht="26.4">
      <c r="U3296" s="85" ph="1"/>
    </row>
    <row r="3297" spans="21:21" ht="26.4">
      <c r="U3297" s="85" ph="1"/>
    </row>
    <row r="3298" spans="21:21" ht="26.4">
      <c r="U3298" s="85" ph="1"/>
    </row>
    <row r="3299" spans="21:21" ht="26.4">
      <c r="U3299" s="85" ph="1"/>
    </row>
    <row r="3300" spans="21:21" ht="26.4">
      <c r="U3300" s="85" ph="1"/>
    </row>
    <row r="3301" spans="21:21" ht="26.4">
      <c r="U3301" s="85" ph="1"/>
    </row>
    <row r="3302" spans="21:21" ht="26.4">
      <c r="U3302" s="85" ph="1"/>
    </row>
    <row r="3303" spans="21:21" ht="26.4">
      <c r="U3303" s="85" ph="1"/>
    </row>
    <row r="3304" spans="21:21" ht="26.4">
      <c r="U3304" s="85" ph="1"/>
    </row>
    <row r="3305" spans="21:21" ht="26.4">
      <c r="U3305" s="85" ph="1"/>
    </row>
    <row r="3306" spans="21:21" ht="26.4">
      <c r="U3306" s="85" ph="1"/>
    </row>
    <row r="3307" spans="21:21" ht="26.4">
      <c r="U3307" s="85" ph="1"/>
    </row>
    <row r="3308" spans="21:21" ht="26.4">
      <c r="U3308" s="85" ph="1"/>
    </row>
    <row r="3309" spans="21:21" ht="26.4">
      <c r="U3309" s="85" ph="1"/>
    </row>
    <row r="3310" spans="21:21" ht="26.4">
      <c r="U3310" s="85" ph="1"/>
    </row>
    <row r="3311" spans="21:21" ht="26.4">
      <c r="U3311" s="85" ph="1"/>
    </row>
    <row r="3312" spans="21:21" ht="26.4">
      <c r="U3312" s="85" ph="1"/>
    </row>
    <row r="3313" spans="21:21" ht="26.4">
      <c r="U3313" s="85" ph="1"/>
    </row>
    <row r="3314" spans="21:21" ht="26.4">
      <c r="U3314" s="85" ph="1"/>
    </row>
    <row r="3315" spans="21:21" ht="26.4">
      <c r="U3315" s="85" ph="1"/>
    </row>
    <row r="3316" spans="21:21" ht="26.4">
      <c r="U3316" s="85" ph="1"/>
    </row>
    <row r="3317" spans="21:21" ht="26.4">
      <c r="U3317" s="85" ph="1"/>
    </row>
    <row r="3318" spans="21:21" ht="26.4">
      <c r="U3318" s="85" ph="1"/>
    </row>
    <row r="3319" spans="21:21" ht="26.4">
      <c r="U3319" s="85" ph="1"/>
    </row>
    <row r="3320" spans="21:21" ht="26.4">
      <c r="U3320" s="85" ph="1"/>
    </row>
    <row r="3321" spans="21:21" ht="26.4">
      <c r="U3321" s="85" ph="1"/>
    </row>
    <row r="3322" spans="21:21" ht="26.4">
      <c r="U3322" s="85" ph="1"/>
    </row>
    <row r="3323" spans="21:21" ht="26.4">
      <c r="U3323" s="85" ph="1"/>
    </row>
    <row r="3324" spans="21:21" ht="26.4">
      <c r="U3324" s="85" ph="1"/>
    </row>
    <row r="3325" spans="21:21" ht="26.4">
      <c r="U3325" s="85" ph="1"/>
    </row>
    <row r="3326" spans="21:21" ht="26.4">
      <c r="U3326" s="85" ph="1"/>
    </row>
    <row r="3327" spans="21:21" ht="26.4">
      <c r="U3327" s="85" ph="1"/>
    </row>
    <row r="3328" spans="21:21" ht="26.4">
      <c r="U3328" s="85" ph="1"/>
    </row>
    <row r="3329" spans="21:21" ht="26.4">
      <c r="U3329" s="85" ph="1"/>
    </row>
    <row r="3330" spans="21:21" ht="26.4">
      <c r="U3330" s="85" ph="1"/>
    </row>
    <row r="3331" spans="21:21" ht="26.4">
      <c r="U3331" s="85" ph="1"/>
    </row>
    <row r="3332" spans="21:21" ht="26.4">
      <c r="U3332" s="85" ph="1"/>
    </row>
    <row r="3333" spans="21:21" ht="26.4">
      <c r="U3333" s="85" ph="1"/>
    </row>
    <row r="3334" spans="21:21" ht="26.4">
      <c r="U3334" s="85" ph="1"/>
    </row>
    <row r="3335" spans="21:21" ht="26.4">
      <c r="U3335" s="85" ph="1"/>
    </row>
    <row r="3336" spans="21:21" ht="26.4">
      <c r="U3336" s="85" ph="1"/>
    </row>
    <row r="3337" spans="21:21" ht="26.4">
      <c r="U3337" s="85" ph="1"/>
    </row>
    <row r="3338" spans="21:21" ht="26.4">
      <c r="U3338" s="85" ph="1"/>
    </row>
    <row r="3339" spans="21:21" ht="26.4">
      <c r="U3339" s="85" ph="1"/>
    </row>
    <row r="3340" spans="21:21" ht="26.4">
      <c r="U3340" s="85" ph="1"/>
    </row>
    <row r="3341" spans="21:21" ht="26.4">
      <c r="U3341" s="85" ph="1"/>
    </row>
    <row r="3342" spans="21:21" ht="26.4">
      <c r="U3342" s="85" ph="1"/>
    </row>
    <row r="3343" spans="21:21" ht="26.4">
      <c r="U3343" s="85" ph="1"/>
    </row>
    <row r="3344" spans="21:21" ht="26.4">
      <c r="U3344" s="85" ph="1"/>
    </row>
    <row r="3345" spans="21:21" ht="26.4">
      <c r="U3345" s="85" ph="1"/>
    </row>
    <row r="3346" spans="21:21" ht="26.4">
      <c r="U3346" s="85" ph="1"/>
    </row>
    <row r="3347" spans="21:21" ht="26.4">
      <c r="U3347" s="85" ph="1"/>
    </row>
    <row r="3348" spans="21:21" ht="26.4">
      <c r="U3348" s="85" ph="1"/>
    </row>
    <row r="3349" spans="21:21" ht="26.4">
      <c r="U3349" s="85" ph="1"/>
    </row>
    <row r="3350" spans="21:21" ht="26.4">
      <c r="U3350" s="85" ph="1"/>
    </row>
    <row r="3351" spans="21:21" ht="26.4">
      <c r="U3351" s="85" ph="1"/>
    </row>
    <row r="3352" spans="21:21" ht="26.4">
      <c r="U3352" s="85" ph="1"/>
    </row>
    <row r="3353" spans="21:21" ht="26.4">
      <c r="U3353" s="85" ph="1"/>
    </row>
    <row r="3354" spans="21:21" ht="26.4">
      <c r="U3354" s="85" ph="1"/>
    </row>
    <row r="3355" spans="21:21" ht="26.4">
      <c r="U3355" s="85" ph="1"/>
    </row>
    <row r="3356" spans="21:21" ht="26.4">
      <c r="U3356" s="85" ph="1"/>
    </row>
    <row r="3357" spans="21:21" ht="26.4">
      <c r="U3357" s="85" ph="1"/>
    </row>
    <row r="3358" spans="21:21" ht="26.4">
      <c r="U3358" s="85" ph="1"/>
    </row>
    <row r="3359" spans="21:21" ht="26.4">
      <c r="U3359" s="85" ph="1"/>
    </row>
    <row r="3360" spans="21:21" ht="26.4">
      <c r="U3360" s="85" ph="1"/>
    </row>
    <row r="3361" spans="21:21" ht="26.4">
      <c r="U3361" s="85" ph="1"/>
    </row>
    <row r="3362" spans="21:21" ht="26.4">
      <c r="U3362" s="85" ph="1"/>
    </row>
    <row r="3363" spans="21:21" ht="26.4">
      <c r="U3363" s="85" ph="1"/>
    </row>
    <row r="3364" spans="21:21" ht="26.4">
      <c r="U3364" s="85" ph="1"/>
    </row>
    <row r="3365" spans="21:21" ht="26.4">
      <c r="U3365" s="85" ph="1"/>
    </row>
    <row r="3366" spans="21:21" ht="26.4">
      <c r="U3366" s="85" ph="1"/>
    </row>
    <row r="3367" spans="21:21" ht="26.4">
      <c r="U3367" s="85" ph="1"/>
    </row>
    <row r="3368" spans="21:21" ht="26.4">
      <c r="U3368" s="85" ph="1"/>
    </row>
    <row r="3369" spans="21:21" ht="26.4">
      <c r="U3369" s="85" ph="1"/>
    </row>
    <row r="3370" spans="21:21" ht="26.4">
      <c r="U3370" s="85" ph="1"/>
    </row>
    <row r="3371" spans="21:21" ht="26.4">
      <c r="U3371" s="85" ph="1"/>
    </row>
    <row r="3372" spans="21:21" ht="26.4">
      <c r="U3372" s="85" ph="1"/>
    </row>
    <row r="3373" spans="21:21" ht="26.4">
      <c r="U3373" s="85" ph="1"/>
    </row>
    <row r="3374" spans="21:21" ht="26.4">
      <c r="U3374" s="85" ph="1"/>
    </row>
    <row r="3375" spans="21:21" ht="26.4">
      <c r="U3375" s="85" ph="1"/>
    </row>
    <row r="3376" spans="21:21" ht="26.4">
      <c r="U3376" s="85" ph="1"/>
    </row>
    <row r="3377" spans="21:21" ht="26.4">
      <c r="U3377" s="85" ph="1"/>
    </row>
    <row r="3378" spans="21:21" ht="26.4">
      <c r="U3378" s="85" ph="1"/>
    </row>
    <row r="3379" spans="21:21" ht="26.4">
      <c r="U3379" s="85" ph="1"/>
    </row>
    <row r="3380" spans="21:21" ht="26.4">
      <c r="U3380" s="85" ph="1"/>
    </row>
    <row r="3381" spans="21:21" ht="26.4">
      <c r="U3381" s="85" ph="1"/>
    </row>
    <row r="3382" spans="21:21" ht="26.4">
      <c r="U3382" s="85" ph="1"/>
    </row>
    <row r="3383" spans="21:21" ht="26.4">
      <c r="U3383" s="85" ph="1"/>
    </row>
    <row r="3384" spans="21:21" ht="26.4">
      <c r="U3384" s="85" ph="1"/>
    </row>
    <row r="3385" spans="21:21" ht="26.4">
      <c r="U3385" s="85" ph="1"/>
    </row>
    <row r="3386" spans="21:21" ht="26.4">
      <c r="U3386" s="85" ph="1"/>
    </row>
    <row r="3387" spans="21:21" ht="26.4">
      <c r="U3387" s="85" ph="1"/>
    </row>
    <row r="3388" spans="21:21" ht="26.4">
      <c r="U3388" s="85" ph="1"/>
    </row>
    <row r="3389" spans="21:21" ht="26.4">
      <c r="U3389" s="85" ph="1"/>
    </row>
    <row r="3390" spans="21:21" ht="26.4">
      <c r="U3390" s="85" ph="1"/>
    </row>
    <row r="3391" spans="21:21" ht="26.4">
      <c r="U3391" s="85" ph="1"/>
    </row>
    <row r="3392" spans="21:21" ht="26.4">
      <c r="U3392" s="85" ph="1"/>
    </row>
    <row r="3393" spans="21:21" ht="26.4">
      <c r="U3393" s="85" ph="1"/>
    </row>
    <row r="3394" spans="21:21" ht="26.4">
      <c r="U3394" s="85" ph="1"/>
    </row>
    <row r="3395" spans="21:21" ht="26.4">
      <c r="U3395" s="85" ph="1"/>
    </row>
    <row r="3396" spans="21:21" ht="26.4">
      <c r="U3396" s="85" ph="1"/>
    </row>
    <row r="3397" spans="21:21" ht="26.4">
      <c r="U3397" s="85" ph="1"/>
    </row>
    <row r="3398" spans="21:21" ht="26.4">
      <c r="U3398" s="85" ph="1"/>
    </row>
    <row r="3399" spans="21:21" ht="26.4">
      <c r="U3399" s="85" ph="1"/>
    </row>
    <row r="3400" spans="21:21" ht="26.4">
      <c r="U3400" s="85" ph="1"/>
    </row>
    <row r="3401" spans="21:21" ht="26.4">
      <c r="U3401" s="85" ph="1"/>
    </row>
    <row r="3402" spans="21:21" ht="26.4">
      <c r="U3402" s="85" ph="1"/>
    </row>
    <row r="3403" spans="21:21" ht="26.4">
      <c r="U3403" s="85" ph="1"/>
    </row>
    <row r="3404" spans="21:21" ht="26.4">
      <c r="U3404" s="85" ph="1"/>
    </row>
    <row r="3405" spans="21:21" ht="26.4">
      <c r="U3405" s="85" ph="1"/>
    </row>
    <row r="3406" spans="21:21" ht="26.4">
      <c r="U3406" s="85" ph="1"/>
    </row>
    <row r="3407" spans="21:21" ht="26.4">
      <c r="U3407" s="85" ph="1"/>
    </row>
    <row r="3408" spans="21:21" ht="26.4">
      <c r="U3408" s="85" ph="1"/>
    </row>
    <row r="3409" spans="21:21" ht="26.4">
      <c r="U3409" s="85" ph="1"/>
    </row>
    <row r="3410" spans="21:21" ht="26.4">
      <c r="U3410" s="85" ph="1"/>
    </row>
    <row r="3411" spans="21:21" ht="26.4">
      <c r="U3411" s="85" ph="1"/>
    </row>
    <row r="3412" spans="21:21" ht="26.4">
      <c r="U3412" s="85" ph="1"/>
    </row>
    <row r="3413" spans="21:21" ht="26.4">
      <c r="U3413" s="85" ph="1"/>
    </row>
    <row r="3414" spans="21:21" ht="26.4">
      <c r="U3414" s="85" ph="1"/>
    </row>
    <row r="3415" spans="21:21" ht="26.4">
      <c r="U3415" s="85" ph="1"/>
    </row>
    <row r="3416" spans="21:21" ht="26.4">
      <c r="U3416" s="85" ph="1"/>
    </row>
    <row r="3417" spans="21:21" ht="26.4">
      <c r="U3417" s="85" ph="1"/>
    </row>
    <row r="3418" spans="21:21" ht="26.4">
      <c r="U3418" s="85" ph="1"/>
    </row>
    <row r="3419" spans="21:21" ht="26.4">
      <c r="U3419" s="85" ph="1"/>
    </row>
    <row r="3420" spans="21:21" ht="26.4">
      <c r="U3420" s="85" ph="1"/>
    </row>
    <row r="3421" spans="21:21" ht="26.4">
      <c r="U3421" s="85" ph="1"/>
    </row>
    <row r="3422" spans="21:21" ht="26.4">
      <c r="U3422" s="85" ph="1"/>
    </row>
    <row r="3423" spans="21:21" ht="26.4">
      <c r="U3423" s="85" ph="1"/>
    </row>
    <row r="3424" spans="21:21" ht="26.4">
      <c r="U3424" s="85" ph="1"/>
    </row>
    <row r="3425" spans="21:21" ht="26.4">
      <c r="U3425" s="85" ph="1"/>
    </row>
    <row r="3426" spans="21:21" ht="26.4">
      <c r="U3426" s="85" ph="1"/>
    </row>
    <row r="3427" spans="21:21" ht="26.4">
      <c r="U3427" s="85" ph="1"/>
    </row>
    <row r="3428" spans="21:21" ht="26.4">
      <c r="U3428" s="85" ph="1"/>
    </row>
    <row r="3429" spans="21:21" ht="26.4">
      <c r="U3429" s="85" ph="1"/>
    </row>
    <row r="3430" spans="21:21" ht="26.4">
      <c r="U3430" s="85" ph="1"/>
    </row>
    <row r="3431" spans="21:21" ht="26.4">
      <c r="U3431" s="85" ph="1"/>
    </row>
    <row r="3432" spans="21:21" ht="26.4">
      <c r="U3432" s="85" ph="1"/>
    </row>
    <row r="3433" spans="21:21" ht="26.4">
      <c r="U3433" s="85" ph="1"/>
    </row>
    <row r="3434" spans="21:21" ht="26.4">
      <c r="U3434" s="85" ph="1"/>
    </row>
    <row r="3435" spans="21:21" ht="26.4">
      <c r="U3435" s="85" ph="1"/>
    </row>
    <row r="3436" spans="21:21" ht="26.4">
      <c r="U3436" s="85" ph="1"/>
    </row>
    <row r="3437" spans="21:21" ht="26.4">
      <c r="U3437" s="85" ph="1"/>
    </row>
    <row r="3438" spans="21:21" ht="26.4">
      <c r="U3438" s="85" ph="1"/>
    </row>
    <row r="3439" spans="21:21" ht="26.4">
      <c r="U3439" s="85" ph="1"/>
    </row>
    <row r="3440" spans="21:21" ht="26.4">
      <c r="U3440" s="85" ph="1"/>
    </row>
    <row r="3441" spans="21:21" ht="26.4">
      <c r="U3441" s="85" ph="1"/>
    </row>
    <row r="3442" spans="21:21" ht="26.4">
      <c r="U3442" s="85" ph="1"/>
    </row>
    <row r="3443" spans="21:21" ht="26.4">
      <c r="U3443" s="85" ph="1"/>
    </row>
    <row r="3444" spans="21:21" ht="26.4">
      <c r="U3444" s="85" ph="1"/>
    </row>
    <row r="3445" spans="21:21" ht="26.4">
      <c r="U3445" s="85" ph="1"/>
    </row>
    <row r="3446" spans="21:21" ht="26.4">
      <c r="U3446" s="85" ph="1"/>
    </row>
    <row r="3447" spans="21:21" ht="26.4">
      <c r="U3447" s="85" ph="1"/>
    </row>
    <row r="3448" spans="21:21" ht="26.4">
      <c r="U3448" s="85" ph="1"/>
    </row>
    <row r="3449" spans="21:21" ht="26.4">
      <c r="U3449" s="85" ph="1"/>
    </row>
    <row r="3450" spans="21:21" ht="26.4">
      <c r="U3450" s="85" ph="1"/>
    </row>
    <row r="3451" spans="21:21" ht="26.4">
      <c r="U3451" s="85" ph="1"/>
    </row>
    <row r="3452" spans="21:21" ht="26.4">
      <c r="U3452" s="85" ph="1"/>
    </row>
    <row r="3453" spans="21:21" ht="26.4">
      <c r="U3453" s="85" ph="1"/>
    </row>
    <row r="3454" spans="21:21" ht="26.4">
      <c r="U3454" s="85" ph="1"/>
    </row>
    <row r="3455" spans="21:21" ht="26.4">
      <c r="U3455" s="85" ph="1"/>
    </row>
    <row r="3456" spans="21:21" ht="26.4">
      <c r="U3456" s="85" ph="1"/>
    </row>
    <row r="3457" spans="21:21" ht="26.4">
      <c r="U3457" s="85" ph="1"/>
    </row>
    <row r="3458" spans="21:21" ht="26.4">
      <c r="U3458" s="85" ph="1"/>
    </row>
    <row r="3459" spans="21:21" ht="26.4">
      <c r="U3459" s="85" ph="1"/>
    </row>
    <row r="3460" spans="21:21" ht="26.4">
      <c r="U3460" s="85" ph="1"/>
    </row>
    <row r="3461" spans="21:21" ht="26.4">
      <c r="U3461" s="85" ph="1"/>
    </row>
    <row r="3462" spans="21:21" ht="26.4">
      <c r="U3462" s="85" ph="1"/>
    </row>
    <row r="3463" spans="21:21" ht="26.4">
      <c r="U3463" s="85" ph="1"/>
    </row>
    <row r="3464" spans="21:21" ht="26.4">
      <c r="U3464" s="85" ph="1"/>
    </row>
    <row r="3465" spans="21:21" ht="26.4">
      <c r="U3465" s="85" ph="1"/>
    </row>
    <row r="3466" spans="21:21" ht="26.4">
      <c r="U3466" s="85" ph="1"/>
    </row>
    <row r="3467" spans="21:21" ht="26.4">
      <c r="U3467" s="85" ph="1"/>
    </row>
    <row r="3468" spans="21:21" ht="26.4">
      <c r="U3468" s="85" ph="1"/>
    </row>
    <row r="3469" spans="21:21" ht="26.4">
      <c r="U3469" s="85" ph="1"/>
    </row>
    <row r="3470" spans="21:21" ht="26.4">
      <c r="U3470" s="85" ph="1"/>
    </row>
    <row r="3471" spans="21:21" ht="26.4">
      <c r="U3471" s="85" ph="1"/>
    </row>
    <row r="3472" spans="21:21" ht="26.4">
      <c r="U3472" s="85" ph="1"/>
    </row>
    <row r="3473" spans="21:21" ht="26.4">
      <c r="U3473" s="85" ph="1"/>
    </row>
    <row r="3474" spans="21:21" ht="26.4">
      <c r="U3474" s="85" ph="1"/>
    </row>
    <row r="3475" spans="21:21" ht="26.4">
      <c r="U3475" s="85" ph="1"/>
    </row>
    <row r="3476" spans="21:21" ht="26.4">
      <c r="U3476" s="85" ph="1"/>
    </row>
    <row r="3477" spans="21:21" ht="26.4">
      <c r="U3477" s="85" ph="1"/>
    </row>
    <row r="3478" spans="21:21" ht="26.4">
      <c r="U3478" s="85" ph="1"/>
    </row>
    <row r="3479" spans="21:21" ht="26.4">
      <c r="U3479" s="85" ph="1"/>
    </row>
    <row r="3480" spans="21:21" ht="26.4">
      <c r="U3480" s="85" ph="1"/>
    </row>
    <row r="3481" spans="21:21" ht="26.4">
      <c r="U3481" s="85" ph="1"/>
    </row>
    <row r="3482" spans="21:21" ht="26.4">
      <c r="U3482" s="85" ph="1"/>
    </row>
    <row r="3483" spans="21:21" ht="26.4">
      <c r="U3483" s="85" ph="1"/>
    </row>
    <row r="3484" spans="21:21" ht="26.4">
      <c r="U3484" s="85" ph="1"/>
    </row>
    <row r="3485" spans="21:21" ht="26.4">
      <c r="U3485" s="85" ph="1"/>
    </row>
    <row r="3486" spans="21:21" ht="26.4">
      <c r="U3486" s="85" ph="1"/>
    </row>
    <row r="3487" spans="21:21" ht="26.4">
      <c r="U3487" s="85" ph="1"/>
    </row>
    <row r="3488" spans="21:21" ht="26.4">
      <c r="U3488" s="85" ph="1"/>
    </row>
    <row r="3489" spans="21:21" ht="26.4">
      <c r="U3489" s="85" ph="1"/>
    </row>
    <row r="3490" spans="21:21" ht="26.4">
      <c r="U3490" s="85" ph="1"/>
    </row>
    <row r="3491" spans="21:21" ht="26.4">
      <c r="U3491" s="85" ph="1"/>
    </row>
    <row r="3492" spans="21:21" ht="26.4">
      <c r="U3492" s="85" ph="1"/>
    </row>
    <row r="3493" spans="21:21" ht="26.4">
      <c r="U3493" s="85" ph="1"/>
    </row>
    <row r="3494" spans="21:21" ht="26.4">
      <c r="U3494" s="85" ph="1"/>
    </row>
    <row r="3495" spans="21:21" ht="26.4">
      <c r="U3495" s="85" ph="1"/>
    </row>
    <row r="3496" spans="21:21" ht="26.4">
      <c r="U3496" s="85" ph="1"/>
    </row>
    <row r="3497" spans="21:21" ht="26.4">
      <c r="U3497" s="85" ph="1"/>
    </row>
    <row r="3498" spans="21:21" ht="26.4">
      <c r="U3498" s="85" ph="1"/>
    </row>
    <row r="3499" spans="21:21" ht="26.4">
      <c r="U3499" s="85" ph="1"/>
    </row>
    <row r="3500" spans="21:21" ht="26.4">
      <c r="U3500" s="85" ph="1"/>
    </row>
    <row r="3501" spans="21:21" ht="26.4">
      <c r="U3501" s="85" ph="1"/>
    </row>
    <row r="3502" spans="21:21" ht="26.4">
      <c r="U3502" s="85" ph="1"/>
    </row>
    <row r="3503" spans="21:21" ht="26.4">
      <c r="U3503" s="85" ph="1"/>
    </row>
    <row r="3504" spans="21:21" ht="26.4">
      <c r="U3504" s="85" ph="1"/>
    </row>
    <row r="3505" spans="21:21" ht="26.4">
      <c r="U3505" s="85" ph="1"/>
    </row>
    <row r="3506" spans="21:21" ht="26.4">
      <c r="U3506" s="85" ph="1"/>
    </row>
    <row r="3507" spans="21:21" ht="26.4">
      <c r="U3507" s="85" ph="1"/>
    </row>
    <row r="3508" spans="21:21" ht="26.4">
      <c r="U3508" s="85" ph="1"/>
    </row>
    <row r="3509" spans="21:21" ht="26.4">
      <c r="U3509" s="85" ph="1"/>
    </row>
    <row r="3510" spans="21:21" ht="26.4">
      <c r="U3510" s="85" ph="1"/>
    </row>
    <row r="3511" spans="21:21" ht="26.4">
      <c r="U3511" s="85" ph="1"/>
    </row>
    <row r="3512" spans="21:21" ht="26.4">
      <c r="U3512" s="85" ph="1"/>
    </row>
    <row r="3513" spans="21:21" ht="26.4">
      <c r="U3513" s="85" ph="1"/>
    </row>
    <row r="3514" spans="21:21" ht="26.4">
      <c r="U3514" s="85" ph="1"/>
    </row>
    <row r="3515" spans="21:21" ht="26.4">
      <c r="U3515" s="85" ph="1"/>
    </row>
    <row r="3516" spans="21:21" ht="26.4">
      <c r="U3516" s="85" ph="1"/>
    </row>
    <row r="3517" spans="21:21" ht="26.4">
      <c r="U3517" s="85" ph="1"/>
    </row>
    <row r="3518" spans="21:21" ht="26.4">
      <c r="U3518" s="85" ph="1"/>
    </row>
    <row r="3519" spans="21:21" ht="26.4">
      <c r="U3519" s="85" ph="1"/>
    </row>
    <row r="3520" spans="21:21" ht="26.4">
      <c r="U3520" s="85" ph="1"/>
    </row>
    <row r="3521" spans="21:21" ht="26.4">
      <c r="U3521" s="85" ph="1"/>
    </row>
    <row r="3522" spans="21:21" ht="26.4">
      <c r="U3522" s="85" ph="1"/>
    </row>
    <row r="3523" spans="21:21" ht="26.4">
      <c r="U3523" s="85" ph="1"/>
    </row>
    <row r="3524" spans="21:21" ht="26.4">
      <c r="U3524" s="85" ph="1"/>
    </row>
    <row r="3525" spans="21:21" ht="26.4">
      <c r="U3525" s="85" ph="1"/>
    </row>
    <row r="3526" spans="21:21" ht="26.4">
      <c r="U3526" s="85" ph="1"/>
    </row>
    <row r="3527" spans="21:21" ht="26.4">
      <c r="U3527" s="85" ph="1"/>
    </row>
    <row r="3528" spans="21:21" ht="26.4">
      <c r="U3528" s="85" ph="1"/>
    </row>
    <row r="3529" spans="21:21" ht="26.4">
      <c r="U3529" s="85" ph="1"/>
    </row>
    <row r="3530" spans="21:21" ht="26.4">
      <c r="U3530" s="85" ph="1"/>
    </row>
    <row r="3531" spans="21:21" ht="26.4">
      <c r="U3531" s="85" ph="1"/>
    </row>
    <row r="3532" spans="21:21" ht="26.4">
      <c r="U3532" s="85" ph="1"/>
    </row>
    <row r="3533" spans="21:21" ht="26.4">
      <c r="U3533" s="85" ph="1"/>
    </row>
    <row r="3534" spans="21:21" ht="26.4">
      <c r="U3534" s="85" ph="1"/>
    </row>
    <row r="3535" spans="21:21" ht="26.4">
      <c r="U3535" s="85" ph="1"/>
    </row>
    <row r="3536" spans="21:21" ht="26.4">
      <c r="U3536" s="85" ph="1"/>
    </row>
    <row r="3537" spans="21:21" ht="26.4">
      <c r="U3537" s="85" ph="1"/>
    </row>
    <row r="3538" spans="21:21" ht="26.4">
      <c r="U3538" s="85" ph="1"/>
    </row>
    <row r="3539" spans="21:21" ht="26.4">
      <c r="U3539" s="85" ph="1"/>
    </row>
    <row r="3540" spans="21:21" ht="26.4">
      <c r="U3540" s="85" ph="1"/>
    </row>
    <row r="3541" spans="21:21" ht="26.4">
      <c r="U3541" s="85" ph="1"/>
    </row>
    <row r="3542" spans="21:21" ht="26.4">
      <c r="U3542" s="85" ph="1"/>
    </row>
    <row r="3543" spans="21:21" ht="26.4">
      <c r="U3543" s="85" ph="1"/>
    </row>
    <row r="3544" spans="21:21" ht="26.4">
      <c r="U3544" s="85" ph="1"/>
    </row>
    <row r="3545" spans="21:21" ht="26.4">
      <c r="U3545" s="85" ph="1"/>
    </row>
    <row r="3546" spans="21:21" ht="26.4">
      <c r="U3546" s="85" ph="1"/>
    </row>
    <row r="3547" spans="21:21" ht="26.4">
      <c r="U3547" s="85" ph="1"/>
    </row>
    <row r="3548" spans="21:21" ht="26.4">
      <c r="U3548" s="85" ph="1"/>
    </row>
    <row r="3549" spans="21:21" ht="26.4">
      <c r="U3549" s="85" ph="1"/>
    </row>
    <row r="3550" spans="21:21" ht="26.4">
      <c r="U3550" s="85" ph="1"/>
    </row>
    <row r="3551" spans="21:21" ht="26.4">
      <c r="U3551" s="85" ph="1"/>
    </row>
    <row r="3552" spans="21:21" ht="26.4">
      <c r="U3552" s="85" ph="1"/>
    </row>
    <row r="3553" spans="21:21" ht="26.4">
      <c r="U3553" s="85" ph="1"/>
    </row>
    <row r="3554" spans="21:21" ht="26.4">
      <c r="U3554" s="85" ph="1"/>
    </row>
    <row r="3555" spans="21:21" ht="26.4">
      <c r="U3555" s="85" ph="1"/>
    </row>
    <row r="3556" spans="21:21" ht="26.4">
      <c r="U3556" s="85" ph="1"/>
    </row>
    <row r="3557" spans="21:21" ht="26.4">
      <c r="U3557" s="85" ph="1"/>
    </row>
    <row r="3558" spans="21:21" ht="26.4">
      <c r="U3558" s="85" ph="1"/>
    </row>
    <row r="3559" spans="21:21" ht="26.4">
      <c r="U3559" s="85" ph="1"/>
    </row>
    <row r="3560" spans="21:21" ht="26.4">
      <c r="U3560" s="85" ph="1"/>
    </row>
    <row r="3561" spans="21:21" ht="26.4">
      <c r="U3561" s="85" ph="1"/>
    </row>
    <row r="3562" spans="21:21" ht="26.4">
      <c r="U3562" s="85" ph="1"/>
    </row>
    <row r="3563" spans="21:21" ht="26.4">
      <c r="U3563" s="85" ph="1"/>
    </row>
    <row r="3564" spans="21:21" ht="26.4">
      <c r="U3564" s="85" ph="1"/>
    </row>
    <row r="3565" spans="21:21" ht="26.4">
      <c r="U3565" s="85" ph="1"/>
    </row>
    <row r="3566" spans="21:21" ht="26.4">
      <c r="U3566" s="85" ph="1"/>
    </row>
    <row r="3567" spans="21:21" ht="26.4">
      <c r="U3567" s="85" ph="1"/>
    </row>
    <row r="3568" spans="21:21" ht="26.4">
      <c r="U3568" s="85" ph="1"/>
    </row>
    <row r="3569" spans="21:21" ht="26.4">
      <c r="U3569" s="85" ph="1"/>
    </row>
    <row r="3570" spans="21:21" ht="26.4">
      <c r="U3570" s="85" ph="1"/>
    </row>
    <row r="3571" spans="21:21" ht="26.4">
      <c r="U3571" s="85" ph="1"/>
    </row>
    <row r="3572" spans="21:21" ht="26.4">
      <c r="U3572" s="85" ph="1"/>
    </row>
    <row r="3573" spans="21:21" ht="26.4">
      <c r="U3573" s="85" ph="1"/>
    </row>
    <row r="3574" spans="21:21" ht="26.4">
      <c r="U3574" s="85" ph="1"/>
    </row>
    <row r="3575" spans="21:21" ht="26.4">
      <c r="U3575" s="85" ph="1"/>
    </row>
    <row r="3576" spans="21:21" ht="26.4">
      <c r="U3576" s="85" ph="1"/>
    </row>
    <row r="3577" spans="21:21" ht="26.4">
      <c r="U3577" s="85" ph="1"/>
    </row>
    <row r="3578" spans="21:21" ht="26.4">
      <c r="U3578" s="85" ph="1"/>
    </row>
    <row r="3579" spans="21:21" ht="26.4">
      <c r="U3579" s="85" ph="1"/>
    </row>
    <row r="3580" spans="21:21" ht="26.4">
      <c r="U3580" s="85" ph="1"/>
    </row>
    <row r="3581" spans="21:21" ht="26.4">
      <c r="U3581" s="85" ph="1"/>
    </row>
    <row r="3582" spans="21:21" ht="26.4">
      <c r="U3582" s="85" ph="1"/>
    </row>
    <row r="3583" spans="21:21" ht="26.4">
      <c r="U3583" s="85" ph="1"/>
    </row>
    <row r="3584" spans="21:21" ht="26.4">
      <c r="U3584" s="85" ph="1"/>
    </row>
    <row r="3585" spans="21:21" ht="26.4">
      <c r="U3585" s="85" ph="1"/>
    </row>
    <row r="3586" spans="21:21" ht="26.4">
      <c r="U3586" s="85" ph="1"/>
    </row>
    <row r="3587" spans="21:21" ht="26.4">
      <c r="U3587" s="85" ph="1"/>
    </row>
    <row r="3588" spans="21:21" ht="26.4">
      <c r="U3588" s="85" ph="1"/>
    </row>
    <row r="3589" spans="21:21" ht="26.4">
      <c r="U3589" s="85" ph="1"/>
    </row>
    <row r="3590" spans="21:21" ht="26.4">
      <c r="U3590" s="85" ph="1"/>
    </row>
    <row r="3591" spans="21:21" ht="26.4">
      <c r="U3591" s="85" ph="1"/>
    </row>
    <row r="3592" spans="21:21" ht="26.4">
      <c r="U3592" s="85" ph="1"/>
    </row>
    <row r="3593" spans="21:21" ht="26.4">
      <c r="U3593" s="85" ph="1"/>
    </row>
    <row r="3594" spans="21:21" ht="26.4">
      <c r="U3594" s="85" ph="1"/>
    </row>
    <row r="3595" spans="21:21" ht="26.4">
      <c r="U3595" s="85" ph="1"/>
    </row>
    <row r="3596" spans="21:21" ht="26.4">
      <c r="U3596" s="85" ph="1"/>
    </row>
    <row r="3597" spans="21:21" ht="26.4">
      <c r="U3597" s="85" ph="1"/>
    </row>
    <row r="3598" spans="21:21" ht="26.4">
      <c r="U3598" s="85" ph="1"/>
    </row>
    <row r="3599" spans="21:21" ht="26.4">
      <c r="U3599" s="85" ph="1"/>
    </row>
    <row r="3600" spans="21:21" ht="26.4">
      <c r="U3600" s="85" ph="1"/>
    </row>
    <row r="3601" spans="21:21" ht="26.4">
      <c r="U3601" s="85" ph="1"/>
    </row>
    <row r="3602" spans="21:21" ht="26.4">
      <c r="U3602" s="85" ph="1"/>
    </row>
    <row r="3603" spans="21:21" ht="26.4">
      <c r="U3603" s="85" ph="1"/>
    </row>
    <row r="3604" spans="21:21" ht="26.4">
      <c r="U3604" s="85" ph="1"/>
    </row>
    <row r="3605" spans="21:21" ht="26.4">
      <c r="U3605" s="85" ph="1"/>
    </row>
    <row r="3606" spans="21:21" ht="26.4">
      <c r="U3606" s="85" ph="1"/>
    </row>
    <row r="3607" spans="21:21" ht="26.4">
      <c r="U3607" s="85" ph="1"/>
    </row>
    <row r="3608" spans="21:21" ht="26.4">
      <c r="U3608" s="85" ph="1"/>
    </row>
    <row r="3609" spans="21:21" ht="26.4">
      <c r="U3609" s="85" ph="1"/>
    </row>
    <row r="3610" spans="21:21" ht="26.4">
      <c r="U3610" s="85" ph="1"/>
    </row>
    <row r="3611" spans="21:21" ht="26.4">
      <c r="U3611" s="85" ph="1"/>
    </row>
    <row r="3612" spans="21:21" ht="26.4">
      <c r="U3612" s="85" ph="1"/>
    </row>
    <row r="3613" spans="21:21" ht="26.4">
      <c r="U3613" s="85" ph="1"/>
    </row>
    <row r="3614" spans="21:21" ht="26.4">
      <c r="U3614" s="85" ph="1"/>
    </row>
    <row r="3615" spans="21:21" ht="26.4">
      <c r="U3615" s="85" ph="1"/>
    </row>
    <row r="3616" spans="21:21" ht="26.4">
      <c r="U3616" s="85" ph="1"/>
    </row>
    <row r="3617" spans="21:21" ht="26.4">
      <c r="U3617" s="85" ph="1"/>
    </row>
    <row r="3618" spans="21:21" ht="26.4">
      <c r="U3618" s="85" ph="1"/>
    </row>
    <row r="3619" spans="21:21" ht="26.4">
      <c r="U3619" s="85" ph="1"/>
    </row>
    <row r="3620" spans="21:21" ht="26.4">
      <c r="U3620" s="85" ph="1"/>
    </row>
    <row r="3621" spans="21:21" ht="26.4">
      <c r="U3621" s="85" ph="1"/>
    </row>
    <row r="3622" spans="21:21" ht="26.4">
      <c r="U3622" s="85" ph="1"/>
    </row>
    <row r="3623" spans="21:21" ht="26.4">
      <c r="U3623" s="85" ph="1"/>
    </row>
    <row r="3624" spans="21:21" ht="26.4">
      <c r="U3624" s="85" ph="1"/>
    </row>
    <row r="3625" spans="21:21" ht="26.4">
      <c r="U3625" s="85" ph="1"/>
    </row>
    <row r="3626" spans="21:21" ht="26.4">
      <c r="U3626" s="85" ph="1"/>
    </row>
    <row r="3627" spans="21:21" ht="26.4">
      <c r="U3627" s="85" ph="1"/>
    </row>
    <row r="3628" spans="21:21" ht="26.4">
      <c r="U3628" s="85" ph="1"/>
    </row>
    <row r="3629" spans="21:21" ht="26.4">
      <c r="U3629" s="85" ph="1"/>
    </row>
    <row r="3630" spans="21:21" ht="26.4">
      <c r="U3630" s="85" ph="1"/>
    </row>
    <row r="3631" spans="21:21" ht="26.4">
      <c r="U3631" s="85" ph="1"/>
    </row>
    <row r="3632" spans="21:21" ht="26.4">
      <c r="U3632" s="85" ph="1"/>
    </row>
    <row r="3633" spans="21:21" ht="26.4">
      <c r="U3633" s="85" ph="1"/>
    </row>
    <row r="3634" spans="21:21" ht="26.4">
      <c r="U3634" s="85" ph="1"/>
    </row>
    <row r="3635" spans="21:21" ht="26.4">
      <c r="U3635" s="85" ph="1"/>
    </row>
    <row r="3636" spans="21:21" ht="26.4">
      <c r="U3636" s="85" ph="1"/>
    </row>
    <row r="3637" spans="21:21" ht="26.4">
      <c r="U3637" s="85" ph="1"/>
    </row>
    <row r="3638" spans="21:21" ht="26.4">
      <c r="U3638" s="85" ph="1"/>
    </row>
    <row r="3639" spans="21:21" ht="26.4">
      <c r="U3639" s="85" ph="1"/>
    </row>
    <row r="3640" spans="21:21" ht="26.4">
      <c r="U3640" s="85" ph="1"/>
    </row>
    <row r="3641" spans="21:21" ht="26.4">
      <c r="U3641" s="85" ph="1"/>
    </row>
    <row r="3642" spans="21:21" ht="26.4">
      <c r="U3642" s="85" ph="1"/>
    </row>
    <row r="3643" spans="21:21" ht="26.4">
      <c r="U3643" s="85" ph="1"/>
    </row>
    <row r="3644" spans="21:21" ht="26.4">
      <c r="U3644" s="85" ph="1"/>
    </row>
    <row r="3645" spans="21:21" ht="26.4">
      <c r="U3645" s="85" ph="1"/>
    </row>
    <row r="3646" spans="21:21" ht="26.4">
      <c r="U3646" s="85" ph="1"/>
    </row>
    <row r="3647" spans="21:21" ht="26.4">
      <c r="U3647" s="85" ph="1"/>
    </row>
    <row r="3648" spans="21:21" ht="26.4">
      <c r="U3648" s="85" ph="1"/>
    </row>
    <row r="3649" spans="21:21" ht="26.4">
      <c r="U3649" s="85" ph="1"/>
    </row>
    <row r="3650" spans="21:21" ht="26.4">
      <c r="U3650" s="85" ph="1"/>
    </row>
    <row r="3651" spans="21:21" ht="26.4">
      <c r="U3651" s="85" ph="1"/>
    </row>
    <row r="3652" spans="21:21" ht="26.4">
      <c r="U3652" s="85" ph="1"/>
    </row>
    <row r="3653" spans="21:21" ht="26.4">
      <c r="U3653" s="85" ph="1"/>
    </row>
    <row r="3654" spans="21:21" ht="26.4">
      <c r="U3654" s="85" ph="1"/>
    </row>
    <row r="3655" spans="21:21" ht="26.4">
      <c r="U3655" s="85" ph="1"/>
    </row>
    <row r="3656" spans="21:21" ht="26.4">
      <c r="U3656" s="85" ph="1"/>
    </row>
    <row r="3657" spans="21:21" ht="26.4">
      <c r="U3657" s="85" ph="1"/>
    </row>
    <row r="3658" spans="21:21" ht="26.4">
      <c r="U3658" s="85" ph="1"/>
    </row>
    <row r="3659" spans="21:21" ht="26.4">
      <c r="U3659" s="85" ph="1"/>
    </row>
    <row r="3660" spans="21:21" ht="26.4">
      <c r="U3660" s="85" ph="1"/>
    </row>
    <row r="3661" spans="21:21" ht="26.4">
      <c r="U3661" s="85" ph="1"/>
    </row>
    <row r="3662" spans="21:21" ht="26.4">
      <c r="U3662" s="85" ph="1"/>
    </row>
    <row r="3663" spans="21:21" ht="26.4">
      <c r="U3663" s="85" ph="1"/>
    </row>
    <row r="3664" spans="21:21" ht="26.4">
      <c r="U3664" s="85" ph="1"/>
    </row>
    <row r="3665" spans="21:21" ht="26.4">
      <c r="U3665" s="85" ph="1"/>
    </row>
    <row r="3666" spans="21:21" ht="26.4">
      <c r="U3666" s="85" ph="1"/>
    </row>
    <row r="3667" spans="21:21" ht="26.4">
      <c r="U3667" s="85" ph="1"/>
    </row>
    <row r="3668" spans="21:21" ht="26.4">
      <c r="U3668" s="85" ph="1"/>
    </row>
    <row r="3669" spans="21:21" ht="26.4">
      <c r="U3669" s="85" ph="1"/>
    </row>
    <row r="3670" spans="21:21" ht="26.4">
      <c r="U3670" s="85" ph="1"/>
    </row>
    <row r="3671" spans="21:21" ht="26.4">
      <c r="U3671" s="85" ph="1"/>
    </row>
    <row r="3672" spans="21:21" ht="26.4">
      <c r="U3672" s="85" ph="1"/>
    </row>
    <row r="3673" spans="21:21" ht="26.4">
      <c r="U3673" s="85" ph="1"/>
    </row>
    <row r="3674" spans="21:21" ht="26.4">
      <c r="U3674" s="85" ph="1"/>
    </row>
    <row r="3675" spans="21:21" ht="26.4">
      <c r="U3675" s="85" ph="1"/>
    </row>
    <row r="3676" spans="21:21" ht="26.4">
      <c r="U3676" s="85" ph="1"/>
    </row>
    <row r="3677" spans="21:21" ht="26.4">
      <c r="U3677" s="85" ph="1"/>
    </row>
    <row r="3678" spans="21:21" ht="26.4">
      <c r="U3678" s="85" ph="1"/>
    </row>
    <row r="3679" spans="21:21" ht="26.4">
      <c r="U3679" s="85" ph="1"/>
    </row>
    <row r="3680" spans="21:21" ht="26.4">
      <c r="U3680" s="85" ph="1"/>
    </row>
    <row r="3681" spans="21:21" ht="26.4">
      <c r="U3681" s="85" ph="1"/>
    </row>
    <row r="3682" spans="21:21" ht="26.4">
      <c r="U3682" s="85" ph="1"/>
    </row>
    <row r="3683" spans="21:21" ht="26.4">
      <c r="U3683" s="85" ph="1"/>
    </row>
    <row r="3684" spans="21:21" ht="26.4">
      <c r="U3684" s="85" ph="1"/>
    </row>
    <row r="3685" spans="21:21" ht="26.4">
      <c r="U3685" s="85" ph="1"/>
    </row>
    <row r="3686" spans="21:21" ht="26.4">
      <c r="U3686" s="85" ph="1"/>
    </row>
    <row r="3687" spans="21:21" ht="26.4">
      <c r="U3687" s="85" ph="1"/>
    </row>
    <row r="3688" spans="21:21" ht="26.4">
      <c r="U3688" s="85" ph="1"/>
    </row>
    <row r="3689" spans="21:21" ht="26.4">
      <c r="U3689" s="85" ph="1"/>
    </row>
    <row r="3690" spans="21:21" ht="26.4">
      <c r="U3690" s="85" ph="1"/>
    </row>
    <row r="3691" spans="21:21" ht="26.4">
      <c r="U3691" s="85" ph="1"/>
    </row>
    <row r="3692" spans="21:21" ht="26.4">
      <c r="U3692" s="85" ph="1"/>
    </row>
    <row r="3693" spans="21:21" ht="26.4">
      <c r="U3693" s="85" ph="1"/>
    </row>
    <row r="3694" spans="21:21" ht="26.4">
      <c r="U3694" s="85" ph="1"/>
    </row>
    <row r="3695" spans="21:21" ht="26.4">
      <c r="U3695" s="85" ph="1"/>
    </row>
    <row r="3696" spans="21:21" ht="26.4">
      <c r="U3696" s="85" ph="1"/>
    </row>
    <row r="3697" spans="21:21" ht="26.4">
      <c r="U3697" s="85" ph="1"/>
    </row>
    <row r="3698" spans="21:21" ht="26.4">
      <c r="U3698" s="85" ph="1"/>
    </row>
    <row r="3699" spans="21:21" ht="26.4">
      <c r="U3699" s="85" ph="1"/>
    </row>
    <row r="3700" spans="21:21" ht="26.4">
      <c r="U3700" s="85" ph="1"/>
    </row>
    <row r="3701" spans="21:21" ht="26.4">
      <c r="U3701" s="85" ph="1"/>
    </row>
    <row r="3702" spans="21:21" ht="26.4">
      <c r="U3702" s="85" ph="1"/>
    </row>
    <row r="3703" spans="21:21" ht="26.4">
      <c r="U3703" s="85" ph="1"/>
    </row>
    <row r="3704" spans="21:21" ht="26.4">
      <c r="U3704" s="85" ph="1"/>
    </row>
    <row r="3705" spans="21:21" ht="26.4">
      <c r="U3705" s="85" ph="1"/>
    </row>
    <row r="3706" spans="21:21" ht="26.4">
      <c r="U3706" s="85" ph="1"/>
    </row>
    <row r="3707" spans="21:21" ht="26.4">
      <c r="U3707" s="85" ph="1"/>
    </row>
    <row r="3708" spans="21:21" ht="26.4">
      <c r="U3708" s="85" ph="1"/>
    </row>
    <row r="3709" spans="21:21" ht="26.4">
      <c r="U3709" s="85" ph="1"/>
    </row>
    <row r="3710" spans="21:21" ht="26.4">
      <c r="U3710" s="85" ph="1"/>
    </row>
    <row r="3711" spans="21:21" ht="26.4">
      <c r="U3711" s="85" ph="1"/>
    </row>
    <row r="3712" spans="21:21" ht="26.4">
      <c r="U3712" s="85" ph="1"/>
    </row>
    <row r="3713" spans="21:21" ht="26.4">
      <c r="U3713" s="85" ph="1"/>
    </row>
    <row r="3714" spans="21:21" ht="26.4">
      <c r="U3714" s="85" ph="1"/>
    </row>
    <row r="3715" spans="21:21" ht="26.4">
      <c r="U3715" s="85" ph="1"/>
    </row>
    <row r="3716" spans="21:21" ht="26.4">
      <c r="U3716" s="85" ph="1"/>
    </row>
    <row r="3717" spans="21:21" ht="26.4">
      <c r="U3717" s="85" ph="1"/>
    </row>
    <row r="3718" spans="21:21" ht="26.4">
      <c r="U3718" s="85" ph="1"/>
    </row>
    <row r="3719" spans="21:21" ht="26.4">
      <c r="U3719" s="85" ph="1"/>
    </row>
    <row r="3720" spans="21:21" ht="26.4">
      <c r="U3720" s="85" ph="1"/>
    </row>
    <row r="3721" spans="21:21" ht="26.4">
      <c r="U3721" s="85" ph="1"/>
    </row>
    <row r="3722" spans="21:21" ht="26.4">
      <c r="U3722" s="85" ph="1"/>
    </row>
    <row r="3723" spans="21:21" ht="26.4">
      <c r="U3723" s="85" ph="1"/>
    </row>
    <row r="3724" spans="21:21" ht="26.4">
      <c r="U3724" s="85" ph="1"/>
    </row>
    <row r="3725" spans="21:21" ht="26.4">
      <c r="U3725" s="85" ph="1"/>
    </row>
    <row r="3726" spans="21:21" ht="26.4">
      <c r="U3726" s="85" ph="1"/>
    </row>
    <row r="3727" spans="21:21" ht="26.4">
      <c r="U3727" s="85" ph="1"/>
    </row>
    <row r="3728" spans="21:21" ht="26.4">
      <c r="U3728" s="85" ph="1"/>
    </row>
    <row r="3729" spans="21:21" ht="26.4">
      <c r="U3729" s="85" ph="1"/>
    </row>
    <row r="3730" spans="21:21" ht="26.4">
      <c r="U3730" s="85" ph="1"/>
    </row>
    <row r="3731" spans="21:21" ht="26.4">
      <c r="U3731" s="85" ph="1"/>
    </row>
    <row r="3732" spans="21:21" ht="26.4">
      <c r="U3732" s="85" ph="1"/>
    </row>
    <row r="3733" spans="21:21" ht="26.4">
      <c r="U3733" s="85" ph="1"/>
    </row>
    <row r="3734" spans="21:21" ht="26.4">
      <c r="U3734" s="85" ph="1"/>
    </row>
    <row r="3735" spans="21:21" ht="26.4">
      <c r="U3735" s="85" ph="1"/>
    </row>
    <row r="3736" spans="21:21" ht="26.4">
      <c r="U3736" s="85" ph="1"/>
    </row>
    <row r="3737" spans="21:21" ht="26.4">
      <c r="U3737" s="85" ph="1"/>
    </row>
    <row r="3738" spans="21:21" ht="26.4">
      <c r="U3738" s="85" ph="1"/>
    </row>
    <row r="3739" spans="21:21" ht="26.4">
      <c r="U3739" s="85" ph="1"/>
    </row>
    <row r="3740" spans="21:21" ht="26.4">
      <c r="U3740" s="85" ph="1"/>
    </row>
    <row r="3741" spans="21:21" ht="26.4">
      <c r="U3741" s="85" ph="1"/>
    </row>
    <row r="3742" spans="21:21" ht="26.4">
      <c r="U3742" s="85" ph="1"/>
    </row>
    <row r="3743" spans="21:21" ht="26.4">
      <c r="U3743" s="85" ph="1"/>
    </row>
    <row r="3744" spans="21:21" ht="26.4">
      <c r="U3744" s="85" ph="1"/>
    </row>
    <row r="3745" spans="21:21" ht="26.4">
      <c r="U3745" s="85" ph="1"/>
    </row>
    <row r="3746" spans="21:21" ht="26.4">
      <c r="U3746" s="85" ph="1"/>
    </row>
    <row r="3747" spans="21:21" ht="26.4">
      <c r="U3747" s="85" ph="1"/>
    </row>
    <row r="3748" spans="21:21" ht="26.4">
      <c r="U3748" s="85" ph="1"/>
    </row>
    <row r="3749" spans="21:21" ht="26.4">
      <c r="U3749" s="85" ph="1"/>
    </row>
    <row r="3750" spans="21:21" ht="26.4">
      <c r="U3750" s="85" ph="1"/>
    </row>
    <row r="3751" spans="21:21" ht="26.4">
      <c r="U3751" s="85" ph="1"/>
    </row>
    <row r="3752" spans="21:21" ht="26.4">
      <c r="U3752" s="85" ph="1"/>
    </row>
    <row r="3753" spans="21:21" ht="26.4">
      <c r="U3753" s="85" ph="1"/>
    </row>
    <row r="3754" spans="21:21" ht="26.4">
      <c r="U3754" s="85" ph="1"/>
    </row>
    <row r="3755" spans="21:21" ht="26.4">
      <c r="U3755" s="85" ph="1"/>
    </row>
    <row r="3756" spans="21:21" ht="26.4">
      <c r="U3756" s="85" ph="1"/>
    </row>
    <row r="3757" spans="21:21" ht="26.4">
      <c r="U3757" s="85" ph="1"/>
    </row>
    <row r="3758" spans="21:21" ht="26.4">
      <c r="U3758" s="85" ph="1"/>
    </row>
    <row r="3759" spans="21:21" ht="26.4">
      <c r="U3759" s="85" ph="1"/>
    </row>
    <row r="3760" spans="21:21" ht="26.4">
      <c r="U3760" s="85" ph="1"/>
    </row>
    <row r="3761" spans="21:21" ht="26.4">
      <c r="U3761" s="85" ph="1"/>
    </row>
    <row r="3762" spans="21:21" ht="26.4">
      <c r="U3762" s="85" ph="1"/>
    </row>
    <row r="3763" spans="21:21" ht="26.4">
      <c r="U3763" s="85" ph="1"/>
    </row>
    <row r="3764" spans="21:21" ht="26.4">
      <c r="U3764" s="85" ph="1"/>
    </row>
    <row r="3765" spans="21:21" ht="26.4">
      <c r="U3765" s="85" ph="1"/>
    </row>
    <row r="3766" spans="21:21" ht="26.4">
      <c r="U3766" s="85" ph="1"/>
    </row>
    <row r="3767" spans="21:21" ht="26.4">
      <c r="U3767" s="85" ph="1"/>
    </row>
    <row r="3768" spans="21:21" ht="26.4">
      <c r="U3768" s="85" ph="1"/>
    </row>
    <row r="3769" spans="21:21" ht="26.4">
      <c r="U3769" s="85" ph="1"/>
    </row>
    <row r="3770" spans="21:21" ht="26.4">
      <c r="U3770" s="85" ph="1"/>
    </row>
    <row r="3771" spans="21:21" ht="26.4">
      <c r="U3771" s="85" ph="1"/>
    </row>
    <row r="3772" spans="21:21" ht="26.4">
      <c r="U3772" s="85" ph="1"/>
    </row>
    <row r="3773" spans="21:21" ht="26.4">
      <c r="U3773" s="85" ph="1"/>
    </row>
    <row r="3774" spans="21:21" ht="26.4">
      <c r="U3774" s="85" ph="1"/>
    </row>
    <row r="3775" spans="21:21" ht="26.4">
      <c r="U3775" s="85" ph="1"/>
    </row>
    <row r="3776" spans="21:21" ht="26.4">
      <c r="U3776" s="85" ph="1"/>
    </row>
    <row r="3777" spans="21:21" ht="26.4">
      <c r="U3777" s="85" ph="1"/>
    </row>
    <row r="3778" spans="21:21" ht="26.4">
      <c r="U3778" s="85" ph="1"/>
    </row>
    <row r="3779" spans="21:21" ht="26.4">
      <c r="U3779" s="85" ph="1"/>
    </row>
    <row r="3780" spans="21:21" ht="26.4">
      <c r="U3780" s="85" ph="1"/>
    </row>
    <row r="3781" spans="21:21" ht="26.4">
      <c r="U3781" s="85" ph="1"/>
    </row>
    <row r="3782" spans="21:21" ht="26.4">
      <c r="U3782" s="85" ph="1"/>
    </row>
    <row r="3783" spans="21:21" ht="26.4">
      <c r="U3783" s="85" ph="1"/>
    </row>
    <row r="3784" spans="21:21" ht="26.4">
      <c r="U3784" s="85" ph="1"/>
    </row>
    <row r="3785" spans="21:21" ht="26.4">
      <c r="U3785" s="85" ph="1"/>
    </row>
    <row r="3786" spans="21:21" ht="26.4">
      <c r="U3786" s="85" ph="1"/>
    </row>
    <row r="3787" spans="21:21" ht="26.4">
      <c r="U3787" s="85" ph="1"/>
    </row>
    <row r="3788" spans="21:21" ht="26.4">
      <c r="U3788" s="85" ph="1"/>
    </row>
    <row r="3789" spans="21:21" ht="26.4">
      <c r="U3789" s="85" ph="1"/>
    </row>
    <row r="3790" spans="21:21" ht="26.4">
      <c r="U3790" s="85" ph="1"/>
    </row>
    <row r="3791" spans="21:21" ht="26.4">
      <c r="U3791" s="85" ph="1"/>
    </row>
    <row r="3792" spans="21:21" ht="26.4">
      <c r="U3792" s="85" ph="1"/>
    </row>
    <row r="3793" spans="21:21" ht="26.4">
      <c r="U3793" s="85" ph="1"/>
    </row>
    <row r="3794" spans="21:21" ht="26.4">
      <c r="U3794" s="85" ph="1"/>
    </row>
    <row r="3795" spans="21:21" ht="26.4">
      <c r="U3795" s="85" ph="1"/>
    </row>
    <row r="3796" spans="21:21" ht="26.4">
      <c r="U3796" s="85" ph="1"/>
    </row>
    <row r="3797" spans="21:21" ht="26.4">
      <c r="U3797" s="85" ph="1"/>
    </row>
    <row r="3798" spans="21:21" ht="26.4">
      <c r="U3798" s="85" ph="1"/>
    </row>
    <row r="3799" spans="21:21" ht="26.4">
      <c r="U3799" s="85" ph="1"/>
    </row>
    <row r="3800" spans="21:21" ht="26.4">
      <c r="U3800" s="85" ph="1"/>
    </row>
    <row r="3801" spans="21:21" ht="26.4">
      <c r="U3801" s="85" ph="1"/>
    </row>
    <row r="3802" spans="21:21" ht="26.4">
      <c r="U3802" s="85" ph="1"/>
    </row>
    <row r="3803" spans="21:21" ht="26.4">
      <c r="U3803" s="85" ph="1"/>
    </row>
    <row r="3804" spans="21:21" ht="26.4">
      <c r="U3804" s="85" ph="1"/>
    </row>
    <row r="3805" spans="21:21" ht="26.4">
      <c r="U3805" s="85" ph="1"/>
    </row>
    <row r="3806" spans="21:21" ht="26.4">
      <c r="U3806" s="85" ph="1"/>
    </row>
    <row r="3807" spans="21:21" ht="26.4">
      <c r="U3807" s="85" ph="1"/>
    </row>
    <row r="3808" spans="21:21" ht="26.4">
      <c r="U3808" s="85" ph="1"/>
    </row>
    <row r="3809" spans="21:21" ht="26.4">
      <c r="U3809" s="85" ph="1"/>
    </row>
    <row r="3810" spans="21:21" ht="26.4">
      <c r="U3810" s="85" ph="1"/>
    </row>
    <row r="3811" spans="21:21" ht="26.4">
      <c r="U3811" s="85" ph="1"/>
    </row>
    <row r="3812" spans="21:21" ht="26.4">
      <c r="U3812" s="85" ph="1"/>
    </row>
    <row r="3813" spans="21:21" ht="26.4">
      <c r="U3813" s="85" ph="1"/>
    </row>
    <row r="3814" spans="21:21" ht="26.4">
      <c r="U3814" s="85" ph="1"/>
    </row>
    <row r="3815" spans="21:21" ht="26.4">
      <c r="U3815" s="85" ph="1"/>
    </row>
    <row r="3816" spans="21:21" ht="26.4">
      <c r="U3816" s="85" ph="1"/>
    </row>
    <row r="3817" spans="21:21" ht="26.4">
      <c r="U3817" s="85" ph="1"/>
    </row>
    <row r="3818" spans="21:21" ht="26.4">
      <c r="U3818" s="85" ph="1"/>
    </row>
    <row r="3819" spans="21:21" ht="26.4">
      <c r="U3819" s="85" ph="1"/>
    </row>
    <row r="3820" spans="21:21" ht="26.4">
      <c r="U3820" s="85" ph="1"/>
    </row>
    <row r="3821" spans="21:21" ht="26.4">
      <c r="U3821" s="85" ph="1"/>
    </row>
    <row r="3822" spans="21:21" ht="26.4">
      <c r="U3822" s="85" ph="1"/>
    </row>
    <row r="3823" spans="21:21" ht="26.4">
      <c r="U3823" s="85" ph="1"/>
    </row>
    <row r="3824" spans="21:21" ht="26.4">
      <c r="U3824" s="85" ph="1"/>
    </row>
    <row r="3825" spans="21:21" ht="26.4">
      <c r="U3825" s="85" ph="1"/>
    </row>
    <row r="3826" spans="21:21" ht="26.4">
      <c r="U3826" s="85" ph="1"/>
    </row>
    <row r="3827" spans="21:21" ht="26.4">
      <c r="U3827" s="85" ph="1"/>
    </row>
    <row r="3828" spans="21:21" ht="26.4">
      <c r="U3828" s="85" ph="1"/>
    </row>
    <row r="3829" spans="21:21" ht="26.4">
      <c r="U3829" s="85" ph="1"/>
    </row>
    <row r="3830" spans="21:21" ht="26.4">
      <c r="U3830" s="85" ph="1"/>
    </row>
    <row r="3831" spans="21:21" ht="26.4">
      <c r="U3831" s="85" ph="1"/>
    </row>
    <row r="3832" spans="21:21" ht="26.4">
      <c r="U3832" s="85" ph="1"/>
    </row>
    <row r="3833" spans="21:21" ht="26.4">
      <c r="U3833" s="85" ph="1"/>
    </row>
    <row r="3834" spans="21:21" ht="26.4">
      <c r="U3834" s="85" ph="1"/>
    </row>
    <row r="3835" spans="21:21" ht="26.4">
      <c r="U3835" s="85" ph="1"/>
    </row>
    <row r="3836" spans="21:21" ht="26.4">
      <c r="U3836" s="85" ph="1"/>
    </row>
    <row r="3837" spans="21:21" ht="26.4">
      <c r="U3837" s="85" ph="1"/>
    </row>
    <row r="3838" spans="21:21" ht="26.4">
      <c r="U3838" s="85" ph="1"/>
    </row>
    <row r="3839" spans="21:21" ht="26.4">
      <c r="U3839" s="85" ph="1"/>
    </row>
    <row r="3840" spans="21:21" ht="26.4">
      <c r="U3840" s="85" ph="1"/>
    </row>
    <row r="3841" spans="21:21" ht="26.4">
      <c r="U3841" s="85" ph="1"/>
    </row>
    <row r="3842" spans="21:21" ht="26.4">
      <c r="U3842" s="85" ph="1"/>
    </row>
    <row r="3843" spans="21:21" ht="26.4">
      <c r="U3843" s="85" ph="1"/>
    </row>
    <row r="3844" spans="21:21" ht="26.4">
      <c r="U3844" s="85" ph="1"/>
    </row>
    <row r="3845" spans="21:21" ht="26.4">
      <c r="U3845" s="85" ph="1"/>
    </row>
    <row r="3846" spans="21:21" ht="26.4">
      <c r="U3846" s="85" ph="1"/>
    </row>
    <row r="3847" spans="21:21" ht="26.4">
      <c r="U3847" s="85" ph="1"/>
    </row>
    <row r="3848" spans="21:21" ht="26.4">
      <c r="U3848" s="85" ph="1"/>
    </row>
    <row r="3849" spans="21:21" ht="26.4">
      <c r="U3849" s="85" ph="1"/>
    </row>
    <row r="3850" spans="21:21" ht="26.4">
      <c r="U3850" s="85" ph="1"/>
    </row>
    <row r="3851" spans="21:21" ht="26.4">
      <c r="U3851" s="85" ph="1"/>
    </row>
    <row r="3852" spans="21:21" ht="26.4">
      <c r="U3852" s="85" ph="1"/>
    </row>
    <row r="3853" spans="21:21" ht="26.4">
      <c r="U3853" s="85" ph="1"/>
    </row>
    <row r="3854" spans="21:21" ht="26.4">
      <c r="U3854" s="85" ph="1"/>
    </row>
    <row r="3855" spans="21:21" ht="26.4">
      <c r="U3855" s="85" ph="1"/>
    </row>
    <row r="3856" spans="21:21" ht="26.4">
      <c r="U3856" s="85" ph="1"/>
    </row>
    <row r="3857" spans="21:21" ht="26.4">
      <c r="U3857" s="85" ph="1"/>
    </row>
    <row r="3858" spans="21:21" ht="26.4">
      <c r="U3858" s="85" ph="1"/>
    </row>
    <row r="3859" spans="21:21" ht="26.4">
      <c r="U3859" s="85" ph="1"/>
    </row>
    <row r="3860" spans="21:21" ht="26.4">
      <c r="U3860" s="85" ph="1"/>
    </row>
    <row r="3861" spans="21:21" ht="26.4">
      <c r="U3861" s="85" ph="1"/>
    </row>
    <row r="3862" spans="21:21" ht="26.4">
      <c r="U3862" s="85" ph="1"/>
    </row>
    <row r="3863" spans="21:21" ht="26.4">
      <c r="U3863" s="85" ph="1"/>
    </row>
    <row r="3864" spans="21:21" ht="26.4">
      <c r="U3864" s="85" ph="1"/>
    </row>
    <row r="3865" spans="21:21" ht="26.4">
      <c r="U3865" s="85" ph="1"/>
    </row>
    <row r="3866" spans="21:21" ht="26.4">
      <c r="U3866" s="85" ph="1"/>
    </row>
    <row r="3867" spans="21:21" ht="26.4">
      <c r="U3867" s="85" ph="1"/>
    </row>
    <row r="3868" spans="21:21" ht="26.4">
      <c r="U3868" s="85" ph="1"/>
    </row>
    <row r="3869" spans="21:21" ht="26.4">
      <c r="U3869" s="85" ph="1"/>
    </row>
    <row r="3870" spans="21:21" ht="26.4">
      <c r="U3870" s="85" ph="1"/>
    </row>
    <row r="3871" spans="21:21" ht="26.4">
      <c r="U3871" s="85" ph="1"/>
    </row>
    <row r="3872" spans="21:21" ht="26.4">
      <c r="U3872" s="85" ph="1"/>
    </row>
    <row r="3873" spans="21:21" ht="26.4">
      <c r="U3873" s="85" ph="1"/>
    </row>
    <row r="3874" spans="21:21" ht="26.4">
      <c r="U3874" s="85" ph="1"/>
    </row>
    <row r="3875" spans="21:21" ht="26.4">
      <c r="U3875" s="85" ph="1"/>
    </row>
    <row r="3876" spans="21:21" ht="26.4">
      <c r="U3876" s="85" ph="1"/>
    </row>
    <row r="3877" spans="21:21" ht="26.4">
      <c r="U3877" s="85" ph="1"/>
    </row>
    <row r="3878" spans="21:21" ht="26.4">
      <c r="U3878" s="85" ph="1"/>
    </row>
    <row r="3879" spans="21:21" ht="26.4">
      <c r="U3879" s="85" ph="1"/>
    </row>
    <row r="3880" spans="21:21" ht="26.4">
      <c r="U3880" s="85" ph="1"/>
    </row>
    <row r="3881" spans="21:21" ht="26.4">
      <c r="U3881" s="85" ph="1"/>
    </row>
    <row r="3882" spans="21:21" ht="26.4">
      <c r="U3882" s="85" ph="1"/>
    </row>
    <row r="3883" spans="21:21" ht="26.4">
      <c r="U3883" s="85" ph="1"/>
    </row>
    <row r="3884" spans="21:21" ht="26.4">
      <c r="U3884" s="85" ph="1"/>
    </row>
    <row r="3885" spans="21:21" ht="26.4">
      <c r="U3885" s="85" ph="1"/>
    </row>
    <row r="3886" spans="21:21" ht="26.4">
      <c r="U3886" s="85" ph="1"/>
    </row>
    <row r="3887" spans="21:21" ht="26.4">
      <c r="U3887" s="85" ph="1"/>
    </row>
    <row r="3888" spans="21:21" ht="26.4">
      <c r="U3888" s="85" ph="1"/>
    </row>
    <row r="3889" spans="21:21" ht="26.4">
      <c r="U3889" s="85" ph="1"/>
    </row>
    <row r="3890" spans="21:21" ht="26.4">
      <c r="U3890" s="85" ph="1"/>
    </row>
    <row r="3891" spans="21:21" ht="26.4">
      <c r="U3891" s="85" ph="1"/>
    </row>
    <row r="3892" spans="21:21" ht="26.4">
      <c r="U3892" s="85" ph="1"/>
    </row>
    <row r="3893" spans="21:21" ht="26.4">
      <c r="U3893" s="85" ph="1"/>
    </row>
    <row r="3894" spans="21:21" ht="26.4">
      <c r="U3894" s="85" ph="1"/>
    </row>
    <row r="3895" spans="21:21" ht="26.4">
      <c r="U3895" s="85" ph="1"/>
    </row>
    <row r="3896" spans="21:21" ht="26.4">
      <c r="U3896" s="85" ph="1"/>
    </row>
    <row r="3897" spans="21:21" ht="26.4">
      <c r="U3897" s="85" ph="1"/>
    </row>
    <row r="3898" spans="21:21" ht="26.4">
      <c r="U3898" s="85" ph="1"/>
    </row>
    <row r="3899" spans="21:21" ht="26.4">
      <c r="U3899" s="85" ph="1"/>
    </row>
    <row r="3900" spans="21:21" ht="26.4">
      <c r="U3900" s="85" ph="1"/>
    </row>
    <row r="3901" spans="21:21" ht="26.4">
      <c r="U3901" s="85" ph="1"/>
    </row>
    <row r="3902" spans="21:21" ht="26.4">
      <c r="U3902" s="85" ph="1"/>
    </row>
    <row r="3903" spans="21:21" ht="26.4">
      <c r="U3903" s="85" ph="1"/>
    </row>
    <row r="3904" spans="21:21" ht="26.4">
      <c r="U3904" s="85" ph="1"/>
    </row>
    <row r="3905" spans="21:21" ht="26.4">
      <c r="U3905" s="85" ph="1"/>
    </row>
    <row r="3906" spans="21:21" ht="26.4">
      <c r="U3906" s="85" ph="1"/>
    </row>
    <row r="3907" spans="21:21" ht="26.4">
      <c r="U3907" s="85" ph="1"/>
    </row>
    <row r="3908" spans="21:21" ht="26.4">
      <c r="U3908" s="85" ph="1"/>
    </row>
    <row r="3909" spans="21:21" ht="26.4">
      <c r="U3909" s="85" ph="1"/>
    </row>
    <row r="3910" spans="21:21" ht="26.4">
      <c r="U3910" s="85" ph="1"/>
    </row>
    <row r="3911" spans="21:21" ht="26.4">
      <c r="U3911" s="85" ph="1"/>
    </row>
    <row r="3912" spans="21:21" ht="26.4">
      <c r="U3912" s="85" ph="1"/>
    </row>
    <row r="3913" spans="21:21" ht="26.4">
      <c r="U3913" s="85" ph="1"/>
    </row>
    <row r="3914" spans="21:21" ht="26.4">
      <c r="U3914" s="85" ph="1"/>
    </row>
    <row r="3915" spans="21:21" ht="26.4">
      <c r="U3915" s="85" ph="1"/>
    </row>
    <row r="3916" spans="21:21" ht="26.4">
      <c r="U3916" s="85" ph="1"/>
    </row>
    <row r="3917" spans="21:21" ht="26.4">
      <c r="U3917" s="85" ph="1"/>
    </row>
    <row r="3918" spans="21:21" ht="26.4">
      <c r="U3918" s="85" ph="1"/>
    </row>
    <row r="3919" spans="21:21" ht="26.4">
      <c r="U3919" s="85" ph="1"/>
    </row>
    <row r="3920" spans="21:21" ht="26.4">
      <c r="U3920" s="85" ph="1"/>
    </row>
    <row r="3921" spans="21:21" ht="26.4">
      <c r="U3921" s="85" ph="1"/>
    </row>
    <row r="3922" spans="21:21" ht="26.4">
      <c r="U3922" s="85" ph="1"/>
    </row>
    <row r="3923" spans="21:21" ht="26.4">
      <c r="U3923" s="85" ph="1"/>
    </row>
    <row r="3924" spans="21:21" ht="26.4">
      <c r="U3924" s="85" ph="1"/>
    </row>
    <row r="3925" spans="21:21" ht="26.4">
      <c r="U3925" s="85" ph="1"/>
    </row>
    <row r="3926" spans="21:21" ht="26.4">
      <c r="U3926" s="85" ph="1"/>
    </row>
    <row r="3927" spans="21:21" ht="26.4">
      <c r="U3927" s="85" ph="1"/>
    </row>
    <row r="3928" spans="21:21" ht="26.4">
      <c r="U3928" s="85" ph="1"/>
    </row>
    <row r="3929" spans="21:21" ht="26.4">
      <c r="U3929" s="85" ph="1"/>
    </row>
    <row r="3930" spans="21:21" ht="26.4">
      <c r="U3930" s="85" ph="1"/>
    </row>
    <row r="3931" spans="21:21" ht="26.4">
      <c r="U3931" s="85" ph="1"/>
    </row>
    <row r="3932" spans="21:21" ht="26.4">
      <c r="U3932" s="85" ph="1"/>
    </row>
    <row r="3933" spans="21:21" ht="26.4">
      <c r="U3933" s="85" ph="1"/>
    </row>
    <row r="3934" spans="21:21" ht="26.4">
      <c r="U3934" s="85" ph="1"/>
    </row>
    <row r="3935" spans="21:21" ht="26.4">
      <c r="U3935" s="85" ph="1"/>
    </row>
    <row r="3936" spans="21:21" ht="26.4">
      <c r="U3936" s="85" ph="1"/>
    </row>
    <row r="3937" spans="21:21" ht="26.4">
      <c r="U3937" s="85" ph="1"/>
    </row>
    <row r="3938" spans="21:21" ht="26.4">
      <c r="U3938" s="85" ph="1"/>
    </row>
    <row r="3939" spans="21:21" ht="26.4">
      <c r="U3939" s="85" ph="1"/>
    </row>
    <row r="3940" spans="21:21" ht="26.4">
      <c r="U3940" s="85" ph="1"/>
    </row>
    <row r="3941" spans="21:21" ht="26.4">
      <c r="U3941" s="85" ph="1"/>
    </row>
    <row r="3942" spans="21:21" ht="26.4">
      <c r="U3942" s="85" ph="1"/>
    </row>
    <row r="3943" spans="21:21" ht="26.4">
      <c r="U3943" s="85" ph="1"/>
    </row>
    <row r="3944" spans="21:21" ht="26.4">
      <c r="U3944" s="85" ph="1"/>
    </row>
    <row r="3945" spans="21:21" ht="26.4">
      <c r="U3945" s="85" ph="1"/>
    </row>
    <row r="3946" spans="21:21" ht="26.4">
      <c r="U3946" s="85" ph="1"/>
    </row>
    <row r="3947" spans="21:21" ht="26.4">
      <c r="U3947" s="85" ph="1"/>
    </row>
    <row r="3948" spans="21:21" ht="26.4">
      <c r="U3948" s="85" ph="1"/>
    </row>
    <row r="3949" spans="21:21" ht="26.4">
      <c r="U3949" s="85" ph="1"/>
    </row>
    <row r="3950" spans="21:21" ht="26.4">
      <c r="U3950" s="85" ph="1"/>
    </row>
    <row r="3951" spans="21:21" ht="26.4">
      <c r="U3951" s="85" ph="1"/>
    </row>
    <row r="3952" spans="21:21" ht="26.4">
      <c r="U3952" s="85" ph="1"/>
    </row>
    <row r="3953" spans="21:21" ht="26.4">
      <c r="U3953" s="85" ph="1"/>
    </row>
    <row r="3954" spans="21:21" ht="26.4">
      <c r="U3954" s="85" ph="1"/>
    </row>
    <row r="3955" spans="21:21" ht="26.4">
      <c r="U3955" s="85" ph="1"/>
    </row>
    <row r="3956" spans="21:21" ht="26.4">
      <c r="U3956" s="85" ph="1"/>
    </row>
    <row r="3957" spans="21:21" ht="26.4">
      <c r="U3957" s="85" ph="1"/>
    </row>
    <row r="3958" spans="21:21" ht="26.4">
      <c r="U3958" s="85" ph="1"/>
    </row>
    <row r="3959" spans="21:21" ht="26.4">
      <c r="U3959" s="85" ph="1"/>
    </row>
    <row r="3960" spans="21:21" ht="26.4">
      <c r="U3960" s="85" ph="1"/>
    </row>
    <row r="3961" spans="21:21" ht="26.4">
      <c r="U3961" s="85" ph="1"/>
    </row>
    <row r="3962" spans="21:21" ht="26.4">
      <c r="U3962" s="85" ph="1"/>
    </row>
    <row r="3963" spans="21:21" ht="26.4">
      <c r="U3963" s="85" ph="1"/>
    </row>
    <row r="3964" spans="21:21" ht="26.4">
      <c r="U3964" s="85" ph="1"/>
    </row>
    <row r="3965" spans="21:21" ht="26.4">
      <c r="U3965" s="85" ph="1"/>
    </row>
    <row r="3966" spans="21:21" ht="26.4">
      <c r="U3966" s="85" ph="1"/>
    </row>
    <row r="3967" spans="21:21" ht="26.4">
      <c r="U3967" s="85" ph="1"/>
    </row>
    <row r="3968" spans="21:21" ht="26.4">
      <c r="U3968" s="85" ph="1"/>
    </row>
    <row r="3969" spans="21:21" ht="26.4">
      <c r="U3969" s="85" ph="1"/>
    </row>
    <row r="3970" spans="21:21" ht="26.4">
      <c r="U3970" s="85" ph="1"/>
    </row>
    <row r="3971" spans="21:21" ht="26.4">
      <c r="U3971" s="85" ph="1"/>
    </row>
    <row r="3972" spans="21:21" ht="26.4">
      <c r="U3972" s="85" ph="1"/>
    </row>
    <row r="3973" spans="21:21" ht="26.4">
      <c r="U3973" s="85" ph="1"/>
    </row>
    <row r="3974" spans="21:21" ht="26.4">
      <c r="U3974" s="85" ph="1"/>
    </row>
    <row r="3975" spans="21:21" ht="26.4">
      <c r="U3975" s="85" ph="1"/>
    </row>
    <row r="3976" spans="21:21" ht="26.4">
      <c r="U3976" s="85" ph="1"/>
    </row>
    <row r="3977" spans="21:21" ht="26.4">
      <c r="U3977" s="85" ph="1"/>
    </row>
    <row r="3978" spans="21:21" ht="26.4">
      <c r="U3978" s="85" ph="1"/>
    </row>
    <row r="3979" spans="21:21" ht="26.4">
      <c r="U3979" s="85" ph="1"/>
    </row>
    <row r="3980" spans="21:21" ht="26.4">
      <c r="U3980" s="85" ph="1"/>
    </row>
    <row r="3981" spans="21:21" ht="26.4">
      <c r="U3981" s="85" ph="1"/>
    </row>
    <row r="3982" spans="21:21" ht="26.4">
      <c r="U3982" s="85" ph="1"/>
    </row>
    <row r="3983" spans="21:21" ht="26.4">
      <c r="U3983" s="85" ph="1"/>
    </row>
    <row r="3984" spans="21:21" ht="26.4">
      <c r="U3984" s="85" ph="1"/>
    </row>
    <row r="3985" spans="21:21" ht="26.4">
      <c r="U3985" s="85" ph="1"/>
    </row>
    <row r="3986" spans="21:21" ht="26.4">
      <c r="U3986" s="85" ph="1"/>
    </row>
    <row r="3987" spans="21:21" ht="26.4">
      <c r="U3987" s="85" ph="1"/>
    </row>
    <row r="3988" spans="21:21" ht="26.4">
      <c r="U3988" s="85" ph="1"/>
    </row>
    <row r="3989" spans="21:21" ht="26.4">
      <c r="U3989" s="85" ph="1"/>
    </row>
    <row r="3990" spans="21:21" ht="26.4">
      <c r="U3990" s="85" ph="1"/>
    </row>
    <row r="3991" spans="21:21" ht="26.4">
      <c r="U3991" s="85" ph="1"/>
    </row>
    <row r="3992" spans="21:21" ht="26.4">
      <c r="U3992" s="85" ph="1"/>
    </row>
    <row r="3993" spans="21:21" ht="26.4">
      <c r="U3993" s="85" ph="1"/>
    </row>
    <row r="3994" spans="21:21" ht="26.4">
      <c r="U3994" s="85" ph="1"/>
    </row>
    <row r="3995" spans="21:21" ht="26.4">
      <c r="U3995" s="85" ph="1"/>
    </row>
    <row r="3996" spans="21:21" ht="26.4">
      <c r="U3996" s="85" ph="1"/>
    </row>
    <row r="3997" spans="21:21" ht="26.4">
      <c r="U3997" s="85" ph="1"/>
    </row>
    <row r="3998" spans="21:21" ht="26.4">
      <c r="U3998" s="85" ph="1"/>
    </row>
    <row r="3999" spans="21:21" ht="26.4">
      <c r="U3999" s="85" ph="1"/>
    </row>
    <row r="4000" spans="21:21" ht="26.4">
      <c r="U4000" s="85" ph="1"/>
    </row>
    <row r="4001" spans="21:21" ht="26.4">
      <c r="U4001" s="85" ph="1"/>
    </row>
    <row r="4002" spans="21:21" ht="26.4">
      <c r="U4002" s="85" ph="1"/>
    </row>
    <row r="4003" spans="21:21" ht="26.4">
      <c r="U4003" s="85" ph="1"/>
    </row>
    <row r="4004" spans="21:21" ht="26.4">
      <c r="U4004" s="85" ph="1"/>
    </row>
    <row r="4005" spans="21:21" ht="26.4">
      <c r="U4005" s="85" ph="1"/>
    </row>
    <row r="4006" spans="21:21" ht="26.4">
      <c r="U4006" s="85" ph="1"/>
    </row>
    <row r="4007" spans="21:21" ht="26.4">
      <c r="U4007" s="85" ph="1"/>
    </row>
    <row r="4008" spans="21:21" ht="26.4">
      <c r="U4008" s="85" ph="1"/>
    </row>
    <row r="4009" spans="21:21" ht="26.4">
      <c r="U4009" s="85" ph="1"/>
    </row>
    <row r="4010" spans="21:21" ht="26.4">
      <c r="U4010" s="85" ph="1"/>
    </row>
    <row r="4011" spans="21:21" ht="26.4">
      <c r="U4011" s="85" ph="1"/>
    </row>
    <row r="4012" spans="21:21" ht="26.4">
      <c r="U4012" s="85" ph="1"/>
    </row>
    <row r="4013" spans="21:21" ht="26.4">
      <c r="U4013" s="85" ph="1"/>
    </row>
    <row r="4014" spans="21:21" ht="26.4">
      <c r="U4014" s="85" ph="1"/>
    </row>
    <row r="4015" spans="21:21" ht="26.4">
      <c r="U4015" s="85" ph="1"/>
    </row>
    <row r="4016" spans="21:21" ht="26.4">
      <c r="U4016" s="85" ph="1"/>
    </row>
    <row r="4017" spans="21:21" ht="26.4">
      <c r="U4017" s="85" ph="1"/>
    </row>
    <row r="4018" spans="21:21" ht="26.4">
      <c r="U4018" s="85" ph="1"/>
    </row>
    <row r="4019" spans="21:21" ht="26.4">
      <c r="U4019" s="85" ph="1"/>
    </row>
    <row r="4020" spans="21:21" ht="26.4">
      <c r="U4020" s="85" ph="1"/>
    </row>
    <row r="4021" spans="21:21" ht="26.4">
      <c r="U4021" s="85" ph="1"/>
    </row>
    <row r="4022" spans="21:21" ht="26.4">
      <c r="U4022" s="85" ph="1"/>
    </row>
    <row r="4023" spans="21:21" ht="26.4">
      <c r="U4023" s="85" ph="1"/>
    </row>
    <row r="4024" spans="21:21" ht="26.4">
      <c r="U4024" s="85" ph="1"/>
    </row>
    <row r="4025" spans="21:21" ht="26.4">
      <c r="U4025" s="85" ph="1"/>
    </row>
    <row r="4026" spans="21:21" ht="26.4">
      <c r="U4026" s="85" ph="1"/>
    </row>
    <row r="4027" spans="21:21" ht="26.4">
      <c r="U4027" s="85" ph="1"/>
    </row>
    <row r="4028" spans="21:21" ht="26.4">
      <c r="U4028" s="85" ph="1"/>
    </row>
    <row r="4029" spans="21:21" ht="26.4">
      <c r="U4029" s="85" ph="1"/>
    </row>
    <row r="4030" spans="21:21" ht="26.4">
      <c r="U4030" s="85" ph="1"/>
    </row>
    <row r="4031" spans="21:21" ht="26.4">
      <c r="U4031" s="85" ph="1"/>
    </row>
    <row r="4032" spans="21:21" ht="26.4">
      <c r="U4032" s="85" ph="1"/>
    </row>
    <row r="4033" spans="21:21" ht="26.4">
      <c r="U4033" s="85" ph="1"/>
    </row>
    <row r="4034" spans="21:21" ht="26.4">
      <c r="U4034" s="85" ph="1"/>
    </row>
    <row r="4035" spans="21:21" ht="26.4">
      <c r="U4035" s="85" ph="1"/>
    </row>
    <row r="4036" spans="21:21" ht="26.4">
      <c r="U4036" s="85" ph="1"/>
    </row>
    <row r="4037" spans="21:21" ht="26.4">
      <c r="U4037" s="85" ph="1"/>
    </row>
    <row r="4038" spans="21:21" ht="26.4">
      <c r="U4038" s="85" ph="1"/>
    </row>
    <row r="4039" spans="21:21" ht="26.4">
      <c r="U4039" s="85" ph="1"/>
    </row>
    <row r="4040" spans="21:21" ht="26.4">
      <c r="U4040" s="85" ph="1"/>
    </row>
    <row r="4041" spans="21:21" ht="26.4">
      <c r="U4041" s="85" ph="1"/>
    </row>
    <row r="4042" spans="21:21" ht="26.4">
      <c r="U4042" s="85" ph="1"/>
    </row>
    <row r="4043" spans="21:21" ht="26.4">
      <c r="U4043" s="85" ph="1"/>
    </row>
    <row r="4044" spans="21:21" ht="26.4">
      <c r="U4044" s="85" ph="1"/>
    </row>
    <row r="4045" spans="21:21" ht="26.4">
      <c r="U4045" s="85" ph="1"/>
    </row>
    <row r="4046" spans="21:21" ht="26.4">
      <c r="U4046" s="85" ph="1"/>
    </row>
    <row r="4047" spans="21:21" ht="26.4">
      <c r="U4047" s="85" ph="1"/>
    </row>
    <row r="4048" spans="21:21" ht="26.4">
      <c r="U4048" s="85" ph="1"/>
    </row>
    <row r="4049" spans="21:21" ht="26.4">
      <c r="U4049" s="85" ph="1"/>
    </row>
    <row r="4050" spans="21:21" ht="26.4">
      <c r="U4050" s="85" ph="1"/>
    </row>
    <row r="4051" spans="21:21" ht="26.4">
      <c r="U4051" s="85" ph="1"/>
    </row>
    <row r="4052" spans="21:21" ht="26.4">
      <c r="U4052" s="85" ph="1"/>
    </row>
    <row r="4053" spans="21:21" ht="26.4">
      <c r="U4053" s="85" ph="1"/>
    </row>
    <row r="4054" spans="21:21" ht="26.4">
      <c r="U4054" s="85" ph="1"/>
    </row>
    <row r="4055" spans="21:21" ht="26.4">
      <c r="U4055" s="85" ph="1"/>
    </row>
    <row r="4056" spans="21:21" ht="26.4">
      <c r="U4056" s="85" ph="1"/>
    </row>
    <row r="4057" spans="21:21" ht="26.4">
      <c r="U4057" s="85" ph="1"/>
    </row>
    <row r="4058" spans="21:21" ht="26.4">
      <c r="U4058" s="85" ph="1"/>
    </row>
    <row r="4059" spans="21:21" ht="26.4">
      <c r="U4059" s="85" ph="1"/>
    </row>
    <row r="4060" spans="21:21" ht="26.4">
      <c r="U4060" s="85" ph="1"/>
    </row>
    <row r="4061" spans="21:21" ht="26.4">
      <c r="U4061" s="85" ph="1"/>
    </row>
    <row r="4062" spans="21:21" ht="26.4">
      <c r="U4062" s="85" ph="1"/>
    </row>
    <row r="4063" spans="21:21" ht="26.4">
      <c r="U4063" s="85" ph="1"/>
    </row>
    <row r="4064" spans="21:21" ht="26.4">
      <c r="U4064" s="85" ph="1"/>
    </row>
    <row r="4065" spans="21:21" ht="26.4">
      <c r="U4065" s="85" ph="1"/>
    </row>
    <row r="4066" spans="21:21" ht="26.4">
      <c r="U4066" s="85" ph="1"/>
    </row>
    <row r="4067" spans="21:21" ht="26.4">
      <c r="U4067" s="85" ph="1"/>
    </row>
    <row r="4068" spans="21:21" ht="26.4">
      <c r="U4068" s="85" ph="1"/>
    </row>
    <row r="4069" spans="21:21" ht="26.4">
      <c r="U4069" s="85" ph="1"/>
    </row>
    <row r="4070" spans="21:21" ht="26.4">
      <c r="U4070" s="85" ph="1"/>
    </row>
    <row r="4071" spans="21:21" ht="26.4">
      <c r="U4071" s="85" ph="1"/>
    </row>
    <row r="4072" spans="21:21" ht="26.4">
      <c r="U4072" s="85" ph="1"/>
    </row>
    <row r="4073" spans="21:21" ht="26.4">
      <c r="U4073" s="85" ph="1"/>
    </row>
    <row r="4074" spans="21:21" ht="26.4">
      <c r="U4074" s="85" ph="1"/>
    </row>
    <row r="4075" spans="21:21" ht="26.4">
      <c r="U4075" s="85" ph="1"/>
    </row>
    <row r="4076" spans="21:21" ht="26.4">
      <c r="U4076" s="85" ph="1"/>
    </row>
    <row r="4077" spans="21:21" ht="26.4">
      <c r="U4077" s="85" ph="1"/>
    </row>
    <row r="4078" spans="21:21" ht="26.4">
      <c r="U4078" s="85" ph="1"/>
    </row>
    <row r="4079" spans="21:21" ht="26.4">
      <c r="U4079" s="85" ph="1"/>
    </row>
    <row r="4080" spans="21:21" ht="26.4">
      <c r="U4080" s="85" ph="1"/>
    </row>
    <row r="4081" spans="21:21" ht="26.4">
      <c r="U4081" s="85" ph="1"/>
    </row>
    <row r="4082" spans="21:21" ht="26.4">
      <c r="U4082" s="85" ph="1"/>
    </row>
    <row r="4083" spans="21:21" ht="26.4">
      <c r="U4083" s="85" ph="1"/>
    </row>
    <row r="4084" spans="21:21" ht="26.4">
      <c r="U4084" s="85" ph="1"/>
    </row>
    <row r="4085" spans="21:21" ht="26.4">
      <c r="U4085" s="85" ph="1"/>
    </row>
    <row r="4086" spans="21:21" ht="26.4">
      <c r="U4086" s="85" ph="1"/>
    </row>
    <row r="4087" spans="21:21" ht="26.4">
      <c r="U4087" s="85" ph="1"/>
    </row>
    <row r="4088" spans="21:21" ht="26.4">
      <c r="U4088" s="85" ph="1"/>
    </row>
    <row r="4089" spans="21:21" ht="26.4">
      <c r="U4089" s="85" ph="1"/>
    </row>
    <row r="4090" spans="21:21" ht="26.4">
      <c r="U4090" s="85" ph="1"/>
    </row>
    <row r="4091" spans="21:21" ht="26.4">
      <c r="U4091" s="85" ph="1"/>
    </row>
    <row r="4092" spans="21:21" ht="26.4">
      <c r="U4092" s="85" ph="1"/>
    </row>
    <row r="4093" spans="21:21" ht="26.4">
      <c r="U4093" s="85" ph="1"/>
    </row>
    <row r="4094" spans="21:21" ht="26.4">
      <c r="U4094" s="85" ph="1"/>
    </row>
    <row r="4095" spans="21:21" ht="26.4">
      <c r="U4095" s="85" ph="1"/>
    </row>
    <row r="4096" spans="21:21" ht="26.4">
      <c r="U4096" s="85" ph="1"/>
    </row>
    <row r="4097" spans="21:21" ht="26.4">
      <c r="U4097" s="85" ph="1"/>
    </row>
    <row r="4098" spans="21:21" ht="26.4">
      <c r="U4098" s="85" ph="1"/>
    </row>
    <row r="4099" spans="21:21" ht="26.4">
      <c r="U4099" s="85" ph="1"/>
    </row>
    <row r="4100" spans="21:21" ht="26.4">
      <c r="U4100" s="85" ph="1"/>
    </row>
    <row r="4101" spans="21:21" ht="26.4">
      <c r="U4101" s="85" ph="1"/>
    </row>
    <row r="4102" spans="21:21" ht="26.4">
      <c r="U4102" s="85" ph="1"/>
    </row>
    <row r="4103" spans="21:21" ht="26.4">
      <c r="U4103" s="85" ph="1"/>
    </row>
    <row r="4104" spans="21:21" ht="26.4">
      <c r="U4104" s="85" ph="1"/>
    </row>
    <row r="4105" spans="21:21" ht="26.4">
      <c r="U4105" s="85" ph="1"/>
    </row>
    <row r="4106" spans="21:21" ht="26.4">
      <c r="U4106" s="85" ph="1"/>
    </row>
    <row r="4107" spans="21:21" ht="26.4">
      <c r="U4107" s="85" ph="1"/>
    </row>
    <row r="4108" spans="21:21" ht="26.4">
      <c r="U4108" s="85" ph="1"/>
    </row>
    <row r="4109" spans="21:21" ht="26.4">
      <c r="U4109" s="85" ph="1"/>
    </row>
    <row r="4110" spans="21:21" ht="26.4">
      <c r="U4110" s="85" ph="1"/>
    </row>
    <row r="4111" spans="21:21" ht="26.4">
      <c r="U4111" s="85" ph="1"/>
    </row>
    <row r="4112" spans="21:21" ht="26.4">
      <c r="U4112" s="85" ph="1"/>
    </row>
    <row r="4113" spans="21:21" ht="26.4">
      <c r="U4113" s="85" ph="1"/>
    </row>
    <row r="4114" spans="21:21" ht="26.4">
      <c r="U4114" s="85" ph="1"/>
    </row>
    <row r="4115" spans="21:21" ht="26.4">
      <c r="U4115" s="85" ph="1"/>
    </row>
    <row r="4116" spans="21:21" ht="26.4">
      <c r="U4116" s="85" ph="1"/>
    </row>
    <row r="4117" spans="21:21" ht="26.4">
      <c r="U4117" s="85" ph="1"/>
    </row>
    <row r="4118" spans="21:21" ht="26.4">
      <c r="U4118" s="85" ph="1"/>
    </row>
    <row r="4119" spans="21:21" ht="26.4">
      <c r="U4119" s="85" ph="1"/>
    </row>
    <row r="4120" spans="21:21" ht="26.4">
      <c r="U4120" s="85" ph="1"/>
    </row>
    <row r="4121" spans="21:21" ht="26.4">
      <c r="U4121" s="85" ph="1"/>
    </row>
    <row r="4122" spans="21:21" ht="26.4">
      <c r="U4122" s="85" ph="1"/>
    </row>
    <row r="4123" spans="21:21" ht="26.4">
      <c r="U4123" s="85" ph="1"/>
    </row>
    <row r="4124" spans="21:21" ht="26.4">
      <c r="U4124" s="85" ph="1"/>
    </row>
    <row r="4125" spans="21:21" ht="26.4">
      <c r="U4125" s="85" ph="1"/>
    </row>
    <row r="4126" spans="21:21" ht="26.4">
      <c r="U4126" s="85" ph="1"/>
    </row>
    <row r="4127" spans="21:21" ht="26.4">
      <c r="U4127" s="85" ph="1"/>
    </row>
    <row r="4128" spans="21:21" ht="26.4">
      <c r="U4128" s="85" ph="1"/>
    </row>
    <row r="4129" spans="21:21" ht="26.4">
      <c r="U4129" s="85" ph="1"/>
    </row>
    <row r="4130" spans="21:21" ht="26.4">
      <c r="U4130" s="85" ph="1"/>
    </row>
    <row r="4131" spans="21:21" ht="26.4">
      <c r="U4131" s="85" ph="1"/>
    </row>
    <row r="4132" spans="21:21" ht="26.4">
      <c r="U4132" s="85" ph="1"/>
    </row>
    <row r="4133" spans="21:21" ht="26.4">
      <c r="U4133" s="85" ph="1"/>
    </row>
    <row r="4134" spans="21:21" ht="26.4">
      <c r="U4134" s="85" ph="1"/>
    </row>
    <row r="4135" spans="21:21" ht="26.4">
      <c r="U4135" s="85" ph="1"/>
    </row>
    <row r="4136" spans="21:21" ht="26.4">
      <c r="U4136" s="85" ph="1"/>
    </row>
    <row r="4137" spans="21:21" ht="26.4">
      <c r="U4137" s="85" ph="1"/>
    </row>
    <row r="4138" spans="21:21" ht="26.4">
      <c r="U4138" s="85" ph="1"/>
    </row>
    <row r="4139" spans="21:21" ht="26.4">
      <c r="U4139" s="85" ph="1"/>
    </row>
    <row r="4140" spans="21:21" ht="26.4">
      <c r="U4140" s="85" ph="1"/>
    </row>
    <row r="4141" spans="21:21" ht="26.4">
      <c r="U4141" s="85" ph="1"/>
    </row>
    <row r="4142" spans="21:21" ht="26.4">
      <c r="U4142" s="85" ph="1"/>
    </row>
    <row r="4143" spans="21:21" ht="26.4">
      <c r="U4143" s="85" ph="1"/>
    </row>
    <row r="4144" spans="21:21" ht="26.4">
      <c r="U4144" s="85" ph="1"/>
    </row>
    <row r="4145" spans="21:21" ht="26.4">
      <c r="U4145" s="85" ph="1"/>
    </row>
    <row r="4146" spans="21:21" ht="26.4">
      <c r="U4146" s="85" ph="1"/>
    </row>
    <row r="4147" spans="21:21" ht="26.4">
      <c r="U4147" s="85" ph="1"/>
    </row>
    <row r="4148" spans="21:21" ht="26.4">
      <c r="U4148" s="85" ph="1"/>
    </row>
    <row r="4149" spans="21:21" ht="26.4">
      <c r="U4149" s="85" ph="1"/>
    </row>
    <row r="4150" spans="21:21" ht="26.4">
      <c r="U4150" s="85" ph="1"/>
    </row>
    <row r="4151" spans="21:21" ht="26.4">
      <c r="U4151" s="85" ph="1"/>
    </row>
    <row r="4152" spans="21:21" ht="26.4">
      <c r="U4152" s="85" ph="1"/>
    </row>
    <row r="4153" spans="21:21" ht="26.4">
      <c r="U4153" s="85" ph="1"/>
    </row>
    <row r="4154" spans="21:21" ht="26.4">
      <c r="U4154" s="85" ph="1"/>
    </row>
    <row r="4155" spans="21:21" ht="26.4">
      <c r="U4155" s="85" ph="1"/>
    </row>
    <row r="4156" spans="21:21" ht="26.4">
      <c r="U4156" s="85" ph="1"/>
    </row>
    <row r="4157" spans="21:21" ht="26.4">
      <c r="U4157" s="85" ph="1"/>
    </row>
    <row r="4158" spans="21:21" ht="26.4">
      <c r="U4158" s="85" ph="1"/>
    </row>
    <row r="4159" spans="21:21" ht="26.4">
      <c r="U4159" s="85" ph="1"/>
    </row>
    <row r="4160" spans="21:21" ht="26.4">
      <c r="U4160" s="85" ph="1"/>
    </row>
    <row r="4161" spans="21:21" ht="26.4">
      <c r="U4161" s="85" ph="1"/>
    </row>
    <row r="4162" spans="21:21" ht="26.4">
      <c r="U4162" s="85" ph="1"/>
    </row>
    <row r="4163" spans="21:21" ht="26.4">
      <c r="U4163" s="85" ph="1"/>
    </row>
    <row r="4164" spans="21:21" ht="26.4">
      <c r="U4164" s="85" ph="1"/>
    </row>
    <row r="4165" spans="21:21" ht="26.4">
      <c r="U4165" s="85" ph="1"/>
    </row>
    <row r="4166" spans="21:21" ht="26.4">
      <c r="U4166" s="85" ph="1"/>
    </row>
    <row r="4167" spans="21:21" ht="26.4">
      <c r="U4167" s="85" ph="1"/>
    </row>
    <row r="4168" spans="21:21" ht="26.4">
      <c r="U4168" s="85" ph="1"/>
    </row>
    <row r="4169" spans="21:21" ht="26.4">
      <c r="U4169" s="85" ph="1"/>
    </row>
    <row r="4170" spans="21:21" ht="26.4">
      <c r="U4170" s="85" ph="1"/>
    </row>
    <row r="4171" spans="21:21" ht="26.4">
      <c r="U4171" s="85" ph="1"/>
    </row>
    <row r="4172" spans="21:21" ht="26.4">
      <c r="U4172" s="85" ph="1"/>
    </row>
    <row r="4173" spans="21:21" ht="26.4">
      <c r="U4173" s="85" ph="1"/>
    </row>
    <row r="4174" spans="21:21" ht="26.4">
      <c r="U4174" s="85" ph="1"/>
    </row>
    <row r="4175" spans="21:21" ht="26.4">
      <c r="U4175" s="85" ph="1"/>
    </row>
    <row r="4176" spans="21:21" ht="26.4">
      <c r="U4176" s="85" ph="1"/>
    </row>
    <row r="4177" spans="21:21" ht="26.4">
      <c r="U4177" s="85" ph="1"/>
    </row>
    <row r="4178" spans="21:21" ht="26.4">
      <c r="U4178" s="85" ph="1"/>
    </row>
    <row r="4179" spans="21:21" ht="26.4">
      <c r="U4179" s="85" ph="1"/>
    </row>
    <row r="4180" spans="21:21" ht="26.4">
      <c r="U4180" s="85" ph="1"/>
    </row>
    <row r="4181" spans="21:21" ht="26.4">
      <c r="U4181" s="85" ph="1"/>
    </row>
    <row r="4182" spans="21:21" ht="26.4">
      <c r="U4182" s="85" ph="1"/>
    </row>
    <row r="4183" spans="21:21" ht="26.4">
      <c r="U4183" s="85" ph="1"/>
    </row>
    <row r="4184" spans="21:21" ht="26.4">
      <c r="U4184" s="85" ph="1"/>
    </row>
    <row r="4185" spans="21:21" ht="26.4">
      <c r="U4185" s="85" ph="1"/>
    </row>
    <row r="4186" spans="21:21" ht="26.4">
      <c r="U4186" s="85" ph="1"/>
    </row>
    <row r="4187" spans="21:21" ht="26.4">
      <c r="U4187" s="85" ph="1"/>
    </row>
    <row r="4188" spans="21:21" ht="26.4">
      <c r="U4188" s="85" ph="1"/>
    </row>
    <row r="4189" spans="21:21" ht="26.4">
      <c r="U4189" s="85" ph="1"/>
    </row>
    <row r="4190" spans="21:21" ht="26.4">
      <c r="U4190" s="85" ph="1"/>
    </row>
    <row r="4191" spans="21:21" ht="26.4">
      <c r="U4191" s="85" ph="1"/>
    </row>
    <row r="4192" spans="21:21" ht="26.4">
      <c r="U4192" s="85" ph="1"/>
    </row>
    <row r="4193" spans="21:21" ht="26.4">
      <c r="U4193" s="85" ph="1"/>
    </row>
    <row r="4194" spans="21:21" ht="26.4">
      <c r="U4194" s="85" ph="1"/>
    </row>
    <row r="4195" spans="21:21" ht="26.4">
      <c r="U4195" s="85" ph="1"/>
    </row>
    <row r="4196" spans="21:21" ht="26.4">
      <c r="U4196" s="85" ph="1"/>
    </row>
    <row r="4197" spans="21:21" ht="26.4">
      <c r="U4197" s="85" ph="1"/>
    </row>
    <row r="4198" spans="21:21" ht="26.4">
      <c r="U4198" s="85" ph="1"/>
    </row>
    <row r="4199" spans="21:21" ht="26.4">
      <c r="U4199" s="85" ph="1"/>
    </row>
    <row r="4200" spans="21:21" ht="26.4">
      <c r="U4200" s="85" ph="1"/>
    </row>
    <row r="4201" spans="21:21" ht="26.4">
      <c r="U4201" s="85" ph="1"/>
    </row>
    <row r="4202" spans="21:21" ht="26.4">
      <c r="U4202" s="85" ph="1"/>
    </row>
    <row r="4203" spans="21:21" ht="26.4">
      <c r="U4203" s="85" ph="1"/>
    </row>
    <row r="4204" spans="21:21" ht="26.4">
      <c r="U4204" s="85" ph="1"/>
    </row>
    <row r="4205" spans="21:21" ht="26.4">
      <c r="U4205" s="85" ph="1"/>
    </row>
    <row r="4206" spans="21:21" ht="26.4">
      <c r="U4206" s="85" ph="1"/>
    </row>
    <row r="4207" spans="21:21" ht="26.4">
      <c r="U4207" s="85" ph="1"/>
    </row>
    <row r="4208" spans="21:21" ht="26.4">
      <c r="U4208" s="85" ph="1"/>
    </row>
    <row r="4209" spans="21:21" ht="26.4">
      <c r="U4209" s="85" ph="1"/>
    </row>
    <row r="4210" spans="21:21" ht="26.4">
      <c r="U4210" s="85" ph="1"/>
    </row>
    <row r="4211" spans="21:21" ht="26.4">
      <c r="U4211" s="85" ph="1"/>
    </row>
    <row r="4212" spans="21:21" ht="26.4">
      <c r="U4212" s="85" ph="1"/>
    </row>
    <row r="4213" spans="21:21" ht="26.4">
      <c r="U4213" s="85" ph="1"/>
    </row>
    <row r="4214" spans="21:21" ht="26.4">
      <c r="U4214" s="85" ph="1"/>
    </row>
    <row r="4215" spans="21:21" ht="26.4">
      <c r="U4215" s="85" ph="1"/>
    </row>
    <row r="4216" spans="21:21" ht="26.4">
      <c r="U4216" s="85" ph="1"/>
    </row>
    <row r="4217" spans="21:21" ht="26.4">
      <c r="U4217" s="85" ph="1"/>
    </row>
    <row r="4218" spans="21:21" ht="26.4">
      <c r="U4218" s="85" ph="1"/>
    </row>
    <row r="4219" spans="21:21" ht="26.4">
      <c r="U4219" s="85" ph="1"/>
    </row>
    <row r="4220" spans="21:21" ht="26.4">
      <c r="U4220" s="85" ph="1"/>
    </row>
    <row r="4221" spans="21:21" ht="26.4">
      <c r="U4221" s="85" ph="1"/>
    </row>
    <row r="4222" spans="21:21" ht="26.4">
      <c r="U4222" s="85" ph="1"/>
    </row>
    <row r="4223" spans="21:21" ht="26.4">
      <c r="U4223" s="85" ph="1"/>
    </row>
    <row r="4224" spans="21:21" ht="26.4">
      <c r="U4224" s="85" ph="1"/>
    </row>
    <row r="4225" spans="21:21" ht="26.4">
      <c r="U4225" s="85" ph="1"/>
    </row>
    <row r="4226" spans="21:21" ht="26.4">
      <c r="U4226" s="85" ph="1"/>
    </row>
    <row r="4227" spans="21:21" ht="26.4">
      <c r="U4227" s="85" ph="1"/>
    </row>
    <row r="4228" spans="21:21" ht="26.4">
      <c r="U4228" s="85" ph="1"/>
    </row>
    <row r="4229" spans="21:21" ht="26.4">
      <c r="U4229" s="85" ph="1"/>
    </row>
    <row r="4230" spans="21:21" ht="26.4">
      <c r="U4230" s="85" ph="1"/>
    </row>
    <row r="4231" spans="21:21" ht="26.4">
      <c r="U4231" s="85" ph="1"/>
    </row>
    <row r="4232" spans="21:21" ht="26.4">
      <c r="U4232" s="85" ph="1"/>
    </row>
    <row r="4233" spans="21:21" ht="26.4">
      <c r="U4233" s="85" ph="1"/>
    </row>
    <row r="4234" spans="21:21" ht="26.4">
      <c r="U4234" s="85" ph="1"/>
    </row>
    <row r="4235" spans="21:21" ht="26.4">
      <c r="U4235" s="85" ph="1"/>
    </row>
    <row r="4236" spans="21:21" ht="26.4">
      <c r="U4236" s="85" ph="1"/>
    </row>
    <row r="4237" spans="21:21" ht="26.4">
      <c r="U4237" s="85" ph="1"/>
    </row>
    <row r="4238" spans="21:21" ht="26.4">
      <c r="U4238" s="85" ph="1"/>
    </row>
    <row r="4239" spans="21:21" ht="26.4">
      <c r="U4239" s="85" ph="1"/>
    </row>
    <row r="4240" spans="21:21" ht="26.4">
      <c r="U4240" s="85" ph="1"/>
    </row>
    <row r="4241" spans="21:21" ht="26.4">
      <c r="U4241" s="85" ph="1"/>
    </row>
    <row r="4242" spans="21:21" ht="26.4">
      <c r="U4242" s="85" ph="1"/>
    </row>
    <row r="4243" spans="21:21" ht="26.4">
      <c r="U4243" s="85" ph="1"/>
    </row>
    <row r="4244" spans="21:21" ht="26.4">
      <c r="U4244" s="85" ph="1"/>
    </row>
    <row r="4245" spans="21:21" ht="26.4">
      <c r="U4245" s="85" ph="1"/>
    </row>
    <row r="4246" spans="21:21" ht="26.4">
      <c r="U4246" s="85" ph="1"/>
    </row>
    <row r="4247" spans="21:21" ht="26.4">
      <c r="U4247" s="85" ph="1"/>
    </row>
    <row r="4248" spans="21:21" ht="26.4">
      <c r="U4248" s="85" ph="1"/>
    </row>
    <row r="4249" spans="21:21" ht="26.4">
      <c r="U4249" s="85" ph="1"/>
    </row>
    <row r="4250" spans="21:21" ht="26.4">
      <c r="U4250" s="85" ph="1"/>
    </row>
    <row r="4251" spans="21:21" ht="26.4">
      <c r="U4251" s="85" ph="1"/>
    </row>
    <row r="4252" spans="21:21" ht="26.4">
      <c r="U4252" s="85" ph="1"/>
    </row>
    <row r="4253" spans="21:21" ht="26.4">
      <c r="U4253" s="85" ph="1"/>
    </row>
    <row r="4254" spans="21:21" ht="26.4">
      <c r="U4254" s="85" ph="1"/>
    </row>
    <row r="4255" spans="21:21" ht="26.4">
      <c r="U4255" s="85" ph="1"/>
    </row>
    <row r="4256" spans="21:21" ht="26.4">
      <c r="U4256" s="85" ph="1"/>
    </row>
    <row r="4257" spans="21:21" ht="26.4">
      <c r="U4257" s="85" ph="1"/>
    </row>
    <row r="4258" spans="21:21" ht="26.4">
      <c r="U4258" s="85" ph="1"/>
    </row>
    <row r="4259" spans="21:21" ht="26.4">
      <c r="U4259" s="85" ph="1"/>
    </row>
    <row r="4260" spans="21:21" ht="26.4">
      <c r="U4260" s="85" ph="1"/>
    </row>
    <row r="4261" spans="21:21" ht="26.4">
      <c r="U4261" s="85" ph="1"/>
    </row>
    <row r="4262" spans="21:21" ht="26.4">
      <c r="U4262" s="85" ph="1"/>
    </row>
    <row r="4263" spans="21:21" ht="26.4">
      <c r="U4263" s="85" ph="1"/>
    </row>
    <row r="4264" spans="21:21" ht="26.4">
      <c r="U4264" s="85" ph="1"/>
    </row>
    <row r="4265" spans="21:21" ht="26.4">
      <c r="U4265" s="85" ph="1"/>
    </row>
    <row r="4266" spans="21:21" ht="26.4">
      <c r="U4266" s="85" ph="1"/>
    </row>
    <row r="4267" spans="21:21" ht="26.4">
      <c r="U4267" s="85" ph="1"/>
    </row>
    <row r="4268" spans="21:21" ht="26.4">
      <c r="U4268" s="85" ph="1"/>
    </row>
    <row r="4269" spans="21:21" ht="26.4">
      <c r="U4269" s="85" ph="1"/>
    </row>
    <row r="4270" spans="21:21" ht="26.4">
      <c r="U4270" s="85" ph="1"/>
    </row>
    <row r="4271" spans="21:21" ht="26.4">
      <c r="U4271" s="85" ph="1"/>
    </row>
    <row r="4272" spans="21:21" ht="26.4">
      <c r="U4272" s="85" ph="1"/>
    </row>
    <row r="4273" spans="21:21" ht="26.4">
      <c r="U4273" s="85" ph="1"/>
    </row>
    <row r="4274" spans="21:21" ht="26.4">
      <c r="U4274" s="85" ph="1"/>
    </row>
    <row r="4275" spans="21:21" ht="26.4">
      <c r="U4275" s="85" ph="1"/>
    </row>
    <row r="4276" spans="21:21" ht="26.4">
      <c r="U4276" s="85" ph="1"/>
    </row>
    <row r="4277" spans="21:21" ht="26.4">
      <c r="U4277" s="85" ph="1"/>
    </row>
    <row r="4278" spans="21:21" ht="26.4">
      <c r="U4278" s="85" ph="1"/>
    </row>
    <row r="4279" spans="21:21" ht="26.4">
      <c r="U4279" s="85" ph="1"/>
    </row>
    <row r="4280" spans="21:21" ht="26.4">
      <c r="U4280" s="85" ph="1"/>
    </row>
    <row r="4281" spans="21:21" ht="26.4">
      <c r="U4281" s="85" ph="1"/>
    </row>
    <row r="4282" spans="21:21" ht="26.4">
      <c r="U4282" s="85" ph="1"/>
    </row>
    <row r="4283" spans="21:21" ht="26.4">
      <c r="U4283" s="85" ph="1"/>
    </row>
    <row r="4284" spans="21:21" ht="26.4">
      <c r="U4284" s="85" ph="1"/>
    </row>
    <row r="4285" spans="21:21" ht="26.4">
      <c r="U4285" s="85" ph="1"/>
    </row>
    <row r="4286" spans="21:21" ht="26.4">
      <c r="U4286" s="85" ph="1"/>
    </row>
    <row r="4287" spans="21:21" ht="26.4">
      <c r="U4287" s="85" ph="1"/>
    </row>
    <row r="4288" spans="21:21" ht="26.4">
      <c r="U4288" s="85" ph="1"/>
    </row>
    <row r="4289" spans="21:21" ht="26.4">
      <c r="U4289" s="85" ph="1"/>
    </row>
    <row r="4290" spans="21:21" ht="26.4">
      <c r="U4290" s="85" ph="1"/>
    </row>
    <row r="4291" spans="21:21" ht="26.4">
      <c r="U4291" s="85" ph="1"/>
    </row>
    <row r="4292" spans="21:21" ht="26.4">
      <c r="U4292" s="85" ph="1"/>
    </row>
    <row r="4293" spans="21:21" ht="26.4">
      <c r="U4293" s="85" ph="1"/>
    </row>
    <row r="4294" spans="21:21" ht="26.4">
      <c r="U4294" s="85" ph="1"/>
    </row>
    <row r="4295" spans="21:21" ht="26.4">
      <c r="U4295" s="85" ph="1"/>
    </row>
    <row r="4296" spans="21:21" ht="26.4">
      <c r="U4296" s="85" ph="1"/>
    </row>
    <row r="4297" spans="21:21" ht="26.4">
      <c r="U4297" s="85" ph="1"/>
    </row>
    <row r="4298" spans="21:21" ht="26.4">
      <c r="U4298" s="85" ph="1"/>
    </row>
    <row r="4299" spans="21:21" ht="26.4">
      <c r="U4299" s="85" ph="1"/>
    </row>
    <row r="4300" spans="21:21" ht="26.4">
      <c r="U4300" s="85" ph="1"/>
    </row>
    <row r="4301" spans="21:21" ht="26.4">
      <c r="U4301" s="85" ph="1"/>
    </row>
    <row r="4302" spans="21:21" ht="26.4">
      <c r="U4302" s="85" ph="1"/>
    </row>
    <row r="4303" spans="21:21" ht="26.4">
      <c r="U4303" s="85" ph="1"/>
    </row>
    <row r="4304" spans="21:21" ht="26.4">
      <c r="U4304" s="85" ph="1"/>
    </row>
    <row r="4305" spans="21:21" ht="26.4">
      <c r="U4305" s="85" ph="1"/>
    </row>
    <row r="4306" spans="21:21" ht="26.4">
      <c r="U4306" s="85" ph="1"/>
    </row>
    <row r="4307" spans="21:21" ht="26.4">
      <c r="U4307" s="85" ph="1"/>
    </row>
    <row r="4308" spans="21:21" ht="26.4">
      <c r="U4308" s="85" ph="1"/>
    </row>
    <row r="4309" spans="21:21" ht="26.4">
      <c r="U4309" s="85" ph="1"/>
    </row>
    <row r="4310" spans="21:21" ht="26.4">
      <c r="U4310" s="85" ph="1"/>
    </row>
    <row r="4311" spans="21:21" ht="26.4">
      <c r="U4311" s="85" ph="1"/>
    </row>
    <row r="4312" spans="21:21" ht="26.4">
      <c r="U4312" s="85" ph="1"/>
    </row>
    <row r="4313" spans="21:21" ht="26.4">
      <c r="U4313" s="85" ph="1"/>
    </row>
    <row r="4314" spans="21:21" ht="26.4">
      <c r="U4314" s="85" ph="1"/>
    </row>
    <row r="4315" spans="21:21" ht="26.4">
      <c r="U4315" s="85" ph="1"/>
    </row>
    <row r="4316" spans="21:21" ht="26.4">
      <c r="U4316" s="85" ph="1"/>
    </row>
    <row r="4317" spans="21:21" ht="26.4">
      <c r="U4317" s="85" ph="1"/>
    </row>
    <row r="4318" spans="21:21" ht="26.4">
      <c r="U4318" s="85" ph="1"/>
    </row>
    <row r="4319" spans="21:21" ht="26.4">
      <c r="U4319" s="85" ph="1"/>
    </row>
    <row r="4320" spans="21:21" ht="26.4">
      <c r="U4320" s="85" ph="1"/>
    </row>
    <row r="4321" spans="21:21" ht="26.4">
      <c r="U4321" s="85" ph="1"/>
    </row>
    <row r="4322" spans="21:21" ht="26.4">
      <c r="U4322" s="85" ph="1"/>
    </row>
    <row r="4323" spans="21:21" ht="26.4">
      <c r="U4323" s="85" ph="1"/>
    </row>
    <row r="4324" spans="21:21" ht="26.4">
      <c r="U4324" s="85" ph="1"/>
    </row>
    <row r="4325" spans="21:21" ht="26.4">
      <c r="U4325" s="85" ph="1"/>
    </row>
    <row r="4326" spans="21:21" ht="26.4">
      <c r="U4326" s="85" ph="1"/>
    </row>
    <row r="4327" spans="21:21" ht="26.4">
      <c r="U4327" s="85" ph="1"/>
    </row>
    <row r="4328" spans="21:21" ht="26.4">
      <c r="U4328" s="85" ph="1"/>
    </row>
    <row r="4329" spans="21:21" ht="26.4">
      <c r="U4329" s="85" ph="1"/>
    </row>
    <row r="4330" spans="21:21" ht="26.4">
      <c r="U4330" s="85" ph="1"/>
    </row>
    <row r="4331" spans="21:21" ht="26.4">
      <c r="U4331" s="85" ph="1"/>
    </row>
    <row r="4332" spans="21:21" ht="26.4">
      <c r="U4332" s="85" ph="1"/>
    </row>
    <row r="4333" spans="21:21" ht="26.4">
      <c r="U4333" s="85" ph="1"/>
    </row>
    <row r="4334" spans="21:21" ht="26.4">
      <c r="U4334" s="85" ph="1"/>
    </row>
    <row r="4335" spans="21:21" ht="26.4">
      <c r="U4335" s="85" ph="1"/>
    </row>
    <row r="4336" spans="21:21" ht="26.4">
      <c r="U4336" s="85" ph="1"/>
    </row>
    <row r="4337" spans="21:21" ht="26.4">
      <c r="U4337" s="85" ph="1"/>
    </row>
    <row r="4338" spans="21:21" ht="26.4">
      <c r="U4338" s="85" ph="1"/>
    </row>
    <row r="4339" spans="21:21" ht="26.4">
      <c r="U4339" s="85" ph="1"/>
    </row>
    <row r="4340" spans="21:21" ht="26.4">
      <c r="U4340" s="85" ph="1"/>
    </row>
    <row r="4341" spans="21:21" ht="26.4">
      <c r="U4341" s="85" ph="1"/>
    </row>
    <row r="4342" spans="21:21" ht="26.4">
      <c r="U4342" s="85" ph="1"/>
    </row>
    <row r="4343" spans="21:21" ht="26.4">
      <c r="U4343" s="85" ph="1"/>
    </row>
    <row r="4344" spans="21:21" ht="26.4">
      <c r="U4344" s="85" ph="1"/>
    </row>
    <row r="4345" spans="21:21" ht="26.4">
      <c r="U4345" s="85" ph="1"/>
    </row>
    <row r="4346" spans="21:21" ht="26.4">
      <c r="U4346" s="85" ph="1"/>
    </row>
    <row r="4347" spans="21:21" ht="26.4">
      <c r="U4347" s="85" ph="1"/>
    </row>
    <row r="4348" spans="21:21" ht="26.4">
      <c r="U4348" s="85" ph="1"/>
    </row>
    <row r="4349" spans="21:21" ht="26.4">
      <c r="U4349" s="85" ph="1"/>
    </row>
    <row r="4350" spans="21:21" ht="26.4">
      <c r="U4350" s="85" ph="1"/>
    </row>
    <row r="4351" spans="21:21" ht="26.4">
      <c r="U4351" s="85" ph="1"/>
    </row>
    <row r="4352" spans="21:21" ht="26.4">
      <c r="U4352" s="85" ph="1"/>
    </row>
    <row r="4353" spans="21:21" ht="26.4">
      <c r="U4353" s="85" ph="1"/>
    </row>
    <row r="4354" spans="21:21" ht="26.4">
      <c r="U4354" s="85" ph="1"/>
    </row>
    <row r="4355" spans="21:21" ht="26.4">
      <c r="U4355" s="85" ph="1"/>
    </row>
    <row r="4356" spans="21:21" ht="26.4">
      <c r="U4356" s="85" ph="1"/>
    </row>
    <row r="4357" spans="21:21" ht="26.4">
      <c r="U4357" s="85" ph="1"/>
    </row>
    <row r="4358" spans="21:21" ht="26.4">
      <c r="U4358" s="85" ph="1"/>
    </row>
    <row r="4359" spans="21:21" ht="26.4">
      <c r="U4359" s="85" ph="1"/>
    </row>
    <row r="4360" spans="21:21" ht="26.4">
      <c r="U4360" s="85" ph="1"/>
    </row>
    <row r="4361" spans="21:21" ht="26.4">
      <c r="U4361" s="85" ph="1"/>
    </row>
    <row r="4362" spans="21:21" ht="26.4">
      <c r="U4362" s="85" ph="1"/>
    </row>
    <row r="4363" spans="21:21" ht="26.4">
      <c r="U4363" s="85" ph="1"/>
    </row>
    <row r="4364" spans="21:21" ht="26.4">
      <c r="U4364" s="85" ph="1"/>
    </row>
    <row r="4365" spans="21:21" ht="26.4">
      <c r="U4365" s="85" ph="1"/>
    </row>
    <row r="4366" spans="21:21" ht="26.4">
      <c r="U4366" s="85" ph="1"/>
    </row>
    <row r="4367" spans="21:21" ht="26.4">
      <c r="U4367" s="85" ph="1"/>
    </row>
    <row r="4368" spans="21:21" ht="26.4">
      <c r="U4368" s="85" ph="1"/>
    </row>
    <row r="4369" spans="21:21" ht="26.4">
      <c r="U4369" s="85" ph="1"/>
    </row>
    <row r="4370" spans="21:21" ht="26.4">
      <c r="U4370" s="85" ph="1"/>
    </row>
    <row r="4371" spans="21:21" ht="26.4">
      <c r="U4371" s="85" ph="1"/>
    </row>
    <row r="4372" spans="21:21" ht="26.4">
      <c r="U4372" s="85" ph="1"/>
    </row>
    <row r="4373" spans="21:21" ht="26.4">
      <c r="U4373" s="85" ph="1"/>
    </row>
    <row r="4374" spans="21:21" ht="26.4">
      <c r="U4374" s="85" ph="1"/>
    </row>
    <row r="4375" spans="21:21" ht="26.4">
      <c r="U4375" s="85" ph="1"/>
    </row>
    <row r="4376" spans="21:21" ht="26.4">
      <c r="U4376" s="85" ph="1"/>
    </row>
    <row r="4377" spans="21:21" ht="26.4">
      <c r="U4377" s="85" ph="1"/>
    </row>
    <row r="4378" spans="21:21" ht="26.4">
      <c r="U4378" s="85" ph="1"/>
    </row>
    <row r="4379" spans="21:21" ht="26.4">
      <c r="U4379" s="85" ph="1"/>
    </row>
    <row r="4380" spans="21:21" ht="26.4">
      <c r="U4380" s="85" ph="1"/>
    </row>
    <row r="4381" spans="21:21" ht="26.4">
      <c r="U4381" s="85" ph="1"/>
    </row>
    <row r="4382" spans="21:21" ht="26.4">
      <c r="U4382" s="85" ph="1"/>
    </row>
    <row r="4383" spans="21:21" ht="26.4">
      <c r="U4383" s="85" ph="1"/>
    </row>
    <row r="4384" spans="21:21" ht="26.4">
      <c r="U4384" s="85" ph="1"/>
    </row>
    <row r="4385" spans="21:21" ht="26.4">
      <c r="U4385" s="85" ph="1"/>
    </row>
    <row r="4386" spans="21:21" ht="26.4">
      <c r="U4386" s="85" ph="1"/>
    </row>
    <row r="4387" spans="21:21" ht="26.4">
      <c r="U4387" s="85" ph="1"/>
    </row>
    <row r="4388" spans="21:21" ht="26.4">
      <c r="U4388" s="85" ph="1"/>
    </row>
    <row r="4389" spans="21:21" ht="26.4">
      <c r="U4389" s="85" ph="1"/>
    </row>
    <row r="4390" spans="21:21" ht="26.4">
      <c r="U4390" s="85" ph="1"/>
    </row>
    <row r="4391" spans="21:21" ht="26.4">
      <c r="U4391" s="85" ph="1"/>
    </row>
    <row r="4392" spans="21:21" ht="26.4">
      <c r="U4392" s="85" ph="1"/>
    </row>
    <row r="4393" spans="21:21" ht="26.4">
      <c r="U4393" s="85" ph="1"/>
    </row>
    <row r="4394" spans="21:21" ht="26.4">
      <c r="U4394" s="85" ph="1"/>
    </row>
    <row r="4395" spans="21:21" ht="26.4">
      <c r="U4395" s="85" ph="1"/>
    </row>
    <row r="4396" spans="21:21" ht="26.4">
      <c r="U4396" s="85" ph="1"/>
    </row>
    <row r="4397" spans="21:21" ht="26.4">
      <c r="U4397" s="85" ph="1"/>
    </row>
    <row r="4398" spans="21:21" ht="26.4">
      <c r="U4398" s="85" ph="1"/>
    </row>
    <row r="4399" spans="21:21" ht="26.4">
      <c r="U4399" s="85" ph="1"/>
    </row>
    <row r="4400" spans="21:21" ht="26.4">
      <c r="U4400" s="85" ph="1"/>
    </row>
    <row r="4401" spans="21:21" ht="26.4">
      <c r="U4401" s="85" ph="1"/>
    </row>
    <row r="4402" spans="21:21" ht="26.4">
      <c r="U4402" s="85" ph="1"/>
    </row>
    <row r="4403" spans="21:21" ht="26.4">
      <c r="U4403" s="85" ph="1"/>
    </row>
    <row r="4404" spans="21:21" ht="26.4">
      <c r="U4404" s="85" ph="1"/>
    </row>
    <row r="4405" spans="21:21" ht="26.4">
      <c r="U4405" s="85" ph="1"/>
    </row>
    <row r="4406" spans="21:21" ht="26.4">
      <c r="U4406" s="85" ph="1"/>
    </row>
    <row r="4407" spans="21:21" ht="26.4">
      <c r="U4407" s="85" ph="1"/>
    </row>
    <row r="4408" spans="21:21" ht="26.4">
      <c r="U4408" s="85" ph="1"/>
    </row>
    <row r="4409" spans="21:21" ht="26.4">
      <c r="U4409" s="85" ph="1"/>
    </row>
    <row r="4410" spans="21:21" ht="26.4">
      <c r="U4410" s="85" ph="1"/>
    </row>
    <row r="4411" spans="21:21" ht="26.4">
      <c r="U4411" s="85" ph="1"/>
    </row>
    <row r="4412" spans="21:21" ht="26.4">
      <c r="U4412" s="85" ph="1"/>
    </row>
    <row r="4413" spans="21:21" ht="26.4">
      <c r="U4413" s="85" ph="1"/>
    </row>
    <row r="4414" spans="21:21" ht="26.4">
      <c r="U4414" s="85" ph="1"/>
    </row>
    <row r="4415" spans="21:21" ht="26.4">
      <c r="U4415" s="85" ph="1"/>
    </row>
    <row r="4416" spans="21:21" ht="26.4">
      <c r="U4416" s="85" ph="1"/>
    </row>
    <row r="4417" spans="21:21" ht="26.4">
      <c r="U4417" s="85" ph="1"/>
    </row>
    <row r="4418" spans="21:21" ht="26.4">
      <c r="U4418" s="85" ph="1"/>
    </row>
    <row r="4419" spans="21:21" ht="26.4">
      <c r="U4419" s="85" ph="1"/>
    </row>
    <row r="4420" spans="21:21" ht="26.4">
      <c r="U4420" s="85" ph="1"/>
    </row>
    <row r="4421" spans="21:21" ht="26.4">
      <c r="U4421" s="85" ph="1"/>
    </row>
    <row r="4422" spans="21:21" ht="26.4">
      <c r="U4422" s="85" ph="1"/>
    </row>
    <row r="4423" spans="21:21" ht="26.4">
      <c r="U4423" s="85" ph="1"/>
    </row>
    <row r="4424" spans="21:21" ht="26.4">
      <c r="U4424" s="85" ph="1"/>
    </row>
    <row r="4425" spans="21:21" ht="26.4">
      <c r="U4425" s="85" ph="1"/>
    </row>
    <row r="4426" spans="21:21" ht="26.4">
      <c r="U4426" s="85" ph="1"/>
    </row>
    <row r="4427" spans="21:21" ht="26.4">
      <c r="U4427" s="85" ph="1"/>
    </row>
    <row r="4428" spans="21:21" ht="26.4">
      <c r="U4428" s="85" ph="1"/>
    </row>
    <row r="4429" spans="21:21" ht="26.4">
      <c r="U4429" s="85" ph="1"/>
    </row>
    <row r="4430" spans="21:21" ht="26.4">
      <c r="U4430" s="85" ph="1"/>
    </row>
    <row r="4431" spans="21:21" ht="26.4">
      <c r="U4431" s="85" ph="1"/>
    </row>
    <row r="4432" spans="21:21" ht="26.4">
      <c r="U4432" s="85" ph="1"/>
    </row>
    <row r="4433" spans="21:21" ht="26.4">
      <c r="U4433" s="85" ph="1"/>
    </row>
    <row r="4434" spans="21:21" ht="26.4">
      <c r="U4434" s="85" ph="1"/>
    </row>
    <row r="4435" spans="21:21" ht="26.4">
      <c r="U4435" s="85" ph="1"/>
    </row>
    <row r="4436" spans="21:21" ht="26.4">
      <c r="U4436" s="85" ph="1"/>
    </row>
    <row r="4437" spans="21:21" ht="26.4">
      <c r="U4437" s="85" ph="1"/>
    </row>
    <row r="4438" spans="21:21" ht="26.4">
      <c r="U4438" s="85" ph="1"/>
    </row>
    <row r="4439" spans="21:21" ht="26.4">
      <c r="U4439" s="85" ph="1"/>
    </row>
    <row r="4440" spans="21:21" ht="26.4">
      <c r="U4440" s="85" ph="1"/>
    </row>
    <row r="4441" spans="21:21" ht="26.4">
      <c r="U4441" s="85" ph="1"/>
    </row>
    <row r="4442" spans="21:21" ht="26.4">
      <c r="U4442" s="85" ph="1"/>
    </row>
    <row r="4443" spans="21:21" ht="26.4">
      <c r="U4443" s="85" ph="1"/>
    </row>
    <row r="4444" spans="21:21" ht="26.4">
      <c r="U4444" s="85" ph="1"/>
    </row>
    <row r="4445" spans="21:21" ht="26.4">
      <c r="U4445" s="85" ph="1"/>
    </row>
    <row r="4446" spans="21:21" ht="26.4">
      <c r="U4446" s="85" ph="1"/>
    </row>
    <row r="4447" spans="21:21" ht="26.4">
      <c r="U4447" s="85" ph="1"/>
    </row>
    <row r="4448" spans="21:21" ht="26.4">
      <c r="U4448" s="85" ph="1"/>
    </row>
    <row r="4449" spans="21:21" ht="26.4">
      <c r="U4449" s="85" ph="1"/>
    </row>
    <row r="4450" spans="21:21" ht="26.4">
      <c r="U4450" s="85" ph="1"/>
    </row>
    <row r="4451" spans="21:21" ht="26.4">
      <c r="U4451" s="85" ph="1"/>
    </row>
    <row r="4452" spans="21:21" ht="26.4">
      <c r="U4452" s="85" ph="1"/>
    </row>
    <row r="4453" spans="21:21" ht="26.4">
      <c r="U4453" s="85" ph="1"/>
    </row>
    <row r="4454" spans="21:21" ht="26.4">
      <c r="U4454" s="85" ph="1"/>
    </row>
    <row r="4455" spans="21:21" ht="26.4">
      <c r="U4455" s="85" ph="1"/>
    </row>
    <row r="4456" spans="21:21" ht="26.4">
      <c r="U4456" s="85" ph="1"/>
    </row>
    <row r="4457" spans="21:21" ht="26.4">
      <c r="U4457" s="85" ph="1"/>
    </row>
    <row r="4458" spans="21:21" ht="26.4">
      <c r="U4458" s="85" ph="1"/>
    </row>
    <row r="4459" spans="21:21" ht="26.4">
      <c r="U4459" s="85" ph="1"/>
    </row>
    <row r="4460" spans="21:21" ht="26.4">
      <c r="U4460" s="85" ph="1"/>
    </row>
    <row r="4461" spans="21:21" ht="26.4">
      <c r="U4461" s="85" ph="1"/>
    </row>
    <row r="4462" spans="21:21" ht="26.4">
      <c r="U4462" s="85" ph="1"/>
    </row>
    <row r="4463" spans="21:21" ht="26.4">
      <c r="U4463" s="85" ph="1"/>
    </row>
    <row r="4464" spans="21:21" ht="26.4">
      <c r="U4464" s="85" ph="1"/>
    </row>
    <row r="4465" spans="21:21" ht="26.4">
      <c r="U4465" s="85" ph="1"/>
    </row>
    <row r="4466" spans="21:21" ht="26.4">
      <c r="U4466" s="85" ph="1"/>
    </row>
    <row r="4467" spans="21:21" ht="26.4">
      <c r="U4467" s="85" ph="1"/>
    </row>
    <row r="4468" spans="21:21" ht="26.4">
      <c r="U4468" s="85" ph="1"/>
    </row>
    <row r="4469" spans="21:21" ht="26.4">
      <c r="U4469" s="85" ph="1"/>
    </row>
    <row r="4470" spans="21:21" ht="26.4">
      <c r="U4470" s="85" ph="1"/>
    </row>
    <row r="4471" spans="21:21" ht="26.4">
      <c r="U4471" s="85" ph="1"/>
    </row>
    <row r="4472" spans="21:21" ht="26.4">
      <c r="U4472" s="85" ph="1"/>
    </row>
    <row r="4473" spans="21:21" ht="26.4">
      <c r="U4473" s="85" ph="1"/>
    </row>
    <row r="4474" spans="21:21" ht="26.4">
      <c r="U4474" s="85" ph="1"/>
    </row>
    <row r="4475" spans="21:21" ht="26.4">
      <c r="U4475" s="85" ph="1"/>
    </row>
    <row r="4476" spans="21:21" ht="26.4">
      <c r="U4476" s="85" ph="1"/>
    </row>
    <row r="4477" spans="21:21" ht="26.4">
      <c r="U4477" s="85" ph="1"/>
    </row>
    <row r="4478" spans="21:21" ht="26.4">
      <c r="U4478" s="85" ph="1"/>
    </row>
    <row r="4479" spans="21:21" ht="26.4">
      <c r="U4479" s="85" ph="1"/>
    </row>
    <row r="4480" spans="21:21" ht="26.4">
      <c r="U4480" s="85" ph="1"/>
    </row>
    <row r="4481" spans="21:21" ht="26.4">
      <c r="U4481" s="85" ph="1"/>
    </row>
    <row r="4482" spans="21:21" ht="26.4">
      <c r="U4482" s="85" ph="1"/>
    </row>
    <row r="4483" spans="21:21" ht="26.4">
      <c r="U4483" s="85" ph="1"/>
    </row>
    <row r="4484" spans="21:21" ht="26.4">
      <c r="U4484" s="85" ph="1"/>
    </row>
    <row r="4485" spans="21:21" ht="26.4">
      <c r="U4485" s="85" ph="1"/>
    </row>
    <row r="4486" spans="21:21" ht="26.4">
      <c r="U4486" s="85" ph="1"/>
    </row>
    <row r="4487" spans="21:21" ht="26.4">
      <c r="U4487" s="85" ph="1"/>
    </row>
    <row r="4488" spans="21:21" ht="26.4">
      <c r="U4488" s="85" ph="1"/>
    </row>
    <row r="4489" spans="21:21" ht="26.4">
      <c r="U4489" s="85" ph="1"/>
    </row>
    <row r="4490" spans="21:21" ht="26.4">
      <c r="U4490" s="85" ph="1"/>
    </row>
    <row r="4491" spans="21:21" ht="26.4">
      <c r="U4491" s="85" ph="1"/>
    </row>
    <row r="4492" spans="21:21" ht="26.4">
      <c r="U4492" s="85" ph="1"/>
    </row>
    <row r="4493" spans="21:21" ht="26.4">
      <c r="U4493" s="85" ph="1"/>
    </row>
    <row r="4494" spans="21:21" ht="26.4">
      <c r="U4494" s="85" ph="1"/>
    </row>
    <row r="4495" spans="21:21" ht="26.4">
      <c r="U4495" s="85" ph="1"/>
    </row>
    <row r="4496" spans="21:21" ht="26.4">
      <c r="U4496" s="85" ph="1"/>
    </row>
    <row r="4497" spans="21:21" ht="26.4">
      <c r="U4497" s="85" ph="1"/>
    </row>
    <row r="4498" spans="21:21" ht="26.4">
      <c r="U4498" s="85" ph="1"/>
    </row>
    <row r="4499" spans="21:21" ht="26.4">
      <c r="U4499" s="85" ph="1"/>
    </row>
    <row r="4500" spans="21:21" ht="26.4">
      <c r="U4500" s="85" ph="1"/>
    </row>
    <row r="4501" spans="21:21" ht="26.4">
      <c r="U4501" s="85" ph="1"/>
    </row>
    <row r="4502" spans="21:21" ht="26.4">
      <c r="U4502" s="85" ph="1"/>
    </row>
    <row r="4503" spans="21:21" ht="26.4">
      <c r="U4503" s="85" ph="1"/>
    </row>
    <row r="4504" spans="21:21" ht="26.4">
      <c r="U4504" s="85" ph="1"/>
    </row>
    <row r="4505" spans="21:21" ht="26.4">
      <c r="U4505" s="85" ph="1"/>
    </row>
    <row r="4506" spans="21:21" ht="26.4">
      <c r="U4506" s="85" ph="1"/>
    </row>
    <row r="4507" spans="21:21" ht="26.4">
      <c r="U4507" s="85" ph="1"/>
    </row>
    <row r="4508" spans="21:21" ht="26.4">
      <c r="U4508" s="85" ph="1"/>
    </row>
    <row r="4509" spans="21:21" ht="26.4">
      <c r="U4509" s="85" ph="1"/>
    </row>
    <row r="4510" spans="21:21" ht="26.4">
      <c r="U4510" s="85" ph="1"/>
    </row>
    <row r="4511" spans="21:21" ht="26.4">
      <c r="U4511" s="85" ph="1"/>
    </row>
    <row r="4512" spans="21:21" ht="26.4">
      <c r="U4512" s="85" ph="1"/>
    </row>
    <row r="4513" spans="21:21" ht="26.4">
      <c r="U4513" s="85" ph="1"/>
    </row>
    <row r="4514" spans="21:21" ht="26.4">
      <c r="U4514" s="85" ph="1"/>
    </row>
    <row r="4515" spans="21:21" ht="26.4">
      <c r="U4515" s="85" ph="1"/>
    </row>
    <row r="4516" spans="21:21" ht="26.4">
      <c r="U4516" s="85" ph="1"/>
    </row>
    <row r="4517" spans="21:21" ht="26.4">
      <c r="U4517" s="85" ph="1"/>
    </row>
    <row r="4518" spans="21:21" ht="26.4">
      <c r="U4518" s="85" ph="1"/>
    </row>
    <row r="4519" spans="21:21" ht="26.4">
      <c r="U4519" s="85" ph="1"/>
    </row>
    <row r="4520" spans="21:21" ht="26.4">
      <c r="U4520" s="85" ph="1"/>
    </row>
    <row r="4521" spans="21:21" ht="26.4">
      <c r="U4521" s="85" ph="1"/>
    </row>
    <row r="4522" spans="21:21" ht="26.4">
      <c r="U4522" s="85" ph="1"/>
    </row>
    <row r="4523" spans="21:21" ht="26.4">
      <c r="U4523" s="85" ph="1"/>
    </row>
    <row r="4524" spans="21:21" ht="26.4">
      <c r="U4524" s="85" ph="1"/>
    </row>
    <row r="4525" spans="21:21" ht="26.4">
      <c r="U4525" s="85" ph="1"/>
    </row>
    <row r="4526" spans="21:21" ht="26.4">
      <c r="U4526" s="85" ph="1"/>
    </row>
    <row r="4527" spans="21:21" ht="26.4">
      <c r="U4527" s="85" ph="1"/>
    </row>
    <row r="4528" spans="21:21" ht="26.4">
      <c r="U4528" s="85" ph="1"/>
    </row>
    <row r="4529" spans="21:21" ht="26.4">
      <c r="U4529" s="85" ph="1"/>
    </row>
    <row r="4530" spans="21:21" ht="26.4">
      <c r="U4530" s="85" ph="1"/>
    </row>
    <row r="4531" spans="21:21" ht="26.4">
      <c r="U4531" s="85" ph="1"/>
    </row>
    <row r="4532" spans="21:21" ht="26.4">
      <c r="U4532" s="85" ph="1"/>
    </row>
    <row r="4533" spans="21:21" ht="26.4">
      <c r="U4533" s="85" ph="1"/>
    </row>
    <row r="4534" spans="21:21" ht="26.4">
      <c r="U4534" s="85" ph="1"/>
    </row>
    <row r="4535" spans="21:21" ht="26.4">
      <c r="U4535" s="85" ph="1"/>
    </row>
    <row r="4536" spans="21:21" ht="26.4">
      <c r="U4536" s="85" ph="1"/>
    </row>
    <row r="4537" spans="21:21" ht="26.4">
      <c r="U4537" s="85" ph="1"/>
    </row>
    <row r="4538" spans="21:21" ht="26.4">
      <c r="U4538" s="85" ph="1"/>
    </row>
    <row r="4539" spans="21:21" ht="26.4">
      <c r="U4539" s="85" ph="1"/>
    </row>
    <row r="4540" spans="21:21" ht="26.4">
      <c r="U4540" s="85" ph="1"/>
    </row>
    <row r="4541" spans="21:21" ht="26.4">
      <c r="U4541" s="85" ph="1"/>
    </row>
    <row r="4542" spans="21:21" ht="26.4">
      <c r="U4542" s="85" ph="1"/>
    </row>
    <row r="4543" spans="21:21" ht="26.4">
      <c r="U4543" s="85" ph="1"/>
    </row>
    <row r="4544" spans="21:21" ht="26.4">
      <c r="U4544" s="85" ph="1"/>
    </row>
    <row r="4545" spans="21:21" ht="26.4">
      <c r="U4545" s="85" ph="1"/>
    </row>
    <row r="4546" spans="21:21" ht="26.4">
      <c r="U4546" s="85" ph="1"/>
    </row>
    <row r="4547" spans="21:21" ht="26.4">
      <c r="U4547" s="85" ph="1"/>
    </row>
    <row r="4548" spans="21:21" ht="26.4">
      <c r="U4548" s="85" ph="1"/>
    </row>
    <row r="4549" spans="21:21" ht="26.4">
      <c r="U4549" s="85" ph="1"/>
    </row>
    <row r="4550" spans="21:21" ht="26.4">
      <c r="U4550" s="85" ph="1"/>
    </row>
    <row r="4551" spans="21:21" ht="26.4">
      <c r="U4551" s="85" ph="1"/>
    </row>
    <row r="4552" spans="21:21" ht="26.4">
      <c r="U4552" s="85" ph="1"/>
    </row>
    <row r="4553" spans="21:21" ht="26.4">
      <c r="U4553" s="85" ph="1"/>
    </row>
    <row r="4554" spans="21:21" ht="26.4">
      <c r="U4554" s="85" ph="1"/>
    </row>
    <row r="4555" spans="21:21" ht="26.4">
      <c r="U4555" s="85" ph="1"/>
    </row>
    <row r="4556" spans="21:21" ht="26.4">
      <c r="U4556" s="85" ph="1"/>
    </row>
    <row r="4557" spans="21:21" ht="26.4">
      <c r="U4557" s="85" ph="1"/>
    </row>
    <row r="4558" spans="21:21" ht="26.4">
      <c r="U4558" s="85" ph="1"/>
    </row>
    <row r="4559" spans="21:21" ht="26.4">
      <c r="U4559" s="85" ph="1"/>
    </row>
    <row r="4560" spans="21:21" ht="26.4">
      <c r="U4560" s="85" ph="1"/>
    </row>
    <row r="4561" spans="21:21" ht="26.4">
      <c r="U4561" s="85" ph="1"/>
    </row>
    <row r="4562" spans="21:21" ht="26.4">
      <c r="U4562" s="85" ph="1"/>
    </row>
    <row r="4563" spans="21:21" ht="26.4">
      <c r="U4563" s="85" ph="1"/>
    </row>
    <row r="4564" spans="21:21" ht="26.4">
      <c r="U4564" s="85" ph="1"/>
    </row>
    <row r="4565" spans="21:21" ht="26.4">
      <c r="U4565" s="85" ph="1"/>
    </row>
    <row r="4566" spans="21:21" ht="26.4">
      <c r="U4566" s="85" ph="1"/>
    </row>
    <row r="4567" spans="21:21" ht="26.4">
      <c r="U4567" s="85" ph="1"/>
    </row>
    <row r="4568" spans="21:21" ht="26.4">
      <c r="U4568" s="85" ph="1"/>
    </row>
    <row r="4569" spans="21:21" ht="26.4">
      <c r="U4569" s="85" ph="1"/>
    </row>
    <row r="4570" spans="21:21" ht="26.4">
      <c r="U4570" s="85" ph="1"/>
    </row>
    <row r="4571" spans="21:21" ht="26.4">
      <c r="U4571" s="85" ph="1"/>
    </row>
    <row r="4572" spans="21:21" ht="26.4">
      <c r="U4572" s="85" ph="1"/>
    </row>
    <row r="4573" spans="21:21" ht="26.4">
      <c r="U4573" s="85" ph="1"/>
    </row>
    <row r="4574" spans="21:21" ht="26.4">
      <c r="U4574" s="85" ph="1"/>
    </row>
    <row r="4575" spans="21:21" ht="26.4">
      <c r="U4575" s="85" ph="1"/>
    </row>
    <row r="4576" spans="21:21" ht="26.4">
      <c r="U4576" s="85" ph="1"/>
    </row>
    <row r="4577" spans="21:21" ht="26.4">
      <c r="U4577" s="85" ph="1"/>
    </row>
    <row r="4578" spans="21:21" ht="26.4">
      <c r="U4578" s="85" ph="1"/>
    </row>
    <row r="4579" spans="21:21" ht="26.4">
      <c r="U4579" s="85" ph="1"/>
    </row>
    <row r="4580" spans="21:21" ht="26.4">
      <c r="U4580" s="85" ph="1"/>
    </row>
    <row r="4581" spans="21:21" ht="26.4">
      <c r="U4581" s="85" ph="1"/>
    </row>
    <row r="4582" spans="21:21" ht="26.4">
      <c r="U4582" s="85" ph="1"/>
    </row>
    <row r="4583" spans="21:21" ht="26.4">
      <c r="U4583" s="85" ph="1"/>
    </row>
    <row r="4584" spans="21:21" ht="26.4">
      <c r="U4584" s="85" ph="1"/>
    </row>
    <row r="4585" spans="21:21" ht="26.4">
      <c r="U4585" s="85" ph="1"/>
    </row>
    <row r="4586" spans="21:21" ht="26.4">
      <c r="U4586" s="85" ph="1"/>
    </row>
    <row r="4587" spans="21:21" ht="26.4">
      <c r="U4587" s="85" ph="1"/>
    </row>
    <row r="4588" spans="21:21" ht="26.4">
      <c r="U4588" s="85" ph="1"/>
    </row>
    <row r="4589" spans="21:21" ht="26.4">
      <c r="U4589" s="85" ph="1"/>
    </row>
    <row r="4590" spans="21:21" ht="26.4">
      <c r="U4590" s="85" ph="1"/>
    </row>
    <row r="4591" spans="21:21" ht="26.4">
      <c r="U4591" s="85" ph="1"/>
    </row>
    <row r="4592" spans="21:21" ht="26.4">
      <c r="U4592" s="85" ph="1"/>
    </row>
    <row r="4593" spans="21:21" ht="26.4">
      <c r="U4593" s="85" ph="1"/>
    </row>
    <row r="4594" spans="21:21" ht="26.4">
      <c r="U4594" s="85" ph="1"/>
    </row>
    <row r="4595" spans="21:21" ht="26.4">
      <c r="U4595" s="85" ph="1"/>
    </row>
    <row r="4596" spans="21:21" ht="26.4">
      <c r="U4596" s="85" ph="1"/>
    </row>
    <row r="4597" spans="21:21" ht="26.4">
      <c r="U4597" s="85" ph="1"/>
    </row>
    <row r="4598" spans="21:21" ht="26.4">
      <c r="U4598" s="85" ph="1"/>
    </row>
    <row r="4599" spans="21:21" ht="26.4">
      <c r="U4599" s="85" ph="1"/>
    </row>
    <row r="4600" spans="21:21" ht="26.4">
      <c r="U4600" s="85" ph="1"/>
    </row>
    <row r="4601" spans="21:21" ht="26.4">
      <c r="U4601" s="85" ph="1"/>
    </row>
    <row r="4602" spans="21:21" ht="26.4">
      <c r="U4602" s="85" ph="1"/>
    </row>
    <row r="4603" spans="21:21" ht="26.4">
      <c r="U4603" s="85" ph="1"/>
    </row>
    <row r="4604" spans="21:21" ht="26.4">
      <c r="U4604" s="85" ph="1"/>
    </row>
    <row r="4605" spans="21:21" ht="26.4">
      <c r="U4605" s="85" ph="1"/>
    </row>
    <row r="4606" spans="21:21" ht="26.4">
      <c r="U4606" s="85" ph="1"/>
    </row>
    <row r="4607" spans="21:21" ht="26.4">
      <c r="U4607" s="85" ph="1"/>
    </row>
    <row r="4608" spans="21:21" ht="26.4">
      <c r="U4608" s="85" ph="1"/>
    </row>
    <row r="4609" spans="21:21" ht="26.4">
      <c r="U4609" s="85" ph="1"/>
    </row>
    <row r="4610" spans="21:21" ht="26.4">
      <c r="U4610" s="85" ph="1"/>
    </row>
    <row r="4611" spans="21:21" ht="26.4">
      <c r="U4611" s="85" ph="1"/>
    </row>
    <row r="4612" spans="21:21" ht="26.4">
      <c r="U4612" s="85" ph="1"/>
    </row>
    <row r="4613" spans="21:21" ht="26.4">
      <c r="U4613" s="85" ph="1"/>
    </row>
    <row r="4614" spans="21:21" ht="26.4">
      <c r="U4614" s="85" ph="1"/>
    </row>
    <row r="4615" spans="21:21" ht="26.4">
      <c r="U4615" s="85" ph="1"/>
    </row>
    <row r="4616" spans="21:21" ht="26.4">
      <c r="U4616" s="85" ph="1"/>
    </row>
    <row r="4617" spans="21:21" ht="26.4">
      <c r="U4617" s="85" ph="1"/>
    </row>
    <row r="4618" spans="21:21" ht="26.4">
      <c r="U4618" s="85" ph="1"/>
    </row>
    <row r="4619" spans="21:21" ht="26.4">
      <c r="U4619" s="85" ph="1"/>
    </row>
    <row r="4620" spans="21:21" ht="26.4">
      <c r="U4620" s="85" ph="1"/>
    </row>
    <row r="4621" spans="21:21" ht="26.4">
      <c r="U4621" s="85" ph="1"/>
    </row>
    <row r="4622" spans="21:21" ht="26.4">
      <c r="U4622" s="85" ph="1"/>
    </row>
    <row r="4623" spans="21:21" ht="26.4">
      <c r="U4623" s="85" ph="1"/>
    </row>
    <row r="4624" spans="21:21" ht="26.4">
      <c r="U4624" s="85" ph="1"/>
    </row>
    <row r="4625" spans="21:21" ht="26.4">
      <c r="U4625" s="85" ph="1"/>
    </row>
    <row r="4626" spans="21:21" ht="26.4">
      <c r="U4626" s="85" ph="1"/>
    </row>
    <row r="4627" spans="21:21" ht="26.4">
      <c r="U4627" s="85" ph="1"/>
    </row>
    <row r="4628" spans="21:21" ht="26.4">
      <c r="U4628" s="85" ph="1"/>
    </row>
    <row r="4629" spans="21:21" ht="26.4">
      <c r="U4629" s="85" ph="1"/>
    </row>
    <row r="4630" spans="21:21" ht="26.4">
      <c r="U4630" s="85" ph="1"/>
    </row>
    <row r="4631" spans="21:21" ht="26.4">
      <c r="U4631" s="85" ph="1"/>
    </row>
    <row r="4632" spans="21:21" ht="26.4">
      <c r="U4632" s="85" ph="1"/>
    </row>
    <row r="4633" spans="21:21" ht="26.4">
      <c r="U4633" s="85" ph="1"/>
    </row>
    <row r="4634" spans="21:21" ht="26.4">
      <c r="U4634" s="85" ph="1"/>
    </row>
    <row r="4635" spans="21:21" ht="26.4">
      <c r="U4635" s="85" ph="1"/>
    </row>
    <row r="4636" spans="21:21" ht="26.4">
      <c r="U4636" s="85" ph="1"/>
    </row>
    <row r="4637" spans="21:21" ht="26.4">
      <c r="U4637" s="85" ph="1"/>
    </row>
    <row r="4638" spans="21:21" ht="26.4">
      <c r="U4638" s="85" ph="1"/>
    </row>
    <row r="4639" spans="21:21" ht="26.4">
      <c r="U4639" s="85" ph="1"/>
    </row>
    <row r="4640" spans="21:21" ht="26.4">
      <c r="U4640" s="85" ph="1"/>
    </row>
    <row r="4641" spans="21:21" ht="26.4">
      <c r="U4641" s="85" ph="1"/>
    </row>
    <row r="4642" spans="21:21" ht="26.4">
      <c r="U4642" s="85" ph="1"/>
    </row>
    <row r="4643" spans="21:21" ht="26.4">
      <c r="U4643" s="85" ph="1"/>
    </row>
    <row r="4644" spans="21:21" ht="26.4">
      <c r="U4644" s="85" ph="1"/>
    </row>
    <row r="4645" spans="21:21" ht="26.4">
      <c r="U4645" s="85" ph="1"/>
    </row>
    <row r="4646" spans="21:21" ht="26.4">
      <c r="U4646" s="85" ph="1"/>
    </row>
    <row r="4647" spans="21:21" ht="26.4">
      <c r="U4647" s="85" ph="1"/>
    </row>
    <row r="4648" spans="21:21" ht="26.4">
      <c r="U4648" s="85" ph="1"/>
    </row>
    <row r="4649" spans="21:21" ht="26.4">
      <c r="U4649" s="85" ph="1"/>
    </row>
    <row r="4650" spans="21:21" ht="26.4">
      <c r="U4650" s="85" ph="1"/>
    </row>
    <row r="4651" spans="21:21" ht="26.4">
      <c r="U4651" s="85" ph="1"/>
    </row>
    <row r="4652" spans="21:21" ht="26.4">
      <c r="U4652" s="85" ph="1"/>
    </row>
    <row r="4653" spans="21:21" ht="26.4">
      <c r="U4653" s="85" ph="1"/>
    </row>
    <row r="4654" spans="21:21" ht="26.4">
      <c r="U4654" s="85" ph="1"/>
    </row>
    <row r="4655" spans="21:21" ht="26.4">
      <c r="U4655" s="85" ph="1"/>
    </row>
    <row r="4656" spans="21:21" ht="26.4">
      <c r="U4656" s="85" ph="1"/>
    </row>
    <row r="4657" spans="21:21" ht="26.4">
      <c r="U4657" s="85" ph="1"/>
    </row>
    <row r="4658" spans="21:21" ht="26.4">
      <c r="U4658" s="85" ph="1"/>
    </row>
    <row r="4659" spans="21:21" ht="26.4">
      <c r="U4659" s="85" ph="1"/>
    </row>
    <row r="4660" spans="21:21" ht="26.4">
      <c r="U4660" s="85" ph="1"/>
    </row>
    <row r="4661" spans="21:21" ht="26.4">
      <c r="U4661" s="85" ph="1"/>
    </row>
    <row r="4662" spans="21:21" ht="26.4">
      <c r="U4662" s="85" ph="1"/>
    </row>
    <row r="4663" spans="21:21" ht="26.4">
      <c r="U4663" s="85" ph="1"/>
    </row>
    <row r="4664" spans="21:21" ht="26.4">
      <c r="U4664" s="85" ph="1"/>
    </row>
    <row r="4665" spans="21:21" ht="26.4">
      <c r="U4665" s="85" ph="1"/>
    </row>
    <row r="4666" spans="21:21" ht="26.4">
      <c r="U4666" s="85" ph="1"/>
    </row>
    <row r="4667" spans="21:21" ht="26.4">
      <c r="U4667" s="85" ph="1"/>
    </row>
    <row r="4668" spans="21:21" ht="26.4">
      <c r="U4668" s="85" ph="1"/>
    </row>
    <row r="4669" spans="21:21" ht="26.4">
      <c r="U4669" s="85" ph="1"/>
    </row>
    <row r="4670" spans="21:21" ht="26.4">
      <c r="U4670" s="85" ph="1"/>
    </row>
    <row r="4671" spans="21:21" ht="26.4">
      <c r="U4671" s="85" ph="1"/>
    </row>
    <row r="4672" spans="21:21" ht="26.4">
      <c r="U4672" s="85" ph="1"/>
    </row>
    <row r="4673" spans="21:21" ht="26.4">
      <c r="U4673" s="85" ph="1"/>
    </row>
    <row r="4674" spans="21:21" ht="26.4">
      <c r="U4674" s="85" ph="1"/>
    </row>
    <row r="4675" spans="21:21" ht="26.4">
      <c r="U4675" s="85" ph="1"/>
    </row>
    <row r="4676" spans="21:21" ht="26.4">
      <c r="U4676" s="85" ph="1"/>
    </row>
    <row r="4677" spans="21:21" ht="26.4">
      <c r="U4677" s="85" ph="1"/>
    </row>
    <row r="4678" spans="21:21" ht="26.4">
      <c r="U4678" s="85" ph="1"/>
    </row>
    <row r="4679" spans="21:21" ht="26.4">
      <c r="U4679" s="85" ph="1"/>
    </row>
    <row r="4680" spans="21:21" ht="26.4">
      <c r="U4680" s="85" ph="1"/>
    </row>
    <row r="4681" spans="21:21" ht="26.4">
      <c r="U4681" s="85" ph="1"/>
    </row>
    <row r="4682" spans="21:21" ht="26.4">
      <c r="U4682" s="85" ph="1"/>
    </row>
    <row r="4683" spans="21:21" ht="26.4">
      <c r="U4683" s="85" ph="1"/>
    </row>
    <row r="4684" spans="21:21" ht="26.4">
      <c r="U4684" s="85" ph="1"/>
    </row>
    <row r="4685" spans="21:21" ht="26.4">
      <c r="U4685" s="85" ph="1"/>
    </row>
    <row r="4686" spans="21:21" ht="26.4">
      <c r="U4686" s="85" ph="1"/>
    </row>
    <row r="4687" spans="21:21" ht="26.4">
      <c r="U4687" s="85" ph="1"/>
    </row>
    <row r="4688" spans="21:21" ht="26.4">
      <c r="U4688" s="85" ph="1"/>
    </row>
    <row r="4689" spans="21:21" ht="26.4">
      <c r="U4689" s="85" ph="1"/>
    </row>
    <row r="4690" spans="21:21" ht="26.4">
      <c r="U4690" s="85" ph="1"/>
    </row>
    <row r="4691" spans="21:21" ht="26.4">
      <c r="U4691" s="85" ph="1"/>
    </row>
    <row r="4692" spans="21:21" ht="26.4">
      <c r="U4692" s="85" ph="1"/>
    </row>
    <row r="4693" spans="21:21" ht="26.4">
      <c r="U4693" s="85" ph="1"/>
    </row>
    <row r="4694" spans="21:21" ht="26.4">
      <c r="U4694" s="85" ph="1"/>
    </row>
    <row r="4695" spans="21:21" ht="26.4">
      <c r="U4695" s="85" ph="1"/>
    </row>
    <row r="4696" spans="21:21" ht="26.4">
      <c r="U4696" s="85" ph="1"/>
    </row>
    <row r="4697" spans="21:21" ht="26.4">
      <c r="U4697" s="85" ph="1"/>
    </row>
    <row r="4698" spans="21:21" ht="26.4">
      <c r="U4698" s="85" ph="1"/>
    </row>
    <row r="4699" spans="21:21" ht="26.4">
      <c r="U4699" s="85" ph="1"/>
    </row>
    <row r="4700" spans="21:21" ht="26.4">
      <c r="U4700" s="85" ph="1"/>
    </row>
    <row r="4701" spans="21:21" ht="26.4">
      <c r="U4701" s="85" ph="1"/>
    </row>
    <row r="4702" spans="21:21" ht="26.4">
      <c r="U4702" s="85" ph="1"/>
    </row>
    <row r="4703" spans="21:21" ht="26.4">
      <c r="U4703" s="85" ph="1"/>
    </row>
    <row r="4704" spans="21:21" ht="26.4">
      <c r="U4704" s="85" ph="1"/>
    </row>
    <row r="4705" spans="21:21" ht="26.4">
      <c r="U4705" s="85" ph="1"/>
    </row>
    <row r="4706" spans="21:21" ht="26.4">
      <c r="U4706" s="85" ph="1"/>
    </row>
    <row r="4707" spans="21:21" ht="26.4">
      <c r="U4707" s="85" ph="1"/>
    </row>
    <row r="4708" spans="21:21" ht="26.4">
      <c r="U4708" s="85" ph="1"/>
    </row>
    <row r="4709" spans="21:21" ht="26.4">
      <c r="U4709" s="85" ph="1"/>
    </row>
    <row r="4710" spans="21:21" ht="26.4">
      <c r="U4710" s="85" ph="1"/>
    </row>
    <row r="4711" spans="21:21" ht="26.4">
      <c r="U4711" s="85" ph="1"/>
    </row>
    <row r="4712" spans="21:21" ht="26.4">
      <c r="U4712" s="85" ph="1"/>
    </row>
    <row r="4713" spans="21:21" ht="26.4">
      <c r="U4713" s="85" ph="1"/>
    </row>
    <row r="4714" spans="21:21" ht="26.4">
      <c r="U4714" s="85" ph="1"/>
    </row>
    <row r="4715" spans="21:21" ht="26.4">
      <c r="U4715" s="85" ph="1"/>
    </row>
    <row r="4716" spans="21:21" ht="26.4">
      <c r="U4716" s="85" ph="1"/>
    </row>
    <row r="4717" spans="21:21" ht="26.4">
      <c r="U4717" s="85" ph="1"/>
    </row>
    <row r="4718" spans="21:21" ht="26.4">
      <c r="U4718" s="85" ph="1"/>
    </row>
    <row r="4719" spans="21:21" ht="26.4">
      <c r="U4719" s="85" ph="1"/>
    </row>
    <row r="4720" spans="21:21" ht="26.4">
      <c r="U4720" s="85" ph="1"/>
    </row>
    <row r="4721" spans="21:21" ht="26.4">
      <c r="U4721" s="85" ph="1"/>
    </row>
    <row r="4722" spans="21:21" ht="26.4">
      <c r="U4722" s="85" ph="1"/>
    </row>
    <row r="4723" spans="21:21" ht="26.4">
      <c r="U4723" s="85" ph="1"/>
    </row>
    <row r="4724" spans="21:21" ht="26.4">
      <c r="U4724" s="85" ph="1"/>
    </row>
    <row r="4725" spans="21:21" ht="26.4">
      <c r="U4725" s="85" ph="1"/>
    </row>
    <row r="4726" spans="21:21" ht="26.4">
      <c r="U4726" s="85" ph="1"/>
    </row>
    <row r="4727" spans="21:21" ht="26.4">
      <c r="U4727" s="85" ph="1"/>
    </row>
    <row r="4728" spans="21:21" ht="26.4">
      <c r="U4728" s="85" ph="1"/>
    </row>
    <row r="4729" spans="21:21" ht="26.4">
      <c r="U4729" s="85" ph="1"/>
    </row>
    <row r="4730" spans="21:21" ht="26.4">
      <c r="U4730" s="85" ph="1"/>
    </row>
    <row r="4731" spans="21:21" ht="26.4">
      <c r="U4731" s="85" ph="1"/>
    </row>
    <row r="4732" spans="21:21" ht="26.4">
      <c r="U4732" s="85" ph="1"/>
    </row>
    <row r="4733" spans="21:21" ht="26.4">
      <c r="U4733" s="85" ph="1"/>
    </row>
    <row r="4734" spans="21:21" ht="26.4">
      <c r="U4734" s="85" ph="1"/>
    </row>
    <row r="4735" spans="21:21" ht="26.4">
      <c r="U4735" s="85" ph="1"/>
    </row>
    <row r="4736" spans="21:21" ht="26.4">
      <c r="U4736" s="85" ph="1"/>
    </row>
    <row r="4737" spans="21:21" ht="26.4">
      <c r="U4737" s="85" ph="1"/>
    </row>
    <row r="4738" spans="21:21" ht="26.4">
      <c r="U4738" s="85" ph="1"/>
    </row>
    <row r="4739" spans="21:21" ht="26.4">
      <c r="U4739" s="85" ph="1"/>
    </row>
    <row r="4740" spans="21:21" ht="26.4">
      <c r="U4740" s="85" ph="1"/>
    </row>
    <row r="4741" spans="21:21" ht="26.4">
      <c r="U4741" s="85" ph="1"/>
    </row>
    <row r="4742" spans="21:21" ht="26.4">
      <c r="U4742" s="85" ph="1"/>
    </row>
    <row r="4743" spans="21:21" ht="26.4">
      <c r="U4743" s="85" ph="1"/>
    </row>
    <row r="4744" spans="21:21" ht="26.4">
      <c r="U4744" s="85" ph="1"/>
    </row>
    <row r="4745" spans="21:21" ht="26.4">
      <c r="U4745" s="85" ph="1"/>
    </row>
    <row r="4746" spans="21:21" ht="26.4">
      <c r="U4746" s="85" ph="1"/>
    </row>
    <row r="4747" spans="21:21" ht="26.4">
      <c r="U4747" s="85" ph="1"/>
    </row>
    <row r="4748" spans="21:21" ht="26.4">
      <c r="U4748" s="85" ph="1"/>
    </row>
    <row r="4749" spans="21:21" ht="26.4">
      <c r="U4749" s="85" ph="1"/>
    </row>
    <row r="4750" spans="21:21" ht="26.4">
      <c r="U4750" s="85" ph="1"/>
    </row>
    <row r="4751" spans="21:21" ht="26.4">
      <c r="U4751" s="85" ph="1"/>
    </row>
    <row r="4752" spans="21:21" ht="26.4">
      <c r="U4752" s="85" ph="1"/>
    </row>
    <row r="4753" spans="21:21" ht="26.4">
      <c r="U4753" s="85" ph="1"/>
    </row>
    <row r="4754" spans="21:21" ht="26.4">
      <c r="U4754" s="85" ph="1"/>
    </row>
    <row r="4755" spans="21:21" ht="26.4">
      <c r="U4755" s="85" ph="1"/>
    </row>
    <row r="4756" spans="21:21" ht="26.4">
      <c r="U4756" s="85" ph="1"/>
    </row>
    <row r="4757" spans="21:21" ht="26.4">
      <c r="U4757" s="85" ph="1"/>
    </row>
    <row r="4758" spans="21:21" ht="26.4">
      <c r="U4758" s="85" ph="1"/>
    </row>
    <row r="4759" spans="21:21" ht="26.4">
      <c r="U4759" s="85" ph="1"/>
    </row>
    <row r="4760" spans="21:21" ht="26.4">
      <c r="U4760" s="85" ph="1"/>
    </row>
    <row r="4761" spans="21:21" ht="26.4">
      <c r="U4761" s="85" ph="1"/>
    </row>
    <row r="4762" spans="21:21" ht="26.4">
      <c r="U4762" s="85" ph="1"/>
    </row>
    <row r="4763" spans="21:21" ht="26.4">
      <c r="U4763" s="85" ph="1"/>
    </row>
    <row r="4764" spans="21:21" ht="26.4">
      <c r="U4764" s="85" ph="1"/>
    </row>
    <row r="4765" spans="21:21" ht="26.4">
      <c r="U4765" s="85" ph="1"/>
    </row>
    <row r="4766" spans="21:21" ht="26.4">
      <c r="U4766" s="85" ph="1"/>
    </row>
    <row r="4767" spans="21:21" ht="26.4">
      <c r="U4767" s="85" ph="1"/>
    </row>
    <row r="4768" spans="21:21" ht="26.4">
      <c r="U4768" s="85" ph="1"/>
    </row>
    <row r="4769" spans="21:21" ht="26.4">
      <c r="U4769" s="85" ph="1"/>
    </row>
    <row r="4770" spans="21:21" ht="26.4">
      <c r="U4770" s="85" ph="1"/>
    </row>
    <row r="4771" spans="21:21" ht="26.4">
      <c r="U4771" s="85" ph="1"/>
    </row>
    <row r="4772" spans="21:21" ht="26.4">
      <c r="U4772" s="85" ph="1"/>
    </row>
    <row r="4773" spans="21:21" ht="26.4">
      <c r="U4773" s="85" ph="1"/>
    </row>
    <row r="4774" spans="21:21" ht="26.4">
      <c r="U4774" s="85" ph="1"/>
    </row>
    <row r="4775" spans="21:21" ht="26.4">
      <c r="U4775" s="85" ph="1"/>
    </row>
    <row r="4776" spans="21:21" ht="26.4">
      <c r="U4776" s="85" ph="1"/>
    </row>
    <row r="4777" spans="21:21" ht="26.4">
      <c r="U4777" s="85" ph="1"/>
    </row>
    <row r="4778" spans="21:21" ht="26.4">
      <c r="U4778" s="85" ph="1"/>
    </row>
    <row r="4779" spans="21:21" ht="26.4">
      <c r="U4779" s="85" ph="1"/>
    </row>
    <row r="4780" spans="21:21" ht="26.4">
      <c r="U4780" s="85" ph="1"/>
    </row>
    <row r="4781" spans="21:21" ht="26.4">
      <c r="U4781" s="85" ph="1"/>
    </row>
    <row r="4782" spans="21:21" ht="26.4">
      <c r="U4782" s="85" ph="1"/>
    </row>
    <row r="4783" spans="21:21" ht="26.4">
      <c r="U4783" s="85" ph="1"/>
    </row>
    <row r="4784" spans="21:21" ht="26.4">
      <c r="U4784" s="85" ph="1"/>
    </row>
    <row r="4785" spans="21:21" ht="26.4">
      <c r="U4785" s="85" ph="1"/>
    </row>
    <row r="4786" spans="21:21" ht="26.4">
      <c r="U4786" s="85" ph="1"/>
    </row>
    <row r="4787" spans="21:21" ht="26.4">
      <c r="U4787" s="85" ph="1"/>
    </row>
    <row r="4788" spans="21:21" ht="26.4">
      <c r="U4788" s="85" ph="1"/>
    </row>
    <row r="4789" spans="21:21" ht="26.4">
      <c r="U4789" s="85" ph="1"/>
    </row>
    <row r="4790" spans="21:21" ht="26.4">
      <c r="U4790" s="85" ph="1"/>
    </row>
    <row r="4791" spans="21:21" ht="26.4">
      <c r="U4791" s="85" ph="1"/>
    </row>
    <row r="4792" spans="21:21" ht="26.4">
      <c r="U4792" s="85" ph="1"/>
    </row>
    <row r="4793" spans="21:21" ht="26.4">
      <c r="U4793" s="85" ph="1"/>
    </row>
    <row r="4794" spans="21:21" ht="26.4">
      <c r="U4794" s="85" ph="1"/>
    </row>
    <row r="4795" spans="21:21" ht="26.4">
      <c r="U4795" s="85" ph="1"/>
    </row>
    <row r="4796" spans="21:21" ht="26.4">
      <c r="U4796" s="85" ph="1"/>
    </row>
    <row r="4797" spans="21:21" ht="26.4">
      <c r="U4797" s="85" ph="1"/>
    </row>
    <row r="4798" spans="21:21" ht="26.4">
      <c r="U4798" s="85" ph="1"/>
    </row>
    <row r="4799" spans="21:21" ht="26.4">
      <c r="U4799" s="85" ph="1"/>
    </row>
    <row r="4800" spans="21:21" ht="26.4">
      <c r="U4800" s="85" ph="1"/>
    </row>
    <row r="4801" spans="21:21" ht="26.4">
      <c r="U4801" s="85" ph="1"/>
    </row>
    <row r="4802" spans="21:21" ht="26.4">
      <c r="U4802" s="85" ph="1"/>
    </row>
    <row r="4803" spans="21:21" ht="26.4">
      <c r="U4803" s="85" ph="1"/>
    </row>
    <row r="4804" spans="21:21" ht="26.4">
      <c r="U4804" s="85" ph="1"/>
    </row>
    <row r="4805" spans="21:21" ht="26.4">
      <c r="U4805" s="85" ph="1"/>
    </row>
    <row r="4806" spans="21:21" ht="26.4">
      <c r="U4806" s="85" ph="1"/>
    </row>
    <row r="4807" spans="21:21" ht="26.4">
      <c r="U4807" s="85" ph="1"/>
    </row>
    <row r="4808" spans="21:21" ht="26.4">
      <c r="U4808" s="85" ph="1"/>
    </row>
    <row r="4809" spans="21:21" ht="26.4">
      <c r="U4809" s="85" ph="1"/>
    </row>
    <row r="4810" spans="21:21" ht="26.4">
      <c r="U4810" s="85" ph="1"/>
    </row>
    <row r="4811" spans="21:21" ht="26.4">
      <c r="U4811" s="85" ph="1"/>
    </row>
    <row r="4812" spans="21:21" ht="26.4">
      <c r="U4812" s="85" ph="1"/>
    </row>
    <row r="4813" spans="21:21" ht="26.4">
      <c r="U4813" s="85" ph="1"/>
    </row>
    <row r="4814" spans="21:21" ht="26.4">
      <c r="U4814" s="85" ph="1"/>
    </row>
    <row r="4815" spans="21:21" ht="26.4">
      <c r="U4815" s="85" ph="1"/>
    </row>
    <row r="4816" spans="21:21" ht="26.4">
      <c r="U4816" s="85" ph="1"/>
    </row>
    <row r="4817" spans="21:21" ht="26.4">
      <c r="U4817" s="85" ph="1"/>
    </row>
    <row r="4818" spans="21:21" ht="26.4">
      <c r="U4818" s="85" ph="1"/>
    </row>
    <row r="4819" spans="21:21" ht="26.4">
      <c r="U4819" s="85" ph="1"/>
    </row>
    <row r="4820" spans="21:21" ht="26.4">
      <c r="U4820" s="85" ph="1"/>
    </row>
    <row r="4821" spans="21:21" ht="26.4">
      <c r="U4821" s="85" ph="1"/>
    </row>
    <row r="4822" spans="21:21" ht="26.4">
      <c r="U4822" s="85" ph="1"/>
    </row>
    <row r="4823" spans="21:21" ht="26.4">
      <c r="U4823" s="85" ph="1"/>
    </row>
    <row r="4824" spans="21:21" ht="26.4">
      <c r="U4824" s="85" ph="1"/>
    </row>
    <row r="4825" spans="21:21" ht="26.4">
      <c r="U4825" s="85" ph="1"/>
    </row>
    <row r="4826" spans="21:21" ht="26.4">
      <c r="U4826" s="85" ph="1"/>
    </row>
    <row r="4827" spans="21:21" ht="26.4">
      <c r="U4827" s="85" ph="1"/>
    </row>
    <row r="4828" spans="21:21" ht="26.4">
      <c r="U4828" s="85" ph="1"/>
    </row>
    <row r="4829" spans="21:21" ht="26.4">
      <c r="U4829" s="85" ph="1"/>
    </row>
    <row r="4830" spans="21:21" ht="26.4">
      <c r="U4830" s="85" ph="1"/>
    </row>
    <row r="4831" spans="21:21" ht="26.4">
      <c r="U4831" s="85" ph="1"/>
    </row>
    <row r="4832" spans="21:21" ht="26.4">
      <c r="U4832" s="85" ph="1"/>
    </row>
    <row r="4833" spans="21:21" ht="26.4">
      <c r="U4833" s="85" ph="1"/>
    </row>
    <row r="4834" spans="21:21" ht="26.4">
      <c r="U4834" s="85" ph="1"/>
    </row>
    <row r="4835" spans="21:21" ht="26.4">
      <c r="U4835" s="85" ph="1"/>
    </row>
    <row r="4836" spans="21:21" ht="26.4">
      <c r="U4836" s="85" ph="1"/>
    </row>
    <row r="4837" spans="21:21" ht="26.4">
      <c r="U4837" s="85" ph="1"/>
    </row>
    <row r="4838" spans="21:21" ht="26.4">
      <c r="U4838" s="85" ph="1"/>
    </row>
    <row r="4839" spans="21:21" ht="26.4">
      <c r="U4839" s="85" ph="1"/>
    </row>
    <row r="4840" spans="21:21" ht="26.4">
      <c r="U4840" s="85" ph="1"/>
    </row>
    <row r="4841" spans="21:21" ht="26.4">
      <c r="U4841" s="85" ph="1"/>
    </row>
    <row r="4842" spans="21:21" ht="26.4">
      <c r="U4842" s="85" ph="1"/>
    </row>
    <row r="4843" spans="21:21" ht="26.4">
      <c r="U4843" s="85" ph="1"/>
    </row>
    <row r="4844" spans="21:21" ht="26.4">
      <c r="U4844" s="85" ph="1"/>
    </row>
    <row r="4845" spans="21:21" ht="26.4">
      <c r="U4845" s="85" ph="1"/>
    </row>
    <row r="4846" spans="21:21" ht="26.4">
      <c r="U4846" s="85" ph="1"/>
    </row>
    <row r="4847" spans="21:21" ht="26.4">
      <c r="U4847" s="85" ph="1"/>
    </row>
    <row r="4848" spans="21:21" ht="26.4">
      <c r="U4848" s="85" ph="1"/>
    </row>
    <row r="4849" spans="21:21" ht="26.4">
      <c r="U4849" s="85" ph="1"/>
    </row>
    <row r="4850" spans="21:21" ht="26.4">
      <c r="U4850" s="85" ph="1"/>
    </row>
    <row r="4851" spans="21:21" ht="26.4">
      <c r="U4851" s="85" ph="1"/>
    </row>
    <row r="4852" spans="21:21" ht="26.4">
      <c r="U4852" s="85" ph="1"/>
    </row>
    <row r="4853" spans="21:21" ht="26.4">
      <c r="U4853" s="85" ph="1"/>
    </row>
    <row r="4854" spans="21:21" ht="26.4">
      <c r="U4854" s="85" ph="1"/>
    </row>
    <row r="4855" spans="21:21" ht="26.4">
      <c r="U4855" s="85" ph="1"/>
    </row>
    <row r="4856" spans="21:21" ht="26.4">
      <c r="U4856" s="85" ph="1"/>
    </row>
    <row r="4857" spans="21:21" ht="26.4">
      <c r="U4857" s="85" ph="1"/>
    </row>
    <row r="4858" spans="21:21" ht="26.4">
      <c r="U4858" s="85" ph="1"/>
    </row>
    <row r="4859" spans="21:21" ht="26.4">
      <c r="U4859" s="85" ph="1"/>
    </row>
    <row r="4860" spans="21:21" ht="26.4">
      <c r="U4860" s="85" ph="1"/>
    </row>
    <row r="4861" spans="21:21" ht="26.4">
      <c r="U4861" s="85" ph="1"/>
    </row>
    <row r="4862" spans="21:21" ht="26.4">
      <c r="U4862" s="85" ph="1"/>
    </row>
    <row r="4863" spans="21:21" ht="26.4">
      <c r="U4863" s="85" ph="1"/>
    </row>
    <row r="4864" spans="21:21" ht="26.4">
      <c r="U4864" s="85" ph="1"/>
    </row>
    <row r="4865" spans="21:21" ht="26.4">
      <c r="U4865" s="85" ph="1"/>
    </row>
    <row r="4866" spans="21:21" ht="26.4">
      <c r="U4866" s="85" ph="1"/>
    </row>
    <row r="4867" spans="21:21" ht="26.4">
      <c r="U4867" s="85" ph="1"/>
    </row>
    <row r="4868" spans="21:21" ht="26.4">
      <c r="U4868" s="85" ph="1"/>
    </row>
    <row r="4869" spans="21:21" ht="26.4">
      <c r="U4869" s="85" ph="1"/>
    </row>
    <row r="4870" spans="21:21" ht="26.4">
      <c r="U4870" s="85" ph="1"/>
    </row>
    <row r="4871" spans="21:21" ht="26.4">
      <c r="U4871" s="85" ph="1"/>
    </row>
    <row r="4872" spans="21:21" ht="26.4">
      <c r="U4872" s="85" ph="1"/>
    </row>
    <row r="4873" spans="21:21" ht="26.4">
      <c r="U4873" s="85" ph="1"/>
    </row>
    <row r="4874" spans="21:21" ht="26.4">
      <c r="U4874" s="85" ph="1"/>
    </row>
    <row r="4875" spans="21:21" ht="26.4">
      <c r="U4875" s="85" ph="1"/>
    </row>
    <row r="4876" spans="21:21" ht="26.4">
      <c r="U4876" s="85" ph="1"/>
    </row>
    <row r="4877" spans="21:21" ht="26.4">
      <c r="U4877" s="85" ph="1"/>
    </row>
    <row r="4878" spans="21:21" ht="26.4">
      <c r="U4878" s="85" ph="1"/>
    </row>
    <row r="4879" spans="21:21" ht="26.4">
      <c r="U4879" s="85" ph="1"/>
    </row>
    <row r="4880" spans="21:21" ht="26.4">
      <c r="U4880" s="85" ph="1"/>
    </row>
    <row r="4881" spans="21:21" ht="26.4">
      <c r="U4881" s="85" ph="1"/>
    </row>
    <row r="4882" spans="21:21" ht="26.4">
      <c r="U4882" s="85" ph="1"/>
    </row>
    <row r="4883" spans="21:21" ht="26.4">
      <c r="U4883" s="85" ph="1"/>
    </row>
    <row r="4884" spans="21:21" ht="26.4">
      <c r="U4884" s="85" ph="1"/>
    </row>
    <row r="4885" spans="21:21" ht="26.4">
      <c r="U4885" s="85" ph="1"/>
    </row>
    <row r="4886" spans="21:21" ht="26.4">
      <c r="U4886" s="85" ph="1"/>
    </row>
    <row r="4887" spans="21:21" ht="26.4">
      <c r="U4887" s="85" ph="1"/>
    </row>
    <row r="4888" spans="21:21" ht="26.4">
      <c r="U4888" s="85" ph="1"/>
    </row>
    <row r="4889" spans="21:21" ht="26.4">
      <c r="U4889" s="85" ph="1"/>
    </row>
    <row r="4890" spans="21:21" ht="26.4">
      <c r="U4890" s="85" ph="1"/>
    </row>
    <row r="4891" spans="21:21" ht="26.4">
      <c r="U4891" s="85" ph="1"/>
    </row>
    <row r="4892" spans="21:21" ht="26.4">
      <c r="U4892" s="85" ph="1"/>
    </row>
    <row r="4893" spans="21:21" ht="26.4">
      <c r="U4893" s="85" ph="1"/>
    </row>
    <row r="4894" spans="21:21" ht="26.4">
      <c r="U4894" s="85" ph="1"/>
    </row>
    <row r="4895" spans="21:21" ht="26.4">
      <c r="U4895" s="85" ph="1"/>
    </row>
    <row r="4896" spans="21:21" ht="26.4">
      <c r="U4896" s="85" ph="1"/>
    </row>
    <row r="4897" spans="21:21" ht="26.4">
      <c r="U4897" s="85" ph="1"/>
    </row>
    <row r="4898" spans="21:21" ht="26.4">
      <c r="U4898" s="85" ph="1"/>
    </row>
    <row r="4899" spans="21:21" ht="26.4">
      <c r="U4899" s="85" ph="1"/>
    </row>
    <row r="4900" spans="21:21" ht="26.4">
      <c r="U4900" s="85" ph="1"/>
    </row>
    <row r="4901" spans="21:21" ht="26.4">
      <c r="U4901" s="85" ph="1"/>
    </row>
    <row r="4902" spans="21:21" ht="26.4">
      <c r="U4902" s="85" ph="1"/>
    </row>
    <row r="4903" spans="21:21" ht="26.4">
      <c r="U4903" s="85" ph="1"/>
    </row>
    <row r="4904" spans="21:21" ht="26.4">
      <c r="U4904" s="85" ph="1"/>
    </row>
    <row r="4905" spans="21:21" ht="26.4">
      <c r="U4905" s="85" ph="1"/>
    </row>
    <row r="4906" spans="21:21" ht="26.4">
      <c r="U4906" s="85" ph="1"/>
    </row>
    <row r="4907" spans="21:21" ht="26.4">
      <c r="U4907" s="85" ph="1"/>
    </row>
    <row r="4908" spans="21:21" ht="26.4">
      <c r="U4908" s="85" ph="1"/>
    </row>
    <row r="4909" spans="21:21" ht="26.4">
      <c r="U4909" s="85" ph="1"/>
    </row>
    <row r="4910" spans="21:21" ht="26.4">
      <c r="U4910" s="85" ph="1"/>
    </row>
    <row r="4911" spans="21:21" ht="26.4">
      <c r="U4911" s="85" ph="1"/>
    </row>
    <row r="4912" spans="21:21" ht="26.4">
      <c r="U4912" s="85" ph="1"/>
    </row>
    <row r="4913" spans="21:21" ht="26.4">
      <c r="U4913" s="85" ph="1"/>
    </row>
    <row r="4914" spans="21:21" ht="26.4">
      <c r="U4914" s="85" ph="1"/>
    </row>
    <row r="4915" spans="21:21" ht="26.4">
      <c r="U4915" s="85" ph="1"/>
    </row>
    <row r="4916" spans="21:21" ht="26.4">
      <c r="U4916" s="85" ph="1"/>
    </row>
    <row r="4917" spans="21:21" ht="26.4">
      <c r="U4917" s="85" ph="1"/>
    </row>
    <row r="4918" spans="21:21" ht="26.4">
      <c r="U4918" s="85" ph="1"/>
    </row>
    <row r="4919" spans="21:21" ht="26.4">
      <c r="U4919" s="85" ph="1"/>
    </row>
    <row r="4920" spans="21:21" ht="26.4">
      <c r="U4920" s="85" ph="1"/>
    </row>
    <row r="4921" spans="21:21" ht="26.4">
      <c r="U4921" s="85" ph="1"/>
    </row>
    <row r="4922" spans="21:21" ht="26.4">
      <c r="U4922" s="85" ph="1"/>
    </row>
    <row r="4923" spans="21:21" ht="26.4">
      <c r="U4923" s="85" ph="1"/>
    </row>
    <row r="4924" spans="21:21" ht="26.4">
      <c r="U4924" s="85" ph="1"/>
    </row>
    <row r="4925" spans="21:21" ht="26.4">
      <c r="U4925" s="85" ph="1"/>
    </row>
    <row r="4926" spans="21:21" ht="26.4">
      <c r="U4926" s="85" ph="1"/>
    </row>
    <row r="4927" spans="21:21" ht="26.4">
      <c r="U4927" s="85" ph="1"/>
    </row>
    <row r="4928" spans="21:21" ht="26.4">
      <c r="U4928" s="85" ph="1"/>
    </row>
    <row r="4929" spans="21:21" ht="26.4">
      <c r="U4929" s="85" ph="1"/>
    </row>
    <row r="4930" spans="21:21" ht="26.4">
      <c r="U4930" s="85" ph="1"/>
    </row>
    <row r="4931" spans="21:21" ht="26.4">
      <c r="U4931" s="85" ph="1"/>
    </row>
    <row r="4932" spans="21:21" ht="26.4">
      <c r="U4932" s="85" ph="1"/>
    </row>
    <row r="4933" spans="21:21" ht="26.4">
      <c r="U4933" s="85" ph="1"/>
    </row>
    <row r="4934" spans="21:21" ht="26.4">
      <c r="U4934" s="85" ph="1"/>
    </row>
    <row r="4935" spans="21:21" ht="26.4">
      <c r="U4935" s="85" ph="1"/>
    </row>
    <row r="4936" spans="21:21" ht="26.4">
      <c r="U4936" s="85" ph="1"/>
    </row>
    <row r="4937" spans="21:21" ht="26.4">
      <c r="U4937" s="85" ph="1"/>
    </row>
    <row r="4938" spans="21:21" ht="26.4">
      <c r="U4938" s="85" ph="1"/>
    </row>
    <row r="4939" spans="21:21" ht="26.4">
      <c r="U4939" s="85" ph="1"/>
    </row>
    <row r="4940" spans="21:21" ht="26.4">
      <c r="U4940" s="85" ph="1"/>
    </row>
    <row r="4941" spans="21:21" ht="26.4">
      <c r="U4941" s="85" ph="1"/>
    </row>
    <row r="4942" spans="21:21" ht="26.4">
      <c r="U4942" s="85" ph="1"/>
    </row>
    <row r="4943" spans="21:21" ht="26.4">
      <c r="U4943" s="85" ph="1"/>
    </row>
    <row r="4944" spans="21:21" ht="26.4">
      <c r="U4944" s="85" ph="1"/>
    </row>
    <row r="4945" spans="21:21" ht="26.4">
      <c r="U4945" s="85" ph="1"/>
    </row>
    <row r="4946" spans="21:21" ht="26.4">
      <c r="U4946" s="85" ph="1"/>
    </row>
    <row r="4947" spans="21:21" ht="26.4">
      <c r="U4947" s="85" ph="1"/>
    </row>
    <row r="4948" spans="21:21" ht="26.4">
      <c r="U4948" s="85" ph="1"/>
    </row>
    <row r="4949" spans="21:21" ht="26.4">
      <c r="U4949" s="85" ph="1"/>
    </row>
    <row r="4950" spans="21:21" ht="26.4">
      <c r="U4950" s="85" ph="1"/>
    </row>
    <row r="4951" spans="21:21" ht="26.4">
      <c r="U4951" s="85" ph="1"/>
    </row>
    <row r="4952" spans="21:21" ht="26.4">
      <c r="U4952" s="85" ph="1"/>
    </row>
    <row r="4953" spans="21:21" ht="26.4">
      <c r="U4953" s="85" ph="1"/>
    </row>
    <row r="4954" spans="21:21" ht="26.4">
      <c r="U4954" s="85" ph="1"/>
    </row>
    <row r="4955" spans="21:21" ht="26.4">
      <c r="U4955" s="85" ph="1"/>
    </row>
    <row r="4956" spans="21:21" ht="26.4">
      <c r="U4956" s="85" ph="1"/>
    </row>
    <row r="4957" spans="21:21" ht="26.4">
      <c r="U4957" s="85" ph="1"/>
    </row>
    <row r="4958" spans="21:21" ht="26.4">
      <c r="U4958" s="85" ph="1"/>
    </row>
    <row r="4959" spans="21:21" ht="26.4">
      <c r="U4959" s="85" ph="1"/>
    </row>
    <row r="4960" spans="21:21" ht="26.4">
      <c r="U4960" s="85" ph="1"/>
    </row>
    <row r="4961" spans="21:21" ht="26.4">
      <c r="U4961" s="85" ph="1"/>
    </row>
    <row r="4962" spans="21:21" ht="26.4">
      <c r="U4962" s="85" ph="1"/>
    </row>
    <row r="4963" spans="21:21" ht="26.4">
      <c r="U4963" s="85" ph="1"/>
    </row>
    <row r="4964" spans="21:21" ht="26.4">
      <c r="U4964" s="85" ph="1"/>
    </row>
    <row r="4965" spans="21:21" ht="26.4">
      <c r="U4965" s="85" ph="1"/>
    </row>
    <row r="4966" spans="21:21" ht="26.4">
      <c r="U4966" s="85" ph="1"/>
    </row>
    <row r="4967" spans="21:21" ht="26.4">
      <c r="U4967" s="85" ph="1"/>
    </row>
    <row r="4968" spans="21:21" ht="26.4">
      <c r="U4968" s="85" ph="1"/>
    </row>
    <row r="4969" spans="21:21" ht="26.4">
      <c r="U4969" s="85" ph="1"/>
    </row>
    <row r="4970" spans="21:21" ht="26.4">
      <c r="U4970" s="85" ph="1"/>
    </row>
    <row r="4971" spans="21:21" ht="26.4">
      <c r="U4971" s="85" ph="1"/>
    </row>
    <row r="4972" spans="21:21" ht="26.4">
      <c r="U4972" s="85" ph="1"/>
    </row>
    <row r="4973" spans="21:21" ht="26.4">
      <c r="U4973" s="85" ph="1"/>
    </row>
    <row r="4974" spans="21:21" ht="26.4">
      <c r="U4974" s="85" ph="1"/>
    </row>
    <row r="4975" spans="21:21" ht="26.4">
      <c r="U4975" s="85" ph="1"/>
    </row>
    <row r="4976" spans="21:21" ht="26.4">
      <c r="U4976" s="85" ph="1"/>
    </row>
    <row r="4977" spans="21:21" ht="26.4">
      <c r="U4977" s="85" ph="1"/>
    </row>
    <row r="4978" spans="21:21" ht="26.4">
      <c r="U4978" s="85" ph="1"/>
    </row>
    <row r="4979" spans="21:21" ht="26.4">
      <c r="U4979" s="85" ph="1"/>
    </row>
    <row r="4980" spans="21:21" ht="26.4">
      <c r="U4980" s="85" ph="1"/>
    </row>
    <row r="4981" spans="21:21" ht="26.4">
      <c r="U4981" s="85" ph="1"/>
    </row>
    <row r="4982" spans="21:21" ht="26.4">
      <c r="U4982" s="85" ph="1"/>
    </row>
    <row r="4983" spans="21:21" ht="26.4">
      <c r="U4983" s="85" ph="1"/>
    </row>
    <row r="4984" spans="21:21" ht="26.4">
      <c r="U4984" s="85" ph="1"/>
    </row>
    <row r="4985" spans="21:21" ht="26.4">
      <c r="U4985" s="85" ph="1"/>
    </row>
    <row r="4986" spans="21:21" ht="26.4">
      <c r="U4986" s="85" ph="1"/>
    </row>
    <row r="4987" spans="21:21" ht="26.4">
      <c r="U4987" s="85" ph="1"/>
    </row>
    <row r="4988" spans="21:21" ht="26.4">
      <c r="U4988" s="85" ph="1"/>
    </row>
    <row r="4989" spans="21:21" ht="26.4">
      <c r="U4989" s="85" ph="1"/>
    </row>
    <row r="4990" spans="21:21" ht="26.4">
      <c r="U4990" s="85" ph="1"/>
    </row>
    <row r="4991" spans="21:21" ht="26.4">
      <c r="U4991" s="85" ph="1"/>
    </row>
    <row r="4992" spans="21:21" ht="26.4">
      <c r="U4992" s="85" ph="1"/>
    </row>
    <row r="4993" spans="21:21" ht="26.4">
      <c r="U4993" s="85" ph="1"/>
    </row>
    <row r="4994" spans="21:21" ht="26.4">
      <c r="U4994" s="85" ph="1"/>
    </row>
    <row r="4995" spans="21:21" ht="26.4">
      <c r="U4995" s="85" ph="1"/>
    </row>
    <row r="4996" spans="21:21" ht="26.4">
      <c r="U4996" s="85" ph="1"/>
    </row>
    <row r="4997" spans="21:21" ht="26.4">
      <c r="U4997" s="85" ph="1"/>
    </row>
    <row r="4998" spans="21:21" ht="26.4">
      <c r="U4998" s="85" ph="1"/>
    </row>
    <row r="4999" spans="21:21" ht="26.4">
      <c r="U4999" s="85" ph="1"/>
    </row>
    <row r="5000" spans="21:21" ht="26.4">
      <c r="U5000" s="85" ph="1"/>
    </row>
    <row r="5001" spans="21:21" ht="26.4">
      <c r="U5001" s="85" ph="1"/>
    </row>
    <row r="5002" spans="21:21" ht="26.4">
      <c r="U5002" s="85" ph="1"/>
    </row>
    <row r="5003" spans="21:21" ht="26.4">
      <c r="U5003" s="85" ph="1"/>
    </row>
    <row r="5004" spans="21:21" ht="26.4">
      <c r="U5004" s="85" ph="1"/>
    </row>
    <row r="5005" spans="21:21" ht="26.4">
      <c r="U5005" s="85" ph="1"/>
    </row>
    <row r="5006" spans="21:21" ht="26.4">
      <c r="U5006" s="85" ph="1"/>
    </row>
    <row r="5007" spans="21:21" ht="26.4">
      <c r="U5007" s="85" ph="1"/>
    </row>
    <row r="5008" spans="21:21" ht="26.4">
      <c r="U5008" s="85" ph="1"/>
    </row>
    <row r="5009" spans="21:21" ht="26.4">
      <c r="U5009" s="85" ph="1"/>
    </row>
    <row r="5010" spans="21:21" ht="26.4">
      <c r="U5010" s="85" ph="1"/>
    </row>
    <row r="5011" spans="21:21" ht="26.4">
      <c r="U5011" s="85" ph="1"/>
    </row>
    <row r="5012" spans="21:21" ht="26.4">
      <c r="U5012" s="85" ph="1"/>
    </row>
    <row r="5013" spans="21:21" ht="26.4">
      <c r="U5013" s="85" ph="1"/>
    </row>
    <row r="5014" spans="21:21" ht="26.4">
      <c r="U5014" s="85" ph="1"/>
    </row>
    <row r="5015" spans="21:21" ht="26.4">
      <c r="U5015" s="85" ph="1"/>
    </row>
    <row r="5016" spans="21:21" ht="26.4">
      <c r="U5016" s="85" ph="1"/>
    </row>
    <row r="5017" spans="21:21" ht="26.4">
      <c r="U5017" s="85" ph="1"/>
    </row>
    <row r="5018" spans="21:21" ht="26.4">
      <c r="U5018" s="85" ph="1"/>
    </row>
    <row r="5019" spans="21:21" ht="26.4">
      <c r="U5019" s="85" ph="1"/>
    </row>
    <row r="5020" spans="21:21" ht="26.4">
      <c r="U5020" s="85" ph="1"/>
    </row>
    <row r="5021" spans="21:21" ht="26.4">
      <c r="U5021" s="85" ph="1"/>
    </row>
    <row r="5022" spans="21:21" ht="26.4">
      <c r="U5022" s="85" ph="1"/>
    </row>
    <row r="5023" spans="21:21" ht="26.4">
      <c r="U5023" s="85" ph="1"/>
    </row>
    <row r="5024" spans="21:21" ht="26.4">
      <c r="U5024" s="85" ph="1"/>
    </row>
    <row r="5025" spans="21:21" ht="26.4">
      <c r="U5025" s="85" ph="1"/>
    </row>
    <row r="5026" spans="21:21" ht="26.4">
      <c r="U5026" s="85" ph="1"/>
    </row>
    <row r="5027" spans="21:21" ht="26.4">
      <c r="U5027" s="85" ph="1"/>
    </row>
    <row r="5028" spans="21:21" ht="26.4">
      <c r="U5028" s="85" ph="1"/>
    </row>
    <row r="5029" spans="21:21" ht="26.4">
      <c r="U5029" s="85" ph="1"/>
    </row>
    <row r="5030" spans="21:21" ht="26.4">
      <c r="U5030" s="85" ph="1"/>
    </row>
    <row r="5031" spans="21:21" ht="26.4">
      <c r="U5031" s="85" ph="1"/>
    </row>
    <row r="5032" spans="21:21" ht="26.4">
      <c r="U5032" s="85" ph="1"/>
    </row>
    <row r="5033" spans="21:21" ht="26.4">
      <c r="U5033" s="85" ph="1"/>
    </row>
    <row r="5034" spans="21:21" ht="26.4">
      <c r="U5034" s="85" ph="1"/>
    </row>
    <row r="5035" spans="21:21" ht="26.4">
      <c r="U5035" s="85" ph="1"/>
    </row>
    <row r="5036" spans="21:21" ht="26.4">
      <c r="U5036" s="85" ph="1"/>
    </row>
    <row r="5037" spans="21:21" ht="26.4">
      <c r="U5037" s="85" ph="1"/>
    </row>
    <row r="5038" spans="21:21" ht="26.4">
      <c r="U5038" s="85" ph="1"/>
    </row>
    <row r="5039" spans="21:21" ht="26.4">
      <c r="U5039" s="85" ph="1"/>
    </row>
    <row r="5040" spans="21:21" ht="26.4">
      <c r="U5040" s="85" ph="1"/>
    </row>
    <row r="5041" spans="21:21" ht="26.4">
      <c r="U5041" s="85" ph="1"/>
    </row>
    <row r="5042" spans="21:21" ht="26.4">
      <c r="U5042" s="85" ph="1"/>
    </row>
    <row r="5043" spans="21:21" ht="26.4">
      <c r="U5043" s="85" ph="1"/>
    </row>
    <row r="5044" spans="21:21" ht="26.4">
      <c r="U5044" s="85" ph="1"/>
    </row>
    <row r="5045" spans="21:21" ht="26.4">
      <c r="U5045" s="85" ph="1"/>
    </row>
    <row r="5046" spans="21:21" ht="26.4">
      <c r="U5046" s="85" ph="1"/>
    </row>
    <row r="5047" spans="21:21" ht="26.4">
      <c r="U5047" s="85" ph="1"/>
    </row>
    <row r="5048" spans="21:21" ht="26.4">
      <c r="U5048" s="85" ph="1"/>
    </row>
    <row r="5049" spans="21:21" ht="26.4">
      <c r="U5049" s="85" ph="1"/>
    </row>
    <row r="5050" spans="21:21" ht="26.4">
      <c r="U5050" s="85" ph="1"/>
    </row>
    <row r="5051" spans="21:21" ht="26.4">
      <c r="U5051" s="85" ph="1"/>
    </row>
    <row r="5052" spans="21:21" ht="26.4">
      <c r="U5052" s="85" ph="1"/>
    </row>
    <row r="5053" spans="21:21" ht="26.4">
      <c r="U5053" s="85" ph="1"/>
    </row>
    <row r="5054" spans="21:21" ht="26.4">
      <c r="U5054" s="85" ph="1"/>
    </row>
    <row r="5055" spans="21:21" ht="26.4">
      <c r="U5055" s="85" ph="1"/>
    </row>
    <row r="5056" spans="21:21" ht="26.4">
      <c r="U5056" s="85" ph="1"/>
    </row>
    <row r="5057" spans="21:21" ht="26.4">
      <c r="U5057" s="85" ph="1"/>
    </row>
    <row r="5058" spans="21:21" ht="26.4">
      <c r="U5058" s="85" ph="1"/>
    </row>
    <row r="5059" spans="21:21" ht="26.4">
      <c r="U5059" s="85" ph="1"/>
    </row>
    <row r="5060" spans="21:21" ht="26.4">
      <c r="U5060" s="85" ph="1"/>
    </row>
    <row r="5061" spans="21:21" ht="26.4">
      <c r="U5061" s="85" ph="1"/>
    </row>
    <row r="5062" spans="21:21" ht="26.4">
      <c r="U5062" s="85" ph="1"/>
    </row>
    <row r="5063" spans="21:21" ht="26.4">
      <c r="U5063" s="85" ph="1"/>
    </row>
    <row r="5064" spans="21:21" ht="26.4">
      <c r="U5064" s="85" ph="1"/>
    </row>
    <row r="5065" spans="21:21" ht="26.4">
      <c r="U5065" s="85" ph="1"/>
    </row>
    <row r="5066" spans="21:21" ht="26.4">
      <c r="U5066" s="85" ph="1"/>
    </row>
    <row r="5067" spans="21:21" ht="26.4">
      <c r="U5067" s="85" ph="1"/>
    </row>
    <row r="5068" spans="21:21" ht="26.4">
      <c r="U5068" s="85" ph="1"/>
    </row>
    <row r="5069" spans="21:21" ht="26.4">
      <c r="U5069" s="85" ph="1"/>
    </row>
    <row r="5070" spans="21:21" ht="26.4">
      <c r="U5070" s="85" ph="1"/>
    </row>
    <row r="5071" spans="21:21" ht="26.4">
      <c r="U5071" s="85" ph="1"/>
    </row>
    <row r="5072" spans="21:21" ht="26.4">
      <c r="U5072" s="85" ph="1"/>
    </row>
    <row r="5073" spans="21:21" ht="26.4">
      <c r="U5073" s="85" ph="1"/>
    </row>
    <row r="5074" spans="21:21" ht="26.4">
      <c r="U5074" s="85" ph="1"/>
    </row>
    <row r="5075" spans="21:21" ht="26.4">
      <c r="U5075" s="85" ph="1"/>
    </row>
    <row r="5076" spans="21:21" ht="26.4">
      <c r="U5076" s="85" ph="1"/>
    </row>
    <row r="5077" spans="21:21" ht="26.4">
      <c r="U5077" s="85" ph="1"/>
    </row>
    <row r="5078" spans="21:21" ht="26.4">
      <c r="U5078" s="85" ph="1"/>
    </row>
    <row r="5079" spans="21:21" ht="26.4">
      <c r="U5079" s="85" ph="1"/>
    </row>
    <row r="5080" spans="21:21" ht="26.4">
      <c r="U5080" s="85" ph="1"/>
    </row>
    <row r="5081" spans="21:21" ht="26.4">
      <c r="U5081" s="85" ph="1"/>
    </row>
    <row r="5082" spans="21:21" ht="26.4">
      <c r="U5082" s="85" ph="1"/>
    </row>
    <row r="5083" spans="21:21" ht="26.4">
      <c r="U5083" s="85" ph="1"/>
    </row>
    <row r="5084" spans="21:21" ht="26.4">
      <c r="U5084" s="85" ph="1"/>
    </row>
    <row r="5085" spans="21:21" ht="26.4">
      <c r="U5085" s="85" ph="1"/>
    </row>
    <row r="5086" spans="21:21" ht="26.4">
      <c r="U5086" s="85" ph="1"/>
    </row>
    <row r="5087" spans="21:21" ht="26.4">
      <c r="U5087" s="85" ph="1"/>
    </row>
    <row r="5088" spans="21:21" ht="26.4">
      <c r="U5088" s="85" ph="1"/>
    </row>
    <row r="5089" spans="21:21" ht="26.4">
      <c r="U5089" s="85" ph="1"/>
    </row>
    <row r="5090" spans="21:21" ht="26.4">
      <c r="U5090" s="85" ph="1"/>
    </row>
    <row r="5091" spans="21:21" ht="26.4">
      <c r="U5091" s="85" ph="1"/>
    </row>
    <row r="5092" spans="21:21" ht="26.4">
      <c r="U5092" s="85" ph="1"/>
    </row>
    <row r="5093" spans="21:21" ht="26.4">
      <c r="U5093" s="85" ph="1"/>
    </row>
    <row r="5094" spans="21:21" ht="26.4">
      <c r="U5094" s="85" ph="1"/>
    </row>
    <row r="5095" spans="21:21" ht="26.4">
      <c r="U5095" s="85" ph="1"/>
    </row>
    <row r="5096" spans="21:21" ht="26.4">
      <c r="U5096" s="85" ph="1"/>
    </row>
    <row r="5097" spans="21:21" ht="26.4">
      <c r="U5097" s="85" ph="1"/>
    </row>
    <row r="5098" spans="21:21" ht="26.4">
      <c r="U5098" s="85" ph="1"/>
    </row>
    <row r="5099" spans="21:21" ht="26.4">
      <c r="U5099" s="85" ph="1"/>
    </row>
    <row r="5100" spans="21:21" ht="26.4">
      <c r="U5100" s="85" ph="1"/>
    </row>
    <row r="5101" spans="21:21" ht="26.4">
      <c r="U5101" s="85" ph="1"/>
    </row>
    <row r="5102" spans="21:21" ht="26.4">
      <c r="U5102" s="85" ph="1"/>
    </row>
    <row r="5103" spans="21:21" ht="26.4">
      <c r="U5103" s="85" ph="1"/>
    </row>
    <row r="5104" spans="21:21" ht="26.4">
      <c r="U5104" s="85" ph="1"/>
    </row>
    <row r="5105" spans="21:21" ht="26.4">
      <c r="U5105" s="85" ph="1"/>
    </row>
    <row r="5106" spans="21:21" ht="26.4">
      <c r="U5106" s="85" ph="1"/>
    </row>
    <row r="5107" spans="21:21" ht="26.4">
      <c r="U5107" s="85" ph="1"/>
    </row>
    <row r="5108" spans="21:21" ht="26.4">
      <c r="U5108" s="85" ph="1"/>
    </row>
    <row r="5109" spans="21:21" ht="26.4">
      <c r="U5109" s="85" ph="1"/>
    </row>
    <row r="5110" spans="21:21" ht="26.4">
      <c r="U5110" s="85" ph="1"/>
    </row>
    <row r="5111" spans="21:21" ht="26.4">
      <c r="U5111" s="85" ph="1"/>
    </row>
    <row r="5112" spans="21:21" ht="26.4">
      <c r="U5112" s="85" ph="1"/>
    </row>
    <row r="5113" spans="21:21" ht="26.4">
      <c r="U5113" s="85" ph="1"/>
    </row>
    <row r="5114" spans="21:21" ht="26.4">
      <c r="U5114" s="85" ph="1"/>
    </row>
    <row r="5115" spans="21:21" ht="26.4">
      <c r="U5115" s="85" ph="1"/>
    </row>
    <row r="5116" spans="21:21" ht="26.4">
      <c r="U5116" s="85" ph="1"/>
    </row>
    <row r="5117" spans="21:21" ht="26.4">
      <c r="U5117" s="85" ph="1"/>
    </row>
    <row r="5118" spans="21:21" ht="26.4">
      <c r="U5118" s="85" ph="1"/>
    </row>
    <row r="5119" spans="21:21" ht="26.4">
      <c r="U5119" s="85" ph="1"/>
    </row>
    <row r="5120" spans="21:21" ht="26.4">
      <c r="U5120" s="85" ph="1"/>
    </row>
    <row r="5121" spans="21:21" ht="26.4">
      <c r="U5121" s="85" ph="1"/>
    </row>
    <row r="5122" spans="21:21" ht="26.4">
      <c r="U5122" s="85" ph="1"/>
    </row>
    <row r="5123" spans="21:21" ht="26.4">
      <c r="U5123" s="85" ph="1"/>
    </row>
    <row r="5124" spans="21:21" ht="26.4">
      <c r="U5124" s="85" ph="1"/>
    </row>
    <row r="5125" spans="21:21" ht="26.4">
      <c r="U5125" s="85" ph="1"/>
    </row>
    <row r="5126" spans="21:21" ht="26.4">
      <c r="U5126" s="85" ph="1"/>
    </row>
    <row r="5127" spans="21:21" ht="26.4">
      <c r="U5127" s="85" ph="1"/>
    </row>
    <row r="5128" spans="21:21" ht="26.4">
      <c r="U5128" s="85" ph="1"/>
    </row>
    <row r="5129" spans="21:21" ht="26.4">
      <c r="U5129" s="85" ph="1"/>
    </row>
    <row r="5130" spans="21:21" ht="26.4">
      <c r="U5130" s="85" ph="1"/>
    </row>
    <row r="5131" spans="21:21" ht="26.4">
      <c r="U5131" s="85" ph="1"/>
    </row>
    <row r="5132" spans="21:21" ht="26.4">
      <c r="U5132" s="85" ph="1"/>
    </row>
    <row r="5133" spans="21:21" ht="26.4">
      <c r="U5133" s="85" ph="1"/>
    </row>
    <row r="5134" spans="21:21" ht="26.4">
      <c r="U5134" s="85" ph="1"/>
    </row>
    <row r="5135" spans="21:21" ht="26.4">
      <c r="U5135" s="85" ph="1"/>
    </row>
    <row r="5136" spans="21:21" ht="26.4">
      <c r="U5136" s="85" ph="1"/>
    </row>
    <row r="5137" spans="21:21" ht="26.4">
      <c r="U5137" s="85" ph="1"/>
    </row>
    <row r="5138" spans="21:21" ht="26.4">
      <c r="U5138" s="85" ph="1"/>
    </row>
    <row r="5139" spans="21:21" ht="26.4">
      <c r="U5139" s="85" ph="1"/>
    </row>
    <row r="5140" spans="21:21" ht="26.4">
      <c r="U5140" s="85" ph="1"/>
    </row>
    <row r="5141" spans="21:21" ht="26.4">
      <c r="U5141" s="85" ph="1"/>
    </row>
    <row r="5142" spans="21:21" ht="26.4">
      <c r="U5142" s="85" ph="1"/>
    </row>
    <row r="5143" spans="21:21" ht="26.4">
      <c r="U5143" s="85" ph="1"/>
    </row>
    <row r="5144" spans="21:21" ht="26.4">
      <c r="U5144" s="85" ph="1"/>
    </row>
    <row r="5145" spans="21:21" ht="26.4">
      <c r="U5145" s="85" ph="1"/>
    </row>
    <row r="5146" spans="21:21" ht="26.4">
      <c r="U5146" s="85" ph="1"/>
    </row>
    <row r="5147" spans="21:21" ht="26.4">
      <c r="U5147" s="85" ph="1"/>
    </row>
    <row r="5148" spans="21:21" ht="26.4">
      <c r="U5148" s="85" ph="1"/>
    </row>
    <row r="5149" spans="21:21" ht="26.4">
      <c r="U5149" s="85" ph="1"/>
    </row>
    <row r="5150" spans="21:21" ht="26.4">
      <c r="U5150" s="85" ph="1"/>
    </row>
    <row r="5151" spans="21:21" ht="26.4">
      <c r="U5151" s="85" ph="1"/>
    </row>
    <row r="5152" spans="21:21" ht="26.4">
      <c r="U5152" s="85" ph="1"/>
    </row>
    <row r="5153" spans="21:21" ht="26.4">
      <c r="U5153" s="85" ph="1"/>
    </row>
    <row r="5154" spans="21:21" ht="26.4">
      <c r="U5154" s="85" ph="1"/>
    </row>
    <row r="5155" spans="21:21" ht="26.4">
      <c r="U5155" s="85" ph="1"/>
    </row>
    <row r="5156" spans="21:21" ht="26.4">
      <c r="U5156" s="85" ph="1"/>
    </row>
    <row r="5157" spans="21:21" ht="26.4">
      <c r="U5157" s="85" ph="1"/>
    </row>
    <row r="5158" spans="21:21" ht="26.4">
      <c r="U5158" s="85" ph="1"/>
    </row>
    <row r="5159" spans="21:21" ht="26.4">
      <c r="U5159" s="85" ph="1"/>
    </row>
    <row r="5160" spans="21:21" ht="26.4">
      <c r="U5160" s="85" ph="1"/>
    </row>
    <row r="5161" spans="21:21" ht="26.4">
      <c r="U5161" s="85" ph="1"/>
    </row>
    <row r="5162" spans="21:21" ht="26.4">
      <c r="U5162" s="85" ph="1"/>
    </row>
    <row r="5163" spans="21:21" ht="26.4">
      <c r="U5163" s="85" ph="1"/>
    </row>
    <row r="5164" spans="21:21" ht="26.4">
      <c r="U5164" s="85" ph="1"/>
    </row>
    <row r="5165" spans="21:21" ht="26.4">
      <c r="U5165" s="85" ph="1"/>
    </row>
    <row r="5166" spans="21:21" ht="26.4">
      <c r="U5166" s="85" ph="1"/>
    </row>
    <row r="5167" spans="21:21" ht="26.4">
      <c r="U5167" s="85" ph="1"/>
    </row>
    <row r="5168" spans="21:21" ht="26.4">
      <c r="U5168" s="85" ph="1"/>
    </row>
    <row r="5169" spans="21:21" ht="26.4">
      <c r="U5169" s="85" ph="1"/>
    </row>
    <row r="5170" spans="21:21" ht="26.4">
      <c r="U5170" s="85" ph="1"/>
    </row>
    <row r="5171" spans="21:21" ht="26.4">
      <c r="U5171" s="85" ph="1"/>
    </row>
    <row r="5172" spans="21:21" ht="26.4">
      <c r="U5172" s="85" ph="1"/>
    </row>
    <row r="5173" spans="21:21" ht="26.4">
      <c r="U5173" s="85" ph="1"/>
    </row>
    <row r="5174" spans="21:21" ht="26.4">
      <c r="U5174" s="85" ph="1"/>
    </row>
    <row r="5175" spans="21:21" ht="26.4">
      <c r="U5175" s="85" ph="1"/>
    </row>
    <row r="5176" spans="21:21" ht="26.4">
      <c r="U5176" s="85" ph="1"/>
    </row>
    <row r="5177" spans="21:21" ht="26.4">
      <c r="U5177" s="85" ph="1"/>
    </row>
    <row r="5178" spans="21:21" ht="26.4">
      <c r="U5178" s="85" ph="1"/>
    </row>
    <row r="5179" spans="21:21" ht="26.4">
      <c r="U5179" s="85" ph="1"/>
    </row>
    <row r="5180" spans="21:21" ht="26.4">
      <c r="U5180" s="85" ph="1"/>
    </row>
    <row r="5181" spans="21:21" ht="26.4">
      <c r="U5181" s="85" ph="1"/>
    </row>
    <row r="5182" spans="21:21" ht="26.4">
      <c r="U5182" s="85" ph="1"/>
    </row>
    <row r="5183" spans="21:21" ht="26.4">
      <c r="U5183" s="85" ph="1"/>
    </row>
    <row r="5184" spans="21:21" ht="26.4">
      <c r="U5184" s="85" ph="1"/>
    </row>
    <row r="5185" spans="21:21" ht="26.4">
      <c r="U5185" s="85" ph="1"/>
    </row>
    <row r="5186" spans="21:21" ht="26.4">
      <c r="U5186" s="85" ph="1"/>
    </row>
    <row r="5187" spans="21:21" ht="26.4">
      <c r="U5187" s="85" ph="1"/>
    </row>
    <row r="5188" spans="21:21" ht="26.4">
      <c r="U5188" s="85" ph="1"/>
    </row>
    <row r="5189" spans="21:21" ht="26.4">
      <c r="U5189" s="85" ph="1"/>
    </row>
    <row r="5190" spans="21:21" ht="26.4">
      <c r="U5190" s="85" ph="1"/>
    </row>
    <row r="5191" spans="21:21" ht="26.4">
      <c r="U5191" s="85" ph="1"/>
    </row>
    <row r="5192" spans="21:21" ht="26.4">
      <c r="U5192" s="85" ph="1"/>
    </row>
    <row r="5193" spans="21:21" ht="26.4">
      <c r="U5193" s="85" ph="1"/>
    </row>
    <row r="5194" spans="21:21" ht="26.4">
      <c r="U5194" s="85" ph="1"/>
    </row>
    <row r="5195" spans="21:21" ht="26.4">
      <c r="U5195" s="85" ph="1"/>
    </row>
    <row r="5196" spans="21:21" ht="26.4">
      <c r="U5196" s="85" ph="1"/>
    </row>
    <row r="5197" spans="21:21" ht="26.4">
      <c r="U5197" s="85" ph="1"/>
    </row>
    <row r="5198" spans="21:21" ht="26.4">
      <c r="U5198" s="85" ph="1"/>
    </row>
    <row r="5199" spans="21:21" ht="26.4">
      <c r="U5199" s="85" ph="1"/>
    </row>
    <row r="5200" spans="21:21" ht="26.4">
      <c r="U5200" s="85" ph="1"/>
    </row>
    <row r="5201" spans="21:21" ht="26.4">
      <c r="U5201" s="85" ph="1"/>
    </row>
    <row r="5202" spans="21:21" ht="26.4">
      <c r="U5202" s="85" ph="1"/>
    </row>
    <row r="5203" spans="21:21" ht="26.4">
      <c r="U5203" s="85" ph="1"/>
    </row>
    <row r="5204" spans="21:21" ht="26.4">
      <c r="U5204" s="85" ph="1"/>
    </row>
    <row r="5205" spans="21:21" ht="26.4">
      <c r="U5205" s="85" ph="1"/>
    </row>
    <row r="5206" spans="21:21" ht="26.4">
      <c r="U5206" s="85" ph="1"/>
    </row>
    <row r="5207" spans="21:21" ht="26.4">
      <c r="U5207" s="85" ph="1"/>
    </row>
    <row r="5208" spans="21:21" ht="26.4">
      <c r="U5208" s="85" ph="1"/>
    </row>
    <row r="5209" spans="21:21" ht="26.4">
      <c r="U5209" s="85" ph="1"/>
    </row>
    <row r="5210" spans="21:21" ht="26.4">
      <c r="U5210" s="85" ph="1"/>
    </row>
    <row r="5211" spans="21:21" ht="26.4">
      <c r="U5211" s="85" ph="1"/>
    </row>
    <row r="5212" spans="21:21" ht="26.4">
      <c r="U5212" s="85" ph="1"/>
    </row>
    <row r="5213" spans="21:21" ht="26.4">
      <c r="U5213" s="85" ph="1"/>
    </row>
    <row r="5214" spans="21:21" ht="26.4">
      <c r="U5214" s="85" ph="1"/>
    </row>
    <row r="5215" spans="21:21" ht="26.4">
      <c r="U5215" s="85" ph="1"/>
    </row>
    <row r="5216" spans="21:21" ht="26.4">
      <c r="U5216" s="85" ph="1"/>
    </row>
    <row r="5217" spans="21:21" ht="26.4">
      <c r="U5217" s="85" ph="1"/>
    </row>
    <row r="5218" spans="21:21" ht="26.4">
      <c r="U5218" s="85" ph="1"/>
    </row>
    <row r="5219" spans="21:21" ht="26.4">
      <c r="U5219" s="85" ph="1"/>
    </row>
    <row r="5220" spans="21:21" ht="26.4">
      <c r="U5220" s="85" ph="1"/>
    </row>
    <row r="5221" spans="21:21" ht="26.4">
      <c r="U5221" s="85" ph="1"/>
    </row>
    <row r="5222" spans="21:21" ht="26.4">
      <c r="U5222" s="85" ph="1"/>
    </row>
    <row r="5223" spans="21:21" ht="26.4">
      <c r="U5223" s="85" ph="1"/>
    </row>
    <row r="5224" spans="21:21" ht="26.4">
      <c r="U5224" s="85" ph="1"/>
    </row>
    <row r="5225" spans="21:21" ht="26.4">
      <c r="U5225" s="85" ph="1"/>
    </row>
    <row r="5226" spans="21:21" ht="26.4">
      <c r="U5226" s="85" ph="1"/>
    </row>
    <row r="5227" spans="21:21" ht="26.4">
      <c r="U5227" s="85" ph="1"/>
    </row>
    <row r="5228" spans="21:21" ht="26.4">
      <c r="U5228" s="85" ph="1"/>
    </row>
    <row r="5229" spans="21:21" ht="26.4">
      <c r="U5229" s="85" ph="1"/>
    </row>
    <row r="5230" spans="21:21" ht="26.4">
      <c r="U5230" s="85" ph="1"/>
    </row>
    <row r="5231" spans="21:21" ht="26.4">
      <c r="U5231" s="85" ph="1"/>
    </row>
    <row r="5232" spans="21:21" ht="26.4">
      <c r="U5232" s="85" ph="1"/>
    </row>
    <row r="5233" spans="21:21" ht="26.4">
      <c r="U5233" s="85" ph="1"/>
    </row>
    <row r="5234" spans="21:21" ht="26.4">
      <c r="U5234" s="85" ph="1"/>
    </row>
    <row r="5235" spans="21:21" ht="26.4">
      <c r="U5235" s="85" ph="1"/>
    </row>
    <row r="5236" spans="21:21" ht="26.4">
      <c r="U5236" s="85" ph="1"/>
    </row>
    <row r="5237" spans="21:21" ht="26.4">
      <c r="U5237" s="85" ph="1"/>
    </row>
    <row r="5238" spans="21:21" ht="26.4">
      <c r="U5238" s="85" ph="1"/>
    </row>
    <row r="5239" spans="21:21" ht="26.4">
      <c r="U5239" s="85" ph="1"/>
    </row>
    <row r="5240" spans="21:21" ht="26.4">
      <c r="U5240" s="85" ph="1"/>
    </row>
    <row r="5241" spans="21:21" ht="26.4">
      <c r="U5241" s="85" ph="1"/>
    </row>
    <row r="5242" spans="21:21" ht="26.4">
      <c r="U5242" s="85" ph="1"/>
    </row>
    <row r="5243" spans="21:21" ht="26.4">
      <c r="U5243" s="85" ph="1"/>
    </row>
    <row r="5244" spans="21:21" ht="26.4">
      <c r="U5244" s="85" ph="1"/>
    </row>
    <row r="5245" spans="21:21" ht="26.4">
      <c r="U5245" s="85" ph="1"/>
    </row>
    <row r="5246" spans="21:21" ht="26.4">
      <c r="U5246" s="85" ph="1"/>
    </row>
    <row r="5247" spans="21:21" ht="26.4">
      <c r="U5247" s="85" ph="1"/>
    </row>
    <row r="5248" spans="21:21" ht="26.4">
      <c r="U5248" s="85" ph="1"/>
    </row>
    <row r="5249" spans="21:21" ht="26.4">
      <c r="U5249" s="85" ph="1"/>
    </row>
    <row r="5250" spans="21:21" ht="26.4">
      <c r="U5250" s="85" ph="1"/>
    </row>
    <row r="5251" spans="21:21" ht="26.4">
      <c r="U5251" s="85" ph="1"/>
    </row>
    <row r="5252" spans="21:21" ht="26.4">
      <c r="U5252" s="85" ph="1"/>
    </row>
    <row r="5253" spans="21:21" ht="26.4">
      <c r="U5253" s="85" ph="1"/>
    </row>
    <row r="5254" spans="21:21" ht="26.4">
      <c r="U5254" s="85" ph="1"/>
    </row>
    <row r="5255" spans="21:21" ht="26.4">
      <c r="U5255" s="85" ph="1"/>
    </row>
    <row r="5256" spans="21:21" ht="26.4">
      <c r="U5256" s="85" ph="1"/>
    </row>
    <row r="5257" spans="21:21" ht="26.4">
      <c r="U5257" s="85" ph="1"/>
    </row>
    <row r="5258" spans="21:21" ht="26.4">
      <c r="U5258" s="85" ph="1"/>
    </row>
    <row r="5259" spans="21:21" ht="26.4">
      <c r="U5259" s="85" ph="1"/>
    </row>
    <row r="5260" spans="21:21" ht="26.4">
      <c r="U5260" s="85" ph="1"/>
    </row>
    <row r="5261" spans="21:21" ht="26.4">
      <c r="U5261" s="85" ph="1"/>
    </row>
    <row r="5262" spans="21:21" ht="26.4">
      <c r="U5262" s="85" ph="1"/>
    </row>
    <row r="5263" spans="21:21" ht="26.4">
      <c r="U5263" s="85" ph="1"/>
    </row>
    <row r="5264" spans="21:21" ht="26.4">
      <c r="U5264" s="85" ph="1"/>
    </row>
    <row r="5265" spans="21:21" ht="26.4">
      <c r="U5265" s="85" ph="1"/>
    </row>
    <row r="5266" spans="21:21" ht="26.4">
      <c r="U5266" s="85" ph="1"/>
    </row>
    <row r="5267" spans="21:21" ht="26.4">
      <c r="U5267" s="85" ph="1"/>
    </row>
    <row r="5268" spans="21:21" ht="26.4">
      <c r="U5268" s="85" ph="1"/>
    </row>
    <row r="5269" spans="21:21" ht="26.4">
      <c r="U5269" s="85" ph="1"/>
    </row>
    <row r="5270" spans="21:21" ht="26.4">
      <c r="U5270" s="85" ph="1"/>
    </row>
    <row r="5271" spans="21:21" ht="26.4">
      <c r="U5271" s="85" ph="1"/>
    </row>
    <row r="5272" spans="21:21" ht="26.4">
      <c r="U5272" s="85" ph="1"/>
    </row>
    <row r="5273" spans="21:21" ht="26.4">
      <c r="U5273" s="85" ph="1"/>
    </row>
    <row r="5274" spans="21:21" ht="26.4">
      <c r="U5274" s="85" ph="1"/>
    </row>
    <row r="5275" spans="21:21" ht="26.4">
      <c r="U5275" s="85" ph="1"/>
    </row>
    <row r="5276" spans="21:21" ht="26.4">
      <c r="U5276" s="85" ph="1"/>
    </row>
    <row r="5277" spans="21:21" ht="26.4">
      <c r="U5277" s="85" ph="1"/>
    </row>
    <row r="5278" spans="21:21" ht="26.4">
      <c r="U5278" s="85" ph="1"/>
    </row>
    <row r="5279" spans="21:21" ht="26.4">
      <c r="U5279" s="85" ph="1"/>
    </row>
    <row r="5280" spans="21:21" ht="26.4">
      <c r="U5280" s="85" ph="1"/>
    </row>
    <row r="5281" spans="21:21" ht="26.4">
      <c r="U5281" s="85" ph="1"/>
    </row>
    <row r="5282" spans="21:21" ht="26.4">
      <c r="U5282" s="85" ph="1"/>
    </row>
    <row r="5283" spans="21:21" ht="26.4">
      <c r="U5283" s="85" ph="1"/>
    </row>
    <row r="5284" spans="21:21" ht="26.4">
      <c r="U5284" s="85" ph="1"/>
    </row>
    <row r="5285" spans="21:21" ht="26.4">
      <c r="U5285" s="85" ph="1"/>
    </row>
    <row r="5286" spans="21:21" ht="26.4">
      <c r="U5286" s="85" ph="1"/>
    </row>
    <row r="5287" spans="21:21" ht="26.4">
      <c r="U5287" s="85" ph="1"/>
    </row>
    <row r="5288" spans="21:21" ht="26.4">
      <c r="U5288" s="85" ph="1"/>
    </row>
    <row r="5289" spans="21:21" ht="26.4">
      <c r="U5289" s="85" ph="1"/>
    </row>
    <row r="5290" spans="21:21" ht="26.4">
      <c r="U5290" s="85" ph="1"/>
    </row>
    <row r="5291" spans="21:21" ht="26.4">
      <c r="U5291" s="85" ph="1"/>
    </row>
    <row r="5292" spans="21:21" ht="26.4">
      <c r="U5292" s="85" ph="1"/>
    </row>
    <row r="5293" spans="21:21" ht="26.4">
      <c r="U5293" s="85" ph="1"/>
    </row>
    <row r="5294" spans="21:21" ht="26.4">
      <c r="U5294" s="85" ph="1"/>
    </row>
    <row r="5295" spans="21:21" ht="26.4">
      <c r="U5295" s="85" ph="1"/>
    </row>
    <row r="5296" spans="21:21" ht="26.4">
      <c r="U5296" s="85" ph="1"/>
    </row>
    <row r="5297" spans="21:21" ht="26.4">
      <c r="U5297" s="85" ph="1"/>
    </row>
    <row r="5298" spans="21:21" ht="26.4">
      <c r="U5298" s="85" ph="1"/>
    </row>
    <row r="5299" spans="21:21" ht="26.4">
      <c r="U5299" s="85" ph="1"/>
    </row>
    <row r="5300" spans="21:21" ht="26.4">
      <c r="U5300" s="85" ph="1"/>
    </row>
    <row r="5301" spans="21:21" ht="26.4">
      <c r="U5301" s="85" ph="1"/>
    </row>
    <row r="5302" spans="21:21" ht="26.4">
      <c r="U5302" s="85" ph="1"/>
    </row>
    <row r="5303" spans="21:21" ht="26.4">
      <c r="U5303" s="85" ph="1"/>
    </row>
    <row r="5304" spans="21:21" ht="26.4">
      <c r="U5304" s="85" ph="1"/>
    </row>
    <row r="5305" spans="21:21" ht="26.4">
      <c r="U5305" s="85" ph="1"/>
    </row>
    <row r="5306" spans="21:21" ht="26.4">
      <c r="U5306" s="85" ph="1"/>
    </row>
    <row r="5307" spans="21:21" ht="26.4">
      <c r="U5307" s="85" ph="1"/>
    </row>
    <row r="5308" spans="21:21" ht="26.4">
      <c r="U5308" s="85" ph="1"/>
    </row>
    <row r="5309" spans="21:21" ht="26.4">
      <c r="U5309" s="85" ph="1"/>
    </row>
    <row r="5310" spans="21:21" ht="26.4">
      <c r="U5310" s="85" ph="1"/>
    </row>
    <row r="5311" spans="21:21" ht="26.4">
      <c r="U5311" s="85" ph="1"/>
    </row>
    <row r="5312" spans="21:21" ht="26.4">
      <c r="U5312" s="85" ph="1"/>
    </row>
    <row r="5313" spans="21:21" ht="26.4">
      <c r="U5313" s="85" ph="1"/>
    </row>
    <row r="5314" spans="21:21" ht="26.4">
      <c r="U5314" s="85" ph="1"/>
    </row>
    <row r="5315" spans="21:21" ht="26.4">
      <c r="U5315" s="85" ph="1"/>
    </row>
    <row r="5316" spans="21:21" ht="26.4">
      <c r="U5316" s="85" ph="1"/>
    </row>
    <row r="5317" spans="21:21" ht="26.4">
      <c r="U5317" s="85" ph="1"/>
    </row>
    <row r="5318" spans="21:21" ht="26.4">
      <c r="U5318" s="85" ph="1"/>
    </row>
    <row r="5319" spans="21:21" ht="26.4">
      <c r="U5319" s="85" ph="1"/>
    </row>
    <row r="5320" spans="21:21" ht="26.4">
      <c r="U5320" s="85" ph="1"/>
    </row>
    <row r="5321" spans="21:21" ht="26.4">
      <c r="U5321" s="85" ph="1"/>
    </row>
    <row r="5322" spans="21:21" ht="26.4">
      <c r="U5322" s="85" ph="1"/>
    </row>
    <row r="5323" spans="21:21" ht="26.4">
      <c r="U5323" s="85" ph="1"/>
    </row>
    <row r="5324" spans="21:21" ht="26.4">
      <c r="U5324" s="85" ph="1"/>
    </row>
    <row r="5325" spans="21:21" ht="26.4">
      <c r="U5325" s="85" ph="1"/>
    </row>
    <row r="5326" spans="21:21" ht="26.4">
      <c r="U5326" s="85" ph="1"/>
    </row>
    <row r="5327" spans="21:21" ht="26.4">
      <c r="U5327" s="85" ph="1"/>
    </row>
    <row r="5328" spans="21:21" ht="26.4">
      <c r="U5328" s="85" ph="1"/>
    </row>
    <row r="5329" spans="21:21" ht="26.4">
      <c r="U5329" s="85" ph="1"/>
    </row>
    <row r="5330" spans="21:21" ht="26.4">
      <c r="U5330" s="85" ph="1"/>
    </row>
    <row r="5331" spans="21:21" ht="26.4">
      <c r="U5331" s="85" ph="1"/>
    </row>
    <row r="5332" spans="21:21" ht="26.4">
      <c r="U5332" s="85" ph="1"/>
    </row>
    <row r="5333" spans="21:21" ht="26.4">
      <c r="U5333" s="85" ph="1"/>
    </row>
    <row r="5334" spans="21:21" ht="26.4">
      <c r="U5334" s="85" ph="1"/>
    </row>
    <row r="5335" spans="21:21" ht="26.4">
      <c r="U5335" s="85" ph="1"/>
    </row>
    <row r="5336" spans="21:21" ht="26.4">
      <c r="U5336" s="85" ph="1"/>
    </row>
    <row r="5337" spans="21:21" ht="26.4">
      <c r="U5337" s="85" ph="1"/>
    </row>
    <row r="5338" spans="21:21" ht="26.4">
      <c r="U5338" s="85" ph="1"/>
    </row>
    <row r="5339" spans="21:21" ht="26.4">
      <c r="U5339" s="85" ph="1"/>
    </row>
    <row r="5340" spans="21:21" ht="26.4">
      <c r="U5340" s="85" ph="1"/>
    </row>
    <row r="5341" spans="21:21" ht="26.4">
      <c r="U5341" s="85" ph="1"/>
    </row>
    <row r="5342" spans="21:21" ht="26.4">
      <c r="U5342" s="85" ph="1"/>
    </row>
    <row r="5343" spans="21:21" ht="26.4">
      <c r="U5343" s="85" ph="1"/>
    </row>
    <row r="5344" spans="21:21" ht="26.4">
      <c r="U5344" s="85" ph="1"/>
    </row>
    <row r="5345" spans="21:21" ht="26.4">
      <c r="U5345" s="85" ph="1"/>
    </row>
    <row r="5346" spans="21:21" ht="26.4">
      <c r="U5346" s="85" ph="1"/>
    </row>
    <row r="5347" spans="21:21" ht="26.4">
      <c r="U5347" s="85" ph="1"/>
    </row>
    <row r="5348" spans="21:21" ht="26.4">
      <c r="U5348" s="85" ph="1"/>
    </row>
    <row r="5349" spans="21:21" ht="26.4">
      <c r="U5349" s="85" ph="1"/>
    </row>
    <row r="5350" spans="21:21" ht="26.4">
      <c r="U5350" s="85" ph="1"/>
    </row>
    <row r="5351" spans="21:21" ht="26.4">
      <c r="U5351" s="85" ph="1"/>
    </row>
    <row r="5352" spans="21:21" ht="26.4">
      <c r="U5352" s="85" ph="1"/>
    </row>
    <row r="5353" spans="21:21" ht="26.4">
      <c r="U5353" s="85" ph="1"/>
    </row>
    <row r="5354" spans="21:21" ht="26.4">
      <c r="U5354" s="85" ph="1"/>
    </row>
    <row r="5355" spans="21:21" ht="26.4">
      <c r="U5355" s="85" ph="1"/>
    </row>
    <row r="5356" spans="21:21" ht="26.4">
      <c r="U5356" s="85" ph="1"/>
    </row>
    <row r="5357" spans="21:21" ht="26.4">
      <c r="U5357" s="85" ph="1"/>
    </row>
    <row r="5358" spans="21:21" ht="26.4">
      <c r="U5358" s="85" ph="1"/>
    </row>
    <row r="5359" spans="21:21" ht="26.4">
      <c r="U5359" s="85" ph="1"/>
    </row>
    <row r="5360" spans="21:21" ht="26.4">
      <c r="U5360" s="85" ph="1"/>
    </row>
    <row r="5361" spans="21:21" ht="26.4">
      <c r="U5361" s="85" ph="1"/>
    </row>
    <row r="5362" spans="21:21" ht="26.4">
      <c r="U5362" s="85" ph="1"/>
    </row>
    <row r="5363" spans="21:21" ht="26.4">
      <c r="U5363" s="85" ph="1"/>
    </row>
    <row r="5364" spans="21:21" ht="26.4">
      <c r="U5364" s="85" ph="1"/>
    </row>
    <row r="5365" spans="21:21" ht="26.4">
      <c r="U5365" s="85" ph="1"/>
    </row>
    <row r="5366" spans="21:21" ht="26.4">
      <c r="U5366" s="85" ph="1"/>
    </row>
    <row r="5367" spans="21:21" ht="26.4">
      <c r="U5367" s="85" ph="1"/>
    </row>
    <row r="5368" spans="21:21" ht="26.4">
      <c r="U5368" s="85" ph="1"/>
    </row>
    <row r="5369" spans="21:21" ht="26.4">
      <c r="U5369" s="85" ph="1"/>
    </row>
    <row r="5370" spans="21:21" ht="26.4">
      <c r="U5370" s="85" ph="1"/>
    </row>
    <row r="5371" spans="21:21" ht="26.4">
      <c r="U5371" s="85" ph="1"/>
    </row>
    <row r="5372" spans="21:21" ht="26.4">
      <c r="U5372" s="85" ph="1"/>
    </row>
    <row r="5373" spans="21:21" ht="26.4">
      <c r="U5373" s="85" ph="1"/>
    </row>
    <row r="5374" spans="21:21" ht="26.4">
      <c r="U5374" s="85" ph="1"/>
    </row>
    <row r="5375" spans="21:21" ht="26.4">
      <c r="U5375" s="85" ph="1"/>
    </row>
    <row r="5376" spans="21:21" ht="26.4">
      <c r="U5376" s="85" ph="1"/>
    </row>
    <row r="5377" spans="21:21" ht="26.4">
      <c r="U5377" s="85" ph="1"/>
    </row>
    <row r="5378" spans="21:21" ht="26.4">
      <c r="U5378" s="85" ph="1"/>
    </row>
    <row r="5379" spans="21:21" ht="26.4">
      <c r="U5379" s="85" ph="1"/>
    </row>
    <row r="5380" spans="21:21" ht="26.4">
      <c r="U5380" s="85" ph="1"/>
    </row>
    <row r="5381" spans="21:21" ht="26.4">
      <c r="U5381" s="85" ph="1"/>
    </row>
    <row r="5382" spans="21:21" ht="26.4">
      <c r="U5382" s="85" ph="1"/>
    </row>
    <row r="5383" spans="21:21" ht="26.4">
      <c r="U5383" s="85" ph="1"/>
    </row>
    <row r="5384" spans="21:21" ht="26.4">
      <c r="U5384" s="85" ph="1"/>
    </row>
    <row r="5385" spans="21:21" ht="26.4">
      <c r="U5385" s="85" ph="1"/>
    </row>
    <row r="5386" spans="21:21" ht="26.4">
      <c r="U5386" s="85" ph="1"/>
    </row>
    <row r="5387" spans="21:21" ht="26.4">
      <c r="U5387" s="85" ph="1"/>
    </row>
    <row r="5388" spans="21:21" ht="26.4">
      <c r="U5388" s="85" ph="1"/>
    </row>
    <row r="5389" spans="21:21" ht="26.4">
      <c r="U5389" s="85" ph="1"/>
    </row>
    <row r="5390" spans="21:21" ht="26.4">
      <c r="U5390" s="85" ph="1"/>
    </row>
    <row r="5391" spans="21:21" ht="26.4">
      <c r="U5391" s="85" ph="1"/>
    </row>
    <row r="5392" spans="21:21" ht="26.4">
      <c r="U5392" s="85" ph="1"/>
    </row>
    <row r="5393" spans="21:21" ht="26.4">
      <c r="U5393" s="85" ph="1"/>
    </row>
    <row r="5394" spans="21:21" ht="26.4">
      <c r="U5394" s="85" ph="1"/>
    </row>
    <row r="5395" spans="21:21" ht="26.4">
      <c r="U5395" s="85" ph="1"/>
    </row>
    <row r="5396" spans="21:21" ht="26.4">
      <c r="U5396" s="85" ph="1"/>
    </row>
    <row r="5397" spans="21:21" ht="26.4">
      <c r="U5397" s="85" ph="1"/>
    </row>
    <row r="5398" spans="21:21" ht="26.4">
      <c r="U5398" s="85" ph="1"/>
    </row>
    <row r="5399" spans="21:21" ht="26.4">
      <c r="U5399" s="85" ph="1"/>
    </row>
    <row r="5400" spans="21:21" ht="26.4">
      <c r="U5400" s="85" ph="1"/>
    </row>
    <row r="5401" spans="21:21" ht="26.4">
      <c r="U5401" s="85" ph="1"/>
    </row>
    <row r="5402" spans="21:21" ht="26.4">
      <c r="U5402" s="85" ph="1"/>
    </row>
    <row r="5403" spans="21:21" ht="26.4">
      <c r="U5403" s="85" ph="1"/>
    </row>
    <row r="5404" spans="21:21" ht="26.4">
      <c r="U5404" s="85" ph="1"/>
    </row>
    <row r="5405" spans="21:21" ht="26.4">
      <c r="U5405" s="85" ph="1"/>
    </row>
    <row r="5406" spans="21:21" ht="26.4">
      <c r="U5406" s="85" ph="1"/>
    </row>
    <row r="5407" spans="21:21" ht="26.4">
      <c r="U5407" s="85" ph="1"/>
    </row>
    <row r="5408" spans="21:21" ht="26.4">
      <c r="U5408" s="85" ph="1"/>
    </row>
    <row r="5409" spans="21:21" ht="26.4">
      <c r="U5409" s="85" ph="1"/>
    </row>
    <row r="5410" spans="21:21" ht="26.4">
      <c r="U5410" s="85" ph="1"/>
    </row>
    <row r="5411" spans="21:21" ht="26.4">
      <c r="U5411" s="85" ph="1"/>
    </row>
    <row r="5412" spans="21:21" ht="26.4">
      <c r="U5412" s="85" ph="1"/>
    </row>
    <row r="5413" spans="21:21" ht="26.4">
      <c r="U5413" s="85" ph="1"/>
    </row>
    <row r="5414" spans="21:21" ht="26.4">
      <c r="U5414" s="85" ph="1"/>
    </row>
    <row r="5415" spans="21:21" ht="26.4">
      <c r="U5415" s="85" ph="1"/>
    </row>
    <row r="5416" spans="21:21" ht="26.4">
      <c r="U5416" s="85" ph="1"/>
    </row>
    <row r="5417" spans="21:21" ht="26.4">
      <c r="U5417" s="85" ph="1"/>
    </row>
    <row r="5418" spans="21:21" ht="26.4">
      <c r="U5418" s="85" ph="1"/>
    </row>
    <row r="5419" spans="21:21" ht="26.4">
      <c r="U5419" s="85" ph="1"/>
    </row>
    <row r="5420" spans="21:21" ht="26.4">
      <c r="U5420" s="85" ph="1"/>
    </row>
    <row r="5421" spans="21:21" ht="26.4">
      <c r="U5421" s="85" ph="1"/>
    </row>
    <row r="5422" spans="21:21" ht="26.4">
      <c r="U5422" s="85" ph="1"/>
    </row>
    <row r="5423" spans="21:21" ht="26.4">
      <c r="U5423" s="85" ph="1"/>
    </row>
    <row r="5424" spans="21:21" ht="26.4">
      <c r="U5424" s="85" ph="1"/>
    </row>
    <row r="5425" spans="21:21" ht="26.4">
      <c r="U5425" s="85" ph="1"/>
    </row>
    <row r="5426" spans="21:21" ht="26.4">
      <c r="U5426" s="85" ph="1"/>
    </row>
    <row r="5427" spans="21:21" ht="26.4">
      <c r="U5427" s="85" ph="1"/>
    </row>
    <row r="5428" spans="21:21" ht="26.4">
      <c r="U5428" s="85" ph="1"/>
    </row>
    <row r="5429" spans="21:21" ht="26.4">
      <c r="U5429" s="85" ph="1"/>
    </row>
    <row r="5430" spans="21:21" ht="26.4">
      <c r="U5430" s="85" ph="1"/>
    </row>
    <row r="5431" spans="21:21" ht="26.4">
      <c r="U5431" s="85" ph="1"/>
    </row>
    <row r="5432" spans="21:21" ht="26.4">
      <c r="U5432" s="85" ph="1"/>
    </row>
    <row r="5433" spans="21:21" ht="26.4">
      <c r="U5433" s="85" ph="1"/>
    </row>
    <row r="5434" spans="21:21" ht="26.4">
      <c r="U5434" s="85" ph="1"/>
    </row>
    <row r="5435" spans="21:21" ht="26.4">
      <c r="U5435" s="85" ph="1"/>
    </row>
    <row r="5436" spans="21:21" ht="26.4">
      <c r="U5436" s="85" ph="1"/>
    </row>
    <row r="5437" spans="21:21" ht="26.4">
      <c r="U5437" s="85" ph="1"/>
    </row>
    <row r="5438" spans="21:21" ht="26.4">
      <c r="U5438" s="85" ph="1"/>
    </row>
    <row r="5439" spans="21:21" ht="26.4">
      <c r="U5439" s="85" ph="1"/>
    </row>
    <row r="5440" spans="21:21" ht="26.4">
      <c r="U5440" s="85" ph="1"/>
    </row>
    <row r="5441" spans="21:21" ht="26.4">
      <c r="U5441" s="85" ph="1"/>
    </row>
    <row r="5442" spans="21:21" ht="26.4">
      <c r="U5442" s="85" ph="1"/>
    </row>
    <row r="5443" spans="21:21" ht="26.4">
      <c r="U5443" s="85" ph="1"/>
    </row>
    <row r="5444" spans="21:21" ht="26.4">
      <c r="U5444" s="85" ph="1"/>
    </row>
    <row r="5445" spans="21:21" ht="26.4">
      <c r="U5445" s="85" ph="1"/>
    </row>
    <row r="5446" spans="21:21" ht="26.4">
      <c r="U5446" s="85" ph="1"/>
    </row>
    <row r="5447" spans="21:21" ht="26.4">
      <c r="U5447" s="85" ph="1"/>
    </row>
    <row r="5448" spans="21:21" ht="26.4">
      <c r="U5448" s="85" ph="1"/>
    </row>
    <row r="5449" spans="21:21" ht="26.4">
      <c r="U5449" s="85" ph="1"/>
    </row>
    <row r="5450" spans="21:21" ht="26.4">
      <c r="U5450" s="85" ph="1"/>
    </row>
    <row r="5451" spans="21:21" ht="26.4">
      <c r="U5451" s="85" ph="1"/>
    </row>
    <row r="5452" spans="21:21" ht="26.4">
      <c r="U5452" s="85" ph="1"/>
    </row>
  </sheetData>
  <phoneticPr fontId="1" type="noConversion"/>
  <conditionalFormatting sqref="P1:Q1048576 S1:S1048576">
    <cfRule type="cellIs" dxfId="133" priority="10" operator="between">
      <formula>100</formula>
      <formula>1</formula>
    </cfRule>
  </conditionalFormatting>
  <conditionalFormatting sqref="R1:R1048576">
    <cfRule type="cellIs" dxfId="132" priority="9" operator="between">
      <formula>200</formula>
      <formula>1</formula>
    </cfRule>
  </conditionalFormatting>
  <conditionalFormatting sqref="T1:T1048576">
    <cfRule type="cellIs" dxfId="131" priority="6" operator="between">
      <formula>100</formula>
      <formula>1</formula>
    </cfRule>
  </conditionalFormatting>
  <conditionalFormatting sqref="B1:E1048576">
    <cfRule type="cellIs" dxfId="130" priority="5" operator="lessThan">
      <formula>0</formula>
    </cfRule>
  </conditionalFormatting>
  <conditionalFormatting sqref="F1:F1048576">
    <cfRule type="cellIs" dxfId="129" priority="4" operator="greaterThan">
      <formula>10</formula>
    </cfRule>
  </conditionalFormatting>
  <conditionalFormatting sqref="A1:A1048576">
    <cfRule type="expression" dxfId="128" priority="3">
      <formula>IF($F1&gt;0,$A1,"")</formula>
    </cfRule>
  </conditionalFormatting>
  <conditionalFormatting sqref="U1:U1048576">
    <cfRule type="cellIs" dxfId="127" priority="2" operator="greaterThanOrEqual">
      <formula>3</formula>
    </cfRule>
  </conditionalFormatting>
  <conditionalFormatting sqref="W1:W1048576">
    <cfRule type="expression" dxfId="126" priority="1">
      <formula>IF($W1&lt;$U1,$W1,"")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AP2313"/>
  <sheetViews>
    <sheetView workbookViewId="0">
      <selection activeCell="J1644" sqref="J1644"/>
    </sheetView>
  </sheetViews>
  <sheetFormatPr defaultColWidth="9.125" defaultRowHeight="16.2"/>
  <cols>
    <col min="1" max="1" width="7.75" style="127" customWidth="1"/>
    <col min="2" max="2" width="8.125" style="91" customWidth="1"/>
    <col min="3" max="5" width="5.75" style="91" customWidth="1"/>
    <col min="6" max="6" width="11.125" style="63" customWidth="1"/>
    <col min="7" max="7" width="6.75" style="41" customWidth="1"/>
    <col min="8" max="8" width="5.75" style="42" customWidth="1"/>
    <col min="9" max="9" width="8.75" style="9" customWidth="1"/>
    <col min="10" max="10" width="4.75" style="8" customWidth="1"/>
    <col min="11" max="11" width="4.75" style="5" customWidth="1"/>
    <col min="12" max="12" width="3.75" style="46" customWidth="1"/>
    <col min="13" max="13" width="3.75" style="5" customWidth="1"/>
    <col min="14" max="14" width="4.75" style="30" customWidth="1"/>
    <col min="15" max="15" width="2.75" style="245" customWidth="1"/>
    <col min="16" max="16" width="6.75" style="89" customWidth="1"/>
    <col min="17" max="17" width="6.75" style="73" customWidth="1"/>
    <col min="18" max="18" width="6.75" style="354" customWidth="1"/>
    <col min="19" max="19" width="5.75" style="370" customWidth="1"/>
    <col min="20" max="20" width="7.75" style="322" customWidth="1"/>
    <col min="21" max="21" width="7.75" style="85" customWidth="1"/>
    <col min="22" max="22" width="7.75" style="311" customWidth="1"/>
    <col min="23" max="23" width="7.75" style="215" customWidth="1"/>
    <col min="24" max="24" width="8.75" style="191" customWidth="1"/>
    <col min="25" max="25" width="8.75" style="188" customWidth="1"/>
    <col min="26" max="26" width="9.75" style="58" customWidth="1"/>
    <col min="27" max="27" width="8.75" style="11" customWidth="1"/>
    <col min="28" max="28" width="6.75" style="344" customWidth="1"/>
    <col min="29" max="29" width="5.75" style="384" customWidth="1"/>
    <col min="30" max="30" width="8.75" style="9" customWidth="1"/>
    <col min="31" max="31" width="11.75" style="84" customWidth="1"/>
    <col min="32" max="32" width="11.75" style="83" customWidth="1"/>
    <col min="33" max="33" width="4.75" style="78" customWidth="1"/>
    <col min="34" max="34" width="6.75" style="119" customWidth="1"/>
    <col min="35" max="35" width="7.75" style="259" customWidth="1"/>
    <col min="36" max="36" width="7.75" style="250" customWidth="1"/>
    <col min="37" max="37" width="7.75" style="399" customWidth="1"/>
    <col min="38" max="38" width="2.75" style="279" customWidth="1"/>
    <col min="39" max="39" width="8.75" style="245" customWidth="1"/>
    <col min="40" max="16384" width="9.125" style="245"/>
  </cols>
  <sheetData>
    <row r="1" spans="1:38">
      <c r="B1" s="79"/>
      <c r="C1" s="79"/>
      <c r="D1" s="79"/>
      <c r="E1" s="79"/>
      <c r="F1" s="57"/>
      <c r="G1" s="41" t="s">
        <v>3484</v>
      </c>
      <c r="H1" s="17"/>
      <c r="I1" s="22" t="s">
        <v>3485</v>
      </c>
      <c r="L1" s="2"/>
      <c r="Q1" s="293"/>
      <c r="S1" s="26"/>
      <c r="T1" s="322">
        <v>7.78</v>
      </c>
      <c r="U1" s="186">
        <v>0.35</v>
      </c>
      <c r="V1" s="309"/>
      <c r="W1" s="94"/>
      <c r="X1" s="36">
        <f>RTD("money.excel",,"0050","Price")</f>
        <v>124.2</v>
      </c>
      <c r="Y1" s="65"/>
      <c r="Z1" s="15">
        <f>X1-Y1</f>
        <v>124.2</v>
      </c>
      <c r="AA1" s="3" t="e">
        <f>Z1/Y1</f>
        <v>#DIV/0!</v>
      </c>
      <c r="AD1" s="22" t="s">
        <v>3485</v>
      </c>
      <c r="AG1" s="33">
        <f>AF1-AE1</f>
        <v>0</v>
      </c>
      <c r="AH1" s="43"/>
      <c r="AI1" s="287"/>
      <c r="AJ1" s="248"/>
    </row>
    <row r="2" spans="1:38">
      <c r="B2" s="79"/>
      <c r="C2" s="79"/>
      <c r="D2" s="79"/>
      <c r="E2" s="79"/>
      <c r="F2" s="57"/>
      <c r="H2" s="17"/>
      <c r="I2" s="22"/>
      <c r="L2" s="2"/>
      <c r="O2" s="248"/>
      <c r="P2" s="364"/>
      <c r="Q2" s="293"/>
      <c r="R2" s="336"/>
      <c r="S2" s="26"/>
      <c r="U2" s="186"/>
      <c r="V2" s="309"/>
      <c r="W2" s="94"/>
      <c r="X2" s="36"/>
      <c r="Y2" s="65"/>
      <c r="Z2" s="15"/>
      <c r="AA2" s="3"/>
      <c r="AD2" s="22"/>
      <c r="AG2" s="33"/>
      <c r="AH2" s="43"/>
      <c r="AI2" s="287"/>
      <c r="AJ2" s="248"/>
    </row>
    <row r="3" spans="1:38">
      <c r="A3" s="127" t="s">
        <v>1673</v>
      </c>
      <c r="B3" s="90" t="s">
        <v>1572</v>
      </c>
      <c r="C3" s="90" t="s">
        <v>1573</v>
      </c>
      <c r="D3" s="90" t="s">
        <v>1574</v>
      </c>
      <c r="E3" s="90" t="s">
        <v>1575</v>
      </c>
      <c r="F3" s="8" t="s">
        <v>1060</v>
      </c>
      <c r="G3" s="27" t="s">
        <v>853</v>
      </c>
      <c r="H3" s="55" t="s">
        <v>320</v>
      </c>
      <c r="I3" s="8" t="s">
        <v>3581</v>
      </c>
      <c r="J3" s="8" t="s">
        <v>6221</v>
      </c>
      <c r="K3" s="5" t="s">
        <v>6222</v>
      </c>
      <c r="L3" s="337" t="s">
        <v>6206</v>
      </c>
      <c r="M3" s="338" t="s">
        <v>6207</v>
      </c>
      <c r="N3" s="339" t="s">
        <v>6208</v>
      </c>
      <c r="O3" s="4" t="s">
        <v>6713</v>
      </c>
      <c r="P3" s="89" t="s">
        <v>6285</v>
      </c>
      <c r="Q3" s="293" t="s">
        <v>6284</v>
      </c>
      <c r="R3" s="354" t="s">
        <v>6283</v>
      </c>
      <c r="S3" s="26" t="s">
        <v>6286</v>
      </c>
      <c r="T3" s="321" t="s">
        <v>4716</v>
      </c>
      <c r="U3" s="10" t="s">
        <v>66</v>
      </c>
      <c r="V3" s="308" t="s">
        <v>4731</v>
      </c>
      <c r="W3" s="68" t="s">
        <v>3273</v>
      </c>
      <c r="X3" s="28" t="s">
        <v>2</v>
      </c>
      <c r="Y3" s="17" t="s">
        <v>1399</v>
      </c>
      <c r="Z3" s="14" t="s">
        <v>5</v>
      </c>
      <c r="AA3" s="21" t="s">
        <v>3</v>
      </c>
      <c r="AB3" s="96" t="s">
        <v>6174</v>
      </c>
      <c r="AC3" s="384" t="s">
        <v>6420</v>
      </c>
      <c r="AD3" s="8" t="s">
        <v>3581</v>
      </c>
      <c r="AE3" s="71" t="s">
        <v>1400</v>
      </c>
      <c r="AF3" s="72" t="s">
        <v>1157</v>
      </c>
      <c r="AG3" s="32" t="s">
        <v>1158</v>
      </c>
      <c r="AH3" s="25" t="s">
        <v>6209</v>
      </c>
      <c r="AI3" s="8" t="s">
        <v>6731</v>
      </c>
      <c r="AJ3" s="50" t="s">
        <v>3361</v>
      </c>
      <c r="AK3" s="44" t="s">
        <v>6730</v>
      </c>
    </row>
    <row r="4" spans="1:38">
      <c r="A4" s="347">
        <f>IFERROR(VLOOKUP($G4,基本資料!$A:$J,3,0),"無")</f>
        <v>612</v>
      </c>
      <c r="B4" s="79">
        <f>IFERROR(VLOOKUP($G4,基本資料!$A:$J,4,0),"無")</f>
        <v>-24</v>
      </c>
      <c r="C4" s="79">
        <f>IFERROR(VLOOKUP($G4,基本資料!$A:$J,5,0),"無")</f>
        <v>-36</v>
      </c>
      <c r="D4" s="79">
        <f>IFERROR(VLOOKUP($G4,基本資料!$A:$J,6,0),"無")</f>
        <v>82</v>
      </c>
      <c r="E4" s="79">
        <f>IFERROR(VLOOKUP($G4,基本資料!$A:$J,7,0),"無")</f>
        <v>1</v>
      </c>
      <c r="F4" s="6">
        <f>IFERROR(VLOOKUP($G4,基本資料!$A:$J,8,0),"無")</f>
        <v>18.48</v>
      </c>
      <c r="G4" s="79">
        <v>1101</v>
      </c>
      <c r="H4" s="8" t="s">
        <v>291</v>
      </c>
      <c r="I4" s="153" t="s">
        <v>274</v>
      </c>
      <c r="J4" s="8" t="str">
        <f>IFERROR(VLOOKUP($G4,今日總結!$A:$AJ,35,0),"")</f>
        <v>投</v>
      </c>
      <c r="K4" s="5">
        <f>IFERROR(VLOOKUP($G4,今日總結!$A:$AJ,36,0),"")</f>
        <v>0</v>
      </c>
      <c r="L4" s="156">
        <f>IFERROR(VLOOKUP($G4,今日總結!$A:$AJ,33,0),"")</f>
        <v>1</v>
      </c>
      <c r="M4" s="340">
        <f>IFERROR(VLOOKUP($G4,今日總結!$A:$AJ,34,0),"")</f>
        <v>1</v>
      </c>
      <c r="N4" s="240">
        <f>IFERROR(L4-M4,"")</f>
        <v>0</v>
      </c>
      <c r="O4" s="248"/>
      <c r="P4" s="365">
        <f>IFERROR(VLOOKUP($G4,融外自投!$A:$J,7,0),"無")</f>
        <v>1342</v>
      </c>
      <c r="Q4" s="79">
        <f>IFERROR(VLOOKUP($G4,融外自投!$A:$J,9,0),"無")</f>
        <v>80</v>
      </c>
      <c r="R4" s="346">
        <f>IFERROR(VLOOKUP($G4,融外自投!$A:$J,8,0),"無")</f>
        <v>264</v>
      </c>
      <c r="S4" s="81">
        <f>IFERROR(VLOOKUP($G4,融外自投!$A:$J,10,0),"無")</f>
        <v>80</v>
      </c>
      <c r="T4" s="327">
        <f>IFERROR(VLOOKUP($G4,'321買'!$A:$E,5,0),"'沒有資料'")</f>
        <v>10</v>
      </c>
      <c r="U4" s="186">
        <f>IFERROR(VLOOKUP($G4,基本資料!$A:$J,9,0),"無")</f>
        <v>2</v>
      </c>
      <c r="V4" s="310">
        <f>$U4/$X4</f>
        <v>4.6893317702227433E-2</v>
      </c>
      <c r="W4" s="94">
        <f>IFERROR(VLOOKUP($G4,基本資料!$A:$J,10,0),"無")</f>
        <v>3.3</v>
      </c>
      <c r="X4" s="36">
        <f>RTD("money.excel",,$G4,"Price")</f>
        <v>42.65</v>
      </c>
      <c r="Y4" s="66"/>
      <c r="Z4" s="15">
        <f t="shared" ref="Z4:Z10" si="0">X4-Y4</f>
        <v>42.65</v>
      </c>
      <c r="AA4" s="3" t="e">
        <v>#DIV/0!</v>
      </c>
      <c r="AB4" s="344">
        <f>IFERROR(VLOOKUP($G4,基本資料!$A:$M,11,0),"無")</f>
        <v>-18.809999999999999</v>
      </c>
      <c r="AC4" s="397">
        <f>IFERROR(VLOOKUP($G4,基本資料!$A:$M,12,0),"無")</f>
        <v>14.66</v>
      </c>
      <c r="AD4" s="22" t="s">
        <v>274</v>
      </c>
      <c r="AG4" s="33">
        <v>0</v>
      </c>
      <c r="AH4" s="117" t="s">
        <v>3263</v>
      </c>
      <c r="AI4" s="63">
        <f t="shared" ref="AI4:AI10" si="1">AJ4/(A4*10000)</f>
        <v>5.4297385620915035E-3</v>
      </c>
      <c r="AJ4" s="284">
        <f>RTD("money.excel",,$G4,"PredictVolume")</f>
        <v>33230</v>
      </c>
      <c r="AK4" s="399">
        <f>IFERROR(VLOOKUP($G4,基本資料!$A:$M,13,0),"無")</f>
        <v>3.34</v>
      </c>
    </row>
    <row r="5" spans="1:38">
      <c r="A5" s="347">
        <f>IFERROR(VLOOKUP($G5,基本資料!$A:$J,3,0),"無")</f>
        <v>354</v>
      </c>
      <c r="B5" s="79">
        <f>IFERROR(VLOOKUP($G5,基本資料!$A:$J,4,0),"無")</f>
        <v>-6</v>
      </c>
      <c r="C5" s="79">
        <f>IFERROR(VLOOKUP($G5,基本資料!$A:$J,5,0),"無")</f>
        <v>-10</v>
      </c>
      <c r="D5" s="79">
        <f>IFERROR(VLOOKUP($G5,基本資料!$A:$J,6,0),"無")</f>
        <v>99</v>
      </c>
      <c r="E5" s="79">
        <f>IFERROR(VLOOKUP($G5,基本資料!$A:$J,7,0),"無")</f>
        <v>16</v>
      </c>
      <c r="F5" s="6">
        <f>IFERROR(VLOOKUP($G5,基本資料!$A:$J,8,0),"無")</f>
        <v>18.940000000000001</v>
      </c>
      <c r="G5" s="79">
        <v>1102</v>
      </c>
      <c r="H5" s="8" t="s">
        <v>291</v>
      </c>
      <c r="I5" s="22" t="s">
        <v>19</v>
      </c>
      <c r="J5" s="8" t="str">
        <f>IFERROR(VLOOKUP($G5,今日總結!$A:$AJ,35,0),"")</f>
        <v>自借</v>
      </c>
      <c r="K5" s="5">
        <f>IFERROR(VLOOKUP($G5,今日總結!$A:$AJ,36,0),"")</f>
        <v>0</v>
      </c>
      <c r="L5" s="156">
        <f>IFERROR(VLOOKUP($G5,今日總結!$A:$AJ,33,0),"")</f>
        <v>2</v>
      </c>
      <c r="M5" s="340">
        <f>IFERROR(VLOOKUP($G5,今日總結!$A:$AJ,34,0),"")</f>
        <v>1</v>
      </c>
      <c r="N5" s="240">
        <f t="shared" ref="N5:N10" si="2">IFERROR(L5-M5,"")</f>
        <v>1</v>
      </c>
      <c r="O5" s="248"/>
      <c r="P5" s="365">
        <f>IFERROR(VLOOKUP($G5,融外自投!$A:$J,7,0),"無")</f>
        <v>1420</v>
      </c>
      <c r="Q5" s="79">
        <f>IFERROR(VLOOKUP($G5,融外自投!$A:$J,9,0),"無")</f>
        <v>53</v>
      </c>
      <c r="R5" s="346">
        <f>IFERROR(VLOOKUP($G5,融外自投!$A:$J,8,0),"無")</f>
        <v>312</v>
      </c>
      <c r="S5" s="81">
        <f>IFERROR(VLOOKUP($G5,融外自投!$A:$J,10,0),"無")</f>
        <v>71</v>
      </c>
      <c r="T5" s="327">
        <f>IFERROR(VLOOKUP($G5,'321買'!$A:$E,5,0),"'沒有資料'")</f>
        <v>13</v>
      </c>
      <c r="U5" s="186">
        <f>IFERROR(VLOOKUP($G5,基本資料!$A:$J,9,0),"無")</f>
        <v>3.4</v>
      </c>
      <c r="V5" s="310">
        <f t="shared" ref="V5:V10" si="3">$U5/$X5</f>
        <v>7.5055187637969104E-2</v>
      </c>
      <c r="W5" s="94">
        <f>IFERROR(VLOOKUP($G5,基本資料!$A:$J,10,0),"無")</f>
        <v>4.7</v>
      </c>
      <c r="X5" s="36">
        <f>RTD("money.excel",,$G5,"Price")</f>
        <v>45.3</v>
      </c>
      <c r="Y5" s="66"/>
      <c r="Z5" s="15">
        <f t="shared" si="0"/>
        <v>45.3</v>
      </c>
      <c r="AA5" s="3" t="e">
        <v>#DIV/0!</v>
      </c>
      <c r="AB5" s="344">
        <f>IFERROR(VLOOKUP($G5,基本資料!$A:$M,11,0),"無")</f>
        <v>-13.62</v>
      </c>
      <c r="AC5" s="397">
        <f>IFERROR(VLOOKUP($G5,基本資料!$A:$M,12,0),"無")</f>
        <v>48.96</v>
      </c>
      <c r="AD5" s="22" t="s">
        <v>19</v>
      </c>
      <c r="AG5" s="33">
        <v>0</v>
      </c>
      <c r="AH5" s="117" t="s">
        <v>3264</v>
      </c>
      <c r="AI5" s="63">
        <f t="shared" si="1"/>
        <v>1.5084745762711865E-3</v>
      </c>
      <c r="AJ5" s="284">
        <f>RTD("money.excel",,$G5,"PredictVolume")</f>
        <v>5340</v>
      </c>
      <c r="AK5" s="399">
        <f>IFERROR(VLOOKUP($G5,基本資料!$A:$M,13,0),"無")</f>
        <v>2.67</v>
      </c>
    </row>
    <row r="6" spans="1:38">
      <c r="A6" s="347">
        <f>IFERROR(VLOOKUP($G6,基本資料!$A:$J,3,0),"無")</f>
        <v>77.47</v>
      </c>
      <c r="B6" s="79">
        <f>IFERROR(VLOOKUP($G6,基本資料!$A:$J,4,0),"無")</f>
        <v>-59</v>
      </c>
      <c r="C6" s="79">
        <f>IFERROR(VLOOKUP($G6,基本資料!$A:$J,5,0),"無")</f>
        <v>-163</v>
      </c>
      <c r="D6" s="79">
        <f>IFERROR(VLOOKUP($G6,基本資料!$A:$J,6,0),"無")</f>
        <v>64</v>
      </c>
      <c r="E6" s="79">
        <f>IFERROR(VLOOKUP($G6,基本資料!$A:$J,7,0),"無")</f>
        <v>8</v>
      </c>
      <c r="F6" s="6">
        <f>IFERROR(VLOOKUP($G6,基本資料!$A:$J,8,0),"無")</f>
        <v>-23.67</v>
      </c>
      <c r="G6" s="79">
        <v>1103</v>
      </c>
      <c r="H6" s="8" t="s">
        <v>291</v>
      </c>
      <c r="I6" s="22" t="s">
        <v>854</v>
      </c>
      <c r="J6" s="8">
        <f>IFERROR(VLOOKUP($G6,今日總結!$A:$AJ,35,0),"")</f>
        <v>0</v>
      </c>
      <c r="K6" s="5" t="str">
        <f>IFERROR(VLOOKUP($G6,今日總結!$A:$AJ,36,0),"")</f>
        <v>外</v>
      </c>
      <c r="L6" s="156">
        <f>IFERROR(VLOOKUP($G6,今日總結!$A:$AJ,33,0),"")</f>
        <v>0</v>
      </c>
      <c r="M6" s="340">
        <f>IFERROR(VLOOKUP($G6,今日總結!$A:$AJ,34,0),"")</f>
        <v>1</v>
      </c>
      <c r="N6" s="240">
        <f t="shared" si="2"/>
        <v>-1</v>
      </c>
      <c r="O6" s="248"/>
      <c r="P6" s="365">
        <f>IFERROR(VLOOKUP($G6,融外自投!$A:$J,7,0),"無")</f>
        <v>1222</v>
      </c>
      <c r="Q6" s="79">
        <f>IFERROR(VLOOKUP($G6,融外自投!$A:$J,9,0),"無")</f>
        <v>789</v>
      </c>
      <c r="R6" s="346">
        <f>IFERROR(VLOOKUP($G6,融外自投!$A:$J,8,0),"無")</f>
        <v>768</v>
      </c>
      <c r="S6" s="81" t="str">
        <f>IFERROR(VLOOKUP($G6,融外自投!$A:$J,10,0),"無")</f>
        <v>無</v>
      </c>
      <c r="T6" s="327">
        <f>IFERROR(VLOOKUP($G6,'321買'!$A:$E,5,0),"'沒有資料'")</f>
        <v>752</v>
      </c>
      <c r="U6" s="186">
        <f>IFERROR(VLOOKUP($G6,基本資料!$A:$J,9,0),"無")</f>
        <v>0.65</v>
      </c>
      <c r="V6" s="310">
        <f t="shared" si="3"/>
        <v>3.5040431266846361E-2</v>
      </c>
      <c r="W6" s="94">
        <f>IFERROR(VLOOKUP($G6,基本資料!$A:$J,10,0),"無")</f>
        <v>1.02</v>
      </c>
      <c r="X6" s="36">
        <f>RTD("money.excel",,$G6,"Price")</f>
        <v>18.55</v>
      </c>
      <c r="Y6" s="66"/>
      <c r="Z6" s="15">
        <f t="shared" si="0"/>
        <v>18.55</v>
      </c>
      <c r="AA6" s="3" t="e">
        <v>#DIV/0!</v>
      </c>
      <c r="AB6" s="344">
        <f>IFERROR(VLOOKUP($G6,基本資料!$A:$M,11,0),"無")</f>
        <v>-20.83</v>
      </c>
      <c r="AC6" s="397">
        <f>IFERROR(VLOOKUP($G6,基本資料!$A:$M,12,0),"無")</f>
        <v>14.86</v>
      </c>
      <c r="AD6" s="22" t="s">
        <v>854</v>
      </c>
      <c r="AG6" s="33">
        <v>0</v>
      </c>
      <c r="AH6" s="43" t="s">
        <v>2023</v>
      </c>
      <c r="AI6" s="63">
        <f t="shared" si="1"/>
        <v>1.1694849619207435E-3</v>
      </c>
      <c r="AJ6" s="284">
        <f>RTD("money.excel",,$G6,"PredictVolume")</f>
        <v>906</v>
      </c>
      <c r="AK6" s="399">
        <f>IFERROR(VLOOKUP($G6,基本資料!$A:$M,13,0),"無")</f>
        <v>3.62</v>
      </c>
    </row>
    <row r="7" spans="1:38">
      <c r="A7" s="347">
        <f>IFERROR(VLOOKUP($G7,基本資料!$A:$J,3,0),"無")</f>
        <v>65.36</v>
      </c>
      <c r="B7" s="79">
        <f>IFERROR(VLOOKUP($G7,基本資料!$A:$J,4,0),"無")</f>
        <v>-11</v>
      </c>
      <c r="C7" s="79">
        <f>IFERROR(VLOOKUP($G7,基本資料!$A:$J,5,0),"無")</f>
        <v>44</v>
      </c>
      <c r="D7" s="79">
        <f>IFERROR(VLOOKUP($G7,基本資料!$A:$J,6,0),"無")</f>
        <v>69</v>
      </c>
      <c r="E7" s="79">
        <f>IFERROR(VLOOKUP($G7,基本資料!$A:$J,7,0),"無")</f>
        <v>2</v>
      </c>
      <c r="F7" s="6">
        <f>IFERROR(VLOOKUP($G7,基本資料!$A:$J,8,0),"無")</f>
        <v>11.68</v>
      </c>
      <c r="G7" s="79">
        <v>1104</v>
      </c>
      <c r="H7" s="8" t="s">
        <v>291</v>
      </c>
      <c r="I7" s="22" t="s">
        <v>855</v>
      </c>
      <c r="J7" s="8">
        <f>IFERROR(VLOOKUP($G7,今日總結!$A:$AJ,35,0),"")</f>
        <v>0</v>
      </c>
      <c r="K7" s="5">
        <f>IFERROR(VLOOKUP($G7,今日總結!$A:$AJ,36,0),"")</f>
        <v>0</v>
      </c>
      <c r="L7" s="156">
        <f>IFERROR(VLOOKUP($G7,今日總結!$A:$AJ,33,0),"")</f>
        <v>0</v>
      </c>
      <c r="M7" s="340">
        <f>IFERROR(VLOOKUP($G7,今日總結!$A:$AJ,34,0),"")</f>
        <v>1</v>
      </c>
      <c r="N7" s="240">
        <f t="shared" si="2"/>
        <v>-1</v>
      </c>
      <c r="O7" s="248"/>
      <c r="P7" s="365">
        <f>IFERROR(VLOOKUP($G7,融外自投!$A:$J,7,0),"無")</f>
        <v>1276</v>
      </c>
      <c r="Q7" s="79" t="str">
        <f>IFERROR(VLOOKUP($G7,融外自投!$A:$J,9,0),"無")</f>
        <v>無</v>
      </c>
      <c r="R7" s="346">
        <f>IFERROR(VLOOKUP($G7,融外自投!$A:$J,8,0),"無")</f>
        <v>419</v>
      </c>
      <c r="S7" s="81" t="str">
        <f>IFERROR(VLOOKUP($G7,融外自投!$A:$J,10,0),"無")</f>
        <v>無</v>
      </c>
      <c r="T7" s="327">
        <f>IFERROR(VLOOKUP($G7,'321買'!$A:$E,5,0),"'沒有資料'")</f>
        <v>1007</v>
      </c>
      <c r="U7" s="186">
        <f>IFERROR(VLOOKUP($G7,基本資料!$A:$J,9,0),"無")</f>
        <v>1</v>
      </c>
      <c r="V7" s="310">
        <f t="shared" si="3"/>
        <v>4.8309178743961352E-2</v>
      </c>
      <c r="W7" s="94">
        <f>IFERROR(VLOOKUP($G7,基本資料!$A:$J,10,0),"無")</f>
        <v>1.66</v>
      </c>
      <c r="X7" s="36">
        <f>RTD("money.excel",,$G7,"Price")</f>
        <v>20.7</v>
      </c>
      <c r="Y7" s="66"/>
      <c r="Z7" s="15">
        <f t="shared" si="0"/>
        <v>20.7</v>
      </c>
      <c r="AA7" s="3" t="e">
        <v>#DIV/0!</v>
      </c>
      <c r="AB7" s="344">
        <f>IFERROR(VLOOKUP($G7,基本資料!$A:$M,11,0),"無")</f>
        <v>-17.71</v>
      </c>
      <c r="AC7" s="397">
        <f>IFERROR(VLOOKUP($G7,基本資料!$A:$M,12,0),"無")</f>
        <v>14.75</v>
      </c>
      <c r="AD7" s="22" t="s">
        <v>855</v>
      </c>
      <c r="AG7" s="33">
        <v>0</v>
      </c>
      <c r="AH7" s="43" t="s">
        <v>3265</v>
      </c>
      <c r="AI7" s="63">
        <f t="shared" si="1"/>
        <v>3.2955936352509181E-3</v>
      </c>
      <c r="AJ7" s="284">
        <f>RTD("money.excel",,$G7,"PredictVolume")</f>
        <v>2154</v>
      </c>
      <c r="AK7" s="399">
        <f>IFERROR(VLOOKUP($G7,基本資料!$A:$M,13,0),"無")</f>
        <v>4.51</v>
      </c>
    </row>
    <row r="8" spans="1:38">
      <c r="A8" s="347">
        <f>IFERROR(VLOOKUP($G8,基本資料!$A:$J,3,0),"無")</f>
        <v>40.47</v>
      </c>
      <c r="B8" s="79">
        <f>IFERROR(VLOOKUP($G8,基本資料!$A:$J,4,0),"無")</f>
        <v>-33</v>
      </c>
      <c r="C8" s="79">
        <f>IFERROR(VLOOKUP($G8,基本資料!$A:$J,5,0),"無")</f>
        <v>-24</v>
      </c>
      <c r="D8" s="79">
        <f>IFERROR(VLOOKUP($G8,基本資料!$A:$J,6,0),"無")</f>
        <v>-2</v>
      </c>
      <c r="E8" s="79">
        <f>IFERROR(VLOOKUP($G8,基本資料!$A:$J,7,0),"無")</f>
        <v>-2</v>
      </c>
      <c r="F8" s="6">
        <f>IFERROR(VLOOKUP($G8,基本資料!$A:$J,8,0),"無")</f>
        <v>8.98</v>
      </c>
      <c r="G8" s="79">
        <v>1108</v>
      </c>
      <c r="H8" s="8" t="s">
        <v>291</v>
      </c>
      <c r="I8" s="22" t="s">
        <v>856</v>
      </c>
      <c r="J8" s="8" t="str">
        <f>IFERROR(VLOOKUP($G8,今日總結!$A:$AJ,35,0),"")</f>
        <v/>
      </c>
      <c r="K8" s="5" t="str">
        <f>IFERROR(VLOOKUP($G8,今日總結!$A:$AJ,36,0),"")</f>
        <v/>
      </c>
      <c r="L8" s="156" t="str">
        <f>IFERROR(VLOOKUP($G8,今日總結!$A:$AJ,33,0),"")</f>
        <v/>
      </c>
      <c r="M8" s="340" t="str">
        <f>IFERROR(VLOOKUP($G8,今日總結!$A:$AJ,34,0),"")</f>
        <v/>
      </c>
      <c r="N8" s="240" t="str">
        <f t="shared" si="2"/>
        <v/>
      </c>
      <c r="P8" s="365">
        <f>IFERROR(VLOOKUP($G8,融外自投!$A:$J,7,0),"無")</f>
        <v>1050</v>
      </c>
      <c r="Q8" s="79">
        <f>IFERROR(VLOOKUP($G8,融外自投!$A:$J,9,0),"無")</f>
        <v>1110</v>
      </c>
      <c r="R8" s="346">
        <f>IFERROR(VLOOKUP($G8,融外自投!$A:$J,8,0),"無")</f>
        <v>1213</v>
      </c>
      <c r="S8" s="81" t="str">
        <f>IFERROR(VLOOKUP($G8,融外自投!$A:$J,10,0),"無")</f>
        <v>無</v>
      </c>
      <c r="T8" s="327">
        <f>IFERROR(VLOOKUP($G8,'321買'!$A:$E,5,0),"'沒有資料'")</f>
        <v>623</v>
      </c>
      <c r="U8" s="186">
        <f>IFERROR(VLOOKUP($G8,基本資料!$A:$J,9,0),"無")</f>
        <v>0.6</v>
      </c>
      <c r="V8" s="310">
        <f t="shared" si="3"/>
        <v>5.4298642533936646E-2</v>
      </c>
      <c r="W8" s="94">
        <f>IFERROR(VLOOKUP($G8,基本資料!$A:$J,10,0),"無")</f>
        <v>0.65</v>
      </c>
      <c r="X8" s="36">
        <f>RTD("money.excel",,$G8,"Price")</f>
        <v>11.05</v>
      </c>
      <c r="Y8" s="66"/>
      <c r="Z8" s="15">
        <f t="shared" si="0"/>
        <v>11.05</v>
      </c>
      <c r="AA8" s="3" t="e">
        <v>#DIV/0!</v>
      </c>
      <c r="AB8" s="344">
        <f>IFERROR(VLOOKUP($G8,基本資料!$A:$M,11,0),"無")</f>
        <v>-22.15</v>
      </c>
      <c r="AC8" s="397">
        <f>IFERROR(VLOOKUP($G8,基本資料!$A:$M,12,0),"無")</f>
        <v>46.23</v>
      </c>
      <c r="AD8" s="22" t="s">
        <v>856</v>
      </c>
      <c r="AG8" s="33">
        <v>0</v>
      </c>
      <c r="AH8" s="43" t="s">
        <v>291</v>
      </c>
      <c r="AI8" s="63">
        <f t="shared" si="1"/>
        <v>7.6105757351124293E-4</v>
      </c>
      <c r="AJ8" s="284">
        <f>RTD("money.excel",,$G8,"PredictVolume")</f>
        <v>308</v>
      </c>
      <c r="AK8" s="399">
        <f>IFERROR(VLOOKUP($G8,基本資料!$A:$M,13,0),"無")</f>
        <v>7.69</v>
      </c>
    </row>
    <row r="9" spans="1:38">
      <c r="A9" s="347">
        <f>IFERROR(VLOOKUP($G9,基本資料!$A:$J,3,0),"無")</f>
        <v>34.19</v>
      </c>
      <c r="B9" s="79">
        <f>IFERROR(VLOOKUP($G9,基本資料!$A:$J,4,0),"無")</f>
        <v>-16</v>
      </c>
      <c r="C9" s="79">
        <f>IFERROR(VLOOKUP($G9,基本資料!$A:$J,5,0),"無")</f>
        <v>-16</v>
      </c>
      <c r="D9" s="79">
        <f>IFERROR(VLOOKUP($G9,基本資料!$A:$J,6,0),"無")</f>
        <v>170</v>
      </c>
      <c r="E9" s="79">
        <f>IFERROR(VLOOKUP($G9,基本資料!$A:$J,7,0),"無")</f>
        <v>-44</v>
      </c>
      <c r="F9" s="6">
        <f>IFERROR(VLOOKUP($G9,基本資料!$A:$J,8,0),"無")</f>
        <v>23.82</v>
      </c>
      <c r="G9" s="79">
        <v>1109</v>
      </c>
      <c r="H9" s="8" t="s">
        <v>291</v>
      </c>
      <c r="I9" s="22" t="s">
        <v>857</v>
      </c>
      <c r="J9" s="8">
        <f>IFERROR(VLOOKUP($G9,今日總結!$A:$AJ,35,0),"")</f>
        <v>0</v>
      </c>
      <c r="K9" s="5">
        <f>IFERROR(VLOOKUP($G9,今日總結!$A:$AJ,36,0),"")</f>
        <v>0</v>
      </c>
      <c r="L9" s="156">
        <f>IFERROR(VLOOKUP($G9,今日總結!$A:$AJ,33,0),"")</f>
        <v>0</v>
      </c>
      <c r="M9" s="340">
        <f>IFERROR(VLOOKUP($G9,今日總結!$A:$AJ,34,0),"")</f>
        <v>1</v>
      </c>
      <c r="N9" s="240">
        <f t="shared" si="2"/>
        <v>-1</v>
      </c>
      <c r="P9" s="365">
        <f>IFERROR(VLOOKUP($G9,融外自投!$A:$J,7,0),"無")</f>
        <v>1104</v>
      </c>
      <c r="Q9" s="79">
        <f>IFERROR(VLOOKUP($G9,融外自投!$A:$J,9,0),"無")</f>
        <v>558</v>
      </c>
      <c r="R9" s="346">
        <f>IFERROR(VLOOKUP($G9,融外自投!$A:$J,8,0),"無")</f>
        <v>849</v>
      </c>
      <c r="S9" s="81" t="str">
        <f>IFERROR(VLOOKUP($G9,融外自投!$A:$J,10,0),"無")</f>
        <v>無</v>
      </c>
      <c r="T9" s="327">
        <f>IFERROR(VLOOKUP($G9,'321買'!$A:$E,5,0),"'沒有資料'")</f>
        <v>852</v>
      </c>
      <c r="U9" s="186">
        <f>IFERROR(VLOOKUP($G9,基本資料!$A:$J,9,0),"無")</f>
        <v>1.5</v>
      </c>
      <c r="V9" s="310">
        <f t="shared" si="3"/>
        <v>7.5949367088607597E-2</v>
      </c>
      <c r="W9" s="94">
        <f>IFERROR(VLOOKUP($G9,基本資料!$A:$J,10,0),"無")</f>
        <v>2.52</v>
      </c>
      <c r="X9" s="36">
        <f>RTD("money.excel",,$G9,"Price")</f>
        <v>19.75</v>
      </c>
      <c r="Y9" s="66"/>
      <c r="Z9" s="15">
        <f t="shared" si="0"/>
        <v>19.75</v>
      </c>
      <c r="AA9" s="3" t="e">
        <v>#DIV/0!</v>
      </c>
      <c r="AB9" s="344">
        <f>IFERROR(VLOOKUP($G9,基本資料!$A:$M,11,0),"無")</f>
        <v>-28.24</v>
      </c>
      <c r="AC9" s="397">
        <f>IFERROR(VLOOKUP($G9,基本資料!$A:$M,12,0),"無")</f>
        <v>31.68</v>
      </c>
      <c r="AD9" s="22" t="s">
        <v>857</v>
      </c>
      <c r="AG9" s="33">
        <v>0</v>
      </c>
      <c r="AH9" s="43" t="s">
        <v>291</v>
      </c>
      <c r="AI9" s="63">
        <f t="shared" si="1"/>
        <v>5.3231939163498102E-4</v>
      </c>
      <c r="AJ9" s="284">
        <f>RTD("money.excel",,$G9,"PredictVolume")</f>
        <v>182</v>
      </c>
      <c r="AK9" s="399">
        <f>IFERROR(VLOOKUP($G9,基本資料!$A:$M,13,0),"無")</f>
        <v>3.28</v>
      </c>
    </row>
    <row r="10" spans="1:38">
      <c r="A10" s="347">
        <f>IFERROR(VLOOKUP($G10,基本資料!$A:$J,3,0),"無")</f>
        <v>57.2</v>
      </c>
      <c r="B10" s="79">
        <f>IFERROR(VLOOKUP($G10,基本資料!$A:$J,4,0),"無")</f>
        <v>689</v>
      </c>
      <c r="C10" s="79">
        <f>IFERROR(VLOOKUP($G10,基本資料!$A:$J,5,0),"無")</f>
        <v>139</v>
      </c>
      <c r="D10" s="79">
        <f>IFERROR(VLOOKUP($G10,基本資料!$A:$J,6,0),"無")</f>
        <v>83</v>
      </c>
      <c r="E10" s="79">
        <f>IFERROR(VLOOKUP($G10,基本資料!$A:$J,7,0),"無")</f>
        <v>22</v>
      </c>
      <c r="F10" s="6">
        <f>IFERROR(VLOOKUP($G10,基本資料!$A:$J,8,0),"無")</f>
        <v>0.65</v>
      </c>
      <c r="G10" s="79">
        <v>1110</v>
      </c>
      <c r="H10" s="8" t="s">
        <v>291</v>
      </c>
      <c r="I10" s="22" t="s">
        <v>858</v>
      </c>
      <c r="J10" s="8">
        <f>IFERROR(VLOOKUP($G10,今日總結!$A:$AJ,35,0),"")</f>
        <v>0</v>
      </c>
      <c r="K10" s="5" t="str">
        <f>IFERROR(VLOOKUP($G10,今日總結!$A:$AJ,36,0),"")</f>
        <v>融</v>
      </c>
      <c r="L10" s="156">
        <f>IFERROR(VLOOKUP($G10,今日總結!$A:$AJ,33,0),"")</f>
        <v>0</v>
      </c>
      <c r="M10" s="340">
        <f>IFERROR(VLOOKUP($G10,今日總結!$A:$AJ,34,0),"")</f>
        <v>1</v>
      </c>
      <c r="N10" s="240">
        <f t="shared" si="2"/>
        <v>-1</v>
      </c>
      <c r="O10" s="4"/>
      <c r="P10" s="365">
        <f>IFERROR(VLOOKUP($G10,融外自投!$A:$J,7,0),"無")</f>
        <v>990</v>
      </c>
      <c r="Q10" s="79">
        <f>IFERROR(VLOOKUP($G10,融外自投!$A:$J,9,0),"無")</f>
        <v>734</v>
      </c>
      <c r="R10" s="346">
        <f>IFERROR(VLOOKUP($G10,融外自投!$A:$J,8,0),"無")</f>
        <v>623</v>
      </c>
      <c r="S10" s="81">
        <f>IFERROR(VLOOKUP($G10,融外自投!$A:$J,10,0),"無")</f>
        <v>428</v>
      </c>
      <c r="T10" s="327">
        <f>IFERROR(VLOOKUP($G10,'321買'!$A:$E,5,0),"'沒有資料'")</f>
        <v>634</v>
      </c>
      <c r="U10" s="186">
        <f>IFERROR(VLOOKUP($G10,基本資料!$A:$J,9,0),"無")</f>
        <v>0.2</v>
      </c>
      <c r="V10" s="310">
        <f t="shared" si="3"/>
        <v>1.0050251256281409E-2</v>
      </c>
      <c r="W10" s="94">
        <f>IFERROR(VLOOKUP($G10,基本資料!$A:$J,10,0),"無")</f>
        <v>0.25</v>
      </c>
      <c r="X10" s="36">
        <f>RTD("money.excel",,$G10,"Price")</f>
        <v>19.899999999999999</v>
      </c>
      <c r="Y10" s="66"/>
      <c r="Z10" s="15">
        <f t="shared" si="0"/>
        <v>19.899999999999999</v>
      </c>
      <c r="AA10" s="3" t="e">
        <v>#DIV/0!</v>
      </c>
      <c r="AB10" s="344">
        <f>IFERROR(VLOOKUP($G10,基本資料!$A:$M,11,0),"無")</f>
        <v>-16.100000000000001</v>
      </c>
      <c r="AC10" s="397">
        <f>IFERROR(VLOOKUP($G10,基本資料!$A:$M,12,0),"無")</f>
        <v>31.96</v>
      </c>
      <c r="AD10" s="22" t="s">
        <v>858</v>
      </c>
      <c r="AG10" s="33">
        <v>0</v>
      </c>
      <c r="AH10" s="43" t="s">
        <v>291</v>
      </c>
      <c r="AI10" s="63">
        <f t="shared" si="1"/>
        <v>1.9405594405594407E-4</v>
      </c>
      <c r="AJ10" s="284">
        <f>RTD("money.excel",,$G10,"PredictVolume")</f>
        <v>111</v>
      </c>
      <c r="AK10" s="399">
        <f>IFERROR(VLOOKUP($G10,基本資料!$A:$M,13,0),"無")</f>
        <v>0.91</v>
      </c>
    </row>
    <row r="11" spans="1:38">
      <c r="A11" s="142"/>
      <c r="B11" s="90"/>
      <c r="C11" s="90"/>
      <c r="D11" s="90"/>
      <c r="E11" s="90"/>
      <c r="F11" s="6"/>
      <c r="G11" s="79"/>
      <c r="H11" s="8"/>
      <c r="I11" s="22"/>
      <c r="L11" s="2"/>
      <c r="P11" s="365"/>
      <c r="Q11" s="47"/>
      <c r="R11" s="346"/>
      <c r="U11" s="34"/>
      <c r="V11" s="310"/>
      <c r="W11" s="94"/>
      <c r="X11" s="36"/>
      <c r="Y11" s="66"/>
      <c r="Z11" s="15"/>
      <c r="AA11" s="3"/>
      <c r="AD11" s="22"/>
      <c r="AG11" s="33"/>
      <c r="AH11" s="43"/>
      <c r="AI11" s="63"/>
      <c r="AJ11" s="284"/>
    </row>
    <row r="12" spans="1:38">
      <c r="A12" s="127" t="s">
        <v>1673</v>
      </c>
      <c r="B12" s="90" t="s">
        <v>1572</v>
      </c>
      <c r="C12" s="90" t="s">
        <v>1573</v>
      </c>
      <c r="D12" s="90" t="s">
        <v>1574</v>
      </c>
      <c r="E12" s="90" t="s">
        <v>1575</v>
      </c>
      <c r="F12" s="8" t="s">
        <v>1060</v>
      </c>
      <c r="G12" s="27" t="s">
        <v>768</v>
      </c>
      <c r="H12" s="55" t="s">
        <v>320</v>
      </c>
      <c r="I12" s="50" t="s">
        <v>3582</v>
      </c>
      <c r="J12" s="8" t="s">
        <v>6221</v>
      </c>
      <c r="K12" s="5" t="s">
        <v>6222</v>
      </c>
      <c r="L12" s="337" t="s">
        <v>6206</v>
      </c>
      <c r="M12" s="338" t="s">
        <v>6207</v>
      </c>
      <c r="N12" s="339" t="s">
        <v>6208</v>
      </c>
      <c r="O12" s="4" t="s">
        <v>6713</v>
      </c>
      <c r="P12" s="89" t="s">
        <v>6285</v>
      </c>
      <c r="Q12" s="293" t="s">
        <v>6284</v>
      </c>
      <c r="R12" s="354" t="s">
        <v>6283</v>
      </c>
      <c r="S12" s="26" t="s">
        <v>6286</v>
      </c>
      <c r="T12" s="321" t="s">
        <v>4716</v>
      </c>
      <c r="U12" s="10" t="s">
        <v>66</v>
      </c>
      <c r="V12" s="308" t="s">
        <v>4731</v>
      </c>
      <c r="W12" s="68" t="s">
        <v>3273</v>
      </c>
      <c r="X12" s="28" t="s">
        <v>2</v>
      </c>
      <c r="Y12" s="17" t="s">
        <v>1399</v>
      </c>
      <c r="Z12" s="14" t="s">
        <v>5</v>
      </c>
      <c r="AA12" s="21" t="s">
        <v>3</v>
      </c>
      <c r="AB12" s="96" t="s">
        <v>6174</v>
      </c>
      <c r="AC12" s="384" t="s">
        <v>6420</v>
      </c>
      <c r="AD12" s="50" t="s">
        <v>3582</v>
      </c>
      <c r="AE12" s="71" t="s">
        <v>1400</v>
      </c>
      <c r="AF12" s="72" t="s">
        <v>1157</v>
      </c>
      <c r="AG12" s="32" t="s">
        <v>1158</v>
      </c>
      <c r="AH12" s="25" t="s">
        <v>6209</v>
      </c>
      <c r="AI12" s="8" t="s">
        <v>6731</v>
      </c>
      <c r="AJ12" s="50" t="s">
        <v>3361</v>
      </c>
      <c r="AK12" s="44" t="s">
        <v>6730</v>
      </c>
    </row>
    <row r="13" spans="1:38">
      <c r="A13" s="347">
        <f>IFERROR(VLOOKUP($G13,基本資料!$A:$J,3,0),"無")</f>
        <v>50.6</v>
      </c>
      <c r="B13" s="79">
        <f>IFERROR(VLOOKUP($G13,基本資料!$A:$J,4,0),"無")</f>
        <v>-5</v>
      </c>
      <c r="C13" s="79">
        <f>IFERROR(VLOOKUP($G13,基本資料!$A:$J,5,0),"無")</f>
        <v>8</v>
      </c>
      <c r="D13" s="79">
        <f>IFERROR(VLOOKUP($G13,基本資料!$A:$J,6,0),"無")</f>
        <v>23</v>
      </c>
      <c r="E13" s="79">
        <f>IFERROR(VLOOKUP($G13,基本資料!$A:$J,7,0),"無")</f>
        <v>5</v>
      </c>
      <c r="F13" s="6">
        <f>IFERROR(VLOOKUP($G13,基本資料!$A:$J,8,0),"無")</f>
        <v>3.25</v>
      </c>
      <c r="G13" s="79">
        <v>1201</v>
      </c>
      <c r="H13" s="8" t="s">
        <v>292</v>
      </c>
      <c r="I13" s="22" t="s">
        <v>87</v>
      </c>
      <c r="J13" s="8" t="str">
        <f>IFERROR(VLOOKUP($G13,今日總結!$A:$AJ,35,0),"")</f>
        <v>外</v>
      </c>
      <c r="K13" s="5">
        <f>IFERROR(VLOOKUP($G13,今日總結!$A:$AJ,36,0),"")</f>
        <v>0</v>
      </c>
      <c r="L13" s="156">
        <f>IFERROR(VLOOKUP($G13,今日總結!$A:$AJ,33,0),"")</f>
        <v>1</v>
      </c>
      <c r="M13" s="340">
        <f>IFERROR(VLOOKUP($G13,今日總結!$A:$AJ,34,0),"")</f>
        <v>0</v>
      </c>
      <c r="N13" s="240">
        <f>IFERROR(L13-M13,"")</f>
        <v>1</v>
      </c>
      <c r="P13" s="365">
        <f>IFERROR(VLOOKUP($G13,融外自投!$A:$J,7,0),"無")</f>
        <v>1112</v>
      </c>
      <c r="Q13" s="79">
        <f>IFERROR(VLOOKUP($G13,融外自投!$A:$J,9,0),"無")</f>
        <v>466</v>
      </c>
      <c r="R13" s="346">
        <f>IFERROR(VLOOKUP($G13,融外自投!$A:$J,8,0),"無")</f>
        <v>443</v>
      </c>
      <c r="S13" s="81" t="str">
        <f>IFERROR(VLOOKUP($G13,融外自投!$A:$J,10,0),"無")</f>
        <v>無</v>
      </c>
      <c r="T13" s="327">
        <f>IFERROR(VLOOKUP($G13,'321買'!$A:$E,5,0),"'沒有資料'")</f>
        <v>915</v>
      </c>
      <c r="U13" s="186">
        <f>IFERROR(VLOOKUP($G13,基本資料!$A:$J,9,0),"無")</f>
        <v>0.5</v>
      </c>
      <c r="V13" s="310">
        <f>$U13/$X13</f>
        <v>2.3640661938534282E-2</v>
      </c>
      <c r="W13" s="94">
        <f>IFERROR(VLOOKUP($G13,基本資料!$A:$J,10,0),"無")</f>
        <v>1</v>
      </c>
      <c r="X13" s="36">
        <f>RTD("money.excel",,$G13,"Price")</f>
        <v>21.15</v>
      </c>
      <c r="Y13" s="66"/>
      <c r="Z13" s="15">
        <f t="shared" ref="Z13:Z39" si="4">X13-Y13</f>
        <v>21.15</v>
      </c>
      <c r="AA13" s="3" t="e">
        <f t="shared" ref="AA13:AA39" si="5">Z13/Y13</f>
        <v>#DIV/0!</v>
      </c>
      <c r="AB13" s="344">
        <f>IFERROR(VLOOKUP($G13,基本資料!$A:$M,11,0),"無")</f>
        <v>-10.37</v>
      </c>
      <c r="AC13" s="397">
        <f>IFERROR(VLOOKUP($G13,基本資料!$A:$M,12,0),"無")</f>
        <v>43.29</v>
      </c>
      <c r="AD13" s="22" t="s">
        <v>87</v>
      </c>
      <c r="AG13" s="33">
        <v>0</v>
      </c>
      <c r="AH13" s="117" t="s">
        <v>292</v>
      </c>
      <c r="AI13" s="63">
        <f t="shared" ref="AI13:AI39" si="6">AJ13/(A13*10000)</f>
        <v>2.9209486166007904E-3</v>
      </c>
      <c r="AJ13" s="284">
        <f>RTD("money.excel",,$G13,"PredictVolume")</f>
        <v>1478</v>
      </c>
      <c r="AK13" s="399">
        <f>IFERROR(VLOOKUP($G13,基本資料!$A:$M,13,0),"無")</f>
        <v>3.17</v>
      </c>
    </row>
    <row r="14" spans="1:38">
      <c r="A14" s="347">
        <f>IFERROR(VLOOKUP($G14,基本資料!$A:$J,3,0),"無")</f>
        <v>24</v>
      </c>
      <c r="B14" s="79">
        <f>IFERROR(VLOOKUP($G14,基本資料!$A:$J,4,0),"無")</f>
        <v>0</v>
      </c>
      <c r="C14" s="79">
        <f>IFERROR(VLOOKUP($G14,基本資料!$A:$J,5,0),"無")</f>
        <v>-11</v>
      </c>
      <c r="D14" s="79">
        <f>IFERROR(VLOOKUP($G14,基本資料!$A:$J,6,0),"無")</f>
        <v>13</v>
      </c>
      <c r="E14" s="79">
        <f>IFERROR(VLOOKUP($G14,基本資料!$A:$J,7,0),"無")</f>
        <v>3</v>
      </c>
      <c r="F14" s="6">
        <f>IFERROR(VLOOKUP($G14,基本資料!$A:$J,8,0),"無")</f>
        <v>14.86</v>
      </c>
      <c r="G14" s="79">
        <v>1203</v>
      </c>
      <c r="H14" s="8" t="s">
        <v>292</v>
      </c>
      <c r="I14" s="22" t="s">
        <v>772</v>
      </c>
      <c r="J14" s="8" t="str">
        <f>IFERROR(VLOOKUP($G14,今日總結!$A:$AJ,35,0),"")</f>
        <v/>
      </c>
      <c r="K14" s="5" t="str">
        <f>IFERROR(VLOOKUP($G14,今日總結!$A:$AJ,36,0),"")</f>
        <v/>
      </c>
      <c r="L14" s="156" t="str">
        <f>IFERROR(VLOOKUP($G14,今日總結!$A:$AJ,33,0),"")</f>
        <v/>
      </c>
      <c r="M14" s="340" t="str">
        <f>IFERROR(VLOOKUP($G14,今日總結!$A:$AJ,34,0),"")</f>
        <v/>
      </c>
      <c r="N14" s="240" t="str">
        <f t="shared" ref="N14:N20" si="7">IFERROR(L14-M14,"")</f>
        <v/>
      </c>
      <c r="P14" s="365">
        <f>IFERROR(VLOOKUP($G14,融外自投!$A:$J,7,0),"無")</f>
        <v>1392</v>
      </c>
      <c r="Q14" s="79">
        <f>IFERROR(VLOOKUP($G14,融外自投!$A:$J,9,0),"無")</f>
        <v>1110</v>
      </c>
      <c r="R14" s="346">
        <f>IFERROR(VLOOKUP($G14,融外自投!$A:$J,8,0),"無")</f>
        <v>1049</v>
      </c>
      <c r="S14" s="81" t="str">
        <f>IFERROR(VLOOKUP($G14,融外自投!$A:$J,10,0),"無")</f>
        <v>無</v>
      </c>
      <c r="T14" s="327">
        <f>IFERROR(VLOOKUP($G14,'321買'!$A:$E,5,0),"'沒有資料'")</f>
        <v>1296</v>
      </c>
      <c r="U14" s="186">
        <f>IFERROR(VLOOKUP($G14,基本資料!$A:$J,9,0),"無")</f>
        <v>1.1000000000000001</v>
      </c>
      <c r="V14" s="310">
        <f t="shared" ref="V14:V39" si="8">$U14/$X14</f>
        <v>3.3742331288343558E-2</v>
      </c>
      <c r="W14" s="94">
        <f>IFERROR(VLOOKUP($G14,基本資料!$A:$J,10,0),"無")</f>
        <v>1.88</v>
      </c>
      <c r="X14" s="36">
        <f>RTD("money.excel",,$G14,"Price")</f>
        <v>32.6</v>
      </c>
      <c r="Y14" s="66"/>
      <c r="Z14" s="15">
        <f t="shared" si="4"/>
        <v>32.6</v>
      </c>
      <c r="AA14" s="3" t="e">
        <f t="shared" si="5"/>
        <v>#DIV/0!</v>
      </c>
      <c r="AB14" s="344">
        <f>IFERROR(VLOOKUP($G14,基本資料!$A:$M,11,0),"無")</f>
        <v>-8.43</v>
      </c>
      <c r="AC14" s="397">
        <f>IFERROR(VLOOKUP($G14,基本資料!$A:$M,12,0),"無")</f>
        <v>44.37</v>
      </c>
      <c r="AD14" s="22" t="s">
        <v>772</v>
      </c>
      <c r="AG14" s="33">
        <v>0</v>
      </c>
      <c r="AH14" s="43" t="s">
        <v>2605</v>
      </c>
      <c r="AI14" s="63">
        <f t="shared" si="6"/>
        <v>2.7500000000000002E-4</v>
      </c>
      <c r="AJ14" s="284">
        <f>RTD("money.excel",,$G14,"PredictVolume")</f>
        <v>66</v>
      </c>
      <c r="AK14" s="399">
        <f>IFERROR(VLOOKUP($G14,基本資料!$A:$M,13,0),"無")</f>
        <v>0.5</v>
      </c>
      <c r="AL14" s="280"/>
    </row>
    <row r="15" spans="1:38">
      <c r="A15" s="347">
        <f>IFERROR(VLOOKUP($G15,基本資料!$A:$J,3,0),"無")</f>
        <v>85.21</v>
      </c>
      <c r="B15" s="79">
        <f>IFERROR(VLOOKUP($G15,基本資料!$A:$J,4,0),"無")</f>
        <v>-44</v>
      </c>
      <c r="C15" s="79">
        <f>IFERROR(VLOOKUP($G15,基本資料!$A:$J,5,0),"無")</f>
        <v>-44</v>
      </c>
      <c r="D15" s="79">
        <f>IFERROR(VLOOKUP($G15,基本資料!$A:$J,6,0),"無")</f>
        <v>13</v>
      </c>
      <c r="E15" s="79">
        <f>IFERROR(VLOOKUP($G15,基本資料!$A:$J,7,0),"無")</f>
        <v>6</v>
      </c>
      <c r="F15" s="6">
        <f>IFERROR(VLOOKUP($G15,基本資料!$A:$J,8,0),"無")</f>
        <v>2.31</v>
      </c>
      <c r="G15" s="79">
        <v>1210</v>
      </c>
      <c r="H15" s="8" t="s">
        <v>292</v>
      </c>
      <c r="I15" s="22" t="s">
        <v>773</v>
      </c>
      <c r="J15" s="8" t="str">
        <f>IFERROR(VLOOKUP($G15,今日總結!$A:$AJ,35,0),"")</f>
        <v/>
      </c>
      <c r="K15" s="5" t="str">
        <f>IFERROR(VLOOKUP($G15,今日總結!$A:$AJ,36,0),"")</f>
        <v/>
      </c>
      <c r="L15" s="156" t="str">
        <f>IFERROR(VLOOKUP($G15,今日總結!$A:$AJ,33,0),"")</f>
        <v/>
      </c>
      <c r="M15" s="340" t="str">
        <f>IFERROR(VLOOKUP($G15,今日總結!$A:$AJ,34,0),"")</f>
        <v/>
      </c>
      <c r="N15" s="240" t="str">
        <f t="shared" si="7"/>
        <v/>
      </c>
      <c r="O15" s="248"/>
      <c r="P15" s="365">
        <f>IFERROR(VLOOKUP($G15,融外自投!$A:$J,7,0),"無")</f>
        <v>1261</v>
      </c>
      <c r="Q15" s="79">
        <f>IFERROR(VLOOKUP($G15,融外自投!$A:$J,9,0),"無")</f>
        <v>852</v>
      </c>
      <c r="R15" s="346">
        <f>IFERROR(VLOOKUP($G15,融外自投!$A:$J,8,0),"無")</f>
        <v>462</v>
      </c>
      <c r="S15" s="81">
        <f>IFERROR(VLOOKUP($G15,融外自投!$A:$J,10,0),"無")</f>
        <v>357</v>
      </c>
      <c r="T15" s="327">
        <f>IFERROR(VLOOKUP($G15,'321買'!$A:$E,5,0),"'沒有資料'")</f>
        <v>915</v>
      </c>
      <c r="U15" s="186">
        <f>IFERROR(VLOOKUP($G15,基本資料!$A:$J,9,0),"無")</f>
        <v>2</v>
      </c>
      <c r="V15" s="310">
        <f t="shared" si="8"/>
        <v>4.0983606557377053E-2</v>
      </c>
      <c r="W15" s="94">
        <f>IFERROR(VLOOKUP($G15,基本資料!$A:$J,10,0),"無")</f>
        <v>2.3199999999999998</v>
      </c>
      <c r="X15" s="36">
        <f>RTD("money.excel",,$G15,"Price")</f>
        <v>48.8</v>
      </c>
      <c r="Y15" s="66"/>
      <c r="Z15" s="15">
        <f t="shared" si="4"/>
        <v>48.8</v>
      </c>
      <c r="AA15" s="3" t="e">
        <f t="shared" si="5"/>
        <v>#DIV/0!</v>
      </c>
      <c r="AB15" s="344">
        <f>IFERROR(VLOOKUP($G15,基本資料!$A:$M,11,0),"無")</f>
        <v>-18.45</v>
      </c>
      <c r="AC15" s="397">
        <f>IFERROR(VLOOKUP($G15,基本資料!$A:$M,12,0),"無")</f>
        <v>18.02</v>
      </c>
      <c r="AD15" s="22" t="s">
        <v>773</v>
      </c>
      <c r="AG15" s="33">
        <v>0</v>
      </c>
      <c r="AH15" s="43" t="s">
        <v>2606</v>
      </c>
      <c r="AI15" s="63">
        <f t="shared" si="6"/>
        <v>3.5160192465673048E-3</v>
      </c>
      <c r="AJ15" s="284">
        <f>RTD("money.excel",,$G15,"PredictVolume")</f>
        <v>2996</v>
      </c>
      <c r="AK15" s="399">
        <f>IFERROR(VLOOKUP($G15,基本資料!$A:$M,13,0),"無")</f>
        <v>1.54</v>
      </c>
    </row>
    <row r="16" spans="1:38">
      <c r="A16" s="347">
        <f>IFERROR(VLOOKUP($G16,基本資料!$A:$J,3,0),"無")</f>
        <v>5.66</v>
      </c>
      <c r="B16" s="79">
        <f>IFERROR(VLOOKUP($G16,基本資料!$A:$J,4,0),"無")</f>
        <v>-246</v>
      </c>
      <c r="C16" s="79">
        <f>IFERROR(VLOOKUP($G16,基本資料!$A:$J,5,0),"無")</f>
        <v>-24</v>
      </c>
      <c r="D16" s="79">
        <f>IFERROR(VLOOKUP($G16,基本資料!$A:$J,6,0),"無")</f>
        <v>24</v>
      </c>
      <c r="E16" s="79">
        <f>IFERROR(VLOOKUP($G16,基本資料!$A:$J,7,0),"無")</f>
        <v>1</v>
      </c>
      <c r="F16" s="6">
        <f>IFERROR(VLOOKUP($G16,基本資料!$A:$J,8,0),"無")</f>
        <v>-15.29</v>
      </c>
      <c r="G16" s="79">
        <v>1213</v>
      </c>
      <c r="H16" s="8" t="s">
        <v>292</v>
      </c>
      <c r="I16" s="22" t="s">
        <v>774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340" t="str">
        <f>IFERROR(VLOOKUP($G16,今日總結!$A:$AJ,34,0),"")</f>
        <v/>
      </c>
      <c r="N16" s="240" t="str">
        <f t="shared" si="7"/>
        <v/>
      </c>
      <c r="P16" s="365" t="str">
        <f>IFERROR(VLOOKUP($G16,融外自投!$A:$J,7,0),"無")</f>
        <v>無</v>
      </c>
      <c r="Q16" s="79" t="str">
        <f>IFERROR(VLOOKUP($G16,融外自投!$A:$J,9,0),"無")</f>
        <v>無</v>
      </c>
      <c r="R16" s="346" t="str">
        <f>IFERROR(VLOOKUP($G16,融外自投!$A:$J,8,0),"無")</f>
        <v>無</v>
      </c>
      <c r="S16" s="81" t="str">
        <f>IFERROR(VLOOKUP($G16,融外自投!$A:$J,10,0),"無")</f>
        <v>無</v>
      </c>
      <c r="T16" s="327" t="str">
        <f>IFERROR(VLOOKUP($G16,'321買'!$A:$E,5,0),"'沒有資料'")</f>
        <v>'沒有資料'</v>
      </c>
      <c r="U16" s="186">
        <f>IFERROR(VLOOKUP($G16,基本資料!$A:$J,9,0),"無")</f>
        <v>0</v>
      </c>
      <c r="V16" s="310" t="e">
        <f t="shared" si="8"/>
        <v>#VALUE!</v>
      </c>
      <c r="W16" s="94">
        <f>IFERROR(VLOOKUP($G16,基本資料!$A:$J,10,0),"無")</f>
        <v>-1.67</v>
      </c>
      <c r="X16" s="36" t="str">
        <f>RTD("money.excel",,$G16,"Price")</f>
        <v>無資料</v>
      </c>
      <c r="Y16" s="66"/>
      <c r="Z16" s="15" t="e">
        <f t="shared" si="4"/>
        <v>#VALUE!</v>
      </c>
      <c r="AA16" s="3" t="e">
        <f t="shared" si="5"/>
        <v>#VALUE!</v>
      </c>
      <c r="AB16" s="344">
        <f>IFERROR(VLOOKUP($G16,基本資料!$A:$M,11,0),"無")</f>
        <v>-18.09</v>
      </c>
      <c r="AC16" s="397">
        <f>IFERROR(VLOOKUP($G16,基本資料!$A:$M,12,0),"無")</f>
        <v>41.65</v>
      </c>
      <c r="AD16" s="22" t="s">
        <v>774</v>
      </c>
      <c r="AG16" s="33">
        <v>0</v>
      </c>
      <c r="AH16" s="43" t="s">
        <v>1527</v>
      </c>
      <c r="AI16" s="63">
        <f t="shared" si="6"/>
        <v>0</v>
      </c>
      <c r="AJ16" s="284">
        <f>RTD("money.excel",,$G16,"PredictVolume")</f>
        <v>0</v>
      </c>
      <c r="AK16" s="399">
        <f>IFERROR(VLOOKUP($G16,基本資料!$A:$M,13,0),"無")</f>
        <v>0.24</v>
      </c>
    </row>
    <row r="17" spans="1:37">
      <c r="A17" s="347">
        <f>IFERROR(VLOOKUP($G17,基本資料!$A:$J,3,0),"無")</f>
        <v>26.79</v>
      </c>
      <c r="B17" s="79">
        <f>IFERROR(VLOOKUP($G17,基本資料!$A:$J,4,0),"無")</f>
        <v>-19</v>
      </c>
      <c r="C17" s="79">
        <f>IFERROR(VLOOKUP($G17,基本資料!$A:$J,5,0),"無")</f>
        <v>-16</v>
      </c>
      <c r="D17" s="79">
        <f>IFERROR(VLOOKUP($G17,基本資料!$A:$J,6,0),"無")</f>
        <v>20</v>
      </c>
      <c r="E17" s="79">
        <f>IFERROR(VLOOKUP($G17,基本資料!$A:$J,7,0),"無")</f>
        <v>22</v>
      </c>
      <c r="F17" s="6">
        <f>IFERROR(VLOOKUP($G17,基本資料!$A:$J,8,0),"無")</f>
        <v>6.41</v>
      </c>
      <c r="G17" s="79">
        <v>1215</v>
      </c>
      <c r="H17" s="8" t="s">
        <v>292</v>
      </c>
      <c r="I17" s="22" t="s">
        <v>775</v>
      </c>
      <c r="J17" s="8">
        <f>IFERROR(VLOOKUP($G17,今日總結!$A:$AJ,35,0),"")</f>
        <v>0</v>
      </c>
      <c r="K17" s="5" t="str">
        <f>IFERROR(VLOOKUP($G17,今日總結!$A:$AJ,36,0),"")</f>
        <v>外</v>
      </c>
      <c r="L17" s="156">
        <f>IFERROR(VLOOKUP($G17,今日總結!$A:$AJ,33,0),"")</f>
        <v>0</v>
      </c>
      <c r="M17" s="340">
        <f>IFERROR(VLOOKUP($G17,今日總結!$A:$AJ,34,0),"")</f>
        <v>1</v>
      </c>
      <c r="N17" s="240">
        <f t="shared" si="7"/>
        <v>-1</v>
      </c>
      <c r="P17" s="365">
        <f>IFERROR(VLOOKUP($G17,融外自投!$A:$J,7,0),"無")</f>
        <v>1306</v>
      </c>
      <c r="Q17" s="79">
        <f>IFERROR(VLOOKUP($G17,融外自投!$A:$J,9,0),"無")</f>
        <v>514</v>
      </c>
      <c r="R17" s="346">
        <f>IFERROR(VLOOKUP($G17,融外自投!$A:$J,8,0),"無")</f>
        <v>123</v>
      </c>
      <c r="S17" s="81">
        <f>IFERROR(VLOOKUP($G17,融外自投!$A:$J,10,0),"無")</f>
        <v>205</v>
      </c>
      <c r="T17" s="327">
        <f>IFERROR(VLOOKUP($G17,'321買'!$A:$E,5,0),"'沒有資料'")</f>
        <v>480</v>
      </c>
      <c r="U17" s="186">
        <f>IFERROR(VLOOKUP($G17,基本資料!$A:$J,9,0),"無")</f>
        <v>0</v>
      </c>
      <c r="V17" s="310">
        <f t="shared" si="8"/>
        <v>0</v>
      </c>
      <c r="W17" s="94">
        <f>IFERROR(VLOOKUP($G17,基本資料!$A:$J,10,0),"無")</f>
        <v>5.0599999999999996</v>
      </c>
      <c r="X17" s="36">
        <f>RTD("money.excel",,$G17,"Price")</f>
        <v>80.099999999999994</v>
      </c>
      <c r="Y17" s="66"/>
      <c r="Z17" s="15">
        <f t="shared" si="4"/>
        <v>80.099999999999994</v>
      </c>
      <c r="AA17" s="3" t="e">
        <f t="shared" si="5"/>
        <v>#DIV/0!</v>
      </c>
      <c r="AB17" s="344">
        <f>IFERROR(VLOOKUP($G17,基本資料!$A:$M,11,0),"無")</f>
        <v>-8.64</v>
      </c>
      <c r="AC17" s="397">
        <f>IFERROR(VLOOKUP($G17,基本資料!$A:$M,12,0),"無")</f>
        <v>19.8</v>
      </c>
      <c r="AD17" s="22" t="s">
        <v>775</v>
      </c>
      <c r="AG17" s="33">
        <v>0</v>
      </c>
      <c r="AH17" s="43" t="s">
        <v>2606</v>
      </c>
      <c r="AI17" s="63">
        <f t="shared" si="6"/>
        <v>9.4811496827174318E-4</v>
      </c>
      <c r="AJ17" s="284">
        <f>RTD("money.excel",,$G17,"PredictVolume")</f>
        <v>254</v>
      </c>
      <c r="AK17" s="399">
        <f>IFERROR(VLOOKUP($G17,基本資料!$A:$M,13,0),"無")</f>
        <v>2.0699999999999998</v>
      </c>
    </row>
    <row r="18" spans="1:37">
      <c r="A18" s="347">
        <f>IFERROR(VLOOKUP($G18,基本資料!$A:$J,3,0),"無")</f>
        <v>568</v>
      </c>
      <c r="B18" s="79">
        <f>IFERROR(VLOOKUP($G18,基本資料!$A:$J,4,0),"無")</f>
        <v>-6</v>
      </c>
      <c r="C18" s="79">
        <f>IFERROR(VLOOKUP($G18,基本資料!$A:$J,5,0),"無")</f>
        <v>-4</v>
      </c>
      <c r="D18" s="79">
        <f>IFERROR(VLOOKUP($G18,基本資料!$A:$J,6,0),"無")</f>
        <v>23</v>
      </c>
      <c r="E18" s="79">
        <f>IFERROR(VLOOKUP($G18,基本資料!$A:$J,7,0),"無")</f>
        <v>9</v>
      </c>
      <c r="F18" s="6">
        <f>IFERROR(VLOOKUP($G18,基本資料!$A:$J,8,0),"無")</f>
        <v>6</v>
      </c>
      <c r="G18" s="79">
        <v>1216</v>
      </c>
      <c r="H18" s="8" t="s">
        <v>292</v>
      </c>
      <c r="I18" s="153" t="s">
        <v>10</v>
      </c>
      <c r="J18" s="8" t="str">
        <f>IFERROR(VLOOKUP($G18,今日總結!$A:$AJ,35,0),"")</f>
        <v>投</v>
      </c>
      <c r="K18" s="5" t="str">
        <f>IFERROR(VLOOKUP($G18,今日總結!$A:$AJ,36,0),"")</f>
        <v>自</v>
      </c>
      <c r="L18" s="156">
        <f>IFERROR(VLOOKUP($G18,今日總結!$A:$AJ,33,0),"")</f>
        <v>1</v>
      </c>
      <c r="M18" s="340">
        <f>IFERROR(VLOOKUP($G18,今日總結!$A:$AJ,34,0),"")</f>
        <v>1</v>
      </c>
      <c r="N18" s="240">
        <f t="shared" si="7"/>
        <v>0</v>
      </c>
      <c r="O18" s="248"/>
      <c r="P18" s="365">
        <f>IFERROR(VLOOKUP($G18,融外自投!$A:$J,7,0),"無")</f>
        <v>1428</v>
      </c>
      <c r="Q18" s="79">
        <f>IFERROR(VLOOKUP($G18,融外自投!$A:$J,9,0),"無")</f>
        <v>379</v>
      </c>
      <c r="R18" s="346">
        <f>IFERROR(VLOOKUP($G18,融外自投!$A:$J,8,0),"無")</f>
        <v>115</v>
      </c>
      <c r="S18" s="81">
        <f>IFERROR(VLOOKUP($G18,融外自投!$A:$J,10,0),"無")</f>
        <v>150</v>
      </c>
      <c r="T18" s="327">
        <f>IFERROR(VLOOKUP($G18,'321買'!$A:$E,5,0),"'沒有資料'")</f>
        <v>77</v>
      </c>
      <c r="U18" s="186">
        <f>IFERROR(VLOOKUP($G18,基本資料!$A:$J,9,0),"無")</f>
        <v>2.7</v>
      </c>
      <c r="V18" s="310">
        <f t="shared" si="8"/>
        <v>4.072398190045249E-2</v>
      </c>
      <c r="W18" s="94">
        <f>IFERROR(VLOOKUP($G18,基本資料!$A:$J,10,0),"無")</f>
        <v>3.5</v>
      </c>
      <c r="X18" s="36">
        <f>RTD("money.excel",,$G18,"Price")</f>
        <v>66.3</v>
      </c>
      <c r="Y18" s="66"/>
      <c r="Z18" s="15">
        <f t="shared" si="4"/>
        <v>66.3</v>
      </c>
      <c r="AA18" s="3" t="e">
        <f t="shared" si="5"/>
        <v>#DIV/0!</v>
      </c>
      <c r="AB18" s="344">
        <f>IFERROR(VLOOKUP($G18,基本資料!$A:$M,11,0),"無")</f>
        <v>-12.5</v>
      </c>
      <c r="AC18" s="397">
        <f>IFERROR(VLOOKUP($G18,基本資料!$A:$M,12,0),"無")</f>
        <v>59.75</v>
      </c>
      <c r="AD18" s="153" t="s">
        <v>10</v>
      </c>
      <c r="AG18" s="33">
        <v>0</v>
      </c>
      <c r="AH18" s="117" t="s">
        <v>292</v>
      </c>
      <c r="AI18" s="63">
        <f t="shared" si="6"/>
        <v>9.5528169014084507E-4</v>
      </c>
      <c r="AJ18" s="284">
        <f>RTD("money.excel",,$G18,"PredictVolume")</f>
        <v>5426</v>
      </c>
      <c r="AK18" s="399">
        <f>IFERROR(VLOOKUP($G18,基本資料!$A:$M,13,0),"無")</f>
        <v>0.4</v>
      </c>
    </row>
    <row r="19" spans="1:37">
      <c r="A19" s="347">
        <f>IFERROR(VLOOKUP($G19,基本資料!$A:$J,3,0),"無")</f>
        <v>49.45</v>
      </c>
      <c r="B19" s="79">
        <f>IFERROR(VLOOKUP($G19,基本資料!$A:$J,4,0),"無")</f>
        <v>-12</v>
      </c>
      <c r="C19" s="79">
        <f>IFERROR(VLOOKUP($G19,基本資料!$A:$J,5,0),"無")</f>
        <v>-20</v>
      </c>
      <c r="D19" s="79">
        <f>IFERROR(VLOOKUP($G19,基本資料!$A:$J,6,0),"無")</f>
        <v>23</v>
      </c>
      <c r="E19" s="79">
        <f>IFERROR(VLOOKUP($G19,基本資料!$A:$J,7,0),"無")</f>
        <v>5</v>
      </c>
      <c r="F19" s="6">
        <f>IFERROR(VLOOKUP($G19,基本資料!$A:$J,8,0),"無")</f>
        <v>3.64</v>
      </c>
      <c r="G19" s="79">
        <v>1217</v>
      </c>
      <c r="H19" s="8" t="s">
        <v>292</v>
      </c>
      <c r="I19" s="22" t="s">
        <v>776</v>
      </c>
      <c r="J19" s="8" t="str">
        <f>IFERROR(VLOOKUP($G19,今日總結!$A:$AJ,35,0),"")</f>
        <v>券</v>
      </c>
      <c r="K19" s="5" t="str">
        <f>IFERROR(VLOOKUP($G19,今日總結!$A:$AJ,36,0),"")</f>
        <v>借</v>
      </c>
      <c r="L19" s="156">
        <f>IFERROR(VLOOKUP($G19,今日總結!$A:$AJ,33,0),"")</f>
        <v>1</v>
      </c>
      <c r="M19" s="340">
        <f>IFERROR(VLOOKUP($G19,今日總結!$A:$AJ,34,0),"")</f>
        <v>1</v>
      </c>
      <c r="N19" s="240">
        <f t="shared" si="7"/>
        <v>0</v>
      </c>
      <c r="P19" s="365">
        <f>IFERROR(VLOOKUP($G19,融外自投!$A:$J,7,0),"無")</f>
        <v>544</v>
      </c>
      <c r="Q19" s="79">
        <f>IFERROR(VLOOKUP($G19,融外自投!$A:$J,9,0),"無")</f>
        <v>1051</v>
      </c>
      <c r="R19" s="346">
        <f>IFERROR(VLOOKUP($G19,融外自投!$A:$J,8,0),"無")</f>
        <v>731</v>
      </c>
      <c r="S19" s="81" t="str">
        <f>IFERROR(VLOOKUP($G19,融外自投!$A:$J,10,0),"無")</f>
        <v>無</v>
      </c>
      <c r="T19" s="327">
        <f>IFERROR(VLOOKUP($G19,'321買'!$A:$E,5,0),"'沒有資料'")</f>
        <v>349</v>
      </c>
      <c r="U19" s="186">
        <f>IFERROR(VLOOKUP($G19,基本資料!$A:$J,9,0),"無")</f>
        <v>0.3</v>
      </c>
      <c r="V19" s="310">
        <f t="shared" si="8"/>
        <v>2.8571428571428571E-2</v>
      </c>
      <c r="W19" s="94">
        <f>IFERROR(VLOOKUP($G19,基本資料!$A:$J,10,0),"無")</f>
        <v>0.41</v>
      </c>
      <c r="X19" s="36">
        <f>RTD("money.excel",,$G19,"Price")</f>
        <v>10.5</v>
      </c>
      <c r="Y19" s="66"/>
      <c r="Z19" s="15">
        <f t="shared" si="4"/>
        <v>10.5</v>
      </c>
      <c r="AA19" s="3" t="e">
        <f t="shared" si="5"/>
        <v>#DIV/0!</v>
      </c>
      <c r="AB19" s="344">
        <f>IFERROR(VLOOKUP($G19,基本資料!$A:$M,11,0),"無")</f>
        <v>-20.96</v>
      </c>
      <c r="AC19" s="397">
        <f>IFERROR(VLOOKUP($G19,基本資料!$A:$M,12,0),"無")</f>
        <v>36.299999999999997</v>
      </c>
      <c r="AD19" s="22" t="s">
        <v>776</v>
      </c>
      <c r="AG19" s="33">
        <v>0</v>
      </c>
      <c r="AH19" s="43" t="s">
        <v>1528</v>
      </c>
      <c r="AI19" s="63">
        <f t="shared" si="6"/>
        <v>7.6016177957532859E-3</v>
      </c>
      <c r="AJ19" s="284">
        <f>RTD("money.excel",,$G19,"PredictVolume")</f>
        <v>3759</v>
      </c>
      <c r="AK19" s="399">
        <f>IFERROR(VLOOKUP($G19,基本資料!$A:$M,13,0),"無")</f>
        <v>19.39</v>
      </c>
    </row>
    <row r="20" spans="1:37">
      <c r="A20" s="347">
        <f>IFERROR(VLOOKUP($G20,基本資料!$A:$J,3,0),"無")</f>
        <v>49.99</v>
      </c>
      <c r="B20" s="79">
        <f>IFERROR(VLOOKUP($G20,基本資料!$A:$J,4,0),"無")</f>
        <v>-30</v>
      </c>
      <c r="C20" s="79">
        <f>IFERROR(VLOOKUP($G20,基本資料!$A:$J,5,0),"無")</f>
        <v>-33</v>
      </c>
      <c r="D20" s="79">
        <f>IFERROR(VLOOKUP($G20,基本資料!$A:$J,6,0),"無")</f>
        <v>24</v>
      </c>
      <c r="E20" s="79">
        <f>IFERROR(VLOOKUP($G20,基本資料!$A:$J,7,0),"無")</f>
        <v>16</v>
      </c>
      <c r="F20" s="6">
        <f>IFERROR(VLOOKUP($G20,基本資料!$A:$J,8,0),"無")</f>
        <v>2.11</v>
      </c>
      <c r="G20" s="79">
        <v>1218</v>
      </c>
      <c r="H20" s="8" t="s">
        <v>292</v>
      </c>
      <c r="I20" s="22" t="s">
        <v>777</v>
      </c>
      <c r="J20" s="8" t="str">
        <f>IFERROR(VLOOKUP($G20,今日總結!$A:$AJ,35,0),"")</f>
        <v>主</v>
      </c>
      <c r="K20" s="5" t="str">
        <f>IFERROR(VLOOKUP($G20,今日總結!$A:$AJ,36,0),"")</f>
        <v>9融借</v>
      </c>
      <c r="L20" s="156">
        <f>IFERROR(VLOOKUP($G20,今日總結!$A:$AJ,33,0),"")</f>
        <v>1</v>
      </c>
      <c r="M20" s="340">
        <f>IFERROR(VLOOKUP($G20,今日總結!$A:$AJ,34,0),"")</f>
        <v>3</v>
      </c>
      <c r="N20" s="240">
        <f t="shared" si="7"/>
        <v>-2</v>
      </c>
      <c r="P20" s="365">
        <f>IFERROR(VLOOKUP($G20,融外自投!$A:$J,7,0),"無")</f>
        <v>1211</v>
      </c>
      <c r="Q20" s="79" t="str">
        <f>IFERROR(VLOOKUP($G20,融外自投!$A:$J,9,0),"無")</f>
        <v>無</v>
      </c>
      <c r="R20" s="346">
        <f>IFERROR(VLOOKUP($G20,融外自投!$A:$J,8,0),"無")</f>
        <v>996</v>
      </c>
      <c r="S20" s="81" t="str">
        <f>IFERROR(VLOOKUP($G20,融外自投!$A:$J,10,0),"無")</f>
        <v>無</v>
      </c>
      <c r="T20" s="327">
        <f>IFERROR(VLOOKUP($G20,'321買'!$A:$E,5,0),"'沒有資料'")</f>
        <v>357</v>
      </c>
      <c r="U20" s="186">
        <f>IFERROR(VLOOKUP($G20,基本資料!$A:$J,9,0),"無")</f>
        <v>1</v>
      </c>
      <c r="V20" s="310">
        <f t="shared" si="8"/>
        <v>3.3333333333333333E-2</v>
      </c>
      <c r="W20" s="94">
        <f>IFERROR(VLOOKUP($G20,基本資料!$A:$J,10,0),"無")</f>
        <v>1.22</v>
      </c>
      <c r="X20" s="36">
        <f>RTD("money.excel",,$G20,"Price")</f>
        <v>30</v>
      </c>
      <c r="Y20" s="66"/>
      <c r="Z20" s="15">
        <f t="shared" si="4"/>
        <v>30</v>
      </c>
      <c r="AA20" s="3" t="e">
        <f t="shared" si="5"/>
        <v>#DIV/0!</v>
      </c>
      <c r="AB20" s="344">
        <f>IFERROR(VLOOKUP($G20,基本資料!$A:$M,11,0),"無")</f>
        <v>-11.69</v>
      </c>
      <c r="AC20" s="397">
        <f>IFERROR(VLOOKUP($G20,基本資料!$A:$M,12,0),"無")</f>
        <v>56.92</v>
      </c>
      <c r="AD20" s="22" t="s">
        <v>777</v>
      </c>
      <c r="AG20" s="33">
        <v>0</v>
      </c>
      <c r="AH20" s="43" t="s">
        <v>2607</v>
      </c>
      <c r="AI20" s="63">
        <f t="shared" si="6"/>
        <v>2.3124624924984998E-3</v>
      </c>
      <c r="AJ20" s="284">
        <f>RTD("money.excel",,$G20,"PredictVolume")</f>
        <v>1156</v>
      </c>
      <c r="AK20" s="399">
        <f>IFERROR(VLOOKUP($G20,基本資料!$A:$M,13,0),"無")</f>
        <v>4.3499999999999996</v>
      </c>
    </row>
    <row r="21" spans="1:37">
      <c r="A21" s="347">
        <f>IFERROR(VLOOKUP($G21,基本資料!$A:$J,3,0),"無")</f>
        <v>32.200000000000003</v>
      </c>
      <c r="B21" s="79">
        <f>IFERROR(VLOOKUP($G21,基本資料!$A:$J,4,0),"無")</f>
        <v>-50</v>
      </c>
      <c r="C21" s="79">
        <f>IFERROR(VLOOKUP($G21,基本資料!$A:$J,5,0),"無")</f>
        <v>-8</v>
      </c>
      <c r="D21" s="79">
        <f>IFERROR(VLOOKUP($G21,基本資料!$A:$J,6,0),"無")</f>
        <v>46</v>
      </c>
      <c r="E21" s="79">
        <f>IFERROR(VLOOKUP($G21,基本資料!$A:$J,7,0),"無")</f>
        <v>31</v>
      </c>
      <c r="F21" s="6">
        <f>IFERROR(VLOOKUP($G21,基本資料!$A:$J,8,0),"無")</f>
        <v>2.0499999999999998</v>
      </c>
      <c r="G21" s="79">
        <v>1219</v>
      </c>
      <c r="H21" s="8" t="s">
        <v>292</v>
      </c>
      <c r="I21" s="22" t="s">
        <v>778</v>
      </c>
      <c r="J21" s="8" t="str">
        <f>IFERROR(VLOOKUP($G21,今日總結!$A:$AJ,35,0),"")</f>
        <v/>
      </c>
      <c r="K21" s="5" t="str">
        <f>IFERROR(VLOOKUP($G21,今日總結!$A:$AJ,36,0),"")</f>
        <v/>
      </c>
      <c r="L21" s="156" t="str">
        <f>IFERROR(VLOOKUP($G21,今日總結!$A:$AJ,33,0),"")</f>
        <v/>
      </c>
      <c r="M21" s="340" t="str">
        <f>IFERROR(VLOOKUP($G21,今日總結!$A:$AJ,34,0),"")</f>
        <v/>
      </c>
      <c r="N21" s="240" t="str">
        <f t="shared" ref="N21:N27" si="9">IFERROR(L21-M21,"")</f>
        <v/>
      </c>
      <c r="O21" s="248"/>
      <c r="P21" s="365">
        <f>IFERROR(VLOOKUP($G21,融外自投!$A:$J,7,0),"無")</f>
        <v>559</v>
      </c>
      <c r="Q21" s="79">
        <f>IFERROR(VLOOKUP($G21,融外自投!$A:$J,9,0),"無")</f>
        <v>1051</v>
      </c>
      <c r="R21" s="346">
        <f>IFERROR(VLOOKUP($G21,融外自投!$A:$J,8,0),"無")</f>
        <v>871</v>
      </c>
      <c r="S21" s="81" t="str">
        <f>IFERROR(VLOOKUP($G21,融外自投!$A:$J,10,0),"無")</f>
        <v>無</v>
      </c>
      <c r="T21" s="327">
        <f>IFERROR(VLOOKUP($G21,'321買'!$A:$E,5,0),"'沒有資料'")</f>
        <v>852</v>
      </c>
      <c r="U21" s="186">
        <f>IFERROR(VLOOKUP($G21,基本資料!$A:$J,9,0),"無")</f>
        <v>1.1000000000000001</v>
      </c>
      <c r="V21" s="310">
        <f t="shared" si="8"/>
        <v>4.7516198704103681E-2</v>
      </c>
      <c r="W21" s="94">
        <f>IFERROR(VLOOKUP($G21,基本資料!$A:$J,10,0),"無")</f>
        <v>1</v>
      </c>
      <c r="X21" s="36">
        <f>RTD("money.excel",,$G21,"Price")</f>
        <v>23.15</v>
      </c>
      <c r="Y21" s="66"/>
      <c r="Z21" s="15">
        <f t="shared" si="4"/>
        <v>23.15</v>
      </c>
      <c r="AA21" s="3" t="e">
        <f t="shared" si="5"/>
        <v>#DIV/0!</v>
      </c>
      <c r="AB21" s="344">
        <f>IFERROR(VLOOKUP($G21,基本資料!$A:$M,11,0),"無")</f>
        <v>-15.57</v>
      </c>
      <c r="AC21" s="397">
        <f>IFERROR(VLOOKUP($G21,基本資料!$A:$M,12,0),"無")</f>
        <v>60.38</v>
      </c>
      <c r="AD21" s="22" t="s">
        <v>778</v>
      </c>
      <c r="AG21" s="33">
        <v>0</v>
      </c>
      <c r="AH21" s="43" t="s">
        <v>2608</v>
      </c>
      <c r="AI21" s="63">
        <f t="shared" si="6"/>
        <v>2.039751552795031E-2</v>
      </c>
      <c r="AJ21" s="284">
        <f>RTD("money.excel",,$G21,"PredictVolume")</f>
        <v>6568</v>
      </c>
      <c r="AK21" s="399">
        <f>IFERROR(VLOOKUP($G21,基本資料!$A:$M,13,0),"無")</f>
        <v>18.489999999999998</v>
      </c>
    </row>
    <row r="22" spans="1:37">
      <c r="A22" s="347">
        <f>IFERROR(VLOOKUP($G22,基本資料!$A:$J,3,0),"無")</f>
        <v>17.7</v>
      </c>
      <c r="B22" s="79">
        <f>IFERROR(VLOOKUP($G22,基本資料!$A:$J,4,0),"無")</f>
        <v>9</v>
      </c>
      <c r="C22" s="79">
        <f>IFERROR(VLOOKUP($G22,基本資料!$A:$J,5,0),"無")</f>
        <v>3</v>
      </c>
      <c r="D22" s="79">
        <f>IFERROR(VLOOKUP($G22,基本資料!$A:$J,6,0),"無")</f>
        <v>37</v>
      </c>
      <c r="E22" s="79">
        <f>IFERROR(VLOOKUP($G22,基本資料!$A:$J,7,0),"無")</f>
        <v>5</v>
      </c>
      <c r="F22" s="6">
        <f>IFERROR(VLOOKUP($G22,基本資料!$A:$J,8,0),"無")</f>
        <v>7.01</v>
      </c>
      <c r="G22" s="79">
        <v>1220</v>
      </c>
      <c r="H22" s="8" t="s">
        <v>292</v>
      </c>
      <c r="I22" s="22" t="s">
        <v>779</v>
      </c>
      <c r="J22" s="8" t="str">
        <f>IFERROR(VLOOKUP($G22,今日總結!$A:$AJ,35,0),"")</f>
        <v/>
      </c>
      <c r="K22" s="5" t="str">
        <f>IFERROR(VLOOKUP($G22,今日總結!$A:$AJ,36,0),"")</f>
        <v/>
      </c>
      <c r="L22" s="156" t="str">
        <f>IFERROR(VLOOKUP($G22,今日總結!$A:$AJ,33,0),"")</f>
        <v/>
      </c>
      <c r="M22" s="340" t="str">
        <f>IFERROR(VLOOKUP($G22,今日總結!$A:$AJ,34,0),"")</f>
        <v/>
      </c>
      <c r="N22" s="240" t="str">
        <f t="shared" si="9"/>
        <v/>
      </c>
      <c r="P22" s="365">
        <f>IFERROR(VLOOKUP($G22,融外自投!$A:$J,7,0),"無")</f>
        <v>667</v>
      </c>
      <c r="Q22" s="79">
        <f>IFERROR(VLOOKUP($G22,融外自投!$A:$J,9,0),"無")</f>
        <v>978</v>
      </c>
      <c r="R22" s="346">
        <f>IFERROR(VLOOKUP($G22,融外自投!$A:$J,8,0),"無")</f>
        <v>629</v>
      </c>
      <c r="S22" s="81" t="str">
        <f>IFERROR(VLOOKUP($G22,融外自投!$A:$J,10,0),"無")</f>
        <v>無</v>
      </c>
      <c r="T22" s="327">
        <f>IFERROR(VLOOKUP($G22,'321買'!$A:$E,5,0),"'沒有資料'")</f>
        <v>915</v>
      </c>
      <c r="U22" s="186">
        <f>IFERROR(VLOOKUP($G22,基本資料!$A:$J,9,0),"無")</f>
        <v>1</v>
      </c>
      <c r="V22" s="310">
        <f t="shared" si="8"/>
        <v>5.4054054054054057E-2</v>
      </c>
      <c r="W22" s="94">
        <f>IFERROR(VLOOKUP($G22,基本資料!$A:$J,10,0),"無")</f>
        <v>1</v>
      </c>
      <c r="X22" s="36">
        <f>RTD("money.excel",,$G22,"Price")</f>
        <v>18.5</v>
      </c>
      <c r="Y22" s="66"/>
      <c r="Z22" s="15">
        <f t="shared" si="4"/>
        <v>18.5</v>
      </c>
      <c r="AA22" s="3" t="e">
        <f t="shared" si="5"/>
        <v>#DIV/0!</v>
      </c>
      <c r="AB22" s="344">
        <f>IFERROR(VLOOKUP($G22,基本資料!$A:$M,11,0),"無")</f>
        <v>-20.78</v>
      </c>
      <c r="AC22" s="397">
        <f>IFERROR(VLOOKUP($G22,基本資料!$A:$M,12,0),"無")</f>
        <v>57.94</v>
      </c>
      <c r="AD22" s="22" t="s">
        <v>779</v>
      </c>
      <c r="AG22" s="33">
        <v>0</v>
      </c>
      <c r="AH22" s="43" t="s">
        <v>2609</v>
      </c>
      <c r="AI22" s="63">
        <f t="shared" si="6"/>
        <v>1.4028248587570621E-2</v>
      </c>
      <c r="AJ22" s="284">
        <f>RTD("money.excel",,$G22,"PredictVolume")</f>
        <v>2483</v>
      </c>
      <c r="AK22" s="399">
        <f>IFERROR(VLOOKUP($G22,基本資料!$A:$M,13,0),"無")</f>
        <v>24.6</v>
      </c>
    </row>
    <row r="23" spans="1:37">
      <c r="A23" s="347">
        <f>IFERROR(VLOOKUP($G23,基本資料!$A:$J,3,0),"無")</f>
        <v>21.87</v>
      </c>
      <c r="B23" s="79">
        <f>IFERROR(VLOOKUP($G23,基本資料!$A:$J,4,0),"無")</f>
        <v>16</v>
      </c>
      <c r="C23" s="79">
        <f>IFERROR(VLOOKUP($G23,基本資料!$A:$J,5,0),"無")</f>
        <v>4</v>
      </c>
      <c r="D23" s="79">
        <f>IFERROR(VLOOKUP($G23,基本資料!$A:$J,6,0),"無")</f>
        <v>-4</v>
      </c>
      <c r="E23" s="79">
        <f>IFERROR(VLOOKUP($G23,基本資料!$A:$J,7,0),"無")</f>
        <v>19</v>
      </c>
      <c r="F23" s="6">
        <f>IFERROR(VLOOKUP($G23,基本資料!$A:$J,8,0),"無")</f>
        <v>4.05</v>
      </c>
      <c r="G23" s="79">
        <v>1225</v>
      </c>
      <c r="H23" s="8" t="s">
        <v>292</v>
      </c>
      <c r="I23" s="22" t="s">
        <v>780</v>
      </c>
      <c r="J23" s="8" t="str">
        <f>IFERROR(VLOOKUP($G23,今日總結!$A:$AJ,35,0),"")</f>
        <v/>
      </c>
      <c r="K23" s="5" t="str">
        <f>IFERROR(VLOOKUP($G23,今日總結!$A:$AJ,36,0),"")</f>
        <v/>
      </c>
      <c r="L23" s="156" t="str">
        <f>IFERROR(VLOOKUP($G23,今日總結!$A:$AJ,33,0),"")</f>
        <v/>
      </c>
      <c r="M23" s="340" t="str">
        <f>IFERROR(VLOOKUP($G23,今日總結!$A:$AJ,34,0),"")</f>
        <v/>
      </c>
      <c r="N23" s="240" t="str">
        <f t="shared" si="9"/>
        <v/>
      </c>
      <c r="P23" s="365">
        <f>IFERROR(VLOOKUP($G23,融外自投!$A:$J,7,0),"無")</f>
        <v>659</v>
      </c>
      <c r="Q23" s="79">
        <f>IFERROR(VLOOKUP($G23,融外自投!$A:$J,9,0),"無")</f>
        <v>978</v>
      </c>
      <c r="R23" s="346">
        <f>IFERROR(VLOOKUP($G23,融外自投!$A:$J,8,0),"無")</f>
        <v>1273</v>
      </c>
      <c r="S23" s="81" t="str">
        <f>IFERROR(VLOOKUP($G23,融外自投!$A:$J,10,0),"無")</f>
        <v>無</v>
      </c>
      <c r="T23" s="327">
        <f>IFERROR(VLOOKUP($G23,'321買'!$A:$E,5,0),"'沒有資料'")</f>
        <v>869</v>
      </c>
      <c r="U23" s="186">
        <f>IFERROR(VLOOKUP($G23,基本資料!$A:$J,9,0),"無")</f>
        <v>1.6</v>
      </c>
      <c r="V23" s="310">
        <f t="shared" si="8"/>
        <v>3.0418250950570342E-2</v>
      </c>
      <c r="W23" s="94">
        <f>IFERROR(VLOOKUP($G23,基本資料!$A:$J,10,0),"無")</f>
        <v>2.0699999999999998</v>
      </c>
      <c r="X23" s="36">
        <f>RTD("money.excel",,$G23,"Price")</f>
        <v>52.6</v>
      </c>
      <c r="Y23" s="66"/>
      <c r="Z23" s="15">
        <f t="shared" si="4"/>
        <v>52.6</v>
      </c>
      <c r="AA23" s="3" t="e">
        <f t="shared" si="5"/>
        <v>#DIV/0!</v>
      </c>
      <c r="AB23" s="344">
        <f>IFERROR(VLOOKUP($G23,基本資料!$A:$M,11,0),"無")</f>
        <v>-13.64</v>
      </c>
      <c r="AC23" s="397">
        <f>IFERROR(VLOOKUP($G23,基本資料!$A:$M,12,0),"無")</f>
        <v>26.2</v>
      </c>
      <c r="AD23" s="22" t="s">
        <v>780</v>
      </c>
      <c r="AG23" s="33">
        <v>0</v>
      </c>
      <c r="AH23" s="43" t="s">
        <v>2610</v>
      </c>
      <c r="AI23" s="63">
        <f t="shared" si="6"/>
        <v>5.5784179240969364E-4</v>
      </c>
      <c r="AJ23" s="284">
        <f>RTD("money.excel",,$G23,"PredictVolume")</f>
        <v>122</v>
      </c>
      <c r="AK23" s="399">
        <f>IFERROR(VLOOKUP($G23,基本資料!$A:$M,13,0),"無")</f>
        <v>3.98</v>
      </c>
    </row>
    <row r="24" spans="1:37">
      <c r="A24" s="347">
        <f>IFERROR(VLOOKUP($G24,基本資料!$A:$J,3,0),"無")</f>
        <v>91.5</v>
      </c>
      <c r="B24" s="79">
        <f>IFERROR(VLOOKUP($G24,基本資料!$A:$J,4,0),"無")</f>
        <v>-23</v>
      </c>
      <c r="C24" s="79">
        <f>IFERROR(VLOOKUP($G24,基本資料!$A:$J,5,0),"無")</f>
        <v>-26</v>
      </c>
      <c r="D24" s="79">
        <f>IFERROR(VLOOKUP($G24,基本資料!$A:$J,6,0),"無")</f>
        <v>71</v>
      </c>
      <c r="E24" s="79">
        <f>IFERROR(VLOOKUP($G24,基本資料!$A:$J,7,0),"無")</f>
        <v>16</v>
      </c>
      <c r="F24" s="6">
        <f>IFERROR(VLOOKUP($G24,基本資料!$A:$J,8,0),"無")</f>
        <v>8.69</v>
      </c>
      <c r="G24" s="79">
        <v>1227</v>
      </c>
      <c r="H24" s="8" t="s">
        <v>292</v>
      </c>
      <c r="I24" s="22" t="s">
        <v>3583</v>
      </c>
      <c r="J24" s="8" t="str">
        <f>IFERROR(VLOOKUP($G24,今日總結!$A:$AJ,35,0),"")</f>
        <v>借</v>
      </c>
      <c r="K24" s="5">
        <f>IFERROR(VLOOKUP($G24,今日總結!$A:$AJ,36,0),"")</f>
        <v>0</v>
      </c>
      <c r="L24" s="156">
        <f>IFERROR(VLOOKUP($G24,今日總結!$A:$AJ,33,0),"")</f>
        <v>1</v>
      </c>
      <c r="M24" s="340">
        <f>IFERROR(VLOOKUP($G24,今日總結!$A:$AJ,34,0),"")</f>
        <v>1</v>
      </c>
      <c r="N24" s="240">
        <f t="shared" si="9"/>
        <v>0</v>
      </c>
      <c r="P24" s="365">
        <f>IFERROR(VLOOKUP($G24,融外自投!$A:$J,7,0),"無")</f>
        <v>1270</v>
      </c>
      <c r="Q24" s="79">
        <f>IFERROR(VLOOKUP($G24,融外自投!$A:$J,9,0),"無")</f>
        <v>614</v>
      </c>
      <c r="R24" s="346">
        <f>IFERROR(VLOOKUP($G24,融外自投!$A:$J,8,0),"無")</f>
        <v>682</v>
      </c>
      <c r="S24" s="81">
        <f>IFERROR(VLOOKUP($G24,融外自投!$A:$J,10,0),"無")</f>
        <v>249</v>
      </c>
      <c r="T24" s="327">
        <f>IFERROR(VLOOKUP($G24,'321買'!$A:$E,5,0),"'沒有資料'")</f>
        <v>430</v>
      </c>
      <c r="U24" s="186">
        <f>IFERROR(VLOOKUP($G24,基本資料!$A:$J,9,0),"無")</f>
        <v>1.9</v>
      </c>
      <c r="V24" s="310">
        <f t="shared" si="8"/>
        <v>3.9957939011566773E-2</v>
      </c>
      <c r="W24" s="94">
        <f>IFERROR(VLOOKUP($G24,基本資料!$A:$J,10,0),"無")</f>
        <v>2.7</v>
      </c>
      <c r="X24" s="36">
        <f>RTD("money.excel",,$G24,"Price")</f>
        <v>47.55</v>
      </c>
      <c r="Y24" s="66"/>
      <c r="Z24" s="15">
        <f t="shared" si="4"/>
        <v>47.55</v>
      </c>
      <c r="AA24" s="3" t="e">
        <f t="shared" si="5"/>
        <v>#DIV/0!</v>
      </c>
      <c r="AB24" s="344">
        <f>IFERROR(VLOOKUP($G24,基本資料!$A:$M,11,0),"無")</f>
        <v>-13.45</v>
      </c>
      <c r="AC24" s="397">
        <f>IFERROR(VLOOKUP($G24,基本資料!$A:$M,12,0),"無")</f>
        <v>33.17</v>
      </c>
      <c r="AD24" s="22" t="s">
        <v>3583</v>
      </c>
      <c r="AG24" s="33">
        <v>0</v>
      </c>
      <c r="AH24" s="117" t="s">
        <v>2611</v>
      </c>
      <c r="AI24" s="63">
        <f t="shared" si="6"/>
        <v>7.0054644808743166E-4</v>
      </c>
      <c r="AJ24" s="284">
        <f>RTD("money.excel",,$G24,"PredictVolume")</f>
        <v>641</v>
      </c>
      <c r="AK24" s="399">
        <f>IFERROR(VLOOKUP($G24,基本資料!$A:$M,13,0),"無")</f>
        <v>0.82</v>
      </c>
    </row>
    <row r="25" spans="1:37">
      <c r="A25" s="347">
        <f>IFERROR(VLOOKUP($G25,基本資料!$A:$J,3,0),"無")</f>
        <v>140</v>
      </c>
      <c r="B25" s="79">
        <f>IFERROR(VLOOKUP($G25,基本資料!$A:$J,4,0),"無")</f>
        <v>35</v>
      </c>
      <c r="C25" s="79">
        <f>IFERROR(VLOOKUP($G25,基本資料!$A:$J,5,0),"無")</f>
        <v>37</v>
      </c>
      <c r="D25" s="79">
        <f>IFERROR(VLOOKUP($G25,基本資料!$A:$J,6,0),"無")</f>
        <v>68</v>
      </c>
      <c r="E25" s="79">
        <f>IFERROR(VLOOKUP($G25,基本資料!$A:$J,7,0),"無")</f>
        <v>25</v>
      </c>
      <c r="F25" s="6">
        <f>IFERROR(VLOOKUP($G25,基本資料!$A:$J,8,0),"無")</f>
        <v>12.75</v>
      </c>
      <c r="G25" s="79">
        <v>1229</v>
      </c>
      <c r="H25" s="8" t="s">
        <v>292</v>
      </c>
      <c r="I25" s="22" t="s">
        <v>781</v>
      </c>
      <c r="J25" s="8" t="str">
        <f>IFERROR(VLOOKUP($G25,今日總結!$A:$AJ,35,0),"")</f>
        <v/>
      </c>
      <c r="K25" s="5" t="str">
        <f>IFERROR(VLOOKUP($G25,今日總結!$A:$AJ,36,0),"")</f>
        <v/>
      </c>
      <c r="L25" s="156" t="str">
        <f>IFERROR(VLOOKUP($G25,今日總結!$A:$AJ,33,0),"")</f>
        <v/>
      </c>
      <c r="M25" s="340" t="str">
        <f>IFERROR(VLOOKUP($G25,今日總結!$A:$AJ,34,0),"")</f>
        <v/>
      </c>
      <c r="N25" s="240" t="str">
        <f t="shared" si="9"/>
        <v/>
      </c>
      <c r="P25" s="365">
        <f>IFERROR(VLOOKUP($G25,融外自投!$A:$J,7,0),"無")</f>
        <v>1363</v>
      </c>
      <c r="Q25" s="79">
        <f>IFERROR(VLOOKUP($G25,融外自投!$A:$J,9,0),"無")</f>
        <v>789</v>
      </c>
      <c r="R25" s="346">
        <f>IFERROR(VLOOKUP($G25,融外自投!$A:$J,8,0),"無")</f>
        <v>460</v>
      </c>
      <c r="S25" s="81">
        <f>IFERROR(VLOOKUP($G25,融外自投!$A:$J,10,0),"無")</f>
        <v>416</v>
      </c>
      <c r="T25" s="327">
        <f>IFERROR(VLOOKUP($G25,'321買'!$A:$E,5,0),"'沒有資料'")</f>
        <v>480</v>
      </c>
      <c r="U25" s="186">
        <f>IFERROR(VLOOKUP($G25,基本資料!$A:$J,9,0),"無")</f>
        <v>2.2999999999999998</v>
      </c>
      <c r="V25" s="310">
        <f t="shared" si="8"/>
        <v>4.3233082706766915E-2</v>
      </c>
      <c r="W25" s="94">
        <f>IFERROR(VLOOKUP($G25,基本資料!$A:$J,10,0),"無")</f>
        <v>2.92</v>
      </c>
      <c r="X25" s="36">
        <f>RTD("money.excel",,$G25,"Price")</f>
        <v>53.2</v>
      </c>
      <c r="Y25" s="66"/>
      <c r="Z25" s="15">
        <f t="shared" si="4"/>
        <v>53.2</v>
      </c>
      <c r="AA25" s="3" t="e">
        <f t="shared" si="5"/>
        <v>#DIV/0!</v>
      </c>
      <c r="AB25" s="344">
        <f>IFERROR(VLOOKUP($G25,基本資料!$A:$M,11,0),"無")</f>
        <v>-27.97</v>
      </c>
      <c r="AC25" s="397">
        <f>IFERROR(VLOOKUP($G25,基本資料!$A:$M,12,0),"無")</f>
        <v>9.19</v>
      </c>
      <c r="AD25" s="22" t="s">
        <v>781</v>
      </c>
      <c r="AG25" s="33">
        <v>0</v>
      </c>
      <c r="AH25" s="43" t="s">
        <v>2612</v>
      </c>
      <c r="AI25" s="63">
        <f t="shared" si="6"/>
        <v>1.0200000000000001E-3</v>
      </c>
      <c r="AJ25" s="284">
        <f>RTD("money.excel",,$G25,"PredictVolume")</f>
        <v>1428</v>
      </c>
      <c r="AK25" s="399">
        <f>IFERROR(VLOOKUP($G25,基本資料!$A:$M,13,0),"無")</f>
        <v>1.07</v>
      </c>
    </row>
    <row r="26" spans="1:37">
      <c r="A26" s="347">
        <f>IFERROR(VLOOKUP($G26,基本資料!$A:$J,3,0),"無")</f>
        <v>20.170000000000002</v>
      </c>
      <c r="B26" s="79">
        <f>IFERROR(VLOOKUP($G26,基本資料!$A:$J,4,0),"無")</f>
        <v>18</v>
      </c>
      <c r="C26" s="79">
        <f>IFERROR(VLOOKUP($G26,基本資料!$A:$J,5,0),"無")</f>
        <v>28</v>
      </c>
      <c r="D26" s="79">
        <f>IFERROR(VLOOKUP($G26,基本資料!$A:$J,6,0),"無")</f>
        <v>0</v>
      </c>
      <c r="E26" s="79">
        <f>IFERROR(VLOOKUP($G26,基本資料!$A:$J,7,0),"無")</f>
        <v>16</v>
      </c>
      <c r="F26" s="6">
        <f>IFERROR(VLOOKUP($G26,基本資料!$A:$J,8,0),"無")</f>
        <v>9.94</v>
      </c>
      <c r="G26" s="79">
        <v>1231</v>
      </c>
      <c r="H26" s="8" t="s">
        <v>292</v>
      </c>
      <c r="I26" s="22" t="s">
        <v>782</v>
      </c>
      <c r="J26" s="8">
        <f>IFERROR(VLOOKUP($G26,今日總結!$A:$AJ,35,0),"")</f>
        <v>0</v>
      </c>
      <c r="K26" s="5">
        <f>IFERROR(VLOOKUP($G26,今日總結!$A:$AJ,36,0),"")</f>
        <v>0</v>
      </c>
      <c r="L26" s="156">
        <f>IFERROR(VLOOKUP($G26,今日總結!$A:$AJ,33,0),"")</f>
        <v>0</v>
      </c>
      <c r="M26" s="340">
        <f>IFERROR(VLOOKUP($G26,今日總結!$A:$AJ,34,0),"")</f>
        <v>1</v>
      </c>
      <c r="N26" s="240">
        <f t="shared" si="9"/>
        <v>-1</v>
      </c>
      <c r="P26" s="365">
        <f>IFERROR(VLOOKUP($G26,融外自投!$A:$J,7,0),"無")</f>
        <v>1383</v>
      </c>
      <c r="Q26" s="79">
        <f>IFERROR(VLOOKUP($G26,融外自投!$A:$J,9,0),"無")</f>
        <v>936</v>
      </c>
      <c r="R26" s="346">
        <f>IFERROR(VLOOKUP($G26,融外自投!$A:$J,8,0),"無")</f>
        <v>877</v>
      </c>
      <c r="S26" s="81">
        <f>IFERROR(VLOOKUP($G26,融外自投!$A:$J,10,0),"無")</f>
        <v>491</v>
      </c>
      <c r="T26" s="327">
        <f>IFERROR(VLOOKUP($G26,'321買'!$A:$E,5,0),"'沒有資料'")</f>
        <v>915</v>
      </c>
      <c r="U26" s="186">
        <f>IFERROR(VLOOKUP($G26,基本資料!$A:$J,9,0),"無")</f>
        <v>2.6</v>
      </c>
      <c r="V26" s="310">
        <f t="shared" si="8"/>
        <v>3.2098765432098768E-2</v>
      </c>
      <c r="W26" s="94">
        <f>IFERROR(VLOOKUP($G26,基本資料!$A:$J,10,0),"無")</f>
        <v>4.03</v>
      </c>
      <c r="X26" s="36">
        <f>RTD("money.excel",,$G26,"Price")</f>
        <v>81</v>
      </c>
      <c r="Y26" s="66"/>
      <c r="Z26" s="15">
        <f t="shared" si="4"/>
        <v>81</v>
      </c>
      <c r="AA26" s="3" t="e">
        <f t="shared" si="5"/>
        <v>#DIV/0!</v>
      </c>
      <c r="AB26" s="344">
        <f>IFERROR(VLOOKUP($G26,基本資料!$A:$M,11,0),"無")</f>
        <v>-11.34</v>
      </c>
      <c r="AC26" s="397">
        <f>IFERROR(VLOOKUP($G26,基本資料!$A:$M,12,0),"無")</f>
        <v>66.180000000000007</v>
      </c>
      <c r="AD26" s="22" t="s">
        <v>782</v>
      </c>
      <c r="AG26" s="33">
        <v>0</v>
      </c>
      <c r="AH26" s="43" t="s">
        <v>2613</v>
      </c>
      <c r="AI26" s="63">
        <f t="shared" si="6"/>
        <v>1.5468517600396626E-3</v>
      </c>
      <c r="AJ26" s="284">
        <f>RTD("money.excel",,$G26,"PredictVolume")</f>
        <v>312</v>
      </c>
      <c r="AK26" s="399">
        <f>IFERROR(VLOOKUP($G26,基本資料!$A:$M,13,0),"無")</f>
        <v>3.92</v>
      </c>
    </row>
    <row r="27" spans="1:37">
      <c r="A27" s="347">
        <f>IFERROR(VLOOKUP($G27,基本資料!$A:$J,3,0),"無")</f>
        <v>15.99</v>
      </c>
      <c r="B27" s="79">
        <f>IFERROR(VLOOKUP($G27,基本資料!$A:$J,4,0),"無")</f>
        <v>-3</v>
      </c>
      <c r="C27" s="79">
        <f>IFERROR(VLOOKUP($G27,基本資料!$A:$J,5,0),"無")</f>
        <v>-5</v>
      </c>
      <c r="D27" s="79">
        <f>IFERROR(VLOOKUP($G27,基本資料!$A:$J,6,0),"無")</f>
        <v>47</v>
      </c>
      <c r="E27" s="79">
        <f>IFERROR(VLOOKUP($G27,基本資料!$A:$J,7,0),"無")</f>
        <v>20</v>
      </c>
      <c r="F27" s="6">
        <f>IFERROR(VLOOKUP($G27,基本資料!$A:$J,8,0),"無")</f>
        <v>7.48</v>
      </c>
      <c r="G27" s="79">
        <v>1232</v>
      </c>
      <c r="H27" s="8" t="s">
        <v>292</v>
      </c>
      <c r="I27" s="22" t="s">
        <v>783</v>
      </c>
      <c r="J27" s="8">
        <f>IFERROR(VLOOKUP($G27,今日總結!$A:$AJ,35,0),"")</f>
        <v>0</v>
      </c>
      <c r="K27" s="5">
        <f>IFERROR(VLOOKUP($G27,今日總結!$A:$AJ,36,0),"")</f>
        <v>0</v>
      </c>
      <c r="L27" s="156">
        <f>IFERROR(VLOOKUP($G27,今日總結!$A:$AJ,33,0),"")</f>
        <v>0</v>
      </c>
      <c r="M27" s="340">
        <f>IFERROR(VLOOKUP($G27,今日總結!$A:$AJ,34,0),"")</f>
        <v>1</v>
      </c>
      <c r="N27" s="240">
        <f t="shared" si="9"/>
        <v>-1</v>
      </c>
      <c r="O27" s="248"/>
      <c r="P27" s="365">
        <f>IFERROR(VLOOKUP($G27,融外自投!$A:$J,7,0),"無")</f>
        <v>1410</v>
      </c>
      <c r="Q27" s="79">
        <f>IFERROR(VLOOKUP($G27,融外自投!$A:$J,9,0),"無")</f>
        <v>896</v>
      </c>
      <c r="R27" s="346">
        <f>IFERROR(VLOOKUP($G27,融外自投!$A:$J,8,0),"無")</f>
        <v>1158</v>
      </c>
      <c r="S27" s="81" t="str">
        <f>IFERROR(VLOOKUP($G27,融外自投!$A:$J,10,0),"無")</f>
        <v>無</v>
      </c>
      <c r="T27" s="327">
        <f>IFERROR(VLOOKUP($G27,'321買'!$A:$E,5,0),"'沒有資料'")</f>
        <v>984</v>
      </c>
      <c r="U27" s="186">
        <f>IFERROR(VLOOKUP($G27,基本資料!$A:$J,9,0),"無")</f>
        <v>6</v>
      </c>
      <c r="V27" s="310">
        <f t="shared" si="8"/>
        <v>3.9473684210526314E-2</v>
      </c>
      <c r="W27" s="94">
        <f>IFERROR(VLOOKUP($G27,基本資料!$A:$J,10,0),"無")</f>
        <v>7.76</v>
      </c>
      <c r="X27" s="36">
        <f>RTD("money.excel",,$G27,"Price")</f>
        <v>152</v>
      </c>
      <c r="Y27" s="66"/>
      <c r="Z27" s="15">
        <f t="shared" si="4"/>
        <v>152</v>
      </c>
      <c r="AA27" s="3" t="e">
        <f t="shared" si="5"/>
        <v>#DIV/0!</v>
      </c>
      <c r="AB27" s="344">
        <f>IFERROR(VLOOKUP($G27,基本資料!$A:$M,11,0),"無")</f>
        <v>-13.92</v>
      </c>
      <c r="AC27" s="397">
        <f>IFERROR(VLOOKUP($G27,基本資料!$A:$M,12,0),"無")</f>
        <v>25.44</v>
      </c>
      <c r="AD27" s="22" t="s">
        <v>783</v>
      </c>
      <c r="AG27" s="33">
        <v>0</v>
      </c>
      <c r="AH27" s="43" t="s">
        <v>2614</v>
      </c>
      <c r="AI27" s="63">
        <f t="shared" si="6"/>
        <v>4.1901188242651657E-4</v>
      </c>
      <c r="AJ27" s="284">
        <f>RTD("money.excel",,$G27,"PredictVolume")</f>
        <v>67</v>
      </c>
      <c r="AK27" s="399">
        <f>IFERROR(VLOOKUP($G27,基本資料!$A:$M,13,0),"無")</f>
        <v>1.36</v>
      </c>
    </row>
    <row r="28" spans="1:37">
      <c r="A28" s="347">
        <f>IFERROR(VLOOKUP($G28,基本資料!$A:$J,3,0),"無")</f>
        <v>9.0500000000000007</v>
      </c>
      <c r="B28" s="79">
        <f>IFERROR(VLOOKUP($G28,基本資料!$A:$J,4,0),"無")</f>
        <v>-24</v>
      </c>
      <c r="C28" s="79">
        <f>IFERROR(VLOOKUP($G28,基本資料!$A:$J,5,0),"無")</f>
        <v>-77</v>
      </c>
      <c r="D28" s="79">
        <f>IFERROR(VLOOKUP($G28,基本資料!$A:$J,6,0),"無")</f>
        <v>-7</v>
      </c>
      <c r="E28" s="79">
        <f>IFERROR(VLOOKUP($G28,基本資料!$A:$J,7,0),"無")</f>
        <v>-9</v>
      </c>
      <c r="F28" s="6">
        <f>IFERROR(VLOOKUP($G28,基本資料!$A:$J,8,0),"無")</f>
        <v>0.84</v>
      </c>
      <c r="G28" s="79">
        <v>1233</v>
      </c>
      <c r="H28" s="8" t="s">
        <v>292</v>
      </c>
      <c r="I28" s="22" t="s">
        <v>784</v>
      </c>
      <c r="J28" s="8" t="str">
        <f>IFERROR(VLOOKUP($G28,今日總結!$A:$AJ,35,0),"")</f>
        <v/>
      </c>
      <c r="K28" s="5" t="str">
        <f>IFERROR(VLOOKUP($G28,今日總結!$A:$AJ,36,0),"")</f>
        <v/>
      </c>
      <c r="L28" s="156" t="str">
        <f>IFERROR(VLOOKUP($G28,今日總結!$A:$AJ,33,0),"")</f>
        <v/>
      </c>
      <c r="M28" s="340" t="str">
        <f>IFERROR(VLOOKUP($G28,今日總結!$A:$AJ,34,0),"")</f>
        <v/>
      </c>
      <c r="N28" s="240" t="str">
        <f t="shared" ref="N28:N39" si="10">IFERROR(L28-M28,"")</f>
        <v/>
      </c>
      <c r="P28" s="365" t="str">
        <f>IFERROR(VLOOKUP($G28,融外自投!$A:$J,7,0),"無")</f>
        <v>無</v>
      </c>
      <c r="Q28" s="79">
        <f>IFERROR(VLOOKUP($G28,融外自投!$A:$J,9,0),"無")</f>
        <v>1110</v>
      </c>
      <c r="R28" s="346">
        <f>IFERROR(VLOOKUP($G28,融外自投!$A:$J,8,0),"無")</f>
        <v>757</v>
      </c>
      <c r="S28" s="81" t="str">
        <f>IFERROR(VLOOKUP($G28,融外自投!$A:$J,10,0),"無")</f>
        <v>無</v>
      </c>
      <c r="T28" s="327">
        <f>IFERROR(VLOOKUP($G28,'321買'!$A:$E,5,0),"'沒有資料'")</f>
        <v>1383</v>
      </c>
      <c r="U28" s="186">
        <f>IFERROR(VLOOKUP($G28,基本資料!$A:$J,9,0),"無")</f>
        <v>0.8</v>
      </c>
      <c r="V28" s="310">
        <f t="shared" si="8"/>
        <v>2.4577572964669742E-2</v>
      </c>
      <c r="W28" s="94">
        <f>IFERROR(VLOOKUP($G28,基本資料!$A:$J,10,0),"無")</f>
        <v>0.48</v>
      </c>
      <c r="X28" s="36">
        <f>RTD("money.excel",,$G28,"Price")</f>
        <v>32.549999999999997</v>
      </c>
      <c r="Y28" s="66"/>
      <c r="Z28" s="15">
        <f t="shared" si="4"/>
        <v>32.549999999999997</v>
      </c>
      <c r="AA28" s="3" t="e">
        <f t="shared" si="5"/>
        <v>#DIV/0!</v>
      </c>
      <c r="AB28" s="344">
        <f>IFERROR(VLOOKUP($G28,基本資料!$A:$M,11,0),"無")</f>
        <v>-7.37</v>
      </c>
      <c r="AC28" s="397">
        <f>IFERROR(VLOOKUP($G28,基本資料!$A:$M,12,0),"無")</f>
        <v>33.69</v>
      </c>
      <c r="AD28" s="22" t="s">
        <v>784</v>
      </c>
      <c r="AG28" s="33">
        <v>0</v>
      </c>
      <c r="AH28" s="43" t="s">
        <v>2177</v>
      </c>
      <c r="AI28" s="63">
        <f t="shared" si="6"/>
        <v>5.5248618784530387E-5</v>
      </c>
      <c r="AJ28" s="284">
        <f>RTD("money.excel",,$G28,"PredictVolume")</f>
        <v>5</v>
      </c>
      <c r="AK28" s="399">
        <f>IFERROR(VLOOKUP($G28,基本資料!$A:$M,13,0),"無")</f>
        <v>1.45</v>
      </c>
    </row>
    <row r="29" spans="1:37">
      <c r="A29" s="347">
        <f>IFERROR(VLOOKUP($G29,基本資料!$A:$J,3,0),"無")</f>
        <v>40.18</v>
      </c>
      <c r="B29" s="79">
        <f>IFERROR(VLOOKUP($G29,基本資料!$A:$J,4,0),"無")</f>
        <v>-10</v>
      </c>
      <c r="C29" s="79">
        <f>IFERROR(VLOOKUP($G29,基本資料!$A:$J,5,0),"無")</f>
        <v>-1</v>
      </c>
      <c r="D29" s="79">
        <f>IFERROR(VLOOKUP($G29,基本資料!$A:$J,6,0),"無")</f>
        <v>37</v>
      </c>
      <c r="E29" s="79">
        <f>IFERROR(VLOOKUP($G29,基本資料!$A:$J,7,0),"無")</f>
        <v>-13</v>
      </c>
      <c r="F29" s="6">
        <f>IFERROR(VLOOKUP($G29,基本資料!$A:$J,8,0),"無")</f>
        <v>6.57</v>
      </c>
      <c r="G29" s="79">
        <v>1234</v>
      </c>
      <c r="H29" s="8" t="s">
        <v>292</v>
      </c>
      <c r="I29" s="22" t="s">
        <v>785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340" t="str">
        <f>IFERROR(VLOOKUP($G29,今日總結!$A:$AJ,34,0),"")</f>
        <v/>
      </c>
      <c r="N29" s="240" t="str">
        <f t="shared" si="10"/>
        <v/>
      </c>
      <c r="P29" s="365">
        <f>IFERROR(VLOOKUP($G29,融外自投!$A:$J,7,0),"無")</f>
        <v>1416</v>
      </c>
      <c r="Q29" s="79">
        <f>IFERROR(VLOOKUP($G29,融外自投!$A:$J,9,0),"無")</f>
        <v>936</v>
      </c>
      <c r="R29" s="346">
        <f>IFERROR(VLOOKUP($G29,融外自投!$A:$J,8,0),"無")</f>
        <v>758</v>
      </c>
      <c r="S29" s="81" t="str">
        <f>IFERROR(VLOOKUP($G29,融外自投!$A:$J,10,0),"無")</f>
        <v>無</v>
      </c>
      <c r="T29" s="327">
        <f>IFERROR(VLOOKUP($G29,'321買'!$A:$E,5,0),"'沒有資料'")</f>
        <v>1310</v>
      </c>
      <c r="U29" s="186">
        <f>IFERROR(VLOOKUP($G29,基本資料!$A:$J,9,0),"無")</f>
        <v>1.7</v>
      </c>
      <c r="V29" s="310">
        <f t="shared" si="8"/>
        <v>4.8710601719197708E-2</v>
      </c>
      <c r="W29" s="94">
        <f>IFERROR(VLOOKUP($G29,基本資料!$A:$J,10,0),"無")</f>
        <v>1.98</v>
      </c>
      <c r="X29" s="36">
        <f>RTD("money.excel",,$G29,"Price")</f>
        <v>34.9</v>
      </c>
      <c r="Y29" s="66"/>
      <c r="Z29" s="15">
        <f t="shared" si="4"/>
        <v>34.9</v>
      </c>
      <c r="AA29" s="3" t="e">
        <f t="shared" si="5"/>
        <v>#DIV/0!</v>
      </c>
      <c r="AB29" s="344">
        <f>IFERROR(VLOOKUP($G29,基本資料!$A:$M,11,0),"無")</f>
        <v>-8.1199999999999992</v>
      </c>
      <c r="AC29" s="397">
        <f>IFERROR(VLOOKUP($G29,基本資料!$A:$M,12,0),"無")</f>
        <v>22.7</v>
      </c>
      <c r="AD29" s="22" t="s">
        <v>785</v>
      </c>
      <c r="AG29" s="33">
        <v>0</v>
      </c>
      <c r="AH29" s="43" t="s">
        <v>2150</v>
      </c>
      <c r="AI29" s="63">
        <f t="shared" si="6"/>
        <v>1.8417122946739673E-4</v>
      </c>
      <c r="AJ29" s="284">
        <f>RTD("money.excel",,$G29,"PredictVolume")</f>
        <v>74</v>
      </c>
      <c r="AK29" s="399">
        <f>IFERROR(VLOOKUP($G29,基本資料!$A:$M,13,0),"無")</f>
        <v>0.25</v>
      </c>
    </row>
    <row r="30" spans="1:37">
      <c r="A30" s="347">
        <f>IFERROR(VLOOKUP($G30,基本資料!$A:$J,3,0),"無")</f>
        <v>10.43</v>
      </c>
      <c r="B30" s="79">
        <f>IFERROR(VLOOKUP($G30,基本資料!$A:$J,4,0),"無")</f>
        <v>25</v>
      </c>
      <c r="C30" s="79">
        <f>IFERROR(VLOOKUP($G30,基本資料!$A:$J,5,0),"無")</f>
        <v>-126</v>
      </c>
      <c r="D30" s="79">
        <f>IFERROR(VLOOKUP($G30,基本資料!$A:$J,6,0),"無")</f>
        <v>-14</v>
      </c>
      <c r="E30" s="79">
        <f>IFERROR(VLOOKUP($G30,基本資料!$A:$J,7,0),"無")</f>
        <v>17</v>
      </c>
      <c r="F30" s="6">
        <f>IFERROR(VLOOKUP($G30,基本資料!$A:$J,8,0),"無")</f>
        <v>-12.57</v>
      </c>
      <c r="G30" s="79">
        <v>1235</v>
      </c>
      <c r="H30" s="8" t="s">
        <v>292</v>
      </c>
      <c r="I30" s="22" t="s">
        <v>786</v>
      </c>
      <c r="J30" s="8" t="str">
        <f>IFERROR(VLOOKUP($G30,今日總結!$A:$AJ,35,0),"")</f>
        <v/>
      </c>
      <c r="K30" s="5" t="str">
        <f>IFERROR(VLOOKUP($G30,今日總結!$A:$AJ,36,0),"")</f>
        <v/>
      </c>
      <c r="L30" s="156" t="str">
        <f>IFERROR(VLOOKUP($G30,今日總結!$A:$AJ,33,0),"")</f>
        <v/>
      </c>
      <c r="M30" s="340" t="str">
        <f>IFERROR(VLOOKUP($G30,今日總結!$A:$AJ,34,0),"")</f>
        <v/>
      </c>
      <c r="N30" s="240" t="str">
        <f t="shared" si="10"/>
        <v/>
      </c>
      <c r="O30" s="248"/>
      <c r="P30" s="365">
        <f>IFERROR(VLOOKUP($G30,融外自投!$A:$J,7,0),"無")</f>
        <v>420</v>
      </c>
      <c r="Q30" s="79" t="str">
        <f>IFERROR(VLOOKUP($G30,融外自投!$A:$J,9,0),"無")</f>
        <v>無</v>
      </c>
      <c r="R30" s="346">
        <f>IFERROR(VLOOKUP($G30,融外自投!$A:$J,8,0),"無")</f>
        <v>1448</v>
      </c>
      <c r="S30" s="81" t="str">
        <f>IFERROR(VLOOKUP($G30,融外自投!$A:$J,10,0),"無")</f>
        <v>無</v>
      </c>
      <c r="T30" s="327">
        <f>IFERROR(VLOOKUP($G30,'321買'!$A:$E,5,0),"'沒有資料'")</f>
        <v>1281</v>
      </c>
      <c r="U30" s="186">
        <f>IFERROR(VLOOKUP($G30,基本資料!$A:$J,9,0),"無")</f>
        <v>3.8</v>
      </c>
      <c r="V30" s="310">
        <f t="shared" si="8"/>
        <v>6.8716094032549732E-2</v>
      </c>
      <c r="W30" s="94">
        <f>IFERROR(VLOOKUP($G30,基本資料!$A:$J,10,0),"無")</f>
        <v>0.81</v>
      </c>
      <c r="X30" s="36">
        <f>RTD("money.excel",,$G30,"Price")</f>
        <v>55.3</v>
      </c>
      <c r="Y30" s="66"/>
      <c r="Z30" s="15">
        <f t="shared" si="4"/>
        <v>55.3</v>
      </c>
      <c r="AA30" s="3" t="e">
        <f t="shared" si="5"/>
        <v>#DIV/0!</v>
      </c>
      <c r="AB30" s="344">
        <f>IFERROR(VLOOKUP($G30,基本資料!$A:$M,11,0),"無")</f>
        <v>-11.86</v>
      </c>
      <c r="AC30" s="397">
        <f>IFERROR(VLOOKUP($G30,基本資料!$A:$M,12,0),"無")</f>
        <v>56.34</v>
      </c>
      <c r="AD30" s="22" t="s">
        <v>786</v>
      </c>
      <c r="AG30" s="33">
        <v>0</v>
      </c>
      <c r="AH30" s="43" t="s">
        <v>2615</v>
      </c>
      <c r="AI30" s="63">
        <f t="shared" si="6"/>
        <v>5.1773729626078619E-4</v>
      </c>
      <c r="AJ30" s="284">
        <f>RTD("money.excel",,$G30,"PredictVolume")</f>
        <v>54</v>
      </c>
      <c r="AK30" s="399">
        <f>IFERROR(VLOOKUP($G30,基本資料!$A:$M,13,0),"無")</f>
        <v>0.78</v>
      </c>
    </row>
    <row r="31" spans="1:37">
      <c r="A31" s="347">
        <f>IFERROR(VLOOKUP($G31,基本資料!$A:$J,3,0),"無")</f>
        <v>10.83</v>
      </c>
      <c r="B31" s="79">
        <f>IFERROR(VLOOKUP($G31,基本資料!$A:$J,4,0),"無")</f>
        <v>-15298</v>
      </c>
      <c r="C31" s="79">
        <f>IFERROR(VLOOKUP($G31,基本資料!$A:$J,5,0),"無")</f>
        <v>-322</v>
      </c>
      <c r="D31" s="79">
        <f>IFERROR(VLOOKUP($G31,基本資料!$A:$J,6,0),"無")</f>
        <v>69</v>
      </c>
      <c r="E31" s="79">
        <f>IFERROR(VLOOKUP($G31,基本資料!$A:$J,7,0),"無")</f>
        <v>42</v>
      </c>
      <c r="F31" s="6">
        <f>IFERROR(VLOOKUP($G31,基本資料!$A:$J,8,0),"無")</f>
        <v>-2.77</v>
      </c>
      <c r="G31" s="79">
        <v>1236</v>
      </c>
      <c r="H31" s="8" t="s">
        <v>292</v>
      </c>
      <c r="I31" s="22" t="s">
        <v>787</v>
      </c>
      <c r="J31" s="8" t="str">
        <f>IFERROR(VLOOKUP($G31,今日總結!$A:$AJ,35,0),"")</f>
        <v/>
      </c>
      <c r="K31" s="5" t="str">
        <f>IFERROR(VLOOKUP($G31,今日總結!$A:$AJ,36,0),"")</f>
        <v/>
      </c>
      <c r="L31" s="156" t="str">
        <f>IFERROR(VLOOKUP($G31,今日總結!$A:$AJ,33,0),"")</f>
        <v/>
      </c>
      <c r="M31" s="340" t="str">
        <f>IFERROR(VLOOKUP($G31,今日總結!$A:$AJ,34,0),"")</f>
        <v/>
      </c>
      <c r="N31" s="240" t="str">
        <f t="shared" si="10"/>
        <v/>
      </c>
      <c r="P31" s="365">
        <f>IFERROR(VLOOKUP($G31,融外自投!$A:$J,7,0),"無")</f>
        <v>628</v>
      </c>
      <c r="Q31" s="79">
        <f>IFERROR(VLOOKUP($G31,融外自投!$A:$J,9,0),"無")</f>
        <v>425</v>
      </c>
      <c r="R31" s="346">
        <f>IFERROR(VLOOKUP($G31,融外自投!$A:$J,8,0),"無")</f>
        <v>1426</v>
      </c>
      <c r="S31" s="81" t="str">
        <f>IFERROR(VLOOKUP($G31,融外自投!$A:$J,10,0),"無")</f>
        <v>無</v>
      </c>
      <c r="T31" s="327">
        <f>IFERROR(VLOOKUP($G31,'321買'!$A:$E,5,0),"'沒有資料'")</f>
        <v>1099</v>
      </c>
      <c r="U31" s="186">
        <f>IFERROR(VLOOKUP($G31,基本資料!$A:$J,9,0),"無")</f>
        <v>0.5</v>
      </c>
      <c r="V31" s="310">
        <f t="shared" si="8"/>
        <v>1.8181818181818181E-2</v>
      </c>
      <c r="W31" s="94">
        <f>IFERROR(VLOOKUP($G31,基本資料!$A:$J,10,0),"無")</f>
        <v>-0.25</v>
      </c>
      <c r="X31" s="36">
        <f>RTD("money.excel",,$G31,"Price")</f>
        <v>27.5</v>
      </c>
      <c r="Y31" s="66"/>
      <c r="Z31" s="15">
        <f t="shared" si="4"/>
        <v>27.5</v>
      </c>
      <c r="AA31" s="3" t="e">
        <f t="shared" si="5"/>
        <v>#DIV/0!</v>
      </c>
      <c r="AB31" s="344">
        <f>IFERROR(VLOOKUP($G31,基本資料!$A:$M,11,0),"無")</f>
        <v>-25.96</v>
      </c>
      <c r="AC31" s="397">
        <f>IFERROR(VLOOKUP($G31,基本資料!$A:$M,12,0),"無")</f>
        <v>34.54</v>
      </c>
      <c r="AD31" s="22" t="s">
        <v>787</v>
      </c>
      <c r="AG31" s="33">
        <v>0</v>
      </c>
      <c r="AH31" s="43" t="s">
        <v>2616</v>
      </c>
      <c r="AI31" s="63">
        <f t="shared" si="6"/>
        <v>7.6638965835641734E-3</v>
      </c>
      <c r="AJ31" s="284">
        <f>RTD("money.excel",,$G31,"PredictVolume")</f>
        <v>830</v>
      </c>
      <c r="AK31" s="399">
        <f>IFERROR(VLOOKUP($G31,基本資料!$A:$M,13,0),"無")</f>
        <v>12.55</v>
      </c>
    </row>
    <row r="32" spans="1:37">
      <c r="A32" s="347">
        <f>IFERROR(VLOOKUP($G32,基本資料!$A:$J,3,0),"無")</f>
        <v>3.38</v>
      </c>
      <c r="B32" s="79">
        <f>IFERROR(VLOOKUP($G32,基本資料!$A:$J,4,0),"無")</f>
        <v>-9</v>
      </c>
      <c r="C32" s="79">
        <f>IFERROR(VLOOKUP($G32,基本資料!$A:$J,5,0),"無")</f>
        <v>0</v>
      </c>
      <c r="D32" s="79">
        <f>IFERROR(VLOOKUP($G32,基本資料!$A:$J,6,0),"無")</f>
        <v>-41</v>
      </c>
      <c r="E32" s="79">
        <f>IFERROR(VLOOKUP($G32,基本資料!$A:$J,7,0),"無")</f>
        <v>-52</v>
      </c>
      <c r="F32" s="6">
        <f>IFERROR(VLOOKUP($G32,基本資料!$A:$J,8,0),"無")</f>
        <v>21.63</v>
      </c>
      <c r="G32" s="79">
        <v>1256</v>
      </c>
      <c r="H32" s="8" t="s">
        <v>292</v>
      </c>
      <c r="I32" s="22" t="s">
        <v>788</v>
      </c>
      <c r="J32" s="8" t="str">
        <f>IFERROR(VLOOKUP($G32,今日總結!$A:$AJ,35,0),"")</f>
        <v/>
      </c>
      <c r="K32" s="5" t="str">
        <f>IFERROR(VLOOKUP($G32,今日總結!$A:$AJ,36,0),"")</f>
        <v/>
      </c>
      <c r="L32" s="156" t="str">
        <f>IFERROR(VLOOKUP($G32,今日總結!$A:$AJ,33,0),"")</f>
        <v/>
      </c>
      <c r="M32" s="340" t="str">
        <f>IFERROR(VLOOKUP($G32,今日總結!$A:$AJ,34,0),"")</f>
        <v/>
      </c>
      <c r="N32" s="240" t="str">
        <f t="shared" si="10"/>
        <v/>
      </c>
      <c r="P32" s="365">
        <f>IFERROR(VLOOKUP($G32,融外自投!$A:$J,7,0),"無")</f>
        <v>1215</v>
      </c>
      <c r="Q32" s="79">
        <f>IFERROR(VLOOKUP($G32,融外自投!$A:$J,9,0),"無")</f>
        <v>1110</v>
      </c>
      <c r="R32" s="346">
        <f>IFERROR(VLOOKUP($G32,融外自投!$A:$J,8,0),"無")</f>
        <v>932</v>
      </c>
      <c r="S32" s="81">
        <f>IFERROR(VLOOKUP($G32,融外自投!$A:$J,10,0),"無")</f>
        <v>407</v>
      </c>
      <c r="T32" s="327">
        <f>IFERROR(VLOOKUP($G32,'321買'!$A:$E,5,0),"'沒有資料'")</f>
        <v>984</v>
      </c>
      <c r="U32" s="186">
        <f>IFERROR(VLOOKUP($G32,基本資料!$A:$J,9,0),"無")</f>
        <v>13</v>
      </c>
      <c r="V32" s="310">
        <f t="shared" si="8"/>
        <v>4.9904030710172742E-2</v>
      </c>
      <c r="W32" s="94">
        <f>IFERROR(VLOOKUP($G32,基本資料!$A:$J,10,0),"無")</f>
        <v>20.94</v>
      </c>
      <c r="X32" s="36">
        <f>RTD("money.excel",,$G32,"Price")</f>
        <v>260.5</v>
      </c>
      <c r="Y32" s="66"/>
      <c r="Z32" s="15">
        <f t="shared" si="4"/>
        <v>260.5</v>
      </c>
      <c r="AA32" s="3" t="e">
        <f t="shared" si="5"/>
        <v>#DIV/0!</v>
      </c>
      <c r="AB32" s="344">
        <f>IFERROR(VLOOKUP($G32,基本資料!$A:$M,11,0),"無")</f>
        <v>-43.29</v>
      </c>
      <c r="AC32" s="397">
        <f>IFERROR(VLOOKUP($G32,基本資料!$A:$M,12,0),"無")</f>
        <v>38.450000000000003</v>
      </c>
      <c r="AD32" s="22" t="s">
        <v>788</v>
      </c>
      <c r="AG32" s="33">
        <v>0</v>
      </c>
      <c r="AH32" s="43" t="s">
        <v>2617</v>
      </c>
      <c r="AI32" s="63">
        <f t="shared" si="6"/>
        <v>6.2130177514792898E-3</v>
      </c>
      <c r="AJ32" s="284">
        <f>RTD("money.excel",,$G32,"PredictVolume")</f>
        <v>210</v>
      </c>
      <c r="AK32" s="399">
        <f>IFERROR(VLOOKUP($G32,基本資料!$A:$M,13,0),"無")</f>
        <v>2.5</v>
      </c>
    </row>
    <row r="33" spans="1:38">
      <c r="A33" s="347">
        <f>IFERROR(VLOOKUP($G33,基本資料!$A:$J,3,0),"無")</f>
        <v>3.68</v>
      </c>
      <c r="B33" s="79">
        <f>IFERROR(VLOOKUP($G33,基本資料!$A:$J,4,0),"無")</f>
        <v>321</v>
      </c>
      <c r="C33" s="79">
        <f>IFERROR(VLOOKUP($G33,基本資料!$A:$J,5,0),"無")</f>
        <v>522</v>
      </c>
      <c r="D33" s="79">
        <f>IFERROR(VLOOKUP($G33,基本資料!$A:$J,6,0),"無")</f>
        <v>20</v>
      </c>
      <c r="E33" s="79">
        <f>IFERROR(VLOOKUP($G33,基本資料!$A:$J,7,0),"無")</f>
        <v>7</v>
      </c>
      <c r="F33" s="6">
        <f>IFERROR(VLOOKUP($G33,基本資料!$A:$J,8,0),"無")</f>
        <v>4.95</v>
      </c>
      <c r="G33" s="79">
        <v>1258</v>
      </c>
      <c r="H33" s="8" t="s">
        <v>292</v>
      </c>
      <c r="I33" s="16" t="s">
        <v>137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340" t="str">
        <f>IFERROR(VLOOKUP($G33,今日總結!$A:$AJ,34,0),"")</f>
        <v/>
      </c>
      <c r="N33" s="240" t="str">
        <f t="shared" si="10"/>
        <v/>
      </c>
      <c r="P33" s="365">
        <f>IFERROR(VLOOKUP($G33,融外自投!$A:$J,7,0),"無")</f>
        <v>926</v>
      </c>
      <c r="Q33" s="79">
        <f>IFERROR(VLOOKUP($G33,融外自投!$A:$J,9,0),"無")</f>
        <v>1110</v>
      </c>
      <c r="R33" s="346">
        <f>IFERROR(VLOOKUP($G33,融外自投!$A:$J,8,0),"無")</f>
        <v>21</v>
      </c>
      <c r="S33" s="81" t="str">
        <f>IFERROR(VLOOKUP($G33,融外自投!$A:$J,10,0),"無")</f>
        <v>無</v>
      </c>
      <c r="T33" s="327">
        <f>IFERROR(VLOOKUP($G33,'321買'!$A:$E,5,0),"'沒有資料'")</f>
        <v>1296</v>
      </c>
      <c r="U33" s="186">
        <f>IFERROR(VLOOKUP($G33,基本資料!$A:$J,9,0),"無")</f>
        <v>0</v>
      </c>
      <c r="V33" s="310">
        <f t="shared" si="8"/>
        <v>0</v>
      </c>
      <c r="W33" s="94">
        <f>IFERROR(VLOOKUP($G33,基本資料!$A:$J,10,0),"無")</f>
        <v>2</v>
      </c>
      <c r="X33" s="36">
        <f>RTD("money.excel",,$G33,"Price")</f>
        <v>25.05</v>
      </c>
      <c r="Y33" s="66"/>
      <c r="Z33" s="15">
        <f t="shared" si="4"/>
        <v>25.05</v>
      </c>
      <c r="AA33" s="3" t="e">
        <f t="shared" si="5"/>
        <v>#DIV/0!</v>
      </c>
      <c r="AB33" s="344">
        <f>IFERROR(VLOOKUP($G33,基本資料!$A:$M,11,0),"無")</f>
        <v>-15.25</v>
      </c>
      <c r="AC33" s="397">
        <f>IFERROR(VLOOKUP($G33,基本資料!$A:$M,12,0),"無")</f>
        <v>65.989999999999995</v>
      </c>
      <c r="AD33" s="16" t="s">
        <v>137</v>
      </c>
      <c r="AG33" s="33">
        <v>0</v>
      </c>
      <c r="AH33" s="117" t="s">
        <v>2639</v>
      </c>
      <c r="AI33" s="63">
        <f t="shared" si="6"/>
        <v>1.4510869565217391E-2</v>
      </c>
      <c r="AJ33" s="284">
        <f>RTD("money.excel",,$G33,"PredictVolume")</f>
        <v>534</v>
      </c>
      <c r="AK33" s="399">
        <f>IFERROR(VLOOKUP($G33,基本資料!$A:$M,13,0),"無")</f>
        <v>5.35</v>
      </c>
    </row>
    <row r="34" spans="1:38">
      <c r="A34" s="347">
        <f>IFERROR(VLOOKUP($G34,基本資料!$A:$J,3,0),"無")</f>
        <v>3.7</v>
      </c>
      <c r="B34" s="79">
        <f>IFERROR(VLOOKUP($G34,基本資料!$A:$J,4,0),"無")</f>
        <v>13</v>
      </c>
      <c r="C34" s="79">
        <f>IFERROR(VLOOKUP($G34,基本資料!$A:$J,5,0),"無")</f>
        <v>17</v>
      </c>
      <c r="D34" s="79">
        <f>IFERROR(VLOOKUP($G34,基本資料!$A:$J,6,0),"無")</f>
        <v>5</v>
      </c>
      <c r="E34" s="79">
        <f>IFERROR(VLOOKUP($G34,基本資料!$A:$J,7,0),"無")</f>
        <v>9</v>
      </c>
      <c r="F34" s="6">
        <f>IFERROR(VLOOKUP($G34,基本資料!$A:$J,8,0),"無")</f>
        <v>19.170000000000002</v>
      </c>
      <c r="G34" s="79">
        <v>1264</v>
      </c>
      <c r="H34" s="8" t="s">
        <v>292</v>
      </c>
      <c r="I34" s="16" t="s">
        <v>769</v>
      </c>
      <c r="J34" s="8" t="str">
        <f>IFERROR(VLOOKUP($G34,今日總結!$A:$AJ,35,0),"")</f>
        <v/>
      </c>
      <c r="K34" s="5" t="str">
        <f>IFERROR(VLOOKUP($G34,今日總結!$A:$AJ,36,0),"")</f>
        <v/>
      </c>
      <c r="L34" s="156" t="str">
        <f>IFERROR(VLOOKUP($G34,今日總結!$A:$AJ,33,0),"")</f>
        <v/>
      </c>
      <c r="M34" s="340" t="str">
        <f>IFERROR(VLOOKUP($G34,今日總結!$A:$AJ,34,0),"")</f>
        <v/>
      </c>
      <c r="N34" s="240" t="str">
        <f t="shared" si="10"/>
        <v/>
      </c>
      <c r="P34" s="365">
        <f>IFERROR(VLOOKUP($G34,融外自投!$A:$J,7,0),"無")</f>
        <v>1428</v>
      </c>
      <c r="Q34" s="79">
        <f>IFERROR(VLOOKUP($G34,融外自投!$A:$J,9,0),"無")</f>
        <v>88</v>
      </c>
      <c r="R34" s="346">
        <f>IFERROR(VLOOKUP($G34,融外自投!$A:$J,8,0),"無")</f>
        <v>734</v>
      </c>
      <c r="S34" s="81" t="str">
        <f>IFERROR(VLOOKUP($G34,融外自投!$A:$J,10,0),"無")</f>
        <v>無</v>
      </c>
      <c r="T34" s="327">
        <f>IFERROR(VLOOKUP($G34,'321買'!$A:$E,5,0),"'沒有資料'")</f>
        <v>1383</v>
      </c>
      <c r="U34" s="186">
        <f>IFERROR(VLOOKUP($G34,基本資料!$A:$J,9,0),"無")</f>
        <v>12</v>
      </c>
      <c r="V34" s="310">
        <f t="shared" si="8"/>
        <v>4.3478260869565216E-2</v>
      </c>
      <c r="W34" s="94">
        <f>IFERROR(VLOOKUP($G34,基本資料!$A:$J,10,0),"無")</f>
        <v>16.190000000000001</v>
      </c>
      <c r="X34" s="36">
        <f>RTD("money.excel",,$G34,"Price")</f>
        <v>276</v>
      </c>
      <c r="Y34" s="66"/>
      <c r="Z34" s="15">
        <f t="shared" si="4"/>
        <v>276</v>
      </c>
      <c r="AA34" s="3" t="e">
        <f t="shared" si="5"/>
        <v>#DIV/0!</v>
      </c>
      <c r="AB34" s="344">
        <f>IFERROR(VLOOKUP($G34,基本資料!$A:$M,11,0),"無")</f>
        <v>-21.44</v>
      </c>
      <c r="AC34" s="397">
        <f>IFERROR(VLOOKUP($G34,基本資料!$A:$M,12,0),"無")</f>
        <v>19.25</v>
      </c>
      <c r="AD34" s="16" t="s">
        <v>769</v>
      </c>
      <c r="AG34" s="33">
        <v>0</v>
      </c>
      <c r="AH34" s="43" t="s">
        <v>2640</v>
      </c>
      <c r="AI34" s="63">
        <f t="shared" si="6"/>
        <v>1.6216216216216215E-4</v>
      </c>
      <c r="AJ34" s="284">
        <f>RTD("money.excel",,$G34,"PredictVolume")</f>
        <v>6</v>
      </c>
      <c r="AK34" s="399">
        <f>IFERROR(VLOOKUP($G34,基本資料!$A:$M,13,0),"無")</f>
        <v>0.43</v>
      </c>
    </row>
    <row r="35" spans="1:38">
      <c r="A35" s="347">
        <f>IFERROR(VLOOKUP($G35,基本資料!$A:$J,3,0),"無")</f>
        <v>29.41</v>
      </c>
      <c r="B35" s="79">
        <f>IFERROR(VLOOKUP($G35,基本資料!$A:$J,4,0),"無")</f>
        <v>24</v>
      </c>
      <c r="C35" s="79">
        <f>IFERROR(VLOOKUP($G35,基本資料!$A:$J,5,0),"無")</f>
        <v>6</v>
      </c>
      <c r="D35" s="79">
        <f>IFERROR(VLOOKUP($G35,基本資料!$A:$J,6,0),"無")</f>
        <v>33</v>
      </c>
      <c r="E35" s="79">
        <f>IFERROR(VLOOKUP($G35,基本資料!$A:$J,7,0),"無")</f>
        <v>-1</v>
      </c>
      <c r="F35" s="6">
        <f>IFERROR(VLOOKUP($G35,基本資料!$A:$J,8,0),"無")</f>
        <v>9</v>
      </c>
      <c r="G35" s="79">
        <v>1702</v>
      </c>
      <c r="H35" s="17" t="s">
        <v>292</v>
      </c>
      <c r="I35" s="153" t="s">
        <v>6</v>
      </c>
      <c r="J35" s="8">
        <f>IFERROR(VLOOKUP($G35,今日總結!$A:$AJ,35,0),"")</f>
        <v>0</v>
      </c>
      <c r="K35" s="5" t="str">
        <f>IFERROR(VLOOKUP($G35,今日總結!$A:$AJ,36,0),"")</f>
        <v>外</v>
      </c>
      <c r="L35" s="156">
        <f>IFERROR(VLOOKUP($G35,今日總結!$A:$AJ,33,0),"")</f>
        <v>0</v>
      </c>
      <c r="M35" s="340">
        <f>IFERROR(VLOOKUP($G35,今日總結!$A:$AJ,34,0),"")</f>
        <v>1</v>
      </c>
      <c r="N35" s="240">
        <f t="shared" si="10"/>
        <v>-1</v>
      </c>
      <c r="P35" s="365">
        <f>IFERROR(VLOOKUP($G35,融外自投!$A:$J,7,0),"無")</f>
        <v>1198</v>
      </c>
      <c r="Q35" s="79">
        <f>IFERROR(VLOOKUP($G35,融外自投!$A:$J,9,0),"無")</f>
        <v>896</v>
      </c>
      <c r="R35" s="346">
        <f>IFERROR(VLOOKUP($G35,融外自投!$A:$J,8,0),"無")</f>
        <v>366</v>
      </c>
      <c r="S35" s="81">
        <f>IFERROR(VLOOKUP($G35,融外自投!$A:$J,10,0),"無")</f>
        <v>491</v>
      </c>
      <c r="T35" s="327">
        <f>IFERROR(VLOOKUP($G35,'321買'!$A:$E,5,0),"'沒有資料'")</f>
        <v>634</v>
      </c>
      <c r="U35" s="186">
        <f>IFERROR(VLOOKUP($G35,基本資料!$A:$J,9,0),"無")</f>
        <v>2.2000000000000002</v>
      </c>
      <c r="V35" s="310">
        <f t="shared" si="8"/>
        <v>4.7670639219935002E-2</v>
      </c>
      <c r="W35" s="94">
        <f>IFERROR(VLOOKUP($G35,基本資料!$A:$J,10,0),"無")</f>
        <v>4.32</v>
      </c>
      <c r="X35" s="36">
        <f>RTD("money.excel",,"1702","Price")</f>
        <v>46.15</v>
      </c>
      <c r="Y35" s="66"/>
      <c r="Z35" s="15">
        <f t="shared" si="4"/>
        <v>46.15</v>
      </c>
      <c r="AA35" s="3" t="e">
        <f t="shared" si="5"/>
        <v>#DIV/0!</v>
      </c>
      <c r="AB35" s="344">
        <f>IFERROR(VLOOKUP($G35,基本資料!$A:$M,11,0),"無")</f>
        <v>-15.49</v>
      </c>
      <c r="AC35" s="397">
        <f>IFERROR(VLOOKUP($G35,基本資料!$A:$M,12,0),"無")</f>
        <v>22.17</v>
      </c>
      <c r="AD35" s="22" t="s">
        <v>6</v>
      </c>
      <c r="AG35" s="33">
        <v>0</v>
      </c>
      <c r="AH35" s="43" t="s">
        <v>2618</v>
      </c>
      <c r="AI35" s="63">
        <f t="shared" si="6"/>
        <v>9.3845630737844274E-4</v>
      </c>
      <c r="AJ35" s="284">
        <f>RTD("money.excel",,$G35,"PredictVolume")</f>
        <v>276</v>
      </c>
      <c r="AK35" s="399">
        <f>IFERROR(VLOOKUP($G35,基本資料!$A:$M,13,0),"無")</f>
        <v>2.6</v>
      </c>
    </row>
    <row r="36" spans="1:38">
      <c r="A36" s="347">
        <f>IFERROR(VLOOKUP($G36,基本資料!$A:$J,3,0),"無")</f>
        <v>20</v>
      </c>
      <c r="B36" s="79">
        <f>IFERROR(VLOOKUP($G36,基本資料!$A:$J,4,0),"無")</f>
        <v>10</v>
      </c>
      <c r="C36" s="79">
        <f>IFERROR(VLOOKUP($G36,基本資料!$A:$J,5,0),"無")</f>
        <v>14</v>
      </c>
      <c r="D36" s="79">
        <f>IFERROR(VLOOKUP($G36,基本資料!$A:$J,6,0),"無")</f>
        <v>-19</v>
      </c>
      <c r="E36" s="79">
        <f>IFERROR(VLOOKUP($G36,基本資料!$A:$J,7,0),"無")</f>
        <v>-3</v>
      </c>
      <c r="F36" s="6">
        <f>IFERROR(VLOOKUP($G36,基本資料!$A:$J,8,0),"無")</f>
        <v>12.92</v>
      </c>
      <c r="G36" s="79">
        <v>1737</v>
      </c>
      <c r="H36" s="8" t="s">
        <v>292</v>
      </c>
      <c r="I36" s="22" t="s">
        <v>789</v>
      </c>
      <c r="J36" s="8">
        <f>IFERROR(VLOOKUP($G36,今日總結!$A:$AJ,35,0),"")</f>
        <v>0</v>
      </c>
      <c r="K36" s="5">
        <f>IFERROR(VLOOKUP($G36,今日總結!$A:$AJ,36,0),"")</f>
        <v>0</v>
      </c>
      <c r="L36" s="156">
        <f>IFERROR(VLOOKUP($G36,今日總結!$A:$AJ,33,0),"")</f>
        <v>0</v>
      </c>
      <c r="M36" s="340">
        <f>IFERROR(VLOOKUP($G36,今日總結!$A:$AJ,34,0),"")</f>
        <v>1</v>
      </c>
      <c r="N36" s="240">
        <f t="shared" si="10"/>
        <v>-1</v>
      </c>
      <c r="P36" s="365">
        <f>IFERROR(VLOOKUP($G36,融外自投!$A:$J,7,0),"無")</f>
        <v>1298</v>
      </c>
      <c r="Q36" s="79">
        <f>IFERROR(VLOOKUP($G36,融外自投!$A:$J,9,0),"無")</f>
        <v>75</v>
      </c>
      <c r="R36" s="346">
        <f>IFERROR(VLOOKUP($G36,融外自投!$A:$J,8,0),"無")</f>
        <v>527</v>
      </c>
      <c r="S36" s="81" t="str">
        <f>IFERROR(VLOOKUP($G36,融外自投!$A:$J,10,0),"無")</f>
        <v>無</v>
      </c>
      <c r="T36" s="327">
        <f>IFERROR(VLOOKUP($G36,'321買'!$A:$E,5,0),"'沒有資料'")</f>
        <v>915</v>
      </c>
      <c r="U36" s="186">
        <f>IFERROR(VLOOKUP($G36,基本資料!$A:$J,9,0),"無")</f>
        <v>1.5</v>
      </c>
      <c r="V36" s="310">
        <f t="shared" si="8"/>
        <v>4.4510385756676554E-2</v>
      </c>
      <c r="W36" s="94">
        <f>IFERROR(VLOOKUP($G36,基本資料!$A:$J,10,0),"無")</f>
        <v>1.97</v>
      </c>
      <c r="X36" s="36">
        <f>RTD("money.excel",,$G36,"Price")</f>
        <v>33.700000000000003</v>
      </c>
      <c r="Y36" s="66"/>
      <c r="Z36" s="15">
        <f t="shared" si="4"/>
        <v>33.700000000000003</v>
      </c>
      <c r="AA36" s="3" t="e">
        <f t="shared" si="5"/>
        <v>#DIV/0!</v>
      </c>
      <c r="AB36" s="344">
        <f>IFERROR(VLOOKUP($G36,基本資料!$A:$M,11,0),"無")</f>
        <v>-4.6500000000000004</v>
      </c>
      <c r="AC36" s="397">
        <f>IFERROR(VLOOKUP($G36,基本資料!$A:$M,12,0),"無")</f>
        <v>43.05</v>
      </c>
      <c r="AD36" s="22" t="s">
        <v>789</v>
      </c>
      <c r="AG36" s="33">
        <v>0</v>
      </c>
      <c r="AH36" s="43" t="s">
        <v>2619</v>
      </c>
      <c r="AI36" s="63">
        <f t="shared" si="6"/>
        <v>6.8999999999999997E-4</v>
      </c>
      <c r="AJ36" s="284">
        <f>RTD("money.excel",,$G36,"PredictVolume")</f>
        <v>138</v>
      </c>
      <c r="AK36" s="399">
        <f>IFERROR(VLOOKUP($G36,基本資料!$A:$M,13,0),"無")</f>
        <v>2.04</v>
      </c>
    </row>
    <row r="37" spans="1:38">
      <c r="A37" s="347">
        <f>IFERROR(VLOOKUP($G37,基本資料!$A:$J,3,0),"無")</f>
        <v>4.1399999999999997</v>
      </c>
      <c r="B37" s="79">
        <f>IFERROR(VLOOKUP($G37,基本資料!$A:$J,4,0),"無")</f>
        <v>1167</v>
      </c>
      <c r="C37" s="79">
        <f>IFERROR(VLOOKUP($G37,基本資料!$A:$J,5,0),"無")</f>
        <v>360</v>
      </c>
      <c r="D37" s="79">
        <f>IFERROR(VLOOKUP($G37,基本資料!$A:$J,6,0),"無")</f>
        <v>-2</v>
      </c>
      <c r="E37" s="79">
        <f>IFERROR(VLOOKUP($G37,基本資料!$A:$J,7,0),"無")</f>
        <v>21</v>
      </c>
      <c r="F37" s="6">
        <f>IFERROR(VLOOKUP($G37,基本資料!$A:$J,8,0),"無")</f>
        <v>15.09</v>
      </c>
      <c r="G37" s="79">
        <v>1796</v>
      </c>
      <c r="H37" s="8" t="s">
        <v>292</v>
      </c>
      <c r="I37" s="16" t="s">
        <v>1114</v>
      </c>
      <c r="J37" s="8" t="str">
        <f>IFERROR(VLOOKUP($G37,今日總結!$A:$AJ,35,0),"")</f>
        <v/>
      </c>
      <c r="K37" s="5" t="str">
        <f>IFERROR(VLOOKUP($G37,今日總結!$A:$AJ,36,0),"")</f>
        <v/>
      </c>
      <c r="L37" s="156" t="str">
        <f>IFERROR(VLOOKUP($G37,今日總結!$A:$AJ,33,0),"")</f>
        <v/>
      </c>
      <c r="M37" s="340" t="str">
        <f>IFERROR(VLOOKUP($G37,今日總結!$A:$AJ,34,0),"")</f>
        <v/>
      </c>
      <c r="N37" s="240" t="str">
        <f t="shared" si="10"/>
        <v/>
      </c>
      <c r="P37" s="365">
        <f>IFERROR(VLOOKUP($G37,融外自投!$A:$J,7,0),"無")</f>
        <v>1448</v>
      </c>
      <c r="Q37" s="79">
        <f>IFERROR(VLOOKUP($G37,融外自投!$A:$J,9,0),"無")</f>
        <v>1110</v>
      </c>
      <c r="R37" s="346">
        <f>IFERROR(VLOOKUP($G37,融外自投!$A:$J,8,0),"無")</f>
        <v>1318</v>
      </c>
      <c r="S37" s="81" t="str">
        <f>IFERROR(VLOOKUP($G37,融外自投!$A:$J,10,0),"無")</f>
        <v>無</v>
      </c>
      <c r="T37" s="327" t="str">
        <f>IFERROR(VLOOKUP($G37,'321買'!$A:$E,5,0),"'沒有資料'")</f>
        <v>'沒有資料'</v>
      </c>
      <c r="U37" s="186">
        <f>IFERROR(VLOOKUP($G37,基本資料!$A:$J,9,0),"無")</f>
        <v>1</v>
      </c>
      <c r="V37" s="310">
        <f t="shared" si="8"/>
        <v>2.247191011235955E-2</v>
      </c>
      <c r="W37" s="94">
        <f>IFERROR(VLOOKUP($G37,基本資料!$A:$J,10,0),"無")</f>
        <v>1.45</v>
      </c>
      <c r="X37" s="36">
        <f>RTD("money.excel",,$G37,"Price")</f>
        <v>44.5</v>
      </c>
      <c r="Y37" s="66"/>
      <c r="Z37" s="15">
        <f t="shared" si="4"/>
        <v>44.5</v>
      </c>
      <c r="AA37" s="3" t="e">
        <f t="shared" si="5"/>
        <v>#DIV/0!</v>
      </c>
      <c r="AB37" s="344">
        <f>IFERROR(VLOOKUP($G37,基本資料!$A:$M,11,0),"無")</f>
        <v>-9.44</v>
      </c>
      <c r="AC37" s="397">
        <f>IFERROR(VLOOKUP($G37,基本資料!$A:$M,12,0),"無")</f>
        <v>34.770000000000003</v>
      </c>
      <c r="AD37" s="16" t="s">
        <v>1114</v>
      </c>
      <c r="AG37" s="33">
        <v>0</v>
      </c>
      <c r="AH37" s="43" t="s">
        <v>2451</v>
      </c>
      <c r="AI37" s="63">
        <f t="shared" si="6"/>
        <v>1.0628019323671498E-3</v>
      </c>
      <c r="AJ37" s="284">
        <f>RTD("money.excel",,$G37,"PredictVolume")</f>
        <v>44</v>
      </c>
      <c r="AK37" s="399">
        <f>IFERROR(VLOOKUP($G37,基本資料!$A:$M,13,0),"無")</f>
        <v>1.45</v>
      </c>
    </row>
    <row r="38" spans="1:38">
      <c r="A38" s="347">
        <f>IFERROR(VLOOKUP($G38,基本資料!$A:$J,3,0),"無")</f>
        <v>8.8699999999999992</v>
      </c>
      <c r="B38" s="79">
        <f>IFERROR(VLOOKUP($G38,基本資料!$A:$J,4,0),"無")</f>
        <v>-1</v>
      </c>
      <c r="C38" s="79">
        <f>IFERROR(VLOOKUP($G38,基本資料!$A:$J,5,0),"無")</f>
        <v>1</v>
      </c>
      <c r="D38" s="79">
        <f>IFERROR(VLOOKUP($G38,基本資料!$A:$J,6,0),"無")</f>
        <v>-9</v>
      </c>
      <c r="E38" s="79">
        <f>IFERROR(VLOOKUP($G38,基本資料!$A:$J,7,0),"無")</f>
        <v>-1</v>
      </c>
      <c r="F38" s="6">
        <f>IFERROR(VLOOKUP($G38,基本資料!$A:$J,8,0),"無")</f>
        <v>24.16</v>
      </c>
      <c r="G38" s="79">
        <v>4205</v>
      </c>
      <c r="H38" s="8" t="s">
        <v>292</v>
      </c>
      <c r="I38" s="16" t="s">
        <v>770</v>
      </c>
      <c r="J38" s="8">
        <f>IFERROR(VLOOKUP($G38,今日總結!$A:$AJ,35,0),"")</f>
        <v>0</v>
      </c>
      <c r="K38" s="5">
        <f>IFERROR(VLOOKUP($G38,今日總結!$A:$AJ,36,0),"")</f>
        <v>0</v>
      </c>
      <c r="L38" s="156">
        <f>IFERROR(VLOOKUP($G38,今日總結!$A:$AJ,33,0),"")</f>
        <v>0</v>
      </c>
      <c r="M38" s="340">
        <f>IFERROR(VLOOKUP($G38,今日總結!$A:$AJ,34,0),"")</f>
        <v>1</v>
      </c>
      <c r="N38" s="240">
        <f t="shared" si="10"/>
        <v>-1</v>
      </c>
      <c r="P38" s="365">
        <f>IFERROR(VLOOKUP($G38,融外自投!$A:$J,7,0),"無")</f>
        <v>1466</v>
      </c>
      <c r="Q38" s="79" t="str">
        <f>IFERROR(VLOOKUP($G38,融外自投!$A:$J,9,0),"無")</f>
        <v>無</v>
      </c>
      <c r="R38" s="346">
        <f>IFERROR(VLOOKUP($G38,融外自投!$A:$J,8,0),"無")</f>
        <v>1336</v>
      </c>
      <c r="S38" s="81" t="str">
        <f>IFERROR(VLOOKUP($G38,融外自投!$A:$J,10,0),"無")</f>
        <v>無</v>
      </c>
      <c r="T38" s="327">
        <f>IFERROR(VLOOKUP($G38,'321買'!$A:$E,5,0),"'沒有資料'")</f>
        <v>1310</v>
      </c>
      <c r="U38" s="186">
        <f>IFERROR(VLOOKUP($G38,基本資料!$A:$J,9,0),"無")</f>
        <v>3</v>
      </c>
      <c r="V38" s="310">
        <f t="shared" si="8"/>
        <v>2.8037383177570093E-2</v>
      </c>
      <c r="W38" s="94">
        <f>IFERROR(VLOOKUP($G38,基本資料!$A:$J,10,0),"無")</f>
        <v>3.76</v>
      </c>
      <c r="X38" s="36">
        <f>RTD("money.excel",,$G38,"Price")</f>
        <v>107</v>
      </c>
      <c r="Y38" s="66"/>
      <c r="Z38" s="15">
        <f t="shared" si="4"/>
        <v>107</v>
      </c>
      <c r="AA38" s="3" t="e">
        <f t="shared" si="5"/>
        <v>#DIV/0!</v>
      </c>
      <c r="AB38" s="344">
        <f>IFERROR(VLOOKUP($G38,基本資料!$A:$M,11,0),"無")</f>
        <v>-28.25</v>
      </c>
      <c r="AC38" s="397">
        <f>IFERROR(VLOOKUP($G38,基本資料!$A:$M,12,0),"無")</f>
        <v>16.41</v>
      </c>
      <c r="AD38" s="16" t="s">
        <v>770</v>
      </c>
      <c r="AG38" s="33">
        <v>0</v>
      </c>
      <c r="AH38" s="43" t="s">
        <v>2641</v>
      </c>
      <c r="AI38" s="63">
        <f t="shared" si="6"/>
        <v>1.9165727170236755E-4</v>
      </c>
      <c r="AJ38" s="284">
        <f>RTD("money.excel",,$G38,"PredictVolume")</f>
        <v>17</v>
      </c>
      <c r="AK38" s="399">
        <f>IFERROR(VLOOKUP($G38,基本資料!$A:$M,13,0),"無")</f>
        <v>0.35</v>
      </c>
    </row>
    <row r="39" spans="1:38">
      <c r="A39" s="347">
        <f>IFERROR(VLOOKUP($G39,基本資料!$A:$J,3,0),"無")</f>
        <v>16.2</v>
      </c>
      <c r="B39" s="79">
        <f>IFERROR(VLOOKUP($G39,基本資料!$A:$J,4,0),"無")</f>
        <v>157</v>
      </c>
      <c r="C39" s="79">
        <f>IFERROR(VLOOKUP($G39,基本資料!$A:$J,5,0),"無")</f>
        <v>0</v>
      </c>
      <c r="D39" s="79">
        <f>IFERROR(VLOOKUP($G39,基本資料!$A:$J,6,0),"無")</f>
        <v>2</v>
      </c>
      <c r="E39" s="79">
        <f>IFERROR(VLOOKUP($G39,基本資料!$A:$J,7,0),"無")</f>
        <v>32</v>
      </c>
      <c r="F39" s="6">
        <f>IFERROR(VLOOKUP($G39,基本資料!$A:$J,8,0),"無")</f>
        <v>6.84</v>
      </c>
      <c r="G39" s="79">
        <v>4207</v>
      </c>
      <c r="H39" s="8" t="s">
        <v>292</v>
      </c>
      <c r="I39" s="16" t="s">
        <v>771</v>
      </c>
      <c r="J39" s="8">
        <f>IFERROR(VLOOKUP($G39,今日總結!$A:$AJ,35,0),"")</f>
        <v>0</v>
      </c>
      <c r="K39" s="5" t="str">
        <f>IFERROR(VLOOKUP($G39,今日總結!$A:$AJ,36,0),"")</f>
        <v>借</v>
      </c>
      <c r="L39" s="156">
        <f>IFERROR(VLOOKUP($G39,今日總結!$A:$AJ,33,0),"")</f>
        <v>0</v>
      </c>
      <c r="M39" s="340">
        <f>IFERROR(VLOOKUP($G39,今日總結!$A:$AJ,34,0),"")</f>
        <v>1</v>
      </c>
      <c r="N39" s="240">
        <f t="shared" si="10"/>
        <v>-1</v>
      </c>
      <c r="P39" s="365">
        <f>IFERROR(VLOOKUP($G39,融外自投!$A:$J,7,0),"無")</f>
        <v>688</v>
      </c>
      <c r="Q39" s="79" t="str">
        <f>IFERROR(VLOOKUP($G39,融外自投!$A:$J,9,0),"無")</f>
        <v>無</v>
      </c>
      <c r="R39" s="346">
        <f>IFERROR(VLOOKUP($G39,融外自投!$A:$J,8,0),"無")</f>
        <v>1308</v>
      </c>
      <c r="S39" s="81" t="str">
        <f>IFERROR(VLOOKUP($G39,融外自投!$A:$J,10,0),"無")</f>
        <v>無</v>
      </c>
      <c r="T39" s="327">
        <f>IFERROR(VLOOKUP($G39,'321買'!$A:$E,5,0),"'沒有資料'")</f>
        <v>1198</v>
      </c>
      <c r="U39" s="186">
        <f>IFERROR(VLOOKUP($G39,基本資料!$A:$J,9,0),"無")</f>
        <v>1.25</v>
      </c>
      <c r="V39" s="310">
        <f t="shared" si="8"/>
        <v>8.2236842105263164E-2</v>
      </c>
      <c r="W39" s="94">
        <f>IFERROR(VLOOKUP($G39,基本資料!$A:$J,10,0),"無")</f>
        <v>2.25</v>
      </c>
      <c r="X39" s="36">
        <f>RTD("money.excel",,$G39,"Price")</f>
        <v>15.2</v>
      </c>
      <c r="Y39" s="66"/>
      <c r="Z39" s="15">
        <f t="shared" si="4"/>
        <v>15.2</v>
      </c>
      <c r="AA39" s="3" t="e">
        <f t="shared" si="5"/>
        <v>#DIV/0!</v>
      </c>
      <c r="AB39" s="344">
        <f>IFERROR(VLOOKUP($G39,基本資料!$A:$M,11,0),"無")</f>
        <v>-18.78</v>
      </c>
      <c r="AC39" s="397">
        <f>IFERROR(VLOOKUP($G39,基本資料!$A:$M,12,0),"無")</f>
        <v>43.17</v>
      </c>
      <c r="AD39" s="16" t="s">
        <v>771</v>
      </c>
      <c r="AG39" s="33">
        <v>0</v>
      </c>
      <c r="AH39" s="43" t="s">
        <v>2642</v>
      </c>
      <c r="AI39" s="63">
        <f t="shared" si="6"/>
        <v>8.9876543209876543E-3</v>
      </c>
      <c r="AJ39" s="284">
        <f>RTD("money.excel",,$G39,"PredictVolume")</f>
        <v>1456</v>
      </c>
      <c r="AK39" s="399">
        <f>IFERROR(VLOOKUP($G39,基本資料!$A:$M,13,0),"無")</f>
        <v>13.83</v>
      </c>
    </row>
    <row r="40" spans="1:38">
      <c r="A40" s="142"/>
      <c r="B40" s="90"/>
      <c r="C40" s="90"/>
      <c r="D40" s="90"/>
      <c r="E40" s="136"/>
      <c r="F40" s="73"/>
      <c r="G40" s="79"/>
      <c r="H40" s="8"/>
      <c r="I40" s="16"/>
      <c r="L40" s="2"/>
      <c r="O40" s="248"/>
      <c r="Q40" s="293"/>
      <c r="S40" s="26"/>
      <c r="U40" s="34"/>
      <c r="V40" s="308"/>
      <c r="W40" s="94"/>
      <c r="X40" s="36"/>
      <c r="Y40" s="66"/>
      <c r="Z40" s="15"/>
      <c r="AA40" s="3"/>
      <c r="AD40" s="16"/>
      <c r="AG40" s="33"/>
      <c r="AH40" s="43"/>
      <c r="AI40" s="63"/>
      <c r="AJ40" s="284"/>
    </row>
    <row r="41" spans="1:38">
      <c r="A41" s="127" t="s">
        <v>1673</v>
      </c>
      <c r="B41" s="90" t="s">
        <v>1572</v>
      </c>
      <c r="C41" s="90" t="s">
        <v>1573</v>
      </c>
      <c r="D41" s="90" t="s">
        <v>1574</v>
      </c>
      <c r="E41" s="90" t="s">
        <v>1575</v>
      </c>
      <c r="F41" s="8" t="s">
        <v>1060</v>
      </c>
      <c r="G41" s="27" t="s">
        <v>588</v>
      </c>
      <c r="H41" s="55" t="s">
        <v>320</v>
      </c>
      <c r="I41" s="50" t="s">
        <v>3329</v>
      </c>
      <c r="J41" s="8" t="s">
        <v>6221</v>
      </c>
      <c r="K41" s="5" t="s">
        <v>6222</v>
      </c>
      <c r="L41" s="337" t="s">
        <v>6206</v>
      </c>
      <c r="M41" s="338" t="s">
        <v>6207</v>
      </c>
      <c r="N41" s="339" t="s">
        <v>6208</v>
      </c>
      <c r="O41" s="4" t="s">
        <v>6713</v>
      </c>
      <c r="P41" s="89" t="s">
        <v>6285</v>
      </c>
      <c r="Q41" s="293" t="s">
        <v>6284</v>
      </c>
      <c r="R41" s="354" t="s">
        <v>6283</v>
      </c>
      <c r="S41" s="26" t="s">
        <v>6286</v>
      </c>
      <c r="T41" s="321" t="s">
        <v>4716</v>
      </c>
      <c r="U41" s="10" t="s">
        <v>66</v>
      </c>
      <c r="V41" s="308" t="s">
        <v>4731</v>
      </c>
      <c r="W41" s="68" t="s">
        <v>3273</v>
      </c>
      <c r="X41" s="28" t="s">
        <v>2</v>
      </c>
      <c r="Y41" s="17" t="s">
        <v>1399</v>
      </c>
      <c r="Z41" s="14" t="s">
        <v>5</v>
      </c>
      <c r="AA41" s="21" t="s">
        <v>3</v>
      </c>
      <c r="AB41" s="96" t="s">
        <v>6174</v>
      </c>
      <c r="AC41" s="384" t="s">
        <v>6420</v>
      </c>
      <c r="AD41" s="50" t="s">
        <v>3329</v>
      </c>
      <c r="AE41" s="71" t="s">
        <v>1400</v>
      </c>
      <c r="AF41" s="72" t="s">
        <v>1157</v>
      </c>
      <c r="AG41" s="32" t="s">
        <v>1158</v>
      </c>
      <c r="AH41" s="25" t="s">
        <v>6209</v>
      </c>
      <c r="AI41" s="8" t="s">
        <v>6731</v>
      </c>
      <c r="AJ41" s="50" t="s">
        <v>3361</v>
      </c>
      <c r="AK41" s="44" t="s">
        <v>6730</v>
      </c>
      <c r="AL41" s="280"/>
    </row>
    <row r="42" spans="1:38">
      <c r="A42" s="347">
        <f>IFERROR(VLOOKUP($G42,基本資料!$A:$J,3,0),"無")</f>
        <v>636</v>
      </c>
      <c r="B42" s="79">
        <f>IFERROR(VLOOKUP($G42,基本資料!$A:$J,4,0),"無")</f>
        <v>256</v>
      </c>
      <c r="C42" s="79">
        <f>IFERROR(VLOOKUP($G42,基本資料!$A:$J,5,0),"無")</f>
        <v>251</v>
      </c>
      <c r="D42" s="79">
        <f>IFERROR(VLOOKUP($G42,基本資料!$A:$J,6,0),"無")</f>
        <v>-5</v>
      </c>
      <c r="E42" s="79">
        <f>IFERROR(VLOOKUP($G42,基本資料!$A:$J,7,0),"無")</f>
        <v>3</v>
      </c>
      <c r="F42" s="6">
        <f>IFERROR(VLOOKUP($G42,基本資料!$A:$J,8,0),"無")</f>
        <v>21.99</v>
      </c>
      <c r="G42" s="79">
        <v>1301</v>
      </c>
      <c r="H42" s="17" t="s">
        <v>3329</v>
      </c>
      <c r="I42" s="22" t="s">
        <v>67</v>
      </c>
      <c r="J42" s="8" t="str">
        <f>IFERROR(VLOOKUP($G42,今日總結!$A:$AJ,35,0),"")</f>
        <v>投</v>
      </c>
      <c r="K42" s="5">
        <f>IFERROR(VLOOKUP($G42,今日總結!$A:$AJ,36,0),"")</f>
        <v>0</v>
      </c>
      <c r="L42" s="156">
        <f>IFERROR(VLOOKUP($G42,今日總結!$A:$AJ,33,0),"")</f>
        <v>1</v>
      </c>
      <c r="M42" s="340">
        <f>IFERROR(VLOOKUP($G42,今日總結!$A:$AJ,34,0),"")</f>
        <v>0</v>
      </c>
      <c r="N42" s="240">
        <f>IFERROR(L42-M42,"")</f>
        <v>1</v>
      </c>
      <c r="P42" s="365">
        <f>IFERROR(VLOOKUP($G42,融外自投!$A:$J,7,0),"無")</f>
        <v>1420</v>
      </c>
      <c r="Q42" s="79">
        <f>IFERROR(VLOOKUP($G42,融外自投!$A:$J,9,0),"無")</f>
        <v>251</v>
      </c>
      <c r="R42" s="346">
        <f>IFERROR(VLOOKUP($G42,融外自投!$A:$J,8,0),"無")</f>
        <v>135</v>
      </c>
      <c r="S42" s="81">
        <f>IFERROR(VLOOKUP($G42,融外自投!$A:$J,10,0),"無")</f>
        <v>161</v>
      </c>
      <c r="T42" s="327">
        <f>IFERROR(VLOOKUP($G42,'321買'!$A:$E,5,0),"'沒有資料'")</f>
        <v>121</v>
      </c>
      <c r="U42" s="186">
        <f>IFERROR(VLOOKUP($G42,基本資料!$A:$J,9,0),"無")</f>
        <v>8.1999999999999993</v>
      </c>
      <c r="V42" s="310">
        <f>$U42/$X42</f>
        <v>8.039215686274509E-2</v>
      </c>
      <c r="W42" s="94">
        <f>IFERROR(VLOOKUP($G42,基本資料!$A:$J,10,0),"無")</f>
        <v>11.21</v>
      </c>
      <c r="X42" s="36">
        <f>RTD("money.excel",,$G42,"Price")</f>
        <v>102</v>
      </c>
      <c r="Y42" s="65"/>
      <c r="Z42" s="15">
        <f t="shared" ref="Z42" si="11">X42-Y42</f>
        <v>102</v>
      </c>
      <c r="AA42" s="3" t="e">
        <f t="shared" ref="AA42:AA67" si="12">Z42/Y42</f>
        <v>#DIV/0!</v>
      </c>
      <c r="AB42" s="344">
        <f>IFERROR(VLOOKUP($G42,基本資料!$A:$M,11,0),"無")</f>
        <v>-14.46</v>
      </c>
      <c r="AC42" s="397">
        <f>IFERROR(VLOOKUP($G42,基本資料!$A:$M,12,0),"無")</f>
        <v>30.6</v>
      </c>
      <c r="AD42" s="22" t="s">
        <v>67</v>
      </c>
      <c r="AG42" s="33">
        <f t="shared" ref="AG42:AG46" si="13">AF42-AE42</f>
        <v>0</v>
      </c>
      <c r="AH42" s="43" t="s">
        <v>3531</v>
      </c>
      <c r="AI42" s="63">
        <f t="shared" ref="AI42:AI67" si="14">AJ42/(A42*10000)</f>
        <v>9.6792452830188683E-4</v>
      </c>
      <c r="AJ42" s="284">
        <f>RTD("money.excel",,$G42,"PredictVolume")</f>
        <v>6156</v>
      </c>
      <c r="AK42" s="399">
        <f>IFERROR(VLOOKUP($G42,基本資料!$A:$M,13,0),"無")</f>
        <v>0.7</v>
      </c>
      <c r="AL42" s="245"/>
    </row>
    <row r="43" spans="1:38">
      <c r="A43" s="347">
        <f>IFERROR(VLOOKUP($G43,基本資料!$A:$J,3,0),"無")</f>
        <v>793</v>
      </c>
      <c r="B43" s="79">
        <f>IFERROR(VLOOKUP($G43,基本資料!$A:$J,4,0),"無")</f>
        <v>215</v>
      </c>
      <c r="C43" s="79">
        <f>IFERROR(VLOOKUP($G43,基本資料!$A:$J,5,0),"無")</f>
        <v>281</v>
      </c>
      <c r="D43" s="79">
        <f>IFERROR(VLOOKUP($G43,基本資料!$A:$J,6,0),"無")</f>
        <v>-19</v>
      </c>
      <c r="E43" s="79">
        <f>IFERROR(VLOOKUP($G43,基本資料!$A:$J,7,0),"無")</f>
        <v>-14</v>
      </c>
      <c r="F43" s="6">
        <f>IFERROR(VLOOKUP($G43,基本資料!$A:$J,8,0),"無")</f>
        <v>19.68</v>
      </c>
      <c r="G43" s="79">
        <v>1303</v>
      </c>
      <c r="H43" s="17" t="s">
        <v>3329</v>
      </c>
      <c r="I43" s="22" t="s">
        <v>1059</v>
      </c>
      <c r="J43" s="8" t="str">
        <f>IFERROR(VLOOKUP($G43,今日總結!$A:$AJ,35,0),"")</f>
        <v>投借</v>
      </c>
      <c r="K43" s="5">
        <f>IFERROR(VLOOKUP($G43,今日總結!$A:$AJ,36,0),"")</f>
        <v>0</v>
      </c>
      <c r="L43" s="156">
        <f>IFERROR(VLOOKUP($G43,今日總結!$A:$AJ,33,0),"")</f>
        <v>2</v>
      </c>
      <c r="M43" s="340">
        <f>IFERROR(VLOOKUP($G43,今日總結!$A:$AJ,34,0),"")</f>
        <v>1</v>
      </c>
      <c r="N43" s="240">
        <f t="shared" ref="N43:N67" si="15">IFERROR(L43-M43,"")</f>
        <v>1</v>
      </c>
      <c r="P43" s="365">
        <f>IFERROR(VLOOKUP($G43,融外自投!$A:$J,7,0),"無")</f>
        <v>1428</v>
      </c>
      <c r="Q43" s="79">
        <f>IFERROR(VLOOKUP($G43,融外自投!$A:$J,9,0),"無")</f>
        <v>296</v>
      </c>
      <c r="R43" s="346">
        <f>IFERROR(VLOOKUP($G43,融外自投!$A:$J,8,0),"無")</f>
        <v>164</v>
      </c>
      <c r="S43" s="81">
        <f>IFERROR(VLOOKUP($G43,融外自投!$A:$J,10,0),"無")</f>
        <v>162</v>
      </c>
      <c r="T43" s="327">
        <f>IFERROR(VLOOKUP($G43,'321買'!$A:$E,5,0),"'沒有資料'")</f>
        <v>16</v>
      </c>
      <c r="U43" s="186">
        <f>IFERROR(VLOOKUP($G43,基本資料!$A:$J,9,0),"無")</f>
        <v>7.5</v>
      </c>
      <c r="V43" s="310">
        <f t="shared" ref="V43:V106" si="16">$U43/$X43</f>
        <v>8.8862559241706149E-2</v>
      </c>
      <c r="W43" s="94">
        <f>IFERROR(VLOOKUP($G43,基本資料!$A:$J,10,0),"無")</f>
        <v>10.25</v>
      </c>
      <c r="X43" s="36">
        <f>RTD("money.excel",,$G43,"Price")</f>
        <v>84.4</v>
      </c>
      <c r="Y43" s="65"/>
      <c r="Z43" s="15">
        <f t="shared" ref="Z43:Z67" si="17">X43-Y43</f>
        <v>84.4</v>
      </c>
      <c r="AA43" s="3" t="e">
        <f t="shared" si="12"/>
        <v>#DIV/0!</v>
      </c>
      <c r="AB43" s="344">
        <f>IFERROR(VLOOKUP($G43,基本資料!$A:$M,11,0),"無")</f>
        <v>-9.89</v>
      </c>
      <c r="AC43" s="397">
        <f>IFERROR(VLOOKUP($G43,基本資料!$A:$M,12,0),"無")</f>
        <v>23.56</v>
      </c>
      <c r="AD43" s="22" t="s">
        <v>1059</v>
      </c>
      <c r="AG43" s="33">
        <f t="shared" si="13"/>
        <v>0</v>
      </c>
      <c r="AH43" s="43" t="s">
        <v>2597</v>
      </c>
      <c r="AI43" s="63">
        <f t="shared" si="14"/>
        <v>9.5775535939470369E-4</v>
      </c>
      <c r="AJ43" s="284">
        <f>RTD("money.excel",,$G43,"PredictVolume")</f>
        <v>7595</v>
      </c>
      <c r="AK43" s="399">
        <f>IFERROR(VLOOKUP($G43,基本資料!$A:$M,13,0),"無")</f>
        <v>0.32</v>
      </c>
      <c r="AL43" s="245"/>
    </row>
    <row r="44" spans="1:38">
      <c r="A44" s="347">
        <f>IFERROR(VLOOKUP($G44,基本資料!$A:$J,3,0),"無")</f>
        <v>118</v>
      </c>
      <c r="B44" s="79">
        <f>IFERROR(VLOOKUP($G44,基本資料!$A:$J,4,0),"無")</f>
        <v>77</v>
      </c>
      <c r="C44" s="79">
        <f>IFERROR(VLOOKUP($G44,基本資料!$A:$J,5,0),"無")</f>
        <v>87</v>
      </c>
      <c r="D44" s="79">
        <f>IFERROR(VLOOKUP($G44,基本資料!$A:$J,6,0),"無")</f>
        <v>0</v>
      </c>
      <c r="E44" s="79">
        <f>IFERROR(VLOOKUP($G44,基本資料!$A:$J,7,0),"無")</f>
        <v>-5</v>
      </c>
      <c r="F44" s="6">
        <f>IFERROR(VLOOKUP($G44,基本資料!$A:$J,8,0),"無")</f>
        <v>17.95</v>
      </c>
      <c r="G44" s="79">
        <v>1304</v>
      </c>
      <c r="H44" s="195" t="s">
        <v>3329</v>
      </c>
      <c r="I44" s="22" t="s">
        <v>3584</v>
      </c>
      <c r="J44" s="8" t="str">
        <f>IFERROR(VLOOKUP($G44,今日總結!$A:$AJ,35,0),"")</f>
        <v/>
      </c>
      <c r="K44" s="5" t="str">
        <f>IFERROR(VLOOKUP($G44,今日總結!$A:$AJ,36,0),"")</f>
        <v/>
      </c>
      <c r="L44" s="156" t="str">
        <f>IFERROR(VLOOKUP($G44,今日總結!$A:$AJ,33,0),"")</f>
        <v/>
      </c>
      <c r="M44" s="340" t="str">
        <f>IFERROR(VLOOKUP($G44,今日總結!$A:$AJ,34,0),"")</f>
        <v/>
      </c>
      <c r="N44" s="240" t="str">
        <f t="shared" si="15"/>
        <v/>
      </c>
      <c r="P44" s="365">
        <f>IFERROR(VLOOKUP($G44,融外自投!$A:$J,7,0),"無")</f>
        <v>852</v>
      </c>
      <c r="Q44" s="79">
        <f>IFERROR(VLOOKUP($G44,融外自投!$A:$J,9,0),"無")</f>
        <v>586</v>
      </c>
      <c r="R44" s="346">
        <f>IFERROR(VLOOKUP($G44,融外自投!$A:$J,8,0),"無")</f>
        <v>158</v>
      </c>
      <c r="S44" s="81">
        <f>IFERROR(VLOOKUP($G44,融外自投!$A:$J,10,0),"無")</f>
        <v>491</v>
      </c>
      <c r="T44" s="327">
        <f>IFERROR(VLOOKUP($G44,'321買'!$A:$E,5,0),"'沒有資料'")</f>
        <v>237</v>
      </c>
      <c r="U44" s="186">
        <f>IFERROR(VLOOKUP($G44,基本資料!$A:$J,9,0),"無")</f>
        <v>2.2000000000000002</v>
      </c>
      <c r="V44" s="310">
        <f t="shared" si="16"/>
        <v>9.2050209205020939E-2</v>
      </c>
      <c r="W44" s="94">
        <f>IFERROR(VLOOKUP($G44,基本資料!$A:$J,10,0),"無")</f>
        <v>4.84</v>
      </c>
      <c r="X44" s="36">
        <f>RTD("money.excel",,$G44,"Price")</f>
        <v>23.9</v>
      </c>
      <c r="Y44" s="66"/>
      <c r="Z44" s="15">
        <f t="shared" si="17"/>
        <v>23.9</v>
      </c>
      <c r="AA44" s="3" t="e">
        <f t="shared" si="12"/>
        <v>#DIV/0!</v>
      </c>
      <c r="AB44" s="344">
        <f>IFERROR(VLOOKUP($G44,基本資料!$A:$M,11,0),"無")</f>
        <v>-45.26</v>
      </c>
      <c r="AC44" s="397">
        <f>IFERROR(VLOOKUP($G44,基本資料!$A:$M,12,0),"無")</f>
        <v>19.350000000000001</v>
      </c>
      <c r="AD44" s="22" t="s">
        <v>3584</v>
      </c>
      <c r="AG44" s="33">
        <f t="shared" si="13"/>
        <v>0</v>
      </c>
      <c r="AH44" s="117" t="s">
        <v>2550</v>
      </c>
      <c r="AI44" s="63">
        <f t="shared" si="14"/>
        <v>5.9838983050847462E-3</v>
      </c>
      <c r="AJ44" s="284">
        <f>RTD("money.excel",,$G44,"PredictVolume")</f>
        <v>7061</v>
      </c>
      <c r="AK44" s="399">
        <f>IFERROR(VLOOKUP($G44,基本資料!$A:$M,13,0),"無")</f>
        <v>18.579999999999998</v>
      </c>
      <c r="AL44" s="245"/>
    </row>
    <row r="45" spans="1:38">
      <c r="A45" s="347">
        <f>IFERROR(VLOOKUP($G45,基本資料!$A:$J,3,0),"無")</f>
        <v>58.1</v>
      </c>
      <c r="B45" s="79">
        <f>IFERROR(VLOOKUP($G45,基本資料!$A:$J,4,0),"無")</f>
        <v>46</v>
      </c>
      <c r="C45" s="79">
        <f>IFERROR(VLOOKUP($G45,基本資料!$A:$J,5,0),"無")</f>
        <v>54</v>
      </c>
      <c r="D45" s="79">
        <f>IFERROR(VLOOKUP($G45,基本資料!$A:$J,6,0),"無")</f>
        <v>-7</v>
      </c>
      <c r="E45" s="79">
        <f>IFERROR(VLOOKUP($G45,基本資料!$A:$J,7,0),"無")</f>
        <v>14</v>
      </c>
      <c r="F45" s="6">
        <f>IFERROR(VLOOKUP($G45,基本資料!$A:$J,8,0),"無")</f>
        <v>16.399999999999999</v>
      </c>
      <c r="G45" s="79">
        <v>1305</v>
      </c>
      <c r="H45" s="8" t="s">
        <v>3329</v>
      </c>
      <c r="I45" s="22" t="s">
        <v>594</v>
      </c>
      <c r="J45" s="8" t="str">
        <f>IFERROR(VLOOKUP($G45,今日總結!$A:$AJ,35,0),"")</f>
        <v>借</v>
      </c>
      <c r="K45" s="5">
        <f>IFERROR(VLOOKUP($G45,今日總結!$A:$AJ,36,0),"")</f>
        <v>0</v>
      </c>
      <c r="L45" s="156">
        <f>IFERROR(VLOOKUP($G45,今日總結!$A:$AJ,33,0),"")</f>
        <v>1</v>
      </c>
      <c r="M45" s="340">
        <f>IFERROR(VLOOKUP($G45,今日總結!$A:$AJ,34,0),"")</f>
        <v>0</v>
      </c>
      <c r="N45" s="240">
        <f t="shared" si="15"/>
        <v>1</v>
      </c>
      <c r="P45" s="365">
        <f>IFERROR(VLOOKUP($G45,融外自投!$A:$J,7,0),"無")</f>
        <v>727</v>
      </c>
      <c r="Q45" s="79">
        <f>IFERROR(VLOOKUP($G45,融外自投!$A:$J,9,0),"無")</f>
        <v>1110</v>
      </c>
      <c r="R45" s="346">
        <f>IFERROR(VLOOKUP($G45,融外自投!$A:$J,8,0),"無")</f>
        <v>516</v>
      </c>
      <c r="S45" s="81">
        <f>IFERROR(VLOOKUP($G45,融外自投!$A:$J,10,0),"無")</f>
        <v>312</v>
      </c>
      <c r="T45" s="327">
        <f>IFERROR(VLOOKUP($G45,'321買'!$A:$E,5,0),"'沒有資料'")</f>
        <v>379</v>
      </c>
      <c r="U45" s="186">
        <f>IFERROR(VLOOKUP($G45,基本資料!$A:$J,9,0),"無")</f>
        <v>2.5</v>
      </c>
      <c r="V45" s="310">
        <f t="shared" si="16"/>
        <v>8.3194675540765387E-2</v>
      </c>
      <c r="W45" s="94">
        <f>IFERROR(VLOOKUP($G45,基本資料!$A:$J,10,0),"無")</f>
        <v>4.25</v>
      </c>
      <c r="X45" s="36">
        <f>RTD("money.excel",,$G45,"Price")</f>
        <v>30.05</v>
      </c>
      <c r="Y45" s="66"/>
      <c r="Z45" s="15">
        <f t="shared" si="17"/>
        <v>30.05</v>
      </c>
      <c r="AA45" s="3" t="e">
        <f t="shared" si="12"/>
        <v>#DIV/0!</v>
      </c>
      <c r="AB45" s="344">
        <f>IFERROR(VLOOKUP($G45,基本資料!$A:$M,11,0),"無")</f>
        <v>-34.1</v>
      </c>
      <c r="AC45" s="397">
        <f>IFERROR(VLOOKUP($G45,基本資料!$A:$M,12,0),"無")</f>
        <v>17.36</v>
      </c>
      <c r="AD45" s="22" t="s">
        <v>594</v>
      </c>
      <c r="AG45" s="33">
        <f t="shared" si="13"/>
        <v>0</v>
      </c>
      <c r="AH45" s="43" t="s">
        <v>3532</v>
      </c>
      <c r="AI45" s="63">
        <f t="shared" si="14"/>
        <v>2.4302925989672978E-3</v>
      </c>
      <c r="AJ45" s="284">
        <f>RTD("money.excel",,$G45,"PredictVolume")</f>
        <v>1412</v>
      </c>
      <c r="AK45" s="399">
        <f>IFERROR(VLOOKUP($G45,基本資料!$A:$M,13,0),"無")</f>
        <v>25.74</v>
      </c>
      <c r="AL45" s="245"/>
    </row>
    <row r="46" spans="1:38">
      <c r="A46" s="347">
        <f>IFERROR(VLOOKUP($G46,基本資料!$A:$J,3,0),"無")</f>
        <v>39.78</v>
      </c>
      <c r="B46" s="79">
        <f>IFERROR(VLOOKUP($G46,基本資料!$A:$J,4,0),"無")</f>
        <v>-46</v>
      </c>
      <c r="C46" s="79">
        <f>IFERROR(VLOOKUP($G46,基本資料!$A:$J,5,0),"無")</f>
        <v>-51</v>
      </c>
      <c r="D46" s="79">
        <f>IFERROR(VLOOKUP($G46,基本資料!$A:$J,6,0),"無")</f>
        <v>34</v>
      </c>
      <c r="E46" s="79">
        <f>IFERROR(VLOOKUP($G46,基本資料!$A:$J,7,0),"無")</f>
        <v>9</v>
      </c>
      <c r="F46" s="6">
        <f>IFERROR(VLOOKUP($G46,基本資料!$A:$J,8,0),"無")</f>
        <v>2.87</v>
      </c>
      <c r="G46" s="79">
        <v>1307</v>
      </c>
      <c r="H46" s="8" t="s">
        <v>3329</v>
      </c>
      <c r="I46" s="22" t="s">
        <v>595</v>
      </c>
      <c r="J46" s="8" t="str">
        <f>IFERROR(VLOOKUP($G46,今日總結!$A:$AJ,35,0),"")</f>
        <v/>
      </c>
      <c r="K46" s="5" t="str">
        <f>IFERROR(VLOOKUP($G46,今日總結!$A:$AJ,36,0),"")</f>
        <v/>
      </c>
      <c r="L46" s="156" t="str">
        <f>IFERROR(VLOOKUP($G46,今日總結!$A:$AJ,33,0),"")</f>
        <v/>
      </c>
      <c r="M46" s="340" t="str">
        <f>IFERROR(VLOOKUP($G46,今日總結!$A:$AJ,34,0),"")</f>
        <v/>
      </c>
      <c r="N46" s="240" t="str">
        <f t="shared" si="15"/>
        <v/>
      </c>
      <c r="P46" s="365">
        <f>IFERROR(VLOOKUP($G46,融外自投!$A:$J,7,0),"無")</f>
        <v>1309</v>
      </c>
      <c r="Q46" s="79">
        <f>IFERROR(VLOOKUP($G46,融外自投!$A:$J,9,0),"無")</f>
        <v>734</v>
      </c>
      <c r="R46" s="346">
        <f>IFERROR(VLOOKUP($G46,融外自投!$A:$J,8,0),"無")</f>
        <v>459</v>
      </c>
      <c r="S46" s="81" t="str">
        <f>IFERROR(VLOOKUP($G46,融外自投!$A:$J,10,0),"無")</f>
        <v>無</v>
      </c>
      <c r="T46" s="327">
        <f>IFERROR(VLOOKUP($G46,'321買'!$A:$E,5,0),"'沒有資料'")</f>
        <v>1161</v>
      </c>
      <c r="U46" s="186">
        <f>IFERROR(VLOOKUP($G46,基本資料!$A:$J,9,0),"無")</f>
        <v>0.5</v>
      </c>
      <c r="V46" s="310">
        <f t="shared" si="16"/>
        <v>2.5062656641604012E-2</v>
      </c>
      <c r="W46" s="94">
        <f>IFERROR(VLOOKUP($G46,基本資料!$A:$J,10,0),"無")</f>
        <v>0.28999999999999998</v>
      </c>
      <c r="X46" s="36">
        <f>RTD("money.excel",,$G46,"Price")</f>
        <v>19.95</v>
      </c>
      <c r="Y46" s="66"/>
      <c r="Z46" s="15">
        <f t="shared" si="17"/>
        <v>19.95</v>
      </c>
      <c r="AA46" s="3" t="e">
        <f t="shared" si="12"/>
        <v>#DIV/0!</v>
      </c>
      <c r="AB46" s="344">
        <f>IFERROR(VLOOKUP($G46,基本資料!$A:$M,11,0),"無")</f>
        <v>-29.11</v>
      </c>
      <c r="AC46" s="397">
        <f>IFERROR(VLOOKUP($G46,基本資料!$A:$M,12,0),"無")</f>
        <v>13.42</v>
      </c>
      <c r="AD46" s="22" t="s">
        <v>595</v>
      </c>
      <c r="AG46" s="33">
        <f t="shared" si="13"/>
        <v>0</v>
      </c>
      <c r="AH46" s="43" t="s">
        <v>2551</v>
      </c>
      <c r="AI46" s="63">
        <f t="shared" si="14"/>
        <v>2.5138260432378077E-4</v>
      </c>
      <c r="AJ46" s="284">
        <f>RTD("money.excel",,$G46,"PredictVolume")</f>
        <v>100</v>
      </c>
      <c r="AK46" s="399">
        <f>IFERROR(VLOOKUP($G46,基本資料!$A:$M,13,0),"無")</f>
        <v>2.97</v>
      </c>
      <c r="AL46" s="245"/>
    </row>
    <row r="47" spans="1:38">
      <c r="A47" s="347">
        <f>IFERROR(VLOOKUP($G47,基本資料!$A:$J,3,0),"無")</f>
        <v>59.37</v>
      </c>
      <c r="B47" s="79">
        <f>IFERROR(VLOOKUP($G47,基本資料!$A:$J,4,0),"無")</f>
        <v>181</v>
      </c>
      <c r="C47" s="79">
        <f>IFERROR(VLOOKUP($G47,基本資料!$A:$J,5,0),"無")</f>
        <v>259</v>
      </c>
      <c r="D47" s="79">
        <f>IFERROR(VLOOKUP($G47,基本資料!$A:$J,6,0),"無")</f>
        <v>-18</v>
      </c>
      <c r="E47" s="79">
        <f>IFERROR(VLOOKUP($G47,基本資料!$A:$J,7,0),"無")</f>
        <v>-27</v>
      </c>
      <c r="F47" s="6">
        <f>IFERROR(VLOOKUP($G47,基本資料!$A:$J,8,0),"無")</f>
        <v>34.700000000000003</v>
      </c>
      <c r="G47" s="79">
        <v>1308</v>
      </c>
      <c r="H47" s="8" t="s">
        <v>3329</v>
      </c>
      <c r="I47" s="22" t="s">
        <v>109</v>
      </c>
      <c r="J47" s="8">
        <f>IFERROR(VLOOKUP($G47,今日總結!$A:$AJ,35,0),"")</f>
        <v>0</v>
      </c>
      <c r="K47" s="5">
        <f>IFERROR(VLOOKUP($G47,今日總結!$A:$AJ,36,0),"")</f>
        <v>0</v>
      </c>
      <c r="L47" s="156">
        <f>IFERROR(VLOOKUP($G47,今日總結!$A:$AJ,33,0),"")</f>
        <v>0</v>
      </c>
      <c r="M47" s="340">
        <f>IFERROR(VLOOKUP($G47,今日總結!$A:$AJ,34,0),"")</f>
        <v>1</v>
      </c>
      <c r="N47" s="240">
        <f t="shared" si="15"/>
        <v>-1</v>
      </c>
      <c r="P47" s="365">
        <f>IFERROR(VLOOKUP($G47,融外自投!$A:$J,7,0),"無")</f>
        <v>787</v>
      </c>
      <c r="Q47" s="79">
        <f>IFERROR(VLOOKUP($G47,融外自投!$A:$J,9,0),"無")</f>
        <v>435</v>
      </c>
      <c r="R47" s="346">
        <f>IFERROR(VLOOKUP($G47,融外自投!$A:$J,8,0),"無")</f>
        <v>657</v>
      </c>
      <c r="S47" s="81">
        <f>IFERROR(VLOOKUP($G47,融外自投!$A:$J,10,0),"無")</f>
        <v>120</v>
      </c>
      <c r="T47" s="327">
        <f>IFERROR(VLOOKUP($G47,'321買'!$A:$E,5,0),"'沒有資料'")</f>
        <v>255</v>
      </c>
      <c r="U47" s="186">
        <f>IFERROR(VLOOKUP($G47,基本資料!$A:$J,9,0),"無")</f>
        <v>3</v>
      </c>
      <c r="V47" s="310">
        <f t="shared" si="16"/>
        <v>0.10619469026548672</v>
      </c>
      <c r="W47" s="94">
        <f>IFERROR(VLOOKUP($G47,基本資料!$A:$J,10,0),"無")</f>
        <v>5.22</v>
      </c>
      <c r="X47" s="36">
        <f>RTD("money.excel",,$G47,"Price")</f>
        <v>28.25</v>
      </c>
      <c r="Y47" s="66"/>
      <c r="Z47" s="15">
        <f t="shared" si="17"/>
        <v>28.25</v>
      </c>
      <c r="AA47" s="3" t="e">
        <f t="shared" si="12"/>
        <v>#DIV/0!</v>
      </c>
      <c r="AB47" s="344">
        <f>IFERROR(VLOOKUP($G47,基本資料!$A:$M,11,0),"無")</f>
        <v>-43.92</v>
      </c>
      <c r="AC47" s="397">
        <f>IFERROR(VLOOKUP($G47,基本資料!$A:$M,12,0),"無")</f>
        <v>17.559999999999999</v>
      </c>
      <c r="AD47" s="22" t="s">
        <v>109</v>
      </c>
      <c r="AG47" s="33">
        <f t="shared" ref="AG47:AG67" si="18">AF47-AE47</f>
        <v>0</v>
      </c>
      <c r="AH47" s="117" t="s">
        <v>2753</v>
      </c>
      <c r="AI47" s="63">
        <f t="shared" si="14"/>
        <v>8.2297456627926559E-3</v>
      </c>
      <c r="AJ47" s="284">
        <f>RTD("money.excel",,$G47,"PredictVolume")</f>
        <v>4886</v>
      </c>
      <c r="AK47" s="399">
        <f>IFERROR(VLOOKUP($G47,基本資料!$A:$M,13,0),"無")</f>
        <v>30.92</v>
      </c>
      <c r="AL47" s="245"/>
    </row>
    <row r="48" spans="1:38">
      <c r="A48" s="347">
        <f>IFERROR(VLOOKUP($G48,基本資料!$A:$J,3,0),"無")</f>
        <v>37.86</v>
      </c>
      <c r="B48" s="79">
        <f>IFERROR(VLOOKUP($G48,基本資料!$A:$J,4,0),"無")</f>
        <v>-3</v>
      </c>
      <c r="C48" s="79">
        <f>IFERROR(VLOOKUP($G48,基本資料!$A:$J,5,0),"無")</f>
        <v>-7</v>
      </c>
      <c r="D48" s="79">
        <f>IFERROR(VLOOKUP($G48,基本資料!$A:$J,6,0),"無")</f>
        <v>0</v>
      </c>
      <c r="E48" s="79">
        <f>IFERROR(VLOOKUP($G48,基本資料!$A:$J,7,0),"無")</f>
        <v>-12</v>
      </c>
      <c r="F48" s="6">
        <f>IFERROR(VLOOKUP($G48,基本資料!$A:$J,8,0),"無")</f>
        <v>10.82</v>
      </c>
      <c r="G48" s="79">
        <v>1309</v>
      </c>
      <c r="H48" s="8" t="s">
        <v>3329</v>
      </c>
      <c r="I48" s="22" t="s">
        <v>3585</v>
      </c>
      <c r="J48" s="8">
        <f>IFERROR(VLOOKUP($G48,今日總結!$A:$AJ,35,0),"")</f>
        <v>0</v>
      </c>
      <c r="K48" s="5">
        <f>IFERROR(VLOOKUP($G48,今日總結!$A:$AJ,36,0),"")</f>
        <v>0</v>
      </c>
      <c r="L48" s="156">
        <f>IFERROR(VLOOKUP($G48,今日總結!$A:$AJ,33,0),"")</f>
        <v>0</v>
      </c>
      <c r="M48" s="340">
        <f>IFERROR(VLOOKUP($G48,今日總結!$A:$AJ,34,0),"")</f>
        <v>1</v>
      </c>
      <c r="N48" s="240">
        <f t="shared" si="15"/>
        <v>-1</v>
      </c>
      <c r="P48" s="365">
        <f>IFERROR(VLOOKUP($G48,融外自投!$A:$J,7,0),"無")</f>
        <v>828</v>
      </c>
      <c r="Q48" s="79">
        <f>IFERROR(VLOOKUP($G48,融外自投!$A:$J,9,0),"無")</f>
        <v>350</v>
      </c>
      <c r="R48" s="346">
        <f>IFERROR(VLOOKUP($G48,融外自投!$A:$J,8,0),"無")</f>
        <v>984</v>
      </c>
      <c r="S48" s="81">
        <f>IFERROR(VLOOKUP($G48,融外自投!$A:$J,10,0),"無")</f>
        <v>491</v>
      </c>
      <c r="T48" s="327">
        <f>IFERROR(VLOOKUP($G48,'321買'!$A:$E,5,0),"'沒有資料'")</f>
        <v>894</v>
      </c>
      <c r="U48" s="186">
        <f>IFERROR(VLOOKUP($G48,基本資料!$A:$J,9,0),"無")</f>
        <v>2.5</v>
      </c>
      <c r="V48" s="310">
        <f t="shared" si="16"/>
        <v>8.9285714285714288E-2</v>
      </c>
      <c r="W48" s="94">
        <f>IFERROR(VLOOKUP($G48,基本資料!$A:$J,10,0),"無")</f>
        <v>4.8899999999999997</v>
      </c>
      <c r="X48" s="36">
        <f>RTD("money.excel",,$G48,"Price")</f>
        <v>28</v>
      </c>
      <c r="Y48" s="66"/>
      <c r="Z48" s="15">
        <f t="shared" si="17"/>
        <v>28</v>
      </c>
      <c r="AA48" s="3" t="e">
        <f t="shared" si="12"/>
        <v>#DIV/0!</v>
      </c>
      <c r="AB48" s="344">
        <f>IFERROR(VLOOKUP($G48,基本資料!$A:$M,11,0),"無")</f>
        <v>-45.54</v>
      </c>
      <c r="AC48" s="397">
        <f>IFERROR(VLOOKUP($G48,基本資料!$A:$M,12,0),"無")</f>
        <v>18.190000000000001</v>
      </c>
      <c r="AD48" s="22" t="s">
        <v>3585</v>
      </c>
      <c r="AG48" s="33">
        <f t="shared" si="18"/>
        <v>0</v>
      </c>
      <c r="AH48" s="43" t="s">
        <v>3530</v>
      </c>
      <c r="AI48" s="63">
        <f t="shared" si="14"/>
        <v>1.6930797675647122E-3</v>
      </c>
      <c r="AJ48" s="284">
        <f>RTD("money.excel",,$G48,"PredictVolume")</f>
        <v>641</v>
      </c>
      <c r="AK48" s="399">
        <f>IFERROR(VLOOKUP($G48,基本資料!$A:$M,13,0),"無")</f>
        <v>28</v>
      </c>
      <c r="AL48" s="245"/>
    </row>
    <row r="49" spans="1:38">
      <c r="A49" s="347">
        <f>IFERROR(VLOOKUP($G49,基本資料!$A:$J,3,0),"無")</f>
        <v>52.78</v>
      </c>
      <c r="B49" s="79">
        <f>IFERROR(VLOOKUP($G49,基本資料!$A:$J,4,0),"無")</f>
        <v>-63</v>
      </c>
      <c r="C49" s="79">
        <f>IFERROR(VLOOKUP($G49,基本資料!$A:$J,5,0),"無")</f>
        <v>-194</v>
      </c>
      <c r="D49" s="79">
        <f>IFERROR(VLOOKUP($G49,基本資料!$A:$J,6,0),"無")</f>
        <v>0</v>
      </c>
      <c r="E49" s="79">
        <f>IFERROR(VLOOKUP($G49,基本資料!$A:$J,7,0),"無")</f>
        <v>15</v>
      </c>
      <c r="F49" s="6">
        <f>IFERROR(VLOOKUP($G49,基本資料!$A:$J,8,0),"無")</f>
        <v>-0.73</v>
      </c>
      <c r="G49" s="79">
        <v>1310</v>
      </c>
      <c r="H49" s="8" t="s">
        <v>3329</v>
      </c>
      <c r="I49" s="22" t="s">
        <v>596</v>
      </c>
      <c r="J49" s="8" t="str">
        <f>IFERROR(VLOOKUP($G49,今日總結!$A:$AJ,35,0),"")</f>
        <v/>
      </c>
      <c r="K49" s="5" t="str">
        <f>IFERROR(VLOOKUP($G49,今日總結!$A:$AJ,36,0),"")</f>
        <v/>
      </c>
      <c r="L49" s="156" t="str">
        <f>IFERROR(VLOOKUP($G49,今日總結!$A:$AJ,33,0),"")</f>
        <v/>
      </c>
      <c r="M49" s="340" t="str">
        <f>IFERROR(VLOOKUP($G49,今日總結!$A:$AJ,34,0),"")</f>
        <v/>
      </c>
      <c r="N49" s="240" t="str">
        <f t="shared" si="15"/>
        <v/>
      </c>
      <c r="O49" s="248"/>
      <c r="P49" s="365">
        <f>IFERROR(VLOOKUP($G49,融外自投!$A:$J,7,0),"無")</f>
        <v>945</v>
      </c>
      <c r="Q49" s="79">
        <f>IFERROR(VLOOKUP($G49,融外自投!$A:$J,9,0),"無")</f>
        <v>406</v>
      </c>
      <c r="R49" s="346">
        <f>IFERROR(VLOOKUP($G49,融外自投!$A:$J,8,0),"無")</f>
        <v>713</v>
      </c>
      <c r="S49" s="81" t="str">
        <f>IFERROR(VLOOKUP($G49,融外自投!$A:$J,10,0),"無")</f>
        <v>無</v>
      </c>
      <c r="T49" s="327">
        <f>IFERROR(VLOOKUP($G49,'321買'!$A:$E,5,0),"'沒有資料'")</f>
        <v>869</v>
      </c>
      <c r="U49" s="186">
        <f>IFERROR(VLOOKUP($G49,基本資料!$A:$J,9,0),"無")</f>
        <v>0.15</v>
      </c>
      <c r="V49" s="310">
        <f t="shared" si="16"/>
        <v>9.6774193548387101E-3</v>
      </c>
      <c r="W49" s="94">
        <f>IFERROR(VLOOKUP($G49,基本資料!$A:$J,10,0),"無")</f>
        <v>0.2</v>
      </c>
      <c r="X49" s="36">
        <f>RTD("money.excel",,$G49,"Price")</f>
        <v>15.5</v>
      </c>
      <c r="Y49" s="66"/>
      <c r="Z49" s="15">
        <f t="shared" si="17"/>
        <v>15.5</v>
      </c>
      <c r="AA49" s="3" t="e">
        <f t="shared" si="12"/>
        <v>#DIV/0!</v>
      </c>
      <c r="AB49" s="344">
        <f>IFERROR(VLOOKUP($G49,基本資料!$A:$M,11,0),"無")</f>
        <v>-37.07</v>
      </c>
      <c r="AC49" s="397">
        <f>IFERROR(VLOOKUP($G49,基本資料!$A:$M,12,0),"無")</f>
        <v>10.199999999999999</v>
      </c>
      <c r="AD49" s="22" t="s">
        <v>596</v>
      </c>
      <c r="AG49" s="33">
        <f t="shared" si="18"/>
        <v>0</v>
      </c>
      <c r="AH49" s="43" t="s">
        <v>2754</v>
      </c>
      <c r="AI49" s="63">
        <f t="shared" si="14"/>
        <v>1.0875331564986737E-3</v>
      </c>
      <c r="AJ49" s="284">
        <f>RTD("money.excel",,$G49,"PredictVolume")</f>
        <v>574</v>
      </c>
      <c r="AK49" s="399">
        <f>IFERROR(VLOOKUP($G49,基本資料!$A:$M,13,0),"無")</f>
        <v>18.89</v>
      </c>
      <c r="AL49" s="245"/>
    </row>
    <row r="50" spans="1:38">
      <c r="A50" s="347">
        <f>IFERROR(VLOOKUP($G50,基本資料!$A:$J,3,0),"無")</f>
        <v>90.66</v>
      </c>
      <c r="B50" s="79">
        <f>IFERROR(VLOOKUP($G50,基本資料!$A:$J,4,0),"無")</f>
        <v>40</v>
      </c>
      <c r="C50" s="79">
        <f>IFERROR(VLOOKUP($G50,基本資料!$A:$J,5,0),"無")</f>
        <v>65</v>
      </c>
      <c r="D50" s="79">
        <f>IFERROR(VLOOKUP($G50,基本資料!$A:$J,6,0),"無")</f>
        <v>44</v>
      </c>
      <c r="E50" s="79">
        <f>IFERROR(VLOOKUP($G50,基本資料!$A:$J,7,0),"無")</f>
        <v>-6</v>
      </c>
      <c r="F50" s="6">
        <f>IFERROR(VLOOKUP($G50,基本資料!$A:$J,8,0),"無")</f>
        <v>12.92</v>
      </c>
      <c r="G50" s="79">
        <v>1312</v>
      </c>
      <c r="H50" s="8" t="s">
        <v>3329</v>
      </c>
      <c r="I50" s="22" t="s">
        <v>182</v>
      </c>
      <c r="J50" s="8" t="str">
        <f>IFERROR(VLOOKUP($G50,今日總結!$A:$AJ,35,0),"")</f>
        <v/>
      </c>
      <c r="K50" s="5" t="str">
        <f>IFERROR(VLOOKUP($G50,今日總結!$A:$AJ,36,0),"")</f>
        <v/>
      </c>
      <c r="L50" s="156" t="str">
        <f>IFERROR(VLOOKUP($G50,今日總結!$A:$AJ,33,0),"")</f>
        <v/>
      </c>
      <c r="M50" s="340" t="str">
        <f>IFERROR(VLOOKUP($G50,今日總結!$A:$AJ,34,0),"")</f>
        <v/>
      </c>
      <c r="N50" s="240" t="str">
        <f t="shared" si="15"/>
        <v/>
      </c>
      <c r="P50" s="365">
        <f>IFERROR(VLOOKUP($G50,融外自投!$A:$J,7,0),"無")</f>
        <v>275</v>
      </c>
      <c r="Q50" s="79">
        <f>IFERROR(VLOOKUP($G50,融外自投!$A:$J,9,0),"無")</f>
        <v>16</v>
      </c>
      <c r="R50" s="346">
        <f>IFERROR(VLOOKUP($G50,融外自投!$A:$J,8,0),"無")</f>
        <v>352</v>
      </c>
      <c r="S50" s="81">
        <f>IFERROR(VLOOKUP($G50,融外自投!$A:$J,10,0),"無")</f>
        <v>491</v>
      </c>
      <c r="T50" s="327">
        <f>IFERROR(VLOOKUP($G50,'321買'!$A:$E,5,0),"'沒有資料'")</f>
        <v>536</v>
      </c>
      <c r="U50" s="186">
        <f>IFERROR(VLOOKUP($G50,基本資料!$A:$J,9,0),"無")</f>
        <v>2</v>
      </c>
      <c r="V50" s="310">
        <f t="shared" si="16"/>
        <v>8.2644628099173556E-2</v>
      </c>
      <c r="W50" s="94">
        <f>IFERROR(VLOOKUP($G50,基本資料!$A:$J,10,0),"無")</f>
        <v>6.47</v>
      </c>
      <c r="X50" s="36">
        <f>RTD("money.excel",,$G50,"Price")</f>
        <v>24.2</v>
      </c>
      <c r="Y50" s="66"/>
      <c r="Z50" s="15">
        <f t="shared" si="17"/>
        <v>24.2</v>
      </c>
      <c r="AA50" s="3" t="e">
        <f t="shared" si="12"/>
        <v>#DIV/0!</v>
      </c>
      <c r="AB50" s="344">
        <f>IFERROR(VLOOKUP($G50,基本資料!$A:$M,11,0),"無")</f>
        <v>-31.95</v>
      </c>
      <c r="AC50" s="397">
        <f>IFERROR(VLOOKUP($G50,基本資料!$A:$M,12,0),"無")</f>
        <v>13.65</v>
      </c>
      <c r="AD50" s="22" t="s">
        <v>182</v>
      </c>
      <c r="AG50" s="33">
        <f t="shared" si="18"/>
        <v>0</v>
      </c>
      <c r="AH50" s="43" t="s">
        <v>3533</v>
      </c>
      <c r="AI50" s="63">
        <f t="shared" si="14"/>
        <v>4.0833884844473861E-3</v>
      </c>
      <c r="AJ50" s="284">
        <f>RTD("money.excel",,$G50,"PredictVolume")</f>
        <v>3702</v>
      </c>
      <c r="AK50" s="399">
        <f>IFERROR(VLOOKUP($G50,基本資料!$A:$M,13,0),"無")</f>
        <v>24.97</v>
      </c>
      <c r="AL50" s="245"/>
    </row>
    <row r="51" spans="1:38">
      <c r="A51" s="347">
        <f>IFERROR(VLOOKUP($G51,基本資料!$A:$J,3,0),"無")</f>
        <v>135</v>
      </c>
      <c r="B51" s="79">
        <f>IFERROR(VLOOKUP($G51,基本資料!$A:$J,4,0),"無")</f>
        <v>0</v>
      </c>
      <c r="C51" s="79">
        <f>IFERROR(VLOOKUP($G51,基本資料!$A:$J,5,0),"無")</f>
        <v>7</v>
      </c>
      <c r="D51" s="79">
        <f>IFERROR(VLOOKUP($G51,基本資料!$A:$J,6,0),"無")</f>
        <v>-20</v>
      </c>
      <c r="E51" s="79">
        <f>IFERROR(VLOOKUP($G51,基本資料!$A:$J,7,0),"無")</f>
        <v>-14</v>
      </c>
      <c r="F51" s="6">
        <f>IFERROR(VLOOKUP($G51,基本資料!$A:$J,8,0),"無")</f>
        <v>2.99</v>
      </c>
      <c r="G51" s="79">
        <v>1313</v>
      </c>
      <c r="H51" s="8" t="s">
        <v>3329</v>
      </c>
      <c r="I51" s="22" t="s">
        <v>597</v>
      </c>
      <c r="J51" s="8" t="str">
        <f>IFERROR(VLOOKUP($G51,今日總結!$A:$AJ,35,0),"")</f>
        <v>券</v>
      </c>
      <c r="K51" s="5">
        <f>IFERROR(VLOOKUP($G51,今日總結!$A:$AJ,36,0),"")</f>
        <v>0</v>
      </c>
      <c r="L51" s="156">
        <f>IFERROR(VLOOKUP($G51,今日總結!$A:$AJ,33,0),"")</f>
        <v>1</v>
      </c>
      <c r="M51" s="340">
        <f>IFERROR(VLOOKUP($G51,今日總結!$A:$AJ,34,0),"")</f>
        <v>0</v>
      </c>
      <c r="N51" s="240">
        <f t="shared" si="15"/>
        <v>1</v>
      </c>
      <c r="P51" s="365">
        <f>IFERROR(VLOOKUP($G51,融外自投!$A:$J,7,0),"無")</f>
        <v>947</v>
      </c>
      <c r="Q51" s="79" t="str">
        <f>IFERROR(VLOOKUP($G51,融外自投!$A:$J,9,0),"無")</f>
        <v>無</v>
      </c>
      <c r="R51" s="346">
        <f>IFERROR(VLOOKUP($G51,融外自投!$A:$J,8,0),"無")</f>
        <v>563</v>
      </c>
      <c r="S51" s="81" t="str">
        <f>IFERROR(VLOOKUP($G51,融外自投!$A:$J,10,0),"無")</f>
        <v>無</v>
      </c>
      <c r="T51" s="327">
        <f>IFERROR(VLOOKUP($G51,'321買'!$A:$E,5,0),"'沒有資料'")</f>
        <v>964</v>
      </c>
      <c r="U51" s="186">
        <f>IFERROR(VLOOKUP($G51,基本資料!$A:$J,9,0),"無")</f>
        <v>1</v>
      </c>
      <c r="V51" s="310">
        <f t="shared" si="16"/>
        <v>6.3694267515923567E-2</v>
      </c>
      <c r="W51" s="94">
        <f>IFERROR(VLOOKUP($G51,基本資料!$A:$J,10,0),"無")</f>
        <v>1.66</v>
      </c>
      <c r="X51" s="36">
        <f>RTD("money.excel",,$G51,"Price")</f>
        <v>15.7</v>
      </c>
      <c r="Y51" s="66"/>
      <c r="Z51" s="15">
        <f t="shared" si="17"/>
        <v>15.7</v>
      </c>
      <c r="AA51" s="3" t="e">
        <f t="shared" si="12"/>
        <v>#DIV/0!</v>
      </c>
      <c r="AB51" s="344">
        <f>IFERROR(VLOOKUP($G51,基本資料!$A:$M,11,0),"無")</f>
        <v>-49.07</v>
      </c>
      <c r="AC51" s="397">
        <f>IFERROR(VLOOKUP($G51,基本資料!$A:$M,12,0),"無")</f>
        <v>11.58</v>
      </c>
      <c r="AD51" s="22" t="s">
        <v>597</v>
      </c>
      <c r="AG51" s="33">
        <f t="shared" si="18"/>
        <v>0</v>
      </c>
      <c r="AH51" s="43" t="s">
        <v>3534</v>
      </c>
      <c r="AI51" s="63">
        <f t="shared" si="14"/>
        <v>2.6162962962962963E-3</v>
      </c>
      <c r="AJ51" s="284">
        <f>RTD("money.excel",,$G51,"PredictVolume")</f>
        <v>3532</v>
      </c>
      <c r="AK51" s="399">
        <f>IFERROR(VLOOKUP($G51,基本資料!$A:$M,13,0),"無")</f>
        <v>13.76</v>
      </c>
      <c r="AL51" s="245"/>
    </row>
    <row r="52" spans="1:38">
      <c r="A52" s="347">
        <f>IFERROR(VLOOKUP($G52,基本資料!$A:$J,3,0),"無")</f>
        <v>378</v>
      </c>
      <c r="B52" s="79">
        <f>IFERROR(VLOOKUP($G52,基本資料!$A:$J,4,0),"無")</f>
        <v>433</v>
      </c>
      <c r="C52" s="79">
        <f>IFERROR(VLOOKUP($G52,基本資料!$A:$J,5,0),"無")</f>
        <v>238</v>
      </c>
      <c r="D52" s="79">
        <f>IFERROR(VLOOKUP($G52,基本資料!$A:$J,6,0),"無")</f>
        <v>16</v>
      </c>
      <c r="E52" s="79">
        <f>IFERROR(VLOOKUP($G52,基本資料!$A:$J,7,0),"無")</f>
        <v>-10</v>
      </c>
      <c r="F52" s="6">
        <f>IFERROR(VLOOKUP($G52,基本資料!$A:$J,8,0),"無")</f>
        <v>7.15</v>
      </c>
      <c r="G52" s="79">
        <v>1314</v>
      </c>
      <c r="H52" s="192" t="s">
        <v>3329</v>
      </c>
      <c r="I52" s="22" t="s">
        <v>124</v>
      </c>
      <c r="J52" s="8">
        <f>IFERROR(VLOOKUP($G52,今日總結!$A:$AJ,35,0),"")</f>
        <v>0</v>
      </c>
      <c r="K52" s="5" t="str">
        <f>IFERROR(VLOOKUP($G52,今日總結!$A:$AJ,36,0),"")</f>
        <v>融</v>
      </c>
      <c r="L52" s="156">
        <f>IFERROR(VLOOKUP($G52,今日總結!$A:$AJ,33,0),"")</f>
        <v>0</v>
      </c>
      <c r="M52" s="340">
        <f>IFERROR(VLOOKUP($G52,今日總結!$A:$AJ,34,0),"")</f>
        <v>1</v>
      </c>
      <c r="N52" s="240">
        <f t="shared" si="15"/>
        <v>-1</v>
      </c>
      <c r="P52" s="365">
        <f>IFERROR(VLOOKUP($G52,融外自投!$A:$J,7,0),"無")</f>
        <v>385</v>
      </c>
      <c r="Q52" s="79">
        <f>IFERROR(VLOOKUP($G52,融外自投!$A:$J,9,0),"無")</f>
        <v>550</v>
      </c>
      <c r="R52" s="346">
        <f>IFERROR(VLOOKUP($G52,融外自投!$A:$J,8,0),"無")</f>
        <v>517</v>
      </c>
      <c r="S52" s="81" t="str">
        <f>IFERROR(VLOOKUP($G52,融外自投!$A:$J,10,0),"無")</f>
        <v>無</v>
      </c>
      <c r="T52" s="327">
        <f>IFERROR(VLOOKUP($G52,'321買'!$A:$E,5,0),"'沒有資料'")</f>
        <v>683</v>
      </c>
      <c r="U52" s="186">
        <f>IFERROR(VLOOKUP($G52,基本資料!$A:$J,9,0),"無")</f>
        <v>0.4</v>
      </c>
      <c r="V52" s="310">
        <f t="shared" si="16"/>
        <v>3.6363636363636369E-2</v>
      </c>
      <c r="W52" s="94">
        <f>IFERROR(VLOOKUP($G52,基本資料!$A:$J,10,0),"無")</f>
        <v>1.0900000000000001</v>
      </c>
      <c r="X52" s="36">
        <f>RTD("money.excel",,$G52,"Price")</f>
        <v>11</v>
      </c>
      <c r="Y52" s="66"/>
      <c r="Z52" s="15">
        <f t="shared" si="17"/>
        <v>11</v>
      </c>
      <c r="AA52" s="3" t="e">
        <f t="shared" si="12"/>
        <v>#DIV/0!</v>
      </c>
      <c r="AB52" s="344">
        <f>IFERROR(VLOOKUP($G52,基本資料!$A:$M,11,0),"無")</f>
        <v>-32.21</v>
      </c>
      <c r="AC52" s="397">
        <f>IFERROR(VLOOKUP($G52,基本資料!$A:$M,12,0),"無")</f>
        <v>11.41</v>
      </c>
      <c r="AD52" s="22" t="s">
        <v>3586</v>
      </c>
      <c r="AG52" s="33">
        <f t="shared" si="18"/>
        <v>0</v>
      </c>
      <c r="AH52" s="117" t="s">
        <v>2755</v>
      </c>
      <c r="AI52" s="63">
        <f t="shared" si="14"/>
        <v>3.3989417989417989E-3</v>
      </c>
      <c r="AJ52" s="284">
        <f>RTD("money.excel",,$G52,"PredictVolume")</f>
        <v>12848</v>
      </c>
      <c r="AK52" s="399">
        <f>IFERROR(VLOOKUP($G52,基本資料!$A:$M,13,0),"無")</f>
        <v>18.670000000000002</v>
      </c>
      <c r="AL52" s="245"/>
    </row>
    <row r="53" spans="1:38">
      <c r="A53" s="347">
        <f>IFERROR(VLOOKUP($G53,基本資料!$A:$J,3,0),"無")</f>
        <v>9.9</v>
      </c>
      <c r="B53" s="79">
        <f>IFERROR(VLOOKUP($G53,基本資料!$A:$J,4,0),"無")</f>
        <v>-99</v>
      </c>
      <c r="C53" s="79">
        <f>IFERROR(VLOOKUP($G53,基本資料!$A:$J,5,0),"無")</f>
        <v>-80</v>
      </c>
      <c r="D53" s="79">
        <f>IFERROR(VLOOKUP($G53,基本資料!$A:$J,6,0),"無")</f>
        <v>88</v>
      </c>
      <c r="E53" s="79">
        <f>IFERROR(VLOOKUP($G53,基本資料!$A:$J,7,0),"無")</f>
        <v>37</v>
      </c>
      <c r="F53" s="6">
        <f>IFERROR(VLOOKUP($G53,基本資料!$A:$J,8,0),"無")</f>
        <v>0.3</v>
      </c>
      <c r="G53" s="79">
        <v>1315</v>
      </c>
      <c r="H53" s="8" t="s">
        <v>3329</v>
      </c>
      <c r="I53" s="22" t="s">
        <v>598</v>
      </c>
      <c r="J53" s="8" t="str">
        <f>IFERROR(VLOOKUP($G53,今日總結!$A:$AJ,35,0),"")</f>
        <v/>
      </c>
      <c r="K53" s="5" t="str">
        <f>IFERROR(VLOOKUP($G53,今日總結!$A:$AJ,36,0),"")</f>
        <v/>
      </c>
      <c r="L53" s="156" t="str">
        <f>IFERROR(VLOOKUP($G53,今日總結!$A:$AJ,33,0),"")</f>
        <v/>
      </c>
      <c r="M53" s="340" t="str">
        <f>IFERROR(VLOOKUP($G53,今日總結!$A:$AJ,34,0),"")</f>
        <v/>
      </c>
      <c r="N53" s="240" t="str">
        <f t="shared" si="15"/>
        <v/>
      </c>
      <c r="P53" s="365">
        <f>IFERROR(VLOOKUP($G53,融外自投!$A:$J,7,0),"無")</f>
        <v>1231</v>
      </c>
      <c r="Q53" s="79">
        <f>IFERROR(VLOOKUP($G53,融外自投!$A:$J,9,0),"無")</f>
        <v>852</v>
      </c>
      <c r="R53" s="346">
        <f>IFERROR(VLOOKUP($G53,融外自投!$A:$J,8,0),"無")</f>
        <v>1075</v>
      </c>
      <c r="S53" s="81">
        <f>IFERROR(VLOOKUP($G53,融外自投!$A:$J,10,0),"無")</f>
        <v>473</v>
      </c>
      <c r="T53" s="327">
        <f>IFERROR(VLOOKUP($G53,'321買'!$A:$E,5,0),"'沒有資料'")</f>
        <v>939</v>
      </c>
      <c r="U53" s="186">
        <f>IFERROR(VLOOKUP($G53,基本資料!$A:$J,9,0),"無")</f>
        <v>4.5</v>
      </c>
      <c r="V53" s="310">
        <f t="shared" si="16"/>
        <v>5.7179161372299871E-2</v>
      </c>
      <c r="W53" s="94">
        <f>IFERROR(VLOOKUP($G53,基本資料!$A:$J,10,0),"無")</f>
        <v>0.04</v>
      </c>
      <c r="X53" s="36">
        <f>RTD("money.excel",,$G53,"Price")</f>
        <v>78.7</v>
      </c>
      <c r="Y53" s="66"/>
      <c r="Z53" s="15">
        <f t="shared" si="17"/>
        <v>78.7</v>
      </c>
      <c r="AA53" s="3" t="e">
        <f t="shared" si="12"/>
        <v>#DIV/0!</v>
      </c>
      <c r="AB53" s="344">
        <f>IFERROR(VLOOKUP($G53,基本資料!$A:$M,11,0),"無")</f>
        <v>-12.07</v>
      </c>
      <c r="AC53" s="397">
        <f>IFERROR(VLOOKUP($G53,基本資料!$A:$M,12,0),"無")</f>
        <v>20.91</v>
      </c>
      <c r="AD53" s="22" t="s">
        <v>598</v>
      </c>
      <c r="AG53" s="33">
        <f t="shared" si="18"/>
        <v>0</v>
      </c>
      <c r="AH53" s="43" t="s">
        <v>2756</v>
      </c>
      <c r="AI53" s="63">
        <f t="shared" si="14"/>
        <v>9.0909090909090904E-5</v>
      </c>
      <c r="AJ53" s="284">
        <f>RTD("money.excel",,$G53,"PredictVolume")</f>
        <v>9</v>
      </c>
      <c r="AK53" s="399">
        <f>IFERROR(VLOOKUP($G53,基本資料!$A:$M,13,0),"無")</f>
        <v>1.01</v>
      </c>
      <c r="AL53" s="245"/>
    </row>
    <row r="54" spans="1:38">
      <c r="A54" s="347">
        <f>IFERROR(VLOOKUP($G54,基本資料!$A:$J,3,0),"無")</f>
        <v>22.72</v>
      </c>
      <c r="B54" s="79">
        <f>IFERROR(VLOOKUP($G54,基本資料!$A:$J,4,0),"無")</f>
        <v>-55</v>
      </c>
      <c r="C54" s="79">
        <f>IFERROR(VLOOKUP($G54,基本資料!$A:$J,5,0),"無")</f>
        <v>-113</v>
      </c>
      <c r="D54" s="79">
        <f>IFERROR(VLOOKUP($G54,基本資料!$A:$J,6,0),"無")</f>
        <v>34</v>
      </c>
      <c r="E54" s="79">
        <f>IFERROR(VLOOKUP($G54,基本資料!$A:$J,7,0),"無")</f>
        <v>6</v>
      </c>
      <c r="F54" s="6">
        <f>IFERROR(VLOOKUP($G54,基本資料!$A:$J,8,0),"無")</f>
        <v>-0.5</v>
      </c>
      <c r="G54" s="79">
        <v>1321</v>
      </c>
      <c r="H54" s="8" t="s">
        <v>3329</v>
      </c>
      <c r="I54" s="22" t="s">
        <v>599</v>
      </c>
      <c r="J54" s="8">
        <f>IFERROR(VLOOKUP($G54,今日總結!$A:$AJ,35,0),"")</f>
        <v>0</v>
      </c>
      <c r="K54" s="5" t="str">
        <f>IFERROR(VLOOKUP($G54,今日總結!$A:$AJ,36,0),"")</f>
        <v>外</v>
      </c>
      <c r="L54" s="156">
        <f>IFERROR(VLOOKUP($G54,今日總結!$A:$AJ,33,0),"")</f>
        <v>0</v>
      </c>
      <c r="M54" s="340">
        <f>IFERROR(VLOOKUP($G54,今日總結!$A:$AJ,34,0),"")</f>
        <v>1</v>
      </c>
      <c r="N54" s="240">
        <f t="shared" si="15"/>
        <v>-1</v>
      </c>
      <c r="P54" s="365">
        <f>IFERROR(VLOOKUP($G54,融外自投!$A:$J,7,0),"無")</f>
        <v>974</v>
      </c>
      <c r="Q54" s="79">
        <f>IFERROR(VLOOKUP($G54,融外自投!$A:$J,9,0),"無")</f>
        <v>1110</v>
      </c>
      <c r="R54" s="346">
        <f>IFERROR(VLOOKUP($G54,融外自投!$A:$J,8,0),"無")</f>
        <v>967</v>
      </c>
      <c r="S54" s="81" t="str">
        <f>IFERROR(VLOOKUP($G54,融外自投!$A:$J,10,0),"無")</f>
        <v>無</v>
      </c>
      <c r="T54" s="327">
        <f>IFERROR(VLOOKUP($G54,'321買'!$A:$E,5,0),"'沒有資料'")</f>
        <v>1066</v>
      </c>
      <c r="U54" s="186">
        <f>IFERROR(VLOOKUP($G54,基本資料!$A:$J,9,0),"無")</f>
        <v>0.7</v>
      </c>
      <c r="V54" s="310">
        <f t="shared" si="16"/>
        <v>2.1874999999999999E-2</v>
      </c>
      <c r="W54" s="94">
        <f>IFERROR(VLOOKUP($G54,基本資料!$A:$J,10,0),"無")</f>
        <v>1.45</v>
      </c>
      <c r="X54" s="36">
        <f>RTD("money.excel",,$G54,"Price")</f>
        <v>32</v>
      </c>
      <c r="Y54" s="66"/>
      <c r="Z54" s="15">
        <f t="shared" si="17"/>
        <v>32</v>
      </c>
      <c r="AA54" s="3" t="e">
        <f t="shared" si="12"/>
        <v>#DIV/0!</v>
      </c>
      <c r="AB54" s="344">
        <f>IFERROR(VLOOKUP($G54,基本資料!$A:$M,11,0),"無")</f>
        <v>-16.46</v>
      </c>
      <c r="AC54" s="397">
        <f>IFERROR(VLOOKUP($G54,基本資料!$A:$M,12,0),"無")</f>
        <v>26.66</v>
      </c>
      <c r="AD54" s="22" t="s">
        <v>599</v>
      </c>
      <c r="AG54" s="33">
        <f t="shared" si="18"/>
        <v>0</v>
      </c>
      <c r="AH54" s="43" t="s">
        <v>2757</v>
      </c>
      <c r="AI54" s="63">
        <f t="shared" si="14"/>
        <v>1.7693661971830985E-3</v>
      </c>
      <c r="AJ54" s="284">
        <f>RTD("money.excel",,$G54,"PredictVolume")</f>
        <v>402</v>
      </c>
      <c r="AK54" s="399">
        <f>IFERROR(VLOOKUP($G54,基本資料!$A:$M,13,0),"無")</f>
        <v>1.88</v>
      </c>
      <c r="AL54" s="245"/>
    </row>
    <row r="55" spans="1:38">
      <c r="A55" s="347">
        <f>IFERROR(VLOOKUP($G55,基本資料!$A:$J,3,0),"無")</f>
        <v>9.1199999999999992</v>
      </c>
      <c r="B55" s="79">
        <f>IFERROR(VLOOKUP($G55,基本資料!$A:$J,4,0),"無")</f>
        <v>-2</v>
      </c>
      <c r="C55" s="79">
        <f>IFERROR(VLOOKUP($G55,基本資料!$A:$J,5,0),"無")</f>
        <v>-4</v>
      </c>
      <c r="D55" s="79">
        <f>IFERROR(VLOOKUP($G55,基本資料!$A:$J,6,0),"無")</f>
        <v>45</v>
      </c>
      <c r="E55" s="79">
        <f>IFERROR(VLOOKUP($G55,基本資料!$A:$J,7,0),"無")</f>
        <v>21</v>
      </c>
      <c r="F55" s="6">
        <f>IFERROR(VLOOKUP($G55,基本資料!$A:$J,8,0),"無")</f>
        <v>11.6</v>
      </c>
      <c r="G55" s="79">
        <v>1323</v>
      </c>
      <c r="H55" s="8" t="s">
        <v>3329</v>
      </c>
      <c r="I55" s="22" t="s">
        <v>600</v>
      </c>
      <c r="J55" s="8" t="str">
        <f>IFERROR(VLOOKUP($G55,今日總結!$A:$AJ,35,0),"")</f>
        <v>融外</v>
      </c>
      <c r="K55" s="5">
        <f>IFERROR(VLOOKUP($G55,今日總結!$A:$AJ,36,0),"")</f>
        <v>0</v>
      </c>
      <c r="L55" s="156">
        <f>IFERROR(VLOOKUP($G55,今日總結!$A:$AJ,33,0),"")</f>
        <v>2</v>
      </c>
      <c r="M55" s="340">
        <f>IFERROR(VLOOKUP($G55,今日總結!$A:$AJ,34,0),"")</f>
        <v>0</v>
      </c>
      <c r="N55" s="240">
        <f t="shared" si="15"/>
        <v>2</v>
      </c>
      <c r="P55" s="365">
        <f>IFERROR(VLOOKUP($G55,融外自投!$A:$J,7,0),"無")</f>
        <v>965</v>
      </c>
      <c r="Q55" s="79">
        <f>IFERROR(VLOOKUP($G55,融外自投!$A:$J,9,0),"無")</f>
        <v>852</v>
      </c>
      <c r="R55" s="346">
        <f>IFERROR(VLOOKUP($G55,融外自投!$A:$J,8,0),"無")</f>
        <v>899</v>
      </c>
      <c r="S55" s="81" t="str">
        <f>IFERROR(VLOOKUP($G55,融外自投!$A:$J,10,0),"無")</f>
        <v>無</v>
      </c>
      <c r="T55" s="327">
        <f>IFERROR(VLOOKUP($G55,'321買'!$A:$E,5,0),"'沒有資料'")</f>
        <v>852</v>
      </c>
      <c r="U55" s="186">
        <f>IFERROR(VLOOKUP($G55,基本資料!$A:$J,9,0),"無")</f>
        <v>1.6</v>
      </c>
      <c r="V55" s="310">
        <f t="shared" si="16"/>
        <v>4.5911047345767578E-2</v>
      </c>
      <c r="W55" s="94">
        <f>IFERROR(VLOOKUP($G55,基本資料!$A:$J,10,0),"無")</f>
        <v>3.04</v>
      </c>
      <c r="X55" s="36">
        <f>RTD("money.excel",,$G55,"Price")</f>
        <v>34.85</v>
      </c>
      <c r="Y55" s="66"/>
      <c r="Z55" s="15">
        <f t="shared" si="17"/>
        <v>34.85</v>
      </c>
      <c r="AA55" s="3" t="e">
        <f t="shared" si="12"/>
        <v>#DIV/0!</v>
      </c>
      <c r="AB55" s="344">
        <f>IFERROR(VLOOKUP($G55,基本資料!$A:$M,11,0),"無")</f>
        <v>-9.73</v>
      </c>
      <c r="AC55" s="397">
        <f>IFERROR(VLOOKUP($G55,基本資料!$A:$M,12,0),"無")</f>
        <v>37.18</v>
      </c>
      <c r="AD55" s="22" t="s">
        <v>600</v>
      </c>
      <c r="AG55" s="33">
        <f t="shared" si="18"/>
        <v>0</v>
      </c>
      <c r="AH55" s="43" t="s">
        <v>2758</v>
      </c>
      <c r="AI55" s="63">
        <f t="shared" si="14"/>
        <v>8.5526315789473699E-4</v>
      </c>
      <c r="AJ55" s="284">
        <f>RTD("money.excel",,$G55,"PredictVolume")</f>
        <v>78</v>
      </c>
      <c r="AK55" s="399">
        <f>IFERROR(VLOOKUP($G55,基本資料!$A:$M,13,0),"無")</f>
        <v>1.4</v>
      </c>
      <c r="AL55" s="245"/>
    </row>
    <row r="56" spans="1:38">
      <c r="A56" s="347">
        <f>IFERROR(VLOOKUP($G56,基本資料!$A:$J,3,0),"無")</f>
        <v>7.51</v>
      </c>
      <c r="B56" s="79">
        <f>IFERROR(VLOOKUP($G56,基本資料!$A:$J,4,0),"無")</f>
        <v>-96</v>
      </c>
      <c r="C56" s="79">
        <f>IFERROR(VLOOKUP($G56,基本資料!$A:$J,5,0),"無")</f>
        <v>-37</v>
      </c>
      <c r="D56" s="79">
        <f>IFERROR(VLOOKUP($G56,基本資料!$A:$J,6,0),"無")</f>
        <v>45</v>
      </c>
      <c r="E56" s="79">
        <f>IFERROR(VLOOKUP($G56,基本資料!$A:$J,7,0),"無")</f>
        <v>-10</v>
      </c>
      <c r="F56" s="6">
        <f>IFERROR(VLOOKUP($G56,基本資料!$A:$J,8,0),"無")</f>
        <v>0.94</v>
      </c>
      <c r="G56" s="79">
        <v>1324</v>
      </c>
      <c r="H56" s="8" t="s">
        <v>3329</v>
      </c>
      <c r="I56" s="22" t="s">
        <v>601</v>
      </c>
      <c r="J56" s="8" t="str">
        <f>IFERROR(VLOOKUP($G56,今日總結!$A:$AJ,35,0),"")</f>
        <v/>
      </c>
      <c r="K56" s="5" t="str">
        <f>IFERROR(VLOOKUP($G56,今日總結!$A:$AJ,36,0),"")</f>
        <v/>
      </c>
      <c r="L56" s="156" t="str">
        <f>IFERROR(VLOOKUP($G56,今日總結!$A:$AJ,33,0),"")</f>
        <v/>
      </c>
      <c r="M56" s="340" t="str">
        <f>IFERROR(VLOOKUP($G56,今日總結!$A:$AJ,34,0),"")</f>
        <v/>
      </c>
      <c r="N56" s="240" t="str">
        <f t="shared" si="15"/>
        <v/>
      </c>
      <c r="P56" s="365">
        <f>IFERROR(VLOOKUP($G56,融外自投!$A:$J,7,0),"無")</f>
        <v>1039</v>
      </c>
      <c r="Q56" s="79">
        <f>IFERROR(VLOOKUP($G56,融外自投!$A:$J,9,0),"無")</f>
        <v>978</v>
      </c>
      <c r="R56" s="346">
        <f>IFERROR(VLOOKUP($G56,融外自投!$A:$J,8,0),"無")</f>
        <v>1266</v>
      </c>
      <c r="S56" s="81" t="str">
        <f>IFERROR(VLOOKUP($G56,融外自投!$A:$J,10,0),"無")</f>
        <v>無</v>
      </c>
      <c r="T56" s="327">
        <f>IFERROR(VLOOKUP($G56,'321買'!$A:$E,5,0),"'沒有資料'")</f>
        <v>1397</v>
      </c>
      <c r="U56" s="186">
        <f>IFERROR(VLOOKUP($G56,基本資料!$A:$J,9,0),"無")</f>
        <v>0.2</v>
      </c>
      <c r="V56" s="310">
        <f t="shared" si="16"/>
        <v>1.9138755980861247E-2</v>
      </c>
      <c r="W56" s="94">
        <f>IFERROR(VLOOKUP($G56,基本資料!$A:$J,10,0),"無")</f>
        <v>0.01</v>
      </c>
      <c r="X56" s="36">
        <f>RTD("money.excel",,$G56,"Price")</f>
        <v>10.45</v>
      </c>
      <c r="Y56" s="66"/>
      <c r="Z56" s="15">
        <f t="shared" si="17"/>
        <v>10.45</v>
      </c>
      <c r="AA56" s="3" t="e">
        <f t="shared" si="12"/>
        <v>#DIV/0!</v>
      </c>
      <c r="AB56" s="344">
        <f>IFERROR(VLOOKUP($G56,基本資料!$A:$M,11,0),"無")</f>
        <v>-24.82</v>
      </c>
      <c r="AC56" s="397">
        <f>IFERROR(VLOOKUP($G56,基本資料!$A:$M,12,0),"無")</f>
        <v>12.39</v>
      </c>
      <c r="AD56" s="22" t="s">
        <v>601</v>
      </c>
      <c r="AG56" s="33">
        <f t="shared" si="18"/>
        <v>0</v>
      </c>
      <c r="AH56" s="43" t="s">
        <v>2759</v>
      </c>
      <c r="AI56" s="63">
        <f t="shared" si="14"/>
        <v>1.1984021304926764E-4</v>
      </c>
      <c r="AJ56" s="284">
        <f>RTD("money.excel",,$G56,"PredictVolume")</f>
        <v>9</v>
      </c>
      <c r="AK56" s="399">
        <f>IFERROR(VLOOKUP($G56,基本資料!$A:$M,13,0),"無")</f>
        <v>4.5599999999999996</v>
      </c>
      <c r="AL56" s="245"/>
    </row>
    <row r="57" spans="1:38">
      <c r="A57" s="347">
        <f>IFERROR(VLOOKUP($G57,基本資料!$A:$J,3,0),"無")</f>
        <v>8.52</v>
      </c>
      <c r="B57" s="79">
        <f>IFERROR(VLOOKUP($G57,基本資料!$A:$J,4,0),"無")</f>
        <v>-86</v>
      </c>
      <c r="C57" s="79">
        <f>IFERROR(VLOOKUP($G57,基本資料!$A:$J,5,0),"無")</f>
        <v>-85</v>
      </c>
      <c r="D57" s="79">
        <f>IFERROR(VLOOKUP($G57,基本資料!$A:$J,6,0),"無")</f>
        <v>4</v>
      </c>
      <c r="E57" s="79">
        <f>IFERROR(VLOOKUP($G57,基本資料!$A:$J,7,0),"無")</f>
        <v>-69</v>
      </c>
      <c r="F57" s="6">
        <f>IFERROR(VLOOKUP($G57,基本資料!$A:$J,8,0),"無")</f>
        <v>31.07</v>
      </c>
      <c r="G57" s="79">
        <v>1325</v>
      </c>
      <c r="H57" s="8" t="s">
        <v>293</v>
      </c>
      <c r="I57" s="22" t="s">
        <v>602</v>
      </c>
      <c r="J57" s="8" t="str">
        <f>IFERROR(VLOOKUP($G57,今日總結!$A:$AJ,35,0),"")</f>
        <v/>
      </c>
      <c r="K57" s="5" t="str">
        <f>IFERROR(VLOOKUP($G57,今日總結!$A:$AJ,36,0),"")</f>
        <v/>
      </c>
      <c r="L57" s="156" t="str">
        <f>IFERROR(VLOOKUP($G57,今日總結!$A:$AJ,33,0),"")</f>
        <v/>
      </c>
      <c r="M57" s="340" t="str">
        <f>IFERROR(VLOOKUP($G57,今日總結!$A:$AJ,34,0),"")</f>
        <v/>
      </c>
      <c r="N57" s="240" t="str">
        <f t="shared" si="15"/>
        <v/>
      </c>
      <c r="P57" s="365">
        <f>IFERROR(VLOOKUP($G57,融外自投!$A:$J,7,0),"無")</f>
        <v>301</v>
      </c>
      <c r="Q57" s="79">
        <f>IFERROR(VLOOKUP($G57,融外自投!$A:$J,9,0),"無")</f>
        <v>23</v>
      </c>
      <c r="R57" s="346">
        <f>IFERROR(VLOOKUP($G57,融外自投!$A:$J,8,0),"無")</f>
        <v>844</v>
      </c>
      <c r="S57" s="81" t="str">
        <f>IFERROR(VLOOKUP($G57,融外自投!$A:$J,10,0),"無")</f>
        <v>無</v>
      </c>
      <c r="T57" s="327">
        <f>IFERROR(VLOOKUP($G57,'321買'!$A:$E,5,0),"'沒有資料'")</f>
        <v>480</v>
      </c>
      <c r="U57" s="186">
        <f>IFERROR(VLOOKUP($G57,基本資料!$A:$J,9,0),"無")</f>
        <v>2</v>
      </c>
      <c r="V57" s="310">
        <f t="shared" si="16"/>
        <v>6.25E-2</v>
      </c>
      <c r="W57" s="94">
        <f>IFERROR(VLOOKUP($G57,基本資料!$A:$J,10,0),"無")</f>
        <v>3.26</v>
      </c>
      <c r="X57" s="36">
        <f>RTD("money.excel",,$G57,"Price")</f>
        <v>32</v>
      </c>
      <c r="Y57" s="66"/>
      <c r="Z57" s="15">
        <f t="shared" si="17"/>
        <v>32</v>
      </c>
      <c r="AA57" s="3" t="e">
        <f t="shared" si="12"/>
        <v>#DIV/0!</v>
      </c>
      <c r="AB57" s="344">
        <f>IFERROR(VLOOKUP($G57,基本資料!$A:$M,11,0),"無")</f>
        <v>-63.63</v>
      </c>
      <c r="AC57" s="397">
        <f>IFERROR(VLOOKUP($G57,基本資料!$A:$M,12,0),"無")</f>
        <v>15.51</v>
      </c>
      <c r="AD57" s="22" t="s">
        <v>602</v>
      </c>
      <c r="AG57" s="33">
        <f t="shared" si="18"/>
        <v>0</v>
      </c>
      <c r="AH57" s="43" t="s">
        <v>2535</v>
      </c>
      <c r="AI57" s="63">
        <f t="shared" si="14"/>
        <v>1.4307511737089202E-2</v>
      </c>
      <c r="AJ57" s="284">
        <f>RTD("money.excel",,$G57,"PredictVolume")</f>
        <v>1219</v>
      </c>
      <c r="AK57" s="399">
        <f>IFERROR(VLOOKUP($G57,基本資料!$A:$M,13,0),"無")</f>
        <v>54.39</v>
      </c>
      <c r="AL57" s="245"/>
    </row>
    <row r="58" spans="1:38">
      <c r="A58" s="347">
        <f>IFERROR(VLOOKUP($G58,基本資料!$A:$J,3,0),"無")</f>
        <v>586</v>
      </c>
      <c r="B58" s="79">
        <f>IFERROR(VLOOKUP($G58,基本資料!$A:$J,4,0),"無")</f>
        <v>98</v>
      </c>
      <c r="C58" s="79">
        <f>IFERROR(VLOOKUP($G58,基本資料!$A:$J,5,0),"無")</f>
        <v>124</v>
      </c>
      <c r="D58" s="79">
        <f>IFERROR(VLOOKUP($G58,基本資料!$A:$J,6,0),"無")</f>
        <v>0</v>
      </c>
      <c r="E58" s="79">
        <f>IFERROR(VLOOKUP($G58,基本資料!$A:$J,7,0),"無")</f>
        <v>10</v>
      </c>
      <c r="F58" s="6">
        <f>IFERROR(VLOOKUP($G58,基本資料!$A:$J,8,0),"無")</f>
        <v>9.41</v>
      </c>
      <c r="G58" s="79">
        <v>1326</v>
      </c>
      <c r="H58" s="17" t="s">
        <v>3329</v>
      </c>
      <c r="I58" s="22" t="s">
        <v>3587</v>
      </c>
      <c r="J58" s="8" t="str">
        <f>IFERROR(VLOOKUP($G58,今日總結!$A:$AJ,35,0),"")</f>
        <v/>
      </c>
      <c r="K58" s="5" t="str">
        <f>IFERROR(VLOOKUP($G58,今日總結!$A:$AJ,36,0),"")</f>
        <v/>
      </c>
      <c r="L58" s="156" t="str">
        <f>IFERROR(VLOOKUP($G58,今日總結!$A:$AJ,33,0),"")</f>
        <v/>
      </c>
      <c r="M58" s="340" t="str">
        <f>IFERROR(VLOOKUP($G58,今日總結!$A:$AJ,34,0),"")</f>
        <v/>
      </c>
      <c r="N58" s="240" t="str">
        <f t="shared" si="15"/>
        <v/>
      </c>
      <c r="P58" s="365">
        <f>IFERROR(VLOOKUP($G58,融外自投!$A:$J,7,0),"無")</f>
        <v>1431</v>
      </c>
      <c r="Q58" s="79">
        <f>IFERROR(VLOOKUP($G58,融外自投!$A:$J,9,0),"無")</f>
        <v>279</v>
      </c>
      <c r="R58" s="346">
        <f>IFERROR(VLOOKUP($G58,融外自投!$A:$J,8,0),"無")</f>
        <v>145</v>
      </c>
      <c r="S58" s="81">
        <f>IFERROR(VLOOKUP($G58,融外自投!$A:$J,10,0),"無")</f>
        <v>196</v>
      </c>
      <c r="T58" s="327">
        <f>IFERROR(VLOOKUP($G58,'321買'!$A:$E,5,0),"'沒有資料'")</f>
        <v>68</v>
      </c>
      <c r="U58" s="186">
        <f>IFERROR(VLOOKUP($G58,基本資料!$A:$J,9,0),"無")</f>
        <v>4.8</v>
      </c>
      <c r="V58" s="310">
        <f t="shared" si="16"/>
        <v>6.1381074168797949E-2</v>
      </c>
      <c r="W58" s="94">
        <f>IFERROR(VLOOKUP($G58,基本資料!$A:$J,10,0),"無")</f>
        <v>6.56</v>
      </c>
      <c r="X58" s="36">
        <f>RTD("money.excel",,$G58,"Price")</f>
        <v>78.2</v>
      </c>
      <c r="Y58" s="65"/>
      <c r="Z58" s="15">
        <f t="shared" si="17"/>
        <v>78.2</v>
      </c>
      <c r="AA58" s="3" t="e">
        <f t="shared" si="12"/>
        <v>#DIV/0!</v>
      </c>
      <c r="AB58" s="344">
        <f>IFERROR(VLOOKUP($G58,基本資料!$A:$M,11,0),"無")</f>
        <v>-10.99</v>
      </c>
      <c r="AC58" s="397">
        <f>IFERROR(VLOOKUP($G58,基本資料!$A:$M,12,0),"無")</f>
        <v>30.98</v>
      </c>
      <c r="AD58" s="22" t="s">
        <v>3587</v>
      </c>
      <c r="AG58" s="33">
        <f t="shared" si="18"/>
        <v>0</v>
      </c>
      <c r="AH58" s="43" t="s">
        <v>3535</v>
      </c>
      <c r="AI58" s="63">
        <f t="shared" si="14"/>
        <v>5.5494880546075082E-4</v>
      </c>
      <c r="AJ58" s="284">
        <f>RTD("money.excel",,$G58,"PredictVolume")</f>
        <v>3252</v>
      </c>
      <c r="AK58" s="399">
        <f>IFERROR(VLOOKUP($G58,基本資料!$A:$M,13,0),"無")</f>
        <v>0.32</v>
      </c>
      <c r="AL58" s="245"/>
    </row>
    <row r="59" spans="1:38">
      <c r="A59" s="347">
        <f>IFERROR(VLOOKUP($G59,基本資料!$A:$J,3,0),"無")</f>
        <v>26.89</v>
      </c>
      <c r="B59" s="79">
        <f>IFERROR(VLOOKUP($G59,基本資料!$A:$J,4,0),"無")</f>
        <v>64</v>
      </c>
      <c r="C59" s="79">
        <f>IFERROR(VLOOKUP($G59,基本資料!$A:$J,5,0),"無")</f>
        <v>60</v>
      </c>
      <c r="D59" s="79">
        <f>IFERROR(VLOOKUP($G59,基本資料!$A:$J,6,0),"無")</f>
        <v>-36</v>
      </c>
      <c r="E59" s="79">
        <f>IFERROR(VLOOKUP($G59,基本資料!$A:$J,7,0),"無")</f>
        <v>-70</v>
      </c>
      <c r="F59" s="6">
        <f>IFERROR(VLOOKUP($G59,基本資料!$A:$J,8,0),"無")</f>
        <v>-47.84</v>
      </c>
      <c r="G59" s="79">
        <v>1337</v>
      </c>
      <c r="H59" s="8" t="s">
        <v>3329</v>
      </c>
      <c r="I59" s="22" t="s">
        <v>603</v>
      </c>
      <c r="J59" s="8">
        <f>IFERROR(VLOOKUP($G59,今日總結!$A:$AJ,35,0),"")</f>
        <v>0</v>
      </c>
      <c r="K59" s="5">
        <f>IFERROR(VLOOKUP($G59,今日總結!$A:$AJ,36,0),"")</f>
        <v>0</v>
      </c>
      <c r="L59" s="156">
        <f>IFERROR(VLOOKUP($G59,今日總結!$A:$AJ,33,0),"")</f>
        <v>0</v>
      </c>
      <c r="M59" s="340">
        <f>IFERROR(VLOOKUP($G59,今日總結!$A:$AJ,34,0),"")</f>
        <v>1</v>
      </c>
      <c r="N59" s="240">
        <f t="shared" si="15"/>
        <v>-1</v>
      </c>
      <c r="P59" s="365">
        <f>IFERROR(VLOOKUP($G59,融外自投!$A:$J,7,0),"無")</f>
        <v>137</v>
      </c>
      <c r="Q59" s="79">
        <f>IFERROR(VLOOKUP($G59,融外自投!$A:$J,9,0),"無")</f>
        <v>789</v>
      </c>
      <c r="R59" s="346">
        <f>IFERROR(VLOOKUP($G59,融外自投!$A:$J,8,0),"無")</f>
        <v>228</v>
      </c>
      <c r="S59" s="81" t="str">
        <f>IFERROR(VLOOKUP($G59,融外自投!$A:$J,10,0),"無")</f>
        <v>無</v>
      </c>
      <c r="T59" s="327">
        <f>IFERROR(VLOOKUP($G59,'321買'!$A:$E,5,0),"'沒有資料'")</f>
        <v>584</v>
      </c>
      <c r="U59" s="186">
        <f>IFERROR(VLOOKUP($G59,基本資料!$A:$J,9,0),"無")</f>
        <v>0</v>
      </c>
      <c r="V59" s="310">
        <f t="shared" si="16"/>
        <v>0</v>
      </c>
      <c r="W59" s="94">
        <f>IFERROR(VLOOKUP($G59,基本資料!$A:$J,10,0),"無")</f>
        <v>-1.71</v>
      </c>
      <c r="X59" s="36">
        <f>RTD("money.excel",,$G59,"Price")</f>
        <v>6.09</v>
      </c>
      <c r="Y59" s="66"/>
      <c r="Z59" s="15">
        <f t="shared" si="17"/>
        <v>6.09</v>
      </c>
      <c r="AA59" s="3" t="e">
        <f t="shared" si="12"/>
        <v>#DIV/0!</v>
      </c>
      <c r="AB59" s="344">
        <f>IFERROR(VLOOKUP($G59,基本資料!$A:$M,11,0),"無")</f>
        <v>-31.47</v>
      </c>
      <c r="AC59" s="397">
        <f>IFERROR(VLOOKUP($G59,基本資料!$A:$M,12,0),"無")</f>
        <v>10.63</v>
      </c>
      <c r="AD59" s="22" t="s">
        <v>603</v>
      </c>
      <c r="AG59" s="33">
        <f t="shared" si="18"/>
        <v>0</v>
      </c>
      <c r="AH59" s="43" t="s">
        <v>2760</v>
      </c>
      <c r="AI59" s="63">
        <f t="shared" si="14"/>
        <v>6.359241353663072E-4</v>
      </c>
      <c r="AJ59" s="284">
        <f>RTD("money.excel",,$G59,"PredictVolume")</f>
        <v>171</v>
      </c>
      <c r="AK59" s="399">
        <f>IFERROR(VLOOKUP($G59,基本資料!$A:$M,13,0),"無")</f>
        <v>4.99</v>
      </c>
    </row>
    <row r="60" spans="1:38">
      <c r="A60" s="347">
        <f>IFERROR(VLOOKUP($G60,基本資料!$A:$J,3,0),"無")</f>
        <v>15.29</v>
      </c>
      <c r="B60" s="79">
        <f>IFERROR(VLOOKUP($G60,基本資料!$A:$J,4,0),"無")</f>
        <v>-31</v>
      </c>
      <c r="C60" s="79">
        <f>IFERROR(VLOOKUP($G60,基本資料!$A:$J,5,0),"無")</f>
        <v>-30</v>
      </c>
      <c r="D60" s="79">
        <f>IFERROR(VLOOKUP($G60,基本資料!$A:$J,6,0),"無")</f>
        <v>-42</v>
      </c>
      <c r="E60" s="79">
        <f>IFERROR(VLOOKUP($G60,基本資料!$A:$J,7,0),"無")</f>
        <v>-52</v>
      </c>
      <c r="F60" s="6">
        <f>IFERROR(VLOOKUP($G60,基本資料!$A:$J,8,0),"無")</f>
        <v>-80.489999999999995</v>
      </c>
      <c r="G60" s="79">
        <v>1340</v>
      </c>
      <c r="H60" s="8" t="s">
        <v>3329</v>
      </c>
      <c r="I60" s="22" t="s">
        <v>604</v>
      </c>
      <c r="J60" s="8" t="str">
        <f>IFERROR(VLOOKUP($G60,今日總結!$A:$AJ,35,0),"")</f>
        <v/>
      </c>
      <c r="K60" s="5" t="str">
        <f>IFERROR(VLOOKUP($G60,今日總結!$A:$AJ,36,0),"")</f>
        <v/>
      </c>
      <c r="L60" s="156" t="str">
        <f>IFERROR(VLOOKUP($G60,今日總結!$A:$AJ,33,0),"")</f>
        <v/>
      </c>
      <c r="M60" s="340" t="str">
        <f>IFERROR(VLOOKUP($G60,今日總結!$A:$AJ,34,0),"")</f>
        <v/>
      </c>
      <c r="N60" s="240" t="str">
        <f t="shared" si="15"/>
        <v/>
      </c>
      <c r="P60" s="365">
        <f>IFERROR(VLOOKUP($G60,融外自投!$A:$J,7,0),"無")</f>
        <v>969</v>
      </c>
      <c r="Q60" s="79">
        <f>IFERROR(VLOOKUP($G60,融外自投!$A:$J,9,0),"無")</f>
        <v>492</v>
      </c>
      <c r="R60" s="346">
        <f>IFERROR(VLOOKUP($G60,融外自投!$A:$J,8,0),"無")</f>
        <v>195</v>
      </c>
      <c r="S60" s="81" t="str">
        <f>IFERROR(VLOOKUP($G60,融外自投!$A:$J,10,0),"無")</f>
        <v>無</v>
      </c>
      <c r="T60" s="327">
        <f>IFERROR(VLOOKUP($G60,'321買'!$A:$E,5,0),"'沒有資料'")</f>
        <v>984</v>
      </c>
      <c r="U60" s="186">
        <f>IFERROR(VLOOKUP($G60,基本資料!$A:$J,9,0),"無")</f>
        <v>0</v>
      </c>
      <c r="V60" s="310">
        <f t="shared" si="16"/>
        <v>0</v>
      </c>
      <c r="W60" s="94">
        <f>IFERROR(VLOOKUP($G60,基本資料!$A:$J,10,0),"無")</f>
        <v>-3.35</v>
      </c>
      <c r="X60" s="36">
        <f>RTD("money.excel",,$G60,"Price")</f>
        <v>10.1</v>
      </c>
      <c r="Y60" s="66"/>
      <c r="Z60" s="15">
        <f t="shared" si="17"/>
        <v>10.1</v>
      </c>
      <c r="AA60" s="3" t="e">
        <f t="shared" si="12"/>
        <v>#DIV/0!</v>
      </c>
      <c r="AB60" s="344">
        <f>IFERROR(VLOOKUP($G60,基本資料!$A:$M,11,0),"無")</f>
        <v>-20.16</v>
      </c>
      <c r="AC60" s="397">
        <f>IFERROR(VLOOKUP($G60,基本資料!$A:$M,12,0),"無")</f>
        <v>19.45</v>
      </c>
      <c r="AD60" s="22" t="s">
        <v>604</v>
      </c>
      <c r="AG60" s="33">
        <f t="shared" si="18"/>
        <v>0</v>
      </c>
      <c r="AH60" s="43" t="s">
        <v>2487</v>
      </c>
      <c r="AI60" s="63">
        <f t="shared" si="14"/>
        <v>3.5317200784826686E-4</v>
      </c>
      <c r="AJ60" s="284">
        <f>RTD("money.excel",,$G60,"PredictVolume")</f>
        <v>54</v>
      </c>
      <c r="AK60" s="399">
        <f>IFERROR(VLOOKUP($G60,基本資料!$A:$M,13,0),"無")</f>
        <v>2.8</v>
      </c>
    </row>
    <row r="61" spans="1:38">
      <c r="A61" s="347">
        <f>IFERROR(VLOOKUP($G61,基本資料!$A:$J,3,0),"無")</f>
        <v>5.04</v>
      </c>
      <c r="B61" s="79">
        <f>IFERROR(VLOOKUP($G61,基本資料!$A:$J,4,0),"無")</f>
        <v>-4</v>
      </c>
      <c r="C61" s="79">
        <f>IFERROR(VLOOKUP($G61,基本資料!$A:$J,5,0),"無")</f>
        <v>-9</v>
      </c>
      <c r="D61" s="79">
        <f>IFERROR(VLOOKUP($G61,基本資料!$A:$J,6,0),"無")</f>
        <v>-23</v>
      </c>
      <c r="E61" s="79">
        <f>IFERROR(VLOOKUP($G61,基本資料!$A:$J,7,0),"無")</f>
        <v>28</v>
      </c>
      <c r="F61" s="6">
        <f>IFERROR(VLOOKUP($G61,基本資料!$A:$J,8,0),"無")</f>
        <v>12.82</v>
      </c>
      <c r="G61" s="79">
        <v>1341</v>
      </c>
      <c r="H61" s="8" t="s">
        <v>3329</v>
      </c>
      <c r="I61" s="22" t="s">
        <v>1772</v>
      </c>
      <c r="J61" s="8" t="str">
        <f>IFERROR(VLOOKUP($G61,今日總結!$A:$AJ,35,0),"")</f>
        <v/>
      </c>
      <c r="K61" s="5" t="str">
        <f>IFERROR(VLOOKUP($G61,今日總結!$A:$AJ,36,0),"")</f>
        <v/>
      </c>
      <c r="L61" s="156" t="str">
        <f>IFERROR(VLOOKUP($G61,今日總結!$A:$AJ,33,0),"")</f>
        <v/>
      </c>
      <c r="M61" s="340" t="str">
        <f>IFERROR(VLOOKUP($G61,今日總結!$A:$AJ,34,0),"")</f>
        <v/>
      </c>
      <c r="N61" s="240" t="str">
        <f t="shared" si="15"/>
        <v/>
      </c>
      <c r="P61" s="365" t="str">
        <f>IFERROR(VLOOKUP($G61,融外自投!$A:$J,7,0),"無")</f>
        <v>無</v>
      </c>
      <c r="Q61" s="79" t="str">
        <f>IFERROR(VLOOKUP($G61,融外自投!$A:$J,9,0),"無")</f>
        <v>無</v>
      </c>
      <c r="R61" s="346" t="str">
        <f>IFERROR(VLOOKUP($G61,融外自投!$A:$J,8,0),"無")</f>
        <v>無</v>
      </c>
      <c r="S61" s="81" t="str">
        <f>IFERROR(VLOOKUP($G61,融外自投!$A:$J,10,0),"無")</f>
        <v>無</v>
      </c>
      <c r="T61" s="327" t="str">
        <f>IFERROR(VLOOKUP($G61,'321買'!$A:$E,5,0),"'沒有資料'")</f>
        <v>'沒有資料'</v>
      </c>
      <c r="U61" s="186">
        <f>IFERROR(VLOOKUP($G61,基本資料!$A:$J,9,0),"無")</f>
        <v>6</v>
      </c>
      <c r="V61" s="310">
        <f t="shared" si="16"/>
        <v>8.1743869209809264E-2</v>
      </c>
      <c r="W61" s="94">
        <f>IFERROR(VLOOKUP($G61,基本資料!$A:$J,10,0),"無")</f>
        <v>5.99</v>
      </c>
      <c r="X61" s="36">
        <f>RTD("money.excel",,$G61,"Price")</f>
        <v>73.400000000000006</v>
      </c>
      <c r="Y61" s="66"/>
      <c r="Z61" s="15">
        <f t="shared" si="17"/>
        <v>73.400000000000006</v>
      </c>
      <c r="AA61" s="3" t="e">
        <f t="shared" si="12"/>
        <v>#DIV/0!</v>
      </c>
      <c r="AB61" s="344">
        <f>IFERROR(VLOOKUP($G61,基本資料!$A:$M,11,0),"無")</f>
        <v>-14.96</v>
      </c>
      <c r="AC61" s="397">
        <f>IFERROR(VLOOKUP($G61,基本資料!$A:$M,12,0),"無")</f>
        <v>86.98</v>
      </c>
      <c r="AD61" s="22" t="s">
        <v>1772</v>
      </c>
      <c r="AG61" s="33">
        <f t="shared" si="18"/>
        <v>0</v>
      </c>
      <c r="AH61" s="43" t="s">
        <v>2761</v>
      </c>
      <c r="AI61" s="63">
        <f t="shared" si="14"/>
        <v>1.1904761904761905E-4</v>
      </c>
      <c r="AJ61" s="284">
        <f>RTD("money.excel",,$G61,"PredictVolume")</f>
        <v>6</v>
      </c>
      <c r="AK61" s="399">
        <f>IFERROR(VLOOKUP($G61,基本資料!$A:$M,13,0),"無")</f>
        <v>0.51</v>
      </c>
    </row>
    <row r="62" spans="1:38">
      <c r="A62" s="347">
        <f>IFERROR(VLOOKUP($G62,基本資料!$A:$J,3,0),"無")</f>
        <v>6.75</v>
      </c>
      <c r="B62" s="79">
        <f>IFERROR(VLOOKUP($G62,基本資料!$A:$J,4,0),"無")</f>
        <v>581</v>
      </c>
      <c r="C62" s="79">
        <f>IFERROR(VLOOKUP($G62,基本資料!$A:$J,5,0),"無")</f>
        <v>95</v>
      </c>
      <c r="D62" s="79">
        <f>IFERROR(VLOOKUP($G62,基本資料!$A:$J,6,0),"無")</f>
        <v>51</v>
      </c>
      <c r="E62" s="79">
        <f>IFERROR(VLOOKUP($G62,基本資料!$A:$J,7,0),"無")</f>
        <v>-3</v>
      </c>
      <c r="F62" s="6">
        <f>IFERROR(VLOOKUP($G62,基本資料!$A:$J,8,0),"無")</f>
        <v>5.09</v>
      </c>
      <c r="G62" s="79">
        <v>4303</v>
      </c>
      <c r="H62" s="8" t="s">
        <v>3329</v>
      </c>
      <c r="I62" s="16" t="s">
        <v>589</v>
      </c>
      <c r="J62" s="8" t="str">
        <f>IFERROR(VLOOKUP($G62,今日總結!$A:$AJ,35,0),"")</f>
        <v>2主</v>
      </c>
      <c r="K62" s="5">
        <f>IFERROR(VLOOKUP($G62,今日總結!$A:$AJ,36,0),"")</f>
        <v>0</v>
      </c>
      <c r="L62" s="156">
        <f>IFERROR(VLOOKUP($G62,今日總結!$A:$AJ,33,0),"")</f>
        <v>2</v>
      </c>
      <c r="M62" s="340">
        <f>IFERROR(VLOOKUP($G62,今日總結!$A:$AJ,34,0),"")</f>
        <v>0</v>
      </c>
      <c r="N62" s="240">
        <f t="shared" si="15"/>
        <v>2</v>
      </c>
      <c r="P62" s="365">
        <f>IFERROR(VLOOKUP($G62,融外自投!$A:$J,7,0),"無")</f>
        <v>459</v>
      </c>
      <c r="Q62" s="79" t="str">
        <f>IFERROR(VLOOKUP($G62,融外自投!$A:$J,9,0),"無")</f>
        <v>無</v>
      </c>
      <c r="R62" s="346">
        <f>IFERROR(VLOOKUP($G62,融外自投!$A:$J,8,0),"無")</f>
        <v>1253</v>
      </c>
      <c r="S62" s="81" t="str">
        <f>IFERROR(VLOOKUP($G62,融外自投!$A:$J,10,0),"無")</f>
        <v>無</v>
      </c>
      <c r="T62" s="327">
        <f>IFERROR(VLOOKUP($G62,'321買'!$A:$E,5,0),"'沒有資料'")</f>
        <v>869</v>
      </c>
      <c r="U62" s="186">
        <f>IFERROR(VLOOKUP($G62,基本資料!$A:$J,9,0),"無")</f>
        <v>1.1000000000000001</v>
      </c>
      <c r="V62" s="310">
        <f t="shared" si="16"/>
        <v>4.0590405904059039E-2</v>
      </c>
      <c r="W62" s="94">
        <f>IFERROR(VLOOKUP($G62,基本資料!$A:$J,10,0),"無")</f>
        <v>1.96</v>
      </c>
      <c r="X62" s="36">
        <f>RTD("money.excel",,$G62,"Price")</f>
        <v>27.1</v>
      </c>
      <c r="Y62" s="66"/>
      <c r="Z62" s="15">
        <f t="shared" si="17"/>
        <v>27.1</v>
      </c>
      <c r="AA62" s="3" t="e">
        <f t="shared" si="12"/>
        <v>#DIV/0!</v>
      </c>
      <c r="AB62" s="344">
        <f>IFERROR(VLOOKUP($G62,基本資料!$A:$M,11,0),"無")</f>
        <v>-29.83</v>
      </c>
      <c r="AC62" s="397">
        <f>IFERROR(VLOOKUP($G62,基本資料!$A:$M,12,0),"無")</f>
        <v>47.51</v>
      </c>
      <c r="AD62" s="16" t="s">
        <v>589</v>
      </c>
      <c r="AG62" s="33">
        <f t="shared" si="18"/>
        <v>0</v>
      </c>
      <c r="AH62" s="43" t="s">
        <v>2626</v>
      </c>
      <c r="AI62" s="63">
        <f t="shared" si="14"/>
        <v>0.11013333333333333</v>
      </c>
      <c r="AJ62" s="284">
        <f>RTD("money.excel",,$G62,"PredictVolume")</f>
        <v>7434</v>
      </c>
      <c r="AK62" s="399">
        <f>IFERROR(VLOOKUP($G62,基本資料!$A:$M,13,0),"無")</f>
        <v>10.16</v>
      </c>
    </row>
    <row r="63" spans="1:38">
      <c r="A63" s="347">
        <f>IFERROR(VLOOKUP($G63,基本資料!$A:$J,3,0),"無")</f>
        <v>3.6</v>
      </c>
      <c r="B63" s="79">
        <f>IFERROR(VLOOKUP($G63,基本資料!$A:$J,4,0),"無")</f>
        <v>471</v>
      </c>
      <c r="C63" s="79">
        <f>IFERROR(VLOOKUP($G63,基本資料!$A:$J,5,0),"無")</f>
        <v>-31</v>
      </c>
      <c r="D63" s="79">
        <f>IFERROR(VLOOKUP($G63,基本資料!$A:$J,6,0),"無")</f>
        <v>102</v>
      </c>
      <c r="E63" s="79">
        <f>IFERROR(VLOOKUP($G63,基本資料!$A:$J,7,0),"無")</f>
        <v>-13</v>
      </c>
      <c r="F63" s="6">
        <f>IFERROR(VLOOKUP($G63,基本資料!$A:$J,8,0),"無")</f>
        <v>-10.45</v>
      </c>
      <c r="G63" s="79">
        <v>4304</v>
      </c>
      <c r="H63" s="8" t="s">
        <v>3329</v>
      </c>
      <c r="I63" s="16" t="s">
        <v>590</v>
      </c>
      <c r="J63" s="8" t="str">
        <f>IFERROR(VLOOKUP($G63,今日總結!$A:$AJ,35,0),"")</f>
        <v/>
      </c>
      <c r="K63" s="5" t="str">
        <f>IFERROR(VLOOKUP($G63,今日總結!$A:$AJ,36,0),"")</f>
        <v/>
      </c>
      <c r="L63" s="156" t="str">
        <f>IFERROR(VLOOKUP($G63,今日總結!$A:$AJ,33,0),"")</f>
        <v/>
      </c>
      <c r="M63" s="340" t="str">
        <f>IFERROR(VLOOKUP($G63,今日總結!$A:$AJ,34,0),"")</f>
        <v/>
      </c>
      <c r="N63" s="240" t="str">
        <f t="shared" si="15"/>
        <v/>
      </c>
      <c r="P63" s="365" t="str">
        <f>IFERROR(VLOOKUP($G63,融外自投!$A:$J,7,0),"無")</f>
        <v>無</v>
      </c>
      <c r="Q63" s="79" t="str">
        <f>IFERROR(VLOOKUP($G63,融外自投!$A:$J,9,0),"無")</f>
        <v>無</v>
      </c>
      <c r="R63" s="346" t="str">
        <f>IFERROR(VLOOKUP($G63,融外自投!$A:$J,8,0),"無")</f>
        <v>無</v>
      </c>
      <c r="S63" s="81" t="str">
        <f>IFERROR(VLOOKUP($G63,融外自投!$A:$J,10,0),"無")</f>
        <v>無</v>
      </c>
      <c r="T63" s="327" t="str">
        <f>IFERROR(VLOOKUP($G63,'321買'!$A:$E,5,0),"'沒有資料'")</f>
        <v>'沒有資料'</v>
      </c>
      <c r="U63" s="186">
        <f>IFERROR(VLOOKUP($G63,基本資料!$A:$J,9,0),"無")</f>
        <v>0</v>
      </c>
      <c r="V63" s="310">
        <f t="shared" si="16"/>
        <v>0</v>
      </c>
      <c r="W63" s="94">
        <f>IFERROR(VLOOKUP($G63,基本資料!$A:$J,10,0),"無")</f>
        <v>4.22</v>
      </c>
      <c r="X63" s="36">
        <f>RTD("money.excel",,$G63,"Price")</f>
        <v>7.83</v>
      </c>
      <c r="Y63" s="66"/>
      <c r="Z63" s="15">
        <f t="shared" si="17"/>
        <v>7.83</v>
      </c>
      <c r="AA63" s="3" t="e">
        <f t="shared" si="12"/>
        <v>#DIV/0!</v>
      </c>
      <c r="AB63" s="344">
        <f>IFERROR(VLOOKUP($G63,基本資料!$A:$M,11,0),"無")</f>
        <v>-50</v>
      </c>
      <c r="AC63" s="397">
        <f>IFERROR(VLOOKUP($G63,基本資料!$A:$M,12,0),"無")</f>
        <v>17.11</v>
      </c>
      <c r="AD63" s="16" t="s">
        <v>590</v>
      </c>
      <c r="AG63" s="33">
        <f t="shared" si="18"/>
        <v>0</v>
      </c>
      <c r="AH63" s="43" t="s">
        <v>2627</v>
      </c>
      <c r="AI63" s="63">
        <f t="shared" si="14"/>
        <v>5.8333333333333338E-4</v>
      </c>
      <c r="AJ63" s="284">
        <f>RTD("money.excel",,$G63,"PredictVolume")</f>
        <v>21</v>
      </c>
      <c r="AK63" s="399">
        <f>IFERROR(VLOOKUP($G63,基本資料!$A:$M,13,0),"無")</f>
        <v>2.3199999999999998</v>
      </c>
    </row>
    <row r="64" spans="1:38">
      <c r="A64" s="347">
        <f>IFERROR(VLOOKUP($G64,基本資料!$A:$J,3,0),"無")</f>
        <v>5.5</v>
      </c>
      <c r="B64" s="79">
        <f>IFERROR(VLOOKUP($G64,基本資料!$A:$J,4,0),"無")</f>
        <v>-2</v>
      </c>
      <c r="C64" s="79">
        <f>IFERROR(VLOOKUP($G64,基本資料!$A:$J,5,0),"無")</f>
        <v>-4</v>
      </c>
      <c r="D64" s="79">
        <f>IFERROR(VLOOKUP($G64,基本資料!$A:$J,6,0),"無")</f>
        <v>-12</v>
      </c>
      <c r="E64" s="79">
        <f>IFERROR(VLOOKUP($G64,基本資料!$A:$J,7,0),"無")</f>
        <v>-21</v>
      </c>
      <c r="F64" s="6">
        <f>IFERROR(VLOOKUP($G64,基本資料!$A:$J,8,0),"無")</f>
        <v>13.17</v>
      </c>
      <c r="G64" s="79">
        <v>4305</v>
      </c>
      <c r="H64" s="8" t="s">
        <v>3329</v>
      </c>
      <c r="I64" s="16" t="s">
        <v>591</v>
      </c>
      <c r="J64" s="8" t="str">
        <f>IFERROR(VLOOKUP($G64,今日總結!$A:$AJ,35,0),"")</f>
        <v/>
      </c>
      <c r="K64" s="5" t="str">
        <f>IFERROR(VLOOKUP($G64,今日總結!$A:$AJ,36,0),"")</f>
        <v/>
      </c>
      <c r="L64" s="156" t="str">
        <f>IFERROR(VLOOKUP($G64,今日總結!$A:$AJ,33,0),"")</f>
        <v/>
      </c>
      <c r="M64" s="340" t="str">
        <f>IFERROR(VLOOKUP($G64,今日總結!$A:$AJ,34,0),"")</f>
        <v/>
      </c>
      <c r="N64" s="240" t="str">
        <f t="shared" si="15"/>
        <v/>
      </c>
      <c r="P64" s="365">
        <f>IFERROR(VLOOKUP($G64,融外自投!$A:$J,7,0),"無")</f>
        <v>1466</v>
      </c>
      <c r="Q64" s="79" t="str">
        <f>IFERROR(VLOOKUP($G64,融外自投!$A:$J,9,0),"無")</f>
        <v>無</v>
      </c>
      <c r="R64" s="346">
        <f>IFERROR(VLOOKUP($G64,融外自投!$A:$J,8,0),"無")</f>
        <v>1462</v>
      </c>
      <c r="S64" s="81" t="str">
        <f>IFERROR(VLOOKUP($G64,融外自投!$A:$J,10,0),"無")</f>
        <v>無</v>
      </c>
      <c r="T64" s="327" t="str">
        <f>IFERROR(VLOOKUP($G64,'321買'!$A:$E,5,0),"'沒有資料'")</f>
        <v>'沒有資料'</v>
      </c>
      <c r="U64" s="186">
        <f>IFERROR(VLOOKUP($G64,基本資料!$A:$J,9,0),"無")</f>
        <v>1.8</v>
      </c>
      <c r="V64" s="310" t="e">
        <f t="shared" si="16"/>
        <v>#VALUE!</v>
      </c>
      <c r="W64" s="94">
        <f>IFERROR(VLOOKUP($G64,基本資料!$A:$J,10,0),"無")</f>
        <v>2.0299999999999998</v>
      </c>
      <c r="X64" s="36" t="str">
        <f>RTD("money.excel",,$G64,"Price")</f>
        <v>無資料</v>
      </c>
      <c r="Y64" s="66"/>
      <c r="Z64" s="15" t="e">
        <f t="shared" si="17"/>
        <v>#VALUE!</v>
      </c>
      <c r="AA64" s="3" t="e">
        <f t="shared" si="12"/>
        <v>#VALUE!</v>
      </c>
      <c r="AB64" s="344">
        <f>IFERROR(VLOOKUP($G64,基本資料!$A:$M,11,0),"無")</f>
        <v>-9.48</v>
      </c>
      <c r="AC64" s="397">
        <f>IFERROR(VLOOKUP($G64,基本資料!$A:$M,12,0),"無")</f>
        <v>40.67</v>
      </c>
      <c r="AD64" s="16" t="s">
        <v>591</v>
      </c>
      <c r="AG64" s="33">
        <f t="shared" si="18"/>
        <v>0</v>
      </c>
      <c r="AH64" s="43" t="s">
        <v>2628</v>
      </c>
      <c r="AI64" s="63">
        <f t="shared" si="14"/>
        <v>0</v>
      </c>
      <c r="AJ64" s="284">
        <f>RTD("money.excel",,$G64,"PredictVolume")</f>
        <v>0</v>
      </c>
      <c r="AK64" s="399">
        <f>IFERROR(VLOOKUP($G64,基本資料!$A:$M,13,0),"無")</f>
        <v>0.12</v>
      </c>
    </row>
    <row r="65" spans="1:38">
      <c r="A65" s="347">
        <f>IFERROR(VLOOKUP($G65,基本資料!$A:$J,3,0),"無")</f>
        <v>63.82</v>
      </c>
      <c r="B65" s="79">
        <f>IFERROR(VLOOKUP($G65,基本資料!$A:$J,4,0),"無")</f>
        <v>9</v>
      </c>
      <c r="C65" s="79">
        <f>IFERROR(VLOOKUP($G65,基本資料!$A:$J,5,0),"無")</f>
        <v>83</v>
      </c>
      <c r="D65" s="79">
        <f>IFERROR(VLOOKUP($G65,基本資料!$A:$J,6,0),"無")</f>
        <v>62</v>
      </c>
      <c r="E65" s="79">
        <f>IFERROR(VLOOKUP($G65,基本資料!$A:$J,7,0),"無")</f>
        <v>0</v>
      </c>
      <c r="F65" s="6">
        <f>IFERROR(VLOOKUP($G65,基本資料!$A:$J,8,0),"無")</f>
        <v>7.59</v>
      </c>
      <c r="G65" s="79">
        <v>4306</v>
      </c>
      <c r="H65" s="8" t="s">
        <v>3329</v>
      </c>
      <c r="I65" s="22" t="s">
        <v>605</v>
      </c>
      <c r="J65" s="8" t="str">
        <f>IFERROR(VLOOKUP($G65,今日總結!$A:$AJ,35,0),"")</f>
        <v/>
      </c>
      <c r="K65" s="5" t="str">
        <f>IFERROR(VLOOKUP($G65,今日總結!$A:$AJ,36,0),"")</f>
        <v/>
      </c>
      <c r="L65" s="156" t="str">
        <f>IFERROR(VLOOKUP($G65,今日總結!$A:$AJ,33,0),"")</f>
        <v/>
      </c>
      <c r="M65" s="340" t="str">
        <f>IFERROR(VLOOKUP($G65,今日總結!$A:$AJ,34,0),"")</f>
        <v/>
      </c>
      <c r="N65" s="240" t="str">
        <f t="shared" si="15"/>
        <v/>
      </c>
      <c r="P65" s="365">
        <f>IFERROR(VLOOKUP($G65,融外自投!$A:$J,7,0),"無")</f>
        <v>924</v>
      </c>
      <c r="Q65" s="79">
        <f>IFERROR(VLOOKUP($G65,融外自投!$A:$J,9,0),"無")</f>
        <v>824</v>
      </c>
      <c r="R65" s="346">
        <f>IFERROR(VLOOKUP($G65,融外自投!$A:$J,8,0),"無")</f>
        <v>739</v>
      </c>
      <c r="S65" s="81" t="str">
        <f>IFERROR(VLOOKUP($G65,融外自投!$A:$J,10,0),"無")</f>
        <v>無</v>
      </c>
      <c r="T65" s="327">
        <f>IFERROR(VLOOKUP($G65,'321買'!$A:$E,5,0),"'沒有資料'")</f>
        <v>752</v>
      </c>
      <c r="U65" s="186">
        <f>IFERROR(VLOOKUP($G65,基本資料!$A:$J,9,0),"無")</f>
        <v>1</v>
      </c>
      <c r="V65" s="310">
        <f t="shared" si="16"/>
        <v>6.8027210884353748E-2</v>
      </c>
      <c r="W65" s="94">
        <f>IFERROR(VLOOKUP($G65,基本資料!$A:$J,10,0),"無")</f>
        <v>1.47</v>
      </c>
      <c r="X65" s="36">
        <f>RTD("money.excel",,$G65,"Price")</f>
        <v>14.7</v>
      </c>
      <c r="Y65" s="66"/>
      <c r="Z65" s="15">
        <f t="shared" si="17"/>
        <v>14.7</v>
      </c>
      <c r="AA65" s="3" t="e">
        <f t="shared" si="12"/>
        <v>#DIV/0!</v>
      </c>
      <c r="AB65" s="344">
        <f>IFERROR(VLOOKUP($G65,基本資料!$A:$M,11,0),"無")</f>
        <v>-28.37</v>
      </c>
      <c r="AC65" s="397">
        <f>IFERROR(VLOOKUP($G65,基本資料!$A:$M,12,0),"無")</f>
        <v>46.35</v>
      </c>
      <c r="AD65" s="22" t="s">
        <v>605</v>
      </c>
      <c r="AG65" s="33">
        <f t="shared" si="18"/>
        <v>0</v>
      </c>
      <c r="AH65" s="43" t="s">
        <v>2762</v>
      </c>
      <c r="AI65" s="63">
        <f t="shared" si="14"/>
        <v>1.324036352240677E-3</v>
      </c>
      <c r="AJ65" s="284">
        <f>RTD("money.excel",,$G65,"PredictVolume")</f>
        <v>845</v>
      </c>
      <c r="AK65" s="399">
        <f>IFERROR(VLOOKUP($G65,基本資料!$A:$M,13,0),"無")</f>
        <v>8.43</v>
      </c>
    </row>
    <row r="66" spans="1:38">
      <c r="A66" s="347">
        <f>IFERROR(VLOOKUP($G66,基本資料!$A:$J,3,0),"無")</f>
        <v>7.85</v>
      </c>
      <c r="B66" s="79">
        <f>IFERROR(VLOOKUP($G66,基本資料!$A:$J,4,0),"無")</f>
        <v>531</v>
      </c>
      <c r="C66" s="79">
        <f>IFERROR(VLOOKUP($G66,基本資料!$A:$J,5,0),"無")</f>
        <v>-92</v>
      </c>
      <c r="D66" s="79">
        <f>IFERROR(VLOOKUP($G66,基本資料!$A:$J,6,0),"無")</f>
        <v>42</v>
      </c>
      <c r="E66" s="79">
        <f>IFERROR(VLOOKUP($G66,基本資料!$A:$J,7,0),"無")</f>
        <v>-9</v>
      </c>
      <c r="F66" s="6">
        <f>IFERROR(VLOOKUP($G66,基本資料!$A:$J,8,0),"無")</f>
        <v>0.75</v>
      </c>
      <c r="G66" s="79">
        <v>8354</v>
      </c>
      <c r="H66" s="8" t="s">
        <v>3329</v>
      </c>
      <c r="I66" s="16" t="s">
        <v>592</v>
      </c>
      <c r="J66" s="8" t="str">
        <f>IFERROR(VLOOKUP($G66,今日總結!$A:$AJ,35,0),"")</f>
        <v/>
      </c>
      <c r="K66" s="5" t="str">
        <f>IFERROR(VLOOKUP($G66,今日總結!$A:$AJ,36,0),"")</f>
        <v/>
      </c>
      <c r="L66" s="156" t="str">
        <f>IFERROR(VLOOKUP($G66,今日總結!$A:$AJ,33,0),"")</f>
        <v/>
      </c>
      <c r="M66" s="340" t="str">
        <f>IFERROR(VLOOKUP($G66,今日總結!$A:$AJ,34,0),"")</f>
        <v/>
      </c>
      <c r="N66" s="240" t="str">
        <f t="shared" si="15"/>
        <v/>
      </c>
      <c r="P66" s="365">
        <f>IFERROR(VLOOKUP($G66,融外自投!$A:$J,7,0),"無")</f>
        <v>1218</v>
      </c>
      <c r="Q66" s="79" t="str">
        <f>IFERROR(VLOOKUP($G66,融外自投!$A:$J,9,0),"無")</f>
        <v>無</v>
      </c>
      <c r="R66" s="346">
        <f>IFERROR(VLOOKUP($G66,融外自投!$A:$J,8,0),"無")</f>
        <v>1455</v>
      </c>
      <c r="S66" s="81" t="str">
        <f>IFERROR(VLOOKUP($G66,融外自投!$A:$J,10,0),"無")</f>
        <v>無</v>
      </c>
      <c r="T66" s="327" t="str">
        <f>IFERROR(VLOOKUP($G66,'321買'!$A:$E,5,0),"'沒有資料'")</f>
        <v>'沒有資料'</v>
      </c>
      <c r="U66" s="186">
        <f>IFERROR(VLOOKUP($G66,基本資料!$A:$J,9,0),"無")</f>
        <v>0.8</v>
      </c>
      <c r="V66" s="310">
        <f t="shared" si="16"/>
        <v>5.5363321799307967E-2</v>
      </c>
      <c r="W66" s="94">
        <f>IFERROR(VLOOKUP($G66,基本資料!$A:$J,10,0),"無")</f>
        <v>3.06</v>
      </c>
      <c r="X66" s="36">
        <f>RTD("money.excel",,$G66,"Price")</f>
        <v>14.45</v>
      </c>
      <c r="Y66" s="66"/>
      <c r="Z66" s="15">
        <f t="shared" si="17"/>
        <v>14.45</v>
      </c>
      <c r="AA66" s="3" t="e">
        <f t="shared" si="12"/>
        <v>#DIV/0!</v>
      </c>
      <c r="AB66" s="344">
        <f>IFERROR(VLOOKUP($G66,基本資料!$A:$M,11,0),"無")</f>
        <v>-12.27</v>
      </c>
      <c r="AC66" s="397">
        <f>IFERROR(VLOOKUP($G66,基本資料!$A:$M,12,0),"無")</f>
        <v>57.67</v>
      </c>
      <c r="AD66" s="16" t="s">
        <v>592</v>
      </c>
      <c r="AG66" s="33">
        <f t="shared" si="18"/>
        <v>0</v>
      </c>
      <c r="AH66" s="43" t="s">
        <v>2629</v>
      </c>
      <c r="AI66" s="63">
        <f t="shared" si="14"/>
        <v>1.2738853503184714E-5</v>
      </c>
      <c r="AJ66" s="284">
        <f>RTD("money.excel",,$G66,"PredictVolume")</f>
        <v>1</v>
      </c>
      <c r="AK66" s="399">
        <f>IFERROR(VLOOKUP($G66,基本資料!$A:$M,13,0),"無")</f>
        <v>0.32</v>
      </c>
    </row>
    <row r="67" spans="1:38">
      <c r="A67" s="347">
        <f>IFERROR(VLOOKUP($G67,基本資料!$A:$J,3,0),"無")</f>
        <v>14.77</v>
      </c>
      <c r="B67" s="79">
        <f>IFERROR(VLOOKUP($G67,基本資料!$A:$J,4,0),"無")</f>
        <v>-81</v>
      </c>
      <c r="C67" s="79">
        <f>IFERROR(VLOOKUP($G67,基本資料!$A:$J,5,0),"無")</f>
        <v>-52</v>
      </c>
      <c r="D67" s="79">
        <f>IFERROR(VLOOKUP($G67,基本資料!$A:$J,6,0),"無")</f>
        <v>9</v>
      </c>
      <c r="E67" s="79">
        <f>IFERROR(VLOOKUP($G67,基本資料!$A:$J,7,0),"無")</f>
        <v>167</v>
      </c>
      <c r="F67" s="6">
        <f>IFERROR(VLOOKUP($G67,基本資料!$A:$J,8,0),"無")</f>
        <v>-56.72</v>
      </c>
      <c r="G67" s="79">
        <v>9950</v>
      </c>
      <c r="H67" s="8" t="s">
        <v>3329</v>
      </c>
      <c r="I67" s="16" t="s">
        <v>593</v>
      </c>
      <c r="J67" s="8" t="str">
        <f>IFERROR(VLOOKUP($G67,今日總結!$A:$AJ,35,0),"")</f>
        <v/>
      </c>
      <c r="K67" s="5" t="str">
        <f>IFERROR(VLOOKUP($G67,今日總結!$A:$AJ,36,0),"")</f>
        <v/>
      </c>
      <c r="L67" s="156" t="str">
        <f>IFERROR(VLOOKUP($G67,今日總結!$A:$AJ,33,0),"")</f>
        <v/>
      </c>
      <c r="M67" s="340" t="str">
        <f>IFERROR(VLOOKUP($G67,今日總結!$A:$AJ,34,0),"")</f>
        <v/>
      </c>
      <c r="N67" s="240" t="str">
        <f t="shared" si="15"/>
        <v/>
      </c>
      <c r="P67" s="365" t="str">
        <f>IFERROR(VLOOKUP($G67,融外自投!$A:$J,7,0),"無")</f>
        <v>無</v>
      </c>
      <c r="Q67" s="79" t="str">
        <f>IFERROR(VLOOKUP($G67,融外自投!$A:$J,9,0),"無")</f>
        <v>無</v>
      </c>
      <c r="R67" s="346" t="str">
        <f>IFERROR(VLOOKUP($G67,融外自投!$A:$J,8,0),"無")</f>
        <v>無</v>
      </c>
      <c r="S67" s="81" t="str">
        <f>IFERROR(VLOOKUP($G67,融外自投!$A:$J,10,0),"無")</f>
        <v>無</v>
      </c>
      <c r="T67" s="327" t="str">
        <f>IFERROR(VLOOKUP($G67,'321買'!$A:$E,5,0),"'沒有資料'")</f>
        <v>'沒有資料'</v>
      </c>
      <c r="U67" s="186">
        <f>IFERROR(VLOOKUP($G67,基本資料!$A:$J,9,0),"無")</f>
        <v>0</v>
      </c>
      <c r="V67" s="310">
        <f t="shared" si="16"/>
        <v>0</v>
      </c>
      <c r="W67" s="94">
        <f>IFERROR(VLOOKUP($G67,基本資料!$A:$J,10,0),"無")</f>
        <v>-4.21</v>
      </c>
      <c r="X67" s="36">
        <f>RTD("money.excel",,$G67,"Price")</f>
        <v>12</v>
      </c>
      <c r="Y67" s="66"/>
      <c r="Z67" s="15">
        <f t="shared" si="17"/>
        <v>12</v>
      </c>
      <c r="AA67" s="3" t="e">
        <f t="shared" si="12"/>
        <v>#DIV/0!</v>
      </c>
      <c r="AB67" s="344">
        <f>IFERROR(VLOOKUP($G67,基本資料!$A:$M,11,0),"無")</f>
        <v>0</v>
      </c>
      <c r="AC67" s="397">
        <f>IFERROR(VLOOKUP($G67,基本資料!$A:$M,12,0),"無")</f>
        <v>0</v>
      </c>
      <c r="AD67" s="16" t="s">
        <v>593</v>
      </c>
      <c r="AG67" s="33">
        <f t="shared" si="18"/>
        <v>0</v>
      </c>
      <c r="AH67" s="43" t="s">
        <v>2630</v>
      </c>
      <c r="AI67" s="63">
        <f t="shared" si="14"/>
        <v>3.9268788083953962E-4</v>
      </c>
      <c r="AJ67" s="284">
        <f>RTD("money.excel",,$G67,"PredictVolume")</f>
        <v>58</v>
      </c>
      <c r="AK67" s="399">
        <f>IFERROR(VLOOKUP($G67,基本資料!$A:$M,13,0),"無")</f>
        <v>0</v>
      </c>
      <c r="AL67" s="280"/>
    </row>
    <row r="68" spans="1:38">
      <c r="A68" s="142"/>
      <c r="B68" s="90"/>
      <c r="C68" s="90"/>
      <c r="D68" s="90"/>
      <c r="E68" s="90"/>
      <c r="F68" s="6"/>
      <c r="G68" s="79"/>
      <c r="H68" s="8"/>
      <c r="I68" s="16"/>
      <c r="L68" s="156"/>
      <c r="M68" s="340"/>
      <c r="N68" s="240"/>
      <c r="P68" s="365"/>
      <c r="Q68" s="79"/>
      <c r="R68" s="346"/>
      <c r="S68" s="81"/>
      <c r="T68" s="327"/>
      <c r="U68" s="186"/>
      <c r="V68" s="310"/>
      <c r="W68" s="94"/>
      <c r="X68" s="36"/>
      <c r="Y68" s="66"/>
      <c r="Z68" s="15"/>
      <c r="AA68" s="3"/>
      <c r="AD68" s="16"/>
      <c r="AG68" s="33"/>
      <c r="AH68" s="43"/>
      <c r="AI68" s="63"/>
      <c r="AJ68" s="284"/>
      <c r="AL68" s="245"/>
    </row>
    <row r="69" spans="1:38">
      <c r="A69" s="127" t="s">
        <v>1673</v>
      </c>
      <c r="B69" s="90" t="s">
        <v>1572</v>
      </c>
      <c r="C69" s="90" t="s">
        <v>1573</v>
      </c>
      <c r="D69" s="90" t="s">
        <v>1574</v>
      </c>
      <c r="E69" s="90" t="s">
        <v>1575</v>
      </c>
      <c r="F69" s="8" t="s">
        <v>1060</v>
      </c>
      <c r="G69" s="27" t="s">
        <v>710</v>
      </c>
      <c r="H69" s="55" t="s">
        <v>320</v>
      </c>
      <c r="I69" s="50" t="s">
        <v>294</v>
      </c>
      <c r="J69" s="8" t="s">
        <v>6221</v>
      </c>
      <c r="K69" s="5" t="s">
        <v>6222</v>
      </c>
      <c r="L69" s="337" t="s">
        <v>6206</v>
      </c>
      <c r="M69" s="338" t="s">
        <v>6207</v>
      </c>
      <c r="N69" s="339" t="s">
        <v>6208</v>
      </c>
      <c r="O69" s="4" t="s">
        <v>6713</v>
      </c>
      <c r="P69" s="89" t="s">
        <v>6285</v>
      </c>
      <c r="Q69" s="293" t="s">
        <v>6284</v>
      </c>
      <c r="R69" s="354" t="s">
        <v>6283</v>
      </c>
      <c r="S69" s="26" t="s">
        <v>6286</v>
      </c>
      <c r="T69" s="321" t="s">
        <v>4716</v>
      </c>
      <c r="U69" s="10" t="s">
        <v>66</v>
      </c>
      <c r="V69" s="308" t="s">
        <v>4731</v>
      </c>
      <c r="W69" s="68" t="s">
        <v>3273</v>
      </c>
      <c r="X69" s="28" t="s">
        <v>2</v>
      </c>
      <c r="Y69" s="17" t="s">
        <v>1399</v>
      </c>
      <c r="Z69" s="14" t="s">
        <v>5</v>
      </c>
      <c r="AA69" s="21" t="s">
        <v>3</v>
      </c>
      <c r="AB69" s="96" t="s">
        <v>6174</v>
      </c>
      <c r="AC69" s="384" t="s">
        <v>6420</v>
      </c>
      <c r="AD69" s="50" t="s">
        <v>294</v>
      </c>
      <c r="AE69" s="71" t="s">
        <v>1400</v>
      </c>
      <c r="AF69" s="72" t="s">
        <v>1157</v>
      </c>
      <c r="AG69" s="32" t="s">
        <v>1158</v>
      </c>
      <c r="AH69" s="25" t="s">
        <v>6209</v>
      </c>
      <c r="AI69" s="8" t="s">
        <v>6731</v>
      </c>
      <c r="AJ69" s="50" t="s">
        <v>3361</v>
      </c>
      <c r="AK69" s="44" t="s">
        <v>6730</v>
      </c>
      <c r="AL69" s="245"/>
    </row>
    <row r="70" spans="1:38">
      <c r="A70" s="347">
        <f>IFERROR(VLOOKUP($G70,基本資料!$A:$J,3,0),"無")</f>
        <v>535</v>
      </c>
      <c r="B70" s="79">
        <f>IFERROR(VLOOKUP($G70,基本資料!$A:$J,4,0),"無")</f>
        <v>14</v>
      </c>
      <c r="C70" s="79">
        <f>IFERROR(VLOOKUP($G70,基本資料!$A:$J,5,0),"無")</f>
        <v>17</v>
      </c>
      <c r="D70" s="79">
        <f>IFERROR(VLOOKUP($G70,基本資料!$A:$J,6,0),"無")</f>
        <v>20</v>
      </c>
      <c r="E70" s="79">
        <f>IFERROR(VLOOKUP($G70,基本資料!$A:$J,7,0),"無")</f>
        <v>18</v>
      </c>
      <c r="F70" s="6">
        <f>IFERROR(VLOOKUP($G70,基本資料!$A:$J,8,0),"無")</f>
        <v>4.9000000000000004</v>
      </c>
      <c r="G70" s="79">
        <v>1402</v>
      </c>
      <c r="H70" s="8" t="s">
        <v>3172</v>
      </c>
      <c r="I70" s="22" t="s">
        <v>265</v>
      </c>
      <c r="J70" s="8" t="str">
        <f>IFERROR(VLOOKUP($G70,今日總結!$A:$AJ,35,0),"")</f>
        <v>投</v>
      </c>
      <c r="K70" s="5">
        <f>IFERROR(VLOOKUP($G70,今日總結!$A:$AJ,36,0),"")</f>
        <v>0</v>
      </c>
      <c r="L70" s="156">
        <f>IFERROR(VLOOKUP($G70,今日總結!$A:$AJ,33,0),"")</f>
        <v>1</v>
      </c>
      <c r="M70" s="340">
        <f>IFERROR(VLOOKUP($G70,今日總結!$A:$AJ,34,0),"")</f>
        <v>0</v>
      </c>
      <c r="N70" s="240">
        <f t="shared" ref="N70" si="19">IFERROR(L70-M70,"")</f>
        <v>1</v>
      </c>
      <c r="P70" s="365">
        <f>IFERROR(VLOOKUP($G70,融外自投!$A:$J,7,0),"無")</f>
        <v>1356</v>
      </c>
      <c r="Q70" s="79">
        <f>IFERROR(VLOOKUP($G70,融外自投!$A:$J,9,0),"無")</f>
        <v>321</v>
      </c>
      <c r="R70" s="346">
        <f>IFERROR(VLOOKUP($G70,融外自投!$A:$J,8,0),"無")</f>
        <v>330</v>
      </c>
      <c r="S70" s="81">
        <f>IFERROR(VLOOKUP($G70,融外自投!$A:$J,10,0),"無")</f>
        <v>153</v>
      </c>
      <c r="T70" s="327">
        <f>IFERROR(VLOOKUP($G70,'321買'!$A:$E,5,0),"'沒有資料'")</f>
        <v>43</v>
      </c>
      <c r="U70" s="186">
        <f>IFERROR(VLOOKUP($G70,基本資料!$A:$J,9,0),"無")</f>
        <v>1.5</v>
      </c>
      <c r="V70" s="310">
        <f t="shared" si="16"/>
        <v>4.975124378109453E-2</v>
      </c>
      <c r="W70" s="94">
        <f>IFERROR(VLOOKUP($G70,基本資料!$A:$J,10,0),"無")</f>
        <v>1.94</v>
      </c>
      <c r="X70" s="36">
        <f>RTD("money.excel",,"1402","Price")</f>
        <v>30.15</v>
      </c>
      <c r="Y70" s="66"/>
      <c r="Z70" s="15">
        <f t="shared" ref="Z70:Z125" si="20">X70-Y70</f>
        <v>30.15</v>
      </c>
      <c r="AA70" s="3" t="e">
        <f t="shared" ref="AA70:AA125" si="21">Z70/Y70</f>
        <v>#DIV/0!</v>
      </c>
      <c r="AB70" s="344">
        <f>IFERROR(VLOOKUP($G70,基本資料!$A:$M,11,0),"無")</f>
        <v>-11.7</v>
      </c>
      <c r="AC70" s="397">
        <f>IFERROR(VLOOKUP($G70,基本資料!$A:$M,12,0),"無")</f>
        <v>45.43</v>
      </c>
      <c r="AD70" s="22" t="s">
        <v>265</v>
      </c>
      <c r="AG70" s="33">
        <f t="shared" ref="AG70:AG125" si="22">AF70-AE70</f>
        <v>0</v>
      </c>
      <c r="AH70" s="117" t="s">
        <v>2764</v>
      </c>
      <c r="AI70" s="63">
        <f t="shared" ref="AI70:AI101" si="23">AJ70/(A70*10000)</f>
        <v>1.2719626168224299E-3</v>
      </c>
      <c r="AJ70" s="284">
        <f>RTD("money.excel",,$G70,"PredictVolume")</f>
        <v>6805</v>
      </c>
      <c r="AK70" s="399">
        <f>IFERROR(VLOOKUP($G70,基本資料!$A:$M,13,0),"無")</f>
        <v>0.89</v>
      </c>
      <c r="AL70" s="245"/>
    </row>
    <row r="71" spans="1:38">
      <c r="A71" s="347">
        <f>IFERROR(VLOOKUP($G71,基本資料!$A:$J,3,0),"無")</f>
        <v>161</v>
      </c>
      <c r="B71" s="79">
        <f>IFERROR(VLOOKUP($G71,基本資料!$A:$J,4,0),"無")</f>
        <v>32</v>
      </c>
      <c r="C71" s="79">
        <f>IFERROR(VLOOKUP($G71,基本資料!$A:$J,5,0),"無")</f>
        <v>97</v>
      </c>
      <c r="D71" s="79">
        <f>IFERROR(VLOOKUP($G71,基本資料!$A:$J,6,0),"無")</f>
        <v>25</v>
      </c>
      <c r="E71" s="79">
        <f>IFERROR(VLOOKUP($G71,基本資料!$A:$J,7,0),"無")</f>
        <v>9</v>
      </c>
      <c r="F71" s="6">
        <f>IFERROR(VLOOKUP($G71,基本資料!$A:$J,8,0),"無")</f>
        <v>14.5</v>
      </c>
      <c r="G71" s="79">
        <v>1409</v>
      </c>
      <c r="H71" s="8" t="s">
        <v>3172</v>
      </c>
      <c r="I71" s="22" t="s">
        <v>718</v>
      </c>
      <c r="J71" s="8">
        <f>IFERROR(VLOOKUP($G71,今日總結!$A:$AJ,35,0),"")</f>
        <v>0</v>
      </c>
      <c r="K71" s="5">
        <f>IFERROR(VLOOKUP($G71,今日總結!$A:$AJ,36,0),"")</f>
        <v>0</v>
      </c>
      <c r="L71" s="156">
        <f>IFERROR(VLOOKUP($G71,今日總結!$A:$AJ,33,0),"")</f>
        <v>0</v>
      </c>
      <c r="M71" s="340">
        <f>IFERROR(VLOOKUP($G71,今日總結!$A:$AJ,34,0),"")</f>
        <v>1</v>
      </c>
      <c r="N71" s="240">
        <f t="shared" ref="N71:N125" si="24">IFERROR(L71-M71,"")</f>
        <v>-1</v>
      </c>
      <c r="P71" s="365">
        <f>IFERROR(VLOOKUP($G71,融外自投!$A:$J,7,0),"無")</f>
        <v>1031</v>
      </c>
      <c r="Q71" s="79">
        <f>IFERROR(VLOOKUP($G71,融外自投!$A:$J,9,0),"無")</f>
        <v>789</v>
      </c>
      <c r="R71" s="346">
        <f>IFERROR(VLOOKUP($G71,融外自投!$A:$J,8,0),"無")</f>
        <v>380</v>
      </c>
      <c r="S71" s="81" t="str">
        <f>IFERROR(VLOOKUP($G71,融外自投!$A:$J,10,0),"無")</f>
        <v>無</v>
      </c>
      <c r="T71" s="327">
        <f>IFERROR(VLOOKUP($G71,'321買'!$A:$E,5,0),"'沒有資料'")</f>
        <v>392</v>
      </c>
      <c r="U71" s="186">
        <f>IFERROR(VLOOKUP($G71,基本資料!$A:$J,9,0),"無")</f>
        <v>1.4</v>
      </c>
      <c r="V71" s="310">
        <f t="shared" si="16"/>
        <v>7.3684210526315783E-2</v>
      </c>
      <c r="W71" s="94">
        <f>IFERROR(VLOOKUP($G71,基本資料!$A:$J,10,0),"無")</f>
        <v>2.41</v>
      </c>
      <c r="X71" s="36">
        <f>RTD("money.excel",,"1409","Price")</f>
        <v>19</v>
      </c>
      <c r="Y71" s="66"/>
      <c r="Z71" s="15">
        <f t="shared" si="20"/>
        <v>19</v>
      </c>
      <c r="AA71" s="3" t="e">
        <f t="shared" si="21"/>
        <v>#DIV/0!</v>
      </c>
      <c r="AB71" s="344">
        <f>IFERROR(VLOOKUP($G71,基本資料!$A:$M,11,0),"無")</f>
        <v>-19.16</v>
      </c>
      <c r="AC71" s="397">
        <f>IFERROR(VLOOKUP($G71,基本資料!$A:$M,12,0),"無")</f>
        <v>22.25</v>
      </c>
      <c r="AD71" s="22" t="s">
        <v>718</v>
      </c>
      <c r="AG71" s="33">
        <f t="shared" si="22"/>
        <v>0</v>
      </c>
      <c r="AH71" s="43" t="s">
        <v>4742</v>
      </c>
      <c r="AI71" s="63">
        <f t="shared" si="23"/>
        <v>1.6751552795031056E-3</v>
      </c>
      <c r="AJ71" s="284">
        <f>RTD("money.excel",,$G71,"PredictVolume")</f>
        <v>2697</v>
      </c>
      <c r="AK71" s="399">
        <f>IFERROR(VLOOKUP($G71,基本資料!$A:$M,13,0),"無")</f>
        <v>7.44</v>
      </c>
      <c r="AL71" s="245"/>
    </row>
    <row r="72" spans="1:38">
      <c r="A72" s="347">
        <f>IFERROR(VLOOKUP($G72,基本資料!$A:$J,3,0),"無")</f>
        <v>6.3</v>
      </c>
      <c r="B72" s="79">
        <f>IFERROR(VLOOKUP($G72,基本資料!$A:$J,4,0),"無")</f>
        <v>39</v>
      </c>
      <c r="C72" s="79">
        <f>IFERROR(VLOOKUP($G72,基本資料!$A:$J,5,0),"無")</f>
        <v>24</v>
      </c>
      <c r="D72" s="79">
        <f>IFERROR(VLOOKUP($G72,基本資料!$A:$J,6,0),"無")</f>
        <v>59</v>
      </c>
      <c r="E72" s="79">
        <f>IFERROR(VLOOKUP($G72,基本資料!$A:$J,7,0),"無")</f>
        <v>-5</v>
      </c>
      <c r="F72" s="6">
        <f>IFERROR(VLOOKUP($G72,基本資料!$A:$J,8,0),"無")</f>
        <v>22.85</v>
      </c>
      <c r="G72" s="79">
        <v>1410</v>
      </c>
      <c r="H72" s="8" t="s">
        <v>3172</v>
      </c>
      <c r="I72" s="22" t="s">
        <v>719</v>
      </c>
      <c r="J72" s="8" t="str">
        <f>IFERROR(VLOOKUP($G72,今日總結!$A:$AJ,35,0),"")</f>
        <v/>
      </c>
      <c r="K72" s="5" t="str">
        <f>IFERROR(VLOOKUP($G72,今日總結!$A:$AJ,36,0),"")</f>
        <v/>
      </c>
      <c r="L72" s="156" t="str">
        <f>IFERROR(VLOOKUP($G72,今日總結!$A:$AJ,33,0),"")</f>
        <v/>
      </c>
      <c r="M72" s="340" t="str">
        <f>IFERROR(VLOOKUP($G72,今日總結!$A:$AJ,34,0),"")</f>
        <v/>
      </c>
      <c r="N72" s="240" t="str">
        <f t="shared" si="24"/>
        <v/>
      </c>
      <c r="P72" s="365">
        <f>IFERROR(VLOOKUP($G72,融外自投!$A:$J,7,0),"無")</f>
        <v>1157</v>
      </c>
      <c r="Q72" s="79">
        <f>IFERROR(VLOOKUP($G72,融外自投!$A:$J,9,0),"無")</f>
        <v>978</v>
      </c>
      <c r="R72" s="346">
        <f>IFERROR(VLOOKUP($G72,融外自投!$A:$J,8,0),"無")</f>
        <v>267</v>
      </c>
      <c r="S72" s="81" t="str">
        <f>IFERROR(VLOOKUP($G72,融外自投!$A:$J,10,0),"無")</f>
        <v>無</v>
      </c>
      <c r="T72" s="327">
        <f>IFERROR(VLOOKUP($G72,'321買'!$A:$E,5,0),"'沒有資料'")</f>
        <v>1383</v>
      </c>
      <c r="U72" s="186">
        <f>IFERROR(VLOOKUP($G72,基本資料!$A:$J,9,0),"無")</f>
        <v>1.3</v>
      </c>
      <c r="V72" s="310">
        <f t="shared" si="16"/>
        <v>3.5812672176308541E-2</v>
      </c>
      <c r="W72" s="94">
        <f>IFERROR(VLOOKUP($G72,基本資料!$A:$J,10,0),"無")</f>
        <v>1.29</v>
      </c>
      <c r="X72" s="36">
        <f>RTD("money.excel",,"1410","Price")</f>
        <v>36.299999999999997</v>
      </c>
      <c r="Y72" s="66"/>
      <c r="Z72" s="15">
        <f t="shared" si="20"/>
        <v>36.299999999999997</v>
      </c>
      <c r="AA72" s="3" t="e">
        <f t="shared" si="21"/>
        <v>#DIV/0!</v>
      </c>
      <c r="AB72" s="344">
        <f>IFERROR(VLOOKUP($G72,基本資料!$A:$M,11,0),"無")</f>
        <v>-7.28</v>
      </c>
      <c r="AC72" s="397">
        <f>IFERROR(VLOOKUP($G72,基本資料!$A:$M,12,0),"無")</f>
        <v>46.77</v>
      </c>
      <c r="AD72" s="22" t="s">
        <v>719</v>
      </c>
      <c r="AG72" s="33">
        <f t="shared" si="22"/>
        <v>0</v>
      </c>
      <c r="AH72" s="43" t="s">
        <v>2388</v>
      </c>
      <c r="AI72" s="63">
        <f t="shared" si="23"/>
        <v>5.7142857142857147E-4</v>
      </c>
      <c r="AJ72" s="284">
        <f>RTD("money.excel",,$G72,"PredictVolume")</f>
        <v>36</v>
      </c>
      <c r="AK72" s="399">
        <f>IFERROR(VLOOKUP($G72,基本資料!$A:$M,13,0),"無")</f>
        <v>2.5099999999999998</v>
      </c>
      <c r="AL72" s="245"/>
    </row>
    <row r="73" spans="1:38">
      <c r="A73" s="347">
        <f>IFERROR(VLOOKUP($G73,基本資料!$A:$J,3,0),"無")</f>
        <v>13.21</v>
      </c>
      <c r="B73" s="79">
        <f>IFERROR(VLOOKUP($G73,基本資料!$A:$J,4,0),"無")</f>
        <v>165</v>
      </c>
      <c r="C73" s="79">
        <f>IFERROR(VLOOKUP($G73,基本資料!$A:$J,5,0),"無")</f>
        <v>160</v>
      </c>
      <c r="D73" s="79">
        <f>IFERROR(VLOOKUP($G73,基本資料!$A:$J,6,0),"無")</f>
        <v>-4</v>
      </c>
      <c r="E73" s="79">
        <f>IFERROR(VLOOKUP($G73,基本資料!$A:$J,7,0),"無")</f>
        <v>29</v>
      </c>
      <c r="F73" s="6">
        <f>IFERROR(VLOOKUP($G73,基本資料!$A:$J,8,0),"無")</f>
        <v>3.35</v>
      </c>
      <c r="G73" s="79">
        <v>1413</v>
      </c>
      <c r="H73" s="8" t="s">
        <v>3172</v>
      </c>
      <c r="I73" s="22" t="s">
        <v>720</v>
      </c>
      <c r="J73" s="8" t="str">
        <f>IFERROR(VLOOKUP($G73,今日總結!$A:$AJ,35,0),"")</f>
        <v/>
      </c>
      <c r="K73" s="5" t="str">
        <f>IFERROR(VLOOKUP($G73,今日總結!$A:$AJ,36,0),"")</f>
        <v/>
      </c>
      <c r="L73" s="156" t="str">
        <f>IFERROR(VLOOKUP($G73,今日總結!$A:$AJ,33,0),"")</f>
        <v/>
      </c>
      <c r="M73" s="340" t="str">
        <f>IFERROR(VLOOKUP($G73,今日總結!$A:$AJ,34,0),"")</f>
        <v/>
      </c>
      <c r="N73" s="240" t="str">
        <f t="shared" si="24"/>
        <v/>
      </c>
      <c r="P73" s="365" t="str">
        <f>IFERROR(VLOOKUP($G73,融外自投!$A:$J,7,0),"無")</f>
        <v>無</v>
      </c>
      <c r="Q73" s="79" t="str">
        <f>IFERROR(VLOOKUP($G73,融外自投!$A:$J,9,0),"無")</f>
        <v>無</v>
      </c>
      <c r="R73" s="346" t="str">
        <f>IFERROR(VLOOKUP($G73,融外自投!$A:$J,8,0),"無")</f>
        <v>無</v>
      </c>
      <c r="S73" s="81" t="str">
        <f>IFERROR(VLOOKUP($G73,融外自投!$A:$J,10,0),"無")</f>
        <v>無</v>
      </c>
      <c r="T73" s="327" t="str">
        <f>IFERROR(VLOOKUP($G73,'321買'!$A:$E,5,0),"'沒有資料'")</f>
        <v>'沒有資料'</v>
      </c>
      <c r="U73" s="186">
        <f>IFERROR(VLOOKUP($G73,基本資料!$A:$J,9,0),"無")</f>
        <v>0</v>
      </c>
      <c r="V73" s="310">
        <f t="shared" si="16"/>
        <v>0</v>
      </c>
      <c r="W73" s="94">
        <f>IFERROR(VLOOKUP($G73,基本資料!$A:$J,10,0),"無")</f>
        <v>0.8</v>
      </c>
      <c r="X73" s="36">
        <f>RTD("money.excel",,"1413","Price")</f>
        <v>10</v>
      </c>
      <c r="Y73" s="66"/>
      <c r="Z73" s="15">
        <f t="shared" si="20"/>
        <v>10</v>
      </c>
      <c r="AA73" s="3" t="e">
        <f t="shared" si="21"/>
        <v>#DIV/0!</v>
      </c>
      <c r="AB73" s="344">
        <f>IFERROR(VLOOKUP($G73,基本資料!$A:$M,11,0),"無")</f>
        <v>-23.86</v>
      </c>
      <c r="AC73" s="397">
        <f>IFERROR(VLOOKUP($G73,基本資料!$A:$M,12,0),"無")</f>
        <v>32.51</v>
      </c>
      <c r="AD73" s="22" t="s">
        <v>720</v>
      </c>
      <c r="AG73" s="33">
        <f t="shared" si="22"/>
        <v>0</v>
      </c>
      <c r="AH73" s="43" t="s">
        <v>1521</v>
      </c>
      <c r="AI73" s="63">
        <f t="shared" si="23"/>
        <v>1.6124148372445117E-3</v>
      </c>
      <c r="AJ73" s="284">
        <f>RTD("money.excel",,$G73,"PredictVolume")</f>
        <v>213</v>
      </c>
      <c r="AK73" s="399">
        <f>IFERROR(VLOOKUP($G73,基本資料!$A:$M,13,0),"無")</f>
        <v>6.73</v>
      </c>
      <c r="AL73" s="245"/>
    </row>
    <row r="74" spans="1:38">
      <c r="A74" s="347">
        <f>IFERROR(VLOOKUP($G74,基本資料!$A:$J,3,0),"無")</f>
        <v>22</v>
      </c>
      <c r="B74" s="79">
        <f>IFERROR(VLOOKUP($G74,基本資料!$A:$J,4,0),"無")</f>
        <v>143</v>
      </c>
      <c r="C74" s="79">
        <f>IFERROR(VLOOKUP($G74,基本資料!$A:$J,5,0),"無")</f>
        <v>945</v>
      </c>
      <c r="D74" s="79">
        <f>IFERROR(VLOOKUP($G74,基本資料!$A:$J,6,0),"無")</f>
        <v>2</v>
      </c>
      <c r="E74" s="79">
        <f>IFERROR(VLOOKUP($G74,基本資料!$A:$J,7,0),"無")</f>
        <v>-9</v>
      </c>
      <c r="F74" s="6">
        <f>IFERROR(VLOOKUP($G74,基本資料!$A:$J,8,0),"無")</f>
        <v>12.63</v>
      </c>
      <c r="G74" s="79">
        <v>1414</v>
      </c>
      <c r="H74" s="8" t="s">
        <v>3172</v>
      </c>
      <c r="I74" s="22" t="s">
        <v>721</v>
      </c>
      <c r="J74" s="8" t="str">
        <f>IFERROR(VLOOKUP($G74,今日總結!$A:$AJ,35,0),"")</f>
        <v/>
      </c>
      <c r="K74" s="5" t="str">
        <f>IFERROR(VLOOKUP($G74,今日總結!$A:$AJ,36,0),"")</f>
        <v/>
      </c>
      <c r="L74" s="156" t="str">
        <f>IFERROR(VLOOKUP($G74,今日總結!$A:$AJ,33,0),"")</f>
        <v/>
      </c>
      <c r="M74" s="340" t="str">
        <f>IFERROR(VLOOKUP($G74,今日總結!$A:$AJ,34,0),"")</f>
        <v/>
      </c>
      <c r="N74" s="240" t="str">
        <f t="shared" si="24"/>
        <v/>
      </c>
      <c r="P74" s="365">
        <f>IFERROR(VLOOKUP($G74,融外自投!$A:$J,7,0),"無")</f>
        <v>590</v>
      </c>
      <c r="Q74" s="79">
        <f>IFERROR(VLOOKUP($G74,融外自投!$A:$J,9,0),"無")</f>
        <v>1051</v>
      </c>
      <c r="R74" s="346">
        <f>IFERROR(VLOOKUP($G74,融外自投!$A:$J,8,0),"無")</f>
        <v>1295</v>
      </c>
      <c r="S74" s="81" t="str">
        <f>IFERROR(VLOOKUP($G74,融外自投!$A:$J,10,0),"無")</f>
        <v>無</v>
      </c>
      <c r="T74" s="327">
        <f>IFERROR(VLOOKUP($G74,'321買'!$A:$E,5,0),"'沒有資料'")</f>
        <v>752</v>
      </c>
      <c r="U74" s="186">
        <f>IFERROR(VLOOKUP($G74,基本資料!$A:$J,9,0),"無")</f>
        <v>0.54</v>
      </c>
      <c r="V74" s="310">
        <f t="shared" si="16"/>
        <v>3.1486880466472307E-2</v>
      </c>
      <c r="W74" s="94">
        <f>IFERROR(VLOOKUP($G74,基本資料!$A:$J,10,0),"無")</f>
        <v>0.65</v>
      </c>
      <c r="X74" s="36">
        <f>RTD("money.excel",,"1414","Price")</f>
        <v>17.149999999999999</v>
      </c>
      <c r="Y74" s="66"/>
      <c r="Z74" s="15">
        <f t="shared" si="20"/>
        <v>17.149999999999999</v>
      </c>
      <c r="AA74" s="3" t="e">
        <f t="shared" si="21"/>
        <v>#DIV/0!</v>
      </c>
      <c r="AB74" s="344">
        <f>IFERROR(VLOOKUP($G74,基本資料!$A:$M,11,0),"無")</f>
        <v>-21.92</v>
      </c>
      <c r="AC74" s="397">
        <f>IFERROR(VLOOKUP($G74,基本資料!$A:$M,12,0),"無")</f>
        <v>42.2</v>
      </c>
      <c r="AD74" s="22" t="s">
        <v>721</v>
      </c>
      <c r="AG74" s="33">
        <f t="shared" si="22"/>
        <v>0</v>
      </c>
      <c r="AH74" s="43" t="s">
        <v>2765</v>
      </c>
      <c r="AI74" s="63">
        <f t="shared" si="23"/>
        <v>4.1363636363636364E-4</v>
      </c>
      <c r="AJ74" s="284">
        <f>RTD("money.excel",,$G74,"PredictVolume")</f>
        <v>91</v>
      </c>
      <c r="AK74" s="399">
        <f>IFERROR(VLOOKUP($G74,基本資料!$A:$M,13,0),"無")</f>
        <v>22.31</v>
      </c>
    </row>
    <row r="75" spans="1:38">
      <c r="A75" s="347">
        <f>IFERROR(VLOOKUP($G75,基本資料!$A:$J,3,0),"無")</f>
        <v>18.989999999999998</v>
      </c>
      <c r="B75" s="79">
        <f>IFERROR(VLOOKUP($G75,基本資料!$A:$J,4,0),"無")</f>
        <v>127</v>
      </c>
      <c r="C75" s="79">
        <f>IFERROR(VLOOKUP($G75,基本資料!$A:$J,5,0),"無")</f>
        <v>109</v>
      </c>
      <c r="D75" s="79">
        <f>IFERROR(VLOOKUP($G75,基本資料!$A:$J,6,0),"無")</f>
        <v>-24</v>
      </c>
      <c r="E75" s="79">
        <f>IFERROR(VLOOKUP($G75,基本資料!$A:$J,7,0),"無")</f>
        <v>-1</v>
      </c>
      <c r="F75" s="6">
        <f>IFERROR(VLOOKUP($G75,基本資料!$A:$J,8,0),"無")</f>
        <v>2.66</v>
      </c>
      <c r="G75" s="79">
        <v>1417</v>
      </c>
      <c r="H75" s="8" t="s">
        <v>3172</v>
      </c>
      <c r="I75" s="22" t="s">
        <v>723</v>
      </c>
      <c r="J75" s="8" t="str">
        <f>IFERROR(VLOOKUP($G75,今日總結!$A:$AJ,35,0),"")</f>
        <v/>
      </c>
      <c r="K75" s="5" t="str">
        <f>IFERROR(VLOOKUP($G75,今日總結!$A:$AJ,36,0),"")</f>
        <v/>
      </c>
      <c r="L75" s="156" t="str">
        <f>IFERROR(VLOOKUP($G75,今日總結!$A:$AJ,33,0),"")</f>
        <v/>
      </c>
      <c r="M75" s="340" t="str">
        <f>IFERROR(VLOOKUP($G75,今日總結!$A:$AJ,34,0),"")</f>
        <v/>
      </c>
      <c r="N75" s="240" t="str">
        <f t="shared" si="24"/>
        <v/>
      </c>
      <c r="P75" s="365">
        <f>IFERROR(VLOOKUP($G75,融外自投!$A:$J,7,0),"無")</f>
        <v>655</v>
      </c>
      <c r="Q75" s="79">
        <f>IFERROR(VLOOKUP($G75,融外自投!$A:$J,9,0),"無")</f>
        <v>896</v>
      </c>
      <c r="R75" s="346">
        <f>IFERROR(VLOOKUP($G75,融外自投!$A:$J,8,0),"無")</f>
        <v>937</v>
      </c>
      <c r="S75" s="81" t="str">
        <f>IFERROR(VLOOKUP($G75,融外自投!$A:$J,10,0),"無")</f>
        <v>無</v>
      </c>
      <c r="T75" s="327">
        <f>IFERROR(VLOOKUP($G75,'321買'!$A:$E,5,0),"'沒有資料'")</f>
        <v>827</v>
      </c>
      <c r="U75" s="186">
        <f>IFERROR(VLOOKUP($G75,基本資料!$A:$J,9,0),"無")</f>
        <v>0.35</v>
      </c>
      <c r="V75" s="310">
        <f t="shared" si="16"/>
        <v>3.2110091743119261E-2</v>
      </c>
      <c r="W75" s="94">
        <f>IFERROR(VLOOKUP($G75,基本資料!$A:$J,10,0),"無")</f>
        <v>0.51</v>
      </c>
      <c r="X75" s="36">
        <f>RTD("money.excel",,"1417","Price")</f>
        <v>10.9</v>
      </c>
      <c r="Y75" s="66"/>
      <c r="Z75" s="15">
        <f t="shared" si="20"/>
        <v>10.9</v>
      </c>
      <c r="AA75" s="3" t="e">
        <f t="shared" si="21"/>
        <v>#DIV/0!</v>
      </c>
      <c r="AB75" s="344">
        <f>IFERROR(VLOOKUP($G75,基本資料!$A:$M,11,0),"無")</f>
        <v>-37.74</v>
      </c>
      <c r="AC75" s="397">
        <f>IFERROR(VLOOKUP($G75,基本資料!$A:$M,12,0),"無")</f>
        <v>6.35</v>
      </c>
      <c r="AD75" s="22" t="s">
        <v>723</v>
      </c>
      <c r="AG75" s="33">
        <f t="shared" si="22"/>
        <v>0</v>
      </c>
      <c r="AH75" s="43" t="s">
        <v>1518</v>
      </c>
      <c r="AI75" s="63">
        <f t="shared" si="23"/>
        <v>5.8978409689310171E-4</v>
      </c>
      <c r="AJ75" s="284">
        <f>RTD("money.excel",,$G75,"PredictVolume")</f>
        <v>112</v>
      </c>
      <c r="AK75" s="399">
        <f>IFERROR(VLOOKUP($G75,基本資料!$A:$M,13,0),"無")</f>
        <v>15.11</v>
      </c>
    </row>
    <row r="76" spans="1:38">
      <c r="A76" s="347">
        <f>IFERROR(VLOOKUP($G76,基本資料!$A:$J,3,0),"無")</f>
        <v>5.68</v>
      </c>
      <c r="B76" s="79">
        <f>IFERROR(VLOOKUP($G76,基本資料!$A:$J,4,0),"無")</f>
        <v>26</v>
      </c>
      <c r="C76" s="79">
        <f>IFERROR(VLOOKUP($G76,基本資料!$A:$J,5,0),"無")</f>
        <v>10</v>
      </c>
      <c r="D76" s="79">
        <f>IFERROR(VLOOKUP($G76,基本資料!$A:$J,6,0),"無")</f>
        <v>1205</v>
      </c>
      <c r="E76" s="79">
        <f>IFERROR(VLOOKUP($G76,基本資料!$A:$J,7,0),"無")</f>
        <v>-12</v>
      </c>
      <c r="F76" s="6">
        <f>IFERROR(VLOOKUP($G76,基本資料!$A:$J,8,0),"無")</f>
        <v>-625.14</v>
      </c>
      <c r="G76" s="79">
        <v>1418</v>
      </c>
      <c r="H76" s="8" t="s">
        <v>3172</v>
      </c>
      <c r="I76" s="22" t="s">
        <v>724</v>
      </c>
      <c r="J76" s="8" t="str">
        <f>IFERROR(VLOOKUP($G76,今日總結!$A:$AJ,35,0),"")</f>
        <v/>
      </c>
      <c r="K76" s="5" t="str">
        <f>IFERROR(VLOOKUP($G76,今日總結!$A:$AJ,36,0),"")</f>
        <v/>
      </c>
      <c r="L76" s="156" t="str">
        <f>IFERROR(VLOOKUP($G76,今日總結!$A:$AJ,33,0),"")</f>
        <v/>
      </c>
      <c r="M76" s="340" t="str">
        <f>IFERROR(VLOOKUP($G76,今日總結!$A:$AJ,34,0),"")</f>
        <v/>
      </c>
      <c r="N76" s="240" t="str">
        <f t="shared" si="24"/>
        <v/>
      </c>
      <c r="P76" s="365" t="str">
        <f>IFERROR(VLOOKUP($G76,融外自投!$A:$J,7,0),"無")</f>
        <v>無</v>
      </c>
      <c r="Q76" s="79" t="str">
        <f>IFERROR(VLOOKUP($G76,融外自投!$A:$J,9,0),"無")</f>
        <v>無</v>
      </c>
      <c r="R76" s="346" t="str">
        <f>IFERROR(VLOOKUP($G76,融外自投!$A:$J,8,0),"無")</f>
        <v>無</v>
      </c>
      <c r="S76" s="81" t="str">
        <f>IFERROR(VLOOKUP($G76,融外自投!$A:$J,10,0),"無")</f>
        <v>無</v>
      </c>
      <c r="T76" s="327" t="str">
        <f>IFERROR(VLOOKUP($G76,'321買'!$A:$E,5,0),"'沒有資料'")</f>
        <v>'沒有資料'</v>
      </c>
      <c r="U76" s="186">
        <f>IFERROR(VLOOKUP($G76,基本資料!$A:$J,9,0),"無")</f>
        <v>0</v>
      </c>
      <c r="V76" s="310">
        <f t="shared" si="16"/>
        <v>0</v>
      </c>
      <c r="W76" s="94">
        <f>IFERROR(VLOOKUP($G76,基本資料!$A:$J,10,0),"無")</f>
        <v>-3.1</v>
      </c>
      <c r="X76" s="36">
        <f>RTD("money.excel",,"1418","Price")</f>
        <v>19.600000000000001</v>
      </c>
      <c r="Y76" s="66"/>
      <c r="Z76" s="15">
        <f t="shared" si="20"/>
        <v>19.600000000000001</v>
      </c>
      <c r="AA76" s="3" t="e">
        <f t="shared" si="21"/>
        <v>#DIV/0!</v>
      </c>
      <c r="AB76" s="344">
        <f>IFERROR(VLOOKUP($G76,基本資料!$A:$M,11,0),"無")</f>
        <v>-6.59</v>
      </c>
      <c r="AC76" s="397">
        <f>IFERROR(VLOOKUP($G76,基本資料!$A:$M,12,0),"無")</f>
        <v>77.709999999999994</v>
      </c>
      <c r="AD76" s="22" t="s">
        <v>724</v>
      </c>
      <c r="AG76" s="33">
        <f t="shared" si="22"/>
        <v>0</v>
      </c>
      <c r="AH76" s="43" t="s">
        <v>2766</v>
      </c>
      <c r="AI76" s="63">
        <f t="shared" si="23"/>
        <v>1.9718309859154928E-3</v>
      </c>
      <c r="AJ76" s="284">
        <f>RTD("money.excel",,$G76,"PredictVolume")</f>
        <v>112</v>
      </c>
      <c r="AK76" s="399">
        <f>IFERROR(VLOOKUP($G76,基本資料!$A:$M,13,0),"無")</f>
        <v>0.43</v>
      </c>
    </row>
    <row r="77" spans="1:38">
      <c r="A77" s="347">
        <f>IFERROR(VLOOKUP($G77,基本資料!$A:$J,3,0),"無")</f>
        <v>30</v>
      </c>
      <c r="B77" s="79">
        <f>IFERROR(VLOOKUP($G77,基本資料!$A:$J,4,0),"無")</f>
        <v>23</v>
      </c>
      <c r="C77" s="79">
        <f>IFERROR(VLOOKUP($G77,基本資料!$A:$J,5,0),"無")</f>
        <v>22</v>
      </c>
      <c r="D77" s="79">
        <f>IFERROR(VLOOKUP($G77,基本資料!$A:$J,6,0),"無")</f>
        <v>51</v>
      </c>
      <c r="E77" s="79">
        <f>IFERROR(VLOOKUP($G77,基本資料!$A:$J,7,0),"無")</f>
        <v>37</v>
      </c>
      <c r="F77" s="6">
        <f>IFERROR(VLOOKUP($G77,基本資料!$A:$J,8,0),"無")</f>
        <v>7.28</v>
      </c>
      <c r="G77" s="79">
        <v>1419</v>
      </c>
      <c r="H77" s="8" t="s">
        <v>3172</v>
      </c>
      <c r="I77" s="22" t="s">
        <v>725</v>
      </c>
      <c r="J77" s="8" t="str">
        <f>IFERROR(VLOOKUP($G77,今日總結!$A:$AJ,35,0),"")</f>
        <v/>
      </c>
      <c r="K77" s="5" t="str">
        <f>IFERROR(VLOOKUP($G77,今日總結!$A:$AJ,36,0),"")</f>
        <v/>
      </c>
      <c r="L77" s="156" t="str">
        <f>IFERROR(VLOOKUP($G77,今日總結!$A:$AJ,33,0),"")</f>
        <v/>
      </c>
      <c r="M77" s="340" t="str">
        <f>IFERROR(VLOOKUP($G77,今日總結!$A:$AJ,34,0),"")</f>
        <v/>
      </c>
      <c r="N77" s="240" t="str">
        <f t="shared" si="24"/>
        <v/>
      </c>
      <c r="P77" s="365">
        <f>IFERROR(VLOOKUP($G77,融外自投!$A:$J,7,0),"無")</f>
        <v>1319</v>
      </c>
      <c r="Q77" s="79" t="str">
        <f>IFERROR(VLOOKUP($G77,融外自投!$A:$J,9,0),"無")</f>
        <v>無</v>
      </c>
      <c r="R77" s="346">
        <f>IFERROR(VLOOKUP($G77,融外自投!$A:$J,8,0),"無")</f>
        <v>1022</v>
      </c>
      <c r="S77" s="81" t="str">
        <f>IFERROR(VLOOKUP($G77,融外自投!$A:$J,10,0),"無")</f>
        <v>無</v>
      </c>
      <c r="T77" s="327">
        <f>IFERROR(VLOOKUP($G77,'321買'!$A:$E,5,0),"'沒有資料'")</f>
        <v>1085</v>
      </c>
      <c r="U77" s="186">
        <f>IFERROR(VLOOKUP($G77,基本資料!$A:$J,9,0),"無")</f>
        <v>1</v>
      </c>
      <c r="V77" s="310">
        <f t="shared" si="16"/>
        <v>2.3923444976076555E-2</v>
      </c>
      <c r="W77" s="94">
        <f>IFERROR(VLOOKUP($G77,基本資料!$A:$J,10,0),"無")</f>
        <v>1.51</v>
      </c>
      <c r="X77" s="36">
        <f>RTD("money.excel",,"1419","Price")</f>
        <v>41.8</v>
      </c>
      <c r="Y77" s="66"/>
      <c r="Z77" s="15">
        <f t="shared" si="20"/>
        <v>41.8</v>
      </c>
      <c r="AA77" s="3" t="e">
        <f t="shared" si="21"/>
        <v>#DIV/0!</v>
      </c>
      <c r="AB77" s="344">
        <f>IFERROR(VLOOKUP($G77,基本資料!$A:$M,11,0),"無")</f>
        <v>-9.2799999999999994</v>
      </c>
      <c r="AC77" s="397">
        <f>IFERROR(VLOOKUP($G77,基本資料!$A:$M,12,0),"無")</f>
        <v>19.77</v>
      </c>
      <c r="AD77" s="22" t="s">
        <v>725</v>
      </c>
      <c r="AG77" s="33">
        <f t="shared" si="22"/>
        <v>0</v>
      </c>
      <c r="AH77" s="43" t="s">
        <v>2767</v>
      </c>
      <c r="AI77" s="63">
        <f t="shared" si="23"/>
        <v>1E-4</v>
      </c>
      <c r="AJ77" s="284">
        <f>RTD("money.excel",,$G77,"PredictVolume")</f>
        <v>30</v>
      </c>
      <c r="AK77" s="399">
        <f>IFERROR(VLOOKUP($G77,基本資料!$A:$M,13,0),"無")</f>
        <v>0.21</v>
      </c>
      <c r="AL77" s="280"/>
    </row>
    <row r="78" spans="1:38">
      <c r="A78" s="347">
        <f>IFERROR(VLOOKUP($G78,基本資料!$A:$J,3,0),"無")</f>
        <v>13.84</v>
      </c>
      <c r="B78" s="79">
        <f>IFERROR(VLOOKUP($G78,基本資料!$A:$J,4,0),"無")</f>
        <v>-56</v>
      </c>
      <c r="C78" s="79">
        <f>IFERROR(VLOOKUP($G78,基本資料!$A:$J,5,0),"無")</f>
        <v>66</v>
      </c>
      <c r="D78" s="79">
        <f>IFERROR(VLOOKUP($G78,基本資料!$A:$J,6,0),"無")</f>
        <v>-43</v>
      </c>
      <c r="E78" s="79">
        <f>IFERROR(VLOOKUP($G78,基本資料!$A:$J,7,0),"無")</f>
        <v>-6</v>
      </c>
      <c r="F78" s="6">
        <f>IFERROR(VLOOKUP($G78,基本資料!$A:$J,8,0),"無")</f>
        <v>-34.82</v>
      </c>
      <c r="G78" s="79">
        <v>1423</v>
      </c>
      <c r="H78" s="8" t="s">
        <v>3172</v>
      </c>
      <c r="I78" s="22" t="s">
        <v>726</v>
      </c>
      <c r="J78" s="8" t="str">
        <f>IFERROR(VLOOKUP($G78,今日總結!$A:$AJ,35,0),"")</f>
        <v>融</v>
      </c>
      <c r="K78" s="5">
        <f>IFERROR(VLOOKUP($G78,今日總結!$A:$AJ,36,0),"")</f>
        <v>0</v>
      </c>
      <c r="L78" s="156">
        <f>IFERROR(VLOOKUP($G78,今日總結!$A:$AJ,33,0),"")</f>
        <v>1</v>
      </c>
      <c r="M78" s="340">
        <f>IFERROR(VLOOKUP($G78,今日總結!$A:$AJ,34,0),"")</f>
        <v>0</v>
      </c>
      <c r="N78" s="240">
        <f t="shared" si="24"/>
        <v>1</v>
      </c>
      <c r="P78" s="365">
        <f>IFERROR(VLOOKUP($G78,融外自投!$A:$J,7,0),"無")</f>
        <v>697</v>
      </c>
      <c r="Q78" s="79">
        <f>IFERROR(VLOOKUP($G78,融外自投!$A:$J,9,0),"無")</f>
        <v>936</v>
      </c>
      <c r="R78" s="346">
        <f>IFERROR(VLOOKUP($G78,融外自投!$A:$J,8,0),"無")</f>
        <v>1170</v>
      </c>
      <c r="S78" s="81" t="str">
        <f>IFERROR(VLOOKUP($G78,融外自投!$A:$J,10,0),"無")</f>
        <v>無</v>
      </c>
      <c r="T78" s="327">
        <f>IFERROR(VLOOKUP($G78,'321買'!$A:$E,5,0),"'沒有資料'")</f>
        <v>1239</v>
      </c>
      <c r="U78" s="186">
        <f>IFERROR(VLOOKUP($G78,基本資料!$A:$J,9,0),"無")</f>
        <v>0.75</v>
      </c>
      <c r="V78" s="310">
        <f t="shared" si="16"/>
        <v>3.8659793814432991E-2</v>
      </c>
      <c r="W78" s="94">
        <f>IFERROR(VLOOKUP($G78,基本資料!$A:$J,10,0),"無")</f>
        <v>1.1100000000000001</v>
      </c>
      <c r="X78" s="36">
        <f>RTD("money.excel",,"1423","Price")</f>
        <v>19.399999999999999</v>
      </c>
      <c r="Y78" s="66"/>
      <c r="Z78" s="15">
        <f t="shared" si="20"/>
        <v>19.399999999999999</v>
      </c>
      <c r="AA78" s="3" t="e">
        <f t="shared" si="21"/>
        <v>#DIV/0!</v>
      </c>
      <c r="AB78" s="344">
        <f>IFERROR(VLOOKUP($G78,基本資料!$A:$M,11,0),"無")</f>
        <v>-13.5</v>
      </c>
      <c r="AC78" s="397">
        <f>IFERROR(VLOOKUP($G78,基本資料!$A:$M,12,0),"無")</f>
        <v>40.36</v>
      </c>
      <c r="AD78" s="22" t="s">
        <v>726</v>
      </c>
      <c r="AG78" s="33">
        <f t="shared" si="22"/>
        <v>0</v>
      </c>
      <c r="AH78" s="43" t="s">
        <v>1519</v>
      </c>
      <c r="AI78" s="63">
        <f t="shared" si="23"/>
        <v>6.8641618497109825E-4</v>
      </c>
      <c r="AJ78" s="284">
        <f>RTD("money.excel",,$G78,"PredictVolume")</f>
        <v>95</v>
      </c>
      <c r="AK78" s="399">
        <f>IFERROR(VLOOKUP($G78,基本資料!$A:$M,13,0),"無")</f>
        <v>4.32</v>
      </c>
    </row>
    <row r="79" spans="1:38">
      <c r="A79" s="347">
        <f>IFERROR(VLOOKUP($G79,基本資料!$A:$J,3,0),"無")</f>
        <v>168</v>
      </c>
      <c r="B79" s="79">
        <f>IFERROR(VLOOKUP($G79,基本資料!$A:$J,4,0),"無")</f>
        <v>2</v>
      </c>
      <c r="C79" s="79">
        <f>IFERROR(VLOOKUP($G79,基本資料!$A:$J,5,0),"無")</f>
        <v>168</v>
      </c>
      <c r="D79" s="79">
        <f>IFERROR(VLOOKUP($G79,基本資料!$A:$J,6,0),"無")</f>
        <v>-1</v>
      </c>
      <c r="E79" s="79">
        <f>IFERROR(VLOOKUP($G79,基本資料!$A:$J,7,0),"無")</f>
        <v>6</v>
      </c>
      <c r="F79" s="6">
        <f>IFERROR(VLOOKUP($G79,基本資料!$A:$J,8,0),"無")</f>
        <v>4.7300000000000004</v>
      </c>
      <c r="G79" s="79">
        <v>1434</v>
      </c>
      <c r="H79" s="8" t="s">
        <v>3172</v>
      </c>
      <c r="I79" s="22" t="s">
        <v>254</v>
      </c>
      <c r="J79" s="8" t="str">
        <f>IFERROR(VLOOKUP($G79,今日總結!$A:$AJ,35,0),"")</f>
        <v/>
      </c>
      <c r="K79" s="5" t="str">
        <f>IFERROR(VLOOKUP($G79,今日總結!$A:$AJ,36,0),"")</f>
        <v/>
      </c>
      <c r="L79" s="156" t="str">
        <f>IFERROR(VLOOKUP($G79,今日總結!$A:$AJ,33,0),"")</f>
        <v/>
      </c>
      <c r="M79" s="340" t="str">
        <f>IFERROR(VLOOKUP($G79,今日總結!$A:$AJ,34,0),"")</f>
        <v/>
      </c>
      <c r="N79" s="240" t="str">
        <f t="shared" si="24"/>
        <v/>
      </c>
      <c r="P79" s="365">
        <f>IFERROR(VLOOKUP($G79,融外自投!$A:$J,7,0),"無")</f>
        <v>1352</v>
      </c>
      <c r="Q79" s="79">
        <f>IFERROR(VLOOKUP($G79,融外自投!$A:$J,9,0),"無")</f>
        <v>56</v>
      </c>
      <c r="R79" s="346">
        <f>IFERROR(VLOOKUP($G79,融外自投!$A:$J,8,0),"無")</f>
        <v>529</v>
      </c>
      <c r="S79" s="81">
        <f>IFERROR(VLOOKUP($G79,融外自投!$A:$J,10,0),"無")</f>
        <v>428</v>
      </c>
      <c r="T79" s="327">
        <f>IFERROR(VLOOKUP($G79,'321買'!$A:$E,5,0),"'沒有資料'")</f>
        <v>93</v>
      </c>
      <c r="U79" s="186">
        <f>IFERROR(VLOOKUP($G79,基本資料!$A:$J,9,0),"無")</f>
        <v>1</v>
      </c>
      <c r="V79" s="310">
        <f t="shared" si="16"/>
        <v>3.8167938931297711E-2</v>
      </c>
      <c r="W79" s="94">
        <f>IFERROR(VLOOKUP($G79,基本資料!$A:$J,10,0),"無")</f>
        <v>1.27</v>
      </c>
      <c r="X79" s="36">
        <f>RTD("money.excel",,"1434","Price")</f>
        <v>26.2</v>
      </c>
      <c r="Y79" s="66"/>
      <c r="Z79" s="15">
        <f t="shared" si="20"/>
        <v>26.2</v>
      </c>
      <c r="AA79" s="3" t="e">
        <f t="shared" si="21"/>
        <v>#DIV/0!</v>
      </c>
      <c r="AB79" s="344">
        <f>IFERROR(VLOOKUP($G79,基本資料!$A:$M,11,0),"無")</f>
        <v>-21.36</v>
      </c>
      <c r="AC79" s="397">
        <f>IFERROR(VLOOKUP($G79,基本資料!$A:$M,12,0),"無")</f>
        <v>9.86</v>
      </c>
      <c r="AD79" s="22" t="s">
        <v>254</v>
      </c>
      <c r="AG79" s="33">
        <f t="shared" si="22"/>
        <v>0</v>
      </c>
      <c r="AH79" s="117" t="s">
        <v>2768</v>
      </c>
      <c r="AI79" s="63">
        <f t="shared" si="23"/>
        <v>7.8273809523809524E-4</v>
      </c>
      <c r="AJ79" s="284">
        <f>RTD("money.excel",,$G79,"PredictVolume")</f>
        <v>1315</v>
      </c>
      <c r="AK79" s="399">
        <f>IFERROR(VLOOKUP($G79,基本資料!$A:$M,13,0),"無")</f>
        <v>1.31</v>
      </c>
    </row>
    <row r="80" spans="1:38">
      <c r="A80" s="347">
        <f>IFERROR(VLOOKUP($G80,基本資料!$A:$J,3,0),"無")</f>
        <v>9.1999999999999993</v>
      </c>
      <c r="B80" s="79">
        <f>IFERROR(VLOOKUP($G80,基本資料!$A:$J,4,0),"無")</f>
        <v>152</v>
      </c>
      <c r="C80" s="79">
        <f>IFERROR(VLOOKUP($G80,基本資料!$A:$J,5,0),"無")</f>
        <v>6</v>
      </c>
      <c r="D80" s="79">
        <f>IFERROR(VLOOKUP($G80,基本資料!$A:$J,6,0),"無")</f>
        <v>1240</v>
      </c>
      <c r="E80" s="79">
        <f>IFERROR(VLOOKUP($G80,基本資料!$A:$J,7,0),"無")</f>
        <v>-65</v>
      </c>
      <c r="F80" s="6">
        <f>IFERROR(VLOOKUP($G80,基本資料!$A:$J,8,0),"無")</f>
        <v>-35.69</v>
      </c>
      <c r="G80" s="79">
        <v>1439</v>
      </c>
      <c r="H80" s="8" t="s">
        <v>3172</v>
      </c>
      <c r="I80" s="22" t="s">
        <v>727</v>
      </c>
      <c r="J80" s="8" t="str">
        <f>IFERROR(VLOOKUP($G80,今日總結!$A:$AJ,35,0),"")</f>
        <v/>
      </c>
      <c r="K80" s="5" t="str">
        <f>IFERROR(VLOOKUP($G80,今日總結!$A:$AJ,36,0),"")</f>
        <v/>
      </c>
      <c r="L80" s="156" t="str">
        <f>IFERROR(VLOOKUP($G80,今日總結!$A:$AJ,33,0),"")</f>
        <v/>
      </c>
      <c r="M80" s="340" t="str">
        <f>IFERROR(VLOOKUP($G80,今日總結!$A:$AJ,34,0),"")</f>
        <v/>
      </c>
      <c r="N80" s="240" t="str">
        <f t="shared" si="24"/>
        <v/>
      </c>
      <c r="P80" s="365">
        <f>IFERROR(VLOOKUP($G80,融外自投!$A:$J,7,0),"無")</f>
        <v>1155</v>
      </c>
      <c r="Q80" s="79">
        <f>IFERROR(VLOOKUP($G80,融外自投!$A:$J,9,0),"無")</f>
        <v>824</v>
      </c>
      <c r="R80" s="346">
        <f>IFERROR(VLOOKUP($G80,融外自投!$A:$J,8,0),"無")</f>
        <v>1369</v>
      </c>
      <c r="S80" s="81" t="str">
        <f>IFERROR(VLOOKUP($G80,融外自投!$A:$J,10,0),"無")</f>
        <v>無</v>
      </c>
      <c r="T80" s="327">
        <f>IFERROR(VLOOKUP($G80,'321買'!$A:$E,5,0),"'沒有資料'")</f>
        <v>1310</v>
      </c>
      <c r="U80" s="186">
        <f>IFERROR(VLOOKUP($G80,基本資料!$A:$J,9,0),"無")</f>
        <v>0.2</v>
      </c>
      <c r="V80" s="310">
        <f t="shared" si="16"/>
        <v>9.1743119266055051E-3</v>
      </c>
      <c r="W80" s="94">
        <f>IFERROR(VLOOKUP($G80,基本資料!$A:$J,10,0),"無")</f>
        <v>1.39</v>
      </c>
      <c r="X80" s="36">
        <f>RTD("money.excel",,"1439","Price")</f>
        <v>21.8</v>
      </c>
      <c r="Y80" s="66"/>
      <c r="Z80" s="15">
        <f t="shared" si="20"/>
        <v>21.8</v>
      </c>
      <c r="AA80" s="3" t="e">
        <f t="shared" si="21"/>
        <v>#DIV/0!</v>
      </c>
      <c r="AB80" s="344">
        <f>IFERROR(VLOOKUP($G80,基本資料!$A:$M,11,0),"無")</f>
        <v>-17.739999999999998</v>
      </c>
      <c r="AC80" s="397">
        <f>IFERROR(VLOOKUP($G80,基本資料!$A:$M,12,0),"無")</f>
        <v>31.1</v>
      </c>
      <c r="AD80" s="22" t="s">
        <v>727</v>
      </c>
      <c r="AG80" s="33">
        <f t="shared" si="22"/>
        <v>0</v>
      </c>
      <c r="AH80" s="43" t="s">
        <v>1519</v>
      </c>
      <c r="AI80" s="63">
        <f t="shared" si="23"/>
        <v>2.173913043478261E-5</v>
      </c>
      <c r="AJ80" s="284">
        <f>RTD("money.excel",,$G80,"PredictVolume")</f>
        <v>2</v>
      </c>
      <c r="AK80" s="399">
        <f>IFERROR(VLOOKUP($G80,基本資料!$A:$M,13,0),"無")</f>
        <v>2.5</v>
      </c>
    </row>
    <row r="81" spans="1:38">
      <c r="A81" s="347">
        <f>IFERROR(VLOOKUP($G81,基本資料!$A:$J,3,0),"無")</f>
        <v>165</v>
      </c>
      <c r="B81" s="79">
        <f>IFERROR(VLOOKUP($G81,基本資料!$A:$J,4,0),"無")</f>
        <v>205</v>
      </c>
      <c r="C81" s="79">
        <f>IFERROR(VLOOKUP($G81,基本資料!$A:$J,5,0),"無")</f>
        <v>745</v>
      </c>
      <c r="D81" s="79">
        <f>IFERROR(VLOOKUP($G81,基本資料!$A:$J,6,0),"無")</f>
        <v>-14</v>
      </c>
      <c r="E81" s="79">
        <f>IFERROR(VLOOKUP($G81,基本資料!$A:$J,7,0),"無")</f>
        <v>-6</v>
      </c>
      <c r="F81" s="6">
        <f>IFERROR(VLOOKUP($G81,基本資料!$A:$J,8,0),"無")</f>
        <v>6.03</v>
      </c>
      <c r="G81" s="79">
        <v>1440</v>
      </c>
      <c r="H81" s="8" t="s">
        <v>3172</v>
      </c>
      <c r="I81" s="22" t="s">
        <v>728</v>
      </c>
      <c r="J81" s="8">
        <f>IFERROR(VLOOKUP($G81,今日總結!$A:$AJ,35,0),"")</f>
        <v>0</v>
      </c>
      <c r="K81" s="5" t="str">
        <f>IFERROR(VLOOKUP($G81,今日總結!$A:$AJ,36,0),"")</f>
        <v>借</v>
      </c>
      <c r="L81" s="156">
        <f>IFERROR(VLOOKUP($G81,今日總結!$A:$AJ,33,0),"")</f>
        <v>0</v>
      </c>
      <c r="M81" s="340">
        <f>IFERROR(VLOOKUP($G81,今日總結!$A:$AJ,34,0),"")</f>
        <v>1</v>
      </c>
      <c r="N81" s="240">
        <f t="shared" si="24"/>
        <v>-1</v>
      </c>
      <c r="P81" s="365">
        <f>IFERROR(VLOOKUP($G81,融外自投!$A:$J,7,0),"無")</f>
        <v>827</v>
      </c>
      <c r="Q81" s="79">
        <f>IFERROR(VLOOKUP($G81,融外自投!$A:$J,9,0),"無")</f>
        <v>614</v>
      </c>
      <c r="R81" s="346">
        <f>IFERROR(VLOOKUP($G81,融外自投!$A:$J,8,0),"無")</f>
        <v>738</v>
      </c>
      <c r="S81" s="81">
        <f>IFERROR(VLOOKUP($G81,融外自投!$A:$J,10,0),"無")</f>
        <v>491</v>
      </c>
      <c r="T81" s="327">
        <f>IFERROR(VLOOKUP($G81,'321買'!$A:$E,5,0),"'沒有資料'")</f>
        <v>292</v>
      </c>
      <c r="U81" s="186">
        <f>IFERROR(VLOOKUP($G81,基本資料!$A:$J,9,0),"無")</f>
        <v>0.8</v>
      </c>
      <c r="V81" s="310">
        <f t="shared" si="16"/>
        <v>4.177545691906006E-2</v>
      </c>
      <c r="W81" s="94">
        <f>IFERROR(VLOOKUP($G81,基本資料!$A:$J,10,0),"無")</f>
        <v>1.77</v>
      </c>
      <c r="X81" s="36">
        <f>RTD("money.excel",,"1440","Price")</f>
        <v>19.149999999999999</v>
      </c>
      <c r="Y81" s="66"/>
      <c r="Z81" s="15">
        <f t="shared" si="20"/>
        <v>19.149999999999999</v>
      </c>
      <c r="AA81" s="3" t="e">
        <f t="shared" si="21"/>
        <v>#DIV/0!</v>
      </c>
      <c r="AB81" s="344">
        <f>IFERROR(VLOOKUP($G81,基本資料!$A:$M,11,0),"無")</f>
        <v>-38.630000000000003</v>
      </c>
      <c r="AC81" s="397">
        <f>IFERROR(VLOOKUP($G81,基本資料!$A:$M,12,0),"無")</f>
        <v>8.48</v>
      </c>
      <c r="AD81" s="22" t="s">
        <v>728</v>
      </c>
      <c r="AG81" s="33">
        <f t="shared" si="22"/>
        <v>0</v>
      </c>
      <c r="AH81" s="43" t="s">
        <v>2763</v>
      </c>
      <c r="AI81" s="63">
        <f t="shared" si="23"/>
        <v>1.4521212121212121E-3</v>
      </c>
      <c r="AJ81" s="284">
        <f>RTD("money.excel",,$G81,"PredictVolume")</f>
        <v>2396</v>
      </c>
      <c r="AK81" s="399">
        <f>IFERROR(VLOOKUP($G81,基本資料!$A:$M,13,0),"無")</f>
        <v>11.88</v>
      </c>
    </row>
    <row r="82" spans="1:38">
      <c r="A82" s="347">
        <f>IFERROR(VLOOKUP($G82,基本資料!$A:$J,3,0),"無")</f>
        <v>10.08</v>
      </c>
      <c r="B82" s="79">
        <f>IFERROR(VLOOKUP($G82,基本資料!$A:$J,4,0),"無")</f>
        <v>44</v>
      </c>
      <c r="C82" s="79">
        <f>IFERROR(VLOOKUP($G82,基本資料!$A:$J,5,0),"無")</f>
        <v>54</v>
      </c>
      <c r="D82" s="79">
        <f>IFERROR(VLOOKUP($G82,基本資料!$A:$J,6,0),"無")</f>
        <v>-23</v>
      </c>
      <c r="E82" s="79">
        <f>IFERROR(VLOOKUP($G82,基本資料!$A:$J,7,0),"無")</f>
        <v>23</v>
      </c>
      <c r="F82" s="6">
        <f>IFERROR(VLOOKUP($G82,基本資料!$A:$J,8,0),"無")</f>
        <v>-7.4</v>
      </c>
      <c r="G82" s="79">
        <v>1441</v>
      </c>
      <c r="H82" s="8" t="s">
        <v>3172</v>
      </c>
      <c r="I82" s="22" t="s">
        <v>729</v>
      </c>
      <c r="J82" s="8" t="str">
        <f>IFERROR(VLOOKUP($G82,今日總結!$A:$AJ,35,0),"")</f>
        <v/>
      </c>
      <c r="K82" s="5" t="str">
        <f>IFERROR(VLOOKUP($G82,今日總結!$A:$AJ,36,0),"")</f>
        <v/>
      </c>
      <c r="L82" s="156" t="str">
        <f>IFERROR(VLOOKUP($G82,今日總結!$A:$AJ,33,0),"")</f>
        <v/>
      </c>
      <c r="M82" s="340" t="str">
        <f>IFERROR(VLOOKUP($G82,今日總結!$A:$AJ,34,0),"")</f>
        <v/>
      </c>
      <c r="N82" s="240" t="str">
        <f t="shared" si="24"/>
        <v/>
      </c>
      <c r="P82" s="365" t="str">
        <f>IFERROR(VLOOKUP($G82,融外自投!$A:$J,7,0),"無")</f>
        <v>無</v>
      </c>
      <c r="Q82" s="79" t="str">
        <f>IFERROR(VLOOKUP($G82,融外自投!$A:$J,9,0),"無")</f>
        <v>無</v>
      </c>
      <c r="R82" s="346" t="str">
        <f>IFERROR(VLOOKUP($G82,融外自投!$A:$J,8,0),"無")</f>
        <v>無</v>
      </c>
      <c r="S82" s="81" t="str">
        <f>IFERROR(VLOOKUP($G82,融外自投!$A:$J,10,0),"無")</f>
        <v>無</v>
      </c>
      <c r="T82" s="327" t="str">
        <f>IFERROR(VLOOKUP($G82,'321買'!$A:$E,5,0),"'沒有資料'")</f>
        <v>'沒有資料'</v>
      </c>
      <c r="U82" s="186">
        <f>IFERROR(VLOOKUP($G82,基本資料!$A:$J,9,0),"無")</f>
        <v>0</v>
      </c>
      <c r="V82" s="310">
        <f t="shared" si="16"/>
        <v>0</v>
      </c>
      <c r="W82" s="94">
        <f>IFERROR(VLOOKUP($G82,基本資料!$A:$J,10,0),"無")</f>
        <v>-0.75</v>
      </c>
      <c r="X82" s="36">
        <f>RTD("money.excel",,"1441","Price")</f>
        <v>8.17</v>
      </c>
      <c r="Y82" s="66"/>
      <c r="Z82" s="15">
        <f t="shared" si="20"/>
        <v>8.17</v>
      </c>
      <c r="AA82" s="3" t="e">
        <f t="shared" si="21"/>
        <v>#DIV/0!</v>
      </c>
      <c r="AB82" s="344">
        <f>IFERROR(VLOOKUP($G82,基本資料!$A:$M,11,0),"無")</f>
        <v>-38.51</v>
      </c>
      <c r="AC82" s="397">
        <f>IFERROR(VLOOKUP($G82,基本資料!$A:$M,12,0),"無")</f>
        <v>14.86</v>
      </c>
      <c r="AD82" s="22" t="s">
        <v>729</v>
      </c>
      <c r="AG82" s="33">
        <f t="shared" si="22"/>
        <v>0</v>
      </c>
      <c r="AH82" s="43" t="s">
        <v>1520</v>
      </c>
      <c r="AI82" s="63">
        <f t="shared" si="23"/>
        <v>3.9682539682539683E-4</v>
      </c>
      <c r="AJ82" s="284">
        <f>RTD("money.excel",,$G82,"PredictVolume")</f>
        <v>40</v>
      </c>
      <c r="AK82" s="399">
        <f>IFERROR(VLOOKUP($G82,基本資料!$A:$M,13,0),"無")</f>
        <v>12.55</v>
      </c>
    </row>
    <row r="83" spans="1:38">
      <c r="A83" s="347">
        <f>IFERROR(VLOOKUP($G83,基本資料!$A:$J,3,0),"無")</f>
        <v>13.53</v>
      </c>
      <c r="B83" s="79">
        <f>IFERROR(VLOOKUP($G83,基本資料!$A:$J,4,0),"無")</f>
        <v>447</v>
      </c>
      <c r="C83" s="79">
        <f>IFERROR(VLOOKUP($G83,基本資料!$A:$J,5,0),"無")</f>
        <v>100</v>
      </c>
      <c r="D83" s="79">
        <f>IFERROR(VLOOKUP($G83,基本資料!$A:$J,6,0),"無")</f>
        <v>-22</v>
      </c>
      <c r="E83" s="79">
        <f>IFERROR(VLOOKUP($G83,基本資料!$A:$J,7,0),"無")</f>
        <v>-2</v>
      </c>
      <c r="F83" s="6">
        <f>IFERROR(VLOOKUP($G83,基本資料!$A:$J,8,0),"無")</f>
        <v>21.01</v>
      </c>
      <c r="G83" s="79">
        <v>1443</v>
      </c>
      <c r="H83" s="8" t="s">
        <v>3172</v>
      </c>
      <c r="I83" s="22" t="s">
        <v>730</v>
      </c>
      <c r="J83" s="8" t="str">
        <f>IFERROR(VLOOKUP($G83,今日總結!$A:$AJ,35,0),"")</f>
        <v/>
      </c>
      <c r="K83" s="5" t="str">
        <f>IFERROR(VLOOKUP($G83,今日總結!$A:$AJ,36,0),"")</f>
        <v/>
      </c>
      <c r="L83" s="156" t="str">
        <f>IFERROR(VLOOKUP($G83,今日總結!$A:$AJ,33,0),"")</f>
        <v/>
      </c>
      <c r="M83" s="340" t="str">
        <f>IFERROR(VLOOKUP($G83,今日總結!$A:$AJ,34,0),"")</f>
        <v/>
      </c>
      <c r="N83" s="240" t="str">
        <f t="shared" si="24"/>
        <v/>
      </c>
      <c r="P83" s="365">
        <f>IFERROR(VLOOKUP($G83,融外自投!$A:$J,7,0),"無")</f>
        <v>1292</v>
      </c>
      <c r="Q83" s="79" t="str">
        <f>IFERROR(VLOOKUP($G83,融外自投!$A:$J,9,0),"無")</f>
        <v>無</v>
      </c>
      <c r="R83" s="346">
        <f>IFERROR(VLOOKUP($G83,融外自投!$A:$J,8,0),"無")</f>
        <v>1412</v>
      </c>
      <c r="S83" s="81" t="str">
        <f>IFERROR(VLOOKUP($G83,融外自投!$A:$J,10,0),"無")</f>
        <v>無</v>
      </c>
      <c r="T83" s="327" t="str">
        <f>IFERROR(VLOOKUP($G83,'321買'!$A:$E,5,0),"'沒有資料'")</f>
        <v>'沒有資料'</v>
      </c>
      <c r="U83" s="186">
        <f>IFERROR(VLOOKUP($G83,基本資料!$A:$J,9,0),"無")</f>
        <v>0</v>
      </c>
      <c r="V83" s="310">
        <f t="shared" si="16"/>
        <v>0</v>
      </c>
      <c r="W83" s="94">
        <f>IFERROR(VLOOKUP($G83,基本資料!$A:$J,10,0),"無")</f>
        <v>1.65</v>
      </c>
      <c r="X83" s="36">
        <f>RTD("money.excel",,"1443","Price")</f>
        <v>16.2</v>
      </c>
      <c r="Y83" s="66"/>
      <c r="Z83" s="15">
        <f t="shared" si="20"/>
        <v>16.2</v>
      </c>
      <c r="AA83" s="3" t="e">
        <f t="shared" si="21"/>
        <v>#DIV/0!</v>
      </c>
      <c r="AB83" s="344">
        <f>IFERROR(VLOOKUP($G83,基本資料!$A:$M,11,0),"無")</f>
        <v>-1.36</v>
      </c>
      <c r="AC83" s="397">
        <f>IFERROR(VLOOKUP($G83,基本資料!$A:$M,12,0),"無")</f>
        <v>75.17</v>
      </c>
      <c r="AD83" s="22" t="s">
        <v>730</v>
      </c>
      <c r="AG83" s="33">
        <f t="shared" si="22"/>
        <v>0</v>
      </c>
      <c r="AH83" s="43" t="s">
        <v>2769</v>
      </c>
      <c r="AI83" s="63">
        <f t="shared" si="23"/>
        <v>2.6385809312638583E-3</v>
      </c>
      <c r="AJ83" s="284">
        <f>RTD("money.excel",,$G83,"PredictVolume")</f>
        <v>357</v>
      </c>
      <c r="AK83" s="399">
        <f>IFERROR(VLOOKUP($G83,基本資料!$A:$M,13,0),"無")</f>
        <v>1.41</v>
      </c>
      <c r="AL83" s="280"/>
    </row>
    <row r="84" spans="1:38">
      <c r="A84" s="347">
        <f>IFERROR(VLOOKUP($G84,基本資料!$A:$J,3,0),"無")</f>
        <v>95.73</v>
      </c>
      <c r="B84" s="79">
        <f>IFERROR(VLOOKUP($G84,基本資料!$A:$J,4,0),"無")</f>
        <v>253</v>
      </c>
      <c r="C84" s="79">
        <f>IFERROR(VLOOKUP($G84,基本資料!$A:$J,5,0),"無")</f>
        <v>183</v>
      </c>
      <c r="D84" s="79">
        <f>IFERROR(VLOOKUP($G84,基本資料!$A:$J,6,0),"無")</f>
        <v>27</v>
      </c>
      <c r="E84" s="79">
        <f>IFERROR(VLOOKUP($G84,基本資料!$A:$J,7,0),"無")</f>
        <v>27</v>
      </c>
      <c r="F84" s="6">
        <f>IFERROR(VLOOKUP($G84,基本資料!$A:$J,8,0),"無")</f>
        <v>1.93</v>
      </c>
      <c r="G84" s="79">
        <v>1444</v>
      </c>
      <c r="H84" s="8" t="s">
        <v>3172</v>
      </c>
      <c r="I84" s="22" t="s">
        <v>3588</v>
      </c>
      <c r="J84" s="8" t="str">
        <f>IFERROR(VLOOKUP($G84,今日總結!$A:$AJ,35,0),"")</f>
        <v>券</v>
      </c>
      <c r="K84" s="5" t="str">
        <f>IFERROR(VLOOKUP($G84,今日總結!$A:$AJ,36,0),"")</f>
        <v>外</v>
      </c>
      <c r="L84" s="156">
        <f>IFERROR(VLOOKUP($G84,今日總結!$A:$AJ,33,0),"")</f>
        <v>1</v>
      </c>
      <c r="M84" s="340">
        <f>IFERROR(VLOOKUP($G84,今日總結!$A:$AJ,34,0),"")</f>
        <v>2</v>
      </c>
      <c r="N84" s="240">
        <f t="shared" si="24"/>
        <v>-1</v>
      </c>
      <c r="P84" s="365">
        <f>IFERROR(VLOOKUP($G84,融外自投!$A:$J,7,0),"無")</f>
        <v>805</v>
      </c>
      <c r="Q84" s="79">
        <f>IFERROR(VLOOKUP($G84,融外自投!$A:$J,9,0),"無")</f>
        <v>667</v>
      </c>
      <c r="R84" s="346">
        <f>IFERROR(VLOOKUP($G84,融外自投!$A:$J,8,0),"無")</f>
        <v>733</v>
      </c>
      <c r="S84" s="81" t="str">
        <f>IFERROR(VLOOKUP($G84,融外自投!$A:$J,10,0),"無")</f>
        <v>無</v>
      </c>
      <c r="T84" s="327">
        <f>IFERROR(VLOOKUP($G84,'321買'!$A:$E,5,0),"'沒有資料'")</f>
        <v>584</v>
      </c>
      <c r="U84" s="186">
        <f>IFERROR(VLOOKUP($G84,基本資料!$A:$J,9,0),"無")</f>
        <v>0.3</v>
      </c>
      <c r="V84" s="310">
        <f t="shared" si="16"/>
        <v>2.8708133971291867E-2</v>
      </c>
      <c r="W84" s="94">
        <f>IFERROR(VLOOKUP($G84,基本資料!$A:$J,10,0),"無")</f>
        <v>0.68</v>
      </c>
      <c r="X84" s="36">
        <f>RTD("money.excel",,"1444","Price")</f>
        <v>10.45</v>
      </c>
      <c r="Y84" s="66"/>
      <c r="Z84" s="15">
        <f t="shared" si="20"/>
        <v>10.45</v>
      </c>
      <c r="AA84" s="3" t="e">
        <f t="shared" si="21"/>
        <v>#DIV/0!</v>
      </c>
      <c r="AB84" s="344">
        <f>IFERROR(VLOOKUP($G84,基本資料!$A:$M,11,0),"無")</f>
        <v>-30.34</v>
      </c>
      <c r="AC84" s="397">
        <f>IFERROR(VLOOKUP($G84,基本資料!$A:$M,12,0),"無")</f>
        <v>34.6</v>
      </c>
      <c r="AD84" s="22" t="s">
        <v>3588</v>
      </c>
      <c r="AG84" s="33">
        <f t="shared" si="22"/>
        <v>0</v>
      </c>
      <c r="AH84" s="119" t="s">
        <v>1521</v>
      </c>
      <c r="AI84" s="63">
        <f t="shared" si="23"/>
        <v>3.4054110519168494E-3</v>
      </c>
      <c r="AJ84" s="284">
        <f>RTD("money.excel",,$G84,"PredictVolume")</f>
        <v>3260</v>
      </c>
      <c r="AK84" s="399">
        <f>IFERROR(VLOOKUP($G84,基本資料!$A:$M,13,0),"無")</f>
        <v>10.02</v>
      </c>
    </row>
    <row r="85" spans="1:38">
      <c r="A85" s="347">
        <f>IFERROR(VLOOKUP($G85,基本資料!$A:$J,3,0),"無")</f>
        <v>13.06</v>
      </c>
      <c r="B85" s="79">
        <f>IFERROR(VLOOKUP($G85,基本資料!$A:$J,4,0),"無")</f>
        <v>56</v>
      </c>
      <c r="C85" s="79">
        <f>IFERROR(VLOOKUP($G85,基本資料!$A:$J,5,0),"無")</f>
        <v>60</v>
      </c>
      <c r="D85" s="79">
        <f>IFERROR(VLOOKUP($G85,基本資料!$A:$J,6,0),"無")</f>
        <v>5</v>
      </c>
      <c r="E85" s="79">
        <f>IFERROR(VLOOKUP($G85,基本資料!$A:$J,7,0),"無")</f>
        <v>38</v>
      </c>
      <c r="F85" s="6">
        <f>IFERROR(VLOOKUP($G85,基本資料!$A:$J,8,0),"無")</f>
        <v>-3.81</v>
      </c>
      <c r="G85" s="79">
        <v>1445</v>
      </c>
      <c r="H85" s="8" t="s">
        <v>3172</v>
      </c>
      <c r="I85" s="22" t="s">
        <v>731</v>
      </c>
      <c r="J85" s="8">
        <f>IFERROR(VLOOKUP($G85,今日總結!$A:$AJ,35,0),"")</f>
        <v>0</v>
      </c>
      <c r="K85" s="5" t="str">
        <f>IFERROR(VLOOKUP($G85,今日總結!$A:$AJ,36,0),"")</f>
        <v>外</v>
      </c>
      <c r="L85" s="156">
        <f>IFERROR(VLOOKUP($G85,今日總結!$A:$AJ,33,0),"")</f>
        <v>0</v>
      </c>
      <c r="M85" s="340">
        <f>IFERROR(VLOOKUP($G85,今日總結!$A:$AJ,34,0),"")</f>
        <v>1</v>
      </c>
      <c r="N85" s="240">
        <f t="shared" si="24"/>
        <v>-1</v>
      </c>
      <c r="P85" s="365">
        <f>IFERROR(VLOOKUP($G85,融外自投!$A:$J,7,0),"無")</f>
        <v>1035</v>
      </c>
      <c r="Q85" s="79">
        <f>IFERROR(VLOOKUP($G85,融外自投!$A:$J,9,0),"無")</f>
        <v>667</v>
      </c>
      <c r="R85" s="346">
        <f>IFERROR(VLOOKUP($G85,融外自投!$A:$J,8,0),"無")</f>
        <v>1067</v>
      </c>
      <c r="S85" s="81">
        <f>IFERROR(VLOOKUP($G85,融外自投!$A:$J,10,0),"無")</f>
        <v>473</v>
      </c>
      <c r="T85" s="327">
        <f>IFERROR(VLOOKUP($G85,'321買'!$A:$E,5,0),"'沒有資料'")</f>
        <v>1099</v>
      </c>
      <c r="U85" s="186">
        <f>IFERROR(VLOOKUP($G85,基本資料!$A:$J,9,0),"無")</f>
        <v>0</v>
      </c>
      <c r="V85" s="310">
        <f t="shared" si="16"/>
        <v>0</v>
      </c>
      <c r="W85" s="94">
        <f>IFERROR(VLOOKUP($G85,基本資料!$A:$J,10,0),"無")</f>
        <v>-0.19</v>
      </c>
      <c r="X85" s="36">
        <f>RTD("money.excel",,"1445","Price")</f>
        <v>15</v>
      </c>
      <c r="Y85" s="66"/>
      <c r="Z85" s="15">
        <f t="shared" si="20"/>
        <v>15</v>
      </c>
      <c r="AA85" s="3" t="e">
        <f t="shared" si="21"/>
        <v>#DIV/0!</v>
      </c>
      <c r="AB85" s="344">
        <f>IFERROR(VLOOKUP($G85,基本資料!$A:$M,11,0),"無")</f>
        <v>-14.33</v>
      </c>
      <c r="AC85" s="397">
        <f>IFERROR(VLOOKUP($G85,基本資料!$A:$M,12,0),"無")</f>
        <v>13.88</v>
      </c>
      <c r="AD85" s="22" t="s">
        <v>731</v>
      </c>
      <c r="AG85" s="33">
        <f t="shared" si="22"/>
        <v>0</v>
      </c>
      <c r="AH85" s="43" t="s">
        <v>2770</v>
      </c>
      <c r="AI85" s="63">
        <f t="shared" si="23"/>
        <v>3.675344563552833E-4</v>
      </c>
      <c r="AJ85" s="284">
        <f>RTD("money.excel",,$G85,"PredictVolume")</f>
        <v>48</v>
      </c>
      <c r="AK85" s="399">
        <f>IFERROR(VLOOKUP($G85,基本資料!$A:$M,13,0),"無")</f>
        <v>2.72</v>
      </c>
    </row>
    <row r="86" spans="1:38">
      <c r="A86" s="347">
        <f>IFERROR(VLOOKUP($G86,基本資料!$A:$J,3,0),"無")</f>
        <v>13.77</v>
      </c>
      <c r="B86" s="79">
        <f>IFERROR(VLOOKUP($G86,基本資料!$A:$J,4,0),"無")</f>
        <v>-130</v>
      </c>
      <c r="C86" s="79">
        <f>IFERROR(VLOOKUP($G86,基本資料!$A:$J,5,0),"無")</f>
        <v>-552</v>
      </c>
      <c r="D86" s="79">
        <f>IFERROR(VLOOKUP($G86,基本資料!$A:$J,6,0),"無")</f>
        <v>94</v>
      </c>
      <c r="E86" s="79">
        <f>IFERROR(VLOOKUP($G86,基本資料!$A:$J,7,0),"無")</f>
        <v>-47</v>
      </c>
      <c r="F86" s="6">
        <f>IFERROR(VLOOKUP($G86,基本資料!$A:$J,8,0),"無")</f>
        <v>-6.28</v>
      </c>
      <c r="G86" s="79">
        <v>1446</v>
      </c>
      <c r="H86" s="8" t="s">
        <v>3172</v>
      </c>
      <c r="I86" s="22" t="s">
        <v>732</v>
      </c>
      <c r="J86" s="8" t="str">
        <f>IFERROR(VLOOKUP($G86,今日總結!$A:$AJ,35,0),"")</f>
        <v>融</v>
      </c>
      <c r="K86" s="5">
        <f>IFERROR(VLOOKUP($G86,今日總結!$A:$AJ,36,0),"")</f>
        <v>0</v>
      </c>
      <c r="L86" s="156">
        <f>IFERROR(VLOOKUP($G86,今日總結!$A:$AJ,33,0),"")</f>
        <v>1</v>
      </c>
      <c r="M86" s="340">
        <f>IFERROR(VLOOKUP($G86,今日總結!$A:$AJ,34,0),"")</f>
        <v>0</v>
      </c>
      <c r="N86" s="240">
        <f t="shared" si="24"/>
        <v>1</v>
      </c>
      <c r="P86" s="365">
        <f>IFERROR(VLOOKUP($G86,融外自投!$A:$J,7,0),"無")</f>
        <v>606</v>
      </c>
      <c r="Q86" s="79" t="str">
        <f>IFERROR(VLOOKUP($G86,融外自投!$A:$J,9,0),"無")</f>
        <v>無</v>
      </c>
      <c r="R86" s="346">
        <f>IFERROR(VLOOKUP($G86,融外自投!$A:$J,8,0),"無")</f>
        <v>1180</v>
      </c>
      <c r="S86" s="81" t="str">
        <f>IFERROR(VLOOKUP($G86,融外自投!$A:$J,10,0),"無")</f>
        <v>無</v>
      </c>
      <c r="T86" s="327">
        <f>IFERROR(VLOOKUP($G86,'321買'!$A:$E,5,0),"'沒有資料'")</f>
        <v>1038</v>
      </c>
      <c r="U86" s="186">
        <f>IFERROR(VLOOKUP($G86,基本資料!$A:$J,9,0),"無")</f>
        <v>0.3</v>
      </c>
      <c r="V86" s="310">
        <f t="shared" si="16"/>
        <v>9.2307692307692299E-3</v>
      </c>
      <c r="W86" s="94">
        <f>IFERROR(VLOOKUP($G86,基本資料!$A:$J,10,0),"無")</f>
        <v>-0.12</v>
      </c>
      <c r="X86" s="36">
        <f>RTD("money.excel",,"1446","Price")</f>
        <v>32.5</v>
      </c>
      <c r="Y86" s="66"/>
      <c r="Z86" s="15">
        <f t="shared" si="20"/>
        <v>32.5</v>
      </c>
      <c r="AA86" s="3" t="e">
        <f t="shared" si="21"/>
        <v>#DIV/0!</v>
      </c>
      <c r="AB86" s="344">
        <f>IFERROR(VLOOKUP($G86,基本資料!$A:$M,11,0),"無")</f>
        <v>-12.33</v>
      </c>
      <c r="AC86" s="397">
        <f>IFERROR(VLOOKUP($G86,基本資料!$A:$M,12,0),"無")</f>
        <v>56.71</v>
      </c>
      <c r="AD86" s="22" t="s">
        <v>732</v>
      </c>
      <c r="AG86" s="33">
        <f t="shared" si="22"/>
        <v>0</v>
      </c>
      <c r="AH86" s="43" t="s">
        <v>2771</v>
      </c>
      <c r="AI86" s="63">
        <f t="shared" si="23"/>
        <v>1.8881626724763981E-4</v>
      </c>
      <c r="AJ86" s="284">
        <f>RTD("money.excel",,$G86,"PredictVolume")</f>
        <v>26</v>
      </c>
      <c r="AK86" s="399">
        <f>IFERROR(VLOOKUP($G86,基本資料!$A:$M,13,0),"無")</f>
        <v>2.0699999999999998</v>
      </c>
    </row>
    <row r="87" spans="1:38">
      <c r="A87" s="347">
        <f>IFERROR(VLOOKUP($G87,基本資料!$A:$J,3,0),"無")</f>
        <v>91.44</v>
      </c>
      <c r="B87" s="79">
        <f>IFERROR(VLOOKUP($G87,基本資料!$A:$J,4,0),"無")</f>
        <v>166</v>
      </c>
      <c r="C87" s="79">
        <f>IFERROR(VLOOKUP($G87,基本資料!$A:$J,5,0),"無")</f>
        <v>199</v>
      </c>
      <c r="D87" s="79">
        <f>IFERROR(VLOOKUP($G87,基本資料!$A:$J,6,0),"無")</f>
        <v>64</v>
      </c>
      <c r="E87" s="79">
        <f>IFERROR(VLOOKUP($G87,基本資料!$A:$J,7,0),"無")</f>
        <v>29</v>
      </c>
      <c r="F87" s="6">
        <f>IFERROR(VLOOKUP($G87,基本資料!$A:$J,8,0),"無")</f>
        <v>1.46</v>
      </c>
      <c r="G87" s="79">
        <v>1447</v>
      </c>
      <c r="H87" s="8" t="s">
        <v>3172</v>
      </c>
      <c r="I87" s="22" t="s">
        <v>733</v>
      </c>
      <c r="J87" s="8" t="str">
        <f>IFERROR(VLOOKUP($G87,今日總結!$A:$AJ,35,0),"")</f>
        <v/>
      </c>
      <c r="K87" s="5" t="str">
        <f>IFERROR(VLOOKUP($G87,今日總結!$A:$AJ,36,0),"")</f>
        <v/>
      </c>
      <c r="L87" s="156" t="str">
        <f>IFERROR(VLOOKUP($G87,今日總結!$A:$AJ,33,0),"")</f>
        <v/>
      </c>
      <c r="M87" s="340" t="str">
        <f>IFERROR(VLOOKUP($G87,今日總結!$A:$AJ,34,0),"")</f>
        <v/>
      </c>
      <c r="N87" s="240" t="str">
        <f t="shared" si="24"/>
        <v/>
      </c>
      <c r="P87" s="365">
        <f>IFERROR(VLOOKUP($G87,融外自投!$A:$J,7,0),"無")</f>
        <v>681</v>
      </c>
      <c r="Q87" s="79">
        <f>IFERROR(VLOOKUP($G87,融外自投!$A:$J,9,0),"無")</f>
        <v>852</v>
      </c>
      <c r="R87" s="346">
        <f>IFERROR(VLOOKUP($G87,融外自投!$A:$J,8,0),"無")</f>
        <v>706</v>
      </c>
      <c r="S87" s="81" t="str">
        <f>IFERROR(VLOOKUP($G87,融外自投!$A:$J,10,0),"無")</f>
        <v>無</v>
      </c>
      <c r="T87" s="327">
        <f>IFERROR(VLOOKUP($G87,'321買'!$A:$E,5,0),"'沒有資料'")</f>
        <v>683</v>
      </c>
      <c r="U87" s="186">
        <f>IFERROR(VLOOKUP($G87,基本資料!$A:$J,9,0),"無")</f>
        <v>0</v>
      </c>
      <c r="V87" s="310">
        <f t="shared" si="16"/>
        <v>0</v>
      </c>
      <c r="W87" s="94">
        <f>IFERROR(VLOOKUP($G87,基本資料!$A:$J,10,0),"無")</f>
        <v>0.31</v>
      </c>
      <c r="X87" s="36">
        <f>RTD("money.excel",,"1447","Price")</f>
        <v>7.88</v>
      </c>
      <c r="Y87" s="66"/>
      <c r="Z87" s="15">
        <f t="shared" si="20"/>
        <v>7.88</v>
      </c>
      <c r="AA87" s="3" t="e">
        <f t="shared" si="21"/>
        <v>#DIV/0!</v>
      </c>
      <c r="AB87" s="344">
        <f>IFERROR(VLOOKUP($G87,基本資料!$A:$M,11,0),"無")</f>
        <v>-46.25</v>
      </c>
      <c r="AC87" s="397">
        <f>IFERROR(VLOOKUP($G87,基本資料!$A:$M,12,0),"無")</f>
        <v>9.52</v>
      </c>
      <c r="AD87" s="22" t="s">
        <v>733</v>
      </c>
      <c r="AG87" s="33">
        <f t="shared" si="22"/>
        <v>0</v>
      </c>
      <c r="AH87" s="43" t="s">
        <v>4743</v>
      </c>
      <c r="AI87" s="63">
        <f t="shared" si="23"/>
        <v>1.0126859142607174E-3</v>
      </c>
      <c r="AJ87" s="284">
        <f>RTD("money.excel",,$G87,"PredictVolume")</f>
        <v>926</v>
      </c>
      <c r="AK87" s="399">
        <f>IFERROR(VLOOKUP($G87,基本資料!$A:$M,13,0),"無")</f>
        <v>12.68</v>
      </c>
    </row>
    <row r="88" spans="1:38">
      <c r="A88" s="347">
        <f>IFERROR(VLOOKUP($G88,基本資料!$A:$J,3,0),"無")</f>
        <v>11.34</v>
      </c>
      <c r="B88" s="79">
        <f>IFERROR(VLOOKUP($G88,基本資料!$A:$J,4,0),"無")</f>
        <v>158</v>
      </c>
      <c r="C88" s="79">
        <f>IFERROR(VLOOKUP($G88,基本資料!$A:$J,5,0),"無")</f>
        <v>35</v>
      </c>
      <c r="D88" s="79">
        <f>IFERROR(VLOOKUP($G88,基本資料!$A:$J,6,0),"無")</f>
        <v>-12</v>
      </c>
      <c r="E88" s="79">
        <f>IFERROR(VLOOKUP($G88,基本資料!$A:$J,7,0),"無")</f>
        <v>-8</v>
      </c>
      <c r="F88" s="6">
        <f>IFERROR(VLOOKUP($G88,基本資料!$A:$J,8,0),"無")</f>
        <v>-6.18</v>
      </c>
      <c r="G88" s="79">
        <v>1449</v>
      </c>
      <c r="H88" s="8" t="s">
        <v>3172</v>
      </c>
      <c r="I88" s="22" t="s">
        <v>734</v>
      </c>
      <c r="J88" s="8" t="str">
        <f>IFERROR(VLOOKUP($G88,今日總結!$A:$AJ,35,0),"")</f>
        <v>外</v>
      </c>
      <c r="K88" s="5">
        <f>IFERROR(VLOOKUP($G88,今日總結!$A:$AJ,36,0),"")</f>
        <v>0</v>
      </c>
      <c r="L88" s="156">
        <f>IFERROR(VLOOKUP($G88,今日總結!$A:$AJ,33,0),"")</f>
        <v>1</v>
      </c>
      <c r="M88" s="340">
        <f>IFERROR(VLOOKUP($G88,今日總結!$A:$AJ,34,0),"")</f>
        <v>0</v>
      </c>
      <c r="N88" s="240">
        <f t="shared" si="24"/>
        <v>1</v>
      </c>
      <c r="P88" s="365">
        <f>IFERROR(VLOOKUP($G88,融外自投!$A:$J,7,0),"無")</f>
        <v>833</v>
      </c>
      <c r="Q88" s="79">
        <f>IFERROR(VLOOKUP($G88,融外自投!$A:$J,9,0),"無")</f>
        <v>1</v>
      </c>
      <c r="R88" s="346">
        <f>IFERROR(VLOOKUP($G88,融外自投!$A:$J,8,0),"無")</f>
        <v>1375</v>
      </c>
      <c r="S88" s="81" t="str">
        <f>IFERROR(VLOOKUP($G88,融外自投!$A:$J,10,0),"無")</f>
        <v>無</v>
      </c>
      <c r="T88" s="327">
        <f>IFERROR(VLOOKUP($G88,'321買'!$A:$E,5,0),"'沒有資料'")</f>
        <v>1038</v>
      </c>
      <c r="U88" s="186">
        <f>IFERROR(VLOOKUP($G88,基本資料!$A:$J,9,0),"無")</f>
        <v>0</v>
      </c>
      <c r="V88" s="310">
        <f t="shared" si="16"/>
        <v>0</v>
      </c>
      <c r="W88" s="94">
        <f>IFERROR(VLOOKUP($G88,基本資料!$A:$J,10,0),"無")</f>
        <v>0.83</v>
      </c>
      <c r="X88" s="36">
        <f>RTD("money.excel",,"1449","Price")</f>
        <v>13.2</v>
      </c>
      <c r="Y88" s="66"/>
      <c r="Z88" s="15">
        <f t="shared" si="20"/>
        <v>13.2</v>
      </c>
      <c r="AA88" s="3" t="e">
        <f t="shared" si="21"/>
        <v>#DIV/0!</v>
      </c>
      <c r="AB88" s="344">
        <f>IFERROR(VLOOKUP($G88,基本資料!$A:$M,11,0),"無")</f>
        <v>-27.95</v>
      </c>
      <c r="AC88" s="397">
        <f>IFERROR(VLOOKUP($G88,基本資料!$A:$M,12,0),"無")</f>
        <v>48.04</v>
      </c>
      <c r="AD88" s="22" t="s">
        <v>734</v>
      </c>
      <c r="AG88" s="33">
        <f t="shared" si="22"/>
        <v>0</v>
      </c>
      <c r="AH88" s="43" t="s">
        <v>1863</v>
      </c>
      <c r="AI88" s="63">
        <f t="shared" si="23"/>
        <v>7.0546737213403874E-5</v>
      </c>
      <c r="AJ88" s="284">
        <f>RTD("money.excel",,$G88,"PredictVolume")</f>
        <v>8</v>
      </c>
      <c r="AK88" s="399">
        <f>IFERROR(VLOOKUP($G88,基本資料!$A:$M,13,0),"無")</f>
        <v>1.49</v>
      </c>
    </row>
    <row r="89" spans="1:38">
      <c r="A89" s="347">
        <f>IFERROR(VLOOKUP($G89,基本資料!$A:$J,3,0),"無")</f>
        <v>20.72</v>
      </c>
      <c r="B89" s="79">
        <f>IFERROR(VLOOKUP($G89,基本資料!$A:$J,4,0),"無")</f>
        <v>157</v>
      </c>
      <c r="C89" s="79">
        <f>IFERROR(VLOOKUP($G89,基本資料!$A:$J,5,0),"無")</f>
        <v>182</v>
      </c>
      <c r="D89" s="79">
        <f>IFERROR(VLOOKUP($G89,基本資料!$A:$J,6,0),"無")</f>
        <v>18</v>
      </c>
      <c r="E89" s="79">
        <f>IFERROR(VLOOKUP($G89,基本資料!$A:$J,7,0),"無")</f>
        <v>36</v>
      </c>
      <c r="F89" s="6">
        <f>IFERROR(VLOOKUP($G89,基本資料!$A:$J,8,0),"無")</f>
        <v>3.09</v>
      </c>
      <c r="G89" s="79">
        <v>1451</v>
      </c>
      <c r="H89" s="8" t="s">
        <v>3172</v>
      </c>
      <c r="I89" s="22" t="s">
        <v>735</v>
      </c>
      <c r="J89" s="8" t="str">
        <f>IFERROR(VLOOKUP($G89,今日總結!$A:$AJ,35,0),"")</f>
        <v/>
      </c>
      <c r="K89" s="5" t="str">
        <f>IFERROR(VLOOKUP($G89,今日總結!$A:$AJ,36,0),"")</f>
        <v/>
      </c>
      <c r="L89" s="156" t="str">
        <f>IFERROR(VLOOKUP($G89,今日總結!$A:$AJ,33,0),"")</f>
        <v/>
      </c>
      <c r="M89" s="340" t="str">
        <f>IFERROR(VLOOKUP($G89,今日總結!$A:$AJ,34,0),"")</f>
        <v/>
      </c>
      <c r="N89" s="240" t="str">
        <f t="shared" si="24"/>
        <v/>
      </c>
      <c r="P89" s="365">
        <f>IFERROR(VLOOKUP($G89,融外自投!$A:$J,7,0),"無")</f>
        <v>1133</v>
      </c>
      <c r="Q89" s="79">
        <f>IFERROR(VLOOKUP($G89,融外自投!$A:$J,9,0),"無")</f>
        <v>243</v>
      </c>
      <c r="R89" s="346">
        <f>IFERROR(VLOOKUP($G89,融外自投!$A:$J,8,0),"無")</f>
        <v>632</v>
      </c>
      <c r="S89" s="81" t="str">
        <f>IFERROR(VLOOKUP($G89,融外自投!$A:$J,10,0),"無")</f>
        <v>無</v>
      </c>
      <c r="T89" s="327">
        <f>IFERROR(VLOOKUP($G89,'321買'!$A:$E,5,0),"'沒有資料'")</f>
        <v>1310</v>
      </c>
      <c r="U89" s="186">
        <f>IFERROR(VLOOKUP($G89,基本資料!$A:$J,9,0),"無")</f>
        <v>1</v>
      </c>
      <c r="V89" s="310">
        <f t="shared" si="16"/>
        <v>4.5146726862302484E-2</v>
      </c>
      <c r="W89" s="94">
        <f>IFERROR(VLOOKUP($G89,基本資料!$A:$J,10,0),"無")</f>
        <v>1.23</v>
      </c>
      <c r="X89" s="36">
        <f>RTD("money.excel",,"1451","Price")</f>
        <v>22.15</v>
      </c>
      <c r="Y89" s="66"/>
      <c r="Z89" s="15">
        <f t="shared" si="20"/>
        <v>22.15</v>
      </c>
      <c r="AA89" s="3" t="e">
        <f t="shared" si="21"/>
        <v>#DIV/0!</v>
      </c>
      <c r="AB89" s="344">
        <f>IFERROR(VLOOKUP($G89,基本資料!$A:$M,11,0),"無")</f>
        <v>-11.09</v>
      </c>
      <c r="AC89" s="397">
        <f>IFERROR(VLOOKUP($G89,基本資料!$A:$M,12,0),"無")</f>
        <v>76.41</v>
      </c>
      <c r="AD89" s="22" t="s">
        <v>735</v>
      </c>
      <c r="AG89" s="33">
        <f t="shared" si="22"/>
        <v>0</v>
      </c>
      <c r="AH89" s="43" t="s">
        <v>2022</v>
      </c>
      <c r="AI89" s="63">
        <f t="shared" si="23"/>
        <v>3.7596525096525095E-3</v>
      </c>
      <c r="AJ89" s="284">
        <f>RTD("money.excel",,$G89,"PredictVolume")</f>
        <v>779</v>
      </c>
      <c r="AK89" s="399">
        <f>IFERROR(VLOOKUP($G89,基本資料!$A:$M,13,0),"無")</f>
        <v>5.95</v>
      </c>
    </row>
    <row r="90" spans="1:38">
      <c r="A90" s="347">
        <f>IFERROR(VLOOKUP($G90,基本資料!$A:$J,3,0),"無")</f>
        <v>13.26</v>
      </c>
      <c r="B90" s="79">
        <f>IFERROR(VLOOKUP($G90,基本資料!$A:$J,4,0),"無")</f>
        <v>260</v>
      </c>
      <c r="C90" s="79">
        <f>IFERROR(VLOOKUP($G90,基本資料!$A:$J,5,0),"無")</f>
        <v>465</v>
      </c>
      <c r="D90" s="79">
        <f>IFERROR(VLOOKUP($G90,基本資料!$A:$J,6,0),"無")</f>
        <v>-14</v>
      </c>
      <c r="E90" s="79">
        <f>IFERROR(VLOOKUP($G90,基本資料!$A:$J,7,0),"無")</f>
        <v>1</v>
      </c>
      <c r="F90" s="6">
        <f>IFERROR(VLOOKUP($G90,基本資料!$A:$J,8,0),"無")</f>
        <v>11.18</v>
      </c>
      <c r="G90" s="79">
        <v>1452</v>
      </c>
      <c r="H90" s="8" t="s">
        <v>3172</v>
      </c>
      <c r="I90" s="22" t="s">
        <v>736</v>
      </c>
      <c r="J90" s="8">
        <f>IFERROR(VLOOKUP($G90,今日總結!$A:$AJ,35,0),"")</f>
        <v>0</v>
      </c>
      <c r="K90" s="5" t="str">
        <f>IFERROR(VLOOKUP($G90,今日總結!$A:$AJ,36,0),"")</f>
        <v>外</v>
      </c>
      <c r="L90" s="156">
        <f>IFERROR(VLOOKUP($G90,今日總結!$A:$AJ,33,0),"")</f>
        <v>0</v>
      </c>
      <c r="M90" s="340">
        <f>IFERROR(VLOOKUP($G90,今日總結!$A:$AJ,34,0),"")</f>
        <v>1</v>
      </c>
      <c r="N90" s="240">
        <f t="shared" si="24"/>
        <v>-1</v>
      </c>
      <c r="P90" s="365">
        <f>IFERROR(VLOOKUP($G90,融外自投!$A:$J,7,0),"無")</f>
        <v>852</v>
      </c>
      <c r="Q90" s="79">
        <f>IFERROR(VLOOKUP($G90,融外自投!$A:$J,9,0),"無")</f>
        <v>507</v>
      </c>
      <c r="R90" s="346">
        <f>IFERROR(VLOOKUP($G90,融外自投!$A:$J,8,0),"無")</f>
        <v>849</v>
      </c>
      <c r="S90" s="81" t="str">
        <f>IFERROR(VLOOKUP($G90,融外自投!$A:$J,10,0),"無")</f>
        <v>無</v>
      </c>
      <c r="T90" s="327">
        <f>IFERROR(VLOOKUP($G90,'321買'!$A:$E,5,0),"'沒有資料'")</f>
        <v>1038</v>
      </c>
      <c r="U90" s="186">
        <f>IFERROR(VLOOKUP($G90,基本資料!$A:$J,9,0),"無")</f>
        <v>2</v>
      </c>
      <c r="V90" s="310">
        <f t="shared" si="16"/>
        <v>9.2807424593967514E-2</v>
      </c>
      <c r="W90" s="94">
        <f>IFERROR(VLOOKUP($G90,基本資料!$A:$J,10,0),"無")</f>
        <v>2.65</v>
      </c>
      <c r="X90" s="36">
        <f>RTD("money.excel",,"1452","Price")</f>
        <v>21.55</v>
      </c>
      <c r="Y90" s="66"/>
      <c r="Z90" s="15">
        <f t="shared" si="20"/>
        <v>21.55</v>
      </c>
      <c r="AA90" s="3" t="e">
        <f t="shared" si="21"/>
        <v>#DIV/0!</v>
      </c>
      <c r="AB90" s="344">
        <f>IFERROR(VLOOKUP($G90,基本資料!$A:$M,11,0),"無")</f>
        <v>-29.48</v>
      </c>
      <c r="AC90" s="397">
        <f>IFERROR(VLOOKUP($G90,基本資料!$A:$M,12,0),"無")</f>
        <v>27.51</v>
      </c>
      <c r="AD90" s="22" t="s">
        <v>736</v>
      </c>
      <c r="AG90" s="33">
        <f t="shared" si="22"/>
        <v>0</v>
      </c>
      <c r="AH90" s="43" t="s">
        <v>1521</v>
      </c>
      <c r="AI90" s="63">
        <f t="shared" si="23"/>
        <v>2.0588235294117649E-3</v>
      </c>
      <c r="AJ90" s="284">
        <f>RTD("money.excel",,$G90,"PredictVolume")</f>
        <v>273</v>
      </c>
      <c r="AK90" s="399">
        <f>IFERROR(VLOOKUP($G90,基本資料!$A:$M,13,0),"無")</f>
        <v>35.409999999999997</v>
      </c>
    </row>
    <row r="91" spans="1:38">
      <c r="A91" s="347">
        <f>IFERROR(VLOOKUP($G91,基本資料!$A:$J,3,0),"無")</f>
        <v>10.06</v>
      </c>
      <c r="B91" s="79">
        <f>IFERROR(VLOOKUP($G91,基本資料!$A:$J,4,0),"無")</f>
        <v>592</v>
      </c>
      <c r="C91" s="79">
        <f>IFERROR(VLOOKUP($G91,基本資料!$A:$J,5,0),"無")</f>
        <v>-190</v>
      </c>
      <c r="D91" s="79">
        <f>IFERROR(VLOOKUP($G91,基本資料!$A:$J,6,0),"無")</f>
        <v>-27</v>
      </c>
      <c r="E91" s="79">
        <f>IFERROR(VLOOKUP($G91,基本資料!$A:$J,7,0),"無")</f>
        <v>139455</v>
      </c>
      <c r="F91" s="6">
        <f>IFERROR(VLOOKUP($G91,基本資料!$A:$J,8,0),"無")</f>
        <v>-21.74</v>
      </c>
      <c r="G91" s="79">
        <v>1453</v>
      </c>
      <c r="H91" s="8" t="s">
        <v>3172</v>
      </c>
      <c r="I91" s="22" t="s">
        <v>737</v>
      </c>
      <c r="J91" s="8" t="str">
        <f>IFERROR(VLOOKUP($G91,今日總結!$A:$AJ,35,0),"")</f>
        <v>主</v>
      </c>
      <c r="K91" s="5">
        <f>IFERROR(VLOOKUP($G91,今日總結!$A:$AJ,36,0),"")</f>
        <v>0</v>
      </c>
      <c r="L91" s="156">
        <f>IFERROR(VLOOKUP($G91,今日總結!$A:$AJ,33,0),"")</f>
        <v>1</v>
      </c>
      <c r="M91" s="340">
        <f>IFERROR(VLOOKUP($G91,今日總結!$A:$AJ,34,0),"")</f>
        <v>0</v>
      </c>
      <c r="N91" s="240">
        <f t="shared" si="24"/>
        <v>1</v>
      </c>
      <c r="P91" s="365">
        <f>IFERROR(VLOOKUP($G91,融外自投!$A:$J,7,0),"無")</f>
        <v>526</v>
      </c>
      <c r="Q91" s="79">
        <f>IFERROR(VLOOKUP($G91,融外自投!$A:$J,9,0),"無")</f>
        <v>978</v>
      </c>
      <c r="R91" s="346">
        <f>IFERROR(VLOOKUP($G91,融外自投!$A:$J,8,0),"無")</f>
        <v>1331</v>
      </c>
      <c r="S91" s="81" t="str">
        <f>IFERROR(VLOOKUP($G91,融外自投!$A:$J,10,0),"無")</f>
        <v>無</v>
      </c>
      <c r="T91" s="327">
        <f>IFERROR(VLOOKUP($G91,'321買'!$A:$E,5,0),"'沒有資料'")</f>
        <v>480</v>
      </c>
      <c r="U91" s="186">
        <f>IFERROR(VLOOKUP($G91,基本資料!$A:$J,9,0),"無")</f>
        <v>0.3</v>
      </c>
      <c r="V91" s="310">
        <f t="shared" si="16"/>
        <v>1.3574660633484162E-2</v>
      </c>
      <c r="W91" s="94">
        <f>IFERROR(VLOOKUP($G91,基本資料!$A:$J,10,0),"無")</f>
        <v>1.05</v>
      </c>
      <c r="X91" s="36">
        <f>RTD("money.excel",,"1453","Price")</f>
        <v>22.1</v>
      </c>
      <c r="Y91" s="66"/>
      <c r="Z91" s="15">
        <f t="shared" si="20"/>
        <v>22.1</v>
      </c>
      <c r="AA91" s="3" t="e">
        <f t="shared" si="21"/>
        <v>#DIV/0!</v>
      </c>
      <c r="AB91" s="344">
        <f>IFERROR(VLOOKUP($G91,基本資料!$A:$M,11,0),"無")</f>
        <v>-16.309999999999999</v>
      </c>
      <c r="AC91" s="397">
        <f>IFERROR(VLOOKUP($G91,基本資料!$A:$M,12,0),"無")</f>
        <v>81.19</v>
      </c>
      <c r="AD91" s="22" t="s">
        <v>737</v>
      </c>
      <c r="AG91" s="33">
        <f t="shared" si="22"/>
        <v>0</v>
      </c>
      <c r="AH91" s="43" t="s">
        <v>2772</v>
      </c>
      <c r="AI91" s="63">
        <f t="shared" si="23"/>
        <v>5.3677932405566597E-3</v>
      </c>
      <c r="AJ91" s="284">
        <f>RTD("money.excel",,$G91,"PredictVolume")</f>
        <v>540</v>
      </c>
      <c r="AK91" s="399">
        <f>IFERROR(VLOOKUP($G91,基本資料!$A:$M,13,0),"無")</f>
        <v>18.75</v>
      </c>
    </row>
    <row r="92" spans="1:38">
      <c r="A92" s="347">
        <f>IFERROR(VLOOKUP($G92,基本資料!$A:$J,3,0),"無")</f>
        <v>12.98</v>
      </c>
      <c r="B92" s="79">
        <f>IFERROR(VLOOKUP($G92,基本資料!$A:$J,4,0),"無")</f>
        <v>113</v>
      </c>
      <c r="C92" s="79">
        <f>IFERROR(VLOOKUP($G92,基本資料!$A:$J,5,0),"無")</f>
        <v>88</v>
      </c>
      <c r="D92" s="79">
        <f>IFERROR(VLOOKUP($G92,基本資料!$A:$J,6,0),"無")</f>
        <v>-4</v>
      </c>
      <c r="E92" s="79">
        <f>IFERROR(VLOOKUP($G92,基本資料!$A:$J,7,0),"無")</f>
        <v>31</v>
      </c>
      <c r="F92" s="6">
        <f>IFERROR(VLOOKUP($G92,基本資料!$A:$J,8,0),"無")</f>
        <v>-0.73</v>
      </c>
      <c r="G92" s="79">
        <v>1454</v>
      </c>
      <c r="H92" s="8" t="s">
        <v>3172</v>
      </c>
      <c r="I92" s="22" t="s">
        <v>738</v>
      </c>
      <c r="J92" s="8">
        <f>IFERROR(VLOOKUP($G92,今日總結!$A:$AJ,35,0),"")</f>
        <v>0</v>
      </c>
      <c r="K92" s="5" t="str">
        <f>IFERROR(VLOOKUP($G92,今日總結!$A:$AJ,36,0),"")</f>
        <v>外</v>
      </c>
      <c r="L92" s="156">
        <f>IFERROR(VLOOKUP($G92,今日總結!$A:$AJ,33,0),"")</f>
        <v>0</v>
      </c>
      <c r="M92" s="340">
        <f>IFERROR(VLOOKUP($G92,今日總結!$A:$AJ,34,0),"")</f>
        <v>1</v>
      </c>
      <c r="N92" s="240">
        <f t="shared" si="24"/>
        <v>-1</v>
      </c>
      <c r="P92" s="365">
        <f>IFERROR(VLOOKUP($G92,融外自投!$A:$J,7,0),"無")</f>
        <v>208</v>
      </c>
      <c r="Q92" s="79">
        <f>IFERROR(VLOOKUP($G92,融外自投!$A:$J,9,0),"無")</f>
        <v>978</v>
      </c>
      <c r="R92" s="346">
        <f>IFERROR(VLOOKUP($G92,融外自投!$A:$J,8,0),"無")</f>
        <v>1219</v>
      </c>
      <c r="S92" s="81" t="str">
        <f>IFERROR(VLOOKUP($G92,融外自投!$A:$J,10,0),"無")</f>
        <v>無</v>
      </c>
      <c r="T92" s="327">
        <f>IFERROR(VLOOKUP($G92,'321買'!$A:$E,5,0),"'沒有資料'")</f>
        <v>634</v>
      </c>
      <c r="U92" s="186">
        <f>IFERROR(VLOOKUP($G92,基本資料!$A:$J,9,0),"無")</f>
        <v>0.5</v>
      </c>
      <c r="V92" s="310">
        <f t="shared" si="16"/>
        <v>3.4722222222222224E-2</v>
      </c>
      <c r="W92" s="94">
        <f>IFERROR(VLOOKUP($G92,基本資料!$A:$J,10,0),"無")</f>
        <v>0.04</v>
      </c>
      <c r="X92" s="36">
        <f>RTD("money.excel",,"1454","Price")</f>
        <v>14.4</v>
      </c>
      <c r="Y92" s="66"/>
      <c r="Z92" s="15">
        <f t="shared" si="20"/>
        <v>14.4</v>
      </c>
      <c r="AA92" s="3" t="e">
        <f t="shared" si="21"/>
        <v>#DIV/0!</v>
      </c>
      <c r="AB92" s="344">
        <f>IFERROR(VLOOKUP($G92,基本資料!$A:$M,11,0),"無")</f>
        <v>-8.57</v>
      </c>
      <c r="AC92" s="397">
        <f>IFERROR(VLOOKUP($G92,基本資料!$A:$M,12,0),"無")</f>
        <v>42.31</v>
      </c>
      <c r="AD92" s="22" t="s">
        <v>738</v>
      </c>
      <c r="AG92" s="33">
        <f t="shared" si="22"/>
        <v>0</v>
      </c>
      <c r="AH92" s="43" t="s">
        <v>2773</v>
      </c>
      <c r="AI92" s="63">
        <f t="shared" si="23"/>
        <v>5.3158705701078577E-4</v>
      </c>
      <c r="AJ92" s="284">
        <f>RTD("money.excel",,$G92,"PredictVolume")</f>
        <v>69</v>
      </c>
      <c r="AK92" s="399">
        <f>IFERROR(VLOOKUP($G92,基本資料!$A:$M,13,0),"無")</f>
        <v>5.01</v>
      </c>
    </row>
    <row r="93" spans="1:38">
      <c r="A93" s="347">
        <f>IFERROR(VLOOKUP($G93,基本資料!$A:$J,3,0),"無")</f>
        <v>53.16</v>
      </c>
      <c r="B93" s="79">
        <f>IFERROR(VLOOKUP($G93,基本資料!$A:$J,4,0),"無")</f>
        <v>2393</v>
      </c>
      <c r="C93" s="79">
        <f>IFERROR(VLOOKUP($G93,基本資料!$A:$J,5,0),"無")</f>
        <v>331</v>
      </c>
      <c r="D93" s="79">
        <f>IFERROR(VLOOKUP($G93,基本資料!$A:$J,6,0),"無")</f>
        <v>-19</v>
      </c>
      <c r="E93" s="79">
        <f>IFERROR(VLOOKUP($G93,基本資料!$A:$J,7,0),"無")</f>
        <v>3</v>
      </c>
      <c r="F93" s="6">
        <f>IFERROR(VLOOKUP($G93,基本資料!$A:$J,8,0),"無")</f>
        <v>5.78</v>
      </c>
      <c r="G93" s="79">
        <v>1455</v>
      </c>
      <c r="H93" s="8" t="s">
        <v>3172</v>
      </c>
      <c r="I93" s="22" t="s">
        <v>169</v>
      </c>
      <c r="J93" s="8">
        <f>IFERROR(VLOOKUP($G93,今日總結!$A:$AJ,35,0),"")</f>
        <v>0</v>
      </c>
      <c r="K93" s="5" t="str">
        <f>IFERROR(VLOOKUP($G93,今日總結!$A:$AJ,36,0),"")</f>
        <v>借</v>
      </c>
      <c r="L93" s="156">
        <f>IFERROR(VLOOKUP($G93,今日總結!$A:$AJ,33,0),"")</f>
        <v>0</v>
      </c>
      <c r="M93" s="340">
        <f>IFERROR(VLOOKUP($G93,今日總結!$A:$AJ,34,0),"")</f>
        <v>1</v>
      </c>
      <c r="N93" s="240">
        <f t="shared" si="24"/>
        <v>-1</v>
      </c>
      <c r="P93" s="365">
        <f>IFERROR(VLOOKUP($G93,融外自投!$A:$J,7,0),"無")</f>
        <v>404</v>
      </c>
      <c r="Q93" s="79">
        <f>IFERROR(VLOOKUP($G93,融外自投!$A:$J,9,0),"無")</f>
        <v>296</v>
      </c>
      <c r="R93" s="346">
        <f>IFERROR(VLOOKUP($G93,融外自投!$A:$J,8,0),"無")</f>
        <v>1180</v>
      </c>
      <c r="S93" s="81" t="str">
        <f>IFERROR(VLOOKUP($G93,融外自投!$A:$J,10,0),"無")</f>
        <v>無</v>
      </c>
      <c r="T93" s="327">
        <f>IFERROR(VLOOKUP($G93,'321買'!$A:$E,5,0),"'沒有資料'")</f>
        <v>357</v>
      </c>
      <c r="U93" s="186">
        <f>IFERROR(VLOOKUP($G93,基本資料!$A:$J,9,0),"無")</f>
        <v>0.8</v>
      </c>
      <c r="V93" s="310">
        <f t="shared" si="16"/>
        <v>6.2015503875968991E-2</v>
      </c>
      <c r="W93" s="94">
        <f>IFERROR(VLOOKUP($G93,基本資料!$A:$J,10,0),"無")</f>
        <v>1.73</v>
      </c>
      <c r="X93" s="36">
        <f>RTD("money.excel",,"1455","Price")</f>
        <v>12.9</v>
      </c>
      <c r="Y93" s="66"/>
      <c r="Z93" s="15">
        <f t="shared" si="20"/>
        <v>12.9</v>
      </c>
      <c r="AA93" s="3" t="e">
        <f t="shared" si="21"/>
        <v>#DIV/0!</v>
      </c>
      <c r="AB93" s="344">
        <f>IFERROR(VLOOKUP($G93,基本資料!$A:$M,11,0),"無")</f>
        <v>-53.37</v>
      </c>
      <c r="AC93" s="397">
        <f>IFERROR(VLOOKUP($G93,基本資料!$A:$M,12,0),"無")</f>
        <v>14.6</v>
      </c>
      <c r="AD93" s="22" t="s">
        <v>169</v>
      </c>
      <c r="AG93" s="33">
        <f t="shared" si="22"/>
        <v>0</v>
      </c>
      <c r="AH93" s="117" t="s">
        <v>1521</v>
      </c>
      <c r="AI93" s="63">
        <f t="shared" si="23"/>
        <v>2.3645598194130925E-3</v>
      </c>
      <c r="AJ93" s="284">
        <f>RTD("money.excel",,$G93,"PredictVolume")</f>
        <v>1257</v>
      </c>
      <c r="AK93" s="399">
        <f>IFERROR(VLOOKUP($G93,基本資料!$A:$M,13,0),"無")</f>
        <v>40.28</v>
      </c>
    </row>
    <row r="94" spans="1:38">
      <c r="A94" s="347">
        <f>IFERROR(VLOOKUP($G94,基本資料!$A:$J,3,0),"無")</f>
        <v>9.3699999999999992</v>
      </c>
      <c r="B94" s="79">
        <f>IFERROR(VLOOKUP($G94,基本資料!$A:$J,4,0),"無")</f>
        <v>567</v>
      </c>
      <c r="C94" s="79">
        <f>IFERROR(VLOOKUP($G94,基本資料!$A:$J,5,0),"無")</f>
        <v>287</v>
      </c>
      <c r="D94" s="79">
        <f>IFERROR(VLOOKUP($G94,基本資料!$A:$J,6,0),"無")</f>
        <v>2</v>
      </c>
      <c r="E94" s="79">
        <f>IFERROR(VLOOKUP($G94,基本資料!$A:$J,7,0),"無")</f>
        <v>-26</v>
      </c>
      <c r="F94" s="6">
        <f>IFERROR(VLOOKUP($G94,基本資料!$A:$J,8,0),"無")</f>
        <v>24.73</v>
      </c>
      <c r="G94" s="79">
        <v>1456</v>
      </c>
      <c r="H94" s="8" t="s">
        <v>3172</v>
      </c>
      <c r="I94" s="22" t="s">
        <v>739</v>
      </c>
      <c r="J94" s="8" t="str">
        <f>IFERROR(VLOOKUP($G94,今日總結!$A:$AJ,35,0),"")</f>
        <v/>
      </c>
      <c r="K94" s="5" t="str">
        <f>IFERROR(VLOOKUP($G94,今日總結!$A:$AJ,36,0),"")</f>
        <v/>
      </c>
      <c r="L94" s="156" t="str">
        <f>IFERROR(VLOOKUP($G94,今日總結!$A:$AJ,33,0),"")</f>
        <v/>
      </c>
      <c r="M94" s="340" t="str">
        <f>IFERROR(VLOOKUP($G94,今日總結!$A:$AJ,34,0),"")</f>
        <v/>
      </c>
      <c r="N94" s="240" t="str">
        <f t="shared" si="24"/>
        <v/>
      </c>
      <c r="P94" s="365">
        <f>IFERROR(VLOOKUP($G94,融外自投!$A:$J,7,0),"無")</f>
        <v>715</v>
      </c>
      <c r="Q94" s="79">
        <f>IFERROR(VLOOKUP($G94,融外自投!$A:$J,9,0),"無")</f>
        <v>2</v>
      </c>
      <c r="R94" s="346">
        <f>IFERROR(VLOOKUP($G94,融外自投!$A:$J,8,0),"無")</f>
        <v>1390</v>
      </c>
      <c r="S94" s="81" t="str">
        <f>IFERROR(VLOOKUP($G94,融外自投!$A:$J,10,0),"無")</f>
        <v>無</v>
      </c>
      <c r="T94" s="327">
        <f>IFERROR(VLOOKUP($G94,'321買'!$A:$E,5,0),"'沒有資料'")</f>
        <v>1126</v>
      </c>
      <c r="U94" s="186">
        <f>IFERROR(VLOOKUP($G94,基本資料!$A:$J,9,0),"無")</f>
        <v>1.5</v>
      </c>
      <c r="V94" s="310">
        <f t="shared" si="16"/>
        <v>7.5949367088607597E-2</v>
      </c>
      <c r="W94" s="94">
        <f>IFERROR(VLOOKUP($G94,基本資料!$A:$J,10,0),"無")</f>
        <v>4.8499999999999996</v>
      </c>
      <c r="X94" s="36">
        <f>RTD("money.excel",,"1456","Price")</f>
        <v>19.75</v>
      </c>
      <c r="Y94" s="66"/>
      <c r="Z94" s="15">
        <f t="shared" si="20"/>
        <v>19.75</v>
      </c>
      <c r="AA94" s="3" t="e">
        <f t="shared" si="21"/>
        <v>#DIV/0!</v>
      </c>
      <c r="AB94" s="344">
        <f>IFERROR(VLOOKUP($G94,基本資料!$A:$M,11,0),"無")</f>
        <v>-39.119999999999997</v>
      </c>
      <c r="AC94" s="397">
        <f>IFERROR(VLOOKUP($G94,基本資料!$A:$M,12,0),"無")</f>
        <v>26.75</v>
      </c>
      <c r="AD94" s="22" t="s">
        <v>739</v>
      </c>
      <c r="AG94" s="33">
        <f t="shared" si="22"/>
        <v>0</v>
      </c>
      <c r="AH94" s="43" t="s">
        <v>2774</v>
      </c>
      <c r="AI94" s="63">
        <f t="shared" si="23"/>
        <v>2.0277481323372469E-4</v>
      </c>
      <c r="AJ94" s="284">
        <f>RTD("money.excel",,$G94,"PredictVolume")</f>
        <v>19</v>
      </c>
      <c r="AK94" s="399">
        <f>IFERROR(VLOOKUP($G94,基本資料!$A:$M,13,0),"無")</f>
        <v>10.119999999999999</v>
      </c>
    </row>
    <row r="95" spans="1:38">
      <c r="A95" s="347">
        <f>IFERROR(VLOOKUP($G95,基本資料!$A:$J,3,0),"無")</f>
        <v>30.16</v>
      </c>
      <c r="B95" s="79">
        <f>IFERROR(VLOOKUP($G95,基本資料!$A:$J,4,0),"無")</f>
        <v>-34</v>
      </c>
      <c r="C95" s="79">
        <f>IFERROR(VLOOKUP($G95,基本資料!$A:$J,5,0),"無")</f>
        <v>-63</v>
      </c>
      <c r="D95" s="79">
        <f>IFERROR(VLOOKUP($G95,基本資料!$A:$J,6,0),"無")</f>
        <v>-7</v>
      </c>
      <c r="E95" s="79">
        <f>IFERROR(VLOOKUP($G95,基本資料!$A:$J,7,0),"無")</f>
        <v>12</v>
      </c>
      <c r="F95" s="6">
        <f>IFERROR(VLOOKUP($G95,基本資料!$A:$J,8,0),"無")</f>
        <v>7.96</v>
      </c>
      <c r="G95" s="79">
        <v>1457</v>
      </c>
      <c r="H95" s="8" t="s">
        <v>3172</v>
      </c>
      <c r="I95" s="22" t="s">
        <v>740</v>
      </c>
      <c r="J95" s="8" t="str">
        <f>IFERROR(VLOOKUP($G95,今日總結!$A:$AJ,35,0),"")</f>
        <v/>
      </c>
      <c r="K95" s="5" t="str">
        <f>IFERROR(VLOOKUP($G95,今日總結!$A:$AJ,36,0),"")</f>
        <v/>
      </c>
      <c r="L95" s="156" t="str">
        <f>IFERROR(VLOOKUP($G95,今日總結!$A:$AJ,33,0),"")</f>
        <v/>
      </c>
      <c r="M95" s="340" t="str">
        <f>IFERROR(VLOOKUP($G95,今日總結!$A:$AJ,34,0),"")</f>
        <v/>
      </c>
      <c r="N95" s="240" t="str">
        <f t="shared" si="24"/>
        <v/>
      </c>
      <c r="P95" s="365">
        <f>IFERROR(VLOOKUP($G95,融外自投!$A:$J,7,0),"無")</f>
        <v>905</v>
      </c>
      <c r="Q95" s="79">
        <f>IFERROR(VLOOKUP($G95,融外自投!$A:$J,9,0),"無")</f>
        <v>1110</v>
      </c>
      <c r="R95" s="346">
        <f>IFERROR(VLOOKUP($G95,融外自投!$A:$J,8,0),"無")</f>
        <v>1002</v>
      </c>
      <c r="S95" s="81" t="str">
        <f>IFERROR(VLOOKUP($G95,融外自投!$A:$J,10,0),"無")</f>
        <v>無</v>
      </c>
      <c r="T95" s="327">
        <f>IFERROR(VLOOKUP($G95,'321買'!$A:$E,5,0),"'沒有資料'")</f>
        <v>710</v>
      </c>
      <c r="U95" s="186">
        <f>IFERROR(VLOOKUP($G95,基本資料!$A:$J,9,0),"無")</f>
        <v>1</v>
      </c>
      <c r="V95" s="310">
        <f t="shared" si="16"/>
        <v>5.4347826086956527E-2</v>
      </c>
      <c r="W95" s="94">
        <f>IFERROR(VLOOKUP($G95,基本資料!$A:$J,10,0),"無")</f>
        <v>0.9</v>
      </c>
      <c r="X95" s="36">
        <f>RTD("money.excel",,"1457","Price")</f>
        <v>18.399999999999999</v>
      </c>
      <c r="Y95" s="66"/>
      <c r="Z95" s="15">
        <f t="shared" si="20"/>
        <v>18.399999999999999</v>
      </c>
      <c r="AA95" s="3" t="e">
        <f t="shared" si="21"/>
        <v>#DIV/0!</v>
      </c>
      <c r="AB95" s="344">
        <f>IFERROR(VLOOKUP($G95,基本資料!$A:$M,11,0),"無")</f>
        <v>-16.170000000000002</v>
      </c>
      <c r="AC95" s="397">
        <f>IFERROR(VLOOKUP($G95,基本資料!$A:$M,12,0),"無")</f>
        <v>32.76</v>
      </c>
      <c r="AD95" s="22" t="s">
        <v>740</v>
      </c>
      <c r="AG95" s="33">
        <f t="shared" si="22"/>
        <v>0</v>
      </c>
      <c r="AH95" s="43" t="s">
        <v>1521</v>
      </c>
      <c r="AI95" s="63">
        <f t="shared" si="23"/>
        <v>6.4323607427055698E-4</v>
      </c>
      <c r="AJ95" s="284">
        <f>RTD("money.excel",,$G95,"PredictVolume")</f>
        <v>194</v>
      </c>
      <c r="AK95" s="399">
        <f>IFERROR(VLOOKUP($G95,基本資料!$A:$M,13,0),"無")</f>
        <v>17.059999999999999</v>
      </c>
    </row>
    <row r="96" spans="1:38">
      <c r="A96" s="347">
        <f>IFERROR(VLOOKUP($G96,基本資料!$A:$J,3,0),"無")</f>
        <v>35.86</v>
      </c>
      <c r="B96" s="79">
        <f>IFERROR(VLOOKUP($G96,基本資料!$A:$J,4,0),"無")</f>
        <v>514</v>
      </c>
      <c r="C96" s="79">
        <f>IFERROR(VLOOKUP($G96,基本資料!$A:$J,5,0),"無")</f>
        <v>71</v>
      </c>
      <c r="D96" s="79">
        <f>IFERROR(VLOOKUP($G96,基本資料!$A:$J,6,0),"無")</f>
        <v>-8</v>
      </c>
      <c r="E96" s="79">
        <f>IFERROR(VLOOKUP($G96,基本資料!$A:$J,7,0),"無")</f>
        <v>-1</v>
      </c>
      <c r="F96" s="6">
        <f>IFERROR(VLOOKUP($G96,基本資料!$A:$J,8,0),"無")</f>
        <v>-2.57</v>
      </c>
      <c r="G96" s="79">
        <v>1459</v>
      </c>
      <c r="H96" s="8" t="s">
        <v>3172</v>
      </c>
      <c r="I96" s="22" t="s">
        <v>741</v>
      </c>
      <c r="J96" s="8" t="str">
        <f>IFERROR(VLOOKUP($G96,今日總結!$A:$AJ,35,0),"")</f>
        <v/>
      </c>
      <c r="K96" s="5" t="str">
        <f>IFERROR(VLOOKUP($G96,今日總結!$A:$AJ,36,0),"")</f>
        <v/>
      </c>
      <c r="L96" s="156" t="str">
        <f>IFERROR(VLOOKUP($G96,今日總結!$A:$AJ,33,0),"")</f>
        <v/>
      </c>
      <c r="M96" s="340" t="str">
        <f>IFERROR(VLOOKUP($G96,今日總結!$A:$AJ,34,0),"")</f>
        <v/>
      </c>
      <c r="N96" s="240" t="str">
        <f t="shared" si="24"/>
        <v/>
      </c>
      <c r="P96" s="365">
        <f>IFERROR(VLOOKUP($G96,融外自投!$A:$J,7,0),"無")</f>
        <v>1169</v>
      </c>
      <c r="Q96" s="79">
        <f>IFERROR(VLOOKUP($G96,融外自投!$A:$J,9,0),"無")</f>
        <v>1110</v>
      </c>
      <c r="R96" s="346">
        <f>IFERROR(VLOOKUP($G96,融外自投!$A:$J,8,0),"無")</f>
        <v>1079</v>
      </c>
      <c r="S96" s="81" t="str">
        <f>IFERROR(VLOOKUP($G96,融外自投!$A:$J,10,0),"無")</f>
        <v>無</v>
      </c>
      <c r="T96" s="327">
        <f>IFERROR(VLOOKUP($G96,'321買'!$A:$E,5,0),"'沒有資料'")</f>
        <v>1099</v>
      </c>
      <c r="U96" s="186">
        <f>IFERROR(VLOOKUP($G96,基本資料!$A:$J,9,0),"無")</f>
        <v>0.2</v>
      </c>
      <c r="V96" s="310">
        <f t="shared" si="16"/>
        <v>2.0387359836901122E-2</v>
      </c>
      <c r="W96" s="94">
        <f>IFERROR(VLOOKUP($G96,基本資料!$A:$J,10,0),"無")</f>
        <v>2.0099999999999998</v>
      </c>
      <c r="X96" s="36">
        <f>RTD("money.excel",,"1459","Price")</f>
        <v>9.81</v>
      </c>
      <c r="Y96" s="66"/>
      <c r="Z96" s="15">
        <f t="shared" si="20"/>
        <v>9.81</v>
      </c>
      <c r="AA96" s="3" t="e">
        <f t="shared" si="21"/>
        <v>#DIV/0!</v>
      </c>
      <c r="AB96" s="344">
        <f>IFERROR(VLOOKUP($G96,基本資料!$A:$M,11,0),"無")</f>
        <v>-40.6</v>
      </c>
      <c r="AC96" s="397">
        <f>IFERROR(VLOOKUP($G96,基本資料!$A:$M,12,0),"無")</f>
        <v>13.25</v>
      </c>
      <c r="AD96" s="22" t="s">
        <v>741</v>
      </c>
      <c r="AG96" s="33">
        <f t="shared" si="22"/>
        <v>0</v>
      </c>
      <c r="AH96" s="43" t="s">
        <v>1999</v>
      </c>
      <c r="AI96" s="63">
        <f t="shared" si="23"/>
        <v>3.0395984383714444E-4</v>
      </c>
      <c r="AJ96" s="284">
        <f>RTD("money.excel",,$G96,"PredictVolume")</f>
        <v>109</v>
      </c>
      <c r="AK96" s="399">
        <f>IFERROR(VLOOKUP($G96,基本資料!$A:$M,13,0),"無")</f>
        <v>4.8899999999999997</v>
      </c>
    </row>
    <row r="97" spans="1:37">
      <c r="A97" s="347">
        <f>IFERROR(VLOOKUP($G97,基本資料!$A:$J,3,0),"無")</f>
        <v>69.459999999999994</v>
      </c>
      <c r="B97" s="79">
        <f>IFERROR(VLOOKUP($G97,基本資料!$A:$J,4,0),"無")</f>
        <v>119</v>
      </c>
      <c r="C97" s="79">
        <f>IFERROR(VLOOKUP($G97,基本資料!$A:$J,5,0),"無")</f>
        <v>142</v>
      </c>
      <c r="D97" s="79">
        <f>IFERROR(VLOOKUP($G97,基本資料!$A:$J,6,0),"無")</f>
        <v>18</v>
      </c>
      <c r="E97" s="79">
        <f>IFERROR(VLOOKUP($G97,基本資料!$A:$J,7,0),"無")</f>
        <v>30</v>
      </c>
      <c r="F97" s="6">
        <f>IFERROR(VLOOKUP($G97,基本資料!$A:$J,8,0),"無")</f>
        <v>3.64</v>
      </c>
      <c r="G97" s="79">
        <v>1460</v>
      </c>
      <c r="H97" s="8" t="s">
        <v>3172</v>
      </c>
      <c r="I97" s="22" t="s">
        <v>742</v>
      </c>
      <c r="J97" s="8" t="str">
        <f>IFERROR(VLOOKUP($G97,今日總結!$A:$AJ,35,0),"")</f>
        <v>融</v>
      </c>
      <c r="K97" s="5" t="str">
        <f>IFERROR(VLOOKUP($G97,今日總結!$A:$AJ,36,0),"")</f>
        <v>借</v>
      </c>
      <c r="L97" s="156">
        <f>IFERROR(VLOOKUP($G97,今日總結!$A:$AJ,33,0),"")</f>
        <v>1</v>
      </c>
      <c r="M97" s="340">
        <f>IFERROR(VLOOKUP($G97,今日總結!$A:$AJ,34,0),"")</f>
        <v>1</v>
      </c>
      <c r="N97" s="240">
        <f t="shared" si="24"/>
        <v>0</v>
      </c>
      <c r="P97" s="365">
        <f>IFERROR(VLOOKUP($G97,融外自投!$A:$J,7,0),"無")</f>
        <v>1239</v>
      </c>
      <c r="Q97" s="79" t="str">
        <f>IFERROR(VLOOKUP($G97,融外自投!$A:$J,9,0),"無")</f>
        <v>無</v>
      </c>
      <c r="R97" s="346">
        <f>IFERROR(VLOOKUP($G97,融外自投!$A:$J,8,0),"無")</f>
        <v>1113</v>
      </c>
      <c r="S97" s="81" t="str">
        <f>IFERROR(VLOOKUP($G97,融外自投!$A:$J,10,0),"無")</f>
        <v>無</v>
      </c>
      <c r="T97" s="327">
        <f>IFERROR(VLOOKUP($G97,'321買'!$A:$E,5,0),"'沒有資料'")</f>
        <v>1099</v>
      </c>
      <c r="U97" s="186">
        <f>IFERROR(VLOOKUP($G97,基本資料!$A:$J,9,0),"無")</f>
        <v>0</v>
      </c>
      <c r="V97" s="310">
        <f t="shared" si="16"/>
        <v>0</v>
      </c>
      <c r="W97" s="94">
        <f>IFERROR(VLOOKUP($G97,基本資料!$A:$J,10,0),"無")</f>
        <v>0.39</v>
      </c>
      <c r="X97" s="36">
        <f>RTD("money.excel",,"1460","Price")</f>
        <v>7.71</v>
      </c>
      <c r="Y97" s="66"/>
      <c r="Z97" s="15">
        <f t="shared" si="20"/>
        <v>7.71</v>
      </c>
      <c r="AA97" s="3" t="e">
        <f t="shared" si="21"/>
        <v>#DIV/0!</v>
      </c>
      <c r="AB97" s="344">
        <f>IFERROR(VLOOKUP($G97,基本資料!$A:$M,11,0),"無")</f>
        <v>-45.59</v>
      </c>
      <c r="AC97" s="397">
        <f>IFERROR(VLOOKUP($G97,基本資料!$A:$M,12,0),"無")</f>
        <v>34.479999999999997</v>
      </c>
      <c r="AD97" s="22" t="s">
        <v>742</v>
      </c>
      <c r="AG97" s="33">
        <f t="shared" si="22"/>
        <v>0</v>
      </c>
      <c r="AH97" s="43" t="s">
        <v>3332</v>
      </c>
      <c r="AI97" s="63">
        <f t="shared" si="23"/>
        <v>1.8039159228332856E-3</v>
      </c>
      <c r="AJ97" s="284">
        <f>RTD("money.excel",,$G97,"PredictVolume")</f>
        <v>1253</v>
      </c>
      <c r="AK97" s="399">
        <f>IFERROR(VLOOKUP($G97,基本資料!$A:$M,13,0),"無")</f>
        <v>5.92</v>
      </c>
    </row>
    <row r="98" spans="1:37">
      <c r="A98" s="347">
        <f>IFERROR(VLOOKUP($G98,基本資料!$A:$J,3,0),"無")</f>
        <v>17.32</v>
      </c>
      <c r="B98" s="79">
        <f>IFERROR(VLOOKUP($G98,基本資料!$A:$J,4,0),"無")</f>
        <v>34</v>
      </c>
      <c r="C98" s="79">
        <f>IFERROR(VLOOKUP($G98,基本資料!$A:$J,5,0),"無")</f>
        <v>-113</v>
      </c>
      <c r="D98" s="79">
        <f>IFERROR(VLOOKUP($G98,基本資料!$A:$J,6,0),"無")</f>
        <v>-8</v>
      </c>
      <c r="E98" s="79">
        <f>IFERROR(VLOOKUP($G98,基本資料!$A:$J,7,0),"無")</f>
        <v>5</v>
      </c>
      <c r="F98" s="6">
        <f>IFERROR(VLOOKUP($G98,基本資料!$A:$J,8,0),"無")</f>
        <v>-0.25</v>
      </c>
      <c r="G98" s="79">
        <v>1463</v>
      </c>
      <c r="H98" s="8" t="s">
        <v>3172</v>
      </c>
      <c r="I98" s="22" t="s">
        <v>743</v>
      </c>
      <c r="J98" s="8" t="str">
        <f>IFERROR(VLOOKUP($G98,今日總結!$A:$AJ,35,0),"")</f>
        <v/>
      </c>
      <c r="K98" s="5" t="str">
        <f>IFERROR(VLOOKUP($G98,今日總結!$A:$AJ,36,0),"")</f>
        <v/>
      </c>
      <c r="L98" s="156" t="str">
        <f>IFERROR(VLOOKUP($G98,今日總結!$A:$AJ,33,0),"")</f>
        <v/>
      </c>
      <c r="M98" s="340" t="str">
        <f>IFERROR(VLOOKUP($G98,今日總結!$A:$AJ,34,0),"")</f>
        <v/>
      </c>
      <c r="N98" s="240" t="str">
        <f t="shared" si="24"/>
        <v/>
      </c>
      <c r="P98" s="365">
        <f>IFERROR(VLOOKUP($G98,融外自投!$A:$J,7,0),"無")</f>
        <v>1067</v>
      </c>
      <c r="Q98" s="79">
        <f>IFERROR(VLOOKUP($G98,融外自投!$A:$J,9,0),"無")</f>
        <v>978</v>
      </c>
      <c r="R98" s="346">
        <f>IFERROR(VLOOKUP($G98,融外自投!$A:$J,8,0),"無")</f>
        <v>988</v>
      </c>
      <c r="S98" s="81" t="str">
        <f>IFERROR(VLOOKUP($G98,融外自投!$A:$J,10,0),"無")</f>
        <v>無</v>
      </c>
      <c r="T98" s="327">
        <f>IFERROR(VLOOKUP($G98,'321買'!$A:$E,5,0),"'沒有資料'")</f>
        <v>1099</v>
      </c>
      <c r="U98" s="186">
        <f>IFERROR(VLOOKUP($G98,基本資料!$A:$J,9,0),"無")</f>
        <v>0.4</v>
      </c>
      <c r="V98" s="310">
        <f t="shared" si="16"/>
        <v>2.9850746268656716E-2</v>
      </c>
      <c r="W98" s="94">
        <f>IFERROR(VLOOKUP($G98,基本資料!$A:$J,10,0),"無")</f>
        <v>0.49</v>
      </c>
      <c r="X98" s="36">
        <f>RTD("money.excel",,"1463","Price")</f>
        <v>13.4</v>
      </c>
      <c r="Y98" s="66"/>
      <c r="Z98" s="15">
        <f t="shared" si="20"/>
        <v>13.4</v>
      </c>
      <c r="AA98" s="3" t="e">
        <f t="shared" si="21"/>
        <v>#DIV/0!</v>
      </c>
      <c r="AB98" s="344">
        <f>IFERROR(VLOOKUP($G98,基本資料!$A:$M,11,0),"無")</f>
        <v>-28.46</v>
      </c>
      <c r="AC98" s="397">
        <f>IFERROR(VLOOKUP($G98,基本資料!$A:$M,12,0),"無")</f>
        <v>53.52</v>
      </c>
      <c r="AD98" s="22" t="s">
        <v>743</v>
      </c>
      <c r="AG98" s="33">
        <f t="shared" si="22"/>
        <v>0</v>
      </c>
      <c r="AH98" s="43" t="s">
        <v>2388</v>
      </c>
      <c r="AI98" s="63">
        <f t="shared" si="23"/>
        <v>5.196304849884527E-4</v>
      </c>
      <c r="AJ98" s="284">
        <f>RTD("money.excel",,$G98,"PredictVolume")</f>
        <v>90</v>
      </c>
      <c r="AK98" s="399">
        <f>IFERROR(VLOOKUP($G98,基本資料!$A:$M,13,0),"無")</f>
        <v>10.98</v>
      </c>
    </row>
    <row r="99" spans="1:37">
      <c r="A99" s="347">
        <f>IFERROR(VLOOKUP($G99,基本資料!$A:$J,3,0),"無")</f>
        <v>38.450000000000003</v>
      </c>
      <c r="B99" s="79">
        <f>IFERROR(VLOOKUP($G99,基本資料!$A:$J,4,0),"無")</f>
        <v>194</v>
      </c>
      <c r="C99" s="79">
        <f>IFERROR(VLOOKUP($G99,基本資料!$A:$J,5,0),"無")</f>
        <v>11661</v>
      </c>
      <c r="D99" s="79">
        <f>IFERROR(VLOOKUP($G99,基本資料!$A:$J,6,0),"無")</f>
        <v>-11</v>
      </c>
      <c r="E99" s="79">
        <f>IFERROR(VLOOKUP($G99,基本資料!$A:$J,7,0),"無")</f>
        <v>18</v>
      </c>
      <c r="F99" s="6">
        <f>IFERROR(VLOOKUP($G99,基本資料!$A:$J,8,0),"無")</f>
        <v>3.54</v>
      </c>
      <c r="G99" s="79">
        <v>1464</v>
      </c>
      <c r="H99" s="8" t="s">
        <v>3172</v>
      </c>
      <c r="I99" s="22" t="s">
        <v>744</v>
      </c>
      <c r="J99" s="8">
        <f>IFERROR(VLOOKUP($G99,今日總結!$A:$AJ,35,0),"")</f>
        <v>0</v>
      </c>
      <c r="K99" s="5">
        <f>IFERROR(VLOOKUP($G99,今日總結!$A:$AJ,36,0),"")</f>
        <v>0</v>
      </c>
      <c r="L99" s="156">
        <f>IFERROR(VLOOKUP($G99,今日總結!$A:$AJ,33,0),"")</f>
        <v>0</v>
      </c>
      <c r="M99" s="340">
        <f>IFERROR(VLOOKUP($G99,今日總結!$A:$AJ,34,0),"")</f>
        <v>1</v>
      </c>
      <c r="N99" s="240">
        <f t="shared" si="24"/>
        <v>-1</v>
      </c>
      <c r="P99" s="365">
        <f>IFERROR(VLOOKUP($G99,融外自投!$A:$J,7,0),"無")</f>
        <v>1048</v>
      </c>
      <c r="Q99" s="79" t="str">
        <f>IFERROR(VLOOKUP($G99,融外自投!$A:$J,9,0),"無")</f>
        <v>無</v>
      </c>
      <c r="R99" s="346">
        <f>IFERROR(VLOOKUP($G99,融外自投!$A:$J,8,0),"無")</f>
        <v>1089</v>
      </c>
      <c r="S99" s="81" t="str">
        <f>IFERROR(VLOOKUP($G99,融外自投!$A:$J,10,0),"無")</f>
        <v>無</v>
      </c>
      <c r="T99" s="327">
        <f>IFERROR(VLOOKUP($G99,'321買'!$A:$E,5,0),"'沒有資料'")</f>
        <v>827</v>
      </c>
      <c r="U99" s="186">
        <f>IFERROR(VLOOKUP($G99,基本資料!$A:$J,9,0),"無")</f>
        <v>0.25</v>
      </c>
      <c r="V99" s="310">
        <f t="shared" si="16"/>
        <v>1.748251748251748E-2</v>
      </c>
      <c r="W99" s="94">
        <f>IFERROR(VLOOKUP($G99,基本資料!$A:$J,10,0),"無")</f>
        <v>0.48</v>
      </c>
      <c r="X99" s="36">
        <f>RTD("money.excel",,"1464","Price")</f>
        <v>14.3</v>
      </c>
      <c r="Y99" s="66"/>
      <c r="Z99" s="15">
        <f t="shared" si="20"/>
        <v>14.3</v>
      </c>
      <c r="AA99" s="3" t="e">
        <f t="shared" si="21"/>
        <v>#DIV/0!</v>
      </c>
      <c r="AB99" s="344">
        <f>IFERROR(VLOOKUP($G99,基本資料!$A:$M,11,0),"無")</f>
        <v>-25.27</v>
      </c>
      <c r="AC99" s="397">
        <f>IFERROR(VLOOKUP($G99,基本資料!$A:$M,12,0),"無")</f>
        <v>17.7</v>
      </c>
      <c r="AD99" s="22" t="s">
        <v>744</v>
      </c>
      <c r="AG99" s="33">
        <f t="shared" si="22"/>
        <v>0</v>
      </c>
      <c r="AH99" s="43" t="s">
        <v>2021</v>
      </c>
      <c r="AI99" s="63">
        <f t="shared" si="23"/>
        <v>1.7451235370611184E-3</v>
      </c>
      <c r="AJ99" s="284">
        <f>RTD("money.excel",,$G99,"PredictVolume")</f>
        <v>671</v>
      </c>
      <c r="AK99" s="399">
        <f>IFERROR(VLOOKUP($G99,基本資料!$A:$M,13,0),"無")</f>
        <v>2.4500000000000002</v>
      </c>
    </row>
    <row r="100" spans="1:37">
      <c r="A100" s="347">
        <f>IFERROR(VLOOKUP($G100,基本資料!$A:$J,3,0),"無")</f>
        <v>10.36</v>
      </c>
      <c r="B100" s="79">
        <f>IFERROR(VLOOKUP($G100,基本資料!$A:$J,4,0),"無")</f>
        <v>-282</v>
      </c>
      <c r="C100" s="79">
        <f>IFERROR(VLOOKUP($G100,基本資料!$A:$J,5,0),"無")</f>
        <v>-83</v>
      </c>
      <c r="D100" s="79">
        <f>IFERROR(VLOOKUP($G100,基本資料!$A:$J,6,0),"無")</f>
        <v>-63</v>
      </c>
      <c r="E100" s="79">
        <f>IFERROR(VLOOKUP($G100,基本資料!$A:$J,7,0),"無")</f>
        <v>23</v>
      </c>
      <c r="F100" s="6">
        <f>IFERROR(VLOOKUP($G100,基本資料!$A:$J,8,0),"無")</f>
        <v>-7</v>
      </c>
      <c r="G100" s="79">
        <v>1465</v>
      </c>
      <c r="H100" s="8" t="s">
        <v>3172</v>
      </c>
      <c r="I100" s="22" t="s">
        <v>745</v>
      </c>
      <c r="J100" s="8">
        <f>IFERROR(VLOOKUP($G100,今日總結!$A:$AJ,35,0),"")</f>
        <v>0</v>
      </c>
      <c r="K100" s="5">
        <f>IFERROR(VLOOKUP($G100,今日總結!$A:$AJ,36,0),"")</f>
        <v>0</v>
      </c>
      <c r="L100" s="156">
        <f>IFERROR(VLOOKUP($G100,今日總結!$A:$AJ,33,0),"")</f>
        <v>0</v>
      </c>
      <c r="M100" s="340">
        <f>IFERROR(VLOOKUP($G100,今日總結!$A:$AJ,34,0),"")</f>
        <v>1</v>
      </c>
      <c r="N100" s="240">
        <f t="shared" si="24"/>
        <v>-1</v>
      </c>
      <c r="P100" s="365">
        <f>IFERROR(VLOOKUP($G100,融外自投!$A:$J,7,0),"無")</f>
        <v>249</v>
      </c>
      <c r="Q100" s="79">
        <f>IFERROR(VLOOKUP($G100,融外自投!$A:$J,9,0),"無")</f>
        <v>978</v>
      </c>
      <c r="R100" s="346">
        <f>IFERROR(VLOOKUP($G100,融外自投!$A:$J,8,0),"無")</f>
        <v>1351</v>
      </c>
      <c r="S100" s="81" t="str">
        <f>IFERROR(VLOOKUP($G100,融外自投!$A:$J,10,0),"無")</f>
        <v>無</v>
      </c>
      <c r="T100" s="327">
        <f>IFERROR(VLOOKUP($G100,'321買'!$A:$E,5,0),"'沒有資料'")</f>
        <v>1281</v>
      </c>
      <c r="U100" s="186">
        <f>IFERROR(VLOOKUP($G100,基本資料!$A:$J,9,0),"無")</f>
        <v>0.3</v>
      </c>
      <c r="V100" s="310">
        <f t="shared" si="16"/>
        <v>2.4096385542168676E-2</v>
      </c>
      <c r="W100" s="94">
        <f>IFERROR(VLOOKUP($G100,基本資料!$A:$J,10,0),"無")</f>
        <v>-0.93</v>
      </c>
      <c r="X100" s="36">
        <f>RTD("money.excel",,"1465","Price")</f>
        <v>12.45</v>
      </c>
      <c r="Y100" s="66"/>
      <c r="Z100" s="15">
        <f t="shared" si="20"/>
        <v>12.45</v>
      </c>
      <c r="AA100" s="3" t="e">
        <f t="shared" si="21"/>
        <v>#DIV/0!</v>
      </c>
      <c r="AB100" s="344">
        <f>IFERROR(VLOOKUP($G100,基本資料!$A:$M,11,0),"無")</f>
        <v>-8.42</v>
      </c>
      <c r="AC100" s="397">
        <f>IFERROR(VLOOKUP($G100,基本資料!$A:$M,12,0),"無")</f>
        <v>58.18</v>
      </c>
      <c r="AD100" s="22" t="s">
        <v>745</v>
      </c>
      <c r="AG100" s="33">
        <f t="shared" si="22"/>
        <v>0</v>
      </c>
      <c r="AH100" s="43" t="s">
        <v>1522</v>
      </c>
      <c r="AI100" s="63">
        <f t="shared" si="23"/>
        <v>1.3513513513513514E-4</v>
      </c>
      <c r="AJ100" s="284">
        <f>RTD("money.excel",,$G100,"PredictVolume")</f>
        <v>14</v>
      </c>
      <c r="AK100" s="399">
        <f>IFERROR(VLOOKUP($G100,基本資料!$A:$M,13,0),"無")</f>
        <v>0.67</v>
      </c>
    </row>
    <row r="101" spans="1:37">
      <c r="A101" s="347">
        <f>IFERROR(VLOOKUP($G101,基本資料!$A:$J,3,0),"無")</f>
        <v>11.11</v>
      </c>
      <c r="B101" s="79">
        <f>IFERROR(VLOOKUP($G101,基本資料!$A:$J,4,0),"無")</f>
        <v>340</v>
      </c>
      <c r="C101" s="79">
        <f>IFERROR(VLOOKUP($G101,基本資料!$A:$J,5,0),"無")</f>
        <v>1512</v>
      </c>
      <c r="D101" s="79">
        <f>IFERROR(VLOOKUP($G101,基本資料!$A:$J,6,0),"無")</f>
        <v>51</v>
      </c>
      <c r="E101" s="79">
        <f>IFERROR(VLOOKUP($G101,基本資料!$A:$J,7,0),"無")</f>
        <v>1</v>
      </c>
      <c r="F101" s="6">
        <f>IFERROR(VLOOKUP($G101,基本資料!$A:$J,8,0),"無")</f>
        <v>6.66</v>
      </c>
      <c r="G101" s="79">
        <v>1466</v>
      </c>
      <c r="H101" s="8" t="s">
        <v>3172</v>
      </c>
      <c r="I101" s="22" t="s">
        <v>746</v>
      </c>
      <c r="J101" s="8">
        <f>IFERROR(VLOOKUP($G101,今日總結!$A:$AJ,35,0),"")</f>
        <v>0</v>
      </c>
      <c r="K101" s="5" t="str">
        <f>IFERROR(VLOOKUP($G101,今日總結!$A:$AJ,36,0),"")</f>
        <v>融外</v>
      </c>
      <c r="L101" s="156">
        <f>IFERROR(VLOOKUP($G101,今日總結!$A:$AJ,33,0),"")</f>
        <v>0</v>
      </c>
      <c r="M101" s="340">
        <f>IFERROR(VLOOKUP($G101,今日總結!$A:$AJ,34,0),"")</f>
        <v>2</v>
      </c>
      <c r="N101" s="240">
        <f t="shared" si="24"/>
        <v>-2</v>
      </c>
      <c r="P101" s="365">
        <f>IFERROR(VLOOKUP($G101,融外自投!$A:$J,7,0),"無")</f>
        <v>478</v>
      </c>
      <c r="Q101" s="79">
        <f>IFERROR(VLOOKUP($G101,融外自投!$A:$J,9,0),"無")</f>
        <v>492</v>
      </c>
      <c r="R101" s="346">
        <f>IFERROR(VLOOKUP($G101,融外自投!$A:$J,8,0),"無")</f>
        <v>1216</v>
      </c>
      <c r="S101" s="81" t="str">
        <f>IFERROR(VLOOKUP($G101,融外自投!$A:$J,10,0),"無")</f>
        <v>無</v>
      </c>
      <c r="T101" s="327">
        <f>IFERROR(VLOOKUP($G101,'321買'!$A:$E,5,0),"'沒有資料'")</f>
        <v>1126</v>
      </c>
      <c r="U101" s="186">
        <f>IFERROR(VLOOKUP($G101,基本資料!$A:$J,9,0),"無")</f>
        <v>1</v>
      </c>
      <c r="V101" s="310">
        <f t="shared" si="16"/>
        <v>7.1684587813620082E-2</v>
      </c>
      <c r="W101" s="94">
        <f>IFERROR(VLOOKUP($G101,基本資料!$A:$J,10,0),"無")</f>
        <v>1.6</v>
      </c>
      <c r="X101" s="36">
        <f>RTD("money.excel",,"1466","Price")</f>
        <v>13.95</v>
      </c>
      <c r="Y101" s="66"/>
      <c r="Z101" s="15">
        <f t="shared" si="20"/>
        <v>13.95</v>
      </c>
      <c r="AA101" s="3" t="e">
        <f t="shared" si="21"/>
        <v>#DIV/0!</v>
      </c>
      <c r="AB101" s="344">
        <f>IFERROR(VLOOKUP($G101,基本資料!$A:$M,11,0),"無")</f>
        <v>-35.35</v>
      </c>
      <c r="AC101" s="397">
        <f>IFERROR(VLOOKUP($G101,基本資料!$A:$M,12,0),"無")</f>
        <v>30.43</v>
      </c>
      <c r="AD101" s="22" t="s">
        <v>746</v>
      </c>
      <c r="AG101" s="33">
        <f t="shared" si="22"/>
        <v>0</v>
      </c>
      <c r="AH101" s="43" t="s">
        <v>1521</v>
      </c>
      <c r="AI101" s="63">
        <f t="shared" si="23"/>
        <v>6.0306030603060308E-4</v>
      </c>
      <c r="AJ101" s="284">
        <f>RTD("money.excel",,$G101,"PredictVolume")</f>
        <v>67</v>
      </c>
      <c r="AK101" s="399">
        <f>IFERROR(VLOOKUP($G101,基本資料!$A:$M,13,0),"無")</f>
        <v>25.17</v>
      </c>
    </row>
    <row r="102" spans="1:37">
      <c r="A102" s="347">
        <f>IFERROR(VLOOKUP($G102,基本資料!$A:$J,3,0),"無")</f>
        <v>23.36</v>
      </c>
      <c r="B102" s="79">
        <f>IFERROR(VLOOKUP($G102,基本資料!$A:$J,4,0),"無")</f>
        <v>-125</v>
      </c>
      <c r="C102" s="79">
        <f>IFERROR(VLOOKUP($G102,基本資料!$A:$J,5,0),"無")</f>
        <v>-78</v>
      </c>
      <c r="D102" s="79">
        <f>IFERROR(VLOOKUP($G102,基本資料!$A:$J,6,0),"無")</f>
        <v>30</v>
      </c>
      <c r="E102" s="79">
        <f>IFERROR(VLOOKUP($G102,基本資料!$A:$J,7,0),"無")</f>
        <v>18</v>
      </c>
      <c r="F102" s="6">
        <f>IFERROR(VLOOKUP($G102,基本資料!$A:$J,8,0),"無")</f>
        <v>1.42</v>
      </c>
      <c r="G102" s="79">
        <v>1467</v>
      </c>
      <c r="H102" s="8" t="s">
        <v>3172</v>
      </c>
      <c r="I102" s="22" t="s">
        <v>747</v>
      </c>
      <c r="J102" s="8" t="str">
        <f>IFERROR(VLOOKUP($G102,今日總結!$A:$AJ,35,0),"")</f>
        <v>主</v>
      </c>
      <c r="K102" s="5">
        <f>IFERROR(VLOOKUP($G102,今日總結!$A:$AJ,36,0),"")</f>
        <v>0</v>
      </c>
      <c r="L102" s="156">
        <f>IFERROR(VLOOKUP($G102,今日總結!$A:$AJ,33,0),"")</f>
        <v>1</v>
      </c>
      <c r="M102" s="340">
        <f>IFERROR(VLOOKUP($G102,今日總結!$A:$AJ,34,0),"")</f>
        <v>0</v>
      </c>
      <c r="N102" s="240">
        <f t="shared" si="24"/>
        <v>1</v>
      </c>
      <c r="P102" s="365">
        <f>IFERROR(VLOOKUP($G102,融外自投!$A:$J,7,0),"無")</f>
        <v>87</v>
      </c>
      <c r="Q102" s="79">
        <f>IFERROR(VLOOKUP($G102,融外自投!$A:$J,9,0),"無")</f>
        <v>635</v>
      </c>
      <c r="R102" s="346">
        <f>IFERROR(VLOOKUP($G102,融外自投!$A:$J,8,0),"無")</f>
        <v>281</v>
      </c>
      <c r="S102" s="81" t="str">
        <f>IFERROR(VLOOKUP($G102,融外自投!$A:$J,10,0),"無")</f>
        <v>無</v>
      </c>
      <c r="T102" s="327">
        <f>IFERROR(VLOOKUP($G102,'321買'!$A:$E,5,0),"'沒有資料'")</f>
        <v>480</v>
      </c>
      <c r="U102" s="186">
        <f>IFERROR(VLOOKUP($G102,基本資料!$A:$J,9,0),"無")</f>
        <v>0</v>
      </c>
      <c r="V102" s="310">
        <f t="shared" si="16"/>
        <v>0</v>
      </c>
      <c r="W102" s="94">
        <f>IFERROR(VLOOKUP($G102,基本資料!$A:$J,10,0),"無")</f>
        <v>-0.13</v>
      </c>
      <c r="X102" s="36">
        <f>RTD("money.excel",,"1467","Price")</f>
        <v>13.8</v>
      </c>
      <c r="Y102" s="66"/>
      <c r="Z102" s="15">
        <f t="shared" si="20"/>
        <v>13.8</v>
      </c>
      <c r="AA102" s="3" t="e">
        <f t="shared" si="21"/>
        <v>#DIV/0!</v>
      </c>
      <c r="AB102" s="344">
        <f>IFERROR(VLOOKUP($G102,基本資料!$A:$M,11,0),"無")</f>
        <v>-23.82</v>
      </c>
      <c r="AC102" s="397">
        <f>IFERROR(VLOOKUP($G102,基本資料!$A:$M,12,0),"無")</f>
        <v>23</v>
      </c>
      <c r="AD102" s="22" t="s">
        <v>747</v>
      </c>
      <c r="AG102" s="33">
        <f t="shared" si="22"/>
        <v>0</v>
      </c>
      <c r="AH102" s="43" t="s">
        <v>3437</v>
      </c>
      <c r="AI102" s="63">
        <f t="shared" ref="AI102:AI125" si="25">AJ102/(A102*10000)</f>
        <v>1.776541095890411E-3</v>
      </c>
      <c r="AJ102" s="284">
        <f>RTD("money.excel",,$G102,"PredictVolume")</f>
        <v>415</v>
      </c>
      <c r="AK102" s="399">
        <f>IFERROR(VLOOKUP($G102,基本資料!$A:$M,13,0),"無")</f>
        <v>6.85</v>
      </c>
    </row>
    <row r="103" spans="1:37">
      <c r="A103" s="347">
        <f>IFERROR(VLOOKUP($G103,基本資料!$A:$J,3,0),"無")</f>
        <v>16.04</v>
      </c>
      <c r="B103" s="79">
        <f>IFERROR(VLOOKUP($G103,基本資料!$A:$J,4,0),"無")</f>
        <v>-68</v>
      </c>
      <c r="C103" s="79">
        <f>IFERROR(VLOOKUP($G103,基本資料!$A:$J,5,0),"無")</f>
        <v>10</v>
      </c>
      <c r="D103" s="79">
        <f>IFERROR(VLOOKUP($G103,基本資料!$A:$J,6,0),"無")</f>
        <v>-2</v>
      </c>
      <c r="E103" s="79">
        <f>IFERROR(VLOOKUP($G103,基本資料!$A:$J,7,0),"無")</f>
        <v>-8</v>
      </c>
      <c r="F103" s="6">
        <f>IFERROR(VLOOKUP($G103,基本資料!$A:$J,8,0),"無")</f>
        <v>-0.18</v>
      </c>
      <c r="G103" s="79">
        <v>1468</v>
      </c>
      <c r="H103" s="8" t="s">
        <v>3172</v>
      </c>
      <c r="I103" s="22" t="s">
        <v>748</v>
      </c>
      <c r="J103" s="8" t="str">
        <f>IFERROR(VLOOKUP($G103,今日總結!$A:$AJ,35,0),"")</f>
        <v/>
      </c>
      <c r="K103" s="5" t="str">
        <f>IFERROR(VLOOKUP($G103,今日總結!$A:$AJ,36,0),"")</f>
        <v/>
      </c>
      <c r="L103" s="156" t="str">
        <f>IFERROR(VLOOKUP($G103,今日總結!$A:$AJ,33,0),"")</f>
        <v/>
      </c>
      <c r="M103" s="340" t="str">
        <f>IFERROR(VLOOKUP($G103,今日總結!$A:$AJ,34,0),"")</f>
        <v/>
      </c>
      <c r="N103" s="240" t="str">
        <f t="shared" si="24"/>
        <v/>
      </c>
      <c r="P103" s="365" t="str">
        <f>IFERROR(VLOOKUP($G103,融外自投!$A:$J,7,0),"無")</f>
        <v>無</v>
      </c>
      <c r="Q103" s="79" t="str">
        <f>IFERROR(VLOOKUP($G103,融外自投!$A:$J,9,0),"無")</f>
        <v>無</v>
      </c>
      <c r="R103" s="346" t="str">
        <f>IFERROR(VLOOKUP($G103,融外自投!$A:$J,8,0),"無")</f>
        <v>無</v>
      </c>
      <c r="S103" s="81" t="str">
        <f>IFERROR(VLOOKUP($G103,融外自投!$A:$J,10,0),"無")</f>
        <v>無</v>
      </c>
      <c r="T103" s="327" t="str">
        <f>IFERROR(VLOOKUP($G103,'321買'!$A:$E,5,0),"'沒有資料'")</f>
        <v>'沒有資料'</v>
      </c>
      <c r="U103" s="186">
        <f>IFERROR(VLOOKUP($G103,基本資料!$A:$J,9,0),"無")</f>
        <v>0</v>
      </c>
      <c r="V103" s="310">
        <f t="shared" si="16"/>
        <v>0</v>
      </c>
      <c r="W103" s="94">
        <f>IFERROR(VLOOKUP($G103,基本資料!$A:$J,10,0),"無")</f>
        <v>0.06</v>
      </c>
      <c r="X103" s="36">
        <f>RTD("money.excel",,"1468","Price")</f>
        <v>11.6</v>
      </c>
      <c r="Y103" s="66"/>
      <c r="Z103" s="15">
        <f t="shared" si="20"/>
        <v>11.6</v>
      </c>
      <c r="AA103" s="3" t="e">
        <f t="shared" si="21"/>
        <v>#DIV/0!</v>
      </c>
      <c r="AB103" s="344">
        <f>IFERROR(VLOOKUP($G103,基本資料!$A:$M,11,0),"無")</f>
        <v>-16.43</v>
      </c>
      <c r="AC103" s="397">
        <f>IFERROR(VLOOKUP($G103,基本資料!$A:$M,12,0),"無")</f>
        <v>51.65</v>
      </c>
      <c r="AD103" s="22" t="s">
        <v>748</v>
      </c>
      <c r="AG103" s="33">
        <f t="shared" si="22"/>
        <v>0</v>
      </c>
      <c r="AH103" s="43" t="s">
        <v>1523</v>
      </c>
      <c r="AI103" s="63">
        <f t="shared" si="25"/>
        <v>5.1122194513715709E-4</v>
      </c>
      <c r="AJ103" s="284">
        <f>RTD("money.excel",,$G103,"PredictVolume")</f>
        <v>82</v>
      </c>
      <c r="AK103" s="399">
        <f>IFERROR(VLOOKUP($G103,基本資料!$A:$M,13,0),"無")</f>
        <v>0.25</v>
      </c>
    </row>
    <row r="104" spans="1:37">
      <c r="A104" s="347">
        <f>IFERROR(VLOOKUP($G104,基本資料!$A:$J,3,0),"無")</f>
        <v>8.57</v>
      </c>
      <c r="B104" s="79">
        <f>IFERROR(VLOOKUP($G104,基本資料!$A:$J,4,0),"無")</f>
        <v>84</v>
      </c>
      <c r="C104" s="79">
        <f>IFERROR(VLOOKUP($G104,基本資料!$A:$J,5,0),"無")</f>
        <v>318</v>
      </c>
      <c r="D104" s="79">
        <f>IFERROR(VLOOKUP($G104,基本資料!$A:$J,6,0),"無")</f>
        <v>-44</v>
      </c>
      <c r="E104" s="79">
        <f>IFERROR(VLOOKUP($G104,基本資料!$A:$J,7,0),"無")</f>
        <v>-5</v>
      </c>
      <c r="F104" s="6">
        <f>IFERROR(VLOOKUP($G104,基本資料!$A:$J,8,0),"無")</f>
        <v>8.9</v>
      </c>
      <c r="G104" s="79">
        <v>1470</v>
      </c>
      <c r="H104" s="8" t="s">
        <v>3172</v>
      </c>
      <c r="I104" s="22" t="s">
        <v>1105</v>
      </c>
      <c r="J104" s="8" t="str">
        <f>IFERROR(VLOOKUP($G104,今日總結!$A:$AJ,35,0),"")</f>
        <v>自</v>
      </c>
      <c r="K104" s="5">
        <f>IFERROR(VLOOKUP($G104,今日總結!$A:$AJ,36,0),"")</f>
        <v>9</v>
      </c>
      <c r="L104" s="156">
        <f>IFERROR(VLOOKUP($G104,今日總結!$A:$AJ,33,0),"")</f>
        <v>1</v>
      </c>
      <c r="M104" s="340">
        <f>IFERROR(VLOOKUP($G104,今日總結!$A:$AJ,34,0),"")</f>
        <v>1</v>
      </c>
      <c r="N104" s="240">
        <f t="shared" si="24"/>
        <v>0</v>
      </c>
      <c r="P104" s="365">
        <f>IFERROR(VLOOKUP($G104,融外自投!$A:$J,7,0),"無")</f>
        <v>1249</v>
      </c>
      <c r="Q104" s="79">
        <f>IFERROR(VLOOKUP($G104,融外自投!$A:$J,9,0),"無")</f>
        <v>667</v>
      </c>
      <c r="R104" s="346">
        <f>IFERROR(VLOOKUP($G104,融外自投!$A:$J,8,0),"無")</f>
        <v>1420</v>
      </c>
      <c r="S104" s="81" t="str">
        <f>IFERROR(VLOOKUP($G104,融外自投!$A:$J,10,0),"無")</f>
        <v>無</v>
      </c>
      <c r="T104" s="327">
        <f>IFERROR(VLOOKUP($G104,'321買'!$A:$E,5,0),"'沒有資料'")</f>
        <v>1198</v>
      </c>
      <c r="U104" s="186">
        <f>IFERROR(VLOOKUP($G104,基本資料!$A:$J,9,0),"無")</f>
        <v>0.8</v>
      </c>
      <c r="V104" s="310">
        <f t="shared" si="16"/>
        <v>3.3057851239669422E-2</v>
      </c>
      <c r="W104" s="94">
        <f>IFERROR(VLOOKUP($G104,基本資料!$A:$J,10,0),"無")</f>
        <v>0.76</v>
      </c>
      <c r="X104" s="36">
        <f>RTD("money.excel",,"1470","Price")</f>
        <v>24.2</v>
      </c>
      <c r="Y104" s="66"/>
      <c r="Z104" s="15">
        <f t="shared" si="20"/>
        <v>24.2</v>
      </c>
      <c r="AA104" s="3" t="e">
        <f t="shared" si="21"/>
        <v>#DIV/0!</v>
      </c>
      <c r="AB104" s="344">
        <f>IFERROR(VLOOKUP($G104,基本資料!$A:$M,11,0),"無")</f>
        <v>-16.190000000000001</v>
      </c>
      <c r="AC104" s="397">
        <f>IFERROR(VLOOKUP($G104,基本資料!$A:$M,12,0),"無")</f>
        <v>60.96</v>
      </c>
      <c r="AD104" s="22" t="s">
        <v>1105</v>
      </c>
      <c r="AG104" s="33">
        <f t="shared" si="22"/>
        <v>0</v>
      </c>
      <c r="AH104" s="43" t="s">
        <v>2388</v>
      </c>
      <c r="AI104" s="63">
        <f t="shared" si="25"/>
        <v>3.2088681446907816E-3</v>
      </c>
      <c r="AJ104" s="284">
        <f>RTD("money.excel",,$G104,"PredictVolume")</f>
        <v>275</v>
      </c>
      <c r="AK104" s="399">
        <f>IFERROR(VLOOKUP($G104,基本資料!$A:$M,13,0),"無")</f>
        <v>1.61</v>
      </c>
    </row>
    <row r="105" spans="1:37">
      <c r="A105" s="347">
        <f>IFERROR(VLOOKUP($G105,基本資料!$A:$J,3,0),"無")</f>
        <v>2.4900000000000002</v>
      </c>
      <c r="B105" s="79">
        <f>IFERROR(VLOOKUP($G105,基本資料!$A:$J,4,0),"無")</f>
        <v>92</v>
      </c>
      <c r="C105" s="79">
        <f>IFERROR(VLOOKUP($G105,基本資料!$A:$J,5,0),"無")</f>
        <v>105</v>
      </c>
      <c r="D105" s="79">
        <f>IFERROR(VLOOKUP($G105,基本資料!$A:$J,6,0),"無")</f>
        <v>105</v>
      </c>
      <c r="E105" s="79">
        <f>IFERROR(VLOOKUP($G105,基本資料!$A:$J,7,0),"無")</f>
        <v>268</v>
      </c>
      <c r="F105" s="6">
        <f>IFERROR(VLOOKUP($G105,基本資料!$A:$J,8,0),"無")</f>
        <v>1.71</v>
      </c>
      <c r="G105" s="79">
        <v>1472</v>
      </c>
      <c r="H105" s="8" t="s">
        <v>3172</v>
      </c>
      <c r="I105" s="22" t="s">
        <v>749</v>
      </c>
      <c r="J105" s="8" t="str">
        <f>IFERROR(VLOOKUP($G105,今日總結!$A:$AJ,35,0),"")</f>
        <v/>
      </c>
      <c r="K105" s="5" t="str">
        <f>IFERROR(VLOOKUP($G105,今日總結!$A:$AJ,36,0),"")</f>
        <v/>
      </c>
      <c r="L105" s="156" t="str">
        <f>IFERROR(VLOOKUP($G105,今日總結!$A:$AJ,33,0),"")</f>
        <v/>
      </c>
      <c r="M105" s="340" t="str">
        <f>IFERROR(VLOOKUP($G105,今日總結!$A:$AJ,34,0),"")</f>
        <v/>
      </c>
      <c r="N105" s="240" t="str">
        <f t="shared" si="24"/>
        <v/>
      </c>
      <c r="P105" s="365" t="str">
        <f>IFERROR(VLOOKUP($G105,融外自投!$A:$J,7,0),"無")</f>
        <v>無</v>
      </c>
      <c r="Q105" s="79" t="str">
        <f>IFERROR(VLOOKUP($G105,融外自投!$A:$J,9,0),"無")</f>
        <v>無</v>
      </c>
      <c r="R105" s="346" t="str">
        <f>IFERROR(VLOOKUP($G105,融外自投!$A:$J,8,0),"無")</f>
        <v>無</v>
      </c>
      <c r="S105" s="81" t="str">
        <f>IFERROR(VLOOKUP($G105,融外自投!$A:$J,10,0),"無")</f>
        <v>無</v>
      </c>
      <c r="T105" s="327" t="str">
        <f>IFERROR(VLOOKUP($G105,'321買'!$A:$E,5,0),"'沒有資料'")</f>
        <v>'沒有資料'</v>
      </c>
      <c r="U105" s="186">
        <f>IFERROR(VLOOKUP($G105,基本資料!$A:$J,9,0),"無")</f>
        <v>0</v>
      </c>
      <c r="V105" s="310">
        <f t="shared" si="16"/>
        <v>0</v>
      </c>
      <c r="W105" s="94">
        <f>IFERROR(VLOOKUP($G105,基本資料!$A:$J,10,0),"無")</f>
        <v>-1.22</v>
      </c>
      <c r="X105" s="36">
        <f>RTD("money.excel",,"1472","Price")</f>
        <v>23.5</v>
      </c>
      <c r="Y105" s="66"/>
      <c r="Z105" s="15">
        <f t="shared" si="20"/>
        <v>23.5</v>
      </c>
      <c r="AA105" s="3" t="e">
        <f t="shared" si="21"/>
        <v>#DIV/0!</v>
      </c>
      <c r="AB105" s="344">
        <f>IFERROR(VLOOKUP($G105,基本資料!$A:$M,11,0),"無")</f>
        <v>-42.97</v>
      </c>
      <c r="AC105" s="397">
        <f>IFERROR(VLOOKUP($G105,基本資料!$A:$M,12,0),"無")</f>
        <v>7.5</v>
      </c>
      <c r="AD105" s="22" t="s">
        <v>749</v>
      </c>
      <c r="AG105" s="33">
        <f t="shared" si="22"/>
        <v>0</v>
      </c>
      <c r="AH105" s="43" t="s">
        <v>2387</v>
      </c>
      <c r="AI105" s="63">
        <f t="shared" si="25"/>
        <v>3.2128514056224894E-4</v>
      </c>
      <c r="AJ105" s="284">
        <f>RTD("money.excel",,$G105,"PredictVolume")</f>
        <v>8</v>
      </c>
      <c r="AK105" s="399">
        <f>IFERROR(VLOOKUP($G105,基本資料!$A:$M,13,0),"無")</f>
        <v>2.64</v>
      </c>
    </row>
    <row r="106" spans="1:37">
      <c r="A106" s="347">
        <f>IFERROR(VLOOKUP($G106,基本資料!$A:$J,3,0),"無")</f>
        <v>14.71</v>
      </c>
      <c r="B106" s="79">
        <f>IFERROR(VLOOKUP($G106,基本資料!$A:$J,4,0),"無")</f>
        <v>61</v>
      </c>
      <c r="C106" s="79">
        <f>IFERROR(VLOOKUP($G106,基本資料!$A:$J,5,0),"無")</f>
        <v>52</v>
      </c>
      <c r="D106" s="79">
        <f>IFERROR(VLOOKUP($G106,基本資料!$A:$J,6,0),"無")</f>
        <v>1</v>
      </c>
      <c r="E106" s="79">
        <f>IFERROR(VLOOKUP($G106,基本資料!$A:$J,7,0),"無")</f>
        <v>26</v>
      </c>
      <c r="F106" s="6">
        <f>IFERROR(VLOOKUP($G106,基本資料!$A:$J,8,0),"無")</f>
        <v>-2.72</v>
      </c>
      <c r="G106" s="79">
        <v>1473</v>
      </c>
      <c r="H106" s="8" t="s">
        <v>3172</v>
      </c>
      <c r="I106" s="22" t="s">
        <v>750</v>
      </c>
      <c r="J106" s="8" t="str">
        <f>IFERROR(VLOOKUP($G106,今日總結!$A:$AJ,35,0),"")</f>
        <v>融主</v>
      </c>
      <c r="K106" s="5">
        <f>IFERROR(VLOOKUP($G106,今日總結!$A:$AJ,36,0),"")</f>
        <v>0</v>
      </c>
      <c r="L106" s="156">
        <f>IFERROR(VLOOKUP($G106,今日總結!$A:$AJ,33,0),"")</f>
        <v>2</v>
      </c>
      <c r="M106" s="340">
        <f>IFERROR(VLOOKUP($G106,今日總結!$A:$AJ,34,0),"")</f>
        <v>0</v>
      </c>
      <c r="N106" s="240">
        <f t="shared" si="24"/>
        <v>2</v>
      </c>
      <c r="P106" s="365">
        <f>IFERROR(VLOOKUP($G106,融外自投!$A:$J,7,0),"無")</f>
        <v>1208</v>
      </c>
      <c r="Q106" s="79">
        <f>IFERROR(VLOOKUP($G106,融外自投!$A:$J,9,0),"無")</f>
        <v>789</v>
      </c>
      <c r="R106" s="346">
        <f>IFERROR(VLOOKUP($G106,融外自投!$A:$J,8,0),"無")</f>
        <v>535</v>
      </c>
      <c r="S106" s="81" t="str">
        <f>IFERROR(VLOOKUP($G106,融外自投!$A:$J,10,0),"無")</f>
        <v>無</v>
      </c>
      <c r="T106" s="327">
        <f>IFERROR(VLOOKUP($G106,'321買'!$A:$E,5,0),"'沒有資料'")</f>
        <v>1259</v>
      </c>
      <c r="U106" s="186">
        <f>IFERROR(VLOOKUP($G106,基本資料!$A:$J,9,0),"無")</f>
        <v>0.1</v>
      </c>
      <c r="V106" s="310">
        <f t="shared" si="16"/>
        <v>5.2910052910052916E-3</v>
      </c>
      <c r="W106" s="94">
        <f>IFERROR(VLOOKUP($G106,基本資料!$A:$J,10,0),"無")</f>
        <v>-0.92</v>
      </c>
      <c r="X106" s="36">
        <f>RTD("money.excel",,"1473","Price")</f>
        <v>18.899999999999999</v>
      </c>
      <c r="Y106" s="66"/>
      <c r="Z106" s="15">
        <f t="shared" si="20"/>
        <v>18.899999999999999</v>
      </c>
      <c r="AA106" s="3" t="e">
        <f t="shared" si="21"/>
        <v>#DIV/0!</v>
      </c>
      <c r="AB106" s="344">
        <f>IFERROR(VLOOKUP($G106,基本資料!$A:$M,11,0),"無")</f>
        <v>-5.13</v>
      </c>
      <c r="AC106" s="397">
        <f>IFERROR(VLOOKUP($G106,基本資料!$A:$M,12,0),"無")</f>
        <v>39.090000000000003</v>
      </c>
      <c r="AD106" s="22" t="s">
        <v>750</v>
      </c>
      <c r="AG106" s="33">
        <f t="shared" si="22"/>
        <v>0</v>
      </c>
      <c r="AH106" s="43" t="s">
        <v>2382</v>
      </c>
      <c r="AI106" s="63">
        <f t="shared" si="25"/>
        <v>5.4316791298436437E-3</v>
      </c>
      <c r="AJ106" s="284">
        <f>RTD("money.excel",,$G106,"PredictVolume")</f>
        <v>799</v>
      </c>
      <c r="AK106" s="399">
        <f>IFERROR(VLOOKUP($G106,基本資料!$A:$M,13,0),"無")</f>
        <v>0.57999999999999996</v>
      </c>
    </row>
    <row r="107" spans="1:37">
      <c r="A107" s="347">
        <f>IFERROR(VLOOKUP($G107,基本資料!$A:$J,3,0),"無")</f>
        <v>12.98</v>
      </c>
      <c r="B107" s="79">
        <f>IFERROR(VLOOKUP($G107,基本資料!$A:$J,4,0),"無")</f>
        <v>39</v>
      </c>
      <c r="C107" s="79">
        <f>IFERROR(VLOOKUP($G107,基本資料!$A:$J,5,0),"無")</f>
        <v>105</v>
      </c>
      <c r="D107" s="79">
        <f>IFERROR(VLOOKUP($G107,基本資料!$A:$J,6,0),"無")</f>
        <v>-12</v>
      </c>
      <c r="E107" s="79">
        <f>IFERROR(VLOOKUP($G107,基本資料!$A:$J,7,0),"無")</f>
        <v>15</v>
      </c>
      <c r="F107" s="6">
        <f>IFERROR(VLOOKUP($G107,基本資料!$A:$J,8,0),"無")</f>
        <v>4.0199999999999996</v>
      </c>
      <c r="G107" s="79">
        <v>1474</v>
      </c>
      <c r="H107" s="8" t="s">
        <v>3172</v>
      </c>
      <c r="I107" s="22" t="s">
        <v>751</v>
      </c>
      <c r="J107" s="8" t="str">
        <f>IFERROR(VLOOKUP($G107,今日總結!$A:$AJ,35,0),"")</f>
        <v/>
      </c>
      <c r="K107" s="5" t="str">
        <f>IFERROR(VLOOKUP($G107,今日總結!$A:$AJ,36,0),"")</f>
        <v/>
      </c>
      <c r="L107" s="156" t="str">
        <f>IFERROR(VLOOKUP($G107,今日總結!$A:$AJ,33,0),"")</f>
        <v/>
      </c>
      <c r="M107" s="340" t="str">
        <f>IFERROR(VLOOKUP($G107,今日總結!$A:$AJ,34,0),"")</f>
        <v/>
      </c>
      <c r="N107" s="240" t="str">
        <f t="shared" si="24"/>
        <v/>
      </c>
      <c r="P107" s="365">
        <f>IFERROR(VLOOKUP($G107,融外自投!$A:$J,7,0),"無")</f>
        <v>471</v>
      </c>
      <c r="Q107" s="79">
        <f>IFERROR(VLOOKUP($G107,融外自投!$A:$J,9,0),"無")</f>
        <v>852</v>
      </c>
      <c r="R107" s="346">
        <f>IFERROR(VLOOKUP($G107,融外自投!$A:$J,8,0),"無")</f>
        <v>1241</v>
      </c>
      <c r="S107" s="81" t="str">
        <f>IFERROR(VLOOKUP($G107,融外自投!$A:$J,10,0),"無")</f>
        <v>無</v>
      </c>
      <c r="T107" s="327">
        <f>IFERROR(VLOOKUP($G107,'321買'!$A:$E,5,0),"'沒有資料'")</f>
        <v>939</v>
      </c>
      <c r="U107" s="186">
        <f>IFERROR(VLOOKUP($G107,基本資料!$A:$J,9,0),"無")</f>
        <v>0.5</v>
      </c>
      <c r="V107" s="310">
        <f t="shared" ref="V107:V125" si="26">$U107/$X107</f>
        <v>3.937007874015748E-2</v>
      </c>
      <c r="W107" s="94">
        <f>IFERROR(VLOOKUP($G107,基本資料!$A:$J,10,0),"無")</f>
        <v>1.1100000000000001</v>
      </c>
      <c r="X107" s="36">
        <f>RTD("money.excel",,"1474","Price")</f>
        <v>12.7</v>
      </c>
      <c r="Y107" s="66"/>
      <c r="Z107" s="15">
        <f t="shared" si="20"/>
        <v>12.7</v>
      </c>
      <c r="AA107" s="3" t="e">
        <f t="shared" si="21"/>
        <v>#DIV/0!</v>
      </c>
      <c r="AB107" s="344">
        <f>IFERROR(VLOOKUP($G107,基本資料!$A:$M,11,0),"無")</f>
        <v>-27.82</v>
      </c>
      <c r="AC107" s="397">
        <f>IFERROR(VLOOKUP($G107,基本資料!$A:$M,12,0),"無")</f>
        <v>10.93</v>
      </c>
      <c r="AD107" s="22" t="s">
        <v>751</v>
      </c>
      <c r="AG107" s="33">
        <f t="shared" si="22"/>
        <v>0</v>
      </c>
      <c r="AH107" s="43" t="s">
        <v>1721</v>
      </c>
      <c r="AI107" s="63">
        <f t="shared" si="25"/>
        <v>2.2496147919876734E-3</v>
      </c>
      <c r="AJ107" s="284">
        <f>RTD("money.excel",,$G107,"PredictVolume")</f>
        <v>292</v>
      </c>
      <c r="AK107" s="399">
        <f>IFERROR(VLOOKUP($G107,基本資料!$A:$M,13,0),"無")</f>
        <v>26.36</v>
      </c>
    </row>
    <row r="108" spans="1:37">
      <c r="A108" s="347">
        <f>IFERROR(VLOOKUP($G108,基本資料!$A:$J,3,0),"無")</f>
        <v>2.6</v>
      </c>
      <c r="B108" s="79">
        <f>IFERROR(VLOOKUP($G108,基本資料!$A:$J,4,0),"無")</f>
        <v>2005</v>
      </c>
      <c r="C108" s="79">
        <f>IFERROR(VLOOKUP($G108,基本資料!$A:$J,5,0),"無")</f>
        <v>469</v>
      </c>
      <c r="D108" s="79">
        <f>IFERROR(VLOOKUP($G108,基本資料!$A:$J,6,0),"無")</f>
        <v>-9</v>
      </c>
      <c r="E108" s="79">
        <f>IFERROR(VLOOKUP($G108,基本資料!$A:$J,7,0),"無")</f>
        <v>758</v>
      </c>
      <c r="F108" s="6">
        <f>IFERROR(VLOOKUP($G108,基本資料!$A:$J,8,0),"無")</f>
        <v>17.03</v>
      </c>
      <c r="G108" s="79">
        <v>1475</v>
      </c>
      <c r="H108" s="8" t="s">
        <v>3172</v>
      </c>
      <c r="I108" s="22" t="s">
        <v>3010</v>
      </c>
      <c r="J108" s="8" t="str">
        <f>IFERROR(VLOOKUP($G108,今日總結!$A:$AJ,35,0),"")</f>
        <v/>
      </c>
      <c r="K108" s="5" t="str">
        <f>IFERROR(VLOOKUP($G108,今日總結!$A:$AJ,36,0),"")</f>
        <v/>
      </c>
      <c r="L108" s="156" t="str">
        <f>IFERROR(VLOOKUP($G108,今日總結!$A:$AJ,33,0),"")</f>
        <v/>
      </c>
      <c r="M108" s="340" t="str">
        <f>IFERROR(VLOOKUP($G108,今日總結!$A:$AJ,34,0),"")</f>
        <v/>
      </c>
      <c r="N108" s="240" t="str">
        <f t="shared" si="24"/>
        <v/>
      </c>
      <c r="P108" s="365">
        <f>IFERROR(VLOOKUP($G108,融外自投!$A:$J,7,0),"無")</f>
        <v>458</v>
      </c>
      <c r="Q108" s="79">
        <f>IFERROR(VLOOKUP($G108,融外自投!$A:$J,9,0),"無")</f>
        <v>571</v>
      </c>
      <c r="R108" s="346">
        <f>IFERROR(VLOOKUP($G108,融外自投!$A:$J,8,0),"無")</f>
        <v>1382</v>
      </c>
      <c r="S108" s="81" t="str">
        <f>IFERROR(VLOOKUP($G108,融外自投!$A:$J,10,0),"無")</f>
        <v>無</v>
      </c>
      <c r="T108" s="327">
        <f>IFERROR(VLOOKUP($G108,'321買'!$A:$E,5,0),"'沒有資料'")</f>
        <v>1161</v>
      </c>
      <c r="U108" s="186">
        <f>IFERROR(VLOOKUP($G108,基本資料!$A:$J,9,0),"無")</f>
        <v>0</v>
      </c>
      <c r="V108" s="310">
        <f t="shared" si="26"/>
        <v>0</v>
      </c>
      <c r="W108" s="94">
        <f>IFERROR(VLOOKUP($G108,基本資料!$A:$J,10,0),"無")</f>
        <v>3.66</v>
      </c>
      <c r="X108" s="36">
        <f>RTD("money.excel",,"1475","Price")</f>
        <v>70.5</v>
      </c>
      <c r="Y108" s="66"/>
      <c r="Z108" s="15">
        <f t="shared" si="20"/>
        <v>70.5</v>
      </c>
      <c r="AA108" s="3" t="e">
        <f t="shared" si="21"/>
        <v>#DIV/0!</v>
      </c>
      <c r="AB108" s="344">
        <f>IFERROR(VLOOKUP($G108,基本資料!$A:$M,11,0),"無")</f>
        <v>-14.82</v>
      </c>
      <c r="AC108" s="397">
        <f>IFERROR(VLOOKUP($G108,基本資料!$A:$M,12,0),"無")</f>
        <v>48.95</v>
      </c>
      <c r="AD108" s="22" t="s">
        <v>3010</v>
      </c>
      <c r="AG108" s="33">
        <f t="shared" si="22"/>
        <v>0</v>
      </c>
      <c r="AH108" s="43" t="s">
        <v>2386</v>
      </c>
      <c r="AI108" s="63">
        <f t="shared" si="25"/>
        <v>1.3076923076923077E-3</v>
      </c>
      <c r="AJ108" s="284">
        <f>RTD("money.excel",,$G108,"PredictVolume")</f>
        <v>34</v>
      </c>
      <c r="AK108" s="399">
        <f>IFERROR(VLOOKUP($G108,基本資料!$A:$M,13,0),"無")</f>
        <v>3.24</v>
      </c>
    </row>
    <row r="109" spans="1:37">
      <c r="A109" s="347">
        <f>IFERROR(VLOOKUP($G109,基本資料!$A:$J,3,0),"無")</f>
        <v>27.43</v>
      </c>
      <c r="B109" s="79">
        <f>IFERROR(VLOOKUP($G109,基本資料!$A:$J,4,0),"無")</f>
        <v>21</v>
      </c>
      <c r="C109" s="79">
        <f>IFERROR(VLOOKUP($G109,基本資料!$A:$J,5,0),"無")</f>
        <v>16</v>
      </c>
      <c r="D109" s="79">
        <f>IFERROR(VLOOKUP($G109,基本資料!$A:$J,6,0),"無")</f>
        <v>0</v>
      </c>
      <c r="E109" s="79">
        <f>IFERROR(VLOOKUP($G109,基本資料!$A:$J,7,0),"無")</f>
        <v>17</v>
      </c>
      <c r="F109" s="6">
        <f>IFERROR(VLOOKUP($G109,基本資料!$A:$J,8,0),"無")</f>
        <v>17.809999999999999</v>
      </c>
      <c r="G109" s="79">
        <v>1476</v>
      </c>
      <c r="H109" s="8" t="s">
        <v>3172</v>
      </c>
      <c r="I109" s="22" t="s">
        <v>3589</v>
      </c>
      <c r="J109" s="8" t="str">
        <f>IFERROR(VLOOKUP($G109,今日總結!$A:$AJ,35,0),"")</f>
        <v/>
      </c>
      <c r="K109" s="5" t="str">
        <f>IFERROR(VLOOKUP($G109,今日總結!$A:$AJ,36,0),"")</f>
        <v/>
      </c>
      <c r="L109" s="156" t="str">
        <f>IFERROR(VLOOKUP($G109,今日總結!$A:$AJ,33,0),"")</f>
        <v/>
      </c>
      <c r="M109" s="340" t="str">
        <f>IFERROR(VLOOKUP($G109,今日總結!$A:$AJ,34,0),"")</f>
        <v/>
      </c>
      <c r="N109" s="240" t="str">
        <f t="shared" si="24"/>
        <v/>
      </c>
      <c r="P109" s="365">
        <f>IFERROR(VLOOKUP($G109,融外自投!$A:$J,7,0),"無")</f>
        <v>1281</v>
      </c>
      <c r="Q109" s="79">
        <f>IFERROR(VLOOKUP($G109,融外自投!$A:$J,9,0),"無")</f>
        <v>94</v>
      </c>
      <c r="R109" s="346">
        <f>IFERROR(VLOOKUP($G109,融外自投!$A:$J,8,0),"無")</f>
        <v>127</v>
      </c>
      <c r="S109" s="81">
        <f>IFERROR(VLOOKUP($G109,融外自投!$A:$J,10,0),"無")</f>
        <v>159</v>
      </c>
      <c r="T109" s="327">
        <f>IFERROR(VLOOKUP($G109,'321買'!$A:$E,5,0),"'沒有資料'")</f>
        <v>318</v>
      </c>
      <c r="U109" s="186">
        <f>IFERROR(VLOOKUP($G109,基本資料!$A:$J,9,0),"無")</f>
        <v>12</v>
      </c>
      <c r="V109" s="310">
        <f t="shared" si="26"/>
        <v>2.3762376237623763E-2</v>
      </c>
      <c r="W109" s="94">
        <f>IFERROR(VLOOKUP($G109,基本資料!$A:$J,10,0),"無")</f>
        <v>18.77</v>
      </c>
      <c r="X109" s="36">
        <f>RTD("money.excel",,"1476","Price")</f>
        <v>505</v>
      </c>
      <c r="Y109" s="66"/>
      <c r="Z109" s="15">
        <f t="shared" si="20"/>
        <v>505</v>
      </c>
      <c r="AA109" s="3" t="e">
        <f t="shared" si="21"/>
        <v>#DIV/0!</v>
      </c>
      <c r="AB109" s="344">
        <f>IFERROR(VLOOKUP($G109,基本資料!$A:$M,11,0),"無")</f>
        <v>-30.44</v>
      </c>
      <c r="AC109" s="397">
        <f>IFERROR(VLOOKUP($G109,基本資料!$A:$M,12,0),"無")</f>
        <v>46.22</v>
      </c>
      <c r="AD109" s="22" t="s">
        <v>3589</v>
      </c>
      <c r="AG109" s="33">
        <f t="shared" si="22"/>
        <v>0</v>
      </c>
      <c r="AH109" s="117" t="s">
        <v>2383</v>
      </c>
      <c r="AI109" s="63">
        <f t="shared" si="25"/>
        <v>9.1833758658403201E-3</v>
      </c>
      <c r="AJ109" s="284">
        <f>RTD("money.excel",,$G109,"PredictVolume")</f>
        <v>2519</v>
      </c>
      <c r="AK109" s="399">
        <f>IFERROR(VLOOKUP($G109,基本資料!$A:$M,13,0),"無")</f>
        <v>1.79</v>
      </c>
    </row>
    <row r="110" spans="1:37">
      <c r="A110" s="347">
        <f>IFERROR(VLOOKUP($G110,基本資料!$A:$J,3,0),"無")</f>
        <v>24.18</v>
      </c>
      <c r="B110" s="79">
        <f>IFERROR(VLOOKUP($G110,基本資料!$A:$J,4,0),"無")</f>
        <v>28</v>
      </c>
      <c r="C110" s="79">
        <f>IFERROR(VLOOKUP($G110,基本資料!$A:$J,5,0),"無")</f>
        <v>26</v>
      </c>
      <c r="D110" s="79">
        <f>IFERROR(VLOOKUP($G110,基本資料!$A:$J,6,0),"無")</f>
        <v>-9</v>
      </c>
      <c r="E110" s="79">
        <f>IFERROR(VLOOKUP($G110,基本資料!$A:$J,7,0),"無")</f>
        <v>-1</v>
      </c>
      <c r="F110" s="6">
        <f>IFERROR(VLOOKUP($G110,基本資料!$A:$J,8,0),"無")</f>
        <v>11.69</v>
      </c>
      <c r="G110" s="79">
        <v>1477</v>
      </c>
      <c r="H110" s="8" t="s">
        <v>294</v>
      </c>
      <c r="I110" s="22" t="s">
        <v>3590</v>
      </c>
      <c r="J110" s="8">
        <f>IFERROR(VLOOKUP($G110,今日總結!$A:$AJ,35,0),"")</f>
        <v>4</v>
      </c>
      <c r="K110" s="5">
        <f>IFERROR(VLOOKUP($G110,今日總結!$A:$AJ,36,0),"")</f>
        <v>6</v>
      </c>
      <c r="L110" s="156">
        <f>IFERROR(VLOOKUP($G110,今日總結!$A:$AJ,33,0),"")</f>
        <v>1</v>
      </c>
      <c r="M110" s="340">
        <f>IFERROR(VLOOKUP($G110,今日總結!$A:$AJ,34,0),"")</f>
        <v>2</v>
      </c>
      <c r="N110" s="240">
        <f t="shared" si="24"/>
        <v>-1</v>
      </c>
      <c r="P110" s="365">
        <f>IFERROR(VLOOKUP($G110,融外自投!$A:$J,7,0),"無")</f>
        <v>1083</v>
      </c>
      <c r="Q110" s="79">
        <f>IFERROR(VLOOKUP($G110,融外自投!$A:$J,9,0),"無")</f>
        <v>176</v>
      </c>
      <c r="R110" s="346">
        <f>IFERROR(VLOOKUP($G110,融外自投!$A:$J,8,0),"無")</f>
        <v>232</v>
      </c>
      <c r="S110" s="81">
        <f>IFERROR(VLOOKUP($G110,融外自投!$A:$J,10,0),"無")</f>
        <v>106</v>
      </c>
      <c r="T110" s="327">
        <f>IFERROR(VLOOKUP($G110,'321買'!$A:$E,5,0),"'沒有資料'")</f>
        <v>536</v>
      </c>
      <c r="U110" s="186">
        <f>IFERROR(VLOOKUP($G110,基本資料!$A:$J,9,0),"無")</f>
        <v>9.5</v>
      </c>
      <c r="V110" s="310">
        <f t="shared" si="26"/>
        <v>5.9374999999999997E-2</v>
      </c>
      <c r="W110" s="94">
        <f>IFERROR(VLOOKUP($G110,基本資料!$A:$J,10,0),"無")</f>
        <v>11.2</v>
      </c>
      <c r="X110" s="36">
        <f>RTD("money.excel",,"1477","Price")</f>
        <v>160</v>
      </c>
      <c r="Y110" s="66"/>
      <c r="Z110" s="15">
        <f t="shared" si="20"/>
        <v>160</v>
      </c>
      <c r="AA110" s="3" t="e">
        <f t="shared" si="21"/>
        <v>#DIV/0!</v>
      </c>
      <c r="AB110" s="344">
        <f>IFERROR(VLOOKUP($G110,基本資料!$A:$M,11,0),"無")</f>
        <v>-42.73</v>
      </c>
      <c r="AC110" s="397">
        <f>IFERROR(VLOOKUP($G110,基本資料!$A:$M,12,0),"無")</f>
        <v>11.59</v>
      </c>
      <c r="AD110" s="22" t="s">
        <v>3590</v>
      </c>
      <c r="AG110" s="33">
        <f t="shared" si="22"/>
        <v>0</v>
      </c>
      <c r="AH110" s="117" t="s">
        <v>3333</v>
      </c>
      <c r="AI110" s="63">
        <f t="shared" si="25"/>
        <v>1.2837055417700579E-2</v>
      </c>
      <c r="AJ110" s="284">
        <f>RTD("money.excel",,$G110,"PredictVolume")</f>
        <v>3104</v>
      </c>
      <c r="AK110" s="399">
        <f>IFERROR(VLOOKUP($G110,基本資料!$A:$M,13,0),"無")</f>
        <v>3.53</v>
      </c>
    </row>
    <row r="111" spans="1:37">
      <c r="A111" s="347">
        <f>IFERROR(VLOOKUP($G111,基本資料!$A:$J,3,0),"無")</f>
        <v>12.02</v>
      </c>
      <c r="B111" s="79">
        <f>IFERROR(VLOOKUP($G111,基本資料!$A:$J,4,0),"無")</f>
        <v>272</v>
      </c>
      <c r="C111" s="79">
        <f>IFERROR(VLOOKUP($G111,基本資料!$A:$J,5,0),"無")</f>
        <v>466</v>
      </c>
      <c r="D111" s="79">
        <f>IFERROR(VLOOKUP($G111,基本資料!$A:$J,6,0),"無")</f>
        <v>34</v>
      </c>
      <c r="E111" s="79">
        <f>IFERROR(VLOOKUP($G111,基本資料!$A:$J,7,0),"無")</f>
        <v>1</v>
      </c>
      <c r="F111" s="6">
        <f>IFERROR(VLOOKUP($G111,基本資料!$A:$J,8,0),"無")</f>
        <v>8.41</v>
      </c>
      <c r="G111" s="79">
        <v>4401</v>
      </c>
      <c r="H111" s="8" t="s">
        <v>3172</v>
      </c>
      <c r="I111" s="16" t="s">
        <v>229</v>
      </c>
      <c r="J111" s="8" t="str">
        <f>IFERROR(VLOOKUP($G111,今日總結!$A:$AJ,35,0),"")</f>
        <v/>
      </c>
      <c r="K111" s="5" t="str">
        <f>IFERROR(VLOOKUP($G111,今日總結!$A:$AJ,36,0),"")</f>
        <v/>
      </c>
      <c r="L111" s="156" t="str">
        <f>IFERROR(VLOOKUP($G111,今日總結!$A:$AJ,33,0),"")</f>
        <v/>
      </c>
      <c r="M111" s="340" t="str">
        <f>IFERROR(VLOOKUP($G111,今日總結!$A:$AJ,34,0),"")</f>
        <v/>
      </c>
      <c r="N111" s="240" t="str">
        <f t="shared" si="24"/>
        <v/>
      </c>
      <c r="P111" s="365">
        <f>IFERROR(VLOOKUP($G111,融外自投!$A:$J,7,0),"無")</f>
        <v>1075</v>
      </c>
      <c r="Q111" s="79">
        <f>IFERROR(VLOOKUP($G111,融外自投!$A:$J,9,0),"無")</f>
        <v>238</v>
      </c>
      <c r="R111" s="346">
        <f>IFERROR(VLOOKUP($G111,融外自投!$A:$J,8,0),"無")</f>
        <v>769</v>
      </c>
      <c r="S111" s="81">
        <f>IFERROR(VLOOKUP($G111,融外自投!$A:$J,10,0),"無")</f>
        <v>491</v>
      </c>
      <c r="T111" s="327">
        <f>IFERROR(VLOOKUP($G111,'321買'!$A:$E,5,0),"'沒有資料'")</f>
        <v>1038</v>
      </c>
      <c r="U111" s="186">
        <f>IFERROR(VLOOKUP($G111,基本資料!$A:$J,9,0),"無")</f>
        <v>1.5</v>
      </c>
      <c r="V111" s="310">
        <f t="shared" si="26"/>
        <v>4.8000000000000001E-2</v>
      </c>
      <c r="W111" s="94">
        <f>IFERROR(VLOOKUP($G111,基本資料!$A:$J,10,0),"無")</f>
        <v>2.64</v>
      </c>
      <c r="X111" s="36">
        <f>RTD("money.excel",,"4401","Price")</f>
        <v>31.25</v>
      </c>
      <c r="Y111" s="66"/>
      <c r="Z111" s="15">
        <f t="shared" si="20"/>
        <v>31.25</v>
      </c>
      <c r="AA111" s="3" t="e">
        <f t="shared" si="21"/>
        <v>#DIV/0!</v>
      </c>
      <c r="AB111" s="344">
        <f>IFERROR(VLOOKUP($G111,基本資料!$A:$M,11,0),"無")</f>
        <v>-33.68</v>
      </c>
      <c r="AC111" s="397">
        <f>IFERROR(VLOOKUP($G111,基本資料!$A:$M,12,0),"無")</f>
        <v>33.270000000000003</v>
      </c>
      <c r="AD111" s="16" t="s">
        <v>229</v>
      </c>
      <c r="AG111" s="33">
        <f t="shared" si="22"/>
        <v>0</v>
      </c>
      <c r="AH111" s="43" t="s">
        <v>2631</v>
      </c>
      <c r="AI111" s="63">
        <f t="shared" si="25"/>
        <v>1.9966722129783693E-4</v>
      </c>
      <c r="AJ111" s="284">
        <f>RTD("money.excel",,$G111,"PredictVolume")</f>
        <v>24</v>
      </c>
      <c r="AK111" s="399">
        <f>IFERROR(VLOOKUP($G111,基本資料!$A:$M,13,0),"無")</f>
        <v>5.15</v>
      </c>
    </row>
    <row r="112" spans="1:37">
      <c r="A112" s="347">
        <f>IFERROR(VLOOKUP($G112,基本資料!$A:$J,3,0),"無")</f>
        <v>4.59</v>
      </c>
      <c r="B112" s="79">
        <f>IFERROR(VLOOKUP($G112,基本資料!$A:$J,4,0),"無")</f>
        <v>21</v>
      </c>
      <c r="C112" s="79">
        <f>IFERROR(VLOOKUP($G112,基本資料!$A:$J,5,0),"無")</f>
        <v>4</v>
      </c>
      <c r="D112" s="79">
        <f>IFERROR(VLOOKUP($G112,基本資料!$A:$J,6,0),"無")</f>
        <v>-30</v>
      </c>
      <c r="E112" s="79">
        <f>IFERROR(VLOOKUP($G112,基本資料!$A:$J,7,0),"無")</f>
        <v>10</v>
      </c>
      <c r="F112" s="6">
        <f>IFERROR(VLOOKUP($G112,基本資料!$A:$J,8,0),"無")</f>
        <v>-23.79</v>
      </c>
      <c r="G112" s="79">
        <v>4402</v>
      </c>
      <c r="H112" s="8" t="s">
        <v>3172</v>
      </c>
      <c r="I112" s="16" t="s">
        <v>711</v>
      </c>
      <c r="J112" s="8" t="str">
        <f>IFERROR(VLOOKUP($G112,今日總結!$A:$AJ,35,0),"")</f>
        <v/>
      </c>
      <c r="K112" s="5" t="str">
        <f>IFERROR(VLOOKUP($G112,今日總結!$A:$AJ,36,0),"")</f>
        <v/>
      </c>
      <c r="L112" s="156" t="str">
        <f>IFERROR(VLOOKUP($G112,今日總結!$A:$AJ,33,0),"")</f>
        <v/>
      </c>
      <c r="M112" s="340" t="str">
        <f>IFERROR(VLOOKUP($G112,今日總結!$A:$AJ,34,0),"")</f>
        <v/>
      </c>
      <c r="N112" s="240" t="str">
        <f t="shared" si="24"/>
        <v/>
      </c>
      <c r="P112" s="365" t="str">
        <f>IFERROR(VLOOKUP($G112,融外自投!$A:$J,7,0),"無")</f>
        <v>無</v>
      </c>
      <c r="Q112" s="79" t="str">
        <f>IFERROR(VLOOKUP($G112,融外自投!$A:$J,9,0),"無")</f>
        <v>無</v>
      </c>
      <c r="R112" s="346" t="str">
        <f>IFERROR(VLOOKUP($G112,融外自投!$A:$J,8,0),"無")</f>
        <v>無</v>
      </c>
      <c r="S112" s="81" t="str">
        <f>IFERROR(VLOOKUP($G112,融外自投!$A:$J,10,0),"無")</f>
        <v>無</v>
      </c>
      <c r="T112" s="327" t="str">
        <f>IFERROR(VLOOKUP($G112,'321買'!$A:$E,5,0),"'沒有資料'")</f>
        <v>'沒有資料'</v>
      </c>
      <c r="U112" s="186">
        <f>IFERROR(VLOOKUP($G112,基本資料!$A:$J,9,0),"無")</f>
        <v>0</v>
      </c>
      <c r="V112" s="310">
        <f t="shared" si="26"/>
        <v>0</v>
      </c>
      <c r="W112" s="94">
        <f>IFERROR(VLOOKUP($G112,基本資料!$A:$J,10,0),"無")</f>
        <v>-0.86</v>
      </c>
      <c r="X112" s="36">
        <f>RTD("money.excel",,"4402","Price")</f>
        <v>8.06</v>
      </c>
      <c r="Y112" s="66"/>
      <c r="Z112" s="15">
        <f t="shared" si="20"/>
        <v>8.06</v>
      </c>
      <c r="AA112" s="3" t="e">
        <f t="shared" si="21"/>
        <v>#DIV/0!</v>
      </c>
      <c r="AB112" s="344">
        <f>IFERROR(VLOOKUP($G112,基本資料!$A:$M,11,0),"無")</f>
        <v>-19.11</v>
      </c>
      <c r="AC112" s="397">
        <f>IFERROR(VLOOKUP($G112,基本資料!$A:$M,12,0),"無")</f>
        <v>52.61</v>
      </c>
      <c r="AD112" s="16" t="s">
        <v>711</v>
      </c>
      <c r="AG112" s="33">
        <f t="shared" si="22"/>
        <v>0</v>
      </c>
      <c r="AH112" s="43" t="s">
        <v>2632</v>
      </c>
      <c r="AI112" s="63">
        <f t="shared" si="25"/>
        <v>2.8758169934640521E-3</v>
      </c>
      <c r="AJ112" s="284">
        <f>RTD("money.excel",,$G112,"PredictVolume")</f>
        <v>132</v>
      </c>
      <c r="AK112" s="399">
        <f>IFERROR(VLOOKUP($G112,基本資料!$A:$M,13,0),"無")</f>
        <v>9.43</v>
      </c>
    </row>
    <row r="113" spans="1:37">
      <c r="A113" s="347">
        <f>IFERROR(VLOOKUP($G113,基本資料!$A:$J,3,0),"無")</f>
        <v>5.19</v>
      </c>
      <c r="B113" s="79">
        <f>IFERROR(VLOOKUP($G113,基本資料!$A:$J,4,0),"無")</f>
        <v>135</v>
      </c>
      <c r="C113" s="79">
        <f>IFERROR(VLOOKUP($G113,基本資料!$A:$J,5,0),"無")</f>
        <v>157</v>
      </c>
      <c r="D113" s="79">
        <f>IFERROR(VLOOKUP($G113,基本資料!$A:$J,6,0),"無")</f>
        <v>0</v>
      </c>
      <c r="E113" s="79">
        <f>IFERROR(VLOOKUP($G113,基本資料!$A:$J,7,0),"無")</f>
        <v>41</v>
      </c>
      <c r="F113" s="6">
        <f>IFERROR(VLOOKUP($G113,基本資料!$A:$J,8,0),"無")</f>
        <v>4.34</v>
      </c>
      <c r="G113" s="79">
        <v>4406</v>
      </c>
      <c r="H113" s="8" t="s">
        <v>3172</v>
      </c>
      <c r="I113" s="16" t="s">
        <v>712</v>
      </c>
      <c r="J113" s="8" t="str">
        <f>IFERROR(VLOOKUP($G113,今日總結!$A:$AJ,35,0),"")</f>
        <v/>
      </c>
      <c r="K113" s="5" t="str">
        <f>IFERROR(VLOOKUP($G113,今日總結!$A:$AJ,36,0),"")</f>
        <v/>
      </c>
      <c r="L113" s="156" t="str">
        <f>IFERROR(VLOOKUP($G113,今日總結!$A:$AJ,33,0),"")</f>
        <v/>
      </c>
      <c r="M113" s="340" t="str">
        <f>IFERROR(VLOOKUP($G113,今日總結!$A:$AJ,34,0),"")</f>
        <v/>
      </c>
      <c r="N113" s="240" t="str">
        <f t="shared" si="24"/>
        <v/>
      </c>
      <c r="P113" s="365">
        <f>IFERROR(VLOOKUP($G113,融外自投!$A:$J,7,0),"無")</f>
        <v>524</v>
      </c>
      <c r="Q113" s="79">
        <f>IFERROR(VLOOKUP($G113,融外自投!$A:$J,9,0),"無")</f>
        <v>789</v>
      </c>
      <c r="R113" s="346">
        <f>IFERROR(VLOOKUP($G113,融外自投!$A:$J,8,0),"無")</f>
        <v>1291</v>
      </c>
      <c r="S113" s="81" t="str">
        <f>IFERROR(VLOOKUP($G113,融外自投!$A:$J,10,0),"無")</f>
        <v>無</v>
      </c>
      <c r="T113" s="327">
        <f>IFERROR(VLOOKUP($G113,'321買'!$A:$E,5,0),"'沒有資料'")</f>
        <v>1099</v>
      </c>
      <c r="U113" s="186">
        <f>IFERROR(VLOOKUP($G113,基本資料!$A:$J,9,0),"無")</f>
        <v>0</v>
      </c>
      <c r="V113" s="310">
        <f t="shared" si="26"/>
        <v>0</v>
      </c>
      <c r="W113" s="94">
        <f>IFERROR(VLOOKUP($G113,基本資料!$A:$J,10,0),"無")</f>
        <v>0.33</v>
      </c>
      <c r="X113" s="36">
        <f>RTD("money.excel",,"4406","Price")</f>
        <v>10.15</v>
      </c>
      <c r="Y113" s="66"/>
      <c r="Z113" s="15">
        <f t="shared" si="20"/>
        <v>10.15</v>
      </c>
      <c r="AA113" s="3" t="e">
        <f t="shared" si="21"/>
        <v>#DIV/0!</v>
      </c>
      <c r="AB113" s="344">
        <f>IFERROR(VLOOKUP($G113,基本資料!$A:$M,11,0),"無")</f>
        <v>-34.19</v>
      </c>
      <c r="AC113" s="397">
        <f>IFERROR(VLOOKUP($G113,基本資料!$A:$M,12,0),"無")</f>
        <v>38.96</v>
      </c>
      <c r="AD113" s="16" t="s">
        <v>712</v>
      </c>
      <c r="AG113" s="33">
        <f t="shared" si="22"/>
        <v>0</v>
      </c>
      <c r="AH113" s="43" t="s">
        <v>1521</v>
      </c>
      <c r="AI113" s="63">
        <f t="shared" si="25"/>
        <v>5.1252408477841993E-3</v>
      </c>
      <c r="AJ113" s="284">
        <f>RTD("money.excel",,$G113,"PredictVolume")</f>
        <v>266</v>
      </c>
      <c r="AK113" s="399">
        <f>IFERROR(VLOOKUP($G113,基本資料!$A:$M,13,0),"無")</f>
        <v>23.8</v>
      </c>
    </row>
    <row r="114" spans="1:37">
      <c r="A114" s="347">
        <f>IFERROR(VLOOKUP($G114,基本資料!$A:$J,3,0),"無")</f>
        <v>3.13</v>
      </c>
      <c r="B114" s="79">
        <f>IFERROR(VLOOKUP($G114,基本資料!$A:$J,4,0),"無")</f>
        <v>122</v>
      </c>
      <c r="C114" s="79">
        <f>IFERROR(VLOOKUP($G114,基本資料!$A:$J,5,0),"無")</f>
        <v>138</v>
      </c>
      <c r="D114" s="79">
        <f>IFERROR(VLOOKUP($G114,基本資料!$A:$J,6,0),"無")</f>
        <v>12</v>
      </c>
      <c r="E114" s="79">
        <f>IFERROR(VLOOKUP($G114,基本資料!$A:$J,7,0),"無")</f>
        <v>10</v>
      </c>
      <c r="F114" s="6">
        <f>IFERROR(VLOOKUP($G114,基本資料!$A:$J,8,0),"無")</f>
        <v>1.19</v>
      </c>
      <c r="G114" s="79">
        <v>4413</v>
      </c>
      <c r="H114" s="8" t="s">
        <v>3172</v>
      </c>
      <c r="I114" s="16" t="s">
        <v>1106</v>
      </c>
      <c r="J114" s="8" t="str">
        <f>IFERROR(VLOOKUP($G114,今日總結!$A:$AJ,35,0),"")</f>
        <v/>
      </c>
      <c r="K114" s="5" t="str">
        <f>IFERROR(VLOOKUP($G114,今日總結!$A:$AJ,36,0),"")</f>
        <v/>
      </c>
      <c r="L114" s="156" t="str">
        <f>IFERROR(VLOOKUP($G114,今日總結!$A:$AJ,33,0),"")</f>
        <v/>
      </c>
      <c r="M114" s="340" t="str">
        <f>IFERROR(VLOOKUP($G114,今日總結!$A:$AJ,34,0),"")</f>
        <v/>
      </c>
      <c r="N114" s="240" t="str">
        <f t="shared" si="24"/>
        <v/>
      </c>
      <c r="P114" s="365" t="str">
        <f>IFERROR(VLOOKUP($G114,融外自投!$A:$J,7,0),"無")</f>
        <v>無</v>
      </c>
      <c r="Q114" s="79" t="str">
        <f>IFERROR(VLOOKUP($G114,融外自投!$A:$J,9,0),"無")</f>
        <v>無</v>
      </c>
      <c r="R114" s="346" t="str">
        <f>IFERROR(VLOOKUP($G114,融外自投!$A:$J,8,0),"無")</f>
        <v>無</v>
      </c>
      <c r="S114" s="81" t="str">
        <f>IFERROR(VLOOKUP($G114,融外自投!$A:$J,10,0),"無")</f>
        <v>無</v>
      </c>
      <c r="T114" s="327" t="str">
        <f>IFERROR(VLOOKUP($G114,'321買'!$A:$E,5,0),"'沒有資料'")</f>
        <v>'沒有資料'</v>
      </c>
      <c r="U114" s="186">
        <f>IFERROR(VLOOKUP($G114,基本資料!$A:$J,9,0),"無")</f>
        <v>0</v>
      </c>
      <c r="V114" s="310">
        <f t="shared" si="26"/>
        <v>0</v>
      </c>
      <c r="W114" s="94">
        <f>IFERROR(VLOOKUP($G114,基本資料!$A:$J,10,0),"無")</f>
        <v>0.2</v>
      </c>
      <c r="X114" s="36">
        <f>RTD("money.excel",,"4413","Price")</f>
        <v>14.35</v>
      </c>
      <c r="Y114" s="66"/>
      <c r="Z114" s="15">
        <f t="shared" si="20"/>
        <v>14.35</v>
      </c>
      <c r="AA114" s="3" t="e">
        <f t="shared" si="21"/>
        <v>#DIV/0!</v>
      </c>
      <c r="AB114" s="344">
        <f>IFERROR(VLOOKUP($G114,基本資料!$A:$M,11,0),"無")</f>
        <v>-17.649999999999999</v>
      </c>
      <c r="AC114" s="397">
        <f>IFERROR(VLOOKUP($G114,基本資料!$A:$M,12,0),"無")</f>
        <v>47.46</v>
      </c>
      <c r="AD114" s="16" t="s">
        <v>1106</v>
      </c>
      <c r="AG114" s="33">
        <f t="shared" si="22"/>
        <v>0</v>
      </c>
      <c r="AH114" s="43" t="s">
        <v>2633</v>
      </c>
      <c r="AI114" s="63">
        <f t="shared" si="25"/>
        <v>9.9361022364217247E-3</v>
      </c>
      <c r="AJ114" s="284">
        <f>RTD("money.excel",,$G114,"PredictVolume")</f>
        <v>311</v>
      </c>
      <c r="AK114" s="399">
        <f>IFERROR(VLOOKUP($G114,基本資料!$A:$M,13,0),"無")</f>
        <v>1.77</v>
      </c>
    </row>
    <row r="115" spans="1:37">
      <c r="A115" s="347">
        <f>IFERROR(VLOOKUP($G115,基本資料!$A:$J,3,0),"無")</f>
        <v>81.89</v>
      </c>
      <c r="B115" s="79">
        <f>IFERROR(VLOOKUP($G115,基本資料!$A:$J,4,0),"無")</f>
        <v>-1592</v>
      </c>
      <c r="C115" s="79">
        <f>IFERROR(VLOOKUP($G115,基本資料!$A:$J,5,0),"無")</f>
        <v>-621</v>
      </c>
      <c r="D115" s="79">
        <f>IFERROR(VLOOKUP($G115,基本資料!$A:$J,6,0),"無")</f>
        <v>-3</v>
      </c>
      <c r="E115" s="79">
        <f>IFERROR(VLOOKUP($G115,基本資料!$A:$J,7,0),"無")</f>
        <v>-5</v>
      </c>
      <c r="F115" s="6">
        <f>IFERROR(VLOOKUP($G115,基本資料!$A:$J,8,0),"無")</f>
        <v>-7.03</v>
      </c>
      <c r="G115" s="79">
        <v>4414</v>
      </c>
      <c r="H115" s="8" t="s">
        <v>3172</v>
      </c>
      <c r="I115" s="22" t="s">
        <v>752</v>
      </c>
      <c r="J115" s="8" t="str">
        <f>IFERROR(VLOOKUP($G115,今日總結!$A:$AJ,35,0),"")</f>
        <v>借</v>
      </c>
      <c r="K115" s="5" t="str">
        <f>IFERROR(VLOOKUP($G115,今日總結!$A:$AJ,36,0),"")</f>
        <v>融</v>
      </c>
      <c r="L115" s="156">
        <f>IFERROR(VLOOKUP($G115,今日總結!$A:$AJ,33,0),"")</f>
        <v>1</v>
      </c>
      <c r="M115" s="340">
        <f>IFERROR(VLOOKUP($G115,今日總結!$A:$AJ,34,0),"")</f>
        <v>2</v>
      </c>
      <c r="N115" s="240">
        <f t="shared" si="24"/>
        <v>-1</v>
      </c>
      <c r="P115" s="365" t="str">
        <f>IFERROR(VLOOKUP($G115,融外自投!$A:$J,7,0),"無")</f>
        <v>無</v>
      </c>
      <c r="Q115" s="79" t="str">
        <f>IFERROR(VLOOKUP($G115,融外自投!$A:$J,9,0),"無")</f>
        <v>無</v>
      </c>
      <c r="R115" s="346" t="str">
        <f>IFERROR(VLOOKUP($G115,融外自投!$A:$J,8,0),"無")</f>
        <v>無</v>
      </c>
      <c r="S115" s="81" t="str">
        <f>IFERROR(VLOOKUP($G115,融外自投!$A:$J,10,0),"無")</f>
        <v>無</v>
      </c>
      <c r="T115" s="327">
        <f>IFERROR(VLOOKUP($G115,'321買'!$A:$E,5,0),"'沒有資料'")</f>
        <v>292</v>
      </c>
      <c r="U115" s="186">
        <f>IFERROR(VLOOKUP($G115,基本資料!$A:$J,9,0),"無")</f>
        <v>0</v>
      </c>
      <c r="V115" s="310">
        <f t="shared" si="26"/>
        <v>0</v>
      </c>
      <c r="W115" s="94">
        <f>IFERROR(VLOOKUP($G115,基本資料!$A:$J,10,0),"無")</f>
        <v>-2.31</v>
      </c>
      <c r="X115" s="36">
        <f>RTD("money.excel",,"4414","Price")</f>
        <v>4.63</v>
      </c>
      <c r="Y115" s="66"/>
      <c r="Z115" s="15">
        <f t="shared" si="20"/>
        <v>4.63</v>
      </c>
      <c r="AA115" s="3" t="e">
        <f t="shared" si="21"/>
        <v>#DIV/0!</v>
      </c>
      <c r="AB115" s="344">
        <f>IFERROR(VLOOKUP($G115,基本資料!$A:$M,11,0),"無")</f>
        <v>-55.12</v>
      </c>
      <c r="AC115" s="397">
        <f>IFERROR(VLOOKUP($G115,基本資料!$A:$M,12,0),"無")</f>
        <v>8.2799999999999994</v>
      </c>
      <c r="AD115" s="22" t="s">
        <v>752</v>
      </c>
      <c r="AG115" s="33">
        <f t="shared" si="22"/>
        <v>0</v>
      </c>
      <c r="AH115" s="43" t="s">
        <v>2384</v>
      </c>
      <c r="AI115" s="63">
        <f t="shared" si="25"/>
        <v>2.8867993650018319E-3</v>
      </c>
      <c r="AJ115" s="284">
        <f>RTD("money.excel",,$G115,"PredictVolume")</f>
        <v>2364</v>
      </c>
      <c r="AK115" s="399">
        <f>IFERROR(VLOOKUP($G115,基本資料!$A:$M,13,0),"無")</f>
        <v>10.19</v>
      </c>
    </row>
    <row r="116" spans="1:37">
      <c r="A116" s="347">
        <f>IFERROR(VLOOKUP($G116,基本資料!$A:$J,3,0),"無")</f>
        <v>8.39</v>
      </c>
      <c r="B116" s="79">
        <f>IFERROR(VLOOKUP($G116,基本資料!$A:$J,4,0),"無")</f>
        <v>-35</v>
      </c>
      <c r="C116" s="79">
        <f>IFERROR(VLOOKUP($G116,基本資料!$A:$J,5,0),"無")</f>
        <v>-5</v>
      </c>
      <c r="D116" s="79">
        <f>IFERROR(VLOOKUP($G116,基本資料!$A:$J,6,0),"無")</f>
        <v>-6</v>
      </c>
      <c r="E116" s="79">
        <f>IFERROR(VLOOKUP($G116,基本資料!$A:$J,7,0),"無")</f>
        <v>-36</v>
      </c>
      <c r="F116" s="6">
        <f>IFERROR(VLOOKUP($G116,基本資料!$A:$J,8,0),"無")</f>
        <v>13.94</v>
      </c>
      <c r="G116" s="79">
        <v>4417</v>
      </c>
      <c r="H116" s="8" t="s">
        <v>3172</v>
      </c>
      <c r="I116" s="16" t="s">
        <v>713</v>
      </c>
      <c r="J116" s="8" t="str">
        <f>IFERROR(VLOOKUP($G116,今日總結!$A:$AJ,35,0),"")</f>
        <v/>
      </c>
      <c r="K116" s="5" t="str">
        <f>IFERROR(VLOOKUP($G116,今日總結!$A:$AJ,36,0),"")</f>
        <v/>
      </c>
      <c r="L116" s="156" t="str">
        <f>IFERROR(VLOOKUP($G116,今日總結!$A:$AJ,33,0),"")</f>
        <v/>
      </c>
      <c r="M116" s="340" t="str">
        <f>IFERROR(VLOOKUP($G116,今日總結!$A:$AJ,34,0),"")</f>
        <v/>
      </c>
      <c r="N116" s="240" t="str">
        <f t="shared" si="24"/>
        <v/>
      </c>
      <c r="P116" s="365">
        <f>IFERROR(VLOOKUP($G116,融外自投!$A:$J,7,0),"無")</f>
        <v>1290</v>
      </c>
      <c r="Q116" s="79">
        <f>IFERROR(VLOOKUP($G116,融外自投!$A:$J,9,0),"無")</f>
        <v>1110</v>
      </c>
      <c r="R116" s="346">
        <f>IFERROR(VLOOKUP($G116,融外自投!$A:$J,8,0),"無")</f>
        <v>874</v>
      </c>
      <c r="S116" s="81" t="str">
        <f>IFERROR(VLOOKUP($G116,融外自投!$A:$J,10,0),"無")</f>
        <v>無</v>
      </c>
      <c r="T116" s="327">
        <f>IFERROR(VLOOKUP($G116,'321買'!$A:$E,5,0),"'沒有資料'")</f>
        <v>1007</v>
      </c>
      <c r="U116" s="186">
        <f>IFERROR(VLOOKUP($G116,基本資料!$A:$J,9,0),"無")</f>
        <v>2.1</v>
      </c>
      <c r="V116" s="310">
        <f t="shared" si="26"/>
        <v>6.4417177914110432E-2</v>
      </c>
      <c r="W116" s="94">
        <f>IFERROR(VLOOKUP($G116,基本資料!$A:$J,10,0),"無")</f>
        <v>3.12</v>
      </c>
      <c r="X116" s="36">
        <f>RTD("money.excel",,"4417","Price")</f>
        <v>32.6</v>
      </c>
      <c r="Y116" s="66"/>
      <c r="Z116" s="15">
        <f t="shared" si="20"/>
        <v>32.6</v>
      </c>
      <c r="AA116" s="3" t="e">
        <f t="shared" si="21"/>
        <v>#DIV/0!</v>
      </c>
      <c r="AB116" s="344">
        <f>IFERROR(VLOOKUP($G116,基本資料!$A:$M,11,0),"無")</f>
        <v>-14.54</v>
      </c>
      <c r="AC116" s="397">
        <f>IFERROR(VLOOKUP($G116,基本資料!$A:$M,12,0),"無")</f>
        <v>18.059999999999999</v>
      </c>
      <c r="AD116" s="16" t="s">
        <v>713</v>
      </c>
      <c r="AG116" s="33">
        <f t="shared" si="22"/>
        <v>0</v>
      </c>
      <c r="AH116" s="43" t="s">
        <v>2634</v>
      </c>
      <c r="AI116" s="63">
        <f t="shared" si="25"/>
        <v>1.9666269368295592E-3</v>
      </c>
      <c r="AJ116" s="284">
        <f>RTD("money.excel",,$G116,"PredictVolume")</f>
        <v>165</v>
      </c>
      <c r="AK116" s="399">
        <f>IFERROR(VLOOKUP($G116,基本資料!$A:$M,13,0),"無")</f>
        <v>2.48</v>
      </c>
    </row>
    <row r="117" spans="1:37">
      <c r="A117" s="347">
        <f>IFERROR(VLOOKUP($G117,基本資料!$A:$J,3,0),"無")</f>
        <v>4.6500000000000004</v>
      </c>
      <c r="B117" s="79">
        <f>IFERROR(VLOOKUP($G117,基本資料!$A:$J,4,0),"無")</f>
        <v>25</v>
      </c>
      <c r="C117" s="79">
        <f>IFERROR(VLOOKUP($G117,基本資料!$A:$J,5,0),"無")</f>
        <v>-288</v>
      </c>
      <c r="D117" s="79">
        <f>IFERROR(VLOOKUP($G117,基本資料!$A:$J,6,0),"無")</f>
        <v>7</v>
      </c>
      <c r="E117" s="79">
        <f>IFERROR(VLOOKUP($G117,基本資料!$A:$J,7,0),"無")</f>
        <v>7945</v>
      </c>
      <c r="F117" s="6">
        <f>IFERROR(VLOOKUP($G117,基本資料!$A:$J,8,0),"無")</f>
        <v>-70.7</v>
      </c>
      <c r="G117" s="79">
        <v>4419</v>
      </c>
      <c r="H117" s="8" t="s">
        <v>3172</v>
      </c>
      <c r="I117" s="16" t="s">
        <v>714</v>
      </c>
      <c r="J117" s="8" t="str">
        <f>IFERROR(VLOOKUP($G117,今日總結!$A:$AJ,35,0),"")</f>
        <v/>
      </c>
      <c r="K117" s="5" t="str">
        <f>IFERROR(VLOOKUP($G117,今日總結!$A:$AJ,36,0),"")</f>
        <v/>
      </c>
      <c r="L117" s="156" t="str">
        <f>IFERROR(VLOOKUP($G117,今日總結!$A:$AJ,33,0),"")</f>
        <v/>
      </c>
      <c r="M117" s="340" t="str">
        <f>IFERROR(VLOOKUP($G117,今日總結!$A:$AJ,34,0),"")</f>
        <v/>
      </c>
      <c r="N117" s="240" t="str">
        <f t="shared" si="24"/>
        <v/>
      </c>
      <c r="P117" s="365" t="str">
        <f>IFERROR(VLOOKUP($G117,融外自投!$A:$J,7,0),"無")</f>
        <v>無</v>
      </c>
      <c r="Q117" s="79" t="str">
        <f>IFERROR(VLOOKUP($G117,融外自投!$A:$J,9,0),"無")</f>
        <v>無</v>
      </c>
      <c r="R117" s="346" t="str">
        <f>IFERROR(VLOOKUP($G117,融外自投!$A:$J,8,0),"無")</f>
        <v>無</v>
      </c>
      <c r="S117" s="81" t="str">
        <f>IFERROR(VLOOKUP($G117,融外自投!$A:$J,10,0),"無")</f>
        <v>無</v>
      </c>
      <c r="T117" s="327" t="str">
        <f>IFERROR(VLOOKUP($G117,'321買'!$A:$E,5,0),"'沒有資料'")</f>
        <v>'沒有資料'</v>
      </c>
      <c r="U117" s="186">
        <f>IFERROR(VLOOKUP($G117,基本資料!$A:$J,9,0),"無")</f>
        <v>0</v>
      </c>
      <c r="V117" s="310" t="e">
        <f t="shared" si="26"/>
        <v>#VALUE!</v>
      </c>
      <c r="W117" s="94">
        <f>IFERROR(VLOOKUP($G117,基本資料!$A:$J,10,0),"無")</f>
        <v>-0.6</v>
      </c>
      <c r="X117" s="36" t="str">
        <f>RTD("money.excel",,"4419","Price")</f>
        <v>無資料</v>
      </c>
      <c r="Y117" s="66"/>
      <c r="Z117" s="15" t="e">
        <f t="shared" si="20"/>
        <v>#VALUE!</v>
      </c>
      <c r="AA117" s="3" t="e">
        <f t="shared" si="21"/>
        <v>#VALUE!</v>
      </c>
      <c r="AB117" s="344">
        <f>IFERROR(VLOOKUP($G117,基本資料!$A:$M,11,0),"無")</f>
        <v>-24.24</v>
      </c>
      <c r="AC117" s="397">
        <f>IFERROR(VLOOKUP($G117,基本資料!$A:$M,12,0),"無")</f>
        <v>10.63</v>
      </c>
      <c r="AD117" s="16" t="s">
        <v>714</v>
      </c>
      <c r="AG117" s="33">
        <f t="shared" si="22"/>
        <v>0</v>
      </c>
      <c r="AH117" s="43" t="s">
        <v>1521</v>
      </c>
      <c r="AI117" s="63">
        <f t="shared" si="25"/>
        <v>0</v>
      </c>
      <c r="AJ117" s="284">
        <f>RTD("money.excel",,$G117,"PredictVolume")</f>
        <v>0</v>
      </c>
      <c r="AK117" s="399">
        <f>IFERROR(VLOOKUP($G117,基本資料!$A:$M,13,0),"無")</f>
        <v>0.18</v>
      </c>
    </row>
    <row r="118" spans="1:37">
      <c r="A118" s="347">
        <f>IFERROR(VLOOKUP($G118,基本資料!$A:$J,3,0),"無")</f>
        <v>4.04</v>
      </c>
      <c r="B118" s="79">
        <f>IFERROR(VLOOKUP($G118,基本資料!$A:$J,4,0),"無")</f>
        <v>542</v>
      </c>
      <c r="C118" s="79">
        <f>IFERROR(VLOOKUP($G118,基本資料!$A:$J,5,0),"無")</f>
        <v>9514</v>
      </c>
      <c r="D118" s="79">
        <f>IFERROR(VLOOKUP($G118,基本資料!$A:$J,6,0),"無")</f>
        <v>-21</v>
      </c>
      <c r="E118" s="79">
        <f>IFERROR(VLOOKUP($G118,基本資料!$A:$J,7,0),"無")</f>
        <v>-12</v>
      </c>
      <c r="F118" s="6">
        <f>IFERROR(VLOOKUP($G118,基本資料!$A:$J,8,0),"無")</f>
        <v>8.2799999999999994</v>
      </c>
      <c r="G118" s="79">
        <v>4420</v>
      </c>
      <c r="H118" s="8" t="s">
        <v>3172</v>
      </c>
      <c r="I118" s="16" t="s">
        <v>715</v>
      </c>
      <c r="J118" s="8" t="str">
        <f>IFERROR(VLOOKUP($G118,今日總結!$A:$AJ,35,0),"")</f>
        <v/>
      </c>
      <c r="K118" s="5" t="str">
        <f>IFERROR(VLOOKUP($G118,今日總結!$A:$AJ,36,0),"")</f>
        <v/>
      </c>
      <c r="L118" s="156" t="str">
        <f>IFERROR(VLOOKUP($G118,今日總結!$A:$AJ,33,0),"")</f>
        <v/>
      </c>
      <c r="M118" s="340" t="str">
        <f>IFERROR(VLOOKUP($G118,今日總結!$A:$AJ,34,0),"")</f>
        <v/>
      </c>
      <c r="N118" s="240" t="str">
        <f t="shared" si="24"/>
        <v/>
      </c>
      <c r="P118" s="365">
        <f>IFERROR(VLOOKUP($G118,融外自投!$A:$J,7,0),"無")</f>
        <v>695</v>
      </c>
      <c r="Q118" s="79" t="str">
        <f>IFERROR(VLOOKUP($G118,融外自投!$A:$J,9,0),"無")</f>
        <v>無</v>
      </c>
      <c r="R118" s="346">
        <f>IFERROR(VLOOKUP($G118,融外自投!$A:$J,8,0),"無")</f>
        <v>1369</v>
      </c>
      <c r="S118" s="81" t="str">
        <f>IFERROR(VLOOKUP($G118,融外自投!$A:$J,10,0),"無")</f>
        <v>無</v>
      </c>
      <c r="T118" s="327" t="str">
        <f>IFERROR(VLOOKUP($G118,'321買'!$A:$E,5,0),"'沒有資料'")</f>
        <v>'沒有資料'</v>
      </c>
      <c r="U118" s="186">
        <f>IFERROR(VLOOKUP($G118,基本資料!$A:$J,9,0),"無")</f>
        <v>2</v>
      </c>
      <c r="V118" s="310">
        <f t="shared" si="26"/>
        <v>6.3593004769475353E-2</v>
      </c>
      <c r="W118" s="94">
        <f>IFERROR(VLOOKUP($G118,基本資料!$A:$J,10,0),"無")</f>
        <v>2.04</v>
      </c>
      <c r="X118" s="36">
        <f>RTD("money.excel",,"4420","Price")</f>
        <v>31.45</v>
      </c>
      <c r="Y118" s="66"/>
      <c r="Z118" s="15">
        <f t="shared" si="20"/>
        <v>31.45</v>
      </c>
      <c r="AA118" s="3" t="e">
        <f t="shared" si="21"/>
        <v>#DIV/0!</v>
      </c>
      <c r="AB118" s="344">
        <f>IFERROR(VLOOKUP($G118,基本資料!$A:$M,11,0),"無")</f>
        <v>-10.42</v>
      </c>
      <c r="AC118" s="397">
        <f>IFERROR(VLOOKUP($G118,基本資料!$A:$M,12,0),"無")</f>
        <v>26.28</v>
      </c>
      <c r="AD118" s="16" t="s">
        <v>715</v>
      </c>
      <c r="AG118" s="33">
        <f t="shared" si="22"/>
        <v>0</v>
      </c>
      <c r="AH118" s="43" t="s">
        <v>2635</v>
      </c>
      <c r="AI118" s="63">
        <f t="shared" si="25"/>
        <v>7.1782178217821781E-4</v>
      </c>
      <c r="AJ118" s="284">
        <f>RTD("money.excel",,$G118,"PredictVolume")</f>
        <v>29</v>
      </c>
      <c r="AK118" s="399">
        <f>IFERROR(VLOOKUP($G118,基本資料!$A:$M,13,0),"無")</f>
        <v>1.17</v>
      </c>
    </row>
    <row r="119" spans="1:37">
      <c r="A119" s="347">
        <f>IFERROR(VLOOKUP($G119,基本資料!$A:$J,3,0),"無")</f>
        <v>17.260000000000002</v>
      </c>
      <c r="B119" s="79">
        <f>IFERROR(VLOOKUP($G119,基本資料!$A:$J,4,0),"無")</f>
        <v>-242</v>
      </c>
      <c r="C119" s="79">
        <f>IFERROR(VLOOKUP($G119,基本資料!$A:$J,5,0),"無")</f>
        <v>-177</v>
      </c>
      <c r="D119" s="79">
        <f>IFERROR(VLOOKUP($G119,基本資料!$A:$J,6,0),"無")</f>
        <v>65</v>
      </c>
      <c r="E119" s="79">
        <f>IFERROR(VLOOKUP($G119,基本資料!$A:$J,7,0),"無")</f>
        <v>21</v>
      </c>
      <c r="F119" s="6">
        <f>IFERROR(VLOOKUP($G119,基本資料!$A:$J,8,0),"無")</f>
        <v>-67.819999999999993</v>
      </c>
      <c r="G119" s="79">
        <v>4426</v>
      </c>
      <c r="H119" s="8" t="s">
        <v>3172</v>
      </c>
      <c r="I119" s="22" t="s">
        <v>753</v>
      </c>
      <c r="J119" s="8">
        <f>IFERROR(VLOOKUP($G119,今日總結!$A:$AJ,35,0),"")</f>
        <v>0</v>
      </c>
      <c r="K119" s="5">
        <f>IFERROR(VLOOKUP($G119,今日總結!$A:$AJ,36,0),"")</f>
        <v>0</v>
      </c>
      <c r="L119" s="156">
        <f>IFERROR(VLOOKUP($G119,今日總結!$A:$AJ,33,0),"")</f>
        <v>0</v>
      </c>
      <c r="M119" s="340">
        <f>IFERROR(VLOOKUP($G119,今日總結!$A:$AJ,34,0),"")</f>
        <v>1</v>
      </c>
      <c r="N119" s="240">
        <f t="shared" si="24"/>
        <v>-1</v>
      </c>
      <c r="P119" s="365">
        <f>IFERROR(VLOOKUP($G119,融外自投!$A:$J,7,0),"無")</f>
        <v>907</v>
      </c>
      <c r="Q119" s="79">
        <f>IFERROR(VLOOKUP($G119,融外自投!$A:$J,9,0),"無")</f>
        <v>1110</v>
      </c>
      <c r="R119" s="346">
        <f>IFERROR(VLOOKUP($G119,融外自投!$A:$J,8,0),"無")</f>
        <v>759</v>
      </c>
      <c r="S119" s="81" t="str">
        <f>IFERROR(VLOOKUP($G119,融外自投!$A:$J,10,0),"無")</f>
        <v>無</v>
      </c>
      <c r="T119" s="327">
        <f>IFERROR(VLOOKUP($G119,'321買'!$A:$E,5,0),"'沒有資料'")</f>
        <v>1214</v>
      </c>
      <c r="U119" s="186">
        <f>IFERROR(VLOOKUP($G119,基本資料!$A:$J,9,0),"無")</f>
        <v>0</v>
      </c>
      <c r="V119" s="310">
        <f t="shared" si="26"/>
        <v>0</v>
      </c>
      <c r="W119" s="94">
        <f>IFERROR(VLOOKUP($G119,基本資料!$A:$J,10,0),"無")</f>
        <v>-2.15</v>
      </c>
      <c r="X119" s="36">
        <f>RTD("money.excel",,"4426","Price")</f>
        <v>24.35</v>
      </c>
      <c r="Y119" s="66"/>
      <c r="Z119" s="15">
        <f t="shared" si="20"/>
        <v>24.35</v>
      </c>
      <c r="AA119" s="3" t="e">
        <f t="shared" si="21"/>
        <v>#DIV/0!</v>
      </c>
      <c r="AB119" s="344">
        <f>IFERROR(VLOOKUP($G119,基本資料!$A:$M,11,0),"無")</f>
        <v>-12.27</v>
      </c>
      <c r="AC119" s="397">
        <f>IFERROR(VLOOKUP($G119,基本資料!$A:$M,12,0),"無")</f>
        <v>53.65</v>
      </c>
      <c r="AD119" s="22" t="s">
        <v>753</v>
      </c>
      <c r="AG119" s="33">
        <f t="shared" si="22"/>
        <v>0</v>
      </c>
      <c r="AH119" s="43" t="s">
        <v>1524</v>
      </c>
      <c r="AI119" s="63">
        <f t="shared" si="25"/>
        <v>6.2166859791425253E-3</v>
      </c>
      <c r="AJ119" s="284">
        <f>RTD("money.excel",,$G119,"PredictVolume")</f>
        <v>1073</v>
      </c>
      <c r="AK119" s="399">
        <f>IFERROR(VLOOKUP($G119,基本資料!$A:$M,13,0),"無")</f>
        <v>3.37</v>
      </c>
    </row>
    <row r="120" spans="1:37">
      <c r="A120" s="347">
        <f>IFERROR(VLOOKUP($G120,基本資料!$A:$J,3,0),"無")</f>
        <v>3.43</v>
      </c>
      <c r="B120" s="79">
        <f>IFERROR(VLOOKUP($G120,基本資料!$A:$J,4,0),"無")</f>
        <v>211</v>
      </c>
      <c r="C120" s="79">
        <f>IFERROR(VLOOKUP($G120,基本資料!$A:$J,5,0),"無")</f>
        <v>117</v>
      </c>
      <c r="D120" s="79">
        <f>IFERROR(VLOOKUP($G120,基本資料!$A:$J,6,0),"無")</f>
        <v>-24</v>
      </c>
      <c r="E120" s="79">
        <f>IFERROR(VLOOKUP($G120,基本資料!$A:$J,7,0),"無")</f>
        <v>-17</v>
      </c>
      <c r="F120" s="6">
        <f>IFERROR(VLOOKUP($G120,基本資料!$A:$J,8,0),"無")</f>
        <v>0.88</v>
      </c>
      <c r="G120" s="79">
        <v>4429</v>
      </c>
      <c r="H120" s="8" t="s">
        <v>3172</v>
      </c>
      <c r="I120" s="16" t="s">
        <v>716</v>
      </c>
      <c r="J120" s="8" t="str">
        <f>IFERROR(VLOOKUP($G120,今日總結!$A:$AJ,35,0),"")</f>
        <v/>
      </c>
      <c r="K120" s="5" t="str">
        <f>IFERROR(VLOOKUP($G120,今日總結!$A:$AJ,36,0),"")</f>
        <v/>
      </c>
      <c r="L120" s="156" t="str">
        <f>IFERROR(VLOOKUP($G120,今日總結!$A:$AJ,33,0),"")</f>
        <v/>
      </c>
      <c r="M120" s="340" t="str">
        <f>IFERROR(VLOOKUP($G120,今日總結!$A:$AJ,34,0),"")</f>
        <v/>
      </c>
      <c r="N120" s="240" t="str">
        <f t="shared" si="24"/>
        <v/>
      </c>
      <c r="P120" s="365">
        <f>IFERROR(VLOOKUP($G120,融外自投!$A:$J,7,0),"無")</f>
        <v>1262</v>
      </c>
      <c r="Q120" s="79" t="str">
        <f>IFERROR(VLOOKUP($G120,融外自投!$A:$J,9,0),"無")</f>
        <v>無</v>
      </c>
      <c r="R120" s="346">
        <f>IFERROR(VLOOKUP($G120,融外自投!$A:$J,8,0),"無")</f>
        <v>1467</v>
      </c>
      <c r="S120" s="81" t="str">
        <f>IFERROR(VLOOKUP($G120,融外自投!$A:$J,10,0),"無")</f>
        <v>無</v>
      </c>
      <c r="T120" s="327">
        <f>IFERROR(VLOOKUP($G120,'321買'!$A:$E,5,0),"'沒有資料'")</f>
        <v>1397</v>
      </c>
      <c r="U120" s="186">
        <f>IFERROR(VLOOKUP($G120,基本資料!$A:$J,9,0),"無")</f>
        <v>0</v>
      </c>
      <c r="V120" s="310">
        <f t="shared" si="26"/>
        <v>0</v>
      </c>
      <c r="W120" s="94">
        <f>IFERROR(VLOOKUP($G120,基本資料!$A:$J,10,0),"無")</f>
        <v>1.39</v>
      </c>
      <c r="X120" s="36">
        <f>RTD("money.excel",,"4429","Price")</f>
        <v>39.799999999999997</v>
      </c>
      <c r="Y120" s="66"/>
      <c r="Z120" s="15">
        <f t="shared" si="20"/>
        <v>39.799999999999997</v>
      </c>
      <c r="AA120" s="3" t="e">
        <f t="shared" si="21"/>
        <v>#DIV/0!</v>
      </c>
      <c r="AB120" s="344">
        <f>IFERROR(VLOOKUP($G120,基本資料!$A:$M,11,0),"無")</f>
        <v>-3.7</v>
      </c>
      <c r="AC120" s="397">
        <f>IFERROR(VLOOKUP($G120,基本資料!$A:$M,12,0),"無")</f>
        <v>72.86</v>
      </c>
      <c r="AD120" s="16" t="s">
        <v>716</v>
      </c>
      <c r="AG120" s="33">
        <f t="shared" si="22"/>
        <v>0</v>
      </c>
      <c r="AH120" s="43" t="s">
        <v>2636</v>
      </c>
      <c r="AI120" s="63">
        <f t="shared" si="25"/>
        <v>9.0379008746355682E-4</v>
      </c>
      <c r="AJ120" s="284">
        <f>RTD("money.excel",,$G120,"PredictVolume")</f>
        <v>31</v>
      </c>
      <c r="AK120" s="399">
        <f>IFERROR(VLOOKUP($G120,基本資料!$A:$M,13,0),"無")</f>
        <v>1.0900000000000001</v>
      </c>
    </row>
    <row r="121" spans="1:37">
      <c r="A121" s="347">
        <f>IFERROR(VLOOKUP($G121,基本資料!$A:$J,3,0),"無")</f>
        <v>5.05</v>
      </c>
      <c r="B121" s="79">
        <f>IFERROR(VLOOKUP($G121,基本資料!$A:$J,4,0),"無")</f>
        <v>-1063</v>
      </c>
      <c r="C121" s="79">
        <f>IFERROR(VLOOKUP($G121,基本資料!$A:$J,5,0),"無")</f>
        <v>-409</v>
      </c>
      <c r="D121" s="79">
        <f>IFERROR(VLOOKUP($G121,基本資料!$A:$J,6,0),"無")</f>
        <v>14</v>
      </c>
      <c r="E121" s="79">
        <f>IFERROR(VLOOKUP($G121,基本資料!$A:$J,7,0),"無")</f>
        <v>-22</v>
      </c>
      <c r="F121" s="6">
        <f>IFERROR(VLOOKUP($G121,基本資料!$A:$J,8,0),"無")</f>
        <v>-5.89</v>
      </c>
      <c r="G121" s="79">
        <v>4432</v>
      </c>
      <c r="H121" s="17" t="s">
        <v>3172</v>
      </c>
      <c r="I121" s="166" t="s">
        <v>3591</v>
      </c>
      <c r="J121" s="8" t="str">
        <f>IFERROR(VLOOKUP($G121,今日總結!$A:$AJ,35,0),"")</f>
        <v/>
      </c>
      <c r="K121" s="5" t="str">
        <f>IFERROR(VLOOKUP($G121,今日總結!$A:$AJ,36,0),"")</f>
        <v/>
      </c>
      <c r="L121" s="156" t="str">
        <f>IFERROR(VLOOKUP($G121,今日總結!$A:$AJ,33,0),"")</f>
        <v/>
      </c>
      <c r="M121" s="340" t="str">
        <f>IFERROR(VLOOKUP($G121,今日總結!$A:$AJ,34,0),"")</f>
        <v/>
      </c>
      <c r="N121" s="240" t="str">
        <f t="shared" si="24"/>
        <v/>
      </c>
      <c r="P121" s="365">
        <f>IFERROR(VLOOKUP($G121,融外自投!$A:$J,7,0),"無")</f>
        <v>749</v>
      </c>
      <c r="Q121" s="79">
        <f>IFERROR(VLOOKUP($G121,融外自投!$A:$J,9,0),"無")</f>
        <v>302</v>
      </c>
      <c r="R121" s="346">
        <f>IFERROR(VLOOKUP($G121,融外自投!$A:$J,8,0),"無")</f>
        <v>1369</v>
      </c>
      <c r="S121" s="81" t="str">
        <f>IFERROR(VLOOKUP($G121,融外自投!$A:$J,10,0),"無")</f>
        <v>無</v>
      </c>
      <c r="T121" s="327">
        <f>IFERROR(VLOOKUP($G121,'321買'!$A:$E,5,0),"'沒有資料'")</f>
        <v>1085</v>
      </c>
      <c r="U121" s="186">
        <f>IFERROR(VLOOKUP($G121,基本資料!$A:$J,9,0),"無")</f>
        <v>0</v>
      </c>
      <c r="V121" s="310">
        <f t="shared" si="26"/>
        <v>0</v>
      </c>
      <c r="W121" s="94">
        <f>IFERROR(VLOOKUP($G121,基本資料!$A:$J,10,0),"無")</f>
        <v>-2.04</v>
      </c>
      <c r="X121" s="36">
        <f>RTD("money.excel",,"4432","Price")</f>
        <v>14.2</v>
      </c>
      <c r="Y121" s="66"/>
      <c r="Z121" s="15">
        <f t="shared" si="20"/>
        <v>14.2</v>
      </c>
      <c r="AA121" s="3" t="e">
        <f t="shared" si="21"/>
        <v>#DIV/0!</v>
      </c>
      <c r="AB121" s="344">
        <f>IFERROR(VLOOKUP($G121,基本資料!$A:$M,11,0),"無")</f>
        <v>-20.98</v>
      </c>
      <c r="AC121" s="397">
        <f>IFERROR(VLOOKUP($G121,基本資料!$A:$M,12,0),"無")</f>
        <v>35.840000000000003</v>
      </c>
      <c r="AD121" s="16" t="s">
        <v>3591</v>
      </c>
      <c r="AG121" s="33">
        <f t="shared" si="22"/>
        <v>0</v>
      </c>
      <c r="AH121" s="43" t="s">
        <v>1448</v>
      </c>
      <c r="AI121" s="63">
        <f t="shared" si="25"/>
        <v>1.8811881188118811E-3</v>
      </c>
      <c r="AJ121" s="284">
        <f>RTD("money.excel",,$G121,"PredictVolume")</f>
        <v>95</v>
      </c>
      <c r="AK121" s="399">
        <f>IFERROR(VLOOKUP($G121,基本資料!$A:$M,13,0),"無")</f>
        <v>5.74</v>
      </c>
    </row>
    <row r="122" spans="1:37">
      <c r="A122" s="347">
        <f>IFERROR(VLOOKUP($G122,基本資料!$A:$J,3,0),"無")</f>
        <v>4.68</v>
      </c>
      <c r="B122" s="79">
        <f>IFERROR(VLOOKUP($G122,基本資料!$A:$J,4,0),"無")</f>
        <v>-76</v>
      </c>
      <c r="C122" s="79">
        <f>IFERROR(VLOOKUP($G122,基本資料!$A:$J,5,0),"無")</f>
        <v>-10</v>
      </c>
      <c r="D122" s="79">
        <f>IFERROR(VLOOKUP($G122,基本資料!$A:$J,6,0),"無")</f>
        <v>-21</v>
      </c>
      <c r="E122" s="79">
        <f>IFERROR(VLOOKUP($G122,基本資料!$A:$J,7,0),"無")</f>
        <v>18</v>
      </c>
      <c r="F122" s="6">
        <f>IFERROR(VLOOKUP($G122,基本資料!$A:$J,8,0),"無")</f>
        <v>2.93</v>
      </c>
      <c r="G122" s="79">
        <v>4433</v>
      </c>
      <c r="H122" s="8" t="s">
        <v>3172</v>
      </c>
      <c r="I122" s="16" t="s">
        <v>717</v>
      </c>
      <c r="J122" s="8">
        <f>IFERROR(VLOOKUP($G122,今日總結!$A:$AJ,35,0),"")</f>
        <v>0</v>
      </c>
      <c r="K122" s="5">
        <f>IFERROR(VLOOKUP($G122,今日總結!$A:$AJ,36,0),"")</f>
        <v>2</v>
      </c>
      <c r="L122" s="156">
        <f>IFERROR(VLOOKUP($G122,今日總結!$A:$AJ,33,0),"")</f>
        <v>0</v>
      </c>
      <c r="M122" s="340">
        <f>IFERROR(VLOOKUP($G122,今日總結!$A:$AJ,34,0),"")</f>
        <v>1</v>
      </c>
      <c r="N122" s="240">
        <f t="shared" si="24"/>
        <v>-1</v>
      </c>
      <c r="P122" s="365">
        <f>IFERROR(VLOOKUP($G122,融外自投!$A:$J,7,0),"無")</f>
        <v>895</v>
      </c>
      <c r="Q122" s="79">
        <f>IFERROR(VLOOKUP($G122,融外自投!$A:$J,9,0),"無")</f>
        <v>978</v>
      </c>
      <c r="R122" s="346">
        <f>IFERROR(VLOOKUP($G122,融外自投!$A:$J,8,0),"無")</f>
        <v>1399</v>
      </c>
      <c r="S122" s="81" t="str">
        <f>IFERROR(VLOOKUP($G122,融外自投!$A:$J,10,0),"無")</f>
        <v>無</v>
      </c>
      <c r="T122" s="327">
        <f>IFERROR(VLOOKUP($G122,'321買'!$A:$E,5,0),"'沒有資料'")</f>
        <v>1338</v>
      </c>
      <c r="U122" s="186">
        <f>IFERROR(VLOOKUP($G122,基本資料!$A:$J,9,0),"無")</f>
        <v>1</v>
      </c>
      <c r="V122" s="310">
        <f t="shared" si="26"/>
        <v>3.3898305084745763E-2</v>
      </c>
      <c r="W122" s="94">
        <f>IFERROR(VLOOKUP($G122,基本資料!$A:$J,10,0),"無")</f>
        <v>1.21</v>
      </c>
      <c r="X122" s="36">
        <f>RTD("money.excel",,"4433","Price")</f>
        <v>29.5</v>
      </c>
      <c r="Y122" s="66"/>
      <c r="Z122" s="15">
        <f t="shared" si="20"/>
        <v>29.5</v>
      </c>
      <c r="AA122" s="3" t="e">
        <f t="shared" si="21"/>
        <v>#DIV/0!</v>
      </c>
      <c r="AB122" s="344">
        <f>IFERROR(VLOOKUP($G122,基本資料!$A:$M,11,0),"無")</f>
        <v>-17.03</v>
      </c>
      <c r="AC122" s="397">
        <f>IFERROR(VLOOKUP($G122,基本資料!$A:$M,12,0),"無")</f>
        <v>60.72</v>
      </c>
      <c r="AD122" s="16" t="s">
        <v>717</v>
      </c>
      <c r="AG122" s="33">
        <f t="shared" si="22"/>
        <v>0</v>
      </c>
      <c r="AH122" s="43" t="s">
        <v>3326</v>
      </c>
      <c r="AI122" s="63">
        <f t="shared" si="25"/>
        <v>8.7820512820512824E-3</v>
      </c>
      <c r="AJ122" s="284">
        <f>RTD("money.excel",,$G122,"PredictVolume")</f>
        <v>411</v>
      </c>
      <c r="AK122" s="399">
        <f>IFERROR(VLOOKUP($G122,基本資料!$A:$M,13,0),"無")</f>
        <v>5.32</v>
      </c>
    </row>
    <row r="123" spans="1:37">
      <c r="A123" s="347">
        <f>IFERROR(VLOOKUP($G123,基本資料!$A:$J,3,0),"無")</f>
        <v>10.33</v>
      </c>
      <c r="B123" s="79">
        <f>IFERROR(VLOOKUP($G123,基本資料!$A:$J,4,0),"無")</f>
        <v>30</v>
      </c>
      <c r="C123" s="79">
        <f>IFERROR(VLOOKUP($G123,基本資料!$A:$J,5,0),"無")</f>
        <v>144</v>
      </c>
      <c r="D123" s="79">
        <f>IFERROR(VLOOKUP($G123,基本資料!$A:$J,6,0),"無")</f>
        <v>31</v>
      </c>
      <c r="E123" s="79">
        <f>IFERROR(VLOOKUP($G123,基本資料!$A:$J,7,0),"無")</f>
        <v>99</v>
      </c>
      <c r="F123" s="6">
        <f>IFERROR(VLOOKUP($G123,基本資料!$A:$J,8,0),"無")</f>
        <v>5.26</v>
      </c>
      <c r="G123" s="79">
        <v>4438</v>
      </c>
      <c r="H123" s="8" t="s">
        <v>3172</v>
      </c>
      <c r="I123" s="22" t="s">
        <v>754</v>
      </c>
      <c r="J123" s="8" t="str">
        <f>IFERROR(VLOOKUP($G123,今日總結!$A:$AJ,35,0),"")</f>
        <v/>
      </c>
      <c r="K123" s="5" t="str">
        <f>IFERROR(VLOOKUP($G123,今日總結!$A:$AJ,36,0),"")</f>
        <v/>
      </c>
      <c r="L123" s="156" t="str">
        <f>IFERROR(VLOOKUP($G123,今日總結!$A:$AJ,33,0),"")</f>
        <v/>
      </c>
      <c r="M123" s="340" t="str">
        <f>IFERROR(VLOOKUP($G123,今日總結!$A:$AJ,34,0),"")</f>
        <v/>
      </c>
      <c r="N123" s="240" t="str">
        <f t="shared" si="24"/>
        <v/>
      </c>
      <c r="P123" s="365">
        <f>IFERROR(VLOOKUP($G123,融外自投!$A:$J,7,0),"無")</f>
        <v>1031</v>
      </c>
      <c r="Q123" s="79" t="str">
        <f>IFERROR(VLOOKUP($G123,融外自投!$A:$J,9,0),"無")</f>
        <v>無</v>
      </c>
      <c r="R123" s="346">
        <f>IFERROR(VLOOKUP($G123,融外自投!$A:$J,8,0),"無")</f>
        <v>1047</v>
      </c>
      <c r="S123" s="81">
        <f>IFERROR(VLOOKUP($G123,融外自投!$A:$J,10,0),"無")</f>
        <v>284</v>
      </c>
      <c r="T123" s="327">
        <f>IFERROR(VLOOKUP($G123,'321買'!$A:$E,5,0),"'沒有資料'")</f>
        <v>779</v>
      </c>
      <c r="U123" s="186">
        <f>IFERROR(VLOOKUP($G123,基本資料!$A:$J,9,0),"無")</f>
        <v>4.2</v>
      </c>
      <c r="V123" s="310">
        <f t="shared" si="26"/>
        <v>3.8356164383561646E-2</v>
      </c>
      <c r="W123" s="94">
        <f>IFERROR(VLOOKUP($G123,基本資料!$A:$J,10,0),"無")</f>
        <v>6.1</v>
      </c>
      <c r="X123" s="36">
        <f>RTD("money.excel",,"4438","Price")</f>
        <v>109.5</v>
      </c>
      <c r="Y123" s="66"/>
      <c r="Z123" s="15">
        <f t="shared" si="20"/>
        <v>109.5</v>
      </c>
      <c r="AA123" s="3" t="e">
        <f t="shared" si="21"/>
        <v>#DIV/0!</v>
      </c>
      <c r="AB123" s="344">
        <f>IFERROR(VLOOKUP($G123,基本資料!$A:$M,11,0),"無")</f>
        <v>-25.68</v>
      </c>
      <c r="AC123" s="397">
        <f>IFERROR(VLOOKUP($G123,基本資料!$A:$M,12,0),"無")</f>
        <v>22.44</v>
      </c>
      <c r="AD123" s="22" t="s">
        <v>754</v>
      </c>
      <c r="AG123" s="33">
        <f t="shared" si="22"/>
        <v>0</v>
      </c>
      <c r="AH123" s="43" t="s">
        <v>3011</v>
      </c>
      <c r="AI123" s="63">
        <f t="shared" si="25"/>
        <v>2.4201355275895451E-4</v>
      </c>
      <c r="AJ123" s="284">
        <f>RTD("money.excel",,$G123,"PredictVolume")</f>
        <v>25</v>
      </c>
      <c r="AK123" s="399">
        <f>IFERROR(VLOOKUP($G123,基本資料!$A:$M,13,0),"無")</f>
        <v>1.26</v>
      </c>
    </row>
    <row r="124" spans="1:37">
      <c r="A124" s="347">
        <f>IFERROR(VLOOKUP($G124,基本資料!$A:$J,3,0),"無")</f>
        <v>3.15</v>
      </c>
      <c r="B124" s="79">
        <f>IFERROR(VLOOKUP($G124,基本資料!$A:$J,4,0),"無")</f>
        <v>-19</v>
      </c>
      <c r="C124" s="79">
        <f>IFERROR(VLOOKUP($G124,基本資料!$A:$J,5,0),"無")</f>
        <v>-26</v>
      </c>
      <c r="D124" s="79">
        <f>IFERROR(VLOOKUP($G124,基本資料!$A:$J,6,0),"無")</f>
        <v>-1</v>
      </c>
      <c r="E124" s="79">
        <f>IFERROR(VLOOKUP($G124,基本資料!$A:$J,7,0),"無")</f>
        <v>58</v>
      </c>
      <c r="F124" s="6">
        <f>IFERROR(VLOOKUP($G124,基本資料!$A:$J,8,0),"無")</f>
        <v>5.5</v>
      </c>
      <c r="G124" s="79">
        <v>4439</v>
      </c>
      <c r="H124" s="8" t="s">
        <v>3172</v>
      </c>
      <c r="I124" s="22" t="s">
        <v>1782</v>
      </c>
      <c r="J124" s="8" t="str">
        <f>IFERROR(VLOOKUP($G124,今日總結!$A:$AJ,35,0),"")</f>
        <v/>
      </c>
      <c r="K124" s="5" t="str">
        <f>IFERROR(VLOOKUP($G124,今日總結!$A:$AJ,36,0),"")</f>
        <v/>
      </c>
      <c r="L124" s="156" t="str">
        <f>IFERROR(VLOOKUP($G124,今日總結!$A:$AJ,33,0),"")</f>
        <v/>
      </c>
      <c r="M124" s="340" t="str">
        <f>IFERROR(VLOOKUP($G124,今日總結!$A:$AJ,34,0),"")</f>
        <v/>
      </c>
      <c r="N124" s="240" t="str">
        <f t="shared" si="24"/>
        <v/>
      </c>
      <c r="P124" s="365">
        <f>IFERROR(VLOOKUP($G124,融外自投!$A:$J,7,0),"無")</f>
        <v>979</v>
      </c>
      <c r="Q124" s="79">
        <f>IFERROR(VLOOKUP($G124,融外自投!$A:$J,9,0),"無")</f>
        <v>978</v>
      </c>
      <c r="R124" s="346">
        <f>IFERROR(VLOOKUP($G124,融外自投!$A:$J,8,0),"無")</f>
        <v>41</v>
      </c>
      <c r="S124" s="81" t="str">
        <f>IFERROR(VLOOKUP($G124,融外自投!$A:$J,10,0),"無")</f>
        <v>無</v>
      </c>
      <c r="T124" s="327">
        <f>IFERROR(VLOOKUP($G124,'321買'!$A:$E,5,0),"'沒有資料'")</f>
        <v>1338</v>
      </c>
      <c r="U124" s="186">
        <f>IFERROR(VLOOKUP($G124,基本資料!$A:$J,9,0),"無")</f>
        <v>6.5</v>
      </c>
      <c r="V124" s="310">
        <f t="shared" si="26"/>
        <v>4.5454545454545456E-2</v>
      </c>
      <c r="W124" s="94">
        <f>IFERROR(VLOOKUP($G124,基本資料!$A:$J,10,0),"無")</f>
        <v>10.72</v>
      </c>
      <c r="X124" s="36">
        <f>RTD("money.excel",,"4439","Price")</f>
        <v>143</v>
      </c>
      <c r="Y124" s="66"/>
      <c r="Z124" s="15">
        <f t="shared" si="20"/>
        <v>143</v>
      </c>
      <c r="AA124" s="3" t="e">
        <f t="shared" si="21"/>
        <v>#DIV/0!</v>
      </c>
      <c r="AB124" s="344">
        <f>IFERROR(VLOOKUP($G124,基本資料!$A:$M,11,0),"無")</f>
        <v>-17.78</v>
      </c>
      <c r="AC124" s="397">
        <f>IFERROR(VLOOKUP($G124,基本資料!$A:$M,12,0),"無")</f>
        <v>71.53</v>
      </c>
      <c r="AD124" s="22" t="s">
        <v>1782</v>
      </c>
      <c r="AG124" s="33">
        <f t="shared" si="22"/>
        <v>0</v>
      </c>
      <c r="AH124" s="43" t="s">
        <v>2385</v>
      </c>
      <c r="AI124" s="63">
        <f t="shared" si="25"/>
        <v>7.6190476190476193E-4</v>
      </c>
      <c r="AJ124" s="284">
        <f>RTD("money.excel",,$G124,"PredictVolume")</f>
        <v>24</v>
      </c>
      <c r="AK124" s="399">
        <f>IFERROR(VLOOKUP($G124,基本資料!$A:$M,13,0),"無")</f>
        <v>0.89</v>
      </c>
    </row>
    <row r="125" spans="1:37">
      <c r="A125" s="347">
        <f>IFERROR(VLOOKUP($G125,基本資料!$A:$J,3,0),"無")</f>
        <v>6.75</v>
      </c>
      <c r="B125" s="79">
        <f>IFERROR(VLOOKUP($G125,基本資料!$A:$J,4,0),"無")</f>
        <v>152</v>
      </c>
      <c r="C125" s="79">
        <f>IFERROR(VLOOKUP($G125,基本資料!$A:$J,5,0),"無")</f>
        <v>133</v>
      </c>
      <c r="D125" s="79">
        <f>IFERROR(VLOOKUP($G125,基本資料!$A:$J,6,0),"無")</f>
        <v>-14</v>
      </c>
      <c r="E125" s="79">
        <f>IFERROR(VLOOKUP($G125,基本資料!$A:$J,7,0),"無")</f>
        <v>-14</v>
      </c>
      <c r="F125" s="6">
        <f>IFERROR(VLOOKUP($G125,基本資料!$A:$J,8,0),"無")</f>
        <v>20.079999999999998</v>
      </c>
      <c r="G125" s="79">
        <v>4440</v>
      </c>
      <c r="H125" s="8" t="s">
        <v>3172</v>
      </c>
      <c r="I125" s="22" t="s">
        <v>3490</v>
      </c>
      <c r="J125" s="8" t="str">
        <f>IFERROR(VLOOKUP($G125,今日總結!$A:$AJ,35,0),"")</f>
        <v/>
      </c>
      <c r="K125" s="5" t="str">
        <f>IFERROR(VLOOKUP($G125,今日總結!$A:$AJ,36,0),"")</f>
        <v/>
      </c>
      <c r="L125" s="156" t="str">
        <f>IFERROR(VLOOKUP($G125,今日總結!$A:$AJ,33,0),"")</f>
        <v/>
      </c>
      <c r="M125" s="340" t="str">
        <f>IFERROR(VLOOKUP($G125,今日總結!$A:$AJ,34,0),"")</f>
        <v/>
      </c>
      <c r="N125" s="240" t="str">
        <f t="shared" si="24"/>
        <v/>
      </c>
      <c r="P125" s="365">
        <f>IFERROR(VLOOKUP($G125,融外自投!$A:$J,7,0),"無")</f>
        <v>1460</v>
      </c>
      <c r="Q125" s="79" t="str">
        <f>IFERROR(VLOOKUP($G125,融外自投!$A:$J,9,0),"無")</f>
        <v>無</v>
      </c>
      <c r="R125" s="346">
        <f>IFERROR(VLOOKUP($G125,融外自投!$A:$J,8,0),"無")</f>
        <v>1195</v>
      </c>
      <c r="S125" s="81" t="str">
        <f>IFERROR(VLOOKUP($G125,融外自投!$A:$J,10,0),"無")</f>
        <v>無</v>
      </c>
      <c r="T125" s="327">
        <f>IFERROR(VLOOKUP($G125,'321買'!$A:$E,5,0),"'沒有資料'")</f>
        <v>1259</v>
      </c>
      <c r="U125" s="186">
        <f>IFERROR(VLOOKUP($G125,基本資料!$A:$J,9,0),"無")</f>
        <v>4</v>
      </c>
      <c r="V125" s="310">
        <f t="shared" si="26"/>
        <v>8.8888888888888892E-2</v>
      </c>
      <c r="W125" s="94">
        <f>IFERROR(VLOOKUP($G125,基本資料!$A:$J,10,0),"無")</f>
        <v>5.0599999999999996</v>
      </c>
      <c r="X125" s="36">
        <f>RTD("money.excel",,"4440","Price")</f>
        <v>45</v>
      </c>
      <c r="Y125" s="66"/>
      <c r="Z125" s="15">
        <f t="shared" si="20"/>
        <v>45</v>
      </c>
      <c r="AA125" s="3" t="e">
        <f t="shared" si="21"/>
        <v>#DIV/0!</v>
      </c>
      <c r="AB125" s="344" t="str">
        <f>IFERROR(VLOOKUP($G125,基本資料!$A:$M,11,0),"無")</f>
        <v>無</v>
      </c>
      <c r="AC125" s="397" t="str">
        <f>IFERROR(VLOOKUP($G125,基本資料!$A:$M,12,0),"無")</f>
        <v>無</v>
      </c>
      <c r="AD125" s="22" t="s">
        <v>3490</v>
      </c>
      <c r="AG125" s="33">
        <f t="shared" si="22"/>
        <v>0</v>
      </c>
      <c r="AH125" s="43" t="s">
        <v>3492</v>
      </c>
      <c r="AI125" s="63">
        <f t="shared" si="25"/>
        <v>7.2444444444444448E-3</v>
      </c>
      <c r="AJ125" s="284">
        <f>RTD("money.excel",,$G125,"PredictVolume")</f>
        <v>489</v>
      </c>
      <c r="AK125" s="399" t="str">
        <f>IFERROR(VLOOKUP($G125,基本資料!$A:$M,13,0),"無")</f>
        <v>無</v>
      </c>
    </row>
    <row r="126" spans="1:37">
      <c r="B126" s="79"/>
      <c r="C126" s="79"/>
      <c r="D126" s="79"/>
      <c r="E126" s="79"/>
      <c r="F126" s="57"/>
      <c r="G126" s="79"/>
      <c r="H126" s="8"/>
      <c r="I126" s="22"/>
      <c r="L126" s="2"/>
      <c r="P126" s="365"/>
      <c r="Q126" s="47"/>
      <c r="R126" s="346"/>
      <c r="S126" s="26"/>
      <c r="U126" s="66"/>
      <c r="W126" s="94"/>
      <c r="X126" s="36"/>
      <c r="Y126" s="66"/>
      <c r="Z126" s="15"/>
      <c r="AA126" s="3"/>
      <c r="AD126" s="22"/>
      <c r="AG126" s="33"/>
      <c r="AH126" s="43"/>
      <c r="AI126" s="63"/>
      <c r="AJ126" s="284"/>
    </row>
    <row r="127" spans="1:37">
      <c r="A127" s="127" t="s">
        <v>1673</v>
      </c>
      <c r="B127" s="90" t="s">
        <v>1572</v>
      </c>
      <c r="C127" s="90" t="s">
        <v>1573</v>
      </c>
      <c r="D127" s="90" t="s">
        <v>1574</v>
      </c>
      <c r="E127" s="90" t="s">
        <v>1575</v>
      </c>
      <c r="F127" s="8" t="s">
        <v>1060</v>
      </c>
      <c r="G127" s="27" t="s">
        <v>524</v>
      </c>
      <c r="H127" s="55" t="s">
        <v>320</v>
      </c>
      <c r="I127" s="50" t="s">
        <v>295</v>
      </c>
      <c r="J127" s="8" t="s">
        <v>6221</v>
      </c>
      <c r="K127" s="5" t="s">
        <v>6222</v>
      </c>
      <c r="L127" s="337" t="s">
        <v>6206</v>
      </c>
      <c r="M127" s="338" t="s">
        <v>6207</v>
      </c>
      <c r="N127" s="339" t="s">
        <v>6208</v>
      </c>
      <c r="O127" s="4" t="s">
        <v>6713</v>
      </c>
      <c r="P127" s="89" t="s">
        <v>6285</v>
      </c>
      <c r="Q127" s="293" t="s">
        <v>6284</v>
      </c>
      <c r="R127" s="354" t="s">
        <v>6283</v>
      </c>
      <c r="S127" s="26" t="s">
        <v>6286</v>
      </c>
      <c r="T127" s="321" t="s">
        <v>4716</v>
      </c>
      <c r="U127" s="10" t="s">
        <v>66</v>
      </c>
      <c r="V127" s="308" t="s">
        <v>4731</v>
      </c>
      <c r="W127" s="68" t="s">
        <v>3273</v>
      </c>
      <c r="X127" s="28" t="s">
        <v>2</v>
      </c>
      <c r="Y127" s="17" t="s">
        <v>1399</v>
      </c>
      <c r="Z127" s="14" t="s">
        <v>5</v>
      </c>
      <c r="AA127" s="21" t="s">
        <v>3</v>
      </c>
      <c r="AB127" s="96" t="s">
        <v>6174</v>
      </c>
      <c r="AC127" s="384" t="s">
        <v>6420</v>
      </c>
      <c r="AD127" s="50" t="s">
        <v>295</v>
      </c>
      <c r="AE127" s="71" t="s">
        <v>1400</v>
      </c>
      <c r="AF127" s="72" t="s">
        <v>1157</v>
      </c>
      <c r="AG127" s="32" t="s">
        <v>1158</v>
      </c>
      <c r="AH127" s="25" t="s">
        <v>6209</v>
      </c>
      <c r="AI127" s="8" t="s">
        <v>6731</v>
      </c>
      <c r="AJ127" s="50" t="s">
        <v>3361</v>
      </c>
      <c r="AK127" s="44" t="s">
        <v>6730</v>
      </c>
    </row>
    <row r="128" spans="1:37">
      <c r="A128" s="347">
        <f>IFERROR(VLOOKUP($G128,基本資料!$A:$J,3,0),"無")</f>
        <v>52.09</v>
      </c>
      <c r="B128" s="79">
        <f>IFERROR(VLOOKUP($G128,基本資料!$A:$J,4,0),"無")</f>
        <v>19</v>
      </c>
      <c r="C128" s="79">
        <f>IFERROR(VLOOKUP($G128,基本資料!$A:$J,5,0),"無")</f>
        <v>2</v>
      </c>
      <c r="D128" s="79">
        <f>IFERROR(VLOOKUP($G128,基本資料!$A:$J,6,0),"無")</f>
        <v>36</v>
      </c>
      <c r="E128" s="79">
        <f>IFERROR(VLOOKUP($G128,基本資料!$A:$J,7,0),"無")</f>
        <v>9</v>
      </c>
      <c r="F128" s="6">
        <f>IFERROR(VLOOKUP($G128,基本資料!$A:$J,8,0),"無")</f>
        <v>7.22</v>
      </c>
      <c r="G128" s="79">
        <v>1503</v>
      </c>
      <c r="H128" s="8" t="s">
        <v>295</v>
      </c>
      <c r="I128" s="22" t="s">
        <v>553</v>
      </c>
      <c r="J128" s="8" t="str">
        <f>IFERROR(VLOOKUP($G128,今日總結!$A:$AJ,35,0),"")</f>
        <v/>
      </c>
      <c r="K128" s="5" t="str">
        <f>IFERROR(VLOOKUP($G128,今日總結!$A:$AJ,36,0),"")</f>
        <v/>
      </c>
      <c r="L128" s="156" t="str">
        <f>IFERROR(VLOOKUP($G128,今日總結!$A:$AJ,33,0),"")</f>
        <v/>
      </c>
      <c r="M128" s="340" t="str">
        <f>IFERROR(VLOOKUP($G128,今日總結!$A:$AJ,34,0),"")</f>
        <v/>
      </c>
      <c r="N128" s="240" t="str">
        <f t="shared" ref="N128:N183" si="27">IFERROR(L128-M128,"")</f>
        <v/>
      </c>
      <c r="P128" s="365">
        <f>IFERROR(VLOOKUP($G128,融外自投!$A:$J,7,0),"無")</f>
        <v>1399</v>
      </c>
      <c r="Q128" s="79">
        <f>IFERROR(VLOOKUP($G128,融外自投!$A:$J,9,0),"無")</f>
        <v>734</v>
      </c>
      <c r="R128" s="346">
        <f>IFERROR(VLOOKUP($G128,融外自投!$A:$J,8,0),"無")</f>
        <v>163</v>
      </c>
      <c r="S128" s="81" t="str">
        <f>IFERROR(VLOOKUP($G128,融外自投!$A:$J,10,0),"無")</f>
        <v>無</v>
      </c>
      <c r="T128" s="327">
        <f>IFERROR(VLOOKUP($G128,'321買'!$A:$E,5,0),"'沒有資料'")</f>
        <v>1143</v>
      </c>
      <c r="U128" s="186">
        <f>IFERROR(VLOOKUP($G128,基本資料!$A:$J,9,0),"無")</f>
        <v>1.8</v>
      </c>
      <c r="V128" s="310">
        <f t="shared" ref="V128:V191" si="28">$U128/$X128</f>
        <v>3.2906764168190127E-2</v>
      </c>
      <c r="W128" s="94">
        <f>IFERROR(VLOOKUP($G128,基本資料!$A:$J,10,0),"無")</f>
        <v>3.46</v>
      </c>
      <c r="X128" s="36">
        <f>RTD("money.excel",,"1503","Price")</f>
        <v>54.7</v>
      </c>
      <c r="Y128" s="66"/>
      <c r="Z128" s="15">
        <f t="shared" ref="Z128:Z191" si="29">X128-Y128</f>
        <v>54.7</v>
      </c>
      <c r="AA128" s="3" t="e">
        <f t="shared" ref="AA128:AA191" si="30">Z128/Y128</f>
        <v>#DIV/0!</v>
      </c>
      <c r="AB128" s="344">
        <f>IFERROR(VLOOKUP($G128,基本資料!$A:$M,11,0),"無")</f>
        <v>-3.41</v>
      </c>
      <c r="AC128" s="397">
        <f>IFERROR(VLOOKUP($G128,基本資料!$A:$M,12,0),"無")</f>
        <v>63.36</v>
      </c>
      <c r="AD128" s="22" t="s">
        <v>553</v>
      </c>
      <c r="AG128" s="33">
        <f t="shared" ref="AG128:AG191" si="31">AF128-AE128</f>
        <v>0</v>
      </c>
      <c r="AH128" s="43" t="s">
        <v>1991</v>
      </c>
      <c r="AI128" s="63">
        <f t="shared" ref="AI128:AI159" si="32">AJ128/(A128*10000)</f>
        <v>3.993088884622768E-4</v>
      </c>
      <c r="AJ128" s="284">
        <f>RTD("money.excel",,$G128,"PredictVolume")</f>
        <v>208</v>
      </c>
      <c r="AK128" s="399">
        <f>IFERROR(VLOOKUP($G128,基本資料!$A:$M,13,0),"無")</f>
        <v>0.42</v>
      </c>
    </row>
    <row r="129" spans="1:37">
      <c r="A129" s="347">
        <f>IFERROR(VLOOKUP($G129,基本資料!$A:$J,3,0),"無")</f>
        <v>213</v>
      </c>
      <c r="B129" s="79">
        <f>IFERROR(VLOOKUP($G129,基本資料!$A:$J,4,0),"無")</f>
        <v>44</v>
      </c>
      <c r="C129" s="79">
        <f>IFERROR(VLOOKUP($G129,基本資料!$A:$J,5,0),"無")</f>
        <v>43</v>
      </c>
      <c r="D129" s="79">
        <f>IFERROR(VLOOKUP($G129,基本資料!$A:$J,6,0),"無")</f>
        <v>31</v>
      </c>
      <c r="E129" s="79">
        <f>IFERROR(VLOOKUP($G129,基本資料!$A:$J,7,0),"無")</f>
        <v>15</v>
      </c>
      <c r="F129" s="6">
        <f>IFERROR(VLOOKUP($G129,基本資料!$A:$J,8,0),"無")</f>
        <v>9.65</v>
      </c>
      <c r="G129" s="79">
        <v>1504</v>
      </c>
      <c r="H129" s="8" t="s">
        <v>295</v>
      </c>
      <c r="I129" s="22" t="s">
        <v>3592</v>
      </c>
      <c r="J129" s="8">
        <f>IFERROR(VLOOKUP($G129,今日總結!$A:$AJ,35,0),"")</f>
        <v>0</v>
      </c>
      <c r="K129" s="5" t="str">
        <f>IFERROR(VLOOKUP($G129,今日總結!$A:$AJ,36,0),"")</f>
        <v>外</v>
      </c>
      <c r="L129" s="156">
        <f>IFERROR(VLOOKUP($G129,今日總結!$A:$AJ,33,0),"")</f>
        <v>0</v>
      </c>
      <c r="M129" s="340">
        <f>IFERROR(VLOOKUP($G129,今日總結!$A:$AJ,34,0),"")</f>
        <v>1</v>
      </c>
      <c r="N129" s="240">
        <f t="shared" si="27"/>
        <v>-1</v>
      </c>
      <c r="P129" s="365">
        <f>IFERROR(VLOOKUP($G129,融外自投!$A:$J,7,0),"無")</f>
        <v>1142</v>
      </c>
      <c r="Q129" s="79">
        <f>IFERROR(VLOOKUP($G129,融外自投!$A:$J,9,0),"無")</f>
        <v>558</v>
      </c>
      <c r="R129" s="346">
        <f>IFERROR(VLOOKUP($G129,融外自投!$A:$J,8,0),"無")</f>
        <v>271</v>
      </c>
      <c r="S129" s="81">
        <f>IFERROR(VLOOKUP($G129,融外自投!$A:$J,10,0),"無")</f>
        <v>295</v>
      </c>
      <c r="T129" s="327">
        <f>IFERROR(VLOOKUP($G129,'321買'!$A:$E,5,0),"'沒有資料'")</f>
        <v>292</v>
      </c>
      <c r="U129" s="186">
        <f>IFERROR(VLOOKUP($G129,基本資料!$A:$J,9,0),"無")</f>
        <v>1.35</v>
      </c>
      <c r="V129" s="310">
        <f t="shared" si="28"/>
        <v>4.5454545454545456E-2</v>
      </c>
      <c r="W129" s="94">
        <f>IFERROR(VLOOKUP($G129,基本資料!$A:$J,10,0),"無")</f>
        <v>2.38</v>
      </c>
      <c r="X129" s="36">
        <f>RTD("money.excel",,"1504","Price")</f>
        <v>29.7</v>
      </c>
      <c r="Y129" s="66"/>
      <c r="Z129" s="15">
        <f t="shared" si="29"/>
        <v>29.7</v>
      </c>
      <c r="AA129" s="3" t="e">
        <f t="shared" si="30"/>
        <v>#DIV/0!</v>
      </c>
      <c r="AB129" s="344">
        <f>IFERROR(VLOOKUP($G129,基本資料!$A:$M,11,0),"無")</f>
        <v>-14.86</v>
      </c>
      <c r="AC129" s="397">
        <f>IFERROR(VLOOKUP($G129,基本資料!$A:$M,12,0),"無")</f>
        <v>40.130000000000003</v>
      </c>
      <c r="AD129" s="22" t="s">
        <v>3592</v>
      </c>
      <c r="AG129" s="33">
        <f t="shared" si="31"/>
        <v>0</v>
      </c>
      <c r="AH129" s="117" t="s">
        <v>1412</v>
      </c>
      <c r="AI129" s="63">
        <f t="shared" si="32"/>
        <v>1.4723004694835681E-3</v>
      </c>
      <c r="AJ129" s="284">
        <f>RTD("money.excel",,$G129,"PredictVolume")</f>
        <v>3136</v>
      </c>
      <c r="AK129" s="399">
        <f>IFERROR(VLOOKUP($G129,基本資料!$A:$M,13,0),"無")</f>
        <v>0.98</v>
      </c>
    </row>
    <row r="130" spans="1:37">
      <c r="A130" s="347">
        <f>IFERROR(VLOOKUP($G130,基本資料!$A:$J,3,0),"無")</f>
        <v>26.32</v>
      </c>
      <c r="B130" s="79">
        <f>IFERROR(VLOOKUP($G130,基本資料!$A:$J,4,0),"無")</f>
        <v>113</v>
      </c>
      <c r="C130" s="79">
        <f>IFERROR(VLOOKUP($G130,基本資料!$A:$J,5,0),"無")</f>
        <v>85</v>
      </c>
      <c r="D130" s="79">
        <f>IFERROR(VLOOKUP($G130,基本資料!$A:$J,6,0),"無")</f>
        <v>5</v>
      </c>
      <c r="E130" s="79">
        <f>IFERROR(VLOOKUP($G130,基本資料!$A:$J,7,0),"無")</f>
        <v>51</v>
      </c>
      <c r="F130" s="6">
        <f>IFERROR(VLOOKUP($G130,基本資料!$A:$J,8,0),"無")</f>
        <v>-2.88</v>
      </c>
      <c r="G130" s="79">
        <v>1506</v>
      </c>
      <c r="H130" s="8" t="s">
        <v>295</v>
      </c>
      <c r="I130" s="22" t="s">
        <v>554</v>
      </c>
      <c r="J130" s="8" t="str">
        <f>IFERROR(VLOOKUP($G130,今日總結!$A:$AJ,35,0),"")</f>
        <v/>
      </c>
      <c r="K130" s="5" t="str">
        <f>IFERROR(VLOOKUP($G130,今日總結!$A:$AJ,36,0),"")</f>
        <v/>
      </c>
      <c r="L130" s="156" t="str">
        <f>IFERROR(VLOOKUP($G130,今日總結!$A:$AJ,33,0),"")</f>
        <v/>
      </c>
      <c r="M130" s="340" t="str">
        <f>IFERROR(VLOOKUP($G130,今日總結!$A:$AJ,34,0),"")</f>
        <v/>
      </c>
      <c r="N130" s="240" t="str">
        <f t="shared" ref="N130:N141" si="33">IFERROR(L130-M130,"")</f>
        <v/>
      </c>
      <c r="P130" s="365" t="str">
        <f>IFERROR(VLOOKUP($G130,融外自投!$A:$J,7,0),"無")</f>
        <v>無</v>
      </c>
      <c r="Q130" s="79" t="str">
        <f>IFERROR(VLOOKUP($G130,融外自投!$A:$J,9,0),"無")</f>
        <v>無</v>
      </c>
      <c r="R130" s="346" t="str">
        <f>IFERROR(VLOOKUP($G130,融外自投!$A:$J,8,0),"無")</f>
        <v>無</v>
      </c>
      <c r="S130" s="81" t="str">
        <f>IFERROR(VLOOKUP($G130,融外自投!$A:$J,10,0),"無")</f>
        <v>無</v>
      </c>
      <c r="T130" s="327" t="str">
        <f>IFERROR(VLOOKUP($G130,'321買'!$A:$E,5,0),"'沒有資料'")</f>
        <v>'沒有資料'</v>
      </c>
      <c r="U130" s="186">
        <f>IFERROR(VLOOKUP($G130,基本資料!$A:$J,9,0),"無")</f>
        <v>0</v>
      </c>
      <c r="V130" s="310">
        <f t="shared" si="28"/>
        <v>0</v>
      </c>
      <c r="W130" s="94">
        <f>IFERROR(VLOOKUP($G130,基本資料!$A:$J,10,0),"無")</f>
        <v>0.26</v>
      </c>
      <c r="X130" s="36">
        <f>RTD("money.excel",,"1506","Price")</f>
        <v>18.05</v>
      </c>
      <c r="Y130" s="66"/>
      <c r="Z130" s="15">
        <f t="shared" si="29"/>
        <v>18.05</v>
      </c>
      <c r="AA130" s="3" t="e">
        <f t="shared" si="30"/>
        <v>#DIV/0!</v>
      </c>
      <c r="AB130" s="344">
        <f>IFERROR(VLOOKUP($G130,基本資料!$A:$M,11,0),"無")</f>
        <v>-19.16</v>
      </c>
      <c r="AC130" s="397">
        <f>IFERROR(VLOOKUP($G130,基本資料!$A:$M,12,0),"無")</f>
        <v>55.81</v>
      </c>
      <c r="AD130" s="22" t="s">
        <v>554</v>
      </c>
      <c r="AG130" s="33">
        <f t="shared" si="31"/>
        <v>0</v>
      </c>
      <c r="AH130" s="43" t="s">
        <v>2734</v>
      </c>
      <c r="AI130" s="63">
        <f t="shared" si="32"/>
        <v>2.5759878419452887E-3</v>
      </c>
      <c r="AJ130" s="284">
        <f>RTD("money.excel",,$G130,"PredictVolume")</f>
        <v>678</v>
      </c>
      <c r="AK130" s="399">
        <f>IFERROR(VLOOKUP($G130,基本資料!$A:$M,13,0),"無")</f>
        <v>2.93</v>
      </c>
    </row>
    <row r="131" spans="1:37">
      <c r="A131" s="347" t="str">
        <f>IFERROR(VLOOKUP($G131,基本資料!$A:$J,3,0),"無")</f>
        <v>無</v>
      </c>
      <c r="B131" s="79" t="str">
        <f>IFERROR(VLOOKUP($G131,基本資料!$A:$J,4,0),"無")</f>
        <v>無</v>
      </c>
      <c r="C131" s="79" t="str">
        <f>IFERROR(VLOOKUP($G131,基本資料!$A:$J,5,0),"無")</f>
        <v>無</v>
      </c>
      <c r="D131" s="79" t="str">
        <f>IFERROR(VLOOKUP($G131,基本資料!$A:$J,6,0),"無")</f>
        <v>無</v>
      </c>
      <c r="E131" s="79" t="str">
        <f>IFERROR(VLOOKUP($G131,基本資料!$A:$J,7,0),"無")</f>
        <v>無</v>
      </c>
      <c r="F131" s="6" t="str">
        <f>IFERROR(VLOOKUP($G131,基本資料!$A:$J,8,0),"無")</f>
        <v>無</v>
      </c>
      <c r="G131" s="79">
        <v>1507</v>
      </c>
      <c r="H131" s="8" t="s">
        <v>295</v>
      </c>
      <c r="I131" s="22" t="s">
        <v>555</v>
      </c>
      <c r="J131" s="8" t="str">
        <f>IFERROR(VLOOKUP($G131,今日總結!$A:$AJ,35,0),"")</f>
        <v/>
      </c>
      <c r="K131" s="5" t="str">
        <f>IFERROR(VLOOKUP($G131,今日總結!$A:$AJ,36,0),"")</f>
        <v/>
      </c>
      <c r="L131" s="156" t="str">
        <f>IFERROR(VLOOKUP($G131,今日總結!$A:$AJ,33,0),"")</f>
        <v/>
      </c>
      <c r="M131" s="340" t="str">
        <f>IFERROR(VLOOKUP($G131,今日總結!$A:$AJ,34,0),"")</f>
        <v/>
      </c>
      <c r="N131" s="240" t="str">
        <f t="shared" si="33"/>
        <v/>
      </c>
      <c r="P131" s="365" t="str">
        <f>IFERROR(VLOOKUP($G131,融外自投!$A:$J,7,0),"無")</f>
        <v>無</v>
      </c>
      <c r="Q131" s="79" t="str">
        <f>IFERROR(VLOOKUP($G131,融外自投!$A:$J,9,0),"無")</f>
        <v>無</v>
      </c>
      <c r="R131" s="346" t="str">
        <f>IFERROR(VLOOKUP($G131,融外自投!$A:$J,8,0),"無")</f>
        <v>無</v>
      </c>
      <c r="S131" s="81" t="str">
        <f>IFERROR(VLOOKUP($G131,融外自投!$A:$J,10,0),"無")</f>
        <v>無</v>
      </c>
      <c r="T131" s="327" t="str">
        <f>IFERROR(VLOOKUP($G131,'321買'!$A:$E,5,0),"'沒有資料'")</f>
        <v>'沒有資料'</v>
      </c>
      <c r="U131" s="186" t="str">
        <f>IFERROR(VLOOKUP($G131,基本資料!$A:$J,9,0),"無")</f>
        <v>無</v>
      </c>
      <c r="V131" s="310" t="e">
        <f t="shared" si="28"/>
        <v>#VALUE!</v>
      </c>
      <c r="W131" s="94" t="str">
        <f>IFERROR(VLOOKUP($G131,基本資料!$A:$J,10,0),"無")</f>
        <v>無</v>
      </c>
      <c r="X131" s="36" t="str">
        <f>RTD("money.excel",,"1507","Price")</f>
        <v>商品錯誤</v>
      </c>
      <c r="Y131" s="66"/>
      <c r="Z131" s="15" t="e">
        <f t="shared" si="29"/>
        <v>#VALUE!</v>
      </c>
      <c r="AA131" s="3" t="e">
        <f t="shared" si="30"/>
        <v>#VALUE!</v>
      </c>
      <c r="AB131" s="344" t="str">
        <f>IFERROR(VLOOKUP($G131,基本資料!$A:$M,11,0),"無")</f>
        <v>無</v>
      </c>
      <c r="AC131" s="397" t="str">
        <f>IFERROR(VLOOKUP($G131,基本資料!$A:$M,12,0),"無")</f>
        <v>無</v>
      </c>
      <c r="AD131" s="22" t="s">
        <v>555</v>
      </c>
      <c r="AG131" s="33">
        <f t="shared" si="31"/>
        <v>0</v>
      </c>
      <c r="AH131" s="43" t="s">
        <v>2733</v>
      </c>
      <c r="AI131" s="63" t="e">
        <f t="shared" si="32"/>
        <v>#VALUE!</v>
      </c>
      <c r="AJ131" s="284" t="str">
        <f>RTD("money.excel",,$G131,"PredictVolume")</f>
        <v>商品錯誤</v>
      </c>
      <c r="AK131" s="399" t="str">
        <f>IFERROR(VLOOKUP($G131,基本資料!$A:$M,13,0),"無")</f>
        <v>無</v>
      </c>
    </row>
    <row r="132" spans="1:37">
      <c r="A132" s="347">
        <f>IFERROR(VLOOKUP($G132,基本資料!$A:$J,3,0),"無")</f>
        <v>47.61</v>
      </c>
      <c r="B132" s="79">
        <f>IFERROR(VLOOKUP($G132,基本資料!$A:$J,4,0),"無")</f>
        <v>27</v>
      </c>
      <c r="C132" s="79">
        <f>IFERROR(VLOOKUP($G132,基本資料!$A:$J,5,0),"無")</f>
        <v>55</v>
      </c>
      <c r="D132" s="79">
        <f>IFERROR(VLOOKUP($G132,基本資料!$A:$J,6,0),"無")</f>
        <v>37</v>
      </c>
      <c r="E132" s="79">
        <f>IFERROR(VLOOKUP($G132,基本資料!$A:$J,7,0),"無")</f>
        <v>-10</v>
      </c>
      <c r="F132" s="6">
        <f>IFERROR(VLOOKUP($G132,基本資料!$A:$J,8,0),"無")</f>
        <v>14.86</v>
      </c>
      <c r="G132" s="79">
        <v>1513</v>
      </c>
      <c r="H132" s="8" t="s">
        <v>295</v>
      </c>
      <c r="I132" s="22" t="s">
        <v>556</v>
      </c>
      <c r="J132" s="8">
        <f>IFERROR(VLOOKUP($G132,今日總結!$A:$AJ,35,0),"")</f>
        <v>0</v>
      </c>
      <c r="K132" s="5" t="str">
        <f>IFERROR(VLOOKUP($G132,今日總結!$A:$AJ,36,0),"")</f>
        <v>融</v>
      </c>
      <c r="L132" s="156">
        <f>IFERROR(VLOOKUP($G132,今日總結!$A:$AJ,33,0),"")</f>
        <v>0</v>
      </c>
      <c r="M132" s="340">
        <f>IFERROR(VLOOKUP($G132,今日總結!$A:$AJ,34,0),"")</f>
        <v>2</v>
      </c>
      <c r="N132" s="240">
        <f t="shared" si="33"/>
        <v>-2</v>
      </c>
      <c r="P132" s="365">
        <f>IFERROR(VLOOKUP($G132,融外自投!$A:$J,7,0),"無")</f>
        <v>214</v>
      </c>
      <c r="Q132" s="79">
        <f>IFERROR(VLOOKUP($G132,融外自投!$A:$J,9,0),"無")</f>
        <v>1110</v>
      </c>
      <c r="R132" s="346">
        <f>IFERROR(VLOOKUP($G132,融外自投!$A:$J,8,0),"無")</f>
        <v>486</v>
      </c>
      <c r="S132" s="81">
        <f>IFERROR(VLOOKUP($G132,融外自投!$A:$J,10,0),"無")</f>
        <v>101</v>
      </c>
      <c r="T132" s="327">
        <f>IFERROR(VLOOKUP($G132,'321買'!$A:$E,5,0),"'沒有資料'")</f>
        <v>318</v>
      </c>
      <c r="U132" s="186">
        <f>IFERROR(VLOOKUP($G132,基本資料!$A:$J,9,0),"無")</f>
        <v>2.8</v>
      </c>
      <c r="V132" s="310">
        <f t="shared" si="28"/>
        <v>5.8272632674297609E-2</v>
      </c>
      <c r="W132" s="94">
        <f>IFERROR(VLOOKUP($G132,基本資料!$A:$J,10,0),"無")</f>
        <v>4.1900000000000004</v>
      </c>
      <c r="X132" s="36">
        <f>RTD("money.excel",,"1513","Price")</f>
        <v>48.05</v>
      </c>
      <c r="Y132" s="66"/>
      <c r="Z132" s="15">
        <f t="shared" si="29"/>
        <v>48.05</v>
      </c>
      <c r="AA132" s="3" t="e">
        <f t="shared" si="30"/>
        <v>#DIV/0!</v>
      </c>
      <c r="AB132" s="344">
        <f>IFERROR(VLOOKUP($G132,基本資料!$A:$M,11,0),"無")</f>
        <v>-15.11</v>
      </c>
      <c r="AC132" s="397">
        <f>IFERROR(VLOOKUP($G132,基本資料!$A:$M,12,0),"無")</f>
        <v>58.91</v>
      </c>
      <c r="AD132" s="22" t="s">
        <v>556</v>
      </c>
      <c r="AG132" s="33">
        <f t="shared" si="31"/>
        <v>0</v>
      </c>
      <c r="AH132" s="43" t="s">
        <v>2333</v>
      </c>
      <c r="AI132" s="63">
        <f t="shared" si="32"/>
        <v>1.5385423230413779E-2</v>
      </c>
      <c r="AJ132" s="284">
        <f>RTD("money.excel",,$G132,"PredictVolume")</f>
        <v>7325</v>
      </c>
      <c r="AK132" s="399">
        <f>IFERROR(VLOOKUP($G132,基本資料!$A:$M,13,0),"無")</f>
        <v>13.78</v>
      </c>
    </row>
    <row r="133" spans="1:37">
      <c r="A133" s="347">
        <f>IFERROR(VLOOKUP($G133,基本資料!$A:$J,3,0),"無")</f>
        <v>22.83</v>
      </c>
      <c r="B133" s="79">
        <f>IFERROR(VLOOKUP($G133,基本資料!$A:$J,4,0),"無")</f>
        <v>15</v>
      </c>
      <c r="C133" s="79">
        <f>IFERROR(VLOOKUP($G133,基本資料!$A:$J,5,0),"無")</f>
        <v>7</v>
      </c>
      <c r="D133" s="79">
        <f>IFERROR(VLOOKUP($G133,基本資料!$A:$J,6,0),"無")</f>
        <v>1</v>
      </c>
      <c r="E133" s="79">
        <f>IFERROR(VLOOKUP($G133,基本資料!$A:$J,7,0),"無")</f>
        <v>55</v>
      </c>
      <c r="F133" s="6">
        <f>IFERROR(VLOOKUP($G133,基本資料!$A:$J,8,0),"無")</f>
        <v>6.62</v>
      </c>
      <c r="G133" s="79">
        <v>1514</v>
      </c>
      <c r="H133" s="8" t="s">
        <v>295</v>
      </c>
      <c r="I133" s="22" t="s">
        <v>557</v>
      </c>
      <c r="J133" s="8" t="str">
        <f>IFERROR(VLOOKUP($G133,今日總結!$A:$AJ,35,0),"")</f>
        <v>外</v>
      </c>
      <c r="K133" s="5" t="str">
        <f>IFERROR(VLOOKUP($G133,今日總結!$A:$AJ,36,0),"")</f>
        <v>融</v>
      </c>
      <c r="L133" s="156">
        <f>IFERROR(VLOOKUP($G133,今日總結!$A:$AJ,33,0),"")</f>
        <v>1</v>
      </c>
      <c r="M133" s="340">
        <f>IFERROR(VLOOKUP($G133,今日總結!$A:$AJ,34,0),"")</f>
        <v>1</v>
      </c>
      <c r="N133" s="240">
        <f t="shared" si="33"/>
        <v>0</v>
      </c>
      <c r="P133" s="365">
        <f>IFERROR(VLOOKUP($G133,融外自投!$A:$J,7,0),"無")</f>
        <v>679</v>
      </c>
      <c r="Q133" s="79">
        <f>IFERROR(VLOOKUP($G133,融外自投!$A:$J,9,0),"無")</f>
        <v>708</v>
      </c>
      <c r="R133" s="346">
        <f>IFERROR(VLOOKUP($G133,融外自投!$A:$J,8,0),"無")</f>
        <v>573</v>
      </c>
      <c r="S133" s="81">
        <f>IFERROR(VLOOKUP($G133,融外自投!$A:$J,10,0),"無")</f>
        <v>374</v>
      </c>
      <c r="T133" s="327">
        <f>IFERROR(VLOOKUP($G133,'321買'!$A:$E,5,0),"'沒有資料'")</f>
        <v>664</v>
      </c>
      <c r="U133" s="186">
        <f>IFERROR(VLOOKUP($G133,基本資料!$A:$J,9,0),"無")</f>
        <v>1.25</v>
      </c>
      <c r="V133" s="310">
        <f t="shared" si="28"/>
        <v>4.7892720306513405E-2</v>
      </c>
      <c r="W133" s="94">
        <f>IFERROR(VLOOKUP($G133,基本資料!$A:$J,10,0),"無")</f>
        <v>1.6</v>
      </c>
      <c r="X133" s="36">
        <f>RTD("money.excel",,"1514","Price")</f>
        <v>26.1</v>
      </c>
      <c r="Y133" s="66"/>
      <c r="Z133" s="15">
        <f t="shared" si="29"/>
        <v>26.1</v>
      </c>
      <c r="AA133" s="3" t="e">
        <f t="shared" si="30"/>
        <v>#DIV/0!</v>
      </c>
      <c r="AB133" s="344">
        <f>IFERROR(VLOOKUP($G133,基本資料!$A:$M,11,0),"無")</f>
        <v>-13.83</v>
      </c>
      <c r="AC133" s="397">
        <f>IFERROR(VLOOKUP($G133,基本資料!$A:$M,12,0),"無")</f>
        <v>41</v>
      </c>
      <c r="AD133" s="22" t="s">
        <v>557</v>
      </c>
      <c r="AG133" s="33">
        <f t="shared" si="31"/>
        <v>0</v>
      </c>
      <c r="AH133" s="43" t="s">
        <v>2735</v>
      </c>
      <c r="AI133" s="63">
        <f t="shared" si="32"/>
        <v>3.9728427507665356E-3</v>
      </c>
      <c r="AJ133" s="284">
        <f>RTD("money.excel",,$G133,"PredictVolume")</f>
        <v>907</v>
      </c>
      <c r="AK133" s="399">
        <f>IFERROR(VLOOKUP($G133,基本資料!$A:$M,13,0),"無")</f>
        <v>12.54</v>
      </c>
    </row>
    <row r="134" spans="1:37">
      <c r="A134" s="347">
        <f>IFERROR(VLOOKUP($G134,基本資料!$A:$J,3,0),"無")</f>
        <v>18.14</v>
      </c>
      <c r="B134" s="79">
        <f>IFERROR(VLOOKUP($G134,基本資料!$A:$J,4,0),"無")</f>
        <v>28</v>
      </c>
      <c r="C134" s="79">
        <f>IFERROR(VLOOKUP($G134,基本資料!$A:$J,5,0),"無")</f>
        <v>23</v>
      </c>
      <c r="D134" s="79">
        <f>IFERROR(VLOOKUP($G134,基本資料!$A:$J,6,0),"無")</f>
        <v>-8</v>
      </c>
      <c r="E134" s="79">
        <f>IFERROR(VLOOKUP($G134,基本資料!$A:$J,7,0),"無")</f>
        <v>-76</v>
      </c>
      <c r="F134" s="6">
        <f>IFERROR(VLOOKUP($G134,基本資料!$A:$J,8,0),"無")</f>
        <v>7.76</v>
      </c>
      <c r="G134" s="79">
        <v>1515</v>
      </c>
      <c r="H134" s="8" t="s">
        <v>295</v>
      </c>
      <c r="I134" s="22" t="s">
        <v>516</v>
      </c>
      <c r="J134" s="8" t="str">
        <f>IFERROR(VLOOKUP($G134,今日總結!$A:$AJ,35,0),"")</f>
        <v/>
      </c>
      <c r="K134" s="5" t="str">
        <f>IFERROR(VLOOKUP($G134,今日總結!$A:$AJ,36,0),"")</f>
        <v/>
      </c>
      <c r="L134" s="156" t="str">
        <f>IFERROR(VLOOKUP($G134,今日總結!$A:$AJ,33,0),"")</f>
        <v/>
      </c>
      <c r="M134" s="340" t="str">
        <f>IFERROR(VLOOKUP($G134,今日總結!$A:$AJ,34,0),"")</f>
        <v/>
      </c>
      <c r="N134" s="240" t="str">
        <f t="shared" si="33"/>
        <v/>
      </c>
      <c r="P134" s="365">
        <f>IFERROR(VLOOKUP($G134,融外自投!$A:$J,7,0),"無")</f>
        <v>489</v>
      </c>
      <c r="Q134" s="79">
        <f>IFERROR(VLOOKUP($G134,融外自投!$A:$J,9,0),"無")</f>
        <v>337</v>
      </c>
      <c r="R134" s="346">
        <f>IFERROR(VLOOKUP($G134,融外自投!$A:$J,8,0),"無")</f>
        <v>509</v>
      </c>
      <c r="S134" s="81">
        <f>IFERROR(VLOOKUP($G134,融外自投!$A:$J,10,0),"無")</f>
        <v>491</v>
      </c>
      <c r="T134" s="327">
        <f>IFERROR(VLOOKUP($G134,'321買'!$A:$E,5,0),"'沒有資料'")</f>
        <v>852</v>
      </c>
      <c r="U134" s="186">
        <f>IFERROR(VLOOKUP($G134,基本資料!$A:$J,9,0),"無")</f>
        <v>3</v>
      </c>
      <c r="V134" s="310">
        <f t="shared" si="28"/>
        <v>8.0428954423592505E-2</v>
      </c>
      <c r="W134" s="94">
        <f>IFERROR(VLOOKUP($G134,基本資料!$A:$J,10,0),"無")</f>
        <v>5.8</v>
      </c>
      <c r="X134" s="36">
        <f>RTD("money.excel",,"1515","Price")</f>
        <v>37.299999999999997</v>
      </c>
      <c r="Y134" s="66"/>
      <c r="Z134" s="15">
        <f t="shared" si="29"/>
        <v>37.299999999999997</v>
      </c>
      <c r="AA134" s="3" t="e">
        <f t="shared" si="30"/>
        <v>#DIV/0!</v>
      </c>
      <c r="AB134" s="344">
        <f>IFERROR(VLOOKUP($G134,基本資料!$A:$M,11,0),"無")</f>
        <v>-56.96</v>
      </c>
      <c r="AC134" s="397">
        <f>IFERROR(VLOOKUP($G134,基本資料!$A:$M,12,0),"無")</f>
        <v>13.65</v>
      </c>
      <c r="AD134" s="22" t="s">
        <v>516</v>
      </c>
      <c r="AG134" s="33">
        <f t="shared" si="31"/>
        <v>0</v>
      </c>
      <c r="AH134" s="43" t="s">
        <v>1975</v>
      </c>
      <c r="AI134" s="63">
        <f t="shared" si="32"/>
        <v>3.2855567805953694E-3</v>
      </c>
      <c r="AJ134" s="284">
        <f>RTD("money.excel",,$G134,"PredictVolume")</f>
        <v>596</v>
      </c>
      <c r="AK134" s="399">
        <f>IFERROR(VLOOKUP($G134,基本資料!$A:$M,13,0),"無")</f>
        <v>7.7</v>
      </c>
    </row>
    <row r="135" spans="1:37">
      <c r="A135" s="347">
        <f>IFERROR(VLOOKUP($G135,基本資料!$A:$J,3,0),"無")</f>
        <v>22.56</v>
      </c>
      <c r="B135" s="79">
        <f>IFERROR(VLOOKUP($G135,基本資料!$A:$J,4,0),"無")</f>
        <v>144</v>
      </c>
      <c r="C135" s="79">
        <f>IFERROR(VLOOKUP($G135,基本資料!$A:$J,5,0),"無")</f>
        <v>232</v>
      </c>
      <c r="D135" s="79">
        <f>IFERROR(VLOOKUP($G135,基本資料!$A:$J,6,0),"無")</f>
        <v>70</v>
      </c>
      <c r="E135" s="79">
        <f>IFERROR(VLOOKUP($G135,基本資料!$A:$J,7,0),"無")</f>
        <v>26</v>
      </c>
      <c r="F135" s="6">
        <f>IFERROR(VLOOKUP($G135,基本資料!$A:$J,8,0),"無")</f>
        <v>9.33</v>
      </c>
      <c r="G135" s="79">
        <v>1517</v>
      </c>
      <c r="H135" s="8" t="s">
        <v>295</v>
      </c>
      <c r="I135" s="22" t="s">
        <v>558</v>
      </c>
      <c r="J135" s="8" t="str">
        <f>IFERROR(VLOOKUP($G135,今日總結!$A:$AJ,35,0),"")</f>
        <v/>
      </c>
      <c r="K135" s="5" t="str">
        <f>IFERROR(VLOOKUP($G135,今日總結!$A:$AJ,36,0),"")</f>
        <v/>
      </c>
      <c r="L135" s="156" t="str">
        <f>IFERROR(VLOOKUP($G135,今日總結!$A:$AJ,33,0),"")</f>
        <v/>
      </c>
      <c r="M135" s="340" t="str">
        <f>IFERROR(VLOOKUP($G135,今日總結!$A:$AJ,34,0),"")</f>
        <v/>
      </c>
      <c r="N135" s="240" t="str">
        <f t="shared" si="33"/>
        <v/>
      </c>
      <c r="P135" s="365">
        <f>IFERROR(VLOOKUP($G135,融外自投!$A:$J,7,0),"無")</f>
        <v>694</v>
      </c>
      <c r="Q135" s="79">
        <f>IFERROR(VLOOKUP($G135,融外自投!$A:$J,9,0),"無")</f>
        <v>350</v>
      </c>
      <c r="R135" s="346">
        <f>IFERROR(VLOOKUP($G135,融外自投!$A:$J,8,0),"無")</f>
        <v>1000</v>
      </c>
      <c r="S135" s="81" t="str">
        <f>IFERROR(VLOOKUP($G135,融外自投!$A:$J,10,0),"無")</f>
        <v>無</v>
      </c>
      <c r="T135" s="327">
        <f>IFERROR(VLOOKUP($G135,'321買'!$A:$E,5,0),"'沒有資料'")</f>
        <v>984</v>
      </c>
      <c r="U135" s="186">
        <f>IFERROR(VLOOKUP($G135,基本資料!$A:$J,9,0),"無")</f>
        <v>0.8</v>
      </c>
      <c r="V135" s="310">
        <f t="shared" si="28"/>
        <v>3.9900249376558602E-2</v>
      </c>
      <c r="W135" s="94">
        <f>IFERROR(VLOOKUP($G135,基本資料!$A:$J,10,0),"無")</f>
        <v>2</v>
      </c>
      <c r="X135" s="36">
        <f>RTD("money.excel",,"1517","Price")</f>
        <v>20.05</v>
      </c>
      <c r="Y135" s="66"/>
      <c r="Z135" s="15">
        <f t="shared" si="29"/>
        <v>20.05</v>
      </c>
      <c r="AA135" s="3" t="e">
        <f t="shared" si="30"/>
        <v>#DIV/0!</v>
      </c>
      <c r="AB135" s="344">
        <f>IFERROR(VLOOKUP($G135,基本資料!$A:$M,11,0),"無")</f>
        <v>-37.94</v>
      </c>
      <c r="AC135" s="397">
        <f>IFERROR(VLOOKUP($G135,基本資料!$A:$M,12,0),"無")</f>
        <v>13.34</v>
      </c>
      <c r="AD135" s="22" t="s">
        <v>558</v>
      </c>
      <c r="AG135" s="33">
        <f t="shared" si="31"/>
        <v>0</v>
      </c>
      <c r="AH135" s="43" t="s">
        <v>2736</v>
      </c>
      <c r="AI135" s="63">
        <f t="shared" si="32"/>
        <v>2.0035460992907802E-3</v>
      </c>
      <c r="AJ135" s="284">
        <f>RTD("money.excel",,$G135,"PredictVolume")</f>
        <v>452</v>
      </c>
      <c r="AK135" s="399">
        <f>IFERROR(VLOOKUP($G135,基本資料!$A:$M,13,0),"無")</f>
        <v>14.49</v>
      </c>
    </row>
    <row r="136" spans="1:37">
      <c r="A136" s="347">
        <f>IFERROR(VLOOKUP($G136,基本資料!$A:$J,3,0),"無")</f>
        <v>26.1</v>
      </c>
      <c r="B136" s="79">
        <f>IFERROR(VLOOKUP($G136,基本資料!$A:$J,4,0),"無")</f>
        <v>-37</v>
      </c>
      <c r="C136" s="79">
        <f>IFERROR(VLOOKUP($G136,基本資料!$A:$J,5,0),"無")</f>
        <v>-17</v>
      </c>
      <c r="D136" s="79">
        <f>IFERROR(VLOOKUP($G136,基本資料!$A:$J,6,0),"無")</f>
        <v>8</v>
      </c>
      <c r="E136" s="79">
        <f>IFERROR(VLOOKUP($G136,基本資料!$A:$J,7,0),"無")</f>
        <v>-19</v>
      </c>
      <c r="F136" s="6">
        <f>IFERROR(VLOOKUP($G136,基本資料!$A:$J,8,0),"無")</f>
        <v>4.3499999999999996</v>
      </c>
      <c r="G136" s="79">
        <v>1519</v>
      </c>
      <c r="H136" s="8" t="s">
        <v>295</v>
      </c>
      <c r="I136" s="22" t="s">
        <v>559</v>
      </c>
      <c r="J136" s="8">
        <f>IFERROR(VLOOKUP($G136,今日總結!$A:$AJ,35,0),"")</f>
        <v>0</v>
      </c>
      <c r="K136" s="5" t="str">
        <f>IFERROR(VLOOKUP($G136,今日總結!$A:$AJ,36,0),"")</f>
        <v>自借</v>
      </c>
      <c r="L136" s="156">
        <f>IFERROR(VLOOKUP($G136,今日總結!$A:$AJ,33,0),"")</f>
        <v>0</v>
      </c>
      <c r="M136" s="340">
        <f>IFERROR(VLOOKUP($G136,今日總結!$A:$AJ,34,0),"")</f>
        <v>2</v>
      </c>
      <c r="N136" s="240">
        <f t="shared" si="33"/>
        <v>-2</v>
      </c>
      <c r="P136" s="365">
        <f>IFERROR(VLOOKUP($G136,融外自投!$A:$J,7,0),"無")</f>
        <v>756</v>
      </c>
      <c r="Q136" s="79">
        <f>IFERROR(VLOOKUP($G136,融外自投!$A:$J,9,0),"無")</f>
        <v>896</v>
      </c>
      <c r="R136" s="346">
        <f>IFERROR(VLOOKUP($G136,融外自投!$A:$J,8,0),"無")</f>
        <v>630</v>
      </c>
      <c r="S136" s="81">
        <f>IFERROR(VLOOKUP($G136,融外自投!$A:$J,10,0),"無")</f>
        <v>305</v>
      </c>
      <c r="T136" s="327">
        <f>IFERROR(VLOOKUP($G136,'321買'!$A:$E,5,0),"'沒有資料'")</f>
        <v>752</v>
      </c>
      <c r="U136" s="186">
        <f>IFERROR(VLOOKUP($G136,基本資料!$A:$J,9,0),"無")</f>
        <v>1</v>
      </c>
      <c r="V136" s="310">
        <f t="shared" si="28"/>
        <v>2.8735632183908049E-2</v>
      </c>
      <c r="W136" s="94">
        <f>IFERROR(VLOOKUP($G136,基本資料!$A:$J,10,0),"無")</f>
        <v>1.1100000000000001</v>
      </c>
      <c r="X136" s="36">
        <f>RTD("money.excel",,"1519","Price")</f>
        <v>34.799999999999997</v>
      </c>
      <c r="Y136" s="66"/>
      <c r="Z136" s="15">
        <f t="shared" si="29"/>
        <v>34.799999999999997</v>
      </c>
      <c r="AA136" s="3" t="e">
        <f t="shared" si="30"/>
        <v>#DIV/0!</v>
      </c>
      <c r="AB136" s="344">
        <f>IFERROR(VLOOKUP($G136,基本資料!$A:$M,11,0),"無")</f>
        <v>-26.93</v>
      </c>
      <c r="AC136" s="397">
        <f>IFERROR(VLOOKUP($G136,基本資料!$A:$M,12,0),"無")</f>
        <v>26.23</v>
      </c>
      <c r="AD136" s="22" t="s">
        <v>559</v>
      </c>
      <c r="AG136" s="33">
        <f t="shared" si="31"/>
        <v>0</v>
      </c>
      <c r="AH136" s="43" t="s">
        <v>1976</v>
      </c>
      <c r="AI136" s="63">
        <f t="shared" si="32"/>
        <v>1.9042145593869732E-3</v>
      </c>
      <c r="AJ136" s="284">
        <f>RTD("money.excel",,$G136,"PredictVolume")</f>
        <v>497</v>
      </c>
      <c r="AK136" s="399">
        <f>IFERROR(VLOOKUP($G136,基本資料!$A:$M,13,0),"無")</f>
        <v>7.78</v>
      </c>
    </row>
    <row r="137" spans="1:37">
      <c r="A137" s="347">
        <f>IFERROR(VLOOKUP($G137,基本資料!$A:$J,3,0),"無")</f>
        <v>6</v>
      </c>
      <c r="B137" s="79">
        <f>IFERROR(VLOOKUP($G137,基本資料!$A:$J,4,0),"無")</f>
        <v>47</v>
      </c>
      <c r="C137" s="79">
        <f>IFERROR(VLOOKUP($G137,基本資料!$A:$J,5,0),"無")</f>
        <v>156</v>
      </c>
      <c r="D137" s="79">
        <f>IFERROR(VLOOKUP($G137,基本資料!$A:$J,6,0),"無")</f>
        <v>-8</v>
      </c>
      <c r="E137" s="79">
        <f>IFERROR(VLOOKUP($G137,基本資料!$A:$J,7,0),"無")</f>
        <v>24</v>
      </c>
      <c r="F137" s="6">
        <f>IFERROR(VLOOKUP($G137,基本資料!$A:$J,8,0),"無")</f>
        <v>18</v>
      </c>
      <c r="G137" s="79">
        <v>1526</v>
      </c>
      <c r="H137" s="8" t="s">
        <v>295</v>
      </c>
      <c r="I137" s="22" t="s">
        <v>560</v>
      </c>
      <c r="J137" s="8" t="str">
        <f>IFERROR(VLOOKUP($G137,今日總結!$A:$AJ,35,0),"")</f>
        <v>融</v>
      </c>
      <c r="K137" s="5">
        <f>IFERROR(VLOOKUP($G137,今日總結!$A:$AJ,36,0),"")</f>
        <v>0</v>
      </c>
      <c r="L137" s="156">
        <f>IFERROR(VLOOKUP($G137,今日總結!$A:$AJ,33,0),"")</f>
        <v>1</v>
      </c>
      <c r="M137" s="340">
        <f>IFERROR(VLOOKUP($G137,今日總結!$A:$AJ,34,0),"")</f>
        <v>0</v>
      </c>
      <c r="N137" s="240">
        <f t="shared" si="33"/>
        <v>1</v>
      </c>
      <c r="P137" s="365">
        <f>IFERROR(VLOOKUP($G137,融外自投!$A:$J,7,0),"無")</f>
        <v>139</v>
      </c>
      <c r="Q137" s="79">
        <f>IFERROR(VLOOKUP($G137,融外自投!$A:$J,9,0),"無")</f>
        <v>734</v>
      </c>
      <c r="R137" s="346">
        <f>IFERROR(VLOOKUP($G137,融外自投!$A:$J,8,0),"無")</f>
        <v>871</v>
      </c>
      <c r="S137" s="81" t="str">
        <f>IFERROR(VLOOKUP($G137,融外自投!$A:$J,10,0),"無")</f>
        <v>無</v>
      </c>
      <c r="T137" s="327">
        <f>IFERROR(VLOOKUP($G137,'321買'!$A:$E,5,0),"'沒有資料'")</f>
        <v>752</v>
      </c>
      <c r="U137" s="186">
        <f>IFERROR(VLOOKUP($G137,基本資料!$A:$J,9,0),"無")</f>
        <v>2.6</v>
      </c>
      <c r="V137" s="310">
        <f t="shared" si="28"/>
        <v>5.5974165769644778E-2</v>
      </c>
      <c r="W137" s="94">
        <f>IFERROR(VLOOKUP($G137,基本資料!$A:$J,10,0),"無")</f>
        <v>4.38</v>
      </c>
      <c r="X137" s="36">
        <f>RTD("money.excel",,"1526","Price")</f>
        <v>46.45</v>
      </c>
      <c r="Y137" s="66"/>
      <c r="Z137" s="15">
        <f t="shared" si="29"/>
        <v>46.45</v>
      </c>
      <c r="AA137" s="3" t="e">
        <f t="shared" si="30"/>
        <v>#DIV/0!</v>
      </c>
      <c r="AB137" s="344">
        <f>IFERROR(VLOOKUP($G137,基本資料!$A:$M,11,0),"無")</f>
        <v>-26.9</v>
      </c>
      <c r="AC137" s="397">
        <f>IFERROR(VLOOKUP($G137,基本資料!$A:$M,12,0),"無")</f>
        <v>41.08</v>
      </c>
      <c r="AD137" s="22" t="s">
        <v>560</v>
      </c>
      <c r="AG137" s="33">
        <f t="shared" si="31"/>
        <v>0</v>
      </c>
      <c r="AH137" s="43" t="s">
        <v>2737</v>
      </c>
      <c r="AI137" s="63">
        <f t="shared" si="32"/>
        <v>9.5E-4</v>
      </c>
      <c r="AJ137" s="284">
        <f>RTD("money.excel",,$G137,"PredictVolume")</f>
        <v>57</v>
      </c>
      <c r="AK137" s="399">
        <f>IFERROR(VLOOKUP($G137,基本資料!$A:$M,13,0),"無")</f>
        <v>17.11</v>
      </c>
    </row>
    <row r="138" spans="1:37">
      <c r="A138" s="347">
        <f>IFERROR(VLOOKUP($G138,基本資料!$A:$J,3,0),"無")</f>
        <v>13.85</v>
      </c>
      <c r="B138" s="79">
        <f>IFERROR(VLOOKUP($G138,基本資料!$A:$J,4,0),"無")</f>
        <v>14</v>
      </c>
      <c r="C138" s="79">
        <f>IFERROR(VLOOKUP($G138,基本資料!$A:$J,5,0),"無")</f>
        <v>8</v>
      </c>
      <c r="D138" s="79">
        <f>IFERROR(VLOOKUP($G138,基本資料!$A:$J,6,0),"無")</f>
        <v>80</v>
      </c>
      <c r="E138" s="79">
        <f>IFERROR(VLOOKUP($G138,基本資料!$A:$J,7,0),"無")</f>
        <v>9</v>
      </c>
      <c r="F138" s="6">
        <f>IFERROR(VLOOKUP($G138,基本資料!$A:$J,8,0),"無")</f>
        <v>13.36</v>
      </c>
      <c r="G138" s="79">
        <v>1527</v>
      </c>
      <c r="H138" s="8" t="s">
        <v>295</v>
      </c>
      <c r="I138" s="22" t="s">
        <v>561</v>
      </c>
      <c r="J138" s="8" t="str">
        <f>IFERROR(VLOOKUP($G138,今日總結!$A:$AJ,35,0),"")</f>
        <v/>
      </c>
      <c r="K138" s="5" t="str">
        <f>IFERROR(VLOOKUP($G138,今日總結!$A:$AJ,36,0),"")</f>
        <v/>
      </c>
      <c r="L138" s="156" t="str">
        <f>IFERROR(VLOOKUP($G138,今日總結!$A:$AJ,33,0),"")</f>
        <v/>
      </c>
      <c r="M138" s="340" t="str">
        <f>IFERROR(VLOOKUP($G138,今日總結!$A:$AJ,34,0),"")</f>
        <v/>
      </c>
      <c r="N138" s="240" t="str">
        <f t="shared" si="33"/>
        <v/>
      </c>
      <c r="P138" s="365">
        <f>IFERROR(VLOOKUP($G138,融外自投!$A:$J,7,0),"無")</f>
        <v>794</v>
      </c>
      <c r="Q138" s="79">
        <f>IFERROR(VLOOKUP($G138,融外自投!$A:$J,9,0),"無")</f>
        <v>266</v>
      </c>
      <c r="R138" s="346">
        <f>IFERROR(VLOOKUP($G138,融外自投!$A:$J,8,0),"無")</f>
        <v>581</v>
      </c>
      <c r="S138" s="81" t="str">
        <f>IFERROR(VLOOKUP($G138,融外自投!$A:$J,10,0),"無")</f>
        <v>無</v>
      </c>
      <c r="T138" s="327">
        <f>IFERROR(VLOOKUP($G138,'321買'!$A:$E,5,0),"'沒有資料'")</f>
        <v>964</v>
      </c>
      <c r="U138" s="186">
        <f>IFERROR(VLOOKUP($G138,基本資料!$A:$J,9,0),"無")</f>
        <v>2.4</v>
      </c>
      <c r="V138" s="310">
        <f t="shared" si="28"/>
        <v>5.6140350877192984E-2</v>
      </c>
      <c r="W138" s="94">
        <f>IFERROR(VLOOKUP($G138,基本資料!$A:$J,10,0),"無")</f>
        <v>3.37</v>
      </c>
      <c r="X138" s="36">
        <f>RTD("money.excel",,"1527","Price")</f>
        <v>42.75</v>
      </c>
      <c r="Y138" s="66"/>
      <c r="Z138" s="15">
        <f t="shared" si="29"/>
        <v>42.75</v>
      </c>
      <c r="AA138" s="3" t="e">
        <f t="shared" si="30"/>
        <v>#DIV/0!</v>
      </c>
      <c r="AB138" s="344">
        <f>IFERROR(VLOOKUP($G138,基本資料!$A:$M,11,0),"無")</f>
        <v>-21.79</v>
      </c>
      <c r="AC138" s="397">
        <f>IFERROR(VLOOKUP($G138,基本資料!$A:$M,12,0),"無")</f>
        <v>56.73</v>
      </c>
      <c r="AD138" s="22" t="s">
        <v>561</v>
      </c>
      <c r="AG138" s="33">
        <f t="shared" si="31"/>
        <v>0</v>
      </c>
      <c r="AH138" s="43" t="s">
        <v>2536</v>
      </c>
      <c r="AI138" s="63">
        <f t="shared" si="32"/>
        <v>2.2310469314079421E-3</v>
      </c>
      <c r="AJ138" s="284">
        <f>RTD("money.excel",,$G138,"PredictVolume")</f>
        <v>309</v>
      </c>
      <c r="AK138" s="399">
        <f>IFERROR(VLOOKUP($G138,基本資料!$A:$M,13,0),"無")</f>
        <v>10.47</v>
      </c>
    </row>
    <row r="139" spans="1:37">
      <c r="A139" s="347">
        <f>IFERROR(VLOOKUP($G139,基本資料!$A:$J,3,0),"無")</f>
        <v>19.93</v>
      </c>
      <c r="B139" s="79">
        <f>IFERROR(VLOOKUP($G139,基本資料!$A:$J,4,0),"無")</f>
        <v>285</v>
      </c>
      <c r="C139" s="79">
        <f>IFERROR(VLOOKUP($G139,基本資料!$A:$J,5,0),"無")</f>
        <v>153</v>
      </c>
      <c r="D139" s="79">
        <f>IFERROR(VLOOKUP($G139,基本資料!$A:$J,6,0),"無")</f>
        <v>81</v>
      </c>
      <c r="E139" s="79">
        <f>IFERROR(VLOOKUP($G139,基本資料!$A:$J,7,0),"無")</f>
        <v>5</v>
      </c>
      <c r="F139" s="6">
        <f>IFERROR(VLOOKUP($G139,基本資料!$A:$J,8,0),"無")</f>
        <v>1.98</v>
      </c>
      <c r="G139" s="79">
        <v>1528</v>
      </c>
      <c r="H139" s="8" t="s">
        <v>295</v>
      </c>
      <c r="I139" s="22" t="s">
        <v>562</v>
      </c>
      <c r="J139" s="8">
        <f>IFERROR(VLOOKUP($G139,今日總結!$A:$AJ,35,0),"")</f>
        <v>0</v>
      </c>
      <c r="K139" s="5">
        <f>IFERROR(VLOOKUP($G139,今日總結!$A:$AJ,36,0),"")</f>
        <v>0</v>
      </c>
      <c r="L139" s="156">
        <f>IFERROR(VLOOKUP($G139,今日總結!$A:$AJ,33,0),"")</f>
        <v>0</v>
      </c>
      <c r="M139" s="340">
        <f>IFERROR(VLOOKUP($G139,今日總結!$A:$AJ,34,0),"")</f>
        <v>1</v>
      </c>
      <c r="N139" s="240">
        <f t="shared" si="33"/>
        <v>-1</v>
      </c>
      <c r="P139" s="365">
        <f>IFERROR(VLOOKUP($G139,融外自投!$A:$J,7,0),"無")</f>
        <v>663</v>
      </c>
      <c r="Q139" s="79">
        <f>IFERROR(VLOOKUP($G139,融外自投!$A:$J,9,0),"無")</f>
        <v>1051</v>
      </c>
      <c r="R139" s="346">
        <f>IFERROR(VLOOKUP($G139,融外自投!$A:$J,8,0),"無")</f>
        <v>1120</v>
      </c>
      <c r="S139" s="81" t="str">
        <f>IFERROR(VLOOKUP($G139,融外自投!$A:$J,10,0),"無")</f>
        <v>無</v>
      </c>
      <c r="T139" s="327">
        <f>IFERROR(VLOOKUP($G139,'321買'!$A:$E,5,0),"'沒有資料'")</f>
        <v>623</v>
      </c>
      <c r="U139" s="186">
        <f>IFERROR(VLOOKUP($G139,基本資料!$A:$J,9,0),"無")</f>
        <v>0.1</v>
      </c>
      <c r="V139" s="310">
        <f t="shared" si="28"/>
        <v>1.0976948408342482E-2</v>
      </c>
      <c r="W139" s="94">
        <f>IFERROR(VLOOKUP($G139,基本資料!$A:$J,10,0),"無")</f>
        <v>1.1399999999999999</v>
      </c>
      <c r="X139" s="36">
        <f>RTD("money.excel",,"1528","Price")</f>
        <v>9.11</v>
      </c>
      <c r="Y139" s="66"/>
      <c r="Z139" s="15">
        <f t="shared" si="29"/>
        <v>9.11</v>
      </c>
      <c r="AA139" s="3" t="e">
        <f t="shared" si="30"/>
        <v>#DIV/0!</v>
      </c>
      <c r="AB139" s="344">
        <f>IFERROR(VLOOKUP($G139,基本資料!$A:$M,11,0),"無")</f>
        <v>-30.31</v>
      </c>
      <c r="AC139" s="397">
        <f>IFERROR(VLOOKUP($G139,基本資料!$A:$M,12,0),"無")</f>
        <v>9.57</v>
      </c>
      <c r="AD139" s="22" t="s">
        <v>562</v>
      </c>
      <c r="AG139" s="33">
        <f t="shared" si="31"/>
        <v>0</v>
      </c>
      <c r="AH139" s="43" t="s">
        <v>2318</v>
      </c>
      <c r="AI139" s="63">
        <f t="shared" si="32"/>
        <v>7.2754641244355243E-4</v>
      </c>
      <c r="AJ139" s="284">
        <f>RTD("money.excel",,$G139,"PredictVolume")</f>
        <v>145</v>
      </c>
      <c r="AK139" s="399">
        <f>IFERROR(VLOOKUP($G139,基本資料!$A:$M,13,0),"無")</f>
        <v>10.1</v>
      </c>
    </row>
    <row r="140" spans="1:37">
      <c r="A140" s="347">
        <f>IFERROR(VLOOKUP($G140,基本資料!$A:$J,3,0),"無")</f>
        <v>13.59</v>
      </c>
      <c r="B140" s="79">
        <f>IFERROR(VLOOKUP($G140,基本資料!$A:$J,4,0),"無")</f>
        <v>81</v>
      </c>
      <c r="C140" s="79">
        <f>IFERROR(VLOOKUP($G140,基本資料!$A:$J,5,0),"無")</f>
        <v>65</v>
      </c>
      <c r="D140" s="79">
        <f>IFERROR(VLOOKUP($G140,基本資料!$A:$J,6,0),"無")</f>
        <v>421</v>
      </c>
      <c r="E140" s="79">
        <f>IFERROR(VLOOKUP($G140,基本資料!$A:$J,7,0),"無")</f>
        <v>270</v>
      </c>
      <c r="F140" s="6">
        <f>IFERROR(VLOOKUP($G140,基本資料!$A:$J,8,0),"無")</f>
        <v>32.799999999999997</v>
      </c>
      <c r="G140" s="79">
        <v>1529</v>
      </c>
      <c r="H140" s="8" t="s">
        <v>295</v>
      </c>
      <c r="I140" s="22" t="s">
        <v>563</v>
      </c>
      <c r="J140" s="8">
        <f>IFERROR(VLOOKUP($G140,今日總結!$A:$AJ,35,0),"")</f>
        <v>0</v>
      </c>
      <c r="K140" s="5" t="str">
        <f>IFERROR(VLOOKUP($G140,今日總結!$A:$AJ,36,0),"")</f>
        <v>融</v>
      </c>
      <c r="L140" s="156">
        <f>IFERROR(VLOOKUP($G140,今日總結!$A:$AJ,33,0),"")</f>
        <v>0</v>
      </c>
      <c r="M140" s="340">
        <f>IFERROR(VLOOKUP($G140,今日總結!$A:$AJ,34,0),"")</f>
        <v>1</v>
      </c>
      <c r="N140" s="240">
        <f t="shared" si="33"/>
        <v>-1</v>
      </c>
      <c r="P140" s="365">
        <f>IFERROR(VLOOKUP($G140,融外自投!$A:$J,7,0),"無")</f>
        <v>43</v>
      </c>
      <c r="Q140" s="79">
        <f>IFERROR(VLOOKUP($G140,融外自投!$A:$J,9,0),"無")</f>
        <v>6</v>
      </c>
      <c r="R140" s="346">
        <f>IFERROR(VLOOKUP($G140,融外自投!$A:$J,8,0),"無")</f>
        <v>1338</v>
      </c>
      <c r="S140" s="81" t="str">
        <f>IFERROR(VLOOKUP($G140,融外自投!$A:$J,10,0),"無")</f>
        <v>無</v>
      </c>
      <c r="T140" s="327">
        <f>IFERROR(VLOOKUP($G140,'321買'!$A:$E,5,0),"'沒有資料'")</f>
        <v>271</v>
      </c>
      <c r="U140" s="186">
        <f>IFERROR(VLOOKUP($G140,基本資料!$A:$J,9,0),"無")</f>
        <v>0.9</v>
      </c>
      <c r="V140" s="310">
        <f t="shared" si="28"/>
        <v>4.6997389033942565E-2</v>
      </c>
      <c r="W140" s="94">
        <f>IFERROR(VLOOKUP($G140,基本資料!$A:$J,10,0),"無")</f>
        <v>1.03</v>
      </c>
      <c r="X140" s="36">
        <f>RTD("money.excel",,"1529","Price")</f>
        <v>19.149999999999999</v>
      </c>
      <c r="Y140" s="66"/>
      <c r="Z140" s="15">
        <f t="shared" si="29"/>
        <v>19.149999999999999</v>
      </c>
      <c r="AA140" s="3" t="e">
        <f t="shared" si="30"/>
        <v>#DIV/0!</v>
      </c>
      <c r="AB140" s="344">
        <f>IFERROR(VLOOKUP($G140,基本資料!$A:$M,11,0),"無")</f>
        <v>-45.92</v>
      </c>
      <c r="AC140" s="397">
        <f>IFERROR(VLOOKUP($G140,基本資料!$A:$M,12,0),"無")</f>
        <v>7.15</v>
      </c>
      <c r="AD140" s="22" t="s">
        <v>563</v>
      </c>
      <c r="AG140" s="33">
        <f t="shared" si="31"/>
        <v>0</v>
      </c>
      <c r="AH140" s="43" t="s">
        <v>2735</v>
      </c>
      <c r="AI140" s="63">
        <f t="shared" si="32"/>
        <v>5.9970566593083151E-3</v>
      </c>
      <c r="AJ140" s="284">
        <f>RTD("money.excel",,$G140,"PredictVolume")</f>
        <v>815</v>
      </c>
      <c r="AK140" s="399">
        <f>IFERROR(VLOOKUP($G140,基本資料!$A:$M,13,0),"無")</f>
        <v>29.89</v>
      </c>
    </row>
    <row r="141" spans="1:37">
      <c r="A141" s="347">
        <f>IFERROR(VLOOKUP($G141,基本資料!$A:$J,3,0),"無")</f>
        <v>9.65</v>
      </c>
      <c r="B141" s="79">
        <f>IFERROR(VLOOKUP($G141,基本資料!$A:$J,4,0),"無")</f>
        <v>-79</v>
      </c>
      <c r="C141" s="79">
        <f>IFERROR(VLOOKUP($G141,基本資料!$A:$J,5,0),"無")</f>
        <v>601</v>
      </c>
      <c r="D141" s="79">
        <f>IFERROR(VLOOKUP($G141,基本資料!$A:$J,6,0),"無")</f>
        <v>-6</v>
      </c>
      <c r="E141" s="79">
        <f>IFERROR(VLOOKUP($G141,基本資料!$A:$J,7,0),"無")</f>
        <v>-57</v>
      </c>
      <c r="F141" s="6">
        <f>IFERROR(VLOOKUP($G141,基本資料!$A:$J,8,0),"無")</f>
        <v>7.33</v>
      </c>
      <c r="G141" s="79">
        <v>1530</v>
      </c>
      <c r="H141" s="8" t="s">
        <v>295</v>
      </c>
      <c r="I141" s="22" t="s">
        <v>564</v>
      </c>
      <c r="J141" s="8" t="str">
        <f>IFERROR(VLOOKUP($G141,今日總結!$A:$AJ,35,0),"")</f>
        <v/>
      </c>
      <c r="K141" s="5" t="str">
        <f>IFERROR(VLOOKUP($G141,今日總結!$A:$AJ,36,0),"")</f>
        <v/>
      </c>
      <c r="L141" s="156" t="str">
        <f>IFERROR(VLOOKUP($G141,今日總結!$A:$AJ,33,0),"")</f>
        <v/>
      </c>
      <c r="M141" s="340" t="str">
        <f>IFERROR(VLOOKUP($G141,今日總結!$A:$AJ,34,0),"")</f>
        <v/>
      </c>
      <c r="N141" s="240" t="str">
        <f t="shared" si="33"/>
        <v/>
      </c>
      <c r="P141" s="365">
        <f>IFERROR(VLOOKUP($G141,融外自投!$A:$J,7,0),"無")</f>
        <v>1228</v>
      </c>
      <c r="Q141" s="79">
        <f>IFERROR(VLOOKUP($G141,融外自投!$A:$J,9,0),"無")</f>
        <v>824</v>
      </c>
      <c r="R141" s="346">
        <f>IFERROR(VLOOKUP($G141,融外自投!$A:$J,8,0),"無")</f>
        <v>1276</v>
      </c>
      <c r="S141" s="81" t="str">
        <f>IFERROR(VLOOKUP($G141,融外自投!$A:$J,10,0),"無")</f>
        <v>無</v>
      </c>
      <c r="T141" s="327">
        <f>IFERROR(VLOOKUP($G141,'321買'!$A:$E,5,0),"'沒有資料'")</f>
        <v>1310</v>
      </c>
      <c r="U141" s="186">
        <f>IFERROR(VLOOKUP($G141,基本資料!$A:$J,9,0),"無")</f>
        <v>1.5</v>
      </c>
      <c r="V141" s="310">
        <f t="shared" si="28"/>
        <v>5.0083472454090151E-2</v>
      </c>
      <c r="W141" s="94">
        <f>IFERROR(VLOOKUP($G141,基本資料!$A:$J,10,0),"無")</f>
        <v>1.35</v>
      </c>
      <c r="X141" s="36">
        <f>RTD("money.excel",,"1530","Price")</f>
        <v>29.95</v>
      </c>
      <c r="Y141" s="66"/>
      <c r="Z141" s="15">
        <f t="shared" si="29"/>
        <v>29.95</v>
      </c>
      <c r="AA141" s="3" t="e">
        <f t="shared" si="30"/>
        <v>#DIV/0!</v>
      </c>
      <c r="AB141" s="344">
        <f>IFERROR(VLOOKUP($G141,基本資料!$A:$M,11,0),"無")</f>
        <v>-29.56</v>
      </c>
      <c r="AC141" s="397">
        <f>IFERROR(VLOOKUP($G141,基本資料!$A:$M,12,0),"無")</f>
        <v>17.03</v>
      </c>
      <c r="AD141" s="22" t="s">
        <v>564</v>
      </c>
      <c r="AG141" s="33">
        <f t="shared" si="31"/>
        <v>0</v>
      </c>
      <c r="AH141" s="43" t="s">
        <v>2159</v>
      </c>
      <c r="AI141" s="63">
        <f t="shared" si="32"/>
        <v>6.2176165803108814E-5</v>
      </c>
      <c r="AJ141" s="284">
        <f>RTD("money.excel",,$G141,"PredictVolume")</f>
        <v>6</v>
      </c>
      <c r="AK141" s="399">
        <f>IFERROR(VLOOKUP($G141,基本資料!$A:$M,13,0),"無")</f>
        <v>1.03</v>
      </c>
    </row>
    <row r="142" spans="1:37">
      <c r="A142" s="347">
        <f>IFERROR(VLOOKUP($G142,基本資料!$A:$J,3,0),"無")</f>
        <v>18.36</v>
      </c>
      <c r="B142" s="79">
        <f>IFERROR(VLOOKUP($G142,基本資料!$A:$J,4,0),"無")</f>
        <v>411</v>
      </c>
      <c r="C142" s="79">
        <f>IFERROR(VLOOKUP($G142,基本資料!$A:$J,5,0),"無")</f>
        <v>369</v>
      </c>
      <c r="D142" s="79">
        <f>IFERROR(VLOOKUP($G142,基本資料!$A:$J,6,0),"無")</f>
        <v>-32</v>
      </c>
      <c r="E142" s="79">
        <f>IFERROR(VLOOKUP($G142,基本資料!$A:$J,7,0),"無")</f>
        <v>-20</v>
      </c>
      <c r="F142" s="6">
        <f>IFERROR(VLOOKUP($G142,基本資料!$A:$J,8,0),"無")</f>
        <v>7.33</v>
      </c>
      <c r="G142" s="79">
        <v>1531</v>
      </c>
      <c r="H142" s="8" t="s">
        <v>295</v>
      </c>
      <c r="I142" s="22" t="s">
        <v>565</v>
      </c>
      <c r="J142" s="8" t="str">
        <f>IFERROR(VLOOKUP($G142,今日總結!$A:$AJ,35,0),"")</f>
        <v/>
      </c>
      <c r="K142" s="5" t="str">
        <f>IFERROR(VLOOKUP($G142,今日總結!$A:$AJ,36,0),"")</f>
        <v/>
      </c>
      <c r="L142" s="156" t="str">
        <f>IFERROR(VLOOKUP($G142,今日總結!$A:$AJ,33,0),"")</f>
        <v/>
      </c>
      <c r="M142" s="340" t="str">
        <f>IFERROR(VLOOKUP($G142,今日總結!$A:$AJ,34,0),"")</f>
        <v/>
      </c>
      <c r="N142" s="240" t="str">
        <f t="shared" si="27"/>
        <v/>
      </c>
      <c r="P142" s="365">
        <f>IFERROR(VLOOKUP($G142,融外自投!$A:$J,7,0),"無")</f>
        <v>1106</v>
      </c>
      <c r="Q142" s="79">
        <f>IFERROR(VLOOKUP($G142,融外自投!$A:$J,9,0),"無")</f>
        <v>978</v>
      </c>
      <c r="R142" s="346">
        <f>IFERROR(VLOOKUP($G142,融外自投!$A:$J,8,0),"無")</f>
        <v>1011</v>
      </c>
      <c r="S142" s="81" t="str">
        <f>IFERROR(VLOOKUP($G142,融外自投!$A:$J,10,0),"無")</f>
        <v>無</v>
      </c>
      <c r="T142" s="327">
        <f>IFERROR(VLOOKUP($G142,'321買'!$A:$E,5,0),"'沒有資料'")</f>
        <v>869</v>
      </c>
      <c r="U142" s="186">
        <f>IFERROR(VLOOKUP($G142,基本資料!$A:$J,9,0),"無")</f>
        <v>0.7</v>
      </c>
      <c r="V142" s="310">
        <f t="shared" si="28"/>
        <v>4.9295774647887321E-2</v>
      </c>
      <c r="W142" s="94">
        <f>IFERROR(VLOOKUP($G142,基本資料!$A:$J,10,0),"無")</f>
        <v>0.94</v>
      </c>
      <c r="X142" s="36">
        <f>RTD("money.excel",,"1531","Price")</f>
        <v>14.2</v>
      </c>
      <c r="Y142" s="66"/>
      <c r="Z142" s="15">
        <f t="shared" si="29"/>
        <v>14.2</v>
      </c>
      <c r="AA142" s="3" t="e">
        <f t="shared" si="30"/>
        <v>#DIV/0!</v>
      </c>
      <c r="AB142" s="344">
        <f>IFERROR(VLOOKUP($G142,基本資料!$A:$M,11,0),"無")</f>
        <v>-10.33</v>
      </c>
      <c r="AC142" s="397">
        <f>IFERROR(VLOOKUP($G142,基本資料!$A:$M,12,0),"無")</f>
        <v>32.07</v>
      </c>
      <c r="AD142" s="22" t="s">
        <v>565</v>
      </c>
      <c r="AG142" s="33">
        <f t="shared" si="31"/>
        <v>0</v>
      </c>
      <c r="AH142" s="43" t="s">
        <v>2738</v>
      </c>
      <c r="AI142" s="63">
        <f t="shared" si="32"/>
        <v>1.4488017429193901E-3</v>
      </c>
      <c r="AJ142" s="284">
        <f>RTD("money.excel",,$G142,"PredictVolume")</f>
        <v>266</v>
      </c>
      <c r="AK142" s="399">
        <f>IFERROR(VLOOKUP($G142,基本資料!$A:$M,13,0),"無")</f>
        <v>0.77</v>
      </c>
    </row>
    <row r="143" spans="1:37">
      <c r="A143" s="347">
        <f>IFERROR(VLOOKUP($G143,基本資料!$A:$J,3,0),"無")</f>
        <v>37.61</v>
      </c>
      <c r="B143" s="79">
        <f>IFERROR(VLOOKUP($G143,基本資料!$A:$J,4,0),"無")</f>
        <v>112</v>
      </c>
      <c r="C143" s="79">
        <f>IFERROR(VLOOKUP($G143,基本資料!$A:$J,5,0),"無")</f>
        <v>43</v>
      </c>
      <c r="D143" s="79">
        <f>IFERROR(VLOOKUP($G143,基本資料!$A:$J,6,0),"無")</f>
        <v>49</v>
      </c>
      <c r="E143" s="79">
        <f>IFERROR(VLOOKUP($G143,基本資料!$A:$J,7,0),"無")</f>
        <v>9</v>
      </c>
      <c r="F143" s="6">
        <f>IFERROR(VLOOKUP($G143,基本資料!$A:$J,8,0),"無")</f>
        <v>9.8699999999999992</v>
      </c>
      <c r="G143" s="79">
        <v>1532</v>
      </c>
      <c r="H143" s="17" t="s">
        <v>295</v>
      </c>
      <c r="I143" s="22" t="s">
        <v>205</v>
      </c>
      <c r="J143" s="8">
        <f>IFERROR(VLOOKUP($G143,今日總結!$A:$AJ,35,0),"")</f>
        <v>0</v>
      </c>
      <c r="K143" s="5">
        <f>IFERROR(VLOOKUP($G143,今日總結!$A:$AJ,36,0),"")</f>
        <v>0</v>
      </c>
      <c r="L143" s="156">
        <f>IFERROR(VLOOKUP($G143,今日總結!$A:$AJ,33,0),"")</f>
        <v>0</v>
      </c>
      <c r="M143" s="340">
        <f>IFERROR(VLOOKUP($G143,今日總結!$A:$AJ,34,0),"")</f>
        <v>1</v>
      </c>
      <c r="N143" s="240">
        <f t="shared" si="27"/>
        <v>-1</v>
      </c>
      <c r="P143" s="365">
        <f>IFERROR(VLOOKUP($G143,融外自投!$A:$J,7,0),"無")</f>
        <v>1017</v>
      </c>
      <c r="Q143" s="79">
        <f>IFERROR(VLOOKUP($G143,融外自投!$A:$J,9,0),"無")</f>
        <v>683</v>
      </c>
      <c r="R143" s="346">
        <f>IFERROR(VLOOKUP($G143,融外自投!$A:$J,8,0),"無")</f>
        <v>431</v>
      </c>
      <c r="S143" s="81">
        <f>IFERROR(VLOOKUP($G143,融外自投!$A:$J,10,0),"無")</f>
        <v>318</v>
      </c>
      <c r="T143" s="327">
        <f>IFERROR(VLOOKUP($G143,'321買'!$A:$E,5,0),"'沒有資料'")</f>
        <v>683</v>
      </c>
      <c r="U143" s="186">
        <f>IFERROR(VLOOKUP($G143,基本資料!$A:$J,9,0),"無")</f>
        <v>2.11</v>
      </c>
      <c r="V143" s="310">
        <f t="shared" si="28"/>
        <v>6.7197452229299362E-2</v>
      </c>
      <c r="W143" s="94">
        <f>IFERROR(VLOOKUP($G143,基本資料!$A:$J,10,0),"無")</f>
        <v>3.22</v>
      </c>
      <c r="X143" s="36">
        <f>RTD("money.excel",,"1532","Price")</f>
        <v>31.4</v>
      </c>
      <c r="Y143" s="66"/>
      <c r="Z143" s="15">
        <f t="shared" si="29"/>
        <v>31.4</v>
      </c>
      <c r="AA143" s="3" t="e">
        <f t="shared" si="30"/>
        <v>#DIV/0!</v>
      </c>
      <c r="AB143" s="344">
        <f>IFERROR(VLOOKUP($G143,基本資料!$A:$M,11,0),"無")</f>
        <v>-14</v>
      </c>
      <c r="AC143" s="397">
        <f>IFERROR(VLOOKUP($G143,基本資料!$A:$M,12,0),"無")</f>
        <v>13.03</v>
      </c>
      <c r="AD143" s="22" t="s">
        <v>205</v>
      </c>
      <c r="AG143" s="33">
        <f t="shared" si="31"/>
        <v>0</v>
      </c>
      <c r="AH143" s="43" t="s">
        <v>2739</v>
      </c>
      <c r="AI143" s="63">
        <f t="shared" si="32"/>
        <v>4.7327838340866792E-4</v>
      </c>
      <c r="AJ143" s="284">
        <f>RTD("money.excel",,$G143,"PredictVolume")</f>
        <v>178</v>
      </c>
      <c r="AK143" s="399">
        <f>IFERROR(VLOOKUP($G143,基本資料!$A:$M,13,0),"無")</f>
        <v>1.41</v>
      </c>
    </row>
    <row r="144" spans="1:37">
      <c r="A144" s="347">
        <f>IFERROR(VLOOKUP($G144,基本資料!$A:$J,3,0),"無")</f>
        <v>12.37</v>
      </c>
      <c r="B144" s="79">
        <f>IFERROR(VLOOKUP($G144,基本資料!$A:$J,4,0),"無")</f>
        <v>104</v>
      </c>
      <c r="C144" s="79">
        <f>IFERROR(VLOOKUP($G144,基本資料!$A:$J,5,0),"無")</f>
        <v>274</v>
      </c>
      <c r="D144" s="79">
        <f>IFERROR(VLOOKUP($G144,基本資料!$A:$J,6,0),"無")</f>
        <v>-13</v>
      </c>
      <c r="E144" s="79">
        <f>IFERROR(VLOOKUP($G144,基本資料!$A:$J,7,0),"無")</f>
        <v>-5</v>
      </c>
      <c r="F144" s="6">
        <f>IFERROR(VLOOKUP($G144,基本資料!$A:$J,8,0),"無")</f>
        <v>2.86</v>
      </c>
      <c r="G144" s="79">
        <v>1535</v>
      </c>
      <c r="H144" s="8" t="s">
        <v>295</v>
      </c>
      <c r="I144" s="22" t="s">
        <v>566</v>
      </c>
      <c r="J144" s="8" t="str">
        <f>IFERROR(VLOOKUP($G144,今日總結!$A:$AJ,35,0),"")</f>
        <v/>
      </c>
      <c r="K144" s="5" t="str">
        <f>IFERROR(VLOOKUP($G144,今日總結!$A:$AJ,36,0),"")</f>
        <v/>
      </c>
      <c r="L144" s="156" t="str">
        <f>IFERROR(VLOOKUP($G144,今日總結!$A:$AJ,33,0),"")</f>
        <v/>
      </c>
      <c r="M144" s="340" t="str">
        <f>IFERROR(VLOOKUP($G144,今日總結!$A:$AJ,34,0),"")</f>
        <v/>
      </c>
      <c r="N144" s="240" t="str">
        <f t="shared" si="27"/>
        <v/>
      </c>
      <c r="P144" s="365">
        <f>IFERROR(VLOOKUP($G144,融外自投!$A:$J,7,0),"無")</f>
        <v>1439</v>
      </c>
      <c r="Q144" s="79">
        <f>IFERROR(VLOOKUP($G144,融外自投!$A:$J,9,0),"無")</f>
        <v>1110</v>
      </c>
      <c r="R144" s="346">
        <f>IFERROR(VLOOKUP($G144,融外自投!$A:$J,8,0),"無")</f>
        <v>1210</v>
      </c>
      <c r="S144" s="81" t="str">
        <f>IFERROR(VLOOKUP($G144,融外自投!$A:$J,10,0),"無")</f>
        <v>無</v>
      </c>
      <c r="T144" s="327">
        <f>IFERROR(VLOOKUP($G144,'321買'!$A:$E,5,0),"'沒有資料'")</f>
        <v>1281</v>
      </c>
      <c r="U144" s="186">
        <f>IFERROR(VLOOKUP($G144,基本資料!$A:$J,9,0),"無")</f>
        <v>2.6</v>
      </c>
      <c r="V144" s="310">
        <f t="shared" si="28"/>
        <v>6.2650602409638559E-2</v>
      </c>
      <c r="W144" s="94">
        <f>IFERROR(VLOOKUP($G144,基本資料!$A:$J,10,0),"無")</f>
        <v>3.26</v>
      </c>
      <c r="X144" s="36">
        <f>RTD("money.excel",,"1535","Price")</f>
        <v>41.5</v>
      </c>
      <c r="Y144" s="66"/>
      <c r="Z144" s="15">
        <f t="shared" si="29"/>
        <v>41.5</v>
      </c>
      <c r="AA144" s="3" t="e">
        <f t="shared" si="30"/>
        <v>#DIV/0!</v>
      </c>
      <c r="AB144" s="344">
        <f>IFERROR(VLOOKUP($G144,基本資料!$A:$M,11,0),"無")</f>
        <v>-5.84</v>
      </c>
      <c r="AC144" s="397">
        <f>IFERROR(VLOOKUP($G144,基本資料!$A:$M,12,0),"無")</f>
        <v>44.22</v>
      </c>
      <c r="AD144" s="22" t="s">
        <v>566</v>
      </c>
      <c r="AG144" s="33">
        <f t="shared" si="31"/>
        <v>0</v>
      </c>
      <c r="AH144" s="43" t="s">
        <v>2740</v>
      </c>
      <c r="AI144" s="63">
        <f t="shared" si="32"/>
        <v>8.0840743734842367E-5</v>
      </c>
      <c r="AJ144" s="284">
        <f>RTD("money.excel",,$G144,"PredictVolume")</f>
        <v>10</v>
      </c>
      <c r="AK144" s="399">
        <f>IFERROR(VLOOKUP($G144,基本資料!$A:$M,13,0),"無")</f>
        <v>0.76</v>
      </c>
    </row>
    <row r="145" spans="1:37">
      <c r="A145" s="347">
        <f>IFERROR(VLOOKUP($G145,基本資料!$A:$J,3,0),"無")</f>
        <v>8.1999999999999993</v>
      </c>
      <c r="B145" s="79">
        <f>IFERROR(VLOOKUP($G145,基本資料!$A:$J,4,0),"無")</f>
        <v>-29</v>
      </c>
      <c r="C145" s="79">
        <f>IFERROR(VLOOKUP($G145,基本資料!$A:$J,5,0),"無")</f>
        <v>-33</v>
      </c>
      <c r="D145" s="79">
        <f>IFERROR(VLOOKUP($G145,基本資料!$A:$J,6,0),"無")</f>
        <v>5</v>
      </c>
      <c r="E145" s="79">
        <f>IFERROR(VLOOKUP($G145,基本資料!$A:$J,7,0),"無")</f>
        <v>6</v>
      </c>
      <c r="F145" s="6">
        <f>IFERROR(VLOOKUP($G145,基本資料!$A:$J,8,0),"無")</f>
        <v>13.71</v>
      </c>
      <c r="G145" s="79">
        <v>1537</v>
      </c>
      <c r="H145" s="8" t="s">
        <v>295</v>
      </c>
      <c r="I145" s="22" t="s">
        <v>567</v>
      </c>
      <c r="J145" s="8">
        <f>IFERROR(VLOOKUP($G145,今日總結!$A:$AJ,35,0),"")</f>
        <v>0</v>
      </c>
      <c r="K145" s="5">
        <f>IFERROR(VLOOKUP($G145,今日總結!$A:$AJ,36,0),"")</f>
        <v>0</v>
      </c>
      <c r="L145" s="156">
        <f>IFERROR(VLOOKUP($G145,今日總結!$A:$AJ,33,0),"")</f>
        <v>0</v>
      </c>
      <c r="M145" s="340">
        <f>IFERROR(VLOOKUP($G145,今日總結!$A:$AJ,34,0),"")</f>
        <v>1</v>
      </c>
      <c r="N145" s="240">
        <f t="shared" si="27"/>
        <v>-1</v>
      </c>
      <c r="P145" s="365">
        <f>IFERROR(VLOOKUP($G145,融外自投!$A:$J,7,0),"無")</f>
        <v>1267</v>
      </c>
      <c r="Q145" s="79" t="str">
        <f>IFERROR(VLOOKUP($G145,融外自投!$A:$J,9,0),"無")</f>
        <v>無</v>
      </c>
      <c r="R145" s="346">
        <f>IFERROR(VLOOKUP($G145,融外自投!$A:$J,8,0),"無")</f>
        <v>309</v>
      </c>
      <c r="S145" s="81">
        <f>IFERROR(VLOOKUP($G145,融外自投!$A:$J,10,0),"無")</f>
        <v>319</v>
      </c>
      <c r="T145" s="327">
        <f>IFERROR(VLOOKUP($G145,'321買'!$A:$E,5,0),"'沒有資料'")</f>
        <v>1179</v>
      </c>
      <c r="U145" s="186">
        <f>IFERROR(VLOOKUP($G145,基本資料!$A:$J,9,0),"無")</f>
        <v>7</v>
      </c>
      <c r="V145" s="310">
        <f t="shared" si="28"/>
        <v>5.128205128205128E-2</v>
      </c>
      <c r="W145" s="94">
        <f>IFERROR(VLOOKUP($G145,基本資料!$A:$J,10,0),"無")</f>
        <v>7.58</v>
      </c>
      <c r="X145" s="36">
        <f>RTD("money.excel",,"1537","Price")</f>
        <v>136.5</v>
      </c>
      <c r="Y145" s="66"/>
      <c r="Z145" s="15">
        <f t="shared" si="29"/>
        <v>136.5</v>
      </c>
      <c r="AA145" s="3" t="e">
        <f t="shared" si="30"/>
        <v>#DIV/0!</v>
      </c>
      <c r="AB145" s="344">
        <f>IFERROR(VLOOKUP($G145,基本資料!$A:$M,11,0),"無")</f>
        <v>-14.33</v>
      </c>
      <c r="AC145" s="397">
        <f>IFERROR(VLOOKUP($G145,基本資料!$A:$M,12,0),"無")</f>
        <v>28.36</v>
      </c>
      <c r="AD145" s="22" t="s">
        <v>567</v>
      </c>
      <c r="AG145" s="33">
        <f t="shared" si="31"/>
        <v>0</v>
      </c>
      <c r="AH145" s="43" t="s">
        <v>2240</v>
      </c>
      <c r="AI145" s="63">
        <f t="shared" si="32"/>
        <v>1.3414634146341464E-3</v>
      </c>
      <c r="AJ145" s="284">
        <f>RTD("money.excel",,$G145,"PredictVolume")</f>
        <v>110</v>
      </c>
      <c r="AK145" s="399">
        <f>IFERROR(VLOOKUP($G145,基本資料!$A:$M,13,0),"無")</f>
        <v>1.32</v>
      </c>
    </row>
    <row r="146" spans="1:37">
      <c r="A146" s="347">
        <f>IFERROR(VLOOKUP($G146,基本資料!$A:$J,3,0),"無")</f>
        <v>2.64</v>
      </c>
      <c r="B146" s="79">
        <f>IFERROR(VLOOKUP($G146,基本資料!$A:$J,4,0),"無")</f>
        <v>-1002</v>
      </c>
      <c r="C146" s="79">
        <f>IFERROR(VLOOKUP($G146,基本資料!$A:$J,5,0),"無")</f>
        <v>15</v>
      </c>
      <c r="D146" s="79">
        <f>IFERROR(VLOOKUP($G146,基本資料!$A:$J,6,0),"無")</f>
        <v>-43</v>
      </c>
      <c r="E146" s="79">
        <f>IFERROR(VLOOKUP($G146,基本資料!$A:$J,7,0),"無")</f>
        <v>-38</v>
      </c>
      <c r="F146" s="6">
        <f>IFERROR(VLOOKUP($G146,基本資料!$A:$J,8,0),"無")</f>
        <v>-26.7</v>
      </c>
      <c r="G146" s="79">
        <v>1538</v>
      </c>
      <c r="H146" s="8" t="s">
        <v>295</v>
      </c>
      <c r="I146" s="22" t="s">
        <v>568</v>
      </c>
      <c r="J146" s="8" t="str">
        <f>IFERROR(VLOOKUP($G146,今日總結!$A:$AJ,35,0),"")</f>
        <v/>
      </c>
      <c r="K146" s="5" t="str">
        <f>IFERROR(VLOOKUP($G146,今日總結!$A:$AJ,36,0),"")</f>
        <v/>
      </c>
      <c r="L146" s="156" t="str">
        <f>IFERROR(VLOOKUP($G146,今日總結!$A:$AJ,33,0),"")</f>
        <v/>
      </c>
      <c r="M146" s="340" t="str">
        <f>IFERROR(VLOOKUP($G146,今日總結!$A:$AJ,34,0),"")</f>
        <v/>
      </c>
      <c r="N146" s="240" t="str">
        <f t="shared" si="27"/>
        <v/>
      </c>
      <c r="P146" s="365" t="str">
        <f>IFERROR(VLOOKUP($G146,融外自投!$A:$J,7,0),"無")</f>
        <v>無</v>
      </c>
      <c r="Q146" s="79" t="str">
        <f>IFERROR(VLOOKUP($G146,融外自投!$A:$J,9,0),"無")</f>
        <v>無</v>
      </c>
      <c r="R146" s="346" t="str">
        <f>IFERROR(VLOOKUP($G146,融外自投!$A:$J,8,0),"無")</f>
        <v>無</v>
      </c>
      <c r="S146" s="81" t="str">
        <f>IFERROR(VLOOKUP($G146,融外自投!$A:$J,10,0),"無")</f>
        <v>無</v>
      </c>
      <c r="T146" s="327" t="str">
        <f>IFERROR(VLOOKUP($G146,'321買'!$A:$E,5,0),"'沒有資料'")</f>
        <v>'沒有資料'</v>
      </c>
      <c r="U146" s="186">
        <f>IFERROR(VLOOKUP($G146,基本資料!$A:$J,9,0),"無")</f>
        <v>0</v>
      </c>
      <c r="V146" s="310">
        <f t="shared" si="28"/>
        <v>0</v>
      </c>
      <c r="W146" s="94">
        <f>IFERROR(VLOOKUP($G146,基本資料!$A:$J,10,0),"無")</f>
        <v>-5.13</v>
      </c>
      <c r="X146" s="36">
        <f>RTD("money.excel",,"1538","Price")</f>
        <v>6.24</v>
      </c>
      <c r="Y146" s="66"/>
      <c r="Z146" s="15">
        <f t="shared" si="29"/>
        <v>6.24</v>
      </c>
      <c r="AA146" s="3" t="e">
        <f t="shared" si="30"/>
        <v>#DIV/0!</v>
      </c>
      <c r="AB146" s="344">
        <f>IFERROR(VLOOKUP($G146,基本資料!$A:$M,11,0),"無")</f>
        <v>-54.82</v>
      </c>
      <c r="AC146" s="397">
        <f>IFERROR(VLOOKUP($G146,基本資料!$A:$M,12,0),"無")</f>
        <v>8.1999999999999993</v>
      </c>
      <c r="AD146" s="22" t="s">
        <v>568</v>
      </c>
      <c r="AG146" s="33">
        <f t="shared" si="31"/>
        <v>0</v>
      </c>
      <c r="AH146" s="43" t="s">
        <v>2200</v>
      </c>
      <c r="AI146" s="63">
        <f t="shared" si="32"/>
        <v>7.1969696969696967E-4</v>
      </c>
      <c r="AJ146" s="284">
        <f>RTD("money.excel",,$G146,"PredictVolume")</f>
        <v>19</v>
      </c>
      <c r="AK146" s="399">
        <f>IFERROR(VLOOKUP($G146,基本資料!$A:$M,13,0),"無")</f>
        <v>1.1399999999999999</v>
      </c>
    </row>
    <row r="147" spans="1:37">
      <c r="A147" s="347">
        <f>IFERROR(VLOOKUP($G147,基本資料!$A:$J,3,0),"無")</f>
        <v>6.53</v>
      </c>
      <c r="B147" s="79">
        <f>IFERROR(VLOOKUP($G147,基本資料!$A:$J,4,0),"無")</f>
        <v>575</v>
      </c>
      <c r="C147" s="79">
        <f>IFERROR(VLOOKUP($G147,基本資料!$A:$J,5,0),"無")</f>
        <v>88</v>
      </c>
      <c r="D147" s="79">
        <f>IFERROR(VLOOKUP($G147,基本資料!$A:$J,6,0),"無")</f>
        <v>27</v>
      </c>
      <c r="E147" s="79">
        <f>IFERROR(VLOOKUP($G147,基本資料!$A:$J,7,0),"無")</f>
        <v>28</v>
      </c>
      <c r="F147" s="6">
        <f>IFERROR(VLOOKUP($G147,基本資料!$A:$J,8,0),"無")</f>
        <v>7.4</v>
      </c>
      <c r="G147" s="79">
        <v>1539</v>
      </c>
      <c r="H147" s="8" t="s">
        <v>295</v>
      </c>
      <c r="I147" s="22" t="s">
        <v>569</v>
      </c>
      <c r="J147" s="8" t="str">
        <f>IFERROR(VLOOKUP($G147,今日總結!$A:$AJ,35,0),"")</f>
        <v/>
      </c>
      <c r="K147" s="5" t="str">
        <f>IFERROR(VLOOKUP($G147,今日總結!$A:$AJ,36,0),"")</f>
        <v/>
      </c>
      <c r="L147" s="156" t="str">
        <f>IFERROR(VLOOKUP($G147,今日總結!$A:$AJ,33,0),"")</f>
        <v/>
      </c>
      <c r="M147" s="340" t="str">
        <f>IFERROR(VLOOKUP($G147,今日總結!$A:$AJ,34,0),"")</f>
        <v/>
      </c>
      <c r="N147" s="240" t="str">
        <f t="shared" si="27"/>
        <v/>
      </c>
      <c r="P147" s="365">
        <f>IFERROR(VLOOKUP($G147,融外自投!$A:$J,7,0),"無")</f>
        <v>605</v>
      </c>
      <c r="Q147" s="79">
        <f>IFERROR(VLOOKUP($G147,融外自投!$A:$J,9,0),"無")</f>
        <v>978</v>
      </c>
      <c r="R147" s="346">
        <f>IFERROR(VLOOKUP($G147,融外自投!$A:$J,8,0),"無")</f>
        <v>1295</v>
      </c>
      <c r="S147" s="81" t="str">
        <f>IFERROR(VLOOKUP($G147,融外自投!$A:$J,10,0),"無")</f>
        <v>無</v>
      </c>
      <c r="T147" s="327">
        <f>IFERROR(VLOOKUP($G147,'321買'!$A:$E,5,0),"'沒有資料'")</f>
        <v>1099</v>
      </c>
      <c r="U147" s="186">
        <f>IFERROR(VLOOKUP($G147,基本資料!$A:$J,9,0),"無")</f>
        <v>0.8</v>
      </c>
      <c r="V147" s="310">
        <f t="shared" si="28"/>
        <v>3.6529680365296809E-2</v>
      </c>
      <c r="W147" s="94">
        <f>IFERROR(VLOOKUP($G147,基本資料!$A:$J,10,0),"無")</f>
        <v>1.35</v>
      </c>
      <c r="X147" s="36">
        <f>RTD("money.excel",,"1539","Price")</f>
        <v>21.9</v>
      </c>
      <c r="Y147" s="66"/>
      <c r="Z147" s="15">
        <f t="shared" si="29"/>
        <v>21.9</v>
      </c>
      <c r="AA147" s="3" t="e">
        <f t="shared" si="30"/>
        <v>#DIV/0!</v>
      </c>
      <c r="AB147" s="344">
        <f>IFERROR(VLOOKUP($G147,基本資料!$A:$M,11,0),"無")</f>
        <v>-13.25</v>
      </c>
      <c r="AC147" s="397">
        <f>IFERROR(VLOOKUP($G147,基本資料!$A:$M,12,0),"無")</f>
        <v>72.2</v>
      </c>
      <c r="AD147" s="22" t="s">
        <v>569</v>
      </c>
      <c r="AG147" s="33">
        <f t="shared" si="31"/>
        <v>0</v>
      </c>
      <c r="AH147" s="43" t="s">
        <v>2028</v>
      </c>
      <c r="AI147" s="63">
        <f t="shared" si="32"/>
        <v>5.482388973966309E-3</v>
      </c>
      <c r="AJ147" s="284">
        <f>RTD("money.excel",,$G147,"PredictVolume")</f>
        <v>358</v>
      </c>
      <c r="AK147" s="399">
        <f>IFERROR(VLOOKUP($G147,基本資料!$A:$M,13,0),"無")</f>
        <v>5.72</v>
      </c>
    </row>
    <row r="148" spans="1:37">
      <c r="A148" s="347">
        <f>IFERROR(VLOOKUP($G148,基本資料!$A:$J,3,0),"無")</f>
        <v>8.5399999999999991</v>
      </c>
      <c r="B148" s="79">
        <f>IFERROR(VLOOKUP($G148,基本資料!$A:$J,4,0),"無")</f>
        <v>82</v>
      </c>
      <c r="C148" s="79">
        <f>IFERROR(VLOOKUP($G148,基本資料!$A:$J,5,0),"無")</f>
        <v>119</v>
      </c>
      <c r="D148" s="79">
        <f>IFERROR(VLOOKUP($G148,基本資料!$A:$J,6,0),"無")</f>
        <v>408</v>
      </c>
      <c r="E148" s="79">
        <f>IFERROR(VLOOKUP($G148,基本資料!$A:$J,7,0),"無")</f>
        <v>102</v>
      </c>
      <c r="F148" s="6">
        <f>IFERROR(VLOOKUP($G148,基本資料!$A:$J,8,0),"無")</f>
        <v>0.4</v>
      </c>
      <c r="G148" s="79">
        <v>1540</v>
      </c>
      <c r="H148" s="8" t="s">
        <v>295</v>
      </c>
      <c r="I148" s="22" t="s">
        <v>570</v>
      </c>
      <c r="J148" s="8" t="str">
        <f>IFERROR(VLOOKUP($G148,今日總結!$A:$AJ,35,0),"")</f>
        <v/>
      </c>
      <c r="K148" s="5" t="str">
        <f>IFERROR(VLOOKUP($G148,今日總結!$A:$AJ,36,0),"")</f>
        <v/>
      </c>
      <c r="L148" s="156" t="str">
        <f>IFERROR(VLOOKUP($G148,今日總結!$A:$AJ,33,0),"")</f>
        <v/>
      </c>
      <c r="M148" s="340" t="str">
        <f>IFERROR(VLOOKUP($G148,今日總結!$A:$AJ,34,0),"")</f>
        <v/>
      </c>
      <c r="N148" s="240" t="str">
        <f t="shared" si="27"/>
        <v/>
      </c>
      <c r="P148" s="365">
        <f>IFERROR(VLOOKUP($G148,融外自投!$A:$J,7,0),"無")</f>
        <v>1138</v>
      </c>
      <c r="Q148" s="79">
        <f>IFERROR(VLOOKUP($G148,融外自投!$A:$J,9,0),"無")</f>
        <v>936</v>
      </c>
      <c r="R148" s="346">
        <f>IFERROR(VLOOKUP($G148,融外自投!$A:$J,8,0),"無")</f>
        <v>1367</v>
      </c>
      <c r="S148" s="81" t="str">
        <f>IFERROR(VLOOKUP($G148,融外自投!$A:$J,10,0),"無")</f>
        <v>無</v>
      </c>
      <c r="T148" s="327">
        <f>IFERROR(VLOOKUP($G148,'321買'!$A:$E,5,0),"'沒有資料'")</f>
        <v>1338</v>
      </c>
      <c r="U148" s="186">
        <f>IFERROR(VLOOKUP($G148,基本資料!$A:$J,9,0),"無")</f>
        <v>0.3</v>
      </c>
      <c r="V148" s="310">
        <f t="shared" si="28"/>
        <v>2.0338983050847456E-2</v>
      </c>
      <c r="W148" s="94">
        <f>IFERROR(VLOOKUP($G148,基本資料!$A:$J,10,0),"無")</f>
        <v>-0.04</v>
      </c>
      <c r="X148" s="36">
        <f>RTD("money.excel",,"1540","Price")</f>
        <v>14.75</v>
      </c>
      <c r="Y148" s="66"/>
      <c r="Z148" s="15">
        <f t="shared" si="29"/>
        <v>14.75</v>
      </c>
      <c r="AA148" s="3" t="e">
        <f t="shared" si="30"/>
        <v>#DIV/0!</v>
      </c>
      <c r="AB148" s="344">
        <f>IFERROR(VLOOKUP($G148,基本資料!$A:$M,11,0),"無")</f>
        <v>-13.74</v>
      </c>
      <c r="AC148" s="397">
        <f>IFERROR(VLOOKUP($G148,基本資料!$A:$M,12,0),"無")</f>
        <v>52.23</v>
      </c>
      <c r="AD148" s="22" t="s">
        <v>570</v>
      </c>
      <c r="AG148" s="33">
        <f t="shared" si="31"/>
        <v>0</v>
      </c>
      <c r="AH148" s="43" t="s">
        <v>2514</v>
      </c>
      <c r="AI148" s="63">
        <f t="shared" si="32"/>
        <v>1.9555035128805626E-3</v>
      </c>
      <c r="AJ148" s="284">
        <f>RTD("money.excel",,$G148,"PredictVolume")</f>
        <v>167</v>
      </c>
      <c r="AK148" s="399">
        <f>IFERROR(VLOOKUP($G148,基本資料!$A:$M,13,0),"無")</f>
        <v>0.93</v>
      </c>
    </row>
    <row r="149" spans="1:37">
      <c r="A149" s="347">
        <f>IFERROR(VLOOKUP($G149,基本資料!$A:$J,3,0),"無")</f>
        <v>7.88</v>
      </c>
      <c r="B149" s="79">
        <f>IFERROR(VLOOKUP($G149,基本資料!$A:$J,4,0),"無")</f>
        <v>-34</v>
      </c>
      <c r="C149" s="79">
        <f>IFERROR(VLOOKUP($G149,基本資料!$A:$J,5,0),"無")</f>
        <v>-42</v>
      </c>
      <c r="D149" s="79">
        <f>IFERROR(VLOOKUP($G149,基本資料!$A:$J,6,0),"無")</f>
        <v>50</v>
      </c>
      <c r="E149" s="79">
        <f>IFERROR(VLOOKUP($G149,基本資料!$A:$J,7,0),"無")</f>
        <v>20</v>
      </c>
      <c r="F149" s="6">
        <f>IFERROR(VLOOKUP($G149,基本資料!$A:$J,8,0),"無")</f>
        <v>6.37</v>
      </c>
      <c r="G149" s="79">
        <v>1541</v>
      </c>
      <c r="H149" s="8" t="s">
        <v>295</v>
      </c>
      <c r="I149" s="22" t="s">
        <v>571</v>
      </c>
      <c r="J149" s="8" t="str">
        <f>IFERROR(VLOOKUP($G149,今日總結!$A:$AJ,35,0),"")</f>
        <v/>
      </c>
      <c r="K149" s="5" t="str">
        <f>IFERROR(VLOOKUP($G149,今日總結!$A:$AJ,36,0),"")</f>
        <v/>
      </c>
      <c r="L149" s="156" t="str">
        <f>IFERROR(VLOOKUP($G149,今日總結!$A:$AJ,33,0),"")</f>
        <v/>
      </c>
      <c r="M149" s="340" t="str">
        <f>IFERROR(VLOOKUP($G149,今日總結!$A:$AJ,34,0),"")</f>
        <v/>
      </c>
      <c r="N149" s="240" t="str">
        <f t="shared" si="27"/>
        <v/>
      </c>
      <c r="P149" s="365">
        <f>IFERROR(VLOOKUP($G149,融外自投!$A:$J,7,0),"無")</f>
        <v>1264</v>
      </c>
      <c r="Q149" s="79">
        <f>IFERROR(VLOOKUP($G149,融外自投!$A:$J,9,0),"無")</f>
        <v>978</v>
      </c>
      <c r="R149" s="346">
        <f>IFERROR(VLOOKUP($G149,融外自投!$A:$J,8,0),"無")</f>
        <v>512</v>
      </c>
      <c r="S149" s="81" t="str">
        <f>IFERROR(VLOOKUP($G149,融外自投!$A:$J,10,0),"無")</f>
        <v>無</v>
      </c>
      <c r="T149" s="327">
        <f>IFERROR(VLOOKUP($G149,'321買'!$A:$E,5,0),"'沒有資料'")</f>
        <v>1327</v>
      </c>
      <c r="U149" s="186">
        <f>IFERROR(VLOOKUP($G149,基本資料!$A:$J,9,0),"無")</f>
        <v>2.5</v>
      </c>
      <c r="V149" s="310">
        <f t="shared" si="28"/>
        <v>5.73394495412844E-2</v>
      </c>
      <c r="W149" s="94">
        <f>IFERROR(VLOOKUP($G149,基本資料!$A:$J,10,0),"無")</f>
        <v>3.8</v>
      </c>
      <c r="X149" s="36">
        <f>RTD("money.excel",,"1541","Price")</f>
        <v>43.6</v>
      </c>
      <c r="Y149" s="66"/>
      <c r="Z149" s="15">
        <f t="shared" si="29"/>
        <v>43.6</v>
      </c>
      <c r="AA149" s="3" t="e">
        <f t="shared" si="30"/>
        <v>#DIV/0!</v>
      </c>
      <c r="AB149" s="344">
        <f>IFERROR(VLOOKUP($G149,基本資料!$A:$M,11,0),"無")</f>
        <v>-16.86</v>
      </c>
      <c r="AC149" s="397">
        <f>IFERROR(VLOOKUP($G149,基本資料!$A:$M,12,0),"無")</f>
        <v>34.24</v>
      </c>
      <c r="AD149" s="22" t="s">
        <v>571</v>
      </c>
      <c r="AG149" s="33">
        <f t="shared" si="31"/>
        <v>0</v>
      </c>
      <c r="AH149" s="43" t="s">
        <v>2741</v>
      </c>
      <c r="AI149" s="63">
        <f t="shared" si="32"/>
        <v>7.2335025380710662E-4</v>
      </c>
      <c r="AJ149" s="284">
        <f>RTD("money.excel",,$G149,"PredictVolume")</f>
        <v>57</v>
      </c>
      <c r="AK149" s="399">
        <f>IFERROR(VLOOKUP($G149,基本資料!$A:$M,13,0),"無")</f>
        <v>2.52</v>
      </c>
    </row>
    <row r="150" spans="1:37">
      <c r="A150" s="347">
        <f>IFERROR(VLOOKUP($G150,基本資料!$A:$J,3,0),"無")</f>
        <v>6.05</v>
      </c>
      <c r="B150" s="79">
        <f>IFERROR(VLOOKUP($G150,基本資料!$A:$J,4,0),"無")</f>
        <v>-37</v>
      </c>
      <c r="C150" s="79">
        <f>IFERROR(VLOOKUP($G150,基本資料!$A:$J,5,0),"無")</f>
        <v>-40</v>
      </c>
      <c r="D150" s="79">
        <f>IFERROR(VLOOKUP($G150,基本資料!$A:$J,6,0),"無")</f>
        <v>-38</v>
      </c>
      <c r="E150" s="79">
        <f>IFERROR(VLOOKUP($G150,基本資料!$A:$J,7,0),"無")</f>
        <v>-38</v>
      </c>
      <c r="F150" s="6">
        <f>IFERROR(VLOOKUP($G150,基本資料!$A:$J,8,0),"無")</f>
        <v>9.23</v>
      </c>
      <c r="G150" s="79">
        <v>1558</v>
      </c>
      <c r="H150" s="8" t="s">
        <v>295</v>
      </c>
      <c r="I150" s="22" t="s">
        <v>572</v>
      </c>
      <c r="J150" s="8" t="str">
        <f>IFERROR(VLOOKUP($G150,今日總結!$A:$AJ,35,0),"")</f>
        <v/>
      </c>
      <c r="K150" s="5" t="str">
        <f>IFERROR(VLOOKUP($G150,今日總結!$A:$AJ,36,0),"")</f>
        <v/>
      </c>
      <c r="L150" s="156" t="str">
        <f>IFERROR(VLOOKUP($G150,今日總結!$A:$AJ,33,0),"")</f>
        <v/>
      </c>
      <c r="M150" s="340" t="str">
        <f>IFERROR(VLOOKUP($G150,今日總結!$A:$AJ,34,0),"")</f>
        <v/>
      </c>
      <c r="N150" s="240" t="str">
        <f t="shared" si="27"/>
        <v/>
      </c>
      <c r="P150" s="365">
        <f>IFERROR(VLOOKUP($G150,融外自投!$A:$J,7,0),"無")</f>
        <v>1038</v>
      </c>
      <c r="Q150" s="79" t="str">
        <f>IFERROR(VLOOKUP($G150,融外自投!$A:$J,9,0),"無")</f>
        <v>無</v>
      </c>
      <c r="R150" s="346">
        <f>IFERROR(VLOOKUP($G150,融外自投!$A:$J,8,0),"無")</f>
        <v>597</v>
      </c>
      <c r="S150" s="81">
        <f>IFERROR(VLOOKUP($G150,融外自投!$A:$J,10,0),"無")</f>
        <v>437</v>
      </c>
      <c r="T150" s="327">
        <f>IFERROR(VLOOKUP($G150,'321買'!$A:$E,5,0),"'沒有資料'")</f>
        <v>1179</v>
      </c>
      <c r="U150" s="186">
        <f>IFERROR(VLOOKUP($G150,基本資料!$A:$J,9,0),"無")</f>
        <v>8.5</v>
      </c>
      <c r="V150" s="310">
        <f t="shared" si="28"/>
        <v>6.2962962962962957E-2</v>
      </c>
      <c r="W150" s="94">
        <f>IFERROR(VLOOKUP($G150,基本資料!$A:$J,10,0),"無")</f>
        <v>8.67</v>
      </c>
      <c r="X150" s="36">
        <f>RTD("money.excel",,"1558","Price")</f>
        <v>135</v>
      </c>
      <c r="Y150" s="66"/>
      <c r="Z150" s="15">
        <f t="shared" si="29"/>
        <v>135</v>
      </c>
      <c r="AA150" s="3" t="e">
        <f t="shared" si="30"/>
        <v>#DIV/0!</v>
      </c>
      <c r="AB150" s="344">
        <f>IFERROR(VLOOKUP($G150,基本資料!$A:$M,11,0),"無")</f>
        <v>-19.47</v>
      </c>
      <c r="AC150" s="397">
        <f>IFERROR(VLOOKUP($G150,基本資料!$A:$M,12,0),"無")</f>
        <v>14.02</v>
      </c>
      <c r="AD150" s="22" t="s">
        <v>572</v>
      </c>
      <c r="AG150" s="33">
        <f t="shared" si="31"/>
        <v>0</v>
      </c>
      <c r="AH150" s="43" t="s">
        <v>2742</v>
      </c>
      <c r="AI150" s="63">
        <f t="shared" si="32"/>
        <v>5.2892561983471076E-4</v>
      </c>
      <c r="AJ150" s="284">
        <f>RTD("money.excel",,$G150,"PredictVolume")</f>
        <v>32</v>
      </c>
      <c r="AK150" s="399">
        <f>IFERROR(VLOOKUP($G150,基本資料!$A:$M,13,0),"無")</f>
        <v>2.38</v>
      </c>
    </row>
    <row r="151" spans="1:37">
      <c r="A151" s="347">
        <f>IFERROR(VLOOKUP($G151,基本資料!$A:$J,3,0),"無")</f>
        <v>14.29</v>
      </c>
      <c r="B151" s="79">
        <f>IFERROR(VLOOKUP($G151,基本資料!$A:$J,4,0),"無")</f>
        <v>33</v>
      </c>
      <c r="C151" s="79">
        <f>IFERROR(VLOOKUP($G151,基本資料!$A:$J,5,0),"無")</f>
        <v>32</v>
      </c>
      <c r="D151" s="79">
        <f>IFERROR(VLOOKUP($G151,基本資料!$A:$J,6,0),"無")</f>
        <v>1</v>
      </c>
      <c r="E151" s="79">
        <f>IFERROR(VLOOKUP($G151,基本資料!$A:$J,7,0),"無")</f>
        <v>22</v>
      </c>
      <c r="F151" s="6">
        <f>IFERROR(VLOOKUP($G151,基本資料!$A:$J,8,0),"無")</f>
        <v>15.49</v>
      </c>
      <c r="G151" s="79">
        <v>1560</v>
      </c>
      <c r="H151" s="8" t="s">
        <v>295</v>
      </c>
      <c r="I151" s="22" t="s">
        <v>172</v>
      </c>
      <c r="J151" s="8">
        <f>IFERROR(VLOOKUP($G151,今日總結!$A:$AJ,35,0),"")</f>
        <v>52</v>
      </c>
      <c r="K151" s="5">
        <f>IFERROR(VLOOKUP($G151,今日總結!$A:$AJ,36,0),"")</f>
        <v>0</v>
      </c>
      <c r="L151" s="156">
        <f>IFERROR(VLOOKUP($G151,今日總結!$A:$AJ,33,0),"")</f>
        <v>2</v>
      </c>
      <c r="M151" s="340">
        <f>IFERROR(VLOOKUP($G151,今日總結!$A:$AJ,34,0),"")</f>
        <v>0</v>
      </c>
      <c r="N151" s="240">
        <f t="shared" si="27"/>
        <v>2</v>
      </c>
      <c r="P151" s="365">
        <f>IFERROR(VLOOKUP($G151,融外自投!$A:$J,7,0),"無")</f>
        <v>235</v>
      </c>
      <c r="Q151" s="79">
        <f>IFERROR(VLOOKUP($G151,融外自投!$A:$J,9,0),"無")</f>
        <v>200</v>
      </c>
      <c r="R151" s="346">
        <f>IFERROR(VLOOKUP($G151,融外自投!$A:$J,8,0),"無")</f>
        <v>502</v>
      </c>
      <c r="S151" s="81">
        <f>IFERROR(VLOOKUP($G151,融外自投!$A:$J,10,0),"無")</f>
        <v>40</v>
      </c>
      <c r="T151" s="327">
        <f>IFERROR(VLOOKUP($G151,'321買'!$A:$E,5,0),"'沒有資料'")</f>
        <v>150</v>
      </c>
      <c r="U151" s="186">
        <f>IFERROR(VLOOKUP($G151,基本資料!$A:$J,9,0),"無")</f>
        <v>2.8</v>
      </c>
      <c r="V151" s="310">
        <f t="shared" si="28"/>
        <v>2.1455938697318006E-2</v>
      </c>
      <c r="W151" s="94">
        <f>IFERROR(VLOOKUP($G151,基本資料!$A:$J,10,0),"無")</f>
        <v>4.78</v>
      </c>
      <c r="X151" s="36">
        <f>RTD("money.excel",,"1560","Price")</f>
        <v>130.5</v>
      </c>
      <c r="Y151" s="66"/>
      <c r="Z151" s="15">
        <f t="shared" si="29"/>
        <v>130.5</v>
      </c>
      <c r="AA151" s="3" t="e">
        <f t="shared" si="30"/>
        <v>#DIV/0!</v>
      </c>
      <c r="AB151" s="344">
        <f>IFERROR(VLOOKUP($G151,基本資料!$A:$M,11,0),"無")</f>
        <v>-11.87</v>
      </c>
      <c r="AC151" s="397">
        <f>IFERROR(VLOOKUP($G151,基本資料!$A:$M,12,0),"無")</f>
        <v>57.76</v>
      </c>
      <c r="AD151" s="22" t="s">
        <v>172</v>
      </c>
      <c r="AG151" s="33">
        <f t="shared" si="31"/>
        <v>0</v>
      </c>
      <c r="AH151" s="117" t="s">
        <v>2005</v>
      </c>
      <c r="AI151" s="63">
        <f t="shared" si="32"/>
        <v>5.5598320503848844E-2</v>
      </c>
      <c r="AJ151" s="284">
        <f>RTD("money.excel",,$G151,"PredictVolume")</f>
        <v>7945</v>
      </c>
      <c r="AK151" s="399">
        <f>IFERROR(VLOOKUP($G151,基本資料!$A:$M,13,0),"無")</f>
        <v>52.44</v>
      </c>
    </row>
    <row r="152" spans="1:37">
      <c r="A152" s="347">
        <f>IFERROR(VLOOKUP($G152,基本資料!$A:$J,3,0),"無")</f>
        <v>5.15</v>
      </c>
      <c r="B152" s="79">
        <f>IFERROR(VLOOKUP($G152,基本資料!$A:$J,4,0),"無")</f>
        <v>181</v>
      </c>
      <c r="C152" s="79">
        <f>IFERROR(VLOOKUP($G152,基本資料!$A:$J,5,0),"無")</f>
        <v>63</v>
      </c>
      <c r="D152" s="79">
        <f>IFERROR(VLOOKUP($G152,基本資料!$A:$J,6,0),"無")</f>
        <v>141</v>
      </c>
      <c r="E152" s="79">
        <f>IFERROR(VLOOKUP($G152,基本資料!$A:$J,7,0),"無")</f>
        <v>6</v>
      </c>
      <c r="F152" s="6">
        <f>IFERROR(VLOOKUP($G152,基本資料!$A:$J,8,0),"無")</f>
        <v>15.31</v>
      </c>
      <c r="G152" s="79">
        <v>1570</v>
      </c>
      <c r="H152" s="8" t="s">
        <v>295</v>
      </c>
      <c r="I152" s="16" t="s">
        <v>525</v>
      </c>
      <c r="J152" s="8">
        <f>IFERROR(VLOOKUP($G152,今日總結!$A:$AJ,35,0),"")</f>
        <v>0</v>
      </c>
      <c r="K152" s="5" t="str">
        <f>IFERROR(VLOOKUP($G152,今日總結!$A:$AJ,36,0),"")</f>
        <v>外</v>
      </c>
      <c r="L152" s="156">
        <f>IFERROR(VLOOKUP($G152,今日總結!$A:$AJ,33,0),"")</f>
        <v>0</v>
      </c>
      <c r="M152" s="340">
        <f>IFERROR(VLOOKUP($G152,今日總結!$A:$AJ,34,0),"")</f>
        <v>1</v>
      </c>
      <c r="N152" s="240">
        <f t="shared" si="27"/>
        <v>-1</v>
      </c>
      <c r="P152" s="365">
        <f>IFERROR(VLOOKUP($G152,融外自投!$A:$J,7,0),"無")</f>
        <v>563</v>
      </c>
      <c r="Q152" s="79" t="str">
        <f>IFERROR(VLOOKUP($G152,融外自投!$A:$J,9,0),"無")</f>
        <v>無</v>
      </c>
      <c r="R152" s="346">
        <f>IFERROR(VLOOKUP($G152,融外自投!$A:$J,8,0),"無")</f>
        <v>843</v>
      </c>
      <c r="S152" s="81">
        <f>IFERROR(VLOOKUP($G152,融外自投!$A:$J,10,0),"無")</f>
        <v>207</v>
      </c>
      <c r="T152" s="327">
        <f>IFERROR(VLOOKUP($G152,'321買'!$A:$E,5,0),"'沒有資料'")</f>
        <v>664</v>
      </c>
      <c r="U152" s="186">
        <f>IFERROR(VLOOKUP($G152,基本資料!$A:$J,9,0),"無")</f>
        <v>1</v>
      </c>
      <c r="V152" s="310">
        <f t="shared" si="28"/>
        <v>5.6497175141242938E-2</v>
      </c>
      <c r="W152" s="94">
        <f>IFERROR(VLOOKUP($G152,基本資料!$A:$J,10,0),"無")</f>
        <v>2.61</v>
      </c>
      <c r="X152" s="36">
        <f>RTD("money.excel",,"1570","Price")</f>
        <v>17.7</v>
      </c>
      <c r="Y152" s="66"/>
      <c r="Z152" s="15">
        <f t="shared" si="29"/>
        <v>17.7</v>
      </c>
      <c r="AA152" s="3" t="e">
        <f t="shared" si="30"/>
        <v>#DIV/0!</v>
      </c>
      <c r="AB152" s="344">
        <f>IFERROR(VLOOKUP($G152,基本資料!$A:$M,11,0),"無")</f>
        <v>-37.43</v>
      </c>
      <c r="AC152" s="397">
        <f>IFERROR(VLOOKUP($G152,基本資料!$A:$M,12,0),"無")</f>
        <v>22.23</v>
      </c>
      <c r="AD152" s="16" t="s">
        <v>525</v>
      </c>
      <c r="AG152" s="33">
        <f t="shared" si="31"/>
        <v>0</v>
      </c>
      <c r="AH152" s="43" t="s">
        <v>2501</v>
      </c>
      <c r="AI152" s="63">
        <f t="shared" si="32"/>
        <v>3.0873786407766991E-3</v>
      </c>
      <c r="AJ152" s="284">
        <f>RTD("money.excel",,$G152,"PredictVolume")</f>
        <v>159</v>
      </c>
      <c r="AK152" s="399">
        <f>IFERROR(VLOOKUP($G152,基本資料!$A:$M,13,0),"無")</f>
        <v>33.06</v>
      </c>
    </row>
    <row r="153" spans="1:37">
      <c r="A153" s="347">
        <f>IFERROR(VLOOKUP($G153,基本資料!$A:$J,3,0),"無")</f>
        <v>5.0199999999999996</v>
      </c>
      <c r="B153" s="79">
        <f>IFERROR(VLOOKUP($G153,基本資料!$A:$J,4,0),"無")</f>
        <v>46</v>
      </c>
      <c r="C153" s="79">
        <f>IFERROR(VLOOKUP($G153,基本資料!$A:$J,5,0),"無")</f>
        <v>41</v>
      </c>
      <c r="D153" s="79">
        <f>IFERROR(VLOOKUP($G153,基本資料!$A:$J,6,0),"無")</f>
        <v>45</v>
      </c>
      <c r="E153" s="79">
        <f>IFERROR(VLOOKUP($G153,基本資料!$A:$J,7,0),"無")</f>
        <v>0</v>
      </c>
      <c r="F153" s="6">
        <f>IFERROR(VLOOKUP($G153,基本資料!$A:$J,8,0),"無")</f>
        <v>16.12</v>
      </c>
      <c r="G153" s="79">
        <v>1580</v>
      </c>
      <c r="H153" s="8" t="s">
        <v>295</v>
      </c>
      <c r="I153" s="16" t="s">
        <v>35</v>
      </c>
      <c r="J153" s="8">
        <f>IFERROR(VLOOKUP($G153,今日總結!$A:$AJ,35,0),"")</f>
        <v>0</v>
      </c>
      <c r="K153" s="5">
        <f>IFERROR(VLOOKUP($G153,今日總結!$A:$AJ,36,0),"")</f>
        <v>0</v>
      </c>
      <c r="L153" s="156">
        <f>IFERROR(VLOOKUP($G153,今日總結!$A:$AJ,33,0),"")</f>
        <v>0</v>
      </c>
      <c r="M153" s="340">
        <f>IFERROR(VLOOKUP($G153,今日總結!$A:$AJ,34,0),"")</f>
        <v>1</v>
      </c>
      <c r="N153" s="240">
        <f t="shared" si="27"/>
        <v>-1</v>
      </c>
      <c r="P153" s="365">
        <f>IFERROR(VLOOKUP($G153,融外自投!$A:$J,7,0),"無")</f>
        <v>682</v>
      </c>
      <c r="Q153" s="79">
        <f>IFERROR(VLOOKUP($G153,融外自投!$A:$J,9,0),"無")</f>
        <v>896</v>
      </c>
      <c r="R153" s="346">
        <f>IFERROR(VLOOKUP($G153,融外自投!$A:$J,8,0),"無")</f>
        <v>618</v>
      </c>
      <c r="S153" s="81">
        <f>IFERROR(VLOOKUP($G153,融外自投!$A:$J,10,0),"無")</f>
        <v>334</v>
      </c>
      <c r="T153" s="327">
        <f>IFERROR(VLOOKUP($G153,'321買'!$A:$E,5,0),"'沒有資料'")</f>
        <v>1038</v>
      </c>
      <c r="U153" s="186">
        <f>IFERROR(VLOOKUP($G153,基本資料!$A:$J,9,0),"無")</f>
        <v>7</v>
      </c>
      <c r="V153" s="310">
        <f t="shared" si="28"/>
        <v>7.0000000000000007E-2</v>
      </c>
      <c r="W153" s="94">
        <f>IFERROR(VLOOKUP($G153,基本資料!$A:$J,10,0),"無")</f>
        <v>10.16</v>
      </c>
      <c r="X153" s="36">
        <f>RTD("money.excel",,"1580","Price")</f>
        <v>100</v>
      </c>
      <c r="Y153" s="66"/>
      <c r="Z153" s="15">
        <f t="shared" si="29"/>
        <v>100</v>
      </c>
      <c r="AA153" s="3" t="e">
        <f t="shared" si="30"/>
        <v>#DIV/0!</v>
      </c>
      <c r="AB153" s="344">
        <f>IFERROR(VLOOKUP($G153,基本資料!$A:$M,11,0),"無")</f>
        <v>-10.27</v>
      </c>
      <c r="AC153" s="397">
        <f>IFERROR(VLOOKUP($G153,基本資料!$A:$M,12,0),"無")</f>
        <v>26.39</v>
      </c>
      <c r="AD153" s="16" t="s">
        <v>35</v>
      </c>
      <c r="AG153" s="33">
        <f t="shared" si="31"/>
        <v>0</v>
      </c>
      <c r="AH153" s="117" t="s">
        <v>2502</v>
      </c>
      <c r="AI153" s="63">
        <f t="shared" si="32"/>
        <v>4.7011952191235067E-3</v>
      </c>
      <c r="AJ153" s="284">
        <f>RTD("money.excel",,$G153,"PredictVolume")</f>
        <v>236</v>
      </c>
      <c r="AK153" s="399">
        <f>IFERROR(VLOOKUP($G153,基本資料!$A:$M,13,0),"無")</f>
        <v>1.55</v>
      </c>
    </row>
    <row r="154" spans="1:37">
      <c r="A154" s="347">
        <f>IFERROR(VLOOKUP($G154,基本資料!$A:$J,3,0),"無")</f>
        <v>11.04</v>
      </c>
      <c r="B154" s="79">
        <f>IFERROR(VLOOKUP($G154,基本資料!$A:$J,4,0),"無")</f>
        <v>-36</v>
      </c>
      <c r="C154" s="79">
        <f>IFERROR(VLOOKUP($G154,基本資料!$A:$J,5,0),"無")</f>
        <v>934</v>
      </c>
      <c r="D154" s="79">
        <f>IFERROR(VLOOKUP($G154,基本資料!$A:$J,6,0),"無")</f>
        <v>14</v>
      </c>
      <c r="E154" s="79">
        <f>IFERROR(VLOOKUP($G154,基本資料!$A:$J,7,0),"無")</f>
        <v>-37</v>
      </c>
      <c r="F154" s="6">
        <f>IFERROR(VLOOKUP($G154,基本資料!$A:$J,8,0),"無")</f>
        <v>9</v>
      </c>
      <c r="G154" s="79">
        <v>1583</v>
      </c>
      <c r="H154" s="8" t="s">
        <v>295</v>
      </c>
      <c r="I154" s="22" t="s">
        <v>573</v>
      </c>
      <c r="J154" s="8" t="str">
        <f>IFERROR(VLOOKUP($G154,今日總結!$A:$AJ,35,0),"")</f>
        <v/>
      </c>
      <c r="K154" s="5" t="str">
        <f>IFERROR(VLOOKUP($G154,今日總結!$A:$AJ,36,0),"")</f>
        <v/>
      </c>
      <c r="L154" s="156" t="str">
        <f>IFERROR(VLOOKUP($G154,今日總結!$A:$AJ,33,0),"")</f>
        <v/>
      </c>
      <c r="M154" s="340" t="str">
        <f>IFERROR(VLOOKUP($G154,今日總結!$A:$AJ,34,0),"")</f>
        <v/>
      </c>
      <c r="N154" s="240" t="str">
        <f t="shared" si="27"/>
        <v/>
      </c>
      <c r="P154" s="365">
        <f>IFERROR(VLOOKUP($G154,融外自投!$A:$J,7,0),"無")</f>
        <v>1410</v>
      </c>
      <c r="Q154" s="79">
        <f>IFERROR(VLOOKUP($G154,融外自投!$A:$J,9,0),"無")</f>
        <v>1110</v>
      </c>
      <c r="R154" s="346">
        <f>IFERROR(VLOOKUP($G154,融外自投!$A:$J,8,0),"無")</f>
        <v>1426</v>
      </c>
      <c r="S154" s="81">
        <f>IFERROR(VLOOKUP($G154,融外自投!$A:$J,10,0),"無")</f>
        <v>437</v>
      </c>
      <c r="T154" s="327">
        <f>IFERROR(VLOOKUP($G154,'321買'!$A:$E,5,0),"'沒有資料'")</f>
        <v>1338</v>
      </c>
      <c r="U154" s="186">
        <f>IFERROR(VLOOKUP($G154,基本資料!$A:$J,9,0),"無")</f>
        <v>2.5</v>
      </c>
      <c r="V154" s="310" t="e">
        <f t="shared" si="28"/>
        <v>#VALUE!</v>
      </c>
      <c r="W154" s="94">
        <f>IFERROR(VLOOKUP($G154,基本資料!$A:$J,10,0),"無")</f>
        <v>3.29</v>
      </c>
      <c r="X154" s="36" t="str">
        <f>RTD("money.excel",,"1583","Price")</f>
        <v>無資料</v>
      </c>
      <c r="Y154" s="66"/>
      <c r="Z154" s="15" t="e">
        <f t="shared" si="29"/>
        <v>#VALUE!</v>
      </c>
      <c r="AA154" s="3" t="e">
        <f t="shared" si="30"/>
        <v>#VALUE!</v>
      </c>
      <c r="AB154" s="344">
        <f>IFERROR(VLOOKUP($G154,基本資料!$A:$M,11,0),"無")</f>
        <v>-26.62</v>
      </c>
      <c r="AC154" s="397">
        <f>IFERROR(VLOOKUP($G154,基本資料!$A:$M,12,0),"無")</f>
        <v>35.75</v>
      </c>
      <c r="AD154" s="22" t="s">
        <v>573</v>
      </c>
      <c r="AG154" s="33">
        <f t="shared" si="31"/>
        <v>0</v>
      </c>
      <c r="AH154" s="43" t="s">
        <v>2743</v>
      </c>
      <c r="AI154" s="63">
        <f t="shared" si="32"/>
        <v>0</v>
      </c>
      <c r="AJ154" s="284">
        <f>RTD("money.excel",,$G154,"PredictVolume")</f>
        <v>0</v>
      </c>
      <c r="AK154" s="399">
        <f>IFERROR(VLOOKUP($G154,基本資料!$A:$M,13,0),"無")</f>
        <v>0.97</v>
      </c>
    </row>
    <row r="155" spans="1:37">
      <c r="A155" s="347">
        <f>IFERROR(VLOOKUP($G155,基本資料!$A:$J,3,0),"無")</f>
        <v>8.58</v>
      </c>
      <c r="B155" s="79">
        <f>IFERROR(VLOOKUP($G155,基本資料!$A:$J,4,0),"無")</f>
        <v>-21</v>
      </c>
      <c r="C155" s="79">
        <f>IFERROR(VLOOKUP($G155,基本資料!$A:$J,5,0),"無")</f>
        <v>-19</v>
      </c>
      <c r="D155" s="79">
        <f>IFERROR(VLOOKUP($G155,基本資料!$A:$J,6,0),"無")</f>
        <v>-33</v>
      </c>
      <c r="E155" s="79">
        <f>IFERROR(VLOOKUP($G155,基本資料!$A:$J,7,0),"無")</f>
        <v>-16</v>
      </c>
      <c r="F155" s="6">
        <f>IFERROR(VLOOKUP($G155,基本資料!$A:$J,8,0),"無")</f>
        <v>7.02</v>
      </c>
      <c r="G155" s="79">
        <v>1586</v>
      </c>
      <c r="H155" s="8" t="s">
        <v>295</v>
      </c>
      <c r="I155" s="16" t="s">
        <v>552</v>
      </c>
      <c r="J155" s="8" t="str">
        <f>IFERROR(VLOOKUP($G155,今日總結!$A:$AJ,35,0),"")</f>
        <v>融主</v>
      </c>
      <c r="K155" s="5">
        <f>IFERROR(VLOOKUP($G155,今日總結!$A:$AJ,36,0),"")</f>
        <v>0</v>
      </c>
      <c r="L155" s="156">
        <f>IFERROR(VLOOKUP($G155,今日總結!$A:$AJ,33,0),"")</f>
        <v>2</v>
      </c>
      <c r="M155" s="340">
        <f>IFERROR(VLOOKUP($G155,今日總結!$A:$AJ,34,0),"")</f>
        <v>0</v>
      </c>
      <c r="N155" s="240">
        <f t="shared" si="27"/>
        <v>2</v>
      </c>
      <c r="P155" s="365">
        <f>IFERROR(VLOOKUP($G155,融外自投!$A:$J,7,0),"無")</f>
        <v>10</v>
      </c>
      <c r="Q155" s="79">
        <f>IFERROR(VLOOKUP($G155,融外自投!$A:$J,9,0),"無")</f>
        <v>447</v>
      </c>
      <c r="R155" s="346">
        <f>IFERROR(VLOOKUP($G155,融外自投!$A:$J,8,0),"無")</f>
        <v>1091</v>
      </c>
      <c r="S155" s="81" t="str">
        <f>IFERROR(VLOOKUP($G155,融外自投!$A:$J,10,0),"無")</f>
        <v>無</v>
      </c>
      <c r="T155" s="327">
        <f>IFERROR(VLOOKUP($G155,'321買'!$A:$E,5,0),"'沒有資料'")</f>
        <v>110</v>
      </c>
      <c r="U155" s="186">
        <f>IFERROR(VLOOKUP($G155,基本資料!$A:$J,9,0),"無")</f>
        <v>0.65</v>
      </c>
      <c r="V155" s="310">
        <f t="shared" si="28"/>
        <v>1.683937823834197E-2</v>
      </c>
      <c r="W155" s="94">
        <f>IFERROR(VLOOKUP($G155,基本資料!$A:$J,10,0),"無")</f>
        <v>1.29</v>
      </c>
      <c r="X155" s="36">
        <f>RTD("money.excel",,"1586","Price")</f>
        <v>38.6</v>
      </c>
      <c r="Y155" s="66"/>
      <c r="Z155" s="15">
        <f t="shared" si="29"/>
        <v>38.6</v>
      </c>
      <c r="AA155" s="3" t="e">
        <f t="shared" si="30"/>
        <v>#DIV/0!</v>
      </c>
      <c r="AB155" s="344">
        <f>IFERROR(VLOOKUP($G155,基本資料!$A:$M,11,0),"無")</f>
        <v>-15.11</v>
      </c>
      <c r="AC155" s="397">
        <f>IFERROR(VLOOKUP($G155,基本資料!$A:$M,12,0),"無")</f>
        <v>21.97</v>
      </c>
      <c r="AD155" s="16" t="s">
        <v>552</v>
      </c>
      <c r="AG155" s="33">
        <f t="shared" si="31"/>
        <v>0</v>
      </c>
      <c r="AH155" s="43" t="s">
        <v>2327</v>
      </c>
      <c r="AI155" s="63">
        <f t="shared" si="32"/>
        <v>9.4405594405594406E-4</v>
      </c>
      <c r="AJ155" s="284">
        <f>RTD("money.excel",,$G155,"PredictVolume")</f>
        <v>81</v>
      </c>
      <c r="AK155" s="399">
        <f>IFERROR(VLOOKUP($G155,基本資料!$A:$M,13,0),"無")</f>
        <v>3.88</v>
      </c>
    </row>
    <row r="156" spans="1:37">
      <c r="A156" s="347">
        <f>IFERROR(VLOOKUP($G156,基本資料!$A:$J,3,0),"無")</f>
        <v>11.06</v>
      </c>
      <c r="B156" s="79">
        <f>IFERROR(VLOOKUP($G156,基本資料!$A:$J,4,0),"無")</f>
        <v>-58</v>
      </c>
      <c r="C156" s="79">
        <f>IFERROR(VLOOKUP($G156,基本資料!$A:$J,5,0),"無")</f>
        <v>-41</v>
      </c>
      <c r="D156" s="79">
        <f>IFERROR(VLOOKUP($G156,基本資料!$A:$J,6,0),"無")</f>
        <v>1</v>
      </c>
      <c r="E156" s="79">
        <f>IFERROR(VLOOKUP($G156,基本資料!$A:$J,7,0),"無")</f>
        <v>-11</v>
      </c>
      <c r="F156" s="6">
        <f>IFERROR(VLOOKUP($G156,基本資料!$A:$J,8,0),"無")</f>
        <v>3.53</v>
      </c>
      <c r="G156" s="79">
        <v>1589</v>
      </c>
      <c r="H156" s="8" t="s">
        <v>295</v>
      </c>
      <c r="I156" s="22" t="s">
        <v>574</v>
      </c>
      <c r="J156" s="8" t="str">
        <f>IFERROR(VLOOKUP($G156,今日總結!$A:$AJ,35,0),"")</f>
        <v/>
      </c>
      <c r="K156" s="5" t="str">
        <f>IFERROR(VLOOKUP($G156,今日總結!$A:$AJ,36,0),"")</f>
        <v/>
      </c>
      <c r="L156" s="156" t="str">
        <f>IFERROR(VLOOKUP($G156,今日總結!$A:$AJ,33,0),"")</f>
        <v/>
      </c>
      <c r="M156" s="340" t="str">
        <f>IFERROR(VLOOKUP($G156,今日總結!$A:$AJ,34,0),"")</f>
        <v/>
      </c>
      <c r="N156" s="240" t="str">
        <f t="shared" si="27"/>
        <v/>
      </c>
      <c r="P156" s="365">
        <f>IFERROR(VLOOKUP($G156,融外自投!$A:$J,7,0),"無")</f>
        <v>226</v>
      </c>
      <c r="Q156" s="79">
        <f>IFERROR(VLOOKUP($G156,融外自投!$A:$J,9,0),"無")</f>
        <v>316</v>
      </c>
      <c r="R156" s="346">
        <f>IFERROR(VLOOKUP($G156,融外自投!$A:$J,8,0),"無")</f>
        <v>815</v>
      </c>
      <c r="S156" s="81">
        <f>IFERROR(VLOOKUP($G156,融外自投!$A:$J,10,0),"無")</f>
        <v>334</v>
      </c>
      <c r="T156" s="327">
        <f>IFERROR(VLOOKUP($G156,'321買'!$A:$E,5,0),"'沒有資料'")</f>
        <v>1099</v>
      </c>
      <c r="U156" s="186">
        <f>IFERROR(VLOOKUP($G156,基本資料!$A:$J,9,0),"無")</f>
        <v>0.6</v>
      </c>
      <c r="V156" s="310">
        <f t="shared" si="28"/>
        <v>1.0434782608695651E-2</v>
      </c>
      <c r="W156" s="94">
        <f>IFERROR(VLOOKUP($G156,基本資料!$A:$J,10,0),"無")</f>
        <v>1.95</v>
      </c>
      <c r="X156" s="36">
        <f>RTD("money.excel",,"1589","Price")</f>
        <v>57.5</v>
      </c>
      <c r="Y156" s="66"/>
      <c r="Z156" s="15">
        <f t="shared" si="29"/>
        <v>57.5</v>
      </c>
      <c r="AA156" s="3" t="e">
        <f t="shared" si="30"/>
        <v>#DIV/0!</v>
      </c>
      <c r="AB156" s="344">
        <f>IFERROR(VLOOKUP($G156,基本資料!$A:$M,11,0),"無")</f>
        <v>-24.48</v>
      </c>
      <c r="AC156" s="397">
        <f>IFERROR(VLOOKUP($G156,基本資料!$A:$M,12,0),"無")</f>
        <v>24.38</v>
      </c>
      <c r="AD156" s="22" t="s">
        <v>574</v>
      </c>
      <c r="AG156" s="33">
        <f t="shared" si="31"/>
        <v>0</v>
      </c>
      <c r="AH156" s="43" t="s">
        <v>2744</v>
      </c>
      <c r="AI156" s="63">
        <f t="shared" si="32"/>
        <v>7.6672694394213379E-3</v>
      </c>
      <c r="AJ156" s="284">
        <f>RTD("money.excel",,$G156,"PredictVolume")</f>
        <v>848</v>
      </c>
      <c r="AK156" s="399">
        <f>IFERROR(VLOOKUP($G156,基本資料!$A:$M,13,0),"無")</f>
        <v>19.100000000000001</v>
      </c>
    </row>
    <row r="157" spans="1:37">
      <c r="A157" s="347">
        <f>IFERROR(VLOOKUP($G157,基本資料!$A:$J,3,0),"無")</f>
        <v>20</v>
      </c>
      <c r="B157" s="79">
        <f>IFERROR(VLOOKUP($G157,基本資料!$A:$J,4,0),"無")</f>
        <v>32</v>
      </c>
      <c r="C157" s="79">
        <f>IFERROR(VLOOKUP($G157,基本資料!$A:$J,5,0),"無")</f>
        <v>37</v>
      </c>
      <c r="D157" s="79">
        <f>IFERROR(VLOOKUP($G157,基本資料!$A:$J,6,0),"無")</f>
        <v>-20</v>
      </c>
      <c r="E157" s="79">
        <f>IFERROR(VLOOKUP($G157,基本資料!$A:$J,7,0),"無")</f>
        <v>-6</v>
      </c>
      <c r="F157" s="6">
        <f>IFERROR(VLOOKUP($G157,基本資料!$A:$J,8,0),"無")</f>
        <v>32.35</v>
      </c>
      <c r="G157" s="79">
        <v>1590</v>
      </c>
      <c r="H157" s="192" t="s">
        <v>295</v>
      </c>
      <c r="I157" s="22" t="s">
        <v>127</v>
      </c>
      <c r="J157" s="8">
        <f>IFERROR(VLOOKUP($G157,今日總結!$A:$AJ,35,0),"")</f>
        <v>0</v>
      </c>
      <c r="K157" s="5" t="str">
        <f>IFERROR(VLOOKUP($G157,今日總結!$A:$AJ,36,0),"")</f>
        <v>借</v>
      </c>
      <c r="L157" s="156">
        <f>IFERROR(VLOOKUP($G157,今日總結!$A:$AJ,33,0),"")</f>
        <v>0</v>
      </c>
      <c r="M157" s="340">
        <f>IFERROR(VLOOKUP($G157,今日總結!$A:$AJ,34,0),"")</f>
        <v>1</v>
      </c>
      <c r="N157" s="240">
        <f t="shared" si="27"/>
        <v>-1</v>
      </c>
      <c r="P157" s="365">
        <f>IFERROR(VLOOKUP($G157,融外自投!$A:$J,7,0),"無")</f>
        <v>1276</v>
      </c>
      <c r="Q157" s="79">
        <f>IFERROR(VLOOKUP($G157,融外自投!$A:$J,9,0),"無")</f>
        <v>734</v>
      </c>
      <c r="R157" s="346">
        <f>IFERROR(VLOOKUP($G157,融外自投!$A:$J,8,0),"無")</f>
        <v>7</v>
      </c>
      <c r="S157" s="81">
        <f>IFERROR(VLOOKUP($G157,融外自投!$A:$J,10,0),"無")</f>
        <v>215</v>
      </c>
      <c r="T157" s="327">
        <f>IFERROR(VLOOKUP($G157,'321買'!$A:$E,5,0),"'沒有資料'")</f>
        <v>480</v>
      </c>
      <c r="U157" s="186">
        <f>IFERROR(VLOOKUP($G157,基本資料!$A:$J,9,0),"無")</f>
        <v>13.31</v>
      </c>
      <c r="V157" s="310">
        <f t="shared" si="28"/>
        <v>1.6094316807738814E-2</v>
      </c>
      <c r="W157" s="94">
        <f>IFERROR(VLOOKUP($G157,基本資料!$A:$J,10,0),"無")</f>
        <v>33.67</v>
      </c>
      <c r="X157" s="372">
        <f>RTD("money.excel",,"1590","Price")</f>
        <v>827</v>
      </c>
      <c r="Y157" s="66"/>
      <c r="Z157" s="137">
        <f t="shared" si="29"/>
        <v>827</v>
      </c>
      <c r="AA157" s="3" t="e">
        <f t="shared" si="30"/>
        <v>#DIV/0!</v>
      </c>
      <c r="AB157" s="344">
        <f>IFERROR(VLOOKUP($G157,基本資料!$A:$M,11,0),"無")</f>
        <v>-30.93</v>
      </c>
      <c r="AC157" s="397">
        <f>IFERROR(VLOOKUP($G157,基本資料!$A:$M,12,0),"無")</f>
        <v>22.63</v>
      </c>
      <c r="AD157" s="22" t="s">
        <v>127</v>
      </c>
      <c r="AG157" s="33">
        <f t="shared" si="31"/>
        <v>0</v>
      </c>
      <c r="AH157" s="117" t="s">
        <v>2536</v>
      </c>
      <c r="AI157" s="63">
        <f t="shared" si="32"/>
        <v>2.7650000000000001E-3</v>
      </c>
      <c r="AJ157" s="284">
        <f>RTD("money.excel",,$G157,"PredictVolume")</f>
        <v>553</v>
      </c>
      <c r="AK157" s="399">
        <f>IFERROR(VLOOKUP($G157,基本資料!$A:$M,13,0),"無")</f>
        <v>1.63</v>
      </c>
    </row>
    <row r="158" spans="1:37">
      <c r="A158" s="347">
        <f>IFERROR(VLOOKUP($G158,基本資料!$A:$J,3,0),"無")</f>
        <v>3.31</v>
      </c>
      <c r="B158" s="79">
        <f>IFERROR(VLOOKUP($G158,基本資料!$A:$J,4,0),"無")</f>
        <v>-5</v>
      </c>
      <c r="C158" s="79">
        <f>IFERROR(VLOOKUP($G158,基本資料!$A:$J,5,0),"無")</f>
        <v>371</v>
      </c>
      <c r="D158" s="79">
        <f>IFERROR(VLOOKUP($G158,基本資料!$A:$J,6,0),"無")</f>
        <v>9</v>
      </c>
      <c r="E158" s="79">
        <f>IFERROR(VLOOKUP($G158,基本資料!$A:$J,7,0),"無")</f>
        <v>-6</v>
      </c>
      <c r="F158" s="6">
        <f>IFERROR(VLOOKUP($G158,基本資料!$A:$J,8,0),"無")</f>
        <v>10.68</v>
      </c>
      <c r="G158" s="79">
        <v>1591</v>
      </c>
      <c r="H158" s="8" t="s">
        <v>295</v>
      </c>
      <c r="I158" s="16" t="s">
        <v>526</v>
      </c>
      <c r="J158" s="8">
        <f>IFERROR(VLOOKUP($G158,今日總結!$A:$AJ,35,0),"")</f>
        <v>4</v>
      </c>
      <c r="K158" s="5">
        <f>IFERROR(VLOOKUP($G158,今日總結!$A:$AJ,36,0),"")</f>
        <v>0</v>
      </c>
      <c r="L158" s="156">
        <f>IFERROR(VLOOKUP($G158,今日總結!$A:$AJ,33,0),"")</f>
        <v>1</v>
      </c>
      <c r="M158" s="340">
        <f>IFERROR(VLOOKUP($G158,今日總結!$A:$AJ,34,0),"")</f>
        <v>0</v>
      </c>
      <c r="N158" s="240">
        <f t="shared" si="27"/>
        <v>1</v>
      </c>
      <c r="P158" s="365">
        <f>IFERROR(VLOOKUP($G158,融外自投!$A:$J,7,0),"無")</f>
        <v>59</v>
      </c>
      <c r="Q158" s="79">
        <f>IFERROR(VLOOKUP($G158,融外自投!$A:$J,9,0),"無")</f>
        <v>474</v>
      </c>
      <c r="R158" s="346">
        <f>IFERROR(VLOOKUP($G158,融外自投!$A:$J,8,0),"無")</f>
        <v>339</v>
      </c>
      <c r="S158" s="81" t="str">
        <f>IFERROR(VLOOKUP($G158,融外自投!$A:$J,10,0),"無")</f>
        <v>無</v>
      </c>
      <c r="T158" s="327">
        <f>IFERROR(VLOOKUP($G158,'321買'!$A:$E,5,0),"'沒有資料'")</f>
        <v>1281</v>
      </c>
      <c r="U158" s="186">
        <f>IFERROR(VLOOKUP($G158,基本資料!$A:$J,9,0),"無")</f>
        <v>1</v>
      </c>
      <c r="V158" s="310">
        <f t="shared" si="28"/>
        <v>4.3763676148796497E-2</v>
      </c>
      <c r="W158" s="94">
        <f>IFERROR(VLOOKUP($G158,基本資料!$A:$J,10,0),"無")</f>
        <v>1.52</v>
      </c>
      <c r="X158" s="36">
        <f>RTD("money.excel",,"1591","Price")</f>
        <v>22.85</v>
      </c>
      <c r="Y158" s="66"/>
      <c r="Z158" s="15">
        <f t="shared" si="29"/>
        <v>22.85</v>
      </c>
      <c r="AA158" s="3" t="e">
        <f t="shared" si="30"/>
        <v>#DIV/0!</v>
      </c>
      <c r="AB158" s="344">
        <f>IFERROR(VLOOKUP($G158,基本資料!$A:$M,11,0),"無")</f>
        <v>-8.0299999999999994</v>
      </c>
      <c r="AC158" s="397">
        <f>IFERROR(VLOOKUP($G158,基本資料!$A:$M,12,0),"無")</f>
        <v>74.900000000000006</v>
      </c>
      <c r="AD158" s="16" t="s">
        <v>526</v>
      </c>
      <c r="AG158" s="33">
        <f t="shared" si="31"/>
        <v>0</v>
      </c>
      <c r="AH158" s="43" t="s">
        <v>2503</v>
      </c>
      <c r="AI158" s="63">
        <f t="shared" si="32"/>
        <v>2.1873111782477341E-2</v>
      </c>
      <c r="AJ158" s="284">
        <f>RTD("money.excel",,$G158,"PredictVolume")</f>
        <v>724</v>
      </c>
      <c r="AK158" s="399">
        <f>IFERROR(VLOOKUP($G158,基本資料!$A:$M,13,0),"無")</f>
        <v>26.16</v>
      </c>
    </row>
    <row r="159" spans="1:37">
      <c r="A159" s="347">
        <f>IFERROR(VLOOKUP($G159,基本資料!$A:$J,3,0),"無")</f>
        <v>8.11</v>
      </c>
      <c r="B159" s="79">
        <f>IFERROR(VLOOKUP($G159,基本資料!$A:$J,4,0),"無")</f>
        <v>52</v>
      </c>
      <c r="C159" s="79">
        <f>IFERROR(VLOOKUP($G159,基本資料!$A:$J,5,0),"無")</f>
        <v>74</v>
      </c>
      <c r="D159" s="79">
        <f>IFERROR(VLOOKUP($G159,基本資料!$A:$J,6,0),"無")</f>
        <v>22</v>
      </c>
      <c r="E159" s="79">
        <f>IFERROR(VLOOKUP($G159,基本資料!$A:$J,7,0),"無")</f>
        <v>-5</v>
      </c>
      <c r="F159" s="6">
        <f>IFERROR(VLOOKUP($G159,基本資料!$A:$J,8,0),"無")</f>
        <v>26.03</v>
      </c>
      <c r="G159" s="79">
        <v>1597</v>
      </c>
      <c r="H159" s="8" t="s">
        <v>295</v>
      </c>
      <c r="I159" s="22" t="s">
        <v>170</v>
      </c>
      <c r="J159" s="8" t="str">
        <f>IFERROR(VLOOKUP($G159,今日總結!$A:$AJ,35,0),"")</f>
        <v/>
      </c>
      <c r="K159" s="5" t="str">
        <f>IFERROR(VLOOKUP($G159,今日總結!$A:$AJ,36,0),"")</f>
        <v/>
      </c>
      <c r="L159" s="156" t="str">
        <f>IFERROR(VLOOKUP($G159,今日總結!$A:$AJ,33,0),"")</f>
        <v/>
      </c>
      <c r="M159" s="340" t="str">
        <f>IFERROR(VLOOKUP($G159,今日總結!$A:$AJ,34,0),"")</f>
        <v/>
      </c>
      <c r="N159" s="240" t="str">
        <f t="shared" si="27"/>
        <v/>
      </c>
      <c r="P159" s="365">
        <f>IFERROR(VLOOKUP($G159,融外自投!$A:$J,7,0),"無")</f>
        <v>741</v>
      </c>
      <c r="Q159" s="79" t="str">
        <f>IFERROR(VLOOKUP($G159,融外自投!$A:$J,9,0),"無")</f>
        <v>無</v>
      </c>
      <c r="R159" s="346">
        <f>IFERROR(VLOOKUP($G159,融外自投!$A:$J,8,0),"無")</f>
        <v>904</v>
      </c>
      <c r="S159" s="81" t="str">
        <f>IFERROR(VLOOKUP($G159,融外自投!$A:$J,10,0),"無")</f>
        <v>無</v>
      </c>
      <c r="T159" s="327">
        <f>IFERROR(VLOOKUP($G159,'321買'!$A:$E,5,0),"'沒有資料'")</f>
        <v>1214</v>
      </c>
      <c r="U159" s="186">
        <f>IFERROR(VLOOKUP($G159,基本資料!$A:$J,9,0),"無")</f>
        <v>2.5</v>
      </c>
      <c r="V159" s="310">
        <f t="shared" si="28"/>
        <v>3.2851511169513799E-2</v>
      </c>
      <c r="W159" s="94">
        <f>IFERROR(VLOOKUP($G159,基本資料!$A:$J,10,0),"無")</f>
        <v>3.82</v>
      </c>
      <c r="X159" s="36">
        <f>RTD("money.excel",,"1597","Price")</f>
        <v>76.099999999999994</v>
      </c>
      <c r="Y159" s="66"/>
      <c r="Z159" s="15">
        <f t="shared" si="29"/>
        <v>76.099999999999994</v>
      </c>
      <c r="AA159" s="3" t="e">
        <f t="shared" si="30"/>
        <v>#DIV/0!</v>
      </c>
      <c r="AB159" s="344">
        <f>IFERROR(VLOOKUP($G159,基本資料!$A:$M,11,0),"無")</f>
        <v>-40.86</v>
      </c>
      <c r="AC159" s="397">
        <f>IFERROR(VLOOKUP($G159,基本資料!$A:$M,12,0),"無")</f>
        <v>17.510000000000002</v>
      </c>
      <c r="AD159" s="22" t="s">
        <v>170</v>
      </c>
      <c r="AG159" s="33">
        <f t="shared" si="31"/>
        <v>0</v>
      </c>
      <c r="AH159" s="117" t="s">
        <v>2504</v>
      </c>
      <c r="AI159" s="63">
        <f t="shared" si="32"/>
        <v>5.0554870530209622E-4</v>
      </c>
      <c r="AJ159" s="284">
        <f>RTD("money.excel",,$G159,"PredictVolume")</f>
        <v>41</v>
      </c>
      <c r="AK159" s="399">
        <f>IFERROR(VLOOKUP($G159,基本資料!$A:$M,13,0),"無")</f>
        <v>9.83</v>
      </c>
    </row>
    <row r="160" spans="1:37">
      <c r="A160" s="347">
        <f>IFERROR(VLOOKUP($G160,基本資料!$A:$J,3,0),"無")</f>
        <v>7.45</v>
      </c>
      <c r="B160" s="79">
        <f>IFERROR(VLOOKUP($G160,基本資料!$A:$J,4,0),"無")</f>
        <v>47</v>
      </c>
      <c r="C160" s="79">
        <f>IFERROR(VLOOKUP($G160,基本資料!$A:$J,5,0),"無")</f>
        <v>66</v>
      </c>
      <c r="D160" s="79">
        <f>IFERROR(VLOOKUP($G160,基本資料!$A:$J,6,0),"無")</f>
        <v>113</v>
      </c>
      <c r="E160" s="79">
        <f>IFERROR(VLOOKUP($G160,基本資料!$A:$J,7,0),"無")</f>
        <v>36</v>
      </c>
      <c r="F160" s="6">
        <f>IFERROR(VLOOKUP($G160,基本資料!$A:$J,8,0),"無")</f>
        <v>11</v>
      </c>
      <c r="G160" s="79">
        <v>1599</v>
      </c>
      <c r="H160" s="8" t="s">
        <v>295</v>
      </c>
      <c r="I160" s="16" t="s">
        <v>3593</v>
      </c>
      <c r="J160" s="8">
        <f>IFERROR(VLOOKUP($G160,今日總結!$A:$AJ,35,0),"")</f>
        <v>0</v>
      </c>
      <c r="K160" s="5">
        <f>IFERROR(VLOOKUP($G160,今日總結!$A:$AJ,36,0),"")</f>
        <v>0</v>
      </c>
      <c r="L160" s="156">
        <f>IFERROR(VLOOKUP($G160,今日總結!$A:$AJ,33,0),"")</f>
        <v>0</v>
      </c>
      <c r="M160" s="340">
        <f>IFERROR(VLOOKUP($G160,今日總結!$A:$AJ,34,0),"")</f>
        <v>1</v>
      </c>
      <c r="N160" s="240">
        <f t="shared" si="27"/>
        <v>-1</v>
      </c>
      <c r="P160" s="365">
        <f>IFERROR(VLOOKUP($G160,融外自投!$A:$J,7,0),"無")</f>
        <v>631</v>
      </c>
      <c r="Q160" s="79">
        <f>IFERROR(VLOOKUP($G160,融外自投!$A:$J,9,0),"無")</f>
        <v>824</v>
      </c>
      <c r="R160" s="346">
        <f>IFERROR(VLOOKUP($G160,融外自投!$A:$J,8,0),"無")</f>
        <v>378</v>
      </c>
      <c r="S160" s="81" t="str">
        <f>IFERROR(VLOOKUP($G160,融外自投!$A:$J,10,0),"無")</f>
        <v>無</v>
      </c>
      <c r="T160" s="327">
        <f>IFERROR(VLOOKUP($G160,'321買'!$A:$E,5,0),"'沒有資料'")</f>
        <v>752</v>
      </c>
      <c r="U160" s="186">
        <f>IFERROR(VLOOKUP($G160,基本資料!$A:$J,9,0),"無")</f>
        <v>3</v>
      </c>
      <c r="V160" s="310">
        <f t="shared" si="28"/>
        <v>6.1855670103092786E-2</v>
      </c>
      <c r="W160" s="94">
        <f>IFERROR(VLOOKUP($G160,基本資料!$A:$J,10,0),"無")</f>
        <v>4.72</v>
      </c>
      <c r="X160" s="36">
        <f>RTD("money.excel",,"1599","Price")</f>
        <v>48.5</v>
      </c>
      <c r="Y160" s="66"/>
      <c r="Z160" s="15">
        <f t="shared" si="29"/>
        <v>48.5</v>
      </c>
      <c r="AA160" s="3" t="e">
        <f t="shared" si="30"/>
        <v>#DIV/0!</v>
      </c>
      <c r="AB160" s="344">
        <f>IFERROR(VLOOKUP($G160,基本資料!$A:$M,11,0),"無")</f>
        <v>-20.32</v>
      </c>
      <c r="AC160" s="397">
        <f>IFERROR(VLOOKUP($G160,基本資料!$A:$M,12,0),"無")</f>
        <v>26.47</v>
      </c>
      <c r="AD160" s="16" t="s">
        <v>3593</v>
      </c>
      <c r="AG160" s="33">
        <f t="shared" si="31"/>
        <v>0</v>
      </c>
      <c r="AH160" s="117" t="s">
        <v>2505</v>
      </c>
      <c r="AI160" s="63">
        <f t="shared" ref="AI160:AI191" si="34">AJ160/(A160*10000)</f>
        <v>4.1476510067114097E-3</v>
      </c>
      <c r="AJ160" s="284">
        <f>RTD("money.excel",,$G160,"PredictVolume")</f>
        <v>309</v>
      </c>
      <c r="AK160" s="399">
        <f>IFERROR(VLOOKUP($G160,基本資料!$A:$M,13,0),"無")</f>
        <v>8.84</v>
      </c>
    </row>
    <row r="161" spans="1:37">
      <c r="A161" s="347">
        <f>IFERROR(VLOOKUP($G161,基本資料!$A:$J,3,0),"無")</f>
        <v>34.07</v>
      </c>
      <c r="B161" s="79">
        <f>IFERROR(VLOOKUP($G161,基本資料!$A:$J,4,0),"無")</f>
        <v>85</v>
      </c>
      <c r="C161" s="79">
        <f>IFERROR(VLOOKUP($G161,基本資料!$A:$J,5,0),"無")</f>
        <v>195</v>
      </c>
      <c r="D161" s="79">
        <f>IFERROR(VLOOKUP($G161,基本資料!$A:$J,6,0),"無")</f>
        <v>1</v>
      </c>
      <c r="E161" s="79">
        <f>IFERROR(VLOOKUP($G161,基本資料!$A:$J,7,0),"無")</f>
        <v>22</v>
      </c>
      <c r="F161" s="6">
        <f>IFERROR(VLOOKUP($G161,基本資料!$A:$J,8,0),"無")</f>
        <v>18.760000000000002</v>
      </c>
      <c r="G161" s="79">
        <v>2049</v>
      </c>
      <c r="H161" s="8" t="s">
        <v>295</v>
      </c>
      <c r="I161" s="22" t="s">
        <v>21</v>
      </c>
      <c r="J161" s="8" t="str">
        <f>IFERROR(VLOOKUP($G161,今日總結!$A:$AJ,35,0),"")</f>
        <v/>
      </c>
      <c r="K161" s="5" t="str">
        <f>IFERROR(VLOOKUP($G161,今日總結!$A:$AJ,36,0),"")</f>
        <v/>
      </c>
      <c r="L161" s="156" t="str">
        <f>IFERROR(VLOOKUP($G161,今日總結!$A:$AJ,33,0),"")</f>
        <v/>
      </c>
      <c r="M161" s="340" t="str">
        <f>IFERROR(VLOOKUP($G161,今日總結!$A:$AJ,34,0),"")</f>
        <v/>
      </c>
      <c r="N161" s="240" t="str">
        <f t="shared" si="27"/>
        <v/>
      </c>
      <c r="P161" s="365">
        <f>IFERROR(VLOOKUP($G161,融外自投!$A:$J,7,0),"無")</f>
        <v>918</v>
      </c>
      <c r="Q161" s="79">
        <f>IFERROR(VLOOKUP($G161,融外自投!$A:$J,9,0),"無")</f>
        <v>65</v>
      </c>
      <c r="R161" s="346">
        <f>IFERROR(VLOOKUP($G161,融外自投!$A:$J,8,0),"無")</f>
        <v>120</v>
      </c>
      <c r="S161" s="81">
        <f>IFERROR(VLOOKUP($G161,融外自投!$A:$J,10,0),"無")</f>
        <v>312</v>
      </c>
      <c r="T161" s="327">
        <f>IFERROR(VLOOKUP($G161,'321買'!$A:$E,5,0),"'沒有資料'")</f>
        <v>430</v>
      </c>
      <c r="U161" s="186">
        <f>IFERROR(VLOOKUP($G161,基本資料!$A:$J,9,0),"無")</f>
        <v>4.5</v>
      </c>
      <c r="V161" s="310">
        <f t="shared" si="28"/>
        <v>1.9148936170212766E-2</v>
      </c>
      <c r="W161" s="94">
        <f>IFERROR(VLOOKUP($G161,基本資料!$A:$J,10,0),"無")</f>
        <v>10.36</v>
      </c>
      <c r="X161" s="36">
        <f>RTD("money.excel",,"2049","Price")</f>
        <v>235</v>
      </c>
      <c r="Y161" s="66"/>
      <c r="Z161" s="15">
        <f t="shared" si="29"/>
        <v>235</v>
      </c>
      <c r="AA161" s="3" t="e">
        <f t="shared" si="30"/>
        <v>#DIV/0!</v>
      </c>
      <c r="AB161" s="344">
        <f>IFERROR(VLOOKUP($G161,基本資料!$A:$M,11,0),"無")</f>
        <v>-43.55</v>
      </c>
      <c r="AC161" s="397">
        <f>IFERROR(VLOOKUP($G161,基本資料!$A:$M,12,0),"無")</f>
        <v>30.35</v>
      </c>
      <c r="AD161" s="22" t="s">
        <v>21</v>
      </c>
      <c r="AG161" s="33">
        <f t="shared" si="31"/>
        <v>0</v>
      </c>
      <c r="AH161" s="117" t="s">
        <v>2343</v>
      </c>
      <c r="AI161" s="63">
        <f t="shared" si="34"/>
        <v>7.5755796888758442E-3</v>
      </c>
      <c r="AJ161" s="284">
        <f>RTD("money.excel",,$G161,"PredictVolume")</f>
        <v>2581</v>
      </c>
      <c r="AK161" s="399">
        <f>IFERROR(VLOOKUP($G161,基本資料!$A:$M,13,0),"無")</f>
        <v>2.14</v>
      </c>
    </row>
    <row r="162" spans="1:37">
      <c r="A162" s="347">
        <f>IFERROR(VLOOKUP($G162,基本資料!$A:$J,3,0),"無")</f>
        <v>3.65</v>
      </c>
      <c r="B162" s="79">
        <f>IFERROR(VLOOKUP($G162,基本資料!$A:$J,4,0),"無")</f>
        <v>37</v>
      </c>
      <c r="C162" s="79">
        <f>IFERROR(VLOOKUP($G162,基本資料!$A:$J,5,0),"無")</f>
        <v>128</v>
      </c>
      <c r="D162" s="79">
        <f>IFERROR(VLOOKUP($G162,基本資料!$A:$J,6,0),"無")</f>
        <v>9</v>
      </c>
      <c r="E162" s="79">
        <f>IFERROR(VLOOKUP($G162,基本資料!$A:$J,7,0),"無")</f>
        <v>3</v>
      </c>
      <c r="F162" s="6">
        <f>IFERROR(VLOOKUP($G162,基本資料!$A:$J,8,0),"無")</f>
        <v>8.43</v>
      </c>
      <c r="G162" s="79">
        <v>2066</v>
      </c>
      <c r="H162" s="8" t="s">
        <v>295</v>
      </c>
      <c r="I162" s="16" t="s">
        <v>139</v>
      </c>
      <c r="J162" s="8" t="str">
        <f>IFERROR(VLOOKUP($G162,今日總結!$A:$AJ,35,0),"")</f>
        <v/>
      </c>
      <c r="K162" s="5" t="str">
        <f>IFERROR(VLOOKUP($G162,今日總結!$A:$AJ,36,0),"")</f>
        <v/>
      </c>
      <c r="L162" s="156" t="str">
        <f>IFERROR(VLOOKUP($G162,今日總結!$A:$AJ,33,0),"")</f>
        <v/>
      </c>
      <c r="M162" s="340" t="str">
        <f>IFERROR(VLOOKUP($G162,今日總結!$A:$AJ,34,0),"")</f>
        <v/>
      </c>
      <c r="N162" s="240" t="str">
        <f t="shared" si="27"/>
        <v/>
      </c>
      <c r="P162" s="365">
        <f>IFERROR(VLOOKUP($G162,融外自投!$A:$J,7,0),"無")</f>
        <v>1185</v>
      </c>
      <c r="Q162" s="79">
        <f>IFERROR(VLOOKUP($G162,融外自投!$A:$J,9,0),"無")</f>
        <v>708</v>
      </c>
      <c r="R162" s="346">
        <f>IFERROR(VLOOKUP($G162,融外自投!$A:$J,8,0),"無")</f>
        <v>489</v>
      </c>
      <c r="S162" s="81" t="str">
        <f>IFERROR(VLOOKUP($G162,融外自投!$A:$J,10,0),"無")</f>
        <v>無</v>
      </c>
      <c r="T162" s="327">
        <f>IFERROR(VLOOKUP($G162,'321買'!$A:$E,5,0),"'沒有資料'")</f>
        <v>1397</v>
      </c>
      <c r="U162" s="186">
        <f>IFERROR(VLOOKUP($G162,基本資料!$A:$J,9,0),"無")</f>
        <v>0</v>
      </c>
      <c r="V162" s="310">
        <f t="shared" si="28"/>
        <v>0</v>
      </c>
      <c r="W162" s="94">
        <f>IFERROR(VLOOKUP($G162,基本資料!$A:$J,10,0),"無")</f>
        <v>4</v>
      </c>
      <c r="X162" s="36">
        <f>RTD("money.excel",,"2066","Price")</f>
        <v>60.2</v>
      </c>
      <c r="Y162" s="66"/>
      <c r="Z162" s="15">
        <f t="shared" si="29"/>
        <v>60.2</v>
      </c>
      <c r="AA162" s="3" t="e">
        <f t="shared" si="30"/>
        <v>#DIV/0!</v>
      </c>
      <c r="AB162" s="344">
        <f>IFERROR(VLOOKUP($G162,基本資料!$A:$M,11,0),"無")</f>
        <v>-12.02</v>
      </c>
      <c r="AC162" s="397">
        <f>IFERROR(VLOOKUP($G162,基本資料!$A:$M,12,0),"無")</f>
        <v>52.07</v>
      </c>
      <c r="AD162" s="16" t="s">
        <v>139</v>
      </c>
      <c r="AG162" s="33">
        <f t="shared" si="31"/>
        <v>0</v>
      </c>
      <c r="AH162" s="117" t="s">
        <v>2158</v>
      </c>
      <c r="AI162" s="63">
        <f t="shared" si="34"/>
        <v>5.7534246575342461E-4</v>
      </c>
      <c r="AJ162" s="284">
        <f>RTD("money.excel",,$G162,"PredictVolume")</f>
        <v>21</v>
      </c>
      <c r="AK162" s="399">
        <f>IFERROR(VLOOKUP($G162,基本資料!$A:$M,13,0),"無")</f>
        <v>1.41</v>
      </c>
    </row>
    <row r="163" spans="1:37">
      <c r="A163" s="347">
        <f>IFERROR(VLOOKUP($G163,基本資料!$A:$J,3,0),"無")</f>
        <v>4.51</v>
      </c>
      <c r="B163" s="79">
        <f>IFERROR(VLOOKUP($G163,基本資料!$A:$J,4,0),"無")</f>
        <v>66</v>
      </c>
      <c r="C163" s="79">
        <f>IFERROR(VLOOKUP($G163,基本資料!$A:$J,5,0),"無")</f>
        <v>50</v>
      </c>
      <c r="D163" s="79">
        <f>IFERROR(VLOOKUP($G163,基本資料!$A:$J,6,0),"無")</f>
        <v>31</v>
      </c>
      <c r="E163" s="79">
        <f>IFERROR(VLOOKUP($G163,基本資料!$A:$J,7,0),"無")</f>
        <v>-7</v>
      </c>
      <c r="F163" s="6">
        <f>IFERROR(VLOOKUP($G163,基本資料!$A:$J,8,0),"無")</f>
        <v>-2.62</v>
      </c>
      <c r="G163" s="79">
        <v>2067</v>
      </c>
      <c r="H163" s="8" t="s">
        <v>295</v>
      </c>
      <c r="I163" s="16" t="s">
        <v>528</v>
      </c>
      <c r="J163" s="8" t="str">
        <f>IFERROR(VLOOKUP($G163,今日總結!$A:$AJ,35,0),"")</f>
        <v/>
      </c>
      <c r="K163" s="5" t="str">
        <f>IFERROR(VLOOKUP($G163,今日總結!$A:$AJ,36,0),"")</f>
        <v/>
      </c>
      <c r="L163" s="156" t="str">
        <f>IFERROR(VLOOKUP($G163,今日總結!$A:$AJ,33,0),"")</f>
        <v/>
      </c>
      <c r="M163" s="340" t="str">
        <f>IFERROR(VLOOKUP($G163,今日總結!$A:$AJ,34,0),"")</f>
        <v/>
      </c>
      <c r="N163" s="240" t="str">
        <f t="shared" si="27"/>
        <v/>
      </c>
      <c r="P163" s="365" t="str">
        <f>IFERROR(VLOOKUP($G163,融外自投!$A:$J,7,0),"無")</f>
        <v>無</v>
      </c>
      <c r="Q163" s="79" t="str">
        <f>IFERROR(VLOOKUP($G163,融外自投!$A:$J,9,0),"無")</f>
        <v>無</v>
      </c>
      <c r="R163" s="346" t="str">
        <f>IFERROR(VLOOKUP($G163,融外自投!$A:$J,8,0),"無")</f>
        <v>無</v>
      </c>
      <c r="S163" s="81" t="str">
        <f>IFERROR(VLOOKUP($G163,融外自投!$A:$J,10,0),"無")</f>
        <v>無</v>
      </c>
      <c r="T163" s="327" t="str">
        <f>IFERROR(VLOOKUP($G163,'321買'!$A:$E,5,0),"'沒有資料'")</f>
        <v>'沒有資料'</v>
      </c>
      <c r="U163" s="186">
        <f>IFERROR(VLOOKUP($G163,基本資料!$A:$J,9,0),"無")</f>
        <v>0</v>
      </c>
      <c r="V163" s="310">
        <f t="shared" si="28"/>
        <v>0</v>
      </c>
      <c r="W163" s="94">
        <f>IFERROR(VLOOKUP($G163,基本資料!$A:$J,10,0),"無")</f>
        <v>-0.24</v>
      </c>
      <c r="X163" s="36">
        <f>RTD("money.excel",,"2067","Price")</f>
        <v>13.65</v>
      </c>
      <c r="Y163" s="66"/>
      <c r="Z163" s="15">
        <f t="shared" si="29"/>
        <v>13.65</v>
      </c>
      <c r="AA163" s="3" t="e">
        <f t="shared" si="30"/>
        <v>#DIV/0!</v>
      </c>
      <c r="AB163" s="344">
        <f>IFERROR(VLOOKUP($G163,基本資料!$A:$M,11,0),"無")</f>
        <v>-18.21</v>
      </c>
      <c r="AC163" s="397">
        <f>IFERROR(VLOOKUP($G163,基本資料!$A:$M,12,0),"無")</f>
        <v>25.87</v>
      </c>
      <c r="AD163" s="16" t="s">
        <v>528</v>
      </c>
      <c r="AG163" s="33">
        <f t="shared" si="31"/>
        <v>0</v>
      </c>
      <c r="AH163" s="43" t="s">
        <v>2506</v>
      </c>
      <c r="AI163" s="63">
        <f t="shared" si="34"/>
        <v>6.2084257206208426E-4</v>
      </c>
      <c r="AJ163" s="284">
        <f>RTD("money.excel",,$G163,"PredictVolume")</f>
        <v>28</v>
      </c>
      <c r="AK163" s="399">
        <f>IFERROR(VLOOKUP($G163,基本資料!$A:$M,13,0),"無")</f>
        <v>6.58</v>
      </c>
    </row>
    <row r="164" spans="1:37">
      <c r="A164" s="347">
        <f>IFERROR(VLOOKUP($G164,基本資料!$A:$J,3,0),"無")</f>
        <v>3.57</v>
      </c>
      <c r="B164" s="79">
        <f>IFERROR(VLOOKUP($G164,基本資料!$A:$J,4,0),"無")</f>
        <v>283</v>
      </c>
      <c r="C164" s="79">
        <f>IFERROR(VLOOKUP($G164,基本資料!$A:$J,5,0),"無")</f>
        <v>452</v>
      </c>
      <c r="D164" s="79">
        <f>IFERROR(VLOOKUP($G164,基本資料!$A:$J,6,0),"無")</f>
        <v>-4</v>
      </c>
      <c r="E164" s="79">
        <f>IFERROR(VLOOKUP($G164,基本資料!$A:$J,7,0),"無")</f>
        <v>-24</v>
      </c>
      <c r="F164" s="6">
        <f>IFERROR(VLOOKUP($G164,基本資料!$A:$J,8,0),"無")</f>
        <v>19.670000000000002</v>
      </c>
      <c r="G164" s="79">
        <v>2070</v>
      </c>
      <c r="H164" s="8" t="s">
        <v>295</v>
      </c>
      <c r="I164" s="16" t="s">
        <v>1084</v>
      </c>
      <c r="J164" s="8" t="str">
        <f>IFERROR(VLOOKUP($G164,今日總結!$A:$AJ,35,0),"")</f>
        <v/>
      </c>
      <c r="K164" s="5" t="str">
        <f>IFERROR(VLOOKUP($G164,今日總結!$A:$AJ,36,0),"")</f>
        <v/>
      </c>
      <c r="L164" s="156" t="str">
        <f>IFERROR(VLOOKUP($G164,今日總結!$A:$AJ,33,0),"")</f>
        <v/>
      </c>
      <c r="M164" s="340" t="str">
        <f>IFERROR(VLOOKUP($G164,今日總結!$A:$AJ,34,0),"")</f>
        <v/>
      </c>
      <c r="N164" s="240" t="str">
        <f t="shared" si="27"/>
        <v/>
      </c>
      <c r="P164" s="365">
        <f>IFERROR(VLOOKUP($G164,融外自投!$A:$J,7,0),"無")</f>
        <v>1130</v>
      </c>
      <c r="Q164" s="79" t="str">
        <f>IFERROR(VLOOKUP($G164,融外自投!$A:$J,9,0),"無")</f>
        <v>無</v>
      </c>
      <c r="R164" s="346">
        <f>IFERROR(VLOOKUP($G164,融外自投!$A:$J,8,0),"無")</f>
        <v>1251</v>
      </c>
      <c r="S164" s="81" t="str">
        <f>IFERROR(VLOOKUP($G164,融外自投!$A:$J,10,0),"無")</f>
        <v>無</v>
      </c>
      <c r="T164" s="327" t="str">
        <f>IFERROR(VLOOKUP($G164,'321買'!$A:$E,5,0),"'沒有資料'")</f>
        <v>'沒有資料'</v>
      </c>
      <c r="U164" s="186">
        <f>IFERROR(VLOOKUP($G164,基本資料!$A:$J,9,0),"無")</f>
        <v>1.5</v>
      </c>
      <c r="V164" s="310">
        <f t="shared" si="28"/>
        <v>4.5523520485584217E-2</v>
      </c>
      <c r="W164" s="94">
        <f>IFERROR(VLOOKUP($G164,基本資料!$A:$J,10,0),"無")</f>
        <v>2.66</v>
      </c>
      <c r="X164" s="36">
        <f>RTD("money.excel",,"2070","Price")</f>
        <v>32.950000000000003</v>
      </c>
      <c r="Y164" s="66"/>
      <c r="Z164" s="15">
        <f t="shared" si="29"/>
        <v>32.950000000000003</v>
      </c>
      <c r="AA164" s="3" t="e">
        <f t="shared" si="30"/>
        <v>#DIV/0!</v>
      </c>
      <c r="AB164" s="344">
        <f>IFERROR(VLOOKUP($G164,基本資料!$A:$M,11,0),"無")</f>
        <v>-21.43</v>
      </c>
      <c r="AC164" s="397">
        <f>IFERROR(VLOOKUP($G164,基本資料!$A:$M,12,0),"無")</f>
        <v>33.01</v>
      </c>
      <c r="AD164" s="16" t="s">
        <v>1084</v>
      </c>
      <c r="AG164" s="33">
        <f t="shared" si="31"/>
        <v>0</v>
      </c>
      <c r="AH164" s="117" t="s">
        <v>2507</v>
      </c>
      <c r="AI164" s="63">
        <f t="shared" si="34"/>
        <v>1.9607843137254901E-4</v>
      </c>
      <c r="AJ164" s="284">
        <f>RTD("money.excel",,$G164,"PredictVolume")</f>
        <v>7</v>
      </c>
      <c r="AK164" s="399">
        <f>IFERROR(VLOOKUP($G164,基本資料!$A:$M,13,0),"無")</f>
        <v>8.7100000000000009</v>
      </c>
    </row>
    <row r="165" spans="1:37">
      <c r="A165" s="347">
        <f>IFERROR(VLOOKUP($G165,基本資料!$A:$J,3,0),"無")</f>
        <v>3.99</v>
      </c>
      <c r="B165" s="79">
        <f>IFERROR(VLOOKUP($G165,基本資料!$A:$J,4,0),"無")</f>
        <v>56</v>
      </c>
      <c r="C165" s="79">
        <f>IFERROR(VLOOKUP($G165,基本資料!$A:$J,5,0),"無")</f>
        <v>98</v>
      </c>
      <c r="D165" s="79">
        <f>IFERROR(VLOOKUP($G165,基本資料!$A:$J,6,0),"無")</f>
        <v>-5</v>
      </c>
      <c r="E165" s="79">
        <f>IFERROR(VLOOKUP($G165,基本資料!$A:$J,7,0),"無")</f>
        <v>-18</v>
      </c>
      <c r="F165" s="6">
        <f>IFERROR(VLOOKUP($G165,基本資料!$A:$J,8,0),"無")</f>
        <v>-0.06</v>
      </c>
      <c r="G165" s="79">
        <v>2230</v>
      </c>
      <c r="H165" s="8" t="s">
        <v>295</v>
      </c>
      <c r="I165" s="16" t="s">
        <v>529</v>
      </c>
      <c r="J165" s="8" t="str">
        <f>IFERROR(VLOOKUP($G165,今日總結!$A:$AJ,35,0),"")</f>
        <v>外主</v>
      </c>
      <c r="K165" s="5">
        <f>IFERROR(VLOOKUP($G165,今日總結!$A:$AJ,36,0),"")</f>
        <v>0</v>
      </c>
      <c r="L165" s="156">
        <f>IFERROR(VLOOKUP($G165,今日總結!$A:$AJ,33,0),"")</f>
        <v>2</v>
      </c>
      <c r="M165" s="340">
        <f>IFERROR(VLOOKUP($G165,今日總結!$A:$AJ,34,0),"")</f>
        <v>0</v>
      </c>
      <c r="N165" s="240">
        <f t="shared" si="27"/>
        <v>2</v>
      </c>
      <c r="P165" s="365">
        <f>IFERROR(VLOOKUP($G165,融外自投!$A:$J,7,0),"無")</f>
        <v>629</v>
      </c>
      <c r="Q165" s="79" t="str">
        <f>IFERROR(VLOOKUP($G165,融外自投!$A:$J,9,0),"無")</f>
        <v>無</v>
      </c>
      <c r="R165" s="346">
        <f>IFERROR(VLOOKUP($G165,融外自投!$A:$J,8,0),"無")</f>
        <v>688</v>
      </c>
      <c r="S165" s="81" t="str">
        <f>IFERROR(VLOOKUP($G165,融外自投!$A:$J,10,0),"無")</f>
        <v>無</v>
      </c>
      <c r="T165" s="327">
        <f>IFERROR(VLOOKUP($G165,'321買'!$A:$E,5,0),"'沒有資料'")</f>
        <v>802</v>
      </c>
      <c r="U165" s="186">
        <f>IFERROR(VLOOKUP($G165,基本資料!$A:$J,9,0),"無")</f>
        <v>0</v>
      </c>
      <c r="V165" s="310">
        <f t="shared" si="28"/>
        <v>0</v>
      </c>
      <c r="W165" s="94">
        <f>IFERROR(VLOOKUP($G165,基本資料!$A:$J,10,0),"無")</f>
        <v>-0.08</v>
      </c>
      <c r="X165" s="36">
        <f>RTD("money.excel",,"2230","Price")</f>
        <v>17.100000000000001</v>
      </c>
      <c r="Y165" s="66"/>
      <c r="Z165" s="15">
        <f t="shared" si="29"/>
        <v>17.100000000000001</v>
      </c>
      <c r="AA165" s="3" t="e">
        <f t="shared" si="30"/>
        <v>#DIV/0!</v>
      </c>
      <c r="AB165" s="344">
        <f>IFERROR(VLOOKUP($G165,基本資料!$A:$M,11,0),"無")</f>
        <v>-11.9</v>
      </c>
      <c r="AC165" s="397">
        <f>IFERROR(VLOOKUP($G165,基本資料!$A:$M,12,0),"無")</f>
        <v>50.24</v>
      </c>
      <c r="AD165" s="16" t="s">
        <v>529</v>
      </c>
      <c r="AG165" s="33">
        <f t="shared" si="31"/>
        <v>0</v>
      </c>
      <c r="AH165" s="43" t="s">
        <v>2508</v>
      </c>
      <c r="AI165" s="63">
        <f t="shared" si="34"/>
        <v>4.110275689223058E-3</v>
      </c>
      <c r="AJ165" s="284">
        <f>RTD("money.excel",,$G165,"PredictVolume")</f>
        <v>164</v>
      </c>
      <c r="AK165" s="399">
        <f>IFERROR(VLOOKUP($G165,基本資料!$A:$M,13,0),"無")</f>
        <v>15.08</v>
      </c>
    </row>
    <row r="166" spans="1:37">
      <c r="A166" s="347">
        <f>IFERROR(VLOOKUP($G166,基本資料!$A:$J,3,0),"無")</f>
        <v>3.58</v>
      </c>
      <c r="B166" s="79">
        <f>IFERROR(VLOOKUP($G166,基本資料!$A:$J,4,0),"無")</f>
        <v>-29</v>
      </c>
      <c r="C166" s="79">
        <f>IFERROR(VLOOKUP($G166,基本資料!$A:$J,5,0),"無")</f>
        <v>-5</v>
      </c>
      <c r="D166" s="79">
        <f>IFERROR(VLOOKUP($G166,基本資料!$A:$J,6,0),"無")</f>
        <v>95</v>
      </c>
      <c r="E166" s="79">
        <f>IFERROR(VLOOKUP($G166,基本資料!$A:$J,7,0),"無")</f>
        <v>74</v>
      </c>
      <c r="F166" s="6">
        <f>IFERROR(VLOOKUP($G166,基本資料!$A:$J,8,0),"無")</f>
        <v>10.130000000000001</v>
      </c>
      <c r="G166" s="79">
        <v>2235</v>
      </c>
      <c r="H166" s="8" t="s">
        <v>295</v>
      </c>
      <c r="I166" s="16" t="s">
        <v>530</v>
      </c>
      <c r="J166" s="8" t="str">
        <f>IFERROR(VLOOKUP($G166,今日總結!$A:$AJ,35,0),"")</f>
        <v/>
      </c>
      <c r="K166" s="5" t="str">
        <f>IFERROR(VLOOKUP($G166,今日總結!$A:$AJ,36,0),"")</f>
        <v/>
      </c>
      <c r="L166" s="156" t="str">
        <f>IFERROR(VLOOKUP($G166,今日總結!$A:$AJ,33,0),"")</f>
        <v/>
      </c>
      <c r="M166" s="340" t="str">
        <f>IFERROR(VLOOKUP($G166,今日總結!$A:$AJ,34,0),"")</f>
        <v/>
      </c>
      <c r="N166" s="240" t="str">
        <f t="shared" si="27"/>
        <v/>
      </c>
      <c r="P166" s="365">
        <f>IFERROR(VLOOKUP($G166,融外自投!$A:$J,7,0),"無")</f>
        <v>1273</v>
      </c>
      <c r="Q166" s="79" t="str">
        <f>IFERROR(VLOOKUP($G166,融外自投!$A:$J,9,0),"無")</f>
        <v>無</v>
      </c>
      <c r="R166" s="346">
        <f>IFERROR(VLOOKUP($G166,融外自投!$A:$J,8,0),"無")</f>
        <v>1462</v>
      </c>
      <c r="S166" s="81" t="str">
        <f>IFERROR(VLOOKUP($G166,融外自投!$A:$J,10,0),"無")</f>
        <v>無</v>
      </c>
      <c r="T166" s="327" t="str">
        <f>IFERROR(VLOOKUP($G166,'321買'!$A:$E,5,0),"'沒有資料'")</f>
        <v>'沒有資料'</v>
      </c>
      <c r="U166" s="186">
        <f>IFERROR(VLOOKUP($G166,基本資料!$A:$J,9,0),"無")</f>
        <v>1.5</v>
      </c>
      <c r="V166" s="310">
        <f t="shared" si="28"/>
        <v>4.0214477211796253E-2</v>
      </c>
      <c r="W166" s="94">
        <f>IFERROR(VLOOKUP($G166,基本資料!$A:$J,10,0),"無")</f>
        <v>1.42</v>
      </c>
      <c r="X166" s="36">
        <f>RTD("money.excel",,"2235","Price")</f>
        <v>37.299999999999997</v>
      </c>
      <c r="Y166" s="66"/>
      <c r="Z166" s="15">
        <f t="shared" si="29"/>
        <v>37.299999999999997</v>
      </c>
      <c r="AA166" s="3" t="e">
        <f t="shared" si="30"/>
        <v>#DIV/0!</v>
      </c>
      <c r="AB166" s="344">
        <f>IFERROR(VLOOKUP($G166,基本資料!$A:$M,11,0),"無")</f>
        <v>-22.26</v>
      </c>
      <c r="AC166" s="397">
        <f>IFERROR(VLOOKUP($G166,基本資料!$A:$M,12,0),"無")</f>
        <v>20.04</v>
      </c>
      <c r="AD166" s="16" t="s">
        <v>530</v>
      </c>
      <c r="AG166" s="33">
        <f t="shared" si="31"/>
        <v>0</v>
      </c>
      <c r="AH166" s="43" t="s">
        <v>2509</v>
      </c>
      <c r="AI166" s="63">
        <f t="shared" si="34"/>
        <v>1.11731843575419E-4</v>
      </c>
      <c r="AJ166" s="284">
        <f>RTD("money.excel",,$G166,"PredictVolume")</f>
        <v>4</v>
      </c>
      <c r="AK166" s="399">
        <f>IFERROR(VLOOKUP($G166,基本資料!$A:$M,13,0),"無")</f>
        <v>0.64</v>
      </c>
    </row>
    <row r="167" spans="1:37">
      <c r="A167" s="347">
        <f>IFERROR(VLOOKUP($G167,基本資料!$A:$J,3,0),"無")</f>
        <v>8.9600000000000009</v>
      </c>
      <c r="B167" s="79">
        <f>IFERROR(VLOOKUP($G167,基本資料!$A:$J,4,0),"無")</f>
        <v>-1776</v>
      </c>
      <c r="C167" s="79">
        <f>IFERROR(VLOOKUP($G167,基本資料!$A:$J,5,0),"無")</f>
        <v>-265</v>
      </c>
      <c r="D167" s="79">
        <f>IFERROR(VLOOKUP($G167,基本資料!$A:$J,6,0),"無")</f>
        <v>-14</v>
      </c>
      <c r="E167" s="79">
        <f>IFERROR(VLOOKUP($G167,基本資料!$A:$J,7,0),"無")</f>
        <v>-17</v>
      </c>
      <c r="F167" s="6">
        <f>IFERROR(VLOOKUP($G167,基本資料!$A:$J,8,0),"無")</f>
        <v>-6.3</v>
      </c>
      <c r="G167" s="79">
        <v>2241</v>
      </c>
      <c r="H167" s="8" t="s">
        <v>295</v>
      </c>
      <c r="I167" s="22" t="s">
        <v>1964</v>
      </c>
      <c r="J167" s="8" t="str">
        <f>IFERROR(VLOOKUP($G167,今日總結!$A:$AJ,35,0),"")</f>
        <v/>
      </c>
      <c r="K167" s="5" t="str">
        <f>IFERROR(VLOOKUP($G167,今日總結!$A:$AJ,36,0),"")</f>
        <v/>
      </c>
      <c r="L167" s="156" t="str">
        <f>IFERROR(VLOOKUP($G167,今日總結!$A:$AJ,33,0),"")</f>
        <v/>
      </c>
      <c r="M167" s="340" t="str">
        <f>IFERROR(VLOOKUP($G167,今日總結!$A:$AJ,34,0),"")</f>
        <v/>
      </c>
      <c r="N167" s="240" t="str">
        <f t="shared" si="27"/>
        <v/>
      </c>
      <c r="P167" s="365">
        <f>IFERROR(VLOOKUP($G167,融外自投!$A:$J,7,0),"無")</f>
        <v>805</v>
      </c>
      <c r="Q167" s="79">
        <f>IFERROR(VLOOKUP($G167,融外自投!$A:$J,9,0),"無")</f>
        <v>896</v>
      </c>
      <c r="R167" s="346">
        <f>IFERROR(VLOOKUP($G167,融外自投!$A:$J,8,0),"無")</f>
        <v>241</v>
      </c>
      <c r="S167" s="81">
        <f>IFERROR(VLOOKUP($G167,融外自投!$A:$J,10,0),"無")</f>
        <v>458</v>
      </c>
      <c r="T167" s="327">
        <f>IFERROR(VLOOKUP($G167,'321買'!$A:$E,5,0),"'沒有資料'")</f>
        <v>536</v>
      </c>
      <c r="U167" s="186">
        <f>IFERROR(VLOOKUP($G167,基本資料!$A:$J,9,0),"無")</f>
        <v>0</v>
      </c>
      <c r="V167" s="310">
        <f t="shared" si="28"/>
        <v>0</v>
      </c>
      <c r="W167" s="94">
        <f>IFERROR(VLOOKUP($G167,基本資料!$A:$J,10,0),"無")</f>
        <v>-1.23</v>
      </c>
      <c r="X167" s="36">
        <f>RTD("money.excel",,"2241","Price")</f>
        <v>39.200000000000003</v>
      </c>
      <c r="Y167" s="66"/>
      <c r="Z167" s="15">
        <f t="shared" si="29"/>
        <v>39.200000000000003</v>
      </c>
      <c r="AA167" s="35" t="e">
        <f t="shared" si="30"/>
        <v>#DIV/0!</v>
      </c>
      <c r="AB167" s="344">
        <f>IFERROR(VLOOKUP($G167,基本資料!$A:$M,11,0),"無")</f>
        <v>-50</v>
      </c>
      <c r="AC167" s="397">
        <f>IFERROR(VLOOKUP($G167,基本資料!$A:$M,12,0),"無")</f>
        <v>19.59</v>
      </c>
      <c r="AD167" s="22" t="s">
        <v>1964</v>
      </c>
      <c r="AG167" s="33">
        <f t="shared" si="31"/>
        <v>0</v>
      </c>
      <c r="AH167" s="59" t="s">
        <v>1971</v>
      </c>
      <c r="AI167" s="63">
        <f t="shared" si="34"/>
        <v>1.1607142857142855E-3</v>
      </c>
      <c r="AJ167" s="284">
        <f>RTD("money.excel",,$G167,"PredictVolume")</f>
        <v>104</v>
      </c>
      <c r="AK167" s="399">
        <f>IFERROR(VLOOKUP($G167,基本資料!$A:$M,13,0),"無")</f>
        <v>11.87</v>
      </c>
    </row>
    <row r="168" spans="1:37">
      <c r="A168" s="347">
        <f>IFERROR(VLOOKUP($G168,基本資料!$A:$J,3,0),"無")</f>
        <v>233</v>
      </c>
      <c r="B168" s="79">
        <f>IFERROR(VLOOKUP($G168,基本資料!$A:$J,4,0),"無")</f>
        <v>151</v>
      </c>
      <c r="C168" s="79">
        <f>IFERROR(VLOOKUP($G168,基本資料!$A:$J,5,0),"無")</f>
        <v>161</v>
      </c>
      <c r="D168" s="79">
        <f>IFERROR(VLOOKUP($G168,基本資料!$A:$J,6,0),"無")</f>
        <v>41</v>
      </c>
      <c r="E168" s="79">
        <f>IFERROR(VLOOKUP($G168,基本資料!$A:$J,7,0),"無")</f>
        <v>26</v>
      </c>
      <c r="F168" s="6">
        <f>IFERROR(VLOOKUP($G168,基本資料!$A:$J,8,0),"無")</f>
        <v>2.72</v>
      </c>
      <c r="G168" s="79">
        <v>2371</v>
      </c>
      <c r="H168" s="8" t="s">
        <v>295</v>
      </c>
      <c r="I168" s="22" t="s">
        <v>108</v>
      </c>
      <c r="J168" s="8" t="str">
        <f>IFERROR(VLOOKUP($G168,今日總結!$A:$AJ,35,0),"")</f>
        <v/>
      </c>
      <c r="K168" s="5" t="str">
        <f>IFERROR(VLOOKUP($G168,今日總結!$A:$AJ,36,0),"")</f>
        <v/>
      </c>
      <c r="L168" s="156" t="str">
        <f>IFERROR(VLOOKUP($G168,今日總結!$A:$AJ,33,0),"")</f>
        <v/>
      </c>
      <c r="M168" s="340" t="str">
        <f>IFERROR(VLOOKUP($G168,今日總結!$A:$AJ,34,0),"")</f>
        <v/>
      </c>
      <c r="N168" s="240" t="str">
        <f t="shared" si="27"/>
        <v/>
      </c>
      <c r="P168" s="365">
        <f>IFERROR(VLOOKUP($G168,融外自投!$A:$J,7,0),"無")</f>
        <v>133</v>
      </c>
      <c r="Q168" s="79">
        <f>IFERROR(VLOOKUP($G168,融外自投!$A:$J,9,0),"無")</f>
        <v>104</v>
      </c>
      <c r="R168" s="346">
        <f>IFERROR(VLOOKUP($G168,融外自投!$A:$J,8,0),"無")</f>
        <v>297</v>
      </c>
      <c r="S168" s="81">
        <f>IFERROR(VLOOKUP($G168,融外自投!$A:$J,10,0),"無")</f>
        <v>334</v>
      </c>
      <c r="T168" s="327">
        <f>IFERROR(VLOOKUP($G168,'321買'!$A:$E,5,0),"'沒有資料'")</f>
        <v>207</v>
      </c>
      <c r="U168" s="186">
        <f>IFERROR(VLOOKUP($G168,基本資料!$A:$J,9,0),"無")</f>
        <v>0</v>
      </c>
      <c r="V168" s="310">
        <f t="shared" si="28"/>
        <v>0</v>
      </c>
      <c r="W168" s="94">
        <f>IFERROR(VLOOKUP($G168,基本資料!$A:$J,10,0),"無")</f>
        <v>1.57</v>
      </c>
      <c r="X168" s="36">
        <f>RTD("money.excel",,"2371","Price")</f>
        <v>32.799999999999997</v>
      </c>
      <c r="Y168" s="66"/>
      <c r="Z168" s="15">
        <f t="shared" si="29"/>
        <v>32.799999999999997</v>
      </c>
      <c r="AA168" s="3" t="e">
        <f t="shared" si="30"/>
        <v>#DIV/0!</v>
      </c>
      <c r="AB168" s="344">
        <f>IFERROR(VLOOKUP($G168,基本資料!$A:$M,11,0),"無")</f>
        <v>-17.29</v>
      </c>
      <c r="AC168" s="397">
        <f>IFERROR(VLOOKUP($G168,基本資料!$A:$M,12,0),"無")</f>
        <v>45.05</v>
      </c>
      <c r="AD168" s="22" t="s">
        <v>108</v>
      </c>
      <c r="AG168" s="33">
        <f t="shared" si="31"/>
        <v>0</v>
      </c>
      <c r="AH168" s="117" t="s">
        <v>2745</v>
      </c>
      <c r="AI168" s="63">
        <f t="shared" si="34"/>
        <v>7.3506437768240344E-3</v>
      </c>
      <c r="AJ168" s="284">
        <f>RTD("money.excel",,$G168,"PredictVolume")</f>
        <v>17127</v>
      </c>
      <c r="AK168" s="399">
        <f>IFERROR(VLOOKUP($G168,基本資料!$A:$M,13,0),"無")</f>
        <v>18.12</v>
      </c>
    </row>
    <row r="169" spans="1:37">
      <c r="A169" s="347">
        <f>IFERROR(VLOOKUP($G169,基本資料!$A:$J,3,0),"無")</f>
        <v>10.95</v>
      </c>
      <c r="B169" s="79">
        <f>IFERROR(VLOOKUP($G169,基本資料!$A:$J,4,0),"無")</f>
        <v>734</v>
      </c>
      <c r="C169" s="79">
        <f>IFERROR(VLOOKUP($G169,基本資料!$A:$J,5,0),"無")</f>
        <v>429</v>
      </c>
      <c r="D169" s="79">
        <f>IFERROR(VLOOKUP($G169,基本資料!$A:$J,6,0),"無")</f>
        <v>74</v>
      </c>
      <c r="E169" s="79">
        <f>IFERROR(VLOOKUP($G169,基本資料!$A:$J,7,0),"無")</f>
        <v>23</v>
      </c>
      <c r="F169" s="6">
        <f>IFERROR(VLOOKUP($G169,基本資料!$A:$J,8,0),"無")</f>
        <v>5.7</v>
      </c>
      <c r="G169" s="79">
        <v>3162</v>
      </c>
      <c r="H169" s="8" t="s">
        <v>295</v>
      </c>
      <c r="I169" s="16" t="s">
        <v>531</v>
      </c>
      <c r="J169" s="8" t="str">
        <f>IFERROR(VLOOKUP($G169,今日總結!$A:$AJ,35,0),"")</f>
        <v/>
      </c>
      <c r="K169" s="5" t="str">
        <f>IFERROR(VLOOKUP($G169,今日總結!$A:$AJ,36,0),"")</f>
        <v/>
      </c>
      <c r="L169" s="156" t="str">
        <f>IFERROR(VLOOKUP($G169,今日總結!$A:$AJ,33,0),"")</f>
        <v/>
      </c>
      <c r="M169" s="340" t="str">
        <f>IFERROR(VLOOKUP($G169,今日總結!$A:$AJ,34,0),"")</f>
        <v/>
      </c>
      <c r="N169" s="240" t="str">
        <f t="shared" si="27"/>
        <v/>
      </c>
      <c r="P169" s="365">
        <f>IFERROR(VLOOKUP($G169,融外自投!$A:$J,7,0),"無")</f>
        <v>230</v>
      </c>
      <c r="Q169" s="79" t="str">
        <f>IFERROR(VLOOKUP($G169,融外自投!$A:$J,9,0),"無")</f>
        <v>無</v>
      </c>
      <c r="R169" s="346">
        <f>IFERROR(VLOOKUP($G169,融外自投!$A:$J,8,0),"無")</f>
        <v>74</v>
      </c>
      <c r="S169" s="81" t="str">
        <f>IFERROR(VLOOKUP($G169,融外自投!$A:$J,10,0),"無")</f>
        <v>無</v>
      </c>
      <c r="T169" s="327">
        <f>IFERROR(VLOOKUP($G169,'321買'!$A:$E,5,0),"'沒有資料'")</f>
        <v>292</v>
      </c>
      <c r="U169" s="186">
        <f>IFERROR(VLOOKUP($G169,基本資料!$A:$J,9,0),"無")</f>
        <v>0</v>
      </c>
      <c r="V169" s="310">
        <f t="shared" si="28"/>
        <v>0</v>
      </c>
      <c r="W169" s="94">
        <f>IFERROR(VLOOKUP($G169,基本資料!$A:$J,10,0),"無")</f>
        <v>0.82</v>
      </c>
      <c r="X169" s="36">
        <f>RTD("money.excel",,"3162","Price")</f>
        <v>36.549999999999997</v>
      </c>
      <c r="Y169" s="66"/>
      <c r="Z169" s="15">
        <f t="shared" si="29"/>
        <v>36.549999999999997</v>
      </c>
      <c r="AA169" s="3" t="e">
        <f t="shared" si="30"/>
        <v>#DIV/0!</v>
      </c>
      <c r="AB169" s="344">
        <f>IFERROR(VLOOKUP($G169,基本資料!$A:$M,11,0),"無")</f>
        <v>-40.409999999999997</v>
      </c>
      <c r="AC169" s="397">
        <f>IFERROR(VLOOKUP($G169,基本資料!$A:$M,12,0),"無")</f>
        <v>8.6199999999999992</v>
      </c>
      <c r="AD169" s="16" t="s">
        <v>531</v>
      </c>
      <c r="AG169" s="33">
        <f t="shared" si="31"/>
        <v>0</v>
      </c>
      <c r="AH169" s="43" t="s">
        <v>6374</v>
      </c>
      <c r="AI169" s="63">
        <f t="shared" si="34"/>
        <v>5.2054794520547943E-4</v>
      </c>
      <c r="AJ169" s="284">
        <f>RTD("money.excel",,$G169,"PredictVolume")</f>
        <v>57</v>
      </c>
      <c r="AK169" s="399">
        <f>IFERROR(VLOOKUP($G169,基本資料!$A:$M,13,0),"無")</f>
        <v>6.96</v>
      </c>
    </row>
    <row r="170" spans="1:37">
      <c r="A170" s="347">
        <f>IFERROR(VLOOKUP($G170,基本資料!$A:$J,3,0),"無")</f>
        <v>8.01</v>
      </c>
      <c r="B170" s="79">
        <f>IFERROR(VLOOKUP($G170,基本資料!$A:$J,4,0),"無")</f>
        <v>5</v>
      </c>
      <c r="C170" s="79">
        <f>IFERROR(VLOOKUP($G170,基本資料!$A:$J,5,0),"無")</f>
        <v>171</v>
      </c>
      <c r="D170" s="79">
        <f>IFERROR(VLOOKUP($G170,基本資料!$A:$J,6,0),"無")</f>
        <v>-14</v>
      </c>
      <c r="E170" s="79">
        <f>IFERROR(VLOOKUP($G170,基本資料!$A:$J,7,0),"無")</f>
        <v>-44</v>
      </c>
      <c r="F170" s="6">
        <f>IFERROR(VLOOKUP($G170,基本資料!$A:$J,8,0),"無")</f>
        <v>12.4</v>
      </c>
      <c r="G170" s="79">
        <v>3167</v>
      </c>
      <c r="H170" s="8" t="s">
        <v>295</v>
      </c>
      <c r="I170" s="22" t="s">
        <v>3594</v>
      </c>
      <c r="J170" s="8" t="str">
        <f>IFERROR(VLOOKUP($G170,今日總結!$A:$AJ,35,0),"")</f>
        <v/>
      </c>
      <c r="K170" s="5" t="str">
        <f>IFERROR(VLOOKUP($G170,今日總結!$A:$AJ,36,0),"")</f>
        <v/>
      </c>
      <c r="L170" s="156" t="str">
        <f>IFERROR(VLOOKUP($G170,今日總結!$A:$AJ,33,0),"")</f>
        <v/>
      </c>
      <c r="M170" s="340" t="str">
        <f>IFERROR(VLOOKUP($G170,今日總結!$A:$AJ,34,0),"")</f>
        <v/>
      </c>
      <c r="N170" s="240" t="str">
        <f t="shared" si="27"/>
        <v/>
      </c>
      <c r="P170" s="365">
        <f>IFERROR(VLOOKUP($G170,融外自投!$A:$J,7,0),"無")</f>
        <v>504</v>
      </c>
      <c r="Q170" s="79">
        <f>IFERROR(VLOOKUP($G170,融外自投!$A:$J,9,0),"無")</f>
        <v>734</v>
      </c>
      <c r="R170" s="346">
        <f>IFERROR(VLOOKUP($G170,融外自投!$A:$J,8,0),"無")</f>
        <v>1122</v>
      </c>
      <c r="S170" s="81">
        <f>IFERROR(VLOOKUP($G170,融外自投!$A:$J,10,0),"無")</f>
        <v>458</v>
      </c>
      <c r="T170" s="327">
        <f>IFERROR(VLOOKUP($G170,'321買'!$A:$E,5,0),"'沒有資料'")</f>
        <v>558</v>
      </c>
      <c r="U170" s="186">
        <f>IFERROR(VLOOKUP($G170,基本資料!$A:$J,9,0),"無")</f>
        <v>4</v>
      </c>
      <c r="V170" s="310">
        <f t="shared" si="28"/>
        <v>7.1556350626118065E-2</v>
      </c>
      <c r="W170" s="94">
        <f>IFERROR(VLOOKUP($G170,基本資料!$A:$J,10,0),"無")</f>
        <v>5.51</v>
      </c>
      <c r="X170" s="36">
        <f>RTD("money.excel",,"3167","Price")</f>
        <v>55.9</v>
      </c>
      <c r="Y170" s="66"/>
      <c r="Z170" s="15">
        <f t="shared" si="29"/>
        <v>55.9</v>
      </c>
      <c r="AA170" s="3" t="e">
        <f t="shared" si="30"/>
        <v>#DIV/0!</v>
      </c>
      <c r="AB170" s="344">
        <f>IFERROR(VLOOKUP($G170,基本資料!$A:$M,11,0),"無")</f>
        <v>-50.04</v>
      </c>
      <c r="AC170" s="397">
        <f>IFERROR(VLOOKUP($G170,基本資料!$A:$M,12,0),"無")</f>
        <v>10.31</v>
      </c>
      <c r="AD170" s="22" t="s">
        <v>3594</v>
      </c>
      <c r="AG170" s="33">
        <f t="shared" si="31"/>
        <v>0</v>
      </c>
      <c r="AH170" s="43" t="s">
        <v>2113</v>
      </c>
      <c r="AI170" s="63">
        <f t="shared" si="34"/>
        <v>2.1847690387016231E-3</v>
      </c>
      <c r="AJ170" s="284">
        <f>RTD("money.excel",,$G170,"PredictVolume")</f>
        <v>175</v>
      </c>
      <c r="AK170" s="399">
        <f>IFERROR(VLOOKUP($G170,基本資料!$A:$M,13,0),"無")</f>
        <v>15.87</v>
      </c>
    </row>
    <row r="171" spans="1:37">
      <c r="A171" s="347">
        <f>IFERROR(VLOOKUP($G171,基本資料!$A:$J,3,0),"無")</f>
        <v>4.5</v>
      </c>
      <c r="B171" s="79">
        <f>IFERROR(VLOOKUP($G171,基本資料!$A:$J,4,0),"無")</f>
        <v>-12</v>
      </c>
      <c r="C171" s="79">
        <f>IFERROR(VLOOKUP($G171,基本資料!$A:$J,5,0),"無")</f>
        <v>-21</v>
      </c>
      <c r="D171" s="79">
        <f>IFERROR(VLOOKUP($G171,基本資料!$A:$J,6,0),"無")</f>
        <v>-2</v>
      </c>
      <c r="E171" s="79">
        <f>IFERROR(VLOOKUP($G171,基本資料!$A:$J,7,0),"無")</f>
        <v>0</v>
      </c>
      <c r="F171" s="6">
        <f>IFERROR(VLOOKUP($G171,基本資料!$A:$J,8,0),"無")</f>
        <v>8.89</v>
      </c>
      <c r="G171" s="79">
        <v>3178</v>
      </c>
      <c r="H171" s="8" t="s">
        <v>295</v>
      </c>
      <c r="I171" s="16" t="s">
        <v>1085</v>
      </c>
      <c r="J171" s="8" t="str">
        <f>IFERROR(VLOOKUP($G171,今日總結!$A:$AJ,35,0),"")</f>
        <v/>
      </c>
      <c r="K171" s="5" t="str">
        <f>IFERROR(VLOOKUP($G171,今日總結!$A:$AJ,36,0),"")</f>
        <v/>
      </c>
      <c r="L171" s="156" t="str">
        <f>IFERROR(VLOOKUP($G171,今日總結!$A:$AJ,33,0),"")</f>
        <v/>
      </c>
      <c r="M171" s="340" t="str">
        <f>IFERROR(VLOOKUP($G171,今日總結!$A:$AJ,34,0),"")</f>
        <v/>
      </c>
      <c r="N171" s="240" t="str">
        <f t="shared" si="27"/>
        <v/>
      </c>
      <c r="P171" s="365">
        <f>IFERROR(VLOOKUP($G171,融外自投!$A:$J,7,0),"無")</f>
        <v>445</v>
      </c>
      <c r="Q171" s="79">
        <f>IFERROR(VLOOKUP($G171,融外自投!$A:$J,9,0),"無")</f>
        <v>789</v>
      </c>
      <c r="R171" s="346">
        <f>IFERROR(VLOOKUP($G171,融外自投!$A:$J,8,0),"無")</f>
        <v>1266</v>
      </c>
      <c r="S171" s="81" t="str">
        <f>IFERROR(VLOOKUP($G171,融外自投!$A:$J,10,0),"無")</f>
        <v>無</v>
      </c>
      <c r="T171" s="327">
        <f>IFERROR(VLOOKUP($G171,'321買'!$A:$E,5,0),"'沒有資料'")</f>
        <v>1007</v>
      </c>
      <c r="U171" s="186">
        <f>IFERROR(VLOOKUP($G171,基本資料!$A:$J,9,0),"無")</f>
        <v>1</v>
      </c>
      <c r="V171" s="310">
        <f t="shared" si="28"/>
        <v>1.8484288354898334E-2</v>
      </c>
      <c r="W171" s="94">
        <f>IFERROR(VLOOKUP($G171,基本資料!$A:$J,10,0),"無")</f>
        <v>2</v>
      </c>
      <c r="X171" s="36">
        <f>RTD("money.excel",,"3178","Price")</f>
        <v>54.1</v>
      </c>
      <c r="Y171" s="66"/>
      <c r="Z171" s="15">
        <f t="shared" si="29"/>
        <v>54.1</v>
      </c>
      <c r="AA171" s="3" t="e">
        <f t="shared" si="30"/>
        <v>#DIV/0!</v>
      </c>
      <c r="AB171" s="344">
        <f>IFERROR(VLOOKUP($G171,基本資料!$A:$M,11,0),"無")</f>
        <v>-36.36</v>
      </c>
      <c r="AC171" s="397">
        <f>IFERROR(VLOOKUP($G171,基本資料!$A:$M,12,0),"無")</f>
        <v>10.72</v>
      </c>
      <c r="AD171" s="16" t="s">
        <v>1085</v>
      </c>
      <c r="AG171" s="33">
        <f t="shared" si="31"/>
        <v>0</v>
      </c>
      <c r="AH171" s="43" t="s">
        <v>2803</v>
      </c>
      <c r="AI171" s="63">
        <f t="shared" si="34"/>
        <v>1.2444444444444445E-3</v>
      </c>
      <c r="AJ171" s="284">
        <f>RTD("money.excel",,$G171,"PredictVolume")</f>
        <v>56</v>
      </c>
      <c r="AK171" s="399">
        <f>IFERROR(VLOOKUP($G171,基本資料!$A:$M,13,0),"無")</f>
        <v>18.760000000000002</v>
      </c>
    </row>
    <row r="172" spans="1:37">
      <c r="A172" s="347">
        <f>IFERROR(VLOOKUP($G172,基本資料!$A:$J,3,0),"無")</f>
        <v>6.44</v>
      </c>
      <c r="B172" s="79">
        <f>IFERROR(VLOOKUP($G172,基本資料!$A:$J,4,0),"無")</f>
        <v>-28</v>
      </c>
      <c r="C172" s="79">
        <f>IFERROR(VLOOKUP($G172,基本資料!$A:$J,5,0),"無")</f>
        <v>14</v>
      </c>
      <c r="D172" s="79">
        <f>IFERROR(VLOOKUP($G172,基本資料!$A:$J,6,0),"無")</f>
        <v>4</v>
      </c>
      <c r="E172" s="79">
        <f>IFERROR(VLOOKUP($G172,基本資料!$A:$J,7,0),"無")</f>
        <v>0</v>
      </c>
      <c r="F172" s="6">
        <f>IFERROR(VLOOKUP($G172,基本資料!$A:$J,8,0),"無")</f>
        <v>17.52</v>
      </c>
      <c r="G172" s="79">
        <v>3226</v>
      </c>
      <c r="H172" s="8" t="s">
        <v>295</v>
      </c>
      <c r="I172" s="16" t="s">
        <v>532</v>
      </c>
      <c r="J172" s="8" t="str">
        <f>IFERROR(VLOOKUP($G172,今日總結!$A:$AJ,35,0),"")</f>
        <v/>
      </c>
      <c r="K172" s="5" t="str">
        <f>IFERROR(VLOOKUP($G172,今日總結!$A:$AJ,36,0),"")</f>
        <v/>
      </c>
      <c r="L172" s="156" t="str">
        <f>IFERROR(VLOOKUP($G172,今日總結!$A:$AJ,33,0),"")</f>
        <v/>
      </c>
      <c r="M172" s="340" t="str">
        <f>IFERROR(VLOOKUP($G172,今日總結!$A:$AJ,34,0),"")</f>
        <v/>
      </c>
      <c r="N172" s="240" t="str">
        <f t="shared" si="27"/>
        <v/>
      </c>
      <c r="P172" s="365">
        <f>IFERROR(VLOOKUP($G172,融外自投!$A:$J,7,0),"無")</f>
        <v>1288</v>
      </c>
      <c r="Q172" s="79" t="str">
        <f>IFERROR(VLOOKUP($G172,融外自投!$A:$J,9,0),"無")</f>
        <v>無</v>
      </c>
      <c r="R172" s="346">
        <f>IFERROR(VLOOKUP($G172,融外自投!$A:$J,8,0),"無")</f>
        <v>1470</v>
      </c>
      <c r="S172" s="81" t="str">
        <f>IFERROR(VLOOKUP($G172,融外自投!$A:$J,10,0),"無")</f>
        <v>無</v>
      </c>
      <c r="T172" s="327" t="str">
        <f>IFERROR(VLOOKUP($G172,'321買'!$A:$E,5,0),"'沒有資料'")</f>
        <v>'沒有資料'</v>
      </c>
      <c r="U172" s="186">
        <f>IFERROR(VLOOKUP($G172,基本資料!$A:$J,9,0),"無")</f>
        <v>2.5</v>
      </c>
      <c r="V172" s="310" t="e">
        <f t="shared" si="28"/>
        <v>#VALUE!</v>
      </c>
      <c r="W172" s="94">
        <f>IFERROR(VLOOKUP($G172,基本資料!$A:$J,10,0),"無")</f>
        <v>3.58</v>
      </c>
      <c r="X172" s="36" t="str">
        <f>RTD("money.excel",,"3226","Price")</f>
        <v>無資料</v>
      </c>
      <c r="Y172" s="66"/>
      <c r="Z172" s="15" t="e">
        <f t="shared" si="29"/>
        <v>#VALUE!</v>
      </c>
      <c r="AA172" s="3" t="e">
        <f t="shared" si="30"/>
        <v>#VALUE!</v>
      </c>
      <c r="AB172" s="344">
        <f>IFERROR(VLOOKUP($G172,基本資料!$A:$M,11,0),"無")</f>
        <v>-11.89</v>
      </c>
      <c r="AC172" s="397">
        <f>IFERROR(VLOOKUP($G172,基本資料!$A:$M,12,0),"無")</f>
        <v>62.49</v>
      </c>
      <c r="AD172" s="16" t="s">
        <v>532</v>
      </c>
      <c r="AG172" s="33">
        <f t="shared" si="31"/>
        <v>0</v>
      </c>
      <c r="AH172" s="43" t="s">
        <v>2510</v>
      </c>
      <c r="AI172" s="63">
        <f t="shared" si="34"/>
        <v>0</v>
      </c>
      <c r="AJ172" s="284">
        <f>RTD("money.excel",,$G172,"PredictVolume")</f>
        <v>0</v>
      </c>
      <c r="AK172" s="399">
        <f>IFERROR(VLOOKUP($G172,基本資料!$A:$M,13,0),"無")</f>
        <v>1.86</v>
      </c>
    </row>
    <row r="173" spans="1:37">
      <c r="A173" s="347">
        <f>IFERROR(VLOOKUP($G173,基本資料!$A:$J,3,0),"無")</f>
        <v>3.8</v>
      </c>
      <c r="B173" s="79">
        <f>IFERROR(VLOOKUP($G173,基本資料!$A:$J,4,0),"無")</f>
        <v>-42</v>
      </c>
      <c r="C173" s="79">
        <f>IFERROR(VLOOKUP($G173,基本資料!$A:$J,5,0),"無")</f>
        <v>101</v>
      </c>
      <c r="D173" s="79">
        <f>IFERROR(VLOOKUP($G173,基本資料!$A:$J,6,0),"無")</f>
        <v>-49</v>
      </c>
      <c r="E173" s="79">
        <f>IFERROR(VLOOKUP($G173,基本資料!$A:$J,7,0),"無")</f>
        <v>-87</v>
      </c>
      <c r="F173" s="6">
        <f>IFERROR(VLOOKUP($G173,基本資料!$A:$J,8,0),"無")</f>
        <v>0.22</v>
      </c>
      <c r="G173" s="79">
        <v>3379</v>
      </c>
      <c r="H173" s="8" t="s">
        <v>295</v>
      </c>
      <c r="I173" s="16" t="s">
        <v>533</v>
      </c>
      <c r="J173" s="8" t="str">
        <f>IFERROR(VLOOKUP($G173,今日總結!$A:$AJ,35,0),"")</f>
        <v/>
      </c>
      <c r="K173" s="5" t="str">
        <f>IFERROR(VLOOKUP($G173,今日總結!$A:$AJ,36,0),"")</f>
        <v/>
      </c>
      <c r="L173" s="156" t="str">
        <f>IFERROR(VLOOKUP($G173,今日總結!$A:$AJ,33,0),"")</f>
        <v/>
      </c>
      <c r="M173" s="340" t="str">
        <f>IFERROR(VLOOKUP($G173,今日總結!$A:$AJ,34,0),"")</f>
        <v/>
      </c>
      <c r="N173" s="240" t="str">
        <f t="shared" si="27"/>
        <v/>
      </c>
      <c r="P173" s="365">
        <f>IFERROR(VLOOKUP($G173,融外自投!$A:$J,7,0),"無")</f>
        <v>374</v>
      </c>
      <c r="Q173" s="79">
        <f>IFERROR(VLOOKUP($G173,融外自投!$A:$J,9,0),"無")</f>
        <v>598</v>
      </c>
      <c r="R173" s="346">
        <f>IFERROR(VLOOKUP($G173,融外自投!$A:$J,8,0),"無")</f>
        <v>1409</v>
      </c>
      <c r="S173" s="81" t="str">
        <f>IFERROR(VLOOKUP($G173,融外自投!$A:$J,10,0),"無")</f>
        <v>無</v>
      </c>
      <c r="T173" s="327">
        <f>IFERROR(VLOOKUP($G173,'321買'!$A:$E,5,0),"'沒有資料'")</f>
        <v>1214</v>
      </c>
      <c r="U173" s="186">
        <f>IFERROR(VLOOKUP($G173,基本資料!$A:$J,9,0),"無")</f>
        <v>0.25</v>
      </c>
      <c r="V173" s="310">
        <f t="shared" si="28"/>
        <v>2.1367521367521368E-2</v>
      </c>
      <c r="W173" s="94">
        <f>IFERROR(VLOOKUP($G173,基本資料!$A:$J,10,0),"無")</f>
        <v>0.27</v>
      </c>
      <c r="X173" s="36">
        <f>RTD("money.excel",,"3379","Price")</f>
        <v>11.7</v>
      </c>
      <c r="Y173" s="66"/>
      <c r="Z173" s="15">
        <f t="shared" si="29"/>
        <v>11.7</v>
      </c>
      <c r="AA173" s="3" t="e">
        <f t="shared" si="30"/>
        <v>#DIV/0!</v>
      </c>
      <c r="AB173" s="344">
        <f>IFERROR(VLOOKUP($G173,基本資料!$A:$M,11,0),"無")</f>
        <v>-21.75</v>
      </c>
      <c r="AC173" s="397">
        <f>IFERROR(VLOOKUP($G173,基本資料!$A:$M,12,0),"無")</f>
        <v>34.700000000000003</v>
      </c>
      <c r="AD173" s="16" t="s">
        <v>533</v>
      </c>
      <c r="AG173" s="33">
        <f t="shared" si="31"/>
        <v>0</v>
      </c>
      <c r="AH173" s="43" t="s">
        <v>2511</v>
      </c>
      <c r="AI173" s="63">
        <f t="shared" si="34"/>
        <v>7.7368421052631583E-3</v>
      </c>
      <c r="AJ173" s="284">
        <f>RTD("money.excel",,$G173,"PredictVolume")</f>
        <v>294</v>
      </c>
      <c r="AK173" s="399">
        <f>IFERROR(VLOOKUP($G173,基本資料!$A:$M,13,0),"無")</f>
        <v>18.829999999999998</v>
      </c>
    </row>
    <row r="174" spans="1:37">
      <c r="A174" s="347">
        <f>IFERROR(VLOOKUP($G174,基本資料!$A:$J,3,0),"無")</f>
        <v>2.64</v>
      </c>
      <c r="B174" s="79">
        <f>IFERROR(VLOOKUP($G174,基本資料!$A:$J,4,0),"無")</f>
        <v>14</v>
      </c>
      <c r="C174" s="79">
        <f>IFERROR(VLOOKUP($G174,基本資料!$A:$J,5,0),"無")</f>
        <v>2</v>
      </c>
      <c r="D174" s="79">
        <f>IFERROR(VLOOKUP($G174,基本資料!$A:$J,6,0),"無")</f>
        <v>-2</v>
      </c>
      <c r="E174" s="79">
        <f>IFERROR(VLOOKUP($G174,基本資料!$A:$J,7,0),"無")</f>
        <v>13</v>
      </c>
      <c r="F174" s="6">
        <f>IFERROR(VLOOKUP($G174,基本資料!$A:$J,8,0),"無")</f>
        <v>10.52</v>
      </c>
      <c r="G174" s="79">
        <v>3426</v>
      </c>
      <c r="H174" s="8" t="s">
        <v>295</v>
      </c>
      <c r="I174" s="16" t="s">
        <v>534</v>
      </c>
      <c r="J174" s="8" t="str">
        <f>IFERROR(VLOOKUP($G174,今日總結!$A:$AJ,35,0),"")</f>
        <v/>
      </c>
      <c r="K174" s="5" t="str">
        <f>IFERROR(VLOOKUP($G174,今日總結!$A:$AJ,36,0),"")</f>
        <v/>
      </c>
      <c r="L174" s="156" t="str">
        <f>IFERROR(VLOOKUP($G174,今日總結!$A:$AJ,33,0),"")</f>
        <v/>
      </c>
      <c r="M174" s="340" t="str">
        <f>IFERROR(VLOOKUP($G174,今日總結!$A:$AJ,34,0),"")</f>
        <v/>
      </c>
      <c r="N174" s="240" t="str">
        <f t="shared" si="27"/>
        <v/>
      </c>
      <c r="P174" s="365" t="str">
        <f>IFERROR(VLOOKUP($G174,融外自投!$A:$J,7,0),"無")</f>
        <v>無</v>
      </c>
      <c r="Q174" s="79" t="str">
        <f>IFERROR(VLOOKUP($G174,融外自投!$A:$J,9,0),"無")</f>
        <v>無</v>
      </c>
      <c r="R174" s="346" t="str">
        <f>IFERROR(VLOOKUP($G174,融外自投!$A:$J,8,0),"無")</f>
        <v>無</v>
      </c>
      <c r="S174" s="81" t="str">
        <f>IFERROR(VLOOKUP($G174,融外自投!$A:$J,10,0),"無")</f>
        <v>無</v>
      </c>
      <c r="T174" s="327" t="str">
        <f>IFERROR(VLOOKUP($G174,'321買'!$A:$E,5,0),"'沒有資料'")</f>
        <v>'沒有資料'</v>
      </c>
      <c r="U174" s="186">
        <f>IFERROR(VLOOKUP($G174,基本資料!$A:$J,9,0),"無")</f>
        <v>2</v>
      </c>
      <c r="V174" s="310">
        <f t="shared" si="28"/>
        <v>5.4054054054054057E-2</v>
      </c>
      <c r="W174" s="94">
        <f>IFERROR(VLOOKUP($G174,基本資料!$A:$J,10,0),"無")</f>
        <v>2.48</v>
      </c>
      <c r="X174" s="36">
        <f>RTD("money.excel",,"3426","Price")</f>
        <v>37</v>
      </c>
      <c r="Y174" s="66"/>
      <c r="Z174" s="15">
        <f t="shared" si="29"/>
        <v>37</v>
      </c>
      <c r="AA174" s="3" t="e">
        <f t="shared" si="30"/>
        <v>#DIV/0!</v>
      </c>
      <c r="AB174" s="344">
        <f>IFERROR(VLOOKUP($G174,基本資料!$A:$M,11,0),"無")</f>
        <v>-8.98</v>
      </c>
      <c r="AC174" s="397">
        <f>IFERROR(VLOOKUP($G174,基本資料!$A:$M,12,0),"無")</f>
        <v>31.7</v>
      </c>
      <c r="AD174" s="16" t="s">
        <v>534</v>
      </c>
      <c r="AG174" s="33">
        <f t="shared" si="31"/>
        <v>0</v>
      </c>
      <c r="AH174" s="43" t="s">
        <v>1436</v>
      </c>
      <c r="AI174" s="63">
        <f t="shared" si="34"/>
        <v>1.5151515151515152E-4</v>
      </c>
      <c r="AJ174" s="284">
        <f>RTD("money.excel",,$G174,"PredictVolume")</f>
        <v>4</v>
      </c>
      <c r="AK174" s="399">
        <f>IFERROR(VLOOKUP($G174,基本資料!$A:$M,13,0),"無")</f>
        <v>0.3</v>
      </c>
    </row>
    <row r="175" spans="1:37">
      <c r="A175" s="347">
        <f>IFERROR(VLOOKUP($G175,基本資料!$A:$J,3,0),"無")</f>
        <v>5.81</v>
      </c>
      <c r="B175" s="79">
        <f>IFERROR(VLOOKUP($G175,基本資料!$A:$J,4,0),"無")</f>
        <v>-21</v>
      </c>
      <c r="C175" s="79">
        <f>IFERROR(VLOOKUP($G175,基本資料!$A:$J,5,0),"無")</f>
        <v>-19</v>
      </c>
      <c r="D175" s="79">
        <f>IFERROR(VLOOKUP($G175,基本資料!$A:$J,6,0),"無")</f>
        <v>44</v>
      </c>
      <c r="E175" s="79">
        <f>IFERROR(VLOOKUP($G175,基本資料!$A:$J,7,0),"無")</f>
        <v>34</v>
      </c>
      <c r="F175" s="6">
        <f>IFERROR(VLOOKUP($G175,基本資料!$A:$J,8,0),"無")</f>
        <v>-8.58</v>
      </c>
      <c r="G175" s="79">
        <v>4502</v>
      </c>
      <c r="H175" s="8" t="s">
        <v>295</v>
      </c>
      <c r="I175" s="16" t="s">
        <v>535</v>
      </c>
      <c r="J175" s="8" t="str">
        <f>IFERROR(VLOOKUP($G175,今日總結!$A:$AJ,35,0),"")</f>
        <v/>
      </c>
      <c r="K175" s="5" t="str">
        <f>IFERROR(VLOOKUP($G175,今日總結!$A:$AJ,36,0),"")</f>
        <v/>
      </c>
      <c r="L175" s="156" t="str">
        <f>IFERROR(VLOOKUP($G175,今日總結!$A:$AJ,33,0),"")</f>
        <v/>
      </c>
      <c r="M175" s="340" t="str">
        <f>IFERROR(VLOOKUP($G175,今日總結!$A:$AJ,34,0),"")</f>
        <v/>
      </c>
      <c r="N175" s="240" t="str">
        <f t="shared" si="27"/>
        <v/>
      </c>
      <c r="P175" s="365">
        <f>IFERROR(VLOOKUP($G175,融外自投!$A:$J,7,0),"無")</f>
        <v>881</v>
      </c>
      <c r="Q175" s="79" t="str">
        <f>IFERROR(VLOOKUP($G175,融外自投!$A:$J,9,0),"無")</f>
        <v>無</v>
      </c>
      <c r="R175" s="346">
        <f>IFERROR(VLOOKUP($G175,融外自投!$A:$J,8,0),"無")</f>
        <v>1191</v>
      </c>
      <c r="S175" s="81" t="str">
        <f>IFERROR(VLOOKUP($G175,融外自投!$A:$J,10,0),"無")</f>
        <v>無</v>
      </c>
      <c r="T175" s="327" t="str">
        <f>IFERROR(VLOOKUP($G175,'321買'!$A:$E,5,0),"'沒有資料'")</f>
        <v>'沒有資料'</v>
      </c>
      <c r="U175" s="186">
        <f>IFERROR(VLOOKUP($G175,基本資料!$A:$J,9,0),"無")</f>
        <v>0</v>
      </c>
      <c r="V175" s="310">
        <f t="shared" si="28"/>
        <v>0</v>
      </c>
      <c r="W175" s="94">
        <f>IFERROR(VLOOKUP($G175,基本資料!$A:$J,10,0),"無")</f>
        <v>-2.87</v>
      </c>
      <c r="X175" s="36">
        <f>RTD("money.excel",,"4502","Price")</f>
        <v>36.9</v>
      </c>
      <c r="Y175" s="66"/>
      <c r="Z175" s="15">
        <f t="shared" si="29"/>
        <v>36.9</v>
      </c>
      <c r="AA175" s="3" t="e">
        <f t="shared" si="30"/>
        <v>#DIV/0!</v>
      </c>
      <c r="AB175" s="344">
        <f>IFERROR(VLOOKUP($G175,基本資料!$A:$M,11,0),"無")</f>
        <v>-19.149999999999999</v>
      </c>
      <c r="AC175" s="397">
        <f>IFERROR(VLOOKUP($G175,基本資料!$A:$M,12,0),"無")</f>
        <v>46.48</v>
      </c>
      <c r="AD175" s="16" t="s">
        <v>535</v>
      </c>
      <c r="AG175" s="33">
        <f t="shared" si="31"/>
        <v>0</v>
      </c>
      <c r="AH175" s="43" t="s">
        <v>2512</v>
      </c>
      <c r="AI175" s="63">
        <f t="shared" si="34"/>
        <v>1.7211703958691912E-4</v>
      </c>
      <c r="AJ175" s="284">
        <f>RTD("money.excel",,$G175,"PredictVolume")</f>
        <v>10</v>
      </c>
      <c r="AK175" s="399">
        <f>IFERROR(VLOOKUP($G175,基本資料!$A:$M,13,0),"無")</f>
        <v>0.99</v>
      </c>
    </row>
    <row r="176" spans="1:37">
      <c r="A176" s="347">
        <f>IFERROR(VLOOKUP($G176,基本資料!$A:$J,3,0),"無")</f>
        <v>3.92</v>
      </c>
      <c r="B176" s="79">
        <f>IFERROR(VLOOKUP($G176,基本資料!$A:$J,4,0),"無")</f>
        <v>-179</v>
      </c>
      <c r="C176" s="79">
        <f>IFERROR(VLOOKUP($G176,基本資料!$A:$J,5,0),"無")</f>
        <v>-59</v>
      </c>
      <c r="D176" s="79">
        <f>IFERROR(VLOOKUP($G176,基本資料!$A:$J,6,0),"無")</f>
        <v>37</v>
      </c>
      <c r="E176" s="79">
        <f>IFERROR(VLOOKUP($G176,基本資料!$A:$J,7,0),"無")</f>
        <v>82</v>
      </c>
      <c r="F176" s="6">
        <f>IFERROR(VLOOKUP($G176,基本資料!$A:$J,8,0),"無")</f>
        <v>-26.88</v>
      </c>
      <c r="G176" s="79">
        <v>4503</v>
      </c>
      <c r="H176" s="8" t="s">
        <v>295</v>
      </c>
      <c r="I176" s="16" t="s">
        <v>536</v>
      </c>
      <c r="J176" s="8">
        <f>IFERROR(VLOOKUP($G176,今日總結!$A:$AJ,35,0),"")</f>
        <v>0</v>
      </c>
      <c r="K176" s="5">
        <f>IFERROR(VLOOKUP($G176,今日總結!$A:$AJ,36,0),"")</f>
        <v>2</v>
      </c>
      <c r="L176" s="156">
        <f>IFERROR(VLOOKUP($G176,今日總結!$A:$AJ,33,0),"")</f>
        <v>0</v>
      </c>
      <c r="M176" s="340">
        <f>IFERROR(VLOOKUP($G176,今日總結!$A:$AJ,34,0),"")</f>
        <v>1</v>
      </c>
      <c r="N176" s="240">
        <f t="shared" si="27"/>
        <v>-1</v>
      </c>
      <c r="P176" s="365">
        <f>IFERROR(VLOOKUP($G176,融外自投!$A:$J,7,0),"無")</f>
        <v>326</v>
      </c>
      <c r="Q176" s="79">
        <f>IFERROR(VLOOKUP($G176,融外自投!$A:$J,9,0),"無")</f>
        <v>598</v>
      </c>
      <c r="R176" s="346">
        <f>IFERROR(VLOOKUP($G176,融外自投!$A:$J,8,0),"無")</f>
        <v>1302</v>
      </c>
      <c r="S176" s="81" t="str">
        <f>IFERROR(VLOOKUP($G176,融外自投!$A:$J,10,0),"無")</f>
        <v>無</v>
      </c>
      <c r="T176" s="327">
        <f>IFERROR(VLOOKUP($G176,'321買'!$A:$E,5,0),"'沒有資料'")</f>
        <v>515</v>
      </c>
      <c r="U176" s="186">
        <f>IFERROR(VLOOKUP($G176,基本資料!$A:$J,9,0),"無")</f>
        <v>0</v>
      </c>
      <c r="V176" s="310">
        <f t="shared" si="28"/>
        <v>0</v>
      </c>
      <c r="W176" s="94">
        <f>IFERROR(VLOOKUP($G176,基本資料!$A:$J,10,0),"無")</f>
        <v>-0.85</v>
      </c>
      <c r="X176" s="36">
        <f>RTD("money.excel",,"4503","Price")</f>
        <v>24</v>
      </c>
      <c r="Y176" s="66"/>
      <c r="Z176" s="15">
        <f t="shared" si="29"/>
        <v>24</v>
      </c>
      <c r="AA176" s="3" t="e">
        <f t="shared" si="30"/>
        <v>#DIV/0!</v>
      </c>
      <c r="AB176" s="344">
        <f>IFERROR(VLOOKUP($G176,基本資料!$A:$M,11,0),"無")</f>
        <v>-37.590000000000003</v>
      </c>
      <c r="AC176" s="397">
        <f>IFERROR(VLOOKUP($G176,基本資料!$A:$M,12,0),"無")</f>
        <v>30.12</v>
      </c>
      <c r="AD176" s="16" t="s">
        <v>536</v>
      </c>
      <c r="AG176" s="33">
        <f t="shared" si="31"/>
        <v>0</v>
      </c>
      <c r="AH176" s="43" t="s">
        <v>2513</v>
      </c>
      <c r="AI176" s="63">
        <f t="shared" si="34"/>
        <v>1.0178571428571429E-2</v>
      </c>
      <c r="AJ176" s="284">
        <f>RTD("money.excel",,$G176,"PredictVolume")</f>
        <v>399</v>
      </c>
      <c r="AK176" s="399">
        <f>IFERROR(VLOOKUP($G176,基本資料!$A:$M,13,0),"無")</f>
        <v>54.56</v>
      </c>
    </row>
    <row r="177" spans="1:37">
      <c r="A177" s="347">
        <f>IFERROR(VLOOKUP($G177,基本資料!$A:$J,3,0),"無")</f>
        <v>17.7</v>
      </c>
      <c r="B177" s="79">
        <f>IFERROR(VLOOKUP($G177,基本資料!$A:$J,4,0),"無")</f>
        <v>7</v>
      </c>
      <c r="C177" s="79">
        <f>IFERROR(VLOOKUP($G177,基本資料!$A:$J,5,0),"無")</f>
        <v>6</v>
      </c>
      <c r="D177" s="79">
        <f>IFERROR(VLOOKUP($G177,基本資料!$A:$J,6,0),"無")</f>
        <v>-9</v>
      </c>
      <c r="E177" s="79">
        <f>IFERROR(VLOOKUP($G177,基本資料!$A:$J,7,0),"無")</f>
        <v>9</v>
      </c>
      <c r="F177" s="6">
        <f>IFERROR(VLOOKUP($G177,基本資料!$A:$J,8,0),"無")</f>
        <v>19.29</v>
      </c>
      <c r="G177" s="79">
        <v>4506</v>
      </c>
      <c r="H177" s="8" t="s">
        <v>295</v>
      </c>
      <c r="I177" s="16" t="s">
        <v>3595</v>
      </c>
      <c r="J177" s="8" t="str">
        <f>IFERROR(VLOOKUP($G177,今日總結!$A:$AJ,35,0),"")</f>
        <v/>
      </c>
      <c r="K177" s="5" t="str">
        <f>IFERROR(VLOOKUP($G177,今日總結!$A:$AJ,36,0),"")</f>
        <v/>
      </c>
      <c r="L177" s="156" t="str">
        <f>IFERROR(VLOOKUP($G177,今日總結!$A:$AJ,33,0),"")</f>
        <v/>
      </c>
      <c r="M177" s="340" t="str">
        <f>IFERROR(VLOOKUP($G177,今日總結!$A:$AJ,34,0),"")</f>
        <v/>
      </c>
      <c r="N177" s="240" t="str">
        <f t="shared" si="27"/>
        <v/>
      </c>
      <c r="P177" s="365">
        <f>IFERROR(VLOOKUP($G177,融外自投!$A:$J,7,0),"無")</f>
        <v>1448</v>
      </c>
      <c r="Q177" s="79" t="str">
        <f>IFERROR(VLOOKUP($G177,融外自投!$A:$J,9,0),"無")</f>
        <v>無</v>
      </c>
      <c r="R177" s="346">
        <f>IFERROR(VLOOKUP($G177,融外自投!$A:$J,8,0),"無")</f>
        <v>781</v>
      </c>
      <c r="S177" s="81">
        <f>IFERROR(VLOOKUP($G177,融外自投!$A:$J,10,0),"無")</f>
        <v>227</v>
      </c>
      <c r="T177" s="327">
        <f>IFERROR(VLOOKUP($G177,'321買'!$A:$E,5,0),"'沒有資料'")</f>
        <v>1397</v>
      </c>
      <c r="U177" s="186">
        <f>IFERROR(VLOOKUP($G177,基本資料!$A:$J,9,0),"無")</f>
        <v>3.2</v>
      </c>
      <c r="V177" s="310">
        <f t="shared" si="28"/>
        <v>4.6852122986822842E-2</v>
      </c>
      <c r="W177" s="94">
        <f>IFERROR(VLOOKUP($G177,基本資料!$A:$J,10,0),"無")</f>
        <v>4.3899999999999997</v>
      </c>
      <c r="X177" s="36">
        <f>RTD("money.excel",,"4506","Price")</f>
        <v>68.3</v>
      </c>
      <c r="Y177" s="66"/>
      <c r="Z177" s="15">
        <f t="shared" si="29"/>
        <v>68.3</v>
      </c>
      <c r="AA177" s="3" t="e">
        <f t="shared" si="30"/>
        <v>#DIV/0!</v>
      </c>
      <c r="AB177" s="344">
        <f>IFERROR(VLOOKUP($G177,基本資料!$A:$M,11,0),"無")</f>
        <v>-5.4</v>
      </c>
      <c r="AC177" s="397">
        <f>IFERROR(VLOOKUP($G177,基本資料!$A:$M,12,0),"無")</f>
        <v>55.51</v>
      </c>
      <c r="AD177" s="16" t="s">
        <v>3595</v>
      </c>
      <c r="AG177" s="33">
        <f t="shared" si="31"/>
        <v>0</v>
      </c>
      <c r="AH177" s="117" t="s">
        <v>2380</v>
      </c>
      <c r="AI177" s="63">
        <f t="shared" si="34"/>
        <v>1.5254237288135592E-4</v>
      </c>
      <c r="AJ177" s="284">
        <f>RTD("money.excel",,$G177,"PredictVolume")</f>
        <v>27</v>
      </c>
      <c r="AK177" s="399">
        <f>IFERROR(VLOOKUP($G177,基本資料!$A:$M,13,0),"無")</f>
        <v>0.53</v>
      </c>
    </row>
    <row r="178" spans="1:37">
      <c r="A178" s="347">
        <f>IFERROR(VLOOKUP($G178,基本資料!$A:$J,3,0),"無")</f>
        <v>10.8</v>
      </c>
      <c r="B178" s="79">
        <f>IFERROR(VLOOKUP($G178,基本資料!$A:$J,4,0),"無")</f>
        <v>-200</v>
      </c>
      <c r="C178" s="79">
        <f>IFERROR(VLOOKUP($G178,基本資料!$A:$J,5,0),"無")</f>
        <v>61</v>
      </c>
      <c r="D178" s="79">
        <f>IFERROR(VLOOKUP($G178,基本資料!$A:$J,6,0),"無")</f>
        <v>23</v>
      </c>
      <c r="E178" s="79">
        <f>IFERROR(VLOOKUP($G178,基本資料!$A:$J,7,0),"無")</f>
        <v>194</v>
      </c>
      <c r="F178" s="6">
        <f>IFERROR(VLOOKUP($G178,基本資料!$A:$J,8,0),"無")</f>
        <v>-1.02</v>
      </c>
      <c r="G178" s="79">
        <v>4510</v>
      </c>
      <c r="H178" s="8" t="s">
        <v>295</v>
      </c>
      <c r="I178" s="16" t="s">
        <v>537</v>
      </c>
      <c r="J178" s="8" t="str">
        <f>IFERROR(VLOOKUP($G178,今日總結!$A:$AJ,35,0),"")</f>
        <v/>
      </c>
      <c r="K178" s="5" t="str">
        <f>IFERROR(VLOOKUP($G178,今日總結!$A:$AJ,36,0),"")</f>
        <v/>
      </c>
      <c r="L178" s="156" t="str">
        <f>IFERROR(VLOOKUP($G178,今日總結!$A:$AJ,33,0),"")</f>
        <v/>
      </c>
      <c r="M178" s="340" t="str">
        <f>IFERROR(VLOOKUP($G178,今日總結!$A:$AJ,34,0),"")</f>
        <v/>
      </c>
      <c r="N178" s="240" t="str">
        <f t="shared" si="27"/>
        <v/>
      </c>
      <c r="P178" s="365">
        <f>IFERROR(VLOOKUP($G178,融外自投!$A:$J,7,0),"無")</f>
        <v>907</v>
      </c>
      <c r="Q178" s="79">
        <f>IFERROR(VLOOKUP($G178,融外自投!$A:$J,9,0),"無")</f>
        <v>1051</v>
      </c>
      <c r="R178" s="346">
        <f>IFERROR(VLOOKUP($G178,融外自投!$A:$J,8,0),"無")</f>
        <v>978</v>
      </c>
      <c r="S178" s="81" t="str">
        <f>IFERROR(VLOOKUP($G178,融外自投!$A:$J,10,0),"無")</f>
        <v>無</v>
      </c>
      <c r="T178" s="327" t="str">
        <f>IFERROR(VLOOKUP($G178,'321買'!$A:$E,5,0),"'沒有資料'")</f>
        <v>'沒有資料'</v>
      </c>
      <c r="U178" s="186">
        <f>IFERROR(VLOOKUP($G178,基本資料!$A:$J,9,0),"無")</f>
        <v>0</v>
      </c>
      <c r="V178" s="310">
        <f t="shared" si="28"/>
        <v>0</v>
      </c>
      <c r="W178" s="94">
        <f>IFERROR(VLOOKUP($G178,基本資料!$A:$J,10,0),"無")</f>
        <v>-0.33</v>
      </c>
      <c r="X178" s="36">
        <f>RTD("money.excel",,"4510","Price")</f>
        <v>11.25</v>
      </c>
      <c r="Y178" s="66"/>
      <c r="Z178" s="15">
        <f t="shared" si="29"/>
        <v>11.25</v>
      </c>
      <c r="AA178" s="3" t="e">
        <f t="shared" si="30"/>
        <v>#DIV/0!</v>
      </c>
      <c r="AB178" s="344">
        <f>IFERROR(VLOOKUP($G178,基本資料!$A:$M,11,0),"無")</f>
        <v>-7.6</v>
      </c>
      <c r="AC178" s="397">
        <f>IFERROR(VLOOKUP($G178,基本資料!$A:$M,12,0),"無")</f>
        <v>48.89</v>
      </c>
      <c r="AD178" s="16" t="s">
        <v>537</v>
      </c>
      <c r="AG178" s="33">
        <f t="shared" si="31"/>
        <v>0</v>
      </c>
      <c r="AH178" s="43" t="s">
        <v>3042</v>
      </c>
      <c r="AI178" s="63">
        <f t="shared" si="34"/>
        <v>2.9629629629629629E-4</v>
      </c>
      <c r="AJ178" s="284">
        <f>RTD("money.excel",,$G178,"PredictVolume")</f>
        <v>32</v>
      </c>
      <c r="AK178" s="399">
        <f>IFERROR(VLOOKUP($G178,基本資料!$A:$M,13,0),"無")</f>
        <v>2.94</v>
      </c>
    </row>
    <row r="179" spans="1:37">
      <c r="A179" s="347">
        <f>IFERROR(VLOOKUP($G179,基本資料!$A:$J,3,0),"無")</f>
        <v>7.68</v>
      </c>
      <c r="B179" s="79">
        <f>IFERROR(VLOOKUP($G179,基本資料!$A:$J,4,0),"無")</f>
        <v>187</v>
      </c>
      <c r="C179" s="79">
        <f>IFERROR(VLOOKUP($G179,基本資料!$A:$J,5,0),"無")</f>
        <v>221</v>
      </c>
      <c r="D179" s="79">
        <f>IFERROR(VLOOKUP($G179,基本資料!$A:$J,6,0),"無")</f>
        <v>45</v>
      </c>
      <c r="E179" s="79">
        <f>IFERROR(VLOOKUP($G179,基本資料!$A:$J,7,0),"無")</f>
        <v>-8</v>
      </c>
      <c r="F179" s="6">
        <f>IFERROR(VLOOKUP($G179,基本資料!$A:$J,8,0),"無")</f>
        <v>2.86</v>
      </c>
      <c r="G179" s="79">
        <v>4513</v>
      </c>
      <c r="H179" s="8" t="s">
        <v>295</v>
      </c>
      <c r="I179" s="16" t="s">
        <v>538</v>
      </c>
      <c r="J179" s="8" t="str">
        <f>IFERROR(VLOOKUP($G179,今日總結!$A:$AJ,35,0),"")</f>
        <v/>
      </c>
      <c r="K179" s="5" t="str">
        <f>IFERROR(VLOOKUP($G179,今日總結!$A:$AJ,36,0),"")</f>
        <v/>
      </c>
      <c r="L179" s="156" t="str">
        <f>IFERROR(VLOOKUP($G179,今日總結!$A:$AJ,33,0),"")</f>
        <v/>
      </c>
      <c r="M179" s="340" t="str">
        <f>IFERROR(VLOOKUP($G179,今日總結!$A:$AJ,34,0),"")</f>
        <v/>
      </c>
      <c r="N179" s="240" t="str">
        <f t="shared" si="27"/>
        <v/>
      </c>
      <c r="P179" s="365">
        <f>IFERROR(VLOOKUP($G179,融外自投!$A:$J,7,0),"無")</f>
        <v>711</v>
      </c>
      <c r="Q179" s="79">
        <f>IFERROR(VLOOKUP($G179,融外自投!$A:$J,9,0),"無")</f>
        <v>329</v>
      </c>
      <c r="R179" s="346">
        <f>IFERROR(VLOOKUP($G179,融外自投!$A:$J,8,0),"無")</f>
        <v>552</v>
      </c>
      <c r="S179" s="81" t="str">
        <f>IFERROR(VLOOKUP($G179,融外自投!$A:$J,10,0),"無")</f>
        <v>無</v>
      </c>
      <c r="T179" s="327">
        <f>IFERROR(VLOOKUP($G179,'321買'!$A:$E,5,0),"'沒有資料'")</f>
        <v>379</v>
      </c>
      <c r="U179" s="186">
        <f>IFERROR(VLOOKUP($G179,基本資料!$A:$J,9,0),"無")</f>
        <v>0</v>
      </c>
      <c r="V179" s="310">
        <f t="shared" si="28"/>
        <v>0</v>
      </c>
      <c r="W179" s="94">
        <f>IFERROR(VLOOKUP($G179,基本資料!$A:$J,10,0),"無")</f>
        <v>0.44</v>
      </c>
      <c r="X179" s="36">
        <f>RTD("money.excel",,"4513","Price")</f>
        <v>18.2</v>
      </c>
      <c r="Y179" s="66"/>
      <c r="Z179" s="15">
        <f t="shared" si="29"/>
        <v>18.2</v>
      </c>
      <c r="AA179" s="3" t="e">
        <f t="shared" si="30"/>
        <v>#DIV/0!</v>
      </c>
      <c r="AB179" s="344">
        <f>IFERROR(VLOOKUP($G179,基本資料!$A:$M,11,0),"無")</f>
        <v>-20.95</v>
      </c>
      <c r="AC179" s="397">
        <f>IFERROR(VLOOKUP($G179,基本資料!$A:$M,12,0),"無")</f>
        <v>36.08</v>
      </c>
      <c r="AD179" s="16" t="s">
        <v>538</v>
      </c>
      <c r="AG179" s="33">
        <f t="shared" si="31"/>
        <v>0</v>
      </c>
      <c r="AH179" s="43" t="s">
        <v>2515</v>
      </c>
      <c r="AI179" s="63">
        <f t="shared" si="34"/>
        <v>1.6145833333333335E-2</v>
      </c>
      <c r="AJ179" s="284">
        <f>RTD("money.excel",,$G179,"PredictVolume")</f>
        <v>1240</v>
      </c>
      <c r="AK179" s="399">
        <f>IFERROR(VLOOKUP($G179,基本資料!$A:$M,13,0),"無")</f>
        <v>29.12</v>
      </c>
    </row>
    <row r="180" spans="1:37">
      <c r="A180" s="347">
        <f>IFERROR(VLOOKUP($G180,基本資料!$A:$J,3,0),"無")</f>
        <v>6.4</v>
      </c>
      <c r="B180" s="79">
        <f>IFERROR(VLOOKUP($G180,基本資料!$A:$J,4,0),"無")</f>
        <v>95</v>
      </c>
      <c r="C180" s="79">
        <f>IFERROR(VLOOKUP($G180,基本資料!$A:$J,5,0),"無")</f>
        <v>73</v>
      </c>
      <c r="D180" s="79">
        <f>IFERROR(VLOOKUP($G180,基本資料!$A:$J,6,0),"無")</f>
        <v>-29</v>
      </c>
      <c r="E180" s="79">
        <f>IFERROR(VLOOKUP($G180,基本資料!$A:$J,7,0),"無")</f>
        <v>-18</v>
      </c>
      <c r="F180" s="6">
        <f>IFERROR(VLOOKUP($G180,基本資料!$A:$J,8,0),"無")</f>
        <v>-9.92</v>
      </c>
      <c r="G180" s="79">
        <v>4523</v>
      </c>
      <c r="H180" s="8" t="s">
        <v>295</v>
      </c>
      <c r="I180" s="16" t="s">
        <v>539</v>
      </c>
      <c r="J180" s="8" t="str">
        <f>IFERROR(VLOOKUP($G180,今日總結!$A:$AJ,35,0),"")</f>
        <v/>
      </c>
      <c r="K180" s="5" t="str">
        <f>IFERROR(VLOOKUP($G180,今日總結!$A:$AJ,36,0),"")</f>
        <v/>
      </c>
      <c r="L180" s="156" t="str">
        <f>IFERROR(VLOOKUP($G180,今日總結!$A:$AJ,33,0),"")</f>
        <v/>
      </c>
      <c r="M180" s="340" t="str">
        <f>IFERROR(VLOOKUP($G180,今日總結!$A:$AJ,34,0),"")</f>
        <v/>
      </c>
      <c r="N180" s="240" t="str">
        <f t="shared" si="27"/>
        <v/>
      </c>
      <c r="P180" s="365">
        <f>IFERROR(VLOOKUP($G180,融外自投!$A:$J,7,0),"無")</f>
        <v>30</v>
      </c>
      <c r="Q180" s="79">
        <f>IFERROR(VLOOKUP($G180,融外自投!$A:$J,9,0),"無")</f>
        <v>978</v>
      </c>
      <c r="R180" s="346">
        <f>IFERROR(VLOOKUP($G180,融外自投!$A:$J,8,0),"無")</f>
        <v>1051</v>
      </c>
      <c r="S180" s="81" t="str">
        <f>IFERROR(VLOOKUP($G180,融外自投!$A:$J,10,0),"無")</f>
        <v>無</v>
      </c>
      <c r="T180" s="327">
        <f>IFERROR(VLOOKUP($G180,'321買'!$A:$E,5,0),"'沒有資料'")</f>
        <v>1007</v>
      </c>
      <c r="U180" s="186">
        <f>IFERROR(VLOOKUP($G180,基本資料!$A:$J,9,0),"無")</f>
        <v>0</v>
      </c>
      <c r="V180" s="310">
        <f t="shared" si="28"/>
        <v>0</v>
      </c>
      <c r="W180" s="94">
        <f>IFERROR(VLOOKUP($G180,基本資料!$A:$J,10,0),"無")</f>
        <v>-0.22</v>
      </c>
      <c r="X180" s="36">
        <f>RTD("money.excel",,"4523","Price")</f>
        <v>26.05</v>
      </c>
      <c r="Y180" s="66"/>
      <c r="Z180" s="15">
        <f t="shared" si="29"/>
        <v>26.05</v>
      </c>
      <c r="AA180" s="3" t="e">
        <f t="shared" si="30"/>
        <v>#DIV/0!</v>
      </c>
      <c r="AB180" s="344">
        <f>IFERROR(VLOOKUP($G180,基本資料!$A:$M,11,0),"無")</f>
        <v>-19.350000000000001</v>
      </c>
      <c r="AC180" s="397">
        <f>IFERROR(VLOOKUP($G180,基本資料!$A:$M,12,0),"無")</f>
        <v>32.909999999999997</v>
      </c>
      <c r="AD180" s="16" t="s">
        <v>539</v>
      </c>
      <c r="AG180" s="33">
        <f t="shared" si="31"/>
        <v>0</v>
      </c>
      <c r="AH180" s="43" t="s">
        <v>2516</v>
      </c>
      <c r="AI180" s="63">
        <f t="shared" si="34"/>
        <v>4.6875000000000001E-5</v>
      </c>
      <c r="AJ180" s="284">
        <f>RTD("money.excel",,$G180,"PredictVolume")</f>
        <v>3</v>
      </c>
      <c r="AK180" s="399">
        <f>IFERROR(VLOOKUP($G180,基本資料!$A:$M,13,0),"無")</f>
        <v>20.399999999999999</v>
      </c>
    </row>
    <row r="181" spans="1:37">
      <c r="A181" s="347">
        <f>IFERROR(VLOOKUP($G181,基本資料!$A:$J,3,0),"無")</f>
        <v>25.48</v>
      </c>
      <c r="B181" s="79">
        <f>IFERROR(VLOOKUP($G181,基本資料!$A:$J,4,0),"無")</f>
        <v>139</v>
      </c>
      <c r="C181" s="79">
        <f>IFERROR(VLOOKUP($G181,基本資料!$A:$J,5,0),"無")</f>
        <v>125</v>
      </c>
      <c r="D181" s="79">
        <f>IFERROR(VLOOKUP($G181,基本資料!$A:$J,6,0),"無")</f>
        <v>44</v>
      </c>
      <c r="E181" s="79">
        <f>IFERROR(VLOOKUP($G181,基本資料!$A:$J,7,0),"無")</f>
        <v>-16</v>
      </c>
      <c r="F181" s="6">
        <f>IFERROR(VLOOKUP($G181,基本資料!$A:$J,8,0),"無")</f>
        <v>1.75</v>
      </c>
      <c r="G181" s="79">
        <v>4526</v>
      </c>
      <c r="H181" s="8" t="s">
        <v>295</v>
      </c>
      <c r="I181" s="22" t="s">
        <v>578</v>
      </c>
      <c r="J181" s="8">
        <f>IFERROR(VLOOKUP($G181,今日總結!$A:$AJ,35,0),"")</f>
        <v>0</v>
      </c>
      <c r="K181" s="5">
        <f>IFERROR(VLOOKUP($G181,今日總結!$A:$AJ,36,0),"")</f>
        <v>0</v>
      </c>
      <c r="L181" s="156">
        <f>IFERROR(VLOOKUP($G181,今日總結!$A:$AJ,33,0),"")</f>
        <v>0</v>
      </c>
      <c r="M181" s="340">
        <f>IFERROR(VLOOKUP($G181,今日總結!$A:$AJ,34,0),"")</f>
        <v>1</v>
      </c>
      <c r="N181" s="240">
        <f t="shared" si="27"/>
        <v>-1</v>
      </c>
      <c r="P181" s="365">
        <f>IFERROR(VLOOKUP($G181,融外自投!$A:$J,7,0),"無")</f>
        <v>964</v>
      </c>
      <c r="Q181" s="79">
        <f>IFERROR(VLOOKUP($G181,融外自投!$A:$J,9,0),"無")</f>
        <v>978</v>
      </c>
      <c r="R181" s="346">
        <f>IFERROR(VLOOKUP($G181,融外自投!$A:$J,8,0),"無")</f>
        <v>633</v>
      </c>
      <c r="S181" s="81" t="str">
        <f>IFERROR(VLOOKUP($G181,融外自投!$A:$J,10,0),"無")</f>
        <v>無</v>
      </c>
      <c r="T181" s="327">
        <f>IFERROR(VLOOKUP($G181,'321買'!$A:$E,5,0),"'沒有資料'")</f>
        <v>1143</v>
      </c>
      <c r="U181" s="186">
        <f>IFERROR(VLOOKUP($G181,基本資料!$A:$J,9,0),"無")</f>
        <v>0.2</v>
      </c>
      <c r="V181" s="310">
        <f t="shared" si="28"/>
        <v>1.3698630136986302E-2</v>
      </c>
      <c r="W181" s="94">
        <f>IFERROR(VLOOKUP($G181,基本資料!$A:$J,10,0),"無")</f>
        <v>0.68</v>
      </c>
      <c r="X181" s="36">
        <f>RTD("money.excel",,"4526","Price")</f>
        <v>14.6</v>
      </c>
      <c r="Y181" s="66"/>
      <c r="Z181" s="15">
        <f t="shared" si="29"/>
        <v>14.6</v>
      </c>
      <c r="AA181" s="3" t="e">
        <f t="shared" si="30"/>
        <v>#DIV/0!</v>
      </c>
      <c r="AB181" s="344">
        <f>IFERROR(VLOOKUP($G181,基本資料!$A:$M,11,0),"無")</f>
        <v>-24.62</v>
      </c>
      <c r="AC181" s="397">
        <f>IFERROR(VLOOKUP($G181,基本資料!$A:$M,12,0),"無")</f>
        <v>7.66</v>
      </c>
      <c r="AD181" s="22" t="s">
        <v>578</v>
      </c>
      <c r="AG181" s="33">
        <f t="shared" si="31"/>
        <v>0</v>
      </c>
      <c r="AH181" s="43" t="s">
        <v>2113</v>
      </c>
      <c r="AI181" s="63">
        <f t="shared" si="34"/>
        <v>6.4364207221350074E-4</v>
      </c>
      <c r="AJ181" s="284">
        <f>RTD("money.excel",,$G181,"PredictVolume")</f>
        <v>164</v>
      </c>
      <c r="AK181" s="399">
        <f>IFERROR(VLOOKUP($G181,基本資料!$A:$M,13,0),"無")</f>
        <v>4.87</v>
      </c>
    </row>
    <row r="182" spans="1:37">
      <c r="A182" s="347">
        <f>IFERROR(VLOOKUP($G182,基本資料!$A:$J,3,0),"無")</f>
        <v>7.61</v>
      </c>
      <c r="B182" s="79">
        <f>IFERROR(VLOOKUP($G182,基本資料!$A:$J,4,0),"無")</f>
        <v>-28</v>
      </c>
      <c r="C182" s="79">
        <f>IFERROR(VLOOKUP($G182,基本資料!$A:$J,5,0),"無")</f>
        <v>-27</v>
      </c>
      <c r="D182" s="79">
        <f>IFERROR(VLOOKUP($G182,基本資料!$A:$J,6,0),"無")</f>
        <v>-44</v>
      </c>
      <c r="E182" s="79">
        <f>IFERROR(VLOOKUP($G182,基本資料!$A:$J,7,0),"無")</f>
        <v>-20</v>
      </c>
      <c r="F182" s="6">
        <f>IFERROR(VLOOKUP($G182,基本資料!$A:$J,8,0),"無")</f>
        <v>6.93</v>
      </c>
      <c r="G182" s="79">
        <v>4527</v>
      </c>
      <c r="H182" s="8" t="s">
        <v>295</v>
      </c>
      <c r="I182" s="16" t="s">
        <v>540</v>
      </c>
      <c r="J182" s="8" t="str">
        <f>IFERROR(VLOOKUP($G182,今日總結!$A:$AJ,35,0),"")</f>
        <v/>
      </c>
      <c r="K182" s="5" t="str">
        <f>IFERROR(VLOOKUP($G182,今日總結!$A:$AJ,36,0),"")</f>
        <v/>
      </c>
      <c r="L182" s="156" t="str">
        <f>IFERROR(VLOOKUP($G182,今日總結!$A:$AJ,33,0),"")</f>
        <v/>
      </c>
      <c r="M182" s="340" t="str">
        <f>IFERROR(VLOOKUP($G182,今日總結!$A:$AJ,34,0),"")</f>
        <v/>
      </c>
      <c r="N182" s="240" t="str">
        <f t="shared" si="27"/>
        <v/>
      </c>
      <c r="P182" s="365">
        <f>IFERROR(VLOOKUP($G182,融外自投!$A:$J,7,0),"無")</f>
        <v>1406</v>
      </c>
      <c r="Q182" s="79">
        <f>IFERROR(VLOOKUP($G182,融外自投!$A:$J,9,0),"無")</f>
        <v>852</v>
      </c>
      <c r="R182" s="346">
        <f>IFERROR(VLOOKUP($G182,融外自投!$A:$J,8,0),"無")</f>
        <v>1028</v>
      </c>
      <c r="S182" s="81" t="str">
        <f>IFERROR(VLOOKUP($G182,融外自投!$A:$J,10,0),"無")</f>
        <v>無</v>
      </c>
      <c r="T182" s="327">
        <f>IFERROR(VLOOKUP($G182,'321買'!$A:$E,5,0),"'沒有資料'")</f>
        <v>1397</v>
      </c>
      <c r="U182" s="186">
        <f>IFERROR(VLOOKUP($G182,基本資料!$A:$J,9,0),"無")</f>
        <v>1.8</v>
      </c>
      <c r="V182" s="310" t="e">
        <f t="shared" si="28"/>
        <v>#VALUE!</v>
      </c>
      <c r="W182" s="94">
        <f>IFERROR(VLOOKUP($G182,基本資料!$A:$J,10,0),"無")</f>
        <v>1.98</v>
      </c>
      <c r="X182" s="36" t="str">
        <f>RTD("money.excel",,"4527","Price")</f>
        <v>無資料</v>
      </c>
      <c r="Y182" s="66"/>
      <c r="Z182" s="15" t="e">
        <f t="shared" si="29"/>
        <v>#VALUE!</v>
      </c>
      <c r="AA182" s="3" t="e">
        <f t="shared" si="30"/>
        <v>#VALUE!</v>
      </c>
      <c r="AB182" s="344">
        <f>IFERROR(VLOOKUP($G182,基本資料!$A:$M,11,0),"無")</f>
        <v>-8.5</v>
      </c>
      <c r="AC182" s="397">
        <f>IFERROR(VLOOKUP($G182,基本資料!$A:$M,12,0),"無")</f>
        <v>46.01</v>
      </c>
      <c r="AD182" s="16" t="s">
        <v>540</v>
      </c>
      <c r="AG182" s="33">
        <f t="shared" si="31"/>
        <v>0</v>
      </c>
      <c r="AH182" s="43" t="s">
        <v>2517</v>
      </c>
      <c r="AI182" s="63">
        <f t="shared" si="34"/>
        <v>0</v>
      </c>
      <c r="AJ182" s="284">
        <f>RTD("money.excel",,$G182,"PredictVolume")</f>
        <v>0</v>
      </c>
      <c r="AK182" s="399">
        <f>IFERROR(VLOOKUP($G182,基本資料!$A:$M,13,0),"無")</f>
        <v>0.44</v>
      </c>
    </row>
    <row r="183" spans="1:37">
      <c r="A183" s="347">
        <f>IFERROR(VLOOKUP($G183,基本資料!$A:$J,3,0),"無")</f>
        <v>7.65</v>
      </c>
      <c r="B183" s="79">
        <f>IFERROR(VLOOKUP($G183,基本資料!$A:$J,4,0),"無")</f>
        <v>-22</v>
      </c>
      <c r="C183" s="79">
        <f>IFERROR(VLOOKUP($G183,基本資料!$A:$J,5,0),"無")</f>
        <v>-20</v>
      </c>
      <c r="D183" s="79">
        <f>IFERROR(VLOOKUP($G183,基本資料!$A:$J,6,0),"無")</f>
        <v>9</v>
      </c>
      <c r="E183" s="79">
        <f>IFERROR(VLOOKUP($G183,基本資料!$A:$J,7,0),"無")</f>
        <v>-15</v>
      </c>
      <c r="F183" s="6">
        <f>IFERROR(VLOOKUP($G183,基本資料!$A:$J,8,0),"無")</f>
        <v>8.74</v>
      </c>
      <c r="G183" s="79">
        <v>4528</v>
      </c>
      <c r="H183" s="8" t="s">
        <v>295</v>
      </c>
      <c r="I183" s="16" t="s">
        <v>3596</v>
      </c>
      <c r="J183" s="8" t="str">
        <f>IFERROR(VLOOKUP($G183,今日總結!$A:$AJ,35,0),"")</f>
        <v/>
      </c>
      <c r="K183" s="5" t="str">
        <f>IFERROR(VLOOKUP($G183,今日總結!$A:$AJ,36,0),"")</f>
        <v/>
      </c>
      <c r="L183" s="156" t="str">
        <f>IFERROR(VLOOKUP($G183,今日總結!$A:$AJ,33,0),"")</f>
        <v/>
      </c>
      <c r="M183" s="340" t="str">
        <f>IFERROR(VLOOKUP($G183,今日總結!$A:$AJ,34,0),"")</f>
        <v/>
      </c>
      <c r="N183" s="240" t="str">
        <f t="shared" si="27"/>
        <v/>
      </c>
      <c r="P183" s="365">
        <f>IFERROR(VLOOKUP($G183,融外自投!$A:$J,7,0),"無")</f>
        <v>1093</v>
      </c>
      <c r="Q183" s="79">
        <f>IFERROR(VLOOKUP($G183,融外自投!$A:$J,9,0),"無")</f>
        <v>485</v>
      </c>
      <c r="R183" s="346">
        <f>IFERROR(VLOOKUP($G183,融外自投!$A:$J,8,0),"無")</f>
        <v>1240</v>
      </c>
      <c r="S183" s="81" t="str">
        <f>IFERROR(VLOOKUP($G183,融外自投!$A:$J,10,0),"無")</f>
        <v>無</v>
      </c>
      <c r="T183" s="327">
        <f>IFERROR(VLOOKUP($G183,'321買'!$A:$E,5,0),"'沒有資料'")</f>
        <v>1296</v>
      </c>
      <c r="U183" s="186">
        <f>IFERROR(VLOOKUP($G183,基本資料!$A:$J,9,0),"無")</f>
        <v>1.5</v>
      </c>
      <c r="V183" s="310">
        <f t="shared" si="28"/>
        <v>4.0431266846361183E-2</v>
      </c>
      <c r="W183" s="94">
        <f>IFERROR(VLOOKUP($G183,基本資料!$A:$J,10,0),"無")</f>
        <v>2.37</v>
      </c>
      <c r="X183" s="36">
        <f>RTD("money.excel",,"4528","Price")</f>
        <v>37.1</v>
      </c>
      <c r="Y183" s="66"/>
      <c r="Z183" s="15">
        <f t="shared" si="29"/>
        <v>37.1</v>
      </c>
      <c r="AA183" s="3" t="e">
        <f t="shared" si="30"/>
        <v>#DIV/0!</v>
      </c>
      <c r="AB183" s="344">
        <f>IFERROR(VLOOKUP($G183,基本資料!$A:$M,11,0),"無")</f>
        <v>-20.6</v>
      </c>
      <c r="AC183" s="397">
        <f>IFERROR(VLOOKUP($G183,基本資料!$A:$M,12,0),"無")</f>
        <v>29.5</v>
      </c>
      <c r="AD183" s="16" t="s">
        <v>3596</v>
      </c>
      <c r="AG183" s="33">
        <f t="shared" si="31"/>
        <v>0</v>
      </c>
      <c r="AH183" s="117" t="s">
        <v>2891</v>
      </c>
      <c r="AI183" s="63">
        <f t="shared" si="34"/>
        <v>8.2352941176470592E-4</v>
      </c>
      <c r="AJ183" s="284">
        <f>RTD("money.excel",,$G183,"PredictVolume")</f>
        <v>63</v>
      </c>
      <c r="AK183" s="399">
        <f>IFERROR(VLOOKUP($G183,基本資料!$A:$M,13,0),"無")</f>
        <v>0.44</v>
      </c>
    </row>
    <row r="184" spans="1:37">
      <c r="A184" s="347">
        <f>IFERROR(VLOOKUP($G184,基本資料!$A:$J,3,0),"無")</f>
        <v>4.9400000000000004</v>
      </c>
      <c r="B184" s="79">
        <f>IFERROR(VLOOKUP($G184,基本資料!$A:$J,4,0),"無")</f>
        <v>10</v>
      </c>
      <c r="C184" s="79">
        <f>IFERROR(VLOOKUP($G184,基本資料!$A:$J,5,0),"無")</f>
        <v>-101</v>
      </c>
      <c r="D184" s="79">
        <f>IFERROR(VLOOKUP($G184,基本資料!$A:$J,6,0),"無")</f>
        <v>17</v>
      </c>
      <c r="E184" s="79">
        <f>IFERROR(VLOOKUP($G184,基本資料!$A:$J,7,0),"無")</f>
        <v>-8</v>
      </c>
      <c r="F184" s="6">
        <f>IFERROR(VLOOKUP($G184,基本資料!$A:$J,8,0),"無")</f>
        <v>-17.98</v>
      </c>
      <c r="G184" s="79">
        <v>4530</v>
      </c>
      <c r="H184" s="8" t="s">
        <v>295</v>
      </c>
      <c r="I184" s="16" t="s">
        <v>541</v>
      </c>
      <c r="J184" s="8" t="str">
        <f>IFERROR(VLOOKUP($G184,今日總結!$A:$AJ,35,0),"")</f>
        <v/>
      </c>
      <c r="K184" s="5" t="str">
        <f>IFERROR(VLOOKUP($G184,今日總結!$A:$AJ,36,0),"")</f>
        <v/>
      </c>
      <c r="L184" s="156" t="str">
        <f>IFERROR(VLOOKUP($G184,今日總結!$A:$AJ,33,0),"")</f>
        <v/>
      </c>
      <c r="M184" s="340" t="str">
        <f>IFERROR(VLOOKUP($G184,今日總結!$A:$AJ,34,0),"")</f>
        <v/>
      </c>
      <c r="N184" s="240" t="str">
        <f t="shared" ref="N184:N207" si="35">IFERROR(L184-M184,"")</f>
        <v/>
      </c>
      <c r="P184" s="365" t="str">
        <f>IFERROR(VLOOKUP($G184,融外自投!$A:$J,7,0),"無")</f>
        <v>無</v>
      </c>
      <c r="Q184" s="79" t="str">
        <f>IFERROR(VLOOKUP($G184,融外自投!$A:$J,9,0),"無")</f>
        <v>無</v>
      </c>
      <c r="R184" s="346" t="str">
        <f>IFERROR(VLOOKUP($G184,融外自投!$A:$J,8,0),"無")</f>
        <v>無</v>
      </c>
      <c r="S184" s="81" t="str">
        <f>IFERROR(VLOOKUP($G184,融外自投!$A:$J,10,0),"無")</f>
        <v>無</v>
      </c>
      <c r="T184" s="327" t="str">
        <f>IFERROR(VLOOKUP($G184,'321買'!$A:$E,5,0),"'沒有資料'")</f>
        <v>'沒有資料'</v>
      </c>
      <c r="U184" s="186">
        <f>IFERROR(VLOOKUP($G184,基本資料!$A:$J,9,0),"無")</f>
        <v>0</v>
      </c>
      <c r="V184" s="310">
        <f t="shared" si="28"/>
        <v>0</v>
      </c>
      <c r="W184" s="94">
        <f>IFERROR(VLOOKUP($G184,基本資料!$A:$J,10,0),"無")</f>
        <v>-0.47</v>
      </c>
      <c r="X184" s="36">
        <f>RTD("money.excel",,"4530","Price")</f>
        <v>7.9</v>
      </c>
      <c r="Y184" s="66"/>
      <c r="Z184" s="15">
        <f t="shared" si="29"/>
        <v>7.9</v>
      </c>
      <c r="AA184" s="3" t="e">
        <f t="shared" si="30"/>
        <v>#DIV/0!</v>
      </c>
      <c r="AB184" s="344">
        <f>IFERROR(VLOOKUP($G184,基本資料!$A:$M,11,0),"無")</f>
        <v>-28.91</v>
      </c>
      <c r="AC184" s="397">
        <f>IFERROR(VLOOKUP($G184,基本資料!$A:$M,12,0),"無")</f>
        <v>12.04</v>
      </c>
      <c r="AD184" s="16" t="s">
        <v>541</v>
      </c>
      <c r="AG184" s="33">
        <f t="shared" si="31"/>
        <v>0</v>
      </c>
      <c r="AH184" s="43" t="s">
        <v>1511</v>
      </c>
      <c r="AI184" s="63">
        <f t="shared" si="34"/>
        <v>1.0121457489878541E-4</v>
      </c>
      <c r="AJ184" s="284">
        <f>RTD("money.excel",,$G184,"PredictVolume")</f>
        <v>5</v>
      </c>
      <c r="AK184" s="399">
        <f>IFERROR(VLOOKUP($G184,基本資料!$A:$M,13,0),"無")</f>
        <v>3.02</v>
      </c>
    </row>
    <row r="185" spans="1:37">
      <c r="A185" s="347">
        <f>IFERROR(VLOOKUP($G185,基本資料!$A:$J,3,0),"無")</f>
        <v>50.49</v>
      </c>
      <c r="B185" s="79">
        <f>IFERROR(VLOOKUP($G185,基本資料!$A:$J,4,0),"無")</f>
        <v>-28</v>
      </c>
      <c r="C185" s="79">
        <f>IFERROR(VLOOKUP($G185,基本資料!$A:$J,5,0),"無")</f>
        <v>-28</v>
      </c>
      <c r="D185" s="79">
        <f>IFERROR(VLOOKUP($G185,基本資料!$A:$J,6,0),"無")</f>
        <v>-5</v>
      </c>
      <c r="E185" s="79">
        <f>IFERROR(VLOOKUP($G185,基本資料!$A:$J,7,0),"無")</f>
        <v>-17</v>
      </c>
      <c r="F185" s="6">
        <f>IFERROR(VLOOKUP($G185,基本資料!$A:$J,8,0),"無")</f>
        <v>2.6</v>
      </c>
      <c r="G185" s="79">
        <v>4532</v>
      </c>
      <c r="H185" s="8" t="s">
        <v>295</v>
      </c>
      <c r="I185" s="22" t="s">
        <v>579</v>
      </c>
      <c r="J185" s="8" t="str">
        <f>IFERROR(VLOOKUP($G185,今日總結!$A:$AJ,35,0),"")</f>
        <v/>
      </c>
      <c r="K185" s="5" t="str">
        <f>IFERROR(VLOOKUP($G185,今日總結!$A:$AJ,36,0),"")</f>
        <v/>
      </c>
      <c r="L185" s="156" t="str">
        <f>IFERROR(VLOOKUP($G185,今日總結!$A:$AJ,33,0),"")</f>
        <v/>
      </c>
      <c r="M185" s="340" t="str">
        <f>IFERROR(VLOOKUP($G185,今日總結!$A:$AJ,34,0),"")</f>
        <v/>
      </c>
      <c r="N185" s="240" t="str">
        <f t="shared" si="35"/>
        <v/>
      </c>
      <c r="P185" s="365">
        <f>IFERROR(VLOOKUP($G185,融外自投!$A:$J,7,0),"無")</f>
        <v>1235</v>
      </c>
      <c r="Q185" s="79" t="str">
        <f>IFERROR(VLOOKUP($G185,融外自投!$A:$J,9,0),"無")</f>
        <v>無</v>
      </c>
      <c r="R185" s="346">
        <f>IFERROR(VLOOKUP($G185,融外自投!$A:$J,8,0),"無")</f>
        <v>447</v>
      </c>
      <c r="S185" s="81" t="str">
        <f>IFERROR(VLOOKUP($G185,融外自投!$A:$J,10,0),"無")</f>
        <v>無</v>
      </c>
      <c r="T185" s="327">
        <f>IFERROR(VLOOKUP($G185,'321買'!$A:$E,5,0),"'沒有資料'")</f>
        <v>1099</v>
      </c>
      <c r="U185" s="186">
        <f>IFERROR(VLOOKUP($G185,基本資料!$A:$J,9,0),"無")</f>
        <v>0.7</v>
      </c>
      <c r="V185" s="310">
        <f t="shared" si="28"/>
        <v>4.1055718475073312E-2</v>
      </c>
      <c r="W185" s="94">
        <f>IFERROR(VLOOKUP($G185,基本資料!$A:$J,10,0),"無")</f>
        <v>1.08</v>
      </c>
      <c r="X185" s="36">
        <f>RTD("money.excel",,"4532","Price")</f>
        <v>17.05</v>
      </c>
      <c r="Y185" s="66"/>
      <c r="Z185" s="15">
        <f t="shared" si="29"/>
        <v>17.05</v>
      </c>
      <c r="AA185" s="3" t="e">
        <f t="shared" si="30"/>
        <v>#DIV/0!</v>
      </c>
      <c r="AB185" s="344">
        <f>IFERROR(VLOOKUP($G185,基本資料!$A:$M,11,0),"無")</f>
        <v>-20.28</v>
      </c>
      <c r="AC185" s="397">
        <f>IFERROR(VLOOKUP($G185,基本資料!$A:$M,12,0),"無")</f>
        <v>15.02</v>
      </c>
      <c r="AD185" s="22" t="s">
        <v>579</v>
      </c>
      <c r="AG185" s="33">
        <f t="shared" si="31"/>
        <v>0</v>
      </c>
      <c r="AH185" s="43" t="s">
        <v>2746</v>
      </c>
      <c r="AI185" s="63">
        <f t="shared" si="34"/>
        <v>7.0509011685482271E-4</v>
      </c>
      <c r="AJ185" s="284">
        <f>RTD("money.excel",,$G185,"PredictVolume")</f>
        <v>356</v>
      </c>
      <c r="AK185" s="399">
        <f>IFERROR(VLOOKUP($G185,基本資料!$A:$M,13,0),"無")</f>
        <v>0.86</v>
      </c>
    </row>
    <row r="186" spans="1:37">
      <c r="A186" s="347">
        <f>IFERROR(VLOOKUP($G186,基本資料!$A:$J,3,0),"無")</f>
        <v>15.84</v>
      </c>
      <c r="B186" s="79">
        <f>IFERROR(VLOOKUP($G186,基本資料!$A:$J,4,0),"無")</f>
        <v>261</v>
      </c>
      <c r="C186" s="79">
        <f>IFERROR(VLOOKUP($G186,基本資料!$A:$J,5,0),"無")</f>
        <v>104</v>
      </c>
      <c r="D186" s="79">
        <f>IFERROR(VLOOKUP($G186,基本資料!$A:$J,6,0),"無")</f>
        <v>-74</v>
      </c>
      <c r="E186" s="79">
        <f>IFERROR(VLOOKUP($G186,基本資料!$A:$J,7,0),"無")</f>
        <v>-69</v>
      </c>
      <c r="F186" s="6">
        <f>IFERROR(VLOOKUP($G186,基本資料!$A:$J,8,0),"無")</f>
        <v>0.14000000000000001</v>
      </c>
      <c r="G186" s="79">
        <v>4533</v>
      </c>
      <c r="H186" s="8" t="s">
        <v>295</v>
      </c>
      <c r="I186" s="16" t="s">
        <v>79</v>
      </c>
      <c r="J186" s="8" t="str">
        <f>IFERROR(VLOOKUP($G186,今日總結!$A:$AJ,35,0),"")</f>
        <v/>
      </c>
      <c r="K186" s="5" t="str">
        <f>IFERROR(VLOOKUP($G186,今日總結!$A:$AJ,36,0),"")</f>
        <v/>
      </c>
      <c r="L186" s="156" t="str">
        <f>IFERROR(VLOOKUP($G186,今日總結!$A:$AJ,33,0),"")</f>
        <v/>
      </c>
      <c r="M186" s="340" t="str">
        <f>IFERROR(VLOOKUP($G186,今日總結!$A:$AJ,34,0),"")</f>
        <v/>
      </c>
      <c r="N186" s="240" t="str">
        <f t="shared" si="35"/>
        <v/>
      </c>
      <c r="P186" s="365">
        <f>IFERROR(VLOOKUP($G186,融外自投!$A:$J,7,0),"無")</f>
        <v>771</v>
      </c>
      <c r="Q186" s="79" t="str">
        <f>IFERROR(VLOOKUP($G186,融外自投!$A:$J,9,0),"無")</f>
        <v>無</v>
      </c>
      <c r="R186" s="346">
        <f>IFERROR(VLOOKUP($G186,融外自投!$A:$J,8,0),"無")</f>
        <v>1222</v>
      </c>
      <c r="S186" s="81" t="str">
        <f>IFERROR(VLOOKUP($G186,融外自投!$A:$J,10,0),"無")</f>
        <v>無</v>
      </c>
      <c r="T186" s="327">
        <f>IFERROR(VLOOKUP($G186,'321買'!$A:$E,5,0),"'沒有資料'")</f>
        <v>1259</v>
      </c>
      <c r="U186" s="186">
        <f>IFERROR(VLOOKUP($G186,基本資料!$A:$J,9,0),"無")</f>
        <v>0.35</v>
      </c>
      <c r="V186" s="310">
        <f t="shared" si="28"/>
        <v>3.0701754385964911E-2</v>
      </c>
      <c r="W186" s="94">
        <f>IFERROR(VLOOKUP($G186,基本資料!$A:$J,10,0),"無")</f>
        <v>0.36</v>
      </c>
      <c r="X186" s="36">
        <f>RTD("money.excel",,"4533","Price")</f>
        <v>11.4</v>
      </c>
      <c r="Y186" s="66"/>
      <c r="Z186" s="15">
        <f t="shared" si="29"/>
        <v>11.4</v>
      </c>
      <c r="AA186" s="3" t="e">
        <f t="shared" si="30"/>
        <v>#DIV/0!</v>
      </c>
      <c r="AB186" s="344">
        <f>IFERROR(VLOOKUP($G186,基本資料!$A:$M,11,0),"無")</f>
        <v>-17.329999999999998</v>
      </c>
      <c r="AC186" s="397">
        <f>IFERROR(VLOOKUP($G186,基本資料!$A:$M,12,0),"無")</f>
        <v>34.979999999999997</v>
      </c>
      <c r="AD186" s="16" t="s">
        <v>79</v>
      </c>
      <c r="AG186" s="33">
        <f t="shared" si="31"/>
        <v>0</v>
      </c>
      <c r="AH186" s="117" t="s">
        <v>2500</v>
      </c>
      <c r="AI186" s="63">
        <f t="shared" si="34"/>
        <v>5.0505050505050505E-4</v>
      </c>
      <c r="AJ186" s="284">
        <f>RTD("money.excel",,$G186,"PredictVolume")</f>
        <v>80</v>
      </c>
      <c r="AK186" s="399">
        <f>IFERROR(VLOOKUP($G186,基本資料!$A:$M,13,0),"無")</f>
        <v>2.1800000000000002</v>
      </c>
    </row>
    <row r="187" spans="1:37">
      <c r="A187" s="347">
        <f>IFERROR(VLOOKUP($G187,基本資料!$A:$J,3,0),"無")</f>
        <v>8.67</v>
      </c>
      <c r="B187" s="79">
        <f>IFERROR(VLOOKUP($G187,基本資料!$A:$J,4,0),"無")</f>
        <v>183</v>
      </c>
      <c r="C187" s="79">
        <f>IFERROR(VLOOKUP($G187,基本資料!$A:$J,5,0),"無")</f>
        <v>233</v>
      </c>
      <c r="D187" s="79">
        <f>IFERROR(VLOOKUP($G187,基本資料!$A:$J,6,0),"無")</f>
        <v>78</v>
      </c>
      <c r="E187" s="79">
        <f>IFERROR(VLOOKUP($G187,基本資料!$A:$J,7,0),"無")</f>
        <v>-13</v>
      </c>
      <c r="F187" s="6">
        <f>IFERROR(VLOOKUP($G187,基本資料!$A:$J,8,0),"無")</f>
        <v>5.0999999999999996</v>
      </c>
      <c r="G187" s="79">
        <v>4534</v>
      </c>
      <c r="H187" s="8" t="s">
        <v>295</v>
      </c>
      <c r="I187" s="16" t="s">
        <v>542</v>
      </c>
      <c r="J187" s="8" t="str">
        <f>IFERROR(VLOOKUP($G187,今日總結!$A:$AJ,35,0),"")</f>
        <v>外</v>
      </c>
      <c r="K187" s="5">
        <f>IFERROR(VLOOKUP($G187,今日總結!$A:$AJ,36,0),"")</f>
        <v>0</v>
      </c>
      <c r="L187" s="156">
        <f>IFERROR(VLOOKUP($G187,今日總結!$A:$AJ,33,0),"")</f>
        <v>1</v>
      </c>
      <c r="M187" s="340">
        <f>IFERROR(VLOOKUP($G187,今日總結!$A:$AJ,34,0),"")</f>
        <v>0</v>
      </c>
      <c r="N187" s="240">
        <f t="shared" si="35"/>
        <v>1</v>
      </c>
      <c r="P187" s="365">
        <f>IFERROR(VLOOKUP($G187,融外自投!$A:$J,7,0),"無")</f>
        <v>183</v>
      </c>
      <c r="Q187" s="79">
        <f>IFERROR(VLOOKUP($G187,融外自投!$A:$J,9,0),"無")</f>
        <v>978</v>
      </c>
      <c r="R187" s="346">
        <f>IFERROR(VLOOKUP($G187,融外自投!$A:$J,8,0),"無")</f>
        <v>1387</v>
      </c>
      <c r="S187" s="81" t="str">
        <f>IFERROR(VLOOKUP($G187,融外自投!$A:$J,10,0),"無")</f>
        <v>無</v>
      </c>
      <c r="T187" s="327">
        <f>IFERROR(VLOOKUP($G187,'321買'!$A:$E,5,0),"'沒有資料'")</f>
        <v>852</v>
      </c>
      <c r="U187" s="186">
        <f>IFERROR(VLOOKUP($G187,基本資料!$A:$J,9,0),"無")</f>
        <v>0</v>
      </c>
      <c r="V187" s="310">
        <f t="shared" si="28"/>
        <v>0</v>
      </c>
      <c r="W187" s="94">
        <f>IFERROR(VLOOKUP($G187,基本資料!$A:$J,10,0),"無")</f>
        <v>0.59</v>
      </c>
      <c r="X187" s="36">
        <f>RTD("money.excel",,"4534","Price")</f>
        <v>9.99</v>
      </c>
      <c r="Y187" s="66"/>
      <c r="Z187" s="15">
        <f t="shared" si="29"/>
        <v>9.99</v>
      </c>
      <c r="AA187" s="3" t="e">
        <f t="shared" si="30"/>
        <v>#DIV/0!</v>
      </c>
      <c r="AB187" s="344">
        <f>IFERROR(VLOOKUP($G187,基本資料!$A:$M,11,0),"無")</f>
        <v>-40.68</v>
      </c>
      <c r="AC187" s="397">
        <f>IFERROR(VLOOKUP($G187,基本資料!$A:$M,12,0),"無")</f>
        <v>11.1</v>
      </c>
      <c r="AD187" s="16" t="s">
        <v>542</v>
      </c>
      <c r="AG187" s="33">
        <f t="shared" si="31"/>
        <v>0</v>
      </c>
      <c r="AH187" s="43" t="s">
        <v>2951</v>
      </c>
      <c r="AI187" s="63">
        <f t="shared" si="34"/>
        <v>6.4359861591695502E-3</v>
      </c>
      <c r="AJ187" s="284">
        <f>RTD("money.excel",,$G187,"PredictVolume")</f>
        <v>558</v>
      </c>
      <c r="AK187" s="399">
        <f>IFERROR(VLOOKUP($G187,基本資料!$A:$M,13,0),"無")</f>
        <v>11.7</v>
      </c>
    </row>
    <row r="188" spans="1:37">
      <c r="A188" s="347">
        <f>IFERROR(VLOOKUP($G188,基本資料!$A:$J,3,0),"無")</f>
        <v>7.56</v>
      </c>
      <c r="B188" s="79">
        <f>IFERROR(VLOOKUP($G188,基本資料!$A:$J,4,0),"無")</f>
        <v>76</v>
      </c>
      <c r="C188" s="79">
        <f>IFERROR(VLOOKUP($G188,基本資料!$A:$J,5,0),"無")</f>
        <v>94</v>
      </c>
      <c r="D188" s="79">
        <f>IFERROR(VLOOKUP($G188,基本資料!$A:$J,6,0),"無")</f>
        <v>0</v>
      </c>
      <c r="E188" s="79">
        <f>IFERROR(VLOOKUP($G188,基本資料!$A:$J,7,0),"無")</f>
        <v>15</v>
      </c>
      <c r="F188" s="6">
        <f>IFERROR(VLOOKUP($G188,基本資料!$A:$J,8,0),"無")</f>
        <v>12.07</v>
      </c>
      <c r="G188" s="79">
        <v>4535</v>
      </c>
      <c r="H188" s="8" t="s">
        <v>295</v>
      </c>
      <c r="I188" s="16" t="s">
        <v>143</v>
      </c>
      <c r="J188" s="8" t="str">
        <f>IFERROR(VLOOKUP($G188,今日總結!$A:$AJ,35,0),"")</f>
        <v/>
      </c>
      <c r="K188" s="5" t="str">
        <f>IFERROR(VLOOKUP($G188,今日總結!$A:$AJ,36,0),"")</f>
        <v/>
      </c>
      <c r="L188" s="156" t="str">
        <f>IFERROR(VLOOKUP($G188,今日總結!$A:$AJ,33,0),"")</f>
        <v/>
      </c>
      <c r="M188" s="340" t="str">
        <f>IFERROR(VLOOKUP($G188,今日總結!$A:$AJ,34,0),"")</f>
        <v/>
      </c>
      <c r="N188" s="240" t="str">
        <f t="shared" si="35"/>
        <v/>
      </c>
      <c r="P188" s="365">
        <f>IFERROR(VLOOKUP($G188,融外自投!$A:$J,7,0),"無")</f>
        <v>1466</v>
      </c>
      <c r="Q188" s="79" t="str">
        <f>IFERROR(VLOOKUP($G188,融外自投!$A:$J,9,0),"無")</f>
        <v>無</v>
      </c>
      <c r="R188" s="346">
        <f>IFERROR(VLOOKUP($G188,融外自投!$A:$J,8,0),"無")</f>
        <v>1457</v>
      </c>
      <c r="S188" s="81" t="str">
        <f>IFERROR(VLOOKUP($G188,融外自投!$A:$J,10,0),"無")</f>
        <v>無</v>
      </c>
      <c r="T188" s="327">
        <f>IFERROR(VLOOKUP($G188,'321買'!$A:$E,5,0),"'沒有資料'")</f>
        <v>1408</v>
      </c>
      <c r="U188" s="186">
        <f>IFERROR(VLOOKUP($G188,基本資料!$A:$J,9,0),"無")</f>
        <v>1.6</v>
      </c>
      <c r="V188" s="310">
        <f t="shared" si="28"/>
        <v>4.5325779036827205E-2</v>
      </c>
      <c r="W188" s="94">
        <f>IFERROR(VLOOKUP($G188,基本資料!$A:$J,10,0),"無")</f>
        <v>2.39</v>
      </c>
      <c r="X188" s="36">
        <f>RTD("money.excel",,"4535","Price")</f>
        <v>35.299999999999997</v>
      </c>
      <c r="Y188" s="66"/>
      <c r="Z188" s="15">
        <f t="shared" si="29"/>
        <v>35.299999999999997</v>
      </c>
      <c r="AA188" s="3" t="e">
        <f t="shared" si="30"/>
        <v>#DIV/0!</v>
      </c>
      <c r="AB188" s="344">
        <f>IFERROR(VLOOKUP($G188,基本資料!$A:$M,11,0),"無")</f>
        <v>-4.05</v>
      </c>
      <c r="AC188" s="397">
        <f>IFERROR(VLOOKUP($G188,基本資料!$A:$M,12,0),"無")</f>
        <v>81.72</v>
      </c>
      <c r="AD188" s="16" t="s">
        <v>143</v>
      </c>
      <c r="AG188" s="33">
        <f t="shared" si="31"/>
        <v>0</v>
      </c>
      <c r="AH188" s="117" t="s">
        <v>2499</v>
      </c>
      <c r="AI188" s="63">
        <f t="shared" si="34"/>
        <v>2.6455026455026456E-5</v>
      </c>
      <c r="AJ188" s="284">
        <f>RTD("money.excel",,$G188,"PredictVolume")</f>
        <v>2</v>
      </c>
      <c r="AK188" s="399">
        <f>IFERROR(VLOOKUP($G188,基本資料!$A:$M,13,0),"無")</f>
        <v>0.21</v>
      </c>
    </row>
    <row r="189" spans="1:37">
      <c r="A189" s="347">
        <f>IFERROR(VLOOKUP($G189,基本資料!$A:$J,3,0),"無")</f>
        <v>5.04</v>
      </c>
      <c r="B189" s="79">
        <f>IFERROR(VLOOKUP($G189,基本資料!$A:$J,4,0),"無")</f>
        <v>57</v>
      </c>
      <c r="C189" s="79">
        <f>IFERROR(VLOOKUP($G189,基本資料!$A:$J,5,0),"無")</f>
        <v>193</v>
      </c>
      <c r="D189" s="79">
        <f>IFERROR(VLOOKUP($G189,基本資料!$A:$J,6,0),"無")</f>
        <v>65</v>
      </c>
      <c r="E189" s="79">
        <f>IFERROR(VLOOKUP($G189,基本資料!$A:$J,7,0),"無")</f>
        <v>56</v>
      </c>
      <c r="F189" s="6">
        <f>IFERROR(VLOOKUP($G189,基本資料!$A:$J,8,0),"無")</f>
        <v>10.16</v>
      </c>
      <c r="G189" s="79">
        <v>4538</v>
      </c>
      <c r="H189" s="8" t="s">
        <v>295</v>
      </c>
      <c r="I189" s="16" t="s">
        <v>2977</v>
      </c>
      <c r="J189" s="8" t="str">
        <f>IFERROR(VLOOKUP($G189,今日總結!$A:$AJ,35,0),"")</f>
        <v/>
      </c>
      <c r="K189" s="5" t="str">
        <f>IFERROR(VLOOKUP($G189,今日總結!$A:$AJ,36,0),"")</f>
        <v/>
      </c>
      <c r="L189" s="156" t="str">
        <f>IFERROR(VLOOKUP($G189,今日總結!$A:$AJ,33,0),"")</f>
        <v/>
      </c>
      <c r="M189" s="340" t="str">
        <f>IFERROR(VLOOKUP($G189,今日總結!$A:$AJ,34,0),"")</f>
        <v/>
      </c>
      <c r="N189" s="240" t="str">
        <f t="shared" si="35"/>
        <v/>
      </c>
      <c r="P189" s="365">
        <f>IFERROR(VLOOKUP($G189,融外自投!$A:$J,7,0),"無")</f>
        <v>1406</v>
      </c>
      <c r="Q189" s="79" t="str">
        <f>IFERROR(VLOOKUP($G189,融外自投!$A:$J,9,0),"無")</f>
        <v>無</v>
      </c>
      <c r="R189" s="346">
        <f>IFERROR(VLOOKUP($G189,融外自投!$A:$J,8,0),"無")</f>
        <v>1433</v>
      </c>
      <c r="S189" s="81" t="str">
        <f>IFERROR(VLOOKUP($G189,融外自投!$A:$J,10,0),"無")</f>
        <v>無</v>
      </c>
      <c r="T189" s="327" t="str">
        <f>IFERROR(VLOOKUP($G189,'321買'!$A:$E,5,0),"'沒有資料'")</f>
        <v>'沒有資料'</v>
      </c>
      <c r="U189" s="186">
        <f>IFERROR(VLOOKUP($G189,基本資料!$A:$J,9,0),"無")</f>
        <v>0.5</v>
      </c>
      <c r="V189" s="310">
        <f t="shared" si="28"/>
        <v>2.2123893805309734E-2</v>
      </c>
      <c r="W189" s="94">
        <f>IFERROR(VLOOKUP($G189,基本資料!$A:$J,10,0),"無")</f>
        <v>0.76</v>
      </c>
      <c r="X189" s="36">
        <f>RTD("money.excel",,"4550","Price")</f>
        <v>22.6</v>
      </c>
      <c r="Y189" s="66"/>
      <c r="Z189" s="15">
        <f t="shared" si="29"/>
        <v>22.6</v>
      </c>
      <c r="AA189" s="3" t="e">
        <f t="shared" si="30"/>
        <v>#DIV/0!</v>
      </c>
      <c r="AB189" s="344">
        <f>IFERROR(VLOOKUP($G189,基本資料!$A:$M,11,0),"無")</f>
        <v>-12.85</v>
      </c>
      <c r="AC189" s="397">
        <f>IFERROR(VLOOKUP($G189,基本資料!$A:$M,12,0),"無")</f>
        <v>19.8</v>
      </c>
      <c r="AD189" s="16" t="s">
        <v>2977</v>
      </c>
      <c r="AG189" s="33">
        <f t="shared" si="31"/>
        <v>0</v>
      </c>
      <c r="AH189" s="43" t="s">
        <v>2978</v>
      </c>
      <c r="AI189" s="63">
        <f t="shared" si="34"/>
        <v>0</v>
      </c>
      <c r="AJ189" s="284">
        <f>RTD("money.excel",,$G189,"PredictVolume")</f>
        <v>0</v>
      </c>
      <c r="AK189" s="399">
        <f>IFERROR(VLOOKUP($G189,基本資料!$A:$M,13,0),"無")</f>
        <v>0.47</v>
      </c>
    </row>
    <row r="190" spans="1:37">
      <c r="A190" s="347">
        <f>IFERROR(VLOOKUP($G190,基本資料!$A:$J,3,0),"無")</f>
        <v>9.41</v>
      </c>
      <c r="B190" s="79">
        <f>IFERROR(VLOOKUP($G190,基本資料!$A:$J,4,0),"無")</f>
        <v>159</v>
      </c>
      <c r="C190" s="79">
        <f>IFERROR(VLOOKUP($G190,基本資料!$A:$J,5,0),"無")</f>
        <v>83</v>
      </c>
      <c r="D190" s="79">
        <f>IFERROR(VLOOKUP($G190,基本資料!$A:$J,6,0),"無")</f>
        <v>86</v>
      </c>
      <c r="E190" s="79">
        <f>IFERROR(VLOOKUP($G190,基本資料!$A:$J,7,0),"無")</f>
        <v>11</v>
      </c>
      <c r="F190" s="6">
        <f>IFERROR(VLOOKUP($G190,基本資料!$A:$J,8,0),"無")</f>
        <v>10.4</v>
      </c>
      <c r="G190" s="79">
        <v>4540</v>
      </c>
      <c r="H190" s="8" t="s">
        <v>295</v>
      </c>
      <c r="I190" s="22" t="s">
        <v>1076</v>
      </c>
      <c r="J190" s="8">
        <f>IFERROR(VLOOKUP($G190,今日總結!$A:$AJ,35,0),"")</f>
        <v>0</v>
      </c>
      <c r="K190" s="5" t="str">
        <f>IFERROR(VLOOKUP($G190,今日總結!$A:$AJ,36,0),"")</f>
        <v>外</v>
      </c>
      <c r="L190" s="156">
        <f>IFERROR(VLOOKUP($G190,今日總結!$A:$AJ,33,0),"")</f>
        <v>0</v>
      </c>
      <c r="M190" s="340">
        <f>IFERROR(VLOOKUP($G190,今日總結!$A:$AJ,34,0),"")</f>
        <v>1</v>
      </c>
      <c r="N190" s="240">
        <f t="shared" si="35"/>
        <v>-1</v>
      </c>
      <c r="P190" s="365">
        <f>IFERROR(VLOOKUP($G190,融外自投!$A:$J,7,0),"無")</f>
        <v>836</v>
      </c>
      <c r="Q190" s="79">
        <f>IFERROR(VLOOKUP($G190,融外自投!$A:$J,9,0),"無")</f>
        <v>1110</v>
      </c>
      <c r="R190" s="346">
        <f>IFERROR(VLOOKUP($G190,融外自投!$A:$J,8,0),"無")</f>
        <v>940</v>
      </c>
      <c r="S190" s="81" t="str">
        <f>IFERROR(VLOOKUP($G190,融外自投!$A:$J,10,0),"無")</f>
        <v>無</v>
      </c>
      <c r="T190" s="327">
        <f>IFERROR(VLOOKUP($G190,'321買'!$A:$E,5,0),"'沒有資料'")</f>
        <v>558</v>
      </c>
      <c r="U190" s="186">
        <f>IFERROR(VLOOKUP($G190,基本資料!$A:$J,9,0),"無")</f>
        <v>1.3</v>
      </c>
      <c r="V190" s="310">
        <f t="shared" si="28"/>
        <v>3.2540675844806008E-2</v>
      </c>
      <c r="W190" s="94">
        <f>IFERROR(VLOOKUP($G190,基本資料!$A:$J,10,0),"無")</f>
        <v>2.52</v>
      </c>
      <c r="X190" s="36">
        <f>RTD("money.excel",,"4540","Price")</f>
        <v>39.950000000000003</v>
      </c>
      <c r="Y190" s="66"/>
      <c r="Z190" s="15">
        <f t="shared" si="29"/>
        <v>39.950000000000003</v>
      </c>
      <c r="AA190" s="3" t="e">
        <f t="shared" si="30"/>
        <v>#DIV/0!</v>
      </c>
      <c r="AB190" s="344">
        <f>IFERROR(VLOOKUP($G190,基本資料!$A:$M,11,0),"無")</f>
        <v>-31.05</v>
      </c>
      <c r="AC190" s="397">
        <f>IFERROR(VLOOKUP($G190,基本資料!$A:$M,12,0),"無")</f>
        <v>5.6</v>
      </c>
      <c r="AD190" s="22" t="s">
        <v>1076</v>
      </c>
      <c r="AG190" s="33">
        <f t="shared" si="31"/>
        <v>0</v>
      </c>
      <c r="AH190" s="43" t="s">
        <v>1510</v>
      </c>
      <c r="AI190" s="63">
        <f t="shared" si="34"/>
        <v>9.7768331562167899E-4</v>
      </c>
      <c r="AJ190" s="284">
        <f>RTD("money.excel",,$G190,"PredictVolume")</f>
        <v>92</v>
      </c>
      <c r="AK190" s="399">
        <f>IFERROR(VLOOKUP($G190,基本資料!$A:$M,13,0),"無")</f>
        <v>2.31</v>
      </c>
    </row>
    <row r="191" spans="1:37">
      <c r="A191" s="347">
        <f>IFERROR(VLOOKUP($G191,基本資料!$A:$J,3,0),"無")</f>
        <v>5.69</v>
      </c>
      <c r="B191" s="79">
        <f>IFERROR(VLOOKUP($G191,基本資料!$A:$J,4,0),"無")</f>
        <v>179</v>
      </c>
      <c r="C191" s="79">
        <f>IFERROR(VLOOKUP($G191,基本資料!$A:$J,5,0),"無")</f>
        <v>64</v>
      </c>
      <c r="D191" s="79">
        <f>IFERROR(VLOOKUP($G191,基本資料!$A:$J,6,0),"無")</f>
        <v>-18</v>
      </c>
      <c r="E191" s="79">
        <f>IFERROR(VLOOKUP($G191,基本資料!$A:$J,7,0),"無")</f>
        <v>-7</v>
      </c>
      <c r="F191" s="6">
        <f>IFERROR(VLOOKUP($G191,基本資料!$A:$J,8,0),"無")</f>
        <v>5.3</v>
      </c>
      <c r="G191" s="79">
        <v>4543</v>
      </c>
      <c r="H191" s="8" t="s">
        <v>295</v>
      </c>
      <c r="I191" s="16" t="s">
        <v>543</v>
      </c>
      <c r="J191" s="8" t="str">
        <f>IFERROR(VLOOKUP($G191,今日總結!$A:$AJ,35,0),"")</f>
        <v/>
      </c>
      <c r="K191" s="5" t="str">
        <f>IFERROR(VLOOKUP($G191,今日總結!$A:$AJ,36,0),"")</f>
        <v/>
      </c>
      <c r="L191" s="156" t="str">
        <f>IFERROR(VLOOKUP($G191,今日總結!$A:$AJ,33,0),"")</f>
        <v/>
      </c>
      <c r="M191" s="340" t="str">
        <f>IFERROR(VLOOKUP($G191,今日總結!$A:$AJ,34,0),"")</f>
        <v/>
      </c>
      <c r="N191" s="240" t="str">
        <f t="shared" si="35"/>
        <v/>
      </c>
      <c r="P191" s="365">
        <f>IFERROR(VLOOKUP($G191,融外自投!$A:$J,7,0),"無")</f>
        <v>675</v>
      </c>
      <c r="Q191" s="79" t="str">
        <f>IFERROR(VLOOKUP($G191,融外自投!$A:$J,9,0),"無")</f>
        <v>無</v>
      </c>
      <c r="R191" s="346">
        <f>IFERROR(VLOOKUP($G191,融外自投!$A:$J,8,0),"無")</f>
        <v>676</v>
      </c>
      <c r="S191" s="81" t="str">
        <f>IFERROR(VLOOKUP($G191,融外自投!$A:$J,10,0),"無")</f>
        <v>無</v>
      </c>
      <c r="T191" s="327">
        <f>IFERROR(VLOOKUP($G191,'321買'!$A:$E,5,0),"'沒有資料'")</f>
        <v>1239</v>
      </c>
      <c r="U191" s="186">
        <f>IFERROR(VLOOKUP($G191,基本資料!$A:$J,9,0),"無")</f>
        <v>0</v>
      </c>
      <c r="V191" s="310">
        <f t="shared" si="28"/>
        <v>0</v>
      </c>
      <c r="W191" s="94">
        <f>IFERROR(VLOOKUP($G191,基本資料!$A:$J,10,0),"無")</f>
        <v>0.53</v>
      </c>
      <c r="X191" s="36">
        <f>RTD("money.excel",,"4543","Price")</f>
        <v>17.45</v>
      </c>
      <c r="Y191" s="66"/>
      <c r="Z191" s="15">
        <f t="shared" si="29"/>
        <v>17.45</v>
      </c>
      <c r="AA191" s="3" t="e">
        <f t="shared" si="30"/>
        <v>#DIV/0!</v>
      </c>
      <c r="AB191" s="344">
        <f>IFERROR(VLOOKUP($G191,基本資料!$A:$M,11,0),"無")</f>
        <v>-24.62</v>
      </c>
      <c r="AC191" s="397">
        <f>IFERROR(VLOOKUP($G191,基本資料!$A:$M,12,0),"無")</f>
        <v>26.19</v>
      </c>
      <c r="AD191" s="16" t="s">
        <v>543</v>
      </c>
      <c r="AG191" s="33">
        <f t="shared" si="31"/>
        <v>0</v>
      </c>
      <c r="AH191" s="43" t="s">
        <v>2498</v>
      </c>
      <c r="AI191" s="63">
        <f t="shared" si="34"/>
        <v>5.2724077328646741E-4</v>
      </c>
      <c r="AJ191" s="284">
        <f>RTD("money.excel",,$G191,"PredictVolume")</f>
        <v>30</v>
      </c>
      <c r="AK191" s="399">
        <f>IFERROR(VLOOKUP($G191,基本資料!$A:$M,13,0),"無")</f>
        <v>9.81</v>
      </c>
    </row>
    <row r="192" spans="1:37">
      <c r="A192" s="347">
        <f>IFERROR(VLOOKUP($G192,基本資料!$A:$J,3,0),"無")</f>
        <v>4.4400000000000004</v>
      </c>
      <c r="B192" s="79">
        <f>IFERROR(VLOOKUP($G192,基本資料!$A:$J,4,0),"無")</f>
        <v>20</v>
      </c>
      <c r="C192" s="79">
        <f>IFERROR(VLOOKUP($G192,基本資料!$A:$J,5,0),"無")</f>
        <v>30</v>
      </c>
      <c r="D192" s="79">
        <f>IFERROR(VLOOKUP($G192,基本資料!$A:$J,6,0),"無")</f>
        <v>-27</v>
      </c>
      <c r="E192" s="79">
        <f>IFERROR(VLOOKUP($G192,基本資料!$A:$J,7,0),"無")</f>
        <v>-37</v>
      </c>
      <c r="F192" s="6">
        <f>IFERROR(VLOOKUP($G192,基本資料!$A:$J,8,0),"無")</f>
        <v>26.52</v>
      </c>
      <c r="G192" s="79">
        <v>4549</v>
      </c>
      <c r="H192" s="8" t="s">
        <v>295</v>
      </c>
      <c r="I192" s="16" t="s">
        <v>544</v>
      </c>
      <c r="J192" s="8" t="str">
        <f>IFERROR(VLOOKUP($G192,今日總結!$A:$AJ,35,0),"")</f>
        <v/>
      </c>
      <c r="K192" s="5" t="str">
        <f>IFERROR(VLOOKUP($G192,今日總結!$A:$AJ,36,0),"")</f>
        <v/>
      </c>
      <c r="L192" s="156" t="str">
        <f>IFERROR(VLOOKUP($G192,今日總結!$A:$AJ,33,0),"")</f>
        <v/>
      </c>
      <c r="M192" s="340" t="str">
        <f>IFERROR(VLOOKUP($G192,今日總結!$A:$AJ,34,0),"")</f>
        <v/>
      </c>
      <c r="N192" s="240" t="str">
        <f t="shared" si="35"/>
        <v/>
      </c>
      <c r="P192" s="365">
        <f>IFERROR(VLOOKUP($G192,融外自投!$A:$J,7,0),"無")</f>
        <v>1146</v>
      </c>
      <c r="Q192" s="79">
        <f>IFERROR(VLOOKUP($G192,融外自投!$A:$J,9,0),"無")</f>
        <v>936</v>
      </c>
      <c r="R192" s="346">
        <f>IFERROR(VLOOKUP($G192,融外自投!$A:$J,8,0),"無")</f>
        <v>643</v>
      </c>
      <c r="S192" s="81">
        <f>IFERROR(VLOOKUP($G192,融外自投!$A:$J,10,0),"無")</f>
        <v>340</v>
      </c>
      <c r="T192" s="327">
        <f>IFERROR(VLOOKUP($G192,'321買'!$A:$E,5,0),"'沒有資料'")</f>
        <v>1143</v>
      </c>
      <c r="U192" s="186">
        <f>IFERROR(VLOOKUP($G192,基本資料!$A:$J,9,0),"無")</f>
        <v>5.2</v>
      </c>
      <c r="V192" s="310">
        <f t="shared" ref="V192:V222" si="36">$U192/$X192</f>
        <v>5.8165548098434001E-2</v>
      </c>
      <c r="W192" s="94">
        <f>IFERROR(VLOOKUP($G192,基本資料!$A:$J,10,0),"無")</f>
        <v>6.27</v>
      </c>
      <c r="X192" s="36">
        <f>RTD("money.excel",,"4549","Price")</f>
        <v>89.4</v>
      </c>
      <c r="Y192" s="66"/>
      <c r="Z192" s="15">
        <f t="shared" ref="Z192:Z222" si="37">X192-Y192</f>
        <v>89.4</v>
      </c>
      <c r="AA192" s="3" t="e">
        <f t="shared" ref="AA192:AA222" si="38">Z192/Y192</f>
        <v>#DIV/0!</v>
      </c>
      <c r="AB192" s="344">
        <f>IFERROR(VLOOKUP($G192,基本資料!$A:$M,11,0),"無")</f>
        <v>-9.44</v>
      </c>
      <c r="AC192" s="397">
        <f>IFERROR(VLOOKUP($G192,基本資料!$A:$M,12,0),"無")</f>
        <v>23.09</v>
      </c>
      <c r="AD192" s="16" t="s">
        <v>544</v>
      </c>
      <c r="AG192" s="33">
        <f t="shared" ref="AG192:AG222" si="39">AF192-AE192</f>
        <v>0</v>
      </c>
      <c r="AH192" s="43" t="s">
        <v>2497</v>
      </c>
      <c r="AI192" s="63">
        <f t="shared" ref="AI192:AI207" si="40">AJ192/(A192*10000)</f>
        <v>7.2072072072072062E-4</v>
      </c>
      <c r="AJ192" s="284">
        <f>RTD("money.excel",,$G192,"PredictVolume")</f>
        <v>32</v>
      </c>
      <c r="AK192" s="399">
        <f>IFERROR(VLOOKUP($G192,基本資料!$A:$M,13,0),"無")</f>
        <v>1.47</v>
      </c>
    </row>
    <row r="193" spans="1:37">
      <c r="A193" s="347">
        <f>IFERROR(VLOOKUP($G193,基本資料!$A:$J,3,0),"無")</f>
        <v>3.78</v>
      </c>
      <c r="B193" s="79">
        <f>IFERROR(VLOOKUP($G193,基本資料!$A:$J,4,0),"無")</f>
        <v>-37</v>
      </c>
      <c r="C193" s="79">
        <f>IFERROR(VLOOKUP($G193,基本資料!$A:$J,5,0),"無")</f>
        <v>-79</v>
      </c>
      <c r="D193" s="79">
        <f>IFERROR(VLOOKUP($G193,基本資料!$A:$J,6,0),"無")</f>
        <v>65</v>
      </c>
      <c r="E193" s="79">
        <f>IFERROR(VLOOKUP($G193,基本資料!$A:$J,7,0),"無")</f>
        <v>33</v>
      </c>
      <c r="F193" s="6">
        <f>IFERROR(VLOOKUP($G193,基本資料!$A:$J,8,0),"無")</f>
        <v>1.19</v>
      </c>
      <c r="G193" s="79">
        <v>4550</v>
      </c>
      <c r="H193" s="8" t="s">
        <v>295</v>
      </c>
      <c r="I193" s="16" t="s">
        <v>545</v>
      </c>
      <c r="J193" s="8" t="str">
        <f>IFERROR(VLOOKUP($G193,今日總結!$A:$AJ,35,0),"")</f>
        <v/>
      </c>
      <c r="K193" s="5" t="str">
        <f>IFERROR(VLOOKUP($G193,今日總結!$A:$AJ,36,0),"")</f>
        <v/>
      </c>
      <c r="L193" s="156" t="str">
        <f>IFERROR(VLOOKUP($G193,今日總結!$A:$AJ,33,0),"")</f>
        <v/>
      </c>
      <c r="M193" s="340" t="str">
        <f>IFERROR(VLOOKUP($G193,今日總結!$A:$AJ,34,0),"")</f>
        <v/>
      </c>
      <c r="N193" s="240" t="str">
        <f t="shared" si="35"/>
        <v/>
      </c>
      <c r="P193" s="365">
        <f>IFERROR(VLOOKUP($G193,融外自投!$A:$J,7,0),"無")</f>
        <v>1137</v>
      </c>
      <c r="Q193" s="79" t="str">
        <f>IFERROR(VLOOKUP($G193,融外自投!$A:$J,9,0),"無")</f>
        <v>無</v>
      </c>
      <c r="R193" s="346">
        <f>IFERROR(VLOOKUP($G193,融外自投!$A:$J,8,0),"無")</f>
        <v>1202</v>
      </c>
      <c r="S193" s="81" t="str">
        <f>IFERROR(VLOOKUP($G193,融外自投!$A:$J,10,0),"無")</f>
        <v>無</v>
      </c>
      <c r="T193" s="327" t="str">
        <f>IFERROR(VLOOKUP($G193,'321買'!$A:$E,5,0),"'沒有資料'")</f>
        <v>'沒有資料'</v>
      </c>
      <c r="U193" s="186">
        <f>IFERROR(VLOOKUP($G193,基本資料!$A:$J,9,0),"無")</f>
        <v>1.1499999999999999</v>
      </c>
      <c r="V193" s="310">
        <f t="shared" si="36"/>
        <v>5.0884955752212385E-2</v>
      </c>
      <c r="W193" s="94">
        <f>IFERROR(VLOOKUP($G193,基本資料!$A:$J,10,0),"無")</f>
        <v>1.41</v>
      </c>
      <c r="X193" s="36">
        <f>RTD("money.excel",,"4550","Price")</f>
        <v>22.6</v>
      </c>
      <c r="Y193" s="66"/>
      <c r="Z193" s="15">
        <f t="shared" si="37"/>
        <v>22.6</v>
      </c>
      <c r="AA193" s="3" t="e">
        <f t="shared" si="38"/>
        <v>#DIV/0!</v>
      </c>
      <c r="AB193" s="344">
        <f>IFERROR(VLOOKUP($G193,基本資料!$A:$M,11,0),"無")</f>
        <v>-11.05</v>
      </c>
      <c r="AC193" s="397">
        <f>IFERROR(VLOOKUP($G193,基本資料!$A:$M,12,0),"無")</f>
        <v>30.51</v>
      </c>
      <c r="AD193" s="16" t="s">
        <v>545</v>
      </c>
      <c r="AG193" s="33">
        <f t="shared" si="39"/>
        <v>0</v>
      </c>
      <c r="AH193" s="43" t="s">
        <v>2496</v>
      </c>
      <c r="AI193" s="63">
        <f t="shared" si="40"/>
        <v>3.4391534391534393E-4</v>
      </c>
      <c r="AJ193" s="284">
        <f>RTD("money.excel",,$G193,"PredictVolume")</f>
        <v>13</v>
      </c>
      <c r="AK193" s="399">
        <f>IFERROR(VLOOKUP($G193,基本資料!$A:$M,13,0),"無")</f>
        <v>0.67</v>
      </c>
    </row>
    <row r="194" spans="1:37">
      <c r="A194" s="347">
        <f>IFERROR(VLOOKUP($G194,基本資料!$A:$J,3,0),"無")</f>
        <v>11.6</v>
      </c>
      <c r="B194" s="79">
        <f>IFERROR(VLOOKUP($G194,基本資料!$A:$J,4,0),"無")</f>
        <v>40</v>
      </c>
      <c r="C194" s="79">
        <f>IFERROR(VLOOKUP($G194,基本資料!$A:$J,5,0),"無")</f>
        <v>31</v>
      </c>
      <c r="D194" s="79">
        <f>IFERROR(VLOOKUP($G194,基本資料!$A:$J,6,0),"無")</f>
        <v>64</v>
      </c>
      <c r="E194" s="79">
        <f>IFERROR(VLOOKUP($G194,基本資料!$A:$J,7,0),"無")</f>
        <v>26</v>
      </c>
      <c r="F194" s="6">
        <f>IFERROR(VLOOKUP($G194,基本資料!$A:$J,8,0),"無")</f>
        <v>10.47</v>
      </c>
      <c r="G194" s="79">
        <v>4552</v>
      </c>
      <c r="H194" s="8" t="s">
        <v>295</v>
      </c>
      <c r="I194" s="22" t="s">
        <v>253</v>
      </c>
      <c r="J194" s="8">
        <f>IFERROR(VLOOKUP($G194,今日總結!$A:$AJ,35,0),"")</f>
        <v>0</v>
      </c>
      <c r="K194" s="5" t="str">
        <f>IFERROR(VLOOKUP($G194,今日總結!$A:$AJ,36,0),"")</f>
        <v>外</v>
      </c>
      <c r="L194" s="156">
        <f>IFERROR(VLOOKUP($G194,今日總結!$A:$AJ,33,0),"")</f>
        <v>0</v>
      </c>
      <c r="M194" s="340">
        <f>IFERROR(VLOOKUP($G194,今日總結!$A:$AJ,34,0),"")</f>
        <v>1</v>
      </c>
      <c r="N194" s="240">
        <f t="shared" si="35"/>
        <v>-1</v>
      </c>
      <c r="P194" s="365">
        <f>IFERROR(VLOOKUP($G194,融外自投!$A:$J,7,0),"無")</f>
        <v>1172</v>
      </c>
      <c r="Q194" s="79">
        <f>IFERROR(VLOOKUP($G194,融外自投!$A:$J,9,0),"無")</f>
        <v>936</v>
      </c>
      <c r="R194" s="346">
        <f>IFERROR(VLOOKUP($G194,融外自投!$A:$J,8,0),"無")</f>
        <v>76</v>
      </c>
      <c r="S194" s="81" t="str">
        <f>IFERROR(VLOOKUP($G194,融外自投!$A:$J,10,0),"無")</f>
        <v>無</v>
      </c>
      <c r="T194" s="327">
        <f>IFERROR(VLOOKUP($G194,'321買'!$A:$E,5,0),"'沒有資料'")</f>
        <v>1007</v>
      </c>
      <c r="U194" s="186">
        <f>IFERROR(VLOOKUP($G194,基本資料!$A:$J,9,0),"無")</f>
        <v>1</v>
      </c>
      <c r="V194" s="310">
        <f t="shared" si="36"/>
        <v>3.4965034965034961E-2</v>
      </c>
      <c r="W194" s="94">
        <f>IFERROR(VLOOKUP($G194,基本資料!$A:$J,10,0),"無")</f>
        <v>3.13</v>
      </c>
      <c r="X194" s="36">
        <f>RTD("money.excel",,"4552","Price")</f>
        <v>28.6</v>
      </c>
      <c r="Y194" s="66"/>
      <c r="Z194" s="15">
        <f t="shared" si="37"/>
        <v>28.6</v>
      </c>
      <c r="AA194" s="3" t="e">
        <f t="shared" si="38"/>
        <v>#DIV/0!</v>
      </c>
      <c r="AB194" s="344">
        <f>IFERROR(VLOOKUP($G194,基本資料!$A:$M,11,0),"無")</f>
        <v>-19.579999999999998</v>
      </c>
      <c r="AC194" s="397">
        <f>IFERROR(VLOOKUP($G194,基本資料!$A:$M,12,0),"無")</f>
        <v>10.210000000000001</v>
      </c>
      <c r="AD194" s="22" t="s">
        <v>253</v>
      </c>
      <c r="AG194" s="33">
        <f t="shared" si="39"/>
        <v>0</v>
      </c>
      <c r="AH194" s="43" t="s">
        <v>2128</v>
      </c>
      <c r="AI194" s="63">
        <f t="shared" si="40"/>
        <v>2.3275862068965517E-4</v>
      </c>
      <c r="AJ194" s="284">
        <f>RTD("money.excel",,$G194,"PredictVolume")</f>
        <v>27</v>
      </c>
      <c r="AK194" s="399">
        <f>IFERROR(VLOOKUP($G194,基本資料!$A:$M,13,0),"無")</f>
        <v>0.71</v>
      </c>
    </row>
    <row r="195" spans="1:37">
      <c r="A195" s="347">
        <f>IFERROR(VLOOKUP($G195,基本資料!$A:$J,3,0),"無")</f>
        <v>6.69</v>
      </c>
      <c r="B195" s="79">
        <f>IFERROR(VLOOKUP($G195,基本資料!$A:$J,4,0),"無")</f>
        <v>73</v>
      </c>
      <c r="C195" s="79">
        <f>IFERROR(VLOOKUP($G195,基本資料!$A:$J,5,0),"無")</f>
        <v>86</v>
      </c>
      <c r="D195" s="79">
        <f>IFERROR(VLOOKUP($G195,基本資料!$A:$J,6,0),"無")</f>
        <v>-19</v>
      </c>
      <c r="E195" s="79">
        <f>IFERROR(VLOOKUP($G195,基本資料!$A:$J,7,0),"無")</f>
        <v>-29</v>
      </c>
      <c r="F195" s="6">
        <f>IFERROR(VLOOKUP($G195,基本資料!$A:$J,8,0),"無")</f>
        <v>15.07</v>
      </c>
      <c r="G195" s="79">
        <v>4555</v>
      </c>
      <c r="H195" s="8" t="s">
        <v>295</v>
      </c>
      <c r="I195" s="22" t="s">
        <v>580</v>
      </c>
      <c r="J195" s="8" t="str">
        <f>IFERROR(VLOOKUP($G195,今日總結!$A:$AJ,35,0),"")</f>
        <v/>
      </c>
      <c r="K195" s="5" t="str">
        <f>IFERROR(VLOOKUP($G195,今日總結!$A:$AJ,36,0),"")</f>
        <v/>
      </c>
      <c r="L195" s="156" t="str">
        <f>IFERROR(VLOOKUP($G195,今日總結!$A:$AJ,33,0),"")</f>
        <v/>
      </c>
      <c r="M195" s="340" t="str">
        <f>IFERROR(VLOOKUP($G195,今日總結!$A:$AJ,34,0),"")</f>
        <v/>
      </c>
      <c r="N195" s="240" t="str">
        <f t="shared" si="35"/>
        <v/>
      </c>
      <c r="P195" s="365">
        <f>IFERROR(VLOOKUP($G195,融外自投!$A:$J,7,0),"無")</f>
        <v>888</v>
      </c>
      <c r="Q195" s="79">
        <f>IFERROR(VLOOKUP($G195,融外自投!$A:$J,9,0),"無")</f>
        <v>852</v>
      </c>
      <c r="R195" s="346">
        <f>IFERROR(VLOOKUP($G195,融外自投!$A:$J,8,0),"無")</f>
        <v>1387</v>
      </c>
      <c r="S195" s="81" t="str">
        <f>IFERROR(VLOOKUP($G195,融外自投!$A:$J,10,0),"無")</f>
        <v>無</v>
      </c>
      <c r="T195" s="327">
        <f>IFERROR(VLOOKUP($G195,'321買'!$A:$E,5,0),"'沒有資料'")</f>
        <v>827</v>
      </c>
      <c r="U195" s="186">
        <f>IFERROR(VLOOKUP($G195,基本資料!$A:$J,9,0),"無")</f>
        <v>1.8</v>
      </c>
      <c r="V195" s="310">
        <f t="shared" si="36"/>
        <v>3.237410071942446E-2</v>
      </c>
      <c r="W195" s="94">
        <f>IFERROR(VLOOKUP($G195,基本資料!$A:$J,10,0),"無")</f>
        <v>3.5</v>
      </c>
      <c r="X195" s="36">
        <f>RTD("money.excel",,"4555","Price")</f>
        <v>55.6</v>
      </c>
      <c r="Y195" s="66"/>
      <c r="Z195" s="15">
        <f t="shared" si="37"/>
        <v>55.6</v>
      </c>
      <c r="AA195" s="3" t="e">
        <f t="shared" si="38"/>
        <v>#DIV/0!</v>
      </c>
      <c r="AB195" s="344">
        <f>IFERROR(VLOOKUP($G195,基本資料!$A:$M,11,0),"無")</f>
        <v>-11.29</v>
      </c>
      <c r="AC195" s="397">
        <f>IFERROR(VLOOKUP($G195,基本資料!$A:$M,12,0),"無")</f>
        <v>41.89</v>
      </c>
      <c r="AD195" s="22" t="s">
        <v>580</v>
      </c>
      <c r="AG195" s="33">
        <f t="shared" si="39"/>
        <v>0</v>
      </c>
      <c r="AH195" s="43" t="s">
        <v>1945</v>
      </c>
      <c r="AI195" s="63">
        <f t="shared" si="40"/>
        <v>1.195814648729447E-4</v>
      </c>
      <c r="AJ195" s="284">
        <f>RTD("money.excel",,$G195,"PredictVolume")</f>
        <v>8</v>
      </c>
      <c r="AK195" s="399">
        <f>IFERROR(VLOOKUP($G195,基本資料!$A:$M,13,0),"無")</f>
        <v>1.57</v>
      </c>
    </row>
    <row r="196" spans="1:37">
      <c r="A196" s="347" t="str">
        <f>IFERROR(VLOOKUP($G196,基本資料!$A:$J,3,0),"無")</f>
        <v>無</v>
      </c>
      <c r="B196" s="79" t="str">
        <f>IFERROR(VLOOKUP($G196,基本資料!$A:$J,4,0),"無")</f>
        <v>無</v>
      </c>
      <c r="C196" s="79" t="str">
        <f>IFERROR(VLOOKUP($G196,基本資料!$A:$J,5,0),"無")</f>
        <v>無</v>
      </c>
      <c r="D196" s="79" t="str">
        <f>IFERROR(VLOOKUP($G196,基本資料!$A:$J,6,0),"無")</f>
        <v>無</v>
      </c>
      <c r="E196" s="79" t="str">
        <f>IFERROR(VLOOKUP($G196,基本資料!$A:$J,7,0),"無")</f>
        <v>無</v>
      </c>
      <c r="F196" s="6" t="str">
        <f>IFERROR(VLOOKUP($G196,基本資料!$A:$J,8,0),"無")</f>
        <v>無</v>
      </c>
      <c r="G196" s="79">
        <v>4558</v>
      </c>
      <c r="H196" s="8" t="s">
        <v>295</v>
      </c>
      <c r="I196" s="16" t="s">
        <v>4769</v>
      </c>
      <c r="J196" s="8" t="str">
        <f>IFERROR(VLOOKUP($G196,今日總結!$A:$AJ,35,0),"")</f>
        <v/>
      </c>
      <c r="K196" s="5" t="str">
        <f>IFERROR(VLOOKUP($G196,今日總結!$A:$AJ,36,0),"")</f>
        <v/>
      </c>
      <c r="L196" s="156" t="str">
        <f>IFERROR(VLOOKUP($G196,今日總結!$A:$AJ,33,0),"")</f>
        <v/>
      </c>
      <c r="M196" s="340" t="str">
        <f>IFERROR(VLOOKUP($G196,今日總結!$A:$AJ,34,0),"")</f>
        <v/>
      </c>
      <c r="N196" s="240" t="str">
        <f t="shared" si="35"/>
        <v/>
      </c>
      <c r="P196" s="365" t="str">
        <f>IFERROR(VLOOKUP($G196,融外自投!$A:$J,7,0),"無")</f>
        <v>無</v>
      </c>
      <c r="Q196" s="79" t="str">
        <f>IFERROR(VLOOKUP($G196,融外自投!$A:$J,9,0),"無")</f>
        <v>無</v>
      </c>
      <c r="R196" s="346" t="str">
        <f>IFERROR(VLOOKUP($G196,融外自投!$A:$J,8,0),"無")</f>
        <v>無</v>
      </c>
      <c r="S196" s="81" t="str">
        <f>IFERROR(VLOOKUP($G196,融外自投!$A:$J,10,0),"無")</f>
        <v>無</v>
      </c>
      <c r="T196" s="327" t="str">
        <f>IFERROR(VLOOKUP($G196,'321買'!$A:$E,5,0),"'沒有資料'")</f>
        <v>'沒有資料'</v>
      </c>
      <c r="U196" s="186" t="str">
        <f>IFERROR(VLOOKUP($G196,基本資料!$A:$J,9,0),"無")</f>
        <v>無</v>
      </c>
      <c r="V196" s="310" t="e">
        <f t="shared" si="36"/>
        <v>#VALUE!</v>
      </c>
      <c r="W196" s="94" t="str">
        <f>IFERROR(VLOOKUP($G196,基本資料!$A:$J,10,0),"無")</f>
        <v>無</v>
      </c>
      <c r="X196" s="36">
        <f>RTD("money.excel",,"4558","Price")</f>
        <v>39.5</v>
      </c>
      <c r="Y196" s="66"/>
      <c r="Z196" s="15">
        <f>X196-Y196</f>
        <v>39.5</v>
      </c>
      <c r="AA196" s="3" t="e">
        <f>Z196/Y196</f>
        <v>#DIV/0!</v>
      </c>
      <c r="AB196" s="344" t="str">
        <f>IFERROR(VLOOKUP($G196,基本資料!$A:$M,11,0),"無")</f>
        <v>無</v>
      </c>
      <c r="AC196" s="397" t="str">
        <f>IFERROR(VLOOKUP($G196,基本資料!$A:$M,12,0),"無")</f>
        <v>無</v>
      </c>
      <c r="AD196" s="16" t="s">
        <v>4769</v>
      </c>
      <c r="AG196" s="33">
        <f>AF196-AE196</f>
        <v>0</v>
      </c>
      <c r="AH196" s="43" t="s">
        <v>4770</v>
      </c>
      <c r="AI196" s="63" t="e">
        <f t="shared" si="40"/>
        <v>#VALUE!</v>
      </c>
      <c r="AJ196" s="284">
        <f>RTD("money.excel",,$G196,"PredictVolume")</f>
        <v>31</v>
      </c>
      <c r="AK196" s="399" t="str">
        <f>IFERROR(VLOOKUP($G196,基本資料!$A:$M,13,0),"無")</f>
        <v>無</v>
      </c>
    </row>
    <row r="197" spans="1:37">
      <c r="A197" s="347">
        <f>IFERROR(VLOOKUP($G197,基本資料!$A:$J,3,0),"無")</f>
        <v>6.8</v>
      </c>
      <c r="B197" s="79">
        <f>IFERROR(VLOOKUP($G197,基本資料!$A:$J,4,0),"無")</f>
        <v>163</v>
      </c>
      <c r="C197" s="79">
        <f>IFERROR(VLOOKUP($G197,基本資料!$A:$J,5,0),"無")</f>
        <v>92</v>
      </c>
      <c r="D197" s="79">
        <f>IFERROR(VLOOKUP($G197,基本資料!$A:$J,6,0),"無")</f>
        <v>18</v>
      </c>
      <c r="E197" s="79">
        <f>IFERROR(VLOOKUP($G197,基本資料!$A:$J,7,0),"無")</f>
        <v>51</v>
      </c>
      <c r="F197" s="6">
        <f>IFERROR(VLOOKUP($G197,基本資料!$A:$J,8,0),"無")</f>
        <v>14.02</v>
      </c>
      <c r="G197" s="79">
        <v>4560</v>
      </c>
      <c r="H197" s="8" t="s">
        <v>295</v>
      </c>
      <c r="I197" s="22" t="s">
        <v>582</v>
      </c>
      <c r="J197" s="8" t="str">
        <f>IFERROR(VLOOKUP($G197,今日總結!$A:$AJ,35,0),"")</f>
        <v/>
      </c>
      <c r="K197" s="5" t="str">
        <f>IFERROR(VLOOKUP($G197,今日總結!$A:$AJ,36,0),"")</f>
        <v/>
      </c>
      <c r="L197" s="156" t="str">
        <f>IFERROR(VLOOKUP($G197,今日總結!$A:$AJ,33,0),"")</f>
        <v/>
      </c>
      <c r="M197" s="340" t="str">
        <f>IFERROR(VLOOKUP($G197,今日總結!$A:$AJ,34,0),"")</f>
        <v/>
      </c>
      <c r="N197" s="240" t="str">
        <f t="shared" si="35"/>
        <v/>
      </c>
      <c r="P197" s="365">
        <f>IFERROR(VLOOKUP($G197,融外自投!$A:$J,7,0),"無")</f>
        <v>1142</v>
      </c>
      <c r="Q197" s="79">
        <f>IFERROR(VLOOKUP($G197,融外自投!$A:$J,9,0),"無")</f>
        <v>734</v>
      </c>
      <c r="R197" s="346">
        <f>IFERROR(VLOOKUP($G197,融外自投!$A:$J,8,0),"無")</f>
        <v>8</v>
      </c>
      <c r="S197" s="81" t="str">
        <f>IFERROR(VLOOKUP($G197,融外自投!$A:$J,10,0),"無")</f>
        <v>無</v>
      </c>
      <c r="T197" s="327">
        <f>IFERROR(VLOOKUP($G197,'321買'!$A:$E,5,0),"'沒有資料'")</f>
        <v>802</v>
      </c>
      <c r="U197" s="186">
        <f>IFERROR(VLOOKUP($G197,基本資料!$A:$J,9,0),"無")</f>
        <v>1.8</v>
      </c>
      <c r="V197" s="310">
        <f t="shared" si="36"/>
        <v>4.3269230769230768E-2</v>
      </c>
      <c r="W197" s="94">
        <f>IFERROR(VLOOKUP($G197,基本資料!$A:$J,10,0),"無")</f>
        <v>2.95</v>
      </c>
      <c r="X197" s="36">
        <f>RTD("money.excel",,"4560","Price")</f>
        <v>41.6</v>
      </c>
      <c r="Y197" s="66"/>
      <c r="Z197" s="15">
        <f t="shared" si="37"/>
        <v>41.6</v>
      </c>
      <c r="AA197" s="3" t="e">
        <f t="shared" si="38"/>
        <v>#DIV/0!</v>
      </c>
      <c r="AB197" s="344">
        <f>IFERROR(VLOOKUP($G197,基本資料!$A:$M,11,0),"無")</f>
        <v>-6.78</v>
      </c>
      <c r="AC197" s="397">
        <f>IFERROR(VLOOKUP($G197,基本資料!$A:$M,12,0),"無")</f>
        <v>60.74</v>
      </c>
      <c r="AD197" s="22" t="s">
        <v>582</v>
      </c>
      <c r="AG197" s="33">
        <f t="shared" si="39"/>
        <v>0</v>
      </c>
      <c r="AH197" s="43" t="s">
        <v>2747</v>
      </c>
      <c r="AI197" s="63">
        <f t="shared" si="40"/>
        <v>1.2941176470588236E-3</v>
      </c>
      <c r="AJ197" s="284">
        <f>RTD("money.excel",,$G197,"PredictVolume")</f>
        <v>88</v>
      </c>
      <c r="AK197" s="399">
        <f>IFERROR(VLOOKUP($G197,基本資料!$A:$M,13,0),"無")</f>
        <v>0.5</v>
      </c>
    </row>
    <row r="198" spans="1:37">
      <c r="A198" s="347">
        <f>IFERROR(VLOOKUP($G198,基本資料!$A:$J,3,0),"無")</f>
        <v>5.85</v>
      </c>
      <c r="B198" s="79">
        <f>IFERROR(VLOOKUP($G198,基本資料!$A:$J,4,0),"無")</f>
        <v>70</v>
      </c>
      <c r="C198" s="79">
        <f>IFERROR(VLOOKUP($G198,基本資料!$A:$J,5,0),"無")</f>
        <v>95</v>
      </c>
      <c r="D198" s="79">
        <f>IFERROR(VLOOKUP($G198,基本資料!$A:$J,6,0),"無")</f>
        <v>-32</v>
      </c>
      <c r="E198" s="79">
        <f>IFERROR(VLOOKUP($G198,基本資料!$A:$J,7,0),"無")</f>
        <v>-26</v>
      </c>
      <c r="F198" s="6">
        <f>IFERROR(VLOOKUP($G198,基本資料!$A:$J,8,0),"無")</f>
        <v>13.73</v>
      </c>
      <c r="G198" s="79">
        <v>4561</v>
      </c>
      <c r="H198" s="8" t="s">
        <v>295</v>
      </c>
      <c r="I198" s="16" t="s">
        <v>546</v>
      </c>
      <c r="J198" s="8">
        <f>IFERROR(VLOOKUP($G198,今日總結!$A:$AJ,35,0),"")</f>
        <v>0</v>
      </c>
      <c r="K198" s="5" t="str">
        <f>IFERROR(VLOOKUP($G198,今日總結!$A:$AJ,36,0),"")</f>
        <v>外</v>
      </c>
      <c r="L198" s="156">
        <f>IFERROR(VLOOKUP($G198,今日總結!$A:$AJ,33,0),"")</f>
        <v>0</v>
      </c>
      <c r="M198" s="340">
        <f>IFERROR(VLOOKUP($G198,今日總結!$A:$AJ,34,0),"")</f>
        <v>1</v>
      </c>
      <c r="N198" s="240">
        <f t="shared" si="35"/>
        <v>-1</v>
      </c>
      <c r="P198" s="365">
        <f>IFERROR(VLOOKUP($G198,融外自投!$A:$J,7,0),"無")</f>
        <v>961</v>
      </c>
      <c r="Q198" s="79">
        <f>IFERROR(VLOOKUP($G198,融外自投!$A:$J,9,0),"無")</f>
        <v>896</v>
      </c>
      <c r="R198" s="346">
        <f>IFERROR(VLOOKUP($G198,融外自投!$A:$J,8,0),"無")</f>
        <v>1443</v>
      </c>
      <c r="S198" s="81" t="str">
        <f>IFERROR(VLOOKUP($G198,融外自投!$A:$J,10,0),"無")</f>
        <v>無</v>
      </c>
      <c r="T198" s="327">
        <f>IFERROR(VLOOKUP($G198,'321買'!$A:$E,5,0),"'沒有資料'")</f>
        <v>1310</v>
      </c>
      <c r="U198" s="186">
        <f>IFERROR(VLOOKUP($G198,基本資料!$A:$J,9,0),"無")</f>
        <v>0.9</v>
      </c>
      <c r="V198" s="310">
        <f t="shared" si="36"/>
        <v>3.3395176252319109E-2</v>
      </c>
      <c r="W198" s="94">
        <f>IFERROR(VLOOKUP($G198,基本資料!$A:$J,10,0),"無")</f>
        <v>2.4900000000000002</v>
      </c>
      <c r="X198" s="36">
        <f>RTD("money.excel",,"4561","Price")</f>
        <v>26.95</v>
      </c>
      <c r="Y198" s="66"/>
      <c r="Z198" s="15">
        <f t="shared" si="37"/>
        <v>26.95</v>
      </c>
      <c r="AA198" s="3" t="e">
        <f t="shared" si="38"/>
        <v>#DIV/0!</v>
      </c>
      <c r="AB198" s="344">
        <f>IFERROR(VLOOKUP($G198,基本資料!$A:$M,11,0),"無")</f>
        <v>-24.28</v>
      </c>
      <c r="AC198" s="397">
        <f>IFERROR(VLOOKUP($G198,基本資料!$A:$M,12,0),"無")</f>
        <v>21.05</v>
      </c>
      <c r="AD198" s="16" t="s">
        <v>546</v>
      </c>
      <c r="AG198" s="33">
        <f t="shared" si="39"/>
        <v>0</v>
      </c>
      <c r="AH198" s="43" t="s">
        <v>2495</v>
      </c>
      <c r="AI198" s="63">
        <f t="shared" si="40"/>
        <v>2.3931623931623932E-4</v>
      </c>
      <c r="AJ198" s="284">
        <f>RTD("money.excel",,$G198,"PredictVolume")</f>
        <v>14</v>
      </c>
      <c r="AK198" s="399">
        <f>IFERROR(VLOOKUP($G198,基本資料!$A:$M,13,0),"無")</f>
        <v>4.3899999999999997</v>
      </c>
    </row>
    <row r="199" spans="1:37">
      <c r="A199" s="347">
        <f>IFERROR(VLOOKUP($G199,基本資料!$A:$J,3,0),"無")</f>
        <v>8.75</v>
      </c>
      <c r="B199" s="79">
        <f>IFERROR(VLOOKUP($G199,基本資料!$A:$J,4,0),"無")</f>
        <v>10</v>
      </c>
      <c r="C199" s="79">
        <f>IFERROR(VLOOKUP($G199,基本資料!$A:$J,5,0),"無")</f>
        <v>29</v>
      </c>
      <c r="D199" s="79">
        <f>IFERROR(VLOOKUP($G199,基本資料!$A:$J,6,0),"無")</f>
        <v>41</v>
      </c>
      <c r="E199" s="79">
        <f>IFERROR(VLOOKUP($G199,基本資料!$A:$J,7,0),"無")</f>
        <v>13</v>
      </c>
      <c r="F199" s="6">
        <f>IFERROR(VLOOKUP($G199,基本資料!$A:$J,8,0),"無")</f>
        <v>-11.35</v>
      </c>
      <c r="G199" s="79">
        <v>4562</v>
      </c>
      <c r="H199" s="8" t="s">
        <v>295</v>
      </c>
      <c r="I199" s="22" t="s">
        <v>583</v>
      </c>
      <c r="J199" s="8">
        <f>IFERROR(VLOOKUP($G199,今日總結!$A:$AJ,35,0),"")</f>
        <v>0</v>
      </c>
      <c r="K199" s="5" t="str">
        <f>IFERROR(VLOOKUP($G199,今日總結!$A:$AJ,36,0),"")</f>
        <v>融</v>
      </c>
      <c r="L199" s="156">
        <f>IFERROR(VLOOKUP($G199,今日總結!$A:$AJ,33,0),"")</f>
        <v>0</v>
      </c>
      <c r="M199" s="340">
        <f>IFERROR(VLOOKUP($G199,今日總結!$A:$AJ,34,0),"")</f>
        <v>1</v>
      </c>
      <c r="N199" s="240">
        <f t="shared" si="35"/>
        <v>-1</v>
      </c>
      <c r="P199" s="365">
        <f>IFERROR(VLOOKUP($G199,融外自投!$A:$J,7,0),"無")</f>
        <v>973</v>
      </c>
      <c r="Q199" s="79" t="str">
        <f>IFERROR(VLOOKUP($G199,融外自投!$A:$J,9,0),"無")</f>
        <v>無</v>
      </c>
      <c r="R199" s="346">
        <f>IFERROR(VLOOKUP($G199,融外自投!$A:$J,8,0),"無")</f>
        <v>1153</v>
      </c>
      <c r="S199" s="81" t="str">
        <f>IFERROR(VLOOKUP($G199,融外自投!$A:$J,10,0),"無")</f>
        <v>無</v>
      </c>
      <c r="T199" s="327">
        <f>IFERROR(VLOOKUP($G199,'321買'!$A:$E,5,0),"'沒有資料'")</f>
        <v>1143</v>
      </c>
      <c r="U199" s="186">
        <f>IFERROR(VLOOKUP($G199,基本資料!$A:$J,9,0),"無")</f>
        <v>0</v>
      </c>
      <c r="V199" s="310">
        <f t="shared" si="36"/>
        <v>0</v>
      </c>
      <c r="W199" s="94">
        <f>IFERROR(VLOOKUP($G199,基本資料!$A:$J,10,0),"無")</f>
        <v>-2.0099999999999998</v>
      </c>
      <c r="X199" s="36">
        <f>RTD("money.excel",,"4562","Price")</f>
        <v>15.35</v>
      </c>
      <c r="Y199" s="66"/>
      <c r="Z199" s="15">
        <f t="shared" si="37"/>
        <v>15.35</v>
      </c>
      <c r="AA199" s="3" t="e">
        <f t="shared" si="38"/>
        <v>#DIV/0!</v>
      </c>
      <c r="AB199" s="344">
        <f>IFERROR(VLOOKUP($G199,基本資料!$A:$M,11,0),"無")</f>
        <v>-30.18</v>
      </c>
      <c r="AC199" s="397">
        <f>IFERROR(VLOOKUP($G199,基本資料!$A:$M,12,0),"無")</f>
        <v>48.79</v>
      </c>
      <c r="AD199" s="22" t="s">
        <v>583</v>
      </c>
      <c r="AG199" s="33">
        <f t="shared" si="39"/>
        <v>0</v>
      </c>
      <c r="AH199" s="43" t="s">
        <v>2748</v>
      </c>
      <c r="AI199" s="63">
        <f t="shared" si="40"/>
        <v>6.9714285714285711E-4</v>
      </c>
      <c r="AJ199" s="284">
        <f>RTD("money.excel",,$G199,"PredictVolume")</f>
        <v>61</v>
      </c>
      <c r="AK199" s="399">
        <f>IFERROR(VLOOKUP($G199,基本資料!$A:$M,13,0),"無")</f>
        <v>9.9700000000000006</v>
      </c>
    </row>
    <row r="200" spans="1:37">
      <c r="A200" s="347">
        <f>IFERROR(VLOOKUP($G200,基本資料!$A:$J,3,0),"無")</f>
        <v>5.49</v>
      </c>
      <c r="B200" s="79">
        <f>IFERROR(VLOOKUP($G200,基本資料!$A:$J,4,0),"無")</f>
        <v>47</v>
      </c>
      <c r="C200" s="79">
        <f>IFERROR(VLOOKUP($G200,基本資料!$A:$J,5,0),"無")</f>
        <v>54</v>
      </c>
      <c r="D200" s="79">
        <f>IFERROR(VLOOKUP($G200,基本資料!$A:$J,6,0),"無")</f>
        <v>45</v>
      </c>
      <c r="E200" s="79">
        <f>IFERROR(VLOOKUP($G200,基本資料!$A:$J,7,0),"無")</f>
        <v>72</v>
      </c>
      <c r="F200" s="6">
        <f>IFERROR(VLOOKUP($G200,基本資料!$A:$J,8,0),"無")</f>
        <v>-5.22</v>
      </c>
      <c r="G200" s="79">
        <v>4563</v>
      </c>
      <c r="H200" s="8" t="s">
        <v>295</v>
      </c>
      <c r="I200" s="16" t="s">
        <v>547</v>
      </c>
      <c r="J200" s="8" t="str">
        <f>IFERROR(VLOOKUP($G200,今日總結!$A:$AJ,35,0),"")</f>
        <v/>
      </c>
      <c r="K200" s="5" t="str">
        <f>IFERROR(VLOOKUP($G200,今日總結!$A:$AJ,36,0),"")</f>
        <v/>
      </c>
      <c r="L200" s="156" t="str">
        <f>IFERROR(VLOOKUP($G200,今日總結!$A:$AJ,33,0),"")</f>
        <v/>
      </c>
      <c r="M200" s="340" t="str">
        <f>IFERROR(VLOOKUP($G200,今日總結!$A:$AJ,34,0),"")</f>
        <v/>
      </c>
      <c r="N200" s="240" t="str">
        <f t="shared" si="35"/>
        <v/>
      </c>
      <c r="P200" s="365">
        <f>IFERROR(VLOOKUP($G200,融外自投!$A:$J,7,0),"無")</f>
        <v>1155</v>
      </c>
      <c r="Q200" s="79" t="str">
        <f>IFERROR(VLOOKUP($G200,融外自投!$A:$J,9,0),"無")</f>
        <v>無</v>
      </c>
      <c r="R200" s="346" t="str">
        <f>IFERROR(VLOOKUP($G200,融外自投!$A:$J,8,0),"無")</f>
        <v>無</v>
      </c>
      <c r="S200" s="81" t="str">
        <f>IFERROR(VLOOKUP($G200,融外自投!$A:$J,10,0),"無")</f>
        <v>無</v>
      </c>
      <c r="T200" s="327">
        <f>IFERROR(VLOOKUP($G200,'321買'!$A:$E,5,0),"'沒有資料'")</f>
        <v>1367</v>
      </c>
      <c r="U200" s="186">
        <f>IFERROR(VLOOKUP($G200,基本資料!$A:$J,9,0),"無")</f>
        <v>0</v>
      </c>
      <c r="V200" s="310">
        <f t="shared" si="36"/>
        <v>0</v>
      </c>
      <c r="W200" s="94">
        <f>IFERROR(VLOOKUP($G200,基本資料!$A:$J,10,0),"無")</f>
        <v>-3.36</v>
      </c>
      <c r="X200" s="36">
        <f>RTD("money.excel",,"4563","Price")</f>
        <v>33.799999999999997</v>
      </c>
      <c r="Y200" s="66"/>
      <c r="Z200" s="15">
        <f t="shared" si="37"/>
        <v>33.799999999999997</v>
      </c>
      <c r="AA200" s="3" t="e">
        <f t="shared" si="38"/>
        <v>#DIV/0!</v>
      </c>
      <c r="AB200" s="344">
        <f>IFERROR(VLOOKUP($G200,基本資料!$A:$M,11,0),"無")</f>
        <v>-7.82</v>
      </c>
      <c r="AC200" s="397">
        <f>IFERROR(VLOOKUP($G200,基本資料!$A:$M,12,0),"無")</f>
        <v>44.99</v>
      </c>
      <c r="AD200" s="16" t="s">
        <v>547</v>
      </c>
      <c r="AG200" s="33">
        <f t="shared" si="39"/>
        <v>0</v>
      </c>
      <c r="AH200" s="43" t="s">
        <v>1870</v>
      </c>
      <c r="AI200" s="63">
        <f t="shared" si="40"/>
        <v>3.0400728597449907E-2</v>
      </c>
      <c r="AJ200" s="284">
        <f>RTD("money.excel",,$G200,"PredictVolume")</f>
        <v>1669</v>
      </c>
      <c r="AK200" s="399">
        <f>IFERROR(VLOOKUP($G200,基本資料!$A:$M,13,0),"無")</f>
        <v>12.91</v>
      </c>
    </row>
    <row r="201" spans="1:37">
      <c r="A201" s="347">
        <f>IFERROR(VLOOKUP($G201,基本資料!$A:$J,3,0),"無")</f>
        <v>18.27</v>
      </c>
      <c r="B201" s="79">
        <f>IFERROR(VLOOKUP($G201,基本資料!$A:$J,4,0),"無")</f>
        <v>7</v>
      </c>
      <c r="C201" s="79">
        <f>IFERROR(VLOOKUP($G201,基本資料!$A:$J,5,0),"無")</f>
        <v>14</v>
      </c>
      <c r="D201" s="79">
        <f>IFERROR(VLOOKUP($G201,基本資料!$A:$J,6,0),"無")</f>
        <v>-23</v>
      </c>
      <c r="E201" s="79">
        <f>IFERROR(VLOOKUP($G201,基本資料!$A:$J,7,0),"無")</f>
        <v>-12</v>
      </c>
      <c r="F201" s="6">
        <f>IFERROR(VLOOKUP($G201,基本資料!$A:$J,8,0),"無")</f>
        <v>18.37</v>
      </c>
      <c r="G201" s="79">
        <v>4564</v>
      </c>
      <c r="H201" s="8" t="s">
        <v>295</v>
      </c>
      <c r="I201" s="22" t="s">
        <v>3006</v>
      </c>
      <c r="J201" s="8" t="str">
        <f>IFERROR(VLOOKUP($G201,今日總結!$A:$AJ,35,0),"")</f>
        <v/>
      </c>
      <c r="K201" s="5" t="str">
        <f>IFERROR(VLOOKUP($G201,今日總結!$A:$AJ,36,0),"")</f>
        <v/>
      </c>
      <c r="L201" s="156" t="str">
        <f>IFERROR(VLOOKUP($G201,今日總結!$A:$AJ,33,0),"")</f>
        <v/>
      </c>
      <c r="M201" s="340" t="str">
        <f>IFERROR(VLOOKUP($G201,今日總結!$A:$AJ,34,0),"")</f>
        <v/>
      </c>
      <c r="N201" s="240" t="str">
        <f t="shared" si="35"/>
        <v/>
      </c>
      <c r="P201" s="365">
        <f>IFERROR(VLOOKUP($G201,融外自投!$A:$J,7,0),"無")</f>
        <v>717</v>
      </c>
      <c r="Q201" s="79" t="str">
        <f>IFERROR(VLOOKUP($G201,融外自投!$A:$J,9,0),"無")</f>
        <v>無</v>
      </c>
      <c r="R201" s="346">
        <f>IFERROR(VLOOKUP($G201,融外自投!$A:$J,8,0),"無")</f>
        <v>1044</v>
      </c>
      <c r="S201" s="81" t="str">
        <f>IFERROR(VLOOKUP($G201,融外自投!$A:$J,10,0),"無")</f>
        <v>無</v>
      </c>
      <c r="T201" s="327">
        <f>IFERROR(VLOOKUP($G201,'321買'!$A:$E,5,0),"'沒有資料'")</f>
        <v>964</v>
      </c>
      <c r="U201" s="186">
        <f>IFERROR(VLOOKUP($G201,基本資料!$A:$J,9,0),"無")</f>
        <v>1.3</v>
      </c>
      <c r="V201" s="310">
        <f t="shared" si="36"/>
        <v>4.3261231281198007E-2</v>
      </c>
      <c r="W201" s="94">
        <f>IFERROR(VLOOKUP($G201,基本資料!$A:$J,10,0),"無")</f>
        <v>1.75</v>
      </c>
      <c r="X201" s="36">
        <f>RTD("money.excel",,"4564","Price")</f>
        <v>30.05</v>
      </c>
      <c r="Y201" s="66"/>
      <c r="Z201" s="15">
        <f t="shared" si="37"/>
        <v>30.05</v>
      </c>
      <c r="AA201" s="3" t="e">
        <f t="shared" si="38"/>
        <v>#DIV/0!</v>
      </c>
      <c r="AB201" s="344">
        <f>IFERROR(VLOOKUP($G201,基本資料!$A:$M,11,0),"無")</f>
        <v>-46.77</v>
      </c>
      <c r="AC201" s="397">
        <f>IFERROR(VLOOKUP($G201,基本資料!$A:$M,12,0),"無")</f>
        <v>10.25</v>
      </c>
      <c r="AD201" s="22" t="s">
        <v>3006</v>
      </c>
      <c r="AG201" s="33">
        <f t="shared" si="39"/>
        <v>0</v>
      </c>
      <c r="AH201" s="43" t="s">
        <v>3007</v>
      </c>
      <c r="AI201" s="63">
        <f t="shared" si="40"/>
        <v>6.5681444991789822E-4</v>
      </c>
      <c r="AJ201" s="284">
        <f>RTD("money.excel",,$G201,"PredictVolume")</f>
        <v>120</v>
      </c>
      <c r="AK201" s="399">
        <f>IFERROR(VLOOKUP($G201,基本資料!$A:$M,13,0),"無")</f>
        <v>14.94</v>
      </c>
    </row>
    <row r="202" spans="1:37">
      <c r="A202" s="347">
        <f>IFERROR(VLOOKUP($G202,基本資料!$A:$J,3,0),"無")</f>
        <v>7.17</v>
      </c>
      <c r="B202" s="79">
        <f>IFERROR(VLOOKUP($G202,基本資料!$A:$J,4,0),"無")</f>
        <v>66</v>
      </c>
      <c r="C202" s="79">
        <f>IFERROR(VLOOKUP($G202,基本資料!$A:$J,5,0),"無")</f>
        <v>54</v>
      </c>
      <c r="D202" s="79">
        <f>IFERROR(VLOOKUP($G202,基本資料!$A:$J,6,0),"無")</f>
        <v>-20</v>
      </c>
      <c r="E202" s="79">
        <f>IFERROR(VLOOKUP($G202,基本資料!$A:$J,7,0),"無")</f>
        <v>3</v>
      </c>
      <c r="F202" s="6">
        <f>IFERROR(VLOOKUP($G202,基本資料!$A:$J,8,0),"無")</f>
        <v>5.52</v>
      </c>
      <c r="G202" s="79">
        <v>4566</v>
      </c>
      <c r="H202" s="8" t="s">
        <v>295</v>
      </c>
      <c r="I202" s="22" t="s">
        <v>1083</v>
      </c>
      <c r="J202" s="8" t="str">
        <f>IFERROR(VLOOKUP($G202,今日總結!$A:$AJ,35,0),"")</f>
        <v/>
      </c>
      <c r="K202" s="5" t="str">
        <f>IFERROR(VLOOKUP($G202,今日總結!$A:$AJ,36,0),"")</f>
        <v/>
      </c>
      <c r="L202" s="156" t="str">
        <f>IFERROR(VLOOKUP($G202,今日總結!$A:$AJ,33,0),"")</f>
        <v/>
      </c>
      <c r="M202" s="340" t="str">
        <f>IFERROR(VLOOKUP($G202,今日總結!$A:$AJ,34,0),"")</f>
        <v/>
      </c>
      <c r="N202" s="240" t="str">
        <f t="shared" si="35"/>
        <v/>
      </c>
      <c r="P202" s="365">
        <f>IFERROR(VLOOKUP($G202,融外自投!$A:$J,7,0),"無")</f>
        <v>769</v>
      </c>
      <c r="Q202" s="79">
        <f>IFERROR(VLOOKUP($G202,融外自投!$A:$J,9,0),"無")</f>
        <v>635</v>
      </c>
      <c r="R202" s="346">
        <f>IFERROR(VLOOKUP($G202,融外自投!$A:$J,8,0),"無")</f>
        <v>1341</v>
      </c>
      <c r="S202" s="81" t="str">
        <f>IFERROR(VLOOKUP($G202,融外自投!$A:$J,10,0),"無")</f>
        <v>無</v>
      </c>
      <c r="T202" s="327">
        <f>IFERROR(VLOOKUP($G202,'321買'!$A:$E,5,0),"'沒有資料'")</f>
        <v>1281</v>
      </c>
      <c r="U202" s="186">
        <f>IFERROR(VLOOKUP($G202,基本資料!$A:$J,9,0),"無")</f>
        <v>1.18</v>
      </c>
      <c r="V202" s="310">
        <f t="shared" si="36"/>
        <v>2.8297362110311749E-2</v>
      </c>
      <c r="W202" s="94">
        <f>IFERROR(VLOOKUP($G202,基本資料!$A:$J,10,0),"無")</f>
        <v>2.35</v>
      </c>
      <c r="X202" s="36">
        <f>RTD("money.excel",,"4566","Price")</f>
        <v>41.7</v>
      </c>
      <c r="Y202" s="66"/>
      <c r="Z202" s="15">
        <f t="shared" si="37"/>
        <v>41.7</v>
      </c>
      <c r="AA202" s="3" t="e">
        <f t="shared" si="38"/>
        <v>#DIV/0!</v>
      </c>
      <c r="AB202" s="344">
        <f>IFERROR(VLOOKUP($G202,基本資料!$A:$M,11,0),"無")</f>
        <v>-23.36</v>
      </c>
      <c r="AC202" s="397">
        <f>IFERROR(VLOOKUP($G202,基本資料!$A:$M,12,0),"無")</f>
        <v>27.59</v>
      </c>
      <c r="AD202" s="22" t="s">
        <v>1083</v>
      </c>
      <c r="AG202" s="33">
        <f t="shared" si="39"/>
        <v>0</v>
      </c>
      <c r="AH202" s="43" t="s">
        <v>2744</v>
      </c>
      <c r="AI202" s="63">
        <f t="shared" si="40"/>
        <v>5.2998605299860526E-4</v>
      </c>
      <c r="AJ202" s="284">
        <f>RTD("money.excel",,$G202,"PredictVolume")</f>
        <v>38</v>
      </c>
      <c r="AK202" s="399">
        <f>IFERROR(VLOOKUP($G202,基本資料!$A:$M,13,0),"無")</f>
        <v>3</v>
      </c>
    </row>
    <row r="203" spans="1:37">
      <c r="A203" s="347">
        <f>IFERROR(VLOOKUP($G203,基本資料!$A:$J,3,0),"無")</f>
        <v>3.01</v>
      </c>
      <c r="B203" s="79">
        <f>IFERROR(VLOOKUP($G203,基本資料!$A:$J,4,0),"無")</f>
        <v>1</v>
      </c>
      <c r="C203" s="79">
        <f>IFERROR(VLOOKUP($G203,基本資料!$A:$J,5,0),"無")</f>
        <v>-13</v>
      </c>
      <c r="D203" s="79">
        <f>IFERROR(VLOOKUP($G203,基本資料!$A:$J,6,0),"無")</f>
        <v>23</v>
      </c>
      <c r="E203" s="79">
        <f>IFERROR(VLOOKUP($G203,基本資料!$A:$J,7,0),"無")</f>
        <v>23</v>
      </c>
      <c r="F203" s="6">
        <f>IFERROR(VLOOKUP($G203,基本資料!$A:$J,8,0),"無")</f>
        <v>12.71</v>
      </c>
      <c r="G203" s="79">
        <v>4568</v>
      </c>
      <c r="H203" s="8" t="s">
        <v>295</v>
      </c>
      <c r="I203" s="16" t="s">
        <v>1080</v>
      </c>
      <c r="J203" s="8" t="str">
        <f>IFERROR(VLOOKUP($G203,今日總結!$A:$AJ,35,0),"")</f>
        <v/>
      </c>
      <c r="K203" s="5" t="str">
        <f>IFERROR(VLOOKUP($G203,今日總結!$A:$AJ,36,0),"")</f>
        <v/>
      </c>
      <c r="L203" s="156" t="str">
        <f>IFERROR(VLOOKUP($G203,今日總結!$A:$AJ,33,0),"")</f>
        <v/>
      </c>
      <c r="M203" s="340" t="str">
        <f>IFERROR(VLOOKUP($G203,今日總結!$A:$AJ,34,0),"")</f>
        <v/>
      </c>
      <c r="N203" s="240" t="str">
        <f t="shared" si="35"/>
        <v/>
      </c>
      <c r="P203" s="365">
        <f>IFERROR(VLOOKUP($G203,融外自投!$A:$J,7,0),"無")</f>
        <v>976</v>
      </c>
      <c r="Q203" s="79" t="str">
        <f>IFERROR(VLOOKUP($G203,融外自投!$A:$J,9,0),"無")</f>
        <v>無</v>
      </c>
      <c r="R203" s="346">
        <f>IFERROR(VLOOKUP($G203,融外自投!$A:$J,8,0),"無")</f>
        <v>661</v>
      </c>
      <c r="S203" s="81" t="str">
        <f>IFERROR(VLOOKUP($G203,融外自投!$A:$J,10,0),"無")</f>
        <v>無</v>
      </c>
      <c r="T203" s="327">
        <f>IFERROR(VLOOKUP($G203,'321買'!$A:$E,5,0),"'沒有資料'")</f>
        <v>1367</v>
      </c>
      <c r="U203" s="186">
        <f>IFERROR(VLOOKUP($G203,基本資料!$A:$J,9,0),"無")</f>
        <v>4.5</v>
      </c>
      <c r="V203" s="310">
        <f t="shared" si="36"/>
        <v>6.9984447900466568E-2</v>
      </c>
      <c r="W203" s="94">
        <f>IFERROR(VLOOKUP($G203,基本資料!$A:$J,10,0),"無")</f>
        <v>5.03</v>
      </c>
      <c r="X203" s="36">
        <f>RTD("money.excel",,"4568","Price")</f>
        <v>64.3</v>
      </c>
      <c r="Y203" s="66"/>
      <c r="Z203" s="15">
        <f t="shared" si="37"/>
        <v>64.3</v>
      </c>
      <c r="AA203" s="3" t="e">
        <f t="shared" si="38"/>
        <v>#DIV/0!</v>
      </c>
      <c r="AB203" s="344">
        <f>IFERROR(VLOOKUP($G203,基本資料!$A:$M,11,0),"無")</f>
        <v>-15.49</v>
      </c>
      <c r="AC203" s="397">
        <f>IFERROR(VLOOKUP($G203,基本資料!$A:$M,12,0),"無")</f>
        <v>20.62</v>
      </c>
      <c r="AD203" s="16" t="s">
        <v>1080</v>
      </c>
      <c r="AG203" s="33">
        <f t="shared" si="39"/>
        <v>0</v>
      </c>
      <c r="AH203" s="43" t="s">
        <v>1980</v>
      </c>
      <c r="AI203" s="63">
        <f t="shared" si="40"/>
        <v>4.9833887043189374E-4</v>
      </c>
      <c r="AJ203" s="284">
        <f>RTD("money.excel",,$G203,"PredictVolume")</f>
        <v>15</v>
      </c>
      <c r="AK203" s="399">
        <f>IFERROR(VLOOKUP($G203,基本資料!$A:$M,13,0),"無")</f>
        <v>0.73</v>
      </c>
    </row>
    <row r="204" spans="1:37">
      <c r="A204" s="347">
        <f>IFERROR(VLOOKUP($G204,基本資料!$A:$J,3,0),"無")</f>
        <v>5.33</v>
      </c>
      <c r="B204" s="79">
        <f>IFERROR(VLOOKUP($G204,基本資料!$A:$J,4,0),"無")</f>
        <v>37</v>
      </c>
      <c r="C204" s="79">
        <f>IFERROR(VLOOKUP($G204,基本資料!$A:$J,5,0),"無")</f>
        <v>25</v>
      </c>
      <c r="D204" s="79">
        <f>IFERROR(VLOOKUP($G204,基本資料!$A:$J,6,0),"無")</f>
        <v>-37</v>
      </c>
      <c r="E204" s="79">
        <f>IFERROR(VLOOKUP($G204,基本資料!$A:$J,7,0),"無")</f>
        <v>-27</v>
      </c>
      <c r="F204" s="6">
        <f>IFERROR(VLOOKUP($G204,基本資料!$A:$J,8,0),"無")</f>
        <v>15.86</v>
      </c>
      <c r="G204" s="79">
        <v>4571</v>
      </c>
      <c r="H204" s="8" t="s">
        <v>295</v>
      </c>
      <c r="I204" s="22" t="s">
        <v>1691</v>
      </c>
      <c r="J204" s="8" t="str">
        <f>IFERROR(VLOOKUP($G204,今日總結!$A:$AJ,35,0),"")</f>
        <v/>
      </c>
      <c r="K204" s="5" t="str">
        <f>IFERROR(VLOOKUP($G204,今日總結!$A:$AJ,36,0),"")</f>
        <v/>
      </c>
      <c r="L204" s="156" t="str">
        <f>IFERROR(VLOOKUP($G204,今日總結!$A:$AJ,33,0),"")</f>
        <v/>
      </c>
      <c r="M204" s="340" t="str">
        <f>IFERROR(VLOOKUP($G204,今日總結!$A:$AJ,34,0),"")</f>
        <v/>
      </c>
      <c r="N204" s="240" t="str">
        <f t="shared" si="35"/>
        <v/>
      </c>
      <c r="P204" s="365">
        <f>IFERROR(VLOOKUP($G204,融外自投!$A:$J,7,0),"無")</f>
        <v>825</v>
      </c>
      <c r="Q204" s="79" t="str">
        <f>IFERROR(VLOOKUP($G204,融外自投!$A:$J,9,0),"無")</f>
        <v>無</v>
      </c>
      <c r="R204" s="346">
        <f>IFERROR(VLOOKUP($G204,融外自投!$A:$J,8,0),"無")</f>
        <v>33</v>
      </c>
      <c r="S204" s="81" t="str">
        <f>IFERROR(VLOOKUP($G204,融外自投!$A:$J,10,0),"無")</f>
        <v>無</v>
      </c>
      <c r="T204" s="327">
        <f>IFERROR(VLOOKUP($G204,'321買'!$A:$E,5,0),"'沒有資料'")</f>
        <v>1038</v>
      </c>
      <c r="U204" s="186">
        <f>IFERROR(VLOOKUP($G204,基本資料!$A:$J,9,0),"無")</f>
        <v>4.5</v>
      </c>
      <c r="V204" s="310">
        <f t="shared" si="36"/>
        <v>5.3003533568904589E-2</v>
      </c>
      <c r="W204" s="94">
        <f>IFERROR(VLOOKUP($G204,基本資料!$A:$J,10,0),"無")</f>
        <v>8.18</v>
      </c>
      <c r="X204" s="36">
        <f>RTD("money.excel",,"4571","Price")</f>
        <v>84.9</v>
      </c>
      <c r="Y204" s="66"/>
      <c r="Z204" s="15">
        <f t="shared" si="37"/>
        <v>84.9</v>
      </c>
      <c r="AA204" s="3" t="e">
        <f t="shared" si="38"/>
        <v>#DIV/0!</v>
      </c>
      <c r="AB204" s="344">
        <f>IFERROR(VLOOKUP($G204,基本資料!$A:$M,11,0),"無")</f>
        <v>-40.28</v>
      </c>
      <c r="AC204" s="397">
        <f>IFERROR(VLOOKUP($G204,基本資料!$A:$M,12,0),"無")</f>
        <v>6.04</v>
      </c>
      <c r="AD204" s="22" t="s">
        <v>1691</v>
      </c>
      <c r="AG204" s="33">
        <f t="shared" si="39"/>
        <v>0</v>
      </c>
      <c r="AH204" s="43" t="s">
        <v>1987</v>
      </c>
      <c r="AI204" s="63">
        <f t="shared" si="40"/>
        <v>3.9399624765478424E-4</v>
      </c>
      <c r="AJ204" s="284">
        <f>RTD("money.excel",,$G204,"PredictVolume")</f>
        <v>21</v>
      </c>
      <c r="AK204" s="399">
        <f>IFERROR(VLOOKUP($G204,基本資料!$A:$M,13,0),"無")</f>
        <v>1.24</v>
      </c>
    </row>
    <row r="205" spans="1:37">
      <c r="A205" s="347">
        <f>IFERROR(VLOOKUP($G205,基本資料!$A:$J,3,0),"無")</f>
        <v>3.58</v>
      </c>
      <c r="B205" s="79">
        <f>IFERROR(VLOOKUP($G205,基本資料!$A:$J,4,0),"無")</f>
        <v>63</v>
      </c>
      <c r="C205" s="79">
        <f>IFERROR(VLOOKUP($G205,基本資料!$A:$J,5,0),"無")</f>
        <v>27</v>
      </c>
      <c r="D205" s="79">
        <f>IFERROR(VLOOKUP($G205,基本資料!$A:$J,6,0),"無")</f>
        <v>51</v>
      </c>
      <c r="E205" s="79">
        <f>IFERROR(VLOOKUP($G205,基本資料!$A:$J,7,0),"無")</f>
        <v>59</v>
      </c>
      <c r="F205" s="6">
        <f>IFERROR(VLOOKUP($G205,基本資料!$A:$J,8,0),"無")</f>
        <v>14.98</v>
      </c>
      <c r="G205" s="79">
        <v>4572</v>
      </c>
      <c r="H205" s="8" t="s">
        <v>295</v>
      </c>
      <c r="I205" s="22" t="s">
        <v>1692</v>
      </c>
      <c r="J205" s="8" t="str">
        <f>IFERROR(VLOOKUP($G205,今日總結!$A:$AJ,35,0),"")</f>
        <v/>
      </c>
      <c r="K205" s="5" t="str">
        <f>IFERROR(VLOOKUP($G205,今日總結!$A:$AJ,36,0),"")</f>
        <v/>
      </c>
      <c r="L205" s="156" t="str">
        <f>IFERROR(VLOOKUP($G205,今日總結!$A:$AJ,33,0),"")</f>
        <v/>
      </c>
      <c r="M205" s="340" t="str">
        <f>IFERROR(VLOOKUP($G205,今日總結!$A:$AJ,34,0),"")</f>
        <v/>
      </c>
      <c r="N205" s="240" t="str">
        <f t="shared" si="35"/>
        <v/>
      </c>
      <c r="P205" s="365">
        <f>IFERROR(VLOOKUP($G205,融外自投!$A:$J,7,0),"無")</f>
        <v>1017</v>
      </c>
      <c r="Q205" s="79">
        <f>IFERROR(VLOOKUP($G205,融外自投!$A:$J,9,0),"無")</f>
        <v>852</v>
      </c>
      <c r="R205" s="346">
        <f>IFERROR(VLOOKUP($G205,融外自投!$A:$J,8,0),"無")</f>
        <v>1260</v>
      </c>
      <c r="S205" s="81" t="str">
        <f>IFERROR(VLOOKUP($G205,融外自投!$A:$J,10,0),"無")</f>
        <v>無</v>
      </c>
      <c r="T205" s="327">
        <f>IFERROR(VLOOKUP($G205,'321買'!$A:$E,5,0),"'沒有資料'")</f>
        <v>1239</v>
      </c>
      <c r="U205" s="186">
        <f>IFERROR(VLOOKUP($G205,基本資料!$A:$J,9,0),"無")</f>
        <v>5</v>
      </c>
      <c r="V205" s="310">
        <f t="shared" si="36"/>
        <v>4.6948356807511735E-2</v>
      </c>
      <c r="W205" s="94">
        <f>IFERROR(VLOOKUP($G205,基本資料!$A:$J,10,0),"無")</f>
        <v>1.5</v>
      </c>
      <c r="X205" s="36">
        <f>RTD("money.excel",,"4572","Price")</f>
        <v>106.5</v>
      </c>
      <c r="Y205" s="66"/>
      <c r="Z205" s="15">
        <f t="shared" si="37"/>
        <v>106.5</v>
      </c>
      <c r="AA205" s="3" t="e">
        <f t="shared" si="38"/>
        <v>#DIV/0!</v>
      </c>
      <c r="AB205" s="344">
        <f>IFERROR(VLOOKUP($G205,基本資料!$A:$M,11,0),"無")</f>
        <v>-15.6</v>
      </c>
      <c r="AC205" s="397">
        <f>IFERROR(VLOOKUP($G205,基本資料!$A:$M,12,0),"無")</f>
        <v>51.93</v>
      </c>
      <c r="AD205" s="22" t="s">
        <v>1692</v>
      </c>
      <c r="AG205" s="33">
        <f t="shared" si="39"/>
        <v>0</v>
      </c>
      <c r="AH205" s="43" t="s">
        <v>2749</v>
      </c>
      <c r="AI205" s="63">
        <f t="shared" si="40"/>
        <v>2.9608938547486035E-3</v>
      </c>
      <c r="AJ205" s="284">
        <f>RTD("money.excel",,$G205,"PredictVolume")</f>
        <v>106</v>
      </c>
      <c r="AK205" s="399">
        <f>IFERROR(VLOOKUP($G205,基本資料!$A:$M,13,0),"無")</f>
        <v>4.91</v>
      </c>
    </row>
    <row r="206" spans="1:37">
      <c r="A206" s="347">
        <f>IFERROR(VLOOKUP($G206,基本資料!$A:$J,3,0),"無")</f>
        <v>11.98</v>
      </c>
      <c r="B206" s="79">
        <f>IFERROR(VLOOKUP($G206,基本資料!$A:$J,4,0),"無")</f>
        <v>112</v>
      </c>
      <c r="C206" s="79">
        <f>IFERROR(VLOOKUP($G206,基本資料!$A:$J,5,0),"無")</f>
        <v>110</v>
      </c>
      <c r="D206" s="79">
        <f>IFERROR(VLOOKUP($G206,基本資料!$A:$J,6,0),"無")</f>
        <v>-14</v>
      </c>
      <c r="E206" s="79">
        <f>IFERROR(VLOOKUP($G206,基本資料!$A:$J,7,0),"無")</f>
        <v>10</v>
      </c>
      <c r="F206" s="6">
        <f>IFERROR(VLOOKUP($G206,基本資料!$A:$J,8,0),"無")</f>
        <v>12.43</v>
      </c>
      <c r="G206" s="79">
        <v>4576</v>
      </c>
      <c r="H206" s="8" t="s">
        <v>295</v>
      </c>
      <c r="I206" s="22" t="s">
        <v>1809</v>
      </c>
      <c r="J206" s="8" t="str">
        <f>IFERROR(VLOOKUP($G206,今日總結!$A:$AJ,35,0),"")</f>
        <v/>
      </c>
      <c r="K206" s="5" t="str">
        <f>IFERROR(VLOOKUP($G206,今日總結!$A:$AJ,36,0),"")</f>
        <v/>
      </c>
      <c r="L206" s="156" t="str">
        <f>IFERROR(VLOOKUP($G206,今日總結!$A:$AJ,33,0),"")</f>
        <v/>
      </c>
      <c r="M206" s="340" t="str">
        <f>IFERROR(VLOOKUP($G206,今日總結!$A:$AJ,34,0),"")</f>
        <v/>
      </c>
      <c r="N206" s="240" t="str">
        <f t="shared" si="35"/>
        <v/>
      </c>
      <c r="P206" s="365">
        <f>IFERROR(VLOOKUP($G206,融外自投!$A:$J,7,0),"無")</f>
        <v>726</v>
      </c>
      <c r="Q206" s="79" t="str">
        <f>IFERROR(VLOOKUP($G206,融外自投!$A:$J,9,0),"無")</f>
        <v>無</v>
      </c>
      <c r="R206" s="346">
        <f>IFERROR(VLOOKUP($G206,融外自投!$A:$J,8,0),"無")</f>
        <v>1232</v>
      </c>
      <c r="S206" s="81">
        <f>IFERROR(VLOOKUP($G206,融外自投!$A:$J,10,0),"無")</f>
        <v>416</v>
      </c>
      <c r="T206" s="327">
        <f>IFERROR(VLOOKUP($G206,'321買'!$A:$E,5,0),"'沒有資料'")</f>
        <v>984</v>
      </c>
      <c r="U206" s="186">
        <f>IFERROR(VLOOKUP($G206,基本資料!$A:$J,9,0),"無")</f>
        <v>1</v>
      </c>
      <c r="V206" s="310">
        <f t="shared" si="36"/>
        <v>1.0373443983402489E-2</v>
      </c>
      <c r="W206" s="94">
        <f>IFERROR(VLOOKUP($G206,基本資料!$A:$J,10,0),"無")</f>
        <v>2.48</v>
      </c>
      <c r="X206" s="36">
        <f>RTD("money.excel",,"4576","Price")</f>
        <v>96.4</v>
      </c>
      <c r="Y206" s="66"/>
      <c r="Z206" s="15">
        <f t="shared" si="37"/>
        <v>96.4</v>
      </c>
      <c r="AA206" s="3" t="e">
        <f t="shared" si="38"/>
        <v>#DIV/0!</v>
      </c>
      <c r="AB206" s="344">
        <f>IFERROR(VLOOKUP($G206,基本資料!$A:$M,11,0),"無")</f>
        <v>-28.64</v>
      </c>
      <c r="AC206" s="397">
        <f>IFERROR(VLOOKUP($G206,基本資料!$A:$M,12,0),"無")</f>
        <v>25.13</v>
      </c>
      <c r="AD206" s="22" t="s">
        <v>1809</v>
      </c>
      <c r="AG206" s="33">
        <f t="shared" si="39"/>
        <v>0</v>
      </c>
      <c r="AH206" s="43" t="s">
        <v>2336</v>
      </c>
      <c r="AI206" s="63">
        <f t="shared" si="40"/>
        <v>3.4223706176961602E-4</v>
      </c>
      <c r="AJ206" s="284">
        <f>RTD("money.excel",,$G206,"PredictVolume")</f>
        <v>41</v>
      </c>
      <c r="AK206" s="399">
        <f>IFERROR(VLOOKUP($G206,基本資料!$A:$M,13,0),"無")</f>
        <v>1.91</v>
      </c>
    </row>
    <row r="207" spans="1:37">
      <c r="A207" s="347">
        <f>IFERROR(VLOOKUP($G207,基本資料!$A:$J,3,0),"無")</f>
        <v>4.3099999999999996</v>
      </c>
      <c r="B207" s="79">
        <f>IFERROR(VLOOKUP($G207,基本資料!$A:$J,4,0),"無")</f>
        <v>6</v>
      </c>
      <c r="C207" s="79">
        <f>IFERROR(VLOOKUP($G207,基本資料!$A:$J,5,0),"無")</f>
        <v>2</v>
      </c>
      <c r="D207" s="79">
        <f>IFERROR(VLOOKUP($G207,基本資料!$A:$J,6,0),"無")</f>
        <v>5</v>
      </c>
      <c r="E207" s="79">
        <f>IFERROR(VLOOKUP($G207,基本資料!$A:$J,7,0),"無")</f>
        <v>13</v>
      </c>
      <c r="F207" s="6">
        <f>IFERROR(VLOOKUP($G207,基本資料!$A:$J,8,0),"無")</f>
        <v>18.38</v>
      </c>
      <c r="G207" s="79">
        <v>4580</v>
      </c>
      <c r="H207" s="8" t="s">
        <v>295</v>
      </c>
      <c r="I207" s="16" t="s">
        <v>1780</v>
      </c>
      <c r="J207" s="8" t="str">
        <f>IFERROR(VLOOKUP($G207,今日總結!$A:$AJ,35,0),"")</f>
        <v/>
      </c>
      <c r="K207" s="5" t="str">
        <f>IFERROR(VLOOKUP($G207,今日總結!$A:$AJ,36,0),"")</f>
        <v/>
      </c>
      <c r="L207" s="156" t="str">
        <f>IFERROR(VLOOKUP($G207,今日總結!$A:$AJ,33,0),"")</f>
        <v/>
      </c>
      <c r="M207" s="340" t="str">
        <f>IFERROR(VLOOKUP($G207,今日總結!$A:$AJ,34,0),"")</f>
        <v/>
      </c>
      <c r="N207" s="240" t="str">
        <f t="shared" si="35"/>
        <v/>
      </c>
      <c r="P207" s="365">
        <f>IFERROR(VLOOKUP($G207,融外自投!$A:$J,7,0),"無")</f>
        <v>1138</v>
      </c>
      <c r="Q207" s="79">
        <f>IFERROR(VLOOKUP($G207,融外自投!$A:$J,9,0),"無")</f>
        <v>1110</v>
      </c>
      <c r="R207" s="346">
        <f>IFERROR(VLOOKUP($G207,融外自投!$A:$J,8,0),"無")</f>
        <v>1322</v>
      </c>
      <c r="S207" s="81" t="str">
        <f>IFERROR(VLOOKUP($G207,融外自投!$A:$J,10,0),"無")</f>
        <v>無</v>
      </c>
      <c r="T207" s="327">
        <f>IFERROR(VLOOKUP($G207,'321買'!$A:$E,5,0),"'沒有資料'")</f>
        <v>1085</v>
      </c>
      <c r="U207" s="186">
        <f>IFERROR(VLOOKUP($G207,基本資料!$A:$J,9,0),"無")</f>
        <v>5.75</v>
      </c>
      <c r="V207" s="310">
        <f t="shared" si="36"/>
        <v>6.5192743764172334E-2</v>
      </c>
      <c r="W207" s="94">
        <f>IFERROR(VLOOKUP($G207,基本資料!$A:$J,10,0),"無")</f>
        <v>8.0399999999999991</v>
      </c>
      <c r="X207" s="36">
        <f>RTD("money.excel",,"4580","Price")</f>
        <v>88.2</v>
      </c>
      <c r="Y207" s="66"/>
      <c r="Z207" s="15">
        <f t="shared" si="37"/>
        <v>88.2</v>
      </c>
      <c r="AA207" s="3" t="e">
        <f t="shared" si="38"/>
        <v>#DIV/0!</v>
      </c>
      <c r="AB207" s="344">
        <f>IFERROR(VLOOKUP($G207,基本資料!$A:$M,11,0),"無")</f>
        <v>-14.31</v>
      </c>
      <c r="AC207" s="397">
        <f>IFERROR(VLOOKUP($G207,基本資料!$A:$M,12,0),"無")</f>
        <v>12.11</v>
      </c>
      <c r="AD207" s="16" t="s">
        <v>1780</v>
      </c>
      <c r="AG207" s="33">
        <f t="shared" si="39"/>
        <v>0</v>
      </c>
      <c r="AH207" s="119" t="s">
        <v>1781</v>
      </c>
      <c r="AI207" s="63">
        <f t="shared" si="40"/>
        <v>2.7842227378190262E-3</v>
      </c>
      <c r="AJ207" s="284">
        <f>RTD("money.excel",,$G207,"PredictVolume")</f>
        <v>120</v>
      </c>
      <c r="AK207" s="399">
        <f>IFERROR(VLOOKUP($G207,基本資料!$A:$M,13,0),"無")</f>
        <v>2.14</v>
      </c>
    </row>
    <row r="208" spans="1:37">
      <c r="A208" s="347" t="str">
        <f>IFERROR(VLOOKUP($G208,基本資料!$A:$J,3,0),"無")</f>
        <v>無</v>
      </c>
      <c r="B208" s="79" t="str">
        <f>IFERROR(VLOOKUP($G208,基本資料!$A:$J,4,0),"無")</f>
        <v>無</v>
      </c>
      <c r="C208" s="79" t="str">
        <f>IFERROR(VLOOKUP($G208,基本資料!$A:$J,5,0),"無")</f>
        <v>無</v>
      </c>
      <c r="D208" s="79" t="str">
        <f>IFERROR(VLOOKUP($G208,基本資料!$A:$J,6,0),"無")</f>
        <v>無</v>
      </c>
      <c r="E208" s="79" t="str">
        <f>IFERROR(VLOOKUP($G208,基本資料!$A:$J,7,0),"無")</f>
        <v>無</v>
      </c>
      <c r="F208" s="6" t="str">
        <f>IFERROR(VLOOKUP($G208,基本資料!$A:$J,8,0),"無")</f>
        <v>無</v>
      </c>
      <c r="G208" s="79">
        <v>4583</v>
      </c>
      <c r="H208" s="8" t="s">
        <v>295</v>
      </c>
      <c r="I208" s="22" t="s">
        <v>6271</v>
      </c>
      <c r="L208" s="156">
        <v>0</v>
      </c>
      <c r="M208" s="340">
        <v>0</v>
      </c>
      <c r="N208" s="240">
        <f t="shared" ref="N208" si="41">L208-M208</f>
        <v>0</v>
      </c>
      <c r="P208" s="365" t="str">
        <f>IFERROR(VLOOKUP($G208,融外自投!$A:$J,7,0),"無")</f>
        <v>無</v>
      </c>
      <c r="Q208" s="79" t="str">
        <f>IFERROR(VLOOKUP($G208,融外自投!$A:$J,9,0),"無")</f>
        <v>無</v>
      </c>
      <c r="R208" s="346" t="str">
        <f>IFERROR(VLOOKUP($G208,融外自投!$A:$J,8,0),"無")</f>
        <v>無</v>
      </c>
      <c r="S208" s="81" t="str">
        <f>IFERROR(VLOOKUP($G208,融外自投!$A:$J,10,0),"無")</f>
        <v>無</v>
      </c>
      <c r="T208" s="327" t="str">
        <f>IFERROR(VLOOKUP($G208,'321買'!$A:$E,5,0),"'沒有資料'")</f>
        <v>'沒有資料'</v>
      </c>
      <c r="U208" s="186" t="str">
        <f>IFERROR(VLOOKUP($G208,基本資料!$A:$J,9,0),"無")</f>
        <v>無</v>
      </c>
      <c r="V208" s="310" t="e">
        <f t="shared" si="36"/>
        <v>#VALUE!</v>
      </c>
      <c r="W208" s="94" t="str">
        <f>IFERROR(VLOOKUP($G208,基本資料!$A:$J,10,0),"無")</f>
        <v>無</v>
      </c>
      <c r="X208" s="36">
        <f>RTD("money.excel",,"4583","Price")</f>
        <v>208</v>
      </c>
      <c r="Y208" s="66"/>
      <c r="Z208" s="15">
        <f t="shared" ref="Z208:Z209" si="42">X208-Y208</f>
        <v>208</v>
      </c>
      <c r="AA208" s="3" t="e">
        <f t="shared" ref="AA208:AA209" si="43">Z208/Y208</f>
        <v>#DIV/0!</v>
      </c>
      <c r="AB208" s="344" t="str">
        <f>IFERROR(VLOOKUP($G208,基本資料!$A:$M,11,0),"無")</f>
        <v>無</v>
      </c>
      <c r="AC208" s="397" t="str">
        <f>IFERROR(VLOOKUP($G208,基本資料!$A:$M,12,0),"無")</f>
        <v>無</v>
      </c>
      <c r="AD208" s="22" t="s">
        <v>6271</v>
      </c>
      <c r="AG208" s="33">
        <f t="shared" ref="AG208:AG209" si="44">AF208-AE208</f>
        <v>0</v>
      </c>
      <c r="AH208" s="43" t="s">
        <v>6274</v>
      </c>
      <c r="AI208" s="63" t="e">
        <f t="shared" ref="AI208:AI222" si="45">AJ208/(A208*10000)</f>
        <v>#VALUE!</v>
      </c>
      <c r="AJ208" s="284">
        <f>RTD("money.excel",,$G208,"PredictVolume")</f>
        <v>258</v>
      </c>
      <c r="AK208" s="399" t="str">
        <f>IFERROR(VLOOKUP($G208,基本資料!$A:$M,13,0),"無")</f>
        <v>無</v>
      </c>
    </row>
    <row r="209" spans="1:37">
      <c r="A209" s="347">
        <f>IFERROR(VLOOKUP($G209,基本資料!$A:$J,3,0),"無")</f>
        <v>6.58</v>
      </c>
      <c r="B209" s="79">
        <f>IFERROR(VLOOKUP($G209,基本資料!$A:$J,4,0),"無")</f>
        <v>12</v>
      </c>
      <c r="C209" s="79">
        <f>IFERROR(VLOOKUP($G209,基本資料!$A:$J,5,0),"無")</f>
        <v>11</v>
      </c>
      <c r="D209" s="79">
        <f>IFERROR(VLOOKUP($G209,基本資料!$A:$J,6,0),"無")</f>
        <v>3</v>
      </c>
      <c r="E209" s="79">
        <f>IFERROR(VLOOKUP($G209,基本資料!$A:$J,7,0),"無")</f>
        <v>42</v>
      </c>
      <c r="F209" s="6">
        <f>IFERROR(VLOOKUP($G209,基本資料!$A:$J,8,0),"無")</f>
        <v>11.93</v>
      </c>
      <c r="G209" s="79">
        <v>5288</v>
      </c>
      <c r="H209" s="8" t="s">
        <v>295</v>
      </c>
      <c r="I209" s="22" t="s">
        <v>584</v>
      </c>
      <c r="J209" s="8" t="str">
        <f>IFERROR(VLOOKUP($G209,今日總結!$A:$AJ,35,0),"")</f>
        <v/>
      </c>
      <c r="K209" s="5" t="str">
        <f>IFERROR(VLOOKUP($G209,今日總結!$A:$AJ,36,0),"")</f>
        <v/>
      </c>
      <c r="L209" s="156" t="str">
        <f>IFERROR(VLOOKUP($G209,今日總結!$A:$AJ,33,0),"")</f>
        <v/>
      </c>
      <c r="M209" s="340" t="str">
        <f>IFERROR(VLOOKUP($G209,今日總結!$A:$AJ,34,0),"")</f>
        <v/>
      </c>
      <c r="N209" s="240" t="str">
        <f t="shared" ref="N209:N210" si="46">IFERROR(L209-M209,"")</f>
        <v/>
      </c>
      <c r="P209" s="365">
        <f>IFERROR(VLOOKUP($G209,融外自投!$A:$J,7,0),"無")</f>
        <v>595</v>
      </c>
      <c r="Q209" s="79">
        <f>IFERROR(VLOOKUP($G209,融外自投!$A:$J,9,0),"無")</f>
        <v>514</v>
      </c>
      <c r="R209" s="346">
        <f>IFERROR(VLOOKUP($G209,融外自投!$A:$J,8,0),"無")</f>
        <v>36</v>
      </c>
      <c r="S209" s="81">
        <f>IFERROR(VLOOKUP($G209,融外自投!$A:$J,10,0),"無")</f>
        <v>332</v>
      </c>
      <c r="T209" s="327">
        <f>IFERROR(VLOOKUP($G209,'321買'!$A:$E,5,0),"'沒有資料'")</f>
        <v>445</v>
      </c>
      <c r="U209" s="186">
        <f>IFERROR(VLOOKUP($G209,基本資料!$A:$J,9,0),"無")</f>
        <v>4.5</v>
      </c>
      <c r="V209" s="310">
        <f t="shared" si="36"/>
        <v>3.0201342281879196E-2</v>
      </c>
      <c r="W209" s="94">
        <f>IFERROR(VLOOKUP($G209,基本資料!$A:$J,10,0),"無")</f>
        <v>9.5299999999999994</v>
      </c>
      <c r="X209" s="36">
        <f>RTD("money.excel",,"5288","Price")</f>
        <v>149</v>
      </c>
      <c r="Y209" s="66"/>
      <c r="Z209" s="15">
        <f t="shared" si="42"/>
        <v>149</v>
      </c>
      <c r="AA209" s="3" t="e">
        <f t="shared" si="43"/>
        <v>#DIV/0!</v>
      </c>
      <c r="AB209" s="344">
        <f>IFERROR(VLOOKUP($G209,基本資料!$A:$M,11,0),"無")</f>
        <v>-16.95</v>
      </c>
      <c r="AC209" s="397">
        <f>IFERROR(VLOOKUP($G209,基本資料!$A:$M,12,0),"無")</f>
        <v>41.57</v>
      </c>
      <c r="AD209" s="22" t="s">
        <v>584</v>
      </c>
      <c r="AG209" s="33">
        <f t="shared" si="44"/>
        <v>0</v>
      </c>
      <c r="AH209" s="43" t="s">
        <v>2750</v>
      </c>
      <c r="AI209" s="63">
        <f t="shared" si="45"/>
        <v>1.1398176291793312E-3</v>
      </c>
      <c r="AJ209" s="284">
        <f>RTD("money.excel",,$G209,"PredictVolume")</f>
        <v>75</v>
      </c>
      <c r="AK209" s="399">
        <f>IFERROR(VLOOKUP($G209,基本資料!$A:$M,13,0),"無")</f>
        <v>1.1299999999999999</v>
      </c>
    </row>
    <row r="210" spans="1:37">
      <c r="A210" s="347">
        <f>IFERROR(VLOOKUP($G210,基本資料!$A:$J,3,0),"無")</f>
        <v>7.07</v>
      </c>
      <c r="B210" s="79">
        <f>IFERROR(VLOOKUP($G210,基本資料!$A:$J,4,0),"無")</f>
        <v>247</v>
      </c>
      <c r="C210" s="79">
        <f>IFERROR(VLOOKUP($G210,基本資料!$A:$J,5,0),"無")</f>
        <v>96</v>
      </c>
      <c r="D210" s="79">
        <f>IFERROR(VLOOKUP($G210,基本資料!$A:$J,6,0),"無")</f>
        <v>-10</v>
      </c>
      <c r="E210" s="79">
        <f>IFERROR(VLOOKUP($G210,基本資料!$A:$J,7,0),"無")</f>
        <v>33</v>
      </c>
      <c r="F210" s="6">
        <f>IFERROR(VLOOKUP($G210,基本資料!$A:$J,8,0),"無")</f>
        <v>3.48</v>
      </c>
      <c r="G210" s="79">
        <v>6122</v>
      </c>
      <c r="H210" s="8" t="s">
        <v>295</v>
      </c>
      <c r="I210" s="16" t="s">
        <v>548</v>
      </c>
      <c r="J210" s="8">
        <f>IFERROR(VLOOKUP($G210,今日總結!$A:$AJ,35,0),"")</f>
        <v>0</v>
      </c>
      <c r="K210" s="5" t="str">
        <f>IFERROR(VLOOKUP($G210,今日總結!$A:$AJ,36,0),"")</f>
        <v>融</v>
      </c>
      <c r="L210" s="156">
        <f>IFERROR(VLOOKUP($G210,今日總結!$A:$AJ,33,0),"")</f>
        <v>0</v>
      </c>
      <c r="M210" s="340">
        <f>IFERROR(VLOOKUP($G210,今日總結!$A:$AJ,34,0),"")</f>
        <v>1</v>
      </c>
      <c r="N210" s="240">
        <f t="shared" si="46"/>
        <v>-1</v>
      </c>
      <c r="P210" s="365">
        <f>IFERROR(VLOOKUP($G210,融外自投!$A:$J,7,0),"無")</f>
        <v>185</v>
      </c>
      <c r="Q210" s="79">
        <f>IFERROR(VLOOKUP($G210,融外自投!$A:$J,9,0),"無")</f>
        <v>1051</v>
      </c>
      <c r="R210" s="346">
        <f>IFERROR(VLOOKUP($G210,融外自投!$A:$J,8,0),"無")</f>
        <v>940</v>
      </c>
      <c r="S210" s="81" t="str">
        <f>IFERROR(VLOOKUP($G210,融外自投!$A:$J,10,0),"無")</f>
        <v>無</v>
      </c>
      <c r="T210" s="327">
        <f>IFERROR(VLOOKUP($G210,'321買'!$A:$E,5,0),"'沒有資料'")</f>
        <v>1161</v>
      </c>
      <c r="U210" s="186">
        <f>IFERROR(VLOOKUP($G210,基本資料!$A:$J,9,0),"無")</f>
        <v>0.6</v>
      </c>
      <c r="V210" s="310">
        <f t="shared" si="36"/>
        <v>3.64741641337386E-2</v>
      </c>
      <c r="W210" s="94">
        <f>IFERROR(VLOOKUP($G210,基本資料!$A:$J,10,0),"無")</f>
        <v>0.79</v>
      </c>
      <c r="X210" s="36">
        <f>RTD("money.excel",,"6122","Price")</f>
        <v>16.45</v>
      </c>
      <c r="Y210" s="66"/>
      <c r="Z210" s="15">
        <f t="shared" si="37"/>
        <v>16.45</v>
      </c>
      <c r="AA210" s="3" t="e">
        <f t="shared" si="38"/>
        <v>#DIV/0!</v>
      </c>
      <c r="AB210" s="344">
        <f>IFERROR(VLOOKUP($G210,基本資料!$A:$M,11,0),"無")</f>
        <v>-23.35</v>
      </c>
      <c r="AC210" s="397">
        <f>IFERROR(VLOOKUP($G210,基本資料!$A:$M,12,0),"無")</f>
        <v>53.02</v>
      </c>
      <c r="AD210" s="16" t="s">
        <v>548</v>
      </c>
      <c r="AG210" s="33">
        <f t="shared" si="39"/>
        <v>0</v>
      </c>
      <c r="AH210" s="43" t="s">
        <v>2494</v>
      </c>
      <c r="AI210" s="63">
        <f t="shared" si="45"/>
        <v>3.0537482319660539E-2</v>
      </c>
      <c r="AJ210" s="284">
        <f>RTD("money.excel",,$G210,"PredictVolume")</f>
        <v>2159</v>
      </c>
      <c r="AK210" s="399">
        <f>IFERROR(VLOOKUP($G210,基本資料!$A:$M,13,0),"無")</f>
        <v>54.63</v>
      </c>
    </row>
    <row r="211" spans="1:37">
      <c r="A211" s="347">
        <f>IFERROR(VLOOKUP($G211,基本資料!$A:$J,3,0),"無")</f>
        <v>4.3600000000000003</v>
      </c>
      <c r="B211" s="79">
        <f>IFERROR(VLOOKUP($G211,基本資料!$A:$J,4,0),"無")</f>
        <v>-160</v>
      </c>
      <c r="C211" s="79">
        <f>IFERROR(VLOOKUP($G211,基本資料!$A:$J,5,0),"無")</f>
        <v>-177</v>
      </c>
      <c r="D211" s="79">
        <f>IFERROR(VLOOKUP($G211,基本資料!$A:$J,6,0),"無")</f>
        <v>-55</v>
      </c>
      <c r="E211" s="79">
        <f>IFERROR(VLOOKUP($G211,基本資料!$A:$J,7,0),"無")</f>
        <v>-12</v>
      </c>
      <c r="F211" s="6">
        <f>IFERROR(VLOOKUP($G211,基本資料!$A:$J,8,0),"無")</f>
        <v>-6.07</v>
      </c>
      <c r="G211" s="79">
        <v>6425</v>
      </c>
      <c r="H211" s="8" t="s">
        <v>295</v>
      </c>
      <c r="I211" s="16" t="s">
        <v>2979</v>
      </c>
      <c r="J211" s="8" t="str">
        <f>IFERROR(VLOOKUP($G211,今日總結!$A:$AJ,35,0),"")</f>
        <v/>
      </c>
      <c r="K211" s="5" t="str">
        <f>IFERROR(VLOOKUP($G211,今日總結!$A:$AJ,36,0),"")</f>
        <v/>
      </c>
      <c r="L211" s="156" t="str">
        <f>IFERROR(VLOOKUP($G211,今日總結!$A:$AJ,33,0),"")</f>
        <v/>
      </c>
      <c r="M211" s="340" t="str">
        <f>IFERROR(VLOOKUP($G211,今日總結!$A:$AJ,34,0),"")</f>
        <v/>
      </c>
      <c r="N211" s="240" t="str">
        <f t="shared" ref="N211:N222" si="47">IFERROR(L211-M211,"")</f>
        <v/>
      </c>
      <c r="P211" s="365">
        <f>IFERROR(VLOOKUP($G211,融外自投!$A:$J,7,0),"無")</f>
        <v>549</v>
      </c>
      <c r="Q211" s="79" t="str">
        <f>IFERROR(VLOOKUP($G211,融外自投!$A:$J,9,0),"無")</f>
        <v>無</v>
      </c>
      <c r="R211" s="346">
        <f>IFERROR(VLOOKUP($G211,融外自投!$A:$J,8,0),"無")</f>
        <v>1430</v>
      </c>
      <c r="S211" s="81" t="str">
        <f>IFERROR(VLOOKUP($G211,融外自投!$A:$J,10,0),"無")</f>
        <v>無</v>
      </c>
      <c r="T211" s="327">
        <f>IFERROR(VLOOKUP($G211,'321買'!$A:$E,5,0),"'沒有資料'")</f>
        <v>1161</v>
      </c>
      <c r="U211" s="186">
        <f>IFERROR(VLOOKUP($G211,基本資料!$A:$J,9,0),"無")</f>
        <v>0.5</v>
      </c>
      <c r="V211" s="310">
        <f t="shared" si="36"/>
        <v>2.0833333333333332E-2</v>
      </c>
      <c r="W211" s="94">
        <f>IFERROR(VLOOKUP($G211,基本資料!$A:$J,10,0),"無")</f>
        <v>-2.52</v>
      </c>
      <c r="X211" s="36">
        <f>RTD("money.excel",,"6425","Price")</f>
        <v>24</v>
      </c>
      <c r="Y211" s="66"/>
      <c r="Z211" s="15">
        <f t="shared" si="37"/>
        <v>24</v>
      </c>
      <c r="AA211" s="3" t="e">
        <f t="shared" si="38"/>
        <v>#DIV/0!</v>
      </c>
      <c r="AB211" s="344">
        <f>IFERROR(VLOOKUP($G211,基本資料!$A:$M,11,0),"無")</f>
        <v>-30.18</v>
      </c>
      <c r="AC211" s="397">
        <f>IFERROR(VLOOKUP($G211,基本資料!$A:$M,12,0),"無")</f>
        <v>35.72</v>
      </c>
      <c r="AD211" s="16" t="s">
        <v>2979</v>
      </c>
      <c r="AG211" s="33">
        <f t="shared" si="39"/>
        <v>0</v>
      </c>
      <c r="AH211" s="43" t="s">
        <v>3258</v>
      </c>
      <c r="AI211" s="63">
        <f t="shared" si="45"/>
        <v>2.0412844036697248E-3</v>
      </c>
      <c r="AJ211" s="284">
        <f>RTD("money.excel",,$G211,"PredictVolume")</f>
        <v>89</v>
      </c>
      <c r="AK211" s="399">
        <f>IFERROR(VLOOKUP($G211,基本資料!$A:$M,13,0),"無")</f>
        <v>5.5</v>
      </c>
    </row>
    <row r="212" spans="1:37">
      <c r="A212" s="347">
        <f>IFERROR(VLOOKUP($G212,基本資料!$A:$J,3,0),"無")</f>
        <v>14.94</v>
      </c>
      <c r="B212" s="79">
        <f>IFERROR(VLOOKUP($G212,基本資料!$A:$J,4,0),"無")</f>
        <v>1453</v>
      </c>
      <c r="C212" s="79">
        <f>IFERROR(VLOOKUP($G212,基本資料!$A:$J,5,0),"無")</f>
        <v>1087</v>
      </c>
      <c r="D212" s="79">
        <f>IFERROR(VLOOKUP($G212,基本資料!$A:$J,6,0),"無")</f>
        <v>4</v>
      </c>
      <c r="E212" s="79">
        <f>IFERROR(VLOOKUP($G212,基本資料!$A:$J,7,0),"無")</f>
        <v>22</v>
      </c>
      <c r="F212" s="6">
        <f>IFERROR(VLOOKUP($G212,基本資料!$A:$J,8,0),"無")</f>
        <v>4.72</v>
      </c>
      <c r="G212" s="79">
        <v>6603</v>
      </c>
      <c r="H212" s="8" t="s">
        <v>295</v>
      </c>
      <c r="I212" s="16" t="s">
        <v>549</v>
      </c>
      <c r="J212" s="8" t="str">
        <f>IFERROR(VLOOKUP($G212,今日總結!$A:$AJ,35,0),"")</f>
        <v>融</v>
      </c>
      <c r="K212" s="5">
        <f>IFERROR(VLOOKUP($G212,今日總結!$A:$AJ,36,0),"")</f>
        <v>0</v>
      </c>
      <c r="L212" s="156">
        <f>IFERROR(VLOOKUP($G212,今日總結!$A:$AJ,33,0),"")</f>
        <v>1</v>
      </c>
      <c r="M212" s="340">
        <f>IFERROR(VLOOKUP($G212,今日總結!$A:$AJ,34,0),"")</f>
        <v>0</v>
      </c>
      <c r="N212" s="240">
        <f t="shared" si="47"/>
        <v>1</v>
      </c>
      <c r="P212" s="365">
        <f>IFERROR(VLOOKUP($G212,融外自投!$A:$J,7,0),"無")</f>
        <v>247</v>
      </c>
      <c r="Q212" s="79">
        <f>IFERROR(VLOOKUP($G212,融外自投!$A:$J,9,0),"無")</f>
        <v>614</v>
      </c>
      <c r="R212" s="346">
        <f>IFERROR(VLOOKUP($G212,融外自投!$A:$J,8,0),"無")</f>
        <v>1180</v>
      </c>
      <c r="S212" s="81" t="str">
        <f>IFERROR(VLOOKUP($G212,融外自投!$A:$J,10,0),"無")</f>
        <v>無</v>
      </c>
      <c r="T212" s="327">
        <f>IFERROR(VLOOKUP($G212,'321買'!$A:$E,5,0),"'沒有資料'")</f>
        <v>558</v>
      </c>
      <c r="U212" s="186">
        <f>IFERROR(VLOOKUP($G212,基本資料!$A:$J,9,0),"無")</f>
        <v>0.5</v>
      </c>
      <c r="V212" s="310">
        <f t="shared" si="36"/>
        <v>2.8571428571428571E-2</v>
      </c>
      <c r="W212" s="94">
        <f>IFERROR(VLOOKUP($G212,基本資料!$A:$J,10,0),"無")</f>
        <v>0.8</v>
      </c>
      <c r="X212" s="36">
        <f>RTD("money.excel",,"6603","Price")</f>
        <v>17.5</v>
      </c>
      <c r="Y212" s="66"/>
      <c r="Z212" s="15">
        <f t="shared" si="37"/>
        <v>17.5</v>
      </c>
      <c r="AA212" s="3" t="e">
        <f t="shared" si="38"/>
        <v>#DIV/0!</v>
      </c>
      <c r="AB212" s="344">
        <f>IFERROR(VLOOKUP($G212,基本資料!$A:$M,11,0),"無")</f>
        <v>-16.510000000000002</v>
      </c>
      <c r="AC212" s="397">
        <f>IFERROR(VLOOKUP($G212,基本資料!$A:$M,12,0),"無")</f>
        <v>53.31</v>
      </c>
      <c r="AD212" s="16" t="s">
        <v>549</v>
      </c>
      <c r="AG212" s="33">
        <f t="shared" si="39"/>
        <v>0</v>
      </c>
      <c r="AH212" s="43" t="s">
        <v>2493</v>
      </c>
      <c r="AI212" s="63">
        <f t="shared" si="45"/>
        <v>2.9250334672021421E-3</v>
      </c>
      <c r="AJ212" s="284">
        <f>RTD("money.excel",,$G212,"PredictVolume")</f>
        <v>437</v>
      </c>
      <c r="AK212" s="399">
        <f>IFERROR(VLOOKUP($G212,基本資料!$A:$M,13,0),"無")</f>
        <v>14.4</v>
      </c>
    </row>
    <row r="213" spans="1:37">
      <c r="A213" s="347">
        <f>IFERROR(VLOOKUP($G213,基本資料!$A:$J,3,0),"無")</f>
        <v>7.24</v>
      </c>
      <c r="B213" s="79">
        <f>IFERROR(VLOOKUP($G213,基本資料!$A:$J,4,0),"無")</f>
        <v>845</v>
      </c>
      <c r="C213" s="79">
        <f>IFERROR(VLOOKUP($G213,基本資料!$A:$J,5,0),"無")</f>
        <v>119</v>
      </c>
      <c r="D213" s="79">
        <f>IFERROR(VLOOKUP($G213,基本資料!$A:$J,6,0),"無")</f>
        <v>27</v>
      </c>
      <c r="E213" s="79">
        <f>IFERROR(VLOOKUP($G213,基本資料!$A:$J,7,0),"無")</f>
        <v>60</v>
      </c>
      <c r="F213" s="6">
        <f>IFERROR(VLOOKUP($G213,基本資料!$A:$J,8,0),"無")</f>
        <v>6.52</v>
      </c>
      <c r="G213" s="79">
        <v>6609</v>
      </c>
      <c r="H213" s="8" t="s">
        <v>295</v>
      </c>
      <c r="I213" s="16" t="s">
        <v>550</v>
      </c>
      <c r="J213" s="8" t="str">
        <f>IFERROR(VLOOKUP($G213,今日總結!$A:$AJ,35,0),"")</f>
        <v>融</v>
      </c>
      <c r="K213" s="5">
        <f>IFERROR(VLOOKUP($G213,今日總結!$A:$AJ,36,0),"")</f>
        <v>0</v>
      </c>
      <c r="L213" s="156">
        <f>IFERROR(VLOOKUP($G213,今日總結!$A:$AJ,33,0),"")</f>
        <v>1</v>
      </c>
      <c r="M213" s="340">
        <f>IFERROR(VLOOKUP($G213,今日總結!$A:$AJ,34,0),"")</f>
        <v>0</v>
      </c>
      <c r="N213" s="240">
        <f t="shared" si="47"/>
        <v>1</v>
      </c>
      <c r="P213" s="365">
        <f>IFERROR(VLOOKUP($G213,融外自投!$A:$J,7,0),"無")</f>
        <v>735</v>
      </c>
      <c r="Q213" s="79">
        <f>IFERROR(VLOOKUP($G213,融外自投!$A:$J,9,0),"無")</f>
        <v>379</v>
      </c>
      <c r="R213" s="346">
        <f>IFERROR(VLOOKUP($G213,融外自投!$A:$J,8,0),"無")</f>
        <v>62</v>
      </c>
      <c r="S213" s="81" t="str">
        <f>IFERROR(VLOOKUP($G213,融外自投!$A:$J,10,0),"無")</f>
        <v>無</v>
      </c>
      <c r="T213" s="327">
        <f>IFERROR(VLOOKUP($G213,'321買'!$A:$E,5,0),"'沒有資料'")</f>
        <v>634</v>
      </c>
      <c r="U213" s="186">
        <f>IFERROR(VLOOKUP($G213,基本資料!$A:$J,9,0),"無")</f>
        <v>1.5</v>
      </c>
      <c r="V213" s="310">
        <f t="shared" si="36"/>
        <v>4.2857142857142858E-2</v>
      </c>
      <c r="W213" s="94">
        <f>IFERROR(VLOOKUP($G213,基本資料!$A:$J,10,0),"無")</f>
        <v>2.5099999999999998</v>
      </c>
      <c r="X213" s="36">
        <f>RTD("money.excel",,"6609","Price")</f>
        <v>35</v>
      </c>
      <c r="Y213" s="66"/>
      <c r="Z213" s="15">
        <f t="shared" si="37"/>
        <v>35</v>
      </c>
      <c r="AA213" s="3" t="e">
        <f t="shared" si="38"/>
        <v>#DIV/0!</v>
      </c>
      <c r="AB213" s="344">
        <f>IFERROR(VLOOKUP($G213,基本資料!$A:$M,11,0),"無")</f>
        <v>-13.62</v>
      </c>
      <c r="AC213" s="397">
        <f>IFERROR(VLOOKUP($G213,基本資料!$A:$M,12,0),"無")</f>
        <v>70.319999999999993</v>
      </c>
      <c r="AD213" s="16" t="s">
        <v>550</v>
      </c>
      <c r="AG213" s="33">
        <f t="shared" si="39"/>
        <v>0</v>
      </c>
      <c r="AH213" s="43" t="s">
        <v>2923</v>
      </c>
      <c r="AI213" s="63">
        <f t="shared" si="45"/>
        <v>1.8881215469613261E-2</v>
      </c>
      <c r="AJ213" s="284">
        <f>RTD("money.excel",,$G213,"PredictVolume")</f>
        <v>1367</v>
      </c>
      <c r="AK213" s="399">
        <f>IFERROR(VLOOKUP($G213,基本資料!$A:$M,13,0),"無")</f>
        <v>1.4</v>
      </c>
    </row>
    <row r="214" spans="1:37">
      <c r="A214" s="347" t="str">
        <f>IFERROR(VLOOKUP($G214,基本資料!$A:$J,3,0),"無")</f>
        <v>無</v>
      </c>
      <c r="B214" s="79" t="str">
        <f>IFERROR(VLOOKUP($G214,基本資料!$A:$J,4,0),"無")</f>
        <v>無</v>
      </c>
      <c r="C214" s="79" t="str">
        <f>IFERROR(VLOOKUP($G214,基本資料!$A:$J,5,0),"無")</f>
        <v>無</v>
      </c>
      <c r="D214" s="79" t="str">
        <f>IFERROR(VLOOKUP($G214,基本資料!$A:$J,6,0),"無")</f>
        <v>無</v>
      </c>
      <c r="E214" s="79" t="str">
        <f>IFERROR(VLOOKUP($G214,基本資料!$A:$J,7,0),"無")</f>
        <v>無</v>
      </c>
      <c r="F214" s="6" t="str">
        <f>IFERROR(VLOOKUP($G214,基本資料!$A:$J,8,0),"無")</f>
        <v>無</v>
      </c>
      <c r="G214" s="79">
        <v>6829</v>
      </c>
      <c r="H214" s="8" t="s">
        <v>295</v>
      </c>
      <c r="I214" s="16" t="s">
        <v>4761</v>
      </c>
      <c r="J214" s="8" t="str">
        <f>IFERROR(VLOOKUP($G214,今日總結!$A:$AJ,35,0),"")</f>
        <v/>
      </c>
      <c r="K214" s="5" t="str">
        <f>IFERROR(VLOOKUP($G214,今日總結!$A:$AJ,36,0),"")</f>
        <v/>
      </c>
      <c r="L214" s="156" t="str">
        <f>IFERROR(VLOOKUP($G214,今日總結!$A:$AJ,33,0),"")</f>
        <v/>
      </c>
      <c r="M214" s="340" t="str">
        <f>IFERROR(VLOOKUP($G214,今日總結!$A:$AJ,34,0),"")</f>
        <v/>
      </c>
      <c r="N214" s="240" t="str">
        <f t="shared" si="47"/>
        <v/>
      </c>
      <c r="P214" s="365" t="str">
        <f>IFERROR(VLOOKUP($G214,融外自投!$A:$J,7,0),"無")</f>
        <v>無</v>
      </c>
      <c r="Q214" s="79" t="str">
        <f>IFERROR(VLOOKUP($G214,融外自投!$A:$J,9,0),"無")</f>
        <v>無</v>
      </c>
      <c r="R214" s="346" t="str">
        <f>IFERROR(VLOOKUP($G214,融外自投!$A:$J,8,0),"無")</f>
        <v>無</v>
      </c>
      <c r="S214" s="81" t="str">
        <f>IFERROR(VLOOKUP($G214,融外自投!$A:$J,10,0),"無")</f>
        <v>無</v>
      </c>
      <c r="T214" s="327" t="str">
        <f>IFERROR(VLOOKUP($G214,'321買'!$A:$E,5,0),"'沒有資料'")</f>
        <v>'沒有資料'</v>
      </c>
      <c r="U214" s="186" t="str">
        <f>IFERROR(VLOOKUP($G214,基本資料!$A:$J,9,0),"無")</f>
        <v>無</v>
      </c>
      <c r="V214" s="310" t="e">
        <f t="shared" si="36"/>
        <v>#VALUE!</v>
      </c>
      <c r="W214" s="94" t="str">
        <f>IFERROR(VLOOKUP($G214,基本資料!$A:$J,10,0),"無")</f>
        <v>無</v>
      </c>
      <c r="X214" s="36">
        <f>RTD("money.excel",,"6829","Price")</f>
        <v>75</v>
      </c>
      <c r="Y214" s="66"/>
      <c r="Z214" s="15">
        <f>X214-Y214</f>
        <v>75</v>
      </c>
      <c r="AA214" s="3" t="e">
        <f>Z214/Y214</f>
        <v>#DIV/0!</v>
      </c>
      <c r="AB214" s="344" t="str">
        <f>IFERROR(VLOOKUP($G214,基本資料!$A:$M,11,0),"無")</f>
        <v>無</v>
      </c>
      <c r="AC214" s="397" t="str">
        <f>IFERROR(VLOOKUP($G214,基本資料!$A:$M,12,0),"無")</f>
        <v>無</v>
      </c>
      <c r="AD214" s="16" t="s">
        <v>4761</v>
      </c>
      <c r="AG214" s="33">
        <f>AF214-AE214</f>
        <v>0</v>
      </c>
      <c r="AH214" s="123" t="s">
        <v>4768</v>
      </c>
      <c r="AI214" s="63" t="e">
        <f t="shared" si="45"/>
        <v>#VALUE!</v>
      </c>
      <c r="AJ214" s="284">
        <f>RTD("money.excel",,$G214,"PredictVolume")</f>
        <v>150</v>
      </c>
      <c r="AK214" s="399" t="str">
        <f>IFERROR(VLOOKUP($G214,基本資料!$A:$M,13,0),"無")</f>
        <v>無</v>
      </c>
    </row>
    <row r="215" spans="1:37">
      <c r="A215" s="347">
        <f>IFERROR(VLOOKUP($G215,基本資料!$A:$J,3,0),"無")</f>
        <v>10.01</v>
      </c>
      <c r="B215" s="79">
        <f>IFERROR(VLOOKUP($G215,基本資料!$A:$J,4,0),"無")</f>
        <v>58</v>
      </c>
      <c r="C215" s="79">
        <f>IFERROR(VLOOKUP($G215,基本資料!$A:$J,5,0),"無")</f>
        <v>46</v>
      </c>
      <c r="D215" s="79">
        <f>IFERROR(VLOOKUP($G215,基本資料!$A:$J,6,0),"無")</f>
        <v>1</v>
      </c>
      <c r="E215" s="79">
        <f>IFERROR(VLOOKUP($G215,基本資料!$A:$J,7,0),"無")</f>
        <v>205</v>
      </c>
      <c r="F215" s="6">
        <f>IFERROR(VLOOKUP($G215,基本資料!$A:$J,8,0),"無")</f>
        <v>12.27</v>
      </c>
      <c r="G215" s="79">
        <v>8027</v>
      </c>
      <c r="H215" s="8" t="s">
        <v>295</v>
      </c>
      <c r="I215" s="16" t="s">
        <v>551</v>
      </c>
      <c r="J215" s="8" t="str">
        <f>IFERROR(VLOOKUP($G215,今日總結!$A:$AJ,35,0),"")</f>
        <v/>
      </c>
      <c r="K215" s="5" t="str">
        <f>IFERROR(VLOOKUP($G215,今日總結!$A:$AJ,36,0),"")</f>
        <v/>
      </c>
      <c r="L215" s="156" t="str">
        <f>IFERROR(VLOOKUP($G215,今日總結!$A:$AJ,33,0),"")</f>
        <v/>
      </c>
      <c r="M215" s="340" t="str">
        <f>IFERROR(VLOOKUP($G215,今日總結!$A:$AJ,34,0),"")</f>
        <v/>
      </c>
      <c r="N215" s="240" t="str">
        <f t="shared" si="47"/>
        <v/>
      </c>
      <c r="P215" s="365">
        <f>IFERROR(VLOOKUP($G215,融外自投!$A:$J,7,0),"無")</f>
        <v>22</v>
      </c>
      <c r="Q215" s="79">
        <f>IFERROR(VLOOKUP($G215,融外自投!$A:$J,9,0),"無")</f>
        <v>734</v>
      </c>
      <c r="R215" s="346">
        <f>IFERROR(VLOOKUP($G215,融外自投!$A:$J,8,0),"無")</f>
        <v>722</v>
      </c>
      <c r="S215" s="81">
        <f>IFERROR(VLOOKUP($G215,融外自投!$A:$J,10,0),"無")</f>
        <v>362</v>
      </c>
      <c r="T215" s="327">
        <f>IFERROR(VLOOKUP($G215,'321買'!$A:$E,5,0),"'沒有資料'")</f>
        <v>416</v>
      </c>
      <c r="U215" s="186">
        <f>IFERROR(VLOOKUP($G215,基本資料!$A:$J,9,0),"無")</f>
        <v>1.6</v>
      </c>
      <c r="V215" s="310">
        <f t="shared" si="36"/>
        <v>2.1739130434782612E-2</v>
      </c>
      <c r="W215" s="94">
        <f>IFERROR(VLOOKUP($G215,基本資料!$A:$J,10,0),"無")</f>
        <v>2.62</v>
      </c>
      <c r="X215" s="36">
        <f>RTD("money.excel",,"8027","Price")</f>
        <v>73.599999999999994</v>
      </c>
      <c r="Y215" s="66"/>
      <c r="Z215" s="15">
        <f t="shared" si="37"/>
        <v>73.599999999999994</v>
      </c>
      <c r="AA215" s="3" t="e">
        <f t="shared" si="38"/>
        <v>#DIV/0!</v>
      </c>
      <c r="AB215" s="344">
        <f>IFERROR(VLOOKUP($G215,基本資料!$A:$M,11,0),"無")</f>
        <v>-14.95</v>
      </c>
      <c r="AC215" s="397">
        <f>IFERROR(VLOOKUP($G215,基本資料!$A:$M,12,0),"無")</f>
        <v>55.14</v>
      </c>
      <c r="AD215" s="16" t="s">
        <v>551</v>
      </c>
      <c r="AG215" s="33">
        <f t="shared" si="39"/>
        <v>0</v>
      </c>
      <c r="AH215" s="43" t="s">
        <v>2892</v>
      </c>
      <c r="AI215" s="63">
        <f t="shared" si="45"/>
        <v>5.7942057942057942E-3</v>
      </c>
      <c r="AJ215" s="284">
        <f>RTD("money.excel",,$G215,"PredictVolume")</f>
        <v>580</v>
      </c>
      <c r="AK215" s="399">
        <f>IFERROR(VLOOKUP($G215,基本資料!$A:$M,13,0),"無")</f>
        <v>8.2899999999999991</v>
      </c>
    </row>
    <row r="216" spans="1:37">
      <c r="A216" s="347">
        <f>IFERROR(VLOOKUP($G216,基本資料!$A:$J,3,0),"無")</f>
        <v>3.51</v>
      </c>
      <c r="B216" s="79">
        <f>IFERROR(VLOOKUP($G216,基本資料!$A:$J,4,0),"無")</f>
        <v>-8</v>
      </c>
      <c r="C216" s="79">
        <f>IFERROR(VLOOKUP($G216,基本資料!$A:$J,5,0),"無")</f>
        <v>-8</v>
      </c>
      <c r="D216" s="79">
        <f>IFERROR(VLOOKUP($G216,基本資料!$A:$J,6,0),"無")</f>
        <v>-22</v>
      </c>
      <c r="E216" s="79">
        <f>IFERROR(VLOOKUP($G216,基本資料!$A:$J,7,0),"無")</f>
        <v>-30</v>
      </c>
      <c r="F216" s="6">
        <f>IFERROR(VLOOKUP($G216,基本資料!$A:$J,8,0),"無")</f>
        <v>20.63</v>
      </c>
      <c r="G216" s="79">
        <v>8083</v>
      </c>
      <c r="H216" s="145" t="s">
        <v>295</v>
      </c>
      <c r="I216" s="16" t="s">
        <v>161</v>
      </c>
      <c r="J216" s="8" t="str">
        <f>IFERROR(VLOOKUP($G216,今日總結!$A:$AJ,35,0),"")</f>
        <v/>
      </c>
      <c r="K216" s="5" t="str">
        <f>IFERROR(VLOOKUP($G216,今日總結!$A:$AJ,36,0),"")</f>
        <v/>
      </c>
      <c r="L216" s="156" t="str">
        <f>IFERROR(VLOOKUP($G216,今日總結!$A:$AJ,33,0),"")</f>
        <v/>
      </c>
      <c r="M216" s="340" t="str">
        <f>IFERROR(VLOOKUP($G216,今日總結!$A:$AJ,34,0),"")</f>
        <v/>
      </c>
      <c r="N216" s="240" t="str">
        <f t="shared" si="47"/>
        <v/>
      </c>
      <c r="P216" s="365">
        <f>IFERROR(VLOOKUP($G216,融外自投!$A:$J,7,0),"無")</f>
        <v>1332</v>
      </c>
      <c r="Q216" s="79">
        <f>IFERROR(VLOOKUP($G216,融外自投!$A:$J,9,0),"無")</f>
        <v>537</v>
      </c>
      <c r="R216" s="346">
        <f>IFERROR(VLOOKUP($G216,融外自投!$A:$J,8,0),"無")</f>
        <v>1248</v>
      </c>
      <c r="S216" s="81" t="str">
        <f>IFERROR(VLOOKUP($G216,融外自投!$A:$J,10,0),"無")</f>
        <v>無</v>
      </c>
      <c r="T216" s="327">
        <f>IFERROR(VLOOKUP($G216,'321買'!$A:$E,5,0),"'沒有資料'")</f>
        <v>1296</v>
      </c>
      <c r="U216" s="186">
        <f>IFERROR(VLOOKUP($G216,基本資料!$A:$J,9,0),"無")</f>
        <v>10.199999999999999</v>
      </c>
      <c r="V216" s="310">
        <f t="shared" si="36"/>
        <v>5.8620689655172413E-2</v>
      </c>
      <c r="W216" s="94">
        <f>IFERROR(VLOOKUP($G216,基本資料!$A:$J,10,0),"無")</f>
        <v>10.08</v>
      </c>
      <c r="X216" s="36">
        <f>RTD("money.excel",,"8083","Price")</f>
        <v>174</v>
      </c>
      <c r="Y216" s="66"/>
      <c r="Z216" s="15">
        <f t="shared" si="37"/>
        <v>174</v>
      </c>
      <c r="AA216" s="3" t="e">
        <f t="shared" si="38"/>
        <v>#DIV/0!</v>
      </c>
      <c r="AB216" s="344">
        <f>IFERROR(VLOOKUP($G216,基本資料!$A:$M,11,0),"無")</f>
        <v>-11.05</v>
      </c>
      <c r="AC216" s="397">
        <f>IFERROR(VLOOKUP($G216,基本資料!$A:$M,12,0),"無")</f>
        <v>37.340000000000003</v>
      </c>
      <c r="AD216" s="16" t="s">
        <v>161</v>
      </c>
      <c r="AG216" s="33">
        <f t="shared" si="39"/>
        <v>0</v>
      </c>
      <c r="AH216" s="117" t="s">
        <v>2492</v>
      </c>
      <c r="AI216" s="63">
        <f t="shared" si="45"/>
        <v>1.5384615384615385E-3</v>
      </c>
      <c r="AJ216" s="284">
        <f>RTD("money.excel",,$G216,"PredictVolume")</f>
        <v>54</v>
      </c>
      <c r="AK216" s="399">
        <f>IFERROR(VLOOKUP($G216,基本資料!$A:$M,13,0),"無")</f>
        <v>0.81</v>
      </c>
    </row>
    <row r="217" spans="1:37">
      <c r="A217" s="347">
        <f>IFERROR(VLOOKUP($G217,基本資料!$A:$J,3,0),"無")</f>
        <v>7.5</v>
      </c>
      <c r="B217" s="79">
        <f>IFERROR(VLOOKUP($G217,基本資料!$A:$J,4,0),"無")</f>
        <v>300</v>
      </c>
      <c r="C217" s="79">
        <f>IFERROR(VLOOKUP($G217,基本資料!$A:$J,5,0),"無")</f>
        <v>1</v>
      </c>
      <c r="D217" s="79">
        <f>IFERROR(VLOOKUP($G217,基本資料!$A:$J,6,0),"無")</f>
        <v>52</v>
      </c>
      <c r="E217" s="79">
        <f>IFERROR(VLOOKUP($G217,基本資料!$A:$J,7,0),"無")</f>
        <v>-27</v>
      </c>
      <c r="F217" s="6">
        <f>IFERROR(VLOOKUP($G217,基本資料!$A:$J,8,0),"無")</f>
        <v>-4.7300000000000004</v>
      </c>
      <c r="G217" s="79">
        <v>8107</v>
      </c>
      <c r="H217" s="8" t="s">
        <v>295</v>
      </c>
      <c r="I217" s="16" t="s">
        <v>3173</v>
      </c>
      <c r="J217" s="8" t="str">
        <f>IFERROR(VLOOKUP($G217,今日總結!$A:$AJ,35,0),"")</f>
        <v/>
      </c>
      <c r="K217" s="5" t="str">
        <f>IFERROR(VLOOKUP($G217,今日總結!$A:$AJ,36,0),"")</f>
        <v/>
      </c>
      <c r="L217" s="156" t="str">
        <f>IFERROR(VLOOKUP($G217,今日總結!$A:$AJ,33,0),"")</f>
        <v/>
      </c>
      <c r="M217" s="340" t="str">
        <f>IFERROR(VLOOKUP($G217,今日總結!$A:$AJ,34,0),"")</f>
        <v/>
      </c>
      <c r="N217" s="240" t="str">
        <f t="shared" si="47"/>
        <v/>
      </c>
      <c r="P217" s="365">
        <f>IFERROR(VLOOKUP($G217,融外自投!$A:$J,7,0),"無")</f>
        <v>491</v>
      </c>
      <c r="Q217" s="79">
        <f>IFERROR(VLOOKUP($G217,融外自投!$A:$J,9,0),"無")</f>
        <v>653</v>
      </c>
      <c r="R217" s="346">
        <f>IFERROR(VLOOKUP($G217,融外自投!$A:$J,8,0),"無")</f>
        <v>1026</v>
      </c>
      <c r="S217" s="81">
        <f>IFERROR(VLOOKUP($G217,融外自投!$A:$J,10,0),"無")</f>
        <v>458</v>
      </c>
      <c r="T217" s="327">
        <f>IFERROR(VLOOKUP($G217,'321買'!$A:$E,5,0),"'沒有資料'")</f>
        <v>1310</v>
      </c>
      <c r="U217" s="186">
        <f>IFERROR(VLOOKUP($G217,基本資料!$A:$J,9,0),"無")</f>
        <v>0.15</v>
      </c>
      <c r="V217" s="310">
        <f t="shared" si="36"/>
        <v>8.6956521739130436E-3</v>
      </c>
      <c r="W217" s="94">
        <f>IFERROR(VLOOKUP($G217,基本資料!$A:$J,10,0),"無")</f>
        <v>0.27</v>
      </c>
      <c r="X217" s="36">
        <f>RTD("money.excel",,"8107","Price")</f>
        <v>17.25</v>
      </c>
      <c r="Y217" s="66"/>
      <c r="Z217" s="15">
        <f t="shared" si="37"/>
        <v>17.25</v>
      </c>
      <c r="AA217" s="3" t="e">
        <f t="shared" si="38"/>
        <v>#DIV/0!</v>
      </c>
      <c r="AB217" s="344">
        <f>IFERROR(VLOOKUP($G217,基本資料!$A:$M,11,0),"無")</f>
        <v>-27.97</v>
      </c>
      <c r="AC217" s="397">
        <f>IFERROR(VLOOKUP($G217,基本資料!$A:$M,12,0),"無")</f>
        <v>7.57</v>
      </c>
      <c r="AD217" s="16" t="s">
        <v>3173</v>
      </c>
      <c r="AG217" s="33">
        <f t="shared" si="39"/>
        <v>0</v>
      </c>
      <c r="AH217" s="43" t="s">
        <v>2491</v>
      </c>
      <c r="AI217" s="63">
        <f t="shared" si="45"/>
        <v>4.5333333333333331E-4</v>
      </c>
      <c r="AJ217" s="284">
        <f>RTD("money.excel",,$G217,"PredictVolume")</f>
        <v>34</v>
      </c>
      <c r="AK217" s="399">
        <f>IFERROR(VLOOKUP($G217,基本資料!$A:$M,13,0),"無")</f>
        <v>7.31</v>
      </c>
    </row>
    <row r="218" spans="1:37">
      <c r="A218" s="347">
        <f>IFERROR(VLOOKUP($G218,基本資料!$A:$J,3,0),"無")</f>
        <v>6.85</v>
      </c>
      <c r="B218" s="79">
        <f>IFERROR(VLOOKUP($G218,基本資料!$A:$J,4,0),"無")</f>
        <v>-160</v>
      </c>
      <c r="C218" s="79">
        <f>IFERROR(VLOOKUP($G218,基本資料!$A:$J,5,0),"無")</f>
        <v>-88</v>
      </c>
      <c r="D218" s="79">
        <f>IFERROR(VLOOKUP($G218,基本資料!$A:$J,6,0),"無")</f>
        <v>26</v>
      </c>
      <c r="E218" s="79">
        <f>IFERROR(VLOOKUP($G218,基本資料!$A:$J,7,0),"無")</f>
        <v>20</v>
      </c>
      <c r="F218" s="6">
        <f>IFERROR(VLOOKUP($G218,基本資料!$A:$J,8,0),"無")</f>
        <v>-30.52</v>
      </c>
      <c r="G218" s="79">
        <v>8222</v>
      </c>
      <c r="H218" s="8" t="s">
        <v>295</v>
      </c>
      <c r="I218" s="22" t="s">
        <v>585</v>
      </c>
      <c r="J218" s="8">
        <f>IFERROR(VLOOKUP($G218,今日總結!$A:$AJ,35,0),"")</f>
        <v>0</v>
      </c>
      <c r="K218" s="5" t="str">
        <f>IFERROR(VLOOKUP($G218,今日總結!$A:$AJ,36,0),"")</f>
        <v>融</v>
      </c>
      <c r="L218" s="156">
        <f>IFERROR(VLOOKUP($G218,今日總結!$A:$AJ,33,0),"")</f>
        <v>0</v>
      </c>
      <c r="M218" s="340">
        <f>IFERROR(VLOOKUP($G218,今日總結!$A:$AJ,34,0),"")</f>
        <v>1</v>
      </c>
      <c r="N218" s="240">
        <f t="shared" si="47"/>
        <v>-1</v>
      </c>
      <c r="P218" s="365">
        <f>IFERROR(VLOOKUP($G218,融外自投!$A:$J,7,0),"無")</f>
        <v>649</v>
      </c>
      <c r="Q218" s="79">
        <f>IFERROR(VLOOKUP($G218,融外自投!$A:$J,9,0),"無")</f>
        <v>978</v>
      </c>
      <c r="R218" s="346">
        <f>IFERROR(VLOOKUP($G218,融外自投!$A:$J,8,0),"無")</f>
        <v>1273</v>
      </c>
      <c r="S218" s="81" t="str">
        <f>IFERROR(VLOOKUP($G218,融外自投!$A:$J,10,0),"無")</f>
        <v>無</v>
      </c>
      <c r="T218" s="327">
        <f>IFERROR(VLOOKUP($G218,'321買'!$A:$E,5,0),"'沒有資料'")</f>
        <v>1066</v>
      </c>
      <c r="U218" s="186">
        <f>IFERROR(VLOOKUP($G218,基本資料!$A:$J,9,0),"無")</f>
        <v>0</v>
      </c>
      <c r="V218" s="310">
        <f t="shared" si="36"/>
        <v>0</v>
      </c>
      <c r="W218" s="94">
        <f>IFERROR(VLOOKUP($G218,基本資料!$A:$J,10,0),"無")</f>
        <v>-1.5</v>
      </c>
      <c r="X218" s="36">
        <f>RTD("money.excel",,"8222","Price")</f>
        <v>14.4</v>
      </c>
      <c r="Y218" s="66"/>
      <c r="Z218" s="15">
        <f t="shared" si="37"/>
        <v>14.4</v>
      </c>
      <c r="AA218" s="3" t="e">
        <f t="shared" si="38"/>
        <v>#DIV/0!</v>
      </c>
      <c r="AB218" s="344">
        <f>IFERROR(VLOOKUP($G218,基本資料!$A:$M,11,0),"無")</f>
        <v>-17.54</v>
      </c>
      <c r="AC218" s="397">
        <f>IFERROR(VLOOKUP($G218,基本資料!$A:$M,12,0),"無")</f>
        <v>22.28</v>
      </c>
      <c r="AD218" s="22" t="s">
        <v>585</v>
      </c>
      <c r="AG218" s="33">
        <f t="shared" si="39"/>
        <v>0</v>
      </c>
      <c r="AH218" s="43" t="s">
        <v>2751</v>
      </c>
      <c r="AI218" s="63">
        <f t="shared" si="45"/>
        <v>8.6131386861313872E-4</v>
      </c>
      <c r="AJ218" s="284">
        <f>RTD("money.excel",,$G218,"PredictVolume")</f>
        <v>59</v>
      </c>
      <c r="AK218" s="399">
        <f>IFERROR(VLOOKUP($G218,基本資料!$A:$M,13,0),"無")</f>
        <v>5.16</v>
      </c>
    </row>
    <row r="219" spans="1:37">
      <c r="A219" s="347">
        <f>IFERROR(VLOOKUP($G219,基本資料!$A:$J,3,0),"無")</f>
        <v>9.14</v>
      </c>
      <c r="B219" s="79">
        <f>IFERROR(VLOOKUP($G219,基本資料!$A:$J,4,0),"無")</f>
        <v>164</v>
      </c>
      <c r="C219" s="79">
        <f>IFERROR(VLOOKUP($G219,基本資料!$A:$J,5,0),"無")</f>
        <v>92</v>
      </c>
      <c r="D219" s="79">
        <f>IFERROR(VLOOKUP($G219,基本資料!$A:$J,6,0),"無")</f>
        <v>-22</v>
      </c>
      <c r="E219" s="79">
        <f>IFERROR(VLOOKUP($G219,基本資料!$A:$J,7,0),"無")</f>
        <v>-7</v>
      </c>
      <c r="F219" s="6">
        <f>IFERROR(VLOOKUP($G219,基本資料!$A:$J,8,0),"無")</f>
        <v>11.14</v>
      </c>
      <c r="G219" s="79">
        <v>8255</v>
      </c>
      <c r="H219" s="8" t="s">
        <v>295</v>
      </c>
      <c r="I219" s="16" t="s">
        <v>3597</v>
      </c>
      <c r="J219" s="8">
        <f>IFERROR(VLOOKUP($G219,今日總結!$A:$AJ,35,0),"")</f>
        <v>0</v>
      </c>
      <c r="K219" s="5">
        <f>IFERROR(VLOOKUP($G219,今日總結!$A:$AJ,36,0),"")</f>
        <v>6</v>
      </c>
      <c r="L219" s="156">
        <f>IFERROR(VLOOKUP($G219,今日總結!$A:$AJ,33,0),"")</f>
        <v>0</v>
      </c>
      <c r="M219" s="340">
        <f>IFERROR(VLOOKUP($G219,今日總結!$A:$AJ,34,0),"")</f>
        <v>2</v>
      </c>
      <c r="N219" s="240">
        <f t="shared" si="47"/>
        <v>-2</v>
      </c>
      <c r="P219" s="365">
        <f>IFERROR(VLOOKUP($G219,融外自投!$A:$J,7,0),"無")</f>
        <v>346</v>
      </c>
      <c r="Q219" s="79">
        <f>IFERROR(VLOOKUP($G219,融外自投!$A:$J,9,0),"無")</f>
        <v>312</v>
      </c>
      <c r="R219" s="346">
        <f>IFERROR(VLOOKUP($G219,融外自投!$A:$J,8,0),"無")</f>
        <v>579</v>
      </c>
      <c r="S219" s="81">
        <f>IFERROR(VLOOKUP($G219,融外自投!$A:$J,10,0),"無")</f>
        <v>86</v>
      </c>
      <c r="T219" s="327">
        <f>IFERROR(VLOOKUP($G219,'321買'!$A:$E,5,0),"'沒有資料'")</f>
        <v>59</v>
      </c>
      <c r="U219" s="186">
        <f>IFERROR(VLOOKUP($G219,基本資料!$A:$J,9,0),"無")</f>
        <v>4</v>
      </c>
      <c r="V219" s="310">
        <f t="shared" si="36"/>
        <v>2.5559105431309903E-2</v>
      </c>
      <c r="W219" s="94">
        <f>IFERROR(VLOOKUP($G219,基本資料!$A:$J,10,0),"無")</f>
        <v>5.25</v>
      </c>
      <c r="X219" s="36">
        <f>RTD("money.excel",,"8255","Price")</f>
        <v>156.5</v>
      </c>
      <c r="Y219" s="66"/>
      <c r="Z219" s="15">
        <f t="shared" si="37"/>
        <v>156.5</v>
      </c>
      <c r="AA219" s="3" t="e">
        <f t="shared" si="38"/>
        <v>#DIV/0!</v>
      </c>
      <c r="AB219" s="344">
        <f>IFERROR(VLOOKUP($G219,基本資料!$A:$M,11,0),"無")</f>
        <v>-47.98</v>
      </c>
      <c r="AC219" s="397">
        <f>IFERROR(VLOOKUP($G219,基本資料!$A:$M,12,0),"無")</f>
        <v>12.56</v>
      </c>
      <c r="AD219" s="16" t="s">
        <v>3597</v>
      </c>
      <c r="AG219" s="33">
        <f t="shared" si="39"/>
        <v>0</v>
      </c>
      <c r="AH219" s="117" t="s">
        <v>2341</v>
      </c>
      <c r="AI219" s="63">
        <f t="shared" si="45"/>
        <v>8.6214442013129097E-3</v>
      </c>
      <c r="AJ219" s="284">
        <f>RTD("money.excel",,$G219,"PredictVolume")</f>
        <v>788</v>
      </c>
      <c r="AK219" s="399">
        <f>IFERROR(VLOOKUP($G219,基本資料!$A:$M,13,0),"無")</f>
        <v>24.06</v>
      </c>
    </row>
    <row r="220" spans="1:37">
      <c r="A220" s="347">
        <f>IFERROR(VLOOKUP($G220,基本資料!$A:$J,3,0),"無")</f>
        <v>11.22</v>
      </c>
      <c r="B220" s="79">
        <f>IFERROR(VLOOKUP($G220,基本資料!$A:$J,4,0),"無")</f>
        <v>69</v>
      </c>
      <c r="C220" s="79">
        <f>IFERROR(VLOOKUP($G220,基本資料!$A:$J,5,0),"無")</f>
        <v>51</v>
      </c>
      <c r="D220" s="79">
        <f>IFERROR(VLOOKUP($G220,基本資料!$A:$J,6,0),"無")</f>
        <v>-9</v>
      </c>
      <c r="E220" s="79">
        <f>IFERROR(VLOOKUP($G220,基本資料!$A:$J,7,0),"無")</f>
        <v>15</v>
      </c>
      <c r="F220" s="6">
        <f>IFERROR(VLOOKUP($G220,基本資料!$A:$J,8,0),"無")</f>
        <v>5.34</v>
      </c>
      <c r="G220" s="79">
        <v>8374</v>
      </c>
      <c r="H220" s="8" t="s">
        <v>295</v>
      </c>
      <c r="I220" s="22" t="s">
        <v>586</v>
      </c>
      <c r="J220" s="8" t="str">
        <f>IFERROR(VLOOKUP($G220,今日總結!$A:$AJ,35,0),"")</f>
        <v/>
      </c>
      <c r="K220" s="5" t="str">
        <f>IFERROR(VLOOKUP($G220,今日總結!$A:$AJ,36,0),"")</f>
        <v/>
      </c>
      <c r="L220" s="156" t="str">
        <f>IFERROR(VLOOKUP($G220,今日總結!$A:$AJ,33,0),"")</f>
        <v/>
      </c>
      <c r="M220" s="340" t="str">
        <f>IFERROR(VLOOKUP($G220,今日總結!$A:$AJ,34,0),"")</f>
        <v/>
      </c>
      <c r="N220" s="240" t="str">
        <f t="shared" si="47"/>
        <v/>
      </c>
      <c r="P220" s="365">
        <f>IFERROR(VLOOKUP($G220,融外自投!$A:$J,7,0),"無")</f>
        <v>966</v>
      </c>
      <c r="Q220" s="79">
        <f>IFERROR(VLOOKUP($G220,融外自投!$A:$J,9,0),"無")</f>
        <v>896</v>
      </c>
      <c r="R220" s="346">
        <f>IFERROR(VLOOKUP($G220,融外自投!$A:$J,8,0),"無")</f>
        <v>943</v>
      </c>
      <c r="S220" s="81" t="str">
        <f>IFERROR(VLOOKUP($G220,融外自投!$A:$J,10,0),"無")</f>
        <v>無</v>
      </c>
      <c r="T220" s="327">
        <f>IFERROR(VLOOKUP($G220,'321買'!$A:$E,5,0),"'沒有資料'")</f>
        <v>1239</v>
      </c>
      <c r="U220" s="186">
        <f>IFERROR(VLOOKUP($G220,基本資料!$A:$J,9,0),"無")</f>
        <v>0.9</v>
      </c>
      <c r="V220" s="310">
        <f t="shared" si="36"/>
        <v>3.1034482758620689E-2</v>
      </c>
      <c r="W220" s="94">
        <f>IFERROR(VLOOKUP($G220,基本資料!$A:$J,10,0),"無")</f>
        <v>1.32</v>
      </c>
      <c r="X220" s="36">
        <f>RTD("money.excel",,"8374","Price")</f>
        <v>29</v>
      </c>
      <c r="Y220" s="66"/>
      <c r="Z220" s="15">
        <f t="shared" si="37"/>
        <v>29</v>
      </c>
      <c r="AA220" s="3" t="e">
        <f t="shared" si="38"/>
        <v>#DIV/0!</v>
      </c>
      <c r="AB220" s="344">
        <f>IFERROR(VLOOKUP($G220,基本資料!$A:$M,11,0),"無")</f>
        <v>-31.54</v>
      </c>
      <c r="AC220" s="397">
        <f>IFERROR(VLOOKUP($G220,基本資料!$A:$M,12,0),"無")</f>
        <v>29.61</v>
      </c>
      <c r="AD220" s="22" t="s">
        <v>586</v>
      </c>
      <c r="AG220" s="33">
        <f t="shared" si="39"/>
        <v>0</v>
      </c>
      <c r="AH220" s="43" t="s">
        <v>2752</v>
      </c>
      <c r="AI220" s="63">
        <f t="shared" si="45"/>
        <v>2.7629233511586451E-4</v>
      </c>
      <c r="AJ220" s="284">
        <f>RTD("money.excel",,$G220,"PredictVolume")</f>
        <v>31</v>
      </c>
      <c r="AK220" s="399">
        <f>IFERROR(VLOOKUP($G220,基本資料!$A:$M,13,0),"無")</f>
        <v>4.0199999999999996</v>
      </c>
    </row>
    <row r="221" spans="1:37">
      <c r="A221" s="347">
        <f>IFERROR(VLOOKUP($G221,基本資料!$A:$J,3,0),"無")</f>
        <v>8.93</v>
      </c>
      <c r="B221" s="79">
        <f>IFERROR(VLOOKUP($G221,基本資料!$A:$J,4,0),"無")</f>
        <v>32</v>
      </c>
      <c r="C221" s="79">
        <f>IFERROR(VLOOKUP($G221,基本資料!$A:$J,5,0),"無")</f>
        <v>35</v>
      </c>
      <c r="D221" s="79">
        <f>IFERROR(VLOOKUP($G221,基本資料!$A:$J,6,0),"無")</f>
        <v>-17</v>
      </c>
      <c r="E221" s="79">
        <f>IFERROR(VLOOKUP($G221,基本資料!$A:$J,7,0),"無")</f>
        <v>-8</v>
      </c>
      <c r="F221" s="6">
        <f>IFERROR(VLOOKUP($G221,基本資料!$A:$J,8,0),"無")</f>
        <v>10.32</v>
      </c>
      <c r="G221" s="79">
        <v>8996</v>
      </c>
      <c r="H221" s="8" t="s">
        <v>295</v>
      </c>
      <c r="I221" s="22" t="s">
        <v>587</v>
      </c>
      <c r="J221" s="8">
        <f>IFERROR(VLOOKUP($G221,今日總結!$A:$AJ,35,0),"")</f>
        <v>0</v>
      </c>
      <c r="K221" s="5" t="str">
        <f>IFERROR(VLOOKUP($G221,今日總結!$A:$AJ,36,0),"")</f>
        <v>借</v>
      </c>
      <c r="L221" s="156">
        <f>IFERROR(VLOOKUP($G221,今日總結!$A:$AJ,33,0),"")</f>
        <v>0</v>
      </c>
      <c r="M221" s="340">
        <f>IFERROR(VLOOKUP($G221,今日總結!$A:$AJ,34,0),"")</f>
        <v>1</v>
      </c>
      <c r="N221" s="240">
        <f t="shared" si="47"/>
        <v>-1</v>
      </c>
      <c r="P221" s="365">
        <f>IFERROR(VLOOKUP($G221,融外自投!$A:$J,7,0),"無")</f>
        <v>38</v>
      </c>
      <c r="Q221" s="79">
        <f>IFERROR(VLOOKUP($G221,融外自投!$A:$J,9,0),"無")</f>
        <v>571</v>
      </c>
      <c r="R221" s="346">
        <f>IFERROR(VLOOKUP($G221,融外自投!$A:$J,8,0),"無")</f>
        <v>807</v>
      </c>
      <c r="S221" s="81">
        <f>IFERROR(VLOOKUP($G221,融外自投!$A:$J,10,0),"無")</f>
        <v>222</v>
      </c>
      <c r="T221" s="327">
        <f>IFERROR(VLOOKUP($G221,'321買'!$A:$E,5,0),"'沒有資料'")</f>
        <v>281</v>
      </c>
      <c r="U221" s="186">
        <f>IFERROR(VLOOKUP($G221,基本資料!$A:$J,9,0),"無")</f>
        <v>1.5</v>
      </c>
      <c r="V221" s="310">
        <f t="shared" si="36"/>
        <v>2.8680688336520078E-2</v>
      </c>
      <c r="W221" s="94">
        <f>IFERROR(VLOOKUP($G221,基本資料!$A:$J,10,0),"無")</f>
        <v>1.67</v>
      </c>
      <c r="X221" s="36">
        <f>RTD("money.excel",,"8996","Price")</f>
        <v>52.3</v>
      </c>
      <c r="Y221" s="66"/>
      <c r="Z221" s="15">
        <f t="shared" si="37"/>
        <v>52.3</v>
      </c>
      <c r="AA221" s="3" t="e">
        <f t="shared" si="38"/>
        <v>#DIV/0!</v>
      </c>
      <c r="AB221" s="344">
        <f>IFERROR(VLOOKUP($G221,基本資料!$A:$M,11,0),"無")</f>
        <v>-27.62</v>
      </c>
      <c r="AC221" s="397">
        <f>IFERROR(VLOOKUP($G221,基本資料!$A:$M,12,0),"無")</f>
        <v>22.22</v>
      </c>
      <c r="AD221" s="22" t="s">
        <v>587</v>
      </c>
      <c r="AG221" s="33">
        <f t="shared" si="39"/>
        <v>0</v>
      </c>
      <c r="AH221" s="43" t="s">
        <v>3067</v>
      </c>
      <c r="AI221" s="63">
        <f t="shared" si="45"/>
        <v>3.5498320268756997E-3</v>
      </c>
      <c r="AJ221" s="284">
        <f>RTD("money.excel",,$G221,"PredictVolume")</f>
        <v>317</v>
      </c>
      <c r="AK221" s="399">
        <f>IFERROR(VLOOKUP($G221,基本資料!$A:$M,13,0),"無")</f>
        <v>10.73</v>
      </c>
    </row>
    <row r="222" spans="1:37">
      <c r="A222" s="347">
        <f>IFERROR(VLOOKUP($G222,基本資料!$A:$J,3,0),"無")</f>
        <v>7.49</v>
      </c>
      <c r="B222" s="79">
        <f>IFERROR(VLOOKUP($G222,基本資料!$A:$J,4,0),"無")</f>
        <v>-20</v>
      </c>
      <c r="C222" s="79">
        <f>IFERROR(VLOOKUP($G222,基本資料!$A:$J,5,0),"無")</f>
        <v>-6</v>
      </c>
      <c r="D222" s="79">
        <f>IFERROR(VLOOKUP($G222,基本資料!$A:$J,6,0),"無")</f>
        <v>10</v>
      </c>
      <c r="E222" s="79">
        <f>IFERROR(VLOOKUP($G222,基本資料!$A:$J,7,0),"無")</f>
        <v>-16</v>
      </c>
      <c r="F222" s="6">
        <f>IFERROR(VLOOKUP($G222,基本資料!$A:$J,8,0),"無")</f>
        <v>10.63</v>
      </c>
      <c r="G222" s="79">
        <v>9951</v>
      </c>
      <c r="H222" s="8" t="s">
        <v>295</v>
      </c>
      <c r="I222" s="16" t="s">
        <v>224</v>
      </c>
      <c r="J222" s="8" t="str">
        <f>IFERROR(VLOOKUP($G222,今日總結!$A:$AJ,35,0),"")</f>
        <v/>
      </c>
      <c r="K222" s="5" t="str">
        <f>IFERROR(VLOOKUP($G222,今日總結!$A:$AJ,36,0),"")</f>
        <v/>
      </c>
      <c r="L222" s="156" t="str">
        <f>IFERROR(VLOOKUP($G222,今日總結!$A:$AJ,33,0),"")</f>
        <v/>
      </c>
      <c r="M222" s="340" t="str">
        <f>IFERROR(VLOOKUP($G222,今日總結!$A:$AJ,34,0),"")</f>
        <v/>
      </c>
      <c r="N222" s="240" t="str">
        <f t="shared" si="47"/>
        <v/>
      </c>
      <c r="P222" s="365">
        <f>IFERROR(VLOOKUP($G222,融外自投!$A:$J,7,0),"無")</f>
        <v>829</v>
      </c>
      <c r="Q222" s="79">
        <f>IFERROR(VLOOKUP($G222,融外自投!$A:$J,9,0),"無")</f>
        <v>571</v>
      </c>
      <c r="R222" s="346">
        <f>IFERROR(VLOOKUP($G222,融外自投!$A:$J,8,0),"無")</f>
        <v>564</v>
      </c>
      <c r="S222" s="81" t="str">
        <f>IFERROR(VLOOKUP($G222,融外自投!$A:$J,10,0),"無")</f>
        <v>無</v>
      </c>
      <c r="T222" s="327">
        <f>IFERROR(VLOOKUP($G222,'321買'!$A:$E,5,0),"'沒有資料'")</f>
        <v>915</v>
      </c>
      <c r="U222" s="186">
        <f>IFERROR(VLOOKUP($G222,基本資料!$A:$J,9,0),"無")</f>
        <v>3.3</v>
      </c>
      <c r="V222" s="310">
        <f t="shared" si="36"/>
        <v>4.8888888888888885E-2</v>
      </c>
      <c r="W222" s="94">
        <f>IFERROR(VLOOKUP($G222,基本資料!$A:$J,10,0),"無")</f>
        <v>5.33</v>
      </c>
      <c r="X222" s="36">
        <f>RTD("money.excel",,"9951","Price")</f>
        <v>67.5</v>
      </c>
      <c r="Y222" s="66"/>
      <c r="Z222" s="15">
        <f t="shared" si="37"/>
        <v>67.5</v>
      </c>
      <c r="AA222" s="3" t="e">
        <f t="shared" si="38"/>
        <v>#DIV/0!</v>
      </c>
      <c r="AB222" s="344">
        <f>IFERROR(VLOOKUP($G222,基本資料!$A:$M,11,0),"無")</f>
        <v>0</v>
      </c>
      <c r="AC222" s="397">
        <f>IFERROR(VLOOKUP($G222,基本資料!$A:$M,12,0),"無")</f>
        <v>0</v>
      </c>
      <c r="AD222" s="16" t="s">
        <v>224</v>
      </c>
      <c r="AG222" s="33">
        <f t="shared" si="39"/>
        <v>0</v>
      </c>
      <c r="AH222" s="117" t="s">
        <v>2543</v>
      </c>
      <c r="AI222" s="63">
        <f t="shared" si="45"/>
        <v>1.2550066755674233E-3</v>
      </c>
      <c r="AJ222" s="284">
        <f>RTD("money.excel",,$G222,"PredictVolume")</f>
        <v>94</v>
      </c>
      <c r="AK222" s="399">
        <f>IFERROR(VLOOKUP($G222,基本資料!$A:$M,13,0),"無")</f>
        <v>0</v>
      </c>
    </row>
    <row r="223" spans="1:37">
      <c r="A223" s="142"/>
      <c r="B223" s="80"/>
      <c r="C223" s="80"/>
      <c r="D223" s="80"/>
      <c r="E223" s="79"/>
      <c r="F223" s="6"/>
      <c r="G223" s="79"/>
      <c r="H223" s="8"/>
      <c r="I223" s="16"/>
      <c r="L223" s="2"/>
      <c r="P223" s="365"/>
      <c r="Q223" s="47"/>
      <c r="R223" s="346"/>
      <c r="S223" s="26"/>
      <c r="U223" s="66"/>
      <c r="W223" s="94"/>
      <c r="X223" s="36"/>
      <c r="Y223" s="66"/>
      <c r="Z223" s="15"/>
      <c r="AA223" s="3"/>
      <c r="AD223" s="16"/>
      <c r="AG223" s="33"/>
      <c r="AH223" s="117"/>
      <c r="AI223" s="63"/>
      <c r="AJ223" s="284"/>
    </row>
    <row r="224" spans="1:37">
      <c r="A224" s="127" t="s">
        <v>1673</v>
      </c>
      <c r="B224" s="90" t="s">
        <v>1572</v>
      </c>
      <c r="C224" s="90" t="s">
        <v>1573</v>
      </c>
      <c r="D224" s="90" t="s">
        <v>1574</v>
      </c>
      <c r="E224" s="90" t="s">
        <v>1575</v>
      </c>
      <c r="F224" s="8" t="s">
        <v>1060</v>
      </c>
      <c r="G224" s="27" t="s">
        <v>942</v>
      </c>
      <c r="H224" s="55" t="s">
        <v>320</v>
      </c>
      <c r="I224" s="50" t="s">
        <v>3496</v>
      </c>
      <c r="J224" s="8" t="s">
        <v>6221</v>
      </c>
      <c r="K224" s="5" t="s">
        <v>6222</v>
      </c>
      <c r="L224" s="337" t="s">
        <v>6206</v>
      </c>
      <c r="M224" s="338" t="s">
        <v>6207</v>
      </c>
      <c r="N224" s="339" t="s">
        <v>6208</v>
      </c>
      <c r="O224" s="4" t="s">
        <v>6713</v>
      </c>
      <c r="P224" s="89" t="s">
        <v>6285</v>
      </c>
      <c r="Q224" s="293" t="s">
        <v>6284</v>
      </c>
      <c r="R224" s="354" t="s">
        <v>6283</v>
      </c>
      <c r="S224" s="26" t="s">
        <v>6286</v>
      </c>
      <c r="T224" s="321" t="s">
        <v>4716</v>
      </c>
      <c r="U224" s="10" t="s">
        <v>66</v>
      </c>
      <c r="V224" s="308" t="s">
        <v>4731</v>
      </c>
      <c r="W224" s="68" t="s">
        <v>3273</v>
      </c>
      <c r="X224" s="28" t="s">
        <v>2</v>
      </c>
      <c r="Y224" s="17" t="s">
        <v>1399</v>
      </c>
      <c r="Z224" s="14" t="s">
        <v>5</v>
      </c>
      <c r="AA224" s="21" t="s">
        <v>3</v>
      </c>
      <c r="AB224" s="96" t="s">
        <v>6174</v>
      </c>
      <c r="AC224" s="384" t="s">
        <v>6420</v>
      </c>
      <c r="AD224" s="50" t="s">
        <v>3496</v>
      </c>
      <c r="AE224" s="71" t="s">
        <v>1400</v>
      </c>
      <c r="AF224" s="72" t="s">
        <v>1157</v>
      </c>
      <c r="AG224" s="32" t="s">
        <v>1158</v>
      </c>
      <c r="AH224" s="25" t="s">
        <v>6209</v>
      </c>
      <c r="AI224" s="8" t="s">
        <v>6731</v>
      </c>
      <c r="AJ224" s="50" t="s">
        <v>3361</v>
      </c>
      <c r="AK224" s="44" t="s">
        <v>6730</v>
      </c>
    </row>
    <row r="225" spans="1:37">
      <c r="A225" s="347">
        <f>IFERROR(VLOOKUP($G225,基本資料!$A:$J,3,0),"無")</f>
        <v>19.16</v>
      </c>
      <c r="B225" s="79">
        <f>IFERROR(VLOOKUP($G225,基本資料!$A:$J,4,0),"無")</f>
        <v>-13</v>
      </c>
      <c r="C225" s="79">
        <f>IFERROR(VLOOKUP($G225,基本資料!$A:$J,5,0),"無")</f>
        <v>91</v>
      </c>
      <c r="D225" s="79">
        <f>IFERROR(VLOOKUP($G225,基本資料!$A:$J,6,0),"無")</f>
        <v>-15</v>
      </c>
      <c r="E225" s="79">
        <f>IFERROR(VLOOKUP($G225,基本資料!$A:$J,7,0),"無")</f>
        <v>80</v>
      </c>
      <c r="F225" s="6">
        <f>IFERROR(VLOOKUP($G225,基本資料!$A:$J,8,0),"無")</f>
        <v>10.72</v>
      </c>
      <c r="G225" s="79">
        <v>1603</v>
      </c>
      <c r="H225" s="8" t="s">
        <v>3496</v>
      </c>
      <c r="I225" s="22" t="s">
        <v>945</v>
      </c>
      <c r="J225" s="8">
        <f>IFERROR(VLOOKUP($G225,今日總結!$A:$AJ,35,0),"")</f>
        <v>0</v>
      </c>
      <c r="K225" s="5">
        <f>IFERROR(VLOOKUP($G225,今日總結!$A:$AJ,36,0),"")</f>
        <v>9</v>
      </c>
      <c r="L225" s="156">
        <f>IFERROR(VLOOKUP($G225,今日總結!$A:$AJ,33,0),"")</f>
        <v>0</v>
      </c>
      <c r="M225" s="340">
        <f>IFERROR(VLOOKUP($G225,今日總結!$A:$AJ,34,0),"")</f>
        <v>1</v>
      </c>
      <c r="N225" s="240">
        <f t="shared" ref="N225:N238" si="48">IFERROR(L225-M225,"")</f>
        <v>-1</v>
      </c>
      <c r="P225" s="365">
        <f>IFERROR(VLOOKUP($G225,融外自投!$A:$J,7,0),"無")</f>
        <v>864</v>
      </c>
      <c r="Q225" s="79">
        <f>IFERROR(VLOOKUP($G225,融外自投!$A:$J,9,0),"無")</f>
        <v>852</v>
      </c>
      <c r="R225" s="346">
        <f>IFERROR(VLOOKUP($G225,融外自投!$A:$J,8,0),"無")</f>
        <v>1094</v>
      </c>
      <c r="S225" s="81" t="str">
        <f>IFERROR(VLOOKUP($G225,融外自投!$A:$J,10,0),"無")</f>
        <v>無</v>
      </c>
      <c r="T225" s="327">
        <f>IFERROR(VLOOKUP($G225,'321買'!$A:$E,5,0),"'沒有資料'")</f>
        <v>416</v>
      </c>
      <c r="U225" s="186">
        <f>IFERROR(VLOOKUP($G225,基本資料!$A:$J,9,0),"無")</f>
        <v>0.5</v>
      </c>
      <c r="V225" s="310">
        <f t="shared" ref="V225:V241" si="49">$U225/$X225</f>
        <v>1.6366612111292964E-2</v>
      </c>
      <c r="W225" s="94">
        <f>IFERROR(VLOOKUP($G225,基本資料!$A:$J,10,0),"無")</f>
        <v>1.78</v>
      </c>
      <c r="X225" s="36">
        <f>RTD("money.excel",,"1603","Price")</f>
        <v>30.55</v>
      </c>
      <c r="Y225" s="66"/>
      <c r="Z225" s="15">
        <f t="shared" ref="Z225:Z241" si="50">X225-Y225</f>
        <v>30.55</v>
      </c>
      <c r="AA225" s="3" t="e">
        <f t="shared" ref="AA225:AA241" si="51">Z225/Y225</f>
        <v>#DIV/0!</v>
      </c>
      <c r="AB225" s="344">
        <f>IFERROR(VLOOKUP($G225,基本資料!$A:$M,11,0),"無")</f>
        <v>-15.46</v>
      </c>
      <c r="AC225" s="397">
        <f>IFERROR(VLOOKUP($G225,基本資料!$A:$M,12,0),"無")</f>
        <v>48.41</v>
      </c>
      <c r="AD225" s="22" t="s">
        <v>945</v>
      </c>
      <c r="AG225" s="33">
        <f t="shared" ref="AG225:AG241" si="52">AF225-AE225</f>
        <v>0</v>
      </c>
      <c r="AH225" s="43" t="s">
        <v>2796</v>
      </c>
      <c r="AI225" s="63">
        <f t="shared" ref="AI225:AI241" si="53">AJ225/(A225*10000)</f>
        <v>1.0140918580375783E-2</v>
      </c>
      <c r="AJ225" s="284">
        <f>RTD("money.excel",,$G225,"PredictVolume")</f>
        <v>1943</v>
      </c>
      <c r="AK225" s="399">
        <f>IFERROR(VLOOKUP($G225,基本資料!$A:$M,13,0),"無")</f>
        <v>4.92</v>
      </c>
    </row>
    <row r="226" spans="1:37">
      <c r="A226" s="347">
        <f>IFERROR(VLOOKUP($G226,基本資料!$A:$J,3,0),"無")</f>
        <v>38.72</v>
      </c>
      <c r="B226" s="79">
        <f>IFERROR(VLOOKUP($G226,基本資料!$A:$J,4,0),"無")</f>
        <v>-5</v>
      </c>
      <c r="C226" s="79">
        <f>IFERROR(VLOOKUP($G226,基本資料!$A:$J,5,0),"無")</f>
        <v>12</v>
      </c>
      <c r="D226" s="79">
        <f>IFERROR(VLOOKUP($G226,基本資料!$A:$J,6,0),"無")</f>
        <v>3</v>
      </c>
      <c r="E226" s="79">
        <f>IFERROR(VLOOKUP($G226,基本資料!$A:$J,7,0),"無")</f>
        <v>13</v>
      </c>
      <c r="F226" s="6">
        <f>IFERROR(VLOOKUP($G226,基本資料!$A:$J,8,0),"無")</f>
        <v>6.68</v>
      </c>
      <c r="G226" s="79">
        <v>1604</v>
      </c>
      <c r="H226" s="8" t="s">
        <v>3496</v>
      </c>
      <c r="I226" s="22" t="s">
        <v>946</v>
      </c>
      <c r="J226" s="8">
        <f>IFERROR(VLOOKUP($G226,今日總結!$A:$AJ,35,0),"")</f>
        <v>0</v>
      </c>
      <c r="K226" s="5">
        <f>IFERROR(VLOOKUP($G226,今日總結!$A:$AJ,36,0),"")</f>
        <v>0</v>
      </c>
      <c r="L226" s="156">
        <f>IFERROR(VLOOKUP($G226,今日總結!$A:$AJ,33,0),"")</f>
        <v>0</v>
      </c>
      <c r="M226" s="340">
        <f>IFERROR(VLOOKUP($G226,今日總結!$A:$AJ,34,0),"")</f>
        <v>1</v>
      </c>
      <c r="N226" s="240">
        <f t="shared" si="48"/>
        <v>-1</v>
      </c>
      <c r="P226" s="365">
        <f>IFERROR(VLOOKUP($G226,融外自投!$A:$J,7,0),"無")</f>
        <v>1255</v>
      </c>
      <c r="Q226" s="79">
        <f>IFERROR(VLOOKUP($G226,融外自投!$A:$J,9,0),"無")</f>
        <v>414</v>
      </c>
      <c r="R226" s="346">
        <f>IFERROR(VLOOKUP($G226,融外自投!$A:$J,8,0),"無")</f>
        <v>462</v>
      </c>
      <c r="S226" s="81">
        <f>IFERROR(VLOOKUP($G226,融外自投!$A:$J,10,0),"無")</f>
        <v>362</v>
      </c>
      <c r="T226" s="327">
        <f>IFERROR(VLOOKUP($G226,'321買'!$A:$E,5,0),"'沒有資料'")</f>
        <v>416</v>
      </c>
      <c r="U226" s="186">
        <f>IFERROR(VLOOKUP($G226,基本資料!$A:$J,9,0),"無")</f>
        <v>2.7</v>
      </c>
      <c r="V226" s="310">
        <f t="shared" si="49"/>
        <v>9.0000000000000011E-2</v>
      </c>
      <c r="W226" s="94">
        <f>IFERROR(VLOOKUP($G226,基本資料!$A:$J,10,0),"無")</f>
        <v>4.5199999999999996</v>
      </c>
      <c r="X226" s="36">
        <f>RTD("money.excel",,"1604","Price")</f>
        <v>30</v>
      </c>
      <c r="Y226" s="66"/>
      <c r="Z226" s="15">
        <f t="shared" si="50"/>
        <v>30</v>
      </c>
      <c r="AA226" s="3" t="e">
        <f t="shared" si="51"/>
        <v>#DIV/0!</v>
      </c>
      <c r="AB226" s="344">
        <f>IFERROR(VLOOKUP($G226,基本資料!$A:$M,11,0),"無")</f>
        <v>-7.62</v>
      </c>
      <c r="AC226" s="397">
        <f>IFERROR(VLOOKUP($G226,基本資料!$A:$M,12,0),"無")</f>
        <v>26.67</v>
      </c>
      <c r="AD226" s="22" t="s">
        <v>946</v>
      </c>
      <c r="AG226" s="33">
        <f t="shared" si="52"/>
        <v>0</v>
      </c>
      <c r="AH226" s="43" t="s">
        <v>2797</v>
      </c>
      <c r="AI226" s="63">
        <f t="shared" si="53"/>
        <v>7.0764462809917359E-4</v>
      </c>
      <c r="AJ226" s="284">
        <f>RTD("money.excel",,$G226,"PredictVolume")</f>
        <v>274</v>
      </c>
      <c r="AK226" s="399">
        <f>IFERROR(VLOOKUP($G226,基本資料!$A:$M,13,0),"無")</f>
        <v>2.0499999999999998</v>
      </c>
    </row>
    <row r="227" spans="1:37">
      <c r="A227" s="347">
        <f>IFERROR(VLOOKUP($G227,基本資料!$A:$J,3,0),"無")</f>
        <v>343</v>
      </c>
      <c r="B227" s="79">
        <f>IFERROR(VLOOKUP($G227,基本資料!$A:$J,4,0),"無")</f>
        <v>117</v>
      </c>
      <c r="C227" s="79">
        <f>IFERROR(VLOOKUP($G227,基本資料!$A:$J,5,0),"無")</f>
        <v>80</v>
      </c>
      <c r="D227" s="79">
        <f>IFERROR(VLOOKUP($G227,基本資料!$A:$J,6,0),"無")</f>
        <v>7</v>
      </c>
      <c r="E227" s="79">
        <f>IFERROR(VLOOKUP($G227,基本資料!$A:$J,7,0),"無")</f>
        <v>40</v>
      </c>
      <c r="F227" s="6">
        <f>IFERROR(VLOOKUP($G227,基本資料!$A:$J,8,0),"無")</f>
        <v>8.52</v>
      </c>
      <c r="G227" s="79">
        <v>1605</v>
      </c>
      <c r="H227" s="192" t="s">
        <v>3496</v>
      </c>
      <c r="I227" s="22" t="s">
        <v>3598</v>
      </c>
      <c r="J227" s="8">
        <f>IFERROR(VLOOKUP($G227,今日總結!$A:$AJ,35,0),"")</f>
        <v>0</v>
      </c>
      <c r="K227" s="5" t="str">
        <f>IFERROR(VLOOKUP($G227,今日總結!$A:$AJ,36,0),"")</f>
        <v>外</v>
      </c>
      <c r="L227" s="156">
        <f>IFERROR(VLOOKUP($G227,今日總結!$A:$AJ,33,0),"")</f>
        <v>0</v>
      </c>
      <c r="M227" s="340">
        <f>IFERROR(VLOOKUP($G227,今日總結!$A:$AJ,34,0),"")</f>
        <v>1</v>
      </c>
      <c r="N227" s="240">
        <f t="shared" si="48"/>
        <v>-1</v>
      </c>
      <c r="P227" s="365">
        <f>IFERROR(VLOOKUP($G227,融外自投!$A:$J,7,0),"無")</f>
        <v>782</v>
      </c>
      <c r="Q227" s="79">
        <f>IFERROR(VLOOKUP($G227,融外自投!$A:$J,9,0),"無")</f>
        <v>41</v>
      </c>
      <c r="R227" s="346">
        <f>IFERROR(VLOOKUP($G227,融外自投!$A:$J,8,0),"無")</f>
        <v>222</v>
      </c>
      <c r="S227" s="81">
        <f>IFERROR(VLOOKUP($G227,融外自投!$A:$J,10,0),"無")</f>
        <v>139</v>
      </c>
      <c r="T227" s="327">
        <f>IFERROR(VLOOKUP($G227,'321買'!$A:$E,5,0),"'沒有資料'")</f>
        <v>100</v>
      </c>
      <c r="U227" s="186">
        <f>IFERROR(VLOOKUP($G227,基本資料!$A:$J,9,0),"無")</f>
        <v>1.6</v>
      </c>
      <c r="V227" s="310">
        <f t="shared" si="49"/>
        <v>4.3835616438356165E-2</v>
      </c>
      <c r="W227" s="94">
        <f>IFERROR(VLOOKUP($G227,基本資料!$A:$J,10,0),"無")</f>
        <v>4.2699999999999996</v>
      </c>
      <c r="X227" s="36">
        <f>RTD("money.excel",,"1605","Price")</f>
        <v>36.5</v>
      </c>
      <c r="Y227" s="66"/>
      <c r="Z227" s="15">
        <f t="shared" si="50"/>
        <v>36.5</v>
      </c>
      <c r="AA227" s="3" t="e">
        <f t="shared" si="51"/>
        <v>#DIV/0!</v>
      </c>
      <c r="AB227" s="344">
        <f>IFERROR(VLOOKUP($G227,基本資料!$A:$M,11,0),"無")</f>
        <v>-19.420000000000002</v>
      </c>
      <c r="AC227" s="397">
        <f>IFERROR(VLOOKUP($G227,基本資料!$A:$M,12,0),"無")</f>
        <v>69</v>
      </c>
      <c r="AD227" s="22" t="s">
        <v>3598</v>
      </c>
      <c r="AG227" s="33">
        <f t="shared" si="52"/>
        <v>0</v>
      </c>
      <c r="AH227" s="117" t="s">
        <v>2285</v>
      </c>
      <c r="AI227" s="63">
        <f t="shared" si="53"/>
        <v>2.5938192419825073E-2</v>
      </c>
      <c r="AJ227" s="284">
        <f>RTD("money.excel",,$G227,"PredictVolume")</f>
        <v>88968</v>
      </c>
      <c r="AK227" s="399">
        <f>IFERROR(VLOOKUP($G227,基本資料!$A:$M,13,0),"無")</f>
        <v>9.58</v>
      </c>
    </row>
    <row r="228" spans="1:37">
      <c r="A228" s="347">
        <f>IFERROR(VLOOKUP($G228,基本資料!$A:$J,3,0),"無")</f>
        <v>63.27</v>
      </c>
      <c r="B228" s="79">
        <f>IFERROR(VLOOKUP($G228,基本資料!$A:$J,4,0),"無")</f>
        <v>344</v>
      </c>
      <c r="C228" s="79">
        <f>IFERROR(VLOOKUP($G228,基本資料!$A:$J,5,0),"無")</f>
        <v>356</v>
      </c>
      <c r="D228" s="79">
        <f>IFERROR(VLOOKUP($G228,基本資料!$A:$J,6,0),"無")</f>
        <v>-18</v>
      </c>
      <c r="E228" s="79">
        <f>IFERROR(VLOOKUP($G228,基本資料!$A:$J,7,0),"無")</f>
        <v>5</v>
      </c>
      <c r="F228" s="6">
        <f>IFERROR(VLOOKUP($G228,基本資料!$A:$J,8,0),"無")</f>
        <v>7.49</v>
      </c>
      <c r="G228" s="79">
        <v>1608</v>
      </c>
      <c r="H228" s="8" t="s">
        <v>3496</v>
      </c>
      <c r="I228" s="22" t="s">
        <v>947</v>
      </c>
      <c r="J228" s="8">
        <f>IFERROR(VLOOKUP($G228,今日總結!$A:$AJ,35,0),"")</f>
        <v>0</v>
      </c>
      <c r="K228" s="5" t="str">
        <f>IFERROR(VLOOKUP($G228,今日總結!$A:$AJ,36,0),"")</f>
        <v>借</v>
      </c>
      <c r="L228" s="156">
        <f>IFERROR(VLOOKUP($G228,今日總結!$A:$AJ,33,0),"")</f>
        <v>0</v>
      </c>
      <c r="M228" s="340">
        <f>IFERROR(VLOOKUP($G228,今日總結!$A:$AJ,34,0),"")</f>
        <v>1</v>
      </c>
      <c r="N228" s="240">
        <f t="shared" si="48"/>
        <v>-1</v>
      </c>
      <c r="P228" s="365">
        <f>IFERROR(VLOOKUP($G228,融外自投!$A:$J,7,0),"無")</f>
        <v>719</v>
      </c>
      <c r="Q228" s="79">
        <f>IFERROR(VLOOKUP($G228,融外自投!$A:$J,9,0),"無")</f>
        <v>1051</v>
      </c>
      <c r="R228" s="346">
        <f>IFERROR(VLOOKUP($G228,融外自投!$A:$J,8,0),"無")</f>
        <v>1146</v>
      </c>
      <c r="S228" s="81" t="str">
        <f>IFERROR(VLOOKUP($G228,融外自投!$A:$J,10,0),"無")</f>
        <v>無</v>
      </c>
      <c r="T228" s="327">
        <f>IFERROR(VLOOKUP($G228,'321買'!$A:$E,5,0),"'沒有資料'")</f>
        <v>536</v>
      </c>
      <c r="U228" s="186">
        <f>IFERROR(VLOOKUP($G228,基本資料!$A:$J,9,0),"無")</f>
        <v>1.5</v>
      </c>
      <c r="V228" s="310">
        <f t="shared" si="49"/>
        <v>8.0645161290322578E-2</v>
      </c>
      <c r="W228" s="94">
        <f>IFERROR(VLOOKUP($G228,基本資料!$A:$J,10,0),"無")</f>
        <v>3.27</v>
      </c>
      <c r="X228" s="36">
        <f>RTD("money.excel",,"1608","Price")</f>
        <v>18.600000000000001</v>
      </c>
      <c r="Y228" s="66"/>
      <c r="Z228" s="15">
        <f t="shared" si="50"/>
        <v>18.600000000000001</v>
      </c>
      <c r="AA228" s="3" t="e">
        <f t="shared" si="51"/>
        <v>#DIV/0!</v>
      </c>
      <c r="AB228" s="344">
        <f>IFERROR(VLOOKUP($G228,基本資料!$A:$M,11,0),"無")</f>
        <v>-40.98</v>
      </c>
      <c r="AC228" s="397">
        <f>IFERROR(VLOOKUP($G228,基本資料!$A:$M,12,0),"無")</f>
        <v>31.53</v>
      </c>
      <c r="AD228" s="22" t="s">
        <v>947</v>
      </c>
      <c r="AG228" s="33">
        <f t="shared" si="52"/>
        <v>0</v>
      </c>
      <c r="AH228" s="43" t="s">
        <v>2798</v>
      </c>
      <c r="AI228" s="63">
        <f t="shared" si="53"/>
        <v>6.9796111901375057E-3</v>
      </c>
      <c r="AJ228" s="284">
        <f>RTD("money.excel",,$G228,"PredictVolume")</f>
        <v>4416</v>
      </c>
      <c r="AK228" s="399">
        <f>IFERROR(VLOOKUP($G228,基本資料!$A:$M,13,0),"無")</f>
        <v>14.55</v>
      </c>
    </row>
    <row r="229" spans="1:37">
      <c r="A229" s="347">
        <f>IFERROR(VLOOKUP($G229,基本資料!$A:$J,3,0),"無")</f>
        <v>64.58</v>
      </c>
      <c r="B229" s="79">
        <f>IFERROR(VLOOKUP($G229,基本資料!$A:$J,4,0),"無")</f>
        <v>60</v>
      </c>
      <c r="C229" s="79">
        <f>IFERROR(VLOOKUP($G229,基本資料!$A:$J,5,0),"無")</f>
        <v>251</v>
      </c>
      <c r="D229" s="79">
        <f>IFERROR(VLOOKUP($G229,基本資料!$A:$J,6,0),"無")</f>
        <v>47</v>
      </c>
      <c r="E229" s="79">
        <f>IFERROR(VLOOKUP($G229,基本資料!$A:$J,7,0),"無")</f>
        <v>9</v>
      </c>
      <c r="F229" s="6">
        <f>IFERROR(VLOOKUP($G229,基本資料!$A:$J,8,0),"無")</f>
        <v>5.49</v>
      </c>
      <c r="G229" s="79">
        <v>1609</v>
      </c>
      <c r="H229" s="8" t="s">
        <v>3496</v>
      </c>
      <c r="I229" s="22" t="s">
        <v>948</v>
      </c>
      <c r="J229" s="8">
        <f>IFERROR(VLOOKUP($G229,今日總結!$A:$AJ,35,0),"")</f>
        <v>0</v>
      </c>
      <c r="K229" s="5">
        <f>IFERROR(VLOOKUP($G229,今日總結!$A:$AJ,36,0),"")</f>
        <v>0</v>
      </c>
      <c r="L229" s="156">
        <f>IFERROR(VLOOKUP($G229,今日總結!$A:$AJ,33,0),"")</f>
        <v>0</v>
      </c>
      <c r="M229" s="340">
        <f>IFERROR(VLOOKUP($G229,今日總結!$A:$AJ,34,0),"")</f>
        <v>1</v>
      </c>
      <c r="N229" s="240">
        <f t="shared" si="48"/>
        <v>-1</v>
      </c>
      <c r="P229" s="365">
        <f>IFERROR(VLOOKUP($G229,融外自投!$A:$J,7,0),"無")</f>
        <v>309</v>
      </c>
      <c r="Q229" s="79">
        <f>IFERROR(VLOOKUP($G229,融外自投!$A:$J,9,0),"無")</f>
        <v>653</v>
      </c>
      <c r="R229" s="346">
        <f>IFERROR(VLOOKUP($G229,融外自投!$A:$J,8,0),"無")</f>
        <v>534</v>
      </c>
      <c r="S229" s="81">
        <f>IFERROR(VLOOKUP($G229,融外自投!$A:$J,10,0),"無")</f>
        <v>362</v>
      </c>
      <c r="T229" s="327">
        <f>IFERROR(VLOOKUP($G229,'321買'!$A:$E,5,0),"'沒有資料'")</f>
        <v>623</v>
      </c>
      <c r="U229" s="186">
        <f>IFERROR(VLOOKUP($G229,基本資料!$A:$J,9,0),"無")</f>
        <v>0.95</v>
      </c>
      <c r="V229" s="310">
        <f t="shared" si="49"/>
        <v>3.9014373716632439E-2</v>
      </c>
      <c r="W229" s="94">
        <f>IFERROR(VLOOKUP($G229,基本資料!$A:$J,10,0),"無")</f>
        <v>2.2999999999999998</v>
      </c>
      <c r="X229" s="36">
        <f>RTD("money.excel",,"1609","Price")</f>
        <v>24.35</v>
      </c>
      <c r="Y229" s="66"/>
      <c r="Z229" s="15">
        <f t="shared" si="50"/>
        <v>24.35</v>
      </c>
      <c r="AA229" s="3" t="e">
        <f t="shared" si="51"/>
        <v>#DIV/0!</v>
      </c>
      <c r="AB229" s="344">
        <f>IFERROR(VLOOKUP($G229,基本資料!$A:$M,11,0),"無")</f>
        <v>-19.22</v>
      </c>
      <c r="AC229" s="397">
        <f>IFERROR(VLOOKUP($G229,基本資料!$A:$M,12,0),"無")</f>
        <v>53.78</v>
      </c>
      <c r="AD229" s="22" t="s">
        <v>948</v>
      </c>
      <c r="AG229" s="33">
        <f t="shared" si="52"/>
        <v>0</v>
      </c>
      <c r="AH229" s="43" t="s">
        <v>2799</v>
      </c>
      <c r="AI229" s="63">
        <f t="shared" si="53"/>
        <v>3.5842366057602972E-2</v>
      </c>
      <c r="AJ229" s="284">
        <f>RTD("money.excel",,$G229,"PredictVolume")</f>
        <v>23147</v>
      </c>
      <c r="AK229" s="399">
        <f>IFERROR(VLOOKUP($G229,基本資料!$A:$M,13,0),"無")</f>
        <v>23.23</v>
      </c>
    </row>
    <row r="230" spans="1:37">
      <c r="A230" s="347">
        <f>IFERROR(VLOOKUP($G230,基本資料!$A:$J,3,0),"無")</f>
        <v>32.270000000000003</v>
      </c>
      <c r="B230" s="79">
        <f>IFERROR(VLOOKUP($G230,基本資料!$A:$J,4,0),"無")</f>
        <v>254</v>
      </c>
      <c r="C230" s="79">
        <f>IFERROR(VLOOKUP($G230,基本資料!$A:$J,5,0),"無")</f>
        <v>-93</v>
      </c>
      <c r="D230" s="79">
        <f>IFERROR(VLOOKUP($G230,基本資料!$A:$J,6,0),"無")</f>
        <v>-7</v>
      </c>
      <c r="E230" s="79">
        <f>IFERROR(VLOOKUP($G230,基本資料!$A:$J,7,0),"無")</f>
        <v>-7</v>
      </c>
      <c r="F230" s="6">
        <f>IFERROR(VLOOKUP($G230,基本資料!$A:$J,8,0),"無")</f>
        <v>0.34</v>
      </c>
      <c r="G230" s="79">
        <v>1611</v>
      </c>
      <c r="H230" s="8" t="s">
        <v>3496</v>
      </c>
      <c r="I230" s="22" t="s">
        <v>106</v>
      </c>
      <c r="J230" s="8">
        <f>IFERROR(VLOOKUP($G230,今日總結!$A:$AJ,35,0),"")</f>
        <v>0</v>
      </c>
      <c r="K230" s="5" t="str">
        <f>IFERROR(VLOOKUP($G230,今日總結!$A:$AJ,36,0),"")</f>
        <v>借</v>
      </c>
      <c r="L230" s="156">
        <f>IFERROR(VLOOKUP($G230,今日總結!$A:$AJ,33,0),"")</f>
        <v>0</v>
      </c>
      <c r="M230" s="340">
        <f>IFERROR(VLOOKUP($G230,今日總結!$A:$AJ,34,0),"")</f>
        <v>1</v>
      </c>
      <c r="N230" s="240">
        <f t="shared" si="48"/>
        <v>-1</v>
      </c>
      <c r="P230" s="365">
        <f>IFERROR(VLOOKUP($G230,融外自投!$A:$J,7,0),"無")</f>
        <v>409</v>
      </c>
      <c r="Q230" s="79">
        <f>IFERROR(VLOOKUP($G230,融外自投!$A:$J,9,0),"無")</f>
        <v>466</v>
      </c>
      <c r="R230" s="346">
        <f>IFERROR(VLOOKUP($G230,融外自投!$A:$J,8,0),"無")</f>
        <v>456</v>
      </c>
      <c r="S230" s="81" t="str">
        <f>IFERROR(VLOOKUP($G230,融外自投!$A:$J,10,0),"無")</f>
        <v>無</v>
      </c>
      <c r="T230" s="327">
        <f>IFERROR(VLOOKUP($G230,'321買'!$A:$E,5,0),"'沒有資料'")</f>
        <v>623</v>
      </c>
      <c r="U230" s="186">
        <f>IFERROR(VLOOKUP($G230,基本資料!$A:$J,9,0),"無")</f>
        <v>0.8</v>
      </c>
      <c r="V230" s="310">
        <f t="shared" si="49"/>
        <v>4.3835616438356165E-2</v>
      </c>
      <c r="W230" s="94">
        <f>IFERROR(VLOOKUP($G230,基本資料!$A:$J,10,0),"無")</f>
        <v>0.86</v>
      </c>
      <c r="X230" s="36">
        <f>RTD("money.excel",,"1611","Price")</f>
        <v>18.25</v>
      </c>
      <c r="Y230" s="66"/>
      <c r="Z230" s="15">
        <f t="shared" si="50"/>
        <v>18.25</v>
      </c>
      <c r="AA230" s="3" t="e">
        <f t="shared" si="51"/>
        <v>#DIV/0!</v>
      </c>
      <c r="AB230" s="344">
        <f>IFERROR(VLOOKUP($G230,基本資料!$A:$M,11,0),"無")</f>
        <v>-19.16</v>
      </c>
      <c r="AC230" s="397">
        <f>IFERROR(VLOOKUP($G230,基本資料!$A:$M,12,0),"無")</f>
        <v>42.4</v>
      </c>
      <c r="AD230" s="22" t="s">
        <v>106</v>
      </c>
      <c r="AG230" s="33">
        <f t="shared" si="52"/>
        <v>0</v>
      </c>
      <c r="AH230" s="43" t="s">
        <v>2800</v>
      </c>
      <c r="AI230" s="63">
        <f t="shared" si="53"/>
        <v>9.5103811589711783E-3</v>
      </c>
      <c r="AJ230" s="284">
        <f>RTD("money.excel",,$G230,"PredictVolume")</f>
        <v>3069</v>
      </c>
      <c r="AK230" s="399">
        <f>IFERROR(VLOOKUP($G230,基本資料!$A:$M,13,0),"無")</f>
        <v>16.809999999999999</v>
      </c>
    </row>
    <row r="231" spans="1:37">
      <c r="A231" s="347">
        <f>IFERROR(VLOOKUP($G231,基本資料!$A:$J,3,0),"無")</f>
        <v>31.6</v>
      </c>
      <c r="B231" s="79">
        <f>IFERROR(VLOOKUP($G231,基本資料!$A:$J,4,0),"無")</f>
        <v>421</v>
      </c>
      <c r="C231" s="79">
        <f>IFERROR(VLOOKUP($G231,基本資料!$A:$J,5,0),"無")</f>
        <v>25</v>
      </c>
      <c r="D231" s="79">
        <f>IFERROR(VLOOKUP($G231,基本資料!$A:$J,6,0),"無")</f>
        <v>-17</v>
      </c>
      <c r="E231" s="79">
        <f>IFERROR(VLOOKUP($G231,基本資料!$A:$J,7,0),"無")</f>
        <v>-3</v>
      </c>
      <c r="F231" s="6">
        <f>IFERROR(VLOOKUP($G231,基本資料!$A:$J,8,0),"無")</f>
        <v>6.14</v>
      </c>
      <c r="G231" s="79">
        <v>1612</v>
      </c>
      <c r="H231" s="8" t="s">
        <v>3496</v>
      </c>
      <c r="I231" s="22" t="s">
        <v>949</v>
      </c>
      <c r="J231" s="8">
        <f>IFERROR(VLOOKUP($G231,今日總結!$A:$AJ,35,0),"")</f>
        <v>0</v>
      </c>
      <c r="K231" s="5">
        <f>IFERROR(VLOOKUP($G231,今日總結!$A:$AJ,36,0),"")</f>
        <v>42</v>
      </c>
      <c r="L231" s="156">
        <f>IFERROR(VLOOKUP($G231,今日總結!$A:$AJ,33,0),"")</f>
        <v>0</v>
      </c>
      <c r="M231" s="340">
        <f>IFERROR(VLOOKUP($G231,今日總結!$A:$AJ,34,0),"")</f>
        <v>3</v>
      </c>
      <c r="N231" s="240">
        <f t="shared" ref="N231:N237" si="54">IFERROR(L231-M231,"")</f>
        <v>-3</v>
      </c>
      <c r="P231" s="365">
        <f>IFERROR(VLOOKUP($G231,融外自投!$A:$J,7,0),"無")</f>
        <v>335</v>
      </c>
      <c r="Q231" s="79">
        <f>IFERROR(VLOOKUP($G231,融外自投!$A:$J,9,0),"無")</f>
        <v>425</v>
      </c>
      <c r="R231" s="346">
        <f>IFERROR(VLOOKUP($G231,融外自投!$A:$J,8,0),"無")</f>
        <v>356</v>
      </c>
      <c r="S231" s="81">
        <f>IFERROR(VLOOKUP($G231,融外自投!$A:$J,10,0),"無")</f>
        <v>401</v>
      </c>
      <c r="T231" s="327">
        <f>IFERROR(VLOOKUP($G231,'321買'!$A:$E,5,0),"'沒有資料'")</f>
        <v>178</v>
      </c>
      <c r="U231" s="186">
        <f>IFERROR(VLOOKUP($G231,基本資料!$A:$J,9,0),"無")</f>
        <v>0</v>
      </c>
      <c r="V231" s="310">
        <f t="shared" si="49"/>
        <v>0</v>
      </c>
      <c r="W231" s="94">
        <f>IFERROR(VLOOKUP($G231,基本資料!$A:$J,10,0),"無")</f>
        <v>8.5399999999999991</v>
      </c>
      <c r="X231" s="36">
        <f>RTD("money.excel",,"1612","Price")</f>
        <v>23.2</v>
      </c>
      <c r="Y231" s="66"/>
      <c r="Z231" s="15">
        <f t="shared" si="50"/>
        <v>23.2</v>
      </c>
      <c r="AA231" s="3" t="e">
        <f t="shared" si="51"/>
        <v>#DIV/0!</v>
      </c>
      <c r="AB231" s="344">
        <f>IFERROR(VLOOKUP($G231,基本資料!$A:$M,11,0),"無")</f>
        <v>-20.059999999999999</v>
      </c>
      <c r="AC231" s="397">
        <f>IFERROR(VLOOKUP($G231,基本資料!$A:$M,12,0),"無")</f>
        <v>40.82</v>
      </c>
      <c r="AD231" s="22" t="s">
        <v>949</v>
      </c>
      <c r="AG231" s="33">
        <f t="shared" si="52"/>
        <v>0</v>
      </c>
      <c r="AH231" s="43" t="s">
        <v>1045</v>
      </c>
      <c r="AI231" s="63">
        <f t="shared" si="53"/>
        <v>1.8310126582278482E-2</v>
      </c>
      <c r="AJ231" s="284">
        <f>RTD("money.excel",,$G231,"PredictVolume")</f>
        <v>5786</v>
      </c>
      <c r="AK231" s="399">
        <f>IFERROR(VLOOKUP($G231,基本資料!$A:$M,13,0),"無")</f>
        <v>10.01</v>
      </c>
    </row>
    <row r="232" spans="1:37">
      <c r="A232" s="347">
        <f>IFERROR(VLOOKUP($G232,基本資料!$A:$J,3,0),"無")</f>
        <v>26.91</v>
      </c>
      <c r="B232" s="79">
        <f>IFERROR(VLOOKUP($G232,基本資料!$A:$J,4,0),"無")</f>
        <v>4</v>
      </c>
      <c r="C232" s="79">
        <f>IFERROR(VLOOKUP($G232,基本資料!$A:$J,5,0),"無")</f>
        <v>8</v>
      </c>
      <c r="D232" s="79">
        <f>IFERROR(VLOOKUP($G232,基本資料!$A:$J,6,0),"無")</f>
        <v>16</v>
      </c>
      <c r="E232" s="79">
        <f>IFERROR(VLOOKUP($G232,基本資料!$A:$J,7,0),"無")</f>
        <v>18</v>
      </c>
      <c r="F232" s="6">
        <f>IFERROR(VLOOKUP($G232,基本資料!$A:$J,8,0),"無")</f>
        <v>7.69</v>
      </c>
      <c r="G232" s="79">
        <v>1614</v>
      </c>
      <c r="H232" s="8" t="s">
        <v>3496</v>
      </c>
      <c r="I232" s="22" t="s">
        <v>950</v>
      </c>
      <c r="J232" s="8" t="str">
        <f>IFERROR(VLOOKUP($G232,今日總結!$A:$AJ,35,0),"")</f>
        <v/>
      </c>
      <c r="K232" s="5" t="str">
        <f>IFERROR(VLOOKUP($G232,今日總結!$A:$AJ,36,0),"")</f>
        <v/>
      </c>
      <c r="L232" s="156" t="str">
        <f>IFERROR(VLOOKUP($G232,今日總結!$A:$AJ,33,0),"")</f>
        <v/>
      </c>
      <c r="M232" s="340" t="str">
        <f>IFERROR(VLOOKUP($G232,今日總結!$A:$AJ,34,0),"")</f>
        <v/>
      </c>
      <c r="N232" s="240" t="str">
        <f t="shared" si="54"/>
        <v/>
      </c>
      <c r="P232" s="365">
        <f>IFERROR(VLOOKUP($G232,融外自投!$A:$J,7,0),"無")</f>
        <v>1326</v>
      </c>
      <c r="Q232" s="79">
        <f>IFERROR(VLOOKUP($G232,融外自投!$A:$J,9,0),"無")</f>
        <v>1110</v>
      </c>
      <c r="R232" s="346">
        <f>IFERROR(VLOOKUP($G232,融外自投!$A:$J,8,0),"無")</f>
        <v>1020</v>
      </c>
      <c r="S232" s="81" t="str">
        <f>IFERROR(VLOOKUP($G232,融外自投!$A:$J,10,0),"無")</f>
        <v>無</v>
      </c>
      <c r="T232" s="327">
        <f>IFERROR(VLOOKUP($G232,'321買'!$A:$E,5,0),"'沒有資料'")</f>
        <v>1179</v>
      </c>
      <c r="U232" s="186">
        <f>IFERROR(VLOOKUP($G232,基本資料!$A:$J,9,0),"無")</f>
        <v>1.23</v>
      </c>
      <c r="V232" s="310">
        <f t="shared" si="49"/>
        <v>3.4119278779472954E-2</v>
      </c>
      <c r="W232" s="94">
        <f>IFERROR(VLOOKUP($G232,基本資料!$A:$J,10,0),"無")</f>
        <v>1.42</v>
      </c>
      <c r="X232" s="36">
        <f>RTD("money.excel",,"1614","Price")</f>
        <v>36.049999999999997</v>
      </c>
      <c r="Y232" s="66"/>
      <c r="Z232" s="15">
        <f t="shared" si="50"/>
        <v>36.049999999999997</v>
      </c>
      <c r="AA232" s="3" t="e">
        <f t="shared" si="51"/>
        <v>#DIV/0!</v>
      </c>
      <c r="AB232" s="344">
        <f>IFERROR(VLOOKUP($G232,基本資料!$A:$M,11,0),"無")</f>
        <v>-7.61</v>
      </c>
      <c r="AC232" s="397">
        <f>IFERROR(VLOOKUP($G232,基本資料!$A:$M,12,0),"無")</f>
        <v>31.16</v>
      </c>
      <c r="AD232" s="22" t="s">
        <v>950</v>
      </c>
      <c r="AG232" s="33">
        <f t="shared" si="52"/>
        <v>0</v>
      </c>
      <c r="AH232" s="43" t="s">
        <v>2797</v>
      </c>
      <c r="AI232" s="63">
        <f t="shared" si="53"/>
        <v>1.9323671497584541E-4</v>
      </c>
      <c r="AJ232" s="284">
        <f>RTD("money.excel",,$G232,"PredictVolume")</f>
        <v>52</v>
      </c>
      <c r="AK232" s="399">
        <f>IFERROR(VLOOKUP($G232,基本資料!$A:$M,13,0),"無")</f>
        <v>0.83</v>
      </c>
    </row>
    <row r="233" spans="1:37">
      <c r="A233" s="347">
        <f>IFERROR(VLOOKUP($G233,基本資料!$A:$J,3,0),"無")</f>
        <v>13.78</v>
      </c>
      <c r="B233" s="79">
        <f>IFERROR(VLOOKUP($G233,基本資料!$A:$J,4,0),"無")</f>
        <v>37</v>
      </c>
      <c r="C233" s="79">
        <f>IFERROR(VLOOKUP($G233,基本資料!$A:$J,5,0),"無")</f>
        <v>23</v>
      </c>
      <c r="D233" s="79">
        <f>IFERROR(VLOOKUP($G233,基本資料!$A:$J,6,0),"無")</f>
        <v>-23</v>
      </c>
      <c r="E233" s="79">
        <f>IFERROR(VLOOKUP($G233,基本資料!$A:$J,7,0),"無")</f>
        <v>-58</v>
      </c>
      <c r="F233" s="6">
        <f>IFERROR(VLOOKUP($G233,基本資料!$A:$J,8,0),"無")</f>
        <v>11.02</v>
      </c>
      <c r="G233" s="79">
        <v>1615</v>
      </c>
      <c r="H233" s="8" t="s">
        <v>3496</v>
      </c>
      <c r="I233" s="22" t="s">
        <v>951</v>
      </c>
      <c r="J233" s="8" t="str">
        <f>IFERROR(VLOOKUP($G233,今日總結!$A:$AJ,35,0),"")</f>
        <v/>
      </c>
      <c r="K233" s="5" t="str">
        <f>IFERROR(VLOOKUP($G233,今日總結!$A:$AJ,36,0),"")</f>
        <v/>
      </c>
      <c r="L233" s="156" t="str">
        <f>IFERROR(VLOOKUP($G233,今日總結!$A:$AJ,33,0),"")</f>
        <v/>
      </c>
      <c r="M233" s="340" t="str">
        <f>IFERROR(VLOOKUP($G233,今日總結!$A:$AJ,34,0),"")</f>
        <v/>
      </c>
      <c r="N233" s="240" t="str">
        <f t="shared" si="54"/>
        <v/>
      </c>
      <c r="P233" s="365">
        <f>IFERROR(VLOOKUP($G233,融外自投!$A:$J,7,0),"無")</f>
        <v>1096</v>
      </c>
      <c r="Q233" s="79" t="str">
        <f>IFERROR(VLOOKUP($G233,融外自投!$A:$J,9,0),"無")</f>
        <v>無</v>
      </c>
      <c r="R233" s="346">
        <f>IFERROR(VLOOKUP($G233,融外自投!$A:$J,8,0),"無")</f>
        <v>1403</v>
      </c>
      <c r="S233" s="81" t="str">
        <f>IFERROR(VLOOKUP($G233,融外自投!$A:$J,10,0),"無")</f>
        <v>無</v>
      </c>
      <c r="T233" s="327">
        <f>IFERROR(VLOOKUP($G233,'321買'!$A:$E,5,0),"'沒有資料'")</f>
        <v>1327</v>
      </c>
      <c r="U233" s="186">
        <f>IFERROR(VLOOKUP($G233,基本資料!$A:$J,9,0),"無")</f>
        <v>0</v>
      </c>
      <c r="V233" s="310">
        <f t="shared" si="49"/>
        <v>0</v>
      </c>
      <c r="W233" s="94">
        <f>IFERROR(VLOOKUP($G233,基本資料!$A:$J,10,0),"無")</f>
        <v>3.27</v>
      </c>
      <c r="X233" s="36">
        <f>RTD("money.excel",,"1615","Price")</f>
        <v>33.5</v>
      </c>
      <c r="Y233" s="66"/>
      <c r="Z233" s="15">
        <f t="shared" si="50"/>
        <v>33.5</v>
      </c>
      <c r="AA233" s="3" t="e">
        <f t="shared" si="51"/>
        <v>#DIV/0!</v>
      </c>
      <c r="AB233" s="344">
        <f>IFERROR(VLOOKUP($G233,基本資料!$A:$M,11,0),"無")</f>
        <v>-21.51</v>
      </c>
      <c r="AC233" s="397">
        <f>IFERROR(VLOOKUP($G233,基本資料!$A:$M,12,0),"無")</f>
        <v>46.63</v>
      </c>
      <c r="AD233" s="22" t="s">
        <v>951</v>
      </c>
      <c r="AG233" s="33">
        <f t="shared" si="52"/>
        <v>0</v>
      </c>
      <c r="AH233" s="43" t="s">
        <v>2799</v>
      </c>
      <c r="AI233" s="63">
        <f t="shared" si="53"/>
        <v>1.8940493468795356E-3</v>
      </c>
      <c r="AJ233" s="284">
        <f>RTD("money.excel",,$G233,"PredictVolume")</f>
        <v>261</v>
      </c>
      <c r="AK233" s="399">
        <f>IFERROR(VLOOKUP($G233,基本資料!$A:$M,13,0),"無")</f>
        <v>6.73</v>
      </c>
    </row>
    <row r="234" spans="1:37">
      <c r="A234" s="347">
        <f>IFERROR(VLOOKUP($G234,基本資料!$A:$J,3,0),"無")</f>
        <v>19.41</v>
      </c>
      <c r="B234" s="79">
        <f>IFERROR(VLOOKUP($G234,基本資料!$A:$J,4,0),"無")</f>
        <v>5452</v>
      </c>
      <c r="C234" s="79">
        <f>IFERROR(VLOOKUP($G234,基本資料!$A:$J,5,0),"無")</f>
        <v>502</v>
      </c>
      <c r="D234" s="79">
        <f>IFERROR(VLOOKUP($G234,基本資料!$A:$J,6,0),"無")</f>
        <v>47</v>
      </c>
      <c r="E234" s="79">
        <f>IFERROR(VLOOKUP($G234,基本資料!$A:$J,7,0),"無")</f>
        <v>40</v>
      </c>
      <c r="F234" s="6">
        <f>IFERROR(VLOOKUP($G234,基本資料!$A:$J,8,0),"無")</f>
        <v>3.79</v>
      </c>
      <c r="G234" s="79">
        <v>1616</v>
      </c>
      <c r="H234" s="8" t="s">
        <v>3496</v>
      </c>
      <c r="I234" s="22" t="s">
        <v>952</v>
      </c>
      <c r="J234" s="8" t="str">
        <f>IFERROR(VLOOKUP($G234,今日總結!$A:$AJ,35,0),"")</f>
        <v/>
      </c>
      <c r="K234" s="5" t="str">
        <f>IFERROR(VLOOKUP($G234,今日總結!$A:$AJ,36,0),"")</f>
        <v/>
      </c>
      <c r="L234" s="156" t="str">
        <f>IFERROR(VLOOKUP($G234,今日總結!$A:$AJ,33,0),"")</f>
        <v/>
      </c>
      <c r="M234" s="340" t="str">
        <f>IFERROR(VLOOKUP($G234,今日總結!$A:$AJ,34,0),"")</f>
        <v/>
      </c>
      <c r="N234" s="240" t="str">
        <f t="shared" si="54"/>
        <v/>
      </c>
      <c r="P234" s="365" t="str">
        <f>IFERROR(VLOOKUP($G234,融外自投!$A:$J,7,0),"無")</f>
        <v>無</v>
      </c>
      <c r="Q234" s="79" t="str">
        <f>IFERROR(VLOOKUP($G234,融外自投!$A:$J,9,0),"無")</f>
        <v>無</v>
      </c>
      <c r="R234" s="346" t="str">
        <f>IFERROR(VLOOKUP($G234,融外自投!$A:$J,8,0),"無")</f>
        <v>無</v>
      </c>
      <c r="S234" s="81" t="str">
        <f>IFERROR(VLOOKUP($G234,融外自投!$A:$J,10,0),"無")</f>
        <v>無</v>
      </c>
      <c r="T234" s="327" t="str">
        <f>IFERROR(VLOOKUP($G234,'321買'!$A:$E,5,0),"'沒有資料'")</f>
        <v>'沒有資料'</v>
      </c>
      <c r="U234" s="186">
        <f>IFERROR(VLOOKUP($G234,基本資料!$A:$J,9,0),"無")</f>
        <v>0</v>
      </c>
      <c r="V234" s="310">
        <f t="shared" si="49"/>
        <v>0</v>
      </c>
      <c r="W234" s="94">
        <f>IFERROR(VLOOKUP($G234,基本資料!$A:$J,10,0),"無")</f>
        <v>0.5</v>
      </c>
      <c r="X234" s="36">
        <f>RTD("money.excel",,"1616","Price")</f>
        <v>9.02</v>
      </c>
      <c r="Y234" s="66"/>
      <c r="Z234" s="15">
        <f t="shared" si="50"/>
        <v>9.02</v>
      </c>
      <c r="AA234" s="3" t="e">
        <f t="shared" si="51"/>
        <v>#DIV/0!</v>
      </c>
      <c r="AB234" s="344">
        <f>IFERROR(VLOOKUP($G234,基本資料!$A:$M,11,0),"無")</f>
        <v>-31.39</v>
      </c>
      <c r="AC234" s="397">
        <f>IFERROR(VLOOKUP($G234,基本資料!$A:$M,12,0),"無")</f>
        <v>17.63</v>
      </c>
      <c r="AD234" s="22" t="s">
        <v>952</v>
      </c>
      <c r="AG234" s="33">
        <f t="shared" si="52"/>
        <v>0</v>
      </c>
      <c r="AH234" s="43" t="s">
        <v>2799</v>
      </c>
      <c r="AI234" s="63">
        <f t="shared" si="53"/>
        <v>3.0036063884595569E-3</v>
      </c>
      <c r="AJ234" s="284">
        <f>RTD("money.excel",,$G234,"PredictVolume")</f>
        <v>583</v>
      </c>
      <c r="AK234" s="399">
        <f>IFERROR(VLOOKUP($G234,基本資料!$A:$M,13,0),"無")</f>
        <v>8.4</v>
      </c>
    </row>
    <row r="235" spans="1:37">
      <c r="A235" s="347">
        <f>IFERROR(VLOOKUP($G235,基本資料!$A:$J,3,0),"無")</f>
        <v>15.77</v>
      </c>
      <c r="B235" s="79">
        <f>IFERROR(VLOOKUP($G235,基本資料!$A:$J,4,0),"無")</f>
        <v>40</v>
      </c>
      <c r="C235" s="79">
        <f>IFERROR(VLOOKUP($G235,基本資料!$A:$J,5,0),"無")</f>
        <v>39</v>
      </c>
      <c r="D235" s="79">
        <f>IFERROR(VLOOKUP($G235,基本資料!$A:$J,6,0),"無")</f>
        <v>55</v>
      </c>
      <c r="E235" s="79">
        <f>IFERROR(VLOOKUP($G235,基本資料!$A:$J,7,0),"無")</f>
        <v>-9</v>
      </c>
      <c r="F235" s="6">
        <f>IFERROR(VLOOKUP($G235,基本資料!$A:$J,8,0),"無")</f>
        <v>5.83</v>
      </c>
      <c r="G235" s="79">
        <v>1617</v>
      </c>
      <c r="H235" s="8" t="s">
        <v>3496</v>
      </c>
      <c r="I235" s="22" t="s">
        <v>953</v>
      </c>
      <c r="J235" s="8" t="str">
        <f>IFERROR(VLOOKUP($G235,今日總結!$A:$AJ,35,0),"")</f>
        <v/>
      </c>
      <c r="K235" s="5" t="str">
        <f>IFERROR(VLOOKUP($G235,今日總結!$A:$AJ,36,0),"")</f>
        <v/>
      </c>
      <c r="L235" s="156" t="str">
        <f>IFERROR(VLOOKUP($G235,今日總結!$A:$AJ,33,0),"")</f>
        <v/>
      </c>
      <c r="M235" s="340" t="str">
        <f>IFERROR(VLOOKUP($G235,今日總結!$A:$AJ,34,0),"")</f>
        <v/>
      </c>
      <c r="N235" s="240" t="str">
        <f t="shared" si="54"/>
        <v/>
      </c>
      <c r="P235" s="365">
        <f>IFERROR(VLOOKUP($G235,融外自投!$A:$J,7,0),"無")</f>
        <v>1198</v>
      </c>
      <c r="Q235" s="79">
        <f>IFERROR(VLOOKUP($G235,融外自投!$A:$J,9,0),"無")</f>
        <v>824</v>
      </c>
      <c r="R235" s="346">
        <f>IFERROR(VLOOKUP($G235,融外自投!$A:$J,8,0),"無")</f>
        <v>266</v>
      </c>
      <c r="S235" s="81" t="str">
        <f>IFERROR(VLOOKUP($G235,融外自投!$A:$J,10,0),"無")</f>
        <v>無</v>
      </c>
      <c r="T235" s="327">
        <f>IFERROR(VLOOKUP($G235,'321買'!$A:$E,5,0),"'沒有資料'")</f>
        <v>1259</v>
      </c>
      <c r="U235" s="186">
        <f>IFERROR(VLOOKUP($G235,基本資料!$A:$J,9,0),"無")</f>
        <v>0.9</v>
      </c>
      <c r="V235" s="310">
        <f t="shared" si="49"/>
        <v>5.4054054054054057E-2</v>
      </c>
      <c r="W235" s="94">
        <f>IFERROR(VLOOKUP($G235,基本資料!$A:$J,10,0),"無")</f>
        <v>1.45</v>
      </c>
      <c r="X235" s="36">
        <f>RTD("money.excel",,"1617","Price")</f>
        <v>16.649999999999999</v>
      </c>
      <c r="Y235" s="66"/>
      <c r="Z235" s="15">
        <f t="shared" si="50"/>
        <v>16.649999999999999</v>
      </c>
      <c r="AA235" s="3" t="e">
        <f t="shared" si="51"/>
        <v>#DIV/0!</v>
      </c>
      <c r="AB235" s="344">
        <f>IFERROR(VLOOKUP($G235,基本資料!$A:$M,11,0),"無")</f>
        <v>-21.96</v>
      </c>
      <c r="AC235" s="397">
        <f>IFERROR(VLOOKUP($G235,基本資料!$A:$M,12,0),"無")</f>
        <v>24.53</v>
      </c>
      <c r="AD235" s="22" t="s">
        <v>953</v>
      </c>
      <c r="AG235" s="33">
        <f t="shared" si="52"/>
        <v>0</v>
      </c>
      <c r="AH235" s="43" t="s">
        <v>2670</v>
      </c>
      <c r="AI235" s="63">
        <f t="shared" si="53"/>
        <v>1.9657577679137604E-4</v>
      </c>
      <c r="AJ235" s="284">
        <f>RTD("money.excel",,$G235,"PredictVolume")</f>
        <v>31</v>
      </c>
      <c r="AK235" s="399">
        <f>IFERROR(VLOOKUP($G235,基本資料!$A:$M,13,0),"無")</f>
        <v>4.97</v>
      </c>
    </row>
    <row r="236" spans="1:37">
      <c r="A236" s="347">
        <f>IFERROR(VLOOKUP($G236,基本資料!$A:$J,3,0),"無")</f>
        <v>19.260000000000002</v>
      </c>
      <c r="B236" s="79">
        <f>IFERROR(VLOOKUP($G236,基本資料!$A:$J,4,0),"無")</f>
        <v>-3</v>
      </c>
      <c r="C236" s="79">
        <f>IFERROR(VLOOKUP($G236,基本資料!$A:$J,5,0),"無")</f>
        <v>4</v>
      </c>
      <c r="D236" s="79">
        <f>IFERROR(VLOOKUP($G236,基本資料!$A:$J,6,0),"無")</f>
        <v>-63</v>
      </c>
      <c r="E236" s="79">
        <f>IFERROR(VLOOKUP($G236,基本資料!$A:$J,7,0),"無")</f>
        <v>-30</v>
      </c>
      <c r="F236" s="6">
        <f>IFERROR(VLOOKUP($G236,基本資料!$A:$J,8,0),"無")</f>
        <v>8.9499999999999993</v>
      </c>
      <c r="G236" s="79">
        <v>1618</v>
      </c>
      <c r="H236" s="8" t="s">
        <v>3496</v>
      </c>
      <c r="I236" s="22" t="s">
        <v>954</v>
      </c>
      <c r="J236" s="8">
        <f>IFERROR(VLOOKUP($G236,今日總結!$A:$AJ,35,0),"")</f>
        <v>0</v>
      </c>
      <c r="K236" s="5" t="str">
        <f>IFERROR(VLOOKUP($G236,今日總結!$A:$AJ,36,0),"")</f>
        <v>外</v>
      </c>
      <c r="L236" s="156">
        <f>IFERROR(VLOOKUP($G236,今日總結!$A:$AJ,33,0),"")</f>
        <v>0</v>
      </c>
      <c r="M236" s="340">
        <f>IFERROR(VLOOKUP($G236,今日總結!$A:$AJ,34,0),"")</f>
        <v>1</v>
      </c>
      <c r="N236" s="240">
        <f t="shared" si="54"/>
        <v>-1</v>
      </c>
      <c r="P236" s="365">
        <f>IFERROR(VLOOKUP($G236,融外自投!$A:$J,7,0),"無")</f>
        <v>376</v>
      </c>
      <c r="Q236" s="79">
        <f>IFERROR(VLOOKUP($G236,融外自投!$A:$J,9,0),"無")</f>
        <v>683</v>
      </c>
      <c r="R236" s="346">
        <f>IFERROR(VLOOKUP($G236,融外自投!$A:$J,8,0),"無")</f>
        <v>1241</v>
      </c>
      <c r="S236" s="81" t="str">
        <f>IFERROR(VLOOKUP($G236,融外自投!$A:$J,10,0),"無")</f>
        <v>無</v>
      </c>
      <c r="T236" s="327">
        <f>IFERROR(VLOOKUP($G236,'321買'!$A:$E,5,0),"'沒有資料'")</f>
        <v>1038</v>
      </c>
      <c r="U236" s="186">
        <f>IFERROR(VLOOKUP($G236,基本資料!$A:$J,9,0),"無")</f>
        <v>0</v>
      </c>
      <c r="V236" s="310">
        <f t="shared" si="49"/>
        <v>0</v>
      </c>
      <c r="W236" s="94">
        <f>IFERROR(VLOOKUP($G236,基本資料!$A:$J,10,0),"無")</f>
        <v>1.04</v>
      </c>
      <c r="X236" s="36">
        <f>RTD("money.excel",,"1618","Price")</f>
        <v>12.5</v>
      </c>
      <c r="Y236" s="66"/>
      <c r="Z236" s="15">
        <f t="shared" si="50"/>
        <v>12.5</v>
      </c>
      <c r="AA236" s="3" t="e">
        <f t="shared" si="51"/>
        <v>#DIV/0!</v>
      </c>
      <c r="AB236" s="344">
        <f>IFERROR(VLOOKUP($G236,基本資料!$A:$M,11,0),"無")</f>
        <v>-32.11</v>
      </c>
      <c r="AC236" s="397">
        <f>IFERROR(VLOOKUP($G236,基本資料!$A:$M,12,0),"無")</f>
        <v>32.53</v>
      </c>
      <c r="AD236" s="22" t="s">
        <v>954</v>
      </c>
      <c r="AG236" s="33">
        <f t="shared" si="52"/>
        <v>0</v>
      </c>
      <c r="AH236" s="43" t="s">
        <v>2799</v>
      </c>
      <c r="AI236" s="63">
        <f t="shared" si="53"/>
        <v>2.0404984423676008E-3</v>
      </c>
      <c r="AJ236" s="284">
        <f>RTD("money.excel",,$G236,"PredictVolume")</f>
        <v>393</v>
      </c>
      <c r="AK236" s="399">
        <f>IFERROR(VLOOKUP($G236,基本資料!$A:$M,13,0),"無")</f>
        <v>14.96</v>
      </c>
    </row>
    <row r="237" spans="1:37">
      <c r="A237" s="347">
        <f>IFERROR(VLOOKUP($G237,基本資料!$A:$J,3,0),"無")</f>
        <v>14.55</v>
      </c>
      <c r="B237" s="79">
        <f>IFERROR(VLOOKUP($G237,基本資料!$A:$J,4,0),"無")</f>
        <v>-296</v>
      </c>
      <c r="C237" s="79">
        <f>IFERROR(VLOOKUP($G237,基本資料!$A:$J,5,0),"無")</f>
        <v>-265</v>
      </c>
      <c r="D237" s="79">
        <f>IFERROR(VLOOKUP($G237,基本資料!$A:$J,6,0),"無")</f>
        <v>219</v>
      </c>
      <c r="E237" s="79">
        <f>IFERROR(VLOOKUP($G237,基本資料!$A:$J,7,0),"無")</f>
        <v>-25</v>
      </c>
      <c r="F237" s="6">
        <f>IFERROR(VLOOKUP($G237,基本資料!$A:$J,8,0),"無")</f>
        <v>-3.6</v>
      </c>
      <c r="G237" s="79">
        <v>1626</v>
      </c>
      <c r="H237" s="8" t="s">
        <v>3496</v>
      </c>
      <c r="I237" s="22" t="s">
        <v>1118</v>
      </c>
      <c r="J237" s="8" t="str">
        <f>IFERROR(VLOOKUP($G237,今日總結!$A:$AJ,35,0),"")</f>
        <v>融</v>
      </c>
      <c r="K237" s="5">
        <f>IFERROR(VLOOKUP($G237,今日總結!$A:$AJ,36,0),"")</f>
        <v>0</v>
      </c>
      <c r="L237" s="156">
        <f>IFERROR(VLOOKUP($G237,今日總結!$A:$AJ,33,0),"")</f>
        <v>1</v>
      </c>
      <c r="M237" s="340">
        <f>IFERROR(VLOOKUP($G237,今日總結!$A:$AJ,34,0),"")</f>
        <v>0</v>
      </c>
      <c r="N237" s="240">
        <f t="shared" si="54"/>
        <v>1</v>
      </c>
      <c r="P237" s="365">
        <f>IFERROR(VLOOKUP($G237,融外自投!$A:$J,7,0),"無")</f>
        <v>558</v>
      </c>
      <c r="Q237" s="79">
        <f>IFERROR(VLOOKUP($G237,融外自投!$A:$J,9,0),"無")</f>
        <v>824</v>
      </c>
      <c r="R237" s="346">
        <f>IFERROR(VLOOKUP($G237,融外自投!$A:$J,8,0),"無")</f>
        <v>95</v>
      </c>
      <c r="S237" s="81" t="str">
        <f>IFERROR(VLOOKUP($G237,融外自投!$A:$J,10,0),"無")</f>
        <v>無</v>
      </c>
      <c r="T237" s="327">
        <f>IFERROR(VLOOKUP($G237,'321買'!$A:$E,5,0),"'沒有資料'")</f>
        <v>281</v>
      </c>
      <c r="U237" s="186">
        <f>IFERROR(VLOOKUP($G237,基本資料!$A:$J,9,0),"無")</f>
        <v>0</v>
      </c>
      <c r="V237" s="310">
        <f t="shared" si="49"/>
        <v>0</v>
      </c>
      <c r="W237" s="94">
        <f>IFERROR(VLOOKUP($G237,基本資料!$A:$J,10,0),"無")</f>
        <v>-2.11</v>
      </c>
      <c r="X237" s="36">
        <f>RTD("money.excel",,"1626","Price")</f>
        <v>20.25</v>
      </c>
      <c r="Y237" s="66"/>
      <c r="Z237" s="15">
        <f t="shared" si="50"/>
        <v>20.25</v>
      </c>
      <c r="AA237" s="3" t="e">
        <f t="shared" si="51"/>
        <v>#DIV/0!</v>
      </c>
      <c r="AB237" s="344">
        <f>IFERROR(VLOOKUP($G237,基本資料!$A:$M,11,0),"無")</f>
        <v>-29.29</v>
      </c>
      <c r="AC237" s="397">
        <f>IFERROR(VLOOKUP($G237,基本資料!$A:$M,12,0),"無")</f>
        <v>35.090000000000003</v>
      </c>
      <c r="AD237" s="22" t="s">
        <v>1118</v>
      </c>
      <c r="AG237" s="33">
        <f t="shared" si="52"/>
        <v>0</v>
      </c>
      <c r="AH237" s="43" t="s">
        <v>2579</v>
      </c>
      <c r="AI237" s="63">
        <f t="shared" si="53"/>
        <v>4.0549828178694156E-4</v>
      </c>
      <c r="AJ237" s="284">
        <f>RTD("money.excel",,$G237,"PredictVolume")</f>
        <v>59</v>
      </c>
      <c r="AK237" s="399">
        <f>IFERROR(VLOOKUP($G237,基本資料!$A:$M,13,0),"無")</f>
        <v>1.19</v>
      </c>
    </row>
    <row r="238" spans="1:37">
      <c r="A238" s="347">
        <f>IFERROR(VLOOKUP($G238,基本資料!$A:$J,3,0),"無")</f>
        <v>4.6900000000000004</v>
      </c>
      <c r="B238" s="79">
        <f>IFERROR(VLOOKUP($G238,基本資料!$A:$J,4,0),"無")</f>
        <v>1877</v>
      </c>
      <c r="C238" s="79">
        <f>IFERROR(VLOOKUP($G238,基本資料!$A:$J,5,0),"無")</f>
        <v>325</v>
      </c>
      <c r="D238" s="79">
        <f>IFERROR(VLOOKUP($G238,基本資料!$A:$J,6,0),"無")</f>
        <v>0</v>
      </c>
      <c r="E238" s="79">
        <f>IFERROR(VLOOKUP($G238,基本資料!$A:$J,7,0),"無")</f>
        <v>-10</v>
      </c>
      <c r="F238" s="6">
        <f>IFERROR(VLOOKUP($G238,基本資料!$A:$J,8,0),"無")</f>
        <v>2.59</v>
      </c>
      <c r="G238" s="79">
        <v>2061</v>
      </c>
      <c r="H238" s="8" t="s">
        <v>3496</v>
      </c>
      <c r="I238" s="16" t="s">
        <v>943</v>
      </c>
      <c r="J238" s="8" t="str">
        <f>IFERROR(VLOOKUP($G238,今日總結!$A:$AJ,35,0),"")</f>
        <v/>
      </c>
      <c r="K238" s="5" t="str">
        <f>IFERROR(VLOOKUP($G238,今日總結!$A:$AJ,36,0),"")</f>
        <v/>
      </c>
      <c r="L238" s="156" t="str">
        <f>IFERROR(VLOOKUP($G238,今日總結!$A:$AJ,33,0),"")</f>
        <v/>
      </c>
      <c r="M238" s="340" t="str">
        <f>IFERROR(VLOOKUP($G238,今日總結!$A:$AJ,34,0),"")</f>
        <v/>
      </c>
      <c r="N238" s="240" t="str">
        <f t="shared" si="48"/>
        <v/>
      </c>
      <c r="P238" s="365">
        <f>IFERROR(VLOOKUP($G238,融外自投!$A:$J,7,0),"無")</f>
        <v>1388</v>
      </c>
      <c r="Q238" s="79" t="str">
        <f>IFERROR(VLOOKUP($G238,融外自投!$A:$J,9,0),"無")</f>
        <v>無</v>
      </c>
      <c r="R238" s="346">
        <f>IFERROR(VLOOKUP($G238,融外自投!$A:$J,8,0),"無")</f>
        <v>1467</v>
      </c>
      <c r="S238" s="81" t="str">
        <f>IFERROR(VLOOKUP($G238,融外自投!$A:$J,10,0),"無")</f>
        <v>無</v>
      </c>
      <c r="T238" s="327" t="str">
        <f>IFERROR(VLOOKUP($G238,'321買'!$A:$E,5,0),"'沒有資料'")</f>
        <v>'沒有資料'</v>
      </c>
      <c r="U238" s="186">
        <f>IFERROR(VLOOKUP($G238,基本資料!$A:$J,9,0),"無")</f>
        <v>1</v>
      </c>
      <c r="V238" s="310">
        <f t="shared" si="49"/>
        <v>5.4054054054054057E-2</v>
      </c>
      <c r="W238" s="94">
        <f>IFERROR(VLOOKUP($G238,基本資料!$A:$J,10,0),"無")</f>
        <v>2.37</v>
      </c>
      <c r="X238" s="36">
        <f>RTD("money.excel",,"2061","Price")</f>
        <v>18.5</v>
      </c>
      <c r="Y238" s="66"/>
      <c r="Z238" s="15">
        <f t="shared" si="50"/>
        <v>18.5</v>
      </c>
      <c r="AA238" s="3" t="e">
        <f t="shared" si="51"/>
        <v>#DIV/0!</v>
      </c>
      <c r="AB238" s="344">
        <f>IFERROR(VLOOKUP($G238,基本資料!$A:$M,11,0),"無")</f>
        <v>-27.74</v>
      </c>
      <c r="AC238" s="397">
        <f>IFERROR(VLOOKUP($G238,基本資料!$A:$M,12,0),"無")</f>
        <v>30.96</v>
      </c>
      <c r="AD238" s="16" t="s">
        <v>943</v>
      </c>
      <c r="AG238" s="33">
        <f t="shared" si="52"/>
        <v>0</v>
      </c>
      <c r="AH238" s="43" t="s">
        <v>2670</v>
      </c>
      <c r="AI238" s="63">
        <f t="shared" si="53"/>
        <v>8.1023454157782508E-4</v>
      </c>
      <c r="AJ238" s="284">
        <f>RTD("money.excel",,$G238,"PredictVolume")</f>
        <v>38</v>
      </c>
      <c r="AK238" s="399">
        <f>IFERROR(VLOOKUP($G238,基本資料!$A:$M,13,0),"無")</f>
        <v>3.89</v>
      </c>
    </row>
    <row r="239" spans="1:37">
      <c r="A239" s="347">
        <f>IFERROR(VLOOKUP($G239,基本資料!$A:$J,3,0),"無")</f>
        <v>4.79</v>
      </c>
      <c r="B239" s="79">
        <f>IFERROR(VLOOKUP($G239,基本資料!$A:$J,4,0),"無")</f>
        <v>63</v>
      </c>
      <c r="C239" s="79">
        <f>IFERROR(VLOOKUP($G239,基本資料!$A:$J,5,0),"無")</f>
        <v>15</v>
      </c>
      <c r="D239" s="79">
        <f>IFERROR(VLOOKUP($G239,基本資料!$A:$J,6,0),"無")</f>
        <v>308</v>
      </c>
      <c r="E239" s="79">
        <f>IFERROR(VLOOKUP($G239,基本資料!$A:$J,7,0),"無")</f>
        <v>-2</v>
      </c>
      <c r="F239" s="6">
        <f>IFERROR(VLOOKUP($G239,基本資料!$A:$J,8,0),"無")</f>
        <v>-13.09</v>
      </c>
      <c r="G239" s="79">
        <v>4609</v>
      </c>
      <c r="H239" s="8" t="s">
        <v>3496</v>
      </c>
      <c r="I239" s="16" t="s">
        <v>944</v>
      </c>
      <c r="J239" s="8" t="str">
        <f>IFERROR(VLOOKUP($G239,今日總結!$A:$AJ,35,0),"")</f>
        <v/>
      </c>
      <c r="K239" s="5" t="str">
        <f>IFERROR(VLOOKUP($G239,今日總結!$A:$AJ,36,0),"")</f>
        <v/>
      </c>
      <c r="L239" s="156" t="str">
        <f>IFERROR(VLOOKUP($G239,今日總結!$A:$AJ,33,0),"")</f>
        <v/>
      </c>
      <c r="M239" s="340" t="str">
        <f>IFERROR(VLOOKUP($G239,今日總結!$A:$AJ,34,0),"")</f>
        <v/>
      </c>
      <c r="N239" s="240" t="str">
        <f t="shared" ref="N239:N241" si="55">IFERROR(L239-M239,"")</f>
        <v/>
      </c>
      <c r="O239" s="7"/>
      <c r="P239" s="365" t="str">
        <f>IFERROR(VLOOKUP($G239,融外自投!$A:$J,7,0),"無")</f>
        <v>無</v>
      </c>
      <c r="Q239" s="79" t="str">
        <f>IFERROR(VLOOKUP($G239,融外自投!$A:$J,9,0),"無")</f>
        <v>無</v>
      </c>
      <c r="R239" s="346" t="str">
        <f>IFERROR(VLOOKUP($G239,融外自投!$A:$J,8,0),"無")</f>
        <v>無</v>
      </c>
      <c r="S239" s="81" t="str">
        <f>IFERROR(VLOOKUP($G239,融外自投!$A:$J,10,0),"無")</f>
        <v>無</v>
      </c>
      <c r="T239" s="327" t="str">
        <f>IFERROR(VLOOKUP($G239,'321買'!$A:$E,5,0),"'沒有資料'")</f>
        <v>'沒有資料'</v>
      </c>
      <c r="U239" s="186">
        <f>IFERROR(VLOOKUP($G239,基本資料!$A:$J,9,0),"無")</f>
        <v>0</v>
      </c>
      <c r="V239" s="310" t="e">
        <f t="shared" si="49"/>
        <v>#VALUE!</v>
      </c>
      <c r="W239" s="94">
        <f>IFERROR(VLOOKUP($G239,基本資料!$A:$J,10,0),"無")</f>
        <v>-0.39</v>
      </c>
      <c r="X239" s="36" t="str">
        <f>RTD("money.excel",,"4609","Price")</f>
        <v>無資料</v>
      </c>
      <c r="Y239" s="66"/>
      <c r="Z239" s="15" t="e">
        <f t="shared" si="50"/>
        <v>#VALUE!</v>
      </c>
      <c r="AA239" s="3" t="e">
        <f t="shared" si="51"/>
        <v>#VALUE!</v>
      </c>
      <c r="AB239" s="344">
        <f>IFERROR(VLOOKUP($G239,基本資料!$A:$M,11,0),"無")</f>
        <v>-14.22</v>
      </c>
      <c r="AC239" s="397">
        <f>IFERROR(VLOOKUP($G239,基本資料!$A:$M,12,0),"無")</f>
        <v>32.299999999999997</v>
      </c>
      <c r="AD239" s="16" t="s">
        <v>944</v>
      </c>
      <c r="AG239" s="33">
        <f t="shared" si="52"/>
        <v>0</v>
      </c>
      <c r="AH239" s="43" t="s">
        <v>2579</v>
      </c>
      <c r="AI239" s="63">
        <f t="shared" si="53"/>
        <v>0</v>
      </c>
      <c r="AJ239" s="284">
        <f>RTD("money.excel",,$G239,"PredictVolume")</f>
        <v>0</v>
      </c>
      <c r="AK239" s="399">
        <f>IFERROR(VLOOKUP($G239,基本資料!$A:$M,13,0),"無")</f>
        <v>1.23</v>
      </c>
    </row>
    <row r="240" spans="1:37">
      <c r="A240" s="347">
        <f>IFERROR(VLOOKUP($G240,基本資料!$A:$J,3,0),"無")</f>
        <v>8</v>
      </c>
      <c r="B240" s="79">
        <f>IFERROR(VLOOKUP($G240,基本資料!$A:$J,4,0),"無")</f>
        <v>23</v>
      </c>
      <c r="C240" s="79">
        <f>IFERROR(VLOOKUP($G240,基本資料!$A:$J,5,0),"無")</f>
        <v>-14</v>
      </c>
      <c r="D240" s="79">
        <f>IFERROR(VLOOKUP($G240,基本資料!$A:$J,6,0),"無")</f>
        <v>51</v>
      </c>
      <c r="E240" s="79">
        <f>IFERROR(VLOOKUP($G240,基本資料!$A:$J,7,0),"無")</f>
        <v>-20</v>
      </c>
      <c r="F240" s="6">
        <f>IFERROR(VLOOKUP($G240,基本資料!$A:$J,8,0),"無")</f>
        <v>6.7</v>
      </c>
      <c r="G240" s="79">
        <v>4930</v>
      </c>
      <c r="H240" s="8" t="s">
        <v>3496</v>
      </c>
      <c r="I240" s="22" t="s">
        <v>955</v>
      </c>
      <c r="J240" s="8" t="str">
        <f>IFERROR(VLOOKUP($G240,今日總結!$A:$AJ,35,0),"")</f>
        <v/>
      </c>
      <c r="K240" s="5" t="str">
        <f>IFERROR(VLOOKUP($G240,今日總結!$A:$AJ,36,0),"")</f>
        <v/>
      </c>
      <c r="L240" s="156" t="str">
        <f>IFERROR(VLOOKUP($G240,今日總結!$A:$AJ,33,0),"")</f>
        <v/>
      </c>
      <c r="M240" s="340" t="str">
        <f>IFERROR(VLOOKUP($G240,今日總結!$A:$AJ,34,0),"")</f>
        <v/>
      </c>
      <c r="N240" s="240" t="str">
        <f t="shared" si="55"/>
        <v/>
      </c>
      <c r="P240" s="365">
        <f>IFERROR(VLOOKUP($G240,融外自投!$A:$J,7,0),"無")</f>
        <v>356</v>
      </c>
      <c r="Q240" s="79">
        <f>IFERROR(VLOOKUP($G240,融外自投!$A:$J,9,0),"無")</f>
        <v>370</v>
      </c>
      <c r="R240" s="346">
        <f>IFERROR(VLOOKUP($G240,融外自投!$A:$J,8,0),"無")</f>
        <v>771</v>
      </c>
      <c r="S240" s="81" t="str">
        <f>IFERROR(VLOOKUP($G240,融外自投!$A:$J,10,0),"無")</f>
        <v>無</v>
      </c>
      <c r="T240" s="327">
        <f>IFERROR(VLOOKUP($G240,'321買'!$A:$E,5,0),"'沒有資料'")</f>
        <v>779</v>
      </c>
      <c r="U240" s="186">
        <f>IFERROR(VLOOKUP($G240,基本資料!$A:$J,9,0),"無")</f>
        <v>4.8</v>
      </c>
      <c r="V240" s="310">
        <f t="shared" si="49"/>
        <v>0.19161676646706585</v>
      </c>
      <c r="W240" s="94">
        <f>IFERROR(VLOOKUP($G240,基本資料!$A:$J,10,0),"無")</f>
        <v>3.19</v>
      </c>
      <c r="X240" s="36">
        <f>RTD("money.excel",,"4930","Price")</f>
        <v>25.05</v>
      </c>
      <c r="Y240" s="66"/>
      <c r="Z240" s="15">
        <f t="shared" si="50"/>
        <v>25.05</v>
      </c>
      <c r="AA240" s="3" t="e">
        <f t="shared" si="51"/>
        <v>#DIV/0!</v>
      </c>
      <c r="AB240" s="344">
        <f>IFERROR(VLOOKUP($G240,基本資料!$A:$M,11,0),"無")</f>
        <v>-33.85</v>
      </c>
      <c r="AC240" s="397">
        <f>IFERROR(VLOOKUP($G240,基本資料!$A:$M,12,0),"無")</f>
        <v>21.15</v>
      </c>
      <c r="AD240" s="22" t="s">
        <v>955</v>
      </c>
      <c r="AG240" s="33">
        <f t="shared" si="52"/>
        <v>0</v>
      </c>
      <c r="AH240" s="43" t="s">
        <v>2801</v>
      </c>
      <c r="AI240" s="63">
        <f t="shared" si="53"/>
        <v>2.4499999999999999E-3</v>
      </c>
      <c r="AJ240" s="284">
        <f>RTD("money.excel",,$G240,"PredictVolume")</f>
        <v>196</v>
      </c>
      <c r="AK240" s="399">
        <f>IFERROR(VLOOKUP($G240,基本資料!$A:$M,13,0),"無")</f>
        <v>10.74</v>
      </c>
    </row>
    <row r="241" spans="1:37">
      <c r="A241" s="347">
        <f>IFERROR(VLOOKUP($G241,基本資料!$A:$J,3,0),"無")</f>
        <v>7.3</v>
      </c>
      <c r="B241" s="79">
        <f>IFERROR(VLOOKUP($G241,基本資料!$A:$J,4,0),"無")</f>
        <v>-17</v>
      </c>
      <c r="C241" s="79">
        <f>IFERROR(VLOOKUP($G241,基本資料!$A:$J,5,0),"無")</f>
        <v>-23</v>
      </c>
      <c r="D241" s="79">
        <f>IFERROR(VLOOKUP($G241,基本資料!$A:$J,6,0),"無")</f>
        <v>116</v>
      </c>
      <c r="E241" s="79">
        <f>IFERROR(VLOOKUP($G241,基本資料!$A:$J,7,0),"無")</f>
        <v>52</v>
      </c>
      <c r="F241" s="6">
        <f>IFERROR(VLOOKUP($G241,基本資料!$A:$J,8,0),"無")</f>
        <v>13.2</v>
      </c>
      <c r="G241" s="79">
        <v>5283</v>
      </c>
      <c r="H241" s="8" t="s">
        <v>3496</v>
      </c>
      <c r="I241" s="22" t="s">
        <v>1688</v>
      </c>
      <c r="J241" s="8" t="str">
        <f>IFERROR(VLOOKUP($G241,今日總結!$A:$AJ,35,0),"")</f>
        <v/>
      </c>
      <c r="K241" s="5" t="str">
        <f>IFERROR(VLOOKUP($G241,今日總結!$A:$AJ,36,0),"")</f>
        <v/>
      </c>
      <c r="L241" s="156" t="str">
        <f>IFERROR(VLOOKUP($G241,今日總結!$A:$AJ,33,0),"")</f>
        <v/>
      </c>
      <c r="M241" s="340" t="str">
        <f>IFERROR(VLOOKUP($G241,今日總結!$A:$AJ,34,0),"")</f>
        <v/>
      </c>
      <c r="N241" s="240" t="str">
        <f t="shared" si="55"/>
        <v/>
      </c>
      <c r="P241" s="365">
        <f>IFERROR(VLOOKUP($G241,融外自投!$A:$J,7,0),"無")</f>
        <v>1347</v>
      </c>
      <c r="Q241" s="79">
        <f>IFERROR(VLOOKUP($G241,融外自投!$A:$J,9,0),"無")</f>
        <v>485</v>
      </c>
      <c r="R241" s="346">
        <f>IFERROR(VLOOKUP($G241,融外自投!$A:$J,8,0),"無")</f>
        <v>1141</v>
      </c>
      <c r="S241" s="81" t="str">
        <f>IFERROR(VLOOKUP($G241,融外自投!$A:$J,10,0),"無")</f>
        <v>無</v>
      </c>
      <c r="T241" s="327">
        <f>IFERROR(VLOOKUP($G241,'321買'!$A:$E,5,0),"'沒有資料'")</f>
        <v>1383</v>
      </c>
      <c r="U241" s="186">
        <f>IFERROR(VLOOKUP($G241,基本資料!$A:$J,9,0),"無")</f>
        <v>8</v>
      </c>
      <c r="V241" s="310">
        <f t="shared" si="49"/>
        <v>6.9264069264069264E-2</v>
      </c>
      <c r="W241" s="94">
        <f>IFERROR(VLOOKUP($G241,基本資料!$A:$J,10,0),"無")</f>
        <v>10.69</v>
      </c>
      <c r="X241" s="36">
        <f>RTD("money.excel",,"5283","Price")</f>
        <v>115.5</v>
      </c>
      <c r="Y241" s="66"/>
      <c r="Z241" s="15">
        <f t="shared" si="50"/>
        <v>115.5</v>
      </c>
      <c r="AA241" s="3" t="e">
        <f t="shared" si="51"/>
        <v>#DIV/0!</v>
      </c>
      <c r="AB241" s="344">
        <f>IFERROR(VLOOKUP($G241,基本資料!$A:$M,11,0),"無")</f>
        <v>-8.33</v>
      </c>
      <c r="AC241" s="397">
        <f>IFERROR(VLOOKUP($G241,基本資料!$A:$M,12,0),"無")</f>
        <v>21.26</v>
      </c>
      <c r="AD241" s="22" t="s">
        <v>1688</v>
      </c>
      <c r="AG241" s="33">
        <f t="shared" si="52"/>
        <v>0</v>
      </c>
      <c r="AH241" s="43" t="s">
        <v>2802</v>
      </c>
      <c r="AI241" s="63">
        <f t="shared" si="53"/>
        <v>4.3835616438356166E-4</v>
      </c>
      <c r="AJ241" s="284">
        <f>RTD("money.excel",,$G241,"PredictVolume")</f>
        <v>32</v>
      </c>
      <c r="AK241" s="399">
        <f>IFERROR(VLOOKUP($G241,基本資料!$A:$M,13,0),"無")</f>
        <v>0.71</v>
      </c>
    </row>
    <row r="242" spans="1:37">
      <c r="B242" s="80"/>
      <c r="C242" s="80"/>
      <c r="D242" s="80"/>
      <c r="E242" s="79"/>
      <c r="F242" s="57"/>
      <c r="G242" s="79"/>
      <c r="H242" s="8"/>
      <c r="I242" s="22"/>
      <c r="L242" s="2"/>
      <c r="P242" s="365"/>
      <c r="Q242" s="47"/>
      <c r="R242" s="346"/>
      <c r="S242" s="26"/>
      <c r="U242" s="66"/>
      <c r="W242" s="94"/>
      <c r="X242" s="36"/>
      <c r="Y242" s="66"/>
      <c r="Z242" s="15"/>
      <c r="AA242" s="3"/>
      <c r="AB242" s="96"/>
      <c r="AD242" s="22"/>
      <c r="AG242" s="33"/>
      <c r="AH242" s="43"/>
      <c r="AI242" s="63"/>
      <c r="AJ242" s="284"/>
    </row>
    <row r="243" spans="1:37">
      <c r="A243" s="127" t="s">
        <v>1673</v>
      </c>
      <c r="B243" s="90" t="s">
        <v>1572</v>
      </c>
      <c r="C243" s="90" t="s">
        <v>1573</v>
      </c>
      <c r="D243" s="90" t="s">
        <v>1574</v>
      </c>
      <c r="E243" s="90" t="s">
        <v>1575</v>
      </c>
      <c r="F243" s="8" t="s">
        <v>1060</v>
      </c>
      <c r="G243" s="27" t="s">
        <v>3472</v>
      </c>
      <c r="H243" s="55" t="s">
        <v>320</v>
      </c>
      <c r="I243" s="50" t="s">
        <v>755</v>
      </c>
      <c r="J243" s="8" t="s">
        <v>6221</v>
      </c>
      <c r="K243" s="5" t="s">
        <v>6222</v>
      </c>
      <c r="L243" s="337" t="s">
        <v>6206</v>
      </c>
      <c r="M243" s="338" t="s">
        <v>6207</v>
      </c>
      <c r="N243" s="339" t="s">
        <v>6208</v>
      </c>
      <c r="P243" s="89" t="s">
        <v>6285</v>
      </c>
      <c r="Q243" s="293" t="s">
        <v>6284</v>
      </c>
      <c r="R243" s="354" t="s">
        <v>6283</v>
      </c>
      <c r="S243" s="26" t="s">
        <v>6286</v>
      </c>
      <c r="T243" s="321" t="s">
        <v>4716</v>
      </c>
      <c r="U243" s="10" t="s">
        <v>66</v>
      </c>
      <c r="V243" s="308" t="s">
        <v>4731</v>
      </c>
      <c r="W243" s="68" t="s">
        <v>3273</v>
      </c>
      <c r="X243" s="28" t="s">
        <v>2</v>
      </c>
      <c r="Y243" s="17" t="s">
        <v>1399</v>
      </c>
      <c r="Z243" s="14" t="s">
        <v>5</v>
      </c>
      <c r="AA243" s="21" t="s">
        <v>3</v>
      </c>
      <c r="AB243" s="96" t="s">
        <v>6174</v>
      </c>
      <c r="AC243" s="384" t="s">
        <v>6420</v>
      </c>
      <c r="AD243" s="50" t="s">
        <v>755</v>
      </c>
      <c r="AE243" s="71" t="s">
        <v>1400</v>
      </c>
      <c r="AF243" s="72" t="s">
        <v>1157</v>
      </c>
      <c r="AG243" s="32" t="s">
        <v>1158</v>
      </c>
      <c r="AH243" s="25" t="s">
        <v>6209</v>
      </c>
      <c r="AI243" s="8" t="s">
        <v>6731</v>
      </c>
      <c r="AJ243" s="50" t="s">
        <v>3361</v>
      </c>
      <c r="AK243" s="44" t="s">
        <v>6730</v>
      </c>
    </row>
    <row r="244" spans="1:37">
      <c r="A244" s="347">
        <f>IFERROR(VLOOKUP($G244,基本資料!$A:$J,3,0),"無")</f>
        <v>24.9</v>
      </c>
      <c r="B244" s="79">
        <f>IFERROR(VLOOKUP($G244,基本資料!$A:$J,4,0),"無")</f>
        <v>285</v>
      </c>
      <c r="C244" s="79">
        <f>IFERROR(VLOOKUP($G244,基本資料!$A:$J,5,0),"無")</f>
        <v>220</v>
      </c>
      <c r="D244" s="79">
        <f>IFERROR(VLOOKUP($G244,基本資料!$A:$J,6,0),"無")</f>
        <v>-4</v>
      </c>
      <c r="E244" s="79">
        <f>IFERROR(VLOOKUP($G244,基本資料!$A:$J,7,0),"無")</f>
        <v>49</v>
      </c>
      <c r="F244" s="6">
        <f>IFERROR(VLOOKUP($G244,基本資料!$A:$J,8,0),"無")</f>
        <v>16.97</v>
      </c>
      <c r="G244" s="79">
        <v>1708</v>
      </c>
      <c r="H244" s="8" t="s">
        <v>755</v>
      </c>
      <c r="I244" s="22" t="s">
        <v>757</v>
      </c>
      <c r="J244" s="8">
        <f>IFERROR(VLOOKUP($G244,今日總結!$A:$AJ,35,0),"")</f>
        <v>0</v>
      </c>
      <c r="K244" s="5">
        <f>IFERROR(VLOOKUP($G244,今日總結!$A:$AJ,36,0),"")</f>
        <v>62</v>
      </c>
      <c r="L244" s="156">
        <f>IFERROR(VLOOKUP($G244,今日總結!$A:$AJ,33,0),"")</f>
        <v>0</v>
      </c>
      <c r="M244" s="340">
        <f>IFERROR(VLOOKUP($G244,今日總結!$A:$AJ,34,0),"")</f>
        <v>3</v>
      </c>
      <c r="N244" s="240">
        <f t="shared" ref="N244:N260" si="56">IFERROR(L244-M244,"")</f>
        <v>-3</v>
      </c>
      <c r="P244" s="365">
        <f>IFERROR(VLOOKUP($G244,融外自投!$A:$J,7,0),"無")</f>
        <v>60</v>
      </c>
      <c r="Q244" s="79">
        <f>IFERROR(VLOOKUP($G244,融外自投!$A:$J,9,0),"無")</f>
        <v>207</v>
      </c>
      <c r="R244" s="346">
        <f>IFERROR(VLOOKUP($G244,融外自投!$A:$J,8,0),"無")</f>
        <v>412</v>
      </c>
      <c r="S244" s="81">
        <f>IFERROR(VLOOKUP($G244,融外自投!$A:$J,10,0),"無")</f>
        <v>193</v>
      </c>
      <c r="T244" s="327">
        <f>IFERROR(VLOOKUP($G244,'321買'!$A:$E,5,0),"'沒有資料'")</f>
        <v>97</v>
      </c>
      <c r="U244" s="186">
        <f>IFERROR(VLOOKUP($G244,基本資料!$A:$J,9,0),"無")</f>
        <v>2</v>
      </c>
      <c r="V244" s="310">
        <f t="shared" ref="V244:V286" si="57">$U244/$X244</f>
        <v>3.6231884057971016E-2</v>
      </c>
      <c r="W244" s="94">
        <f>IFERROR(VLOOKUP($G244,基本資料!$A:$J,10,0),"無")</f>
        <v>2.69</v>
      </c>
      <c r="X244" s="36">
        <f>RTD("money.excel",,"1708","Price")</f>
        <v>55.2</v>
      </c>
      <c r="Y244" s="66"/>
      <c r="Z244" s="15">
        <f t="shared" ref="Z244" si="58">X244-Y244</f>
        <v>55.2</v>
      </c>
      <c r="AA244" s="3" t="e">
        <f t="shared" ref="AA244" si="59">Z244/Y244</f>
        <v>#DIV/0!</v>
      </c>
      <c r="AB244" s="344">
        <f>IFERROR(VLOOKUP($G244,基本資料!$A:$M,11,0),"無")</f>
        <v>-17.920000000000002</v>
      </c>
      <c r="AC244" s="397">
        <f>IFERROR(VLOOKUP($G244,基本資料!$A:$M,12,0),"無")</f>
        <v>66.06</v>
      </c>
      <c r="AD244" s="22" t="s">
        <v>757</v>
      </c>
      <c r="AG244" s="33">
        <f t="shared" ref="AG244" si="60">AF244-AE244</f>
        <v>0</v>
      </c>
      <c r="AH244" s="43" t="s">
        <v>1525</v>
      </c>
      <c r="AI244" s="63">
        <f t="shared" ref="AI244:AI286" si="61">AJ244/(A244*10000)</f>
        <v>0.18925702811244979</v>
      </c>
      <c r="AJ244" s="284">
        <f>RTD("money.excel",,$G244,"PredictVolume")</f>
        <v>47125</v>
      </c>
      <c r="AK244" s="399">
        <f>IFERROR(VLOOKUP($G244,基本資料!$A:$M,13,0),"無")</f>
        <v>91.32</v>
      </c>
    </row>
    <row r="245" spans="1:37">
      <c r="A245" s="347">
        <f>IFERROR(VLOOKUP($G245,基本資料!$A:$J,3,0),"無")</f>
        <v>47.7</v>
      </c>
      <c r="B245" s="79">
        <f>IFERROR(VLOOKUP($G245,基本資料!$A:$J,4,0),"無")</f>
        <v>70</v>
      </c>
      <c r="C245" s="79">
        <f>IFERROR(VLOOKUP($G245,基本資料!$A:$J,5,0),"無")</f>
        <v>71</v>
      </c>
      <c r="D245" s="79">
        <f>IFERROR(VLOOKUP($G245,基本資料!$A:$J,6,0),"無")</f>
        <v>33</v>
      </c>
      <c r="E245" s="79">
        <f>IFERROR(VLOOKUP($G245,基本資料!$A:$J,7,0),"無")</f>
        <v>17</v>
      </c>
      <c r="F245" s="6">
        <f>IFERROR(VLOOKUP($G245,基本資料!$A:$J,8,0),"無")</f>
        <v>13.25</v>
      </c>
      <c r="G245" s="79">
        <v>1709</v>
      </c>
      <c r="H245" s="8" t="s">
        <v>3578</v>
      </c>
      <c r="I245" s="22" t="s">
        <v>758</v>
      </c>
      <c r="J245" s="8">
        <f>IFERROR(VLOOKUP($G245,今日總結!$A:$AJ,35,0),"")</f>
        <v>0</v>
      </c>
      <c r="K245" s="5" t="str">
        <f>IFERROR(VLOOKUP($G245,今日總結!$A:$AJ,36,0),"")</f>
        <v>融</v>
      </c>
      <c r="L245" s="156">
        <f>IFERROR(VLOOKUP($G245,今日總結!$A:$AJ,33,0),"")</f>
        <v>0</v>
      </c>
      <c r="M245" s="340">
        <f>IFERROR(VLOOKUP($G245,今日總結!$A:$AJ,34,0),"")</f>
        <v>1</v>
      </c>
      <c r="N245" s="240">
        <f t="shared" si="56"/>
        <v>-1</v>
      </c>
      <c r="P245" s="365">
        <f>IFERROR(VLOOKUP($G245,融外自投!$A:$J,7,0),"無")</f>
        <v>738</v>
      </c>
      <c r="Q245" s="79">
        <f>IFERROR(VLOOKUP($G245,融外自投!$A:$J,9,0),"無")</f>
        <v>550</v>
      </c>
      <c r="R245" s="346">
        <f>IFERROR(VLOOKUP($G245,融外自投!$A:$J,8,0),"無")</f>
        <v>842</v>
      </c>
      <c r="S245" s="81">
        <f>IFERROR(VLOOKUP($G245,融外自投!$A:$J,10,0),"無")</f>
        <v>491</v>
      </c>
      <c r="T245" s="327">
        <f>IFERROR(VLOOKUP($G245,'321買'!$A:$E,5,0),"'沒有資料'")</f>
        <v>237</v>
      </c>
      <c r="U245" s="186">
        <f>IFERROR(VLOOKUP($G245,基本資料!$A:$J,9,0),"無")</f>
        <v>1.7</v>
      </c>
      <c r="V245" s="310">
        <f t="shared" si="57"/>
        <v>6.9105691056910556E-2</v>
      </c>
      <c r="W245" s="94">
        <f>IFERROR(VLOOKUP($G245,基本資料!$A:$J,10,0),"無")</f>
        <v>1.99</v>
      </c>
      <c r="X245" s="36">
        <f>RTD("money.excel",,"1709","Price")</f>
        <v>24.6</v>
      </c>
      <c r="Y245" s="66"/>
      <c r="Z245" s="15">
        <f t="shared" ref="Z245:Z286" si="62">X245-Y245</f>
        <v>24.6</v>
      </c>
      <c r="AA245" s="3" t="e">
        <f t="shared" ref="AA245:AA286" si="63">Z245/Y245</f>
        <v>#DIV/0!</v>
      </c>
      <c r="AB245" s="344">
        <f>IFERROR(VLOOKUP($G245,基本資料!$A:$M,11,0),"無")</f>
        <v>-19.809999999999999</v>
      </c>
      <c r="AC245" s="397">
        <f>IFERROR(VLOOKUP($G245,基本資料!$A:$M,12,0),"無")</f>
        <v>24.69</v>
      </c>
      <c r="AD245" s="22" t="s">
        <v>758</v>
      </c>
      <c r="AG245" s="33">
        <f t="shared" ref="AG245:AG286" si="64">AF245-AE245</f>
        <v>0</v>
      </c>
      <c r="AH245" s="43" t="s">
        <v>1526</v>
      </c>
      <c r="AI245" s="63">
        <f t="shared" si="61"/>
        <v>8.0985324947589095E-3</v>
      </c>
      <c r="AJ245" s="284">
        <f>RTD("money.excel",,$G245,"PredictVolume")</f>
        <v>3863</v>
      </c>
      <c r="AK245" s="399">
        <f>IFERROR(VLOOKUP($G245,基本資料!$A:$M,13,0),"無")</f>
        <v>19.72</v>
      </c>
    </row>
    <row r="246" spans="1:37">
      <c r="A246" s="347">
        <f>IFERROR(VLOOKUP($G246,基本資料!$A:$J,3,0),"無")</f>
        <v>88.57</v>
      </c>
      <c r="B246" s="79">
        <f>IFERROR(VLOOKUP($G246,基本資料!$A:$J,4,0),"無")</f>
        <v>180</v>
      </c>
      <c r="C246" s="79">
        <f>IFERROR(VLOOKUP($G246,基本資料!$A:$J,5,0),"無")</f>
        <v>411</v>
      </c>
      <c r="D246" s="79">
        <f>IFERROR(VLOOKUP($G246,基本資料!$A:$J,6,0),"無")</f>
        <v>-6</v>
      </c>
      <c r="E246" s="79">
        <f>IFERROR(VLOOKUP($G246,基本資料!$A:$J,7,0),"無")</f>
        <v>-19</v>
      </c>
      <c r="F246" s="6">
        <f>IFERROR(VLOOKUP($G246,基本資料!$A:$J,8,0),"無")</f>
        <v>5.17</v>
      </c>
      <c r="G246" s="79">
        <v>1710</v>
      </c>
      <c r="H246" s="8" t="s">
        <v>3578</v>
      </c>
      <c r="I246" s="22" t="s">
        <v>317</v>
      </c>
      <c r="J246" s="8" t="str">
        <f>IFERROR(VLOOKUP($G246,今日總結!$A:$AJ,35,0),"")</f>
        <v/>
      </c>
      <c r="K246" s="5" t="str">
        <f>IFERROR(VLOOKUP($G246,今日總結!$A:$AJ,36,0),"")</f>
        <v/>
      </c>
      <c r="L246" s="156" t="str">
        <f>IFERROR(VLOOKUP($G246,今日總結!$A:$AJ,33,0),"")</f>
        <v/>
      </c>
      <c r="M246" s="340" t="str">
        <f>IFERROR(VLOOKUP($G246,今日總結!$A:$AJ,34,0),"")</f>
        <v/>
      </c>
      <c r="N246" s="240" t="str">
        <f t="shared" si="56"/>
        <v/>
      </c>
      <c r="P246" s="365">
        <f>IFERROR(VLOOKUP($G246,融外自投!$A:$J,7,0),"無")</f>
        <v>885</v>
      </c>
      <c r="Q246" s="79">
        <f>IFERROR(VLOOKUP($G246,融外自投!$A:$J,9,0),"無")</f>
        <v>215</v>
      </c>
      <c r="R246" s="346">
        <f>IFERROR(VLOOKUP($G246,融外自投!$A:$J,8,0),"無")</f>
        <v>589</v>
      </c>
      <c r="S246" s="81">
        <f>IFERROR(VLOOKUP($G246,融外自投!$A:$J,10,0),"無")</f>
        <v>437</v>
      </c>
      <c r="T246" s="327">
        <f>IFERROR(VLOOKUP($G246,'321買'!$A:$E,5,0),"'沒有資料'")</f>
        <v>217</v>
      </c>
      <c r="U246" s="186">
        <f>IFERROR(VLOOKUP($G246,基本資料!$A:$J,9,0),"無")</f>
        <v>0.7</v>
      </c>
      <c r="V246" s="310">
        <f t="shared" si="57"/>
        <v>3.7634408602150532E-2</v>
      </c>
      <c r="W246" s="94">
        <f>IFERROR(VLOOKUP($G246,基本資料!$A:$J,10,0),"無")</f>
        <v>1.03</v>
      </c>
      <c r="X246" s="36">
        <f>RTD("money.excel",,"1710","Price")</f>
        <v>18.600000000000001</v>
      </c>
      <c r="Y246" s="66"/>
      <c r="Z246" s="15">
        <f t="shared" si="62"/>
        <v>18.600000000000001</v>
      </c>
      <c r="AA246" s="3" t="e">
        <f t="shared" si="63"/>
        <v>#DIV/0!</v>
      </c>
      <c r="AB246" s="344">
        <f>IFERROR(VLOOKUP($G246,基本資料!$A:$M,11,0),"無")</f>
        <v>-32.14</v>
      </c>
      <c r="AC246" s="397">
        <f>IFERROR(VLOOKUP($G246,基本資料!$A:$M,12,0),"無")</f>
        <v>15.68</v>
      </c>
      <c r="AD246" s="22" t="s">
        <v>317</v>
      </c>
      <c r="AG246" s="33">
        <f t="shared" si="64"/>
        <v>0</v>
      </c>
      <c r="AH246" s="43" t="s">
        <v>1411</v>
      </c>
      <c r="AI246" s="63">
        <f t="shared" si="61"/>
        <v>1.6269617251891161E-3</v>
      </c>
      <c r="AJ246" s="284">
        <f>RTD("money.excel",,$G246,"PredictVolume")</f>
        <v>1441</v>
      </c>
      <c r="AK246" s="399">
        <f>IFERROR(VLOOKUP($G246,基本資料!$A:$M,13,0),"無")</f>
        <v>13.11</v>
      </c>
    </row>
    <row r="247" spans="1:37">
      <c r="A247" s="347">
        <f>IFERROR(VLOOKUP($G247,基本資料!$A:$J,3,0),"無")</f>
        <v>54.77</v>
      </c>
      <c r="B247" s="79">
        <f>IFERROR(VLOOKUP($G247,基本資料!$A:$J,4,0),"無")</f>
        <v>135</v>
      </c>
      <c r="C247" s="79">
        <f>IFERROR(VLOOKUP($G247,基本資料!$A:$J,5,0),"無")</f>
        <v>170</v>
      </c>
      <c r="D247" s="79">
        <f>IFERROR(VLOOKUP($G247,基本資料!$A:$J,6,0),"無")</f>
        <v>-16</v>
      </c>
      <c r="E247" s="79">
        <f>IFERROR(VLOOKUP($G247,基本資料!$A:$J,7,0),"無")</f>
        <v>-3</v>
      </c>
      <c r="F247" s="6">
        <f>IFERROR(VLOOKUP($G247,基本資料!$A:$J,8,0),"無")</f>
        <v>6.01</v>
      </c>
      <c r="G247" s="79">
        <v>1711</v>
      </c>
      <c r="H247" s="8" t="s">
        <v>3578</v>
      </c>
      <c r="I247" s="22" t="s">
        <v>759</v>
      </c>
      <c r="J247" s="8" t="str">
        <f>IFERROR(VLOOKUP($G247,今日總結!$A:$AJ,35,0),"")</f>
        <v/>
      </c>
      <c r="K247" s="5" t="str">
        <f>IFERROR(VLOOKUP($G247,今日總結!$A:$AJ,36,0),"")</f>
        <v/>
      </c>
      <c r="L247" s="156" t="str">
        <f>IFERROR(VLOOKUP($G247,今日總結!$A:$AJ,33,0),"")</f>
        <v/>
      </c>
      <c r="M247" s="340" t="str">
        <f>IFERROR(VLOOKUP($G247,今日總結!$A:$AJ,34,0),"")</f>
        <v/>
      </c>
      <c r="N247" s="240" t="str">
        <f t="shared" si="56"/>
        <v/>
      </c>
      <c r="P247" s="365">
        <f>IFERROR(VLOOKUP($G247,融外自投!$A:$J,7,0),"無")</f>
        <v>497</v>
      </c>
      <c r="Q247" s="79">
        <f>IFERROR(VLOOKUP($G247,融外自投!$A:$J,9,0),"無")</f>
        <v>598</v>
      </c>
      <c r="R247" s="346">
        <f>IFERROR(VLOOKUP($G247,融外自投!$A:$J,8,0),"無")</f>
        <v>687</v>
      </c>
      <c r="S247" s="81" t="str">
        <f>IFERROR(VLOOKUP($G247,融外自投!$A:$J,10,0),"無")</f>
        <v>無</v>
      </c>
      <c r="T247" s="327">
        <f>IFERROR(VLOOKUP($G247,'321買'!$A:$E,5,0),"'沒有資料'")</f>
        <v>195</v>
      </c>
      <c r="U247" s="186">
        <f>IFERROR(VLOOKUP($G247,基本資料!$A:$J,9,0),"無")</f>
        <v>0.5</v>
      </c>
      <c r="V247" s="310">
        <f t="shared" si="57"/>
        <v>2.178649237472767E-2</v>
      </c>
      <c r="W247" s="94">
        <f>IFERROR(VLOOKUP($G247,基本資料!$A:$J,10,0),"無")</f>
        <v>0.86</v>
      </c>
      <c r="X247" s="36">
        <f>RTD("money.excel",,"1711","Price")</f>
        <v>22.95</v>
      </c>
      <c r="Y247" s="66"/>
      <c r="Z247" s="15">
        <f t="shared" si="62"/>
        <v>22.95</v>
      </c>
      <c r="AA247" s="3" t="e">
        <f t="shared" si="63"/>
        <v>#DIV/0!</v>
      </c>
      <c r="AB247" s="344">
        <f>IFERROR(VLOOKUP($G247,基本資料!$A:$M,11,0),"無")</f>
        <v>-30.35</v>
      </c>
      <c r="AC247" s="397">
        <f>IFERROR(VLOOKUP($G247,基本資料!$A:$M,12,0),"無")</f>
        <v>24.16</v>
      </c>
      <c r="AD247" s="22" t="s">
        <v>759</v>
      </c>
      <c r="AG247" s="33">
        <f t="shared" si="64"/>
        <v>0</v>
      </c>
      <c r="AH247" s="43" t="s">
        <v>2637</v>
      </c>
      <c r="AI247" s="63">
        <f t="shared" si="61"/>
        <v>3.6443308380500273E-3</v>
      </c>
      <c r="AJ247" s="284">
        <f>RTD("money.excel",,$G247,"PredictVolume")</f>
        <v>1996</v>
      </c>
      <c r="AK247" s="399">
        <f>IFERROR(VLOOKUP($G247,基本資料!$A:$M,13,0),"無")</f>
        <v>67.09</v>
      </c>
    </row>
    <row r="248" spans="1:37">
      <c r="A248" s="347">
        <f>IFERROR(VLOOKUP($G248,基本資料!$A:$J,3,0),"無")</f>
        <v>42.04</v>
      </c>
      <c r="B248" s="79">
        <f>IFERROR(VLOOKUP($G248,基本資料!$A:$J,4,0),"無")</f>
        <v>28</v>
      </c>
      <c r="C248" s="79">
        <f>IFERROR(VLOOKUP($G248,基本資料!$A:$J,5,0),"無")</f>
        <v>17</v>
      </c>
      <c r="D248" s="79">
        <f>IFERROR(VLOOKUP($G248,基本資料!$A:$J,6,0),"無")</f>
        <v>40</v>
      </c>
      <c r="E248" s="79">
        <f>IFERROR(VLOOKUP($G248,基本資料!$A:$J,7,0),"無")</f>
        <v>20</v>
      </c>
      <c r="F248" s="6">
        <f>IFERROR(VLOOKUP($G248,基本資料!$A:$J,8,0),"無")</f>
        <v>6.14</v>
      </c>
      <c r="G248" s="79">
        <v>1712</v>
      </c>
      <c r="H248" s="8" t="s">
        <v>3578</v>
      </c>
      <c r="I248" s="22" t="s">
        <v>760</v>
      </c>
      <c r="J248" s="8">
        <f>IFERROR(VLOOKUP($G248,今日總結!$A:$AJ,35,0),"")</f>
        <v>0</v>
      </c>
      <c r="K248" s="5" t="str">
        <f>IFERROR(VLOOKUP($G248,今日總結!$A:$AJ,36,0),"")</f>
        <v>借</v>
      </c>
      <c r="L248" s="156">
        <f>IFERROR(VLOOKUP($G248,今日總結!$A:$AJ,33,0),"")</f>
        <v>0</v>
      </c>
      <c r="M248" s="340">
        <f>IFERROR(VLOOKUP($G248,今日總結!$A:$AJ,34,0),"")</f>
        <v>1</v>
      </c>
      <c r="N248" s="240">
        <f t="shared" si="56"/>
        <v>-1</v>
      </c>
      <c r="P248" s="365">
        <f>IFERROR(VLOOKUP($G248,融外自投!$A:$J,7,0),"無")</f>
        <v>861</v>
      </c>
      <c r="Q248" s="79">
        <f>IFERROR(VLOOKUP($G248,融外自投!$A:$J,9,0),"無")</f>
        <v>683</v>
      </c>
      <c r="R248" s="346">
        <f>IFERROR(VLOOKUP($G248,融外自投!$A:$J,8,0),"無")</f>
        <v>525</v>
      </c>
      <c r="S248" s="81">
        <f>IFERROR(VLOOKUP($G248,融外自投!$A:$J,10,0),"無")</f>
        <v>491</v>
      </c>
      <c r="T248" s="327">
        <f>IFERROR(VLOOKUP($G248,'321買'!$A:$E,5,0),"'沒有資料'")</f>
        <v>664</v>
      </c>
      <c r="U248" s="186">
        <f>IFERROR(VLOOKUP($G248,基本資料!$A:$J,9,0),"無")</f>
        <v>1.8</v>
      </c>
      <c r="V248" s="310">
        <f t="shared" si="57"/>
        <v>5.5987558320373255E-2</v>
      </c>
      <c r="W248" s="94">
        <f>IFERROR(VLOOKUP($G248,基本資料!$A:$J,10,0),"無")</f>
        <v>2.19</v>
      </c>
      <c r="X248" s="36">
        <f>RTD("money.excel",,"1712","Price")</f>
        <v>32.15</v>
      </c>
      <c r="Y248" s="66"/>
      <c r="Z248" s="15">
        <f t="shared" si="62"/>
        <v>32.15</v>
      </c>
      <c r="AA248" s="3" t="e">
        <f t="shared" si="63"/>
        <v>#DIV/0!</v>
      </c>
      <c r="AB248" s="344">
        <f>IFERROR(VLOOKUP($G248,基本資料!$A:$M,11,0),"無")</f>
        <v>-16.96</v>
      </c>
      <c r="AC248" s="397">
        <f>IFERROR(VLOOKUP($G248,基本資料!$A:$M,12,0),"無")</f>
        <v>29.59</v>
      </c>
      <c r="AD248" s="22" t="s">
        <v>760</v>
      </c>
      <c r="AG248" s="33">
        <f t="shared" si="64"/>
        <v>0</v>
      </c>
      <c r="AH248" s="43" t="s">
        <v>2852</v>
      </c>
      <c r="AI248" s="63">
        <f t="shared" si="61"/>
        <v>1.0675547098001902E-2</v>
      </c>
      <c r="AJ248" s="284">
        <f>RTD("money.excel",,$G248,"PredictVolume")</f>
        <v>4488</v>
      </c>
      <c r="AK248" s="399">
        <f>IFERROR(VLOOKUP($G248,基本資料!$A:$M,13,0),"無")</f>
        <v>13.06</v>
      </c>
    </row>
    <row r="249" spans="1:37">
      <c r="A249" s="347">
        <f>IFERROR(VLOOKUP($G249,基本資料!$A:$J,3,0),"無")</f>
        <v>15.09</v>
      </c>
      <c r="B249" s="79">
        <f>IFERROR(VLOOKUP($G249,基本資料!$A:$J,4,0),"無")</f>
        <v>72</v>
      </c>
      <c r="C249" s="79">
        <f>IFERROR(VLOOKUP($G249,基本資料!$A:$J,5,0),"無")</f>
        <v>49</v>
      </c>
      <c r="D249" s="79">
        <f>IFERROR(VLOOKUP($G249,基本資料!$A:$J,6,0),"無")</f>
        <v>-6</v>
      </c>
      <c r="E249" s="79">
        <f>IFERROR(VLOOKUP($G249,基本資料!$A:$J,7,0),"無")</f>
        <v>9</v>
      </c>
      <c r="F249" s="6">
        <f>IFERROR(VLOOKUP($G249,基本資料!$A:$J,8,0),"無")</f>
        <v>4.16</v>
      </c>
      <c r="G249" s="79">
        <v>1713</v>
      </c>
      <c r="H249" s="8" t="s">
        <v>3578</v>
      </c>
      <c r="I249" s="22" t="s">
        <v>761</v>
      </c>
      <c r="J249" s="8" t="str">
        <f>IFERROR(VLOOKUP($G249,今日總結!$A:$AJ,35,0),"")</f>
        <v/>
      </c>
      <c r="K249" s="5" t="str">
        <f>IFERROR(VLOOKUP($G249,今日總結!$A:$AJ,36,0),"")</f>
        <v/>
      </c>
      <c r="L249" s="156" t="str">
        <f>IFERROR(VLOOKUP($G249,今日總結!$A:$AJ,33,0),"")</f>
        <v/>
      </c>
      <c r="M249" s="340" t="str">
        <f>IFERROR(VLOOKUP($G249,今日總結!$A:$AJ,34,0),"")</f>
        <v/>
      </c>
      <c r="N249" s="240" t="str">
        <f t="shared" si="56"/>
        <v/>
      </c>
      <c r="P249" s="365">
        <f>IFERROR(VLOOKUP($G249,融外自投!$A:$J,7,0),"無")</f>
        <v>607</v>
      </c>
      <c r="Q249" s="79">
        <f>IFERROR(VLOOKUP($G249,融外自投!$A:$J,9,0),"無")</f>
        <v>936</v>
      </c>
      <c r="R249" s="346">
        <f>IFERROR(VLOOKUP($G249,融外自投!$A:$J,8,0),"無")</f>
        <v>837</v>
      </c>
      <c r="S249" s="81" t="str">
        <f>IFERROR(VLOOKUP($G249,融外自投!$A:$J,10,0),"無")</f>
        <v>無</v>
      </c>
      <c r="T249" s="327">
        <f>IFERROR(VLOOKUP($G249,'321買'!$A:$E,5,0),"'沒有資料'")</f>
        <v>1310</v>
      </c>
      <c r="U249" s="186">
        <f>IFERROR(VLOOKUP($G249,基本資料!$A:$J,9,0),"無")</f>
        <v>0.85</v>
      </c>
      <c r="V249" s="310">
        <f t="shared" si="57"/>
        <v>3.6402569593147749E-2</v>
      </c>
      <c r="W249" s="94">
        <f>IFERROR(VLOOKUP($G249,基本資料!$A:$J,10,0),"無")</f>
        <v>1.04</v>
      </c>
      <c r="X249" s="36">
        <f>RTD("money.excel",,"1713","Price")</f>
        <v>23.35</v>
      </c>
      <c r="Y249" s="66"/>
      <c r="Z249" s="15">
        <f t="shared" si="62"/>
        <v>23.35</v>
      </c>
      <c r="AA249" s="3" t="e">
        <f t="shared" si="63"/>
        <v>#DIV/0!</v>
      </c>
      <c r="AB249" s="344">
        <f>IFERROR(VLOOKUP($G249,基本資料!$A:$M,11,0),"無")</f>
        <v>-14.1</v>
      </c>
      <c r="AC249" s="397">
        <f>IFERROR(VLOOKUP($G249,基本資料!$A:$M,12,0),"無")</f>
        <v>22.83</v>
      </c>
      <c r="AD249" s="22" t="s">
        <v>761</v>
      </c>
      <c r="AG249" s="33">
        <f t="shared" si="64"/>
        <v>0</v>
      </c>
      <c r="AH249" s="43" t="s">
        <v>2853</v>
      </c>
      <c r="AI249" s="63">
        <f t="shared" si="61"/>
        <v>2.6507620941020542E-4</v>
      </c>
      <c r="AJ249" s="284">
        <f>RTD("money.excel",,$G249,"PredictVolume")</f>
        <v>40</v>
      </c>
      <c r="AK249" s="399">
        <f>IFERROR(VLOOKUP($G249,基本資料!$A:$M,13,0),"無")</f>
        <v>2.62</v>
      </c>
    </row>
    <row r="250" spans="1:37">
      <c r="A250" s="347">
        <f>IFERROR(VLOOKUP($G250,基本資料!$A:$J,3,0),"無")</f>
        <v>101</v>
      </c>
      <c r="B250" s="79">
        <f>IFERROR(VLOOKUP($G250,基本資料!$A:$J,4,0),"無")</f>
        <v>-39</v>
      </c>
      <c r="C250" s="79">
        <f>IFERROR(VLOOKUP($G250,基本資料!$A:$J,5,0),"無")</f>
        <v>-50</v>
      </c>
      <c r="D250" s="79">
        <f>IFERROR(VLOOKUP($G250,基本資料!$A:$J,6,0),"無")</f>
        <v>0</v>
      </c>
      <c r="E250" s="79">
        <f>IFERROR(VLOOKUP($G250,基本資料!$A:$J,7,0),"無")</f>
        <v>12</v>
      </c>
      <c r="F250" s="6">
        <f>IFERROR(VLOOKUP($G250,基本資料!$A:$J,8,0),"無")</f>
        <v>8.82</v>
      </c>
      <c r="G250" s="79">
        <v>1714</v>
      </c>
      <c r="H250" s="8" t="s">
        <v>3578</v>
      </c>
      <c r="I250" s="22" t="s">
        <v>762</v>
      </c>
      <c r="J250" s="8" t="str">
        <f>IFERROR(VLOOKUP($G250,今日總結!$A:$AJ,35,0),"")</f>
        <v>融</v>
      </c>
      <c r="K250" s="5" t="str">
        <f>IFERROR(VLOOKUP($G250,今日總結!$A:$AJ,36,0),"")</f>
        <v>外</v>
      </c>
      <c r="L250" s="156">
        <f>IFERROR(VLOOKUP($G250,今日總結!$A:$AJ,33,0),"")</f>
        <v>1</v>
      </c>
      <c r="M250" s="340">
        <f>IFERROR(VLOOKUP($G250,今日總結!$A:$AJ,34,0),"")</f>
        <v>1</v>
      </c>
      <c r="N250" s="240">
        <f t="shared" si="56"/>
        <v>0</v>
      </c>
      <c r="P250" s="365">
        <f>IFERROR(VLOOKUP($G250,融外自投!$A:$J,7,0),"無")</f>
        <v>814</v>
      </c>
      <c r="Q250" s="79">
        <f>IFERROR(VLOOKUP($G250,融外自投!$A:$J,9,0),"無")</f>
        <v>789</v>
      </c>
      <c r="R250" s="346">
        <f>IFERROR(VLOOKUP($G250,融外自投!$A:$J,8,0),"無")</f>
        <v>293</v>
      </c>
      <c r="S250" s="81" t="str">
        <f>IFERROR(VLOOKUP($G250,融外自投!$A:$J,10,0),"無")</f>
        <v>無</v>
      </c>
      <c r="T250" s="327">
        <f>IFERROR(VLOOKUP($G250,'321買'!$A:$E,5,0),"'沒有資料'")</f>
        <v>445</v>
      </c>
      <c r="U250" s="186">
        <f>IFERROR(VLOOKUP($G250,基本資料!$A:$J,9,0),"無")</f>
        <v>0.42</v>
      </c>
      <c r="V250" s="310">
        <f t="shared" si="57"/>
        <v>4.3121149897330596E-2</v>
      </c>
      <c r="W250" s="94">
        <f>IFERROR(VLOOKUP($G250,基本資料!$A:$J,10,0),"無")</f>
        <v>0.72</v>
      </c>
      <c r="X250" s="36">
        <f>RTD("money.excel",,"1714","Price")</f>
        <v>9.74</v>
      </c>
      <c r="Y250" s="66"/>
      <c r="Z250" s="15">
        <f t="shared" si="62"/>
        <v>9.74</v>
      </c>
      <c r="AA250" s="3" t="e">
        <f t="shared" si="63"/>
        <v>#DIV/0!</v>
      </c>
      <c r="AB250" s="344">
        <f>IFERROR(VLOOKUP($G250,基本資料!$A:$M,11,0),"無")</f>
        <v>-27.11</v>
      </c>
      <c r="AC250" s="397">
        <f>IFERROR(VLOOKUP($G250,基本資料!$A:$M,12,0),"無")</f>
        <v>20.02</v>
      </c>
      <c r="AD250" s="22" t="s">
        <v>762</v>
      </c>
      <c r="AG250" s="33">
        <f t="shared" si="64"/>
        <v>0</v>
      </c>
      <c r="AH250" s="43" t="s">
        <v>2854</v>
      </c>
      <c r="AI250" s="63">
        <f t="shared" si="61"/>
        <v>1.2722772277227723E-3</v>
      </c>
      <c r="AJ250" s="284">
        <f>RTD("money.excel",,$G250,"PredictVolume")</f>
        <v>1285</v>
      </c>
      <c r="AK250" s="399">
        <f>IFERROR(VLOOKUP($G250,基本資料!$A:$M,13,0),"無")</f>
        <v>9.6199999999999992</v>
      </c>
    </row>
    <row r="251" spans="1:37">
      <c r="A251" s="347">
        <f>IFERROR(VLOOKUP($G251,基本資料!$A:$J,3,0),"無")</f>
        <v>124</v>
      </c>
      <c r="B251" s="79">
        <f>IFERROR(VLOOKUP($G251,基本資料!$A:$J,4,0),"無")</f>
        <v>39</v>
      </c>
      <c r="C251" s="79">
        <f>IFERROR(VLOOKUP($G251,基本資料!$A:$J,5,0),"無")</f>
        <v>30</v>
      </c>
      <c r="D251" s="79">
        <f>IFERROR(VLOOKUP($G251,基本資料!$A:$J,6,0),"無")</f>
        <v>-10</v>
      </c>
      <c r="E251" s="79">
        <f>IFERROR(VLOOKUP($G251,基本資料!$A:$J,7,0),"無")</f>
        <v>-4</v>
      </c>
      <c r="F251" s="6">
        <f>IFERROR(VLOOKUP($G251,基本資料!$A:$J,8,0),"無")</f>
        <v>8.11</v>
      </c>
      <c r="G251" s="79">
        <v>1717</v>
      </c>
      <c r="H251" s="8" t="s">
        <v>3578</v>
      </c>
      <c r="I251" s="22" t="s">
        <v>128</v>
      </c>
      <c r="J251" s="8">
        <f>IFERROR(VLOOKUP($G251,今日總結!$A:$AJ,35,0),"")</f>
        <v>0</v>
      </c>
      <c r="K251" s="5" t="str">
        <f>IFERROR(VLOOKUP($G251,今日總結!$A:$AJ,36,0),"")</f>
        <v>融外</v>
      </c>
      <c r="L251" s="156">
        <f>IFERROR(VLOOKUP($G251,今日總結!$A:$AJ,33,0),"")</f>
        <v>0</v>
      </c>
      <c r="M251" s="340">
        <f>IFERROR(VLOOKUP($G251,今日總結!$A:$AJ,34,0),"")</f>
        <v>2</v>
      </c>
      <c r="N251" s="240">
        <f t="shared" si="56"/>
        <v>-2</v>
      </c>
      <c r="P251" s="365">
        <f>IFERROR(VLOOKUP($G251,融外自投!$A:$J,7,0),"無")</f>
        <v>890</v>
      </c>
      <c r="Q251" s="79">
        <f>IFERROR(VLOOKUP($G251,融外自投!$A:$J,9,0),"無")</f>
        <v>586</v>
      </c>
      <c r="R251" s="346">
        <f>IFERROR(VLOOKUP($G251,融外自投!$A:$J,8,0),"無")</f>
        <v>411</v>
      </c>
      <c r="S251" s="81">
        <f>IFERROR(VLOOKUP($G251,融外自投!$A:$J,10,0),"無")</f>
        <v>428</v>
      </c>
      <c r="T251" s="327">
        <f>IFERROR(VLOOKUP($G251,'321買'!$A:$E,5,0),"'沒有資料'")</f>
        <v>752</v>
      </c>
      <c r="U251" s="186">
        <f>IFERROR(VLOOKUP($G251,基本資料!$A:$J,9,0),"無")</f>
        <v>1.5</v>
      </c>
      <c r="V251" s="310">
        <f t="shared" si="57"/>
        <v>4.3103448275862072E-2</v>
      </c>
      <c r="W251" s="94">
        <f>IFERROR(VLOOKUP($G251,基本資料!$A:$J,10,0),"無")</f>
        <v>2.86</v>
      </c>
      <c r="X251" s="36">
        <f>RTD("money.excel",,"1717","Price")</f>
        <v>34.799999999999997</v>
      </c>
      <c r="Y251" s="66"/>
      <c r="Z251" s="15">
        <f t="shared" si="62"/>
        <v>34.799999999999997</v>
      </c>
      <c r="AA251" s="3" t="e">
        <f t="shared" si="63"/>
        <v>#DIV/0!</v>
      </c>
      <c r="AB251" s="344">
        <f>IFERROR(VLOOKUP($G251,基本資料!$A:$M,11,0),"無")</f>
        <v>-18.52</v>
      </c>
      <c r="AC251" s="397">
        <f>IFERROR(VLOOKUP($G251,基本資料!$A:$M,12,0),"無")</f>
        <v>32.159999999999997</v>
      </c>
      <c r="AD251" s="22" t="s">
        <v>128</v>
      </c>
      <c r="AG251" s="33">
        <f t="shared" si="64"/>
        <v>0</v>
      </c>
      <c r="AH251" s="43" t="s">
        <v>2855</v>
      </c>
      <c r="AI251" s="63">
        <f t="shared" si="61"/>
        <v>4.5572580645161292E-3</v>
      </c>
      <c r="AJ251" s="284">
        <f>RTD("money.excel",,$G251,"PredictVolume")</f>
        <v>5651</v>
      </c>
      <c r="AK251" s="399">
        <f>IFERROR(VLOOKUP($G251,基本資料!$A:$M,13,0),"無")</f>
        <v>9.81</v>
      </c>
    </row>
    <row r="252" spans="1:37">
      <c r="A252" s="347">
        <f>IFERROR(VLOOKUP($G252,基本資料!$A:$J,3,0),"無")</f>
        <v>168</v>
      </c>
      <c r="B252" s="79">
        <f>IFERROR(VLOOKUP($G252,基本資料!$A:$J,4,0),"無")</f>
        <v>-4</v>
      </c>
      <c r="C252" s="79">
        <f>IFERROR(VLOOKUP($G252,基本資料!$A:$J,5,0),"無")</f>
        <v>71</v>
      </c>
      <c r="D252" s="79">
        <f>IFERROR(VLOOKUP($G252,基本資料!$A:$J,6,0),"無")</f>
        <v>0</v>
      </c>
      <c r="E252" s="79">
        <f>IFERROR(VLOOKUP($G252,基本資料!$A:$J,7,0),"無")</f>
        <v>5</v>
      </c>
      <c r="F252" s="6">
        <f>IFERROR(VLOOKUP($G252,基本資料!$A:$J,8,0),"無")</f>
        <v>13.22</v>
      </c>
      <c r="G252" s="79">
        <v>1718</v>
      </c>
      <c r="H252" s="8" t="s">
        <v>3578</v>
      </c>
      <c r="I252" s="22" t="s">
        <v>763</v>
      </c>
      <c r="J252" s="8">
        <f>IFERROR(VLOOKUP($G252,今日總結!$A:$AJ,35,0),"")</f>
        <v>0</v>
      </c>
      <c r="K252" s="5" t="str">
        <f>IFERROR(VLOOKUP($G252,今日總結!$A:$AJ,36,0),"")</f>
        <v>融</v>
      </c>
      <c r="L252" s="156">
        <f>IFERROR(VLOOKUP($G252,今日總結!$A:$AJ,33,0),"")</f>
        <v>0</v>
      </c>
      <c r="M252" s="340">
        <f>IFERROR(VLOOKUP($G252,今日總結!$A:$AJ,34,0),"")</f>
        <v>1</v>
      </c>
      <c r="N252" s="240">
        <f t="shared" si="56"/>
        <v>-1</v>
      </c>
      <c r="P252" s="365">
        <f>IFERROR(VLOOKUP($G252,融外自投!$A:$J,7,0),"無")</f>
        <v>639</v>
      </c>
      <c r="Q252" s="79">
        <f>IFERROR(VLOOKUP($G252,融外自投!$A:$J,9,0),"無")</f>
        <v>789</v>
      </c>
      <c r="R252" s="346">
        <f>IFERROR(VLOOKUP($G252,融外自投!$A:$J,8,0),"無")</f>
        <v>594</v>
      </c>
      <c r="S252" s="81" t="str">
        <f>IFERROR(VLOOKUP($G252,融外自投!$A:$J,10,0),"無")</f>
        <v>無</v>
      </c>
      <c r="T252" s="327">
        <f>IFERROR(VLOOKUP($G252,'321買'!$A:$E,5,0),"'沒有資料'")</f>
        <v>779</v>
      </c>
      <c r="U252" s="186">
        <f>IFERROR(VLOOKUP($G252,基本資料!$A:$J,9,0),"無")</f>
        <v>0</v>
      </c>
      <c r="V252" s="310">
        <f t="shared" si="57"/>
        <v>0</v>
      </c>
      <c r="W252" s="94">
        <f>IFERROR(VLOOKUP($G252,基本資料!$A:$J,10,0),"無")</f>
        <v>0</v>
      </c>
      <c r="X252" s="36">
        <f>RTD("money.excel",,"1718","Price")</f>
        <v>8.02</v>
      </c>
      <c r="Y252" s="66"/>
      <c r="Z252" s="15">
        <f t="shared" si="62"/>
        <v>8.02</v>
      </c>
      <c r="AA252" s="3" t="e">
        <f t="shared" si="63"/>
        <v>#DIV/0!</v>
      </c>
      <c r="AB252" s="344">
        <f>IFERROR(VLOOKUP($G252,基本資料!$A:$M,11,0),"無")</f>
        <v>-36.020000000000003</v>
      </c>
      <c r="AC252" s="397">
        <f>IFERROR(VLOOKUP($G252,基本資料!$A:$M,12,0),"無")</f>
        <v>9.5500000000000007</v>
      </c>
      <c r="AD252" s="22" t="s">
        <v>763</v>
      </c>
      <c r="AG252" s="33">
        <f t="shared" si="64"/>
        <v>0</v>
      </c>
      <c r="AH252" s="43" t="s">
        <v>3417</v>
      </c>
      <c r="AI252" s="63">
        <f t="shared" si="61"/>
        <v>1.0910714285714287E-3</v>
      </c>
      <c r="AJ252" s="284">
        <f>RTD("money.excel",,$G252,"PredictVolume")</f>
        <v>1833</v>
      </c>
      <c r="AK252" s="399">
        <f>IFERROR(VLOOKUP($G252,基本資料!$A:$M,13,0),"無")</f>
        <v>11.39</v>
      </c>
    </row>
    <row r="253" spans="1:37">
      <c r="A253" s="347">
        <f>IFERROR(VLOOKUP($G253,基本資料!$A:$J,3,0),"無")</f>
        <v>18.48</v>
      </c>
      <c r="B253" s="79">
        <f>IFERROR(VLOOKUP($G253,基本資料!$A:$J,4,0),"無")</f>
        <v>-113</v>
      </c>
      <c r="C253" s="79">
        <f>IFERROR(VLOOKUP($G253,基本資料!$A:$J,5,0),"無")</f>
        <v>60</v>
      </c>
      <c r="D253" s="79">
        <f>IFERROR(VLOOKUP($G253,基本資料!$A:$J,6,0),"無")</f>
        <v>-6</v>
      </c>
      <c r="E253" s="79">
        <f>IFERROR(VLOOKUP($G253,基本資料!$A:$J,7,0),"無")</f>
        <v>51</v>
      </c>
      <c r="F253" s="6">
        <f>IFERROR(VLOOKUP($G253,基本資料!$A:$J,8,0),"無")</f>
        <v>-3.37</v>
      </c>
      <c r="G253" s="79">
        <v>1721</v>
      </c>
      <c r="H253" s="8" t="s">
        <v>3578</v>
      </c>
      <c r="I253" s="22" t="s">
        <v>764</v>
      </c>
      <c r="J253" s="8" t="str">
        <f>IFERROR(VLOOKUP($G253,今日總結!$A:$AJ,35,0),"")</f>
        <v/>
      </c>
      <c r="K253" s="5" t="str">
        <f>IFERROR(VLOOKUP($G253,今日總結!$A:$AJ,36,0),"")</f>
        <v/>
      </c>
      <c r="L253" s="156" t="str">
        <f>IFERROR(VLOOKUP($G253,今日總結!$A:$AJ,33,0),"")</f>
        <v/>
      </c>
      <c r="M253" s="340" t="str">
        <f>IFERROR(VLOOKUP($G253,今日總結!$A:$AJ,34,0),"")</f>
        <v/>
      </c>
      <c r="N253" s="240" t="str">
        <f t="shared" si="56"/>
        <v/>
      </c>
      <c r="P253" s="365">
        <f>IFERROR(VLOOKUP($G253,融外自投!$A:$J,7,0),"無")</f>
        <v>198</v>
      </c>
      <c r="Q253" s="79">
        <f>IFERROR(VLOOKUP($G253,融外自投!$A:$J,9,0),"無")</f>
        <v>93</v>
      </c>
      <c r="R253" s="346">
        <f>IFERROR(VLOOKUP($G253,融外自投!$A:$J,8,0),"無")</f>
        <v>1222</v>
      </c>
      <c r="S253" s="81" t="str">
        <f>IFERROR(VLOOKUP($G253,融外自投!$A:$J,10,0),"無")</f>
        <v>無</v>
      </c>
      <c r="T253" s="327">
        <f>IFERROR(VLOOKUP($G253,'321買'!$A:$E,5,0),"'沒有資料'")</f>
        <v>281</v>
      </c>
      <c r="U253" s="186">
        <f>IFERROR(VLOOKUP($G253,基本資料!$A:$J,9,0),"無")</f>
        <v>0</v>
      </c>
      <c r="V253" s="310">
        <f t="shared" si="57"/>
        <v>0</v>
      </c>
      <c r="W253" s="94">
        <f>IFERROR(VLOOKUP($G253,基本資料!$A:$J,10,0),"無")</f>
        <v>-0.38</v>
      </c>
      <c r="X253" s="36">
        <f>RTD("money.excel",,"1721","Price")</f>
        <v>18.399999999999999</v>
      </c>
      <c r="Y253" s="66"/>
      <c r="Z253" s="15">
        <f t="shared" si="62"/>
        <v>18.399999999999999</v>
      </c>
      <c r="AA253" s="3" t="e">
        <f t="shared" si="63"/>
        <v>#DIV/0!</v>
      </c>
      <c r="AB253" s="344">
        <f>IFERROR(VLOOKUP($G253,基本資料!$A:$M,11,0),"無")</f>
        <v>-44.25</v>
      </c>
      <c r="AC253" s="397">
        <f>IFERROR(VLOOKUP($G253,基本資料!$A:$M,12,0),"無")</f>
        <v>17.46</v>
      </c>
      <c r="AD253" s="22" t="s">
        <v>764</v>
      </c>
      <c r="AG253" s="33">
        <f t="shared" si="64"/>
        <v>0</v>
      </c>
      <c r="AH253" s="43" t="s">
        <v>2856</v>
      </c>
      <c r="AI253" s="63">
        <f t="shared" si="61"/>
        <v>2.4237012987012987E-2</v>
      </c>
      <c r="AJ253" s="284">
        <f>RTD("money.excel",,$G253,"PredictVolume")</f>
        <v>4479</v>
      </c>
      <c r="AK253" s="399">
        <f>IFERROR(VLOOKUP($G253,基本資料!$A:$M,13,0),"無")</f>
        <v>69.510000000000005</v>
      </c>
    </row>
    <row r="254" spans="1:37">
      <c r="A254" s="347">
        <f>IFERROR(VLOOKUP($G254,基本資料!$A:$J,3,0),"無")</f>
        <v>98</v>
      </c>
      <c r="B254" s="79">
        <f>IFERROR(VLOOKUP($G254,基本資料!$A:$J,4,0),"無")</f>
        <v>23</v>
      </c>
      <c r="C254" s="79">
        <f>IFERROR(VLOOKUP($G254,基本資料!$A:$J,5,0),"無")</f>
        <v>-59</v>
      </c>
      <c r="D254" s="79">
        <f>IFERROR(VLOOKUP($G254,基本資料!$A:$J,6,0),"無")</f>
        <v>-5</v>
      </c>
      <c r="E254" s="79">
        <f>IFERROR(VLOOKUP($G254,基本資料!$A:$J,7,0),"無")</f>
        <v>62</v>
      </c>
      <c r="F254" s="6">
        <f>IFERROR(VLOOKUP($G254,基本資料!$A:$J,8,0),"無")</f>
        <v>3.71</v>
      </c>
      <c r="G254" s="79">
        <v>1722</v>
      </c>
      <c r="H254" s="8" t="s">
        <v>3578</v>
      </c>
      <c r="I254" s="22" t="s">
        <v>3599</v>
      </c>
      <c r="J254" s="8" t="str">
        <f>IFERROR(VLOOKUP($G254,今日總結!$A:$AJ,35,0),"")</f>
        <v/>
      </c>
      <c r="K254" s="5" t="str">
        <f>IFERROR(VLOOKUP($G254,今日總結!$A:$AJ,36,0),"")</f>
        <v/>
      </c>
      <c r="L254" s="156" t="str">
        <f>IFERROR(VLOOKUP($G254,今日總結!$A:$AJ,33,0),"")</f>
        <v/>
      </c>
      <c r="M254" s="340" t="str">
        <f>IFERROR(VLOOKUP($G254,今日總結!$A:$AJ,34,0),"")</f>
        <v/>
      </c>
      <c r="N254" s="240" t="str">
        <f t="shared" si="56"/>
        <v/>
      </c>
      <c r="P254" s="365">
        <f>IFERROR(VLOOKUP($G254,融外自投!$A:$J,7,0),"無")</f>
        <v>1079</v>
      </c>
      <c r="Q254" s="79">
        <f>IFERROR(VLOOKUP($G254,融外自投!$A:$J,9,0),"無")</f>
        <v>224</v>
      </c>
      <c r="R254" s="346">
        <f>IFERROR(VLOOKUP($G254,融外自投!$A:$J,8,0),"無")</f>
        <v>363</v>
      </c>
      <c r="S254" s="81">
        <f>IFERROR(VLOOKUP($G254,融外自投!$A:$J,10,0),"無")</f>
        <v>179</v>
      </c>
      <c r="T254" s="327">
        <f>IFERROR(VLOOKUP($G254,'321買'!$A:$E,5,0),"'沒有資料'")</f>
        <v>107</v>
      </c>
      <c r="U254" s="186">
        <f>IFERROR(VLOOKUP($G254,基本資料!$A:$J,9,0),"無")</f>
        <v>2.8</v>
      </c>
      <c r="V254" s="310">
        <f t="shared" si="57"/>
        <v>3.9381153305203941E-2</v>
      </c>
      <c r="W254" s="94">
        <f>IFERROR(VLOOKUP($G254,基本資料!$A:$J,10,0),"無")</f>
        <v>3.1</v>
      </c>
      <c r="X254" s="36">
        <f>RTD("money.excel",,"1722","Price")</f>
        <v>71.099999999999994</v>
      </c>
      <c r="Y254" s="66"/>
      <c r="Z254" s="15">
        <f t="shared" si="62"/>
        <v>71.099999999999994</v>
      </c>
      <c r="AA254" s="3" t="e">
        <f t="shared" si="63"/>
        <v>#DIV/0!</v>
      </c>
      <c r="AB254" s="344">
        <f>IFERROR(VLOOKUP($G254,基本資料!$A:$M,11,0),"無")</f>
        <v>-15.76</v>
      </c>
      <c r="AC254" s="397">
        <f>IFERROR(VLOOKUP($G254,基本資料!$A:$M,12,0),"無")</f>
        <v>38.090000000000003</v>
      </c>
      <c r="AD254" s="22" t="s">
        <v>3599</v>
      </c>
      <c r="AG254" s="33">
        <f t="shared" si="64"/>
        <v>0</v>
      </c>
      <c r="AH254" s="117" t="s">
        <v>2810</v>
      </c>
      <c r="AI254" s="63">
        <f t="shared" si="61"/>
        <v>9.4061224489795925E-3</v>
      </c>
      <c r="AJ254" s="284">
        <f>RTD("money.excel",,$G254,"PredictVolume")</f>
        <v>9218</v>
      </c>
      <c r="AK254" s="399">
        <f>IFERROR(VLOOKUP($G254,基本資料!$A:$M,13,0),"無")</f>
        <v>6.71</v>
      </c>
    </row>
    <row r="255" spans="1:37">
      <c r="A255" s="347">
        <f>IFERROR(VLOOKUP($G255,基本資料!$A:$J,3,0),"無")</f>
        <v>23.69</v>
      </c>
      <c r="B255" s="79">
        <f>IFERROR(VLOOKUP($G255,基本資料!$A:$J,4,0),"無")</f>
        <v>54</v>
      </c>
      <c r="C255" s="79">
        <f>IFERROR(VLOOKUP($G255,基本資料!$A:$J,5,0),"無")</f>
        <v>55</v>
      </c>
      <c r="D255" s="79">
        <f>IFERROR(VLOOKUP($G255,基本資料!$A:$J,6,0),"無")</f>
        <v>42</v>
      </c>
      <c r="E255" s="79">
        <f>IFERROR(VLOOKUP($G255,基本資料!$A:$J,7,0),"無")</f>
        <v>93</v>
      </c>
      <c r="F255" s="6">
        <f>IFERROR(VLOOKUP($G255,基本資料!$A:$J,8,0),"無")</f>
        <v>14.94</v>
      </c>
      <c r="G255" s="79">
        <v>1723</v>
      </c>
      <c r="H255" s="8" t="s">
        <v>3578</v>
      </c>
      <c r="I255" s="22" t="s">
        <v>129</v>
      </c>
      <c r="J255" s="8" t="str">
        <f>IFERROR(VLOOKUP($G255,今日總結!$A:$AJ,35,0),"")</f>
        <v>4融主</v>
      </c>
      <c r="K255" s="5">
        <f>IFERROR(VLOOKUP($G255,今日總結!$A:$AJ,36,0),"")</f>
        <v>0</v>
      </c>
      <c r="L255" s="156">
        <f>IFERROR(VLOOKUP($G255,今日總結!$A:$AJ,33,0),"")</f>
        <v>3</v>
      </c>
      <c r="M255" s="340">
        <f>IFERROR(VLOOKUP($G255,今日總結!$A:$AJ,34,0),"")</f>
        <v>0</v>
      </c>
      <c r="N255" s="240">
        <f t="shared" si="56"/>
        <v>3</v>
      </c>
      <c r="P255" s="365">
        <f>IFERROR(VLOOKUP($G255,融外自投!$A:$J,7,0),"無")</f>
        <v>1112</v>
      </c>
      <c r="Q255" s="79">
        <f>IFERROR(VLOOKUP($G255,融外自投!$A:$J,9,0),"無")</f>
        <v>355</v>
      </c>
      <c r="R255" s="346">
        <f>IFERROR(VLOOKUP($G255,融外自投!$A:$J,8,0),"無")</f>
        <v>557</v>
      </c>
      <c r="S255" s="81">
        <f>IFERROR(VLOOKUP($G255,融外自投!$A:$J,10,0),"無")</f>
        <v>374</v>
      </c>
      <c r="T255" s="327">
        <f>IFERROR(VLOOKUP($G255,'321買'!$A:$E,5,0),"'沒有資料'")</f>
        <v>584</v>
      </c>
      <c r="U255" s="186">
        <f>IFERROR(VLOOKUP($G255,基本資料!$A:$J,9,0),"無")</f>
        <v>4</v>
      </c>
      <c r="V255" s="310">
        <f t="shared" si="57"/>
        <v>3.2786885245901641E-2</v>
      </c>
      <c r="W255" s="94">
        <f>IFERROR(VLOOKUP($G255,基本資料!$A:$J,10,0),"無")</f>
        <v>4.7300000000000004</v>
      </c>
      <c r="X255" s="36">
        <f>RTD("money.excel",,"1723","Price")</f>
        <v>122</v>
      </c>
      <c r="Y255" s="66"/>
      <c r="Z255" s="15">
        <f t="shared" si="62"/>
        <v>122</v>
      </c>
      <c r="AA255" s="3" t="e">
        <f t="shared" si="63"/>
        <v>#DIV/0!</v>
      </c>
      <c r="AB255" s="344">
        <f>IFERROR(VLOOKUP($G255,基本資料!$A:$M,11,0),"無")</f>
        <v>-8.81</v>
      </c>
      <c r="AC255" s="397">
        <f>IFERROR(VLOOKUP($G255,基本資料!$A:$M,12,0),"無")</f>
        <v>51.06</v>
      </c>
      <c r="AD255" s="22" t="s">
        <v>129</v>
      </c>
      <c r="AG255" s="33">
        <f t="shared" si="64"/>
        <v>0</v>
      </c>
      <c r="AH255" s="117" t="s">
        <v>1425</v>
      </c>
      <c r="AI255" s="63">
        <f t="shared" si="61"/>
        <v>7.4841705360911776E-3</v>
      </c>
      <c r="AJ255" s="284">
        <f>RTD("money.excel",,$G255,"PredictVolume")</f>
        <v>1773</v>
      </c>
      <c r="AK255" s="399">
        <f>IFERROR(VLOOKUP($G255,基本資料!$A:$M,13,0),"無")</f>
        <v>5.76</v>
      </c>
    </row>
    <row r="256" spans="1:37">
      <c r="A256" s="347">
        <f>IFERROR(VLOOKUP($G256,基本資料!$A:$J,3,0),"無")</f>
        <v>18.18</v>
      </c>
      <c r="B256" s="79">
        <f>IFERROR(VLOOKUP($G256,基本資料!$A:$J,4,0),"無")</f>
        <v>28</v>
      </c>
      <c r="C256" s="79">
        <f>IFERROR(VLOOKUP($G256,基本資料!$A:$J,5,0),"無")</f>
        <v>61</v>
      </c>
      <c r="D256" s="79">
        <f>IFERROR(VLOOKUP($G256,基本資料!$A:$J,6,0),"無")</f>
        <v>-14</v>
      </c>
      <c r="E256" s="79">
        <f>IFERROR(VLOOKUP($G256,基本資料!$A:$J,7,0),"無")</f>
        <v>-6</v>
      </c>
      <c r="F256" s="6">
        <f>IFERROR(VLOOKUP($G256,基本資料!$A:$J,8,0),"無")</f>
        <v>2.2999999999999998</v>
      </c>
      <c r="G256" s="79">
        <v>1725</v>
      </c>
      <c r="H256" s="8" t="s">
        <v>3578</v>
      </c>
      <c r="I256" s="22" t="s">
        <v>765</v>
      </c>
      <c r="J256" s="8">
        <f>IFERROR(VLOOKUP($G256,今日總結!$A:$AJ,35,0),"")</f>
        <v>0</v>
      </c>
      <c r="K256" s="5">
        <f>IFERROR(VLOOKUP($G256,今日總結!$A:$AJ,36,0),"")</f>
        <v>9</v>
      </c>
      <c r="L256" s="156">
        <f>IFERROR(VLOOKUP($G256,今日總結!$A:$AJ,33,0),"")</f>
        <v>0</v>
      </c>
      <c r="M256" s="340">
        <f>IFERROR(VLOOKUP($G256,今日總結!$A:$AJ,34,0),"")</f>
        <v>1</v>
      </c>
      <c r="N256" s="240">
        <f t="shared" si="56"/>
        <v>-1</v>
      </c>
      <c r="P256" s="365">
        <f>IFERROR(VLOOKUP($G256,融外自投!$A:$J,7,0),"無")</f>
        <v>1222</v>
      </c>
      <c r="Q256" s="79">
        <f>IFERROR(VLOOKUP($G256,融外自投!$A:$J,9,0),"無")</f>
        <v>1051</v>
      </c>
      <c r="R256" s="346">
        <f>IFERROR(VLOOKUP($G256,融外自投!$A:$J,8,0),"無")</f>
        <v>1395</v>
      </c>
      <c r="S256" s="81" t="str">
        <f>IFERROR(VLOOKUP($G256,融外自投!$A:$J,10,0),"無")</f>
        <v>無</v>
      </c>
      <c r="T256" s="327">
        <f>IFERROR(VLOOKUP($G256,'321買'!$A:$E,5,0),"'沒有資料'")</f>
        <v>1239</v>
      </c>
      <c r="U256" s="186">
        <f>IFERROR(VLOOKUP($G256,基本資料!$A:$J,9,0),"無")</f>
        <v>1.23</v>
      </c>
      <c r="V256" s="310">
        <f t="shared" si="57"/>
        <v>5.7076566125290024E-2</v>
      </c>
      <c r="W256" s="94">
        <f>IFERROR(VLOOKUP($G256,基本資料!$A:$J,10,0),"無")</f>
        <v>1.76</v>
      </c>
      <c r="X256" s="36">
        <f>RTD("money.excel",,"1725","Price")</f>
        <v>21.55</v>
      </c>
      <c r="Y256" s="66"/>
      <c r="Z256" s="15">
        <f t="shared" si="62"/>
        <v>21.55</v>
      </c>
      <c r="AA256" s="3" t="e">
        <f t="shared" si="63"/>
        <v>#DIV/0!</v>
      </c>
      <c r="AB256" s="344">
        <f>IFERROR(VLOOKUP($G256,基本資料!$A:$M,11,0),"無")</f>
        <v>-49.21</v>
      </c>
      <c r="AC256" s="397">
        <f>IFERROR(VLOOKUP($G256,基本資料!$A:$M,12,0),"無")</f>
        <v>14.82</v>
      </c>
      <c r="AD256" s="22" t="s">
        <v>765</v>
      </c>
      <c r="AG256" s="33">
        <f t="shared" si="64"/>
        <v>0</v>
      </c>
      <c r="AH256" s="43" t="s">
        <v>3600</v>
      </c>
      <c r="AI256" s="63">
        <f t="shared" si="61"/>
        <v>1.7051705170517052E-4</v>
      </c>
      <c r="AJ256" s="284">
        <f>RTD("money.excel",,$G256,"PredictVolume")</f>
        <v>31</v>
      </c>
      <c r="AK256" s="399">
        <f>IFERROR(VLOOKUP($G256,基本資料!$A:$M,13,0),"無")</f>
        <v>4.4000000000000004</v>
      </c>
    </row>
    <row r="257" spans="1:37">
      <c r="A257" s="347">
        <f>IFERROR(VLOOKUP($G257,基本資料!$A:$J,3,0),"無")</f>
        <v>16.2</v>
      </c>
      <c r="B257" s="79">
        <f>IFERROR(VLOOKUP($G257,基本資料!$A:$J,4,0),"無")</f>
        <v>6</v>
      </c>
      <c r="C257" s="79">
        <f>IFERROR(VLOOKUP($G257,基本資料!$A:$J,5,0),"無")</f>
        <v>2</v>
      </c>
      <c r="D257" s="79">
        <f>IFERROR(VLOOKUP($G257,基本資料!$A:$J,6,0),"無")</f>
        <v>59</v>
      </c>
      <c r="E257" s="79">
        <f>IFERROR(VLOOKUP($G257,基本資料!$A:$J,7,0),"無")</f>
        <v>26</v>
      </c>
      <c r="F257" s="6">
        <f>IFERROR(VLOOKUP($G257,基本資料!$A:$J,8,0),"無")</f>
        <v>11.31</v>
      </c>
      <c r="G257" s="79">
        <v>1726</v>
      </c>
      <c r="H257" s="8" t="s">
        <v>3578</v>
      </c>
      <c r="I257" s="22" t="s">
        <v>3601</v>
      </c>
      <c r="J257" s="8" t="str">
        <f>IFERROR(VLOOKUP($G257,今日總結!$A:$AJ,35,0),"")</f>
        <v/>
      </c>
      <c r="K257" s="5" t="str">
        <f>IFERROR(VLOOKUP($G257,今日總結!$A:$AJ,36,0),"")</f>
        <v/>
      </c>
      <c r="L257" s="156" t="str">
        <f>IFERROR(VLOOKUP($G257,今日總結!$A:$AJ,33,0),"")</f>
        <v/>
      </c>
      <c r="M257" s="340" t="str">
        <f>IFERROR(VLOOKUP($G257,今日總結!$A:$AJ,34,0),"")</f>
        <v/>
      </c>
      <c r="N257" s="240" t="str">
        <f t="shared" si="56"/>
        <v/>
      </c>
      <c r="P257" s="365">
        <f>IFERROR(VLOOKUP($G257,融外自投!$A:$J,7,0),"無")</f>
        <v>1466</v>
      </c>
      <c r="Q257" s="79" t="str">
        <f>IFERROR(VLOOKUP($G257,融外自投!$A:$J,9,0),"無")</f>
        <v>無</v>
      </c>
      <c r="R257" s="346">
        <f>IFERROR(VLOOKUP($G257,融外自投!$A:$J,8,0),"無")</f>
        <v>394</v>
      </c>
      <c r="S257" s="81" t="str">
        <f>IFERROR(VLOOKUP($G257,融外自投!$A:$J,10,0),"無")</f>
        <v>無</v>
      </c>
      <c r="T257" s="327">
        <f>IFERROR(VLOOKUP($G257,'321買'!$A:$E,5,0),"'沒有資料'")</f>
        <v>1367</v>
      </c>
      <c r="U257" s="186">
        <f>IFERROR(VLOOKUP($G257,基本資料!$A:$J,9,0),"無")</f>
        <v>3.5</v>
      </c>
      <c r="V257" s="310">
        <f t="shared" si="57"/>
        <v>4.8678720445062586E-2</v>
      </c>
      <c r="W257" s="94">
        <f>IFERROR(VLOOKUP($G257,基本資料!$A:$J,10,0),"無")</f>
        <v>5.45</v>
      </c>
      <c r="X257" s="36">
        <f>RTD("money.excel",,"1726","Price")</f>
        <v>71.900000000000006</v>
      </c>
      <c r="Y257" s="66"/>
      <c r="Z257" s="15">
        <f t="shared" si="62"/>
        <v>71.900000000000006</v>
      </c>
      <c r="AA257" s="3" t="e">
        <f t="shared" si="63"/>
        <v>#DIV/0!</v>
      </c>
      <c r="AB257" s="344">
        <f>IFERROR(VLOOKUP($G257,基本資料!$A:$M,11,0),"無")</f>
        <v>-7.1</v>
      </c>
      <c r="AC257" s="397">
        <f>IFERROR(VLOOKUP($G257,基本資料!$A:$M,12,0),"無")</f>
        <v>17.13</v>
      </c>
      <c r="AD257" s="22" t="s">
        <v>3601</v>
      </c>
      <c r="AG257" s="33">
        <f t="shared" si="64"/>
        <v>0</v>
      </c>
      <c r="AH257" s="43" t="s">
        <v>3602</v>
      </c>
      <c r="AI257" s="63">
        <f t="shared" si="61"/>
        <v>4.2592592592592595E-4</v>
      </c>
      <c r="AJ257" s="284">
        <f>RTD("money.excel",,$G257,"PredictVolume")</f>
        <v>69</v>
      </c>
      <c r="AK257" s="399">
        <f>IFERROR(VLOOKUP($G257,基本資料!$A:$M,13,0),"無")</f>
        <v>0.14000000000000001</v>
      </c>
    </row>
    <row r="258" spans="1:37">
      <c r="A258" s="347">
        <f>IFERROR(VLOOKUP($G258,基本資料!$A:$J,3,0),"無")</f>
        <v>10.82</v>
      </c>
      <c r="B258" s="79">
        <f>IFERROR(VLOOKUP($G258,基本資料!$A:$J,4,0),"無")</f>
        <v>235</v>
      </c>
      <c r="C258" s="79">
        <f>IFERROR(VLOOKUP($G258,基本資料!$A:$J,5,0),"無")</f>
        <v>1317</v>
      </c>
      <c r="D258" s="79">
        <f>IFERROR(VLOOKUP($G258,基本資料!$A:$J,6,0),"無")</f>
        <v>22</v>
      </c>
      <c r="E258" s="79">
        <f>IFERROR(VLOOKUP($G258,基本資料!$A:$J,7,0),"無")</f>
        <v>43</v>
      </c>
      <c r="F258" s="6">
        <f>IFERROR(VLOOKUP($G258,基本資料!$A:$J,8,0),"無")</f>
        <v>7.92</v>
      </c>
      <c r="G258" s="79">
        <v>1727</v>
      </c>
      <c r="H258" s="8" t="s">
        <v>3578</v>
      </c>
      <c r="I258" s="153" t="s">
        <v>3603</v>
      </c>
      <c r="J258" s="8" t="str">
        <f>IFERROR(VLOOKUP($G258,今日總結!$A:$AJ,35,0),"")</f>
        <v>券</v>
      </c>
      <c r="K258" s="5">
        <f>IFERROR(VLOOKUP($G258,今日總結!$A:$AJ,36,0),"")</f>
        <v>0</v>
      </c>
      <c r="L258" s="156">
        <f>IFERROR(VLOOKUP($G258,今日總結!$A:$AJ,33,0),"")</f>
        <v>1</v>
      </c>
      <c r="M258" s="340">
        <f>IFERROR(VLOOKUP($G258,今日總結!$A:$AJ,34,0),"")</f>
        <v>0</v>
      </c>
      <c r="N258" s="240">
        <f t="shared" si="56"/>
        <v>1</v>
      </c>
      <c r="P258" s="365">
        <f>IFERROR(VLOOKUP($G258,融外自投!$A:$J,7,0),"無")</f>
        <v>150</v>
      </c>
      <c r="Q258" s="79">
        <f>IFERROR(VLOOKUP($G258,融外自投!$A:$J,9,0),"無")</f>
        <v>270</v>
      </c>
      <c r="R258" s="346">
        <f>IFERROR(VLOOKUP($G258,融外自投!$A:$J,8,0),"無")</f>
        <v>997</v>
      </c>
      <c r="S258" s="81">
        <f>IFERROR(VLOOKUP($G258,融外自投!$A:$J,10,0),"無")</f>
        <v>383</v>
      </c>
      <c r="T258" s="327">
        <f>IFERROR(VLOOKUP($G258,'321買'!$A:$E,5,0),"'沒有資料'")</f>
        <v>153</v>
      </c>
      <c r="U258" s="186">
        <f>IFERROR(VLOOKUP($G258,基本資料!$A:$J,9,0),"無")</f>
        <v>0.52</v>
      </c>
      <c r="V258" s="310">
        <f t="shared" si="57"/>
        <v>1.3666228646517741E-2</v>
      </c>
      <c r="W258" s="94">
        <f>IFERROR(VLOOKUP($G258,基本資料!$A:$J,10,0),"無")</f>
        <v>1.86</v>
      </c>
      <c r="X258" s="36">
        <f>RTD("money.excel",,"1727","Price")</f>
        <v>38.049999999999997</v>
      </c>
      <c r="Y258" s="66"/>
      <c r="Z258" s="15">
        <f t="shared" si="62"/>
        <v>38.049999999999997</v>
      </c>
      <c r="AA258" s="3" t="e">
        <f t="shared" si="63"/>
        <v>#DIV/0!</v>
      </c>
      <c r="AB258" s="344">
        <f>IFERROR(VLOOKUP($G258,基本資料!$A:$M,11,0),"無")</f>
        <v>-37.01</v>
      </c>
      <c r="AC258" s="397">
        <f>IFERROR(VLOOKUP($G258,基本資料!$A:$M,12,0),"無")</f>
        <v>32.159999999999997</v>
      </c>
      <c r="AD258" s="22" t="s">
        <v>3603</v>
      </c>
      <c r="AG258" s="33">
        <f t="shared" si="64"/>
        <v>0</v>
      </c>
      <c r="AH258" s="43" t="s">
        <v>3604</v>
      </c>
      <c r="AI258" s="63">
        <f t="shared" si="61"/>
        <v>1.9242144177449169E-2</v>
      </c>
      <c r="AJ258" s="284">
        <f>RTD("money.excel",,$G258,"PredictVolume")</f>
        <v>2082</v>
      </c>
      <c r="AK258" s="399">
        <f>IFERROR(VLOOKUP($G258,基本資料!$A:$M,13,0),"無")</f>
        <v>138.87</v>
      </c>
    </row>
    <row r="259" spans="1:37">
      <c r="A259" s="347">
        <f>IFERROR(VLOOKUP($G259,基本資料!$A:$J,3,0),"無")</f>
        <v>6.32</v>
      </c>
      <c r="B259" s="79">
        <f>IFERROR(VLOOKUP($G259,基本資料!$A:$J,4,0),"無")</f>
        <v>-24</v>
      </c>
      <c r="C259" s="79">
        <f>IFERROR(VLOOKUP($G259,基本資料!$A:$J,5,0),"無")</f>
        <v>6</v>
      </c>
      <c r="D259" s="79">
        <f>IFERROR(VLOOKUP($G259,基本資料!$A:$J,6,0),"無")</f>
        <v>15</v>
      </c>
      <c r="E259" s="79">
        <f>IFERROR(VLOOKUP($G259,基本資料!$A:$J,7,0),"無")</f>
        <v>-11</v>
      </c>
      <c r="F259" s="6">
        <f>IFERROR(VLOOKUP($G259,基本資料!$A:$J,8,0),"無")</f>
        <v>10.72</v>
      </c>
      <c r="G259" s="79">
        <v>1730</v>
      </c>
      <c r="H259" s="8" t="s">
        <v>3578</v>
      </c>
      <c r="I259" s="22" t="s">
        <v>3605</v>
      </c>
      <c r="J259" s="8" t="str">
        <f>IFERROR(VLOOKUP($G259,今日總結!$A:$AJ,35,0),"")</f>
        <v/>
      </c>
      <c r="K259" s="5" t="str">
        <f>IFERROR(VLOOKUP($G259,今日總結!$A:$AJ,36,0),"")</f>
        <v/>
      </c>
      <c r="L259" s="156" t="str">
        <f>IFERROR(VLOOKUP($G259,今日總結!$A:$AJ,33,0),"")</f>
        <v/>
      </c>
      <c r="M259" s="340" t="str">
        <f>IFERROR(VLOOKUP($G259,今日總結!$A:$AJ,34,0),"")</f>
        <v/>
      </c>
      <c r="N259" s="240" t="str">
        <f t="shared" si="56"/>
        <v/>
      </c>
      <c r="P259" s="365">
        <f>IFERROR(VLOOKUP($G259,融外自投!$A:$J,7,0),"無")</f>
        <v>1333</v>
      </c>
      <c r="Q259" s="79">
        <f>IFERROR(VLOOKUP($G259,融外自投!$A:$J,9,0),"無")</f>
        <v>558</v>
      </c>
      <c r="R259" s="346">
        <f>IFERROR(VLOOKUP($G259,融外自投!$A:$J,8,0),"無")</f>
        <v>633</v>
      </c>
      <c r="S259" s="81" t="str">
        <f>IFERROR(VLOOKUP($G259,融外自投!$A:$J,10,0),"無")</f>
        <v>無</v>
      </c>
      <c r="T259" s="327">
        <f>IFERROR(VLOOKUP($G259,'321買'!$A:$E,5,0),"'沒有資料'")</f>
        <v>1259</v>
      </c>
      <c r="U259" s="186">
        <f>IFERROR(VLOOKUP($G259,基本資料!$A:$J,9,0),"無")</f>
        <v>3</v>
      </c>
      <c r="V259" s="310">
        <f t="shared" si="57"/>
        <v>5.1107325383304938E-2</v>
      </c>
      <c r="W259" s="94">
        <f>IFERROR(VLOOKUP($G259,基本資料!$A:$J,10,0),"無")</f>
        <v>4.1399999999999997</v>
      </c>
      <c r="X259" s="36">
        <f>RTD("money.excel",,"1730","Price")</f>
        <v>58.7</v>
      </c>
      <c r="Y259" s="66"/>
      <c r="Z259" s="15">
        <f t="shared" si="62"/>
        <v>58.7</v>
      </c>
      <c r="AA259" s="3" t="e">
        <f t="shared" si="63"/>
        <v>#DIV/0!</v>
      </c>
      <c r="AB259" s="344">
        <f>IFERROR(VLOOKUP($G259,基本資料!$A:$M,11,0),"無")</f>
        <v>-15.63</v>
      </c>
      <c r="AC259" s="397">
        <f>IFERROR(VLOOKUP($G259,基本資料!$A:$M,12,0),"無")</f>
        <v>7.9</v>
      </c>
      <c r="AD259" s="22" t="s">
        <v>3605</v>
      </c>
      <c r="AG259" s="33">
        <f t="shared" si="64"/>
        <v>0</v>
      </c>
      <c r="AH259" s="43" t="s">
        <v>3606</v>
      </c>
      <c r="AI259" s="63">
        <f t="shared" si="61"/>
        <v>4.4303797468354429E-4</v>
      </c>
      <c r="AJ259" s="284">
        <f>RTD("money.excel",,$G259,"PredictVolume")</f>
        <v>28</v>
      </c>
      <c r="AK259" s="399">
        <f>IFERROR(VLOOKUP($G259,基本資料!$A:$M,13,0),"無")</f>
        <v>5.53</v>
      </c>
    </row>
    <row r="260" spans="1:37">
      <c r="A260" s="347">
        <f>IFERROR(VLOOKUP($G260,基本資料!$A:$J,3,0),"無")</f>
        <v>4.24</v>
      </c>
      <c r="B260" s="79">
        <f>IFERROR(VLOOKUP($G260,基本資料!$A:$J,4,0),"無")</f>
        <v>-49</v>
      </c>
      <c r="C260" s="79">
        <f>IFERROR(VLOOKUP($G260,基本資料!$A:$J,5,0),"無")</f>
        <v>-63</v>
      </c>
      <c r="D260" s="79">
        <f>IFERROR(VLOOKUP($G260,基本資料!$A:$J,6,0),"無")</f>
        <v>18</v>
      </c>
      <c r="E260" s="79">
        <f>IFERROR(VLOOKUP($G260,基本資料!$A:$J,7,0),"無")</f>
        <v>-6</v>
      </c>
      <c r="F260" s="6">
        <f>IFERROR(VLOOKUP($G260,基本資料!$A:$J,8,0),"無")</f>
        <v>2.78</v>
      </c>
      <c r="G260" s="79">
        <v>1732</v>
      </c>
      <c r="H260" s="8" t="s">
        <v>755</v>
      </c>
      <c r="I260" s="22" t="s">
        <v>3607</v>
      </c>
      <c r="J260" s="8">
        <f>IFERROR(VLOOKUP($G260,今日總結!$A:$AJ,35,0),"")</f>
        <v>42</v>
      </c>
      <c r="K260" s="5">
        <f>IFERROR(VLOOKUP($G260,今日總結!$A:$AJ,36,0),"")</f>
        <v>0</v>
      </c>
      <c r="L260" s="156">
        <f>IFERROR(VLOOKUP($G260,今日總結!$A:$AJ,33,0),"")</f>
        <v>2</v>
      </c>
      <c r="M260" s="340">
        <f>IFERROR(VLOOKUP($G260,今日總結!$A:$AJ,34,0),"")</f>
        <v>0</v>
      </c>
      <c r="N260" s="240">
        <f t="shared" si="56"/>
        <v>2</v>
      </c>
      <c r="P260" s="365">
        <f>IFERROR(VLOOKUP($G260,融外自投!$A:$J,7,0),"無")</f>
        <v>183</v>
      </c>
      <c r="Q260" s="79">
        <f>IFERROR(VLOOKUP($G260,融外自投!$A:$J,9,0),"無")</f>
        <v>75</v>
      </c>
      <c r="R260" s="346">
        <f>IFERROR(VLOOKUP($G260,融外自投!$A:$J,8,0),"無")</f>
        <v>1030</v>
      </c>
      <c r="S260" s="81">
        <f>IFERROR(VLOOKUP($G260,融外自投!$A:$J,10,0),"無")</f>
        <v>407</v>
      </c>
      <c r="T260" s="327">
        <f>IFERROR(VLOOKUP($G260,'321買'!$A:$E,5,0),"'沒有資料'")</f>
        <v>145</v>
      </c>
      <c r="U260" s="186">
        <f>IFERROR(VLOOKUP($G260,基本資料!$A:$J,9,0),"無")</f>
        <v>0.35</v>
      </c>
      <c r="V260" s="310">
        <f t="shared" si="57"/>
        <v>9.8176718092566617E-3</v>
      </c>
      <c r="W260" s="94">
        <f>IFERROR(VLOOKUP($G260,基本資料!$A:$J,10,0),"無")</f>
        <v>0.46</v>
      </c>
      <c r="X260" s="36">
        <f>RTD("money.excel",,"1732","Price")</f>
        <v>35.65</v>
      </c>
      <c r="Y260" s="66"/>
      <c r="Z260" s="15">
        <f t="shared" si="62"/>
        <v>35.65</v>
      </c>
      <c r="AA260" s="3" t="e">
        <f t="shared" si="63"/>
        <v>#DIV/0!</v>
      </c>
      <c r="AB260" s="344">
        <f>IFERROR(VLOOKUP($G260,基本資料!$A:$M,11,0),"無")</f>
        <v>-29.65</v>
      </c>
      <c r="AC260" s="397">
        <f>IFERROR(VLOOKUP($G260,基本資料!$A:$M,12,0),"無")</f>
        <v>45.11</v>
      </c>
      <c r="AD260" s="22" t="s">
        <v>3607</v>
      </c>
      <c r="AG260" s="33">
        <f t="shared" si="64"/>
        <v>0</v>
      </c>
      <c r="AH260" s="43" t="s">
        <v>3608</v>
      </c>
      <c r="AI260" s="63">
        <f t="shared" si="61"/>
        <v>6.5330188679245282E-2</v>
      </c>
      <c r="AJ260" s="284">
        <f>RTD("money.excel",,$G260,"PredictVolume")</f>
        <v>2770</v>
      </c>
      <c r="AK260" s="399">
        <f>IFERROR(VLOOKUP($G260,基本資料!$A:$M,13,0),"無")</f>
        <v>172.15</v>
      </c>
    </row>
    <row r="261" spans="1:37">
      <c r="A261" s="347">
        <f>IFERROR(VLOOKUP($G261,基本資料!$A:$J,3,0),"無")</f>
        <v>9.93</v>
      </c>
      <c r="B261" s="79">
        <f>IFERROR(VLOOKUP($G261,基本資料!$A:$J,4,0),"無")</f>
        <v>-86</v>
      </c>
      <c r="C261" s="79">
        <f>IFERROR(VLOOKUP($G261,基本資料!$A:$J,5,0),"無")</f>
        <v>-77</v>
      </c>
      <c r="D261" s="79">
        <f>IFERROR(VLOOKUP($G261,基本資料!$A:$J,6,0),"無")</f>
        <v>-23</v>
      </c>
      <c r="E261" s="79">
        <f>IFERROR(VLOOKUP($G261,基本資料!$A:$J,7,0),"無")</f>
        <v>-10</v>
      </c>
      <c r="F261" s="6">
        <f>IFERROR(VLOOKUP($G261,基本資料!$A:$J,8,0),"無")</f>
        <v>0.98</v>
      </c>
      <c r="G261" s="79">
        <v>1735</v>
      </c>
      <c r="H261" s="8" t="s">
        <v>3578</v>
      </c>
      <c r="I261" s="22" t="s">
        <v>3609</v>
      </c>
      <c r="J261" s="8" t="str">
        <f>IFERROR(VLOOKUP($G261,今日總結!$A:$AJ,35,0),"")</f>
        <v/>
      </c>
      <c r="K261" s="5" t="str">
        <f>IFERROR(VLOOKUP($G261,今日總結!$A:$AJ,36,0),"")</f>
        <v/>
      </c>
      <c r="L261" s="156" t="str">
        <f>IFERROR(VLOOKUP($G261,今日總結!$A:$AJ,33,0),"")</f>
        <v/>
      </c>
      <c r="M261" s="340" t="str">
        <f>IFERROR(VLOOKUP($G261,今日總結!$A:$AJ,34,0),"")</f>
        <v/>
      </c>
      <c r="N261" s="240" t="str">
        <f t="shared" ref="N261:N286" si="65">IFERROR(L261-M261,"")</f>
        <v/>
      </c>
      <c r="P261" s="365">
        <f>IFERROR(VLOOKUP($G261,融外自投!$A:$J,7,0),"無")</f>
        <v>1342</v>
      </c>
      <c r="Q261" s="79">
        <f>IFERROR(VLOOKUP($G261,融外自投!$A:$J,9,0),"無")</f>
        <v>1051</v>
      </c>
      <c r="R261" s="346">
        <f>IFERROR(VLOOKUP($G261,融外自投!$A:$J,8,0),"無")</f>
        <v>78</v>
      </c>
      <c r="S261" s="81">
        <f>IFERROR(VLOOKUP($G261,融外自投!$A:$J,10,0),"無")</f>
        <v>362</v>
      </c>
      <c r="T261" s="327">
        <f>IFERROR(VLOOKUP($G261,'321買'!$A:$E,5,0),"'沒有資料'")</f>
        <v>1367</v>
      </c>
      <c r="U261" s="186">
        <f>IFERROR(VLOOKUP($G261,基本資料!$A:$J,9,0),"無")</f>
        <v>0</v>
      </c>
      <c r="V261" s="310">
        <f t="shared" si="57"/>
        <v>0</v>
      </c>
      <c r="W261" s="94">
        <f>IFERROR(VLOOKUP($G261,基本資料!$A:$J,10,0),"無")</f>
        <v>0.1</v>
      </c>
      <c r="X261" s="36">
        <f>RTD("money.excel",,"1735","Price")</f>
        <v>17.149999999999999</v>
      </c>
      <c r="Y261" s="66"/>
      <c r="Z261" s="15">
        <f t="shared" si="62"/>
        <v>17.149999999999999</v>
      </c>
      <c r="AA261" s="3" t="e">
        <f t="shared" si="63"/>
        <v>#DIV/0!</v>
      </c>
      <c r="AB261" s="344">
        <f>IFERROR(VLOOKUP($G261,基本資料!$A:$M,11,0),"無")</f>
        <v>-13.57</v>
      </c>
      <c r="AC261" s="397">
        <f>IFERROR(VLOOKUP($G261,基本資料!$A:$M,12,0),"無")</f>
        <v>22.01</v>
      </c>
      <c r="AD261" s="22" t="s">
        <v>3609</v>
      </c>
      <c r="AG261" s="33">
        <f t="shared" si="64"/>
        <v>0</v>
      </c>
      <c r="AH261" s="43" t="s">
        <v>2551</v>
      </c>
      <c r="AI261" s="63">
        <f t="shared" si="61"/>
        <v>1.107754279959718E-4</v>
      </c>
      <c r="AJ261" s="284">
        <f>RTD("money.excel",,$G261,"PredictVolume")</f>
        <v>11</v>
      </c>
      <c r="AK261" s="399">
        <f>IFERROR(VLOOKUP($G261,基本資料!$A:$M,13,0),"無")</f>
        <v>0.45</v>
      </c>
    </row>
    <row r="262" spans="1:37">
      <c r="A262" s="347">
        <f>IFERROR(VLOOKUP($G262,基本資料!$A:$J,3,0),"無")</f>
        <v>8.15</v>
      </c>
      <c r="B262" s="79">
        <f>IFERROR(VLOOKUP($G262,基本資料!$A:$J,4,0),"無")</f>
        <v>5772</v>
      </c>
      <c r="C262" s="79">
        <f>IFERROR(VLOOKUP($G262,基本資料!$A:$J,5,0),"無")</f>
        <v>-34</v>
      </c>
      <c r="D262" s="79">
        <f>IFERROR(VLOOKUP($G262,基本資料!$A:$J,6,0),"無")</f>
        <v>140</v>
      </c>
      <c r="E262" s="79">
        <f>IFERROR(VLOOKUP($G262,基本資料!$A:$J,7,0),"無")</f>
        <v>54</v>
      </c>
      <c r="F262" s="6">
        <f>IFERROR(VLOOKUP($G262,基本資料!$A:$J,8,0),"無")</f>
        <v>2.91</v>
      </c>
      <c r="G262" s="79">
        <v>1742</v>
      </c>
      <c r="H262" s="8" t="s">
        <v>3578</v>
      </c>
      <c r="I262" s="16" t="s">
        <v>3610</v>
      </c>
      <c r="J262" s="8" t="str">
        <f>IFERROR(VLOOKUP($G262,今日總結!$A:$AJ,35,0),"")</f>
        <v/>
      </c>
      <c r="K262" s="5" t="str">
        <f>IFERROR(VLOOKUP($G262,今日總結!$A:$AJ,36,0),"")</f>
        <v/>
      </c>
      <c r="L262" s="156" t="str">
        <f>IFERROR(VLOOKUP($G262,今日總結!$A:$AJ,33,0),"")</f>
        <v/>
      </c>
      <c r="M262" s="340" t="str">
        <f>IFERROR(VLOOKUP($G262,今日總結!$A:$AJ,34,0),"")</f>
        <v/>
      </c>
      <c r="N262" s="240" t="str">
        <f t="shared" si="65"/>
        <v/>
      </c>
      <c r="P262" s="365">
        <f>IFERROR(VLOOKUP($G262,融外自投!$A:$J,7,0),"無")</f>
        <v>24</v>
      </c>
      <c r="Q262" s="79">
        <f>IFERROR(VLOOKUP($G262,融外自投!$A:$J,9,0),"無")</f>
        <v>824</v>
      </c>
      <c r="R262" s="346">
        <f>IFERROR(VLOOKUP($G262,融外自投!$A:$J,8,0),"無")</f>
        <v>1385</v>
      </c>
      <c r="S262" s="81" t="str">
        <f>IFERROR(VLOOKUP($G262,融外自投!$A:$J,10,0),"無")</f>
        <v>無</v>
      </c>
      <c r="T262" s="327">
        <f>IFERROR(VLOOKUP($G262,'321買'!$A:$E,5,0),"'沒有資料'")</f>
        <v>729</v>
      </c>
      <c r="U262" s="186">
        <f>IFERROR(VLOOKUP($G262,基本資料!$A:$J,9,0),"無")</f>
        <v>1.7</v>
      </c>
      <c r="V262" s="310">
        <f t="shared" si="57"/>
        <v>8.1145584725536998E-2</v>
      </c>
      <c r="W262" s="94">
        <f>IFERROR(VLOOKUP($G262,基本資料!$A:$J,10,0),"無")</f>
        <v>5.16</v>
      </c>
      <c r="X262" s="36">
        <f>RTD("money.excel",,"1742","Price")</f>
        <v>20.95</v>
      </c>
      <c r="Y262" s="66"/>
      <c r="Z262" s="15">
        <f t="shared" si="62"/>
        <v>20.95</v>
      </c>
      <c r="AA262" s="3" t="e">
        <f t="shared" si="63"/>
        <v>#DIV/0!</v>
      </c>
      <c r="AB262" s="344">
        <f>IFERROR(VLOOKUP($G262,基本資料!$A:$M,11,0),"無")</f>
        <v>-15.99</v>
      </c>
      <c r="AC262" s="397">
        <f>IFERROR(VLOOKUP($G262,基本資料!$A:$M,12,0),"無")</f>
        <v>22.46</v>
      </c>
      <c r="AD262" s="16" t="s">
        <v>3610</v>
      </c>
      <c r="AG262" s="33">
        <f t="shared" si="64"/>
        <v>0</v>
      </c>
      <c r="AH262" s="43" t="s">
        <v>3611</v>
      </c>
      <c r="AI262" s="63">
        <f t="shared" si="61"/>
        <v>3.4355828220858896E-4</v>
      </c>
      <c r="AJ262" s="284">
        <f>RTD("money.excel",,$G262,"PredictVolume")</f>
        <v>28</v>
      </c>
      <c r="AK262" s="399">
        <f>IFERROR(VLOOKUP($G262,基本資料!$A:$M,13,0),"無")</f>
        <v>6.49</v>
      </c>
    </row>
    <row r="263" spans="1:37">
      <c r="A263" s="347">
        <f>IFERROR(VLOOKUP($G263,基本資料!$A:$J,3,0),"無")</f>
        <v>20</v>
      </c>
      <c r="B263" s="79">
        <f>IFERROR(VLOOKUP($G263,基本資料!$A:$J,4,0),"無")</f>
        <v>37</v>
      </c>
      <c r="C263" s="79">
        <f>IFERROR(VLOOKUP($G263,基本資料!$A:$J,5,0),"無")</f>
        <v>38</v>
      </c>
      <c r="D263" s="79">
        <f>IFERROR(VLOOKUP($G263,基本資料!$A:$J,6,0),"無")</f>
        <v>-9</v>
      </c>
      <c r="E263" s="79">
        <f>IFERROR(VLOOKUP($G263,基本資料!$A:$J,7,0),"無")</f>
        <v>15</v>
      </c>
      <c r="F263" s="6">
        <f>IFERROR(VLOOKUP($G263,基本資料!$A:$J,8,0),"無")</f>
        <v>17.12</v>
      </c>
      <c r="G263" s="79">
        <v>1773</v>
      </c>
      <c r="H263" s="8" t="s">
        <v>3578</v>
      </c>
      <c r="I263" s="22" t="s">
        <v>3612</v>
      </c>
      <c r="J263" s="8" t="str">
        <f>IFERROR(VLOOKUP($G263,今日總結!$A:$AJ,35,0),"")</f>
        <v/>
      </c>
      <c r="K263" s="5" t="str">
        <f>IFERROR(VLOOKUP($G263,今日總結!$A:$AJ,36,0),"")</f>
        <v/>
      </c>
      <c r="L263" s="156" t="str">
        <f>IFERROR(VLOOKUP($G263,今日總結!$A:$AJ,33,0),"")</f>
        <v/>
      </c>
      <c r="M263" s="340" t="str">
        <f>IFERROR(VLOOKUP($G263,今日總結!$A:$AJ,34,0),"")</f>
        <v/>
      </c>
      <c r="N263" s="240" t="str">
        <f t="shared" si="65"/>
        <v/>
      </c>
      <c r="P263" s="365">
        <f>IFERROR(VLOOKUP($G263,融外自投!$A:$J,7,0),"無")</f>
        <v>1256</v>
      </c>
      <c r="Q263" s="79" t="str">
        <f>IFERROR(VLOOKUP($G263,融外自投!$A:$J,9,0),"無")</f>
        <v>無</v>
      </c>
      <c r="R263" s="346">
        <f>IFERROR(VLOOKUP($G263,融外自投!$A:$J,8,0),"無")</f>
        <v>657</v>
      </c>
      <c r="S263" s="81">
        <f>IFERROR(VLOOKUP($G263,融外自投!$A:$J,10,0),"無")</f>
        <v>357</v>
      </c>
      <c r="T263" s="327">
        <f>IFERROR(VLOOKUP($G263,'321買'!$A:$E,5,0),"'沒有資料'")</f>
        <v>664</v>
      </c>
      <c r="U263" s="186">
        <f>IFERROR(VLOOKUP($G263,基本資料!$A:$J,9,0),"無")</f>
        <v>5.5</v>
      </c>
      <c r="V263" s="310">
        <f t="shared" si="57"/>
        <v>2.8277634961439587E-2</v>
      </c>
      <c r="W263" s="94">
        <f>IFERROR(VLOOKUP($G263,基本資料!$A:$J,10,0),"無")</f>
        <v>8.08</v>
      </c>
      <c r="X263" s="36">
        <f>RTD("money.excel",,"1773","Price")</f>
        <v>194.5</v>
      </c>
      <c r="Y263" s="66"/>
      <c r="Z263" s="15">
        <f t="shared" si="62"/>
        <v>194.5</v>
      </c>
      <c r="AA263" s="3" t="e">
        <f t="shared" si="63"/>
        <v>#DIV/0!</v>
      </c>
      <c r="AB263" s="344">
        <f>IFERROR(VLOOKUP($G263,基本資料!$A:$M,11,0),"無")</f>
        <v>-15.78</v>
      </c>
      <c r="AC263" s="397">
        <f>IFERROR(VLOOKUP($G263,基本資料!$A:$M,12,0),"無")</f>
        <v>39.81</v>
      </c>
      <c r="AD263" s="22" t="s">
        <v>3612</v>
      </c>
      <c r="AG263" s="33">
        <f t="shared" si="64"/>
        <v>0</v>
      </c>
      <c r="AH263" s="43" t="s">
        <v>3613</v>
      </c>
      <c r="AI263" s="63">
        <f t="shared" si="61"/>
        <v>9.7999999999999997E-4</v>
      </c>
      <c r="AJ263" s="284">
        <f>RTD("money.excel",,$G263,"PredictVolume")</f>
        <v>196</v>
      </c>
      <c r="AK263" s="399">
        <f>IFERROR(VLOOKUP($G263,基本資料!$A:$M,13,0),"無")</f>
        <v>5.54</v>
      </c>
    </row>
    <row r="264" spans="1:37">
      <c r="A264" s="347">
        <f>IFERROR(VLOOKUP($G264,基本資料!$A:$J,3,0),"無")</f>
        <v>7.03</v>
      </c>
      <c r="B264" s="79">
        <f>IFERROR(VLOOKUP($G264,基本資料!$A:$J,4,0),"無")</f>
        <v>181</v>
      </c>
      <c r="C264" s="79">
        <f>IFERROR(VLOOKUP($G264,基本資料!$A:$J,5,0),"無")</f>
        <v>3</v>
      </c>
      <c r="D264" s="79">
        <f>IFERROR(VLOOKUP($G264,基本資料!$A:$J,6,0),"無")</f>
        <v>-18</v>
      </c>
      <c r="E264" s="79">
        <f>IFERROR(VLOOKUP($G264,基本資料!$A:$J,7,0),"無")</f>
        <v>10</v>
      </c>
      <c r="F264" s="6">
        <f>IFERROR(VLOOKUP($G264,基本資料!$A:$J,8,0),"無")</f>
        <v>6.13</v>
      </c>
      <c r="G264" s="79">
        <v>1776</v>
      </c>
      <c r="H264" s="8" t="s">
        <v>3578</v>
      </c>
      <c r="I264" s="22" t="s">
        <v>3614</v>
      </c>
      <c r="J264" s="8">
        <f>IFERROR(VLOOKUP($G264,今日總結!$A:$AJ,35,0),"")</f>
        <v>0</v>
      </c>
      <c r="K264" s="5" t="str">
        <f>IFERROR(VLOOKUP($G264,今日總結!$A:$AJ,36,0),"")</f>
        <v>外</v>
      </c>
      <c r="L264" s="156">
        <f>IFERROR(VLOOKUP($G264,今日總結!$A:$AJ,33,0),"")</f>
        <v>0</v>
      </c>
      <c r="M264" s="340">
        <f>IFERROR(VLOOKUP($G264,今日總結!$A:$AJ,34,0),"")</f>
        <v>1</v>
      </c>
      <c r="N264" s="240">
        <f t="shared" si="65"/>
        <v>-1</v>
      </c>
      <c r="P264" s="365">
        <f>IFERROR(VLOOKUP($G264,融外自投!$A:$J,7,0),"無")</f>
        <v>1010</v>
      </c>
      <c r="Q264" s="79">
        <f>IFERROR(VLOOKUP($G264,融外自投!$A:$J,9,0),"無")</f>
        <v>1051</v>
      </c>
      <c r="R264" s="346">
        <f>IFERROR(VLOOKUP($G264,融外自投!$A:$J,8,0),"無")</f>
        <v>1205</v>
      </c>
      <c r="S264" s="81" t="str">
        <f>IFERROR(VLOOKUP($G264,融外自投!$A:$J,10,0),"無")</f>
        <v>無</v>
      </c>
      <c r="T264" s="327">
        <f>IFERROR(VLOOKUP($G264,'321買'!$A:$E,5,0),"'沒有資料'")</f>
        <v>1179</v>
      </c>
      <c r="U264" s="186">
        <f>IFERROR(VLOOKUP($G264,基本資料!$A:$J,9,0),"無")</f>
        <v>1.5</v>
      </c>
      <c r="V264" s="310">
        <f t="shared" si="57"/>
        <v>7.5187969924812026E-2</v>
      </c>
      <c r="W264" s="94">
        <f>IFERROR(VLOOKUP($G264,基本資料!$A:$J,10,0),"無")</f>
        <v>2.0499999999999998</v>
      </c>
      <c r="X264" s="36">
        <f>RTD("money.excel",,"1776","Price")</f>
        <v>19.95</v>
      </c>
      <c r="Y264" s="66"/>
      <c r="Z264" s="15">
        <f t="shared" si="62"/>
        <v>19.95</v>
      </c>
      <c r="AA264" s="3" t="e">
        <f t="shared" si="63"/>
        <v>#DIV/0!</v>
      </c>
      <c r="AB264" s="344">
        <f>IFERROR(VLOOKUP($G264,基本資料!$A:$M,11,0),"無")</f>
        <v>-32.78</v>
      </c>
      <c r="AC264" s="397">
        <f>IFERROR(VLOOKUP($G264,基本資料!$A:$M,12,0),"無")</f>
        <v>27.47</v>
      </c>
      <c r="AD264" s="22" t="s">
        <v>3614</v>
      </c>
      <c r="AG264" s="33">
        <f t="shared" si="64"/>
        <v>0</v>
      </c>
      <c r="AH264" s="43" t="s">
        <v>3615</v>
      </c>
      <c r="AI264" s="63">
        <f t="shared" si="61"/>
        <v>4.2674253200568991E-4</v>
      </c>
      <c r="AJ264" s="284">
        <f>RTD("money.excel",,$G264,"PredictVolume")</f>
        <v>30</v>
      </c>
      <c r="AK264" s="399">
        <f>IFERROR(VLOOKUP($G264,基本資料!$A:$M,13,0),"無")</f>
        <v>13.72</v>
      </c>
    </row>
    <row r="265" spans="1:37">
      <c r="A265" s="347">
        <f>IFERROR(VLOOKUP($G265,基本資料!$A:$J,3,0),"無")</f>
        <v>9.35</v>
      </c>
      <c r="B265" s="79">
        <f>IFERROR(VLOOKUP($G265,基本資料!$A:$J,4,0),"無")</f>
        <v>-69</v>
      </c>
      <c r="C265" s="79">
        <f>IFERROR(VLOOKUP($G265,基本資料!$A:$J,5,0),"無")</f>
        <v>-80</v>
      </c>
      <c r="D265" s="79">
        <f>IFERROR(VLOOKUP($G265,基本資料!$A:$J,6,0),"無")</f>
        <v>-7</v>
      </c>
      <c r="E265" s="79">
        <f>IFERROR(VLOOKUP($G265,基本資料!$A:$J,7,0),"無")</f>
        <v>-28</v>
      </c>
      <c r="F265" s="6">
        <f>IFERROR(VLOOKUP($G265,基本資料!$A:$J,8,0),"無")</f>
        <v>1.39</v>
      </c>
      <c r="G265" s="79">
        <v>3708</v>
      </c>
      <c r="H265" s="8" t="s">
        <v>755</v>
      </c>
      <c r="I265" s="22" t="s">
        <v>3616</v>
      </c>
      <c r="J265" s="8">
        <f>IFERROR(VLOOKUP($G265,今日總結!$A:$AJ,35,0),"")</f>
        <v>0</v>
      </c>
      <c r="K265" s="5">
        <f>IFERROR(VLOOKUP($G265,今日總結!$A:$AJ,36,0),"")</f>
        <v>42</v>
      </c>
      <c r="L265" s="156">
        <f>IFERROR(VLOOKUP($G265,今日總結!$A:$AJ,33,0),"")</f>
        <v>0</v>
      </c>
      <c r="M265" s="340">
        <f>IFERROR(VLOOKUP($G265,今日總結!$A:$AJ,34,0),"")</f>
        <v>2</v>
      </c>
      <c r="N265" s="240">
        <f t="shared" si="65"/>
        <v>-2</v>
      </c>
      <c r="P265" s="365">
        <f>IFERROR(VLOOKUP($G265,融外自投!$A:$J,7,0),"無")</f>
        <v>104</v>
      </c>
      <c r="Q265" s="79">
        <f>IFERROR(VLOOKUP($G265,融外自投!$A:$J,9,0),"無")</f>
        <v>212</v>
      </c>
      <c r="R265" s="346">
        <f>IFERROR(VLOOKUP($G265,融外自投!$A:$J,8,0),"無")</f>
        <v>394</v>
      </c>
      <c r="S265" s="81">
        <f>IFERROR(VLOOKUP($G265,融外自投!$A:$J,10,0),"無")</f>
        <v>17</v>
      </c>
      <c r="T265" s="327">
        <f>IFERROR(VLOOKUP($G265,'321買'!$A:$E,5,0),"'沒有資料'")</f>
        <v>237</v>
      </c>
      <c r="U265" s="186">
        <f>IFERROR(VLOOKUP($G265,基本資料!$A:$J,9,0),"無")</f>
        <v>1.5</v>
      </c>
      <c r="V265" s="310">
        <f t="shared" si="57"/>
        <v>1.2345679012345678E-2</v>
      </c>
      <c r="W265" s="94">
        <f>IFERROR(VLOOKUP($G265,基本資料!$A:$J,10,0),"無")</f>
        <v>2.0099999999999998</v>
      </c>
      <c r="X265" s="36">
        <f>RTD("money.excel",,"3708","Price")</f>
        <v>121.5</v>
      </c>
      <c r="Y265" s="66"/>
      <c r="Z265" s="15">
        <f t="shared" si="62"/>
        <v>121.5</v>
      </c>
      <c r="AA265" s="3" t="e">
        <f t="shared" si="63"/>
        <v>#DIV/0!</v>
      </c>
      <c r="AB265" s="344">
        <f>IFERROR(VLOOKUP($G265,基本資料!$A:$M,11,0),"無")</f>
        <v>-16.489999999999998</v>
      </c>
      <c r="AC265" s="397">
        <f>IFERROR(VLOOKUP($G265,基本資料!$A:$M,12,0),"無")</f>
        <v>69.59</v>
      </c>
      <c r="AD265" s="22" t="s">
        <v>3616</v>
      </c>
      <c r="AG265" s="33">
        <f t="shared" si="64"/>
        <v>0</v>
      </c>
      <c r="AH265" s="43" t="s">
        <v>3617</v>
      </c>
      <c r="AI265" s="63">
        <f t="shared" si="61"/>
        <v>6.4417112299465243E-2</v>
      </c>
      <c r="AJ265" s="284">
        <f>RTD("money.excel",,$G265,"PredictVolume")</f>
        <v>6023</v>
      </c>
      <c r="AK265" s="399">
        <f>IFERROR(VLOOKUP($G265,基本資料!$A:$M,13,0),"無")</f>
        <v>38.1</v>
      </c>
    </row>
    <row r="266" spans="1:37">
      <c r="A266" s="347">
        <f>IFERROR(VLOOKUP($G266,基本資料!$A:$J,3,0),"無")</f>
        <v>7.23</v>
      </c>
      <c r="B266" s="79">
        <f>IFERROR(VLOOKUP($G266,基本資料!$A:$J,4,0),"無")</f>
        <v>91</v>
      </c>
      <c r="C266" s="79">
        <f>IFERROR(VLOOKUP($G266,基本資料!$A:$J,5,0),"無")</f>
        <v>115</v>
      </c>
      <c r="D266" s="79">
        <f>IFERROR(VLOOKUP($G266,基本資料!$A:$J,6,0),"無")</f>
        <v>-28</v>
      </c>
      <c r="E266" s="79">
        <f>IFERROR(VLOOKUP($G266,基本資料!$A:$J,7,0),"無")</f>
        <v>-28</v>
      </c>
      <c r="F266" s="6">
        <f>IFERROR(VLOOKUP($G266,基本資料!$A:$J,8,0),"無")</f>
        <v>0.56999999999999995</v>
      </c>
      <c r="G266" s="79">
        <v>4702</v>
      </c>
      <c r="H266" s="8" t="s">
        <v>3578</v>
      </c>
      <c r="I266" s="16" t="s">
        <v>3618</v>
      </c>
      <c r="J266" s="8" t="str">
        <f>IFERROR(VLOOKUP($G266,今日總結!$A:$AJ,35,0),"")</f>
        <v/>
      </c>
      <c r="K266" s="5" t="str">
        <f>IFERROR(VLOOKUP($G266,今日總結!$A:$AJ,36,0),"")</f>
        <v/>
      </c>
      <c r="L266" s="156" t="str">
        <f>IFERROR(VLOOKUP($G266,今日總結!$A:$AJ,33,0),"")</f>
        <v/>
      </c>
      <c r="M266" s="340" t="str">
        <f>IFERROR(VLOOKUP($G266,今日總結!$A:$AJ,34,0),"")</f>
        <v/>
      </c>
      <c r="N266" s="240" t="str">
        <f t="shared" si="65"/>
        <v/>
      </c>
      <c r="P266" s="365">
        <f>IFERROR(VLOOKUP($G266,融外自投!$A:$J,7,0),"無")</f>
        <v>401</v>
      </c>
      <c r="Q266" s="79" t="str">
        <f>IFERROR(VLOOKUP($G266,融外自投!$A:$J,9,0),"無")</f>
        <v>無</v>
      </c>
      <c r="R266" s="346">
        <f>IFERROR(VLOOKUP($G266,融外自投!$A:$J,8,0),"無")</f>
        <v>83</v>
      </c>
      <c r="S266" s="81" t="str">
        <f>IFERROR(VLOOKUP($G266,融外自投!$A:$J,10,0),"無")</f>
        <v>無</v>
      </c>
      <c r="T266" s="327">
        <f>IFERROR(VLOOKUP($G266,'321買'!$A:$E,5,0),"'沒有資料'")</f>
        <v>984</v>
      </c>
      <c r="U266" s="186">
        <f>IFERROR(VLOOKUP($G266,基本資料!$A:$J,9,0),"無")</f>
        <v>0</v>
      </c>
      <c r="V266" s="310">
        <f t="shared" si="57"/>
        <v>0</v>
      </c>
      <c r="W266" s="94">
        <f>IFERROR(VLOOKUP($G266,基本資料!$A:$J,10,0),"無")</f>
        <v>1.1499999999999999</v>
      </c>
      <c r="X266" s="36">
        <f>RTD("money.excel",,"4702","Price")</f>
        <v>15.35</v>
      </c>
      <c r="Y266" s="66"/>
      <c r="Z266" s="15">
        <f t="shared" si="62"/>
        <v>15.35</v>
      </c>
      <c r="AA266" s="3" t="e">
        <f t="shared" si="63"/>
        <v>#DIV/0!</v>
      </c>
      <c r="AB266" s="344">
        <f>IFERROR(VLOOKUP($G266,基本資料!$A:$M,11,0),"無")</f>
        <v>-29.21</v>
      </c>
      <c r="AC266" s="397">
        <f>IFERROR(VLOOKUP($G266,基本資料!$A:$M,12,0),"無")</f>
        <v>36.44</v>
      </c>
      <c r="AD266" s="16" t="s">
        <v>3618</v>
      </c>
      <c r="AG266" s="33">
        <f t="shared" si="64"/>
        <v>0</v>
      </c>
      <c r="AH266" s="43" t="s">
        <v>2637</v>
      </c>
      <c r="AI266" s="63">
        <f t="shared" si="61"/>
        <v>1.0525587828492392E-2</v>
      </c>
      <c r="AJ266" s="284">
        <f>RTD("money.excel",,$G266,"PredictVolume")</f>
        <v>761</v>
      </c>
      <c r="AK266" s="399">
        <f>IFERROR(VLOOKUP($G266,基本資料!$A:$M,13,0),"無")</f>
        <v>46.87</v>
      </c>
    </row>
    <row r="267" spans="1:37">
      <c r="A267" s="347">
        <f>IFERROR(VLOOKUP($G267,基本資料!$A:$J,3,0),"無")</f>
        <v>7.9</v>
      </c>
      <c r="B267" s="79">
        <f>IFERROR(VLOOKUP($G267,基本資料!$A:$J,4,0),"無")</f>
        <v>-7</v>
      </c>
      <c r="C267" s="79">
        <f>IFERROR(VLOOKUP($G267,基本資料!$A:$J,5,0),"無")</f>
        <v>19</v>
      </c>
      <c r="D267" s="79">
        <f>IFERROR(VLOOKUP($G267,基本資料!$A:$J,6,0),"無")</f>
        <v>60</v>
      </c>
      <c r="E267" s="79">
        <f>IFERROR(VLOOKUP($G267,基本資料!$A:$J,7,0),"無")</f>
        <v>-14</v>
      </c>
      <c r="F267" s="6">
        <f>IFERROR(VLOOKUP($G267,基本資料!$A:$J,8,0),"無")</f>
        <v>7.7</v>
      </c>
      <c r="G267" s="79">
        <v>4706</v>
      </c>
      <c r="H267" s="8" t="s">
        <v>3578</v>
      </c>
      <c r="I267" s="16" t="s">
        <v>3619</v>
      </c>
      <c r="J267" s="8" t="str">
        <f>IFERROR(VLOOKUP($G267,今日總結!$A:$AJ,35,0),"")</f>
        <v/>
      </c>
      <c r="K267" s="5" t="str">
        <f>IFERROR(VLOOKUP($G267,今日總結!$A:$AJ,36,0),"")</f>
        <v/>
      </c>
      <c r="L267" s="156" t="str">
        <f>IFERROR(VLOOKUP($G267,今日總結!$A:$AJ,33,0),"")</f>
        <v/>
      </c>
      <c r="M267" s="340" t="str">
        <f>IFERROR(VLOOKUP($G267,今日總結!$A:$AJ,34,0),"")</f>
        <v/>
      </c>
      <c r="N267" s="240" t="str">
        <f t="shared" si="65"/>
        <v/>
      </c>
      <c r="P267" s="365">
        <f>IFERROR(VLOOKUP($G267,融外自投!$A:$J,7,0),"無")</f>
        <v>1328</v>
      </c>
      <c r="Q267" s="79">
        <f>IFERROR(VLOOKUP($G267,融外自投!$A:$J,9,0),"無")</f>
        <v>1110</v>
      </c>
      <c r="R267" s="346">
        <f>IFERROR(VLOOKUP($G267,融外自投!$A:$J,8,0),"無")</f>
        <v>172</v>
      </c>
      <c r="S267" s="81" t="str">
        <f>IFERROR(VLOOKUP($G267,融外自投!$A:$J,10,0),"無")</f>
        <v>無</v>
      </c>
      <c r="T267" s="327">
        <f>IFERROR(VLOOKUP($G267,'321買'!$A:$E,5,0),"'沒有資料'")</f>
        <v>1359</v>
      </c>
      <c r="U267" s="186">
        <f>IFERROR(VLOOKUP($G267,基本資料!$A:$J,9,0),"無")</f>
        <v>0.9</v>
      </c>
      <c r="V267" s="310">
        <f t="shared" si="57"/>
        <v>5.0561797752808987E-2</v>
      </c>
      <c r="W267" s="94">
        <f>IFERROR(VLOOKUP($G267,基本資料!$A:$J,10,0),"無")</f>
        <v>1.1299999999999999</v>
      </c>
      <c r="X267" s="36">
        <f>RTD("money.excel",,"4706","Price")</f>
        <v>17.8</v>
      </c>
      <c r="Y267" s="66"/>
      <c r="Z267" s="15">
        <f t="shared" si="62"/>
        <v>17.8</v>
      </c>
      <c r="AA267" s="3" t="e">
        <f t="shared" si="63"/>
        <v>#DIV/0!</v>
      </c>
      <c r="AB267" s="344">
        <f>IFERROR(VLOOKUP($G267,基本資料!$A:$M,11,0),"無")</f>
        <v>-19.91</v>
      </c>
      <c r="AC267" s="397">
        <f>IFERROR(VLOOKUP($G267,基本資料!$A:$M,12,0),"無")</f>
        <v>29.11</v>
      </c>
      <c r="AD267" s="16" t="s">
        <v>3619</v>
      </c>
      <c r="AG267" s="33">
        <f t="shared" si="64"/>
        <v>0</v>
      </c>
      <c r="AH267" s="43" t="s">
        <v>3620</v>
      </c>
      <c r="AI267" s="63">
        <f t="shared" si="61"/>
        <v>2.0253164556962027E-4</v>
      </c>
      <c r="AJ267" s="284">
        <f>RTD("money.excel",,$G267,"PredictVolume")</f>
        <v>16</v>
      </c>
      <c r="AK267" s="399">
        <f>IFERROR(VLOOKUP($G267,基本資料!$A:$M,13,0),"無")</f>
        <v>4.1399999999999997</v>
      </c>
    </row>
    <row r="268" spans="1:37">
      <c r="A268" s="347">
        <f>IFERROR(VLOOKUP($G268,基本資料!$A:$J,3,0),"無")</f>
        <v>32.799999999999997</v>
      </c>
      <c r="B268" s="79">
        <f>IFERROR(VLOOKUP($G268,基本資料!$A:$J,4,0),"無")</f>
        <v>38</v>
      </c>
      <c r="C268" s="79">
        <f>IFERROR(VLOOKUP($G268,基本資料!$A:$J,5,0),"無")</f>
        <v>67</v>
      </c>
      <c r="D268" s="79">
        <f>IFERROR(VLOOKUP($G268,基本資料!$A:$J,6,0),"無")</f>
        <v>137</v>
      </c>
      <c r="E268" s="79">
        <f>IFERROR(VLOOKUP($G268,基本資料!$A:$J,7,0),"無")</f>
        <v>82</v>
      </c>
      <c r="F268" s="6">
        <f>IFERROR(VLOOKUP($G268,基本資料!$A:$J,8,0),"無")</f>
        <v>4.0599999999999996</v>
      </c>
      <c r="G268" s="79">
        <v>4707</v>
      </c>
      <c r="H268" s="8" t="s">
        <v>3578</v>
      </c>
      <c r="I268" s="16" t="s">
        <v>3621</v>
      </c>
      <c r="J268" s="8" t="str">
        <f>IFERROR(VLOOKUP($G268,今日總結!$A:$AJ,35,0),"")</f>
        <v>自</v>
      </c>
      <c r="K268" s="5">
        <f>IFERROR(VLOOKUP($G268,今日總結!$A:$AJ,36,0),"")</f>
        <v>0</v>
      </c>
      <c r="L268" s="156">
        <f>IFERROR(VLOOKUP($G268,今日總結!$A:$AJ,33,0),"")</f>
        <v>1</v>
      </c>
      <c r="M268" s="340">
        <f>IFERROR(VLOOKUP($G268,今日總結!$A:$AJ,34,0),"")</f>
        <v>0</v>
      </c>
      <c r="N268" s="240">
        <f t="shared" si="65"/>
        <v>1</v>
      </c>
      <c r="P268" s="365">
        <f>IFERROR(VLOOKUP($G268,融外自投!$A:$J,7,0),"無")</f>
        <v>862</v>
      </c>
      <c r="Q268" s="79">
        <f>IFERROR(VLOOKUP($G268,融外自投!$A:$J,9,0),"無")</f>
        <v>978</v>
      </c>
      <c r="R268" s="346">
        <f>IFERROR(VLOOKUP($G268,融外自投!$A:$J,8,0),"無")</f>
        <v>1305</v>
      </c>
      <c r="S268" s="81" t="str">
        <f>IFERROR(VLOOKUP($G268,融外自投!$A:$J,10,0),"無")</f>
        <v>無</v>
      </c>
      <c r="T268" s="327">
        <f>IFERROR(VLOOKUP($G268,'321買'!$A:$E,5,0),"'沒有資料'")</f>
        <v>779</v>
      </c>
      <c r="U268" s="186">
        <f>IFERROR(VLOOKUP($G268,基本資料!$A:$J,9,0),"無")</f>
        <v>0.9</v>
      </c>
      <c r="V268" s="310">
        <f t="shared" si="57"/>
        <v>7.1428571428571438E-2</v>
      </c>
      <c r="W268" s="94">
        <f>IFERROR(VLOOKUP($G268,基本資料!$A:$J,10,0),"無")</f>
        <v>1.05</v>
      </c>
      <c r="X268" s="36">
        <f>RTD("money.excel",,"4707","Price")</f>
        <v>12.6</v>
      </c>
      <c r="Y268" s="66"/>
      <c r="Z268" s="15">
        <f t="shared" si="62"/>
        <v>12.6</v>
      </c>
      <c r="AA268" s="3" t="e">
        <f t="shared" si="63"/>
        <v>#DIV/0!</v>
      </c>
      <c r="AB268" s="344">
        <f>IFERROR(VLOOKUP($G268,基本資料!$A:$M,11,0),"無")</f>
        <v>-11.35</v>
      </c>
      <c r="AC268" s="397">
        <f>IFERROR(VLOOKUP($G268,基本資料!$A:$M,12,0),"無")</f>
        <v>32.659999999999997</v>
      </c>
      <c r="AD268" s="16" t="s">
        <v>3621</v>
      </c>
      <c r="AG268" s="33">
        <f t="shared" si="64"/>
        <v>0</v>
      </c>
      <c r="AH268" s="43" t="s">
        <v>3622</v>
      </c>
      <c r="AI268" s="63">
        <f t="shared" si="61"/>
        <v>1.4329268292682927E-3</v>
      </c>
      <c r="AJ268" s="284">
        <f>RTD("money.excel",,$G268,"PredictVolume")</f>
        <v>470</v>
      </c>
      <c r="AK268" s="399">
        <f>IFERROR(VLOOKUP($G268,基本資料!$A:$M,13,0),"無")</f>
        <v>8.3800000000000008</v>
      </c>
    </row>
    <row r="269" spans="1:37">
      <c r="A269" s="347">
        <f>IFERROR(VLOOKUP($G269,基本資料!$A:$J,3,0),"無")</f>
        <v>6.1</v>
      </c>
      <c r="B269" s="79">
        <f>IFERROR(VLOOKUP($G269,基本資料!$A:$J,4,0),"無")</f>
        <v>39</v>
      </c>
      <c r="C269" s="79">
        <f>IFERROR(VLOOKUP($G269,基本資料!$A:$J,5,0),"無")</f>
        <v>108</v>
      </c>
      <c r="D269" s="79">
        <f>IFERROR(VLOOKUP($G269,基本資料!$A:$J,6,0),"無")</f>
        <v>-9</v>
      </c>
      <c r="E269" s="79">
        <f>IFERROR(VLOOKUP($G269,基本資料!$A:$J,7,0),"無")</f>
        <v>-2</v>
      </c>
      <c r="F269" s="6">
        <f>IFERROR(VLOOKUP($G269,基本資料!$A:$J,8,0),"無")</f>
        <v>7.85</v>
      </c>
      <c r="G269" s="79">
        <v>4711</v>
      </c>
      <c r="H269" s="8" t="s">
        <v>3578</v>
      </c>
      <c r="I269" s="16" t="s">
        <v>3623</v>
      </c>
      <c r="J269" s="8" t="str">
        <f>IFERROR(VLOOKUP($G269,今日總結!$A:$AJ,35,0),"")</f>
        <v/>
      </c>
      <c r="K269" s="5" t="str">
        <f>IFERROR(VLOOKUP($G269,今日總結!$A:$AJ,36,0),"")</f>
        <v/>
      </c>
      <c r="L269" s="156" t="str">
        <f>IFERROR(VLOOKUP($G269,今日總結!$A:$AJ,33,0),"")</f>
        <v/>
      </c>
      <c r="M269" s="340" t="str">
        <f>IFERROR(VLOOKUP($G269,今日總結!$A:$AJ,34,0),"")</f>
        <v/>
      </c>
      <c r="N269" s="240" t="str">
        <f t="shared" si="65"/>
        <v/>
      </c>
      <c r="P269" s="365">
        <f>IFERROR(VLOOKUP($G269,融外自投!$A:$J,7,0),"無")</f>
        <v>846</v>
      </c>
      <c r="Q269" s="79">
        <f>IFERROR(VLOOKUP($G269,融外自投!$A:$J,9,0),"無")</f>
        <v>134</v>
      </c>
      <c r="R269" s="346">
        <f>IFERROR(VLOOKUP($G269,融外自投!$A:$J,8,0),"無")</f>
        <v>1124</v>
      </c>
      <c r="S269" s="81" t="str">
        <f>IFERROR(VLOOKUP($G269,融外自投!$A:$J,10,0),"無")</f>
        <v>無</v>
      </c>
      <c r="T269" s="327">
        <f>IFERROR(VLOOKUP($G269,'321買'!$A:$E,5,0),"'沒有資料'")</f>
        <v>827</v>
      </c>
      <c r="U269" s="186">
        <f>IFERROR(VLOOKUP($G269,基本資料!$A:$J,9,0),"無")</f>
        <v>1</v>
      </c>
      <c r="V269" s="310">
        <f t="shared" si="57"/>
        <v>6.0060060060060066E-2</v>
      </c>
      <c r="W269" s="94">
        <f>IFERROR(VLOOKUP($G269,基本資料!$A:$J,10,0),"無")</f>
        <v>1.27</v>
      </c>
      <c r="X269" s="36">
        <f>RTD("money.excel",,"4711","Price")</f>
        <v>16.649999999999999</v>
      </c>
      <c r="Y269" s="66"/>
      <c r="Z269" s="15">
        <f t="shared" si="62"/>
        <v>16.649999999999999</v>
      </c>
      <c r="AA269" s="3" t="e">
        <f t="shared" si="63"/>
        <v>#DIV/0!</v>
      </c>
      <c r="AB269" s="344">
        <f>IFERROR(VLOOKUP($G269,基本資料!$A:$M,11,0),"無")</f>
        <v>-31.23</v>
      </c>
      <c r="AC269" s="397">
        <f>IFERROR(VLOOKUP($G269,基本資料!$A:$M,12,0),"無")</f>
        <v>41.36</v>
      </c>
      <c r="AD269" s="16" t="s">
        <v>3623</v>
      </c>
      <c r="AG269" s="33">
        <f t="shared" si="64"/>
        <v>0</v>
      </c>
      <c r="AH269" s="43" t="s">
        <v>2638</v>
      </c>
      <c r="AI269" s="63">
        <f t="shared" si="61"/>
        <v>2.7049180327868854E-3</v>
      </c>
      <c r="AJ269" s="284">
        <f>RTD("money.excel",,$G269,"PredictVolume")</f>
        <v>165</v>
      </c>
      <c r="AK269" s="399">
        <f>IFERROR(VLOOKUP($G269,基本資料!$A:$M,13,0),"無")</f>
        <v>43.33</v>
      </c>
    </row>
    <row r="270" spans="1:37">
      <c r="A270" s="347">
        <f>IFERROR(VLOOKUP($G270,基本資料!$A:$J,3,0),"無")</f>
        <v>13.94</v>
      </c>
      <c r="B270" s="79">
        <f>IFERROR(VLOOKUP($G270,基本資料!$A:$J,4,0),"無")</f>
        <v>158</v>
      </c>
      <c r="C270" s="79">
        <f>IFERROR(VLOOKUP($G270,基本資料!$A:$J,5,0),"無")</f>
        <v>1</v>
      </c>
      <c r="D270" s="79">
        <f>IFERROR(VLOOKUP($G270,基本資料!$A:$J,6,0),"無")</f>
        <v>36</v>
      </c>
      <c r="E270" s="79">
        <f>IFERROR(VLOOKUP($G270,基本資料!$A:$J,7,0),"無")</f>
        <v>96</v>
      </c>
      <c r="F270" s="6">
        <f>IFERROR(VLOOKUP($G270,基本資料!$A:$J,8,0),"無")</f>
        <v>-3.4</v>
      </c>
      <c r="G270" s="79">
        <v>4714</v>
      </c>
      <c r="H270" s="8" t="s">
        <v>3578</v>
      </c>
      <c r="I270" s="16" t="s">
        <v>3624</v>
      </c>
      <c r="J270" s="8" t="str">
        <f>IFERROR(VLOOKUP($G270,今日總結!$A:$AJ,35,0),"")</f>
        <v/>
      </c>
      <c r="K270" s="5" t="str">
        <f>IFERROR(VLOOKUP($G270,今日總結!$A:$AJ,36,0),"")</f>
        <v/>
      </c>
      <c r="L270" s="156" t="str">
        <f>IFERROR(VLOOKUP($G270,今日總結!$A:$AJ,33,0),"")</f>
        <v/>
      </c>
      <c r="M270" s="340" t="str">
        <f>IFERROR(VLOOKUP($G270,今日總結!$A:$AJ,34,0),"")</f>
        <v/>
      </c>
      <c r="N270" s="240" t="str">
        <f t="shared" si="65"/>
        <v/>
      </c>
      <c r="O270" s="7"/>
      <c r="P270" s="365">
        <f>IFERROR(VLOOKUP($G270,融外自投!$A:$J,7,0),"無")</f>
        <v>278</v>
      </c>
      <c r="Q270" s="79">
        <f>IFERROR(VLOOKUP($G270,融外自投!$A:$J,9,0),"無")</f>
        <v>379</v>
      </c>
      <c r="R270" s="346">
        <f>IFERROR(VLOOKUP($G270,融外自投!$A:$J,8,0),"無")</f>
        <v>1148</v>
      </c>
      <c r="S270" s="81" t="str">
        <f>IFERROR(VLOOKUP($G270,融外自投!$A:$J,10,0),"無")</f>
        <v>無</v>
      </c>
      <c r="T270" s="327">
        <f>IFERROR(VLOOKUP($G270,'321買'!$A:$E,5,0),"'沒有資料'")</f>
        <v>752</v>
      </c>
      <c r="U270" s="186">
        <f>IFERROR(VLOOKUP($G270,基本資料!$A:$J,9,0),"無")</f>
        <v>0.4</v>
      </c>
      <c r="V270" s="310">
        <f t="shared" si="57"/>
        <v>2.9197080291970805E-2</v>
      </c>
      <c r="W270" s="94">
        <f>IFERROR(VLOOKUP($G270,基本資料!$A:$J,10,0),"無")</f>
        <v>0.28000000000000003</v>
      </c>
      <c r="X270" s="36">
        <f>RTD("money.excel",,"4714","Price")</f>
        <v>13.7</v>
      </c>
      <c r="Y270" s="66"/>
      <c r="Z270" s="15">
        <f t="shared" si="62"/>
        <v>13.7</v>
      </c>
      <c r="AA270" s="3" t="e">
        <f t="shared" si="63"/>
        <v>#DIV/0!</v>
      </c>
      <c r="AB270" s="344">
        <f>IFERROR(VLOOKUP($G270,基本資料!$A:$M,11,0),"無")</f>
        <v>-16.72</v>
      </c>
      <c r="AC270" s="397">
        <f>IFERROR(VLOOKUP($G270,基本資料!$A:$M,12,0),"無")</f>
        <v>47.31</v>
      </c>
      <c r="AD270" s="16" t="s">
        <v>3624</v>
      </c>
      <c r="AG270" s="33">
        <f t="shared" si="64"/>
        <v>0</v>
      </c>
      <c r="AH270" s="43" t="s">
        <v>3625</v>
      </c>
      <c r="AI270" s="63">
        <f t="shared" si="61"/>
        <v>6.4705882352941177E-3</v>
      </c>
      <c r="AJ270" s="284">
        <f>RTD("money.excel",,$G270,"PredictVolume")</f>
        <v>902</v>
      </c>
      <c r="AK270" s="399">
        <f>IFERROR(VLOOKUP($G270,基本資料!$A:$M,13,0),"無")</f>
        <v>24.76</v>
      </c>
    </row>
    <row r="271" spans="1:37">
      <c r="A271" s="347">
        <f>IFERROR(VLOOKUP($G271,基本資料!$A:$J,3,0),"無")</f>
        <v>7.43</v>
      </c>
      <c r="B271" s="79">
        <f>IFERROR(VLOOKUP($G271,基本資料!$A:$J,4,0),"無")</f>
        <v>1269</v>
      </c>
      <c r="C271" s="79">
        <f>IFERROR(VLOOKUP($G271,基本資料!$A:$J,5,0),"無")</f>
        <v>-274</v>
      </c>
      <c r="D271" s="79">
        <f>IFERROR(VLOOKUP($G271,基本資料!$A:$J,6,0),"無")</f>
        <v>70</v>
      </c>
      <c r="E271" s="79">
        <f>IFERROR(VLOOKUP($G271,基本資料!$A:$J,7,0),"無")</f>
        <v>-25</v>
      </c>
      <c r="F271" s="6">
        <f>IFERROR(VLOOKUP($G271,基本資料!$A:$J,8,0),"無")</f>
        <v>-7.78</v>
      </c>
      <c r="G271" s="79">
        <v>4716</v>
      </c>
      <c r="H271" s="8" t="s">
        <v>3578</v>
      </c>
      <c r="I271" s="16" t="s">
        <v>3626</v>
      </c>
      <c r="J271" s="8">
        <f>IFERROR(VLOOKUP($G271,今日總結!$A:$AJ,35,0),"")</f>
        <v>0</v>
      </c>
      <c r="K271" s="5" t="str">
        <f>IFERROR(VLOOKUP($G271,今日總結!$A:$AJ,36,0),"")</f>
        <v>借</v>
      </c>
      <c r="L271" s="156">
        <f>IFERROR(VLOOKUP($G271,今日總結!$A:$AJ,33,0),"")</f>
        <v>0</v>
      </c>
      <c r="M271" s="340">
        <f>IFERROR(VLOOKUP($G271,今日總結!$A:$AJ,34,0),"")</f>
        <v>1</v>
      </c>
      <c r="N271" s="240">
        <f t="shared" si="65"/>
        <v>-1</v>
      </c>
      <c r="P271" s="365">
        <f>IFERROR(VLOOKUP($G271,融外自投!$A:$J,7,0),"無")</f>
        <v>65</v>
      </c>
      <c r="Q271" s="79">
        <f>IFERROR(VLOOKUP($G271,融外自投!$A:$J,9,0),"無")</f>
        <v>789</v>
      </c>
      <c r="R271" s="346">
        <f>IFERROR(VLOOKUP($G271,融外自投!$A:$J,8,0),"無")</f>
        <v>1339</v>
      </c>
      <c r="S271" s="81" t="str">
        <f>IFERROR(VLOOKUP($G271,融外自投!$A:$J,10,0),"無")</f>
        <v>無</v>
      </c>
      <c r="T271" s="327">
        <f>IFERROR(VLOOKUP($G271,'321買'!$A:$E,5,0),"'沒有資料'")</f>
        <v>869</v>
      </c>
      <c r="U271" s="186">
        <f>IFERROR(VLOOKUP($G271,基本資料!$A:$J,9,0),"無")</f>
        <v>2</v>
      </c>
      <c r="V271" s="310">
        <f t="shared" si="57"/>
        <v>0.1360544217687075</v>
      </c>
      <c r="W271" s="94">
        <f>IFERROR(VLOOKUP($G271,基本資料!$A:$J,10,0),"無")</f>
        <v>3.55</v>
      </c>
      <c r="X271" s="36">
        <f>RTD("money.excel",,"4716","Price")</f>
        <v>14.7</v>
      </c>
      <c r="Y271" s="66"/>
      <c r="Z271" s="15">
        <f t="shared" si="62"/>
        <v>14.7</v>
      </c>
      <c r="AA271" s="3" t="e">
        <f t="shared" si="63"/>
        <v>#DIV/0!</v>
      </c>
      <c r="AB271" s="344">
        <f>IFERROR(VLOOKUP($G271,基本資料!$A:$M,11,0),"無")</f>
        <v>-16.07</v>
      </c>
      <c r="AC271" s="397">
        <f>IFERROR(VLOOKUP($G271,基本資料!$A:$M,12,0),"無")</f>
        <v>47.62</v>
      </c>
      <c r="AD271" s="16" t="s">
        <v>3626</v>
      </c>
      <c r="AG271" s="33">
        <f t="shared" si="64"/>
        <v>0</v>
      </c>
      <c r="AH271" s="43" t="s">
        <v>2638</v>
      </c>
      <c r="AI271" s="63">
        <f t="shared" si="61"/>
        <v>6.4468371467025576E-3</v>
      </c>
      <c r="AJ271" s="284">
        <f>RTD("money.excel",,$G271,"PredictVolume")</f>
        <v>479</v>
      </c>
      <c r="AK271" s="399">
        <f>IFERROR(VLOOKUP($G271,基本資料!$A:$M,13,0),"無")</f>
        <v>18.559999999999999</v>
      </c>
    </row>
    <row r="272" spans="1:37">
      <c r="A272" s="347">
        <f>IFERROR(VLOOKUP($G272,基本資料!$A:$J,3,0),"無")</f>
        <v>10.31</v>
      </c>
      <c r="B272" s="79">
        <f>IFERROR(VLOOKUP($G272,基本資料!$A:$J,4,0),"無")</f>
        <v>-64</v>
      </c>
      <c r="C272" s="79">
        <f>IFERROR(VLOOKUP($G272,基本資料!$A:$J,5,0),"無")</f>
        <v>-49</v>
      </c>
      <c r="D272" s="79">
        <f>IFERROR(VLOOKUP($G272,基本資料!$A:$J,6,0),"無")</f>
        <v>0</v>
      </c>
      <c r="E272" s="79">
        <f>IFERROR(VLOOKUP($G272,基本資料!$A:$J,7,0),"無")</f>
        <v>10</v>
      </c>
      <c r="F272" s="6">
        <f>IFERROR(VLOOKUP($G272,基本資料!$A:$J,8,0),"無")</f>
        <v>1.94</v>
      </c>
      <c r="G272" s="79">
        <v>4720</v>
      </c>
      <c r="H272" s="8" t="s">
        <v>3578</v>
      </c>
      <c r="I272" s="22" t="s">
        <v>3627</v>
      </c>
      <c r="J272" s="8">
        <f>IFERROR(VLOOKUP($G272,今日總結!$A:$AJ,35,0),"")</f>
        <v>0</v>
      </c>
      <c r="K272" s="5" t="str">
        <f>IFERROR(VLOOKUP($G272,今日總結!$A:$AJ,36,0),"")</f>
        <v>融</v>
      </c>
      <c r="L272" s="156">
        <f>IFERROR(VLOOKUP($G272,今日總結!$A:$AJ,33,0),"")</f>
        <v>0</v>
      </c>
      <c r="M272" s="340">
        <f>IFERROR(VLOOKUP($G272,今日總結!$A:$AJ,34,0),"")</f>
        <v>1</v>
      </c>
      <c r="N272" s="240">
        <f t="shared" si="65"/>
        <v>-1</v>
      </c>
      <c r="P272" s="365">
        <f>IFERROR(VLOOKUP($G272,融外自投!$A:$J,7,0),"無")</f>
        <v>189</v>
      </c>
      <c r="Q272" s="79">
        <f>IFERROR(VLOOKUP($G272,融外自投!$A:$J,9,0),"無")</f>
        <v>316</v>
      </c>
      <c r="R272" s="346">
        <f>IFERROR(VLOOKUP($G272,融外自投!$A:$J,8,0),"無")</f>
        <v>886</v>
      </c>
      <c r="S272" s="81" t="str">
        <f>IFERROR(VLOOKUP($G272,融外自投!$A:$J,10,0),"無")</f>
        <v>無</v>
      </c>
      <c r="T272" s="327">
        <f>IFERROR(VLOOKUP($G272,'321買'!$A:$E,5,0),"'沒有資料'")</f>
        <v>802</v>
      </c>
      <c r="U272" s="186">
        <f>IFERROR(VLOOKUP($G272,基本資料!$A:$J,9,0),"無")</f>
        <v>0.2</v>
      </c>
      <c r="V272" s="310">
        <f t="shared" si="57"/>
        <v>1.4234875444839857E-2</v>
      </c>
      <c r="W272" s="94">
        <f>IFERROR(VLOOKUP($G272,基本資料!$A:$J,10,0),"無")</f>
        <v>0.3</v>
      </c>
      <c r="X272" s="36">
        <f>RTD("money.excel",,"4720","Price")</f>
        <v>14.05</v>
      </c>
      <c r="Y272" s="66"/>
      <c r="Z272" s="15">
        <f t="shared" si="62"/>
        <v>14.05</v>
      </c>
      <c r="AA272" s="3" t="e">
        <f t="shared" si="63"/>
        <v>#DIV/0!</v>
      </c>
      <c r="AB272" s="344">
        <f>IFERROR(VLOOKUP($G272,基本資料!$A:$M,11,0),"無")</f>
        <v>-34.42</v>
      </c>
      <c r="AC272" s="397">
        <f>IFERROR(VLOOKUP($G272,基本資料!$A:$M,12,0),"無")</f>
        <v>18.61</v>
      </c>
      <c r="AD272" s="22" t="s">
        <v>3627</v>
      </c>
      <c r="AG272" s="33">
        <f t="shared" si="64"/>
        <v>0</v>
      </c>
      <c r="AH272" s="43" t="s">
        <v>3628</v>
      </c>
      <c r="AI272" s="63">
        <f t="shared" si="61"/>
        <v>2.5994180407371485E-3</v>
      </c>
      <c r="AJ272" s="284">
        <f>RTD("money.excel",,$G272,"PredictVolume")</f>
        <v>268</v>
      </c>
      <c r="AK272" s="399">
        <f>IFERROR(VLOOKUP($G272,基本資料!$A:$M,13,0),"無")</f>
        <v>18.23</v>
      </c>
    </row>
    <row r="273" spans="1:37">
      <c r="A273" s="347">
        <f>IFERROR(VLOOKUP($G273,基本資料!$A:$J,3,0),"無")</f>
        <v>7.49</v>
      </c>
      <c r="B273" s="79">
        <f>IFERROR(VLOOKUP($G273,基本資料!$A:$J,4,0),"無")</f>
        <v>192</v>
      </c>
      <c r="C273" s="79">
        <f>IFERROR(VLOOKUP($G273,基本資料!$A:$J,5,0),"無")</f>
        <v>175</v>
      </c>
      <c r="D273" s="79">
        <f>IFERROR(VLOOKUP($G273,基本資料!$A:$J,6,0),"無")</f>
        <v>2</v>
      </c>
      <c r="E273" s="79">
        <f>IFERROR(VLOOKUP($G273,基本資料!$A:$J,7,0),"無")</f>
        <v>76</v>
      </c>
      <c r="F273" s="6">
        <f>IFERROR(VLOOKUP($G273,基本資料!$A:$J,8,0),"無")</f>
        <v>10.11</v>
      </c>
      <c r="G273" s="79">
        <v>4721</v>
      </c>
      <c r="H273" s="8" t="s">
        <v>3578</v>
      </c>
      <c r="I273" s="16" t="s">
        <v>3629</v>
      </c>
      <c r="J273" s="8" t="str">
        <f>IFERROR(VLOOKUP($G273,今日總結!$A:$AJ,35,0),"")</f>
        <v/>
      </c>
      <c r="K273" s="5" t="str">
        <f>IFERROR(VLOOKUP($G273,今日總結!$A:$AJ,36,0),"")</f>
        <v/>
      </c>
      <c r="L273" s="156" t="str">
        <f>IFERROR(VLOOKUP($G273,今日總結!$A:$AJ,33,0),"")</f>
        <v/>
      </c>
      <c r="M273" s="340" t="str">
        <f>IFERROR(VLOOKUP($G273,今日總結!$A:$AJ,34,0),"")</f>
        <v/>
      </c>
      <c r="N273" s="240" t="str">
        <f t="shared" si="65"/>
        <v/>
      </c>
      <c r="P273" s="365">
        <f>IFERROR(VLOOKUP($G273,融外自投!$A:$J,7,0),"無")</f>
        <v>101</v>
      </c>
      <c r="Q273" s="79">
        <f>IFERROR(VLOOKUP($G273,融外自投!$A:$J,9,0),"無")</f>
        <v>215</v>
      </c>
      <c r="R273" s="346">
        <f>IFERROR(VLOOKUP($G273,融外自投!$A:$J,8,0),"無")</f>
        <v>1248</v>
      </c>
      <c r="S273" s="81">
        <f>IFERROR(VLOOKUP($G273,融外自投!$A:$J,10,0),"無")</f>
        <v>458</v>
      </c>
      <c r="T273" s="327">
        <f>IFERROR(VLOOKUP($G273,'321買'!$A:$E,5,0),"'沒有資料'")</f>
        <v>126</v>
      </c>
      <c r="U273" s="186">
        <f>IFERROR(VLOOKUP($G273,基本資料!$A:$J,9,0),"無")</f>
        <v>3.8</v>
      </c>
      <c r="V273" s="310">
        <f t="shared" si="57"/>
        <v>2.8787878787878786E-2</v>
      </c>
      <c r="W273" s="94">
        <f>IFERROR(VLOOKUP($G273,基本資料!$A:$J,10,0),"無")</f>
        <v>4.8099999999999996</v>
      </c>
      <c r="X273" s="36">
        <f>RTD("money.excel",,"4721","Price")</f>
        <v>132</v>
      </c>
      <c r="Y273" s="66"/>
      <c r="Z273" s="15">
        <f t="shared" si="62"/>
        <v>132</v>
      </c>
      <c r="AA273" s="3" t="e">
        <f t="shared" si="63"/>
        <v>#DIV/0!</v>
      </c>
      <c r="AB273" s="344">
        <f>IFERROR(VLOOKUP($G273,基本資料!$A:$M,11,0),"無")</f>
        <v>-29.54</v>
      </c>
      <c r="AC273" s="397">
        <f>IFERROR(VLOOKUP($G273,基本資料!$A:$M,12,0),"無")</f>
        <v>23.34</v>
      </c>
      <c r="AD273" s="16" t="s">
        <v>3629</v>
      </c>
      <c r="AG273" s="33">
        <f t="shared" si="64"/>
        <v>0</v>
      </c>
      <c r="AH273" s="117" t="s">
        <v>2290</v>
      </c>
      <c r="AI273" s="63">
        <f t="shared" si="61"/>
        <v>1.8544726301735648E-2</v>
      </c>
      <c r="AJ273" s="284">
        <f>RTD("money.excel",,$G273,"PredictVolume")</f>
        <v>1389</v>
      </c>
      <c r="AK273" s="399">
        <f>IFERROR(VLOOKUP($G273,基本資料!$A:$M,13,0),"無")</f>
        <v>168.74</v>
      </c>
    </row>
    <row r="274" spans="1:37">
      <c r="A274" s="347">
        <f>IFERROR(VLOOKUP($G274,基本資料!$A:$J,3,0),"無")</f>
        <v>10</v>
      </c>
      <c r="B274" s="79">
        <f>IFERROR(VLOOKUP($G274,基本資料!$A:$J,4,0),"無")</f>
        <v>30</v>
      </c>
      <c r="C274" s="79">
        <f>IFERROR(VLOOKUP($G274,基本資料!$A:$J,5,0),"無")</f>
        <v>37</v>
      </c>
      <c r="D274" s="79">
        <f>IFERROR(VLOOKUP($G274,基本資料!$A:$J,6,0),"無")</f>
        <v>-27</v>
      </c>
      <c r="E274" s="79">
        <f>IFERROR(VLOOKUP($G274,基本資料!$A:$J,7,0),"無")</f>
        <v>-2</v>
      </c>
      <c r="F274" s="6">
        <f>IFERROR(VLOOKUP($G274,基本資料!$A:$J,8,0),"無")</f>
        <v>9.69</v>
      </c>
      <c r="G274" s="79">
        <v>4722</v>
      </c>
      <c r="H274" s="8" t="s">
        <v>3578</v>
      </c>
      <c r="I274" s="22" t="s">
        <v>3630</v>
      </c>
      <c r="J274" s="8" t="str">
        <f>IFERROR(VLOOKUP($G274,今日總結!$A:$AJ,35,0),"")</f>
        <v/>
      </c>
      <c r="K274" s="5" t="str">
        <f>IFERROR(VLOOKUP($G274,今日總結!$A:$AJ,36,0),"")</f>
        <v/>
      </c>
      <c r="L274" s="156" t="str">
        <f>IFERROR(VLOOKUP($G274,今日總結!$A:$AJ,33,0),"")</f>
        <v/>
      </c>
      <c r="M274" s="340" t="str">
        <f>IFERROR(VLOOKUP($G274,今日總結!$A:$AJ,34,0),"")</f>
        <v/>
      </c>
      <c r="N274" s="240" t="str">
        <f t="shared" si="65"/>
        <v/>
      </c>
      <c r="P274" s="365">
        <f>IFERROR(VLOOKUP($G274,融外自投!$A:$J,7,0),"無")</f>
        <v>1036</v>
      </c>
      <c r="Q274" s="79" t="str">
        <f>IFERROR(VLOOKUP($G274,融外自投!$A:$J,9,0),"無")</f>
        <v>無</v>
      </c>
      <c r="R274" s="346">
        <f>IFERROR(VLOOKUP($G274,融外自投!$A:$J,8,0),"無")</f>
        <v>764</v>
      </c>
      <c r="S274" s="81" t="str">
        <f>IFERROR(VLOOKUP($G274,融外自投!$A:$J,10,0),"無")</f>
        <v>無</v>
      </c>
      <c r="T274" s="327">
        <f>IFERROR(VLOOKUP($G274,'321買'!$A:$E,5,0),"'沒有資料'")</f>
        <v>752</v>
      </c>
      <c r="U274" s="186">
        <f>IFERROR(VLOOKUP($G274,基本資料!$A:$J,9,0),"無")</f>
        <v>2.2000000000000002</v>
      </c>
      <c r="V274" s="310">
        <f t="shared" si="57"/>
        <v>5.4931335830212244E-2</v>
      </c>
      <c r="W274" s="94">
        <f>IFERROR(VLOOKUP($G274,基本資料!$A:$J,10,0),"無")</f>
        <v>3.73</v>
      </c>
      <c r="X274" s="36">
        <f>RTD("money.excel",,"4722","Price")</f>
        <v>40.049999999999997</v>
      </c>
      <c r="Y274" s="66"/>
      <c r="Z274" s="15">
        <f t="shared" si="62"/>
        <v>40.049999999999997</v>
      </c>
      <c r="AA274" s="3" t="e">
        <f t="shared" si="63"/>
        <v>#DIV/0!</v>
      </c>
      <c r="AB274" s="344">
        <f>IFERROR(VLOOKUP($G274,基本資料!$A:$M,11,0),"無")</f>
        <v>-18.37</v>
      </c>
      <c r="AC274" s="397">
        <f>IFERROR(VLOOKUP($G274,基本資料!$A:$M,12,0),"無")</f>
        <v>13.84</v>
      </c>
      <c r="AD274" s="22" t="s">
        <v>3630</v>
      </c>
      <c r="AG274" s="33">
        <f t="shared" si="64"/>
        <v>0</v>
      </c>
      <c r="AH274" s="43" t="s">
        <v>3631</v>
      </c>
      <c r="AI274" s="63">
        <f t="shared" si="61"/>
        <v>1.1900000000000001E-3</v>
      </c>
      <c r="AJ274" s="284">
        <f>RTD("money.excel",,$G274,"PredictVolume")</f>
        <v>119</v>
      </c>
      <c r="AK274" s="399">
        <f>IFERROR(VLOOKUP($G274,基本資料!$A:$M,13,0),"無")</f>
        <v>11.24</v>
      </c>
    </row>
    <row r="275" spans="1:37">
      <c r="A275" s="347">
        <f>IFERROR(VLOOKUP($G275,基本資料!$A:$J,3,0),"無")</f>
        <v>10.7</v>
      </c>
      <c r="B275" s="79">
        <f>IFERROR(VLOOKUP($G275,基本資料!$A:$J,4,0),"無")</f>
        <v>170</v>
      </c>
      <c r="C275" s="79">
        <f>IFERROR(VLOOKUP($G275,基本資料!$A:$J,5,0),"無")</f>
        <v>170</v>
      </c>
      <c r="D275" s="79">
        <f>IFERROR(VLOOKUP($G275,基本資料!$A:$J,6,0),"無")</f>
        <v>-16</v>
      </c>
      <c r="E275" s="79">
        <f>IFERROR(VLOOKUP($G275,基本資料!$A:$J,7,0),"無")</f>
        <v>33</v>
      </c>
      <c r="F275" s="6">
        <f>IFERROR(VLOOKUP($G275,基本資料!$A:$J,8,0),"無")</f>
        <v>7.96</v>
      </c>
      <c r="G275" s="79">
        <v>4739</v>
      </c>
      <c r="H275" s="8" t="s">
        <v>3578</v>
      </c>
      <c r="I275" s="22" t="s">
        <v>171</v>
      </c>
      <c r="J275" s="8" t="str">
        <f>IFERROR(VLOOKUP($G275,今日總結!$A:$AJ,35,0),"")</f>
        <v/>
      </c>
      <c r="K275" s="5" t="str">
        <f>IFERROR(VLOOKUP($G275,今日總結!$A:$AJ,36,0),"")</f>
        <v/>
      </c>
      <c r="L275" s="156" t="str">
        <f>IFERROR(VLOOKUP($G275,今日總結!$A:$AJ,33,0),"")</f>
        <v/>
      </c>
      <c r="M275" s="340" t="str">
        <f>IFERROR(VLOOKUP($G275,今日總結!$A:$AJ,34,0),"")</f>
        <v/>
      </c>
      <c r="N275" s="240" t="str">
        <f t="shared" si="65"/>
        <v/>
      </c>
      <c r="P275" s="365">
        <f>IFERROR(VLOOKUP($G275,融外自投!$A:$J,7,0),"無")</f>
        <v>67</v>
      </c>
      <c r="Q275" s="79" t="str">
        <f>IFERROR(VLOOKUP($G275,融外自投!$A:$J,9,0),"無")</f>
        <v>無</v>
      </c>
      <c r="R275" s="346">
        <f>IFERROR(VLOOKUP($G275,融外自投!$A:$J,8,0),"無")</f>
        <v>1022</v>
      </c>
      <c r="S275" s="81">
        <f>IFERROR(VLOOKUP($G275,融外自投!$A:$J,10,0),"無")</f>
        <v>109</v>
      </c>
      <c r="T275" s="327">
        <f>IFERROR(VLOOKUP($G275,'321買'!$A:$E,5,0),"'沒有資料'")</f>
        <v>79</v>
      </c>
      <c r="U275" s="186">
        <f>IFERROR(VLOOKUP($G275,基本資料!$A:$J,9,0),"無")</f>
        <v>3</v>
      </c>
      <c r="V275" s="310">
        <f t="shared" si="57"/>
        <v>2.3715415019762844E-2</v>
      </c>
      <c r="W275" s="94">
        <f>IFERROR(VLOOKUP($G275,基本資料!$A:$J,10,0),"無")</f>
        <v>4.67</v>
      </c>
      <c r="X275" s="36">
        <f>RTD("money.excel",,"4739","Price")</f>
        <v>126.5</v>
      </c>
      <c r="Y275" s="66"/>
      <c r="Z275" s="15">
        <f t="shared" si="62"/>
        <v>126.5</v>
      </c>
      <c r="AA275" s="3" t="e">
        <f t="shared" si="63"/>
        <v>#DIV/0!</v>
      </c>
      <c r="AB275" s="344">
        <f>IFERROR(VLOOKUP($G275,基本資料!$A:$M,11,0),"無")</f>
        <v>-27.2</v>
      </c>
      <c r="AC275" s="397">
        <f>IFERROR(VLOOKUP($G275,基本資料!$A:$M,12,0),"無")</f>
        <v>20.63</v>
      </c>
      <c r="AD275" s="22" t="s">
        <v>171</v>
      </c>
      <c r="AG275" s="33">
        <f t="shared" si="64"/>
        <v>0</v>
      </c>
      <c r="AH275" s="117" t="s">
        <v>2290</v>
      </c>
      <c r="AI275" s="63">
        <f t="shared" si="61"/>
        <v>1.5757009345794392E-2</v>
      </c>
      <c r="AJ275" s="284">
        <f>RTD("money.excel",,$G275,"PredictVolume")</f>
        <v>1686</v>
      </c>
      <c r="AK275" s="399">
        <f>IFERROR(VLOOKUP($G275,基本資料!$A:$M,13,0),"無")</f>
        <v>55.56</v>
      </c>
    </row>
    <row r="276" spans="1:37">
      <c r="A276" s="347">
        <f>IFERROR(VLOOKUP($G276,基本資料!$A:$J,3,0),"無")</f>
        <v>3.28</v>
      </c>
      <c r="B276" s="79">
        <f>IFERROR(VLOOKUP($G276,基本資料!$A:$J,4,0),"無")</f>
        <v>-23</v>
      </c>
      <c r="C276" s="79">
        <f>IFERROR(VLOOKUP($G276,基本資料!$A:$J,5,0),"無")</f>
        <v>-6</v>
      </c>
      <c r="D276" s="79">
        <f>IFERROR(VLOOKUP($G276,基本資料!$A:$J,6,0),"無")</f>
        <v>-6</v>
      </c>
      <c r="E276" s="79">
        <f>IFERROR(VLOOKUP($G276,基本資料!$A:$J,7,0),"無")</f>
        <v>6</v>
      </c>
      <c r="F276" s="6">
        <f>IFERROR(VLOOKUP($G276,基本資料!$A:$J,8,0),"無")</f>
        <v>3.96</v>
      </c>
      <c r="G276" s="79">
        <v>4741</v>
      </c>
      <c r="H276" s="8" t="s">
        <v>3578</v>
      </c>
      <c r="I276" s="16" t="s">
        <v>3633</v>
      </c>
      <c r="J276" s="8" t="str">
        <f>IFERROR(VLOOKUP($G276,今日總結!$A:$AJ,35,0),"")</f>
        <v/>
      </c>
      <c r="K276" s="5" t="str">
        <f>IFERROR(VLOOKUP($G276,今日總結!$A:$AJ,36,0),"")</f>
        <v/>
      </c>
      <c r="L276" s="156" t="str">
        <f>IFERROR(VLOOKUP($G276,今日總結!$A:$AJ,33,0),"")</f>
        <v/>
      </c>
      <c r="M276" s="340" t="str">
        <f>IFERROR(VLOOKUP($G276,今日總結!$A:$AJ,34,0),"")</f>
        <v/>
      </c>
      <c r="N276" s="240" t="str">
        <f t="shared" si="65"/>
        <v/>
      </c>
      <c r="P276" s="365">
        <f>IFERROR(VLOOKUP($G276,融外自投!$A:$J,7,0),"無")</f>
        <v>1394</v>
      </c>
      <c r="Q276" s="79">
        <f>IFERROR(VLOOKUP($G276,融外自投!$A:$J,9,0),"無")</f>
        <v>852</v>
      </c>
      <c r="R276" s="346">
        <f>IFERROR(VLOOKUP($G276,融外自投!$A:$J,8,0),"無")</f>
        <v>1351</v>
      </c>
      <c r="S276" s="81" t="str">
        <f>IFERROR(VLOOKUP($G276,融外自投!$A:$J,10,0),"無")</f>
        <v>無</v>
      </c>
      <c r="T276" s="327" t="str">
        <f>IFERROR(VLOOKUP($G276,'321買'!$A:$E,5,0),"'沒有資料'")</f>
        <v>'沒有資料'</v>
      </c>
      <c r="U276" s="186">
        <f>IFERROR(VLOOKUP($G276,基本資料!$A:$J,9,0),"無")</f>
        <v>0.8</v>
      </c>
      <c r="V276" s="310">
        <f t="shared" si="57"/>
        <v>3.2258064516129031E-2</v>
      </c>
      <c r="W276" s="94">
        <f>IFERROR(VLOOKUP($G276,基本資料!$A:$J,10,0),"無")</f>
        <v>0.9</v>
      </c>
      <c r="X276" s="36">
        <f>RTD("money.excel",,"4741","Price")</f>
        <v>24.8</v>
      </c>
      <c r="Y276" s="66"/>
      <c r="Z276" s="15">
        <f t="shared" si="62"/>
        <v>24.8</v>
      </c>
      <c r="AA276" s="3" t="e">
        <f t="shared" si="63"/>
        <v>#DIV/0!</v>
      </c>
      <c r="AB276" s="344">
        <f>IFERROR(VLOOKUP($G276,基本資料!$A:$M,11,0),"無")</f>
        <v>-6.81</v>
      </c>
      <c r="AC276" s="397">
        <f>IFERROR(VLOOKUP($G276,基本資料!$A:$M,12,0),"無")</f>
        <v>43.62</v>
      </c>
      <c r="AD276" s="16" t="s">
        <v>3633</v>
      </c>
      <c r="AG276" s="33">
        <f t="shared" si="64"/>
        <v>0</v>
      </c>
      <c r="AH276" s="43" t="s">
        <v>3634</v>
      </c>
      <c r="AI276" s="63">
        <f t="shared" si="61"/>
        <v>1.2195121951219512E-4</v>
      </c>
      <c r="AJ276" s="284">
        <f>RTD("money.excel",,$G276,"PredictVolume")</f>
        <v>4</v>
      </c>
      <c r="AK276" s="399">
        <f>IFERROR(VLOOKUP($G276,基本資料!$A:$M,13,0),"無")</f>
        <v>0.46</v>
      </c>
    </row>
    <row r="277" spans="1:37">
      <c r="A277" s="347">
        <f>IFERROR(VLOOKUP($G277,基本資料!$A:$J,3,0),"無")</f>
        <v>2.5</v>
      </c>
      <c r="B277" s="79">
        <f>IFERROR(VLOOKUP($G277,基本資料!$A:$J,4,0),"無")</f>
        <v>10</v>
      </c>
      <c r="C277" s="79">
        <f>IFERROR(VLOOKUP($G277,基本資料!$A:$J,5,0),"無")</f>
        <v>6</v>
      </c>
      <c r="D277" s="79">
        <f>IFERROR(VLOOKUP($G277,基本資料!$A:$J,6,0),"無")</f>
        <v>29</v>
      </c>
      <c r="E277" s="79">
        <f>IFERROR(VLOOKUP($G277,基本資料!$A:$J,7,0),"無")</f>
        <v>56</v>
      </c>
      <c r="F277" s="6">
        <f>IFERROR(VLOOKUP($G277,基本資料!$A:$J,8,0),"無")</f>
        <v>14.63</v>
      </c>
      <c r="G277" s="79">
        <v>4754</v>
      </c>
      <c r="H277" s="8" t="s">
        <v>3578</v>
      </c>
      <c r="I277" s="16" t="s">
        <v>3635</v>
      </c>
      <c r="J277" s="8" t="str">
        <f>IFERROR(VLOOKUP($G277,今日總結!$A:$AJ,35,0),"")</f>
        <v/>
      </c>
      <c r="K277" s="5" t="str">
        <f>IFERROR(VLOOKUP($G277,今日總結!$A:$AJ,36,0),"")</f>
        <v/>
      </c>
      <c r="L277" s="156" t="str">
        <f>IFERROR(VLOOKUP($G277,今日總結!$A:$AJ,33,0),"")</f>
        <v/>
      </c>
      <c r="M277" s="340" t="str">
        <f>IFERROR(VLOOKUP($G277,今日總結!$A:$AJ,34,0),"")</f>
        <v/>
      </c>
      <c r="N277" s="240" t="str">
        <f t="shared" si="65"/>
        <v/>
      </c>
      <c r="P277" s="365" t="str">
        <f>IFERROR(VLOOKUP($G277,融外自投!$A:$J,7,0),"無")</f>
        <v>無</v>
      </c>
      <c r="Q277" s="79" t="str">
        <f>IFERROR(VLOOKUP($G277,融外自投!$A:$J,9,0),"無")</f>
        <v>無</v>
      </c>
      <c r="R277" s="346" t="str">
        <f>IFERROR(VLOOKUP($G277,融外自投!$A:$J,8,0),"無")</f>
        <v>無</v>
      </c>
      <c r="S277" s="81" t="str">
        <f>IFERROR(VLOOKUP($G277,融外自投!$A:$J,10,0),"無")</f>
        <v>無</v>
      </c>
      <c r="T277" s="327" t="str">
        <f>IFERROR(VLOOKUP($G277,'321買'!$A:$E,5,0),"'沒有資料'")</f>
        <v>'沒有資料'</v>
      </c>
      <c r="U277" s="186">
        <f>IFERROR(VLOOKUP($G277,基本資料!$A:$J,9,0),"無")</f>
        <v>2</v>
      </c>
      <c r="V277" s="310">
        <f t="shared" si="57"/>
        <v>5.1746442432082797E-2</v>
      </c>
      <c r="W277" s="94">
        <f>IFERROR(VLOOKUP($G277,基本資料!$A:$J,10,0),"無")</f>
        <v>2.4</v>
      </c>
      <c r="X277" s="36">
        <f>RTD("money.excel",,"4754","Price")</f>
        <v>38.65</v>
      </c>
      <c r="Y277" s="66"/>
      <c r="Z277" s="15">
        <f t="shared" si="62"/>
        <v>38.65</v>
      </c>
      <c r="AA277" s="3" t="e">
        <f t="shared" si="63"/>
        <v>#DIV/0!</v>
      </c>
      <c r="AB277" s="344">
        <f>IFERROR(VLOOKUP($G277,基本資料!$A:$M,11,0),"無")</f>
        <v>-9.06</v>
      </c>
      <c r="AC277" s="397">
        <f>IFERROR(VLOOKUP($G277,基本資料!$A:$M,12,0),"無")</f>
        <v>23.02</v>
      </c>
      <c r="AD277" s="16" t="s">
        <v>3635</v>
      </c>
      <c r="AG277" s="33">
        <f t="shared" si="64"/>
        <v>0</v>
      </c>
      <c r="AH277" s="43" t="s">
        <v>3636</v>
      </c>
      <c r="AI277" s="63">
        <f t="shared" si="61"/>
        <v>1.16E-3</v>
      </c>
      <c r="AJ277" s="284">
        <f>RTD("money.excel",,$G277,"PredictVolume")</f>
        <v>29</v>
      </c>
      <c r="AK277" s="399">
        <f>IFERROR(VLOOKUP($G277,基本資料!$A:$M,13,0),"無")</f>
        <v>2.11</v>
      </c>
    </row>
    <row r="278" spans="1:37">
      <c r="A278" s="347">
        <f>IFERROR(VLOOKUP($G278,基本資料!$A:$J,3,0),"無")</f>
        <v>10.07</v>
      </c>
      <c r="B278" s="79">
        <f>IFERROR(VLOOKUP($G278,基本資料!$A:$J,4,0),"無")</f>
        <v>68</v>
      </c>
      <c r="C278" s="79">
        <f>IFERROR(VLOOKUP($G278,基本資料!$A:$J,5,0),"無")</f>
        <v>53</v>
      </c>
      <c r="D278" s="79">
        <f>IFERROR(VLOOKUP($G278,基本資料!$A:$J,6,0),"無")</f>
        <v>-8</v>
      </c>
      <c r="E278" s="79">
        <f>IFERROR(VLOOKUP($G278,基本資料!$A:$J,7,0),"無")</f>
        <v>73</v>
      </c>
      <c r="F278" s="6">
        <f>IFERROR(VLOOKUP($G278,基本資料!$A:$J,8,0),"無")</f>
        <v>15.09</v>
      </c>
      <c r="G278" s="79">
        <v>4755</v>
      </c>
      <c r="H278" s="8" t="s">
        <v>755</v>
      </c>
      <c r="I278" s="22" t="s">
        <v>767</v>
      </c>
      <c r="J278" s="8">
        <f>IFERROR(VLOOKUP($G278,今日總結!$A:$AJ,35,0),"")</f>
        <v>0</v>
      </c>
      <c r="K278" s="5" t="str">
        <f>IFERROR(VLOOKUP($G278,今日總結!$A:$AJ,36,0),"")</f>
        <v>借</v>
      </c>
      <c r="L278" s="156">
        <f>IFERROR(VLOOKUP($G278,今日總結!$A:$AJ,33,0),"")</f>
        <v>0</v>
      </c>
      <c r="M278" s="340">
        <f>IFERROR(VLOOKUP($G278,今日總結!$A:$AJ,34,0),"")</f>
        <v>1</v>
      </c>
      <c r="N278" s="240">
        <f t="shared" si="65"/>
        <v>-1</v>
      </c>
      <c r="P278" s="365">
        <f>IFERROR(VLOOKUP($G278,融外自投!$A:$J,7,0),"無")</f>
        <v>613</v>
      </c>
      <c r="Q278" s="79">
        <f>IFERROR(VLOOKUP($G278,融外自投!$A:$J,9,0),"無")</f>
        <v>614</v>
      </c>
      <c r="R278" s="346">
        <f>IFERROR(VLOOKUP($G278,融外自投!$A:$J,8,0),"無")</f>
        <v>178</v>
      </c>
      <c r="S278" s="81">
        <f>IFERROR(VLOOKUP($G278,融外自投!$A:$J,10,0),"無")</f>
        <v>222</v>
      </c>
      <c r="T278" s="327">
        <f>IFERROR(VLOOKUP($G278,'321買'!$A:$E,5,0),"'沒有資料'")</f>
        <v>306</v>
      </c>
      <c r="U278" s="186">
        <f>IFERROR(VLOOKUP($G278,基本資料!$A:$J,9,0),"無")</f>
        <v>5</v>
      </c>
      <c r="V278" s="310">
        <f t="shared" si="57"/>
        <v>2.865329512893983E-2</v>
      </c>
      <c r="W278" s="94">
        <f>IFERROR(VLOOKUP($G278,基本資料!$A:$J,10,0),"無")</f>
        <v>6.69</v>
      </c>
      <c r="X278" s="36">
        <f>RTD("money.excel",,"4755","Price")</f>
        <v>174.5</v>
      </c>
      <c r="Y278" s="66"/>
      <c r="Z278" s="15">
        <f t="shared" si="62"/>
        <v>174.5</v>
      </c>
      <c r="AA278" s="3" t="e">
        <f t="shared" si="63"/>
        <v>#DIV/0!</v>
      </c>
      <c r="AB278" s="344">
        <f>IFERROR(VLOOKUP($G278,基本資料!$A:$M,11,0),"無")</f>
        <v>-19.54</v>
      </c>
      <c r="AC278" s="397">
        <f>IFERROR(VLOOKUP($G278,基本資料!$A:$M,12,0),"無")</f>
        <v>49.22</v>
      </c>
      <c r="AD278" s="22" t="s">
        <v>767</v>
      </c>
      <c r="AG278" s="33">
        <f t="shared" si="64"/>
        <v>0</v>
      </c>
      <c r="AH278" s="43" t="s">
        <v>3637</v>
      </c>
      <c r="AI278" s="63">
        <f t="shared" si="61"/>
        <v>2.5948361469712015E-2</v>
      </c>
      <c r="AJ278" s="284">
        <f>RTD("money.excel",,$G278,"PredictVolume")</f>
        <v>2613</v>
      </c>
      <c r="AK278" s="399">
        <f>IFERROR(VLOOKUP($G278,基本資料!$A:$M,13,0),"無")</f>
        <v>35.74</v>
      </c>
    </row>
    <row r="279" spans="1:37">
      <c r="A279" s="347">
        <f>IFERROR(VLOOKUP($G279,基本資料!$A:$J,3,0),"無")</f>
        <v>5.8</v>
      </c>
      <c r="B279" s="79">
        <f>IFERROR(VLOOKUP($G279,基本資料!$A:$J,4,0),"無")</f>
        <v>-29</v>
      </c>
      <c r="C279" s="79">
        <f>IFERROR(VLOOKUP($G279,基本資料!$A:$J,5,0),"無")</f>
        <v>-29</v>
      </c>
      <c r="D279" s="79">
        <f>IFERROR(VLOOKUP($G279,基本資料!$A:$J,6,0),"無")</f>
        <v>0</v>
      </c>
      <c r="E279" s="79">
        <f>IFERROR(VLOOKUP($G279,基本資料!$A:$J,7,0),"無")</f>
        <v>50</v>
      </c>
      <c r="F279" s="6">
        <f>IFERROR(VLOOKUP($G279,基本資料!$A:$J,8,0),"無")</f>
        <v>12.97</v>
      </c>
      <c r="G279" s="79">
        <v>4763</v>
      </c>
      <c r="H279" s="8" t="s">
        <v>755</v>
      </c>
      <c r="I279" s="22" t="s">
        <v>3638</v>
      </c>
      <c r="J279" s="8" t="str">
        <f>IFERROR(VLOOKUP($G279,今日總結!$A:$AJ,35,0),"")</f>
        <v/>
      </c>
      <c r="K279" s="5" t="str">
        <f>IFERROR(VLOOKUP($G279,今日總結!$A:$AJ,36,0),"")</f>
        <v/>
      </c>
      <c r="L279" s="156" t="str">
        <f>IFERROR(VLOOKUP($G279,今日總結!$A:$AJ,33,0),"")</f>
        <v/>
      </c>
      <c r="M279" s="340" t="str">
        <f>IFERROR(VLOOKUP($G279,今日總結!$A:$AJ,34,0),"")</f>
        <v/>
      </c>
      <c r="N279" s="240" t="str">
        <f t="shared" si="65"/>
        <v/>
      </c>
      <c r="P279" s="365">
        <f>IFERROR(VLOOKUP($G279,融外自投!$A:$J,7,0),"無")</f>
        <v>514</v>
      </c>
      <c r="Q279" s="79">
        <f>IFERROR(VLOOKUP($G279,融外自投!$A:$J,9,0),"無")</f>
        <v>1051</v>
      </c>
      <c r="R279" s="346">
        <f>IFERROR(VLOOKUP($G279,融外自投!$A:$J,8,0),"無")</f>
        <v>32</v>
      </c>
      <c r="S279" s="81" t="str">
        <f>IFERROR(VLOOKUP($G279,融外自投!$A:$J,10,0),"無")</f>
        <v>無</v>
      </c>
      <c r="T279" s="327">
        <f>IFERROR(VLOOKUP($G279,'321買'!$A:$E,5,0),"'沒有資料'")</f>
        <v>869</v>
      </c>
      <c r="U279" s="186">
        <f>IFERROR(VLOOKUP($G279,基本資料!$A:$J,9,0),"無")</f>
        <v>5.5</v>
      </c>
      <c r="V279" s="310">
        <f t="shared" si="57"/>
        <v>5.5724417426545082E-2</v>
      </c>
      <c r="W279" s="94">
        <f>IFERROR(VLOOKUP($G279,基本資料!$A:$J,10,0),"無")</f>
        <v>6.23</v>
      </c>
      <c r="X279" s="36">
        <f>RTD("money.excel",,"4763","Price")</f>
        <v>98.7</v>
      </c>
      <c r="Y279" s="66"/>
      <c r="Z279" s="15">
        <f t="shared" si="62"/>
        <v>98.7</v>
      </c>
      <c r="AA279" s="3" t="e">
        <f t="shared" si="63"/>
        <v>#DIV/0!</v>
      </c>
      <c r="AB279" s="344">
        <f>IFERROR(VLOOKUP($G279,基本資料!$A:$M,11,0),"無")</f>
        <v>-15.25</v>
      </c>
      <c r="AC279" s="397">
        <f>IFERROR(VLOOKUP($G279,基本資料!$A:$M,12,0),"無")</f>
        <v>53.97</v>
      </c>
      <c r="AD279" s="22" t="s">
        <v>3638</v>
      </c>
      <c r="AG279" s="33">
        <f t="shared" si="64"/>
        <v>0</v>
      </c>
      <c r="AH279" s="43" t="s">
        <v>3639</v>
      </c>
      <c r="AI279" s="63">
        <f t="shared" si="61"/>
        <v>3.9827586206896554E-3</v>
      </c>
      <c r="AJ279" s="284">
        <f>RTD("money.excel",,$G279,"PredictVolume")</f>
        <v>231</v>
      </c>
      <c r="AK279" s="399">
        <f>IFERROR(VLOOKUP($G279,基本資料!$A:$M,13,0),"無")</f>
        <v>3.66</v>
      </c>
    </row>
    <row r="280" spans="1:37">
      <c r="A280" s="347">
        <f>IFERROR(VLOOKUP($G280,基本資料!$A:$J,3,0),"無")</f>
        <v>8.07</v>
      </c>
      <c r="B280" s="79">
        <f>IFERROR(VLOOKUP($G280,基本資料!$A:$J,4,0),"無")</f>
        <v>69</v>
      </c>
      <c r="C280" s="79">
        <f>IFERROR(VLOOKUP($G280,基本資料!$A:$J,5,0),"無")</f>
        <v>64</v>
      </c>
      <c r="D280" s="79">
        <f>IFERROR(VLOOKUP($G280,基本資料!$A:$J,6,0),"無")</f>
        <v>57</v>
      </c>
      <c r="E280" s="79">
        <f>IFERROR(VLOOKUP($G280,基本資料!$A:$J,7,0),"無")</f>
        <v>13</v>
      </c>
      <c r="F280" s="6">
        <f>IFERROR(VLOOKUP($G280,基本資料!$A:$J,8,0),"無")</f>
        <v>4.8099999999999996</v>
      </c>
      <c r="G280" s="79">
        <v>4764</v>
      </c>
      <c r="H280" s="8" t="s">
        <v>3578</v>
      </c>
      <c r="I280" s="22" t="s">
        <v>3640</v>
      </c>
      <c r="J280" s="8" t="str">
        <f>IFERROR(VLOOKUP($G280,今日總結!$A:$AJ,35,0),"")</f>
        <v/>
      </c>
      <c r="K280" s="5" t="str">
        <f>IFERROR(VLOOKUP($G280,今日總結!$A:$AJ,36,0),"")</f>
        <v/>
      </c>
      <c r="L280" s="156" t="str">
        <f>IFERROR(VLOOKUP($G280,今日總結!$A:$AJ,33,0),"")</f>
        <v/>
      </c>
      <c r="M280" s="340" t="str">
        <f>IFERROR(VLOOKUP($G280,今日總結!$A:$AJ,34,0),"")</f>
        <v/>
      </c>
      <c r="N280" s="240" t="str">
        <f t="shared" si="65"/>
        <v/>
      </c>
      <c r="P280" s="365">
        <f>IFERROR(VLOOKUP($G280,融外自投!$A:$J,7,0),"無")</f>
        <v>1110</v>
      </c>
      <c r="Q280" s="79" t="str">
        <f>IFERROR(VLOOKUP($G280,融外自投!$A:$J,9,0),"無")</f>
        <v>無</v>
      </c>
      <c r="R280" s="346">
        <f>IFERROR(VLOOKUP($G280,融外自投!$A:$J,8,0),"無")</f>
        <v>129</v>
      </c>
      <c r="S280" s="81" t="str">
        <f>IFERROR(VLOOKUP($G280,融外自投!$A:$J,10,0),"無")</f>
        <v>無</v>
      </c>
      <c r="T280" s="327">
        <f>IFERROR(VLOOKUP($G280,'321買'!$A:$E,5,0),"'沒有資料'")</f>
        <v>606</v>
      </c>
      <c r="U280" s="186">
        <f>IFERROR(VLOOKUP($G280,基本資料!$A:$J,9,0),"無")</f>
        <v>1</v>
      </c>
      <c r="V280" s="310">
        <f t="shared" si="57"/>
        <v>1.7857142857142856E-2</v>
      </c>
      <c r="W280" s="94">
        <f>IFERROR(VLOOKUP($G280,基本資料!$A:$J,10,0),"無")</f>
        <v>1.32</v>
      </c>
      <c r="X280" s="36">
        <f>RTD("money.excel",,"4764","Price")</f>
        <v>56</v>
      </c>
      <c r="Y280" s="66"/>
      <c r="Z280" s="15">
        <f t="shared" si="62"/>
        <v>56</v>
      </c>
      <c r="AA280" s="3" t="e">
        <f t="shared" si="63"/>
        <v>#DIV/0!</v>
      </c>
      <c r="AB280" s="344">
        <f>IFERROR(VLOOKUP($G280,基本資料!$A:$M,11,0),"無")</f>
        <v>-11.18</v>
      </c>
      <c r="AC280" s="397">
        <f>IFERROR(VLOOKUP($G280,基本資料!$A:$M,12,0),"無")</f>
        <v>33.369999999999997</v>
      </c>
      <c r="AD280" s="22" t="s">
        <v>3640</v>
      </c>
      <c r="AG280" s="33">
        <f t="shared" si="64"/>
        <v>0</v>
      </c>
      <c r="AH280" s="43" t="s">
        <v>3641</v>
      </c>
      <c r="AI280" s="63">
        <f t="shared" si="61"/>
        <v>4.5848822800495661E-4</v>
      </c>
      <c r="AJ280" s="284">
        <f>RTD("money.excel",,$G280,"PredictVolume")</f>
        <v>37</v>
      </c>
      <c r="AK280" s="399">
        <f>IFERROR(VLOOKUP($G280,基本資料!$A:$M,13,0),"無")</f>
        <v>0.45</v>
      </c>
    </row>
    <row r="281" spans="1:37">
      <c r="A281" s="347">
        <f>IFERROR(VLOOKUP($G281,基本資料!$A:$J,3,0),"無")</f>
        <v>12.05</v>
      </c>
      <c r="B281" s="79">
        <f>IFERROR(VLOOKUP($G281,基本資料!$A:$J,4,0),"無")</f>
        <v>-26</v>
      </c>
      <c r="C281" s="79">
        <f>IFERROR(VLOOKUP($G281,基本資料!$A:$J,5,0),"無")</f>
        <v>-29</v>
      </c>
      <c r="D281" s="79">
        <f>IFERROR(VLOOKUP($G281,基本資料!$A:$J,6,0),"無")</f>
        <v>-5</v>
      </c>
      <c r="E281" s="79">
        <f>IFERROR(VLOOKUP($G281,基本資料!$A:$J,7,0),"無")</f>
        <v>19</v>
      </c>
      <c r="F281" s="6">
        <f>IFERROR(VLOOKUP($G281,基本資料!$A:$J,8,0),"無")</f>
        <v>5.85</v>
      </c>
      <c r="G281" s="79">
        <v>4766</v>
      </c>
      <c r="H281" s="8" t="s">
        <v>3578</v>
      </c>
      <c r="I281" s="22" t="s">
        <v>3642</v>
      </c>
      <c r="J281" s="8">
        <f>IFERROR(VLOOKUP($G281,今日總結!$A:$AJ,35,0),"")</f>
        <v>0</v>
      </c>
      <c r="K281" s="5" t="str">
        <f>IFERROR(VLOOKUP($G281,今日總結!$A:$AJ,36,0),"")</f>
        <v>外</v>
      </c>
      <c r="L281" s="156">
        <f>IFERROR(VLOOKUP($G281,今日總結!$A:$AJ,33,0),"")</f>
        <v>0</v>
      </c>
      <c r="M281" s="340">
        <f>IFERROR(VLOOKUP($G281,今日總結!$A:$AJ,34,0),"")</f>
        <v>1</v>
      </c>
      <c r="N281" s="240">
        <f t="shared" si="65"/>
        <v>-1</v>
      </c>
      <c r="P281" s="365">
        <f>IFERROR(VLOOKUP($G281,融外自投!$A:$J,7,0),"無")</f>
        <v>1333</v>
      </c>
      <c r="Q281" s="79">
        <f>IFERROR(VLOOKUP($G281,融外自投!$A:$J,9,0),"無")</f>
        <v>978</v>
      </c>
      <c r="R281" s="346">
        <f>IFERROR(VLOOKUP($G281,融外自投!$A:$J,8,0),"無")</f>
        <v>348</v>
      </c>
      <c r="S281" s="81" t="str">
        <f>IFERROR(VLOOKUP($G281,融外自投!$A:$J,10,0),"無")</f>
        <v>無</v>
      </c>
      <c r="T281" s="327">
        <f>IFERROR(VLOOKUP($G281,'321買'!$A:$E,5,0),"'沒有資料'")</f>
        <v>1179</v>
      </c>
      <c r="U281" s="186">
        <f>IFERROR(VLOOKUP($G281,基本資料!$A:$J,9,0),"無")</f>
        <v>6</v>
      </c>
      <c r="V281" s="310">
        <f t="shared" si="57"/>
        <v>4.8192771084337352E-2</v>
      </c>
      <c r="W281" s="94">
        <f>IFERROR(VLOOKUP($G281,基本資料!$A:$J,10,0),"無")</f>
        <v>7.26</v>
      </c>
      <c r="X281" s="36">
        <f>RTD("money.excel",,"4766","Price")</f>
        <v>124.5</v>
      </c>
      <c r="Y281" s="66"/>
      <c r="Z281" s="15">
        <f t="shared" si="62"/>
        <v>124.5</v>
      </c>
      <c r="AA281" s="3" t="e">
        <f t="shared" si="63"/>
        <v>#DIV/0!</v>
      </c>
      <c r="AB281" s="344">
        <f>IFERROR(VLOOKUP($G281,基本資料!$A:$M,11,0),"無")</f>
        <v>-21.9</v>
      </c>
      <c r="AC281" s="397">
        <f>IFERROR(VLOOKUP($G281,基本資料!$A:$M,12,0),"無")</f>
        <v>18.98</v>
      </c>
      <c r="AD281" s="22" t="s">
        <v>3642</v>
      </c>
      <c r="AG281" s="33">
        <f t="shared" si="64"/>
        <v>0</v>
      </c>
      <c r="AH281" s="43" t="s">
        <v>3643</v>
      </c>
      <c r="AI281" s="63">
        <f t="shared" si="61"/>
        <v>2.6556016597510375E-4</v>
      </c>
      <c r="AJ281" s="284">
        <f>RTD("money.excel",,$G281,"PredictVolume")</f>
        <v>32</v>
      </c>
      <c r="AK281" s="399">
        <f>IFERROR(VLOOKUP($G281,基本資料!$A:$M,13,0),"無")</f>
        <v>1.95</v>
      </c>
    </row>
    <row r="282" spans="1:37">
      <c r="A282" s="347">
        <f>IFERROR(VLOOKUP($G282,基本資料!$A:$J,3,0),"無")</f>
        <v>3.14</v>
      </c>
      <c r="B282" s="79">
        <f>IFERROR(VLOOKUP($G282,基本資料!$A:$J,4,0),"無")</f>
        <v>23</v>
      </c>
      <c r="C282" s="79">
        <f>IFERROR(VLOOKUP($G282,基本資料!$A:$J,5,0),"無")</f>
        <v>17</v>
      </c>
      <c r="D282" s="79">
        <f>IFERROR(VLOOKUP($G282,基本資料!$A:$J,6,0),"無")</f>
        <v>35</v>
      </c>
      <c r="E282" s="79">
        <f>IFERROR(VLOOKUP($G282,基本資料!$A:$J,7,0),"無")</f>
        <v>23</v>
      </c>
      <c r="F282" s="6">
        <f>IFERROR(VLOOKUP($G282,基本資料!$A:$J,8,0),"無")</f>
        <v>8.4499999999999993</v>
      </c>
      <c r="G282" s="79">
        <v>4767</v>
      </c>
      <c r="H282" s="8" t="s">
        <v>3578</v>
      </c>
      <c r="I282" s="16" t="s">
        <v>3644</v>
      </c>
      <c r="J282" s="8" t="str">
        <f>IFERROR(VLOOKUP($G282,今日總結!$A:$AJ,35,0),"")</f>
        <v/>
      </c>
      <c r="K282" s="5" t="str">
        <f>IFERROR(VLOOKUP($G282,今日總結!$A:$AJ,36,0),"")</f>
        <v/>
      </c>
      <c r="L282" s="156" t="str">
        <f>IFERROR(VLOOKUP($G282,今日總結!$A:$AJ,33,0),"")</f>
        <v/>
      </c>
      <c r="M282" s="340" t="str">
        <f>IFERROR(VLOOKUP($G282,今日總結!$A:$AJ,34,0),"")</f>
        <v/>
      </c>
      <c r="N282" s="240" t="str">
        <f t="shared" si="65"/>
        <v/>
      </c>
      <c r="P282" s="365" t="str">
        <f>IFERROR(VLOOKUP($G282,融外自投!$A:$J,7,0),"無")</f>
        <v>無</v>
      </c>
      <c r="Q282" s="79" t="str">
        <f>IFERROR(VLOOKUP($G282,融外自投!$A:$J,9,0),"無")</f>
        <v>無</v>
      </c>
      <c r="R282" s="346" t="str">
        <f>IFERROR(VLOOKUP($G282,融外自投!$A:$J,8,0),"無")</f>
        <v>無</v>
      </c>
      <c r="S282" s="81" t="str">
        <f>IFERROR(VLOOKUP($G282,融外自投!$A:$J,10,0),"無")</f>
        <v>無</v>
      </c>
      <c r="T282" s="327" t="str">
        <f>IFERROR(VLOOKUP($G282,'321買'!$A:$E,5,0),"'沒有資料'")</f>
        <v>'沒有資料'</v>
      </c>
      <c r="U282" s="186">
        <f>IFERROR(VLOOKUP($G282,基本資料!$A:$J,9,0),"無")</f>
        <v>1.5</v>
      </c>
      <c r="V282" s="310">
        <f t="shared" si="57"/>
        <v>5.1724137931034482E-2</v>
      </c>
      <c r="W282" s="94">
        <f>IFERROR(VLOOKUP($G282,基本資料!$A:$J,10,0),"無")</f>
        <v>2.84</v>
      </c>
      <c r="X282" s="36">
        <f>RTD("money.excel",,"4767","Price")</f>
        <v>29</v>
      </c>
      <c r="Y282" s="66"/>
      <c r="Z282" s="15">
        <f t="shared" si="62"/>
        <v>29</v>
      </c>
      <c r="AA282" s="3" t="e">
        <f t="shared" si="63"/>
        <v>#DIV/0!</v>
      </c>
      <c r="AB282" s="344">
        <f>IFERROR(VLOOKUP($G282,基本資料!$A:$M,11,0),"無")</f>
        <v>-12.5</v>
      </c>
      <c r="AC282" s="397">
        <f>IFERROR(VLOOKUP($G282,基本資料!$A:$M,12,0),"無")</f>
        <v>46.56</v>
      </c>
      <c r="AD282" s="16" t="s">
        <v>3644</v>
      </c>
      <c r="AG282" s="33">
        <f t="shared" si="64"/>
        <v>0</v>
      </c>
      <c r="AH282" s="43" t="s">
        <v>3645</v>
      </c>
      <c r="AI282" s="63">
        <f t="shared" si="61"/>
        <v>9.5541401273885348E-5</v>
      </c>
      <c r="AJ282" s="284">
        <f>RTD("money.excel",,$G282,"PredictVolume")</f>
        <v>3</v>
      </c>
      <c r="AK282" s="399">
        <f>IFERROR(VLOOKUP($G282,基本資料!$A:$M,13,0),"無")</f>
        <v>1.59</v>
      </c>
    </row>
    <row r="283" spans="1:37">
      <c r="A283" s="347" t="str">
        <f>IFERROR(VLOOKUP($G283,基本資料!$A:$J,3,0),"無")</f>
        <v>無</v>
      </c>
      <c r="B283" s="79" t="str">
        <f>IFERROR(VLOOKUP($G283,基本資料!$A:$J,4,0),"無")</f>
        <v>無</v>
      </c>
      <c r="C283" s="79" t="str">
        <f>IFERROR(VLOOKUP($G283,基本資料!$A:$J,5,0),"無")</f>
        <v>無</v>
      </c>
      <c r="D283" s="79" t="str">
        <f>IFERROR(VLOOKUP($G283,基本資料!$A:$J,6,0),"無")</f>
        <v>無</v>
      </c>
      <c r="E283" s="79" t="str">
        <f>IFERROR(VLOOKUP($G283,基本資料!$A:$J,7,0),"無")</f>
        <v>無</v>
      </c>
      <c r="F283" s="6" t="str">
        <f>IFERROR(VLOOKUP($G283,基本資料!$A:$J,8,0),"無")</f>
        <v>無</v>
      </c>
      <c r="G283" s="79">
        <v>4768</v>
      </c>
      <c r="H283" s="8" t="s">
        <v>755</v>
      </c>
      <c r="I283" s="16" t="s">
        <v>6177</v>
      </c>
      <c r="J283" s="8" t="str">
        <f>IFERROR(VLOOKUP($G283,今日總結!$A:$AJ,35,0),"")</f>
        <v/>
      </c>
      <c r="K283" s="5" t="str">
        <f>IFERROR(VLOOKUP($G283,今日總結!$A:$AJ,36,0),"")</f>
        <v/>
      </c>
      <c r="L283" s="156" t="str">
        <f>IFERROR(VLOOKUP($G283,今日總結!$A:$AJ,33,0),"")</f>
        <v/>
      </c>
      <c r="M283" s="340" t="str">
        <f>IFERROR(VLOOKUP($G283,今日總結!$A:$AJ,34,0),"")</f>
        <v/>
      </c>
      <c r="N283" s="240" t="str">
        <f t="shared" si="65"/>
        <v/>
      </c>
      <c r="P283" s="365" t="str">
        <f>IFERROR(VLOOKUP($G283,融外自投!$A:$J,7,0),"無")</f>
        <v>無</v>
      </c>
      <c r="Q283" s="79" t="str">
        <f>IFERROR(VLOOKUP($G283,融外自投!$A:$J,9,0),"無")</f>
        <v>無</v>
      </c>
      <c r="R283" s="346" t="str">
        <f>IFERROR(VLOOKUP($G283,融外自投!$A:$J,8,0),"無")</f>
        <v>無</v>
      </c>
      <c r="S283" s="81" t="str">
        <f>IFERROR(VLOOKUP($G283,融外自投!$A:$J,10,0),"無")</f>
        <v>無</v>
      </c>
      <c r="T283" s="327" t="str">
        <f>IFERROR(VLOOKUP($G283,'321買'!$A:$E,5,0),"'沒有資料'")</f>
        <v>'沒有資料'</v>
      </c>
      <c r="U283" s="186" t="str">
        <f>IFERROR(VLOOKUP($G283,基本資料!$A:$J,9,0),"無")</f>
        <v>無</v>
      </c>
      <c r="V283" s="310" t="e">
        <f t="shared" si="57"/>
        <v>#VALUE!</v>
      </c>
      <c r="W283" s="94" t="str">
        <f>IFERROR(VLOOKUP($G283,基本資料!$A:$J,10,0),"無")</f>
        <v>無</v>
      </c>
      <c r="X283" s="36">
        <f>RTD("money.excel",,"4768","Price")</f>
        <v>94.5</v>
      </c>
      <c r="Y283" s="66"/>
      <c r="Z283" s="15">
        <f t="shared" ref="Z283" si="66">X283-Y283</f>
        <v>94.5</v>
      </c>
      <c r="AA283" s="3" t="e">
        <f t="shared" ref="AA283" si="67">Z283/Y283</f>
        <v>#DIV/0!</v>
      </c>
      <c r="AB283" s="344" t="str">
        <f>IFERROR(VLOOKUP($G283,基本資料!$A:$M,11,0),"無")</f>
        <v>無</v>
      </c>
      <c r="AC283" s="397" t="str">
        <f>IFERROR(VLOOKUP($G283,基本資料!$A:$M,12,0),"無")</f>
        <v>無</v>
      </c>
      <c r="AD283" s="16" t="s">
        <v>6177</v>
      </c>
      <c r="AG283" s="33">
        <f t="shared" ref="AG283" si="68">AF283-AE283</f>
        <v>0</v>
      </c>
      <c r="AH283" s="43" t="s">
        <v>6178</v>
      </c>
      <c r="AI283" s="63" t="e">
        <f t="shared" si="61"/>
        <v>#VALUE!</v>
      </c>
      <c r="AJ283" s="284">
        <f>RTD("money.excel",,$G283,"PredictVolume")</f>
        <v>350</v>
      </c>
      <c r="AK283" s="399" t="str">
        <f>IFERROR(VLOOKUP($G283,基本資料!$A:$M,13,0),"無")</f>
        <v>無</v>
      </c>
    </row>
    <row r="284" spans="1:37">
      <c r="A284" s="347">
        <f>IFERROR(VLOOKUP($G284,基本資料!$A:$J,3,0),"無")</f>
        <v>7.85</v>
      </c>
      <c r="B284" s="79">
        <f>IFERROR(VLOOKUP($G284,基本資料!$A:$J,4,0),"無")</f>
        <v>83</v>
      </c>
      <c r="C284" s="79">
        <f>IFERROR(VLOOKUP($G284,基本資料!$A:$J,5,0),"無")</f>
        <v>78</v>
      </c>
      <c r="D284" s="79">
        <f>IFERROR(VLOOKUP($G284,基本資料!$A:$J,6,0),"無")</f>
        <v>-8</v>
      </c>
      <c r="E284" s="79">
        <f>IFERROR(VLOOKUP($G284,基本資料!$A:$J,7,0),"無")</f>
        <v>75</v>
      </c>
      <c r="F284" s="6">
        <f>IFERROR(VLOOKUP($G284,基本資料!$A:$J,8,0),"無")</f>
        <v>31.15</v>
      </c>
      <c r="G284" s="79">
        <v>4770</v>
      </c>
      <c r="H284" s="8" t="s">
        <v>3578</v>
      </c>
      <c r="I284" s="22" t="s">
        <v>3550</v>
      </c>
      <c r="J284" s="8" t="str">
        <f>IFERROR(VLOOKUP($G284,今日總結!$A:$AJ,35,0),"")</f>
        <v/>
      </c>
      <c r="K284" s="5" t="str">
        <f>IFERROR(VLOOKUP($G284,今日總結!$A:$AJ,36,0),"")</f>
        <v/>
      </c>
      <c r="L284" s="156" t="str">
        <f>IFERROR(VLOOKUP($G284,今日總結!$A:$AJ,33,0),"")</f>
        <v/>
      </c>
      <c r="M284" s="340" t="str">
        <f>IFERROR(VLOOKUP($G284,今日總結!$A:$AJ,34,0),"")</f>
        <v/>
      </c>
      <c r="N284" s="240" t="str">
        <f t="shared" si="65"/>
        <v/>
      </c>
      <c r="P284" s="365" t="str">
        <f>IFERROR(VLOOKUP($G284,融外自投!$A:$J,7,0),"無")</f>
        <v>無</v>
      </c>
      <c r="Q284" s="79" t="str">
        <f>IFERROR(VLOOKUP($G284,融外自投!$A:$J,9,0),"無")</f>
        <v>無</v>
      </c>
      <c r="R284" s="346" t="str">
        <f>IFERROR(VLOOKUP($G284,融外自投!$A:$J,8,0),"無")</f>
        <v>無</v>
      </c>
      <c r="S284" s="81" t="str">
        <f>IFERROR(VLOOKUP($G284,融外自投!$A:$J,10,0),"無")</f>
        <v>無</v>
      </c>
      <c r="T284" s="327" t="str">
        <f>IFERROR(VLOOKUP($G284,'321買'!$A:$E,5,0),"'沒有資料'")</f>
        <v>'沒有資料'</v>
      </c>
      <c r="U284" s="186">
        <f>IFERROR(VLOOKUP($G284,基本資料!$A:$J,9,0),"無")</f>
        <v>8</v>
      </c>
      <c r="V284" s="310">
        <f t="shared" si="57"/>
        <v>3.0592734225621414E-2</v>
      </c>
      <c r="W284" s="94">
        <f>IFERROR(VLOOKUP($G284,基本資料!$A:$J,10,0),"無")</f>
        <v>13.94</v>
      </c>
      <c r="X284" s="36">
        <f>RTD("money.excel",,"4770","Price")</f>
        <v>261.5</v>
      </c>
      <c r="Y284" s="66"/>
      <c r="Z284" s="15">
        <f t="shared" si="62"/>
        <v>261.5</v>
      </c>
      <c r="AA284" s="3" t="e">
        <f t="shared" si="63"/>
        <v>#DIV/0!</v>
      </c>
      <c r="AB284" s="344" t="str">
        <f>IFERROR(VLOOKUP($G284,基本資料!$A:$M,11,0),"無")</f>
        <v>無</v>
      </c>
      <c r="AC284" s="397" t="str">
        <f>IFERROR(VLOOKUP($G284,基本資料!$A:$M,12,0),"無")</f>
        <v>無</v>
      </c>
      <c r="AD284" s="22" t="s">
        <v>3646</v>
      </c>
      <c r="AG284" s="33">
        <f t="shared" si="64"/>
        <v>0</v>
      </c>
      <c r="AH284" s="43" t="s">
        <v>2638</v>
      </c>
      <c r="AI284" s="63">
        <f t="shared" si="61"/>
        <v>3.0828025477707007E-3</v>
      </c>
      <c r="AJ284" s="284">
        <f>RTD("money.excel",,$G284,"PredictVolume")</f>
        <v>242</v>
      </c>
      <c r="AK284" s="399" t="str">
        <f>IFERROR(VLOOKUP($G284,基本資料!$A:$M,13,0),"無")</f>
        <v>無</v>
      </c>
    </row>
    <row r="285" spans="1:37">
      <c r="A285" s="347">
        <f>IFERROR(VLOOKUP($G285,基本資料!$A:$J,3,0),"無")</f>
        <v>8.23</v>
      </c>
      <c r="B285" s="79">
        <f>IFERROR(VLOOKUP($G285,基本資料!$A:$J,4,0),"無")</f>
        <v>29</v>
      </c>
      <c r="C285" s="79">
        <f>IFERROR(VLOOKUP($G285,基本資料!$A:$J,5,0),"無")</f>
        <v>46</v>
      </c>
      <c r="D285" s="79">
        <f>IFERROR(VLOOKUP($G285,基本資料!$A:$J,6,0),"無")</f>
        <v>-3</v>
      </c>
      <c r="E285" s="79">
        <f>IFERROR(VLOOKUP($G285,基本資料!$A:$J,7,0),"無")</f>
        <v>26</v>
      </c>
      <c r="F285" s="6">
        <f>IFERROR(VLOOKUP($G285,基本資料!$A:$J,8,0),"無")</f>
        <v>4.2</v>
      </c>
      <c r="G285" s="79">
        <v>6506</v>
      </c>
      <c r="H285" s="8" t="s">
        <v>3578</v>
      </c>
      <c r="I285" s="16" t="s">
        <v>3647</v>
      </c>
      <c r="J285" s="8" t="str">
        <f>IFERROR(VLOOKUP($G285,今日總結!$A:$AJ,35,0),"")</f>
        <v/>
      </c>
      <c r="K285" s="5" t="str">
        <f>IFERROR(VLOOKUP($G285,今日總結!$A:$AJ,36,0),"")</f>
        <v/>
      </c>
      <c r="L285" s="156" t="str">
        <f>IFERROR(VLOOKUP($G285,今日總結!$A:$AJ,33,0),"")</f>
        <v/>
      </c>
      <c r="M285" s="340" t="str">
        <f>IFERROR(VLOOKUP($G285,今日總結!$A:$AJ,34,0),"")</f>
        <v/>
      </c>
      <c r="N285" s="240" t="str">
        <f t="shared" si="65"/>
        <v/>
      </c>
      <c r="P285" s="365">
        <f>IFERROR(VLOOKUP($G285,融外自投!$A:$J,7,0),"無")</f>
        <v>992</v>
      </c>
      <c r="Q285" s="79">
        <f>IFERROR(VLOOKUP($G285,融外自投!$A:$J,9,0),"無")</f>
        <v>1110</v>
      </c>
      <c r="R285" s="346">
        <f>IFERROR(VLOOKUP($G285,融外自投!$A:$J,8,0),"無")</f>
        <v>1003</v>
      </c>
      <c r="S285" s="81" t="str">
        <f>IFERROR(VLOOKUP($G285,融外自投!$A:$J,10,0),"無")</f>
        <v>無</v>
      </c>
      <c r="T285" s="327">
        <f>IFERROR(VLOOKUP($G285,'321買'!$A:$E,5,0),"'沒有資料'")</f>
        <v>1126</v>
      </c>
      <c r="U285" s="186">
        <f>IFERROR(VLOOKUP($G285,基本資料!$A:$J,9,0),"無")</f>
        <v>2</v>
      </c>
      <c r="V285" s="310">
        <f t="shared" si="57"/>
        <v>9.1954022988505746E-2</v>
      </c>
      <c r="W285" s="94">
        <f>IFERROR(VLOOKUP($G285,基本資料!$A:$J,10,0),"無")</f>
        <v>0.83</v>
      </c>
      <c r="X285" s="36">
        <f>RTD("money.excel",,"6506","Price")</f>
        <v>21.75</v>
      </c>
      <c r="Y285" s="66"/>
      <c r="Z285" s="15">
        <f t="shared" si="62"/>
        <v>21.75</v>
      </c>
      <c r="AA285" s="3" t="e">
        <f t="shared" si="63"/>
        <v>#DIV/0!</v>
      </c>
      <c r="AB285" s="344">
        <f>IFERROR(VLOOKUP($G285,基本資料!$A:$M,11,0),"無")</f>
        <v>-12.61</v>
      </c>
      <c r="AC285" s="397">
        <f>IFERROR(VLOOKUP($G285,基本資料!$A:$M,12,0),"無")</f>
        <v>66.31</v>
      </c>
      <c r="AD285" s="16" t="s">
        <v>3647</v>
      </c>
      <c r="AG285" s="33">
        <f t="shared" si="64"/>
        <v>0</v>
      </c>
      <c r="AH285" s="43" t="s">
        <v>3648</v>
      </c>
      <c r="AI285" s="63">
        <f t="shared" si="61"/>
        <v>1.6792223572296476E-2</v>
      </c>
      <c r="AJ285" s="284">
        <f>RTD("money.excel",,$G285,"PredictVolume")</f>
        <v>1382</v>
      </c>
      <c r="AK285" s="399">
        <f>IFERROR(VLOOKUP($G285,基本資料!$A:$M,13,0),"無")</f>
        <v>16.78</v>
      </c>
    </row>
    <row r="286" spans="1:37">
      <c r="A286" s="347">
        <f>IFERROR(VLOOKUP($G286,基本資料!$A:$J,3,0),"無")</f>
        <v>17.34</v>
      </c>
      <c r="B286" s="79">
        <f>IFERROR(VLOOKUP($G286,基本資料!$A:$J,4,0),"無")</f>
        <v>50</v>
      </c>
      <c r="C286" s="79">
        <f>IFERROR(VLOOKUP($G286,基本資料!$A:$J,5,0),"無")</f>
        <v>47</v>
      </c>
      <c r="D286" s="79">
        <f>IFERROR(VLOOKUP($G286,基本資料!$A:$J,6,0),"無")</f>
        <v>73</v>
      </c>
      <c r="E286" s="79">
        <f>IFERROR(VLOOKUP($G286,基本資料!$A:$J,7,0),"無")</f>
        <v>33</v>
      </c>
      <c r="F286" s="6">
        <f>IFERROR(VLOOKUP($G286,基本資料!$A:$J,8,0),"無")</f>
        <v>11.93</v>
      </c>
      <c r="G286" s="79">
        <v>6509</v>
      </c>
      <c r="H286" s="8" t="s">
        <v>3578</v>
      </c>
      <c r="I286" s="16" t="s">
        <v>3649</v>
      </c>
      <c r="J286" s="8">
        <f>IFERROR(VLOOKUP($G286,今日總結!$A:$AJ,35,0),"")</f>
        <v>0</v>
      </c>
      <c r="K286" s="5">
        <f>IFERROR(VLOOKUP($G286,今日總結!$A:$AJ,36,0),"")</f>
        <v>0</v>
      </c>
      <c r="L286" s="156">
        <f>IFERROR(VLOOKUP($G286,今日總結!$A:$AJ,33,0),"")</f>
        <v>0</v>
      </c>
      <c r="M286" s="340">
        <f>IFERROR(VLOOKUP($G286,今日總結!$A:$AJ,34,0),"")</f>
        <v>1</v>
      </c>
      <c r="N286" s="240">
        <f t="shared" si="65"/>
        <v>-1</v>
      </c>
      <c r="P286" s="365">
        <f>IFERROR(VLOOKUP($G286,融外自投!$A:$J,7,0),"無")</f>
        <v>68</v>
      </c>
      <c r="Q286" s="79">
        <f>IFERROR(VLOOKUP($G286,融外自投!$A:$J,9,0),"無")</f>
        <v>507</v>
      </c>
      <c r="R286" s="346">
        <f>IFERROR(VLOOKUP($G286,融外自投!$A:$J,8,0),"無")</f>
        <v>894</v>
      </c>
      <c r="S286" s="81" t="str">
        <f>IFERROR(VLOOKUP($G286,融外自投!$A:$J,10,0),"無")</f>
        <v>無</v>
      </c>
      <c r="T286" s="327">
        <f>IFERROR(VLOOKUP($G286,'321買'!$A:$E,5,0),"'沒有資料'")</f>
        <v>153</v>
      </c>
      <c r="U286" s="186">
        <f>IFERROR(VLOOKUP($G286,基本資料!$A:$J,9,0),"無")</f>
        <v>1.25</v>
      </c>
      <c r="V286" s="310">
        <f t="shared" si="57"/>
        <v>2.8089887640449437E-2</v>
      </c>
      <c r="W286" s="94">
        <f>IFERROR(VLOOKUP($G286,基本資料!$A:$J,10,0),"無")</f>
        <v>2.48</v>
      </c>
      <c r="X286" s="36">
        <f>RTD("money.excel",,"6509","Price")</f>
        <v>44.5</v>
      </c>
      <c r="Y286" s="66"/>
      <c r="Z286" s="15">
        <f t="shared" si="62"/>
        <v>44.5</v>
      </c>
      <c r="AA286" s="3" t="e">
        <f t="shared" si="63"/>
        <v>#DIV/0!</v>
      </c>
      <c r="AB286" s="344">
        <f>IFERROR(VLOOKUP($G286,基本資料!$A:$M,11,0),"無")</f>
        <v>-43.61</v>
      </c>
      <c r="AC286" s="397">
        <f>IFERROR(VLOOKUP($G286,基本資料!$A:$M,12,0),"無")</f>
        <v>12.08</v>
      </c>
      <c r="AD286" s="16" t="s">
        <v>3649</v>
      </c>
      <c r="AG286" s="33">
        <f t="shared" si="64"/>
        <v>0</v>
      </c>
      <c r="AH286" s="117" t="s">
        <v>3650</v>
      </c>
      <c r="AI286" s="63">
        <f t="shared" si="61"/>
        <v>1.1608996539792388E-2</v>
      </c>
      <c r="AJ286" s="284">
        <f>RTD("money.excel",,$G286,"PredictVolume")</f>
        <v>2013</v>
      </c>
      <c r="AK286" s="399">
        <f>IFERROR(VLOOKUP($G286,基本資料!$A:$M,13,0),"無")</f>
        <v>65.66</v>
      </c>
    </row>
    <row r="287" spans="1:37">
      <c r="B287" s="79"/>
      <c r="C287" s="79"/>
      <c r="D287" s="80"/>
      <c r="E287" s="79"/>
      <c r="F287" s="57"/>
      <c r="G287" s="79"/>
      <c r="H287" s="8"/>
      <c r="I287" s="16"/>
      <c r="L287" s="2"/>
      <c r="P287" s="365"/>
      <c r="Q287" s="47"/>
      <c r="R287" s="346"/>
      <c r="S287" s="26"/>
      <c r="U287" s="34"/>
      <c r="W287" s="94"/>
      <c r="X287" s="36"/>
      <c r="Y287" s="66"/>
      <c r="Z287" s="15"/>
      <c r="AA287" s="3"/>
      <c r="AD287" s="16"/>
      <c r="AG287" s="33"/>
      <c r="AH287" s="117"/>
      <c r="AI287" s="63"/>
      <c r="AJ287" s="284"/>
    </row>
    <row r="288" spans="1:37">
      <c r="A288" s="127" t="s">
        <v>3651</v>
      </c>
      <c r="B288" s="90" t="s">
        <v>3652</v>
      </c>
      <c r="C288" s="90" t="s">
        <v>3653</v>
      </c>
      <c r="D288" s="90" t="s">
        <v>3654</v>
      </c>
      <c r="E288" s="90" t="s">
        <v>3655</v>
      </c>
      <c r="F288" s="8" t="s">
        <v>3656</v>
      </c>
      <c r="G288" s="27" t="s">
        <v>3657</v>
      </c>
      <c r="H288" s="55" t="s">
        <v>320</v>
      </c>
      <c r="I288" s="50" t="s">
        <v>3658</v>
      </c>
      <c r="J288" s="8" t="s">
        <v>6221</v>
      </c>
      <c r="K288" s="5" t="s">
        <v>6222</v>
      </c>
      <c r="L288" s="337" t="s">
        <v>6206</v>
      </c>
      <c r="M288" s="338" t="s">
        <v>6207</v>
      </c>
      <c r="N288" s="339" t="s">
        <v>6208</v>
      </c>
      <c r="O288" s="4" t="s">
        <v>6713</v>
      </c>
      <c r="P288" s="89" t="s">
        <v>6285</v>
      </c>
      <c r="Q288" s="293" t="s">
        <v>6284</v>
      </c>
      <c r="R288" s="354" t="s">
        <v>6283</v>
      </c>
      <c r="S288" s="26" t="s">
        <v>6286</v>
      </c>
      <c r="T288" s="321" t="s">
        <v>4716</v>
      </c>
      <c r="U288" s="10" t="s">
        <v>3659</v>
      </c>
      <c r="V288" s="308" t="s">
        <v>4731</v>
      </c>
      <c r="W288" s="68" t="s">
        <v>3273</v>
      </c>
      <c r="X288" s="28" t="s">
        <v>2</v>
      </c>
      <c r="Y288" s="17" t="s">
        <v>3660</v>
      </c>
      <c r="Z288" s="14" t="s">
        <v>3661</v>
      </c>
      <c r="AA288" s="21" t="s">
        <v>3662</v>
      </c>
      <c r="AB288" s="96" t="s">
        <v>6174</v>
      </c>
      <c r="AC288" s="384" t="s">
        <v>6420</v>
      </c>
      <c r="AD288" s="50" t="s">
        <v>3658</v>
      </c>
      <c r="AE288" s="71" t="s">
        <v>3663</v>
      </c>
      <c r="AF288" s="72" t="s">
        <v>3664</v>
      </c>
      <c r="AG288" s="32" t="s">
        <v>3665</v>
      </c>
      <c r="AH288" s="25" t="s">
        <v>6209</v>
      </c>
      <c r="AI288" s="8" t="s">
        <v>6731</v>
      </c>
      <c r="AJ288" s="50" t="s">
        <v>3361</v>
      </c>
      <c r="AK288" s="44" t="s">
        <v>6730</v>
      </c>
    </row>
    <row r="289" spans="1:37">
      <c r="A289" s="347">
        <f>IFERROR(VLOOKUP($G289,基本資料!$A:$J,3,0),"無")</f>
        <v>5.04</v>
      </c>
      <c r="B289" s="79">
        <f>IFERROR(VLOOKUP($G289,基本資料!$A:$J,4,0),"無")</f>
        <v>27</v>
      </c>
      <c r="C289" s="79">
        <f>IFERROR(VLOOKUP($G289,基本資料!$A:$J,5,0),"無")</f>
        <v>23</v>
      </c>
      <c r="D289" s="79">
        <f>IFERROR(VLOOKUP($G289,基本資料!$A:$J,6,0),"無")</f>
        <v>-26</v>
      </c>
      <c r="E289" s="79">
        <f>IFERROR(VLOOKUP($G289,基本資料!$A:$J,7,0),"無")</f>
        <v>-7</v>
      </c>
      <c r="F289" s="6">
        <f>IFERROR(VLOOKUP($G289,基本資料!$A:$J,8,0),"無")</f>
        <v>22.79</v>
      </c>
      <c r="G289" s="79">
        <v>1565</v>
      </c>
      <c r="H289" s="145" t="s">
        <v>309</v>
      </c>
      <c r="I289" s="16" t="s">
        <v>3666</v>
      </c>
      <c r="J289" s="8">
        <f>IFERROR(VLOOKUP($G289,今日總結!$A:$AJ,35,0),"")</f>
        <v>0</v>
      </c>
      <c r="K289" s="5">
        <f>IFERROR(VLOOKUP($G289,今日總結!$A:$AJ,36,0),"")</f>
        <v>0</v>
      </c>
      <c r="L289" s="156">
        <f>IFERROR(VLOOKUP($G289,今日總結!$A:$AJ,33,0),"")</f>
        <v>0</v>
      </c>
      <c r="M289" s="340">
        <f>IFERROR(VLOOKUP($G289,今日總結!$A:$AJ,34,0),"")</f>
        <v>1</v>
      </c>
      <c r="N289" s="240">
        <f t="shared" ref="N289:N326" si="69">IFERROR(L289-M289,"")</f>
        <v>-1</v>
      </c>
      <c r="P289" s="365">
        <f>IFERROR(VLOOKUP($G289,融外自投!$A:$J,7,0),"無")</f>
        <v>645</v>
      </c>
      <c r="Q289" s="79">
        <f>IFERROR(VLOOKUP($G289,融外自投!$A:$J,9,0),"無")</f>
        <v>128</v>
      </c>
      <c r="R289" s="346">
        <f>IFERROR(VLOOKUP($G289,融外自投!$A:$J,8,0),"無")</f>
        <v>206</v>
      </c>
      <c r="S289" s="81">
        <f>IFERROR(VLOOKUP($G289,融外自投!$A:$J,10,0),"無")</f>
        <v>201</v>
      </c>
      <c r="T289" s="327">
        <f>IFERROR(VLOOKUP($G289,'321買'!$A:$E,5,0),"'沒有資料'")</f>
        <v>634</v>
      </c>
      <c r="U289" s="186">
        <f>IFERROR(VLOOKUP($G289,基本資料!$A:$J,9,0),"無")</f>
        <v>15</v>
      </c>
      <c r="V289" s="310">
        <f t="shared" ref="V289:V352" si="70">$U289/$X289</f>
        <v>5.6925996204933584E-2</v>
      </c>
      <c r="W289" s="94">
        <f>IFERROR(VLOOKUP($G289,基本資料!$A:$J,10,0),"無")</f>
        <v>18.8</v>
      </c>
      <c r="X289" s="36">
        <f>RTD("money.excel",,"1565","Price")</f>
        <v>263.5</v>
      </c>
      <c r="Y289" s="66"/>
      <c r="Z289" s="15">
        <f t="shared" ref="Z289:Z352" si="71">X289-Y289</f>
        <v>263.5</v>
      </c>
      <c r="AA289" s="3" t="e">
        <f t="shared" ref="AA289:AA352" si="72">Z289/Y289</f>
        <v>#DIV/0!</v>
      </c>
      <c r="AB289" s="344">
        <f>IFERROR(VLOOKUP($G289,基本資料!$A:$M,11,0),"無")</f>
        <v>-36.020000000000003</v>
      </c>
      <c r="AC289" s="397">
        <f>IFERROR(VLOOKUP($G289,基本資料!$A:$M,12,0),"無")</f>
        <v>21.44</v>
      </c>
      <c r="AD289" s="16" t="s">
        <v>3666</v>
      </c>
      <c r="AG289" s="33">
        <f t="shared" ref="AG289:AG352" si="73">AF289-AE289</f>
        <v>0</v>
      </c>
      <c r="AH289" s="117" t="s">
        <v>3667</v>
      </c>
      <c r="AI289" s="63">
        <f t="shared" ref="AI289:AI320" si="74">AJ289/(A289*10000)</f>
        <v>1.6865079365079366E-3</v>
      </c>
      <c r="AJ289" s="284">
        <f>RTD("money.excel",,$G289,"PredictVolume")</f>
        <v>85</v>
      </c>
      <c r="AK289" s="399">
        <f>IFERROR(VLOOKUP($G289,基本資料!$A:$M,13,0),"無")</f>
        <v>9.67</v>
      </c>
    </row>
    <row r="290" spans="1:37">
      <c r="A290" s="347">
        <f>IFERROR(VLOOKUP($G290,基本資料!$A:$J,3,0),"無")</f>
        <v>3.52</v>
      </c>
      <c r="B290" s="79">
        <f>IFERROR(VLOOKUP($G290,基本資料!$A:$J,4,0),"無")</f>
        <v>19</v>
      </c>
      <c r="C290" s="79">
        <f>IFERROR(VLOOKUP($G290,基本資料!$A:$J,5,0),"無")</f>
        <v>48</v>
      </c>
      <c r="D290" s="79">
        <f>IFERROR(VLOOKUP($G290,基本資料!$A:$J,6,0),"無")</f>
        <v>7</v>
      </c>
      <c r="E290" s="79">
        <f>IFERROR(VLOOKUP($G290,基本資料!$A:$J,7,0),"無")</f>
        <v>-56</v>
      </c>
      <c r="F290" s="6">
        <f>IFERROR(VLOOKUP($G290,基本資料!$A:$J,8,0),"無")</f>
        <v>14.77</v>
      </c>
      <c r="G290" s="79">
        <v>1593</v>
      </c>
      <c r="H290" s="8" t="s">
        <v>309</v>
      </c>
      <c r="I290" s="16" t="s">
        <v>3668</v>
      </c>
      <c r="J290" s="8" t="str">
        <f>IFERROR(VLOOKUP($G290,今日總結!$A:$AJ,35,0),"")</f>
        <v/>
      </c>
      <c r="K290" s="5" t="str">
        <f>IFERROR(VLOOKUP($G290,今日總結!$A:$AJ,36,0),"")</f>
        <v/>
      </c>
      <c r="L290" s="156" t="str">
        <f>IFERROR(VLOOKUP($G290,今日總結!$A:$AJ,33,0),"")</f>
        <v/>
      </c>
      <c r="M290" s="340" t="str">
        <f>IFERROR(VLOOKUP($G290,今日總結!$A:$AJ,34,0),"")</f>
        <v/>
      </c>
      <c r="N290" s="240" t="str">
        <f t="shared" si="69"/>
        <v/>
      </c>
      <c r="P290" s="365">
        <f>IFERROR(VLOOKUP($G290,融外自投!$A:$J,7,0),"無")</f>
        <v>381</v>
      </c>
      <c r="Q290" s="79">
        <f>IFERROR(VLOOKUP($G290,融外自投!$A:$J,9,0),"無")</f>
        <v>514</v>
      </c>
      <c r="R290" s="346">
        <f>IFERROR(VLOOKUP($G290,融外自投!$A:$J,8,0),"無")</f>
        <v>1063</v>
      </c>
      <c r="S290" s="81" t="str">
        <f>IFERROR(VLOOKUP($G290,融外自投!$A:$J,10,0),"無")</f>
        <v>無</v>
      </c>
      <c r="T290" s="327" t="str">
        <f>IFERROR(VLOOKUP($G290,'321買'!$A:$E,5,0),"'沒有資料'")</f>
        <v>'沒有資料'</v>
      </c>
      <c r="U290" s="186">
        <f>IFERROR(VLOOKUP($G290,基本資料!$A:$J,9,0),"無")</f>
        <v>3.8</v>
      </c>
      <c r="V290" s="310">
        <f t="shared" si="70"/>
        <v>5.8015267175572517E-2</v>
      </c>
      <c r="W290" s="94">
        <f>IFERROR(VLOOKUP($G290,基本資料!$A:$J,10,0),"無")</f>
        <v>4.9000000000000004</v>
      </c>
      <c r="X290" s="36">
        <f>RTD("money.excel",,"1593","Price")</f>
        <v>65.5</v>
      </c>
      <c r="Y290" s="66"/>
      <c r="Z290" s="15">
        <f t="shared" si="71"/>
        <v>65.5</v>
      </c>
      <c r="AA290" s="3" t="e">
        <f t="shared" si="72"/>
        <v>#DIV/0!</v>
      </c>
      <c r="AB290" s="344">
        <f>IFERROR(VLOOKUP($G290,基本資料!$A:$M,11,0),"無")</f>
        <v>-40.94</v>
      </c>
      <c r="AC290" s="397">
        <f>IFERROR(VLOOKUP($G290,基本資料!$A:$M,12,0),"無")</f>
        <v>39.47</v>
      </c>
      <c r="AD290" s="16" t="s">
        <v>3668</v>
      </c>
      <c r="AG290" s="33">
        <f t="shared" si="73"/>
        <v>0</v>
      </c>
      <c r="AH290" s="43" t="s">
        <v>1966</v>
      </c>
      <c r="AI290" s="63">
        <f t="shared" si="74"/>
        <v>7.9545454545454548E-4</v>
      </c>
      <c r="AJ290" s="284">
        <f>RTD("money.excel",,$G290,"PredictVolume")</f>
        <v>28</v>
      </c>
      <c r="AK290" s="399">
        <f>IFERROR(VLOOKUP($G290,基本資料!$A:$M,13,0),"無")</f>
        <v>6.74</v>
      </c>
    </row>
    <row r="291" spans="1:37">
      <c r="A291" s="347">
        <f>IFERROR(VLOOKUP($G291,基本資料!$A:$J,3,0),"無")</f>
        <v>13.41</v>
      </c>
      <c r="B291" s="79">
        <f>IFERROR(VLOOKUP($G291,基本資料!$A:$J,4,0),"無")</f>
        <v>-66</v>
      </c>
      <c r="C291" s="79">
        <f>IFERROR(VLOOKUP($G291,基本資料!$A:$J,5,0),"無")</f>
        <v>-57</v>
      </c>
      <c r="D291" s="79">
        <f>IFERROR(VLOOKUP($G291,基本資料!$A:$J,6,0),"無")</f>
        <v>15</v>
      </c>
      <c r="E291" s="79">
        <f>IFERROR(VLOOKUP($G291,基本資料!$A:$J,7,0),"無")</f>
        <v>-35</v>
      </c>
      <c r="F291" s="6">
        <f>IFERROR(VLOOKUP($G291,基本資料!$A:$J,8,0),"無")</f>
        <v>6.69</v>
      </c>
      <c r="G291" s="79">
        <v>1598</v>
      </c>
      <c r="H291" s="8" t="s">
        <v>309</v>
      </c>
      <c r="I291" s="22" t="s">
        <v>3669</v>
      </c>
      <c r="J291" s="8" t="str">
        <f>IFERROR(VLOOKUP($G291,今日總結!$A:$AJ,35,0),"")</f>
        <v/>
      </c>
      <c r="K291" s="5" t="str">
        <f>IFERROR(VLOOKUP($G291,今日總結!$A:$AJ,36,0),"")</f>
        <v/>
      </c>
      <c r="L291" s="156" t="str">
        <f>IFERROR(VLOOKUP($G291,今日總結!$A:$AJ,33,0),"")</f>
        <v/>
      </c>
      <c r="M291" s="340" t="str">
        <f>IFERROR(VLOOKUP($G291,今日總結!$A:$AJ,34,0),"")</f>
        <v/>
      </c>
      <c r="N291" s="240" t="str">
        <f t="shared" si="69"/>
        <v/>
      </c>
      <c r="P291" s="365">
        <f>IFERROR(VLOOKUP($G291,融外自投!$A:$J,7,0),"無")</f>
        <v>439</v>
      </c>
      <c r="Q291" s="79">
        <f>IFERROR(VLOOKUP($G291,融外自投!$A:$J,9,0),"無")</f>
        <v>459</v>
      </c>
      <c r="R291" s="346">
        <f>IFERROR(VLOOKUP($G291,融外自投!$A:$J,8,0),"無")</f>
        <v>824</v>
      </c>
      <c r="S291" s="81">
        <f>IFERROR(VLOOKUP($G291,融外自投!$A:$J,10,0),"無")</f>
        <v>491</v>
      </c>
      <c r="T291" s="327">
        <f>IFERROR(VLOOKUP($G291,'321買'!$A:$E,5,0),"'沒有資料'")</f>
        <v>1099</v>
      </c>
      <c r="U291" s="186">
        <f>IFERROR(VLOOKUP($G291,基本資料!$A:$J,9,0),"無")</f>
        <v>2.5</v>
      </c>
      <c r="V291" s="310">
        <f t="shared" si="70"/>
        <v>6.2189054726368154E-2</v>
      </c>
      <c r="W291" s="94">
        <f>IFERROR(VLOOKUP($G291,基本資料!$A:$J,10,0),"無")</f>
        <v>3.48</v>
      </c>
      <c r="X291" s="36">
        <f>RTD("money.excel",,"1598","Price")</f>
        <v>40.200000000000003</v>
      </c>
      <c r="Y291" s="66"/>
      <c r="Z291" s="15">
        <f t="shared" si="71"/>
        <v>40.200000000000003</v>
      </c>
      <c r="AA291" s="3" t="e">
        <f t="shared" si="72"/>
        <v>#DIV/0!</v>
      </c>
      <c r="AB291" s="344">
        <f>IFERROR(VLOOKUP($G291,基本資料!$A:$M,11,0),"無")</f>
        <v>-63.56</v>
      </c>
      <c r="AC291" s="397">
        <f>IFERROR(VLOOKUP($G291,基本資料!$A:$M,12,0),"無")</f>
        <v>14.56</v>
      </c>
      <c r="AD291" s="22" t="s">
        <v>3669</v>
      </c>
      <c r="AG291" s="33">
        <f t="shared" si="73"/>
        <v>0</v>
      </c>
      <c r="AH291" s="43" t="s">
        <v>3670</v>
      </c>
      <c r="AI291" s="63">
        <f t="shared" si="74"/>
        <v>1.7598806860551826E-3</v>
      </c>
      <c r="AJ291" s="284">
        <f>RTD("money.excel",,$G291,"PredictVolume")</f>
        <v>236</v>
      </c>
      <c r="AK291" s="399">
        <f>IFERROR(VLOOKUP($G291,基本資料!$A:$M,13,0),"無")</f>
        <v>3.85</v>
      </c>
    </row>
    <row r="292" spans="1:37">
      <c r="A292" s="347">
        <f>IFERROR(VLOOKUP($G292,基本資料!$A:$J,3,0),"無")</f>
        <v>29.8</v>
      </c>
      <c r="B292" s="79">
        <f>IFERROR(VLOOKUP($G292,基本資料!$A:$J,4,0),"無")</f>
        <v>-7</v>
      </c>
      <c r="C292" s="79">
        <f>IFERROR(VLOOKUP($G292,基本資料!$A:$J,5,0),"無")</f>
        <v>0</v>
      </c>
      <c r="D292" s="79">
        <f>IFERROR(VLOOKUP($G292,基本資料!$A:$J,6,0),"無")</f>
        <v>27</v>
      </c>
      <c r="E292" s="79">
        <f>IFERROR(VLOOKUP($G292,基本資料!$A:$J,7,0),"無")</f>
        <v>9</v>
      </c>
      <c r="F292" s="6">
        <f>IFERROR(VLOOKUP($G292,基本資料!$A:$J,8,0),"無")</f>
        <v>5.33</v>
      </c>
      <c r="G292" s="79">
        <v>1701</v>
      </c>
      <c r="H292" s="8" t="s">
        <v>309</v>
      </c>
      <c r="I292" s="22" t="s">
        <v>3671</v>
      </c>
      <c r="J292" s="8" t="str">
        <f>IFERROR(VLOOKUP($G292,今日總結!$A:$AJ,35,0),"")</f>
        <v/>
      </c>
      <c r="K292" s="5" t="str">
        <f>IFERROR(VLOOKUP($G292,今日總結!$A:$AJ,36,0),"")</f>
        <v/>
      </c>
      <c r="L292" s="156" t="str">
        <f>IFERROR(VLOOKUP($G292,今日總結!$A:$AJ,33,0),"")</f>
        <v/>
      </c>
      <c r="M292" s="340" t="str">
        <f>IFERROR(VLOOKUP($G292,今日總結!$A:$AJ,34,0),"")</f>
        <v/>
      </c>
      <c r="N292" s="240" t="str">
        <f t="shared" si="69"/>
        <v/>
      </c>
      <c r="P292" s="365">
        <f>IFERROR(VLOOKUP($G292,融外自投!$A:$J,7,0),"無")</f>
        <v>760</v>
      </c>
      <c r="Q292" s="79">
        <f>IFERROR(VLOOKUP($G292,融外自投!$A:$J,9,0),"無")</f>
        <v>936</v>
      </c>
      <c r="R292" s="346">
        <f>IFERROR(VLOOKUP($G292,融外自投!$A:$J,8,0),"無")</f>
        <v>448</v>
      </c>
      <c r="S292" s="81" t="str">
        <f>IFERROR(VLOOKUP($G292,融外自投!$A:$J,10,0),"無")</f>
        <v>無</v>
      </c>
      <c r="T292" s="327">
        <f>IFERROR(VLOOKUP($G292,'321買'!$A:$E,5,0),"'沒有資料'")</f>
        <v>939</v>
      </c>
      <c r="U292" s="186">
        <f>IFERROR(VLOOKUP($G292,基本資料!$A:$J,9,0),"無")</f>
        <v>0.9</v>
      </c>
      <c r="V292" s="310">
        <f t="shared" si="70"/>
        <v>3.9045553145336226E-2</v>
      </c>
      <c r="W292" s="94">
        <f>IFERROR(VLOOKUP($G292,基本資料!$A:$J,10,0),"無")</f>
        <v>1.74</v>
      </c>
      <c r="X292" s="36">
        <f>RTD("money.excel",,"1701","Price")</f>
        <v>23.05</v>
      </c>
      <c r="Y292" s="66"/>
      <c r="Z292" s="15">
        <f t="shared" si="71"/>
        <v>23.05</v>
      </c>
      <c r="AA292" s="3" t="e">
        <f t="shared" si="72"/>
        <v>#DIV/0!</v>
      </c>
      <c r="AB292" s="344">
        <f>IFERROR(VLOOKUP($G292,基本資料!$A:$M,11,0),"無")</f>
        <v>-21.78</v>
      </c>
      <c r="AC292" s="397">
        <f>IFERROR(VLOOKUP($G292,基本資料!$A:$M,12,0),"無")</f>
        <v>37.17</v>
      </c>
      <c r="AD292" s="22" t="s">
        <v>3671</v>
      </c>
      <c r="AG292" s="33">
        <f t="shared" si="73"/>
        <v>0</v>
      </c>
      <c r="AH292" s="43" t="s">
        <v>3672</v>
      </c>
      <c r="AI292" s="63">
        <f t="shared" si="74"/>
        <v>1.4966442953020135E-2</v>
      </c>
      <c r="AJ292" s="284">
        <f>RTD("money.excel",,$G292,"PredictVolume")</f>
        <v>4460</v>
      </c>
      <c r="AK292" s="399">
        <f>IFERROR(VLOOKUP($G292,基本資料!$A:$M,13,0),"無")</f>
        <v>23.48</v>
      </c>
    </row>
    <row r="293" spans="1:37">
      <c r="A293" s="347">
        <f>IFERROR(VLOOKUP($G293,基本資料!$A:$J,3,0),"無")</f>
        <v>14.81</v>
      </c>
      <c r="B293" s="79">
        <f>IFERROR(VLOOKUP($G293,基本資料!$A:$J,4,0),"無")</f>
        <v>2</v>
      </c>
      <c r="C293" s="79">
        <f>IFERROR(VLOOKUP($G293,基本資料!$A:$J,5,0),"無")</f>
        <v>0</v>
      </c>
      <c r="D293" s="79">
        <f>IFERROR(VLOOKUP($G293,基本資料!$A:$J,6,0),"無")</f>
        <v>-4</v>
      </c>
      <c r="E293" s="79">
        <f>IFERROR(VLOOKUP($G293,基本資料!$A:$J,7,0),"無")</f>
        <v>8</v>
      </c>
      <c r="F293" s="6">
        <f>IFERROR(VLOOKUP($G293,基本資料!$A:$J,8,0),"無")</f>
        <v>23.59</v>
      </c>
      <c r="G293" s="79">
        <v>1707</v>
      </c>
      <c r="H293" s="192" t="s">
        <v>309</v>
      </c>
      <c r="I293" s="22" t="s">
        <v>3673</v>
      </c>
      <c r="J293" s="8" t="str">
        <f>IFERROR(VLOOKUP($G293,今日總結!$A:$AJ,35,0),"")</f>
        <v/>
      </c>
      <c r="K293" s="5" t="str">
        <f>IFERROR(VLOOKUP($G293,今日總結!$A:$AJ,36,0),"")</f>
        <v/>
      </c>
      <c r="L293" s="156" t="str">
        <f>IFERROR(VLOOKUP($G293,今日總結!$A:$AJ,33,0),"")</f>
        <v/>
      </c>
      <c r="M293" s="340" t="str">
        <f>IFERROR(VLOOKUP($G293,今日總結!$A:$AJ,34,0),"")</f>
        <v/>
      </c>
      <c r="N293" s="240" t="str">
        <f t="shared" si="69"/>
        <v/>
      </c>
      <c r="P293" s="365">
        <f>IFERROR(VLOOKUP($G293,融外自投!$A:$J,7,0),"無")</f>
        <v>1118</v>
      </c>
      <c r="Q293" s="79">
        <f>IFERROR(VLOOKUP($G293,融外自投!$A:$J,9,0),"無")</f>
        <v>852</v>
      </c>
      <c r="R293" s="346">
        <f>IFERROR(VLOOKUP($G293,融外自投!$A:$J,8,0),"無")</f>
        <v>467</v>
      </c>
      <c r="S293" s="81">
        <f>IFERROR(VLOOKUP($G293,融外自投!$A:$J,10,0),"無")</f>
        <v>491</v>
      </c>
      <c r="T293" s="327">
        <f>IFERROR(VLOOKUP($G293,'321買'!$A:$E,5,0),"'沒有資料'")</f>
        <v>939</v>
      </c>
      <c r="U293" s="186">
        <f>IFERROR(VLOOKUP($G293,基本資料!$A:$J,9,0),"無")</f>
        <v>6.1</v>
      </c>
      <c r="V293" s="310">
        <f t="shared" si="70"/>
        <v>4.3109540636042401E-2</v>
      </c>
      <c r="W293" s="94">
        <f>IFERROR(VLOOKUP($G293,基本資料!$A:$J,10,0),"無")</f>
        <v>8.81</v>
      </c>
      <c r="X293" s="36">
        <f>RTD("money.excel",,"1707","Price")</f>
        <v>141.5</v>
      </c>
      <c r="Y293" s="66"/>
      <c r="Z293" s="15">
        <f t="shared" si="71"/>
        <v>141.5</v>
      </c>
      <c r="AA293" s="3" t="e">
        <f t="shared" si="72"/>
        <v>#DIV/0!</v>
      </c>
      <c r="AB293" s="344">
        <f>IFERROR(VLOOKUP($G293,基本資料!$A:$M,11,0),"無")</f>
        <v>-19.03</v>
      </c>
      <c r="AC293" s="397">
        <f>IFERROR(VLOOKUP($G293,基本資料!$A:$M,12,0),"無")</f>
        <v>37.68</v>
      </c>
      <c r="AD293" s="22" t="s">
        <v>3673</v>
      </c>
      <c r="AG293" s="33">
        <f t="shared" si="73"/>
        <v>0</v>
      </c>
      <c r="AH293" s="117" t="s">
        <v>3674</v>
      </c>
      <c r="AI293" s="63">
        <f t="shared" si="74"/>
        <v>8.3051991897366642E-4</v>
      </c>
      <c r="AJ293" s="284">
        <f>RTD("money.excel",,$G293,"PredictVolume")</f>
        <v>123</v>
      </c>
      <c r="AK293" s="399">
        <f>IFERROR(VLOOKUP($G293,基本資料!$A:$M,13,0),"無")</f>
        <v>0.92</v>
      </c>
    </row>
    <row r="294" spans="1:37">
      <c r="A294" s="347">
        <f>IFERROR(VLOOKUP($G294,基本資料!$A:$J,3,0),"無")</f>
        <v>17.86</v>
      </c>
      <c r="B294" s="79">
        <f>IFERROR(VLOOKUP($G294,基本資料!$A:$J,4,0),"無")</f>
        <v>33</v>
      </c>
      <c r="C294" s="79">
        <f>IFERROR(VLOOKUP($G294,基本資料!$A:$J,5,0),"無")</f>
        <v>24</v>
      </c>
      <c r="D294" s="79">
        <f>IFERROR(VLOOKUP($G294,基本資料!$A:$J,6,0),"無")</f>
        <v>0</v>
      </c>
      <c r="E294" s="79">
        <f>IFERROR(VLOOKUP($G294,基本資料!$A:$J,7,0),"無")</f>
        <v>10</v>
      </c>
      <c r="F294" s="6">
        <f>IFERROR(VLOOKUP($G294,基本資料!$A:$J,8,0),"無")</f>
        <v>19.04</v>
      </c>
      <c r="G294" s="79">
        <v>1720</v>
      </c>
      <c r="H294" s="192" t="s">
        <v>309</v>
      </c>
      <c r="I294" s="22" t="s">
        <v>3675</v>
      </c>
      <c r="J294" s="8" t="str">
        <f>IFERROR(VLOOKUP($G294,今日總結!$A:$AJ,35,0),"")</f>
        <v/>
      </c>
      <c r="K294" s="5" t="str">
        <f>IFERROR(VLOOKUP($G294,今日總結!$A:$AJ,36,0),"")</f>
        <v/>
      </c>
      <c r="L294" s="156" t="str">
        <f>IFERROR(VLOOKUP($G294,今日總結!$A:$AJ,33,0),"")</f>
        <v/>
      </c>
      <c r="M294" s="340" t="str">
        <f>IFERROR(VLOOKUP($G294,今日總結!$A:$AJ,34,0),"")</f>
        <v/>
      </c>
      <c r="N294" s="240" t="str">
        <f t="shared" si="69"/>
        <v/>
      </c>
      <c r="P294" s="365">
        <f>IFERROR(VLOOKUP($G294,融外自投!$A:$J,7,0),"無")</f>
        <v>1057</v>
      </c>
      <c r="Q294" s="79">
        <f>IFERROR(VLOOKUP($G294,融外自投!$A:$J,9,0),"無")</f>
        <v>1051</v>
      </c>
      <c r="R294" s="346">
        <f>IFERROR(VLOOKUP($G294,融外自投!$A:$J,8,0),"無")</f>
        <v>772</v>
      </c>
      <c r="S294" s="81">
        <f>IFERROR(VLOOKUP($G294,融外自投!$A:$J,10,0),"無")</f>
        <v>491</v>
      </c>
      <c r="T294" s="327">
        <f>IFERROR(VLOOKUP($G294,'321買'!$A:$E,5,0),"'沒有資料'")</f>
        <v>683</v>
      </c>
      <c r="U294" s="186">
        <f>IFERROR(VLOOKUP($G294,基本資料!$A:$J,9,0),"無")</f>
        <v>2.5</v>
      </c>
      <c r="V294" s="310">
        <f t="shared" si="70"/>
        <v>5.8685446009389672E-2</v>
      </c>
      <c r="W294" s="94">
        <f>IFERROR(VLOOKUP($G294,基本資料!$A:$J,10,0),"無")</f>
        <v>3.95</v>
      </c>
      <c r="X294" s="36">
        <f>RTD("money.excel",,"1720","Price")</f>
        <v>42.6</v>
      </c>
      <c r="Y294" s="66"/>
      <c r="Z294" s="15">
        <f t="shared" si="71"/>
        <v>42.6</v>
      </c>
      <c r="AA294" s="3" t="e">
        <f t="shared" si="72"/>
        <v>#DIV/0!</v>
      </c>
      <c r="AB294" s="344">
        <f>IFERROR(VLOOKUP($G294,基本資料!$A:$M,11,0),"無")</f>
        <v>-10.73</v>
      </c>
      <c r="AC294" s="397">
        <f>IFERROR(VLOOKUP($G294,基本資料!$A:$M,12,0),"無")</f>
        <v>41.71</v>
      </c>
      <c r="AD294" s="22" t="s">
        <v>3675</v>
      </c>
      <c r="AG294" s="33">
        <f t="shared" si="73"/>
        <v>0</v>
      </c>
      <c r="AH294" s="117" t="s">
        <v>3676</v>
      </c>
      <c r="AI294" s="63">
        <f t="shared" si="74"/>
        <v>3.2642777155655095E-3</v>
      </c>
      <c r="AJ294" s="284">
        <f>RTD("money.excel",,$G294,"PredictVolume")</f>
        <v>583</v>
      </c>
      <c r="AK294" s="399">
        <f>IFERROR(VLOOKUP($G294,基本資料!$A:$M,13,0),"無")</f>
        <v>4.43</v>
      </c>
    </row>
    <row r="295" spans="1:37">
      <c r="A295" s="347">
        <f>IFERROR(VLOOKUP($G295,基本資料!$A:$J,3,0),"無")</f>
        <v>13.29</v>
      </c>
      <c r="B295" s="79">
        <f>IFERROR(VLOOKUP($G295,基本資料!$A:$J,4,0),"無")</f>
        <v>-3</v>
      </c>
      <c r="C295" s="79">
        <f>IFERROR(VLOOKUP($G295,基本資料!$A:$J,5,0),"無")</f>
        <v>17</v>
      </c>
      <c r="D295" s="79">
        <f>IFERROR(VLOOKUP($G295,基本資料!$A:$J,6,0),"無")</f>
        <v>-5</v>
      </c>
      <c r="E295" s="79">
        <f>IFERROR(VLOOKUP($G295,基本資料!$A:$J,7,0),"無")</f>
        <v>-20</v>
      </c>
      <c r="F295" s="6">
        <f>IFERROR(VLOOKUP($G295,基本資料!$A:$J,8,0),"無")</f>
        <v>15.49</v>
      </c>
      <c r="G295" s="79">
        <v>1731</v>
      </c>
      <c r="H295" s="192" t="s">
        <v>309</v>
      </c>
      <c r="I295" s="22" t="s">
        <v>3677</v>
      </c>
      <c r="J295" s="8">
        <f>IFERROR(VLOOKUP($G295,今日總結!$A:$AJ,35,0),"")</f>
        <v>0</v>
      </c>
      <c r="K295" s="5" t="str">
        <f>IFERROR(VLOOKUP($G295,今日總結!$A:$AJ,36,0),"")</f>
        <v>融</v>
      </c>
      <c r="L295" s="156">
        <f>IFERROR(VLOOKUP($G295,今日總結!$A:$AJ,33,0),"")</f>
        <v>0</v>
      </c>
      <c r="M295" s="340">
        <f>IFERROR(VLOOKUP($G295,今日總結!$A:$AJ,34,0),"")</f>
        <v>1</v>
      </c>
      <c r="N295" s="240">
        <f t="shared" si="69"/>
        <v>-1</v>
      </c>
      <c r="P295" s="365">
        <f>IFERROR(VLOOKUP($G295,融外自投!$A:$J,7,0),"無")</f>
        <v>882</v>
      </c>
      <c r="Q295" s="79">
        <f>IFERROR(VLOOKUP($G295,融外自投!$A:$J,9,0),"無")</f>
        <v>762</v>
      </c>
      <c r="R295" s="346">
        <f>IFERROR(VLOOKUP($G295,融外自投!$A:$J,8,0),"無")</f>
        <v>1188</v>
      </c>
      <c r="S295" s="81" t="str">
        <f>IFERROR(VLOOKUP($G295,融外自投!$A:$J,10,0),"無")</f>
        <v>無</v>
      </c>
      <c r="T295" s="327">
        <f>IFERROR(VLOOKUP($G295,'321買'!$A:$E,5,0),"'沒有資料'")</f>
        <v>729</v>
      </c>
      <c r="U295" s="186">
        <f>IFERROR(VLOOKUP($G295,基本資料!$A:$J,9,0),"無")</f>
        <v>1.17</v>
      </c>
      <c r="V295" s="310">
        <f t="shared" si="70"/>
        <v>6.1256544502617791E-2</v>
      </c>
      <c r="W295" s="94">
        <f>IFERROR(VLOOKUP($G295,基本資料!$A:$J,10,0),"無")</f>
        <v>1.24</v>
      </c>
      <c r="X295" s="36">
        <f>RTD("money.excel",,"1731","Price")</f>
        <v>19.100000000000001</v>
      </c>
      <c r="Y295" s="66"/>
      <c r="Z295" s="15">
        <f t="shared" si="71"/>
        <v>19.100000000000001</v>
      </c>
      <c r="AA295" s="3" t="e">
        <f t="shared" si="72"/>
        <v>#DIV/0!</v>
      </c>
      <c r="AB295" s="344">
        <f>IFERROR(VLOOKUP($G295,基本資料!$A:$M,11,0),"無")</f>
        <v>-20.45</v>
      </c>
      <c r="AC295" s="397">
        <f>IFERROR(VLOOKUP($G295,基本資料!$A:$M,12,0),"無")</f>
        <v>31.83</v>
      </c>
      <c r="AD295" s="22" t="s">
        <v>3677</v>
      </c>
      <c r="AG295" s="33">
        <f t="shared" si="73"/>
        <v>0</v>
      </c>
      <c r="AH295" s="43" t="s">
        <v>3678</v>
      </c>
      <c r="AI295" s="63">
        <f t="shared" si="74"/>
        <v>2.6260346124905944E-3</v>
      </c>
      <c r="AJ295" s="284">
        <f>RTD("money.excel",,$G295,"PredictVolume")</f>
        <v>349</v>
      </c>
      <c r="AK295" s="399">
        <f>IFERROR(VLOOKUP($G295,基本資料!$A:$M,13,0),"無")</f>
        <v>14.45</v>
      </c>
    </row>
    <row r="296" spans="1:37">
      <c r="A296" s="347">
        <f>IFERROR(VLOOKUP($G296,基本資料!$A:$J,3,0),"無")</f>
        <v>9.99</v>
      </c>
      <c r="B296" s="79">
        <f>IFERROR(VLOOKUP($G296,基本資料!$A:$J,4,0),"無")</f>
        <v>113</v>
      </c>
      <c r="C296" s="79">
        <f>IFERROR(VLOOKUP($G296,基本資料!$A:$J,5,0),"無")</f>
        <v>98</v>
      </c>
      <c r="D296" s="79">
        <f>IFERROR(VLOOKUP($G296,基本資料!$A:$J,6,0),"無")</f>
        <v>18</v>
      </c>
      <c r="E296" s="79">
        <f>IFERROR(VLOOKUP($G296,基本資料!$A:$J,7,0),"無")</f>
        <v>32</v>
      </c>
      <c r="F296" s="6">
        <f>IFERROR(VLOOKUP($G296,基本資料!$A:$J,8,0),"無")</f>
        <v>9.61</v>
      </c>
      <c r="G296" s="79">
        <v>1733</v>
      </c>
      <c r="H296" s="192" t="s">
        <v>309</v>
      </c>
      <c r="I296" s="22" t="s">
        <v>3679</v>
      </c>
      <c r="J296" s="8">
        <f>IFERROR(VLOOKUP($G296,今日總結!$A:$AJ,35,0),"")</f>
        <v>0</v>
      </c>
      <c r="K296" s="5" t="str">
        <f>IFERROR(VLOOKUP($G296,今日總結!$A:$AJ,36,0),"")</f>
        <v>492外</v>
      </c>
      <c r="L296" s="156">
        <f>IFERROR(VLOOKUP($G296,今日總結!$A:$AJ,33,0),"")</f>
        <v>0</v>
      </c>
      <c r="M296" s="340">
        <f>IFERROR(VLOOKUP($G296,今日總結!$A:$AJ,34,0),"")</f>
        <v>4</v>
      </c>
      <c r="N296" s="240">
        <f t="shared" si="69"/>
        <v>-4</v>
      </c>
      <c r="P296" s="365">
        <f>IFERROR(VLOOKUP($G296,融外自投!$A:$J,7,0),"無")</f>
        <v>664</v>
      </c>
      <c r="Q296" s="79">
        <f>IFERROR(VLOOKUP($G296,融外自投!$A:$J,9,0),"無")</f>
        <v>73</v>
      </c>
      <c r="R296" s="346">
        <f>IFERROR(VLOOKUP($G296,融外自投!$A:$J,8,0),"無")</f>
        <v>642</v>
      </c>
      <c r="S296" s="81" t="str">
        <f>IFERROR(VLOOKUP($G296,融外自投!$A:$J,10,0),"無")</f>
        <v>無</v>
      </c>
      <c r="T296" s="327">
        <f>IFERROR(VLOOKUP($G296,'321買'!$A:$E,5,0),"'沒有資料'")</f>
        <v>445</v>
      </c>
      <c r="U296" s="186">
        <f>IFERROR(VLOOKUP($G296,基本資料!$A:$J,9,0),"無")</f>
        <v>1.3</v>
      </c>
      <c r="V296" s="310">
        <f t="shared" si="70"/>
        <v>4.8964218455743877E-2</v>
      </c>
      <c r="W296" s="94">
        <f>IFERROR(VLOOKUP($G296,基本資料!$A:$J,10,0),"無")</f>
        <v>2.0299999999999998</v>
      </c>
      <c r="X296" s="36">
        <f>RTD("money.excel",,"1733","Price")</f>
        <v>26.55</v>
      </c>
      <c r="Y296" s="66"/>
      <c r="Z296" s="15">
        <f t="shared" si="71"/>
        <v>26.55</v>
      </c>
      <c r="AA296" s="3" t="e">
        <f t="shared" si="72"/>
        <v>#DIV/0!</v>
      </c>
      <c r="AB296" s="344">
        <f>IFERROR(VLOOKUP($G296,基本資料!$A:$M,11,0),"無")</f>
        <v>-5.28</v>
      </c>
      <c r="AC296" s="397">
        <f>IFERROR(VLOOKUP($G296,基本資料!$A:$M,12,0),"無")</f>
        <v>54.06</v>
      </c>
      <c r="AD296" s="22" t="s">
        <v>3679</v>
      </c>
      <c r="AG296" s="33">
        <f t="shared" si="73"/>
        <v>0</v>
      </c>
      <c r="AH296" s="43" t="s">
        <v>3680</v>
      </c>
      <c r="AI296" s="63">
        <f t="shared" si="74"/>
        <v>1.6626626626626628E-2</v>
      </c>
      <c r="AJ296" s="284">
        <f>RTD("money.excel",,$G296,"PredictVolume")</f>
        <v>1661</v>
      </c>
      <c r="AK296" s="399">
        <f>IFERROR(VLOOKUP($G296,基本資料!$A:$M,13,0),"無")</f>
        <v>5.76</v>
      </c>
    </row>
    <row r="297" spans="1:37">
      <c r="A297" s="347">
        <f>IFERROR(VLOOKUP($G297,基本資料!$A:$J,3,0),"無")</f>
        <v>16.77</v>
      </c>
      <c r="B297" s="79">
        <f>IFERROR(VLOOKUP($G297,基本資料!$A:$J,4,0),"無")</f>
        <v>-18</v>
      </c>
      <c r="C297" s="79">
        <f>IFERROR(VLOOKUP($G297,基本資料!$A:$J,5,0),"無")</f>
        <v>-49</v>
      </c>
      <c r="D297" s="79">
        <f>IFERROR(VLOOKUP($G297,基本資料!$A:$J,6,0),"無")</f>
        <v>-17</v>
      </c>
      <c r="E297" s="79">
        <f>IFERROR(VLOOKUP($G297,基本資料!$A:$J,7,0),"無")</f>
        <v>7</v>
      </c>
      <c r="F297" s="6">
        <f>IFERROR(VLOOKUP($G297,基本資料!$A:$J,8,0),"無")</f>
        <v>-7.51</v>
      </c>
      <c r="G297" s="79">
        <v>1734</v>
      </c>
      <c r="H297" s="192" t="s">
        <v>309</v>
      </c>
      <c r="I297" s="22" t="s">
        <v>3681</v>
      </c>
      <c r="J297" s="8">
        <f>IFERROR(VLOOKUP($G297,今日總結!$A:$AJ,35,0),"")</f>
        <v>0</v>
      </c>
      <c r="K297" s="5" t="str">
        <f>IFERROR(VLOOKUP($G297,今日總結!$A:$AJ,36,0),"")</f>
        <v>融</v>
      </c>
      <c r="L297" s="156">
        <f>IFERROR(VLOOKUP($G297,今日總結!$A:$AJ,33,0),"")</f>
        <v>0</v>
      </c>
      <c r="M297" s="340">
        <f>IFERROR(VLOOKUP($G297,今日總結!$A:$AJ,34,0),"")</f>
        <v>1</v>
      </c>
      <c r="N297" s="240">
        <f t="shared" si="69"/>
        <v>-1</v>
      </c>
      <c r="P297" s="365">
        <f>IFERROR(VLOOKUP($G297,融外自投!$A:$J,7,0),"無")</f>
        <v>369</v>
      </c>
      <c r="Q297" s="79">
        <f>IFERROR(VLOOKUP($G297,融外自投!$A:$J,9,0),"無")</f>
        <v>474</v>
      </c>
      <c r="R297" s="346">
        <f>IFERROR(VLOOKUP($G297,融外自投!$A:$J,8,0),"無")</f>
        <v>978</v>
      </c>
      <c r="S297" s="81" t="str">
        <f>IFERROR(VLOOKUP($G297,融外自投!$A:$J,10,0),"無")</f>
        <v>無</v>
      </c>
      <c r="T297" s="327">
        <f>IFERROR(VLOOKUP($G297,'321買'!$A:$E,5,0),"'沒有資料'")</f>
        <v>503</v>
      </c>
      <c r="U297" s="186">
        <f>IFERROR(VLOOKUP($G297,基本資料!$A:$J,9,0),"無")</f>
        <v>0.2</v>
      </c>
      <c r="V297" s="310">
        <f t="shared" si="70"/>
        <v>7.2072072072072073E-3</v>
      </c>
      <c r="W297" s="94">
        <f>IFERROR(VLOOKUP($G297,基本資料!$A:$J,10,0),"無")</f>
        <v>-0.23</v>
      </c>
      <c r="X297" s="36">
        <f>RTD("money.excel",,"1734","Price")</f>
        <v>27.75</v>
      </c>
      <c r="Y297" s="66"/>
      <c r="Z297" s="15">
        <f t="shared" si="71"/>
        <v>27.75</v>
      </c>
      <c r="AA297" s="3" t="e">
        <f t="shared" si="72"/>
        <v>#DIV/0!</v>
      </c>
      <c r="AB297" s="344">
        <f>IFERROR(VLOOKUP($G297,基本資料!$A:$M,11,0),"無")</f>
        <v>-39.36</v>
      </c>
      <c r="AC297" s="397">
        <f>IFERROR(VLOOKUP($G297,基本資料!$A:$M,12,0),"無")</f>
        <v>26.2</v>
      </c>
      <c r="AD297" s="22" t="s">
        <v>3681</v>
      </c>
      <c r="AG297" s="33">
        <f t="shared" si="73"/>
        <v>0</v>
      </c>
      <c r="AH297" s="43" t="s">
        <v>3676</v>
      </c>
      <c r="AI297" s="63">
        <f t="shared" si="74"/>
        <v>8.741800834824091E-3</v>
      </c>
      <c r="AJ297" s="284">
        <f>RTD("money.excel",,$G297,"PredictVolume")</f>
        <v>1466</v>
      </c>
      <c r="AK297" s="399">
        <f>IFERROR(VLOOKUP($G297,基本資料!$A:$M,13,0),"無")</f>
        <v>38.76</v>
      </c>
    </row>
    <row r="298" spans="1:37">
      <c r="A298" s="347">
        <f>IFERROR(VLOOKUP($G298,基本資料!$A:$J,3,0),"無")</f>
        <v>30.36</v>
      </c>
      <c r="B298" s="79">
        <f>IFERROR(VLOOKUP($G298,基本資料!$A:$J,4,0),"無")</f>
        <v>-86</v>
      </c>
      <c r="C298" s="79">
        <f>IFERROR(VLOOKUP($G298,基本資料!$A:$J,5,0),"無")</f>
        <v>-83</v>
      </c>
      <c r="D298" s="79">
        <f>IFERROR(VLOOKUP($G298,基本資料!$A:$J,6,0),"無")</f>
        <v>8</v>
      </c>
      <c r="E298" s="79">
        <f>IFERROR(VLOOKUP($G298,基本資料!$A:$J,7,0),"無")</f>
        <v>0</v>
      </c>
      <c r="F298" s="6">
        <f>IFERROR(VLOOKUP($G298,基本資料!$A:$J,8,0),"無")</f>
        <v>0.5</v>
      </c>
      <c r="G298" s="79">
        <v>1736</v>
      </c>
      <c r="H298" s="192" t="s">
        <v>309</v>
      </c>
      <c r="I298" s="22" t="s">
        <v>3682</v>
      </c>
      <c r="J298" s="8" t="str">
        <f>IFERROR(VLOOKUP($G298,今日總結!$A:$AJ,35,0),"")</f>
        <v/>
      </c>
      <c r="K298" s="5" t="str">
        <f>IFERROR(VLOOKUP($G298,今日總結!$A:$AJ,36,0),"")</f>
        <v/>
      </c>
      <c r="L298" s="156" t="str">
        <f>IFERROR(VLOOKUP($G298,今日總結!$A:$AJ,33,0),"")</f>
        <v/>
      </c>
      <c r="M298" s="340" t="str">
        <f>IFERROR(VLOOKUP($G298,今日總結!$A:$AJ,34,0),"")</f>
        <v/>
      </c>
      <c r="N298" s="240" t="str">
        <f t="shared" si="69"/>
        <v/>
      </c>
      <c r="P298" s="365">
        <f>IFERROR(VLOOKUP($G298,融外自投!$A:$J,7,0),"無")</f>
        <v>1033</v>
      </c>
      <c r="Q298" s="79">
        <f>IFERROR(VLOOKUP($G298,融外自投!$A:$J,9,0),"無")</f>
        <v>734</v>
      </c>
      <c r="R298" s="346">
        <f>IFERROR(VLOOKUP($G298,融外自投!$A:$J,8,0),"無")</f>
        <v>636</v>
      </c>
      <c r="S298" s="81" t="str">
        <f>IFERROR(VLOOKUP($G298,融外自投!$A:$J,10,0),"無")</f>
        <v>無</v>
      </c>
      <c r="T298" s="327">
        <f>IFERROR(VLOOKUP($G298,'321買'!$A:$E,5,0),"'沒有資料'")</f>
        <v>915</v>
      </c>
      <c r="U298" s="186">
        <f>IFERROR(VLOOKUP($G298,基本資料!$A:$J,9,0),"無")</f>
        <v>0</v>
      </c>
      <c r="V298" s="310">
        <f t="shared" si="70"/>
        <v>0</v>
      </c>
      <c r="W298" s="94">
        <f>IFERROR(VLOOKUP($G298,基本資料!$A:$J,10,0),"無")</f>
        <v>0.13</v>
      </c>
      <c r="X298" s="36">
        <f>RTD("money.excel",,"1736","Price")</f>
        <v>52.5</v>
      </c>
      <c r="Y298" s="66"/>
      <c r="Z298" s="15">
        <f t="shared" si="71"/>
        <v>52.5</v>
      </c>
      <c r="AA298" s="3" t="e">
        <f t="shared" si="72"/>
        <v>#DIV/0!</v>
      </c>
      <c r="AB298" s="344">
        <f>IFERROR(VLOOKUP($G298,基本資料!$A:$M,11,0),"無")</f>
        <v>-38.9</v>
      </c>
      <c r="AC298" s="397">
        <f>IFERROR(VLOOKUP($G298,基本資料!$A:$M,12,0),"無")</f>
        <v>54.84</v>
      </c>
      <c r="AD298" s="22" t="s">
        <v>3682</v>
      </c>
      <c r="AG298" s="33">
        <f t="shared" si="73"/>
        <v>0</v>
      </c>
      <c r="AH298" s="43" t="s">
        <v>1975</v>
      </c>
      <c r="AI298" s="63">
        <f t="shared" si="74"/>
        <v>1.1758893280632411E-3</v>
      </c>
      <c r="AJ298" s="284">
        <f>RTD("money.excel",,$G298,"PredictVolume")</f>
        <v>357</v>
      </c>
      <c r="AK298" s="399">
        <f>IFERROR(VLOOKUP($G298,基本資料!$A:$M,13,0),"無")</f>
        <v>2.06</v>
      </c>
    </row>
    <row r="299" spans="1:37">
      <c r="A299" s="347">
        <f>IFERROR(VLOOKUP($G299,基本資料!$A:$J,3,0),"無")</f>
        <v>10.09</v>
      </c>
      <c r="B299" s="79">
        <f>IFERROR(VLOOKUP($G299,基本資料!$A:$J,4,0),"無")</f>
        <v>6</v>
      </c>
      <c r="C299" s="79">
        <f>IFERROR(VLOOKUP($G299,基本資料!$A:$J,5,0),"無")</f>
        <v>17</v>
      </c>
      <c r="D299" s="79">
        <f>IFERROR(VLOOKUP($G299,基本資料!$A:$J,6,0),"無")</f>
        <v>3</v>
      </c>
      <c r="E299" s="79">
        <f>IFERROR(VLOOKUP($G299,基本資料!$A:$J,7,0),"無")</f>
        <v>4</v>
      </c>
      <c r="F299" s="6">
        <f>IFERROR(VLOOKUP($G299,基本資料!$A:$J,8,0),"無")</f>
        <v>14.66</v>
      </c>
      <c r="G299" s="79">
        <v>1752</v>
      </c>
      <c r="H299" s="145" t="s">
        <v>309</v>
      </c>
      <c r="I299" s="16" t="s">
        <v>3683</v>
      </c>
      <c r="J299" s="8" t="str">
        <f>IFERROR(VLOOKUP($G299,今日總結!$A:$AJ,35,0),"")</f>
        <v/>
      </c>
      <c r="K299" s="5" t="str">
        <f>IFERROR(VLOOKUP($G299,今日總結!$A:$AJ,36,0),"")</f>
        <v/>
      </c>
      <c r="L299" s="156" t="str">
        <f>IFERROR(VLOOKUP($G299,今日總結!$A:$AJ,33,0),"")</f>
        <v/>
      </c>
      <c r="M299" s="340" t="str">
        <f>IFERROR(VLOOKUP($G299,今日總結!$A:$AJ,34,0),"")</f>
        <v/>
      </c>
      <c r="N299" s="240" t="str">
        <f t="shared" si="69"/>
        <v/>
      </c>
      <c r="P299" s="365">
        <f>IFERROR(VLOOKUP($G299,融外自投!$A:$J,7,0),"無")</f>
        <v>1080</v>
      </c>
      <c r="Q299" s="79" t="str">
        <f>IFERROR(VLOOKUP($G299,融外自投!$A:$J,9,0),"無")</f>
        <v>無</v>
      </c>
      <c r="R299" s="346">
        <f>IFERROR(VLOOKUP($G299,融外自投!$A:$J,8,0),"無")</f>
        <v>1160</v>
      </c>
      <c r="S299" s="81" t="str">
        <f>IFERROR(VLOOKUP($G299,融外自投!$A:$J,10,0),"無")</f>
        <v>無</v>
      </c>
      <c r="T299" s="327">
        <f>IFERROR(VLOOKUP($G299,'321買'!$A:$E,5,0),"'沒有資料'")</f>
        <v>1085</v>
      </c>
      <c r="U299" s="186">
        <f>IFERROR(VLOOKUP($G299,基本資料!$A:$J,9,0),"無")</f>
        <v>1.8</v>
      </c>
      <c r="V299" s="310">
        <f t="shared" si="70"/>
        <v>4.9382716049382713E-2</v>
      </c>
      <c r="W299" s="94">
        <f>IFERROR(VLOOKUP($G299,基本資料!$A:$J,10,0),"無")</f>
        <v>1.94</v>
      </c>
      <c r="X299" s="36">
        <f>RTD("money.excel",,"1752","Price")</f>
        <v>36.450000000000003</v>
      </c>
      <c r="Y299" s="66"/>
      <c r="Z299" s="15">
        <f t="shared" si="71"/>
        <v>36.450000000000003</v>
      </c>
      <c r="AA299" s="3" t="e">
        <f t="shared" si="72"/>
        <v>#DIV/0!</v>
      </c>
      <c r="AB299" s="344">
        <f>IFERROR(VLOOKUP($G299,基本資料!$A:$M,11,0),"無")</f>
        <v>-13.33</v>
      </c>
      <c r="AC299" s="397">
        <f>IFERROR(VLOOKUP($G299,基本資料!$A:$M,12,0),"無")</f>
        <v>17.79</v>
      </c>
      <c r="AD299" s="16" t="s">
        <v>3683</v>
      </c>
      <c r="AG299" s="33">
        <f t="shared" si="73"/>
        <v>0</v>
      </c>
      <c r="AH299" s="117" t="s">
        <v>3684</v>
      </c>
      <c r="AI299" s="63">
        <f t="shared" si="74"/>
        <v>6.937561942517344E-4</v>
      </c>
      <c r="AJ299" s="284">
        <f>RTD("money.excel",,$G299,"PredictVolume")</f>
        <v>70</v>
      </c>
      <c r="AK299" s="399">
        <f>IFERROR(VLOOKUP($G299,基本資料!$A:$M,13,0),"無")</f>
        <v>4.88</v>
      </c>
    </row>
    <row r="300" spans="1:37">
      <c r="A300" s="347">
        <f>IFERROR(VLOOKUP($G300,基本資料!$A:$J,3,0),"無")</f>
        <v>8.57</v>
      </c>
      <c r="B300" s="79">
        <f>IFERROR(VLOOKUP($G300,基本資料!$A:$J,4,0),"無")</f>
        <v>274</v>
      </c>
      <c r="C300" s="79">
        <f>IFERROR(VLOOKUP($G300,基本資料!$A:$J,5,0),"無")</f>
        <v>58</v>
      </c>
      <c r="D300" s="79">
        <f>IFERROR(VLOOKUP($G300,基本資料!$A:$J,6,0),"無")</f>
        <v>-27</v>
      </c>
      <c r="E300" s="79">
        <f>IFERROR(VLOOKUP($G300,基本資料!$A:$J,7,0),"無")</f>
        <v>26</v>
      </c>
      <c r="F300" s="6">
        <f>IFERROR(VLOOKUP($G300,基本資料!$A:$J,8,0),"無")</f>
        <v>8.6999999999999993</v>
      </c>
      <c r="G300" s="79">
        <v>1760</v>
      </c>
      <c r="H300" s="192" t="s">
        <v>309</v>
      </c>
      <c r="I300" s="22" t="s">
        <v>628</v>
      </c>
      <c r="J300" s="8">
        <f>IFERROR(VLOOKUP($G300,今日總結!$A:$AJ,35,0),"")</f>
        <v>0</v>
      </c>
      <c r="K300" s="5">
        <f>IFERROR(VLOOKUP($G300,今日總結!$A:$AJ,36,0),"")</f>
        <v>3492</v>
      </c>
      <c r="L300" s="156">
        <f>IFERROR(VLOOKUP($G300,今日總結!$A:$AJ,33,0),"")</f>
        <v>0</v>
      </c>
      <c r="M300" s="340">
        <f>IFERROR(VLOOKUP($G300,今日總結!$A:$AJ,34,0),"")</f>
        <v>4</v>
      </c>
      <c r="N300" s="240">
        <f t="shared" si="69"/>
        <v>-4</v>
      </c>
      <c r="P300" s="365">
        <f>IFERROR(VLOOKUP($G300,融外自投!$A:$J,7,0),"無")</f>
        <v>85</v>
      </c>
      <c r="Q300" s="79">
        <f>IFERROR(VLOOKUP($G300,融外自投!$A:$J,9,0),"無")</f>
        <v>92</v>
      </c>
      <c r="R300" s="346">
        <f>IFERROR(VLOOKUP($G300,融外自投!$A:$J,8,0),"無")</f>
        <v>560</v>
      </c>
      <c r="S300" s="81" t="str">
        <f>IFERROR(VLOOKUP($G300,融外自投!$A:$J,10,0),"無")</f>
        <v>無</v>
      </c>
      <c r="T300" s="327">
        <f>IFERROR(VLOOKUP($G300,'321買'!$A:$E,5,0),"'沒有資料'")</f>
        <v>292</v>
      </c>
      <c r="U300" s="186">
        <f>IFERROR(VLOOKUP($G300,基本資料!$A:$J,9,0),"無")</f>
        <v>1.5</v>
      </c>
      <c r="V300" s="310">
        <f t="shared" si="70"/>
        <v>1.3452914798206279E-2</v>
      </c>
      <c r="W300" s="94">
        <f>IFERROR(VLOOKUP($G300,基本資料!$A:$J,10,0),"無")</f>
        <v>1.32</v>
      </c>
      <c r="X300" s="36">
        <f>RTD("money.excel",,"1760","Price")</f>
        <v>111.5</v>
      </c>
      <c r="Y300" s="66"/>
      <c r="Z300" s="15">
        <f t="shared" si="71"/>
        <v>111.5</v>
      </c>
      <c r="AA300" s="3" t="e">
        <f t="shared" si="72"/>
        <v>#DIV/0!</v>
      </c>
      <c r="AB300" s="344">
        <f>IFERROR(VLOOKUP($G300,基本資料!$A:$M,11,0),"無")</f>
        <v>-25</v>
      </c>
      <c r="AC300" s="397">
        <f>IFERROR(VLOOKUP($G300,基本資料!$A:$M,12,0),"無")</f>
        <v>53.97</v>
      </c>
      <c r="AD300" s="22" t="s">
        <v>628</v>
      </c>
      <c r="AG300" s="33">
        <f t="shared" si="73"/>
        <v>0</v>
      </c>
      <c r="AH300" s="43" t="s">
        <v>2809</v>
      </c>
      <c r="AI300" s="63">
        <f t="shared" si="74"/>
        <v>0.21135355892648774</v>
      </c>
      <c r="AJ300" s="284">
        <f>RTD("money.excel",,$G300,"PredictVolume")</f>
        <v>18113</v>
      </c>
      <c r="AK300" s="399">
        <f>IFERROR(VLOOKUP($G300,基本資料!$A:$M,13,0),"無")</f>
        <v>110.83</v>
      </c>
    </row>
    <row r="301" spans="1:37">
      <c r="A301" s="347">
        <f>IFERROR(VLOOKUP($G301,基本資料!$A:$J,3,0),"無")</f>
        <v>7.75</v>
      </c>
      <c r="B301" s="79">
        <f>IFERROR(VLOOKUP($G301,基本資料!$A:$J,4,0),"無")</f>
        <v>-24</v>
      </c>
      <c r="C301" s="79">
        <f>IFERROR(VLOOKUP($G301,基本資料!$A:$J,5,0),"無")</f>
        <v>63</v>
      </c>
      <c r="D301" s="79">
        <f>IFERROR(VLOOKUP($G301,基本資料!$A:$J,6,0),"無")</f>
        <v>129</v>
      </c>
      <c r="E301" s="79">
        <f>IFERROR(VLOOKUP($G301,基本資料!$A:$J,7,0),"無")</f>
        <v>97</v>
      </c>
      <c r="F301" s="6">
        <f>IFERROR(VLOOKUP($G301,基本資料!$A:$J,8,0),"無")</f>
        <v>22.66</v>
      </c>
      <c r="G301" s="79">
        <v>1762</v>
      </c>
      <c r="H301" s="192" t="s">
        <v>309</v>
      </c>
      <c r="I301" s="22" t="s">
        <v>3685</v>
      </c>
      <c r="J301" s="8" t="str">
        <f>IFERROR(VLOOKUP($G301,今日總結!$A:$AJ,35,0),"")</f>
        <v/>
      </c>
      <c r="K301" s="5" t="str">
        <f>IFERROR(VLOOKUP($G301,今日總結!$A:$AJ,36,0),"")</f>
        <v/>
      </c>
      <c r="L301" s="156" t="str">
        <f>IFERROR(VLOOKUP($G301,今日總結!$A:$AJ,33,0),"")</f>
        <v/>
      </c>
      <c r="M301" s="340" t="str">
        <f>IFERROR(VLOOKUP($G301,今日總結!$A:$AJ,34,0),"")</f>
        <v/>
      </c>
      <c r="N301" s="240" t="str">
        <f t="shared" si="69"/>
        <v/>
      </c>
      <c r="P301" s="365">
        <f>IFERROR(VLOOKUP($G301,融外自投!$A:$J,7,0),"無")</f>
        <v>282</v>
      </c>
      <c r="Q301" s="79">
        <f>IFERROR(VLOOKUP($G301,融外自投!$A:$J,9,0),"無")</f>
        <v>346</v>
      </c>
      <c r="R301" s="346">
        <f>IFERROR(VLOOKUP($G301,融外自投!$A:$J,8,0),"無")</f>
        <v>829</v>
      </c>
      <c r="S301" s="81">
        <f>IFERROR(VLOOKUP($G301,融外自投!$A:$J,10,0),"無")</f>
        <v>186</v>
      </c>
      <c r="T301" s="327">
        <f>IFERROR(VLOOKUP($G301,'321買'!$A:$E,5,0),"'沒有資料'")</f>
        <v>558</v>
      </c>
      <c r="U301" s="186">
        <f>IFERROR(VLOOKUP($G301,基本資料!$A:$J,9,0),"無")</f>
        <v>1.3</v>
      </c>
      <c r="V301" s="310">
        <f t="shared" si="70"/>
        <v>2.1996615905245348E-2</v>
      </c>
      <c r="W301" s="94">
        <f>IFERROR(VLOOKUP($G301,基本資料!$A:$J,10,0),"無")</f>
        <v>5.17</v>
      </c>
      <c r="X301" s="36">
        <f>RTD("money.excel",,"1762","Price")</f>
        <v>59.1</v>
      </c>
      <c r="Y301" s="66"/>
      <c r="Z301" s="15">
        <f t="shared" si="71"/>
        <v>59.1</v>
      </c>
      <c r="AA301" s="3" t="e">
        <f t="shared" si="72"/>
        <v>#DIV/0!</v>
      </c>
      <c r="AB301" s="344">
        <f>IFERROR(VLOOKUP($G301,基本資料!$A:$M,11,0),"無")</f>
        <v>-37.44</v>
      </c>
      <c r="AC301" s="397">
        <f>IFERROR(VLOOKUP($G301,基本資料!$A:$M,12,0),"無")</f>
        <v>35.15</v>
      </c>
      <c r="AD301" s="22" t="s">
        <v>3685</v>
      </c>
      <c r="AG301" s="33">
        <f t="shared" si="73"/>
        <v>0</v>
      </c>
      <c r="AH301" s="43" t="s">
        <v>3686</v>
      </c>
      <c r="AI301" s="63">
        <f t="shared" si="74"/>
        <v>1.9870967741935485E-2</v>
      </c>
      <c r="AJ301" s="284">
        <f>RTD("money.excel",,$G301,"PredictVolume")</f>
        <v>1540</v>
      </c>
      <c r="AK301" s="399">
        <f>IFERROR(VLOOKUP($G301,基本資料!$A:$M,13,0),"無")</f>
        <v>24.26</v>
      </c>
    </row>
    <row r="302" spans="1:37">
      <c r="A302" s="347">
        <f>IFERROR(VLOOKUP($G302,基本資料!$A:$J,3,0),"無")</f>
        <v>4</v>
      </c>
      <c r="B302" s="79">
        <f>IFERROR(VLOOKUP($G302,基本資料!$A:$J,4,0),"無")</f>
        <v>-44</v>
      </c>
      <c r="C302" s="79">
        <f>IFERROR(VLOOKUP($G302,基本資料!$A:$J,5,0),"無")</f>
        <v>-44</v>
      </c>
      <c r="D302" s="79">
        <f>IFERROR(VLOOKUP($G302,基本資料!$A:$J,6,0),"無")</f>
        <v>2</v>
      </c>
      <c r="E302" s="79">
        <f>IFERROR(VLOOKUP($G302,基本資料!$A:$J,7,0),"無")</f>
        <v>-20</v>
      </c>
      <c r="F302" s="6">
        <f>IFERROR(VLOOKUP($G302,基本資料!$A:$J,8,0),"無")</f>
        <v>19.62</v>
      </c>
      <c r="G302" s="79">
        <v>1777</v>
      </c>
      <c r="H302" s="145" t="s">
        <v>309</v>
      </c>
      <c r="I302" s="16" t="s">
        <v>3687</v>
      </c>
      <c r="J302" s="8" t="str">
        <f>IFERROR(VLOOKUP($G302,今日總結!$A:$AJ,35,0),"")</f>
        <v/>
      </c>
      <c r="K302" s="5" t="str">
        <f>IFERROR(VLOOKUP($G302,今日總結!$A:$AJ,36,0),"")</f>
        <v/>
      </c>
      <c r="L302" s="156" t="str">
        <f>IFERROR(VLOOKUP($G302,今日總結!$A:$AJ,33,0),"")</f>
        <v/>
      </c>
      <c r="M302" s="340" t="str">
        <f>IFERROR(VLOOKUP($G302,今日總結!$A:$AJ,34,0),"")</f>
        <v/>
      </c>
      <c r="N302" s="240" t="str">
        <f t="shared" si="69"/>
        <v/>
      </c>
      <c r="P302" s="365">
        <f>IFERROR(VLOOKUP($G302,融外自投!$A:$J,7,0),"無")</f>
        <v>1212</v>
      </c>
      <c r="Q302" s="79" t="str">
        <f>IFERROR(VLOOKUP($G302,融外自投!$A:$J,9,0),"無")</f>
        <v>無</v>
      </c>
      <c r="R302" s="346">
        <f>IFERROR(VLOOKUP($G302,融外自投!$A:$J,8,0),"無")</f>
        <v>1412</v>
      </c>
      <c r="S302" s="81" t="str">
        <f>IFERROR(VLOOKUP($G302,融外自投!$A:$J,10,0),"無")</f>
        <v>無</v>
      </c>
      <c r="T302" s="327" t="str">
        <f>IFERROR(VLOOKUP($G302,'321買'!$A:$E,5,0),"'沒有資料'")</f>
        <v>'沒有資料'</v>
      </c>
      <c r="U302" s="186">
        <f>IFERROR(VLOOKUP($G302,基本資料!$A:$J,9,0),"無")</f>
        <v>2.15</v>
      </c>
      <c r="V302" s="310">
        <f t="shared" si="70"/>
        <v>3.3858267716535433E-2</v>
      </c>
      <c r="W302" s="94">
        <f>IFERROR(VLOOKUP($G302,基本資料!$A:$J,10,0),"無")</f>
        <v>3.38</v>
      </c>
      <c r="X302" s="36">
        <f>RTD("money.excel",,"1777","Price")</f>
        <v>63.5</v>
      </c>
      <c r="Y302" s="66"/>
      <c r="Z302" s="15">
        <f t="shared" si="71"/>
        <v>63.5</v>
      </c>
      <c r="AA302" s="3" t="e">
        <f t="shared" si="72"/>
        <v>#DIV/0!</v>
      </c>
      <c r="AB302" s="344">
        <f>IFERROR(VLOOKUP($G302,基本資料!$A:$M,11,0),"無")</f>
        <v>-21.08</v>
      </c>
      <c r="AC302" s="397">
        <f>IFERROR(VLOOKUP($G302,基本資料!$A:$M,12,0),"無")</f>
        <v>22.53</v>
      </c>
      <c r="AD302" s="16" t="s">
        <v>3687</v>
      </c>
      <c r="AG302" s="33">
        <f t="shared" si="73"/>
        <v>0</v>
      </c>
      <c r="AH302" s="117" t="s">
        <v>2450</v>
      </c>
      <c r="AI302" s="63">
        <f t="shared" si="74"/>
        <v>1.1000000000000001E-3</v>
      </c>
      <c r="AJ302" s="284">
        <f>RTD("money.excel",,$G302,"PredictVolume")</f>
        <v>44</v>
      </c>
      <c r="AK302" s="399">
        <f>IFERROR(VLOOKUP($G302,基本資料!$A:$M,13,0),"無")</f>
        <v>2.92</v>
      </c>
    </row>
    <row r="303" spans="1:37">
      <c r="A303" s="347">
        <f>IFERROR(VLOOKUP($G303,基本資料!$A:$J,3,0),"無")</f>
        <v>4.74</v>
      </c>
      <c r="B303" s="79">
        <f>IFERROR(VLOOKUP($G303,基本資料!$A:$J,4,0),"無")</f>
        <v>-130</v>
      </c>
      <c r="C303" s="79">
        <f>IFERROR(VLOOKUP($G303,基本資料!$A:$J,5,0),"無")</f>
        <v>-477</v>
      </c>
      <c r="D303" s="79">
        <f>IFERROR(VLOOKUP($G303,基本資料!$A:$J,6,0),"無")</f>
        <v>-14</v>
      </c>
      <c r="E303" s="79">
        <f>IFERROR(VLOOKUP($G303,基本資料!$A:$J,7,0),"無")</f>
        <v>-45</v>
      </c>
      <c r="F303" s="6">
        <f>IFERROR(VLOOKUP($G303,基本資料!$A:$J,8,0),"無")</f>
        <v>-11.93</v>
      </c>
      <c r="G303" s="79">
        <v>1781</v>
      </c>
      <c r="H303" s="8" t="s">
        <v>309</v>
      </c>
      <c r="I303" s="16" t="s">
        <v>3688</v>
      </c>
      <c r="J303" s="8" t="str">
        <f>IFERROR(VLOOKUP($G303,今日總結!$A:$AJ,35,0),"")</f>
        <v/>
      </c>
      <c r="K303" s="5" t="str">
        <f>IFERROR(VLOOKUP($G303,今日總結!$A:$AJ,36,0),"")</f>
        <v/>
      </c>
      <c r="L303" s="156" t="str">
        <f>IFERROR(VLOOKUP($G303,今日總結!$A:$AJ,33,0),"")</f>
        <v/>
      </c>
      <c r="M303" s="340" t="str">
        <f>IFERROR(VLOOKUP($G303,今日總結!$A:$AJ,34,0),"")</f>
        <v/>
      </c>
      <c r="N303" s="240" t="str">
        <f t="shared" si="69"/>
        <v/>
      </c>
      <c r="P303" s="365" t="str">
        <f>IFERROR(VLOOKUP($G303,融外自投!$A:$J,7,0),"無")</f>
        <v>無</v>
      </c>
      <c r="Q303" s="79" t="str">
        <f>IFERROR(VLOOKUP($G303,融外自投!$A:$J,9,0),"無")</f>
        <v>無</v>
      </c>
      <c r="R303" s="346" t="str">
        <f>IFERROR(VLOOKUP($G303,融外自投!$A:$J,8,0),"無")</f>
        <v>無</v>
      </c>
      <c r="S303" s="81" t="str">
        <f>IFERROR(VLOOKUP($G303,融外自投!$A:$J,10,0),"無")</f>
        <v>無</v>
      </c>
      <c r="T303" s="327" t="str">
        <f>IFERROR(VLOOKUP($G303,'321買'!$A:$E,5,0),"'沒有資料'")</f>
        <v>'沒有資料'</v>
      </c>
      <c r="U303" s="186">
        <f>IFERROR(VLOOKUP($G303,基本資料!$A:$J,9,0),"無")</f>
        <v>0</v>
      </c>
      <c r="V303" s="310">
        <f t="shared" si="70"/>
        <v>0</v>
      </c>
      <c r="W303" s="94">
        <f>IFERROR(VLOOKUP($G303,基本資料!$A:$J,10,0),"無")</f>
        <v>-1.31</v>
      </c>
      <c r="X303" s="36">
        <f>RTD("money.excel",,"1781","Price")</f>
        <v>14.9</v>
      </c>
      <c r="Y303" s="66"/>
      <c r="Z303" s="15">
        <f t="shared" si="71"/>
        <v>14.9</v>
      </c>
      <c r="AA303" s="3" t="e">
        <f t="shared" si="72"/>
        <v>#DIV/0!</v>
      </c>
      <c r="AB303" s="344">
        <f>IFERROR(VLOOKUP($G303,基本資料!$A:$M,11,0),"無")</f>
        <v>-39.18</v>
      </c>
      <c r="AC303" s="397">
        <f>IFERROR(VLOOKUP($G303,基本資料!$A:$M,12,0),"無")</f>
        <v>44.98</v>
      </c>
      <c r="AD303" s="16" t="s">
        <v>3688</v>
      </c>
      <c r="AG303" s="33">
        <f t="shared" si="73"/>
        <v>0</v>
      </c>
      <c r="AH303" s="43" t="s">
        <v>3689</v>
      </c>
      <c r="AI303" s="63">
        <f t="shared" si="74"/>
        <v>1.3291139240506329E-3</v>
      </c>
      <c r="AJ303" s="284">
        <f>RTD("money.excel",,$G303,"PredictVolume")</f>
        <v>63</v>
      </c>
      <c r="AK303" s="399">
        <f>IFERROR(VLOOKUP($G303,基本資料!$A:$M,13,0),"無")</f>
        <v>8.5299999999999994</v>
      </c>
    </row>
    <row r="304" spans="1:37">
      <c r="A304" s="347">
        <f>IFERROR(VLOOKUP($G304,基本資料!$A:$J,3,0),"無")</f>
        <v>7.69</v>
      </c>
      <c r="B304" s="79">
        <f>IFERROR(VLOOKUP($G304,基本資料!$A:$J,4,0),"無")</f>
        <v>38</v>
      </c>
      <c r="C304" s="79">
        <f>IFERROR(VLOOKUP($G304,基本資料!$A:$J,5,0),"無")</f>
        <v>47</v>
      </c>
      <c r="D304" s="79">
        <f>IFERROR(VLOOKUP($G304,基本資料!$A:$J,6,0),"無")</f>
        <v>-14</v>
      </c>
      <c r="E304" s="79">
        <f>IFERROR(VLOOKUP($G304,基本資料!$A:$J,7,0),"無")</f>
        <v>31</v>
      </c>
      <c r="F304" s="6">
        <f>IFERROR(VLOOKUP($G304,基本資料!$A:$J,8,0),"無")</f>
        <v>17.57</v>
      </c>
      <c r="G304" s="79">
        <v>1783</v>
      </c>
      <c r="H304" s="192" t="s">
        <v>309</v>
      </c>
      <c r="I304" s="22" t="s">
        <v>3690</v>
      </c>
      <c r="J304" s="8" t="str">
        <f>IFERROR(VLOOKUP($G304,今日總結!$A:$AJ,35,0),"")</f>
        <v/>
      </c>
      <c r="K304" s="5" t="str">
        <f>IFERROR(VLOOKUP($G304,今日總結!$A:$AJ,36,0),"")</f>
        <v/>
      </c>
      <c r="L304" s="156" t="str">
        <f>IFERROR(VLOOKUP($G304,今日總結!$A:$AJ,33,0),"")</f>
        <v/>
      </c>
      <c r="M304" s="340" t="str">
        <f>IFERROR(VLOOKUP($G304,今日總結!$A:$AJ,34,0),"")</f>
        <v/>
      </c>
      <c r="N304" s="240" t="str">
        <f t="shared" si="69"/>
        <v/>
      </c>
      <c r="P304" s="365">
        <f>IFERROR(VLOOKUP($G304,融外自投!$A:$J,7,0),"無")</f>
        <v>417</v>
      </c>
      <c r="Q304" s="79">
        <f>IFERROR(VLOOKUP($G304,融外自投!$A:$J,9,0),"無")</f>
        <v>425</v>
      </c>
      <c r="R304" s="346">
        <f>IFERROR(VLOOKUP($G304,融外自投!$A:$J,8,0),"無")</f>
        <v>693</v>
      </c>
      <c r="S304" s="81" t="str">
        <f>IFERROR(VLOOKUP($G304,融外自投!$A:$J,10,0),"無")</f>
        <v>無</v>
      </c>
      <c r="T304" s="327">
        <f>IFERROR(VLOOKUP($G304,'321買'!$A:$E,5,0),"'沒有資料'")</f>
        <v>752</v>
      </c>
      <c r="U304" s="186">
        <f>IFERROR(VLOOKUP($G304,基本資料!$A:$J,9,0),"無")</f>
        <v>1</v>
      </c>
      <c r="V304" s="310">
        <f t="shared" si="70"/>
        <v>2.7777777777777776E-2</v>
      </c>
      <c r="W304" s="94">
        <f>IFERROR(VLOOKUP($G304,基本資料!$A:$J,10,0),"無")</f>
        <v>1.21</v>
      </c>
      <c r="X304" s="36">
        <f>RTD("money.excel",,"1783","Price")</f>
        <v>36</v>
      </c>
      <c r="Y304" s="66"/>
      <c r="Z304" s="15">
        <f t="shared" si="71"/>
        <v>36</v>
      </c>
      <c r="AA304" s="3" t="e">
        <f t="shared" si="72"/>
        <v>#DIV/0!</v>
      </c>
      <c r="AB304" s="344">
        <f>IFERROR(VLOOKUP($G304,基本資料!$A:$M,11,0),"無")</f>
        <v>-54.83</v>
      </c>
      <c r="AC304" s="397">
        <f>IFERROR(VLOOKUP($G304,基本資料!$A:$M,12,0),"無")</f>
        <v>18.260000000000002</v>
      </c>
      <c r="AD304" s="22" t="s">
        <v>3690</v>
      </c>
      <c r="AG304" s="33">
        <f t="shared" si="73"/>
        <v>0</v>
      </c>
      <c r="AH304" s="43" t="s">
        <v>3691</v>
      </c>
      <c r="AI304" s="63">
        <f t="shared" si="74"/>
        <v>1.5864759427828348E-3</v>
      </c>
      <c r="AJ304" s="284">
        <f>RTD("money.excel",,$G304,"PredictVolume")</f>
        <v>122</v>
      </c>
      <c r="AK304" s="399">
        <f>IFERROR(VLOOKUP($G304,基本資料!$A:$M,13,0),"無")</f>
        <v>14.07</v>
      </c>
    </row>
    <row r="305" spans="1:37">
      <c r="A305" s="347">
        <f>IFERROR(VLOOKUP($G305,基本資料!$A:$J,3,0),"無")</f>
        <v>4.96</v>
      </c>
      <c r="B305" s="79">
        <f>IFERROR(VLOOKUP($G305,基本資料!$A:$J,4,0),"無")</f>
        <v>2521</v>
      </c>
      <c r="C305" s="79">
        <f>IFERROR(VLOOKUP($G305,基本資料!$A:$J,5,0),"無")</f>
        <v>918</v>
      </c>
      <c r="D305" s="79">
        <f>IFERROR(VLOOKUP($G305,基本資料!$A:$J,6,0),"無")</f>
        <v>38</v>
      </c>
      <c r="E305" s="79">
        <f>IFERROR(VLOOKUP($G305,基本資料!$A:$J,7,0),"無")</f>
        <v>7</v>
      </c>
      <c r="F305" s="6">
        <f>IFERROR(VLOOKUP($G305,基本資料!$A:$J,8,0),"無")</f>
        <v>3.39</v>
      </c>
      <c r="G305" s="79">
        <v>1784</v>
      </c>
      <c r="H305" s="8" t="s">
        <v>309</v>
      </c>
      <c r="I305" s="16" t="s">
        <v>3692</v>
      </c>
      <c r="J305" s="8" t="str">
        <f>IFERROR(VLOOKUP($G305,今日總結!$A:$AJ,35,0),"")</f>
        <v/>
      </c>
      <c r="K305" s="5" t="str">
        <f>IFERROR(VLOOKUP($G305,今日總結!$A:$AJ,36,0),"")</f>
        <v/>
      </c>
      <c r="L305" s="156" t="str">
        <f>IFERROR(VLOOKUP($G305,今日總結!$A:$AJ,33,0),"")</f>
        <v/>
      </c>
      <c r="M305" s="340" t="str">
        <f>IFERROR(VLOOKUP($G305,今日總結!$A:$AJ,34,0),"")</f>
        <v/>
      </c>
      <c r="N305" s="240" t="str">
        <f t="shared" si="69"/>
        <v/>
      </c>
      <c r="P305" s="365">
        <f>IFERROR(VLOOKUP($G305,融外自投!$A:$J,7,0),"無")</f>
        <v>340</v>
      </c>
      <c r="Q305" s="79">
        <f>IFERROR(VLOOKUP($G305,融外自投!$A:$J,9,0),"無")</f>
        <v>708</v>
      </c>
      <c r="R305" s="346">
        <f>IFERROR(VLOOKUP($G305,融外自投!$A:$J,8,0),"無")</f>
        <v>1097</v>
      </c>
      <c r="S305" s="81" t="str">
        <f>IFERROR(VLOOKUP($G305,融外自投!$A:$J,10,0),"無")</f>
        <v>無</v>
      </c>
      <c r="T305" s="327">
        <f>IFERROR(VLOOKUP($G305,'321買'!$A:$E,5,0),"'沒有資料'")</f>
        <v>894</v>
      </c>
      <c r="U305" s="186">
        <f>IFERROR(VLOOKUP($G305,基本資料!$A:$J,9,0),"無")</f>
        <v>0.48</v>
      </c>
      <c r="V305" s="310">
        <f t="shared" si="70"/>
        <v>1.2451361867704281E-2</v>
      </c>
      <c r="W305" s="94">
        <f>IFERROR(VLOOKUP($G305,基本資料!$A:$J,10,0),"無")</f>
        <v>0.56000000000000005</v>
      </c>
      <c r="X305" s="36">
        <f>RTD("money.excel",,"1784","Price")</f>
        <v>38.549999999999997</v>
      </c>
      <c r="Y305" s="66"/>
      <c r="Z305" s="15">
        <f t="shared" si="71"/>
        <v>38.549999999999997</v>
      </c>
      <c r="AA305" s="3" t="e">
        <f t="shared" si="72"/>
        <v>#DIV/0!</v>
      </c>
      <c r="AB305" s="344">
        <f>IFERROR(VLOOKUP($G305,基本資料!$A:$M,11,0),"無")</f>
        <v>-24.57</v>
      </c>
      <c r="AC305" s="397">
        <f>IFERROR(VLOOKUP($G305,基本資料!$A:$M,12,0),"無")</f>
        <v>54.82</v>
      </c>
      <c r="AD305" s="16" t="s">
        <v>3692</v>
      </c>
      <c r="AG305" s="33">
        <f t="shared" si="73"/>
        <v>0</v>
      </c>
      <c r="AH305" s="43" t="s">
        <v>3693</v>
      </c>
      <c r="AI305" s="63">
        <f t="shared" si="74"/>
        <v>1.4919354838709678E-3</v>
      </c>
      <c r="AJ305" s="284">
        <f>RTD("money.excel",,$G305,"PredictVolume")</f>
        <v>74</v>
      </c>
      <c r="AK305" s="399">
        <f>IFERROR(VLOOKUP($G305,基本資料!$A:$M,13,0),"無")</f>
        <v>14.69</v>
      </c>
    </row>
    <row r="306" spans="1:37">
      <c r="A306" s="347">
        <f>IFERROR(VLOOKUP($G306,基本資料!$A:$J,3,0),"無")</f>
        <v>6.61</v>
      </c>
      <c r="B306" s="79">
        <f>IFERROR(VLOOKUP($G306,基本資料!$A:$J,4,0),"無")</f>
        <v>-20</v>
      </c>
      <c r="C306" s="79">
        <f>IFERROR(VLOOKUP($G306,基本資料!$A:$J,5,0),"無")</f>
        <v>-16</v>
      </c>
      <c r="D306" s="79">
        <f>IFERROR(VLOOKUP($G306,基本資料!$A:$J,6,0),"無")</f>
        <v>-43</v>
      </c>
      <c r="E306" s="79">
        <f>IFERROR(VLOOKUP($G306,基本資料!$A:$J,7,0),"無")</f>
        <v>4</v>
      </c>
      <c r="F306" s="6">
        <f>IFERROR(VLOOKUP($G306,基本資料!$A:$J,8,0),"無")</f>
        <v>24.12</v>
      </c>
      <c r="G306" s="79">
        <v>1786</v>
      </c>
      <c r="H306" s="192" t="s">
        <v>309</v>
      </c>
      <c r="I306" s="22" t="s">
        <v>3694</v>
      </c>
      <c r="J306" s="8">
        <f>IFERROR(VLOOKUP($G306,今日總結!$A:$AJ,35,0),"")</f>
        <v>0</v>
      </c>
      <c r="K306" s="5" t="str">
        <f>IFERROR(VLOOKUP($G306,今日總結!$A:$AJ,36,0),"")</f>
        <v>融</v>
      </c>
      <c r="L306" s="156">
        <f>IFERROR(VLOOKUP($G306,今日總結!$A:$AJ,33,0),"")</f>
        <v>0</v>
      </c>
      <c r="M306" s="340">
        <f>IFERROR(VLOOKUP($G306,今日總結!$A:$AJ,34,0),"")</f>
        <v>1</v>
      </c>
      <c r="N306" s="240">
        <f t="shared" si="69"/>
        <v>-1</v>
      </c>
      <c r="P306" s="365">
        <f>IFERROR(VLOOKUP($G306,融外自投!$A:$J,7,0),"無")</f>
        <v>957</v>
      </c>
      <c r="Q306" s="79">
        <f>IFERROR(VLOOKUP($G306,融外自投!$A:$J,9,0),"無")</f>
        <v>586</v>
      </c>
      <c r="R306" s="346">
        <f>IFERROR(VLOOKUP($G306,融外自投!$A:$J,8,0),"無")</f>
        <v>1364</v>
      </c>
      <c r="S306" s="81" t="str">
        <f>IFERROR(VLOOKUP($G306,融外自投!$A:$J,10,0),"無")</f>
        <v>無</v>
      </c>
      <c r="T306" s="327">
        <f>IFERROR(VLOOKUP($G306,'321買'!$A:$E,5,0),"'沒有資料'")</f>
        <v>1367</v>
      </c>
      <c r="U306" s="186">
        <f>IFERROR(VLOOKUP($G306,基本資料!$A:$J,9,0),"無")</f>
        <v>1.42</v>
      </c>
      <c r="V306" s="310">
        <f t="shared" si="70"/>
        <v>3.3411764705882349E-2</v>
      </c>
      <c r="W306" s="94">
        <f>IFERROR(VLOOKUP($G306,基本資料!$A:$J,10,0),"無")</f>
        <v>1.54</v>
      </c>
      <c r="X306" s="36">
        <f>RTD("money.excel",,"1786","Price")</f>
        <v>42.5</v>
      </c>
      <c r="Y306" s="66"/>
      <c r="Z306" s="15">
        <f t="shared" si="71"/>
        <v>42.5</v>
      </c>
      <c r="AA306" s="3" t="e">
        <f t="shared" si="72"/>
        <v>#DIV/0!</v>
      </c>
      <c r="AB306" s="344">
        <f>IFERROR(VLOOKUP($G306,基本資料!$A:$M,11,0),"無")</f>
        <v>-29.5</v>
      </c>
      <c r="AC306" s="397">
        <f>IFERROR(VLOOKUP($G306,基本資料!$A:$M,12,0),"無")</f>
        <v>36.840000000000003</v>
      </c>
      <c r="AD306" s="22" t="s">
        <v>3694</v>
      </c>
      <c r="AG306" s="33">
        <f t="shared" si="73"/>
        <v>0</v>
      </c>
      <c r="AH306" s="43" t="s">
        <v>3695</v>
      </c>
      <c r="AI306" s="63">
        <f t="shared" si="74"/>
        <v>4.8411497730711046E-4</v>
      </c>
      <c r="AJ306" s="284">
        <f>RTD("money.excel",,$G306,"PredictVolume")</f>
        <v>32</v>
      </c>
      <c r="AK306" s="399">
        <f>IFERROR(VLOOKUP($G306,基本資料!$A:$M,13,0),"無")</f>
        <v>0.64</v>
      </c>
    </row>
    <row r="307" spans="1:37">
      <c r="A307" s="347">
        <f>IFERROR(VLOOKUP($G307,基本資料!$A:$J,3,0),"無")</f>
        <v>4.05</v>
      </c>
      <c r="B307" s="79">
        <f>IFERROR(VLOOKUP($G307,基本資料!$A:$J,4,0),"無")</f>
        <v>9</v>
      </c>
      <c r="C307" s="79">
        <f>IFERROR(VLOOKUP($G307,基本資料!$A:$J,5,0),"無")</f>
        <v>10</v>
      </c>
      <c r="D307" s="79">
        <f>IFERROR(VLOOKUP($G307,基本資料!$A:$J,6,0),"無")</f>
        <v>-7</v>
      </c>
      <c r="E307" s="79">
        <f>IFERROR(VLOOKUP($G307,基本資料!$A:$J,7,0),"無")</f>
        <v>6</v>
      </c>
      <c r="F307" s="6">
        <f>IFERROR(VLOOKUP($G307,基本資料!$A:$J,8,0),"無")</f>
        <v>11.17</v>
      </c>
      <c r="G307" s="79">
        <v>1788</v>
      </c>
      <c r="H307" s="8" t="s">
        <v>309</v>
      </c>
      <c r="I307" s="16" t="s">
        <v>3696</v>
      </c>
      <c r="J307" s="8" t="str">
        <f>IFERROR(VLOOKUP($G307,今日總結!$A:$AJ,35,0),"")</f>
        <v/>
      </c>
      <c r="K307" s="5" t="str">
        <f>IFERROR(VLOOKUP($G307,今日總結!$A:$AJ,36,0),"")</f>
        <v/>
      </c>
      <c r="L307" s="156" t="str">
        <f>IFERROR(VLOOKUP($G307,今日總結!$A:$AJ,33,0),"")</f>
        <v/>
      </c>
      <c r="M307" s="340" t="str">
        <f>IFERROR(VLOOKUP($G307,今日總結!$A:$AJ,34,0),"")</f>
        <v/>
      </c>
      <c r="N307" s="240" t="str">
        <f t="shared" si="69"/>
        <v/>
      </c>
      <c r="O307" s="7"/>
      <c r="P307" s="365">
        <f>IFERROR(VLOOKUP($G307,融外自投!$A:$J,7,0),"無")</f>
        <v>1405</v>
      </c>
      <c r="Q307" s="79" t="str">
        <f>IFERROR(VLOOKUP($G307,融外自投!$A:$J,9,0),"無")</f>
        <v>無</v>
      </c>
      <c r="R307" s="346">
        <f>IFERROR(VLOOKUP($G307,融外自投!$A:$J,8,0),"無")</f>
        <v>458</v>
      </c>
      <c r="S307" s="81" t="str">
        <f>IFERROR(VLOOKUP($G307,融外自投!$A:$J,10,0),"無")</f>
        <v>無</v>
      </c>
      <c r="T307" s="327">
        <f>IFERROR(VLOOKUP($G307,'321買'!$A:$E,5,0),"'沒有資料'")</f>
        <v>779</v>
      </c>
      <c r="U307" s="186">
        <f>IFERROR(VLOOKUP($G307,基本資料!$A:$J,9,0),"無")</f>
        <v>7</v>
      </c>
      <c r="V307" s="310">
        <f t="shared" si="70"/>
        <v>4.5454545454545456E-2</v>
      </c>
      <c r="W307" s="94">
        <f>IFERROR(VLOOKUP($G307,基本資料!$A:$J,10,0),"無")</f>
        <v>8.99</v>
      </c>
      <c r="X307" s="36">
        <f>RTD("money.excel",,"1788","Price")</f>
        <v>154</v>
      </c>
      <c r="Y307" s="66"/>
      <c r="Z307" s="15">
        <f t="shared" si="71"/>
        <v>154</v>
      </c>
      <c r="AA307" s="3" t="e">
        <f t="shared" si="72"/>
        <v>#DIV/0!</v>
      </c>
      <c r="AB307" s="344">
        <f>IFERROR(VLOOKUP($G307,基本資料!$A:$M,11,0),"無")</f>
        <v>-2.16</v>
      </c>
      <c r="AC307" s="397">
        <f>IFERROR(VLOOKUP($G307,基本資料!$A:$M,12,0),"無")</f>
        <v>80.5</v>
      </c>
      <c r="AD307" s="16" t="s">
        <v>3696</v>
      </c>
      <c r="AG307" s="33">
        <f t="shared" si="73"/>
        <v>0</v>
      </c>
      <c r="AH307" s="43" t="s">
        <v>3697</v>
      </c>
      <c r="AI307" s="63">
        <f t="shared" si="74"/>
        <v>6.4197530864197529E-4</v>
      </c>
      <c r="AJ307" s="284">
        <f>RTD("money.excel",,$G307,"PredictVolume")</f>
        <v>26</v>
      </c>
      <c r="AK307" s="399">
        <f>IFERROR(VLOOKUP($G307,基本資料!$A:$M,13,0),"無")</f>
        <v>0.54</v>
      </c>
    </row>
    <row r="308" spans="1:37">
      <c r="A308" s="347">
        <f>IFERROR(VLOOKUP($G308,基本資料!$A:$J,3,0),"無")</f>
        <v>79.069999999999993</v>
      </c>
      <c r="B308" s="79">
        <f>IFERROR(VLOOKUP($G308,基本資料!$A:$J,4,0),"無")</f>
        <v>-13</v>
      </c>
      <c r="C308" s="79">
        <f>IFERROR(VLOOKUP($G308,基本資料!$A:$J,5,0),"無")</f>
        <v>-23</v>
      </c>
      <c r="D308" s="79">
        <f>IFERROR(VLOOKUP($G308,基本資料!$A:$J,6,0),"無")</f>
        <v>-46</v>
      </c>
      <c r="E308" s="79">
        <f>IFERROR(VLOOKUP($G308,基本資料!$A:$J,7,0),"無")</f>
        <v>-30</v>
      </c>
      <c r="F308" s="6">
        <f>IFERROR(VLOOKUP($G308,基本資料!$A:$J,8,0),"無")</f>
        <v>10.45</v>
      </c>
      <c r="G308" s="79">
        <v>1789</v>
      </c>
      <c r="H308" s="192" t="s">
        <v>309</v>
      </c>
      <c r="I308" s="22" t="s">
        <v>3698</v>
      </c>
      <c r="J308" s="8">
        <f>IFERROR(VLOOKUP($G308,今日總結!$A:$AJ,35,0),"")</f>
        <v>0</v>
      </c>
      <c r="K308" s="5" t="str">
        <f>IFERROR(VLOOKUP($G308,今日總結!$A:$AJ,36,0),"")</f>
        <v>融借</v>
      </c>
      <c r="L308" s="156">
        <f>IFERROR(VLOOKUP($G308,今日總結!$A:$AJ,33,0),"")</f>
        <v>0</v>
      </c>
      <c r="M308" s="340">
        <f>IFERROR(VLOOKUP($G308,今日總結!$A:$AJ,34,0),"")</f>
        <v>2</v>
      </c>
      <c r="N308" s="240">
        <f t="shared" si="69"/>
        <v>-2</v>
      </c>
      <c r="P308" s="365">
        <f>IFERROR(VLOOKUP($G308,融外自投!$A:$J,7,0),"無")</f>
        <v>1089</v>
      </c>
      <c r="Q308" s="79">
        <f>IFERROR(VLOOKUP($G308,融外自投!$A:$J,9,0),"無")</f>
        <v>734</v>
      </c>
      <c r="R308" s="346">
        <f>IFERROR(VLOOKUP($G308,融外自投!$A:$J,8,0),"無")</f>
        <v>851</v>
      </c>
      <c r="S308" s="81" t="str">
        <f>IFERROR(VLOOKUP($G308,融外自投!$A:$J,10,0),"無")</f>
        <v>無</v>
      </c>
      <c r="T308" s="327">
        <f>IFERROR(VLOOKUP($G308,'321買'!$A:$E,5,0),"'沒有資料'")</f>
        <v>729</v>
      </c>
      <c r="U308" s="186">
        <f>IFERROR(VLOOKUP($G308,基本資料!$A:$J,9,0),"無")</f>
        <v>0.48</v>
      </c>
      <c r="V308" s="310">
        <f t="shared" si="70"/>
        <v>2.0824295010845987E-2</v>
      </c>
      <c r="W308" s="94">
        <f>IFERROR(VLOOKUP($G308,基本資料!$A:$J,10,0),"無")</f>
        <v>0.31</v>
      </c>
      <c r="X308" s="36">
        <f>RTD("money.excel",,"1789","Price")</f>
        <v>23.05</v>
      </c>
      <c r="Y308" s="66"/>
      <c r="Z308" s="15">
        <f t="shared" si="71"/>
        <v>23.05</v>
      </c>
      <c r="AA308" s="3" t="e">
        <f t="shared" si="72"/>
        <v>#DIV/0!</v>
      </c>
      <c r="AB308" s="344">
        <f>IFERROR(VLOOKUP($G308,基本資料!$A:$M,11,0),"無")</f>
        <v>-17.52</v>
      </c>
      <c r="AC308" s="397">
        <f>IFERROR(VLOOKUP($G308,基本資料!$A:$M,12,0),"無")</f>
        <v>32.68</v>
      </c>
      <c r="AD308" s="22" t="s">
        <v>3698</v>
      </c>
      <c r="AG308" s="33">
        <f t="shared" si="73"/>
        <v>0</v>
      </c>
      <c r="AH308" s="117" t="s">
        <v>3699</v>
      </c>
      <c r="AI308" s="63">
        <f t="shared" si="74"/>
        <v>6.5385101808524099E-4</v>
      </c>
      <c r="AJ308" s="284">
        <f>RTD("money.excel",,$G308,"PredictVolume")</f>
        <v>517</v>
      </c>
      <c r="AK308" s="399">
        <f>IFERROR(VLOOKUP($G308,基本資料!$A:$M,13,0),"無")</f>
        <v>1.99</v>
      </c>
    </row>
    <row r="309" spans="1:37">
      <c r="A309" s="347">
        <f>IFERROR(VLOOKUP($G309,基本資料!$A:$J,3,0),"無")</f>
        <v>26.27</v>
      </c>
      <c r="B309" s="79">
        <f>IFERROR(VLOOKUP($G309,基本資料!$A:$J,4,0),"無")</f>
        <v>36</v>
      </c>
      <c r="C309" s="79">
        <f>IFERROR(VLOOKUP($G309,基本資料!$A:$J,5,0),"無")</f>
        <v>42</v>
      </c>
      <c r="D309" s="79">
        <f>IFERROR(VLOOKUP($G309,基本資料!$A:$J,6,0),"無")</f>
        <v>15</v>
      </c>
      <c r="E309" s="79">
        <f>IFERROR(VLOOKUP($G309,基本資料!$A:$J,7,0),"無")</f>
        <v>7</v>
      </c>
      <c r="F309" s="6">
        <f>IFERROR(VLOOKUP($G309,基本資料!$A:$J,8,0),"無")</f>
        <v>18.149999999999999</v>
      </c>
      <c r="G309" s="79">
        <v>1795</v>
      </c>
      <c r="H309" s="8" t="s">
        <v>309</v>
      </c>
      <c r="I309" s="22" t="s">
        <v>3700</v>
      </c>
      <c r="J309" s="8" t="str">
        <f>IFERROR(VLOOKUP($G309,今日總結!$A:$AJ,35,0),"")</f>
        <v/>
      </c>
      <c r="K309" s="5" t="str">
        <f>IFERROR(VLOOKUP($G309,今日總結!$A:$AJ,36,0),"")</f>
        <v/>
      </c>
      <c r="L309" s="156" t="str">
        <f>IFERROR(VLOOKUP($G309,今日總結!$A:$AJ,33,0),"")</f>
        <v/>
      </c>
      <c r="M309" s="340" t="str">
        <f>IFERROR(VLOOKUP($G309,今日總結!$A:$AJ,34,0),"")</f>
        <v/>
      </c>
      <c r="N309" s="240" t="str">
        <f t="shared" si="69"/>
        <v/>
      </c>
      <c r="P309" s="365">
        <f>IFERROR(VLOOKUP($G309,融外自投!$A:$J,7,0),"無")</f>
        <v>240</v>
      </c>
      <c r="Q309" s="79">
        <f>IFERROR(VLOOKUP($G309,融外自投!$A:$J,9,0),"無")</f>
        <v>502</v>
      </c>
      <c r="R309" s="346">
        <f>IFERROR(VLOOKUP($G309,融外自投!$A:$J,8,0),"無")</f>
        <v>19</v>
      </c>
      <c r="S309" s="81">
        <f>IFERROR(VLOOKUP($G309,融外自投!$A:$J,10,0),"無")</f>
        <v>65</v>
      </c>
      <c r="T309" s="327">
        <f>IFERROR(VLOOKUP($G309,'321買'!$A:$E,5,0),"'沒有資料'")</f>
        <v>153</v>
      </c>
      <c r="U309" s="186">
        <f>IFERROR(VLOOKUP($G309,基本資料!$A:$J,9,0),"無")</f>
        <v>1.93</v>
      </c>
      <c r="V309" s="310">
        <f t="shared" si="70"/>
        <v>1.670995670995671E-2</v>
      </c>
      <c r="W309" s="94">
        <f>IFERROR(VLOOKUP($G309,基本資料!$A:$J,10,0),"無")</f>
        <v>5.5</v>
      </c>
      <c r="X309" s="36">
        <f>RTD("money.excel",,"1795","Price")</f>
        <v>115.5</v>
      </c>
      <c r="Y309" s="66"/>
      <c r="Z309" s="15">
        <f t="shared" si="71"/>
        <v>115.5</v>
      </c>
      <c r="AA309" s="3" t="e">
        <f t="shared" si="72"/>
        <v>#DIV/0!</v>
      </c>
      <c r="AB309" s="344">
        <f>IFERROR(VLOOKUP($G309,基本資料!$A:$M,11,0),"無")</f>
        <v>-25.71</v>
      </c>
      <c r="AC309" s="397">
        <f>IFERROR(VLOOKUP($G309,基本資料!$A:$M,12,0),"無")</f>
        <v>56.39</v>
      </c>
      <c r="AD309" s="22" t="s">
        <v>3700</v>
      </c>
      <c r="AG309" s="33">
        <f t="shared" si="73"/>
        <v>0</v>
      </c>
      <c r="AH309" s="43" t="s">
        <v>3701</v>
      </c>
      <c r="AI309" s="63">
        <f t="shared" si="74"/>
        <v>1.0487247811191473E-2</v>
      </c>
      <c r="AJ309" s="284">
        <f>RTD("money.excel",,$G309,"PredictVolume")</f>
        <v>2755</v>
      </c>
      <c r="AK309" s="399">
        <f>IFERROR(VLOOKUP($G309,基本資料!$A:$M,13,0),"無")</f>
        <v>15.82</v>
      </c>
    </row>
    <row r="310" spans="1:37">
      <c r="A310" s="347">
        <f>IFERROR(VLOOKUP($G310,基本資料!$A:$J,3,0),"無")</f>
        <v>16.329999999999998</v>
      </c>
      <c r="B310" s="79">
        <f>IFERROR(VLOOKUP($G310,基本資料!$A:$J,4,0),"無")</f>
        <v>7</v>
      </c>
      <c r="C310" s="79">
        <f>IFERROR(VLOOKUP($G310,基本資料!$A:$J,5,0),"無")</f>
        <v>-33</v>
      </c>
      <c r="D310" s="79">
        <f>IFERROR(VLOOKUP($G310,基本資料!$A:$J,6,0),"無")</f>
        <v>118</v>
      </c>
      <c r="E310" s="79">
        <f>IFERROR(VLOOKUP($G310,基本資料!$A:$J,7,0),"無")</f>
        <v>-61</v>
      </c>
      <c r="F310" s="6">
        <f>IFERROR(VLOOKUP($G310,基本資料!$A:$J,8,0),"無")</f>
        <v>-107.39</v>
      </c>
      <c r="G310" s="79">
        <v>1799</v>
      </c>
      <c r="H310" s="8" t="s">
        <v>309</v>
      </c>
      <c r="I310" s="16" t="s">
        <v>3702</v>
      </c>
      <c r="J310" s="8" t="str">
        <f>IFERROR(VLOOKUP($G310,今日總結!$A:$AJ,35,0),"")</f>
        <v/>
      </c>
      <c r="K310" s="5" t="str">
        <f>IFERROR(VLOOKUP($G310,今日總結!$A:$AJ,36,0),"")</f>
        <v/>
      </c>
      <c r="L310" s="156">
        <f>IFERROR(VLOOKUP($G330,今日總結!$A:$AJ,33,0),"")</f>
        <v>3</v>
      </c>
      <c r="M310" s="340" t="str">
        <f>IFERROR(VLOOKUP($G310,今日總結!$A:$AJ,34,0),"")</f>
        <v/>
      </c>
      <c r="N310" s="240" t="str">
        <f t="shared" si="69"/>
        <v/>
      </c>
      <c r="P310" s="365" t="str">
        <f>IFERROR(VLOOKUP($G310,融外自投!$A:$J,7,0),"無")</f>
        <v>無</v>
      </c>
      <c r="Q310" s="79" t="str">
        <f>IFERROR(VLOOKUP($G310,融外自投!$A:$J,9,0),"無")</f>
        <v>無</v>
      </c>
      <c r="R310" s="346" t="str">
        <f>IFERROR(VLOOKUP($G310,融外自投!$A:$J,8,0),"無")</f>
        <v>無</v>
      </c>
      <c r="S310" s="81" t="str">
        <f>IFERROR(VLOOKUP($G310,融外自投!$A:$J,10,0),"無")</f>
        <v>無</v>
      </c>
      <c r="T310" s="327" t="str">
        <f>IFERROR(VLOOKUP($G310,'321買'!$A:$E,5,0),"'沒有資料'")</f>
        <v>'沒有資料'</v>
      </c>
      <c r="U310" s="186">
        <f>IFERROR(VLOOKUP($G310,基本資料!$A:$J,9,0),"無")</f>
        <v>0</v>
      </c>
      <c r="V310" s="310">
        <f t="shared" si="70"/>
        <v>0</v>
      </c>
      <c r="W310" s="94">
        <f>IFERROR(VLOOKUP($G310,基本資料!$A:$J,10,0),"無")</f>
        <v>-0.99</v>
      </c>
      <c r="X310" s="36">
        <f>RTD("money.excel",,"1799","Price")</f>
        <v>14.25</v>
      </c>
      <c r="Y310" s="66"/>
      <c r="Z310" s="15">
        <f t="shared" si="71"/>
        <v>14.25</v>
      </c>
      <c r="AA310" s="3" t="e">
        <f t="shared" si="72"/>
        <v>#DIV/0!</v>
      </c>
      <c r="AB310" s="344">
        <f>IFERROR(VLOOKUP($G310,基本資料!$A:$M,11,0),"無")</f>
        <v>-17.43</v>
      </c>
      <c r="AC310" s="397">
        <f>IFERROR(VLOOKUP($G310,基本資料!$A:$M,12,0),"無")</f>
        <v>40.840000000000003</v>
      </c>
      <c r="AD310" s="16" t="s">
        <v>3702</v>
      </c>
      <c r="AG310" s="33">
        <f t="shared" si="73"/>
        <v>0</v>
      </c>
      <c r="AH310" s="43" t="s">
        <v>2450</v>
      </c>
      <c r="AI310" s="63">
        <f t="shared" si="74"/>
        <v>4.7764849969381514E-4</v>
      </c>
      <c r="AJ310" s="284">
        <f>RTD("money.excel",,$G310,"PredictVolume")</f>
        <v>78</v>
      </c>
      <c r="AK310" s="399">
        <f>IFERROR(VLOOKUP($G310,基本資料!$A:$M,13,0),"無")</f>
        <v>2.12</v>
      </c>
    </row>
    <row r="311" spans="1:37">
      <c r="A311" s="347">
        <f>IFERROR(VLOOKUP($G311,基本資料!$A:$J,3,0),"無")</f>
        <v>4.66</v>
      </c>
      <c r="B311" s="79">
        <f>IFERROR(VLOOKUP($G311,基本資料!$A:$J,4,0),"無")</f>
        <v>-6360</v>
      </c>
      <c r="C311" s="79">
        <f>IFERROR(VLOOKUP($G311,基本資料!$A:$J,5,0),"無")</f>
        <v>-45</v>
      </c>
      <c r="D311" s="79">
        <f>IFERROR(VLOOKUP($G311,基本資料!$A:$J,6,0),"無")</f>
        <v>1</v>
      </c>
      <c r="E311" s="79">
        <f>IFERROR(VLOOKUP($G311,基本資料!$A:$J,7,0),"無")</f>
        <v>-37</v>
      </c>
      <c r="F311" s="6">
        <f>IFERROR(VLOOKUP($G311,基本資料!$A:$J,8,0),"無")</f>
        <v>-13.12</v>
      </c>
      <c r="G311" s="79">
        <v>1813</v>
      </c>
      <c r="H311" s="8" t="s">
        <v>309</v>
      </c>
      <c r="I311" s="16" t="s">
        <v>3703</v>
      </c>
      <c r="J311" s="8" t="str">
        <f>IFERROR(VLOOKUP($G311,今日總結!$A:$AJ,35,0),"")</f>
        <v/>
      </c>
      <c r="K311" s="5" t="str">
        <f>IFERROR(VLOOKUP($G311,今日總結!$A:$AJ,36,0),"")</f>
        <v/>
      </c>
      <c r="L311" s="156" t="str">
        <f>IFERROR(VLOOKUP($G331,今日總結!$A:$AJ,33,0),"")</f>
        <v/>
      </c>
      <c r="M311" s="340" t="str">
        <f>IFERROR(VLOOKUP($G311,今日總結!$A:$AJ,34,0),"")</f>
        <v/>
      </c>
      <c r="N311" s="240" t="str">
        <f t="shared" si="69"/>
        <v/>
      </c>
      <c r="P311" s="365">
        <f>IFERROR(VLOOKUP($G311,融外自投!$A:$J,7,0),"無")</f>
        <v>1064</v>
      </c>
      <c r="Q311" s="79" t="str">
        <f>IFERROR(VLOOKUP($G311,融外自投!$A:$J,9,0),"無")</f>
        <v>無</v>
      </c>
      <c r="R311" s="346">
        <f>IFERROR(VLOOKUP($G311,融外自投!$A:$J,8,0),"無")</f>
        <v>497</v>
      </c>
      <c r="S311" s="81" t="str">
        <f>IFERROR(VLOOKUP($G311,融外自投!$A:$J,10,0),"無")</f>
        <v>無</v>
      </c>
      <c r="T311" s="327">
        <f>IFERROR(VLOOKUP($G311,'321買'!$A:$E,5,0),"'沒有資料'")</f>
        <v>1383</v>
      </c>
      <c r="U311" s="186">
        <f>IFERROR(VLOOKUP($G311,基本資料!$A:$J,9,0),"無")</f>
        <v>0.5</v>
      </c>
      <c r="V311" s="310">
        <f t="shared" si="70"/>
        <v>2.6246719160104987E-2</v>
      </c>
      <c r="W311" s="94">
        <f>IFERROR(VLOOKUP($G311,基本資料!$A:$J,10,0),"無")</f>
        <v>-0.28000000000000003</v>
      </c>
      <c r="X311" s="36">
        <f>RTD("money.excel",,"1813","Price")</f>
        <v>19.05</v>
      </c>
      <c r="Y311" s="66"/>
      <c r="Z311" s="15">
        <f t="shared" si="71"/>
        <v>19.05</v>
      </c>
      <c r="AA311" s="3" t="e">
        <f t="shared" si="72"/>
        <v>#DIV/0!</v>
      </c>
      <c r="AB311" s="344">
        <f>IFERROR(VLOOKUP($G311,基本資料!$A:$M,11,0),"無")</f>
        <v>-4.5</v>
      </c>
      <c r="AC311" s="397">
        <f>IFERROR(VLOOKUP($G311,基本資料!$A:$M,12,0),"無")</f>
        <v>54.16</v>
      </c>
      <c r="AD311" s="16" t="s">
        <v>3703</v>
      </c>
      <c r="AG311" s="33">
        <f t="shared" si="73"/>
        <v>0</v>
      </c>
      <c r="AH311" s="43" t="s">
        <v>3704</v>
      </c>
      <c r="AI311" s="63">
        <f t="shared" si="74"/>
        <v>9.2274678111587988E-4</v>
      </c>
      <c r="AJ311" s="284">
        <f>RTD("money.excel",,$G311,"PredictVolume")</f>
        <v>43</v>
      </c>
      <c r="AK311" s="399">
        <f>IFERROR(VLOOKUP($G311,基本資料!$A:$M,13,0),"無")</f>
        <v>1.0900000000000001</v>
      </c>
    </row>
    <row r="312" spans="1:37">
      <c r="A312" s="347">
        <f>IFERROR(VLOOKUP($G312,基本資料!$A:$J,3,0),"無")</f>
        <v>3.24</v>
      </c>
      <c r="B312" s="79">
        <f>IFERROR(VLOOKUP($G312,基本資料!$A:$J,4,0),"無")</f>
        <v>17</v>
      </c>
      <c r="C312" s="79">
        <f>IFERROR(VLOOKUP($G312,基本資料!$A:$J,5,0),"無")</f>
        <v>19</v>
      </c>
      <c r="D312" s="79">
        <f>IFERROR(VLOOKUP($G312,基本資料!$A:$J,6,0),"無")</f>
        <v>-16</v>
      </c>
      <c r="E312" s="79">
        <f>IFERROR(VLOOKUP($G312,基本資料!$A:$J,7,0),"無")</f>
        <v>-14</v>
      </c>
      <c r="F312" s="6">
        <f>IFERROR(VLOOKUP($G312,基本資料!$A:$J,8,0),"無")</f>
        <v>11.66</v>
      </c>
      <c r="G312" s="79">
        <v>3118</v>
      </c>
      <c r="H312" s="8" t="s">
        <v>309</v>
      </c>
      <c r="I312" s="16" t="s">
        <v>3705</v>
      </c>
      <c r="J312" s="8">
        <f>IFERROR(VLOOKUP($G312,今日總結!$A:$AJ,35,0),"")</f>
        <v>0</v>
      </c>
      <c r="K312" s="5" t="str">
        <f>IFERROR(VLOOKUP($G312,今日總結!$A:$AJ,36,0),"")</f>
        <v>融</v>
      </c>
      <c r="L312" s="156">
        <f>IFERROR(VLOOKUP($G332,今日總結!$A:$AJ,33,0),"")</f>
        <v>0</v>
      </c>
      <c r="M312" s="340">
        <f>IFERROR(VLOOKUP($G312,今日總結!$A:$AJ,34,0),"")</f>
        <v>1</v>
      </c>
      <c r="N312" s="240">
        <f t="shared" si="69"/>
        <v>-1</v>
      </c>
      <c r="P312" s="365">
        <f>IFERROR(VLOOKUP($G312,融外自投!$A:$J,7,0),"無")</f>
        <v>1104</v>
      </c>
      <c r="Q312" s="79" t="str">
        <f>IFERROR(VLOOKUP($G312,融外自投!$A:$J,9,0),"無")</f>
        <v>無</v>
      </c>
      <c r="R312" s="346">
        <f>IFERROR(VLOOKUP($G312,融外自投!$A:$J,8,0),"無")</f>
        <v>483</v>
      </c>
      <c r="S312" s="81" t="str">
        <f>IFERROR(VLOOKUP($G312,融外自投!$A:$J,10,0),"無")</f>
        <v>無</v>
      </c>
      <c r="T312" s="327">
        <f>IFERROR(VLOOKUP($G312,'321買'!$A:$E,5,0),"'沒有資料'")</f>
        <v>1383</v>
      </c>
      <c r="U312" s="186">
        <f>IFERROR(VLOOKUP($G312,基本資料!$A:$J,9,0),"無")</f>
        <v>1.9</v>
      </c>
      <c r="V312" s="310">
        <f t="shared" si="70"/>
        <v>6.4406779661016947E-2</v>
      </c>
      <c r="W312" s="94">
        <f>IFERROR(VLOOKUP($G312,基本資料!$A:$J,10,0),"無")</f>
        <v>2.1</v>
      </c>
      <c r="X312" s="36">
        <f>RTD("money.excel",,"3118","Price")</f>
        <v>29.5</v>
      </c>
      <c r="Y312" s="66"/>
      <c r="Z312" s="15">
        <f t="shared" si="71"/>
        <v>29.5</v>
      </c>
      <c r="AA312" s="3" t="e">
        <f t="shared" si="72"/>
        <v>#DIV/0!</v>
      </c>
      <c r="AB312" s="344">
        <f>IFERROR(VLOOKUP($G312,基本資料!$A:$M,11,0),"無")</f>
        <v>-15.25</v>
      </c>
      <c r="AC312" s="397">
        <f>IFERROR(VLOOKUP($G312,基本資料!$A:$M,12,0),"無")</f>
        <v>26.57</v>
      </c>
      <c r="AD312" s="16" t="s">
        <v>3705</v>
      </c>
      <c r="AG312" s="33">
        <f t="shared" si="73"/>
        <v>0</v>
      </c>
      <c r="AH312" s="43" t="s">
        <v>3706</v>
      </c>
      <c r="AI312" s="63">
        <f t="shared" si="74"/>
        <v>1.4814814814814814E-3</v>
      </c>
      <c r="AJ312" s="284">
        <f>RTD("money.excel",,$G312,"PredictVolume")</f>
        <v>48</v>
      </c>
      <c r="AK312" s="399">
        <f>IFERROR(VLOOKUP($G312,基本資料!$A:$M,13,0),"無")</f>
        <v>5.46</v>
      </c>
    </row>
    <row r="313" spans="1:37">
      <c r="A313" s="347">
        <f>IFERROR(VLOOKUP($G313,基本資料!$A:$J,3,0),"無")</f>
        <v>8.6300000000000008</v>
      </c>
      <c r="B313" s="79">
        <f>IFERROR(VLOOKUP($G313,基本資料!$A:$J,4,0),"無")</f>
        <v>82</v>
      </c>
      <c r="C313" s="79">
        <f>IFERROR(VLOOKUP($G313,基本資料!$A:$J,5,0),"無")</f>
        <v>76</v>
      </c>
      <c r="D313" s="79">
        <f>IFERROR(VLOOKUP($G313,基本資料!$A:$J,6,0),"無")</f>
        <v>94</v>
      </c>
      <c r="E313" s="79">
        <f>IFERROR(VLOOKUP($G313,基本資料!$A:$J,7,0),"無")</f>
        <v>-17</v>
      </c>
      <c r="F313" s="6">
        <f>IFERROR(VLOOKUP($G313,基本資料!$A:$J,8,0),"無")</f>
        <v>29.22</v>
      </c>
      <c r="G313" s="79">
        <v>3164</v>
      </c>
      <c r="H313" s="192" t="s">
        <v>309</v>
      </c>
      <c r="I313" s="22" t="s">
        <v>3707</v>
      </c>
      <c r="J313" s="8" t="str">
        <f>IFERROR(VLOOKUP($G313,今日總結!$A:$AJ,35,0),"")</f>
        <v>融</v>
      </c>
      <c r="K313" s="5">
        <f>IFERROR(VLOOKUP($G313,今日總結!$A:$AJ,36,0),"")</f>
        <v>0</v>
      </c>
      <c r="L313" s="156" t="str">
        <f>IFERROR(VLOOKUP($G333,今日總結!$A:$AJ,33,0),"")</f>
        <v/>
      </c>
      <c r="M313" s="340">
        <f>IFERROR(VLOOKUP($G313,今日總結!$A:$AJ,34,0),"")</f>
        <v>0</v>
      </c>
      <c r="N313" s="240" t="str">
        <f t="shared" si="69"/>
        <v/>
      </c>
      <c r="P313" s="365">
        <f>IFERROR(VLOOKUP($G313,融外自投!$A:$J,7,0),"無")</f>
        <v>976</v>
      </c>
      <c r="Q313" s="79">
        <f>IFERROR(VLOOKUP($G313,融外自投!$A:$J,9,0),"無")</f>
        <v>936</v>
      </c>
      <c r="R313" s="346">
        <f>IFERROR(VLOOKUP($G313,融外自投!$A:$J,8,0),"無")</f>
        <v>1236</v>
      </c>
      <c r="S313" s="81" t="str">
        <f>IFERROR(VLOOKUP($G313,融外自投!$A:$J,10,0),"無")</f>
        <v>無</v>
      </c>
      <c r="T313" s="327">
        <f>IFERROR(VLOOKUP($G313,'321買'!$A:$E,5,0),"'沒有資料'")</f>
        <v>1179</v>
      </c>
      <c r="U313" s="186">
        <f>IFERROR(VLOOKUP($G313,基本資料!$A:$J,9,0),"無")</f>
        <v>1.1000000000000001</v>
      </c>
      <c r="V313" s="310">
        <f t="shared" si="70"/>
        <v>4.1666666666666671E-2</v>
      </c>
      <c r="W313" s="94">
        <f>IFERROR(VLOOKUP($G313,基本資料!$A:$J,10,0),"無")</f>
        <v>1.31</v>
      </c>
      <c r="X313" s="36">
        <f>RTD("money.excel",,"3164","Price")</f>
        <v>26.4</v>
      </c>
      <c r="Y313" s="66"/>
      <c r="Z313" s="15">
        <f t="shared" si="71"/>
        <v>26.4</v>
      </c>
      <c r="AA313" s="3" t="e">
        <f t="shared" si="72"/>
        <v>#DIV/0!</v>
      </c>
      <c r="AB313" s="344">
        <f>IFERROR(VLOOKUP($G313,基本資料!$A:$M,11,0),"無")</f>
        <v>-6.54</v>
      </c>
      <c r="AC313" s="397">
        <f>IFERROR(VLOOKUP($G313,基本資料!$A:$M,12,0),"無")</f>
        <v>67.92</v>
      </c>
      <c r="AD313" s="22" t="s">
        <v>3707</v>
      </c>
      <c r="AG313" s="33">
        <f t="shared" si="73"/>
        <v>0</v>
      </c>
      <c r="AH313" s="43" t="s">
        <v>3708</v>
      </c>
      <c r="AI313" s="63">
        <f t="shared" si="74"/>
        <v>3.5921205098493619E-4</v>
      </c>
      <c r="AJ313" s="284">
        <f>RTD("money.excel",,$G313,"PredictVolume")</f>
        <v>31</v>
      </c>
      <c r="AK313" s="399">
        <f>IFERROR(VLOOKUP($G313,基本資料!$A:$M,13,0),"無")</f>
        <v>6.6</v>
      </c>
    </row>
    <row r="314" spans="1:37">
      <c r="A314" s="347">
        <f>IFERROR(VLOOKUP($G314,基本資料!$A:$J,3,0),"無")</f>
        <v>13.94</v>
      </c>
      <c r="B314" s="79">
        <f>IFERROR(VLOOKUP($G314,基本資料!$A:$J,4,0),"無")</f>
        <v>226</v>
      </c>
      <c r="C314" s="79">
        <f>IFERROR(VLOOKUP($G314,基本資料!$A:$J,5,0),"無")</f>
        <v>186</v>
      </c>
      <c r="D314" s="79">
        <f>IFERROR(VLOOKUP($G314,基本資料!$A:$J,6,0),"無")</f>
        <v>245</v>
      </c>
      <c r="E314" s="79">
        <f>IFERROR(VLOOKUP($G314,基本資料!$A:$J,7,0),"無")</f>
        <v>119</v>
      </c>
      <c r="F314" s="6">
        <f>IFERROR(VLOOKUP($G314,基本資料!$A:$J,8,0),"無")</f>
        <v>20.12</v>
      </c>
      <c r="G314" s="79">
        <v>3176</v>
      </c>
      <c r="H314" s="8" t="s">
        <v>309</v>
      </c>
      <c r="I314" s="16" t="s">
        <v>3709</v>
      </c>
      <c r="J314" s="8" t="str">
        <f>IFERROR(VLOOKUP($G314,今日總結!$A:$AJ,35,0),"")</f>
        <v/>
      </c>
      <c r="K314" s="5" t="str">
        <f>IFERROR(VLOOKUP($G314,今日總結!$A:$AJ,36,0),"")</f>
        <v/>
      </c>
      <c r="L314" s="156">
        <f>IFERROR(VLOOKUP($G334,今日總結!$A:$AJ,33,0),"")</f>
        <v>0</v>
      </c>
      <c r="M314" s="340" t="str">
        <f>IFERROR(VLOOKUP($G314,今日總結!$A:$AJ,34,0),"")</f>
        <v/>
      </c>
      <c r="N314" s="240" t="str">
        <f t="shared" si="69"/>
        <v/>
      </c>
      <c r="P314" s="365" t="str">
        <f>IFERROR(VLOOKUP($G314,融外自投!$A:$J,7,0),"無")</f>
        <v>無</v>
      </c>
      <c r="Q314" s="79" t="str">
        <f>IFERROR(VLOOKUP($G314,融外自投!$A:$J,9,0),"無")</f>
        <v>無</v>
      </c>
      <c r="R314" s="346" t="str">
        <f>IFERROR(VLOOKUP($G314,融外自投!$A:$J,8,0),"無")</f>
        <v>無</v>
      </c>
      <c r="S314" s="81" t="str">
        <f>IFERROR(VLOOKUP($G314,融外自投!$A:$J,10,0),"無")</f>
        <v>無</v>
      </c>
      <c r="T314" s="327" t="str">
        <f>IFERROR(VLOOKUP($G314,'321買'!$A:$E,5,0),"'沒有資料'")</f>
        <v>'沒有資料'</v>
      </c>
      <c r="U314" s="186">
        <f>IFERROR(VLOOKUP($G314,基本資料!$A:$J,9,0),"無")</f>
        <v>0</v>
      </c>
      <c r="V314" s="310">
        <f t="shared" si="70"/>
        <v>0</v>
      </c>
      <c r="W314" s="94">
        <f>IFERROR(VLOOKUP($G314,基本資料!$A:$J,10,0),"無")</f>
        <v>-0.38</v>
      </c>
      <c r="X314" s="36">
        <f>RTD("money.excel",,"3176","Price")</f>
        <v>48</v>
      </c>
      <c r="Y314" s="66"/>
      <c r="Z314" s="15">
        <f t="shared" si="71"/>
        <v>48</v>
      </c>
      <c r="AA314" s="3" t="e">
        <f t="shared" si="72"/>
        <v>#DIV/0!</v>
      </c>
      <c r="AB314" s="344">
        <f>IFERROR(VLOOKUP($G314,基本資料!$A:$M,11,0),"無")</f>
        <v>-44.89</v>
      </c>
      <c r="AC314" s="397">
        <f>IFERROR(VLOOKUP($G314,基本資料!$A:$M,12,0),"無")</f>
        <v>28.58</v>
      </c>
      <c r="AD314" s="16" t="s">
        <v>3709</v>
      </c>
      <c r="AG314" s="33">
        <f t="shared" si="73"/>
        <v>0</v>
      </c>
      <c r="AH314" s="43" t="s">
        <v>3710</v>
      </c>
      <c r="AI314" s="63">
        <f t="shared" si="74"/>
        <v>2.9698708751793399E-3</v>
      </c>
      <c r="AJ314" s="284">
        <f>RTD("money.excel",,$G314,"PredictVolume")</f>
        <v>414</v>
      </c>
      <c r="AK314" s="399">
        <f>IFERROR(VLOOKUP($G314,基本資料!$A:$M,13,0),"無")</f>
        <v>11.3</v>
      </c>
    </row>
    <row r="315" spans="1:37">
      <c r="A315" s="347">
        <f>IFERROR(VLOOKUP($G315,基本資料!$A:$J,3,0),"無")</f>
        <v>3.27</v>
      </c>
      <c r="B315" s="79">
        <f>IFERROR(VLOOKUP($G315,基本資料!$A:$J,4,0),"無")</f>
        <v>-17</v>
      </c>
      <c r="C315" s="79">
        <f>IFERROR(VLOOKUP($G315,基本資料!$A:$J,5,0),"無")</f>
        <v>-25</v>
      </c>
      <c r="D315" s="79">
        <f>IFERROR(VLOOKUP($G315,基本資料!$A:$J,6,0),"無")</f>
        <v>0</v>
      </c>
      <c r="E315" s="79">
        <f>IFERROR(VLOOKUP($G315,基本資料!$A:$J,7,0),"無")</f>
        <v>-15</v>
      </c>
      <c r="F315" s="6">
        <f>IFERROR(VLOOKUP($G315,基本資料!$A:$J,8,0),"無")</f>
        <v>-15.32</v>
      </c>
      <c r="G315" s="79">
        <v>3205</v>
      </c>
      <c r="H315" s="8" t="s">
        <v>309</v>
      </c>
      <c r="I315" s="16" t="s">
        <v>3711</v>
      </c>
      <c r="J315" s="8" t="str">
        <f>IFERROR(VLOOKUP($G315,今日總結!$A:$AJ,35,0),"")</f>
        <v/>
      </c>
      <c r="K315" s="5" t="str">
        <f>IFERROR(VLOOKUP($G315,今日總結!$A:$AJ,36,0),"")</f>
        <v/>
      </c>
      <c r="L315" s="156">
        <f>IFERROR(VLOOKUP($G335,今日總結!$A:$AJ,33,0),"")</f>
        <v>1</v>
      </c>
      <c r="M315" s="340" t="str">
        <f>IFERROR(VLOOKUP($G315,今日總結!$A:$AJ,34,0),"")</f>
        <v/>
      </c>
      <c r="N315" s="240" t="str">
        <f t="shared" si="69"/>
        <v/>
      </c>
      <c r="P315" s="365">
        <f>IFERROR(VLOOKUP($G315,融外自投!$A:$J,7,0),"無")</f>
        <v>611</v>
      </c>
      <c r="Q315" s="79">
        <f>IFERROR(VLOOKUP($G315,融外自投!$A:$J,9,0),"無")</f>
        <v>683</v>
      </c>
      <c r="R315" s="346">
        <f>IFERROR(VLOOKUP($G315,融外自投!$A:$J,8,0),"無")</f>
        <v>511</v>
      </c>
      <c r="S315" s="81" t="str">
        <f>IFERROR(VLOOKUP($G315,融外自投!$A:$J,10,0),"無")</f>
        <v>無</v>
      </c>
      <c r="T315" s="327">
        <f>IFERROR(VLOOKUP($G315,'321買'!$A:$E,5,0),"'沒有資料'")</f>
        <v>1239</v>
      </c>
      <c r="U315" s="186">
        <f>IFERROR(VLOOKUP($G315,基本資料!$A:$J,9,0),"無")</f>
        <v>0</v>
      </c>
      <c r="V315" s="310">
        <f t="shared" si="70"/>
        <v>0</v>
      </c>
      <c r="W315" s="94">
        <f>IFERROR(VLOOKUP($G315,基本資料!$A:$J,10,0),"無")</f>
        <v>-2.66</v>
      </c>
      <c r="X315" s="36">
        <f>RTD("money.excel",,"3205","Price")</f>
        <v>21.75</v>
      </c>
      <c r="Y315" s="66"/>
      <c r="Z315" s="15">
        <f t="shared" si="71"/>
        <v>21.75</v>
      </c>
      <c r="AA315" s="3" t="e">
        <f t="shared" si="72"/>
        <v>#DIV/0!</v>
      </c>
      <c r="AB315" s="344">
        <f>IFERROR(VLOOKUP($G315,基本資料!$A:$M,11,0),"無")</f>
        <v>-25.68</v>
      </c>
      <c r="AC315" s="397">
        <f>IFERROR(VLOOKUP($G315,基本資料!$A:$M,12,0),"無")</f>
        <v>27.91</v>
      </c>
      <c r="AD315" s="16" t="s">
        <v>3711</v>
      </c>
      <c r="AG315" s="33">
        <f t="shared" si="73"/>
        <v>0</v>
      </c>
      <c r="AH315" s="43" t="s">
        <v>3712</v>
      </c>
      <c r="AI315" s="63">
        <f t="shared" si="74"/>
        <v>1.9877675840978591E-3</v>
      </c>
      <c r="AJ315" s="284">
        <f>RTD("money.excel",,$G315,"PredictVolume")</f>
        <v>65</v>
      </c>
      <c r="AK315" s="399">
        <f>IFERROR(VLOOKUP($G315,基本資料!$A:$M,13,0),"無")</f>
        <v>11.81</v>
      </c>
    </row>
    <row r="316" spans="1:37">
      <c r="A316" s="347">
        <f>IFERROR(VLOOKUP($G316,基本資料!$A:$J,3,0),"無")</f>
        <v>7.61</v>
      </c>
      <c r="B316" s="79">
        <f>IFERROR(VLOOKUP($G316,基本資料!$A:$J,4,0),"無")</f>
        <v>26</v>
      </c>
      <c r="C316" s="79">
        <f>IFERROR(VLOOKUP($G316,基本資料!$A:$J,5,0),"無")</f>
        <v>28</v>
      </c>
      <c r="D316" s="79">
        <f>IFERROR(VLOOKUP($G316,基本資料!$A:$J,6,0),"無")</f>
        <v>10</v>
      </c>
      <c r="E316" s="79">
        <f>IFERROR(VLOOKUP($G316,基本資料!$A:$J,7,0),"無")</f>
        <v>34</v>
      </c>
      <c r="F316" s="6">
        <f>IFERROR(VLOOKUP($G316,基本資料!$A:$J,8,0),"無")</f>
        <v>29.2</v>
      </c>
      <c r="G316" s="79">
        <v>3218</v>
      </c>
      <c r="H316" s="8" t="s">
        <v>309</v>
      </c>
      <c r="I316" s="16" t="s">
        <v>3713</v>
      </c>
      <c r="J316" s="8" t="str">
        <f>IFERROR(VLOOKUP($G316,今日總結!$A:$AJ,35,0),"")</f>
        <v/>
      </c>
      <c r="K316" s="5" t="str">
        <f>IFERROR(VLOOKUP($G316,今日總結!$A:$AJ,36,0),"")</f>
        <v/>
      </c>
      <c r="L316" s="156">
        <f>IFERROR(VLOOKUP($G336,今日總結!$A:$AJ,33,0),"")</f>
        <v>0</v>
      </c>
      <c r="M316" s="340" t="str">
        <f>IFERROR(VLOOKUP($G316,今日總結!$A:$AJ,34,0),"")</f>
        <v/>
      </c>
      <c r="N316" s="240" t="str">
        <f t="shared" si="69"/>
        <v/>
      </c>
      <c r="P316" s="365">
        <f>IFERROR(VLOOKUP($G316,融外自投!$A:$J,7,0),"無")</f>
        <v>906</v>
      </c>
      <c r="Q316" s="79">
        <f>IFERROR(VLOOKUP($G316,融外自投!$A:$J,9,0),"無")</f>
        <v>447</v>
      </c>
      <c r="R316" s="346">
        <f>IFERROR(VLOOKUP($G316,融外自投!$A:$J,8,0),"無")</f>
        <v>160</v>
      </c>
      <c r="S316" s="81">
        <f>IFERROR(VLOOKUP($G316,融外自投!$A:$J,10,0),"無")</f>
        <v>315</v>
      </c>
      <c r="T316" s="327">
        <f>IFERROR(VLOOKUP($G316,'321買'!$A:$E,5,0),"'沒有資料'")</f>
        <v>558</v>
      </c>
      <c r="U316" s="186">
        <f>IFERROR(VLOOKUP($G316,基本資料!$A:$J,9,0),"無")</f>
        <v>5.5</v>
      </c>
      <c r="V316" s="310">
        <f t="shared" si="70"/>
        <v>2.2177419354838711E-2</v>
      </c>
      <c r="W316" s="94">
        <f>IFERROR(VLOOKUP($G316,基本資料!$A:$J,10,0),"無")</f>
        <v>7.82</v>
      </c>
      <c r="X316" s="36">
        <f>RTD("money.excel",,"3218","Price")</f>
        <v>248</v>
      </c>
      <c r="Y316" s="66"/>
      <c r="Z316" s="15">
        <f t="shared" si="71"/>
        <v>248</v>
      </c>
      <c r="AA316" s="3" t="e">
        <f t="shared" si="72"/>
        <v>#DIV/0!</v>
      </c>
      <c r="AB316" s="344">
        <f>IFERROR(VLOOKUP($G316,基本資料!$A:$M,11,0),"無")</f>
        <v>-48.67</v>
      </c>
      <c r="AC316" s="397">
        <f>IFERROR(VLOOKUP($G316,基本資料!$A:$M,12,0),"無")</f>
        <v>18.61</v>
      </c>
      <c r="AD316" s="16" t="s">
        <v>3713</v>
      </c>
      <c r="AG316" s="33">
        <f t="shared" si="73"/>
        <v>0</v>
      </c>
      <c r="AH316" s="43" t="s">
        <v>3714</v>
      </c>
      <c r="AI316" s="63">
        <f t="shared" si="74"/>
        <v>6.7148488830486202E-3</v>
      </c>
      <c r="AJ316" s="284">
        <f>RTD("money.excel",,$G316,"PredictVolume")</f>
        <v>511</v>
      </c>
      <c r="AK316" s="399">
        <f>IFERROR(VLOOKUP($G316,基本資料!$A:$M,13,0),"無")</f>
        <v>7.26</v>
      </c>
    </row>
    <row r="317" spans="1:37">
      <c r="A317" s="347">
        <f>IFERROR(VLOOKUP($G317,基本資料!$A:$J,3,0),"無")</f>
        <v>26.64</v>
      </c>
      <c r="B317" s="79">
        <f>IFERROR(VLOOKUP($G317,基本資料!$A:$J,4,0),"無")</f>
        <v>-3</v>
      </c>
      <c r="C317" s="79">
        <f>IFERROR(VLOOKUP($G317,基本資料!$A:$J,5,0),"無")</f>
        <v>0</v>
      </c>
      <c r="D317" s="79">
        <f>IFERROR(VLOOKUP($G317,基本資料!$A:$J,6,0),"無")</f>
        <v>59</v>
      </c>
      <c r="E317" s="79">
        <f>IFERROR(VLOOKUP($G317,基本資料!$A:$J,7,0),"無")</f>
        <v>18</v>
      </c>
      <c r="F317" s="6">
        <f>IFERROR(VLOOKUP($G317,基本資料!$A:$J,8,0),"無")</f>
        <v>12.27</v>
      </c>
      <c r="G317" s="79">
        <v>3705</v>
      </c>
      <c r="H317" s="192" t="s">
        <v>309</v>
      </c>
      <c r="I317" s="22" t="s">
        <v>3715</v>
      </c>
      <c r="J317" s="8" t="str">
        <f>IFERROR(VLOOKUP($G317,今日總結!$A:$AJ,35,0),"")</f>
        <v/>
      </c>
      <c r="K317" s="5" t="str">
        <f>IFERROR(VLOOKUP($G317,今日總結!$A:$AJ,36,0),"")</f>
        <v/>
      </c>
      <c r="L317" s="156" t="str">
        <f>IFERROR(VLOOKUP($G337,今日總結!$A:$AJ,33,0),"")</f>
        <v/>
      </c>
      <c r="M317" s="340" t="str">
        <f>IFERROR(VLOOKUP($G317,今日總結!$A:$AJ,34,0),"")</f>
        <v/>
      </c>
      <c r="N317" s="240" t="str">
        <f t="shared" si="69"/>
        <v/>
      </c>
      <c r="O317" s="7"/>
      <c r="P317" s="365">
        <f>IFERROR(VLOOKUP($G317,融外自投!$A:$J,7,0),"無")</f>
        <v>1298</v>
      </c>
      <c r="Q317" s="79">
        <f>IFERROR(VLOOKUP($G317,融外自投!$A:$J,9,0),"無")</f>
        <v>379</v>
      </c>
      <c r="R317" s="346">
        <f>IFERROR(VLOOKUP($G317,融外自投!$A:$J,8,0),"無")</f>
        <v>443</v>
      </c>
      <c r="S317" s="81" t="str">
        <f>IFERROR(VLOOKUP($G317,融外自投!$A:$J,10,0),"無")</f>
        <v>無</v>
      </c>
      <c r="T317" s="327">
        <f>IFERROR(VLOOKUP($G317,'321買'!$A:$E,5,0),"'沒有資料'")</f>
        <v>1038</v>
      </c>
      <c r="U317" s="186">
        <f>IFERROR(VLOOKUP($G317,基本資料!$A:$J,9,0),"無")</f>
        <v>1.7</v>
      </c>
      <c r="V317" s="310">
        <f t="shared" si="70"/>
        <v>3.9906103286384977E-2</v>
      </c>
      <c r="W317" s="94">
        <f>IFERROR(VLOOKUP($G317,基本資料!$A:$J,10,0),"無")</f>
        <v>2.77</v>
      </c>
      <c r="X317" s="36">
        <f>RTD("money.excel",,"3705","Price")</f>
        <v>42.6</v>
      </c>
      <c r="Y317" s="66"/>
      <c r="Z317" s="15">
        <f t="shared" si="71"/>
        <v>42.6</v>
      </c>
      <c r="AA317" s="3" t="e">
        <f t="shared" si="72"/>
        <v>#DIV/0!</v>
      </c>
      <c r="AB317" s="344">
        <f>IFERROR(VLOOKUP($G317,基本資料!$A:$M,11,0),"無")</f>
        <v>-6.16</v>
      </c>
      <c r="AC317" s="397">
        <f>IFERROR(VLOOKUP($G317,基本資料!$A:$M,12,0),"無")</f>
        <v>27.63</v>
      </c>
      <c r="AD317" s="22" t="s">
        <v>3715</v>
      </c>
      <c r="AG317" s="33">
        <f t="shared" si="73"/>
        <v>0</v>
      </c>
      <c r="AH317" s="43" t="s">
        <v>3716</v>
      </c>
      <c r="AI317" s="63">
        <f t="shared" si="74"/>
        <v>7.0945945945945948E-4</v>
      </c>
      <c r="AJ317" s="284">
        <f>RTD("money.excel",,$G317,"PredictVolume")</f>
        <v>189</v>
      </c>
      <c r="AK317" s="399">
        <f>IFERROR(VLOOKUP($G317,基本資料!$A:$M,13,0),"無")</f>
        <v>0.77</v>
      </c>
    </row>
    <row r="318" spans="1:37">
      <c r="A318" s="347">
        <f>IFERROR(VLOOKUP($G318,基本資料!$A:$J,3,0),"無")</f>
        <v>4.2300000000000004</v>
      </c>
      <c r="B318" s="79">
        <f>IFERROR(VLOOKUP($G318,基本資料!$A:$J,4,0),"無")</f>
        <v>-73</v>
      </c>
      <c r="C318" s="79">
        <f>IFERROR(VLOOKUP($G318,基本資料!$A:$J,5,0),"無")</f>
        <v>-75</v>
      </c>
      <c r="D318" s="79">
        <f>IFERROR(VLOOKUP($G318,基本資料!$A:$J,6,0),"無")</f>
        <v>46</v>
      </c>
      <c r="E318" s="79">
        <f>IFERROR(VLOOKUP($G318,基本資料!$A:$J,7,0),"無")</f>
        <v>2</v>
      </c>
      <c r="F318" s="6">
        <f>IFERROR(VLOOKUP($G318,基本資料!$A:$J,8,0),"無")</f>
        <v>1.51</v>
      </c>
      <c r="G318" s="79">
        <v>4102</v>
      </c>
      <c r="H318" s="8" t="s">
        <v>309</v>
      </c>
      <c r="I318" s="16" t="s">
        <v>3717</v>
      </c>
      <c r="J318" s="8" t="str">
        <f>IFERROR(VLOOKUP($G318,今日總結!$A:$AJ,35,0),"")</f>
        <v/>
      </c>
      <c r="K318" s="5" t="str">
        <f>IFERROR(VLOOKUP($G318,今日總結!$A:$AJ,36,0),"")</f>
        <v/>
      </c>
      <c r="L318" s="156">
        <f>IFERROR(VLOOKUP($G338,今日總結!$A:$AJ,33,0),"")</f>
        <v>1</v>
      </c>
      <c r="M318" s="340" t="str">
        <f>IFERROR(VLOOKUP($G318,今日總結!$A:$AJ,34,0),"")</f>
        <v/>
      </c>
      <c r="N318" s="240" t="str">
        <f t="shared" si="69"/>
        <v/>
      </c>
      <c r="P318" s="365">
        <f>IFERROR(VLOOKUP($G318,融外自投!$A:$J,7,0),"無")</f>
        <v>63</v>
      </c>
      <c r="Q318" s="79">
        <f>IFERROR(VLOOKUP($G318,融外自投!$A:$J,9,0),"無")</f>
        <v>762</v>
      </c>
      <c r="R318" s="346">
        <f>IFERROR(VLOOKUP($G318,融外自投!$A:$J,8,0),"無")</f>
        <v>1035</v>
      </c>
      <c r="S318" s="81" t="str">
        <f>IFERROR(VLOOKUP($G318,融外自投!$A:$J,10,0),"無")</f>
        <v>無</v>
      </c>
      <c r="T318" s="327">
        <f>IFERROR(VLOOKUP($G318,'321買'!$A:$E,5,0),"'沒有資料'")</f>
        <v>984</v>
      </c>
      <c r="U318" s="186">
        <f>IFERROR(VLOOKUP($G318,基本資料!$A:$J,9,0),"無")</f>
        <v>0.1</v>
      </c>
      <c r="V318" s="310">
        <f t="shared" si="70"/>
        <v>4.8309178743961359E-3</v>
      </c>
      <c r="W318" s="94">
        <f>IFERROR(VLOOKUP($G318,基本資料!$A:$J,10,0),"無")</f>
        <v>0.14000000000000001</v>
      </c>
      <c r="X318" s="36">
        <f>RTD("money.excel",,"4102","Price")</f>
        <v>20.7</v>
      </c>
      <c r="Y318" s="66"/>
      <c r="Z318" s="15">
        <f t="shared" si="71"/>
        <v>20.7</v>
      </c>
      <c r="AA318" s="3" t="e">
        <f t="shared" si="72"/>
        <v>#DIV/0!</v>
      </c>
      <c r="AB318" s="344">
        <f>IFERROR(VLOOKUP($G318,基本資料!$A:$M,11,0),"無")</f>
        <v>-26.39</v>
      </c>
      <c r="AC318" s="397">
        <f>IFERROR(VLOOKUP($G318,基本資料!$A:$M,12,0),"無")</f>
        <v>41.13</v>
      </c>
      <c r="AD318" s="16" t="s">
        <v>3717</v>
      </c>
      <c r="AG318" s="33">
        <f t="shared" si="73"/>
        <v>0</v>
      </c>
      <c r="AH318" s="43" t="s">
        <v>3718</v>
      </c>
      <c r="AI318" s="63">
        <f t="shared" si="74"/>
        <v>2.8628841607565007E-2</v>
      </c>
      <c r="AJ318" s="284">
        <f>RTD("money.excel",,$G318,"PredictVolume")</f>
        <v>1211</v>
      </c>
      <c r="AK318" s="399">
        <f>IFERROR(VLOOKUP($G318,基本資料!$A:$M,13,0),"無")</f>
        <v>36.520000000000003</v>
      </c>
    </row>
    <row r="319" spans="1:37">
      <c r="A319" s="347">
        <f>IFERROR(VLOOKUP($G319,基本資料!$A:$J,3,0),"無")</f>
        <v>14.11</v>
      </c>
      <c r="B319" s="79">
        <f>IFERROR(VLOOKUP($G319,基本資料!$A:$J,4,0),"無")</f>
        <v>7</v>
      </c>
      <c r="C319" s="79">
        <f>IFERROR(VLOOKUP($G319,基本資料!$A:$J,5,0),"無")</f>
        <v>12</v>
      </c>
      <c r="D319" s="79">
        <f>IFERROR(VLOOKUP($G319,基本資料!$A:$J,6,0),"無")</f>
        <v>12</v>
      </c>
      <c r="E319" s="79">
        <f>IFERROR(VLOOKUP($G319,基本資料!$A:$J,7,0),"無")</f>
        <v>4</v>
      </c>
      <c r="F319" s="6">
        <f>IFERROR(VLOOKUP($G319,基本資料!$A:$J,8,0),"無")</f>
        <v>9.0500000000000007</v>
      </c>
      <c r="G319" s="79">
        <v>4104</v>
      </c>
      <c r="H319" s="192" t="s">
        <v>309</v>
      </c>
      <c r="I319" s="22" t="s">
        <v>3719</v>
      </c>
      <c r="J319" s="8">
        <f>IFERROR(VLOOKUP($G319,今日總結!$A:$AJ,35,0),"")</f>
        <v>0</v>
      </c>
      <c r="K319" s="5" t="str">
        <f>IFERROR(VLOOKUP($G319,今日總結!$A:$AJ,36,0),"")</f>
        <v>融借</v>
      </c>
      <c r="L319" s="156" t="str">
        <f>IFERROR(VLOOKUP($G339,今日總結!$A:$AJ,33,0),"")</f>
        <v/>
      </c>
      <c r="M319" s="340">
        <f>IFERROR(VLOOKUP($G319,今日總結!$A:$AJ,34,0),"")</f>
        <v>2</v>
      </c>
      <c r="N319" s="240" t="str">
        <f t="shared" si="69"/>
        <v/>
      </c>
      <c r="P319" s="365">
        <f>IFERROR(VLOOKUP($G319,融外自投!$A:$J,7,0),"無")</f>
        <v>1296</v>
      </c>
      <c r="Q319" s="79">
        <f>IFERROR(VLOOKUP($G319,融外自投!$A:$J,9,0),"無")</f>
        <v>537</v>
      </c>
      <c r="R319" s="346">
        <f>IFERROR(VLOOKUP($G319,融外自投!$A:$J,8,0),"無")</f>
        <v>568</v>
      </c>
      <c r="S319" s="81" t="str">
        <f>IFERROR(VLOOKUP($G319,融外自投!$A:$J,10,0),"無")</f>
        <v>無</v>
      </c>
      <c r="T319" s="327">
        <f>IFERROR(VLOOKUP($G319,'321買'!$A:$E,5,0),"'沒有資料'")</f>
        <v>536</v>
      </c>
      <c r="U319" s="186">
        <f>IFERROR(VLOOKUP($G319,基本資料!$A:$J,9,0),"無")</f>
        <v>4</v>
      </c>
      <c r="V319" s="310">
        <f t="shared" si="70"/>
        <v>5.9084194977843424E-2</v>
      </c>
      <c r="W319" s="94">
        <f>IFERROR(VLOOKUP($G319,基本資料!$A:$J,10,0),"無")</f>
        <v>4.3</v>
      </c>
      <c r="X319" s="36">
        <f>RTD("money.excel",,"4104","Price")</f>
        <v>67.7</v>
      </c>
      <c r="Y319" s="66"/>
      <c r="Z319" s="15">
        <f t="shared" si="71"/>
        <v>67.7</v>
      </c>
      <c r="AA319" s="3" t="e">
        <f t="shared" si="72"/>
        <v>#DIV/0!</v>
      </c>
      <c r="AB319" s="344">
        <f>IFERROR(VLOOKUP($G319,基本資料!$A:$M,11,0),"無")</f>
        <v>-6.04</v>
      </c>
      <c r="AC319" s="397">
        <f>IFERROR(VLOOKUP($G319,基本資料!$A:$M,12,0),"無")</f>
        <v>74.83</v>
      </c>
      <c r="AD319" s="22" t="s">
        <v>3719</v>
      </c>
      <c r="AG319" s="33">
        <f t="shared" si="73"/>
        <v>0</v>
      </c>
      <c r="AH319" s="43" t="s">
        <v>3720</v>
      </c>
      <c r="AI319" s="63">
        <f t="shared" si="74"/>
        <v>2.3245924875974484E-3</v>
      </c>
      <c r="AJ319" s="284">
        <f>RTD("money.excel",,$G319,"PredictVolume")</f>
        <v>328</v>
      </c>
      <c r="AK319" s="399">
        <f>IFERROR(VLOOKUP($G319,基本資料!$A:$M,13,0),"無")</f>
        <v>1.08</v>
      </c>
    </row>
    <row r="320" spans="1:37">
      <c r="A320" s="347">
        <f>IFERROR(VLOOKUP($G320,基本資料!$A:$J,3,0),"無")</f>
        <v>24.86</v>
      </c>
      <c r="B320" s="79">
        <f>IFERROR(VLOOKUP($G320,基本資料!$A:$J,4,0),"無")</f>
        <v>-15</v>
      </c>
      <c r="C320" s="79">
        <f>IFERROR(VLOOKUP($G320,基本資料!$A:$J,5,0),"無")</f>
        <v>19</v>
      </c>
      <c r="D320" s="79">
        <f>IFERROR(VLOOKUP($G320,基本資料!$A:$J,6,0),"無")</f>
        <v>1</v>
      </c>
      <c r="E320" s="79">
        <f>IFERROR(VLOOKUP($G320,基本資料!$A:$J,7,0),"無")</f>
        <v>5</v>
      </c>
      <c r="F320" s="6">
        <f>IFERROR(VLOOKUP($G320,基本資料!$A:$J,8,0),"無")</f>
        <v>25.15</v>
      </c>
      <c r="G320" s="79">
        <v>4105</v>
      </c>
      <c r="H320" s="8" t="s">
        <v>309</v>
      </c>
      <c r="I320" s="16" t="s">
        <v>3721</v>
      </c>
      <c r="J320" s="8">
        <f>IFERROR(VLOOKUP($G320,今日總結!$A:$AJ,35,0),"")</f>
        <v>0</v>
      </c>
      <c r="K320" s="5" t="str">
        <f>IFERROR(VLOOKUP($G320,今日總結!$A:$AJ,36,0),"")</f>
        <v>融外</v>
      </c>
      <c r="L320" s="156">
        <f>IFERROR(VLOOKUP($G320,今日總結!$A:$AJ,33,0),"")</f>
        <v>0</v>
      </c>
      <c r="M320" s="340" t="str">
        <f>IFERROR(VLOOKUP($G340,今日總結!$A:$AJ,34,0),"")</f>
        <v/>
      </c>
      <c r="N320" s="240" t="str">
        <f t="shared" si="69"/>
        <v/>
      </c>
      <c r="P320" s="365">
        <f>IFERROR(VLOOKUP($G320,融外自投!$A:$J,7,0),"無")</f>
        <v>872</v>
      </c>
      <c r="Q320" s="79">
        <f>IFERROR(VLOOKUP($G320,融外自投!$A:$J,9,0),"無")</f>
        <v>537</v>
      </c>
      <c r="R320" s="346">
        <f>IFERROR(VLOOKUP($G320,融外自投!$A:$J,8,0),"無")</f>
        <v>358</v>
      </c>
      <c r="S320" s="81">
        <f>IFERROR(VLOOKUP($G320,融外自投!$A:$J,10,0),"無")</f>
        <v>180</v>
      </c>
      <c r="T320" s="327">
        <f>IFERROR(VLOOKUP($G320,'321買'!$A:$E,5,0),"'沒有資料'")</f>
        <v>664</v>
      </c>
      <c r="U320" s="186">
        <f>IFERROR(VLOOKUP($G320,基本資料!$A:$J,9,0),"無")</f>
        <v>3</v>
      </c>
      <c r="V320" s="310">
        <f t="shared" si="70"/>
        <v>4.405286343612335E-2</v>
      </c>
      <c r="W320" s="94">
        <f>IFERROR(VLOOKUP($G320,基本資料!$A:$J,10,0),"無")</f>
        <v>3.35</v>
      </c>
      <c r="X320" s="36">
        <f>RTD("money.excel",,"4105","Price")</f>
        <v>68.099999999999994</v>
      </c>
      <c r="Y320" s="66"/>
      <c r="Z320" s="15">
        <f t="shared" si="71"/>
        <v>68.099999999999994</v>
      </c>
      <c r="AA320" s="3" t="e">
        <f t="shared" si="72"/>
        <v>#DIV/0!</v>
      </c>
      <c r="AB320" s="344">
        <f>IFERROR(VLOOKUP($G320,基本資料!$A:$M,11,0),"無")</f>
        <v>-27</v>
      </c>
      <c r="AC320" s="397">
        <f>IFERROR(VLOOKUP($G320,基本資料!$A:$M,12,0),"無")</f>
        <v>42.26</v>
      </c>
      <c r="AD320" s="16" t="s">
        <v>3721</v>
      </c>
      <c r="AG320" s="33">
        <f t="shared" si="73"/>
        <v>0</v>
      </c>
      <c r="AH320" s="117" t="s">
        <v>3722</v>
      </c>
      <c r="AI320" s="63">
        <f t="shared" si="74"/>
        <v>2.7232502011263074E-3</v>
      </c>
      <c r="AJ320" s="284">
        <f>RTD("money.excel",,$G320,"PredictVolume")</f>
        <v>677</v>
      </c>
      <c r="AK320" s="399">
        <f>IFERROR(VLOOKUP($G320,基本資料!$A:$M,13,0),"無")</f>
        <v>27.69</v>
      </c>
    </row>
    <row r="321" spans="1:37">
      <c r="A321" s="347">
        <f>IFERROR(VLOOKUP($G321,基本資料!$A:$J,3,0),"無")</f>
        <v>10.09</v>
      </c>
      <c r="B321" s="79">
        <f>IFERROR(VLOOKUP($G321,基本資料!$A:$J,4,0),"無")</f>
        <v>-1</v>
      </c>
      <c r="C321" s="79">
        <f>IFERROR(VLOOKUP($G321,基本資料!$A:$J,5,0),"無")</f>
        <v>5</v>
      </c>
      <c r="D321" s="79">
        <f>IFERROR(VLOOKUP($G321,基本資料!$A:$J,6,0),"無")</f>
        <v>9</v>
      </c>
      <c r="E321" s="79">
        <f>IFERROR(VLOOKUP($G321,基本資料!$A:$J,7,0),"無")</f>
        <v>-11</v>
      </c>
      <c r="F321" s="6">
        <f>IFERROR(VLOOKUP($G321,基本資料!$A:$J,8,0),"無")</f>
        <v>4.3899999999999997</v>
      </c>
      <c r="G321" s="79">
        <v>4106</v>
      </c>
      <c r="H321" s="192" t="s">
        <v>309</v>
      </c>
      <c r="I321" s="22" t="s">
        <v>3723</v>
      </c>
      <c r="J321" s="8">
        <f>IFERROR(VLOOKUP($G321,今日總結!$A:$AJ,35,0),"")</f>
        <v>4</v>
      </c>
      <c r="K321" s="5">
        <f>IFERROR(VLOOKUP($G321,今日總結!$A:$AJ,36,0),"")</f>
        <v>3</v>
      </c>
      <c r="L321" s="156">
        <f>IFERROR(VLOOKUP($G321,今日總結!$A:$AJ,33,0),"")</f>
        <v>1</v>
      </c>
      <c r="M321" s="340" t="str">
        <f>IFERROR(VLOOKUP($G341,今日總結!$A:$AJ,34,0),"")</f>
        <v/>
      </c>
      <c r="N321" s="240" t="str">
        <f t="shared" si="69"/>
        <v/>
      </c>
      <c r="P321" s="365">
        <f>IFERROR(VLOOKUP($G321,融外自投!$A:$J,7,0),"無")</f>
        <v>176</v>
      </c>
      <c r="Q321" s="79">
        <f>IFERROR(VLOOKUP($G321,融外自投!$A:$J,9,0),"無")</f>
        <v>259</v>
      </c>
      <c r="R321" s="346">
        <f>IFERROR(VLOOKUP($G321,融外自投!$A:$J,8,0),"無")</f>
        <v>1008</v>
      </c>
      <c r="S321" s="81" t="str">
        <f>IFERROR(VLOOKUP($G321,融外自投!$A:$J,10,0),"無")</f>
        <v>無</v>
      </c>
      <c r="T321" s="327">
        <f>IFERROR(VLOOKUP($G321,'321買'!$A:$E,5,0),"'沒有資料'")</f>
        <v>536</v>
      </c>
      <c r="U321" s="186">
        <f>IFERROR(VLOOKUP($G321,基本資料!$A:$J,9,0),"無")</f>
        <v>0.55000000000000004</v>
      </c>
      <c r="V321" s="310">
        <f t="shared" si="70"/>
        <v>1.9366197183098594E-2</v>
      </c>
      <c r="W321" s="94">
        <f>IFERROR(VLOOKUP($G321,基本資料!$A:$J,10,0),"無")</f>
        <v>1.01</v>
      </c>
      <c r="X321" s="36">
        <f>RTD("money.excel",,"4106","Price")</f>
        <v>28.4</v>
      </c>
      <c r="Y321" s="66"/>
      <c r="Z321" s="15">
        <f t="shared" si="71"/>
        <v>28.4</v>
      </c>
      <c r="AA321" s="3" t="e">
        <f t="shared" si="72"/>
        <v>#DIV/0!</v>
      </c>
      <c r="AB321" s="344">
        <f>IFERROR(VLOOKUP($G321,基本資料!$A:$M,11,0),"無")</f>
        <v>-41.75</v>
      </c>
      <c r="AC321" s="397">
        <f>IFERROR(VLOOKUP($G321,基本資料!$A:$M,12,0),"無")</f>
        <v>43.45</v>
      </c>
      <c r="AD321" s="22" t="s">
        <v>630</v>
      </c>
      <c r="AG321" s="33">
        <f t="shared" si="73"/>
        <v>0</v>
      </c>
      <c r="AH321" s="43" t="s">
        <v>3724</v>
      </c>
      <c r="AI321" s="63">
        <f t="shared" ref="AI321:AI352" si="75">AJ321/(A321*10000)</f>
        <v>4.3191278493557979E-2</v>
      </c>
      <c r="AJ321" s="284">
        <f>RTD("money.excel",,$G321,"PredictVolume")</f>
        <v>4358</v>
      </c>
      <c r="AK321" s="399">
        <f>IFERROR(VLOOKUP($G321,基本資料!$A:$M,13,0),"無")</f>
        <v>47.52</v>
      </c>
    </row>
    <row r="322" spans="1:37">
      <c r="A322" s="347">
        <f>IFERROR(VLOOKUP($G322,基本資料!$A:$J,3,0),"無")</f>
        <v>6.92</v>
      </c>
      <c r="B322" s="79">
        <f>IFERROR(VLOOKUP($G322,基本資料!$A:$J,4,0),"無")</f>
        <v>-11</v>
      </c>
      <c r="C322" s="79">
        <f>IFERROR(VLOOKUP($G322,基本資料!$A:$J,5,0),"無")</f>
        <v>-9</v>
      </c>
      <c r="D322" s="79">
        <f>IFERROR(VLOOKUP($G322,基本資料!$A:$J,6,0),"無")</f>
        <v>6</v>
      </c>
      <c r="E322" s="79">
        <f>IFERROR(VLOOKUP($G322,基本資料!$A:$J,7,0),"無")</f>
        <v>3</v>
      </c>
      <c r="F322" s="6">
        <f>IFERROR(VLOOKUP($G322,基本資料!$A:$J,8,0),"無")</f>
        <v>30.02</v>
      </c>
      <c r="G322" s="79">
        <v>4107</v>
      </c>
      <c r="H322" s="8" t="s">
        <v>309</v>
      </c>
      <c r="I322" s="16" t="s">
        <v>3725</v>
      </c>
      <c r="J322" s="8" t="str">
        <f>IFERROR(VLOOKUP($G322,今日總結!$A:$AJ,35,0),"")</f>
        <v/>
      </c>
      <c r="K322" s="5" t="str">
        <f>IFERROR(VLOOKUP($G322,今日總結!$A:$AJ,36,0),"")</f>
        <v/>
      </c>
      <c r="L322" s="156" t="str">
        <f>IFERROR(VLOOKUP($G322,今日總結!$A:$AJ,33,0),"")</f>
        <v/>
      </c>
      <c r="M322" s="340" t="str">
        <f>IFERROR(VLOOKUP($G342,今日總結!$A:$AJ,34,0),"")</f>
        <v/>
      </c>
      <c r="N322" s="240" t="str">
        <f t="shared" si="69"/>
        <v/>
      </c>
      <c r="P322" s="365">
        <f>IFERROR(VLOOKUP($G322,融外自投!$A:$J,7,0),"無")</f>
        <v>1262</v>
      </c>
      <c r="Q322" s="79">
        <f>IFERROR(VLOOKUP($G322,融外自投!$A:$J,9,0),"無")</f>
        <v>653</v>
      </c>
      <c r="R322" s="346">
        <f>IFERROR(VLOOKUP($G322,融外自投!$A:$J,8,0),"無")</f>
        <v>183</v>
      </c>
      <c r="S322" s="81" t="str">
        <f>IFERROR(VLOOKUP($G322,融外自投!$A:$J,10,0),"無")</f>
        <v>無</v>
      </c>
      <c r="T322" s="327">
        <f>IFERROR(VLOOKUP($G322,'321買'!$A:$E,5,0),"'沒有資料'")</f>
        <v>915</v>
      </c>
      <c r="U322" s="186">
        <f>IFERROR(VLOOKUP($G322,基本資料!$A:$J,9,0),"無")</f>
        <v>4.5</v>
      </c>
      <c r="V322" s="310">
        <f t="shared" si="70"/>
        <v>4.2253521126760563E-2</v>
      </c>
      <c r="W322" s="94">
        <f>IFERROR(VLOOKUP($G322,基本資料!$A:$J,10,0),"無")</f>
        <v>6.22</v>
      </c>
      <c r="X322" s="36">
        <f>RTD("money.excel",,"4107","Price")</f>
        <v>106.5</v>
      </c>
      <c r="Y322" s="66"/>
      <c r="Z322" s="15">
        <f t="shared" si="71"/>
        <v>106.5</v>
      </c>
      <c r="AA322" s="3" t="e">
        <f t="shared" si="72"/>
        <v>#DIV/0!</v>
      </c>
      <c r="AB322" s="344">
        <f>IFERROR(VLOOKUP($G322,基本資料!$A:$M,11,0),"無")</f>
        <v>-13.01</v>
      </c>
      <c r="AC322" s="397">
        <f>IFERROR(VLOOKUP($G322,基本資料!$A:$M,12,0),"無")</f>
        <v>60.55</v>
      </c>
      <c r="AD322" s="16" t="s">
        <v>3725</v>
      </c>
      <c r="AG322" s="33">
        <f t="shared" si="73"/>
        <v>0</v>
      </c>
      <c r="AH322" s="43" t="s">
        <v>3726</v>
      </c>
      <c r="AI322" s="63">
        <f t="shared" si="75"/>
        <v>4.7687861271676298E-4</v>
      </c>
      <c r="AJ322" s="284">
        <f>RTD("money.excel",,$G322,"PredictVolume")</f>
        <v>33</v>
      </c>
      <c r="AK322" s="399">
        <f>IFERROR(VLOOKUP($G322,基本資料!$A:$M,13,0),"無")</f>
        <v>1.76</v>
      </c>
    </row>
    <row r="323" spans="1:37">
      <c r="A323" s="347">
        <f>IFERROR(VLOOKUP($G323,基本資料!$A:$J,3,0),"無")</f>
        <v>19.86</v>
      </c>
      <c r="B323" s="79">
        <f>IFERROR(VLOOKUP($G323,基本資料!$A:$J,4,0),"無")</f>
        <v>19</v>
      </c>
      <c r="C323" s="79">
        <f>IFERROR(VLOOKUP($G323,基本資料!$A:$J,5,0),"無")</f>
        <v>22</v>
      </c>
      <c r="D323" s="79">
        <f>IFERROR(VLOOKUP($G323,基本資料!$A:$J,6,0),"無")</f>
        <v>-24</v>
      </c>
      <c r="E323" s="79">
        <f>IFERROR(VLOOKUP($G323,基本資料!$A:$J,7,0),"無")</f>
        <v>-43</v>
      </c>
      <c r="F323" s="6">
        <f>IFERROR(VLOOKUP($G323,基本資料!$A:$J,8,0),"無")</f>
        <v>-78.2</v>
      </c>
      <c r="G323" s="79">
        <v>4108</v>
      </c>
      <c r="H323" s="192" t="s">
        <v>309</v>
      </c>
      <c r="I323" s="22" t="s">
        <v>3727</v>
      </c>
      <c r="J323" s="8" t="str">
        <f>IFERROR(VLOOKUP($G323,今日總結!$A:$AJ,35,0),"")</f>
        <v/>
      </c>
      <c r="K323" s="5" t="str">
        <f>IFERROR(VLOOKUP($G323,今日總結!$A:$AJ,36,0),"")</f>
        <v/>
      </c>
      <c r="L323" s="156" t="str">
        <f>IFERROR(VLOOKUP($G323,今日總結!$A:$AJ,33,0),"")</f>
        <v/>
      </c>
      <c r="M323" s="340" t="str">
        <f>IFERROR(VLOOKUP($G343,今日總結!$A:$AJ,34,0),"")</f>
        <v/>
      </c>
      <c r="N323" s="240" t="str">
        <f t="shared" si="69"/>
        <v/>
      </c>
      <c r="P323" s="365" t="str">
        <f>IFERROR(VLOOKUP($G323,融外自投!$A:$J,7,0),"無")</f>
        <v>無</v>
      </c>
      <c r="Q323" s="79" t="str">
        <f>IFERROR(VLOOKUP($G323,融外自投!$A:$J,9,0),"無")</f>
        <v>無</v>
      </c>
      <c r="R323" s="346" t="str">
        <f>IFERROR(VLOOKUP($G323,融外自投!$A:$J,8,0),"無")</f>
        <v>無</v>
      </c>
      <c r="S323" s="81" t="str">
        <f>IFERROR(VLOOKUP($G323,融外自投!$A:$J,10,0),"無")</f>
        <v>無</v>
      </c>
      <c r="T323" s="327">
        <f>IFERROR(VLOOKUP($G323,'321買'!$A:$E,5,0),"'沒有資料'")</f>
        <v>683</v>
      </c>
      <c r="U323" s="186">
        <f>IFERROR(VLOOKUP($G323,基本資料!$A:$J,9,0),"無")</f>
        <v>0</v>
      </c>
      <c r="V323" s="310">
        <f t="shared" si="70"/>
        <v>0</v>
      </c>
      <c r="W323" s="94">
        <f>IFERROR(VLOOKUP($G323,基本資料!$A:$J,10,0),"無")</f>
        <v>-0.4</v>
      </c>
      <c r="X323" s="36">
        <f>RTD("money.excel",,"4108","Price")</f>
        <v>20</v>
      </c>
      <c r="Y323" s="66"/>
      <c r="Z323" s="15">
        <f t="shared" si="71"/>
        <v>20</v>
      </c>
      <c r="AA323" s="3" t="e">
        <f t="shared" si="72"/>
        <v>#DIV/0!</v>
      </c>
      <c r="AB323" s="344">
        <f>IFERROR(VLOOKUP($G323,基本資料!$A:$M,11,0),"無")</f>
        <v>-23.28</v>
      </c>
      <c r="AC323" s="397">
        <f>IFERROR(VLOOKUP($G323,基本資料!$A:$M,12,0),"無")</f>
        <v>24.67</v>
      </c>
      <c r="AD323" s="22" t="s">
        <v>3727</v>
      </c>
      <c r="AG323" s="33">
        <f t="shared" si="73"/>
        <v>0</v>
      </c>
      <c r="AH323" s="43" t="s">
        <v>2338</v>
      </c>
      <c r="AI323" s="63">
        <f t="shared" si="75"/>
        <v>6.8982880161127895E-4</v>
      </c>
      <c r="AJ323" s="284">
        <f>RTD("money.excel",,$G323,"PredictVolume")</f>
        <v>137</v>
      </c>
      <c r="AK323" s="399">
        <f>IFERROR(VLOOKUP($G323,基本資料!$A:$M,13,0),"無")</f>
        <v>1.29</v>
      </c>
    </row>
    <row r="324" spans="1:37">
      <c r="A324" s="347">
        <f>IFERROR(VLOOKUP($G324,基本資料!$A:$J,3,0),"無")</f>
        <v>8.89</v>
      </c>
      <c r="B324" s="79">
        <f>IFERROR(VLOOKUP($G324,基本資料!$A:$J,4,0),"無")</f>
        <v>115</v>
      </c>
      <c r="C324" s="79">
        <f>IFERROR(VLOOKUP($G324,基本資料!$A:$J,5,0),"無")</f>
        <v>98</v>
      </c>
      <c r="D324" s="79">
        <f>IFERROR(VLOOKUP($G324,基本資料!$A:$J,6,0),"無")</f>
        <v>20</v>
      </c>
      <c r="E324" s="79">
        <f>IFERROR(VLOOKUP($G324,基本資料!$A:$J,7,0),"無")</f>
        <v>33</v>
      </c>
      <c r="F324" s="6">
        <f>IFERROR(VLOOKUP($G324,基本資料!$A:$J,8,0),"無")</f>
        <v>-0.38</v>
      </c>
      <c r="G324" s="79">
        <v>4109</v>
      </c>
      <c r="H324" s="8" t="s">
        <v>309</v>
      </c>
      <c r="I324" s="16" t="s">
        <v>3728</v>
      </c>
      <c r="J324" s="8">
        <f>IFERROR(VLOOKUP($G324,今日總結!$A:$AJ,35,0),"")</f>
        <v>0</v>
      </c>
      <c r="K324" s="5">
        <f>IFERROR(VLOOKUP($G324,今日總結!$A:$AJ,36,0),"")</f>
        <v>0</v>
      </c>
      <c r="L324" s="156">
        <f>IFERROR(VLOOKUP($G324,今日總結!$A:$AJ,33,0),"")</f>
        <v>0</v>
      </c>
      <c r="M324" s="340" t="str">
        <f>IFERROR(VLOOKUP($G344,今日總結!$A:$AJ,34,0),"")</f>
        <v/>
      </c>
      <c r="N324" s="240" t="str">
        <f t="shared" si="69"/>
        <v/>
      </c>
      <c r="P324" s="365">
        <f>IFERROR(VLOOKUP($G324,融外自投!$A:$J,7,0),"無")</f>
        <v>736</v>
      </c>
      <c r="Q324" s="79">
        <f>IFERROR(VLOOKUP($G324,融外自投!$A:$J,9,0),"無")</f>
        <v>558</v>
      </c>
      <c r="R324" s="346">
        <f>IFERROR(VLOOKUP($G324,融外自投!$A:$J,8,0),"無")</f>
        <v>1443</v>
      </c>
      <c r="S324" s="81" t="str">
        <f>IFERROR(VLOOKUP($G324,融外自投!$A:$J,10,0),"無")</f>
        <v>無</v>
      </c>
      <c r="T324" s="327">
        <f>IFERROR(VLOOKUP($G324,'321買'!$A:$E,5,0),"'沒有資料'")</f>
        <v>1143</v>
      </c>
      <c r="U324" s="186">
        <f>IFERROR(VLOOKUP($G324,基本資料!$A:$J,9,0),"無")</f>
        <v>0</v>
      </c>
      <c r="V324" s="310">
        <f t="shared" si="70"/>
        <v>0</v>
      </c>
      <c r="W324" s="94">
        <f>IFERROR(VLOOKUP($G324,基本資料!$A:$J,10,0),"無")</f>
        <v>0.06</v>
      </c>
      <c r="X324" s="36">
        <f>RTD("money.excel",,"4109","Price")</f>
        <v>14.4</v>
      </c>
      <c r="Y324" s="66"/>
      <c r="Z324" s="15">
        <f t="shared" si="71"/>
        <v>14.4</v>
      </c>
      <c r="AA324" s="3" t="e">
        <f t="shared" si="72"/>
        <v>#DIV/0!</v>
      </c>
      <c r="AB324" s="344">
        <f>IFERROR(VLOOKUP($G324,基本資料!$A:$M,11,0),"無")</f>
        <v>-10.94</v>
      </c>
      <c r="AC324" s="397">
        <f>IFERROR(VLOOKUP($G324,基本資料!$A:$M,12,0),"無")</f>
        <v>56.76</v>
      </c>
      <c r="AD324" s="16" t="s">
        <v>3728</v>
      </c>
      <c r="AG324" s="33">
        <f t="shared" si="73"/>
        <v>0</v>
      </c>
      <c r="AH324" s="43" t="s">
        <v>3729</v>
      </c>
      <c r="AI324" s="63">
        <f t="shared" si="75"/>
        <v>1.4386951631046118E-2</v>
      </c>
      <c r="AJ324" s="284">
        <f>RTD("money.excel",,$G324,"PredictVolume")</f>
        <v>1279</v>
      </c>
      <c r="AK324" s="399">
        <f>IFERROR(VLOOKUP($G324,基本資料!$A:$M,13,0),"無")</f>
        <v>5.24</v>
      </c>
    </row>
    <row r="325" spans="1:37">
      <c r="A325" s="347">
        <f>IFERROR(VLOOKUP($G325,基本資料!$A:$J,3,0),"無")</f>
        <v>5.69</v>
      </c>
      <c r="B325" s="79">
        <f>IFERROR(VLOOKUP($G325,基本資料!$A:$J,4,0),"無")</f>
        <v>36</v>
      </c>
      <c r="C325" s="79">
        <f>IFERROR(VLOOKUP($G325,基本資料!$A:$J,5,0),"無")</f>
        <v>21</v>
      </c>
      <c r="D325" s="79">
        <f>IFERROR(VLOOKUP($G325,基本資料!$A:$J,6,0),"無")</f>
        <v>30</v>
      </c>
      <c r="E325" s="79">
        <f>IFERROR(VLOOKUP($G325,基本資料!$A:$J,7,0),"無")</f>
        <v>27</v>
      </c>
      <c r="F325" s="6">
        <f>IFERROR(VLOOKUP($G325,基本資料!$A:$J,8,0),"無")</f>
        <v>8.81</v>
      </c>
      <c r="G325" s="79">
        <v>4111</v>
      </c>
      <c r="H325" s="8" t="s">
        <v>309</v>
      </c>
      <c r="I325" s="16" t="s">
        <v>3730</v>
      </c>
      <c r="J325" s="8" t="str">
        <f>IFERROR(VLOOKUP($G325,今日總結!$A:$AJ,35,0),"")</f>
        <v/>
      </c>
      <c r="K325" s="5" t="str">
        <f>IFERROR(VLOOKUP($G325,今日總結!$A:$AJ,36,0),"")</f>
        <v/>
      </c>
      <c r="L325" s="156" t="str">
        <f>IFERROR(VLOOKUP($G325,今日總結!$A:$AJ,33,0),"")</f>
        <v/>
      </c>
      <c r="M325" s="340">
        <f>IFERROR(VLOOKUP($G345,今日總結!$A:$AJ,34,0),"")</f>
        <v>0</v>
      </c>
      <c r="N325" s="240" t="str">
        <f t="shared" si="69"/>
        <v/>
      </c>
      <c r="P325" s="365">
        <f>IFERROR(VLOOKUP($G325,融外自投!$A:$J,7,0),"無")</f>
        <v>1131</v>
      </c>
      <c r="Q325" s="79" t="str">
        <f>IFERROR(VLOOKUP($G325,融外自投!$A:$J,9,0),"無")</f>
        <v>無</v>
      </c>
      <c r="R325" s="346">
        <f>IFERROR(VLOOKUP($G325,融外自投!$A:$J,8,0),"無")</f>
        <v>1137</v>
      </c>
      <c r="S325" s="81" t="str">
        <f>IFERROR(VLOOKUP($G325,融外自投!$A:$J,10,0),"無")</f>
        <v>無</v>
      </c>
      <c r="T325" s="327">
        <f>IFERROR(VLOOKUP($G325,'321買'!$A:$E,5,0),"'沒有資料'")</f>
        <v>1359</v>
      </c>
      <c r="U325" s="186">
        <f>IFERROR(VLOOKUP($G325,基本資料!$A:$J,9,0),"無")</f>
        <v>1</v>
      </c>
      <c r="V325" s="310">
        <f t="shared" si="70"/>
        <v>4.2918454935622317E-2</v>
      </c>
      <c r="W325" s="94">
        <f>IFERROR(VLOOKUP($G325,基本資料!$A:$J,10,0),"無")</f>
        <v>1.42</v>
      </c>
      <c r="X325" s="36">
        <f>RTD("money.excel",,"4111","Price")</f>
        <v>23.3</v>
      </c>
      <c r="Y325" s="66"/>
      <c r="Z325" s="15">
        <f t="shared" si="71"/>
        <v>23.3</v>
      </c>
      <c r="AA325" s="3" t="e">
        <f t="shared" si="72"/>
        <v>#DIV/0!</v>
      </c>
      <c r="AB325" s="344">
        <f>IFERROR(VLOOKUP($G325,基本資料!$A:$M,11,0),"無")</f>
        <v>-11.89</v>
      </c>
      <c r="AC325" s="397">
        <f>IFERROR(VLOOKUP($G325,基本資料!$A:$M,12,0),"無")</f>
        <v>40.47</v>
      </c>
      <c r="AD325" s="16" t="s">
        <v>3730</v>
      </c>
      <c r="AG325" s="33">
        <f t="shared" si="73"/>
        <v>0</v>
      </c>
      <c r="AH325" s="43" t="s">
        <v>3731</v>
      </c>
      <c r="AI325" s="63">
        <f t="shared" si="75"/>
        <v>1.5465729349736378E-3</v>
      </c>
      <c r="AJ325" s="284">
        <f>RTD("money.excel",,$G325,"PredictVolume")</f>
        <v>88</v>
      </c>
      <c r="AK325" s="399">
        <f>IFERROR(VLOOKUP($G325,基本資料!$A:$M,13,0),"無")</f>
        <v>3.17</v>
      </c>
    </row>
    <row r="326" spans="1:37">
      <c r="A326" s="347">
        <f>IFERROR(VLOOKUP($G326,基本資料!$A:$J,3,0),"無")</f>
        <v>31.36</v>
      </c>
      <c r="B326" s="79">
        <f>IFERROR(VLOOKUP($G326,基本資料!$A:$J,4,0),"無")</f>
        <v>-75</v>
      </c>
      <c r="C326" s="79">
        <f>IFERROR(VLOOKUP($G326,基本資料!$A:$J,5,0),"無")</f>
        <v>63</v>
      </c>
      <c r="D326" s="79">
        <f>IFERROR(VLOOKUP($G326,基本資料!$A:$J,6,0),"無")</f>
        <v>-1</v>
      </c>
      <c r="E326" s="79">
        <f>IFERROR(VLOOKUP($G326,基本資料!$A:$J,7,0),"無")</f>
        <v>33</v>
      </c>
      <c r="F326" s="6">
        <f>IFERROR(VLOOKUP($G326,基本資料!$A:$J,8,0),"無")</f>
        <v>5.7</v>
      </c>
      <c r="G326" s="79">
        <v>4114</v>
      </c>
      <c r="H326" s="8" t="s">
        <v>309</v>
      </c>
      <c r="I326" s="16" t="s">
        <v>3732</v>
      </c>
      <c r="J326" s="8">
        <f>IFERROR(VLOOKUP($G326,今日總結!$A:$AJ,35,0),"")</f>
        <v>0</v>
      </c>
      <c r="K326" s="5" t="str">
        <f>IFERROR(VLOOKUP($G326,今日總結!$A:$AJ,36,0),"")</f>
        <v>外</v>
      </c>
      <c r="L326" s="156">
        <f>IFERROR(VLOOKUP($G326,今日總結!$A:$AJ,33,0),"")</f>
        <v>0</v>
      </c>
      <c r="M326" s="340">
        <f>IFERROR(VLOOKUP($G346,今日總結!$A:$AJ,34,0),"")</f>
        <v>2</v>
      </c>
      <c r="N326" s="240">
        <f t="shared" si="69"/>
        <v>-2</v>
      </c>
      <c r="P326" s="365">
        <f>IFERROR(VLOOKUP($G326,融外自投!$A:$J,7,0),"無")</f>
        <v>1029</v>
      </c>
      <c r="Q326" s="79">
        <f>IFERROR(VLOOKUP($G326,融外自投!$A:$J,9,0),"無")</f>
        <v>896</v>
      </c>
      <c r="R326" s="346">
        <f>IFERROR(VLOOKUP($G326,融外自投!$A:$J,8,0),"無")</f>
        <v>802</v>
      </c>
      <c r="S326" s="81" t="str">
        <f>IFERROR(VLOOKUP($G326,融外自投!$A:$J,10,0),"無")</f>
        <v>無</v>
      </c>
      <c r="T326" s="327">
        <f>IFERROR(VLOOKUP($G326,'321買'!$A:$E,5,0),"'沒有資料'")</f>
        <v>131</v>
      </c>
      <c r="U326" s="186">
        <f>IFERROR(VLOOKUP($G326,基本資料!$A:$J,9,0),"無")</f>
        <v>1.5</v>
      </c>
      <c r="V326" s="310">
        <f t="shared" si="70"/>
        <v>5.6818181818181823E-2</v>
      </c>
      <c r="W326" s="94">
        <f>IFERROR(VLOOKUP($G326,基本資料!$A:$J,10,0),"無")</f>
        <v>1.02</v>
      </c>
      <c r="X326" s="36">
        <f>RTD("money.excel",,"4114","Price")</f>
        <v>26.4</v>
      </c>
      <c r="Y326" s="66"/>
      <c r="Z326" s="15">
        <f t="shared" si="71"/>
        <v>26.4</v>
      </c>
      <c r="AA326" s="3" t="e">
        <f t="shared" si="72"/>
        <v>#DIV/0!</v>
      </c>
      <c r="AB326" s="344">
        <f>IFERROR(VLOOKUP($G326,基本資料!$A:$M,11,0),"無")</f>
        <v>-10.75</v>
      </c>
      <c r="AC326" s="397">
        <f>IFERROR(VLOOKUP($G326,基本資料!$A:$M,12,0),"無")</f>
        <v>58.77</v>
      </c>
      <c r="AD326" s="16" t="s">
        <v>3732</v>
      </c>
      <c r="AG326" s="33">
        <f t="shared" si="73"/>
        <v>0</v>
      </c>
      <c r="AH326" s="43" t="s">
        <v>3733</v>
      </c>
      <c r="AI326" s="63">
        <f t="shared" si="75"/>
        <v>1.9929846938775511E-3</v>
      </c>
      <c r="AJ326" s="284">
        <f>RTD("money.excel",,$G326,"PredictVolume")</f>
        <v>625</v>
      </c>
      <c r="AK326" s="399">
        <f>IFERROR(VLOOKUP($G326,基本資料!$A:$M,13,0),"無")</f>
        <v>3.18</v>
      </c>
    </row>
    <row r="327" spans="1:37">
      <c r="A327" s="347">
        <f>IFERROR(VLOOKUP($G327,基本資料!$A:$J,3,0),"無")</f>
        <v>4.45</v>
      </c>
      <c r="B327" s="79">
        <f>IFERROR(VLOOKUP($G327,基本資料!$A:$J,4,0),"無")</f>
        <v>-41</v>
      </c>
      <c r="C327" s="79">
        <f>IFERROR(VLOOKUP($G327,基本資料!$A:$J,5,0),"無")</f>
        <v>-52</v>
      </c>
      <c r="D327" s="79">
        <f>IFERROR(VLOOKUP($G327,基本資料!$A:$J,6,0),"無")</f>
        <v>5</v>
      </c>
      <c r="E327" s="79">
        <f>IFERROR(VLOOKUP($G327,基本資料!$A:$J,7,0),"無")</f>
        <v>149</v>
      </c>
      <c r="F327" s="6">
        <f>IFERROR(VLOOKUP($G327,基本資料!$A:$J,8,0),"無")</f>
        <v>3.17</v>
      </c>
      <c r="G327" s="79">
        <v>4116</v>
      </c>
      <c r="H327" s="8" t="s">
        <v>309</v>
      </c>
      <c r="I327" s="16" t="s">
        <v>3734</v>
      </c>
      <c r="J327" s="8" t="str">
        <f>IFERROR(VLOOKUP($G327,今日總結!$A:$AJ,35,0),"")</f>
        <v/>
      </c>
      <c r="K327" s="5" t="str">
        <f>IFERROR(VLOOKUP($G327,今日總結!$A:$AJ,36,0),"")</f>
        <v/>
      </c>
      <c r="L327" s="156" t="str">
        <f>IFERROR(VLOOKUP($G327,今日總結!$A:$AJ,33,0),"")</f>
        <v/>
      </c>
      <c r="M327" s="340" t="str">
        <f>IFERROR(VLOOKUP($G347,今日總結!$A:$AJ,34,0),"")</f>
        <v/>
      </c>
      <c r="N327" s="240" t="str">
        <f t="shared" ref="N327:N334" si="76">IFERROR(L327-M327,"")</f>
        <v/>
      </c>
      <c r="P327" s="365">
        <f>IFERROR(VLOOKUP($G327,融外自投!$A:$J,7,0),"無")</f>
        <v>256</v>
      </c>
      <c r="Q327" s="79">
        <f>IFERROR(VLOOKUP($G327,融外自投!$A:$J,9,0),"無")</f>
        <v>708</v>
      </c>
      <c r="R327" s="346">
        <f>IFERROR(VLOOKUP($G327,融外自投!$A:$J,8,0),"無")</f>
        <v>1367</v>
      </c>
      <c r="S327" s="81" t="str">
        <f>IFERROR(VLOOKUP($G327,融外自投!$A:$J,10,0),"無")</f>
        <v>無</v>
      </c>
      <c r="T327" s="327">
        <f>IFERROR(VLOOKUP($G327,'321買'!$A:$E,5,0),"'沒有資料'")</f>
        <v>1310</v>
      </c>
      <c r="U327" s="186">
        <f>IFERROR(VLOOKUP($G327,基本資料!$A:$J,9,0),"無")</f>
        <v>0.5</v>
      </c>
      <c r="V327" s="310">
        <f t="shared" si="70"/>
        <v>9.727626459143969E-3</v>
      </c>
      <c r="W327" s="94">
        <f>IFERROR(VLOOKUP($G327,基本資料!$A:$J,10,0),"無")</f>
        <v>0.65</v>
      </c>
      <c r="X327" s="36">
        <f>RTD("money.excel",,"4116","Price")</f>
        <v>51.4</v>
      </c>
      <c r="Y327" s="66"/>
      <c r="Z327" s="15">
        <f t="shared" si="71"/>
        <v>51.4</v>
      </c>
      <c r="AA327" s="3" t="e">
        <f t="shared" si="72"/>
        <v>#DIV/0!</v>
      </c>
      <c r="AB327" s="344">
        <f>IFERROR(VLOOKUP($G327,基本資料!$A:$M,11,0),"無")</f>
        <v>-7.64</v>
      </c>
      <c r="AC327" s="397">
        <f>IFERROR(VLOOKUP($G327,基本資料!$A:$M,12,0),"無")</f>
        <v>79.14</v>
      </c>
      <c r="AD327" s="16" t="s">
        <v>3734</v>
      </c>
      <c r="AG327" s="33">
        <f t="shared" si="73"/>
        <v>0</v>
      </c>
      <c r="AH327" s="43" t="s">
        <v>3735</v>
      </c>
      <c r="AI327" s="63">
        <f t="shared" si="75"/>
        <v>6.7348314606741566E-2</v>
      </c>
      <c r="AJ327" s="284">
        <f>RTD("money.excel",,$G327,"PredictVolume")</f>
        <v>2997</v>
      </c>
      <c r="AK327" s="399">
        <f>IFERROR(VLOOKUP($G327,基本資料!$A:$M,13,0),"無")</f>
        <v>74.88</v>
      </c>
    </row>
    <row r="328" spans="1:37">
      <c r="A328" s="347">
        <f>IFERROR(VLOOKUP($G328,基本資料!$A:$J,3,0),"無")</f>
        <v>9.5299999999999994</v>
      </c>
      <c r="B328" s="79">
        <f>IFERROR(VLOOKUP($G328,基本資料!$A:$J,4,0),"無")</f>
        <v>-84</v>
      </c>
      <c r="C328" s="79">
        <f>IFERROR(VLOOKUP($G328,基本資料!$A:$J,5,0),"無")</f>
        <v>-93</v>
      </c>
      <c r="D328" s="79">
        <f>IFERROR(VLOOKUP($G328,基本資料!$A:$J,6,0),"無")</f>
        <v>-50</v>
      </c>
      <c r="E328" s="79">
        <f>IFERROR(VLOOKUP($G328,基本資料!$A:$J,7,0),"無")</f>
        <v>3</v>
      </c>
      <c r="F328" s="6">
        <f>IFERROR(VLOOKUP($G328,基本資料!$A:$J,8,0),"無")</f>
        <v>8.52</v>
      </c>
      <c r="G328" s="79">
        <v>4119</v>
      </c>
      <c r="H328" s="192" t="s">
        <v>309</v>
      </c>
      <c r="I328" s="22" t="s">
        <v>3736</v>
      </c>
      <c r="J328" s="8" t="str">
        <f>IFERROR(VLOOKUP($G328,今日總結!$A:$AJ,35,0),"")</f>
        <v/>
      </c>
      <c r="K328" s="5" t="str">
        <f>IFERROR(VLOOKUP($G328,今日總結!$A:$AJ,36,0),"")</f>
        <v/>
      </c>
      <c r="L328" s="156" t="str">
        <f>IFERROR(VLOOKUP($G328,今日總結!$A:$AJ,33,0),"")</f>
        <v/>
      </c>
      <c r="M328" s="340">
        <f>IFERROR(VLOOKUP($G348,今日總結!$A:$AJ,34,0),"")</f>
        <v>1</v>
      </c>
      <c r="N328" s="240" t="str">
        <f t="shared" si="76"/>
        <v/>
      </c>
      <c r="P328" s="365">
        <f>IFERROR(VLOOKUP($G328,融外自投!$A:$J,7,0),"無")</f>
        <v>946</v>
      </c>
      <c r="Q328" s="79">
        <f>IFERROR(VLOOKUP($G328,融外自投!$A:$J,9,0),"無")</f>
        <v>762</v>
      </c>
      <c r="R328" s="346">
        <f>IFERROR(VLOOKUP($G328,融外自投!$A:$J,8,0),"無")</f>
        <v>1006</v>
      </c>
      <c r="S328" s="81">
        <f>IFERROR(VLOOKUP($G328,融外自投!$A:$J,10,0),"無")</f>
        <v>458</v>
      </c>
      <c r="T328" s="327">
        <f>IFERROR(VLOOKUP($G328,'321買'!$A:$E,5,0),"'沒有資料'")</f>
        <v>445</v>
      </c>
      <c r="U328" s="186">
        <f>IFERROR(VLOOKUP($G328,基本資料!$A:$J,9,0),"無")</f>
        <v>0</v>
      </c>
      <c r="V328" s="310">
        <f t="shared" si="70"/>
        <v>0</v>
      </c>
      <c r="W328" s="94">
        <f>IFERROR(VLOOKUP($G328,基本資料!$A:$J,10,0),"無")</f>
        <v>0.57999999999999996</v>
      </c>
      <c r="X328" s="36">
        <f>RTD("money.excel",,"4119","Price")</f>
        <v>82.2</v>
      </c>
      <c r="Y328" s="66"/>
      <c r="Z328" s="15">
        <f t="shared" si="71"/>
        <v>82.2</v>
      </c>
      <c r="AA328" s="3" t="e">
        <f t="shared" si="72"/>
        <v>#DIV/0!</v>
      </c>
      <c r="AB328" s="344">
        <f>IFERROR(VLOOKUP($G328,基本資料!$A:$M,11,0),"無")</f>
        <v>-11.42</v>
      </c>
      <c r="AC328" s="397">
        <f>IFERROR(VLOOKUP($G328,基本資料!$A:$M,12,0),"無")</f>
        <v>27.49</v>
      </c>
      <c r="AD328" s="22" t="s">
        <v>3736</v>
      </c>
      <c r="AG328" s="33">
        <f t="shared" si="73"/>
        <v>0</v>
      </c>
      <c r="AH328" s="117" t="s">
        <v>2450</v>
      </c>
      <c r="AI328" s="63">
        <f t="shared" si="75"/>
        <v>1.4900314795383001E-3</v>
      </c>
      <c r="AJ328" s="284">
        <f>RTD("money.excel",,$G328,"PredictVolume")</f>
        <v>142</v>
      </c>
      <c r="AK328" s="399">
        <f>IFERROR(VLOOKUP($G328,基本資料!$A:$M,13,0),"無")</f>
        <v>1.68</v>
      </c>
    </row>
    <row r="329" spans="1:37">
      <c r="A329" s="347">
        <f>IFERROR(VLOOKUP($G329,基本資料!$A:$J,3,0),"無")</f>
        <v>8.67</v>
      </c>
      <c r="B329" s="79">
        <f>IFERROR(VLOOKUP($G329,基本資料!$A:$J,4,0),"無")</f>
        <v>-30</v>
      </c>
      <c r="C329" s="79">
        <f>IFERROR(VLOOKUP($G329,基本資料!$A:$J,5,0),"無")</f>
        <v>-181</v>
      </c>
      <c r="D329" s="79">
        <f>IFERROR(VLOOKUP($G329,基本資料!$A:$J,6,0),"無")</f>
        <v>-14</v>
      </c>
      <c r="E329" s="79">
        <f>IFERROR(VLOOKUP($G329,基本資料!$A:$J,7,0),"無")</f>
        <v>4</v>
      </c>
      <c r="F329" s="6">
        <f>IFERROR(VLOOKUP($G329,基本資料!$A:$J,8,0),"無")</f>
        <v>-2.0099999999999998</v>
      </c>
      <c r="G329" s="79">
        <v>4120</v>
      </c>
      <c r="H329" s="8" t="s">
        <v>309</v>
      </c>
      <c r="I329" s="16" t="s">
        <v>3737</v>
      </c>
      <c r="J329" s="8">
        <f>IFERROR(VLOOKUP($G329,今日總結!$A:$AJ,35,0),"")</f>
        <v>0</v>
      </c>
      <c r="K329" s="5" t="str">
        <f>IFERROR(VLOOKUP($G329,今日總結!$A:$AJ,36,0),"")</f>
        <v>融</v>
      </c>
      <c r="L329" s="156">
        <f>IFERROR(VLOOKUP($G329,今日總結!$A:$AJ,33,0),"")</f>
        <v>0</v>
      </c>
      <c r="M329" s="340">
        <f>IFERROR(VLOOKUP($G349,今日總結!$A:$AJ,34,0),"")</f>
        <v>5</v>
      </c>
      <c r="N329" s="240">
        <f t="shared" si="76"/>
        <v>-5</v>
      </c>
      <c r="P329" s="365">
        <f>IFERROR(VLOOKUP($G329,融外自投!$A:$J,7,0),"無")</f>
        <v>1179</v>
      </c>
      <c r="Q329" s="79">
        <f>IFERROR(VLOOKUP($G329,融外自投!$A:$J,9,0),"無")</f>
        <v>824</v>
      </c>
      <c r="R329" s="346">
        <f>IFERROR(VLOOKUP($G329,融外自投!$A:$J,8,0),"無")</f>
        <v>679</v>
      </c>
      <c r="S329" s="81" t="str">
        <f>IFERROR(VLOOKUP($G329,融外自投!$A:$J,10,0),"無")</f>
        <v>無</v>
      </c>
      <c r="T329" s="327">
        <f>IFERROR(VLOOKUP($G329,'321買'!$A:$E,5,0),"'沒有資料'")</f>
        <v>1310</v>
      </c>
      <c r="U329" s="186">
        <f>IFERROR(VLOOKUP($G329,基本資料!$A:$J,9,0),"無")</f>
        <v>0.85</v>
      </c>
      <c r="V329" s="310">
        <f t="shared" si="70"/>
        <v>2.4602026049204053E-2</v>
      </c>
      <c r="W329" s="94">
        <f>IFERROR(VLOOKUP($G329,基本資料!$A:$J,10,0),"無")</f>
        <v>1.39</v>
      </c>
      <c r="X329" s="36">
        <f>RTD("money.excel",,"4120","Price")</f>
        <v>34.549999999999997</v>
      </c>
      <c r="Y329" s="66"/>
      <c r="Z329" s="15">
        <f t="shared" si="71"/>
        <v>34.549999999999997</v>
      </c>
      <c r="AA329" s="3" t="e">
        <f t="shared" si="72"/>
        <v>#DIV/0!</v>
      </c>
      <c r="AB329" s="344">
        <f>IFERROR(VLOOKUP($G329,基本資料!$A:$M,11,0),"無")</f>
        <v>-23.33</v>
      </c>
      <c r="AC329" s="397">
        <f>IFERROR(VLOOKUP($G329,基本資料!$A:$M,12,0),"無")</f>
        <v>31.87</v>
      </c>
      <c r="AD329" s="16" t="s">
        <v>3737</v>
      </c>
      <c r="AG329" s="33">
        <f t="shared" si="73"/>
        <v>0</v>
      </c>
      <c r="AH329" s="117" t="s">
        <v>3695</v>
      </c>
      <c r="AI329" s="63">
        <f t="shared" si="75"/>
        <v>2.0761245674740485E-4</v>
      </c>
      <c r="AJ329" s="284">
        <f>RTD("money.excel",,$G329,"PredictVolume")</f>
        <v>18</v>
      </c>
      <c r="AK329" s="399">
        <f>IFERROR(VLOOKUP($G329,基本資料!$A:$M,13,0),"無")</f>
        <v>0.73</v>
      </c>
    </row>
    <row r="330" spans="1:37">
      <c r="A330" s="347">
        <f>IFERROR(VLOOKUP($G330,基本資料!$A:$J,3,0),"無")</f>
        <v>8.44</v>
      </c>
      <c r="B330" s="79">
        <f>IFERROR(VLOOKUP($G330,基本資料!$A:$J,4,0),"無")</f>
        <v>-17</v>
      </c>
      <c r="C330" s="79">
        <f>IFERROR(VLOOKUP($G330,基本資料!$A:$J,5,0),"無")</f>
        <v>-9</v>
      </c>
      <c r="D330" s="79">
        <f>IFERROR(VLOOKUP($G330,基本資料!$A:$J,6,0),"無")</f>
        <v>51</v>
      </c>
      <c r="E330" s="79">
        <f>IFERROR(VLOOKUP($G330,基本資料!$A:$J,7,0),"無")</f>
        <v>51</v>
      </c>
      <c r="F330" s="6">
        <f>IFERROR(VLOOKUP($G330,基本資料!$A:$J,8,0),"無")</f>
        <v>3.4</v>
      </c>
      <c r="G330" s="79">
        <v>4121</v>
      </c>
      <c r="H330" s="8" t="s">
        <v>309</v>
      </c>
      <c r="I330" s="16" t="s">
        <v>3738</v>
      </c>
      <c r="J330" s="8">
        <f>IFERROR(VLOOKUP($G330,今日總結!$A:$AJ,35,0),"")</f>
        <v>452</v>
      </c>
      <c r="K330" s="5">
        <f>IFERROR(VLOOKUP($G330,今日總結!$A:$AJ,36,0),"")</f>
        <v>3</v>
      </c>
      <c r="L330" s="156">
        <f>IFERROR(VLOOKUP($G330,今日總結!$A:$AJ,33,0),"")</f>
        <v>3</v>
      </c>
      <c r="M330" s="340" t="str">
        <f>IFERROR(VLOOKUP($G350,今日總結!$A:$AJ,34,0),"")</f>
        <v/>
      </c>
      <c r="N330" s="240" t="str">
        <f t="shared" si="76"/>
        <v/>
      </c>
      <c r="P330" s="365">
        <f>IFERROR(VLOOKUP($G330,融外自投!$A:$J,7,0),"無")</f>
        <v>120</v>
      </c>
      <c r="Q330" s="79">
        <f>IFERROR(VLOOKUP($G330,融外自投!$A:$J,9,0),"無")</f>
        <v>140</v>
      </c>
      <c r="R330" s="346">
        <f>IFERROR(VLOOKUP($G330,融外自投!$A:$J,8,0),"無")</f>
        <v>1216</v>
      </c>
      <c r="S330" s="81" t="str">
        <f>IFERROR(VLOOKUP($G330,融外自投!$A:$J,10,0),"無")</f>
        <v>無</v>
      </c>
      <c r="T330" s="327">
        <f>IFERROR(VLOOKUP($G330,'321買'!$A:$E,5,0),"'沒有資料'")</f>
        <v>779</v>
      </c>
      <c r="U330" s="186">
        <f>IFERROR(VLOOKUP($G330,基本資料!$A:$J,9,0),"無")</f>
        <v>1.1000000000000001</v>
      </c>
      <c r="V330" s="310">
        <f t="shared" si="70"/>
        <v>4.7826086956521741E-2</v>
      </c>
      <c r="W330" s="94">
        <f>IFERROR(VLOOKUP($G330,基本資料!$A:$J,10,0),"無")</f>
        <v>1.35</v>
      </c>
      <c r="X330" s="36">
        <f>RTD("money.excel",,"4121","Price")</f>
        <v>23</v>
      </c>
      <c r="Y330" s="66"/>
      <c r="Z330" s="15">
        <f t="shared" si="71"/>
        <v>23</v>
      </c>
      <c r="AA330" s="3" t="e">
        <f t="shared" si="72"/>
        <v>#DIV/0!</v>
      </c>
      <c r="AB330" s="344">
        <f>IFERROR(VLOOKUP($G330,基本資料!$A:$M,11,0),"無")</f>
        <v>-31.71</v>
      </c>
      <c r="AC330" s="397">
        <f>IFERROR(VLOOKUP($G330,基本資料!$A:$M,12,0),"無")</f>
        <v>48.96</v>
      </c>
      <c r="AD330" s="16" t="s">
        <v>3738</v>
      </c>
      <c r="AG330" s="33">
        <f t="shared" si="73"/>
        <v>0</v>
      </c>
      <c r="AH330" s="43" t="s">
        <v>3689</v>
      </c>
      <c r="AI330" s="63">
        <f t="shared" si="75"/>
        <v>0.10466824644549763</v>
      </c>
      <c r="AJ330" s="284">
        <f>RTD("money.excel",,$G330,"PredictVolume")</f>
        <v>8834</v>
      </c>
      <c r="AK330" s="399">
        <f>IFERROR(VLOOKUP($G330,基本資料!$A:$M,13,0),"無")</f>
        <v>94.13</v>
      </c>
    </row>
    <row r="331" spans="1:37">
      <c r="A331" s="347">
        <f>IFERROR(VLOOKUP($G331,基本資料!$A:$J,3,0),"無")</f>
        <v>50.5</v>
      </c>
      <c r="B331" s="79">
        <f>IFERROR(VLOOKUP($G331,基本資料!$A:$J,4,0),"無")</f>
        <v>-55</v>
      </c>
      <c r="C331" s="79">
        <f>IFERROR(VLOOKUP($G331,基本資料!$A:$J,5,0),"無")</f>
        <v>46</v>
      </c>
      <c r="D331" s="79">
        <f>IFERROR(VLOOKUP($G331,基本資料!$A:$J,6,0),"無")</f>
        <v>88</v>
      </c>
      <c r="E331" s="79">
        <f>IFERROR(VLOOKUP($G331,基本資料!$A:$J,7,0),"無")</f>
        <v>19</v>
      </c>
      <c r="F331" s="6">
        <f>IFERROR(VLOOKUP($G331,基本資料!$A:$J,8,0),"無")</f>
        <v>-50.82</v>
      </c>
      <c r="G331" s="79">
        <v>4123</v>
      </c>
      <c r="H331" s="8" t="s">
        <v>309</v>
      </c>
      <c r="I331" s="16" t="s">
        <v>3739</v>
      </c>
      <c r="J331" s="8" t="str">
        <f>IFERROR(VLOOKUP($G331,今日總結!$A:$AJ,35,0),"")</f>
        <v/>
      </c>
      <c r="K331" s="5" t="str">
        <f>IFERROR(VLOOKUP($G331,今日總結!$A:$AJ,36,0),"")</f>
        <v/>
      </c>
      <c r="L331" s="156" t="str">
        <f>IFERROR(VLOOKUP($G331,今日總結!$A:$AJ,33,0),"")</f>
        <v/>
      </c>
      <c r="M331" s="340" t="str">
        <f>IFERROR(VLOOKUP($G351,今日總結!$A:$AJ,34,0),"")</f>
        <v/>
      </c>
      <c r="N331" s="240" t="str">
        <f t="shared" si="76"/>
        <v/>
      </c>
      <c r="P331" s="365">
        <f>IFERROR(VLOOKUP($G331,融外自投!$A:$J,7,0),"無")</f>
        <v>729</v>
      </c>
      <c r="Q331" s="79">
        <f>IFERROR(VLOOKUP($G331,融外自投!$A:$J,9,0),"無")</f>
        <v>936</v>
      </c>
      <c r="R331" s="346">
        <f>IFERROR(VLOOKUP($G331,融外自投!$A:$J,8,0),"無")</f>
        <v>637</v>
      </c>
      <c r="S331" s="81">
        <f>IFERROR(VLOOKUP($G331,融外自投!$A:$J,10,0),"無")</f>
        <v>491</v>
      </c>
      <c r="T331" s="327">
        <f>IFERROR(VLOOKUP($G331,'321買'!$A:$E,5,0),"'沒有資料'")</f>
        <v>710</v>
      </c>
      <c r="U331" s="186">
        <f>IFERROR(VLOOKUP($G331,基本資料!$A:$J,9,0),"無")</f>
        <v>4</v>
      </c>
      <c r="V331" s="310">
        <f t="shared" si="70"/>
        <v>6.6777963272120197E-2</v>
      </c>
      <c r="W331" s="94">
        <f>IFERROR(VLOOKUP($G331,基本資料!$A:$J,10,0),"無")</f>
        <v>3.6</v>
      </c>
      <c r="X331" s="36">
        <f>RTD("money.excel",,"4123","Price")</f>
        <v>59.9</v>
      </c>
      <c r="Y331" s="66"/>
      <c r="Z331" s="15">
        <f t="shared" si="71"/>
        <v>59.9</v>
      </c>
      <c r="AA331" s="3" t="e">
        <f t="shared" si="72"/>
        <v>#DIV/0!</v>
      </c>
      <c r="AB331" s="344">
        <f>IFERROR(VLOOKUP($G331,基本資料!$A:$M,11,0),"無")</f>
        <v>-19.350000000000001</v>
      </c>
      <c r="AC331" s="397">
        <f>IFERROR(VLOOKUP($G331,基本資料!$A:$M,12,0),"無")</f>
        <v>50.59</v>
      </c>
      <c r="AD331" s="16" t="s">
        <v>3739</v>
      </c>
      <c r="AG331" s="33">
        <f t="shared" si="73"/>
        <v>0</v>
      </c>
      <c r="AH331" s="117" t="s">
        <v>3740</v>
      </c>
      <c r="AI331" s="63">
        <f t="shared" si="75"/>
        <v>1.6554455445544555E-3</v>
      </c>
      <c r="AJ331" s="284">
        <f>RTD("money.excel",,$G331,"PredictVolume")</f>
        <v>836</v>
      </c>
      <c r="AK331" s="399">
        <f>IFERROR(VLOOKUP($G331,基本資料!$A:$M,13,0),"無")</f>
        <v>3.15</v>
      </c>
    </row>
    <row r="332" spans="1:37">
      <c r="A332" s="347">
        <f>IFERROR(VLOOKUP($G332,基本資料!$A:$J,3,0),"無")</f>
        <v>7.26</v>
      </c>
      <c r="B332" s="79">
        <f>IFERROR(VLOOKUP($G332,基本資料!$A:$J,4,0),"無")</f>
        <v>17</v>
      </c>
      <c r="C332" s="79">
        <f>IFERROR(VLOOKUP($G332,基本資料!$A:$J,5,0),"無")</f>
        <v>-28</v>
      </c>
      <c r="D332" s="79">
        <f>IFERROR(VLOOKUP($G332,基本資料!$A:$J,6,0),"無")</f>
        <v>-22</v>
      </c>
      <c r="E332" s="79">
        <f>IFERROR(VLOOKUP($G332,基本資料!$A:$J,7,0),"無")</f>
        <v>-11</v>
      </c>
      <c r="F332" s="6">
        <f>IFERROR(VLOOKUP($G332,基本資料!$A:$J,8,0),"無")</f>
        <v>15.52</v>
      </c>
      <c r="G332" s="79">
        <v>4126</v>
      </c>
      <c r="H332" s="8" t="s">
        <v>309</v>
      </c>
      <c r="I332" s="16" t="s">
        <v>3741</v>
      </c>
      <c r="J332" s="8">
        <f>IFERROR(VLOOKUP($G332,今日總結!$A:$AJ,35,0),"")</f>
        <v>0</v>
      </c>
      <c r="K332" s="5" t="str">
        <f>IFERROR(VLOOKUP($G332,今日總結!$A:$AJ,36,0),"")</f>
        <v>借</v>
      </c>
      <c r="L332" s="156">
        <f>IFERROR(VLOOKUP($G332,今日總結!$A:$AJ,33,0),"")</f>
        <v>0</v>
      </c>
      <c r="M332" s="340" t="str">
        <f>IFERROR(VLOOKUP($G352,今日總結!$A:$AJ,34,0),"")</f>
        <v/>
      </c>
      <c r="N332" s="240" t="str">
        <f t="shared" si="76"/>
        <v/>
      </c>
      <c r="P332" s="365">
        <f>IFERROR(VLOOKUP($G332,融外自投!$A:$J,7,0),"無")</f>
        <v>858</v>
      </c>
      <c r="Q332" s="79">
        <f>IFERROR(VLOOKUP($G332,融外自投!$A:$J,9,0),"無")</f>
        <v>571</v>
      </c>
      <c r="R332" s="346">
        <f>IFERROR(VLOOKUP($G332,融外自投!$A:$J,8,0),"無")</f>
        <v>504</v>
      </c>
      <c r="S332" s="81" t="str">
        <f>IFERROR(VLOOKUP($G332,融外自投!$A:$J,10,0),"無")</f>
        <v>無</v>
      </c>
      <c r="T332" s="327">
        <f>IFERROR(VLOOKUP($G332,'321買'!$A:$E,5,0),"'沒有資料'")</f>
        <v>710</v>
      </c>
      <c r="U332" s="186">
        <f>IFERROR(VLOOKUP($G332,基本資料!$A:$J,9,0),"無")</f>
        <v>4.5</v>
      </c>
      <c r="V332" s="310">
        <f t="shared" si="70"/>
        <v>6.4377682403433473E-2</v>
      </c>
      <c r="W332" s="94">
        <f>IFERROR(VLOOKUP($G332,基本資料!$A:$J,10,0),"無")</f>
        <v>5.32</v>
      </c>
      <c r="X332" s="36">
        <f>RTD("money.excel",,"4126","Price")</f>
        <v>69.900000000000006</v>
      </c>
      <c r="Y332" s="66"/>
      <c r="Z332" s="15">
        <f t="shared" si="71"/>
        <v>69.900000000000006</v>
      </c>
      <c r="AA332" s="3" t="e">
        <f t="shared" si="72"/>
        <v>#DIV/0!</v>
      </c>
      <c r="AB332" s="344">
        <f>IFERROR(VLOOKUP($G332,基本資料!$A:$M,11,0),"無")</f>
        <v>-9.49</v>
      </c>
      <c r="AC332" s="397">
        <f>IFERROR(VLOOKUP($G332,基本資料!$A:$M,12,0),"無")</f>
        <v>17.75</v>
      </c>
      <c r="AD332" s="16" t="s">
        <v>3741</v>
      </c>
      <c r="AG332" s="33">
        <f t="shared" si="73"/>
        <v>0</v>
      </c>
      <c r="AH332" s="117" t="s">
        <v>3742</v>
      </c>
      <c r="AI332" s="63">
        <f t="shared" si="75"/>
        <v>1.1432506887052341E-3</v>
      </c>
      <c r="AJ332" s="284">
        <f>RTD("money.excel",,$G332,"PredictVolume")</f>
        <v>83</v>
      </c>
      <c r="AK332" s="399">
        <f>IFERROR(VLOOKUP($G332,基本資料!$A:$M,13,0),"無")</f>
        <v>13.25</v>
      </c>
    </row>
    <row r="333" spans="1:37">
      <c r="A333" s="347">
        <f>IFERROR(VLOOKUP($G333,基本資料!$A:$J,3,0),"無")</f>
        <v>4.57</v>
      </c>
      <c r="B333" s="79">
        <f>IFERROR(VLOOKUP($G333,基本資料!$A:$J,4,0),"無")</f>
        <v>190</v>
      </c>
      <c r="C333" s="79">
        <f>IFERROR(VLOOKUP($G333,基本資料!$A:$J,5,0),"無")</f>
        <v>184</v>
      </c>
      <c r="D333" s="79">
        <f>IFERROR(VLOOKUP($G333,基本資料!$A:$J,6,0),"無")</f>
        <v>-6</v>
      </c>
      <c r="E333" s="79">
        <f>IFERROR(VLOOKUP($G333,基本資料!$A:$J,7,0),"無")</f>
        <v>10</v>
      </c>
      <c r="F333" s="6">
        <f>IFERROR(VLOOKUP($G333,基本資料!$A:$J,8,0),"無")</f>
        <v>7.52</v>
      </c>
      <c r="G333" s="79">
        <v>4127</v>
      </c>
      <c r="H333" s="8" t="s">
        <v>309</v>
      </c>
      <c r="I333" s="16" t="s">
        <v>3743</v>
      </c>
      <c r="J333" s="8" t="str">
        <f>IFERROR(VLOOKUP($G333,今日總結!$A:$AJ,35,0),"")</f>
        <v/>
      </c>
      <c r="K333" s="5" t="str">
        <f>IFERROR(VLOOKUP($G333,今日總結!$A:$AJ,36,0),"")</f>
        <v/>
      </c>
      <c r="L333" s="156" t="str">
        <f>IFERROR(VLOOKUP($G333,今日總結!$A:$AJ,33,0),"")</f>
        <v/>
      </c>
      <c r="M333" s="340" t="str">
        <f>IFERROR(VLOOKUP($G353,今日總結!$A:$AJ,34,0),"")</f>
        <v/>
      </c>
      <c r="N333" s="240" t="str">
        <f t="shared" si="76"/>
        <v/>
      </c>
      <c r="P333" s="365" t="str">
        <f>IFERROR(VLOOKUP($G333,融外自投!$A:$J,7,0),"無")</f>
        <v>無</v>
      </c>
      <c r="Q333" s="79" t="str">
        <f>IFERROR(VLOOKUP($G333,融外自投!$A:$J,9,0),"無")</f>
        <v>無</v>
      </c>
      <c r="R333" s="346" t="str">
        <f>IFERROR(VLOOKUP($G333,融外自投!$A:$J,8,0),"無")</f>
        <v>無</v>
      </c>
      <c r="S333" s="81" t="str">
        <f>IFERROR(VLOOKUP($G333,融外自投!$A:$J,10,0),"無")</f>
        <v>無</v>
      </c>
      <c r="T333" s="327" t="str">
        <f>IFERROR(VLOOKUP($G333,'321買'!$A:$E,5,0),"'沒有資料'")</f>
        <v>'沒有資料'</v>
      </c>
      <c r="U333" s="186">
        <f>IFERROR(VLOOKUP($G333,基本資料!$A:$J,9,0),"無")</f>
        <v>0</v>
      </c>
      <c r="V333" s="310">
        <f t="shared" si="70"/>
        <v>0</v>
      </c>
      <c r="W333" s="94">
        <f>IFERROR(VLOOKUP($G333,基本資料!$A:$J,10,0),"無")</f>
        <v>1.02</v>
      </c>
      <c r="X333" s="36">
        <f>RTD("money.excel",,"4127","Price")</f>
        <v>15.65</v>
      </c>
      <c r="Y333" s="66"/>
      <c r="Z333" s="15">
        <f t="shared" si="71"/>
        <v>15.65</v>
      </c>
      <c r="AA333" s="3" t="e">
        <f t="shared" si="72"/>
        <v>#DIV/0!</v>
      </c>
      <c r="AB333" s="344">
        <f>IFERROR(VLOOKUP($G333,基本資料!$A:$M,11,0),"無")</f>
        <v>-32.1</v>
      </c>
      <c r="AC333" s="397">
        <f>IFERROR(VLOOKUP($G333,基本資料!$A:$M,12,0),"無")</f>
        <v>42.74</v>
      </c>
      <c r="AD333" s="16" t="s">
        <v>3743</v>
      </c>
      <c r="AG333" s="33">
        <f t="shared" si="73"/>
        <v>0</v>
      </c>
      <c r="AH333" s="43" t="s">
        <v>2451</v>
      </c>
      <c r="AI333" s="63">
        <f t="shared" si="75"/>
        <v>4.2363238512035009E-2</v>
      </c>
      <c r="AJ333" s="284">
        <f>RTD("money.excel",,$G333,"PredictVolume")</f>
        <v>1936</v>
      </c>
      <c r="AK333" s="399">
        <f>IFERROR(VLOOKUP($G333,基本資料!$A:$M,13,0),"無")</f>
        <v>22.4</v>
      </c>
    </row>
    <row r="334" spans="1:37">
      <c r="A334" s="347">
        <f>IFERROR(VLOOKUP($G334,基本資料!$A:$J,3,0),"無")</f>
        <v>46.63</v>
      </c>
      <c r="B334" s="79">
        <f>IFERROR(VLOOKUP($G334,基本資料!$A:$J,4,0),"無")</f>
        <v>-144</v>
      </c>
      <c r="C334" s="79">
        <f>IFERROR(VLOOKUP($G334,基本資料!$A:$J,5,0),"無")</f>
        <v>-5</v>
      </c>
      <c r="D334" s="79">
        <f>IFERROR(VLOOKUP($G334,基本資料!$A:$J,6,0),"無")</f>
        <v>49</v>
      </c>
      <c r="E334" s="79">
        <f>IFERROR(VLOOKUP($G334,基本資料!$A:$J,7,0),"無")</f>
        <v>61</v>
      </c>
      <c r="F334" s="6">
        <f>IFERROR(VLOOKUP($G334,基本資料!$A:$J,8,0),"無")</f>
        <v>-65.17</v>
      </c>
      <c r="G334" s="79">
        <v>4128</v>
      </c>
      <c r="H334" s="8" t="s">
        <v>309</v>
      </c>
      <c r="I334" s="16" t="s">
        <v>3744</v>
      </c>
      <c r="J334" s="8">
        <f>IFERROR(VLOOKUP($G334,今日總結!$A:$AJ,35,0),"")</f>
        <v>0</v>
      </c>
      <c r="K334" s="5" t="str">
        <f>IFERROR(VLOOKUP($G334,今日總結!$A:$AJ,36,0),"")</f>
        <v>自</v>
      </c>
      <c r="L334" s="156">
        <f>IFERROR(VLOOKUP($G334,今日總結!$A:$AJ,33,0),"")</f>
        <v>0</v>
      </c>
      <c r="M334" s="340">
        <f>IFERROR(VLOOKUP($G354,今日總結!$A:$AJ,34,0),"")</f>
        <v>2</v>
      </c>
      <c r="N334" s="240">
        <f t="shared" si="76"/>
        <v>-2</v>
      </c>
      <c r="P334" s="365">
        <f>IFERROR(VLOOKUP($G334,融外自投!$A:$J,7,0),"無")</f>
        <v>386</v>
      </c>
      <c r="Q334" s="79">
        <f>IFERROR(VLOOKUP($G334,融外自投!$A:$J,9,0),"無")</f>
        <v>653</v>
      </c>
      <c r="R334" s="346">
        <f>IFERROR(VLOOKUP($G334,融外自投!$A:$J,8,0),"無")</f>
        <v>715</v>
      </c>
      <c r="S334" s="81">
        <f>IFERROR(VLOOKUP($G334,融外自投!$A:$J,10,0),"無")</f>
        <v>473</v>
      </c>
      <c r="T334" s="327">
        <f>IFERROR(VLOOKUP($G334,'321買'!$A:$E,5,0),"'沒有資料'")</f>
        <v>232</v>
      </c>
      <c r="U334" s="186">
        <f>IFERROR(VLOOKUP($G334,基本資料!$A:$J,9,0),"無")</f>
        <v>1</v>
      </c>
      <c r="V334" s="310">
        <f t="shared" si="70"/>
        <v>1.7953321364452424E-2</v>
      </c>
      <c r="W334" s="94">
        <f>IFERROR(VLOOKUP($G334,基本資料!$A:$J,10,0),"無")</f>
        <v>0.11</v>
      </c>
      <c r="X334" s="36">
        <f>RTD("money.excel",,"4128","Price")</f>
        <v>55.7</v>
      </c>
      <c r="Y334" s="66"/>
      <c r="Z334" s="15">
        <f t="shared" si="71"/>
        <v>55.7</v>
      </c>
      <c r="AA334" s="3" t="e">
        <f t="shared" si="72"/>
        <v>#DIV/0!</v>
      </c>
      <c r="AB334" s="344">
        <f>IFERROR(VLOOKUP($G334,基本資料!$A:$M,11,0),"無")</f>
        <v>-24.97</v>
      </c>
      <c r="AC334" s="397">
        <f>IFERROR(VLOOKUP($G334,基本資料!$A:$M,12,0),"無")</f>
        <v>25.56</v>
      </c>
      <c r="AD334" s="16" t="s">
        <v>3744</v>
      </c>
      <c r="AG334" s="33">
        <f t="shared" si="73"/>
        <v>0</v>
      </c>
      <c r="AH334" s="43" t="s">
        <v>3745</v>
      </c>
      <c r="AI334" s="63">
        <f t="shared" si="75"/>
        <v>3.1567660304524982E-3</v>
      </c>
      <c r="AJ334" s="284">
        <f>RTD("money.excel",,$G334,"PredictVolume")</f>
        <v>1472</v>
      </c>
      <c r="AK334" s="399">
        <f>IFERROR(VLOOKUP($G334,基本資料!$A:$M,13,0),"無")</f>
        <v>6.49</v>
      </c>
    </row>
    <row r="335" spans="1:37">
      <c r="A335" s="347">
        <f>IFERROR(VLOOKUP($G335,基本資料!$A:$J,3,0),"無")</f>
        <v>7.81</v>
      </c>
      <c r="B335" s="79">
        <f>IFERROR(VLOOKUP($G335,基本資料!$A:$J,4,0),"無")</f>
        <v>-47</v>
      </c>
      <c r="C335" s="79">
        <f>IFERROR(VLOOKUP($G335,基本資料!$A:$J,5,0),"無")</f>
        <v>79</v>
      </c>
      <c r="D335" s="79">
        <f>IFERROR(VLOOKUP($G335,基本資料!$A:$J,6,0),"無")</f>
        <v>32</v>
      </c>
      <c r="E335" s="79">
        <f>IFERROR(VLOOKUP($G335,基本資料!$A:$J,7,0),"無")</f>
        <v>9</v>
      </c>
      <c r="F335" s="6">
        <f>IFERROR(VLOOKUP($G335,基本資料!$A:$J,8,0),"無")</f>
        <v>6.28</v>
      </c>
      <c r="G335" s="79">
        <v>4129</v>
      </c>
      <c r="H335" s="8" t="s">
        <v>309</v>
      </c>
      <c r="I335" s="16" t="s">
        <v>3746</v>
      </c>
      <c r="J335" s="8">
        <f>IFERROR(VLOOKUP($G355,今日總結!$A:$AJ,35,0),"")</f>
        <v>0</v>
      </c>
      <c r="K335" s="5">
        <f>IFERROR(VLOOKUP($G335,今日總結!$A:$AJ,36,0),"")</f>
        <v>0</v>
      </c>
      <c r="L335" s="156">
        <f>IFERROR(VLOOKUP($G335,今日總結!$A:$AJ,33,0),"")</f>
        <v>1</v>
      </c>
      <c r="M335" s="340">
        <f>IFERROR(VLOOKUP($G335,今日總結!$A:$AJ,34,0),"")</f>
        <v>0</v>
      </c>
      <c r="N335" s="240">
        <f t="shared" ref="N335:N395" si="77">IFERROR(L335-M335,"")</f>
        <v>1</v>
      </c>
      <c r="P335" s="365">
        <f>IFERROR(VLOOKUP($G335,融外自投!$A:$J,7,0),"無")</f>
        <v>1014</v>
      </c>
      <c r="Q335" s="79">
        <f>IFERROR(VLOOKUP($G335,融外自投!$A:$J,9,0),"無")</f>
        <v>852</v>
      </c>
      <c r="R335" s="346">
        <f>IFERROR(VLOOKUP($G335,融外自投!$A:$J,8,0),"無")</f>
        <v>580</v>
      </c>
      <c r="S335" s="81">
        <f>IFERROR(VLOOKUP($G335,融外自投!$A:$J,10,0),"無")</f>
        <v>241</v>
      </c>
      <c r="T335" s="327">
        <f>IFERROR(VLOOKUP($G335,'321買'!$A:$E,5,0),"'沒有資料'")</f>
        <v>894</v>
      </c>
      <c r="U335" s="186">
        <f>IFERROR(VLOOKUP($G335,基本資料!$A:$J,9,0),"無")</f>
        <v>0</v>
      </c>
      <c r="V335" s="310">
        <f t="shared" si="70"/>
        <v>0</v>
      </c>
      <c r="W335" s="94">
        <f>IFERROR(VLOOKUP($G335,基本資料!$A:$J,10,0),"無")</f>
        <v>0.37</v>
      </c>
      <c r="X335" s="36">
        <f>RTD("money.excel",,"4129","Price")</f>
        <v>29.1</v>
      </c>
      <c r="Y335" s="66"/>
      <c r="Z335" s="15">
        <f t="shared" si="71"/>
        <v>29.1</v>
      </c>
      <c r="AA335" s="3" t="e">
        <f t="shared" si="72"/>
        <v>#DIV/0!</v>
      </c>
      <c r="AB335" s="344">
        <f>IFERROR(VLOOKUP($G335,基本資料!$A:$M,11,0),"無")</f>
        <v>-16.670000000000002</v>
      </c>
      <c r="AC335" s="397">
        <f>IFERROR(VLOOKUP($G335,基本資料!$A:$M,12,0),"無")</f>
        <v>45.17</v>
      </c>
      <c r="AD335" s="16" t="s">
        <v>3746</v>
      </c>
      <c r="AG335" s="33">
        <f t="shared" si="73"/>
        <v>0</v>
      </c>
      <c r="AH335" s="43" t="s">
        <v>3747</v>
      </c>
      <c r="AI335" s="63">
        <f t="shared" si="75"/>
        <v>5.8898847631241999E-4</v>
      </c>
      <c r="AJ335" s="284">
        <f>RTD("money.excel",,$G335,"PredictVolume")</f>
        <v>46</v>
      </c>
      <c r="AK335" s="399">
        <f>IFERROR(VLOOKUP($G335,基本資料!$A:$M,13,0),"無")</f>
        <v>0.8</v>
      </c>
    </row>
    <row r="336" spans="1:37">
      <c r="A336" s="347">
        <f>IFERROR(VLOOKUP($G336,基本資料!$A:$J,3,0),"無")</f>
        <v>10.93</v>
      </c>
      <c r="B336" s="79">
        <f>IFERROR(VLOOKUP($G336,基本資料!$A:$J,4,0),"無")</f>
        <v>-99</v>
      </c>
      <c r="C336" s="79">
        <f>IFERROR(VLOOKUP($G336,基本資料!$A:$J,5,0),"無")</f>
        <v>-102</v>
      </c>
      <c r="D336" s="79">
        <f>IFERROR(VLOOKUP($G336,基本資料!$A:$J,6,0),"無")</f>
        <v>-2</v>
      </c>
      <c r="E336" s="79">
        <f>IFERROR(VLOOKUP($G336,基本資料!$A:$J,7,0),"無")</f>
        <v>10</v>
      </c>
      <c r="F336" s="6">
        <f>IFERROR(VLOOKUP($G336,基本資料!$A:$J,8,0),"無")</f>
        <v>-0.27</v>
      </c>
      <c r="G336" s="79">
        <v>4130</v>
      </c>
      <c r="H336" s="8" t="s">
        <v>309</v>
      </c>
      <c r="I336" s="16" t="s">
        <v>3748</v>
      </c>
      <c r="J336" s="8">
        <f>IFERROR(VLOOKUP($G356,今日總結!$A:$AJ,35,0),"")</f>
        <v>0</v>
      </c>
      <c r="K336" s="5" t="str">
        <f>IFERROR(VLOOKUP($G336,今日總結!$A:$AJ,36,0),"")</f>
        <v>融</v>
      </c>
      <c r="L336" s="156">
        <f>IFERROR(VLOOKUP($G336,今日總結!$A:$AJ,33,0),"")</f>
        <v>0</v>
      </c>
      <c r="M336" s="340">
        <f>IFERROR(VLOOKUP($G336,今日總結!$A:$AJ,34,0),"")</f>
        <v>1</v>
      </c>
      <c r="N336" s="240">
        <f t="shared" si="77"/>
        <v>-1</v>
      </c>
      <c r="P336" s="365">
        <f>IFERROR(VLOOKUP($G336,融外自投!$A:$J,7,0),"無")</f>
        <v>625</v>
      </c>
      <c r="Q336" s="79">
        <f>IFERROR(VLOOKUP($G336,融外自投!$A:$J,9,0),"無")</f>
        <v>435</v>
      </c>
      <c r="R336" s="346">
        <f>IFERROR(VLOOKUP($G336,融外自投!$A:$J,8,0),"無")</f>
        <v>1311</v>
      </c>
      <c r="S336" s="81" t="str">
        <f>IFERROR(VLOOKUP($G336,融外自投!$A:$J,10,0),"無")</f>
        <v>無</v>
      </c>
      <c r="T336" s="327">
        <f>IFERROR(VLOOKUP($G336,'321買'!$A:$E,5,0),"'沒有資料'")</f>
        <v>802</v>
      </c>
      <c r="U336" s="186">
        <f>IFERROR(VLOOKUP($G336,基本資料!$A:$J,9,0),"無")</f>
        <v>0.35</v>
      </c>
      <c r="V336" s="310">
        <f t="shared" si="70"/>
        <v>1.4141414141414141E-2</v>
      </c>
      <c r="W336" s="94">
        <f>IFERROR(VLOOKUP($G336,基本資料!$A:$J,10,0),"無")</f>
        <v>0</v>
      </c>
      <c r="X336" s="36">
        <f>RTD("money.excel",,"4130","Price")</f>
        <v>24.75</v>
      </c>
      <c r="Y336" s="66"/>
      <c r="Z336" s="15">
        <f t="shared" si="71"/>
        <v>24.75</v>
      </c>
      <c r="AA336" s="3" t="e">
        <f t="shared" si="72"/>
        <v>#DIV/0!</v>
      </c>
      <c r="AB336" s="344">
        <f>IFERROR(VLOOKUP($G336,基本資料!$A:$M,11,0),"無")</f>
        <v>-25.57</v>
      </c>
      <c r="AC336" s="397">
        <f>IFERROR(VLOOKUP($G336,基本資料!$A:$M,12,0),"無")</f>
        <v>32.49</v>
      </c>
      <c r="AD336" s="16" t="s">
        <v>3748</v>
      </c>
      <c r="AG336" s="33">
        <f t="shared" si="73"/>
        <v>0</v>
      </c>
      <c r="AH336" s="43" t="s">
        <v>3749</v>
      </c>
      <c r="AI336" s="63">
        <f t="shared" si="75"/>
        <v>3.1107044830741078E-3</v>
      </c>
      <c r="AJ336" s="284">
        <f>RTD("money.excel",,$G336,"PredictVolume")</f>
        <v>340</v>
      </c>
      <c r="AK336" s="399">
        <f>IFERROR(VLOOKUP($G336,基本資料!$A:$M,13,0),"無")</f>
        <v>21.69</v>
      </c>
    </row>
    <row r="337" spans="1:37">
      <c r="A337" s="347">
        <f>IFERROR(VLOOKUP($G337,基本資料!$A:$J,3,0),"無")</f>
        <v>1.9</v>
      </c>
      <c r="B337" s="79">
        <f>IFERROR(VLOOKUP($G337,基本資料!$A:$J,4,0),"無")</f>
        <v>17</v>
      </c>
      <c r="C337" s="79">
        <f>IFERROR(VLOOKUP($G337,基本資料!$A:$J,5,0),"無")</f>
        <v>15</v>
      </c>
      <c r="D337" s="79">
        <f>IFERROR(VLOOKUP($G337,基本資料!$A:$J,6,0),"無")</f>
        <v>-51</v>
      </c>
      <c r="E337" s="79">
        <f>IFERROR(VLOOKUP($G337,基本資料!$A:$J,7,0),"無")</f>
        <v>-43</v>
      </c>
      <c r="F337" s="6">
        <f>IFERROR(VLOOKUP($G337,基本資料!$A:$J,8,0),"無")</f>
        <v>-31.85</v>
      </c>
      <c r="G337" s="79">
        <v>4131</v>
      </c>
      <c r="H337" s="8" t="s">
        <v>309</v>
      </c>
      <c r="I337" s="16" t="s">
        <v>3750</v>
      </c>
      <c r="J337" s="8" t="str">
        <f>IFERROR(VLOOKUP($G357,今日總結!$A:$AJ,35,0),"")</f>
        <v/>
      </c>
      <c r="K337" s="5" t="str">
        <f>IFERROR(VLOOKUP($G337,今日總結!$A:$AJ,36,0),"")</f>
        <v/>
      </c>
      <c r="L337" s="156" t="str">
        <f>IFERROR(VLOOKUP($G337,今日總結!$A:$AJ,33,0),"")</f>
        <v/>
      </c>
      <c r="M337" s="340" t="str">
        <f>IFERROR(VLOOKUP($G337,今日總結!$A:$AJ,34,0),"")</f>
        <v/>
      </c>
      <c r="N337" s="240" t="str">
        <f t="shared" si="77"/>
        <v/>
      </c>
      <c r="P337" s="365" t="str">
        <f>IFERROR(VLOOKUP($G337,融外自投!$A:$J,7,0),"無")</f>
        <v>無</v>
      </c>
      <c r="Q337" s="79" t="str">
        <f>IFERROR(VLOOKUP($G337,融外自投!$A:$J,9,0),"無")</f>
        <v>無</v>
      </c>
      <c r="R337" s="346" t="str">
        <f>IFERROR(VLOOKUP($G337,融外自投!$A:$J,8,0),"無")</f>
        <v>無</v>
      </c>
      <c r="S337" s="81" t="str">
        <f>IFERROR(VLOOKUP($G337,融外自投!$A:$J,10,0),"無")</f>
        <v>無</v>
      </c>
      <c r="T337" s="327" t="str">
        <f>IFERROR(VLOOKUP($G337,'321買'!$A:$E,5,0),"'沒有資料'")</f>
        <v>'沒有資料'</v>
      </c>
      <c r="U337" s="186">
        <f>IFERROR(VLOOKUP($G337,基本資料!$A:$J,9,0),"無")</f>
        <v>0</v>
      </c>
      <c r="V337" s="310">
        <f t="shared" si="70"/>
        <v>0</v>
      </c>
      <c r="W337" s="94">
        <f>IFERROR(VLOOKUP($G337,基本資料!$A:$J,10,0),"無")</f>
        <v>-0.91</v>
      </c>
      <c r="X337" s="36">
        <f>RTD("money.excel",,"4131","Price")</f>
        <v>14.15</v>
      </c>
      <c r="Y337" s="66"/>
      <c r="Z337" s="15">
        <f t="shared" si="71"/>
        <v>14.15</v>
      </c>
      <c r="AA337" s="3" t="e">
        <f t="shared" si="72"/>
        <v>#DIV/0!</v>
      </c>
      <c r="AB337" s="344">
        <f>IFERROR(VLOOKUP($G337,基本資料!$A:$M,11,0),"無")</f>
        <v>-24.24</v>
      </c>
      <c r="AC337" s="397">
        <f>IFERROR(VLOOKUP($G337,基本資料!$A:$M,12,0),"無")</f>
        <v>25.11</v>
      </c>
      <c r="AD337" s="16" t="s">
        <v>3750</v>
      </c>
      <c r="AG337" s="33">
        <f t="shared" si="73"/>
        <v>0</v>
      </c>
      <c r="AH337" s="43" t="s">
        <v>3751</v>
      </c>
      <c r="AI337" s="63">
        <f t="shared" si="75"/>
        <v>1.5789473684210527E-4</v>
      </c>
      <c r="AJ337" s="284">
        <f>RTD("money.excel",,$G337,"PredictVolume")</f>
        <v>3</v>
      </c>
      <c r="AK337" s="399">
        <f>IFERROR(VLOOKUP($G337,基本資料!$A:$M,13,0),"無")</f>
        <v>2.69</v>
      </c>
    </row>
    <row r="338" spans="1:37">
      <c r="A338" s="347">
        <f>IFERROR(VLOOKUP($G338,基本資料!$A:$J,3,0),"無")</f>
        <v>6.05</v>
      </c>
      <c r="B338" s="79">
        <f>IFERROR(VLOOKUP($G338,基本資料!$A:$J,4,0),"無")</f>
        <v>-22</v>
      </c>
      <c r="C338" s="79">
        <f>IFERROR(VLOOKUP($G338,基本資料!$A:$J,5,0),"無")</f>
        <v>-24</v>
      </c>
      <c r="D338" s="79">
        <f>IFERROR(VLOOKUP($G338,基本資料!$A:$J,6,0),"無")</f>
        <v>33</v>
      </c>
      <c r="E338" s="79">
        <f>IFERROR(VLOOKUP($G338,基本資料!$A:$J,7,0),"無")</f>
        <v>3</v>
      </c>
      <c r="F338" s="6">
        <f>IFERROR(VLOOKUP($G338,基本資料!$A:$J,8,0),"無")</f>
        <v>9.7100000000000009</v>
      </c>
      <c r="G338" s="79">
        <v>4133</v>
      </c>
      <c r="H338" s="8" t="s">
        <v>309</v>
      </c>
      <c r="I338" s="22" t="s">
        <v>3752</v>
      </c>
      <c r="J338" s="8" t="str">
        <f>IFERROR(VLOOKUP($G358,今日總結!$A:$AJ,35,0),"")</f>
        <v>融</v>
      </c>
      <c r="K338" s="5" t="str">
        <f>IFERROR(VLOOKUP($G338,今日總結!$A:$AJ,36,0),"")</f>
        <v>52自</v>
      </c>
      <c r="L338" s="156">
        <f>IFERROR(VLOOKUP($G338,今日總結!$A:$AJ,33,0),"")</f>
        <v>1</v>
      </c>
      <c r="M338" s="340">
        <f>IFERROR(VLOOKUP($G338,今日總結!$A:$AJ,34,0),"")</f>
        <v>3</v>
      </c>
      <c r="N338" s="240">
        <f t="shared" si="77"/>
        <v>-2</v>
      </c>
      <c r="P338" s="365">
        <f>IFERROR(VLOOKUP($G338,融外自投!$A:$J,7,0),"無")</f>
        <v>196</v>
      </c>
      <c r="Q338" s="79">
        <f>IFERROR(VLOOKUP($G338,融外自投!$A:$J,9,0),"無")</f>
        <v>31</v>
      </c>
      <c r="R338" s="346">
        <f>IFERROR(VLOOKUP($G338,融外自投!$A:$J,8,0),"無")</f>
        <v>359</v>
      </c>
      <c r="S338" s="81" t="str">
        <f>IFERROR(VLOOKUP($G338,融外自投!$A:$J,10,0),"無")</f>
        <v>無</v>
      </c>
      <c r="T338" s="327">
        <f>IFERROR(VLOOKUP($G338,'321買'!$A:$E,5,0),"'沒有資料'")</f>
        <v>271</v>
      </c>
      <c r="U338" s="186">
        <f>IFERROR(VLOOKUP($G338,基本資料!$A:$J,9,0),"無")</f>
        <v>0.46</v>
      </c>
      <c r="V338" s="310">
        <f t="shared" si="70"/>
        <v>9.4262295081967221E-3</v>
      </c>
      <c r="W338" s="94">
        <f>IFERROR(VLOOKUP($G338,基本資料!$A:$J,10,0),"無")</f>
        <v>0.47</v>
      </c>
      <c r="X338" s="36">
        <f>RTD("money.excel",,"4133","Price")</f>
        <v>48.8</v>
      </c>
      <c r="Y338" s="66"/>
      <c r="Z338" s="15">
        <f t="shared" si="71"/>
        <v>48.8</v>
      </c>
      <c r="AA338" s="3" t="e">
        <f t="shared" si="72"/>
        <v>#DIV/0!</v>
      </c>
      <c r="AB338" s="344">
        <f>IFERROR(VLOOKUP($G338,基本資料!$A:$M,11,0),"無")</f>
        <v>-29.09</v>
      </c>
      <c r="AC338" s="397">
        <f>IFERROR(VLOOKUP($G338,基本資料!$A:$M,12,0),"無")</f>
        <v>59.86</v>
      </c>
      <c r="AD338" s="22" t="s">
        <v>3752</v>
      </c>
      <c r="AG338" s="33">
        <f t="shared" si="73"/>
        <v>0</v>
      </c>
      <c r="AH338" s="43" t="s">
        <v>3753</v>
      </c>
      <c r="AI338" s="148">
        <f t="shared" si="75"/>
        <v>0.37442975206611573</v>
      </c>
      <c r="AJ338" s="284">
        <f>RTD("money.excel",,$G338,"PredictVolume")</f>
        <v>22653</v>
      </c>
      <c r="AK338" s="399">
        <f>IFERROR(VLOOKUP($G338,基本資料!$A:$M,13,0),"無")</f>
        <v>120.37</v>
      </c>
    </row>
    <row r="339" spans="1:37">
      <c r="A339" s="347">
        <f>IFERROR(VLOOKUP($G339,基本資料!$A:$J,3,0),"無")</f>
        <v>7.94</v>
      </c>
      <c r="B339" s="79">
        <f>IFERROR(VLOOKUP($G339,基本資料!$A:$J,4,0),"無")</f>
        <v>41</v>
      </c>
      <c r="C339" s="79">
        <f>IFERROR(VLOOKUP($G339,基本資料!$A:$J,5,0),"無")</f>
        <v>58</v>
      </c>
      <c r="D339" s="79">
        <f>IFERROR(VLOOKUP($G339,基本資料!$A:$J,6,0),"無")</f>
        <v>53</v>
      </c>
      <c r="E339" s="79">
        <f>IFERROR(VLOOKUP($G339,基本資料!$A:$J,7,0),"無")</f>
        <v>-1</v>
      </c>
      <c r="F339" s="6">
        <f>IFERROR(VLOOKUP($G339,基本資料!$A:$J,8,0),"無")</f>
        <v>33.61</v>
      </c>
      <c r="G339" s="79">
        <v>4137</v>
      </c>
      <c r="H339" s="8" t="s">
        <v>309</v>
      </c>
      <c r="I339" s="22" t="s">
        <v>3754</v>
      </c>
      <c r="J339" s="8">
        <f>IFERROR(VLOOKUP($G359,今日總結!$A:$AJ,35,0),"")</f>
        <v>0</v>
      </c>
      <c r="K339" s="5" t="str">
        <f>IFERROR(VLOOKUP($G339,今日總結!$A:$AJ,36,0),"")</f>
        <v/>
      </c>
      <c r="L339" s="156" t="str">
        <f>IFERROR(VLOOKUP($G339,今日總結!$A:$AJ,33,0),"")</f>
        <v/>
      </c>
      <c r="M339" s="340" t="str">
        <f>IFERROR(VLOOKUP($G339,今日總結!$A:$AJ,34,0),"")</f>
        <v/>
      </c>
      <c r="N339" s="240" t="str">
        <f t="shared" si="77"/>
        <v/>
      </c>
      <c r="P339" s="365">
        <f>IFERROR(VLOOKUP($G339,融外自投!$A:$J,7,0),"無")</f>
        <v>1157</v>
      </c>
      <c r="Q339" s="79">
        <f>IFERROR(VLOOKUP($G339,融外自投!$A:$J,9,0),"無")</f>
        <v>243</v>
      </c>
      <c r="R339" s="346">
        <f>IFERROR(VLOOKUP($G339,融外自投!$A:$J,8,0),"無")</f>
        <v>31</v>
      </c>
      <c r="S339" s="81">
        <f>IFERROR(VLOOKUP($G339,融外自投!$A:$J,10,0),"無")</f>
        <v>491</v>
      </c>
      <c r="T339" s="327">
        <f>IFERROR(VLOOKUP($G339,'321買'!$A:$E,5,0),"'沒有資料'")</f>
        <v>606</v>
      </c>
      <c r="U339" s="186">
        <f>IFERROR(VLOOKUP($G339,基本資料!$A:$J,9,0),"無")</f>
        <v>12</v>
      </c>
      <c r="V339" s="310">
        <f t="shared" si="70"/>
        <v>6.5934065934065936E-2</v>
      </c>
      <c r="W339" s="94">
        <f>IFERROR(VLOOKUP($G339,基本資料!$A:$J,10,0),"無")</f>
        <v>17.05</v>
      </c>
      <c r="X339" s="36">
        <f>RTD("money.excel",,"4137","Price")</f>
        <v>182</v>
      </c>
      <c r="Y339" s="66"/>
      <c r="Z339" s="15">
        <f t="shared" si="71"/>
        <v>182</v>
      </c>
      <c r="AA339" s="3" t="e">
        <f t="shared" si="72"/>
        <v>#DIV/0!</v>
      </c>
      <c r="AB339" s="344">
        <f>IFERROR(VLOOKUP($G339,基本資料!$A:$M,11,0),"無")</f>
        <v>-29.47</v>
      </c>
      <c r="AC339" s="397">
        <f>IFERROR(VLOOKUP($G339,基本資料!$A:$M,12,0),"無")</f>
        <v>17.920000000000002</v>
      </c>
      <c r="AD339" s="22" t="s">
        <v>3754</v>
      </c>
      <c r="AG339" s="33">
        <f t="shared" si="73"/>
        <v>0</v>
      </c>
      <c r="AH339" s="117" t="s">
        <v>3755</v>
      </c>
      <c r="AI339" s="63">
        <f t="shared" si="75"/>
        <v>1.8136020151133501E-3</v>
      </c>
      <c r="AJ339" s="284">
        <f>RTD("money.excel",,$G339,"PredictVolume")</f>
        <v>144</v>
      </c>
      <c r="AK339" s="399">
        <f>IFERROR(VLOOKUP($G339,基本資料!$A:$M,13,0),"無")</f>
        <v>1.73</v>
      </c>
    </row>
    <row r="340" spans="1:37">
      <c r="A340" s="347">
        <f>IFERROR(VLOOKUP($G340,基本資料!$A:$J,3,0),"無")</f>
        <v>3</v>
      </c>
      <c r="B340" s="79">
        <f>IFERROR(VLOOKUP($G340,基本資料!$A:$J,4,0),"無")</f>
        <v>21</v>
      </c>
      <c r="C340" s="79">
        <f>IFERROR(VLOOKUP($G340,基本資料!$A:$J,5,0),"無")</f>
        <v>13</v>
      </c>
      <c r="D340" s="79">
        <f>IFERROR(VLOOKUP($G340,基本資料!$A:$J,6,0),"無")</f>
        <v>4</v>
      </c>
      <c r="E340" s="79">
        <f>IFERROR(VLOOKUP($G340,基本資料!$A:$J,7,0),"無")</f>
        <v>0</v>
      </c>
      <c r="F340" s="6">
        <f>IFERROR(VLOOKUP($G340,基本資料!$A:$J,8,0),"無")</f>
        <v>15.6</v>
      </c>
      <c r="G340" s="79">
        <v>4138</v>
      </c>
      <c r="H340" s="8" t="s">
        <v>309</v>
      </c>
      <c r="I340" s="16" t="s">
        <v>3756</v>
      </c>
      <c r="J340" s="8" t="str">
        <f>IFERROR(VLOOKUP($G340,今日總結!$A:$AJ,35,0),"")</f>
        <v/>
      </c>
      <c r="K340" s="5" t="str">
        <f>IFERROR(VLOOKUP($G360,今日總結!$A:$AJ,36,0),"")</f>
        <v/>
      </c>
      <c r="L340" s="156" t="str">
        <f>IFERROR(VLOOKUP($G340,今日總結!$A:$AJ,33,0),"")</f>
        <v/>
      </c>
      <c r="M340" s="340" t="str">
        <f>IFERROR(VLOOKUP($G340,今日總結!$A:$AJ,34,0),"")</f>
        <v/>
      </c>
      <c r="N340" s="240" t="str">
        <f t="shared" si="77"/>
        <v/>
      </c>
      <c r="P340" s="365">
        <f>IFERROR(VLOOKUP($G340,融外自投!$A:$J,7,0),"無")</f>
        <v>1328</v>
      </c>
      <c r="Q340" s="79" t="str">
        <f>IFERROR(VLOOKUP($G340,融外自投!$A:$J,9,0),"無")</f>
        <v>無</v>
      </c>
      <c r="R340" s="346">
        <f>IFERROR(VLOOKUP($G340,融外自投!$A:$J,8,0),"無")</f>
        <v>1180</v>
      </c>
      <c r="S340" s="81" t="str">
        <f>IFERROR(VLOOKUP($G340,融外自投!$A:$J,10,0),"無")</f>
        <v>無</v>
      </c>
      <c r="T340" s="327" t="str">
        <f>IFERROR(VLOOKUP($G340,'321買'!$A:$E,5,0),"'沒有資料'")</f>
        <v>'沒有資料'</v>
      </c>
      <c r="U340" s="186">
        <f>IFERROR(VLOOKUP($G340,基本資料!$A:$J,9,0),"無")</f>
        <v>3.7</v>
      </c>
      <c r="V340" s="310">
        <f t="shared" si="70"/>
        <v>6.6787003610108309E-2</v>
      </c>
      <c r="W340" s="94">
        <f>IFERROR(VLOOKUP($G340,基本資料!$A:$J,10,0),"無")</f>
        <v>4.1100000000000003</v>
      </c>
      <c r="X340" s="36">
        <f>RTD("money.excel",,"4138","Price")</f>
        <v>55.4</v>
      </c>
      <c r="Y340" s="66"/>
      <c r="Z340" s="15">
        <f t="shared" si="71"/>
        <v>55.4</v>
      </c>
      <c r="AA340" s="3" t="e">
        <f t="shared" si="72"/>
        <v>#DIV/0!</v>
      </c>
      <c r="AB340" s="344">
        <f>IFERROR(VLOOKUP($G340,基本資料!$A:$M,11,0),"無")</f>
        <v>-3.09</v>
      </c>
      <c r="AC340" s="397">
        <f>IFERROR(VLOOKUP($G340,基本資料!$A:$M,12,0),"無")</f>
        <v>64.52</v>
      </c>
      <c r="AD340" s="16" t="s">
        <v>3756</v>
      </c>
      <c r="AG340" s="33">
        <f t="shared" si="73"/>
        <v>0</v>
      </c>
      <c r="AH340" s="117" t="s">
        <v>3757</v>
      </c>
      <c r="AI340" s="63">
        <f t="shared" si="75"/>
        <v>7.6666666666666669E-4</v>
      </c>
      <c r="AJ340" s="284">
        <f>RTD("money.excel",,$G340,"PredictVolume")</f>
        <v>23</v>
      </c>
      <c r="AK340" s="399">
        <f>IFERROR(VLOOKUP($G340,基本資料!$A:$M,13,0),"無")</f>
        <v>0.82</v>
      </c>
    </row>
    <row r="341" spans="1:37">
      <c r="A341" s="347">
        <f>IFERROR(VLOOKUP($G341,基本資料!$A:$J,3,0),"無")</f>
        <v>4.25</v>
      </c>
      <c r="B341" s="79">
        <f>IFERROR(VLOOKUP($G341,基本資料!$A:$J,4,0),"無")</f>
        <v>-57</v>
      </c>
      <c r="C341" s="79">
        <f>IFERROR(VLOOKUP($G341,基本資料!$A:$J,5,0),"無")</f>
        <v>-25</v>
      </c>
      <c r="D341" s="79">
        <f>IFERROR(VLOOKUP($G341,基本資料!$A:$J,6,0),"無")</f>
        <v>0</v>
      </c>
      <c r="E341" s="79">
        <f>IFERROR(VLOOKUP($G341,基本資料!$A:$J,7,0),"無")</f>
        <v>7</v>
      </c>
      <c r="F341" s="6">
        <f>IFERROR(VLOOKUP($G341,基本資料!$A:$J,8,0),"無")</f>
        <v>4.76</v>
      </c>
      <c r="G341" s="79">
        <v>4139</v>
      </c>
      <c r="H341" s="8" t="s">
        <v>309</v>
      </c>
      <c r="I341" s="16" t="s">
        <v>3758</v>
      </c>
      <c r="J341" s="8" t="str">
        <f>IFERROR(VLOOKUP($G341,今日總結!$A:$AJ,35,0),"")</f>
        <v/>
      </c>
      <c r="K341" s="5" t="str">
        <f>IFERROR(VLOOKUP($G361,今日總結!$A:$AJ,36,0),"")</f>
        <v/>
      </c>
      <c r="L341" s="156" t="str">
        <f>IFERROR(VLOOKUP($G341,今日總結!$A:$AJ,33,0),"")</f>
        <v/>
      </c>
      <c r="M341" s="340" t="str">
        <f>IFERROR(VLOOKUP($G341,今日總結!$A:$AJ,34,0),"")</f>
        <v/>
      </c>
      <c r="N341" s="240" t="str">
        <f t="shared" si="77"/>
        <v/>
      </c>
      <c r="P341" s="365">
        <f>IFERROR(VLOOKUP($G341,融外自投!$A:$J,7,0),"無")</f>
        <v>252</v>
      </c>
      <c r="Q341" s="79">
        <f>IFERROR(VLOOKUP($G341,融外自投!$A:$J,9,0),"無")</f>
        <v>263</v>
      </c>
      <c r="R341" s="346">
        <f>IFERROR(VLOOKUP($G341,融外自投!$A:$J,8,0),"無")</f>
        <v>236</v>
      </c>
      <c r="S341" s="81" t="str">
        <f>IFERROR(VLOOKUP($G341,融外自投!$A:$J,10,0),"無")</f>
        <v>無</v>
      </c>
      <c r="T341" s="327" t="str">
        <f>IFERROR(VLOOKUP($G341,'321買'!$A:$E,5,0),"'沒有資料'")</f>
        <v>'沒有資料'</v>
      </c>
      <c r="U341" s="186">
        <f>IFERROR(VLOOKUP($G341,基本資料!$A:$J,9,0),"無")</f>
        <v>0</v>
      </c>
      <c r="V341" s="310">
        <f t="shared" si="70"/>
        <v>0</v>
      </c>
      <c r="W341" s="94">
        <f>IFERROR(VLOOKUP($G341,基本資料!$A:$J,10,0),"無")</f>
        <v>0.91</v>
      </c>
      <c r="X341" s="36">
        <f>RTD("money.excel",,"4139","Price")</f>
        <v>45.4</v>
      </c>
      <c r="Y341" s="66"/>
      <c r="Z341" s="15">
        <f t="shared" si="71"/>
        <v>45.4</v>
      </c>
      <c r="AA341" s="3" t="e">
        <f t="shared" si="72"/>
        <v>#DIV/0!</v>
      </c>
      <c r="AB341" s="344">
        <f>IFERROR(VLOOKUP($G341,基本資料!$A:$M,11,0),"無")</f>
        <v>-15.7</v>
      </c>
      <c r="AC341" s="397">
        <f>IFERROR(VLOOKUP($G341,基本資料!$A:$M,12,0),"無")</f>
        <v>45.28</v>
      </c>
      <c r="AD341" s="16" t="s">
        <v>3758</v>
      </c>
      <c r="AG341" s="33">
        <f t="shared" si="73"/>
        <v>0</v>
      </c>
      <c r="AH341" s="43" t="s">
        <v>3759</v>
      </c>
      <c r="AI341" s="63">
        <f t="shared" si="75"/>
        <v>3.7882352941176469E-3</v>
      </c>
      <c r="AJ341" s="284">
        <f>RTD("money.excel",,$G341,"PredictVolume")</f>
        <v>161</v>
      </c>
      <c r="AK341" s="399">
        <f>IFERROR(VLOOKUP($G341,基本資料!$A:$M,13,0),"無")</f>
        <v>1.36</v>
      </c>
    </row>
    <row r="342" spans="1:37">
      <c r="A342" s="347" t="str">
        <f>IFERROR(VLOOKUP($G342,基本資料!$A:$J,3,0),"無")</f>
        <v>無</v>
      </c>
      <c r="B342" s="79" t="str">
        <f>IFERROR(VLOOKUP($G342,基本資料!$A:$J,4,0),"無")</f>
        <v>無</v>
      </c>
      <c r="C342" s="79" t="str">
        <f>IFERROR(VLOOKUP($G342,基本資料!$A:$J,5,0),"無")</f>
        <v>無</v>
      </c>
      <c r="D342" s="79" t="str">
        <f>IFERROR(VLOOKUP($G342,基本資料!$A:$J,6,0),"無")</f>
        <v>無</v>
      </c>
      <c r="E342" s="79" t="str">
        <f>IFERROR(VLOOKUP($G342,基本資料!$A:$J,7,0),"無")</f>
        <v>無</v>
      </c>
      <c r="F342" s="6" t="str">
        <f>IFERROR(VLOOKUP($G342,基本資料!$A:$J,8,0),"無")</f>
        <v>無</v>
      </c>
      <c r="G342" s="79">
        <v>4141</v>
      </c>
      <c r="H342" s="8" t="s">
        <v>309</v>
      </c>
      <c r="I342" s="22" t="s">
        <v>3760</v>
      </c>
      <c r="J342" s="8" t="str">
        <f>IFERROR(VLOOKUP($G342,今日總結!$A:$AJ,35,0),"")</f>
        <v/>
      </c>
      <c r="K342" s="5" t="str">
        <f>IFERROR(VLOOKUP($G362,今日總結!$A:$AJ,36,0),"")</f>
        <v/>
      </c>
      <c r="L342" s="156" t="str">
        <f>IFERROR(VLOOKUP($G342,今日總結!$A:$AJ,33,0),"")</f>
        <v/>
      </c>
      <c r="M342" s="340" t="str">
        <f>IFERROR(VLOOKUP($G342,今日總結!$A:$AJ,34,0),"")</f>
        <v/>
      </c>
      <c r="N342" s="240" t="str">
        <f t="shared" si="77"/>
        <v/>
      </c>
      <c r="P342" s="365" t="str">
        <f>IFERROR(VLOOKUP($G342,融外自投!$A:$J,7,0),"無")</f>
        <v>無</v>
      </c>
      <c r="Q342" s="79" t="str">
        <f>IFERROR(VLOOKUP($G342,融外自投!$A:$J,9,0),"無")</f>
        <v>無</v>
      </c>
      <c r="R342" s="346" t="str">
        <f>IFERROR(VLOOKUP($G342,融外自投!$A:$J,8,0),"無")</f>
        <v>無</v>
      </c>
      <c r="S342" s="81" t="str">
        <f>IFERROR(VLOOKUP($G342,融外自投!$A:$J,10,0),"無")</f>
        <v>無</v>
      </c>
      <c r="T342" s="327" t="str">
        <f>IFERROR(VLOOKUP($G342,'321買'!$A:$E,5,0),"'沒有資料'")</f>
        <v>'沒有資料'</v>
      </c>
      <c r="U342" s="186" t="str">
        <f>IFERROR(VLOOKUP($G342,基本資料!$A:$J,9,0),"無")</f>
        <v>無</v>
      </c>
      <c r="V342" s="310" t="e">
        <f t="shared" si="70"/>
        <v>#VALUE!</v>
      </c>
      <c r="W342" s="94" t="str">
        <f>IFERROR(VLOOKUP($G342,基本資料!$A:$J,10,0),"無")</f>
        <v>無</v>
      </c>
      <c r="X342" s="36" t="str">
        <f>RTD("money.excel",,"4141","Price")</f>
        <v>商品錯誤</v>
      </c>
      <c r="Y342" s="66"/>
      <c r="Z342" s="15" t="e">
        <f t="shared" si="71"/>
        <v>#VALUE!</v>
      </c>
      <c r="AA342" s="3" t="e">
        <f t="shared" si="72"/>
        <v>#VALUE!</v>
      </c>
      <c r="AB342" s="344" t="str">
        <f>IFERROR(VLOOKUP($G342,基本資料!$A:$M,11,0),"無")</f>
        <v>無</v>
      </c>
      <c r="AC342" s="397" t="str">
        <f>IFERROR(VLOOKUP($G342,基本資料!$A:$M,12,0),"無")</f>
        <v>無</v>
      </c>
      <c r="AD342" s="22" t="s">
        <v>3760</v>
      </c>
      <c r="AG342" s="33">
        <f t="shared" si="73"/>
        <v>0</v>
      </c>
      <c r="AH342" s="43" t="s">
        <v>3761</v>
      </c>
      <c r="AI342" s="63" t="e">
        <f t="shared" si="75"/>
        <v>#VALUE!</v>
      </c>
      <c r="AJ342" s="284" t="str">
        <f>RTD("money.excel",,$G342,"PredictVolume")</f>
        <v>商品錯誤</v>
      </c>
      <c r="AK342" s="399" t="str">
        <f>IFERROR(VLOOKUP($G342,基本資料!$A:$M,13,0),"無")</f>
        <v>無</v>
      </c>
    </row>
    <row r="343" spans="1:37">
      <c r="A343" s="347">
        <f>IFERROR(VLOOKUP($G343,基本資料!$A:$J,3,0),"無")</f>
        <v>42.95</v>
      </c>
      <c r="B343" s="79">
        <f>IFERROR(VLOOKUP($G343,基本資料!$A:$J,4,0),"無")</f>
        <v>-98</v>
      </c>
      <c r="C343" s="79">
        <f>IFERROR(VLOOKUP($G343,基本資料!$A:$J,5,0),"無")</f>
        <v>-701</v>
      </c>
      <c r="D343" s="79">
        <f>IFERROR(VLOOKUP($G343,基本資料!$A:$J,6,0),"無")</f>
        <v>-22</v>
      </c>
      <c r="E343" s="79">
        <f>IFERROR(VLOOKUP($G343,基本資料!$A:$J,7,0),"無")</f>
        <v>673</v>
      </c>
      <c r="F343" s="6">
        <f>IFERROR(VLOOKUP($G343,基本資料!$A:$J,8,0),"無")</f>
        <v>-12.6</v>
      </c>
      <c r="G343" s="79">
        <v>4142</v>
      </c>
      <c r="H343" s="8" t="s">
        <v>309</v>
      </c>
      <c r="I343" s="22" t="s">
        <v>3762</v>
      </c>
      <c r="J343" s="8" t="str">
        <f>IFERROR(VLOOKUP($G343,今日總結!$A:$AJ,35,0),"")</f>
        <v/>
      </c>
      <c r="K343" s="5" t="str">
        <f>IFERROR(VLOOKUP($G363,今日總結!$A:$AJ,36,0),"")</f>
        <v/>
      </c>
      <c r="L343" s="156" t="str">
        <f>IFERROR(VLOOKUP($G343,今日總結!$A:$AJ,33,0),"")</f>
        <v/>
      </c>
      <c r="M343" s="340" t="str">
        <f>IFERROR(VLOOKUP($G343,今日總結!$A:$AJ,34,0),"")</f>
        <v/>
      </c>
      <c r="N343" s="240" t="str">
        <f t="shared" si="77"/>
        <v/>
      </c>
      <c r="P343" s="365">
        <f>IFERROR(VLOOKUP($G343,融外自投!$A:$J,7,0),"無")</f>
        <v>398</v>
      </c>
      <c r="Q343" s="79">
        <f>IFERROR(VLOOKUP($G343,融外自投!$A:$J,9,0),"無")</f>
        <v>176</v>
      </c>
      <c r="R343" s="346">
        <f>IFERROR(VLOOKUP($G343,融外自投!$A:$J,8,0),"無")</f>
        <v>638</v>
      </c>
      <c r="S343" s="81">
        <f>IFERROR(VLOOKUP($G343,融外自投!$A:$J,10,0),"無")</f>
        <v>362</v>
      </c>
      <c r="T343" s="327">
        <f>IFERROR(VLOOKUP($G343,'321買'!$A:$E,5,0),"'沒有資料'")</f>
        <v>403</v>
      </c>
      <c r="U343" s="186">
        <f>IFERROR(VLOOKUP($G343,基本資料!$A:$J,9,0),"無")</f>
        <v>0</v>
      </c>
      <c r="V343" s="310">
        <f t="shared" si="70"/>
        <v>0</v>
      </c>
      <c r="W343" s="94">
        <f>IFERROR(VLOOKUP($G343,基本資料!$A:$J,10,0),"無")</f>
        <v>0.1</v>
      </c>
      <c r="X343" s="36">
        <f>RTD("money.excel",,"4142","Price")</f>
        <v>37</v>
      </c>
      <c r="Y343" s="66"/>
      <c r="Z343" s="15">
        <f t="shared" si="71"/>
        <v>37</v>
      </c>
      <c r="AA343" s="3" t="e">
        <f t="shared" si="72"/>
        <v>#DIV/0!</v>
      </c>
      <c r="AB343" s="344">
        <f>IFERROR(VLOOKUP($G343,基本資料!$A:$M,11,0),"無")</f>
        <v>-35.01</v>
      </c>
      <c r="AC343" s="397">
        <f>IFERROR(VLOOKUP($G343,基本資料!$A:$M,12,0),"無")</f>
        <v>25.39</v>
      </c>
      <c r="AD343" s="22" t="s">
        <v>3762</v>
      </c>
      <c r="AG343" s="33">
        <f t="shared" si="73"/>
        <v>0</v>
      </c>
      <c r="AH343" s="43" t="s">
        <v>3763</v>
      </c>
      <c r="AI343" s="63">
        <f t="shared" si="75"/>
        <v>6.1047729918509899E-3</v>
      </c>
      <c r="AJ343" s="284">
        <f>RTD("money.excel",,$G343,"PredictVolume")</f>
        <v>2622</v>
      </c>
      <c r="AK343" s="399">
        <f>IFERROR(VLOOKUP($G343,基本資料!$A:$M,13,0),"無")</f>
        <v>25.05</v>
      </c>
    </row>
    <row r="344" spans="1:37">
      <c r="A344" s="347">
        <f>IFERROR(VLOOKUP($G344,基本資料!$A:$J,3,0),"無")</f>
        <v>25.23</v>
      </c>
      <c r="B344" s="79">
        <f>IFERROR(VLOOKUP($G344,基本資料!$A:$J,4,0),"無")</f>
        <v>-156</v>
      </c>
      <c r="C344" s="79">
        <f>IFERROR(VLOOKUP($G344,基本資料!$A:$J,5,0),"無")</f>
        <v>-266</v>
      </c>
      <c r="D344" s="79">
        <f>IFERROR(VLOOKUP($G344,基本資料!$A:$J,6,0),"無")</f>
        <v>214</v>
      </c>
      <c r="E344" s="79">
        <f>IFERROR(VLOOKUP($G344,基本資料!$A:$J,7,0),"無")</f>
        <v>-28</v>
      </c>
      <c r="F344" s="6">
        <f>IFERROR(VLOOKUP($G344,基本資料!$A:$J,8,0),"無")</f>
        <v>-117.64</v>
      </c>
      <c r="G344" s="79">
        <v>4147</v>
      </c>
      <c r="H344" s="8" t="s">
        <v>309</v>
      </c>
      <c r="I344" s="16" t="s">
        <v>3764</v>
      </c>
      <c r="J344" s="8" t="str">
        <f>IFERROR(VLOOKUP($G344,今日總結!$A:$AJ,35,0),"")</f>
        <v/>
      </c>
      <c r="K344" s="5" t="str">
        <f>IFERROR(VLOOKUP($G364,今日總結!$A:$AJ,36,0),"")</f>
        <v/>
      </c>
      <c r="L344" s="156" t="str">
        <f>IFERROR(VLOOKUP($G344,今日總結!$A:$AJ,33,0),"")</f>
        <v/>
      </c>
      <c r="M344" s="340" t="str">
        <f>IFERROR(VLOOKUP($G344,今日總結!$A:$AJ,34,0),"")</f>
        <v/>
      </c>
      <c r="N344" s="240" t="str">
        <f t="shared" si="77"/>
        <v/>
      </c>
      <c r="P344" s="365">
        <f>IFERROR(VLOOKUP($G344,融外自投!$A:$J,7,0),"無")</f>
        <v>914</v>
      </c>
      <c r="Q344" s="79">
        <f>IFERROR(VLOOKUP($G344,融外自投!$A:$J,9,0),"無")</f>
        <v>978</v>
      </c>
      <c r="R344" s="346">
        <f>IFERROR(VLOOKUP($G344,融外自投!$A:$J,8,0),"無")</f>
        <v>655</v>
      </c>
      <c r="S344" s="81">
        <f>IFERROR(VLOOKUP($G344,融外自投!$A:$J,10,0),"無")</f>
        <v>345</v>
      </c>
      <c r="T344" s="327">
        <f>IFERROR(VLOOKUP($G344,'321買'!$A:$E,5,0),"'沒有資料'")</f>
        <v>729</v>
      </c>
      <c r="U344" s="186">
        <f>IFERROR(VLOOKUP($G344,基本資料!$A:$J,9,0),"無")</f>
        <v>0</v>
      </c>
      <c r="V344" s="310">
        <f t="shared" si="70"/>
        <v>0</v>
      </c>
      <c r="W344" s="94">
        <f>IFERROR(VLOOKUP($G344,基本資料!$A:$J,10,0),"無")</f>
        <v>-1.87</v>
      </c>
      <c r="X344" s="36">
        <f>RTD("money.excel",,"4147","Price")</f>
        <v>59.8</v>
      </c>
      <c r="Y344" s="66"/>
      <c r="Z344" s="15">
        <f t="shared" si="71"/>
        <v>59.8</v>
      </c>
      <c r="AA344" s="3" t="e">
        <f t="shared" si="72"/>
        <v>#DIV/0!</v>
      </c>
      <c r="AB344" s="344">
        <f>IFERROR(VLOOKUP($G344,基本資料!$A:$M,11,0),"無")</f>
        <v>-27.65</v>
      </c>
      <c r="AC344" s="397">
        <f>IFERROR(VLOOKUP($G344,基本資料!$A:$M,12,0),"無")</f>
        <v>16.41</v>
      </c>
      <c r="AD344" s="16" t="s">
        <v>3764</v>
      </c>
      <c r="AG344" s="33">
        <f t="shared" si="73"/>
        <v>0</v>
      </c>
      <c r="AH344" s="117" t="s">
        <v>3765</v>
      </c>
      <c r="AI344" s="63">
        <f t="shared" si="75"/>
        <v>2.2988505747126436E-3</v>
      </c>
      <c r="AJ344" s="284">
        <f>RTD("money.excel",,$G344,"PredictVolume")</f>
        <v>580</v>
      </c>
      <c r="AK344" s="399">
        <f>IFERROR(VLOOKUP($G344,基本資料!$A:$M,13,0),"無")</f>
        <v>5.96</v>
      </c>
    </row>
    <row r="345" spans="1:37">
      <c r="A345" s="347">
        <f>IFERROR(VLOOKUP($G345,基本資料!$A:$J,3,0),"無")</f>
        <v>6.4</v>
      </c>
      <c r="B345" s="79">
        <f>IFERROR(VLOOKUP($G345,基本資料!$A:$J,4,0),"無")</f>
        <v>141</v>
      </c>
      <c r="C345" s="79">
        <f>IFERROR(VLOOKUP($G345,基本資料!$A:$J,5,0),"無")</f>
        <v>166</v>
      </c>
      <c r="D345" s="79">
        <f>IFERROR(VLOOKUP($G345,基本資料!$A:$J,6,0),"無")</f>
        <v>-2</v>
      </c>
      <c r="E345" s="79">
        <f>IFERROR(VLOOKUP($G345,基本資料!$A:$J,7,0),"無")</f>
        <v>59</v>
      </c>
      <c r="F345" s="6">
        <f>IFERROR(VLOOKUP($G345,基本資料!$A:$J,8,0),"無")</f>
        <v>12.44</v>
      </c>
      <c r="G345" s="79">
        <v>4148</v>
      </c>
      <c r="H345" s="8" t="s">
        <v>309</v>
      </c>
      <c r="I345" s="22" t="s">
        <v>3766</v>
      </c>
      <c r="J345" s="8">
        <f>IFERROR(VLOOKUP($G345,今日總結!$A:$AJ,35,0),"")</f>
        <v>4</v>
      </c>
      <c r="K345" s="5" t="str">
        <f>IFERROR(VLOOKUP($G365,今日總結!$A:$AJ,36,0),"")</f>
        <v/>
      </c>
      <c r="L345" s="156">
        <f>IFERROR(VLOOKUP($G345,今日總結!$A:$AJ,33,0),"")</f>
        <v>1</v>
      </c>
      <c r="M345" s="340">
        <f>IFERROR(VLOOKUP($G345,今日總結!$A:$AJ,34,0),"")</f>
        <v>0</v>
      </c>
      <c r="N345" s="240">
        <f t="shared" si="77"/>
        <v>1</v>
      </c>
      <c r="P345" s="365">
        <f>IFERROR(VLOOKUP($G345,融外自投!$A:$J,7,0),"無")</f>
        <v>702</v>
      </c>
      <c r="Q345" s="79">
        <f>IFERROR(VLOOKUP($G345,融外自投!$A:$J,9,0),"無")</f>
        <v>708</v>
      </c>
      <c r="R345" s="346">
        <f>IFERROR(VLOOKUP($G345,融外自投!$A:$J,8,0),"無")</f>
        <v>17</v>
      </c>
      <c r="S345" s="81">
        <f>IFERROR(VLOOKUP($G345,融外自投!$A:$J,10,0),"無")</f>
        <v>416</v>
      </c>
      <c r="T345" s="327">
        <f>IFERROR(VLOOKUP($G345,'321買'!$A:$E,5,0),"'沒有資料'")</f>
        <v>1161</v>
      </c>
      <c r="U345" s="186">
        <f>IFERROR(VLOOKUP($G345,基本資料!$A:$J,9,0),"無")</f>
        <v>1.5</v>
      </c>
      <c r="V345" s="310">
        <f t="shared" si="70"/>
        <v>2.1865889212827991E-2</v>
      </c>
      <c r="W345" s="94">
        <f>IFERROR(VLOOKUP($G345,基本資料!$A:$J,10,0),"無")</f>
        <v>3.09</v>
      </c>
      <c r="X345" s="36">
        <f>RTD("money.excel",,"4148","Price")</f>
        <v>68.599999999999994</v>
      </c>
      <c r="Y345" s="66"/>
      <c r="Z345" s="15">
        <f t="shared" si="71"/>
        <v>68.599999999999994</v>
      </c>
      <c r="AA345" s="3" t="e">
        <f t="shared" si="72"/>
        <v>#DIV/0!</v>
      </c>
      <c r="AB345" s="344">
        <f>IFERROR(VLOOKUP($G345,基本資料!$A:$M,11,0),"無")</f>
        <v>-26.21</v>
      </c>
      <c r="AC345" s="397">
        <f>IFERROR(VLOOKUP($G345,基本資料!$A:$M,12,0),"無")</f>
        <v>57.89</v>
      </c>
      <c r="AD345" s="22" t="s">
        <v>3766</v>
      </c>
      <c r="AG345" s="33">
        <f t="shared" si="73"/>
        <v>0</v>
      </c>
      <c r="AH345" s="43" t="s">
        <v>2810</v>
      </c>
      <c r="AI345" s="63">
        <f t="shared" si="75"/>
        <v>3.2000000000000001E-2</v>
      </c>
      <c r="AJ345" s="284">
        <f>RTD("money.excel",,$G345,"PredictVolume")</f>
        <v>2048</v>
      </c>
      <c r="AK345" s="399">
        <f>IFERROR(VLOOKUP($G345,基本資料!$A:$M,13,0),"無")</f>
        <v>30.18</v>
      </c>
    </row>
    <row r="346" spans="1:37">
      <c r="A346" s="347">
        <f>IFERROR(VLOOKUP($G346,基本資料!$A:$J,3,0),"無")</f>
        <v>6.17</v>
      </c>
      <c r="B346" s="79">
        <f>IFERROR(VLOOKUP($G346,基本資料!$A:$J,4,0),"無")</f>
        <v>25</v>
      </c>
      <c r="C346" s="79">
        <f>IFERROR(VLOOKUP($G346,基本資料!$A:$J,5,0),"無")</f>
        <v>-67</v>
      </c>
      <c r="D346" s="79">
        <f>IFERROR(VLOOKUP($G346,基本資料!$A:$J,6,0),"無")</f>
        <v>-14</v>
      </c>
      <c r="E346" s="79">
        <f>IFERROR(VLOOKUP($G346,基本資料!$A:$J,7,0),"無")</f>
        <v>21</v>
      </c>
      <c r="F346" s="6">
        <f>IFERROR(VLOOKUP($G346,基本資料!$A:$J,8,0),"無")</f>
        <v>3.17</v>
      </c>
      <c r="G346" s="79">
        <v>4153</v>
      </c>
      <c r="H346" s="8" t="s">
        <v>309</v>
      </c>
      <c r="I346" s="16" t="s">
        <v>3767</v>
      </c>
      <c r="J346" s="8">
        <f>IFERROR(VLOOKUP($G346,今日總結!$A:$AJ,35,0),"")</f>
        <v>0</v>
      </c>
      <c r="K346" s="5" t="str">
        <f>IFERROR(VLOOKUP($G366,今日總結!$A:$AJ,36,0),"")</f>
        <v/>
      </c>
      <c r="L346" s="156">
        <f>IFERROR(VLOOKUP($G346,今日總結!$A:$AJ,33,0),"")</f>
        <v>0</v>
      </c>
      <c r="M346" s="340">
        <f>IFERROR(VLOOKUP($G346,今日總結!$A:$AJ,34,0),"")</f>
        <v>2</v>
      </c>
      <c r="N346" s="240">
        <f t="shared" si="77"/>
        <v>-2</v>
      </c>
      <c r="P346" s="365">
        <f>IFERROR(VLOOKUP($G346,融外自投!$A:$J,7,0),"無")</f>
        <v>124</v>
      </c>
      <c r="Q346" s="79">
        <f>IFERROR(VLOOKUP($G346,融外自投!$A:$J,9,0),"無")</f>
        <v>852</v>
      </c>
      <c r="R346" s="346">
        <f>IFERROR(VLOOKUP($G346,融外自投!$A:$J,8,0),"無")</f>
        <v>1409</v>
      </c>
      <c r="S346" s="81" t="str">
        <f>IFERROR(VLOOKUP($G346,融外自投!$A:$J,10,0),"無")</f>
        <v>無</v>
      </c>
      <c r="T346" s="327">
        <f>IFERROR(VLOOKUP($G346,'321買'!$A:$E,5,0),"'沒有資料'")</f>
        <v>752</v>
      </c>
      <c r="U346" s="186">
        <f>IFERROR(VLOOKUP($G346,基本資料!$A:$J,9,0),"無")</f>
        <v>0.37</v>
      </c>
      <c r="V346" s="310">
        <f t="shared" si="70"/>
        <v>1.2914485165794068E-2</v>
      </c>
      <c r="W346" s="94">
        <f>IFERROR(VLOOKUP($G346,基本資料!$A:$J,10,0),"無")</f>
        <v>0.37</v>
      </c>
      <c r="X346" s="36">
        <f>RTD("money.excel",,"4153","Price")</f>
        <v>28.65</v>
      </c>
      <c r="Y346" s="66"/>
      <c r="Z346" s="15">
        <f t="shared" si="71"/>
        <v>28.65</v>
      </c>
      <c r="AA346" s="3" t="e">
        <f t="shared" si="72"/>
        <v>#DIV/0!</v>
      </c>
      <c r="AB346" s="344">
        <f>IFERROR(VLOOKUP($G346,基本資料!$A:$M,11,0),"無")</f>
        <v>-5.78</v>
      </c>
      <c r="AC346" s="397">
        <f>IFERROR(VLOOKUP($G346,基本資料!$A:$M,12,0),"無")</f>
        <v>60.13</v>
      </c>
      <c r="AD346" s="16" t="s">
        <v>3767</v>
      </c>
      <c r="AG346" s="33">
        <f t="shared" si="73"/>
        <v>0</v>
      </c>
      <c r="AH346" s="43" t="s">
        <v>3768</v>
      </c>
      <c r="AI346" s="63">
        <f t="shared" si="75"/>
        <v>1.5948136142625607E-2</v>
      </c>
      <c r="AJ346" s="284">
        <f>RTD("money.excel",,$G346,"PredictVolume")</f>
        <v>984</v>
      </c>
      <c r="AK346" s="399">
        <f>IFERROR(VLOOKUP($G346,基本資料!$A:$M,13,0),"無")</f>
        <v>7.81</v>
      </c>
    </row>
    <row r="347" spans="1:37">
      <c r="A347" s="347">
        <f>IFERROR(VLOOKUP($G347,基本資料!$A:$J,3,0),"無")</f>
        <v>3.57</v>
      </c>
      <c r="B347" s="79">
        <f>IFERROR(VLOOKUP($G347,基本資料!$A:$J,4,0),"無")</f>
        <v>-171</v>
      </c>
      <c r="C347" s="79">
        <f>IFERROR(VLOOKUP($G347,基本資料!$A:$J,5,0),"無")</f>
        <v>-188</v>
      </c>
      <c r="D347" s="79">
        <f>IFERROR(VLOOKUP($G347,基本資料!$A:$J,6,0),"無")</f>
        <v>32</v>
      </c>
      <c r="E347" s="79">
        <f>IFERROR(VLOOKUP($G347,基本資料!$A:$J,7,0),"無")</f>
        <v>66</v>
      </c>
      <c r="F347" s="6">
        <f>IFERROR(VLOOKUP($G347,基本資料!$A:$J,8,0),"無")</f>
        <v>-25.14</v>
      </c>
      <c r="G347" s="79">
        <v>4154</v>
      </c>
      <c r="H347" s="8" t="s">
        <v>309</v>
      </c>
      <c r="I347" s="16" t="s">
        <v>3769</v>
      </c>
      <c r="J347" s="8" t="str">
        <f>IFERROR(VLOOKUP($G347,今日總結!$A:$AJ,35,0),"")</f>
        <v/>
      </c>
      <c r="K347" s="5">
        <f>IFERROR(VLOOKUP($G367,今日總結!$A:$AJ,36,0),"")</f>
        <v>0</v>
      </c>
      <c r="L347" s="156" t="str">
        <f>IFERROR(VLOOKUP($G347,今日總結!$A:$AJ,33,0),"")</f>
        <v/>
      </c>
      <c r="M347" s="340" t="str">
        <f>IFERROR(VLOOKUP($G347,今日總結!$A:$AJ,34,0),"")</f>
        <v/>
      </c>
      <c r="N347" s="240" t="str">
        <f t="shared" si="77"/>
        <v/>
      </c>
      <c r="P347" s="365" t="str">
        <f>IFERROR(VLOOKUP($G347,融外自投!$A:$J,7,0),"無")</f>
        <v>無</v>
      </c>
      <c r="Q347" s="79" t="str">
        <f>IFERROR(VLOOKUP($G347,融外自投!$A:$J,9,0),"無")</f>
        <v>無</v>
      </c>
      <c r="R347" s="346" t="str">
        <f>IFERROR(VLOOKUP($G347,融外自投!$A:$J,8,0),"無")</f>
        <v>無</v>
      </c>
      <c r="S347" s="81" t="str">
        <f>IFERROR(VLOOKUP($G347,融外自投!$A:$J,10,0),"無")</f>
        <v>無</v>
      </c>
      <c r="T347" s="327" t="str">
        <f>IFERROR(VLOOKUP($G347,'321買'!$A:$E,5,0),"'沒有資料'")</f>
        <v>'沒有資料'</v>
      </c>
      <c r="U347" s="186">
        <f>IFERROR(VLOOKUP($G347,基本資料!$A:$J,9,0),"無")</f>
        <v>0</v>
      </c>
      <c r="V347" s="310">
        <f t="shared" si="70"/>
        <v>0</v>
      </c>
      <c r="W347" s="94">
        <f>IFERROR(VLOOKUP($G347,基本資料!$A:$J,10,0),"無")</f>
        <v>-2.1800000000000002</v>
      </c>
      <c r="X347" s="36">
        <f>RTD("money.excel",,"4154","Price")</f>
        <v>43.2</v>
      </c>
      <c r="Y347" s="66"/>
      <c r="Z347" s="15">
        <f t="shared" si="71"/>
        <v>43.2</v>
      </c>
      <c r="AA347" s="3" t="e">
        <f t="shared" si="72"/>
        <v>#DIV/0!</v>
      </c>
      <c r="AB347" s="344">
        <f>IFERROR(VLOOKUP($G347,基本資料!$A:$M,11,0),"無")</f>
        <v>-38.68</v>
      </c>
      <c r="AC347" s="397">
        <f>IFERROR(VLOOKUP($G347,基本資料!$A:$M,12,0),"無")</f>
        <v>24.49</v>
      </c>
      <c r="AD347" s="16" t="s">
        <v>3769</v>
      </c>
      <c r="AG347" s="33">
        <f t="shared" si="73"/>
        <v>0</v>
      </c>
      <c r="AH347" s="43" t="s">
        <v>3770</v>
      </c>
      <c r="AI347" s="63">
        <f t="shared" si="75"/>
        <v>3.6414565826330533E-3</v>
      </c>
      <c r="AJ347" s="284">
        <f>RTD("money.excel",,$G347,"PredictVolume")</f>
        <v>130</v>
      </c>
      <c r="AK347" s="399">
        <f>IFERROR(VLOOKUP($G347,基本資料!$A:$M,13,0),"無")</f>
        <v>1.91</v>
      </c>
    </row>
    <row r="348" spans="1:37">
      <c r="A348" s="347">
        <f>IFERROR(VLOOKUP($G348,基本資料!$A:$J,3,0),"無")</f>
        <v>9.49</v>
      </c>
      <c r="B348" s="79">
        <f>IFERROR(VLOOKUP($G348,基本資料!$A:$J,4,0),"無")</f>
        <v>-74</v>
      </c>
      <c r="C348" s="79">
        <f>IFERROR(VLOOKUP($G348,基本資料!$A:$J,5,0),"無")</f>
        <v>-93</v>
      </c>
      <c r="D348" s="79">
        <f>IFERROR(VLOOKUP($G348,基本資料!$A:$J,6,0),"無")</f>
        <v>68</v>
      </c>
      <c r="E348" s="79">
        <f>IFERROR(VLOOKUP($G348,基本資料!$A:$J,7,0),"無")</f>
        <v>93</v>
      </c>
      <c r="F348" s="6">
        <f>IFERROR(VLOOKUP($G348,基本資料!$A:$J,8,0),"無")</f>
        <v>0.64</v>
      </c>
      <c r="G348" s="79">
        <v>4155</v>
      </c>
      <c r="H348" s="8" t="s">
        <v>309</v>
      </c>
      <c r="I348" s="22" t="s">
        <v>3771</v>
      </c>
      <c r="J348" s="8">
        <f>IFERROR(VLOOKUP($G348,今日總結!$A:$AJ,35,0),"")</f>
        <v>0</v>
      </c>
      <c r="K348" s="5">
        <f>IFERROR(VLOOKUP($G368,今日總結!$A:$AJ,36,0),"")</f>
        <v>3452</v>
      </c>
      <c r="L348" s="156">
        <f>IFERROR(VLOOKUP($G348,今日總結!$A:$AJ,33,0),"")</f>
        <v>0</v>
      </c>
      <c r="M348" s="340">
        <f>IFERROR(VLOOKUP($G348,今日總結!$A:$AJ,34,0),"")</f>
        <v>1</v>
      </c>
      <c r="N348" s="240">
        <f t="shared" si="77"/>
        <v>-1</v>
      </c>
      <c r="P348" s="365">
        <f>IFERROR(VLOOKUP($G348,融外自投!$A:$J,7,0),"無")</f>
        <v>860</v>
      </c>
      <c r="Q348" s="79">
        <f>IFERROR(VLOOKUP($G348,融外自投!$A:$J,9,0),"無")</f>
        <v>683</v>
      </c>
      <c r="R348" s="346">
        <f>IFERROR(VLOOKUP($G348,融外自投!$A:$J,8,0),"無")</f>
        <v>1108</v>
      </c>
      <c r="S348" s="81" t="str">
        <f>IFERROR(VLOOKUP($G348,融外自投!$A:$J,10,0),"無")</f>
        <v>無</v>
      </c>
      <c r="T348" s="327">
        <f>IFERROR(VLOOKUP($G348,'321買'!$A:$E,5,0),"'沒有資料'")</f>
        <v>984</v>
      </c>
      <c r="U348" s="186">
        <f>IFERROR(VLOOKUP($G348,基本資料!$A:$J,9,0),"無")</f>
        <v>1</v>
      </c>
      <c r="V348" s="310">
        <f t="shared" si="70"/>
        <v>4.3859649122807015E-2</v>
      </c>
      <c r="W348" s="94">
        <f>IFERROR(VLOOKUP($G348,基本資料!$A:$J,10,0),"無")</f>
        <v>0.46</v>
      </c>
      <c r="X348" s="36">
        <f>RTD("money.excel",,"4155","Price")</f>
        <v>22.8</v>
      </c>
      <c r="Y348" s="66"/>
      <c r="Z348" s="15">
        <f t="shared" si="71"/>
        <v>22.8</v>
      </c>
      <c r="AA348" s="3" t="e">
        <f t="shared" si="72"/>
        <v>#DIV/0!</v>
      </c>
      <c r="AB348" s="344">
        <f>IFERROR(VLOOKUP($G348,基本資料!$A:$M,11,0),"無")</f>
        <v>-14.23</v>
      </c>
      <c r="AC348" s="397">
        <f>IFERROR(VLOOKUP($G348,基本資料!$A:$M,12,0),"無")</f>
        <v>30.79</v>
      </c>
      <c r="AD348" s="22" t="s">
        <v>3771</v>
      </c>
      <c r="AG348" s="33">
        <f t="shared" si="73"/>
        <v>0</v>
      </c>
      <c r="AH348" s="43" t="s">
        <v>3680</v>
      </c>
      <c r="AI348" s="63">
        <f t="shared" si="75"/>
        <v>2.4868282402528978E-3</v>
      </c>
      <c r="AJ348" s="284">
        <f>RTD("money.excel",,$G348,"PredictVolume")</f>
        <v>236</v>
      </c>
      <c r="AK348" s="399">
        <f>IFERROR(VLOOKUP($G348,基本資料!$A:$M,13,0),"無")</f>
        <v>6.05</v>
      </c>
    </row>
    <row r="349" spans="1:37">
      <c r="A349" s="347">
        <f>IFERROR(VLOOKUP($G349,基本資料!$A:$J,3,0),"無")</f>
        <v>0</v>
      </c>
      <c r="B349" s="79">
        <f>IFERROR(VLOOKUP($G349,基本資料!$A:$J,4,0),"無")</f>
        <v>291</v>
      </c>
      <c r="C349" s="79">
        <f>IFERROR(VLOOKUP($G349,基本資料!$A:$J,5,0),"無")</f>
        <v>392</v>
      </c>
      <c r="D349" s="79">
        <f>IFERROR(VLOOKUP($G349,基本資料!$A:$J,6,0),"無")</f>
        <v>0</v>
      </c>
      <c r="E349" s="79">
        <f>IFERROR(VLOOKUP($G349,基本資料!$A:$J,7,0),"無")</f>
        <v>-99</v>
      </c>
      <c r="F349" s="6">
        <f>IFERROR(VLOOKUP($G349,基本資料!$A:$J,8,0),"無")</f>
        <v>69.48</v>
      </c>
      <c r="G349" s="79">
        <v>4157</v>
      </c>
      <c r="H349" s="8" t="s">
        <v>309</v>
      </c>
      <c r="I349" s="16" t="s">
        <v>3772</v>
      </c>
      <c r="J349" s="8">
        <f>IFERROR(VLOOKUP($G349,今日總結!$A:$AJ,35,0),"")</f>
        <v>4</v>
      </c>
      <c r="K349" s="5" t="str">
        <f>IFERROR(VLOOKUP($G369,今日總結!$A:$AJ,36,0),"")</f>
        <v/>
      </c>
      <c r="L349" s="156">
        <f>IFERROR(VLOOKUP($G349,今日總結!$A:$AJ,33,0),"")</f>
        <v>1</v>
      </c>
      <c r="M349" s="340">
        <f>IFERROR(VLOOKUP($G349,今日總結!$A:$AJ,34,0),"")</f>
        <v>5</v>
      </c>
      <c r="N349" s="240">
        <f t="shared" si="77"/>
        <v>-4</v>
      </c>
      <c r="P349" s="365">
        <f>IFERROR(VLOOKUP($G349,融外自投!$A:$J,7,0),"無")</f>
        <v>1010</v>
      </c>
      <c r="Q349" s="79">
        <f>IFERROR(VLOOKUP($G349,融外自投!$A:$J,9,0),"無")</f>
        <v>598</v>
      </c>
      <c r="R349" s="346">
        <f>IFERROR(VLOOKUP($G349,融外自投!$A:$J,8,0),"無")</f>
        <v>865</v>
      </c>
      <c r="S349" s="81" t="str">
        <f>IFERROR(VLOOKUP($G349,融外自投!$A:$J,10,0),"無")</f>
        <v>無</v>
      </c>
      <c r="T349" s="327">
        <f>IFERROR(VLOOKUP($G349,'321買'!$A:$E,5,0),"'沒有資料'")</f>
        <v>1</v>
      </c>
      <c r="U349" s="186">
        <f>IFERROR(VLOOKUP($G349,基本資料!$A:$J,9,0),"無")</f>
        <v>0</v>
      </c>
      <c r="V349" s="310">
        <f t="shared" si="70"/>
        <v>0</v>
      </c>
      <c r="W349" s="94">
        <f>IFERROR(VLOOKUP($G349,基本資料!$A:$J,10,0),"無")</f>
        <v>1.08</v>
      </c>
      <c r="X349" s="36">
        <f>RTD("money.excel",,"4157","Price")</f>
        <v>15.55</v>
      </c>
      <c r="Y349" s="66"/>
      <c r="Z349" s="15">
        <f t="shared" si="71"/>
        <v>15.55</v>
      </c>
      <c r="AA349" s="3" t="e">
        <f t="shared" si="72"/>
        <v>#DIV/0!</v>
      </c>
      <c r="AB349" s="344">
        <f>IFERROR(VLOOKUP($G349,基本資料!$A:$M,11,0),"無")</f>
        <v>-27.15</v>
      </c>
      <c r="AC349" s="397">
        <f>IFERROR(VLOOKUP($G349,基本資料!$A:$M,12,0),"無")</f>
        <v>29.06</v>
      </c>
      <c r="AD349" s="16" t="s">
        <v>3772</v>
      </c>
      <c r="AG349" s="33">
        <f t="shared" si="73"/>
        <v>0</v>
      </c>
      <c r="AH349" s="43" t="s">
        <v>3773</v>
      </c>
      <c r="AI349" s="318" t="e">
        <f t="shared" si="75"/>
        <v>#DIV/0!</v>
      </c>
      <c r="AJ349" s="284">
        <f>RTD("money.excel",,$G349,"PredictVolume")</f>
        <v>1193</v>
      </c>
      <c r="AK349" s="399">
        <f>IFERROR(VLOOKUP($G349,基本資料!$A:$M,13,0),"無")</f>
        <v>22358.44</v>
      </c>
    </row>
    <row r="350" spans="1:37">
      <c r="A350" s="347">
        <f>IFERROR(VLOOKUP($G350,基本資料!$A:$J,3,0),"無")</f>
        <v>2.42</v>
      </c>
      <c r="B350" s="79">
        <f>IFERROR(VLOOKUP($G350,基本資料!$A:$J,4,0),"無")</f>
        <v>151</v>
      </c>
      <c r="C350" s="79">
        <f>IFERROR(VLOOKUP($G350,基本資料!$A:$J,5,0),"無")</f>
        <v>79</v>
      </c>
      <c r="D350" s="79">
        <f>IFERROR(VLOOKUP($G350,基本資料!$A:$J,6,0),"無")</f>
        <v>53</v>
      </c>
      <c r="E350" s="79">
        <f>IFERROR(VLOOKUP($G350,基本資料!$A:$J,7,0),"無")</f>
        <v>20</v>
      </c>
      <c r="F350" s="6">
        <f>IFERROR(VLOOKUP($G350,基本資料!$A:$J,8,0),"無")</f>
        <v>-0.87</v>
      </c>
      <c r="G350" s="79">
        <v>4160</v>
      </c>
      <c r="H350" s="8" t="s">
        <v>309</v>
      </c>
      <c r="I350" s="16" t="s">
        <v>3774</v>
      </c>
      <c r="J350" s="8" t="str">
        <f>IFERROR(VLOOKUP($G350,今日總結!$A:$AJ,35,0),"")</f>
        <v/>
      </c>
      <c r="K350" s="5" t="str">
        <f>IFERROR(VLOOKUP($G350,今日總結!$A:$AJ,36,0),"")</f>
        <v/>
      </c>
      <c r="L350" s="156" t="str">
        <f>IFERROR(VLOOKUP($G350,今日總結!$A:$AJ,33,0),"")</f>
        <v/>
      </c>
      <c r="M350" s="340" t="str">
        <f>IFERROR(VLOOKUP($G350,今日總結!$A:$AJ,34,0),"")</f>
        <v/>
      </c>
      <c r="N350" s="240" t="str">
        <f t="shared" si="77"/>
        <v/>
      </c>
      <c r="P350" s="365" t="str">
        <f>IFERROR(VLOOKUP($G350,融外自投!$A:$J,7,0),"無")</f>
        <v>無</v>
      </c>
      <c r="Q350" s="79" t="str">
        <f>IFERROR(VLOOKUP($G350,融外自投!$A:$J,9,0),"無")</f>
        <v>無</v>
      </c>
      <c r="R350" s="346" t="str">
        <f>IFERROR(VLOOKUP($G350,融外自投!$A:$J,8,0),"無")</f>
        <v>無</v>
      </c>
      <c r="S350" s="81" t="str">
        <f>IFERROR(VLOOKUP($G350,融外自投!$A:$J,10,0),"無")</f>
        <v>無</v>
      </c>
      <c r="T350" s="327" t="str">
        <f>IFERROR(VLOOKUP($G350,'321買'!$A:$E,5,0),"'沒有資料'")</f>
        <v>'沒有資料'</v>
      </c>
      <c r="U350" s="186">
        <f>IFERROR(VLOOKUP($G350,基本資料!$A:$J,9,0),"無")</f>
        <v>0.28999999999999998</v>
      </c>
      <c r="V350" s="310">
        <f t="shared" si="70"/>
        <v>1.1740890688259108E-2</v>
      </c>
      <c r="W350" s="94">
        <f>IFERROR(VLOOKUP($G350,基本資料!$A:$J,10,0),"無")</f>
        <v>0.32</v>
      </c>
      <c r="X350" s="36">
        <f>RTD("money.excel",,"4160","Price")</f>
        <v>24.7</v>
      </c>
      <c r="Y350" s="66"/>
      <c r="Z350" s="15">
        <f t="shared" si="71"/>
        <v>24.7</v>
      </c>
      <c r="AA350" s="3" t="e">
        <f t="shared" si="72"/>
        <v>#DIV/0!</v>
      </c>
      <c r="AB350" s="344">
        <f>IFERROR(VLOOKUP($G350,基本資料!$A:$M,11,0),"無")</f>
        <v>-4.9400000000000004</v>
      </c>
      <c r="AC350" s="397">
        <f>IFERROR(VLOOKUP($G350,基本資料!$A:$M,12,0),"無")</f>
        <v>42.32</v>
      </c>
      <c r="AD350" s="16" t="s">
        <v>3774</v>
      </c>
      <c r="AG350" s="33">
        <f t="shared" si="73"/>
        <v>0</v>
      </c>
      <c r="AH350" s="43" t="s">
        <v>3775</v>
      </c>
      <c r="AI350" s="63">
        <f t="shared" si="75"/>
        <v>1.115702479338843E-3</v>
      </c>
      <c r="AJ350" s="284">
        <f>RTD("money.excel",,$G350,"PredictVolume")</f>
        <v>27</v>
      </c>
      <c r="AK350" s="399">
        <f>IFERROR(VLOOKUP($G350,基本資料!$A:$M,13,0),"無")</f>
        <v>1.02</v>
      </c>
    </row>
    <row r="351" spans="1:37">
      <c r="A351" s="347">
        <f>IFERROR(VLOOKUP($G351,基本資料!$A:$J,3,0),"無")</f>
        <v>5.26</v>
      </c>
      <c r="B351" s="79">
        <f>IFERROR(VLOOKUP($G351,基本資料!$A:$J,4,0),"無")</f>
        <v>133</v>
      </c>
      <c r="C351" s="79">
        <f>IFERROR(VLOOKUP($G351,基本資料!$A:$J,5,0),"無")</f>
        <v>184</v>
      </c>
      <c r="D351" s="79">
        <f>IFERROR(VLOOKUP($G351,基本資料!$A:$J,6,0),"無")</f>
        <v>-31</v>
      </c>
      <c r="E351" s="79">
        <f>IFERROR(VLOOKUP($G351,基本資料!$A:$J,7,0),"無")</f>
        <v>-37</v>
      </c>
      <c r="F351" s="6">
        <f>IFERROR(VLOOKUP($G351,基本資料!$A:$J,8,0),"無")</f>
        <v>4.84</v>
      </c>
      <c r="G351" s="79">
        <v>4161</v>
      </c>
      <c r="H351" s="8" t="s">
        <v>309</v>
      </c>
      <c r="I351" s="16" t="s">
        <v>3776</v>
      </c>
      <c r="J351" s="8" t="str">
        <f>IFERROR(VLOOKUP($G351,今日總結!$A:$AJ,35,0),"")</f>
        <v/>
      </c>
      <c r="K351" s="5" t="str">
        <f>IFERROR(VLOOKUP($G351,今日總結!$A:$AJ,36,0),"")</f>
        <v/>
      </c>
      <c r="L351" s="156" t="str">
        <f>IFERROR(VLOOKUP($G351,今日總結!$A:$AJ,33,0),"")</f>
        <v/>
      </c>
      <c r="M351" s="340" t="str">
        <f>IFERROR(VLOOKUP($G351,今日總結!$A:$AJ,34,0),"")</f>
        <v/>
      </c>
      <c r="N351" s="240" t="str">
        <f t="shared" si="77"/>
        <v/>
      </c>
      <c r="P351" s="365">
        <f>IFERROR(VLOOKUP($G351,融外自投!$A:$J,7,0),"無")</f>
        <v>869</v>
      </c>
      <c r="Q351" s="79" t="str">
        <f>IFERROR(VLOOKUP($G351,融外自投!$A:$J,9,0),"無")</f>
        <v>無</v>
      </c>
      <c r="R351" s="346">
        <f>IFERROR(VLOOKUP($G351,融外自投!$A:$J,8,0),"無")</f>
        <v>1448</v>
      </c>
      <c r="S351" s="81" t="str">
        <f>IFERROR(VLOOKUP($G351,融外自投!$A:$J,10,0),"無")</f>
        <v>無</v>
      </c>
      <c r="T351" s="327">
        <f>IFERROR(VLOOKUP($G351,'321買'!$A:$E,5,0),"'沒有資料'")</f>
        <v>1239</v>
      </c>
      <c r="U351" s="186">
        <f>IFERROR(VLOOKUP($G351,基本資料!$A:$J,9,0),"無")</f>
        <v>0.3</v>
      </c>
      <c r="V351" s="310">
        <f t="shared" si="70"/>
        <v>1.2096774193548387E-2</v>
      </c>
      <c r="W351" s="94">
        <f>IFERROR(VLOOKUP($G351,基本資料!$A:$J,10,0),"無")</f>
        <v>0.47</v>
      </c>
      <c r="X351" s="36">
        <f>RTD("money.excel",,"4161","Price")</f>
        <v>24.8</v>
      </c>
      <c r="Y351" s="66"/>
      <c r="Z351" s="15">
        <f t="shared" si="71"/>
        <v>24.8</v>
      </c>
      <c r="AA351" s="3" t="e">
        <f t="shared" si="72"/>
        <v>#DIV/0!</v>
      </c>
      <c r="AB351" s="344">
        <f>IFERROR(VLOOKUP($G351,基本資料!$A:$M,11,0),"無")</f>
        <v>-23.2</v>
      </c>
      <c r="AC351" s="397">
        <f>IFERROR(VLOOKUP($G351,基本資料!$A:$M,12,0),"無")</f>
        <v>23.52</v>
      </c>
      <c r="AD351" s="16" t="s">
        <v>3776</v>
      </c>
      <c r="AG351" s="33">
        <f t="shared" si="73"/>
        <v>0</v>
      </c>
      <c r="AH351" s="43" t="s">
        <v>3777</v>
      </c>
      <c r="AI351" s="63">
        <f t="shared" si="75"/>
        <v>4.5627376425855514E-4</v>
      </c>
      <c r="AJ351" s="284">
        <f>RTD("money.excel",,$G351,"PredictVolume")</f>
        <v>24</v>
      </c>
      <c r="AK351" s="399">
        <f>IFERROR(VLOOKUP($G351,基本資料!$A:$M,13,0),"無")</f>
        <v>3.67</v>
      </c>
    </row>
    <row r="352" spans="1:37">
      <c r="A352" s="347">
        <f>IFERROR(VLOOKUP($G352,基本資料!$A:$J,3,0),"無")</f>
        <v>14.55</v>
      </c>
      <c r="B352" s="79">
        <f>IFERROR(VLOOKUP($G352,基本資料!$A:$J,4,0),"無")</f>
        <v>-29</v>
      </c>
      <c r="C352" s="79">
        <f>IFERROR(VLOOKUP($G352,基本資料!$A:$J,5,0),"無")</f>
        <v>-55</v>
      </c>
      <c r="D352" s="79">
        <f>IFERROR(VLOOKUP($G352,基本資料!$A:$J,6,0),"無")</f>
        <v>-85</v>
      </c>
      <c r="E352" s="79">
        <f>IFERROR(VLOOKUP($G352,基本資料!$A:$J,7,0),"無")</f>
        <v>-2</v>
      </c>
      <c r="F352" s="6">
        <f>IFERROR(VLOOKUP($G352,基本資料!$A:$J,8,0),"無")</f>
        <v>55.39</v>
      </c>
      <c r="G352" s="79">
        <v>4162</v>
      </c>
      <c r="H352" s="8" t="s">
        <v>309</v>
      </c>
      <c r="I352" s="16" t="s">
        <v>37</v>
      </c>
      <c r="J352" s="8" t="str">
        <f>IFERROR(VLOOKUP($G352,今日總結!$A:$AJ,35,0),"")</f>
        <v/>
      </c>
      <c r="K352" s="5" t="str">
        <f>IFERROR(VLOOKUP($G352,今日總結!$A:$AJ,36,0),"")</f>
        <v/>
      </c>
      <c r="L352" s="156" t="str">
        <f>IFERROR(VLOOKUP($G352,今日總結!$A:$AJ,33,0),"")</f>
        <v/>
      </c>
      <c r="M352" s="340" t="str">
        <f>IFERROR(VLOOKUP($G352,今日總結!$A:$AJ,34,0),"")</f>
        <v/>
      </c>
      <c r="N352" s="240" t="str">
        <f t="shared" si="77"/>
        <v/>
      </c>
      <c r="P352" s="365">
        <f>IFERROR(VLOOKUP($G352,融外自投!$A:$J,7,0),"無")</f>
        <v>276</v>
      </c>
      <c r="Q352" s="79">
        <f>IFERROR(VLOOKUP($G352,融外自投!$A:$J,9,0),"無")</f>
        <v>312</v>
      </c>
      <c r="R352" s="346">
        <f>IFERROR(VLOOKUP($G352,融外自投!$A:$J,8,0),"無")</f>
        <v>748</v>
      </c>
      <c r="S352" s="81">
        <f>IFERROR(VLOOKUP($G352,融外自投!$A:$J,10,0),"無")</f>
        <v>217</v>
      </c>
      <c r="T352" s="327">
        <f>IFERROR(VLOOKUP($G352,'321買'!$A:$E,5,0),"'沒有資料'")</f>
        <v>606</v>
      </c>
      <c r="U352" s="186">
        <f>IFERROR(VLOOKUP($G352,基本資料!$A:$J,9,0),"無")</f>
        <v>2.7</v>
      </c>
      <c r="V352" s="310">
        <f t="shared" si="70"/>
        <v>3.3962264150943396E-2</v>
      </c>
      <c r="W352" s="94">
        <f>IFERROR(VLOOKUP($G352,基本資料!$A:$J,10,0),"無")</f>
        <v>2.95</v>
      </c>
      <c r="X352" s="36">
        <f>RTD("money.excel",,"4162","Price")</f>
        <v>79.5</v>
      </c>
      <c r="Y352" s="66"/>
      <c r="Z352" s="15">
        <f t="shared" si="71"/>
        <v>79.5</v>
      </c>
      <c r="AA352" s="3" t="e">
        <f t="shared" si="72"/>
        <v>#DIV/0!</v>
      </c>
      <c r="AB352" s="344">
        <f>IFERROR(VLOOKUP($G352,基本資料!$A:$M,11,0),"無")</f>
        <v>-19.52</v>
      </c>
      <c r="AC352" s="397">
        <f>IFERROR(VLOOKUP($G352,基本資料!$A:$M,12,0),"無")</f>
        <v>37.26</v>
      </c>
      <c r="AD352" s="16" t="s">
        <v>37</v>
      </c>
      <c r="AG352" s="33">
        <f t="shared" si="73"/>
        <v>0</v>
      </c>
      <c r="AH352" s="117" t="s">
        <v>3778</v>
      </c>
      <c r="AI352" s="63">
        <f t="shared" si="75"/>
        <v>2.1573883161512028E-2</v>
      </c>
      <c r="AJ352" s="284">
        <f>RTD("money.excel",,$G352,"PredictVolume")</f>
        <v>3139</v>
      </c>
      <c r="AK352" s="399">
        <f>IFERROR(VLOOKUP($G352,基本資料!$A:$M,13,0),"無")</f>
        <v>13.77</v>
      </c>
    </row>
    <row r="353" spans="1:37">
      <c r="A353" s="347">
        <f>IFERROR(VLOOKUP($G353,基本資料!$A:$J,3,0),"無")</f>
        <v>4.82</v>
      </c>
      <c r="B353" s="79">
        <f>IFERROR(VLOOKUP($G353,基本資料!$A:$J,4,0),"無")</f>
        <v>-8</v>
      </c>
      <c r="C353" s="79">
        <f>IFERROR(VLOOKUP($G353,基本資料!$A:$J,5,0),"無")</f>
        <v>-32</v>
      </c>
      <c r="D353" s="79">
        <f>IFERROR(VLOOKUP($G353,基本資料!$A:$J,6,0),"無")</f>
        <v>-15</v>
      </c>
      <c r="E353" s="79">
        <f>IFERROR(VLOOKUP($G353,基本資料!$A:$J,7,0),"無")</f>
        <v>-7</v>
      </c>
      <c r="F353" s="6">
        <f>IFERROR(VLOOKUP($G353,基本資料!$A:$J,8,0),"無")</f>
        <v>11.25</v>
      </c>
      <c r="G353" s="79">
        <v>4163</v>
      </c>
      <c r="H353" s="8" t="s">
        <v>309</v>
      </c>
      <c r="I353" s="16" t="s">
        <v>3779</v>
      </c>
      <c r="J353" s="8" t="str">
        <f>IFERROR(VLOOKUP($G353,今日總結!$A:$AJ,35,0),"")</f>
        <v/>
      </c>
      <c r="K353" s="5" t="str">
        <f>IFERROR(VLOOKUP($G353,今日總結!$A:$AJ,36,0),"")</f>
        <v/>
      </c>
      <c r="L353" s="156" t="str">
        <f>IFERROR(VLOOKUP($G353,今日總結!$A:$AJ,33,0),"")</f>
        <v/>
      </c>
      <c r="M353" s="340" t="str">
        <f>IFERROR(VLOOKUP($G353,今日總結!$A:$AJ,34,0),"")</f>
        <v/>
      </c>
      <c r="N353" s="240" t="str">
        <f t="shared" si="77"/>
        <v/>
      </c>
      <c r="P353" s="365">
        <f>IFERROR(VLOOKUP($G353,融外自投!$A:$J,7,0),"無")</f>
        <v>1115</v>
      </c>
      <c r="Q353" s="79">
        <f>IFERROR(VLOOKUP($G353,融外自投!$A:$J,9,0),"無")</f>
        <v>653</v>
      </c>
      <c r="R353" s="346">
        <f>IFERROR(VLOOKUP($G353,融外自投!$A:$J,8,0),"無")</f>
        <v>981</v>
      </c>
      <c r="S353" s="81" t="str">
        <f>IFERROR(VLOOKUP($G353,融外自投!$A:$J,10,0),"無")</f>
        <v>無</v>
      </c>
      <c r="T353" s="327">
        <f>IFERROR(VLOOKUP($G353,'321買'!$A:$E,5,0),"'沒有資料'")</f>
        <v>1179</v>
      </c>
      <c r="U353" s="186">
        <f>IFERROR(VLOOKUP($G353,基本資料!$A:$J,9,0),"無")</f>
        <v>2.5</v>
      </c>
      <c r="V353" s="310">
        <f t="shared" ref="V353:V414" si="78">$U353/$X353</f>
        <v>3.0562347188264061E-2</v>
      </c>
      <c r="W353" s="94">
        <f>IFERROR(VLOOKUP($G353,基本資料!$A:$J,10,0),"無")</f>
        <v>4.7300000000000004</v>
      </c>
      <c r="X353" s="36">
        <f>RTD("money.excel",,"4163","Price")</f>
        <v>81.8</v>
      </c>
      <c r="Y353" s="66"/>
      <c r="Z353" s="15">
        <f t="shared" ref="Z353:Z414" si="79">X353-Y353</f>
        <v>81.8</v>
      </c>
      <c r="AA353" s="3" t="e">
        <f t="shared" ref="AA353:AA414" si="80">Z353/Y353</f>
        <v>#DIV/0!</v>
      </c>
      <c r="AB353" s="344">
        <f>IFERROR(VLOOKUP($G353,基本資料!$A:$M,11,0),"無")</f>
        <v>-11.11</v>
      </c>
      <c r="AC353" s="397">
        <f>IFERROR(VLOOKUP($G353,基本資料!$A:$M,12,0),"無")</f>
        <v>49.21</v>
      </c>
      <c r="AD353" s="16" t="s">
        <v>3779</v>
      </c>
      <c r="AG353" s="33">
        <f t="shared" ref="AG353:AG414" si="81">AF353-AE353</f>
        <v>0</v>
      </c>
      <c r="AH353" s="117" t="s">
        <v>3780</v>
      </c>
      <c r="AI353" s="63">
        <f t="shared" ref="AI353:AI384" si="82">AJ353/(A353*10000)</f>
        <v>6.6390041493775932E-4</v>
      </c>
      <c r="AJ353" s="284">
        <f>RTD("money.excel",,$G353,"PredictVolume")</f>
        <v>32</v>
      </c>
      <c r="AK353" s="399">
        <f>IFERROR(VLOOKUP($G353,基本資料!$A:$M,13,0),"無")</f>
        <v>0.74</v>
      </c>
    </row>
    <row r="354" spans="1:37">
      <c r="A354" s="347">
        <f>IFERROR(VLOOKUP($G354,基本資料!$A:$J,3,0),"無")</f>
        <v>16.100000000000001</v>
      </c>
      <c r="B354" s="79">
        <f>IFERROR(VLOOKUP($G354,基本資料!$A:$J,4,0),"無")</f>
        <v>4</v>
      </c>
      <c r="C354" s="79">
        <f>IFERROR(VLOOKUP($G354,基本資料!$A:$J,5,0),"無")</f>
        <v>-3</v>
      </c>
      <c r="D354" s="79">
        <f>IFERROR(VLOOKUP($G354,基本資料!$A:$J,6,0),"無")</f>
        <v>40</v>
      </c>
      <c r="E354" s="79">
        <f>IFERROR(VLOOKUP($G354,基本資料!$A:$J,7,0),"無")</f>
        <v>25</v>
      </c>
      <c r="F354" s="6">
        <f>IFERROR(VLOOKUP($G354,基本資料!$A:$J,8,0),"無")</f>
        <v>20.22</v>
      </c>
      <c r="G354" s="79">
        <v>4164</v>
      </c>
      <c r="H354" s="8" t="s">
        <v>309</v>
      </c>
      <c r="I354" s="22" t="s">
        <v>3781</v>
      </c>
      <c r="J354" s="8">
        <f>IFERROR(VLOOKUP($G354,今日總結!$A:$AJ,35,0),"")</f>
        <v>0</v>
      </c>
      <c r="K354" s="5" t="str">
        <f>IFERROR(VLOOKUP($G354,今日總結!$A:$AJ,36,0),"")</f>
        <v>外</v>
      </c>
      <c r="L354" s="156">
        <f>IFERROR(VLOOKUP($G354,今日總結!$A:$AJ,33,0),"")</f>
        <v>0</v>
      </c>
      <c r="M354" s="340">
        <f>IFERROR(VLOOKUP($G354,今日總結!$A:$AJ,34,0),"")</f>
        <v>2</v>
      </c>
      <c r="N354" s="240">
        <f t="shared" si="77"/>
        <v>-2</v>
      </c>
      <c r="P354" s="365">
        <f>IFERROR(VLOOKUP($G354,融外自投!$A:$J,7,0),"無")</f>
        <v>931</v>
      </c>
      <c r="Q354" s="79">
        <f>IFERROR(VLOOKUP($G354,融外自投!$A:$J,9,0),"無")</f>
        <v>614</v>
      </c>
      <c r="R354" s="346">
        <f>IFERROR(VLOOKUP($G354,融外自投!$A:$J,8,0),"無")</f>
        <v>190</v>
      </c>
      <c r="S354" s="81">
        <f>IFERROR(VLOOKUP($G354,融外自投!$A:$J,10,0),"無")</f>
        <v>256</v>
      </c>
      <c r="T354" s="327">
        <f>IFERROR(VLOOKUP($G354,'321買'!$A:$E,5,0),"'沒有資料'")</f>
        <v>515</v>
      </c>
      <c r="U354" s="186">
        <f>IFERROR(VLOOKUP($G354,基本資料!$A:$J,9,0),"無")</f>
        <v>2.0099999999999998</v>
      </c>
      <c r="V354" s="310">
        <f t="shared" si="78"/>
        <v>5.0886075949367081E-2</v>
      </c>
      <c r="W354" s="94">
        <f>IFERROR(VLOOKUP($G354,基本資料!$A:$J,10,0),"無")</f>
        <v>2.4300000000000002</v>
      </c>
      <c r="X354" s="36">
        <f>RTD("money.excel",,"4164","Price")</f>
        <v>39.5</v>
      </c>
      <c r="Y354" s="66"/>
      <c r="Z354" s="15">
        <f t="shared" si="79"/>
        <v>39.5</v>
      </c>
      <c r="AA354" s="3" t="e">
        <f t="shared" si="80"/>
        <v>#DIV/0!</v>
      </c>
      <c r="AB354" s="344">
        <f>IFERROR(VLOOKUP($G354,基本資料!$A:$M,11,0),"無")</f>
        <v>-20.079999999999998</v>
      </c>
      <c r="AC354" s="397">
        <f>IFERROR(VLOOKUP($G354,基本資料!$A:$M,12,0),"無")</f>
        <v>42.88</v>
      </c>
      <c r="AD354" s="22" t="s">
        <v>3781</v>
      </c>
      <c r="AG354" s="33">
        <f t="shared" si="81"/>
        <v>0</v>
      </c>
      <c r="AH354" s="43" t="s">
        <v>3782</v>
      </c>
      <c r="AI354" s="63">
        <f t="shared" si="82"/>
        <v>2.5590062111801241E-3</v>
      </c>
      <c r="AJ354" s="284">
        <f>RTD("money.excel",,$G354,"PredictVolume")</f>
        <v>412</v>
      </c>
      <c r="AK354" s="399">
        <f>IFERROR(VLOOKUP($G354,基本資料!$A:$M,13,0),"無")</f>
        <v>1.65</v>
      </c>
    </row>
    <row r="355" spans="1:37">
      <c r="A355" s="347">
        <f>IFERROR(VLOOKUP($G355,基本資料!$A:$J,3,0),"無")</f>
        <v>31.7</v>
      </c>
      <c r="B355" s="79">
        <f>IFERROR(VLOOKUP($G355,基本資料!$A:$J,4,0),"無")</f>
        <v>-96</v>
      </c>
      <c r="C355" s="79">
        <f>IFERROR(VLOOKUP($G355,基本資料!$A:$J,5,0),"無")</f>
        <v>-87</v>
      </c>
      <c r="D355" s="79">
        <f>IFERROR(VLOOKUP($G355,基本資料!$A:$J,6,0),"無")</f>
        <v>-9</v>
      </c>
      <c r="E355" s="79">
        <f>IFERROR(VLOOKUP($G355,基本資料!$A:$J,7,0),"無")</f>
        <v>-10</v>
      </c>
      <c r="F355" s="6">
        <f>IFERROR(VLOOKUP($G355,基本資料!$A:$J,8,0),"無")</f>
        <v>1.68</v>
      </c>
      <c r="G355" s="79">
        <v>4167</v>
      </c>
      <c r="H355" s="8" t="s">
        <v>309</v>
      </c>
      <c r="I355" s="16" t="s">
        <v>3783</v>
      </c>
      <c r="J355" s="8">
        <f>IFERROR(VLOOKUP($G355,今日總結!$A:$AJ,35,0),"")</f>
        <v>0</v>
      </c>
      <c r="K355" s="5">
        <f>IFERROR(VLOOKUP($G355,今日總結!$A:$AJ,36,0),"")</f>
        <v>0</v>
      </c>
      <c r="L355" s="156">
        <f>IFERROR(VLOOKUP($G355,今日總結!$A:$AJ,33,0),"")</f>
        <v>0</v>
      </c>
      <c r="M355" s="340">
        <f>IFERROR(VLOOKUP($G355,今日總結!$A:$AJ,34,0),"")</f>
        <v>1</v>
      </c>
      <c r="N355" s="240">
        <f t="shared" si="77"/>
        <v>-1</v>
      </c>
      <c r="P355" s="365">
        <f>IFERROR(VLOOKUP($G355,融外自投!$A:$J,7,0),"無")</f>
        <v>1102</v>
      </c>
      <c r="Q355" s="79" t="str">
        <f>IFERROR(VLOOKUP($G355,融外自投!$A:$J,9,0),"無")</f>
        <v>無</v>
      </c>
      <c r="R355" s="346">
        <f>IFERROR(VLOOKUP($G355,融外自投!$A:$J,8,0),"無")</f>
        <v>496</v>
      </c>
      <c r="S355" s="81" t="str">
        <f>IFERROR(VLOOKUP($G355,融外自投!$A:$J,10,0),"無")</f>
        <v>無</v>
      </c>
      <c r="T355" s="327">
        <f>IFERROR(VLOOKUP($G355,'321買'!$A:$E,5,0),"'沒有資料'")</f>
        <v>558</v>
      </c>
      <c r="U355" s="186">
        <f>IFERROR(VLOOKUP($G355,基本資料!$A:$J,9,0),"無")</f>
        <v>0</v>
      </c>
      <c r="V355" s="310">
        <f t="shared" si="78"/>
        <v>0</v>
      </c>
      <c r="W355" s="94">
        <f>IFERROR(VLOOKUP($G355,基本資料!$A:$J,10,0),"無")</f>
        <v>0.03</v>
      </c>
      <c r="X355" s="36">
        <f>RTD("money.excel",,"4167","Price")</f>
        <v>16.5</v>
      </c>
      <c r="Y355" s="66"/>
      <c r="Z355" s="15">
        <f t="shared" si="79"/>
        <v>16.5</v>
      </c>
      <c r="AA355" s="3" t="e">
        <f t="shared" si="80"/>
        <v>#DIV/0!</v>
      </c>
      <c r="AB355" s="344">
        <f>IFERROR(VLOOKUP($G355,基本資料!$A:$M,11,0),"無")</f>
        <v>-43.22</v>
      </c>
      <c r="AC355" s="397">
        <f>IFERROR(VLOOKUP($G355,基本資料!$A:$M,12,0),"無")</f>
        <v>41.39</v>
      </c>
      <c r="AD355" s="16" t="s">
        <v>3783</v>
      </c>
      <c r="AG355" s="33">
        <f t="shared" si="81"/>
        <v>0</v>
      </c>
      <c r="AH355" s="43" t="s">
        <v>2450</v>
      </c>
      <c r="AI355" s="63">
        <f t="shared" si="82"/>
        <v>1.7539432176656151E-3</v>
      </c>
      <c r="AJ355" s="284">
        <f>RTD("money.excel",,$G355,"PredictVolume")</f>
        <v>556</v>
      </c>
      <c r="AK355" s="399">
        <f>IFERROR(VLOOKUP($G355,基本資料!$A:$M,13,0),"無")</f>
        <v>3.32</v>
      </c>
    </row>
    <row r="356" spans="1:37">
      <c r="A356" s="347">
        <f>IFERROR(VLOOKUP($G356,基本資料!$A:$J,3,0),"無")</f>
        <v>9.74</v>
      </c>
      <c r="B356" s="79">
        <f>IFERROR(VLOOKUP($G356,基本資料!$A:$J,4,0),"無")</f>
        <v>-6</v>
      </c>
      <c r="C356" s="79">
        <f>IFERROR(VLOOKUP($G356,基本資料!$A:$J,5,0),"無")</f>
        <v>8</v>
      </c>
      <c r="D356" s="79">
        <f>IFERROR(VLOOKUP($G356,基本資料!$A:$J,6,0),"無")</f>
        <v>-26</v>
      </c>
      <c r="E356" s="79">
        <f>IFERROR(VLOOKUP($G356,基本資料!$A:$J,7,0),"無")</f>
        <v>0</v>
      </c>
      <c r="F356" s="6">
        <f>IFERROR(VLOOKUP($G356,基本資料!$A:$J,8,0),"無")</f>
        <v>-3560.33</v>
      </c>
      <c r="G356" s="79">
        <v>4168</v>
      </c>
      <c r="H356" s="8" t="s">
        <v>309</v>
      </c>
      <c r="I356" s="16" t="s">
        <v>3784</v>
      </c>
      <c r="J356" s="8">
        <f>IFERROR(VLOOKUP($G356,今日總結!$A:$AJ,35,0),"")</f>
        <v>0</v>
      </c>
      <c r="K356" s="5">
        <f>IFERROR(VLOOKUP($G356,今日總結!$A:$AJ,36,0),"")</f>
        <v>9</v>
      </c>
      <c r="L356" s="156">
        <f>IFERROR(VLOOKUP($G356,今日總結!$A:$AJ,33,0),"")</f>
        <v>0</v>
      </c>
      <c r="M356" s="340">
        <f>IFERROR(VLOOKUP($G356,今日總結!$A:$AJ,34,0),"")</f>
        <v>2</v>
      </c>
      <c r="N356" s="240">
        <f t="shared" si="77"/>
        <v>-2</v>
      </c>
      <c r="P356" s="365">
        <f>IFERROR(VLOOKUP($G356,融外自投!$A:$J,7,0),"無")</f>
        <v>62</v>
      </c>
      <c r="Q356" s="79" t="str">
        <f>IFERROR(VLOOKUP($G356,融外自投!$A:$J,9,0),"無")</f>
        <v>無</v>
      </c>
      <c r="R356" s="346">
        <f>IFERROR(VLOOKUP($G356,融外自投!$A:$J,8,0),"無")</f>
        <v>747</v>
      </c>
      <c r="S356" s="81" t="str">
        <f>IFERROR(VLOOKUP($G356,融外自投!$A:$J,10,0),"無")</f>
        <v>無</v>
      </c>
      <c r="T356" s="327">
        <f>IFERROR(VLOOKUP($G356,'321買'!$A:$E,5,0),"'沒有資料'")</f>
        <v>729</v>
      </c>
      <c r="U356" s="186">
        <f>IFERROR(VLOOKUP($G356,基本資料!$A:$J,9,0),"無")</f>
        <v>0</v>
      </c>
      <c r="V356" s="310">
        <f t="shared" si="78"/>
        <v>0</v>
      </c>
      <c r="W356" s="94">
        <f>IFERROR(VLOOKUP($G356,基本資料!$A:$J,10,0),"無")</f>
        <v>-1.78</v>
      </c>
      <c r="X356" s="36">
        <f>RTD("money.excel",,"4168","Price")</f>
        <v>26.7</v>
      </c>
      <c r="Y356" s="66"/>
      <c r="Z356" s="15">
        <f t="shared" si="79"/>
        <v>26.7</v>
      </c>
      <c r="AA356" s="3" t="e">
        <f t="shared" si="80"/>
        <v>#DIV/0!</v>
      </c>
      <c r="AB356" s="344">
        <f>IFERROR(VLOOKUP($G356,基本資料!$A:$M,11,0),"無")</f>
        <v>-20.76</v>
      </c>
      <c r="AC356" s="397">
        <f>IFERROR(VLOOKUP($G356,基本資料!$A:$M,12,0),"無")</f>
        <v>28.38</v>
      </c>
      <c r="AD356" s="16" t="s">
        <v>3784</v>
      </c>
      <c r="AG356" s="33">
        <f t="shared" si="81"/>
        <v>0</v>
      </c>
      <c r="AH356" s="43" t="s">
        <v>1447</v>
      </c>
      <c r="AI356" s="63">
        <f t="shared" si="82"/>
        <v>2.1149897330595482E-3</v>
      </c>
      <c r="AJ356" s="284">
        <f>RTD("money.excel",,$G356,"PredictVolume")</f>
        <v>206</v>
      </c>
      <c r="AK356" s="399">
        <f>IFERROR(VLOOKUP($G356,基本資料!$A:$M,13,0),"無")</f>
        <v>11.84</v>
      </c>
    </row>
    <row r="357" spans="1:37">
      <c r="A357" s="347">
        <f>IFERROR(VLOOKUP($G357,基本資料!$A:$J,3,0),"無")</f>
        <v>7.45</v>
      </c>
      <c r="B357" s="79">
        <f>IFERROR(VLOOKUP($G357,基本資料!$A:$J,4,0),"無")</f>
        <v>17</v>
      </c>
      <c r="C357" s="79">
        <f>IFERROR(VLOOKUP($G357,基本資料!$A:$J,5,0),"無")</f>
        <v>12</v>
      </c>
      <c r="D357" s="79">
        <f>IFERROR(VLOOKUP($G357,基本資料!$A:$J,6,0),"無")</f>
        <v>-18</v>
      </c>
      <c r="E357" s="79">
        <f>IFERROR(VLOOKUP($G357,基本資料!$A:$J,7,0),"無")</f>
        <v>4</v>
      </c>
      <c r="F357" s="6">
        <f>IFERROR(VLOOKUP($G357,基本資料!$A:$J,8,0),"無")</f>
        <v>5.76</v>
      </c>
      <c r="G357" s="79">
        <v>4173</v>
      </c>
      <c r="H357" s="8" t="s">
        <v>309</v>
      </c>
      <c r="I357" s="16" t="s">
        <v>3785</v>
      </c>
      <c r="J357" s="8" t="str">
        <f>IFERROR(VLOOKUP($G357,今日總結!$A:$AJ,35,0),"")</f>
        <v/>
      </c>
      <c r="K357" s="5" t="str">
        <f>IFERROR(VLOOKUP($G357,今日總結!$A:$AJ,36,0),"")</f>
        <v/>
      </c>
      <c r="L357" s="156" t="str">
        <f>IFERROR(VLOOKUP($G357,今日總結!$A:$AJ,33,0),"")</f>
        <v/>
      </c>
      <c r="M357" s="340" t="str">
        <f>IFERROR(VLOOKUP($G357,今日總結!$A:$AJ,34,0),"")</f>
        <v/>
      </c>
      <c r="N357" s="240" t="str">
        <f t="shared" si="77"/>
        <v/>
      </c>
      <c r="P357" s="365">
        <f>IFERROR(VLOOKUP($G357,融外自投!$A:$J,7,0),"無")</f>
        <v>520</v>
      </c>
      <c r="Q357" s="79" t="str">
        <f>IFERROR(VLOOKUP($G357,融外自投!$A:$J,9,0),"無")</f>
        <v>無</v>
      </c>
      <c r="R357" s="346">
        <f>IFERROR(VLOOKUP($G357,融外自投!$A:$J,8,0),"無")</f>
        <v>1336</v>
      </c>
      <c r="S357" s="81" t="str">
        <f>IFERROR(VLOOKUP($G357,融外自投!$A:$J,10,0),"無")</f>
        <v>無</v>
      </c>
      <c r="T357" s="327">
        <f>IFERROR(VLOOKUP($G357,'321買'!$A:$E,5,0),"'沒有資料'")</f>
        <v>827</v>
      </c>
      <c r="U357" s="186">
        <f>IFERROR(VLOOKUP($G357,基本資料!$A:$J,9,0),"無")</f>
        <v>0.5</v>
      </c>
      <c r="V357" s="310">
        <f t="shared" si="78"/>
        <v>2.8571428571428571E-2</v>
      </c>
      <c r="W357" s="94">
        <f>IFERROR(VLOOKUP($G357,基本資料!$A:$J,10,0),"無")</f>
        <v>0.74</v>
      </c>
      <c r="X357" s="36">
        <f>RTD("money.excel",,"4173","Price")</f>
        <v>17.5</v>
      </c>
      <c r="Y357" s="66"/>
      <c r="Z357" s="15">
        <f t="shared" si="79"/>
        <v>17.5</v>
      </c>
      <c r="AA357" s="3" t="e">
        <f t="shared" si="80"/>
        <v>#DIV/0!</v>
      </c>
      <c r="AB357" s="344">
        <f>IFERROR(VLOOKUP($G357,基本資料!$A:$M,11,0),"無")</f>
        <v>-42.77</v>
      </c>
      <c r="AC357" s="397">
        <f>IFERROR(VLOOKUP($G357,基本資料!$A:$M,12,0),"無")</f>
        <v>38.25</v>
      </c>
      <c r="AD357" s="16" t="s">
        <v>3785</v>
      </c>
      <c r="AG357" s="33">
        <f t="shared" si="81"/>
        <v>0</v>
      </c>
      <c r="AH357" s="43" t="s">
        <v>3786</v>
      </c>
      <c r="AI357" s="63">
        <f t="shared" si="82"/>
        <v>3.1140939597315434E-3</v>
      </c>
      <c r="AJ357" s="284">
        <f>RTD("money.excel",,$G357,"PredictVolume")</f>
        <v>232</v>
      </c>
      <c r="AK357" s="399">
        <f>IFERROR(VLOOKUP($G357,基本資料!$A:$M,13,0),"無")</f>
        <v>54.82</v>
      </c>
    </row>
    <row r="358" spans="1:37">
      <c r="A358" s="347">
        <f>IFERROR(VLOOKUP($G358,基本資料!$A:$J,3,0),"無")</f>
        <v>22.92</v>
      </c>
      <c r="B358" s="79">
        <f>IFERROR(VLOOKUP($G358,基本資料!$A:$J,4,0),"無")</f>
        <v>-15</v>
      </c>
      <c r="C358" s="79">
        <f>IFERROR(VLOOKUP($G358,基本資料!$A:$J,5,0),"無")</f>
        <v>-17</v>
      </c>
      <c r="D358" s="79">
        <f>IFERROR(VLOOKUP($G358,基本資料!$A:$J,6,0),"無")</f>
        <v>-21</v>
      </c>
      <c r="E358" s="79">
        <f>IFERROR(VLOOKUP($G358,基本資料!$A:$J,7,0),"無")</f>
        <v>74</v>
      </c>
      <c r="F358" s="6">
        <f>IFERROR(VLOOKUP($G358,基本資料!$A:$J,8,0),"無")</f>
        <v>-9141.35</v>
      </c>
      <c r="G358" s="79">
        <v>4174</v>
      </c>
      <c r="H358" s="8" t="s">
        <v>309</v>
      </c>
      <c r="I358" s="16" t="s">
        <v>3787</v>
      </c>
      <c r="J358" s="8" t="str">
        <f>IFERROR(VLOOKUP($G358,今日總結!$A:$AJ,35,0),"")</f>
        <v>融</v>
      </c>
      <c r="K358" s="5">
        <f>IFERROR(VLOOKUP($G358,今日總結!$A:$AJ,36,0),"")</f>
        <v>0</v>
      </c>
      <c r="L358" s="156">
        <f>IFERROR(VLOOKUP($G358,今日總結!$A:$AJ,33,0),"")</f>
        <v>1</v>
      </c>
      <c r="M358" s="340">
        <f>IFERROR(VLOOKUP($G358,今日總結!$A:$AJ,34,0),"")</f>
        <v>0</v>
      </c>
      <c r="N358" s="240">
        <f t="shared" si="77"/>
        <v>1</v>
      </c>
      <c r="P358" s="365">
        <f>IFERROR(VLOOKUP($G358,融外自投!$A:$J,7,0),"無")</f>
        <v>320</v>
      </c>
      <c r="Q358" s="79">
        <f>IFERROR(VLOOKUP($G358,融外自投!$A:$J,9,0),"無")</f>
        <v>1110</v>
      </c>
      <c r="R358" s="346">
        <f>IFERROR(VLOOKUP($G358,融外自投!$A:$J,8,0),"無")</f>
        <v>442</v>
      </c>
      <c r="S358" s="81" t="str">
        <f>IFERROR(VLOOKUP($G358,融外自投!$A:$J,10,0),"無")</f>
        <v>無</v>
      </c>
      <c r="T358" s="327">
        <f>IFERROR(VLOOKUP($G358,'321買'!$A:$E,5,0),"'沒有資料'")</f>
        <v>606</v>
      </c>
      <c r="U358" s="186">
        <f>IFERROR(VLOOKUP($G358,基本資料!$A:$J,9,0),"無")</f>
        <v>0</v>
      </c>
      <c r="V358" s="310">
        <f t="shared" si="78"/>
        <v>0</v>
      </c>
      <c r="W358" s="94">
        <f>IFERROR(VLOOKUP($G358,基本資料!$A:$J,10,0),"無")</f>
        <v>-7.69</v>
      </c>
      <c r="X358" s="36">
        <f>RTD("money.excel",,"4174","Price")</f>
        <v>112.5</v>
      </c>
      <c r="Y358" s="66"/>
      <c r="Z358" s="15">
        <f t="shared" si="79"/>
        <v>112.5</v>
      </c>
      <c r="AA358" s="3" t="e">
        <f t="shared" si="80"/>
        <v>#DIV/0!</v>
      </c>
      <c r="AB358" s="344">
        <f>IFERROR(VLOOKUP($G358,基本資料!$A:$M,11,0),"無")</f>
        <v>-14.18</v>
      </c>
      <c r="AC358" s="397">
        <f>IFERROR(VLOOKUP($G358,基本資料!$A:$M,12,0),"無")</f>
        <v>62.09</v>
      </c>
      <c r="AD358" s="16" t="s">
        <v>3787</v>
      </c>
      <c r="AG358" s="33">
        <f t="shared" si="81"/>
        <v>0</v>
      </c>
      <c r="AH358" s="43" t="s">
        <v>3788</v>
      </c>
      <c r="AI358" s="63">
        <f t="shared" si="82"/>
        <v>4.9214659685863872E-3</v>
      </c>
      <c r="AJ358" s="284">
        <f>RTD("money.excel",,$G358,"PredictVolume")</f>
        <v>1128</v>
      </c>
      <c r="AK358" s="399">
        <f>IFERROR(VLOOKUP($G358,基本資料!$A:$M,13,0),"無")</f>
        <v>4</v>
      </c>
    </row>
    <row r="359" spans="1:37">
      <c r="A359" s="347">
        <f>IFERROR(VLOOKUP($G359,基本資料!$A:$J,3,0),"無")</f>
        <v>3.52</v>
      </c>
      <c r="B359" s="79">
        <f>IFERROR(VLOOKUP($G359,基本資料!$A:$J,4,0),"無")</f>
        <v>-36</v>
      </c>
      <c r="C359" s="79">
        <f>IFERROR(VLOOKUP($G359,基本資料!$A:$J,5,0),"無")</f>
        <v>-25</v>
      </c>
      <c r="D359" s="79">
        <f>IFERROR(VLOOKUP($G359,基本資料!$A:$J,6,0),"無")</f>
        <v>14</v>
      </c>
      <c r="E359" s="79">
        <f>IFERROR(VLOOKUP($G359,基本資料!$A:$J,7,0),"無")</f>
        <v>30</v>
      </c>
      <c r="F359" s="6">
        <f>IFERROR(VLOOKUP($G359,基本資料!$A:$J,8,0),"無")</f>
        <v>1.73</v>
      </c>
      <c r="G359" s="79">
        <v>4175</v>
      </c>
      <c r="H359" s="8" t="s">
        <v>309</v>
      </c>
      <c r="I359" s="16" t="s">
        <v>3789</v>
      </c>
      <c r="J359" s="8">
        <f>IFERROR(VLOOKUP($G359,今日總結!$A:$AJ,35,0),"")</f>
        <v>0</v>
      </c>
      <c r="K359" s="5" t="str">
        <f>IFERROR(VLOOKUP($G359,今日總結!$A:$AJ,36,0),"")</f>
        <v>借</v>
      </c>
      <c r="L359" s="156">
        <f>IFERROR(VLOOKUP($G359,今日總結!$A:$AJ,33,0),"")</f>
        <v>0</v>
      </c>
      <c r="M359" s="340">
        <f>IFERROR(VLOOKUP($G359,今日總結!$A:$AJ,34,0),"")</f>
        <v>1</v>
      </c>
      <c r="N359" s="240">
        <f t="shared" si="77"/>
        <v>-1</v>
      </c>
      <c r="P359" s="365">
        <f>IFERROR(VLOOKUP($G359,融外自投!$A:$J,7,0),"無")</f>
        <v>676</v>
      </c>
      <c r="Q359" s="79">
        <f>IFERROR(VLOOKUP($G359,融外自投!$A:$J,9,0),"無")</f>
        <v>762</v>
      </c>
      <c r="R359" s="346">
        <f>IFERROR(VLOOKUP($G359,融外自投!$A:$J,8,0),"無")</f>
        <v>1351</v>
      </c>
      <c r="S359" s="81">
        <f>IFERROR(VLOOKUP($G359,融外自投!$A:$J,10,0),"無")</f>
        <v>304</v>
      </c>
      <c r="T359" s="327">
        <f>IFERROR(VLOOKUP($G359,'321買'!$A:$E,5,0),"'沒有資料'")</f>
        <v>894</v>
      </c>
      <c r="U359" s="186">
        <f>IFERROR(VLOOKUP($G359,基本資料!$A:$J,9,0),"無")</f>
        <v>1.6</v>
      </c>
      <c r="V359" s="310">
        <f t="shared" si="78"/>
        <v>2.2099447513812154E-2</v>
      </c>
      <c r="W359" s="94">
        <f>IFERROR(VLOOKUP($G359,基本資料!$A:$J,10,0),"無")</f>
        <v>1.97</v>
      </c>
      <c r="X359" s="36">
        <f>RTD("money.excel",,"4175","Price")</f>
        <v>72.400000000000006</v>
      </c>
      <c r="Y359" s="66"/>
      <c r="Z359" s="15">
        <f t="shared" si="79"/>
        <v>72.400000000000006</v>
      </c>
      <c r="AA359" s="3" t="e">
        <f t="shared" si="80"/>
        <v>#DIV/0!</v>
      </c>
      <c r="AB359" s="344">
        <f>IFERROR(VLOOKUP($G359,基本資料!$A:$M,11,0),"無")</f>
        <v>-31.89</v>
      </c>
      <c r="AC359" s="397">
        <f>IFERROR(VLOOKUP($G359,基本資料!$A:$M,12,0),"無")</f>
        <v>43.71</v>
      </c>
      <c r="AD359" s="16" t="s">
        <v>3789</v>
      </c>
      <c r="AG359" s="33">
        <f t="shared" si="81"/>
        <v>0</v>
      </c>
      <c r="AH359" s="43" t="s">
        <v>3790</v>
      </c>
      <c r="AI359" s="63">
        <f t="shared" si="82"/>
        <v>2.1534090909090909E-2</v>
      </c>
      <c r="AJ359" s="284">
        <f>RTD("money.excel",,$G359,"PredictVolume")</f>
        <v>758</v>
      </c>
      <c r="AK359" s="399">
        <f>IFERROR(VLOOKUP($G359,基本資料!$A:$M,13,0),"無")</f>
        <v>18.260000000000002</v>
      </c>
    </row>
    <row r="360" spans="1:37">
      <c r="A360" s="347">
        <f>IFERROR(VLOOKUP($G360,基本資料!$A:$J,3,0),"無")</f>
        <v>2.38</v>
      </c>
      <c r="B360" s="79">
        <f>IFERROR(VLOOKUP($G360,基本資料!$A:$J,4,0),"無")</f>
        <v>-41</v>
      </c>
      <c r="C360" s="79">
        <f>IFERROR(VLOOKUP($G360,基本資料!$A:$J,5,0),"無")</f>
        <v>-25</v>
      </c>
      <c r="D360" s="79">
        <f>IFERROR(VLOOKUP($G360,基本資料!$A:$J,6,0),"無")</f>
        <v>41</v>
      </c>
      <c r="E360" s="79">
        <f>IFERROR(VLOOKUP($G360,基本資料!$A:$J,7,0),"無")</f>
        <v>0</v>
      </c>
      <c r="F360" s="6">
        <f>IFERROR(VLOOKUP($G360,基本資料!$A:$J,8,0),"無")</f>
        <v>6.88</v>
      </c>
      <c r="G360" s="79">
        <v>4183</v>
      </c>
      <c r="H360" s="8" t="s">
        <v>309</v>
      </c>
      <c r="I360" s="16" t="s">
        <v>3791</v>
      </c>
      <c r="J360" s="8" t="str">
        <f>IFERROR(VLOOKUP($G360,今日總結!$A:$AJ,35,0),"")</f>
        <v/>
      </c>
      <c r="K360" s="5" t="str">
        <f>IFERROR(VLOOKUP($G360,今日總結!$A:$AJ,36,0),"")</f>
        <v/>
      </c>
      <c r="L360" s="156" t="str">
        <f>IFERROR(VLOOKUP($G360,今日總結!$A:$AJ,33,0),"")</f>
        <v/>
      </c>
      <c r="M360" s="340" t="str">
        <f>IFERROR(VLOOKUP($G360,今日總結!$A:$AJ,34,0),"")</f>
        <v/>
      </c>
      <c r="N360" s="240" t="str">
        <f t="shared" si="77"/>
        <v/>
      </c>
      <c r="P360" s="365" t="str">
        <f>IFERROR(VLOOKUP($G360,融外自投!$A:$J,7,0),"無")</f>
        <v>無</v>
      </c>
      <c r="Q360" s="79" t="str">
        <f>IFERROR(VLOOKUP($G360,融外自投!$A:$J,9,0),"無")</f>
        <v>無</v>
      </c>
      <c r="R360" s="346" t="str">
        <f>IFERROR(VLOOKUP($G360,融外自投!$A:$J,8,0),"無")</f>
        <v>無</v>
      </c>
      <c r="S360" s="81" t="str">
        <f>IFERROR(VLOOKUP($G360,融外自投!$A:$J,10,0),"無")</f>
        <v>無</v>
      </c>
      <c r="T360" s="327" t="str">
        <f>IFERROR(VLOOKUP($G360,'321買'!$A:$E,5,0),"'沒有資料'")</f>
        <v>'沒有資料'</v>
      </c>
      <c r="U360" s="186">
        <f>IFERROR(VLOOKUP($G360,基本資料!$A:$J,9,0),"無")</f>
        <v>0.7</v>
      </c>
      <c r="V360" s="310">
        <f t="shared" si="78"/>
        <v>3.5897435897435895E-2</v>
      </c>
      <c r="W360" s="94">
        <f>IFERROR(VLOOKUP($G360,基本資料!$A:$J,10,0),"無")</f>
        <v>0.78</v>
      </c>
      <c r="X360" s="36">
        <f>RTD("money.excel",,"4183","Price")</f>
        <v>19.5</v>
      </c>
      <c r="Y360" s="66"/>
      <c r="Z360" s="15">
        <f t="shared" si="79"/>
        <v>19.5</v>
      </c>
      <c r="AA360" s="3" t="e">
        <f t="shared" si="80"/>
        <v>#DIV/0!</v>
      </c>
      <c r="AB360" s="344">
        <f>IFERROR(VLOOKUP($G360,基本資料!$A:$M,11,0),"無")</f>
        <v>-11.35</v>
      </c>
      <c r="AC360" s="397">
        <f>IFERROR(VLOOKUP($G360,基本資料!$A:$M,12,0),"無")</f>
        <v>36.26</v>
      </c>
      <c r="AD360" s="16" t="s">
        <v>3791</v>
      </c>
      <c r="AG360" s="33">
        <f t="shared" si="81"/>
        <v>0</v>
      </c>
      <c r="AH360" s="43" t="s">
        <v>3777</v>
      </c>
      <c r="AI360" s="63">
        <f t="shared" si="82"/>
        <v>2.9411764705882353E-3</v>
      </c>
      <c r="AJ360" s="284">
        <f>RTD("money.excel",,$G360,"PredictVolume")</f>
        <v>70</v>
      </c>
      <c r="AK360" s="399">
        <f>IFERROR(VLOOKUP($G360,基本資料!$A:$M,13,0),"無")</f>
        <v>0.6</v>
      </c>
    </row>
    <row r="361" spans="1:37">
      <c r="A361" s="347">
        <f>IFERROR(VLOOKUP($G361,基本資料!$A:$J,3,0),"無")</f>
        <v>5.32</v>
      </c>
      <c r="B361" s="79">
        <f>IFERROR(VLOOKUP($G361,基本資料!$A:$J,4,0),"無")</f>
        <v>37</v>
      </c>
      <c r="C361" s="79">
        <f>IFERROR(VLOOKUP($G361,基本資料!$A:$J,5,0),"無")</f>
        <v>34</v>
      </c>
      <c r="D361" s="79">
        <f>IFERROR(VLOOKUP($G361,基本資料!$A:$J,6,0),"無")</f>
        <v>10</v>
      </c>
      <c r="E361" s="79">
        <f>IFERROR(VLOOKUP($G361,基本資料!$A:$J,7,0),"無")</f>
        <v>14</v>
      </c>
      <c r="F361" s="6">
        <f>IFERROR(VLOOKUP($G361,基本資料!$A:$J,8,0),"無")</f>
        <v>-42.86</v>
      </c>
      <c r="G361" s="79">
        <v>4188</v>
      </c>
      <c r="H361" s="8" t="s">
        <v>309</v>
      </c>
      <c r="I361" s="16" t="s">
        <v>3792</v>
      </c>
      <c r="J361" s="8" t="str">
        <f>IFERROR(VLOOKUP($G361,今日總結!$A:$AJ,35,0),"")</f>
        <v/>
      </c>
      <c r="K361" s="5" t="str">
        <f>IFERROR(VLOOKUP($G361,今日總結!$A:$AJ,36,0),"")</f>
        <v/>
      </c>
      <c r="L361" s="156" t="str">
        <f>IFERROR(VLOOKUP($G361,今日總結!$A:$AJ,33,0),"")</f>
        <v/>
      </c>
      <c r="M361" s="340" t="str">
        <f>IFERROR(VLOOKUP($G361,今日總結!$A:$AJ,34,0),"")</f>
        <v/>
      </c>
      <c r="N361" s="240" t="str">
        <f t="shared" si="77"/>
        <v/>
      </c>
      <c r="P361" s="365" t="str">
        <f>IFERROR(VLOOKUP($G361,融外自投!$A:$J,7,0),"無")</f>
        <v>無</v>
      </c>
      <c r="Q361" s="79" t="str">
        <f>IFERROR(VLOOKUP($G361,融外自投!$A:$J,9,0),"無")</f>
        <v>無</v>
      </c>
      <c r="R361" s="346" t="str">
        <f>IFERROR(VLOOKUP($G361,融外自投!$A:$J,8,0),"無")</f>
        <v>無</v>
      </c>
      <c r="S361" s="81" t="str">
        <f>IFERROR(VLOOKUP($G361,融外自投!$A:$J,10,0),"無")</f>
        <v>無</v>
      </c>
      <c r="T361" s="327" t="str">
        <f>IFERROR(VLOOKUP($G361,'321買'!$A:$E,5,0),"'沒有資料'")</f>
        <v>'沒有資料'</v>
      </c>
      <c r="U361" s="186">
        <f>IFERROR(VLOOKUP($G361,基本資料!$A:$J,9,0),"無")</f>
        <v>0</v>
      </c>
      <c r="V361" s="310">
        <f t="shared" si="78"/>
        <v>0</v>
      </c>
      <c r="W361" s="94">
        <f>IFERROR(VLOOKUP($G361,基本資料!$A:$J,10,0),"無")</f>
        <v>-0.48</v>
      </c>
      <c r="X361" s="36">
        <f>RTD("money.excel",,"4188","Price")</f>
        <v>16.95</v>
      </c>
      <c r="Y361" s="66"/>
      <c r="Z361" s="15">
        <f t="shared" si="79"/>
        <v>16.95</v>
      </c>
      <c r="AA361" s="3" t="e">
        <f t="shared" si="80"/>
        <v>#DIV/0!</v>
      </c>
      <c r="AB361" s="344">
        <f>IFERROR(VLOOKUP($G361,基本資料!$A:$M,11,0),"無")</f>
        <v>-18.809999999999999</v>
      </c>
      <c r="AC361" s="397">
        <f>IFERROR(VLOOKUP($G361,基本資料!$A:$M,12,0),"無")</f>
        <v>25.59</v>
      </c>
      <c r="AD361" s="16" t="s">
        <v>3792</v>
      </c>
      <c r="AG361" s="33">
        <f t="shared" si="81"/>
        <v>0</v>
      </c>
      <c r="AH361" s="43" t="s">
        <v>3793</v>
      </c>
      <c r="AI361" s="63">
        <f t="shared" si="82"/>
        <v>1.5037593984962405E-4</v>
      </c>
      <c r="AJ361" s="284">
        <f>RTD("money.excel",,$G361,"PredictVolume")</f>
        <v>8</v>
      </c>
      <c r="AK361" s="399">
        <f>IFERROR(VLOOKUP($G361,基本資料!$A:$M,13,0),"無")</f>
        <v>1.98</v>
      </c>
    </row>
    <row r="362" spans="1:37">
      <c r="A362" s="347">
        <f>IFERROR(VLOOKUP($G362,基本資料!$A:$J,3,0),"無")</f>
        <v>6.08</v>
      </c>
      <c r="B362" s="79">
        <f>IFERROR(VLOOKUP($G362,基本資料!$A:$J,4,0),"無")</f>
        <v>13</v>
      </c>
      <c r="C362" s="79">
        <f>IFERROR(VLOOKUP($G362,基本資料!$A:$J,5,0),"無")</f>
        <v>-14</v>
      </c>
      <c r="D362" s="79">
        <f>IFERROR(VLOOKUP($G362,基本資料!$A:$J,6,0),"無")</f>
        <v>-3</v>
      </c>
      <c r="E362" s="79">
        <f>IFERROR(VLOOKUP($G362,基本資料!$A:$J,7,0),"無")</f>
        <v>-12</v>
      </c>
      <c r="F362" s="6">
        <f>IFERROR(VLOOKUP($G362,基本資料!$A:$J,8,0),"無")</f>
        <v>12</v>
      </c>
      <c r="G362" s="79">
        <v>4190</v>
      </c>
      <c r="H362" s="8" t="s">
        <v>309</v>
      </c>
      <c r="I362" s="22" t="s">
        <v>3794</v>
      </c>
      <c r="J362" s="8" t="str">
        <f>IFERROR(VLOOKUP($G362,今日總結!$A:$AJ,35,0),"")</f>
        <v/>
      </c>
      <c r="K362" s="5" t="str">
        <f>IFERROR(VLOOKUP($G362,今日總結!$A:$AJ,36,0),"")</f>
        <v/>
      </c>
      <c r="L362" s="156" t="str">
        <f>IFERROR(VLOOKUP($G362,今日總結!$A:$AJ,33,0),"")</f>
        <v/>
      </c>
      <c r="M362" s="340" t="str">
        <f>IFERROR(VLOOKUP($G362,今日總結!$A:$AJ,34,0),"")</f>
        <v/>
      </c>
      <c r="N362" s="240" t="str">
        <f t="shared" si="77"/>
        <v/>
      </c>
      <c r="P362" s="365">
        <f>IFERROR(VLOOKUP($G362,融外自投!$A:$J,7,0),"無")</f>
        <v>699</v>
      </c>
      <c r="Q362" s="79">
        <f>IFERROR(VLOOKUP($G362,融外自投!$A:$J,9,0),"無")</f>
        <v>614</v>
      </c>
      <c r="R362" s="346">
        <f>IFERROR(VLOOKUP($G362,融外自投!$A:$J,8,0),"無")</f>
        <v>39</v>
      </c>
      <c r="S362" s="81" t="str">
        <f>IFERROR(VLOOKUP($G362,融外自投!$A:$J,10,0),"無")</f>
        <v>無</v>
      </c>
      <c r="T362" s="327">
        <f>IFERROR(VLOOKUP($G362,'321買'!$A:$E,5,0),"'沒有資料'")</f>
        <v>915</v>
      </c>
      <c r="U362" s="186">
        <f>IFERROR(VLOOKUP($G362,基本資料!$A:$J,9,0),"無")</f>
        <v>3.5</v>
      </c>
      <c r="V362" s="310">
        <f t="shared" si="78"/>
        <v>5.0872093023255814E-2</v>
      </c>
      <c r="W362" s="94">
        <f>IFERROR(VLOOKUP($G362,基本資料!$A:$J,10,0),"無")</f>
        <v>4.9800000000000004</v>
      </c>
      <c r="X362" s="36">
        <f>RTD("money.excel",,"4190","Price")</f>
        <v>68.8</v>
      </c>
      <c r="Y362" s="66"/>
      <c r="Z362" s="15">
        <f>X362-Y362</f>
        <v>68.8</v>
      </c>
      <c r="AA362" s="3" t="e">
        <f>Z362/Y362</f>
        <v>#DIV/0!</v>
      </c>
      <c r="AB362" s="344">
        <f>IFERROR(VLOOKUP($G362,基本資料!$A:$M,11,0),"無")</f>
        <v>-16.25</v>
      </c>
      <c r="AC362" s="397">
        <f>IFERROR(VLOOKUP($G362,基本資料!$A:$M,12,0),"無")</f>
        <v>54.77</v>
      </c>
      <c r="AD362" s="22" t="s">
        <v>3794</v>
      </c>
      <c r="AG362" s="33">
        <f>AF362-AE362</f>
        <v>0</v>
      </c>
      <c r="AH362" s="43" t="s">
        <v>3795</v>
      </c>
      <c r="AI362" s="63">
        <f t="shared" si="82"/>
        <v>2.4671052631578948E-4</v>
      </c>
      <c r="AJ362" s="284">
        <f>RTD("money.excel",,$G362,"PredictVolume")</f>
        <v>15</v>
      </c>
      <c r="AK362" s="399">
        <f>IFERROR(VLOOKUP($G362,基本資料!$A:$M,13,0),"無")</f>
        <v>1.29</v>
      </c>
    </row>
    <row r="363" spans="1:37">
      <c r="A363" s="347">
        <f>IFERROR(VLOOKUP($G363,基本資料!$A:$J,3,0),"無")</f>
        <v>11.5</v>
      </c>
      <c r="B363" s="79">
        <f>IFERROR(VLOOKUP($G363,基本資料!$A:$J,4,0),"無")</f>
        <v>-14</v>
      </c>
      <c r="C363" s="79">
        <f>IFERROR(VLOOKUP($G363,基本資料!$A:$J,5,0),"無")</f>
        <v>-15</v>
      </c>
      <c r="D363" s="79">
        <f>IFERROR(VLOOKUP($G363,基本資料!$A:$J,6,0),"無")</f>
        <v>-27</v>
      </c>
      <c r="E363" s="79">
        <f>IFERROR(VLOOKUP($G363,基本資料!$A:$J,7,0),"無")</f>
        <v>119</v>
      </c>
      <c r="F363" s="6">
        <f>IFERROR(VLOOKUP($G363,基本資料!$A:$J,8,0),"無")</f>
        <v>-6609.3</v>
      </c>
      <c r="G363" s="79">
        <v>4192</v>
      </c>
      <c r="H363" s="8" t="s">
        <v>309</v>
      </c>
      <c r="I363" s="16" t="s">
        <v>3796</v>
      </c>
      <c r="J363" s="8" t="str">
        <f>IFERROR(VLOOKUP($G363,今日總結!$A:$AJ,35,0),"")</f>
        <v/>
      </c>
      <c r="K363" s="5" t="str">
        <f>IFERROR(VLOOKUP($G363,今日總結!$A:$AJ,36,0),"")</f>
        <v/>
      </c>
      <c r="L363" s="156" t="str">
        <f>IFERROR(VLOOKUP($G363,今日總結!$A:$AJ,33,0),"")</f>
        <v/>
      </c>
      <c r="M363" s="340" t="str">
        <f>IFERROR(VLOOKUP($G363,今日總結!$A:$AJ,34,0),"")</f>
        <v/>
      </c>
      <c r="N363" s="240" t="str">
        <f t="shared" si="77"/>
        <v/>
      </c>
      <c r="P363" s="365" t="str">
        <f>IFERROR(VLOOKUP($G363,融外自投!$A:$J,7,0),"無")</f>
        <v>無</v>
      </c>
      <c r="Q363" s="79" t="str">
        <f>IFERROR(VLOOKUP($G363,融外自投!$A:$J,9,0),"無")</f>
        <v>無</v>
      </c>
      <c r="R363" s="346" t="str">
        <f>IFERROR(VLOOKUP($G363,融外自投!$A:$J,8,0),"無")</f>
        <v>無</v>
      </c>
      <c r="S363" s="81" t="str">
        <f>IFERROR(VLOOKUP($G363,融外自投!$A:$J,10,0),"無")</f>
        <v>無</v>
      </c>
      <c r="T363" s="327" t="str">
        <f>IFERROR(VLOOKUP($G363,'321買'!$A:$E,5,0),"'沒有資料'")</f>
        <v>'沒有資料'</v>
      </c>
      <c r="U363" s="186">
        <f>IFERROR(VLOOKUP($G363,基本資料!$A:$J,9,0),"無")</f>
        <v>0</v>
      </c>
      <c r="V363" s="310">
        <f t="shared" si="78"/>
        <v>0</v>
      </c>
      <c r="W363" s="94">
        <f>IFERROR(VLOOKUP($G363,基本資料!$A:$J,10,0),"無")</f>
        <v>-4.04</v>
      </c>
      <c r="X363" s="36">
        <f>RTD("money.excel",,"4192","Price")</f>
        <v>34.4</v>
      </c>
      <c r="Y363" s="66"/>
      <c r="Z363" s="15">
        <f t="shared" si="79"/>
        <v>34.4</v>
      </c>
      <c r="AA363" s="3" t="e">
        <f t="shared" si="80"/>
        <v>#DIV/0!</v>
      </c>
      <c r="AB363" s="344">
        <f>IFERROR(VLOOKUP($G363,基本資料!$A:$M,11,0),"無")</f>
        <v>-76.67</v>
      </c>
      <c r="AC363" s="397">
        <f>IFERROR(VLOOKUP($G363,基本資料!$A:$M,12,0),"無")</f>
        <v>24.27</v>
      </c>
      <c r="AD363" s="16" t="s">
        <v>3796</v>
      </c>
      <c r="AG363" s="33">
        <f t="shared" si="81"/>
        <v>0</v>
      </c>
      <c r="AH363" s="43" t="s">
        <v>3797</v>
      </c>
      <c r="AI363" s="63">
        <f t="shared" si="82"/>
        <v>5.3043478260869561E-4</v>
      </c>
      <c r="AJ363" s="284">
        <f>RTD("money.excel",,$G363,"PredictVolume")</f>
        <v>61</v>
      </c>
      <c r="AK363" s="399">
        <f>IFERROR(VLOOKUP($G363,基本資料!$A:$M,13,0),"無")</f>
        <v>8.8800000000000008</v>
      </c>
    </row>
    <row r="364" spans="1:37">
      <c r="A364" s="347">
        <f>IFERROR(VLOOKUP($G364,基本資料!$A:$J,3,0),"無")</f>
        <v>8.0500000000000007</v>
      </c>
      <c r="B364" s="79">
        <f>IFERROR(VLOOKUP($G364,基本資料!$A:$J,4,0),"無")</f>
        <v>16</v>
      </c>
      <c r="C364" s="79">
        <f>IFERROR(VLOOKUP($G364,基本資料!$A:$J,5,0),"無")</f>
        <v>23</v>
      </c>
      <c r="D364" s="79">
        <f>IFERROR(VLOOKUP($G364,基本資料!$A:$J,6,0),"無")</f>
        <v>37</v>
      </c>
      <c r="E364" s="79">
        <f>IFERROR(VLOOKUP($G364,基本資料!$A:$J,7,0),"無")</f>
        <v>171</v>
      </c>
      <c r="F364" s="6">
        <f>IFERROR(VLOOKUP($G364,基本資料!$A:$J,8,0),"無")</f>
        <v>-84.42</v>
      </c>
      <c r="G364" s="79">
        <v>4198</v>
      </c>
      <c r="H364" s="8" t="s">
        <v>309</v>
      </c>
      <c r="I364" s="16" t="s">
        <v>3798</v>
      </c>
      <c r="J364" s="8" t="str">
        <f>IFERROR(VLOOKUP($G364,今日總結!$A:$AJ,35,0),"")</f>
        <v/>
      </c>
      <c r="K364" s="5" t="str">
        <f>IFERROR(VLOOKUP($G364,今日總結!$A:$AJ,36,0),"")</f>
        <v/>
      </c>
      <c r="L364" s="156" t="str">
        <f>IFERROR(VLOOKUP($G364,今日總結!$A:$AJ,33,0),"")</f>
        <v/>
      </c>
      <c r="M364" s="340" t="str">
        <f>IFERROR(VLOOKUP($G364,今日總結!$A:$AJ,34,0),"")</f>
        <v/>
      </c>
      <c r="N364" s="240" t="str">
        <f t="shared" si="77"/>
        <v/>
      </c>
      <c r="P364" s="365" t="str">
        <f>IFERROR(VLOOKUP($G364,融外自投!$A:$J,7,0),"無")</f>
        <v>無</v>
      </c>
      <c r="Q364" s="79" t="str">
        <f>IFERROR(VLOOKUP($G364,融外自投!$A:$J,9,0),"無")</f>
        <v>無</v>
      </c>
      <c r="R364" s="346" t="str">
        <f>IFERROR(VLOOKUP($G364,融外自投!$A:$J,8,0),"無")</f>
        <v>無</v>
      </c>
      <c r="S364" s="81" t="str">
        <f>IFERROR(VLOOKUP($G364,融外自投!$A:$J,10,0),"無")</f>
        <v>無</v>
      </c>
      <c r="T364" s="327" t="str">
        <f>IFERROR(VLOOKUP($G364,'321買'!$A:$E,5,0),"'沒有資料'")</f>
        <v>'沒有資料'</v>
      </c>
      <c r="U364" s="186">
        <f>IFERROR(VLOOKUP($G364,基本資料!$A:$J,9,0),"無")</f>
        <v>0</v>
      </c>
      <c r="V364" s="310">
        <f t="shared" si="78"/>
        <v>0</v>
      </c>
      <c r="W364" s="94">
        <f>IFERROR(VLOOKUP($G364,基本資料!$A:$J,10,0),"無")</f>
        <v>-1.3</v>
      </c>
      <c r="X364" s="36">
        <f>RTD("money.excel",,"4198","Price")</f>
        <v>4.9400000000000004</v>
      </c>
      <c r="Y364" s="66"/>
      <c r="Z364" s="15">
        <f t="shared" si="79"/>
        <v>4.9400000000000004</v>
      </c>
      <c r="AA364" s="3" t="e">
        <f t="shared" si="80"/>
        <v>#DIV/0!</v>
      </c>
      <c r="AB364" s="344">
        <f>IFERROR(VLOOKUP($G364,基本資料!$A:$M,11,0),"無")</f>
        <v>-34.07</v>
      </c>
      <c r="AC364" s="397">
        <f>IFERROR(VLOOKUP($G364,基本資料!$A:$M,12,0),"無")</f>
        <v>15.35</v>
      </c>
      <c r="AD364" s="16" t="s">
        <v>3798</v>
      </c>
      <c r="AG364" s="33">
        <f t="shared" si="81"/>
        <v>0</v>
      </c>
      <c r="AH364" s="43" t="s">
        <v>3799</v>
      </c>
      <c r="AI364" s="63">
        <f t="shared" si="82"/>
        <v>9.9378881987577641E-5</v>
      </c>
      <c r="AJ364" s="284">
        <f>RTD("money.excel",,$G364,"PredictVolume")</f>
        <v>8</v>
      </c>
      <c r="AK364" s="399">
        <f>IFERROR(VLOOKUP($G364,基本資料!$A:$M,13,0),"無")</f>
        <v>0.52</v>
      </c>
    </row>
    <row r="365" spans="1:37">
      <c r="A365" s="347">
        <f>IFERROR(VLOOKUP($G365,基本資料!$A:$J,3,0),"無")</f>
        <v>15.41</v>
      </c>
      <c r="B365" s="79">
        <f>IFERROR(VLOOKUP($G365,基本資料!$A:$J,4,0),"無")</f>
        <v>-390</v>
      </c>
      <c r="C365" s="79">
        <f>IFERROR(VLOOKUP($G365,基本資料!$A:$J,5,0),"無")</f>
        <v>-341</v>
      </c>
      <c r="D365" s="79">
        <f>IFERROR(VLOOKUP($G365,基本資料!$A:$J,6,0),"無")</f>
        <v>146</v>
      </c>
      <c r="E365" s="79">
        <f>IFERROR(VLOOKUP($G365,基本資料!$A:$J,7,0),"無")</f>
        <v>67</v>
      </c>
      <c r="F365" s="6">
        <f>IFERROR(VLOOKUP($G365,基本資料!$A:$J,8,0),"無")</f>
        <v>-11.02</v>
      </c>
      <c r="G365" s="79">
        <v>4726</v>
      </c>
      <c r="H365" s="8" t="s">
        <v>309</v>
      </c>
      <c r="I365" s="16" t="s">
        <v>3800</v>
      </c>
      <c r="J365" s="8" t="str">
        <f>IFERROR(VLOOKUP($G365,今日總結!$A:$AJ,35,0),"")</f>
        <v/>
      </c>
      <c r="K365" s="5" t="str">
        <f>IFERROR(VLOOKUP($G365,今日總結!$A:$AJ,36,0),"")</f>
        <v/>
      </c>
      <c r="L365" s="156" t="str">
        <f>IFERROR(VLOOKUP($G365,今日總結!$A:$AJ,33,0),"")</f>
        <v/>
      </c>
      <c r="M365" s="340" t="str">
        <f>IFERROR(VLOOKUP($G365,今日總結!$A:$AJ,34,0),"")</f>
        <v/>
      </c>
      <c r="N365" s="240" t="str">
        <f t="shared" si="77"/>
        <v/>
      </c>
      <c r="P365" s="365" t="str">
        <f>IFERROR(VLOOKUP($G365,融外自投!$A:$J,7,0),"無")</f>
        <v>無</v>
      </c>
      <c r="Q365" s="79" t="str">
        <f>IFERROR(VLOOKUP($G365,融外自投!$A:$J,9,0),"無")</f>
        <v>無</v>
      </c>
      <c r="R365" s="346" t="str">
        <f>IFERROR(VLOOKUP($G365,融外自投!$A:$J,8,0),"無")</f>
        <v>無</v>
      </c>
      <c r="S365" s="81" t="str">
        <f>IFERROR(VLOOKUP($G365,融外自投!$A:$J,10,0),"無")</f>
        <v>無</v>
      </c>
      <c r="T365" s="327" t="str">
        <f>IFERROR(VLOOKUP($G365,'321買'!$A:$E,5,0),"'沒有資料'")</f>
        <v>'沒有資料'</v>
      </c>
      <c r="U365" s="186">
        <f>IFERROR(VLOOKUP($G365,基本資料!$A:$J,9,0),"無")</f>
        <v>0</v>
      </c>
      <c r="V365" s="310">
        <f t="shared" si="78"/>
        <v>0</v>
      </c>
      <c r="W365" s="94">
        <f>IFERROR(VLOOKUP($G365,基本資料!$A:$J,10,0),"無")</f>
        <v>-0.61</v>
      </c>
      <c r="X365" s="36">
        <f>RTD("money.excel",,"4726","Price")</f>
        <v>36.299999999999997</v>
      </c>
      <c r="Y365" s="66"/>
      <c r="Z365" s="15">
        <f t="shared" si="79"/>
        <v>36.299999999999997</v>
      </c>
      <c r="AA365" s="3" t="e">
        <f t="shared" si="80"/>
        <v>#DIV/0!</v>
      </c>
      <c r="AB365" s="344">
        <f>IFERROR(VLOOKUP($G365,基本資料!$A:$M,11,0),"無")</f>
        <v>-28.56</v>
      </c>
      <c r="AC365" s="397">
        <f>IFERROR(VLOOKUP($G365,基本資料!$A:$M,12,0),"無")</f>
        <v>15.09</v>
      </c>
      <c r="AD365" s="16" t="s">
        <v>3800</v>
      </c>
      <c r="AG365" s="33">
        <f t="shared" si="81"/>
        <v>0</v>
      </c>
      <c r="AH365" s="43" t="s">
        <v>2982</v>
      </c>
      <c r="AI365" s="63">
        <f t="shared" si="82"/>
        <v>1.3043478260869566E-3</v>
      </c>
      <c r="AJ365" s="284">
        <f>RTD("money.excel",,$G365,"PredictVolume")</f>
        <v>201</v>
      </c>
      <c r="AK365" s="399">
        <f>IFERROR(VLOOKUP($G365,基本資料!$A:$M,13,0),"無")</f>
        <v>9.23</v>
      </c>
    </row>
    <row r="366" spans="1:37">
      <c r="A366" s="347">
        <f>IFERROR(VLOOKUP($G366,基本資料!$A:$J,3,0),"無")</f>
        <v>5.44</v>
      </c>
      <c r="B366" s="79">
        <f>IFERROR(VLOOKUP($G366,基本資料!$A:$J,4,0),"無")</f>
        <v>3</v>
      </c>
      <c r="C366" s="79">
        <f>IFERROR(VLOOKUP($G366,基本資料!$A:$J,5,0),"無")</f>
        <v>10</v>
      </c>
      <c r="D366" s="79">
        <f>IFERROR(VLOOKUP($G366,基本資料!$A:$J,6,0),"無")</f>
        <v>-8</v>
      </c>
      <c r="E366" s="79">
        <f>IFERROR(VLOOKUP($G366,基本資料!$A:$J,7,0),"無")</f>
        <v>2</v>
      </c>
      <c r="F366" s="6">
        <f>IFERROR(VLOOKUP($G366,基本資料!$A:$J,8,0),"無")</f>
        <v>35.47</v>
      </c>
      <c r="G366" s="79">
        <v>4728</v>
      </c>
      <c r="H366" s="8" t="s">
        <v>309</v>
      </c>
      <c r="I366" s="16" t="s">
        <v>3801</v>
      </c>
      <c r="J366" s="8" t="str">
        <f>IFERROR(VLOOKUP($G366,今日總結!$A:$AJ,35,0),"")</f>
        <v/>
      </c>
      <c r="K366" s="5" t="str">
        <f>IFERROR(VLOOKUP($G366,今日總結!$A:$AJ,36,0),"")</f>
        <v/>
      </c>
      <c r="L366" s="156" t="str">
        <f>IFERROR(VLOOKUP($G366,今日總結!$A:$AJ,33,0),"")</f>
        <v/>
      </c>
      <c r="M366" s="340" t="str">
        <f>IFERROR(VLOOKUP($G366,今日總結!$A:$AJ,34,0),"")</f>
        <v/>
      </c>
      <c r="N366" s="240" t="str">
        <f t="shared" si="77"/>
        <v/>
      </c>
      <c r="P366" s="365">
        <f>IFERROR(VLOOKUP($G366,融外自投!$A:$J,7,0),"無")</f>
        <v>99</v>
      </c>
      <c r="Q366" s="79">
        <f>IFERROR(VLOOKUP($G366,融外自投!$A:$J,9,0),"無")</f>
        <v>447</v>
      </c>
      <c r="R366" s="346">
        <f>IFERROR(VLOOKUP($G366,融外自投!$A:$J,8,0),"無")</f>
        <v>357</v>
      </c>
      <c r="S366" s="81" t="str">
        <f>IFERROR(VLOOKUP($G366,融外自投!$A:$J,10,0),"無")</f>
        <v>無</v>
      </c>
      <c r="T366" s="327">
        <f>IFERROR(VLOOKUP($G366,'321買'!$A:$E,5,0),"'沒有資料'")</f>
        <v>445</v>
      </c>
      <c r="U366" s="186">
        <f>IFERROR(VLOOKUP($G366,基本資料!$A:$J,9,0),"無")</f>
        <v>0</v>
      </c>
      <c r="V366" s="310">
        <f t="shared" si="78"/>
        <v>0</v>
      </c>
      <c r="W366" s="94">
        <f>IFERROR(VLOOKUP($G366,基本資料!$A:$J,10,0),"無")</f>
        <v>4.51</v>
      </c>
      <c r="X366" s="36">
        <f>RTD("money.excel",,"4728","Price")</f>
        <v>103.5</v>
      </c>
      <c r="Y366" s="66"/>
      <c r="Z366" s="15">
        <f t="shared" si="79"/>
        <v>103.5</v>
      </c>
      <c r="AA366" s="3" t="e">
        <f t="shared" si="80"/>
        <v>#DIV/0!</v>
      </c>
      <c r="AB366" s="344">
        <f>IFERROR(VLOOKUP($G366,基本資料!$A:$M,11,0),"無")</f>
        <v>-20.77</v>
      </c>
      <c r="AC366" s="397">
        <f>IFERROR(VLOOKUP($G366,基本資料!$A:$M,12,0),"無")</f>
        <v>36.42</v>
      </c>
      <c r="AD366" s="16" t="s">
        <v>3801</v>
      </c>
      <c r="AG366" s="33">
        <f t="shared" si="81"/>
        <v>0</v>
      </c>
      <c r="AH366" s="43" t="s">
        <v>3691</v>
      </c>
      <c r="AI366" s="63">
        <f t="shared" si="82"/>
        <v>2.0036764705882349E-3</v>
      </c>
      <c r="AJ366" s="284">
        <f>RTD("money.excel",,$G366,"PredictVolume")</f>
        <v>109</v>
      </c>
      <c r="AK366" s="399">
        <f>IFERROR(VLOOKUP($G366,基本資料!$A:$M,13,0),"無")</f>
        <v>0.81</v>
      </c>
    </row>
    <row r="367" spans="1:37">
      <c r="A367" s="347">
        <f>IFERROR(VLOOKUP($G367,基本資料!$A:$J,3,0),"無")</f>
        <v>3.67</v>
      </c>
      <c r="B367" s="79">
        <f>IFERROR(VLOOKUP($G367,基本資料!$A:$J,4,0),"無")</f>
        <v>-39</v>
      </c>
      <c r="C367" s="79">
        <f>IFERROR(VLOOKUP($G367,基本資料!$A:$J,5,0),"無")</f>
        <v>-41</v>
      </c>
      <c r="D367" s="79">
        <f>IFERROR(VLOOKUP($G367,基本資料!$A:$J,6,0),"無")</f>
        <v>-4</v>
      </c>
      <c r="E367" s="79">
        <f>IFERROR(VLOOKUP($G367,基本資料!$A:$J,7,0),"無")</f>
        <v>-71</v>
      </c>
      <c r="F367" s="6">
        <f>IFERROR(VLOOKUP($G367,基本資料!$A:$J,8,0),"無")</f>
        <v>16.8</v>
      </c>
      <c r="G367" s="79">
        <v>4735</v>
      </c>
      <c r="H367" s="8" t="s">
        <v>309</v>
      </c>
      <c r="I367" s="16" t="s">
        <v>3802</v>
      </c>
      <c r="J367" s="8">
        <f>IFERROR(VLOOKUP($G367,今日總結!$A:$AJ,35,0),"")</f>
        <v>0</v>
      </c>
      <c r="K367" s="5">
        <f>IFERROR(VLOOKUP($G367,今日總結!$A:$AJ,36,0),"")</f>
        <v>0</v>
      </c>
      <c r="L367" s="156">
        <f>IFERROR(VLOOKUP($G367,今日總結!$A:$AJ,33,0),"")</f>
        <v>0</v>
      </c>
      <c r="M367" s="340">
        <f>IFERROR(VLOOKUP($G367,今日總結!$A:$AJ,34,0),"")</f>
        <v>1</v>
      </c>
      <c r="N367" s="240">
        <f t="shared" si="77"/>
        <v>-1</v>
      </c>
      <c r="P367" s="365">
        <f>IFERROR(VLOOKUP($G367,融外自投!$A:$J,7,0),"無")</f>
        <v>724</v>
      </c>
      <c r="Q367" s="79">
        <f>IFERROR(VLOOKUP($G367,融外自投!$A:$J,9,0),"無")</f>
        <v>391</v>
      </c>
      <c r="R367" s="346">
        <f>IFERROR(VLOOKUP($G367,融外自投!$A:$J,8,0),"無")</f>
        <v>1282</v>
      </c>
      <c r="S367" s="81" t="str">
        <f>IFERROR(VLOOKUP($G367,融外自投!$A:$J,10,0),"無")</f>
        <v>無</v>
      </c>
      <c r="T367" s="327">
        <f>IFERROR(VLOOKUP($G367,'321買'!$A:$E,5,0),"'沒有資料'")</f>
        <v>894</v>
      </c>
      <c r="U367" s="186">
        <f>IFERROR(VLOOKUP($G367,基本資料!$A:$J,9,0),"無")</f>
        <v>6.2</v>
      </c>
      <c r="V367" s="310">
        <f t="shared" si="78"/>
        <v>0.15480649188514359</v>
      </c>
      <c r="W367" s="94">
        <f>IFERROR(VLOOKUP($G367,基本資料!$A:$J,10,0),"無")</f>
        <v>8.65</v>
      </c>
      <c r="X367" s="36">
        <f>RTD("money.excel",,"4735","Price")</f>
        <v>40.049999999999997</v>
      </c>
      <c r="Y367" s="66"/>
      <c r="Z367" s="15">
        <f t="shared" si="79"/>
        <v>40.049999999999997</v>
      </c>
      <c r="AA367" s="3" t="e">
        <f t="shared" si="80"/>
        <v>#DIV/0!</v>
      </c>
      <c r="AB367" s="344">
        <f>IFERROR(VLOOKUP($G367,基本資料!$A:$M,11,0),"無")</f>
        <v>-49.51</v>
      </c>
      <c r="AC367" s="397">
        <f>IFERROR(VLOOKUP($G367,基本資料!$A:$M,12,0),"無")</f>
        <v>5.49</v>
      </c>
      <c r="AD367" s="16" t="s">
        <v>3802</v>
      </c>
      <c r="AG367" s="33">
        <f t="shared" si="81"/>
        <v>0</v>
      </c>
      <c r="AH367" s="43" t="s">
        <v>3803</v>
      </c>
      <c r="AI367" s="63">
        <f t="shared" si="82"/>
        <v>2.425068119891008E-3</v>
      </c>
      <c r="AJ367" s="284">
        <f>RTD("money.excel",,$G367,"PredictVolume")</f>
        <v>89</v>
      </c>
      <c r="AK367" s="399">
        <f>IFERROR(VLOOKUP($G367,基本資料!$A:$M,13,0),"無")</f>
        <v>14.92</v>
      </c>
    </row>
    <row r="368" spans="1:37">
      <c r="A368" s="347">
        <f>IFERROR(VLOOKUP($G368,基本資料!$A:$J,3,0),"無")</f>
        <v>9.31</v>
      </c>
      <c r="B368" s="79">
        <f>IFERROR(VLOOKUP($G368,基本資料!$A:$J,4,0),"無")</f>
        <v>29</v>
      </c>
      <c r="C368" s="79">
        <f>IFERROR(VLOOKUP($G368,基本資料!$A:$J,5,0),"無")</f>
        <v>5</v>
      </c>
      <c r="D368" s="79">
        <f>IFERROR(VLOOKUP($G368,基本資料!$A:$J,6,0),"無")</f>
        <v>118</v>
      </c>
      <c r="E368" s="79">
        <f>IFERROR(VLOOKUP($G368,基本資料!$A:$J,7,0),"無")</f>
        <v>275</v>
      </c>
      <c r="F368" s="6">
        <f>IFERROR(VLOOKUP($G368,基本資料!$A:$J,8,0),"無")</f>
        <v>32.270000000000003</v>
      </c>
      <c r="G368" s="79">
        <v>4736</v>
      </c>
      <c r="H368" s="8" t="s">
        <v>309</v>
      </c>
      <c r="I368" s="166" t="s">
        <v>3804</v>
      </c>
      <c r="J368" s="8">
        <f>IFERROR(VLOOKUP($G368,今日總結!$A:$AJ,35,0),"")</f>
        <v>0</v>
      </c>
      <c r="K368" s="5">
        <f>IFERROR(VLOOKUP($G368,今日總結!$A:$AJ,36,0),"")</f>
        <v>3452</v>
      </c>
      <c r="L368" s="156">
        <f>IFERROR(VLOOKUP($G368,今日總結!$A:$AJ,33,0),"")</f>
        <v>0</v>
      </c>
      <c r="M368" s="340">
        <f>IFERROR(VLOOKUP($G368,今日總結!$A:$AJ,34,0),"")</f>
        <v>5</v>
      </c>
      <c r="N368" s="240">
        <f t="shared" si="77"/>
        <v>-5</v>
      </c>
      <c r="P368" s="365">
        <f>IFERROR(VLOOKUP($G368,融外自投!$A:$J,7,0),"無")</f>
        <v>201</v>
      </c>
      <c r="Q368" s="79">
        <f>IFERROR(VLOOKUP($G368,融外自投!$A:$J,9,0),"無")</f>
        <v>117</v>
      </c>
      <c r="R368" s="346">
        <f>IFERROR(VLOOKUP($G368,融外自投!$A:$J,8,0),"無")</f>
        <v>394</v>
      </c>
      <c r="S368" s="81">
        <f>IFERROR(VLOOKUP($G368,融外自投!$A:$J,10,0),"無")</f>
        <v>324</v>
      </c>
      <c r="T368" s="327">
        <f>IFERROR(VLOOKUP($G368,'321買'!$A:$E,5,0),"'沒有資料'")</f>
        <v>430</v>
      </c>
      <c r="U368" s="186">
        <f>IFERROR(VLOOKUP($G368,基本資料!$A:$J,9,0),"無")</f>
        <v>15</v>
      </c>
      <c r="V368" s="310">
        <f t="shared" si="78"/>
        <v>6.6079295154185022E-2</v>
      </c>
      <c r="W368" s="94">
        <f>IFERROR(VLOOKUP($G368,基本資料!$A:$J,10,0),"無")</f>
        <v>21.35</v>
      </c>
      <c r="X368" s="161">
        <f>RTD("money.excel",,"4736","Price")</f>
        <v>227</v>
      </c>
      <c r="Y368" s="66"/>
      <c r="Z368" s="15">
        <f t="shared" si="79"/>
        <v>227</v>
      </c>
      <c r="AA368" s="3" t="e">
        <f t="shared" si="80"/>
        <v>#DIV/0!</v>
      </c>
      <c r="AB368" s="344">
        <f>IFERROR(VLOOKUP($G368,基本資料!$A:$M,11,0),"無")</f>
        <v>-16.77</v>
      </c>
      <c r="AC368" s="397">
        <f>IFERROR(VLOOKUP($G368,基本資料!$A:$M,12,0),"無")</f>
        <v>67.14</v>
      </c>
      <c r="AD368" s="16" t="s">
        <v>3804</v>
      </c>
      <c r="AG368" s="33">
        <f t="shared" si="81"/>
        <v>0</v>
      </c>
      <c r="AH368" s="117" t="s">
        <v>3805</v>
      </c>
      <c r="AI368" s="63">
        <f t="shared" si="82"/>
        <v>0.15166487647690655</v>
      </c>
      <c r="AJ368" s="284">
        <f>RTD("money.excel",,$G368,"PredictVolume")</f>
        <v>14120</v>
      </c>
      <c r="AK368" s="399">
        <f>IFERROR(VLOOKUP($G368,基本資料!$A:$M,13,0),"無")</f>
        <v>26.55</v>
      </c>
    </row>
    <row r="369" spans="1:37">
      <c r="A369" s="347">
        <f>IFERROR(VLOOKUP($G369,基本資料!$A:$J,3,0),"無")</f>
        <v>6.06</v>
      </c>
      <c r="B369" s="79">
        <f>IFERROR(VLOOKUP($G369,基本資料!$A:$J,4,0),"無")</f>
        <v>40</v>
      </c>
      <c r="C369" s="79">
        <f>IFERROR(VLOOKUP($G369,基本資料!$A:$J,5,0),"無")</f>
        <v>256</v>
      </c>
      <c r="D369" s="79">
        <f>IFERROR(VLOOKUP($G369,基本資料!$A:$J,6,0),"無")</f>
        <v>-32</v>
      </c>
      <c r="E369" s="79">
        <f>IFERROR(VLOOKUP($G369,基本資料!$A:$J,7,0),"無")</f>
        <v>34</v>
      </c>
      <c r="F369" s="6">
        <f>IFERROR(VLOOKUP($G369,基本資料!$A:$J,8,0),"無")</f>
        <v>4.07</v>
      </c>
      <c r="G369" s="79">
        <v>4737</v>
      </c>
      <c r="H369" s="8" t="s">
        <v>309</v>
      </c>
      <c r="I369" s="22" t="s">
        <v>3806</v>
      </c>
      <c r="J369" s="8" t="str">
        <f>IFERROR(VLOOKUP($G369,今日總結!$A:$AJ,35,0),"")</f>
        <v/>
      </c>
      <c r="K369" s="5" t="str">
        <f>IFERROR(VLOOKUP($G369,今日總結!$A:$AJ,36,0),"")</f>
        <v/>
      </c>
      <c r="L369" s="156" t="str">
        <f>IFERROR(VLOOKUP($G369,今日總結!$A:$AJ,33,0),"")</f>
        <v/>
      </c>
      <c r="M369" s="340" t="str">
        <f>IFERROR(VLOOKUP($G369,今日總結!$A:$AJ,34,0),"")</f>
        <v/>
      </c>
      <c r="N369" s="240" t="str">
        <f t="shared" si="77"/>
        <v/>
      </c>
      <c r="P369" s="365">
        <f>IFERROR(VLOOKUP($G369,融外自投!$A:$J,7,0),"無")</f>
        <v>785</v>
      </c>
      <c r="Q369" s="79">
        <f>IFERROR(VLOOKUP($G369,融外自投!$A:$J,9,0),"無")</f>
        <v>936</v>
      </c>
      <c r="R369" s="346">
        <f>IFERROR(VLOOKUP($G369,融外自投!$A:$J,8,0),"無")</f>
        <v>239</v>
      </c>
      <c r="S369" s="81" t="str">
        <f>IFERROR(VLOOKUP($G369,融外自投!$A:$J,10,0),"無")</f>
        <v>無</v>
      </c>
      <c r="T369" s="327">
        <f>IFERROR(VLOOKUP($G369,'321買'!$A:$E,5,0),"'沒有資料'")</f>
        <v>1099</v>
      </c>
      <c r="U369" s="186">
        <f>IFERROR(VLOOKUP($G369,基本資料!$A:$J,9,0),"無")</f>
        <v>2</v>
      </c>
      <c r="V369" s="310">
        <f t="shared" si="78"/>
        <v>2.8089887640449437E-2</v>
      </c>
      <c r="W369" s="94">
        <f>IFERROR(VLOOKUP($G369,基本資料!$A:$J,10,0),"無")</f>
        <v>1.45</v>
      </c>
      <c r="X369" s="36">
        <f>RTD("money.excel",,"4737","Price")</f>
        <v>71.2</v>
      </c>
      <c r="Y369" s="66"/>
      <c r="Z369" s="15">
        <f t="shared" si="79"/>
        <v>71.2</v>
      </c>
      <c r="AA369" s="3" t="e">
        <f t="shared" si="80"/>
        <v>#DIV/0!</v>
      </c>
      <c r="AB369" s="344">
        <f>IFERROR(VLOOKUP($G369,基本資料!$A:$M,11,0),"無")</f>
        <v>-7.89</v>
      </c>
      <c r="AC369" s="397">
        <f>IFERROR(VLOOKUP($G369,基本資料!$A:$M,12,0),"無")</f>
        <v>54.89</v>
      </c>
      <c r="AD369" s="22" t="s">
        <v>3806</v>
      </c>
      <c r="AG369" s="33">
        <f t="shared" si="81"/>
        <v>0</v>
      </c>
      <c r="AH369" s="43" t="s">
        <v>3680</v>
      </c>
      <c r="AI369" s="63">
        <f t="shared" si="82"/>
        <v>1.9801980198019803E-4</v>
      </c>
      <c r="AJ369" s="284">
        <f>RTD("money.excel",,$G369,"PredictVolume")</f>
        <v>12</v>
      </c>
      <c r="AK369" s="399">
        <f>IFERROR(VLOOKUP($G369,基本資料!$A:$M,13,0),"無")</f>
        <v>2.39</v>
      </c>
    </row>
    <row r="370" spans="1:37">
      <c r="A370" s="347">
        <f>IFERROR(VLOOKUP($G370,基本資料!$A:$J,3,0),"無")</f>
        <v>38.81</v>
      </c>
      <c r="B370" s="79">
        <f>IFERROR(VLOOKUP($G370,基本資料!$A:$J,4,0),"無")</f>
        <v>-64</v>
      </c>
      <c r="C370" s="79">
        <f>IFERROR(VLOOKUP($G370,基本資料!$A:$J,5,0),"無")</f>
        <v>-30</v>
      </c>
      <c r="D370" s="79">
        <f>IFERROR(VLOOKUP($G370,基本資料!$A:$J,6,0),"無")</f>
        <v>-20</v>
      </c>
      <c r="E370" s="79">
        <f>IFERROR(VLOOKUP($G370,基本資料!$A:$J,7,0),"無")</f>
        <v>308</v>
      </c>
      <c r="F370" s="6">
        <f>IFERROR(VLOOKUP($G370,基本資料!$A:$J,8,0),"無")</f>
        <v>-1335.27</v>
      </c>
      <c r="G370" s="79">
        <v>4743</v>
      </c>
      <c r="H370" s="8" t="s">
        <v>309</v>
      </c>
      <c r="I370" s="16" t="s">
        <v>286</v>
      </c>
      <c r="J370" s="8" t="str">
        <f>IFERROR(VLOOKUP($G370,今日總結!$A:$AJ,35,0),"")</f>
        <v/>
      </c>
      <c r="K370" s="5" t="str">
        <f>IFERROR(VLOOKUP($G370,今日總結!$A:$AJ,36,0),"")</f>
        <v/>
      </c>
      <c r="L370" s="156" t="str">
        <f>IFERROR(VLOOKUP($G370,今日總結!$A:$AJ,33,0),"")</f>
        <v/>
      </c>
      <c r="M370" s="340" t="str">
        <f>IFERROR(VLOOKUP($G370,今日總結!$A:$AJ,34,0),"")</f>
        <v/>
      </c>
      <c r="N370" s="240" t="str">
        <f t="shared" si="77"/>
        <v/>
      </c>
      <c r="P370" s="365" t="str">
        <f>IFERROR(VLOOKUP($G370,融外自投!$A:$J,7,0),"無")</f>
        <v>無</v>
      </c>
      <c r="Q370" s="79" t="str">
        <f>IFERROR(VLOOKUP($G370,融外自投!$A:$J,9,0),"無")</f>
        <v>無</v>
      </c>
      <c r="R370" s="346" t="str">
        <f>IFERROR(VLOOKUP($G370,融外自投!$A:$J,8,0),"無")</f>
        <v>無</v>
      </c>
      <c r="S370" s="81" t="str">
        <f>IFERROR(VLOOKUP($G370,融外自投!$A:$J,10,0),"無")</f>
        <v>無</v>
      </c>
      <c r="T370" s="327" t="str">
        <f>IFERROR(VLOOKUP($G370,'321買'!$A:$E,5,0),"'沒有資料'")</f>
        <v>'沒有資料'</v>
      </c>
      <c r="U370" s="186">
        <f>IFERROR(VLOOKUP($G370,基本資料!$A:$J,9,0),"無")</f>
        <v>0</v>
      </c>
      <c r="V370" s="310">
        <f t="shared" si="78"/>
        <v>0</v>
      </c>
      <c r="W370" s="94">
        <f>IFERROR(VLOOKUP($G370,基本資料!$A:$J,10,0),"無")</f>
        <v>-1.06</v>
      </c>
      <c r="X370" s="36">
        <f>RTD("money.excel",,"4743","Price")</f>
        <v>187</v>
      </c>
      <c r="Y370" s="66"/>
      <c r="Z370" s="15">
        <f t="shared" si="79"/>
        <v>187</v>
      </c>
      <c r="AA370" s="3" t="e">
        <f t="shared" si="80"/>
        <v>#DIV/0!</v>
      </c>
      <c r="AB370" s="344">
        <f>IFERROR(VLOOKUP($G370,基本資料!$A:$M,11,0),"無")</f>
        <v>-43.79</v>
      </c>
      <c r="AC370" s="397">
        <f>IFERROR(VLOOKUP($G370,基本資料!$A:$M,12,0),"無")</f>
        <v>8.3000000000000007</v>
      </c>
      <c r="AD370" s="16" t="s">
        <v>286</v>
      </c>
      <c r="AG370" s="33">
        <f t="shared" si="81"/>
        <v>0</v>
      </c>
      <c r="AH370" s="43" t="s">
        <v>3807</v>
      </c>
      <c r="AI370" s="63">
        <f t="shared" si="82"/>
        <v>3.7129605771708324E-3</v>
      </c>
      <c r="AJ370" s="284">
        <f>RTD("money.excel",,$G370,"PredictVolume")</f>
        <v>1441</v>
      </c>
      <c r="AK370" s="399">
        <f>IFERROR(VLOOKUP($G370,基本資料!$A:$M,13,0),"無")</f>
        <v>3.56</v>
      </c>
    </row>
    <row r="371" spans="1:37">
      <c r="A371" s="347">
        <f>IFERROR(VLOOKUP($G371,基本資料!$A:$J,3,0),"無")</f>
        <v>4.59</v>
      </c>
      <c r="B371" s="79">
        <f>IFERROR(VLOOKUP($G371,基本資料!$A:$J,4,0),"無")</f>
        <v>12</v>
      </c>
      <c r="C371" s="79">
        <f>IFERROR(VLOOKUP($G371,基本資料!$A:$J,5,0),"無")</f>
        <v>-23</v>
      </c>
      <c r="D371" s="79">
        <f>IFERROR(VLOOKUP($G371,基本資料!$A:$J,6,0),"無")</f>
        <v>110</v>
      </c>
      <c r="E371" s="79">
        <f>IFERROR(VLOOKUP($G371,基本資料!$A:$J,7,0),"無")</f>
        <v>-8</v>
      </c>
      <c r="F371" s="6">
        <f>IFERROR(VLOOKUP($G371,基本資料!$A:$J,8,0),"無")</f>
        <v>7.32</v>
      </c>
      <c r="G371" s="79">
        <v>4744</v>
      </c>
      <c r="H371" s="8" t="s">
        <v>309</v>
      </c>
      <c r="I371" s="16" t="s">
        <v>3808</v>
      </c>
      <c r="J371" s="8">
        <f>IFERROR(VLOOKUP($G371,今日總結!$A:$AJ,35,0),"")</f>
        <v>0</v>
      </c>
      <c r="K371" s="5" t="str">
        <f>IFERROR(VLOOKUP($G371,今日總結!$A:$AJ,36,0),"")</f>
        <v>借</v>
      </c>
      <c r="L371" s="156">
        <f>IFERROR(VLOOKUP($G371,今日總結!$A:$AJ,33,0),"")</f>
        <v>0</v>
      </c>
      <c r="M371" s="340">
        <f>IFERROR(VLOOKUP($G371,今日總結!$A:$AJ,34,0),"")</f>
        <v>1</v>
      </c>
      <c r="N371" s="240">
        <f t="shared" si="77"/>
        <v>-1</v>
      </c>
      <c r="P371" s="365">
        <f>IFERROR(VLOOKUP($G371,融外自投!$A:$J,7,0),"無")</f>
        <v>94</v>
      </c>
      <c r="Q371" s="79">
        <f>IFERROR(VLOOKUP($G371,融外自投!$A:$J,9,0),"無")</f>
        <v>824</v>
      </c>
      <c r="R371" s="346">
        <f>IFERROR(VLOOKUP($G371,融外自投!$A:$J,8,0),"無")</f>
        <v>964</v>
      </c>
      <c r="S371" s="81">
        <f>IFERROR(VLOOKUP($G371,融外自投!$A:$J,10,0),"無")</f>
        <v>473</v>
      </c>
      <c r="T371" s="327">
        <f>IFERROR(VLOOKUP($G371,'321買'!$A:$E,5,0),"'沒有資料'")</f>
        <v>683</v>
      </c>
      <c r="U371" s="186">
        <f>IFERROR(VLOOKUP($G371,基本資料!$A:$J,9,0),"無")</f>
        <v>1.2</v>
      </c>
      <c r="V371" s="310">
        <f t="shared" si="78"/>
        <v>4.2628774422735348E-2</v>
      </c>
      <c r="W371" s="94">
        <f>IFERROR(VLOOKUP($G371,基本資料!$A:$J,10,0),"無")</f>
        <v>1.71</v>
      </c>
      <c r="X371" s="36">
        <f>RTD("money.excel",,"4744","Price")</f>
        <v>28.15</v>
      </c>
      <c r="Y371" s="66"/>
      <c r="Z371" s="15">
        <f t="shared" si="79"/>
        <v>28.15</v>
      </c>
      <c r="AA371" s="3" t="e">
        <f t="shared" si="80"/>
        <v>#DIV/0!</v>
      </c>
      <c r="AB371" s="344">
        <f>IFERROR(VLOOKUP($G371,基本資料!$A:$M,11,0),"無")</f>
        <v>-32.630000000000003</v>
      </c>
      <c r="AC371" s="397">
        <f>IFERROR(VLOOKUP($G371,基本資料!$A:$M,12,0),"無")</f>
        <v>20.96</v>
      </c>
      <c r="AD371" s="16" t="s">
        <v>3808</v>
      </c>
      <c r="AG371" s="33">
        <f t="shared" si="81"/>
        <v>0</v>
      </c>
      <c r="AH371" s="43" t="s">
        <v>3809</v>
      </c>
      <c r="AI371" s="63">
        <f t="shared" si="82"/>
        <v>1.0697167755991286E-2</v>
      </c>
      <c r="AJ371" s="284">
        <f>RTD("money.excel",,$G371,"PredictVolume")</f>
        <v>491</v>
      </c>
      <c r="AK371" s="399">
        <f>IFERROR(VLOOKUP($G371,基本資料!$A:$M,13,0),"無")</f>
        <v>19.64</v>
      </c>
    </row>
    <row r="372" spans="1:37">
      <c r="A372" s="347">
        <f>IFERROR(VLOOKUP($G372,基本資料!$A:$J,3,0),"無")</f>
        <v>7.74</v>
      </c>
      <c r="B372" s="79">
        <f>IFERROR(VLOOKUP($G372,基本資料!$A:$J,4,0),"無")</f>
        <v>3</v>
      </c>
      <c r="C372" s="79">
        <f>IFERROR(VLOOKUP($G372,基本資料!$A:$J,5,0),"無")</f>
        <v>0</v>
      </c>
      <c r="D372" s="79">
        <f>IFERROR(VLOOKUP($G372,基本資料!$A:$J,6,0),"無")</f>
        <v>131</v>
      </c>
      <c r="E372" s="79">
        <f>IFERROR(VLOOKUP($G372,基本資料!$A:$J,7,0),"無")</f>
        <v>42</v>
      </c>
      <c r="F372" s="6">
        <f>IFERROR(VLOOKUP($G372,基本資料!$A:$J,8,0),"無")</f>
        <v>6.63</v>
      </c>
      <c r="G372" s="79">
        <v>4745</v>
      </c>
      <c r="H372" s="8" t="s">
        <v>309</v>
      </c>
      <c r="I372" s="16" t="s">
        <v>3810</v>
      </c>
      <c r="J372" s="8" t="str">
        <f>IFERROR(VLOOKUP($G372,今日總結!$A:$AJ,35,0),"")</f>
        <v/>
      </c>
      <c r="K372" s="5" t="str">
        <f>IFERROR(VLOOKUP($G372,今日總結!$A:$AJ,36,0),"")</f>
        <v/>
      </c>
      <c r="L372" s="156" t="str">
        <f>IFERROR(VLOOKUP($G372,今日總結!$A:$AJ,33,0),"")</f>
        <v/>
      </c>
      <c r="M372" s="340" t="str">
        <f>IFERROR(VLOOKUP($G372,今日總結!$A:$AJ,34,0),"")</f>
        <v/>
      </c>
      <c r="N372" s="240" t="str">
        <f t="shared" si="77"/>
        <v/>
      </c>
      <c r="P372" s="365">
        <f>IFERROR(VLOOKUP($G372,融外自投!$A:$J,7,0),"無")</f>
        <v>890</v>
      </c>
      <c r="Q372" s="79" t="str">
        <f>IFERROR(VLOOKUP($G372,融外自投!$A:$J,9,0),"無")</f>
        <v>無</v>
      </c>
      <c r="R372" s="346">
        <f>IFERROR(VLOOKUP($G372,融外自投!$A:$J,8,0),"無")</f>
        <v>345</v>
      </c>
      <c r="S372" s="81" t="str">
        <f>IFERROR(VLOOKUP($G372,融外自投!$A:$J,10,0),"無")</f>
        <v>無</v>
      </c>
      <c r="T372" s="327">
        <f>IFERROR(VLOOKUP($G372,'321買'!$A:$E,5,0),"'沒有資料'")</f>
        <v>1239</v>
      </c>
      <c r="U372" s="186">
        <f>IFERROR(VLOOKUP($G372,基本資料!$A:$J,9,0),"無")</f>
        <v>1.5</v>
      </c>
      <c r="V372" s="310">
        <f t="shared" si="78"/>
        <v>5.0251256281407031E-2</v>
      </c>
      <c r="W372" s="94">
        <f>IFERROR(VLOOKUP($G372,基本資料!$A:$J,10,0),"無")</f>
        <v>1.8</v>
      </c>
      <c r="X372" s="36">
        <f>RTD("money.excel",,"4745","Price")</f>
        <v>29.85</v>
      </c>
      <c r="Y372" s="66"/>
      <c r="Z372" s="15">
        <f t="shared" si="79"/>
        <v>29.85</v>
      </c>
      <c r="AA372" s="3" t="e">
        <f t="shared" si="80"/>
        <v>#DIV/0!</v>
      </c>
      <c r="AB372" s="344">
        <f>IFERROR(VLOOKUP($G372,基本資料!$A:$M,11,0),"無")</f>
        <v>-24.1</v>
      </c>
      <c r="AC372" s="397">
        <f>IFERROR(VLOOKUP($G372,基本資料!$A:$M,12,0),"無")</f>
        <v>30.38</v>
      </c>
      <c r="AD372" s="16" t="s">
        <v>3810</v>
      </c>
      <c r="AG372" s="33">
        <f t="shared" si="81"/>
        <v>0</v>
      </c>
      <c r="AH372" s="43" t="s">
        <v>3811</v>
      </c>
      <c r="AI372" s="63">
        <f t="shared" si="82"/>
        <v>6.459948320413437E-4</v>
      </c>
      <c r="AJ372" s="284">
        <f>RTD("money.excel",,$G372,"PredictVolume")</f>
        <v>50</v>
      </c>
      <c r="AK372" s="399">
        <f>IFERROR(VLOOKUP($G372,基本資料!$A:$M,13,0),"無")</f>
        <v>5.13</v>
      </c>
    </row>
    <row r="373" spans="1:37">
      <c r="A373" s="347">
        <f>IFERROR(VLOOKUP($G373,基本資料!$A:$J,3,0),"無")</f>
        <v>12.02</v>
      </c>
      <c r="B373" s="79">
        <f>IFERROR(VLOOKUP($G373,基本資料!$A:$J,4,0),"無")</f>
        <v>217</v>
      </c>
      <c r="C373" s="79">
        <f>IFERROR(VLOOKUP($G373,基本資料!$A:$J,5,0),"無")</f>
        <v>-699</v>
      </c>
      <c r="D373" s="79">
        <f>IFERROR(VLOOKUP($G373,基本資料!$A:$J,6,0),"無")</f>
        <v>-15</v>
      </c>
      <c r="E373" s="79">
        <f>IFERROR(VLOOKUP($G373,基本資料!$A:$J,7,0),"無")</f>
        <v>-2</v>
      </c>
      <c r="F373" s="6">
        <f>IFERROR(VLOOKUP($G373,基本資料!$A:$J,8,0),"無")</f>
        <v>-5.35</v>
      </c>
      <c r="G373" s="79">
        <v>4746</v>
      </c>
      <c r="H373" s="8" t="s">
        <v>309</v>
      </c>
      <c r="I373" s="22" t="s">
        <v>3812</v>
      </c>
      <c r="J373" s="8" t="str">
        <f>IFERROR(VLOOKUP($G373,今日總結!$A:$AJ,35,0),"")</f>
        <v/>
      </c>
      <c r="K373" s="5" t="str">
        <f>IFERROR(VLOOKUP($G373,今日總結!$A:$AJ,36,0),"")</f>
        <v/>
      </c>
      <c r="L373" s="156" t="str">
        <f>IFERROR(VLOOKUP($G373,今日總結!$A:$AJ,33,0),"")</f>
        <v/>
      </c>
      <c r="M373" s="340" t="str">
        <f>IFERROR(VLOOKUP($G373,今日總結!$A:$AJ,34,0),"")</f>
        <v/>
      </c>
      <c r="N373" s="240" t="str">
        <f t="shared" si="77"/>
        <v/>
      </c>
      <c r="P373" s="365">
        <f>IFERROR(VLOOKUP($G373,融外自投!$A:$J,7,0),"無")</f>
        <v>128</v>
      </c>
      <c r="Q373" s="79">
        <f>IFERROR(VLOOKUP($G373,融外自投!$A:$J,9,0),"無")</f>
        <v>152</v>
      </c>
      <c r="R373" s="346">
        <f>IFERROR(VLOOKUP($G373,融外自投!$A:$J,8,0),"無")</f>
        <v>911</v>
      </c>
      <c r="S373" s="81" t="str">
        <f>IFERROR(VLOOKUP($G373,融外自投!$A:$J,10,0),"無")</f>
        <v>無</v>
      </c>
      <c r="T373" s="327">
        <f>IFERROR(VLOOKUP($G373,'321買'!$A:$E,5,0),"'沒有資料'")</f>
        <v>710</v>
      </c>
      <c r="U373" s="186">
        <f>IFERROR(VLOOKUP($G373,基本資料!$A:$J,9,0),"無")</f>
        <v>2</v>
      </c>
      <c r="V373" s="310">
        <f t="shared" si="78"/>
        <v>3.6166365280289332E-2</v>
      </c>
      <c r="W373" s="94">
        <f>IFERROR(VLOOKUP($G373,基本資料!$A:$J,10,0),"無")</f>
        <v>10.92</v>
      </c>
      <c r="X373" s="36">
        <f>RTD("money.excel",,"4746","Price")</f>
        <v>55.3</v>
      </c>
      <c r="Y373" s="66"/>
      <c r="Z373" s="15">
        <f t="shared" si="79"/>
        <v>55.3</v>
      </c>
      <c r="AA373" s="3" t="e">
        <f t="shared" si="80"/>
        <v>#DIV/0!</v>
      </c>
      <c r="AB373" s="344">
        <f>IFERROR(VLOOKUP($G373,基本資料!$A:$M,11,0),"無")</f>
        <v>-46.35</v>
      </c>
      <c r="AC373" s="397">
        <f>IFERROR(VLOOKUP($G373,基本資料!$A:$M,12,0),"無")</f>
        <v>38.46</v>
      </c>
      <c r="AD373" s="22" t="s">
        <v>3812</v>
      </c>
      <c r="AG373" s="33">
        <f t="shared" si="81"/>
        <v>0</v>
      </c>
      <c r="AH373" s="43" t="s">
        <v>3813</v>
      </c>
      <c r="AI373" s="63">
        <f t="shared" si="82"/>
        <v>1.5840266222961731E-2</v>
      </c>
      <c r="AJ373" s="284">
        <f>RTD("money.excel",,$G373,"PredictVolume")</f>
        <v>1904</v>
      </c>
      <c r="AK373" s="399">
        <f>IFERROR(VLOOKUP($G373,基本資料!$A:$M,13,0),"無")</f>
        <v>40.93</v>
      </c>
    </row>
    <row r="374" spans="1:37">
      <c r="A374" s="347">
        <f>IFERROR(VLOOKUP($G374,基本資料!$A:$J,3,0),"無")</f>
        <v>3</v>
      </c>
      <c r="B374" s="79">
        <f>IFERROR(VLOOKUP($G374,基本資料!$A:$J,4,0),"無")</f>
        <v>-22</v>
      </c>
      <c r="C374" s="79">
        <f>IFERROR(VLOOKUP($G374,基本資料!$A:$J,5,0),"無")</f>
        <v>-18</v>
      </c>
      <c r="D374" s="79">
        <f>IFERROR(VLOOKUP($G374,基本資料!$A:$J,6,0),"無")</f>
        <v>4</v>
      </c>
      <c r="E374" s="79">
        <f>IFERROR(VLOOKUP($G374,基本資料!$A:$J,7,0),"無")</f>
        <v>6</v>
      </c>
      <c r="F374" s="6">
        <f>IFERROR(VLOOKUP($G374,基本資料!$A:$J,8,0),"無")</f>
        <v>15.14</v>
      </c>
      <c r="G374" s="79">
        <v>4747</v>
      </c>
      <c r="H374" s="8" t="s">
        <v>309</v>
      </c>
      <c r="I374" s="16" t="s">
        <v>3814</v>
      </c>
      <c r="J374" s="8" t="str">
        <f>IFERROR(VLOOKUP($G374,今日總結!$A:$AJ,35,0),"")</f>
        <v/>
      </c>
      <c r="K374" s="5" t="str">
        <f>IFERROR(VLOOKUP($G374,今日總結!$A:$AJ,36,0),"")</f>
        <v/>
      </c>
      <c r="L374" s="156" t="str">
        <f>IFERROR(VLOOKUP($G374,今日總結!$A:$AJ,33,0),"")</f>
        <v/>
      </c>
      <c r="M374" s="340" t="str">
        <f>IFERROR(VLOOKUP($G374,今日總結!$A:$AJ,34,0),"")</f>
        <v/>
      </c>
      <c r="N374" s="240" t="str">
        <f t="shared" si="77"/>
        <v/>
      </c>
      <c r="P374" s="365">
        <f>IFERROR(VLOOKUP($G374,融外自投!$A:$J,7,0),"無")</f>
        <v>1241</v>
      </c>
      <c r="Q374" s="79" t="str">
        <f>IFERROR(VLOOKUP($G374,融外自投!$A:$J,9,0),"無")</f>
        <v>無</v>
      </c>
      <c r="R374" s="346">
        <f>IFERROR(VLOOKUP($G374,融外自投!$A:$J,8,0),"無")</f>
        <v>1108</v>
      </c>
      <c r="S374" s="81" t="str">
        <f>IFERROR(VLOOKUP($G374,融外自投!$A:$J,10,0),"無")</f>
        <v>無</v>
      </c>
      <c r="T374" s="327">
        <f>IFERROR(VLOOKUP($G374,'321買'!$A:$E,5,0),"'沒有資料'")</f>
        <v>1408</v>
      </c>
      <c r="U374" s="186">
        <f>IFERROR(VLOOKUP($G374,基本資料!$A:$J,9,0),"無")</f>
        <v>1.45</v>
      </c>
      <c r="V374" s="310">
        <f t="shared" si="78"/>
        <v>4.2521994134897358E-2</v>
      </c>
      <c r="W374" s="94">
        <f>IFERROR(VLOOKUP($G374,基本資料!$A:$J,10,0),"無")</f>
        <v>1.64</v>
      </c>
      <c r="X374" s="36">
        <f>RTD("money.excel",,"4747","Price")</f>
        <v>34.1</v>
      </c>
      <c r="Y374" s="66"/>
      <c r="Z374" s="15">
        <f t="shared" si="79"/>
        <v>34.1</v>
      </c>
      <c r="AA374" s="3" t="e">
        <f t="shared" si="80"/>
        <v>#DIV/0!</v>
      </c>
      <c r="AB374" s="344">
        <f>IFERROR(VLOOKUP($G374,基本資料!$A:$M,11,0),"無")</f>
        <v>-11.77</v>
      </c>
      <c r="AC374" s="397">
        <f>IFERROR(VLOOKUP($G374,基本資料!$A:$M,12,0),"無")</f>
        <v>16.309999999999999</v>
      </c>
      <c r="AD374" s="16" t="s">
        <v>3814</v>
      </c>
      <c r="AG374" s="33">
        <f t="shared" si="81"/>
        <v>0</v>
      </c>
      <c r="AH374" s="43" t="s">
        <v>3676</v>
      </c>
      <c r="AI374" s="63">
        <f t="shared" si="82"/>
        <v>1.3333333333333334E-4</v>
      </c>
      <c r="AJ374" s="284">
        <f>RTD("money.excel",,$G374,"PredictVolume")</f>
        <v>4</v>
      </c>
      <c r="AK374" s="399">
        <f>IFERROR(VLOOKUP($G374,基本資料!$A:$M,13,0),"無")</f>
        <v>0.9</v>
      </c>
    </row>
    <row r="375" spans="1:37">
      <c r="A375" s="347">
        <f>IFERROR(VLOOKUP($G375,基本資料!$A:$J,3,0),"無")</f>
        <v>5.56</v>
      </c>
      <c r="B375" s="79">
        <f>IFERROR(VLOOKUP($G375,基本資料!$A:$J,4,0),"無")</f>
        <v>-39</v>
      </c>
      <c r="C375" s="79">
        <f>IFERROR(VLOOKUP($G375,基本資料!$A:$J,5,0),"無")</f>
        <v>-26</v>
      </c>
      <c r="D375" s="79">
        <f>IFERROR(VLOOKUP($G375,基本資料!$A:$J,6,0),"無")</f>
        <v>-50</v>
      </c>
      <c r="E375" s="79">
        <f>IFERROR(VLOOKUP($G375,基本資料!$A:$J,7,0),"無")</f>
        <v>-2</v>
      </c>
      <c r="F375" s="6">
        <f>IFERROR(VLOOKUP($G375,基本資料!$A:$J,8,0),"無")</f>
        <v>-79.61</v>
      </c>
      <c r="G375" s="79">
        <v>4911</v>
      </c>
      <c r="H375" s="8" t="s">
        <v>309</v>
      </c>
      <c r="I375" s="16" t="s">
        <v>3815</v>
      </c>
      <c r="J375" s="8" t="str">
        <f>IFERROR(VLOOKUP($G375,今日總結!$A:$AJ,35,0),"")</f>
        <v/>
      </c>
      <c r="K375" s="5" t="str">
        <f>IFERROR(VLOOKUP($G375,今日總結!$A:$AJ,36,0),"")</f>
        <v/>
      </c>
      <c r="L375" s="156" t="str">
        <f>IFERROR(VLOOKUP($G375,今日總結!$A:$AJ,33,0),"")</f>
        <v/>
      </c>
      <c r="M375" s="340" t="str">
        <f>IFERROR(VLOOKUP($G375,今日總結!$A:$AJ,34,0),"")</f>
        <v/>
      </c>
      <c r="N375" s="240" t="str">
        <f t="shared" si="77"/>
        <v/>
      </c>
      <c r="P375" s="365" t="str">
        <f>IFERROR(VLOOKUP($G375,融外自投!$A:$J,7,0),"無")</f>
        <v>無</v>
      </c>
      <c r="Q375" s="79" t="str">
        <f>IFERROR(VLOOKUP($G375,融外自投!$A:$J,9,0),"無")</f>
        <v>無</v>
      </c>
      <c r="R375" s="346" t="str">
        <f>IFERROR(VLOOKUP($G375,融外自投!$A:$J,8,0),"無")</f>
        <v>無</v>
      </c>
      <c r="S375" s="81" t="str">
        <f>IFERROR(VLOOKUP($G375,融外自投!$A:$J,10,0),"無")</f>
        <v>無</v>
      </c>
      <c r="T375" s="327" t="str">
        <f>IFERROR(VLOOKUP($G375,'321買'!$A:$E,5,0),"'沒有資料'")</f>
        <v>'沒有資料'</v>
      </c>
      <c r="U375" s="186">
        <f>IFERROR(VLOOKUP($G375,基本資料!$A:$J,9,0),"無")</f>
        <v>0</v>
      </c>
      <c r="V375" s="310">
        <f t="shared" si="78"/>
        <v>0</v>
      </c>
      <c r="W375" s="94">
        <f>IFERROR(VLOOKUP($G375,基本資料!$A:$J,10,0),"無")</f>
        <v>-0.36</v>
      </c>
      <c r="X375" s="36">
        <f>RTD("money.excel",,"4911","Price")</f>
        <v>23.7</v>
      </c>
      <c r="Y375" s="66"/>
      <c r="Z375" s="15">
        <f t="shared" si="79"/>
        <v>23.7</v>
      </c>
      <c r="AA375" s="3" t="e">
        <f t="shared" si="80"/>
        <v>#DIV/0!</v>
      </c>
      <c r="AB375" s="344">
        <f>IFERROR(VLOOKUP($G375,基本資料!$A:$M,11,0),"無")</f>
        <v>-19.350000000000001</v>
      </c>
      <c r="AC375" s="397">
        <f>IFERROR(VLOOKUP($G375,基本資料!$A:$M,12,0),"無")</f>
        <v>21.78</v>
      </c>
      <c r="AD375" s="16" t="s">
        <v>3815</v>
      </c>
      <c r="AG375" s="33">
        <f t="shared" si="81"/>
        <v>0</v>
      </c>
      <c r="AH375" s="43" t="s">
        <v>3816</v>
      </c>
      <c r="AI375" s="63">
        <f t="shared" si="82"/>
        <v>3.2374100719424466E-4</v>
      </c>
      <c r="AJ375" s="284">
        <f>RTD("money.excel",,$G375,"PredictVolume")</f>
        <v>18</v>
      </c>
      <c r="AK375" s="399">
        <f>IFERROR(VLOOKUP($G375,基本資料!$A:$M,13,0),"無")</f>
        <v>0.64</v>
      </c>
    </row>
    <row r="376" spans="1:37">
      <c r="A376" s="347">
        <f>IFERROR(VLOOKUP($G376,基本資料!$A:$J,3,0),"無")</f>
        <v>6</v>
      </c>
      <c r="B376" s="79">
        <f>IFERROR(VLOOKUP($G376,基本資料!$A:$J,4,0),"無")</f>
        <v>-6</v>
      </c>
      <c r="C376" s="79">
        <f>IFERROR(VLOOKUP($G376,基本資料!$A:$J,5,0),"無")</f>
        <v>-46</v>
      </c>
      <c r="D376" s="79">
        <f>IFERROR(VLOOKUP($G376,基本資料!$A:$J,6,0),"無")</f>
        <v>-7</v>
      </c>
      <c r="E376" s="79">
        <f>IFERROR(VLOOKUP($G376,基本資料!$A:$J,7,0),"無")</f>
        <v>4</v>
      </c>
      <c r="F376" s="6">
        <f>IFERROR(VLOOKUP($G376,基本資料!$A:$J,8,0),"無")</f>
        <v>2.34</v>
      </c>
      <c r="G376" s="79">
        <v>5312</v>
      </c>
      <c r="H376" s="8" t="s">
        <v>309</v>
      </c>
      <c r="I376" s="16" t="s">
        <v>3817</v>
      </c>
      <c r="J376" s="8" t="str">
        <f>IFERROR(VLOOKUP($G376,今日總結!$A:$AJ,35,0),"")</f>
        <v/>
      </c>
      <c r="K376" s="5" t="str">
        <f>IFERROR(VLOOKUP($G376,今日總結!$A:$AJ,36,0),"")</f>
        <v/>
      </c>
      <c r="L376" s="156" t="str">
        <f>IFERROR(VLOOKUP($G376,今日總結!$A:$AJ,33,0),"")</f>
        <v/>
      </c>
      <c r="M376" s="340" t="str">
        <f>IFERROR(VLOOKUP($G376,今日總結!$A:$AJ,34,0),"")</f>
        <v/>
      </c>
      <c r="N376" s="240" t="str">
        <f t="shared" si="77"/>
        <v/>
      </c>
      <c r="P376" s="365">
        <f>IFERROR(VLOOKUP($G376,融外自投!$A:$J,7,0),"無")</f>
        <v>1313</v>
      </c>
      <c r="Q376" s="79" t="str">
        <f>IFERROR(VLOOKUP($G376,融外自投!$A:$J,9,0),"無")</f>
        <v>無</v>
      </c>
      <c r="R376" s="346">
        <f>IFERROR(VLOOKUP($G376,融外自投!$A:$J,8,0),"無")</f>
        <v>445</v>
      </c>
      <c r="S376" s="81" t="str">
        <f>IFERROR(VLOOKUP($G376,融外自投!$A:$J,10,0),"無")</f>
        <v>無</v>
      </c>
      <c r="T376" s="327">
        <f>IFERROR(VLOOKUP($G376,'321買'!$A:$E,5,0),"'沒有資料'")</f>
        <v>1383</v>
      </c>
      <c r="U376" s="186">
        <f>IFERROR(VLOOKUP($G376,基本資料!$A:$J,9,0),"無")</f>
        <v>4.3</v>
      </c>
      <c r="V376" s="310">
        <f t="shared" si="78"/>
        <v>6.9354838709677416E-2</v>
      </c>
      <c r="W376" s="94">
        <f>IFERROR(VLOOKUP($G376,基本資料!$A:$J,10,0),"無")</f>
        <v>4.83</v>
      </c>
      <c r="X376" s="36">
        <f>RTD("money.excel",,"5312","Price")</f>
        <v>62</v>
      </c>
      <c r="Y376" s="66"/>
      <c r="Z376" s="15">
        <f t="shared" si="79"/>
        <v>62</v>
      </c>
      <c r="AA376" s="3" t="e">
        <f t="shared" si="80"/>
        <v>#DIV/0!</v>
      </c>
      <c r="AB376" s="344">
        <f>IFERROR(VLOOKUP($G376,基本資料!$A:$M,11,0),"無")</f>
        <v>-10.16</v>
      </c>
      <c r="AC376" s="397">
        <f>IFERROR(VLOOKUP($G376,基本資料!$A:$M,12,0),"無")</f>
        <v>74.77</v>
      </c>
      <c r="AD376" s="16" t="s">
        <v>3817</v>
      </c>
      <c r="AG376" s="33">
        <f t="shared" si="81"/>
        <v>0</v>
      </c>
      <c r="AH376" s="43" t="s">
        <v>3818</v>
      </c>
      <c r="AI376" s="63">
        <f t="shared" si="82"/>
        <v>4.4999999999999999E-4</v>
      </c>
      <c r="AJ376" s="284">
        <f>RTD("money.excel",,$G376,"PredictVolume")</f>
        <v>27</v>
      </c>
      <c r="AK376" s="399">
        <f>IFERROR(VLOOKUP($G376,基本資料!$A:$M,13,0),"無")</f>
        <v>3.51</v>
      </c>
    </row>
    <row r="377" spans="1:37">
      <c r="A377" s="347">
        <f>IFERROR(VLOOKUP($G377,基本資料!$A:$J,3,0),"無")</f>
        <v>4.43</v>
      </c>
      <c r="B377" s="79">
        <f>IFERROR(VLOOKUP($G377,基本資料!$A:$J,4,0),"無")</f>
        <v>292</v>
      </c>
      <c r="C377" s="79">
        <f>IFERROR(VLOOKUP($G377,基本資料!$A:$J,5,0),"無")</f>
        <v>120</v>
      </c>
      <c r="D377" s="79">
        <f>IFERROR(VLOOKUP($G377,基本資料!$A:$J,6,0),"無")</f>
        <v>7</v>
      </c>
      <c r="E377" s="79">
        <f>IFERROR(VLOOKUP($G377,基本資料!$A:$J,7,0),"無")</f>
        <v>-37</v>
      </c>
      <c r="F377" s="6">
        <f>IFERROR(VLOOKUP($G377,基本資料!$A:$J,8,0),"無")</f>
        <v>1.63</v>
      </c>
      <c r="G377" s="79">
        <v>6130</v>
      </c>
      <c r="H377" s="8" t="s">
        <v>309</v>
      </c>
      <c r="I377" s="16" t="s">
        <v>3819</v>
      </c>
      <c r="J377" s="8" t="str">
        <f>IFERROR(VLOOKUP($G377,今日總結!$A:$AJ,35,0),"")</f>
        <v/>
      </c>
      <c r="K377" s="5" t="str">
        <f>IFERROR(VLOOKUP($G377,今日總結!$A:$AJ,36,0),"")</f>
        <v/>
      </c>
      <c r="L377" s="156" t="str">
        <f>IFERROR(VLOOKUP($G377,今日總結!$A:$AJ,33,0),"")</f>
        <v/>
      </c>
      <c r="M377" s="340" t="str">
        <f>IFERROR(VLOOKUP($G377,今日總結!$A:$AJ,34,0),"")</f>
        <v/>
      </c>
      <c r="N377" s="240" t="str">
        <f t="shared" si="77"/>
        <v/>
      </c>
      <c r="P377" s="365" t="str">
        <f>IFERROR(VLOOKUP($G377,融外自投!$A:$J,7,0),"無")</f>
        <v>無</v>
      </c>
      <c r="Q377" s="79" t="str">
        <f>IFERROR(VLOOKUP($G377,融外自投!$A:$J,9,0),"無")</f>
        <v>無</v>
      </c>
      <c r="R377" s="346" t="str">
        <f>IFERROR(VLOOKUP($G377,融外自投!$A:$J,8,0),"無")</f>
        <v>無</v>
      </c>
      <c r="S377" s="81" t="str">
        <f>IFERROR(VLOOKUP($G377,融外自投!$A:$J,10,0),"無")</f>
        <v>無</v>
      </c>
      <c r="T377" s="327" t="str">
        <f>IFERROR(VLOOKUP($G377,'321買'!$A:$E,5,0),"'沒有資料'")</f>
        <v>'沒有資料'</v>
      </c>
      <c r="U377" s="186">
        <f>IFERROR(VLOOKUP($G377,基本資料!$A:$J,9,0),"無")</f>
        <v>0</v>
      </c>
      <c r="V377" s="310">
        <f t="shared" si="78"/>
        <v>0</v>
      </c>
      <c r="W377" s="94">
        <f>IFERROR(VLOOKUP($G377,基本資料!$A:$J,10,0),"無")</f>
        <v>1.06</v>
      </c>
      <c r="X377" s="36">
        <f>RTD("money.excel",,"6130","Price")</f>
        <v>37.549999999999997</v>
      </c>
      <c r="Y377" s="66"/>
      <c r="Z377" s="15">
        <f t="shared" si="79"/>
        <v>37.549999999999997</v>
      </c>
      <c r="AA377" s="3" t="e">
        <f t="shared" si="80"/>
        <v>#DIV/0!</v>
      </c>
      <c r="AB377" s="344">
        <f>IFERROR(VLOOKUP($G377,基本資料!$A:$M,11,0),"無")</f>
        <v>-32.58</v>
      </c>
      <c r="AC377" s="397">
        <f>IFERROR(VLOOKUP($G377,基本資料!$A:$M,12,0),"無")</f>
        <v>21.98</v>
      </c>
      <c r="AD377" s="16" t="s">
        <v>3819</v>
      </c>
      <c r="AG377" s="33">
        <f t="shared" si="81"/>
        <v>0</v>
      </c>
      <c r="AH377" s="43" t="s">
        <v>3513</v>
      </c>
      <c r="AI377" s="63">
        <f t="shared" si="82"/>
        <v>1.3544018058690745E-3</v>
      </c>
      <c r="AJ377" s="284">
        <f>RTD("money.excel",,$G377,"PredictVolume")</f>
        <v>60</v>
      </c>
      <c r="AK377" s="399">
        <f>IFERROR(VLOOKUP($G377,基本資料!$A:$M,13,0),"無")</f>
        <v>5.0199999999999996</v>
      </c>
    </row>
    <row r="378" spans="1:37">
      <c r="A378" s="347">
        <f>IFERROR(VLOOKUP($G378,基本資料!$A:$J,3,0),"無")</f>
        <v>2.2200000000000002</v>
      </c>
      <c r="B378" s="79">
        <f>IFERROR(VLOOKUP($G378,基本資料!$A:$J,4,0),"無")</f>
        <v>-25</v>
      </c>
      <c r="C378" s="79">
        <f>IFERROR(VLOOKUP($G378,基本資料!$A:$J,5,0),"無")</f>
        <v>-29</v>
      </c>
      <c r="D378" s="79">
        <f>IFERROR(VLOOKUP($G378,基本資料!$A:$J,6,0),"無")</f>
        <v>4</v>
      </c>
      <c r="E378" s="79">
        <f>IFERROR(VLOOKUP($G378,基本資料!$A:$J,7,0),"無")</f>
        <v>-7</v>
      </c>
      <c r="F378" s="6">
        <f>IFERROR(VLOOKUP($G378,基本資料!$A:$J,8,0),"無")</f>
        <v>14.79</v>
      </c>
      <c r="G378" s="79">
        <v>6242</v>
      </c>
      <c r="H378" s="8" t="s">
        <v>309</v>
      </c>
      <c r="I378" s="16" t="s">
        <v>3820</v>
      </c>
      <c r="J378" s="8" t="str">
        <f>IFERROR(VLOOKUP($G378,今日總結!$A:$AJ,35,0),"")</f>
        <v/>
      </c>
      <c r="K378" s="5" t="str">
        <f>IFERROR(VLOOKUP($G378,今日總結!$A:$AJ,36,0),"")</f>
        <v/>
      </c>
      <c r="L378" s="156" t="str">
        <f>IFERROR(VLOOKUP($G378,今日總結!$A:$AJ,33,0),"")</f>
        <v/>
      </c>
      <c r="M378" s="340" t="str">
        <f>IFERROR(VLOOKUP($G378,今日總結!$A:$AJ,34,0),"")</f>
        <v/>
      </c>
      <c r="N378" s="240" t="str">
        <f t="shared" si="77"/>
        <v/>
      </c>
      <c r="P378" s="365" t="str">
        <f>IFERROR(VLOOKUP($G378,融外自投!$A:$J,7,0),"無")</f>
        <v>無</v>
      </c>
      <c r="Q378" s="79" t="str">
        <f>IFERROR(VLOOKUP($G378,融外自投!$A:$J,9,0),"無")</f>
        <v>無</v>
      </c>
      <c r="R378" s="346" t="str">
        <f>IFERROR(VLOOKUP($G378,融外自投!$A:$J,8,0),"無")</f>
        <v>無</v>
      </c>
      <c r="S378" s="81" t="str">
        <f>IFERROR(VLOOKUP($G378,融外自投!$A:$J,10,0),"無")</f>
        <v>無</v>
      </c>
      <c r="T378" s="327" t="str">
        <f>IFERROR(VLOOKUP($G378,'321買'!$A:$E,5,0),"'沒有資料'")</f>
        <v>'沒有資料'</v>
      </c>
      <c r="U378" s="186">
        <f>IFERROR(VLOOKUP($G378,基本資料!$A:$J,9,0),"無")</f>
        <v>2</v>
      </c>
      <c r="V378" s="310">
        <f t="shared" si="78"/>
        <v>3.1595576619273306E-2</v>
      </c>
      <c r="W378" s="94">
        <f>IFERROR(VLOOKUP($G378,基本資料!$A:$J,10,0),"無")</f>
        <v>2.3199999999999998</v>
      </c>
      <c r="X378" s="36">
        <f>RTD("money.excel",,"6242","Price")</f>
        <v>63.3</v>
      </c>
      <c r="Y378" s="66"/>
      <c r="Z378" s="15">
        <f t="shared" si="79"/>
        <v>63.3</v>
      </c>
      <c r="AA378" s="3" t="e">
        <f t="shared" si="80"/>
        <v>#DIV/0!</v>
      </c>
      <c r="AB378" s="344">
        <f>IFERROR(VLOOKUP($G378,基本資料!$A:$M,11,0),"無")</f>
        <v>-22.42</v>
      </c>
      <c r="AC378" s="397">
        <f>IFERROR(VLOOKUP($G378,基本資料!$A:$M,12,0),"無")</f>
        <v>72.930000000000007</v>
      </c>
      <c r="AD378" s="16" t="s">
        <v>3820</v>
      </c>
      <c r="AG378" s="33">
        <f t="shared" si="81"/>
        <v>0</v>
      </c>
      <c r="AH378" s="43" t="s">
        <v>3821</v>
      </c>
      <c r="AI378" s="63">
        <f t="shared" si="82"/>
        <v>2.6531531531531528E-2</v>
      </c>
      <c r="AJ378" s="284">
        <f>RTD("money.excel",,$G378,"PredictVolume")</f>
        <v>589</v>
      </c>
      <c r="AK378" s="399">
        <f>IFERROR(VLOOKUP($G378,基本資料!$A:$M,13,0),"無")</f>
        <v>6.64</v>
      </c>
    </row>
    <row r="379" spans="1:37">
      <c r="A379" s="347">
        <f>IFERROR(VLOOKUP($G379,基本資料!$A:$J,3,0),"無")</f>
        <v>28.49</v>
      </c>
      <c r="B379" s="79">
        <f>IFERROR(VLOOKUP($G379,基本資料!$A:$J,4,0),"無")</f>
        <v>-44</v>
      </c>
      <c r="C379" s="79">
        <f>IFERROR(VLOOKUP($G379,基本資料!$A:$J,5,0),"無")</f>
        <v>-64</v>
      </c>
      <c r="D379" s="79">
        <f>IFERROR(VLOOKUP($G379,基本資料!$A:$J,6,0),"無")</f>
        <v>167</v>
      </c>
      <c r="E379" s="79">
        <f>IFERROR(VLOOKUP($G379,基本資料!$A:$J,7,0),"無")</f>
        <v>1078</v>
      </c>
      <c r="F379" s="6">
        <f>IFERROR(VLOOKUP($G379,基本資料!$A:$J,8,0),"無")</f>
        <v>-429.91</v>
      </c>
      <c r="G379" s="79">
        <v>6446</v>
      </c>
      <c r="H379" s="8" t="s">
        <v>309</v>
      </c>
      <c r="I379" s="16" t="s">
        <v>618</v>
      </c>
      <c r="J379" s="8" t="str">
        <f>IFERROR(VLOOKUP($G379,今日總結!$A:$AJ,35,0),"")</f>
        <v/>
      </c>
      <c r="K379" s="5" t="str">
        <f>IFERROR(VLOOKUP($G379,今日總結!$A:$AJ,36,0),"")</f>
        <v/>
      </c>
      <c r="L379" s="156" t="str">
        <f>IFERROR(VLOOKUP($G379,今日總結!$A:$AJ,33,0),"")</f>
        <v/>
      </c>
      <c r="M379" s="340" t="str">
        <f>IFERROR(VLOOKUP($G379,今日總結!$A:$AJ,34,0),"")</f>
        <v/>
      </c>
      <c r="N379" s="240" t="str">
        <f t="shared" si="77"/>
        <v/>
      </c>
      <c r="P379" s="365" t="str">
        <f>IFERROR(VLOOKUP($G379,融外自投!$A:$J,7,0),"無")</f>
        <v>無</v>
      </c>
      <c r="Q379" s="79" t="str">
        <f>IFERROR(VLOOKUP($G379,融外自投!$A:$J,9,0),"無")</f>
        <v>無</v>
      </c>
      <c r="R379" s="346" t="str">
        <f>IFERROR(VLOOKUP($G379,融外自投!$A:$J,8,0),"無")</f>
        <v>無</v>
      </c>
      <c r="S379" s="81" t="str">
        <f>IFERROR(VLOOKUP($G379,融外自投!$A:$J,10,0),"無")</f>
        <v>無</v>
      </c>
      <c r="T379" s="327" t="str">
        <f>IFERROR(VLOOKUP($G379,'321買'!$A:$E,5,0),"'沒有資料'")</f>
        <v>'沒有資料'</v>
      </c>
      <c r="U379" s="186">
        <f>IFERROR(VLOOKUP($G379,基本資料!$A:$J,9,0),"無")</f>
        <v>0</v>
      </c>
      <c r="V379" s="310">
        <f t="shared" si="78"/>
        <v>0</v>
      </c>
      <c r="W379" s="94">
        <f>IFERROR(VLOOKUP($G379,基本資料!$A:$J,10,0),"無")</f>
        <v>-10.8</v>
      </c>
      <c r="X379" s="36">
        <f>RTD("money.excel",,"6446","Price")</f>
        <v>390</v>
      </c>
      <c r="Y379" s="66"/>
      <c r="Z379" s="15">
        <f t="shared" si="79"/>
        <v>390</v>
      </c>
      <c r="AA379" s="3" t="e">
        <f t="shared" si="80"/>
        <v>#DIV/0!</v>
      </c>
      <c r="AB379" s="344">
        <f>IFERROR(VLOOKUP($G379,基本資料!$A:$M,11,0),"無")</f>
        <v>-13.98</v>
      </c>
      <c r="AC379" s="397">
        <f>IFERROR(VLOOKUP($G379,基本資料!$A:$M,12,0),"無")</f>
        <v>82.31</v>
      </c>
      <c r="AD379" s="16" t="s">
        <v>618</v>
      </c>
      <c r="AG379" s="33">
        <f t="shared" si="81"/>
        <v>0</v>
      </c>
      <c r="AH379" s="43" t="s">
        <v>3822</v>
      </c>
      <c r="AI379" s="63">
        <f t="shared" si="82"/>
        <v>1.2109512109512109E-2</v>
      </c>
      <c r="AJ379" s="284">
        <f>RTD("money.excel",,$G379,"PredictVolume")</f>
        <v>3450</v>
      </c>
      <c r="AK379" s="399">
        <f>IFERROR(VLOOKUP($G379,基本資料!$A:$M,13,0),"無")</f>
        <v>2.87</v>
      </c>
    </row>
    <row r="380" spans="1:37">
      <c r="A380" s="347">
        <f>IFERROR(VLOOKUP($G380,基本資料!$A:$J,3,0),"無")</f>
        <v>11.62</v>
      </c>
      <c r="B380" s="79">
        <f>IFERROR(VLOOKUP($G380,基本資料!$A:$J,4,0),"無")</f>
        <v>-20</v>
      </c>
      <c r="C380" s="79">
        <f>IFERROR(VLOOKUP($G380,基本資料!$A:$J,5,0),"無")</f>
        <v>-22</v>
      </c>
      <c r="D380" s="79">
        <f>IFERROR(VLOOKUP($G380,基本資料!$A:$J,6,0),"無")</f>
        <v>-20</v>
      </c>
      <c r="E380" s="79">
        <f>IFERROR(VLOOKUP($G380,基本資料!$A:$J,7,0),"無")</f>
        <v>-41</v>
      </c>
      <c r="F380" s="6">
        <f>IFERROR(VLOOKUP($G380,基本資料!$A:$J,8,0),"無")</f>
        <v>-755.76</v>
      </c>
      <c r="G380" s="79">
        <v>6461</v>
      </c>
      <c r="H380" s="8" t="s">
        <v>309</v>
      </c>
      <c r="I380" s="16" t="s">
        <v>3823</v>
      </c>
      <c r="J380" s="8">
        <f>IFERROR(VLOOKUP($G380,今日總結!$A:$AJ,35,0),"")</f>
        <v>0</v>
      </c>
      <c r="K380" s="5" t="str">
        <f>IFERROR(VLOOKUP($G380,今日總結!$A:$AJ,36,0),"")</f>
        <v>9借</v>
      </c>
      <c r="L380" s="156">
        <f>IFERROR(VLOOKUP($G380,今日總結!$A:$AJ,33,0),"")</f>
        <v>0</v>
      </c>
      <c r="M380" s="340">
        <f>IFERROR(VLOOKUP($G380,今日總結!$A:$AJ,34,0),"")</f>
        <v>2</v>
      </c>
      <c r="N380" s="240">
        <f t="shared" si="77"/>
        <v>-2</v>
      </c>
      <c r="P380" s="365">
        <f>IFERROR(VLOOKUP($G380,融外自投!$A:$J,7,0),"無")</f>
        <v>578</v>
      </c>
      <c r="Q380" s="79" t="str">
        <f>IFERROR(VLOOKUP($G380,融外自投!$A:$J,9,0),"無")</f>
        <v>無</v>
      </c>
      <c r="R380" s="346">
        <f>IFERROR(VLOOKUP($G380,融外自投!$A:$J,8,0),"無")</f>
        <v>1256</v>
      </c>
      <c r="S380" s="81" t="str">
        <f>IFERROR(VLOOKUP($G380,融外自投!$A:$J,10,0),"無")</f>
        <v>無</v>
      </c>
      <c r="T380" s="327">
        <f>IFERROR(VLOOKUP($G380,'321買'!$A:$E,5,0),"'沒有資料'")</f>
        <v>964</v>
      </c>
      <c r="U380" s="186">
        <f>IFERROR(VLOOKUP($G380,基本資料!$A:$J,9,0),"無")</f>
        <v>0</v>
      </c>
      <c r="V380" s="310">
        <f t="shared" si="78"/>
        <v>0</v>
      </c>
      <c r="W380" s="94">
        <f>IFERROR(VLOOKUP($G380,基本資料!$A:$J,10,0),"無")</f>
        <v>-2.97</v>
      </c>
      <c r="X380" s="36">
        <f>RTD("money.excel",,"6461","Price")</f>
        <v>21.45</v>
      </c>
      <c r="Y380" s="66"/>
      <c r="Z380" s="15">
        <f t="shared" si="79"/>
        <v>21.45</v>
      </c>
      <c r="AA380" s="3" t="e">
        <f t="shared" si="80"/>
        <v>#DIV/0!</v>
      </c>
      <c r="AB380" s="344">
        <f>IFERROR(VLOOKUP($G380,基本資料!$A:$M,11,0),"無")</f>
        <v>-17.5</v>
      </c>
      <c r="AC380" s="397">
        <f>IFERROR(VLOOKUP($G380,基本資料!$A:$M,12,0),"無")</f>
        <v>57.47</v>
      </c>
      <c r="AD380" s="16" t="s">
        <v>3823</v>
      </c>
      <c r="AG380" s="33">
        <f t="shared" si="81"/>
        <v>0</v>
      </c>
      <c r="AH380" s="43" t="s">
        <v>2452</v>
      </c>
      <c r="AI380" s="63">
        <f t="shared" si="82"/>
        <v>5.7753872633390713E-2</v>
      </c>
      <c r="AJ380" s="284">
        <f>RTD("money.excel",,$G380,"PredictVolume")</f>
        <v>6711</v>
      </c>
      <c r="AK380" s="399">
        <f>IFERROR(VLOOKUP($G380,基本資料!$A:$M,13,0),"無")</f>
        <v>15.81</v>
      </c>
    </row>
    <row r="381" spans="1:37">
      <c r="A381" s="347">
        <f>IFERROR(VLOOKUP($G381,基本資料!$A:$J,3,0),"無")</f>
        <v>7.87</v>
      </c>
      <c r="B381" s="79">
        <f>IFERROR(VLOOKUP($G381,基本資料!$A:$J,4,0),"無")</f>
        <v>111</v>
      </c>
      <c r="C381" s="79">
        <f>IFERROR(VLOOKUP($G381,基本資料!$A:$J,5,0),"無")</f>
        <v>118</v>
      </c>
      <c r="D381" s="79">
        <f>IFERROR(VLOOKUP($G381,基本資料!$A:$J,6,0),"無")</f>
        <v>9</v>
      </c>
      <c r="E381" s="79">
        <f>IFERROR(VLOOKUP($G381,基本資料!$A:$J,7,0),"無")</f>
        <v>31</v>
      </c>
      <c r="F381" s="6">
        <f>IFERROR(VLOOKUP($G381,基本資料!$A:$J,8,0),"無")</f>
        <v>4.3600000000000003</v>
      </c>
      <c r="G381" s="79">
        <v>6469</v>
      </c>
      <c r="H381" s="8" t="s">
        <v>309</v>
      </c>
      <c r="I381" s="16" t="s">
        <v>3824</v>
      </c>
      <c r="J381" s="8">
        <f>IFERROR(VLOOKUP($G381,今日總結!$A:$AJ,35,0),"")</f>
        <v>0</v>
      </c>
      <c r="K381" s="5" t="str">
        <f>IFERROR(VLOOKUP($G381,今日總結!$A:$AJ,36,0),"")</f>
        <v>借</v>
      </c>
      <c r="L381" s="156">
        <f>IFERROR(VLOOKUP($G381,今日總結!$A:$AJ,33,0),"")</f>
        <v>0</v>
      </c>
      <c r="M381" s="340">
        <f>IFERROR(VLOOKUP($G381,今日總結!$A:$AJ,34,0),"")</f>
        <v>1</v>
      </c>
      <c r="N381" s="240">
        <f t="shared" si="77"/>
        <v>-1</v>
      </c>
      <c r="P381" s="365">
        <f>IFERROR(VLOOKUP($G381,融外自投!$A:$J,7,0),"無")</f>
        <v>647</v>
      </c>
      <c r="Q381" s="79">
        <f>IFERROR(VLOOKUP($G381,融外自投!$A:$J,9,0),"無")</f>
        <v>708</v>
      </c>
      <c r="R381" s="346">
        <f>IFERROR(VLOOKUP($G381,融外自投!$A:$J,8,0),"無")</f>
        <v>761</v>
      </c>
      <c r="S381" s="81">
        <f>IFERROR(VLOOKUP($G381,融外自投!$A:$J,10,0),"無")</f>
        <v>172</v>
      </c>
      <c r="T381" s="327">
        <f>IFERROR(VLOOKUP($G381,'321買'!$A:$E,5,0),"'沒有資料'")</f>
        <v>357</v>
      </c>
      <c r="U381" s="186">
        <f>IFERROR(VLOOKUP($G381,基本資料!$A:$J,9,0),"無")</f>
        <v>5.14</v>
      </c>
      <c r="V381" s="310">
        <f t="shared" si="78"/>
        <v>1.9845559845559843E-2</v>
      </c>
      <c r="W381" s="94">
        <f>IFERROR(VLOOKUP($G381,基本資料!$A:$J,10,0),"無")</f>
        <v>5.83</v>
      </c>
      <c r="X381" s="36">
        <f>RTD("money.excel",,"6469","Price")</f>
        <v>259</v>
      </c>
      <c r="Y381" s="66"/>
      <c r="Z381" s="15">
        <f t="shared" si="79"/>
        <v>259</v>
      </c>
      <c r="AA381" s="3" t="e">
        <f t="shared" si="80"/>
        <v>#DIV/0!</v>
      </c>
      <c r="AB381" s="344">
        <f>IFERROR(VLOOKUP($G381,基本資料!$A:$M,11,0),"無")</f>
        <v>-30.45</v>
      </c>
      <c r="AC381" s="397">
        <f>IFERROR(VLOOKUP($G381,基本資料!$A:$M,12,0),"無")</f>
        <v>26.22</v>
      </c>
      <c r="AD381" s="16" t="s">
        <v>3824</v>
      </c>
      <c r="AG381" s="33">
        <f t="shared" si="81"/>
        <v>0</v>
      </c>
      <c r="AH381" s="43" t="s">
        <v>3825</v>
      </c>
      <c r="AI381" s="63">
        <f t="shared" si="82"/>
        <v>1.7052096569250316E-2</v>
      </c>
      <c r="AJ381" s="284">
        <f>RTD("money.excel",,$G381,"PredictVolume")</f>
        <v>1342</v>
      </c>
      <c r="AK381" s="399">
        <f>IFERROR(VLOOKUP($G381,基本資料!$A:$M,13,0),"無")</f>
        <v>9.73</v>
      </c>
    </row>
    <row r="382" spans="1:37">
      <c r="A382" s="347">
        <f>IFERROR(VLOOKUP($G382,基本資料!$A:$J,3,0),"無")</f>
        <v>6.85</v>
      </c>
      <c r="B382" s="79">
        <f>IFERROR(VLOOKUP($G382,基本資料!$A:$J,4,0),"無")</f>
        <v>29</v>
      </c>
      <c r="C382" s="79">
        <f>IFERROR(VLOOKUP($G382,基本資料!$A:$J,5,0),"無")</f>
        <v>362</v>
      </c>
      <c r="D382" s="79">
        <f>IFERROR(VLOOKUP($G382,基本資料!$A:$J,6,0),"無")</f>
        <v>9</v>
      </c>
      <c r="E382" s="79">
        <f>IFERROR(VLOOKUP($G382,基本資料!$A:$J,7,0),"無")</f>
        <v>8</v>
      </c>
      <c r="F382" s="6">
        <f>IFERROR(VLOOKUP($G382,基本資料!$A:$J,8,0),"無")</f>
        <v>21.35</v>
      </c>
      <c r="G382" s="79">
        <v>6472</v>
      </c>
      <c r="H382" s="8" t="s">
        <v>309</v>
      </c>
      <c r="I382" s="16" t="s">
        <v>3826</v>
      </c>
      <c r="J382" s="8" t="str">
        <f>IFERROR(VLOOKUP($G382,今日總結!$A:$AJ,35,0),"")</f>
        <v/>
      </c>
      <c r="K382" s="5" t="str">
        <f>IFERROR(VLOOKUP($G382,今日總結!$A:$AJ,36,0),"")</f>
        <v/>
      </c>
      <c r="L382" s="156" t="str">
        <f>IFERROR(VLOOKUP($G382,今日總結!$A:$AJ,33,0),"")</f>
        <v/>
      </c>
      <c r="M382" s="340" t="str">
        <f>IFERROR(VLOOKUP($G382,今日總結!$A:$AJ,34,0),"")</f>
        <v/>
      </c>
      <c r="N382" s="240" t="str">
        <f t="shared" si="77"/>
        <v/>
      </c>
      <c r="P382" s="365">
        <f>IFERROR(VLOOKUP($G382,融外自投!$A:$J,7,0),"無")</f>
        <v>809</v>
      </c>
      <c r="Q382" s="79">
        <f>IFERROR(VLOOKUP($G382,融外自投!$A:$J,9,0),"無")</f>
        <v>395</v>
      </c>
      <c r="R382" s="346">
        <f>IFERROR(VLOOKUP($G382,融外自投!$A:$J,8,0),"無")</f>
        <v>689</v>
      </c>
      <c r="S382" s="81">
        <f>IFERROR(VLOOKUP($G382,融外自投!$A:$J,10,0),"無")</f>
        <v>200</v>
      </c>
      <c r="T382" s="327">
        <f>IFERROR(VLOOKUP($G382,'321買'!$A:$E,5,0),"'沒有資料'")</f>
        <v>1066</v>
      </c>
      <c r="U382" s="186">
        <f>IFERROR(VLOOKUP($G382,基本資料!$A:$J,9,0),"無")</f>
        <v>4.5</v>
      </c>
      <c r="V382" s="310">
        <f t="shared" si="78"/>
        <v>2.8037383177570093E-2</v>
      </c>
      <c r="W382" s="94">
        <f>IFERROR(VLOOKUP($G382,基本資料!$A:$J,10,0),"無")</f>
        <v>11.04</v>
      </c>
      <c r="X382" s="36">
        <f>RTD("money.excel",,"6472","Price")</f>
        <v>160.5</v>
      </c>
      <c r="Y382" s="66"/>
      <c r="Z382" s="15">
        <f t="shared" si="79"/>
        <v>160.5</v>
      </c>
      <c r="AA382" s="3" t="e">
        <f t="shared" si="80"/>
        <v>#DIV/0!</v>
      </c>
      <c r="AB382" s="344">
        <f>IFERROR(VLOOKUP($G382,基本資料!$A:$M,11,0),"無")</f>
        <v>-52.89</v>
      </c>
      <c r="AC382" s="397">
        <f>IFERROR(VLOOKUP($G382,基本資料!$A:$M,12,0),"無")</f>
        <v>15.98</v>
      </c>
      <c r="AD382" s="16" t="s">
        <v>3826</v>
      </c>
      <c r="AG382" s="33">
        <f t="shared" si="81"/>
        <v>0</v>
      </c>
      <c r="AH382" s="43" t="s">
        <v>3672</v>
      </c>
      <c r="AI382" s="63">
        <f t="shared" si="82"/>
        <v>9.3430656934306577E-3</v>
      </c>
      <c r="AJ382" s="284">
        <f>RTD("money.excel",,$G382,"PredictVolume")</f>
        <v>640</v>
      </c>
      <c r="AK382" s="399">
        <f>IFERROR(VLOOKUP($G382,基本資料!$A:$M,13,0),"無")</f>
        <v>5.51</v>
      </c>
    </row>
    <row r="383" spans="1:37">
      <c r="A383" s="347">
        <f>IFERROR(VLOOKUP($G383,基本資料!$A:$J,3,0),"無")</f>
        <v>7</v>
      </c>
      <c r="B383" s="79">
        <f>IFERROR(VLOOKUP($G383,基本資料!$A:$J,4,0),"無")</f>
        <v>74</v>
      </c>
      <c r="C383" s="79">
        <f>IFERROR(VLOOKUP($G383,基本資料!$A:$J,5,0),"無")</f>
        <v>70</v>
      </c>
      <c r="D383" s="79">
        <f>IFERROR(VLOOKUP($G383,基本資料!$A:$J,6,0),"無")</f>
        <v>-6</v>
      </c>
      <c r="E383" s="79">
        <f>IFERROR(VLOOKUP($G383,基本資料!$A:$J,7,0),"無")</f>
        <v>0</v>
      </c>
      <c r="F383" s="6">
        <f>IFERROR(VLOOKUP($G383,基本資料!$A:$J,8,0),"無")</f>
        <v>26.09</v>
      </c>
      <c r="G383" s="79">
        <v>6491</v>
      </c>
      <c r="H383" s="192" t="s">
        <v>309</v>
      </c>
      <c r="I383" s="22" t="s">
        <v>3827</v>
      </c>
      <c r="J383" s="8" t="str">
        <f>IFERROR(VLOOKUP($G383,今日總結!$A:$AJ,35,0),"")</f>
        <v/>
      </c>
      <c r="K383" s="5" t="str">
        <f>IFERROR(VLOOKUP($G383,今日總結!$A:$AJ,36,0),"")</f>
        <v/>
      </c>
      <c r="L383" s="156" t="str">
        <f>IFERROR(VLOOKUP($G383,今日總結!$A:$AJ,33,0),"")</f>
        <v/>
      </c>
      <c r="M383" s="340" t="str">
        <f>IFERROR(VLOOKUP($G383,今日總結!$A:$AJ,34,0),"")</f>
        <v/>
      </c>
      <c r="N383" s="240" t="str">
        <f t="shared" si="77"/>
        <v/>
      </c>
      <c r="P383" s="365">
        <f>IFERROR(VLOOKUP($G383,融外自投!$A:$J,7,0),"無")</f>
        <v>995</v>
      </c>
      <c r="Q383" s="79">
        <f>IFERROR(VLOOKUP($G383,融外自投!$A:$J,9,0),"無")</f>
        <v>1110</v>
      </c>
      <c r="R383" s="346">
        <f>IFERROR(VLOOKUP($G383,融外自投!$A:$J,8,0),"無")</f>
        <v>373</v>
      </c>
      <c r="S383" s="81">
        <f>IFERROR(VLOOKUP($G383,融外自投!$A:$J,10,0),"無")</f>
        <v>73</v>
      </c>
      <c r="T383" s="327">
        <f>IFERROR(VLOOKUP($G383,'321買'!$A:$E,5,0),"'沒有資料'")</f>
        <v>480</v>
      </c>
      <c r="U383" s="186">
        <f>IFERROR(VLOOKUP($G383,基本資料!$A:$J,9,0),"無")</f>
        <v>8.5</v>
      </c>
      <c r="V383" s="310">
        <f t="shared" si="78"/>
        <v>2.1963824289405683E-2</v>
      </c>
      <c r="W383" s="94">
        <f>IFERROR(VLOOKUP($G383,基本資料!$A:$J,10,0),"無")</f>
        <v>17.84</v>
      </c>
      <c r="X383" s="36">
        <f>RTD("money.excel",,"6491","Price")</f>
        <v>387</v>
      </c>
      <c r="Y383" s="66"/>
      <c r="Z383" s="15">
        <f t="shared" si="79"/>
        <v>387</v>
      </c>
      <c r="AA383" s="3" t="e">
        <f t="shared" si="80"/>
        <v>#DIV/0!</v>
      </c>
      <c r="AB383" s="344">
        <f>IFERROR(VLOOKUP($G383,基本資料!$A:$M,11,0),"無")</f>
        <v>-42.77</v>
      </c>
      <c r="AC383" s="397">
        <f>IFERROR(VLOOKUP($G383,基本資料!$A:$M,12,0),"無")</f>
        <v>19.45</v>
      </c>
      <c r="AD383" s="22" t="s">
        <v>3827</v>
      </c>
      <c r="AG383" s="33">
        <f t="shared" si="81"/>
        <v>0</v>
      </c>
      <c r="AH383" s="117" t="s">
        <v>3828</v>
      </c>
      <c r="AI383" s="63">
        <f t="shared" si="82"/>
        <v>2.5142857142857141E-3</v>
      </c>
      <c r="AJ383" s="284">
        <f>RTD("money.excel",,$G383,"PredictVolume")</f>
        <v>176</v>
      </c>
      <c r="AK383" s="399">
        <f>IFERROR(VLOOKUP($G383,基本資料!$A:$M,13,0),"無")</f>
        <v>4.5</v>
      </c>
    </row>
    <row r="384" spans="1:37">
      <c r="A384" s="347">
        <f>IFERROR(VLOOKUP($G384,基本資料!$A:$J,3,0),"無")</f>
        <v>8.9700000000000006</v>
      </c>
      <c r="B384" s="79">
        <f>IFERROR(VLOOKUP($G384,基本資料!$A:$J,4,0),"無")</f>
        <v>7</v>
      </c>
      <c r="C384" s="79">
        <f>IFERROR(VLOOKUP($G384,基本資料!$A:$J,5,0),"無")</f>
        <v>3</v>
      </c>
      <c r="D384" s="79">
        <f>IFERROR(VLOOKUP($G384,基本資料!$A:$J,6,0),"無")</f>
        <v>0</v>
      </c>
      <c r="E384" s="79">
        <f>IFERROR(VLOOKUP($G384,基本資料!$A:$J,7,0),"無")</f>
        <v>66</v>
      </c>
      <c r="F384" s="6">
        <f>IFERROR(VLOOKUP($G384,基本資料!$A:$J,8,0),"無")</f>
        <v>-62966.55</v>
      </c>
      <c r="G384" s="79">
        <v>6492</v>
      </c>
      <c r="H384" s="8" t="s">
        <v>309</v>
      </c>
      <c r="I384" s="16" t="s">
        <v>3829</v>
      </c>
      <c r="J384" s="8" t="str">
        <f>IFERROR(VLOOKUP($G384,今日總結!$A:$AJ,35,0),"")</f>
        <v/>
      </c>
      <c r="K384" s="5" t="str">
        <f>IFERROR(VLOOKUP($G384,今日總結!$A:$AJ,36,0),"")</f>
        <v/>
      </c>
      <c r="L384" s="156" t="str">
        <f>IFERROR(VLOOKUP($G384,今日總結!$A:$AJ,33,0),"")</f>
        <v/>
      </c>
      <c r="M384" s="340" t="str">
        <f>IFERROR(VLOOKUP($G384,今日總結!$A:$AJ,34,0),"")</f>
        <v/>
      </c>
      <c r="N384" s="240" t="str">
        <f t="shared" si="77"/>
        <v/>
      </c>
      <c r="P384" s="365" t="str">
        <f>IFERROR(VLOOKUP($G384,融外自投!$A:$J,7,0),"無")</f>
        <v>無</v>
      </c>
      <c r="Q384" s="79" t="str">
        <f>IFERROR(VLOOKUP($G384,融外自投!$A:$J,9,0),"無")</f>
        <v>無</v>
      </c>
      <c r="R384" s="346" t="str">
        <f>IFERROR(VLOOKUP($G384,融外自投!$A:$J,8,0),"無")</f>
        <v>無</v>
      </c>
      <c r="S384" s="81" t="str">
        <f>IFERROR(VLOOKUP($G384,融外自投!$A:$J,10,0),"無")</f>
        <v>無</v>
      </c>
      <c r="T384" s="327" t="str">
        <f>IFERROR(VLOOKUP($G384,'321買'!$A:$E,5,0),"'沒有資料'")</f>
        <v>'沒有資料'</v>
      </c>
      <c r="U384" s="186">
        <f>IFERROR(VLOOKUP($G384,基本資料!$A:$J,9,0),"無")</f>
        <v>0</v>
      </c>
      <c r="V384" s="310">
        <f t="shared" si="78"/>
        <v>0</v>
      </c>
      <c r="W384" s="94">
        <f>IFERROR(VLOOKUP($G384,基本資料!$A:$J,10,0),"無")</f>
        <v>-3.67</v>
      </c>
      <c r="X384" s="36">
        <f>RTD("money.excel",,"6492","Price")</f>
        <v>82.3</v>
      </c>
      <c r="Y384" s="66"/>
      <c r="Z384" s="15">
        <f t="shared" si="79"/>
        <v>82.3</v>
      </c>
      <c r="AA384" s="154" t="e">
        <f t="shared" si="80"/>
        <v>#DIV/0!</v>
      </c>
      <c r="AB384" s="344">
        <f>IFERROR(VLOOKUP($G384,基本資料!$A:$M,11,0),"無")</f>
        <v>-57.67</v>
      </c>
      <c r="AC384" s="397">
        <f>IFERROR(VLOOKUP($G384,基本資料!$A:$M,12,0),"無")</f>
        <v>37.04</v>
      </c>
      <c r="AD384" s="16" t="s">
        <v>3829</v>
      </c>
      <c r="AG384" s="33">
        <f t="shared" si="81"/>
        <v>0</v>
      </c>
      <c r="AH384" s="43" t="s">
        <v>3830</v>
      </c>
      <c r="AI384" s="63">
        <f t="shared" si="82"/>
        <v>4.0802675585284278E-3</v>
      </c>
      <c r="AJ384" s="284">
        <f>RTD("money.excel",,$G384,"PredictVolume")</f>
        <v>366</v>
      </c>
      <c r="AK384" s="399">
        <f>IFERROR(VLOOKUP($G384,基本資料!$A:$M,13,0),"無")</f>
        <v>7.02</v>
      </c>
    </row>
    <row r="385" spans="1:37">
      <c r="A385" s="347">
        <f>IFERROR(VLOOKUP($G385,基本資料!$A:$J,3,0),"無")</f>
        <v>4.66</v>
      </c>
      <c r="B385" s="79">
        <f>IFERROR(VLOOKUP($G385,基本資料!$A:$J,4,0),"無")</f>
        <v>-144</v>
      </c>
      <c r="C385" s="79">
        <f>IFERROR(VLOOKUP($G385,基本資料!$A:$J,5,0),"無")</f>
        <v>-121</v>
      </c>
      <c r="D385" s="79">
        <f>IFERROR(VLOOKUP($G385,基本資料!$A:$J,6,0),"無")</f>
        <v>-21</v>
      </c>
      <c r="E385" s="79">
        <f>IFERROR(VLOOKUP($G385,基本資料!$A:$J,7,0),"無")</f>
        <v>-53</v>
      </c>
      <c r="F385" s="6">
        <f>IFERROR(VLOOKUP($G385,基本資料!$A:$J,8,0),"無")</f>
        <v>-0.66</v>
      </c>
      <c r="G385" s="79">
        <v>6496</v>
      </c>
      <c r="H385" s="8" t="s">
        <v>309</v>
      </c>
      <c r="I385" s="16" t="s">
        <v>3831</v>
      </c>
      <c r="J385" s="8" t="str">
        <f>IFERROR(VLOOKUP($G385,今日總結!$A:$AJ,35,0),"")</f>
        <v/>
      </c>
      <c r="K385" s="5" t="str">
        <f>IFERROR(VLOOKUP($G385,今日總結!$A:$AJ,36,0),"")</f>
        <v/>
      </c>
      <c r="L385" s="156" t="str">
        <f>IFERROR(VLOOKUP($G385,今日總結!$A:$AJ,33,0),"")</f>
        <v/>
      </c>
      <c r="M385" s="340" t="str">
        <f>IFERROR(VLOOKUP($G385,今日總結!$A:$AJ,34,0),"")</f>
        <v/>
      </c>
      <c r="N385" s="240" t="str">
        <f t="shared" si="77"/>
        <v/>
      </c>
      <c r="P385" s="365">
        <f>IFERROR(VLOOKUP($G385,融外自投!$A:$J,7,0),"無")</f>
        <v>1210</v>
      </c>
      <c r="Q385" s="79" t="str">
        <f>IFERROR(VLOOKUP($G385,融外自投!$A:$J,9,0),"無")</f>
        <v>無</v>
      </c>
      <c r="R385" s="346">
        <f>IFERROR(VLOOKUP($G385,融外自投!$A:$J,8,0),"無")</f>
        <v>1290</v>
      </c>
      <c r="S385" s="81" t="str">
        <f>IFERROR(VLOOKUP($G385,融外自投!$A:$J,10,0),"無")</f>
        <v>無</v>
      </c>
      <c r="T385" s="327">
        <f>IFERROR(VLOOKUP($G385,'321買'!$A:$E,5,0),"'沒有資料'")</f>
        <v>1338</v>
      </c>
      <c r="U385" s="186">
        <f>IFERROR(VLOOKUP($G385,基本資料!$A:$J,9,0),"無")</f>
        <v>0</v>
      </c>
      <c r="V385" s="310">
        <f t="shared" si="78"/>
        <v>0</v>
      </c>
      <c r="W385" s="94">
        <f>IFERROR(VLOOKUP($G385,基本資料!$A:$J,10,0),"無")</f>
        <v>-0.34</v>
      </c>
      <c r="X385" s="36">
        <f>RTD("money.excel",,"6496","Price")</f>
        <v>27.2</v>
      </c>
      <c r="Y385" s="66"/>
      <c r="Z385" s="15">
        <f t="shared" si="79"/>
        <v>27.2</v>
      </c>
      <c r="AA385" s="3" t="e">
        <f t="shared" si="80"/>
        <v>#DIV/0!</v>
      </c>
      <c r="AB385" s="344">
        <f>IFERROR(VLOOKUP($G385,基本資料!$A:$M,11,0),"無")</f>
        <v>-10.8</v>
      </c>
      <c r="AC385" s="397">
        <f>IFERROR(VLOOKUP($G385,基本資料!$A:$M,12,0),"無")</f>
        <v>14.38</v>
      </c>
      <c r="AD385" s="16" t="s">
        <v>3831</v>
      </c>
      <c r="AG385" s="33">
        <f t="shared" si="81"/>
        <v>0</v>
      </c>
      <c r="AH385" s="43" t="s">
        <v>3832</v>
      </c>
      <c r="AI385" s="63">
        <f t="shared" ref="AI385:AI414" si="83">AJ385/(A385*10000)</f>
        <v>2.7896995708154504E-4</v>
      </c>
      <c r="AJ385" s="284">
        <f>RTD("money.excel",,$G385,"PredictVolume")</f>
        <v>13</v>
      </c>
      <c r="AK385" s="399">
        <f>IFERROR(VLOOKUP($G385,基本資料!$A:$M,13,0),"無")</f>
        <v>0.45</v>
      </c>
    </row>
    <row r="386" spans="1:37">
      <c r="A386" s="347">
        <f>IFERROR(VLOOKUP($G386,基本資料!$A:$J,3,0),"無")</f>
        <v>7.32</v>
      </c>
      <c r="B386" s="79">
        <f>IFERROR(VLOOKUP($G386,基本資料!$A:$J,4,0),"無")</f>
        <v>1297</v>
      </c>
      <c r="C386" s="79">
        <f>IFERROR(VLOOKUP($G386,基本資料!$A:$J,5,0),"無")</f>
        <v>-412</v>
      </c>
      <c r="D386" s="79">
        <f>IFERROR(VLOOKUP($G386,基本資料!$A:$J,6,0),"無")</f>
        <v>88</v>
      </c>
      <c r="E386" s="79">
        <f>IFERROR(VLOOKUP($G386,基本資料!$A:$J,7,0),"無")</f>
        <v>7</v>
      </c>
      <c r="F386" s="6">
        <f>IFERROR(VLOOKUP($G386,基本資料!$A:$J,8,0),"無")</f>
        <v>-718.69</v>
      </c>
      <c r="G386" s="79">
        <v>6499</v>
      </c>
      <c r="H386" s="8" t="s">
        <v>309</v>
      </c>
      <c r="I386" s="16" t="s">
        <v>3833</v>
      </c>
      <c r="J386" s="8" t="str">
        <f>IFERROR(VLOOKUP($G386,今日總結!$A:$AJ,35,0),"")</f>
        <v/>
      </c>
      <c r="K386" s="5" t="str">
        <f>IFERROR(VLOOKUP($G386,今日總結!$A:$AJ,36,0),"")</f>
        <v/>
      </c>
      <c r="L386" s="156" t="str">
        <f>IFERROR(VLOOKUP($G386,今日總結!$A:$AJ,33,0),"")</f>
        <v/>
      </c>
      <c r="M386" s="340" t="str">
        <f>IFERROR(VLOOKUP($G386,今日總結!$A:$AJ,34,0),"")</f>
        <v/>
      </c>
      <c r="N386" s="240" t="str">
        <f t="shared" si="77"/>
        <v/>
      </c>
      <c r="P386" s="365">
        <f>IFERROR(VLOOKUP($G386,融外自投!$A:$J,7,0),"無")</f>
        <v>801</v>
      </c>
      <c r="Q386" s="79">
        <f>IFERROR(VLOOKUP($G386,融外自投!$A:$J,9,0),"無")</f>
        <v>789</v>
      </c>
      <c r="R386" s="346">
        <f>IFERROR(VLOOKUP($G386,融外自投!$A:$J,8,0),"無")</f>
        <v>414</v>
      </c>
      <c r="S386" s="81">
        <f>IFERROR(VLOOKUP($G386,融外自投!$A:$J,10,0),"無")</f>
        <v>205</v>
      </c>
      <c r="T386" s="327">
        <f>IFERROR(VLOOKUP($G386,'321買'!$A:$E,5,0),"'沒有資料'")</f>
        <v>1198</v>
      </c>
      <c r="U386" s="186">
        <f>IFERROR(VLOOKUP($G386,基本資料!$A:$J,9,0),"無")</f>
        <v>3</v>
      </c>
      <c r="V386" s="310">
        <f t="shared" si="78"/>
        <v>4.3668122270742356E-2</v>
      </c>
      <c r="W386" s="94">
        <f>IFERROR(VLOOKUP($G386,基本資料!$A:$J,10,0),"無")</f>
        <v>28.54</v>
      </c>
      <c r="X386" s="36">
        <f>RTD("money.excel",,"6499","Price")</f>
        <v>68.7</v>
      </c>
      <c r="Y386" s="66"/>
      <c r="Z386" s="15">
        <f t="shared" si="79"/>
        <v>68.7</v>
      </c>
      <c r="AA386" s="3" t="e">
        <f t="shared" si="80"/>
        <v>#DIV/0!</v>
      </c>
      <c r="AB386" s="344">
        <f>IFERROR(VLOOKUP($G386,基本資料!$A:$M,11,0),"無")</f>
        <v>-31.98</v>
      </c>
      <c r="AC386" s="397">
        <f>IFERROR(VLOOKUP($G386,基本資料!$A:$M,12,0),"無")</f>
        <v>11.98</v>
      </c>
      <c r="AD386" s="16" t="s">
        <v>3833</v>
      </c>
      <c r="AG386" s="33">
        <f t="shared" si="81"/>
        <v>0</v>
      </c>
      <c r="AH386" s="43" t="s">
        <v>3834</v>
      </c>
      <c r="AI386" s="63">
        <f t="shared" si="83"/>
        <v>1.3524590163934427E-3</v>
      </c>
      <c r="AJ386" s="284">
        <f>RTD("money.excel",,$G386,"PredictVolume")</f>
        <v>99</v>
      </c>
      <c r="AK386" s="399">
        <f>IFERROR(VLOOKUP($G386,基本資料!$A:$M,13,0),"無")</f>
        <v>6.42</v>
      </c>
    </row>
    <row r="387" spans="1:37">
      <c r="A387" s="347">
        <f>IFERROR(VLOOKUP($G387,基本資料!$A:$J,3,0),"無")</f>
        <v>4.5</v>
      </c>
      <c r="B387" s="79">
        <f>IFERROR(VLOOKUP($G387,基本資料!$A:$J,4,0),"無")</f>
        <v>-55</v>
      </c>
      <c r="C387" s="79">
        <f>IFERROR(VLOOKUP($G387,基本資料!$A:$J,5,0),"無")</f>
        <v>58</v>
      </c>
      <c r="D387" s="79">
        <f>IFERROR(VLOOKUP($G387,基本資料!$A:$J,6,0),"無")</f>
        <v>12</v>
      </c>
      <c r="E387" s="79">
        <f>IFERROR(VLOOKUP($G387,基本資料!$A:$J,7,0),"無")</f>
        <v>10</v>
      </c>
      <c r="F387" s="6">
        <f>IFERROR(VLOOKUP($G387,基本資料!$A:$J,8,0),"無")</f>
        <v>34.03</v>
      </c>
      <c r="G387" s="79">
        <v>6523</v>
      </c>
      <c r="H387" s="8" t="s">
        <v>309</v>
      </c>
      <c r="I387" s="16" t="s">
        <v>3835</v>
      </c>
      <c r="J387" s="8">
        <f>IFERROR(VLOOKUP($G387,今日總結!$A:$AJ,35,0),"")</f>
        <v>0</v>
      </c>
      <c r="K387" s="5">
        <f>IFERROR(VLOOKUP($G387,今日總結!$A:$AJ,36,0),"")</f>
        <v>0</v>
      </c>
      <c r="L387" s="156">
        <f>IFERROR(VLOOKUP($G387,今日總結!$A:$AJ,33,0),"")</f>
        <v>0</v>
      </c>
      <c r="M387" s="340">
        <f>IFERROR(VLOOKUP($G387,今日總結!$A:$AJ,34,0),"")</f>
        <v>1</v>
      </c>
      <c r="N387" s="240">
        <f t="shared" si="77"/>
        <v>-1</v>
      </c>
      <c r="P387" s="365">
        <f>IFERROR(VLOOKUP($G387,融外自投!$A:$J,7,0),"無")</f>
        <v>789</v>
      </c>
      <c r="Q387" s="79">
        <f>IFERROR(VLOOKUP($G387,融外自投!$A:$J,9,0),"無")</f>
        <v>708</v>
      </c>
      <c r="R387" s="346">
        <f>IFERROR(VLOOKUP($G387,融外自投!$A:$J,8,0),"無")</f>
        <v>945</v>
      </c>
      <c r="S387" s="81" t="str">
        <f>IFERROR(VLOOKUP($G387,融外自投!$A:$J,10,0),"無")</f>
        <v>無</v>
      </c>
      <c r="T387" s="327">
        <f>IFERROR(VLOOKUP($G387,'321買'!$A:$E,5,0),"'沒有資料'")</f>
        <v>349</v>
      </c>
      <c r="U387" s="186">
        <f>IFERROR(VLOOKUP($G387,基本資料!$A:$J,9,0),"無")</f>
        <v>15.22</v>
      </c>
      <c r="V387" s="310">
        <f t="shared" si="78"/>
        <v>0.2</v>
      </c>
      <c r="W387" s="94">
        <f>IFERROR(VLOOKUP($G387,基本資料!$A:$J,10,0),"無")</f>
        <v>6.58</v>
      </c>
      <c r="X387" s="36">
        <f>RTD("money.excel",,"6523","Price")</f>
        <v>76.099999999999994</v>
      </c>
      <c r="Y387" s="66"/>
      <c r="Z387" s="15">
        <f t="shared" si="79"/>
        <v>76.099999999999994</v>
      </c>
      <c r="AA387" s="3" t="e">
        <f t="shared" si="80"/>
        <v>#DIV/0!</v>
      </c>
      <c r="AB387" s="344">
        <f>IFERROR(VLOOKUP($G387,基本資料!$A:$M,11,0),"無")</f>
        <v>-48.26</v>
      </c>
      <c r="AC387" s="397">
        <f>IFERROR(VLOOKUP($G387,基本資料!$A:$M,12,0),"無")</f>
        <v>8.58</v>
      </c>
      <c r="AD387" s="16" t="s">
        <v>3835</v>
      </c>
      <c r="AG387" s="33">
        <f t="shared" si="81"/>
        <v>0</v>
      </c>
      <c r="AH387" s="43" t="s">
        <v>2453</v>
      </c>
      <c r="AI387" s="63">
        <f t="shared" si="83"/>
        <v>4.4444444444444444E-3</v>
      </c>
      <c r="AJ387" s="284">
        <f>RTD("money.excel",,$G387,"PredictVolume")</f>
        <v>200</v>
      </c>
      <c r="AK387" s="399">
        <f>IFERROR(VLOOKUP($G387,基本資料!$A:$M,13,0),"無")</f>
        <v>12.88</v>
      </c>
    </row>
    <row r="388" spans="1:37">
      <c r="A388" s="347">
        <f>IFERROR(VLOOKUP($G388,基本資料!$A:$J,3,0),"無")</f>
        <v>2.42</v>
      </c>
      <c r="B388" s="79">
        <f>IFERROR(VLOOKUP($G388,基本資料!$A:$J,4,0),"無")</f>
        <v>36</v>
      </c>
      <c r="C388" s="79">
        <f>IFERROR(VLOOKUP($G388,基本資料!$A:$J,5,0),"無")</f>
        <v>53</v>
      </c>
      <c r="D388" s="79">
        <f>IFERROR(VLOOKUP($G388,基本資料!$A:$J,6,0),"無")</f>
        <v>43</v>
      </c>
      <c r="E388" s="79">
        <f>IFERROR(VLOOKUP($G388,基本資料!$A:$J,7,0),"無")</f>
        <v>20</v>
      </c>
      <c r="F388" s="6">
        <f>IFERROR(VLOOKUP($G388,基本資料!$A:$J,8,0),"無")</f>
        <v>12.26</v>
      </c>
      <c r="G388" s="79">
        <v>6527</v>
      </c>
      <c r="H388" s="8" t="s">
        <v>309</v>
      </c>
      <c r="I388" s="16" t="s">
        <v>3836</v>
      </c>
      <c r="J388" s="8" t="str">
        <f>IFERROR(VLOOKUP($G388,今日總結!$A:$AJ,35,0),"")</f>
        <v/>
      </c>
      <c r="K388" s="5" t="str">
        <f>IFERROR(VLOOKUP($G388,今日總結!$A:$AJ,36,0),"")</f>
        <v/>
      </c>
      <c r="L388" s="156" t="str">
        <f>IFERROR(VLOOKUP($G388,今日總結!$A:$AJ,33,0),"")</f>
        <v/>
      </c>
      <c r="M388" s="340" t="str">
        <f>IFERROR(VLOOKUP($G388,今日總結!$A:$AJ,34,0),"")</f>
        <v/>
      </c>
      <c r="N388" s="240" t="str">
        <f t="shared" si="77"/>
        <v/>
      </c>
      <c r="P388" s="365" t="str">
        <f>IFERROR(VLOOKUP($G388,融外自投!$A:$J,7,0),"無")</f>
        <v>無</v>
      </c>
      <c r="Q388" s="79" t="str">
        <f>IFERROR(VLOOKUP($G388,融外自投!$A:$J,9,0),"無")</f>
        <v>無</v>
      </c>
      <c r="R388" s="346" t="str">
        <f>IFERROR(VLOOKUP($G388,融外自投!$A:$J,8,0),"無")</f>
        <v>無</v>
      </c>
      <c r="S388" s="81" t="str">
        <f>IFERROR(VLOOKUP($G388,融外自投!$A:$J,10,0),"無")</f>
        <v>無</v>
      </c>
      <c r="T388" s="327" t="str">
        <f>IFERROR(VLOOKUP($G388,'321買'!$A:$E,5,0),"'沒有資料'")</f>
        <v>'沒有資料'</v>
      </c>
      <c r="U388" s="186">
        <f>IFERROR(VLOOKUP($G388,基本資料!$A:$J,9,0),"無")</f>
        <v>1.94</v>
      </c>
      <c r="V388" s="310">
        <f t="shared" si="78"/>
        <v>4.1945945945945945E-2</v>
      </c>
      <c r="W388" s="94">
        <f>IFERROR(VLOOKUP($G388,基本資料!$A:$J,10,0),"無")</f>
        <v>3.24</v>
      </c>
      <c r="X388" s="36">
        <f>RTD("money.excel",,"6527","Price")</f>
        <v>46.25</v>
      </c>
      <c r="Y388" s="66"/>
      <c r="Z388" s="15">
        <f t="shared" si="79"/>
        <v>46.25</v>
      </c>
      <c r="AA388" s="3" t="e">
        <f t="shared" si="80"/>
        <v>#DIV/0!</v>
      </c>
      <c r="AB388" s="344">
        <f>IFERROR(VLOOKUP($G388,基本資料!$A:$M,11,0),"無")</f>
        <v>-9.41</v>
      </c>
      <c r="AC388" s="397">
        <f>IFERROR(VLOOKUP($G388,基本資料!$A:$M,12,0),"無")</f>
        <v>48.14</v>
      </c>
      <c r="AD388" s="16" t="s">
        <v>3836</v>
      </c>
      <c r="AG388" s="33">
        <f t="shared" si="81"/>
        <v>0</v>
      </c>
      <c r="AH388" s="43" t="s">
        <v>3837</v>
      </c>
      <c r="AI388" s="63">
        <f t="shared" si="83"/>
        <v>1.0743801652892562E-3</v>
      </c>
      <c r="AJ388" s="284">
        <f>RTD("money.excel",,$G388,"PredictVolume")</f>
        <v>26</v>
      </c>
      <c r="AK388" s="399">
        <f>IFERROR(VLOOKUP($G388,基本資料!$A:$M,13,0),"無")</f>
        <v>0.6</v>
      </c>
    </row>
    <row r="389" spans="1:37">
      <c r="A389" s="347">
        <f>IFERROR(VLOOKUP($G389,基本資料!$A:$J,3,0),"無")</f>
        <v>16.32</v>
      </c>
      <c r="B389" s="79">
        <f>IFERROR(VLOOKUP($G389,基本資料!$A:$J,4,0),"無")</f>
        <v>129</v>
      </c>
      <c r="C389" s="79">
        <f>IFERROR(VLOOKUP($G389,基本資料!$A:$J,5,0),"無")</f>
        <v>-25</v>
      </c>
      <c r="D389" s="79">
        <f>IFERROR(VLOOKUP($G389,基本資料!$A:$J,6,0),"無")</f>
        <v>1673</v>
      </c>
      <c r="E389" s="79">
        <f>IFERROR(VLOOKUP($G389,基本資料!$A:$J,7,0),"無")</f>
        <v>14</v>
      </c>
      <c r="F389" s="6">
        <f>IFERROR(VLOOKUP($G389,基本資料!$A:$J,8,0),"無")</f>
        <v>-2478.27</v>
      </c>
      <c r="G389" s="79">
        <v>6535</v>
      </c>
      <c r="H389" s="8" t="s">
        <v>309</v>
      </c>
      <c r="I389" s="16" t="s">
        <v>623</v>
      </c>
      <c r="J389" s="8" t="str">
        <f>IFERROR(VLOOKUP($G389,今日總結!$A:$AJ,35,0),"")</f>
        <v/>
      </c>
      <c r="K389" s="5" t="str">
        <f>IFERROR(VLOOKUP($G389,今日總結!$A:$AJ,36,0),"")</f>
        <v/>
      </c>
      <c r="L389" s="156" t="str">
        <f>IFERROR(VLOOKUP($G389,今日總結!$A:$AJ,33,0),"")</f>
        <v/>
      </c>
      <c r="M389" s="340" t="str">
        <f>IFERROR(VLOOKUP($G389,今日總結!$A:$AJ,34,0),"")</f>
        <v/>
      </c>
      <c r="N389" s="240" t="str">
        <f t="shared" si="77"/>
        <v/>
      </c>
      <c r="P389" s="365" t="str">
        <f>IFERROR(VLOOKUP($G389,融外自投!$A:$J,7,0),"無")</f>
        <v>無</v>
      </c>
      <c r="Q389" s="79" t="str">
        <f>IFERROR(VLOOKUP($G389,融外自投!$A:$J,9,0),"無")</f>
        <v>無</v>
      </c>
      <c r="R389" s="346" t="str">
        <f>IFERROR(VLOOKUP($G389,融外自投!$A:$J,8,0),"無")</f>
        <v>無</v>
      </c>
      <c r="S389" s="81" t="str">
        <f>IFERROR(VLOOKUP($G389,融外自投!$A:$J,10,0),"無")</f>
        <v>無</v>
      </c>
      <c r="T389" s="327" t="str">
        <f>IFERROR(VLOOKUP($G389,'321買'!$A:$E,5,0),"'沒有資料'")</f>
        <v>'沒有資料'</v>
      </c>
      <c r="U389" s="186">
        <f>IFERROR(VLOOKUP($G389,基本資料!$A:$J,9,0),"無")</f>
        <v>0</v>
      </c>
      <c r="V389" s="310">
        <f t="shared" si="78"/>
        <v>0</v>
      </c>
      <c r="W389" s="94">
        <f>IFERROR(VLOOKUP($G389,基本資料!$A:$J,10,0),"無")</f>
        <v>0.64</v>
      </c>
      <c r="X389" s="36">
        <f>RTD("money.excel",,"6535","Price")</f>
        <v>35.049999999999997</v>
      </c>
      <c r="Y389" s="66"/>
      <c r="Z389" s="15">
        <f t="shared" si="79"/>
        <v>35.049999999999997</v>
      </c>
      <c r="AA389" s="3" t="e">
        <f t="shared" si="80"/>
        <v>#DIV/0!</v>
      </c>
      <c r="AB389" s="344">
        <f>IFERROR(VLOOKUP($G389,基本資料!$A:$M,11,0),"無")</f>
        <v>-22.21</v>
      </c>
      <c r="AC389" s="397">
        <f>IFERROR(VLOOKUP($G389,基本資料!$A:$M,12,0),"無")</f>
        <v>15.12</v>
      </c>
      <c r="AD389" s="16" t="s">
        <v>3838</v>
      </c>
      <c r="AG389" s="33">
        <f t="shared" si="81"/>
        <v>0</v>
      </c>
      <c r="AH389" s="43" t="s">
        <v>2151</v>
      </c>
      <c r="AI389" s="63">
        <f t="shared" si="83"/>
        <v>4.2708333333333331E-3</v>
      </c>
      <c r="AJ389" s="284">
        <f>RTD("money.excel",,$G389,"PredictVolume")</f>
        <v>697</v>
      </c>
      <c r="AK389" s="399">
        <f>IFERROR(VLOOKUP($G389,基本資料!$A:$M,13,0),"無")</f>
        <v>6.97</v>
      </c>
    </row>
    <row r="390" spans="1:37">
      <c r="A390" s="347">
        <f>IFERROR(VLOOKUP($G390,基本資料!$A:$J,3,0),"無")</f>
        <v>35.25</v>
      </c>
      <c r="B390" s="79">
        <f>IFERROR(VLOOKUP($G390,基本資料!$A:$J,4,0),"無")</f>
        <v>26</v>
      </c>
      <c r="C390" s="79">
        <f>IFERROR(VLOOKUP($G390,基本資料!$A:$J,5,0),"無")</f>
        <v>23</v>
      </c>
      <c r="D390" s="79">
        <f>IFERROR(VLOOKUP($G390,基本資料!$A:$J,6,0),"無")</f>
        <v>64</v>
      </c>
      <c r="E390" s="79">
        <f>IFERROR(VLOOKUP($G390,基本資料!$A:$J,7,0),"無")</f>
        <v>0</v>
      </c>
      <c r="F390" s="6">
        <f>IFERROR(VLOOKUP($G390,基本資料!$A:$J,8,0),"無")</f>
        <v>-29581.65</v>
      </c>
      <c r="G390" s="79">
        <v>6541</v>
      </c>
      <c r="H390" s="8" t="s">
        <v>309</v>
      </c>
      <c r="I390" s="22" t="s">
        <v>3839</v>
      </c>
      <c r="J390" s="8" t="str">
        <f>IFERROR(VLOOKUP($G390,今日總結!$A:$AJ,35,0),"")</f>
        <v/>
      </c>
      <c r="K390" s="5" t="str">
        <f>IFERROR(VLOOKUP($G390,今日總結!$A:$AJ,36,0),"")</f>
        <v/>
      </c>
      <c r="L390" s="156" t="str">
        <f>IFERROR(VLOOKUP($G390,今日總結!$A:$AJ,33,0),"")</f>
        <v/>
      </c>
      <c r="M390" s="340" t="str">
        <f>IFERROR(VLOOKUP($G390,今日總結!$A:$AJ,34,0),"")</f>
        <v/>
      </c>
      <c r="N390" s="240" t="str">
        <f t="shared" si="77"/>
        <v/>
      </c>
      <c r="P390" s="365" t="str">
        <f>IFERROR(VLOOKUP($G390,融外自投!$A:$J,7,0),"無")</f>
        <v>無</v>
      </c>
      <c r="Q390" s="79" t="str">
        <f>IFERROR(VLOOKUP($G390,融外自投!$A:$J,9,0),"無")</f>
        <v>無</v>
      </c>
      <c r="R390" s="346" t="str">
        <f>IFERROR(VLOOKUP($G390,融外自投!$A:$J,8,0),"無")</f>
        <v>無</v>
      </c>
      <c r="S390" s="81" t="str">
        <f>IFERROR(VLOOKUP($G390,融外自投!$A:$J,10,0),"無")</f>
        <v>無</v>
      </c>
      <c r="T390" s="327" t="str">
        <f>IFERROR(VLOOKUP($G390,'321買'!$A:$E,5,0),"'沒有資料'")</f>
        <v>'沒有資料'</v>
      </c>
      <c r="U390" s="186">
        <f>IFERROR(VLOOKUP($G390,基本資料!$A:$J,9,0),"無")</f>
        <v>0</v>
      </c>
      <c r="V390" s="310">
        <f t="shared" si="78"/>
        <v>0</v>
      </c>
      <c r="W390" s="94">
        <f>IFERROR(VLOOKUP($G390,基本資料!$A:$J,10,0),"無")</f>
        <v>-4.74</v>
      </c>
      <c r="X390" s="36">
        <f>RTD("money.excel",,"6541","Price")</f>
        <v>58</v>
      </c>
      <c r="Y390" s="66"/>
      <c r="Z390" s="15">
        <f t="shared" si="79"/>
        <v>58</v>
      </c>
      <c r="AA390" s="3" t="e">
        <f t="shared" si="80"/>
        <v>#DIV/0!</v>
      </c>
      <c r="AB390" s="344">
        <f>IFERROR(VLOOKUP($G390,基本資料!$A:$M,11,0),"無")</f>
        <v>-27.38</v>
      </c>
      <c r="AC390" s="397">
        <f>IFERROR(VLOOKUP($G390,基本資料!$A:$M,12,0),"無")</f>
        <v>57.32</v>
      </c>
      <c r="AD390" s="22" t="s">
        <v>3839</v>
      </c>
      <c r="AG390" s="33">
        <f t="shared" si="81"/>
        <v>0</v>
      </c>
      <c r="AH390" s="43" t="s">
        <v>2125</v>
      </c>
      <c r="AI390" s="63">
        <f t="shared" si="83"/>
        <v>6.1078014184397164E-3</v>
      </c>
      <c r="AJ390" s="284">
        <f>RTD("money.excel",,$G390,"PredictVolume")</f>
        <v>2153</v>
      </c>
      <c r="AK390" s="399">
        <f>IFERROR(VLOOKUP($G390,基本資料!$A:$M,13,0),"無")</f>
        <v>2.66</v>
      </c>
    </row>
    <row r="391" spans="1:37">
      <c r="A391" s="347">
        <f>IFERROR(VLOOKUP($G391,基本資料!$A:$J,3,0),"無")</f>
        <v>22.04</v>
      </c>
      <c r="B391" s="79">
        <f>IFERROR(VLOOKUP($G391,基本資料!$A:$J,4,0),"無")</f>
        <v>309</v>
      </c>
      <c r="C391" s="79">
        <f>IFERROR(VLOOKUP($G391,基本資料!$A:$J,5,0),"無")</f>
        <v>226</v>
      </c>
      <c r="D391" s="79">
        <f>IFERROR(VLOOKUP($G391,基本資料!$A:$J,6,0),"無")</f>
        <v>2795</v>
      </c>
      <c r="E391" s="79">
        <f>IFERROR(VLOOKUP($G391,基本資料!$A:$J,7,0),"無")</f>
        <v>7583</v>
      </c>
      <c r="F391" s="6">
        <f>IFERROR(VLOOKUP($G391,基本資料!$A:$J,8,0),"無")</f>
        <v>29.37</v>
      </c>
      <c r="G391" s="79">
        <v>6547</v>
      </c>
      <c r="H391" s="8" t="s">
        <v>309</v>
      </c>
      <c r="I391" s="16" t="s">
        <v>3840</v>
      </c>
      <c r="J391" s="8" t="str">
        <f>IFERROR(VLOOKUP($G391,今日總結!$A:$AJ,35,0),"")</f>
        <v/>
      </c>
      <c r="K391" s="5" t="str">
        <f>IFERROR(VLOOKUP($G391,今日總結!$A:$AJ,36,0),"")</f>
        <v/>
      </c>
      <c r="L391" s="156" t="str">
        <f>IFERROR(VLOOKUP($G391,今日總結!$A:$AJ,33,0),"")</f>
        <v/>
      </c>
      <c r="M391" s="340" t="str">
        <f>IFERROR(VLOOKUP($G391,今日總結!$A:$AJ,34,0),"")</f>
        <v/>
      </c>
      <c r="N391" s="240" t="str">
        <f t="shared" si="77"/>
        <v/>
      </c>
      <c r="P391" s="365" t="str">
        <f>IFERROR(VLOOKUP($G391,融外自投!$A:$J,7,0),"無")</f>
        <v>無</v>
      </c>
      <c r="Q391" s="79" t="str">
        <f>IFERROR(VLOOKUP($G391,融外自投!$A:$J,9,0),"無")</f>
        <v>無</v>
      </c>
      <c r="R391" s="346" t="str">
        <f>IFERROR(VLOOKUP($G391,融外自投!$A:$J,8,0),"無")</f>
        <v>無</v>
      </c>
      <c r="S391" s="81" t="str">
        <f>IFERROR(VLOOKUP($G391,融外自投!$A:$J,10,0),"無")</f>
        <v>無</v>
      </c>
      <c r="T391" s="327" t="str">
        <f>IFERROR(VLOOKUP($G391,'321買'!$A:$E,5,0),"'沒有資料'")</f>
        <v>'沒有資料'</v>
      </c>
      <c r="U391" s="186">
        <f>IFERROR(VLOOKUP($G391,基本資料!$A:$J,9,0),"無")</f>
        <v>5</v>
      </c>
      <c r="V391" s="310">
        <f t="shared" si="78"/>
        <v>2.3752969121140142E-2</v>
      </c>
      <c r="W391" s="94">
        <f>IFERROR(VLOOKUP($G391,基本資料!$A:$J,10,0),"無")</f>
        <v>6.65</v>
      </c>
      <c r="X391" s="36">
        <f>RTD("money.excel",,"6547","Price")</f>
        <v>210.5</v>
      </c>
      <c r="Y391" s="66"/>
      <c r="Z391" s="15">
        <f t="shared" si="79"/>
        <v>210.5</v>
      </c>
      <c r="AA391" s="3" t="e">
        <f t="shared" si="80"/>
        <v>#DIV/0!</v>
      </c>
      <c r="AB391" s="344">
        <f>IFERROR(VLOOKUP($G391,基本資料!$A:$M,11,0),"無")</f>
        <v>-40.35</v>
      </c>
      <c r="AC391" s="397">
        <f>IFERROR(VLOOKUP($G391,基本資料!$A:$M,12,0),"無")</f>
        <v>24.21</v>
      </c>
      <c r="AD391" s="16" t="s">
        <v>3840</v>
      </c>
      <c r="AG391" s="33">
        <f t="shared" si="81"/>
        <v>0</v>
      </c>
      <c r="AH391" s="43" t="s">
        <v>3841</v>
      </c>
      <c r="AI391" s="63">
        <f t="shared" si="83"/>
        <v>6.5108892921960076E-3</v>
      </c>
      <c r="AJ391" s="284">
        <f>RTD("money.excel",,$G391,"PredictVolume")</f>
        <v>1435</v>
      </c>
      <c r="AK391" s="399">
        <f>IFERROR(VLOOKUP($G391,基本資料!$A:$M,13,0),"無")</f>
        <v>8.67</v>
      </c>
    </row>
    <row r="392" spans="1:37">
      <c r="A392" s="347">
        <f>IFERROR(VLOOKUP($G392,基本資料!$A:$J,3,0),"無")</f>
        <v>3.32</v>
      </c>
      <c r="B392" s="79">
        <f>IFERROR(VLOOKUP($G392,基本資料!$A:$J,4,0),"無")</f>
        <v>-23</v>
      </c>
      <c r="C392" s="79">
        <f>IFERROR(VLOOKUP($G392,基本資料!$A:$J,5,0),"無")</f>
        <v>-53</v>
      </c>
      <c r="D392" s="79">
        <f>IFERROR(VLOOKUP($G392,基本資料!$A:$J,6,0),"無")</f>
        <v>-25</v>
      </c>
      <c r="E392" s="79">
        <f>IFERROR(VLOOKUP($G392,基本資料!$A:$J,7,0),"無")</f>
        <v>73</v>
      </c>
      <c r="F392" s="6">
        <f>IFERROR(VLOOKUP($G392,基本資料!$A:$J,8,0),"無")</f>
        <v>6.2</v>
      </c>
      <c r="G392" s="79">
        <v>6569</v>
      </c>
      <c r="H392" s="8" t="s">
        <v>309</v>
      </c>
      <c r="I392" s="16" t="s">
        <v>3842</v>
      </c>
      <c r="J392" s="8" t="str">
        <f>IFERROR(VLOOKUP($G392,今日總結!$A:$AJ,35,0),"")</f>
        <v/>
      </c>
      <c r="K392" s="5" t="str">
        <f>IFERROR(VLOOKUP($G392,今日總結!$A:$AJ,36,0),"")</f>
        <v/>
      </c>
      <c r="L392" s="156" t="str">
        <f>IFERROR(VLOOKUP($G392,今日總結!$A:$AJ,33,0),"")</f>
        <v/>
      </c>
      <c r="M392" s="340" t="str">
        <f>IFERROR(VLOOKUP($G392,今日總結!$A:$AJ,34,0),"")</f>
        <v/>
      </c>
      <c r="N392" s="240" t="str">
        <f t="shared" si="77"/>
        <v/>
      </c>
      <c r="P392" s="365" t="str">
        <f>IFERROR(VLOOKUP($G392,融外自投!$A:$J,7,0),"無")</f>
        <v>無</v>
      </c>
      <c r="Q392" s="79" t="str">
        <f>IFERROR(VLOOKUP($G392,融外自投!$A:$J,9,0),"無")</f>
        <v>無</v>
      </c>
      <c r="R392" s="346" t="str">
        <f>IFERROR(VLOOKUP($G392,融外自投!$A:$J,8,0),"無")</f>
        <v>無</v>
      </c>
      <c r="S392" s="81" t="str">
        <f>IFERROR(VLOOKUP($G392,融外自投!$A:$J,10,0),"無")</f>
        <v>無</v>
      </c>
      <c r="T392" s="327" t="str">
        <f>IFERROR(VLOOKUP($G392,'321買'!$A:$E,5,0),"'沒有資料'")</f>
        <v>'沒有資料'</v>
      </c>
      <c r="U392" s="186">
        <f>IFERROR(VLOOKUP($G392,基本資料!$A:$J,9,0),"無")</f>
        <v>4</v>
      </c>
      <c r="V392" s="310">
        <f t="shared" si="78"/>
        <v>3.8277511961722487E-2</v>
      </c>
      <c r="W392" s="94">
        <f>IFERROR(VLOOKUP($G392,基本資料!$A:$J,10,0),"無")</f>
        <v>4.22</v>
      </c>
      <c r="X392" s="36">
        <f>RTD("money.excel",,"6569","Price")</f>
        <v>104.5</v>
      </c>
      <c r="Y392" s="66"/>
      <c r="Z392" s="15">
        <f t="shared" si="79"/>
        <v>104.5</v>
      </c>
      <c r="AA392" s="3" t="e">
        <f t="shared" si="80"/>
        <v>#DIV/0!</v>
      </c>
      <c r="AB392" s="344">
        <f>IFERROR(VLOOKUP($G392,基本資料!$A:$M,11,0),"無")</f>
        <v>-24.09</v>
      </c>
      <c r="AC392" s="397">
        <f>IFERROR(VLOOKUP($G392,基本資料!$A:$M,12,0),"無")</f>
        <v>48.45</v>
      </c>
      <c r="AD392" s="16" t="s">
        <v>3842</v>
      </c>
      <c r="AG392" s="33">
        <f t="shared" si="81"/>
        <v>0</v>
      </c>
      <c r="AH392" s="43" t="s">
        <v>3843</v>
      </c>
      <c r="AI392" s="63">
        <f t="shared" si="83"/>
        <v>4.8192771084337347E-4</v>
      </c>
      <c r="AJ392" s="284">
        <f>RTD("money.excel",,$G392,"PredictVolume")</f>
        <v>16</v>
      </c>
      <c r="AK392" s="399">
        <f>IFERROR(VLOOKUP($G392,基本資料!$A:$M,13,0),"無")</f>
        <v>0.85</v>
      </c>
    </row>
    <row r="393" spans="1:37">
      <c r="A393" s="347">
        <f>IFERROR(VLOOKUP($G393,基本資料!$A:$J,3,0),"無")</f>
        <v>2.19</v>
      </c>
      <c r="B393" s="79">
        <f>IFERROR(VLOOKUP($G393,基本資料!$A:$J,4,0),"無")</f>
        <v>-68</v>
      </c>
      <c r="C393" s="79">
        <f>IFERROR(VLOOKUP($G393,基本資料!$A:$J,5,0),"無")</f>
        <v>-107</v>
      </c>
      <c r="D393" s="79">
        <f>IFERROR(VLOOKUP($G393,基本資料!$A:$J,6,0),"無")</f>
        <v>22</v>
      </c>
      <c r="E393" s="79">
        <f>IFERROR(VLOOKUP($G393,基本資料!$A:$J,7,0),"無")</f>
        <v>6</v>
      </c>
      <c r="F393" s="6">
        <f>IFERROR(VLOOKUP($G393,基本資料!$A:$J,8,0),"無")</f>
        <v>-0.71</v>
      </c>
      <c r="G393" s="79">
        <v>6574</v>
      </c>
      <c r="H393" s="8" t="s">
        <v>309</v>
      </c>
      <c r="I393" s="16" t="s">
        <v>624</v>
      </c>
      <c r="J393" s="8" t="str">
        <f>IFERROR(VLOOKUP($G393,今日總結!$A:$AJ,35,0),"")</f>
        <v/>
      </c>
      <c r="K393" s="5" t="str">
        <f>IFERROR(VLOOKUP($G393,今日總結!$A:$AJ,36,0),"")</f>
        <v/>
      </c>
      <c r="L393" s="156" t="str">
        <f>IFERROR(VLOOKUP($G393,今日總結!$A:$AJ,33,0),"")</f>
        <v/>
      </c>
      <c r="M393" s="340" t="str">
        <f>IFERROR(VLOOKUP($G393,今日總結!$A:$AJ,34,0),"")</f>
        <v/>
      </c>
      <c r="N393" s="240" t="str">
        <f t="shared" si="77"/>
        <v/>
      </c>
      <c r="P393" s="365" t="str">
        <f>IFERROR(VLOOKUP($G393,融外自投!$A:$J,7,0),"無")</f>
        <v>無</v>
      </c>
      <c r="Q393" s="79" t="str">
        <f>IFERROR(VLOOKUP($G393,融外自投!$A:$J,9,0),"無")</f>
        <v>無</v>
      </c>
      <c r="R393" s="346" t="str">
        <f>IFERROR(VLOOKUP($G393,融外自投!$A:$J,8,0),"無")</f>
        <v>無</v>
      </c>
      <c r="S393" s="81" t="str">
        <f>IFERROR(VLOOKUP($G393,融外自投!$A:$J,10,0),"無")</f>
        <v>無</v>
      </c>
      <c r="T393" s="327" t="str">
        <f>IFERROR(VLOOKUP($G393,'321買'!$A:$E,5,0),"'沒有資料'")</f>
        <v>'沒有資料'</v>
      </c>
      <c r="U393" s="186">
        <f>IFERROR(VLOOKUP($G393,基本資料!$A:$J,9,0),"無")</f>
        <v>1.1399999999999999</v>
      </c>
      <c r="V393" s="310">
        <f t="shared" si="78"/>
        <v>2.2868605817452356E-2</v>
      </c>
      <c r="W393" s="94">
        <f>IFERROR(VLOOKUP($G393,基本資料!$A:$J,10,0),"無")</f>
        <v>0.63</v>
      </c>
      <c r="X393" s="36">
        <f>RTD("money.excel",,"6574","Price")</f>
        <v>49.85</v>
      </c>
      <c r="Y393" s="66"/>
      <c r="Z393" s="15">
        <f t="shared" si="79"/>
        <v>49.85</v>
      </c>
      <c r="AA393" s="3" t="e">
        <f t="shared" si="80"/>
        <v>#DIV/0!</v>
      </c>
      <c r="AB393" s="344">
        <f>IFERROR(VLOOKUP($G393,基本資料!$A:$M,11,0),"無")</f>
        <v>-15.77</v>
      </c>
      <c r="AC393" s="397">
        <f>IFERROR(VLOOKUP($G393,基本資料!$A:$M,12,0),"無")</f>
        <v>53.39</v>
      </c>
      <c r="AD393" s="16" t="s">
        <v>624</v>
      </c>
      <c r="AG393" s="33">
        <f t="shared" si="81"/>
        <v>0</v>
      </c>
      <c r="AH393" s="43" t="s">
        <v>3844</v>
      </c>
      <c r="AI393" s="63">
        <f t="shared" si="83"/>
        <v>3.1963470319634703E-4</v>
      </c>
      <c r="AJ393" s="284">
        <f>RTD("money.excel",,$G393,"PredictVolume")</f>
        <v>7</v>
      </c>
      <c r="AK393" s="399">
        <f>IFERROR(VLOOKUP($G393,基本資料!$A:$M,13,0),"無")</f>
        <v>0.93</v>
      </c>
    </row>
    <row r="394" spans="1:37">
      <c r="A394" s="347">
        <f>IFERROR(VLOOKUP($G394,基本資料!$A:$J,3,0),"無")</f>
        <v>11.8</v>
      </c>
      <c r="B394" s="79">
        <f>IFERROR(VLOOKUP($G394,基本資料!$A:$J,4,0),"無")</f>
        <v>-11</v>
      </c>
      <c r="C394" s="79">
        <f>IFERROR(VLOOKUP($G394,基本資料!$A:$J,5,0),"無")</f>
        <v>-11</v>
      </c>
      <c r="D394" s="79">
        <f>IFERROR(VLOOKUP($G394,基本資料!$A:$J,6,0),"無")</f>
        <v>143</v>
      </c>
      <c r="E394" s="79">
        <f>IFERROR(VLOOKUP($G394,基本資料!$A:$J,7,0),"無")</f>
        <v>176333</v>
      </c>
      <c r="F394" s="6">
        <f>IFERROR(VLOOKUP($G394,基本資料!$A:$J,8,0),"無")</f>
        <v>-238.3</v>
      </c>
      <c r="G394" s="79">
        <v>6576</v>
      </c>
      <c r="H394" s="8" t="s">
        <v>309</v>
      </c>
      <c r="I394" s="16" t="s">
        <v>3845</v>
      </c>
      <c r="J394" s="8" t="str">
        <f>IFERROR(VLOOKUP($G394,今日總結!$A:$AJ,35,0),"")</f>
        <v/>
      </c>
      <c r="K394" s="5" t="str">
        <f>IFERROR(VLOOKUP($G394,今日總結!$A:$AJ,36,0),"")</f>
        <v/>
      </c>
      <c r="L394" s="156" t="str">
        <f>IFERROR(VLOOKUP($G394,今日總結!$A:$AJ,33,0),"")</f>
        <v/>
      </c>
      <c r="M394" s="340" t="str">
        <f>IFERROR(VLOOKUP($G394,今日總結!$A:$AJ,34,0),"")</f>
        <v/>
      </c>
      <c r="N394" s="240" t="str">
        <f t="shared" si="77"/>
        <v/>
      </c>
      <c r="P394" s="365" t="str">
        <f>IFERROR(VLOOKUP($G394,融外自投!$A:$J,7,0),"無")</f>
        <v>無</v>
      </c>
      <c r="Q394" s="79" t="str">
        <f>IFERROR(VLOOKUP($G394,融外自投!$A:$J,9,0),"無")</f>
        <v>無</v>
      </c>
      <c r="R394" s="346" t="str">
        <f>IFERROR(VLOOKUP($G394,融外自投!$A:$J,8,0),"無")</f>
        <v>無</v>
      </c>
      <c r="S394" s="81" t="str">
        <f>IFERROR(VLOOKUP($G394,融外自投!$A:$J,10,0),"無")</f>
        <v>無</v>
      </c>
      <c r="T394" s="327" t="str">
        <f>IFERROR(VLOOKUP($G394,'321買'!$A:$E,5,0),"'沒有資料'")</f>
        <v>'沒有資料'</v>
      </c>
      <c r="U394" s="186">
        <f>IFERROR(VLOOKUP($G394,基本資料!$A:$J,9,0),"無")</f>
        <v>0</v>
      </c>
      <c r="V394" s="310">
        <f t="shared" si="78"/>
        <v>0</v>
      </c>
      <c r="W394" s="94">
        <f>IFERROR(VLOOKUP($G394,基本資料!$A:$J,10,0),"無")</f>
        <v>-4.8499999999999996</v>
      </c>
      <c r="X394" s="36">
        <f>RTD("money.excel",,"6576","Price")</f>
        <v>114.5</v>
      </c>
      <c r="Y394" s="66"/>
      <c r="Z394" s="15">
        <f t="shared" si="79"/>
        <v>114.5</v>
      </c>
      <c r="AA394" s="3" t="e">
        <f t="shared" si="80"/>
        <v>#DIV/0!</v>
      </c>
      <c r="AB394" s="344">
        <f>IFERROR(VLOOKUP($G394,基本資料!$A:$M,11,0),"無")</f>
        <v>-15.25</v>
      </c>
      <c r="AC394" s="397">
        <f>IFERROR(VLOOKUP($G394,基本資料!$A:$M,12,0),"無")</f>
        <v>29.38</v>
      </c>
      <c r="AD394" s="16" t="s">
        <v>3845</v>
      </c>
      <c r="AG394" s="33">
        <f t="shared" si="81"/>
        <v>0</v>
      </c>
      <c r="AH394" s="43" t="s">
        <v>3773</v>
      </c>
      <c r="AI394" s="63">
        <f t="shared" si="83"/>
        <v>4.2966101694915252E-3</v>
      </c>
      <c r="AJ394" s="284">
        <f>RTD("money.excel",,$G394,"PredictVolume")</f>
        <v>507</v>
      </c>
      <c r="AK394" s="399">
        <f>IFERROR(VLOOKUP($G394,基本資料!$A:$M,13,0),"無")</f>
        <v>7.42</v>
      </c>
    </row>
    <row r="395" spans="1:37">
      <c r="A395" s="347">
        <f>IFERROR(VLOOKUP($G395,基本資料!$A:$J,3,0),"無")</f>
        <v>30.38</v>
      </c>
      <c r="B395" s="79">
        <f>IFERROR(VLOOKUP($G395,基本資料!$A:$J,4,0),"無")</f>
        <v>95</v>
      </c>
      <c r="C395" s="79">
        <f>IFERROR(VLOOKUP($G395,基本資料!$A:$J,5,0),"無")</f>
        <v>94</v>
      </c>
      <c r="D395" s="79">
        <f>IFERROR(VLOOKUP($G395,基本資料!$A:$J,6,0),"無")</f>
        <v>46</v>
      </c>
      <c r="E395" s="79">
        <f>IFERROR(VLOOKUP($G395,基本資料!$A:$J,7,0),"無")</f>
        <v>-5</v>
      </c>
      <c r="F395" s="6">
        <f>IFERROR(VLOOKUP($G395,基本資料!$A:$J,8,0),"無")</f>
        <v>-3.44</v>
      </c>
      <c r="G395" s="79">
        <v>6589</v>
      </c>
      <c r="H395" s="8" t="s">
        <v>309</v>
      </c>
      <c r="I395" s="16" t="s">
        <v>3846</v>
      </c>
      <c r="J395" s="8" t="str">
        <f>IFERROR(VLOOKUP($G395,今日總結!$A:$AJ,35,0),"")</f>
        <v/>
      </c>
      <c r="K395" s="5" t="str">
        <f>IFERROR(VLOOKUP($G395,今日總結!$A:$AJ,36,0),"")</f>
        <v/>
      </c>
      <c r="L395" s="156" t="str">
        <f>IFERROR(VLOOKUP($G395,今日總結!$A:$AJ,33,0),"")</f>
        <v/>
      </c>
      <c r="M395" s="340" t="str">
        <f>IFERROR(VLOOKUP($G395,今日總結!$A:$AJ,34,0),"")</f>
        <v/>
      </c>
      <c r="N395" s="240" t="str">
        <f t="shared" si="77"/>
        <v/>
      </c>
      <c r="P395" s="365" t="str">
        <f>IFERROR(VLOOKUP($G395,融外自投!$A:$J,7,0),"無")</f>
        <v>無</v>
      </c>
      <c r="Q395" s="79" t="str">
        <f>IFERROR(VLOOKUP($G395,融外自投!$A:$J,9,0),"無")</f>
        <v>無</v>
      </c>
      <c r="R395" s="346" t="str">
        <f>IFERROR(VLOOKUP($G395,融外自投!$A:$J,8,0),"無")</f>
        <v>無</v>
      </c>
      <c r="S395" s="81" t="str">
        <f>IFERROR(VLOOKUP($G395,融外自投!$A:$J,10,0),"無")</f>
        <v>無</v>
      </c>
      <c r="T395" s="327" t="str">
        <f>IFERROR(VLOOKUP($G395,'321買'!$A:$E,5,0),"'沒有資料'")</f>
        <v>'沒有資料'</v>
      </c>
      <c r="U395" s="186">
        <f>IFERROR(VLOOKUP($G395,基本資料!$A:$J,9,0),"無")</f>
        <v>0</v>
      </c>
      <c r="V395" s="310">
        <f t="shared" si="78"/>
        <v>0</v>
      </c>
      <c r="W395" s="94">
        <f>IFERROR(VLOOKUP($G395,基本資料!$A:$J,10,0),"無")</f>
        <v>-0.18</v>
      </c>
      <c r="X395" s="36">
        <f>RTD("money.excel",,"6589","Price")</f>
        <v>76</v>
      </c>
      <c r="Y395" s="66"/>
      <c r="Z395" s="15">
        <f t="shared" si="79"/>
        <v>76</v>
      </c>
      <c r="AA395" s="3" t="e">
        <f t="shared" si="80"/>
        <v>#DIV/0!</v>
      </c>
      <c r="AB395" s="344">
        <f>IFERROR(VLOOKUP($G395,基本資料!$A:$M,11,0),"無")</f>
        <v>-60.97</v>
      </c>
      <c r="AC395" s="397">
        <f>IFERROR(VLOOKUP($G395,基本資料!$A:$M,12,0),"無")</f>
        <v>7.8</v>
      </c>
      <c r="AD395" s="16" t="s">
        <v>3846</v>
      </c>
      <c r="AG395" s="33">
        <f t="shared" si="81"/>
        <v>0</v>
      </c>
      <c r="AH395" s="43" t="s">
        <v>2454</v>
      </c>
      <c r="AI395" s="63">
        <f t="shared" si="83"/>
        <v>1.9848584595128374E-3</v>
      </c>
      <c r="AJ395" s="284">
        <f>RTD("money.excel",,$G395,"PredictVolume")</f>
        <v>603</v>
      </c>
      <c r="AK395" s="399">
        <f>IFERROR(VLOOKUP($G395,基本資料!$A:$M,13,0),"無")</f>
        <v>6.78</v>
      </c>
    </row>
    <row r="396" spans="1:37">
      <c r="A396" s="347">
        <f>IFERROR(VLOOKUP($G396,基本資料!$A:$J,3,0),"無")</f>
        <v>8.17</v>
      </c>
      <c r="B396" s="79">
        <f>IFERROR(VLOOKUP($G396,基本資料!$A:$J,4,0),"無")</f>
        <v>-59</v>
      </c>
      <c r="C396" s="79">
        <f>IFERROR(VLOOKUP($G396,基本資料!$A:$J,5,0),"無")</f>
        <v>-23</v>
      </c>
      <c r="D396" s="79">
        <f>IFERROR(VLOOKUP($G396,基本資料!$A:$J,6,0),"無")</f>
        <v>146</v>
      </c>
      <c r="E396" s="79">
        <f>IFERROR(VLOOKUP($G396,基本資料!$A:$J,7,0),"無")</f>
        <v>-35</v>
      </c>
      <c r="F396" s="6">
        <f>IFERROR(VLOOKUP($G396,基本資料!$A:$J,8,0),"無")</f>
        <v>-51.55</v>
      </c>
      <c r="G396" s="79">
        <v>6598</v>
      </c>
      <c r="H396" s="8" t="s">
        <v>309</v>
      </c>
      <c r="I396" s="22" t="s">
        <v>3847</v>
      </c>
      <c r="J396" s="8">
        <f>IFERROR(VLOOKUP($G396,今日總結!$A:$AJ,35,0),"")</f>
        <v>52</v>
      </c>
      <c r="K396" s="5">
        <f>IFERROR(VLOOKUP($G396,今日總結!$A:$AJ,36,0),"")</f>
        <v>0</v>
      </c>
      <c r="L396" s="156">
        <f>IFERROR(VLOOKUP($G396,今日總結!$A:$AJ,33,0),"")</f>
        <v>2</v>
      </c>
      <c r="M396" s="340">
        <f>IFERROR(VLOOKUP($G396,今日總結!$A:$AJ,34,0),"")</f>
        <v>0</v>
      </c>
      <c r="N396" s="240">
        <f t="shared" ref="N396:N414" si="84">IFERROR(L396-M396,"")</f>
        <v>2</v>
      </c>
      <c r="P396" s="365">
        <f>IFERROR(VLOOKUP($G396,融外自投!$A:$J,7,0),"無")</f>
        <v>479</v>
      </c>
      <c r="Q396" s="79">
        <f>IFERROR(VLOOKUP($G396,融外自投!$A:$J,9,0),"無")</f>
        <v>789</v>
      </c>
      <c r="R396" s="346">
        <f>IFERROR(VLOOKUP($G396,融外自投!$A:$J,8,0),"無")</f>
        <v>152</v>
      </c>
      <c r="S396" s="81" t="str">
        <f>IFERROR(VLOOKUP($G396,融外自投!$A:$J,10,0),"無")</f>
        <v>無</v>
      </c>
      <c r="T396" s="327">
        <f>IFERROR(VLOOKUP($G396,'321買'!$A:$E,5,0),"'沒有資料'")</f>
        <v>915</v>
      </c>
      <c r="U396" s="186">
        <f>IFERROR(VLOOKUP($G396,基本資料!$A:$J,9,0),"無")</f>
        <v>0</v>
      </c>
      <c r="V396" s="310">
        <f t="shared" si="78"/>
        <v>0</v>
      </c>
      <c r="W396" s="94">
        <f>IFERROR(VLOOKUP($G396,基本資料!$A:$J,10,0),"無")</f>
        <v>-2.02</v>
      </c>
      <c r="X396" s="36">
        <f>RTD("money.excel",,"6598","Price")</f>
        <v>36.700000000000003</v>
      </c>
      <c r="Y396" s="66"/>
      <c r="Z396" s="15">
        <f t="shared" si="79"/>
        <v>36.700000000000003</v>
      </c>
      <c r="AA396" s="3" t="e">
        <f t="shared" si="80"/>
        <v>#DIV/0!</v>
      </c>
      <c r="AB396" s="344">
        <f>IFERROR(VLOOKUP($G396,基本資料!$A:$M,11,0),"無")</f>
        <v>-35.75</v>
      </c>
      <c r="AC396" s="397">
        <f>IFERROR(VLOOKUP($G396,基本資料!$A:$M,12,0),"無")</f>
        <v>41.98</v>
      </c>
      <c r="AD396" s="22" t="s">
        <v>3847</v>
      </c>
      <c r="AG396" s="33">
        <f t="shared" si="81"/>
        <v>0</v>
      </c>
      <c r="AH396" s="43" t="s">
        <v>1921</v>
      </c>
      <c r="AI396" s="63">
        <f t="shared" si="83"/>
        <v>8.9840881272949813E-2</v>
      </c>
      <c r="AJ396" s="284">
        <f>RTD("money.excel",,$G396,"PredictVolume")</f>
        <v>7340</v>
      </c>
      <c r="AK396" s="399">
        <f>IFERROR(VLOOKUP($G396,基本資料!$A:$M,13,0),"無")</f>
        <v>54.09</v>
      </c>
    </row>
    <row r="397" spans="1:37">
      <c r="A397" s="347">
        <f>IFERROR(VLOOKUP($G397,基本資料!$A:$J,3,0),"無")</f>
        <v>3.39</v>
      </c>
      <c r="B397" s="79">
        <f>IFERROR(VLOOKUP($G397,基本資料!$A:$J,4,0),"無")</f>
        <v>1</v>
      </c>
      <c r="C397" s="79">
        <f>IFERROR(VLOOKUP($G397,基本資料!$A:$J,5,0),"無")</f>
        <v>11</v>
      </c>
      <c r="D397" s="79">
        <f>IFERROR(VLOOKUP($G397,基本資料!$A:$J,6,0),"無")</f>
        <v>-15</v>
      </c>
      <c r="E397" s="79">
        <f>IFERROR(VLOOKUP($G397,基本資料!$A:$J,7,0),"無")</f>
        <v>15</v>
      </c>
      <c r="F397" s="6">
        <f>IFERROR(VLOOKUP($G397,基本資料!$A:$J,8,0),"無")</f>
        <v>22.3</v>
      </c>
      <c r="G397" s="79">
        <v>6612</v>
      </c>
      <c r="H397" s="8" t="s">
        <v>309</v>
      </c>
      <c r="I397" s="16" t="s">
        <v>3848</v>
      </c>
      <c r="J397" s="8">
        <f>IFERROR(VLOOKUP($G397,今日總結!$A:$AJ,35,0),"")</f>
        <v>0</v>
      </c>
      <c r="K397" s="5">
        <f>IFERROR(VLOOKUP($G397,今日總結!$A:$AJ,36,0),"")</f>
        <v>0</v>
      </c>
      <c r="L397" s="156">
        <f>IFERROR(VLOOKUP($G397,今日總結!$A:$AJ,33,0),"")</f>
        <v>0</v>
      </c>
      <c r="M397" s="340">
        <f>IFERROR(VLOOKUP($G397,今日總結!$A:$AJ,34,0),"")</f>
        <v>1</v>
      </c>
      <c r="N397" s="240">
        <f t="shared" si="84"/>
        <v>-1</v>
      </c>
      <c r="P397" s="365">
        <f>IFERROR(VLOOKUP($G397,融外自投!$A:$J,7,0),"無")</f>
        <v>1009</v>
      </c>
      <c r="Q397" s="79">
        <f>IFERROR(VLOOKUP($G397,融外自投!$A:$J,9,0),"無")</f>
        <v>502</v>
      </c>
      <c r="R397" s="346">
        <f>IFERROR(VLOOKUP($G397,融外自投!$A:$J,8,0),"無")</f>
        <v>181</v>
      </c>
      <c r="S397" s="81">
        <f>IFERROR(VLOOKUP($G397,融外自投!$A:$J,10,0),"無")</f>
        <v>305</v>
      </c>
      <c r="T397" s="327">
        <f>IFERROR(VLOOKUP($G397,'321買'!$A:$E,5,0),"'沒有資料'")</f>
        <v>1179</v>
      </c>
      <c r="U397" s="186">
        <f>IFERROR(VLOOKUP($G397,基本資料!$A:$J,9,0),"無")</f>
        <v>0.5</v>
      </c>
      <c r="V397" s="310">
        <f t="shared" si="78"/>
        <v>6.6137566137566143E-3</v>
      </c>
      <c r="W397" s="94">
        <f>IFERROR(VLOOKUP($G397,基本資料!$A:$J,10,0),"無")</f>
        <v>1.74</v>
      </c>
      <c r="X397" s="36">
        <f>RTD("money.excel",,"6612","Price")</f>
        <v>75.599999999999994</v>
      </c>
      <c r="Y397" s="66"/>
      <c r="Z397" s="15">
        <f t="shared" si="79"/>
        <v>75.599999999999994</v>
      </c>
      <c r="AA397" s="3" t="e">
        <f t="shared" si="80"/>
        <v>#DIV/0!</v>
      </c>
      <c r="AB397" s="344">
        <f>IFERROR(VLOOKUP($G397,基本資料!$A:$M,11,0),"無")</f>
        <v>-25.34</v>
      </c>
      <c r="AC397" s="397">
        <f>IFERROR(VLOOKUP($G397,基本資料!$A:$M,12,0),"無")</f>
        <v>31.87</v>
      </c>
      <c r="AD397" s="16" t="s">
        <v>3848</v>
      </c>
      <c r="AG397" s="33">
        <f t="shared" si="81"/>
        <v>0</v>
      </c>
      <c r="AH397" s="43" t="s">
        <v>3849</v>
      </c>
      <c r="AI397" s="63">
        <f t="shared" si="83"/>
        <v>7.0796460176991152E-4</v>
      </c>
      <c r="AJ397" s="284">
        <f>RTD("money.excel",,$G397,"PredictVolume")</f>
        <v>24</v>
      </c>
      <c r="AK397" s="399">
        <f>IFERROR(VLOOKUP($G397,基本資料!$A:$M,13,0),"無")</f>
        <v>6.24</v>
      </c>
    </row>
    <row r="398" spans="1:37">
      <c r="A398" s="347">
        <f>IFERROR(VLOOKUP($G398,基本資料!$A:$J,3,0),"無")</f>
        <v>2.13</v>
      </c>
      <c r="B398" s="79">
        <f>IFERROR(VLOOKUP($G398,基本資料!$A:$J,4,0),"無")</f>
        <v>65</v>
      </c>
      <c r="C398" s="79">
        <f>IFERROR(VLOOKUP($G398,基本資料!$A:$J,5,0),"無")</f>
        <v>68</v>
      </c>
      <c r="D398" s="79">
        <f>IFERROR(VLOOKUP($G398,基本資料!$A:$J,6,0),"無")</f>
        <v>33</v>
      </c>
      <c r="E398" s="79">
        <f>IFERROR(VLOOKUP($G398,基本資料!$A:$J,7,0),"無")</f>
        <v>2</v>
      </c>
      <c r="F398" s="6">
        <f>IFERROR(VLOOKUP($G398,基本資料!$A:$J,8,0),"無")</f>
        <v>6.93</v>
      </c>
      <c r="G398" s="79">
        <v>6615</v>
      </c>
      <c r="H398" s="8" t="s">
        <v>309</v>
      </c>
      <c r="I398" s="16" t="s">
        <v>3850</v>
      </c>
      <c r="J398" s="8" t="str">
        <f>IFERROR(VLOOKUP($G398,今日總結!$A:$AJ,35,0),"")</f>
        <v/>
      </c>
      <c r="K398" s="5" t="str">
        <f>IFERROR(VLOOKUP($G398,今日總結!$A:$AJ,36,0),"")</f>
        <v/>
      </c>
      <c r="L398" s="156" t="str">
        <f>IFERROR(VLOOKUP($G398,今日總結!$A:$AJ,33,0),"")</f>
        <v/>
      </c>
      <c r="M398" s="340" t="str">
        <f>IFERROR(VLOOKUP($G398,今日總結!$A:$AJ,34,0),"")</f>
        <v/>
      </c>
      <c r="N398" s="240" t="str">
        <f t="shared" si="84"/>
        <v/>
      </c>
      <c r="P398" s="365" t="str">
        <f>IFERROR(VLOOKUP($G398,融外自投!$A:$J,7,0),"無")</f>
        <v>無</v>
      </c>
      <c r="Q398" s="79" t="str">
        <f>IFERROR(VLOOKUP($G398,融外自投!$A:$J,9,0),"無")</f>
        <v>無</v>
      </c>
      <c r="R398" s="346" t="str">
        <f>IFERROR(VLOOKUP($G398,融外自投!$A:$J,8,0),"無")</f>
        <v>無</v>
      </c>
      <c r="S398" s="81" t="str">
        <f>IFERROR(VLOOKUP($G398,融外自投!$A:$J,10,0),"無")</f>
        <v>無</v>
      </c>
      <c r="T398" s="327" t="str">
        <f>IFERROR(VLOOKUP($G398,'321買'!$A:$E,5,0),"'沒有資料'")</f>
        <v>'沒有資料'</v>
      </c>
      <c r="U398" s="186">
        <f>IFERROR(VLOOKUP($G398,基本資料!$A:$J,9,0),"無")</f>
        <v>2</v>
      </c>
      <c r="V398" s="310">
        <f t="shared" si="78"/>
        <v>4.4742729306487691E-2</v>
      </c>
      <c r="W398" s="94">
        <f>IFERROR(VLOOKUP($G398,基本資料!$A:$J,10,0),"無")</f>
        <v>2.68</v>
      </c>
      <c r="X398" s="36">
        <f>RTD("money.excel",,"6615","Price")</f>
        <v>44.7</v>
      </c>
      <c r="Y398" s="66"/>
      <c r="Z398" s="15">
        <f t="shared" si="79"/>
        <v>44.7</v>
      </c>
      <c r="AA398" s="3" t="e">
        <f t="shared" si="80"/>
        <v>#DIV/0!</v>
      </c>
      <c r="AB398" s="344">
        <f>IFERROR(VLOOKUP($G398,基本資料!$A:$M,11,0),"無")</f>
        <v>-16.309999999999999</v>
      </c>
      <c r="AC398" s="397">
        <f>IFERROR(VLOOKUP($G398,基本資料!$A:$M,12,0),"無")</f>
        <v>46.55</v>
      </c>
      <c r="AD398" s="16" t="s">
        <v>3850</v>
      </c>
      <c r="AG398" s="33">
        <f t="shared" si="81"/>
        <v>0</v>
      </c>
      <c r="AH398" s="43" t="s">
        <v>3851</v>
      </c>
      <c r="AI398" s="63">
        <f t="shared" si="83"/>
        <v>2.2535211267605635E-3</v>
      </c>
      <c r="AJ398" s="284">
        <f>RTD("money.excel",,$G398,"PredictVolume")</f>
        <v>48</v>
      </c>
      <c r="AK398" s="399">
        <f>IFERROR(VLOOKUP($G398,基本資料!$A:$M,13,0),"無")</f>
        <v>1.51</v>
      </c>
    </row>
    <row r="399" spans="1:37">
      <c r="A399" s="347">
        <f>IFERROR(VLOOKUP($G399,基本資料!$A:$J,3,0),"無")</f>
        <v>4.2</v>
      </c>
      <c r="B399" s="79">
        <f>IFERROR(VLOOKUP($G399,基本資料!$A:$J,4,0),"無")</f>
        <v>14</v>
      </c>
      <c r="C399" s="79">
        <f>IFERROR(VLOOKUP($G399,基本資料!$A:$J,5,0),"無")</f>
        <v>12</v>
      </c>
      <c r="D399" s="79">
        <f>IFERROR(VLOOKUP($G399,基本資料!$A:$J,6,0),"無")</f>
        <v>-20</v>
      </c>
      <c r="E399" s="79">
        <f>IFERROR(VLOOKUP($G399,基本資料!$A:$J,7,0),"無")</f>
        <v>106</v>
      </c>
      <c r="F399" s="6">
        <f>IFERROR(VLOOKUP($G399,基本資料!$A:$J,8,0),"無")</f>
        <v>-136.1</v>
      </c>
      <c r="G399" s="79">
        <v>6649</v>
      </c>
      <c r="H399" s="8" t="s">
        <v>309</v>
      </c>
      <c r="I399" s="16" t="s">
        <v>3852</v>
      </c>
      <c r="J399" s="8" t="str">
        <f>IFERROR(VLOOKUP($G399,今日總結!$A:$AJ,35,0),"")</f>
        <v/>
      </c>
      <c r="K399" s="5" t="str">
        <f>IFERROR(VLOOKUP($G399,今日總結!$A:$AJ,36,0),"")</f>
        <v/>
      </c>
      <c r="L399" s="156" t="str">
        <f>IFERROR(VLOOKUP($G399,今日總結!$A:$AJ,33,0),"")</f>
        <v/>
      </c>
      <c r="M399" s="340" t="str">
        <f>IFERROR(VLOOKUP($G399,今日總結!$A:$AJ,34,0),"")</f>
        <v/>
      </c>
      <c r="N399" s="240" t="str">
        <f t="shared" si="84"/>
        <v/>
      </c>
      <c r="P399" s="365" t="str">
        <f>IFERROR(VLOOKUP($G399,融外自投!$A:$J,7,0),"無")</f>
        <v>無</v>
      </c>
      <c r="Q399" s="79" t="str">
        <f>IFERROR(VLOOKUP($G399,融外自投!$A:$J,9,0),"無")</f>
        <v>無</v>
      </c>
      <c r="R399" s="346" t="str">
        <f>IFERROR(VLOOKUP($G399,融外自投!$A:$J,8,0),"無")</f>
        <v>無</v>
      </c>
      <c r="S399" s="81" t="str">
        <f>IFERROR(VLOOKUP($G399,融外自投!$A:$J,10,0),"無")</f>
        <v>無</v>
      </c>
      <c r="T399" s="327" t="str">
        <f>IFERROR(VLOOKUP($G399,'321買'!$A:$E,5,0),"'沒有資料'")</f>
        <v>'沒有資料'</v>
      </c>
      <c r="U399" s="186">
        <f>IFERROR(VLOOKUP($G399,基本資料!$A:$J,9,0),"無")</f>
        <v>0</v>
      </c>
      <c r="V399" s="310">
        <f t="shared" si="78"/>
        <v>0</v>
      </c>
      <c r="W399" s="94">
        <f>IFERROR(VLOOKUP($G399,基本資料!$A:$J,10,0),"無")</f>
        <v>-1.44</v>
      </c>
      <c r="X399" s="36">
        <f>RTD("money.excel",,"6649","Price")</f>
        <v>23.2</v>
      </c>
      <c r="Y399" s="66"/>
      <c r="Z399" s="15">
        <f t="shared" si="79"/>
        <v>23.2</v>
      </c>
      <c r="AA399" s="3" t="e">
        <f t="shared" si="80"/>
        <v>#DIV/0!</v>
      </c>
      <c r="AB399" s="344">
        <f>IFERROR(VLOOKUP($G399,基本資料!$A:$M,11,0),"無")</f>
        <v>-22.92</v>
      </c>
      <c r="AC399" s="397">
        <f>IFERROR(VLOOKUP($G399,基本資料!$A:$M,12,0),"無")</f>
        <v>38.92</v>
      </c>
      <c r="AD399" s="16" t="s">
        <v>3852</v>
      </c>
      <c r="AG399" s="33">
        <f t="shared" si="81"/>
        <v>0</v>
      </c>
      <c r="AH399" s="43" t="s">
        <v>3853</v>
      </c>
      <c r="AI399" s="63">
        <f t="shared" si="83"/>
        <v>1.1904761904761905E-4</v>
      </c>
      <c r="AJ399" s="284">
        <f>RTD("money.excel",,$G399,"PredictVolume")</f>
        <v>5</v>
      </c>
      <c r="AK399" s="399">
        <f>IFERROR(VLOOKUP($G399,基本資料!$A:$M,13,0),"無")</f>
        <v>0.69</v>
      </c>
    </row>
    <row r="400" spans="1:37">
      <c r="A400" s="347">
        <f>IFERROR(VLOOKUP($G400,基本資料!$A:$J,3,0),"無")</f>
        <v>2.33</v>
      </c>
      <c r="B400" s="79">
        <f>IFERROR(VLOOKUP($G400,基本資料!$A:$J,4,0),"無")</f>
        <v>-53</v>
      </c>
      <c r="C400" s="79">
        <f>IFERROR(VLOOKUP($G400,基本資料!$A:$J,5,0),"無")</f>
        <v>-59</v>
      </c>
      <c r="D400" s="79">
        <f>IFERROR(VLOOKUP($G400,基本資料!$A:$J,6,0),"無")</f>
        <v>26</v>
      </c>
      <c r="E400" s="79">
        <f>IFERROR(VLOOKUP($G400,基本資料!$A:$J,7,0),"無")</f>
        <v>60</v>
      </c>
      <c r="F400" s="6">
        <f>IFERROR(VLOOKUP($G400,基本資料!$A:$J,8,0),"無")</f>
        <v>4.6399999999999997</v>
      </c>
      <c r="G400" s="79">
        <v>6661</v>
      </c>
      <c r="H400" s="8" t="s">
        <v>309</v>
      </c>
      <c r="I400" s="16" t="s">
        <v>3854</v>
      </c>
      <c r="J400" s="8" t="str">
        <f>IFERROR(VLOOKUP($G400,今日總結!$A:$AJ,35,0),"")</f>
        <v/>
      </c>
      <c r="K400" s="5" t="str">
        <f>IFERROR(VLOOKUP($G400,今日總結!$A:$AJ,36,0),"")</f>
        <v/>
      </c>
      <c r="L400" s="156" t="str">
        <f>IFERROR(VLOOKUP($G400,今日總結!$A:$AJ,33,0),"")</f>
        <v/>
      </c>
      <c r="M400" s="340" t="str">
        <f>IFERROR(VLOOKUP($G400,今日總結!$A:$AJ,34,0),"")</f>
        <v/>
      </c>
      <c r="N400" s="240" t="str">
        <f t="shared" si="84"/>
        <v/>
      </c>
      <c r="P400" s="365" t="str">
        <f>IFERROR(VLOOKUP($G400,融外自投!$A:$J,7,0),"無")</f>
        <v>無</v>
      </c>
      <c r="Q400" s="79" t="str">
        <f>IFERROR(VLOOKUP($G400,融外自投!$A:$J,9,0),"無")</f>
        <v>無</v>
      </c>
      <c r="R400" s="346" t="str">
        <f>IFERROR(VLOOKUP($G400,融外自投!$A:$J,8,0),"無")</f>
        <v>無</v>
      </c>
      <c r="S400" s="81" t="str">
        <f>IFERROR(VLOOKUP($G400,融外自投!$A:$J,10,0),"無")</f>
        <v>無</v>
      </c>
      <c r="T400" s="327" t="str">
        <f>IFERROR(VLOOKUP($G400,'321買'!$A:$E,5,0),"'沒有資料'")</f>
        <v>'沒有資料'</v>
      </c>
      <c r="U400" s="186">
        <f>IFERROR(VLOOKUP($G400,基本資料!$A:$J,9,0),"無")</f>
        <v>0.48</v>
      </c>
      <c r="V400" s="310">
        <f t="shared" si="78"/>
        <v>2.1621621621621623E-2</v>
      </c>
      <c r="W400" s="94">
        <f>IFERROR(VLOOKUP($G400,基本資料!$A:$J,10,0),"無")</f>
        <v>0.59</v>
      </c>
      <c r="X400" s="36">
        <f>RTD("money.excel",,"6661","Price")</f>
        <v>22.2</v>
      </c>
      <c r="Y400" s="66"/>
      <c r="Z400" s="15">
        <f t="shared" si="79"/>
        <v>22.2</v>
      </c>
      <c r="AA400" s="3" t="e">
        <f t="shared" si="80"/>
        <v>#DIV/0!</v>
      </c>
      <c r="AB400" s="344">
        <f>IFERROR(VLOOKUP($G400,基本資料!$A:$M,11,0),"無")</f>
        <v>-21.38</v>
      </c>
      <c r="AC400" s="397">
        <f>IFERROR(VLOOKUP($G400,基本資料!$A:$M,12,0),"無")</f>
        <v>54.81</v>
      </c>
      <c r="AD400" s="16" t="s">
        <v>3854</v>
      </c>
      <c r="AG400" s="33">
        <f t="shared" si="81"/>
        <v>0</v>
      </c>
      <c r="AH400" s="43" t="s">
        <v>2289</v>
      </c>
      <c r="AI400" s="63">
        <f t="shared" si="83"/>
        <v>1.2875536480686696E-4</v>
      </c>
      <c r="AJ400" s="284">
        <f>RTD("money.excel",,$G400,"PredictVolume")</f>
        <v>3</v>
      </c>
      <c r="AK400" s="399">
        <f>IFERROR(VLOOKUP($G400,基本資料!$A:$M,13,0),"無")</f>
        <v>0.42</v>
      </c>
    </row>
    <row r="401" spans="1:37">
      <c r="A401" s="347">
        <f>IFERROR(VLOOKUP($G401,基本資料!$A:$J,3,0),"無")</f>
        <v>2.56</v>
      </c>
      <c r="B401" s="79">
        <f>IFERROR(VLOOKUP($G401,基本資料!$A:$J,4,0),"無")</f>
        <v>-28</v>
      </c>
      <c r="C401" s="79">
        <f>IFERROR(VLOOKUP($G401,基本資料!$A:$J,5,0),"無")</f>
        <v>-30</v>
      </c>
      <c r="D401" s="79">
        <f>IFERROR(VLOOKUP($G401,基本資料!$A:$J,6,0),"無")</f>
        <v>-28</v>
      </c>
      <c r="E401" s="79">
        <f>IFERROR(VLOOKUP($G401,基本資料!$A:$J,7,0),"無")</f>
        <v>-37</v>
      </c>
      <c r="F401" s="6">
        <f>IFERROR(VLOOKUP($G401,基本資料!$A:$J,8,0),"無")</f>
        <v>23.68</v>
      </c>
      <c r="G401" s="79">
        <v>6662</v>
      </c>
      <c r="H401" s="8" t="s">
        <v>309</v>
      </c>
      <c r="I401" s="16" t="s">
        <v>3855</v>
      </c>
      <c r="J401" s="8" t="str">
        <f>IFERROR(VLOOKUP($G401,今日總結!$A:$AJ,35,0),"")</f>
        <v/>
      </c>
      <c r="K401" s="5" t="str">
        <f>IFERROR(VLOOKUP($G401,今日總結!$A:$AJ,36,0),"")</f>
        <v/>
      </c>
      <c r="L401" s="156" t="str">
        <f>IFERROR(VLOOKUP($G401,今日總結!$A:$AJ,33,0),"")</f>
        <v/>
      </c>
      <c r="M401" s="340" t="str">
        <f>IFERROR(VLOOKUP($G401,今日總結!$A:$AJ,34,0),"")</f>
        <v/>
      </c>
      <c r="N401" s="240" t="str">
        <f t="shared" si="84"/>
        <v/>
      </c>
      <c r="P401" s="365" t="str">
        <f>IFERROR(VLOOKUP($G401,融外自投!$A:$J,7,0),"無")</f>
        <v>無</v>
      </c>
      <c r="Q401" s="79" t="str">
        <f>IFERROR(VLOOKUP($G401,融外自投!$A:$J,9,0),"無")</f>
        <v>無</v>
      </c>
      <c r="R401" s="346" t="str">
        <f>IFERROR(VLOOKUP($G401,融外自投!$A:$J,8,0),"無")</f>
        <v>無</v>
      </c>
      <c r="S401" s="81" t="str">
        <f>IFERROR(VLOOKUP($G401,融外自投!$A:$J,10,0),"無")</f>
        <v>無</v>
      </c>
      <c r="T401" s="327" t="str">
        <f>IFERROR(VLOOKUP($G401,'321買'!$A:$E,5,0),"'沒有資料'")</f>
        <v>'沒有資料'</v>
      </c>
      <c r="U401" s="186">
        <f>IFERROR(VLOOKUP($G401,基本資料!$A:$J,9,0),"無")</f>
        <v>1.6</v>
      </c>
      <c r="V401" s="310">
        <f t="shared" si="78"/>
        <v>3.5794183445190156E-2</v>
      </c>
      <c r="W401" s="94">
        <f>IFERROR(VLOOKUP($G401,基本資料!$A:$J,10,0),"無")</f>
        <v>1.76</v>
      </c>
      <c r="X401" s="36">
        <f>RTD("money.excel",,"6615","Price")</f>
        <v>44.7</v>
      </c>
      <c r="Y401" s="66"/>
      <c r="Z401" s="15">
        <f t="shared" si="79"/>
        <v>44.7</v>
      </c>
      <c r="AA401" s="3" t="e">
        <f t="shared" si="80"/>
        <v>#DIV/0!</v>
      </c>
      <c r="AB401" s="344">
        <f>IFERROR(VLOOKUP($G401,基本資料!$A:$M,11,0),"無")</f>
        <v>-19.010000000000002</v>
      </c>
      <c r="AC401" s="397">
        <f>IFERROR(VLOOKUP($G401,基本資料!$A:$M,12,0),"無")</f>
        <v>27.77</v>
      </c>
      <c r="AD401" s="16" t="s">
        <v>3855</v>
      </c>
      <c r="AG401" s="33">
        <f t="shared" si="81"/>
        <v>0</v>
      </c>
      <c r="AH401" s="43" t="s">
        <v>3856</v>
      </c>
      <c r="AI401" s="63">
        <f t="shared" si="83"/>
        <v>8.9843750000000004E-4</v>
      </c>
      <c r="AJ401" s="284">
        <f>RTD("money.excel",,$G401,"PredictVolume")</f>
        <v>23</v>
      </c>
      <c r="AK401" s="399">
        <f>IFERROR(VLOOKUP($G401,基本資料!$A:$M,13,0),"無")</f>
        <v>2.65</v>
      </c>
    </row>
    <row r="402" spans="1:37">
      <c r="A402" s="347">
        <f>IFERROR(VLOOKUP($G402,基本資料!$A:$J,3,0),"無")</f>
        <v>4.7300000000000004</v>
      </c>
      <c r="B402" s="79">
        <f>IFERROR(VLOOKUP($G402,基本資料!$A:$J,4,0),"無")</f>
        <v>-33</v>
      </c>
      <c r="C402" s="79">
        <f>IFERROR(VLOOKUP($G402,基本資料!$A:$J,5,0),"無")</f>
        <v>-10</v>
      </c>
      <c r="D402" s="79">
        <f>IFERROR(VLOOKUP($G402,基本資料!$A:$J,6,0),"無")</f>
        <v>68</v>
      </c>
      <c r="E402" s="79">
        <f>IFERROR(VLOOKUP($G402,基本資料!$A:$J,7,0),"無")</f>
        <v>-12</v>
      </c>
      <c r="F402" s="6">
        <f>IFERROR(VLOOKUP($G402,基本資料!$A:$J,8,0),"無")</f>
        <v>5.8</v>
      </c>
      <c r="G402" s="79">
        <v>6666</v>
      </c>
      <c r="H402" s="8" t="s">
        <v>309</v>
      </c>
      <c r="I402" s="22" t="s">
        <v>3857</v>
      </c>
      <c r="J402" s="8" t="str">
        <f>IFERROR(VLOOKUP($G402,今日總結!$A:$AJ,35,0),"")</f>
        <v/>
      </c>
      <c r="K402" s="5" t="str">
        <f>IFERROR(VLOOKUP($G402,今日總結!$A:$AJ,36,0),"")</f>
        <v/>
      </c>
      <c r="L402" s="156" t="str">
        <f>IFERROR(VLOOKUP($G402,今日總結!$A:$AJ,33,0),"")</f>
        <v/>
      </c>
      <c r="M402" s="340" t="str">
        <f>IFERROR(VLOOKUP($G402,今日總結!$A:$AJ,34,0),"")</f>
        <v/>
      </c>
      <c r="N402" s="240" t="str">
        <f t="shared" si="84"/>
        <v/>
      </c>
      <c r="P402" s="365">
        <f>IFERROR(VLOOKUP($G402,融外自投!$A:$J,7,0),"無")</f>
        <v>1181</v>
      </c>
      <c r="Q402" s="79">
        <f>IFERROR(VLOOKUP($G402,融外自投!$A:$J,9,0),"無")</f>
        <v>978</v>
      </c>
      <c r="R402" s="346">
        <f>IFERROR(VLOOKUP($G402,融外自投!$A:$J,8,0),"無")</f>
        <v>10</v>
      </c>
      <c r="S402" s="81" t="str">
        <f>IFERROR(VLOOKUP($G402,融外自投!$A:$J,10,0),"無")</f>
        <v>無</v>
      </c>
      <c r="T402" s="327">
        <f>IFERROR(VLOOKUP($G402,'321買'!$A:$E,5,0),"'沒有資料'")</f>
        <v>1338</v>
      </c>
      <c r="U402" s="186">
        <f>IFERROR(VLOOKUP($G402,基本資料!$A:$J,9,0),"無")</f>
        <v>1.5</v>
      </c>
      <c r="V402" s="310">
        <f t="shared" si="78"/>
        <v>2.8571428571428571E-2</v>
      </c>
      <c r="W402" s="94">
        <f>IFERROR(VLOOKUP($G402,基本資料!$A:$J,10,0),"無")</f>
        <v>1.48</v>
      </c>
      <c r="X402" s="36">
        <f>RTD("money.excel",,"6666","Price")</f>
        <v>52.5</v>
      </c>
      <c r="Y402" s="66"/>
      <c r="Z402" s="15">
        <f t="shared" si="79"/>
        <v>52.5</v>
      </c>
      <c r="AA402" s="3" t="e">
        <f t="shared" si="80"/>
        <v>#DIV/0!</v>
      </c>
      <c r="AB402" s="344">
        <f>IFERROR(VLOOKUP($G402,基本資料!$A:$M,11,0),"無")</f>
        <v>-34.86</v>
      </c>
      <c r="AC402" s="397">
        <f>IFERROR(VLOOKUP($G402,基本資料!$A:$M,12,0),"無")</f>
        <v>14.73</v>
      </c>
      <c r="AD402" s="22" t="s">
        <v>3857</v>
      </c>
      <c r="AG402" s="33">
        <f t="shared" si="81"/>
        <v>0</v>
      </c>
      <c r="AH402" s="43" t="s">
        <v>3858</v>
      </c>
      <c r="AI402" s="63">
        <f t="shared" si="83"/>
        <v>3.8054968287526419E-4</v>
      </c>
      <c r="AJ402" s="284">
        <f>RTD("money.excel",,$G402,"PredictVolume")</f>
        <v>18</v>
      </c>
      <c r="AK402" s="399">
        <f>IFERROR(VLOOKUP($G402,基本資料!$A:$M,13,0),"無")</f>
        <v>0.24</v>
      </c>
    </row>
    <row r="403" spans="1:37">
      <c r="A403" s="347">
        <f>IFERROR(VLOOKUP($G403,基本資料!$A:$J,3,0),"無")</f>
        <v>2.08</v>
      </c>
      <c r="B403" s="79">
        <f>IFERROR(VLOOKUP($G403,基本資料!$A:$J,4,0),"無")</f>
        <v>17</v>
      </c>
      <c r="C403" s="79">
        <f>IFERROR(VLOOKUP($G403,基本資料!$A:$J,5,0),"無")</f>
        <v>18</v>
      </c>
      <c r="D403" s="79">
        <f>IFERROR(VLOOKUP($G403,基本資料!$A:$J,6,0),"無")</f>
        <v>2</v>
      </c>
      <c r="E403" s="79">
        <f>IFERROR(VLOOKUP($G403,基本資料!$A:$J,7,0),"無")</f>
        <v>26</v>
      </c>
      <c r="F403" s="6">
        <f>IFERROR(VLOOKUP($G403,基本資料!$A:$J,8,0),"無")</f>
        <v>13.83</v>
      </c>
      <c r="G403" s="79">
        <v>6703</v>
      </c>
      <c r="H403" s="8" t="s">
        <v>309</v>
      </c>
      <c r="I403" s="16" t="s">
        <v>3859</v>
      </c>
      <c r="J403" s="8" t="str">
        <f>IFERROR(VLOOKUP($G403,今日總結!$A:$AJ,35,0),"")</f>
        <v/>
      </c>
      <c r="K403" s="5" t="str">
        <f>IFERROR(VLOOKUP($G403,今日總結!$A:$AJ,36,0),"")</f>
        <v/>
      </c>
      <c r="L403" s="156" t="str">
        <f>IFERROR(VLOOKUP($G403,今日總結!$A:$AJ,33,0),"")</f>
        <v/>
      </c>
      <c r="M403" s="340" t="str">
        <f>IFERROR(VLOOKUP($G403,今日總結!$A:$AJ,34,0),"")</f>
        <v/>
      </c>
      <c r="N403" s="240" t="str">
        <f t="shared" si="84"/>
        <v/>
      </c>
      <c r="P403" s="365" t="str">
        <f>IFERROR(VLOOKUP($G403,融外自投!$A:$J,7,0),"無")</f>
        <v>無</v>
      </c>
      <c r="Q403" s="79" t="str">
        <f>IFERROR(VLOOKUP($G403,融外自投!$A:$J,9,0),"無")</f>
        <v>無</v>
      </c>
      <c r="R403" s="346" t="str">
        <f>IFERROR(VLOOKUP($G403,融外自投!$A:$J,8,0),"無")</f>
        <v>無</v>
      </c>
      <c r="S403" s="81" t="str">
        <f>IFERROR(VLOOKUP($G403,融外自投!$A:$J,10,0),"無")</f>
        <v>無</v>
      </c>
      <c r="T403" s="327" t="str">
        <f>IFERROR(VLOOKUP($G403,'321買'!$A:$E,5,0),"'沒有資料'")</f>
        <v>'沒有資料'</v>
      </c>
      <c r="U403" s="186">
        <f>IFERROR(VLOOKUP($G403,基本資料!$A:$J,9,0),"無")</f>
        <v>8.5</v>
      </c>
      <c r="V403" s="310">
        <f t="shared" si="78"/>
        <v>8.4158415841584164E-2</v>
      </c>
      <c r="W403" s="94">
        <f>IFERROR(VLOOKUP($G403,基本資料!$A:$J,10,0),"無")</f>
        <v>6.84</v>
      </c>
      <c r="X403" s="36">
        <f>RTD("money.excel",,"6703","Price")</f>
        <v>101</v>
      </c>
      <c r="Y403" s="66"/>
      <c r="Z403" s="15">
        <f t="shared" si="79"/>
        <v>101</v>
      </c>
      <c r="AA403" s="3" t="e">
        <f t="shared" si="80"/>
        <v>#DIV/0!</v>
      </c>
      <c r="AB403" s="344">
        <f>IFERROR(VLOOKUP($G403,基本資料!$A:$M,11,0),"無")</f>
        <v>-14.62</v>
      </c>
      <c r="AC403" s="397">
        <f>IFERROR(VLOOKUP($G403,基本資料!$A:$M,12,0),"無")</f>
        <v>58.74</v>
      </c>
      <c r="AD403" s="16" t="s">
        <v>3859</v>
      </c>
      <c r="AG403" s="33">
        <f t="shared" si="81"/>
        <v>0</v>
      </c>
      <c r="AH403" s="43" t="s">
        <v>2039</v>
      </c>
      <c r="AI403" s="63">
        <f t="shared" si="83"/>
        <v>8.6538461538461541E-4</v>
      </c>
      <c r="AJ403" s="284">
        <f>RTD("money.excel",,$G403,"PredictVolume")</f>
        <v>18</v>
      </c>
      <c r="AK403" s="399">
        <f>IFERROR(VLOOKUP($G403,基本資料!$A:$M,13,0),"無")</f>
        <v>2.95</v>
      </c>
    </row>
    <row r="404" spans="1:37">
      <c r="A404" s="347">
        <f>IFERROR(VLOOKUP($G404,基本資料!$A:$J,3,0),"無")</f>
        <v>6.18</v>
      </c>
      <c r="B404" s="79">
        <f>IFERROR(VLOOKUP($G404,基本資料!$A:$J,4,0),"無")</f>
        <v>445</v>
      </c>
      <c r="C404" s="79">
        <f>IFERROR(VLOOKUP($G404,基本資料!$A:$J,5,0),"無")</f>
        <v>173</v>
      </c>
      <c r="D404" s="79">
        <f>IFERROR(VLOOKUP($G404,基本資料!$A:$J,6,0),"無")</f>
        <v>14</v>
      </c>
      <c r="E404" s="79">
        <f>IFERROR(VLOOKUP($G404,基本資料!$A:$J,7,0),"無")</f>
        <v>83</v>
      </c>
      <c r="F404" s="6">
        <f>IFERROR(VLOOKUP($G404,基本資料!$A:$J,8,0),"無")</f>
        <v>26.48</v>
      </c>
      <c r="G404" s="79">
        <v>6712</v>
      </c>
      <c r="H404" s="8" t="s">
        <v>309</v>
      </c>
      <c r="I404" s="16" t="s">
        <v>3860</v>
      </c>
      <c r="J404" s="8" t="str">
        <f>IFERROR(VLOOKUP($G404,今日總結!$A:$AJ,35,0),"")</f>
        <v/>
      </c>
      <c r="K404" s="5" t="str">
        <f>IFERROR(VLOOKUP($G404,今日總結!$A:$AJ,36,0),"")</f>
        <v/>
      </c>
      <c r="L404" s="156" t="str">
        <f>IFERROR(VLOOKUP($G404,今日總結!$A:$AJ,33,0),"")</f>
        <v/>
      </c>
      <c r="M404" s="340" t="str">
        <f>IFERROR(VLOOKUP($G404,今日總結!$A:$AJ,34,0),"")</f>
        <v/>
      </c>
      <c r="N404" s="240" t="str">
        <f t="shared" si="84"/>
        <v/>
      </c>
      <c r="P404" s="365">
        <f>IFERROR(VLOOKUP($G404,融外自投!$A:$J,7,0),"無")</f>
        <v>1198</v>
      </c>
      <c r="Q404" s="79">
        <f>IFERROR(VLOOKUP($G404,融外自投!$A:$J,9,0),"無")</f>
        <v>200</v>
      </c>
      <c r="R404" s="346">
        <f>IFERROR(VLOOKUP($G404,融外自投!$A:$J,8,0),"無")</f>
        <v>1006</v>
      </c>
      <c r="S404" s="81">
        <f>IFERROR(VLOOKUP($G404,融外自投!$A:$J,10,0),"無")</f>
        <v>211</v>
      </c>
      <c r="T404" s="327">
        <f>IFERROR(VLOOKUP($G404,'321買'!$A:$E,5,0),"'沒有資料'")</f>
        <v>1214</v>
      </c>
      <c r="U404" s="186">
        <f>IFERROR(VLOOKUP($G404,基本資料!$A:$J,9,0),"無")</f>
        <v>6</v>
      </c>
      <c r="V404" s="310">
        <f t="shared" si="78"/>
        <v>3.0226700251889168E-2</v>
      </c>
      <c r="W404" s="94">
        <f>IFERROR(VLOOKUP($G404,基本資料!$A:$J,10,0),"無")</f>
        <v>6</v>
      </c>
      <c r="X404" s="36">
        <f>RTD("money.excel",,"6712","Price")</f>
        <v>198.5</v>
      </c>
      <c r="Y404" s="66"/>
      <c r="Z404" s="15">
        <f t="shared" si="79"/>
        <v>198.5</v>
      </c>
      <c r="AA404" s="3" t="e">
        <f t="shared" si="80"/>
        <v>#DIV/0!</v>
      </c>
      <c r="AB404" s="344">
        <f>IFERROR(VLOOKUP($G404,基本資料!$A:$M,11,0),"無")</f>
        <v>-57.11</v>
      </c>
      <c r="AC404" s="397">
        <f>IFERROR(VLOOKUP($G404,基本資料!$A:$M,12,0),"無")</f>
        <v>42.59</v>
      </c>
      <c r="AD404" s="16" t="s">
        <v>3860</v>
      </c>
      <c r="AG404" s="33">
        <f t="shared" si="81"/>
        <v>0</v>
      </c>
      <c r="AH404" s="43" t="s">
        <v>2181</v>
      </c>
      <c r="AI404" s="63">
        <f t="shared" si="83"/>
        <v>1.0080906148867313E-2</v>
      </c>
      <c r="AJ404" s="284">
        <f>RTD("money.excel",,$G404,"PredictVolume")</f>
        <v>623</v>
      </c>
      <c r="AK404" s="399">
        <f>IFERROR(VLOOKUP($G404,基本資料!$A:$M,13,0),"無")</f>
        <v>7.74</v>
      </c>
    </row>
    <row r="405" spans="1:37">
      <c r="A405" s="347">
        <f>IFERROR(VLOOKUP($G405,基本資料!$A:$J,3,0),"無")</f>
        <v>10.3</v>
      </c>
      <c r="B405" s="79">
        <f>IFERROR(VLOOKUP($G405,基本資料!$A:$J,4,0),"無")</f>
        <v>0</v>
      </c>
      <c r="C405" s="79">
        <f>IFERROR(VLOOKUP($G405,基本資料!$A:$J,5,0),"無")</f>
        <v>-22</v>
      </c>
      <c r="D405" s="79">
        <f>IFERROR(VLOOKUP($G405,基本資料!$A:$J,6,0),"無")</f>
        <v>2</v>
      </c>
      <c r="E405" s="79">
        <f>IFERROR(VLOOKUP($G405,基本資料!$A:$J,7,0),"無")</f>
        <v>152</v>
      </c>
      <c r="F405" s="6">
        <f>IFERROR(VLOOKUP($G405,基本資料!$A:$J,8,0),"無")</f>
        <v>-1772.67</v>
      </c>
      <c r="G405" s="79">
        <v>6733</v>
      </c>
      <c r="H405" s="8" t="s">
        <v>309</v>
      </c>
      <c r="I405" s="16" t="s">
        <v>3861</v>
      </c>
      <c r="J405" s="8" t="str">
        <f>IFERROR(VLOOKUP($G405,今日總結!$A:$AJ,35,0),"")</f>
        <v/>
      </c>
      <c r="K405" s="5" t="str">
        <f>IFERROR(VLOOKUP($G405,今日總結!$A:$AJ,36,0),"")</f>
        <v/>
      </c>
      <c r="L405" s="156" t="str">
        <f>IFERROR(VLOOKUP($G405,今日總結!$A:$AJ,33,0),"")</f>
        <v/>
      </c>
      <c r="M405" s="340" t="str">
        <f>IFERROR(VLOOKUP($G405,今日總結!$A:$AJ,34,0),"")</f>
        <v/>
      </c>
      <c r="N405" s="240" t="str">
        <f t="shared" si="84"/>
        <v/>
      </c>
      <c r="P405" s="365" t="str">
        <f>IFERROR(VLOOKUP($G405,融外自投!$A:$J,7,0),"無")</f>
        <v>無</v>
      </c>
      <c r="Q405" s="79" t="str">
        <f>IFERROR(VLOOKUP($G405,融外自投!$A:$J,9,0),"無")</f>
        <v>無</v>
      </c>
      <c r="R405" s="346" t="str">
        <f>IFERROR(VLOOKUP($G405,融外自投!$A:$J,8,0),"無")</f>
        <v>無</v>
      </c>
      <c r="S405" s="81" t="str">
        <f>IFERROR(VLOOKUP($G405,融外自投!$A:$J,10,0),"無")</f>
        <v>無</v>
      </c>
      <c r="T405" s="327" t="str">
        <f>IFERROR(VLOOKUP($G405,'321買'!$A:$E,5,0),"'沒有資料'")</f>
        <v>'沒有資料'</v>
      </c>
      <c r="U405" s="186">
        <f>IFERROR(VLOOKUP($G405,基本資料!$A:$J,9,0),"無")</f>
        <v>0</v>
      </c>
      <c r="V405" s="310">
        <f t="shared" si="78"/>
        <v>0</v>
      </c>
      <c r="W405" s="94">
        <f>IFERROR(VLOOKUP($G405,基本資料!$A:$J,10,0),"無")</f>
        <v>-1.37</v>
      </c>
      <c r="X405" s="36">
        <f>RTD("money.excel",,"6733","Price")</f>
        <v>24.85</v>
      </c>
      <c r="Y405" s="66"/>
      <c r="Z405" s="15">
        <f t="shared" si="79"/>
        <v>24.85</v>
      </c>
      <c r="AA405" s="3" t="e">
        <f t="shared" si="80"/>
        <v>#DIV/0!</v>
      </c>
      <c r="AB405" s="344">
        <f>IFERROR(VLOOKUP($G405,基本資料!$A:$M,11,0),"無")</f>
        <v>-12.32</v>
      </c>
      <c r="AC405" s="397">
        <f>IFERROR(VLOOKUP($G405,基本資料!$A:$M,12,0),"無")</f>
        <v>25.63</v>
      </c>
      <c r="AD405" s="16" t="s">
        <v>3861</v>
      </c>
      <c r="AG405" s="33">
        <f t="shared" si="81"/>
        <v>0</v>
      </c>
      <c r="AH405" s="43" t="s">
        <v>2294</v>
      </c>
      <c r="AI405" s="63">
        <f t="shared" si="83"/>
        <v>2.9126213592233012E-4</v>
      </c>
      <c r="AJ405" s="284">
        <f>RTD("money.excel",,$G405,"PredictVolume")</f>
        <v>30</v>
      </c>
      <c r="AK405" s="399">
        <f>IFERROR(VLOOKUP($G405,基本資料!$A:$M,13,0),"無")</f>
        <v>1.87</v>
      </c>
    </row>
    <row r="406" spans="1:37">
      <c r="A406" s="347">
        <f>IFERROR(VLOOKUP($G406,基本資料!$A:$J,3,0),"無")</f>
        <v>2.41</v>
      </c>
      <c r="B406" s="79">
        <f>IFERROR(VLOOKUP($G406,基本資料!$A:$J,4,0),"無")</f>
        <v>93</v>
      </c>
      <c r="C406" s="79">
        <f>IFERROR(VLOOKUP($G406,基本資料!$A:$J,5,0),"無")</f>
        <v>49</v>
      </c>
      <c r="D406" s="79">
        <f>IFERROR(VLOOKUP($G406,基本資料!$A:$J,6,0),"無")</f>
        <v>-43</v>
      </c>
      <c r="E406" s="79">
        <f>IFERROR(VLOOKUP($G406,基本資料!$A:$J,7,0),"無")</f>
        <v>-9</v>
      </c>
      <c r="F406" s="6">
        <f>IFERROR(VLOOKUP($G406,基本資料!$A:$J,8,0),"無")</f>
        <v>34.840000000000003</v>
      </c>
      <c r="G406" s="79">
        <v>6747</v>
      </c>
      <c r="H406" s="8" t="s">
        <v>309</v>
      </c>
      <c r="I406" s="16" t="s">
        <v>3862</v>
      </c>
      <c r="J406" s="8" t="str">
        <f>IFERROR(VLOOKUP($G406,今日總結!$A:$AJ,35,0),"")</f>
        <v/>
      </c>
      <c r="K406" s="5" t="str">
        <f>IFERROR(VLOOKUP($G406,今日總結!$A:$AJ,36,0),"")</f>
        <v/>
      </c>
      <c r="L406" s="156" t="str">
        <f>IFERROR(VLOOKUP($G406,今日總結!$A:$AJ,33,0),"")</f>
        <v/>
      </c>
      <c r="M406" s="340" t="str">
        <f>IFERROR(VLOOKUP($G406,今日總結!$A:$AJ,34,0),"")</f>
        <v/>
      </c>
      <c r="N406" s="240" t="str">
        <f t="shared" si="84"/>
        <v/>
      </c>
      <c r="P406" s="365" t="str">
        <f>IFERROR(VLOOKUP($G406,融外自投!$A:$J,7,0),"無")</f>
        <v>無</v>
      </c>
      <c r="Q406" s="79" t="str">
        <f>IFERROR(VLOOKUP($G406,融外自投!$A:$J,9,0),"無")</f>
        <v>無</v>
      </c>
      <c r="R406" s="346" t="str">
        <f>IFERROR(VLOOKUP($G406,融外自投!$A:$J,8,0),"無")</f>
        <v>無</v>
      </c>
      <c r="S406" s="81" t="str">
        <f>IFERROR(VLOOKUP($G406,融外自投!$A:$J,10,0),"無")</f>
        <v>無</v>
      </c>
      <c r="T406" s="327" t="str">
        <f>IFERROR(VLOOKUP($G406,'321買'!$A:$E,5,0),"'沒有資料'")</f>
        <v>'沒有資料'</v>
      </c>
      <c r="U406" s="186">
        <f>IFERROR(VLOOKUP($G406,基本資料!$A:$J,9,0),"無")</f>
        <v>8.68</v>
      </c>
      <c r="V406" s="310">
        <f t="shared" si="78"/>
        <v>3.7333333333333329E-2</v>
      </c>
      <c r="W406" s="94">
        <f>IFERROR(VLOOKUP($G406,基本資料!$A:$J,10,0),"無")</f>
        <v>10.01</v>
      </c>
      <c r="X406" s="36">
        <f>RTD("money.excel",,"6747","Price")</f>
        <v>232.5</v>
      </c>
      <c r="Y406" s="66"/>
      <c r="Z406" s="15">
        <f t="shared" si="79"/>
        <v>232.5</v>
      </c>
      <c r="AA406" s="3" t="e">
        <f t="shared" si="80"/>
        <v>#DIV/0!</v>
      </c>
      <c r="AB406" s="344">
        <f>IFERROR(VLOOKUP($G406,基本資料!$A:$M,11,0),"無")</f>
        <v>-51.2</v>
      </c>
      <c r="AC406" s="397">
        <f>IFERROR(VLOOKUP($G406,基本資料!$A:$M,12,0),"無")</f>
        <v>59.91</v>
      </c>
      <c r="AD406" s="16" t="s">
        <v>3862</v>
      </c>
      <c r="AG406" s="33">
        <f t="shared" si="81"/>
        <v>0</v>
      </c>
      <c r="AH406" s="43" t="s">
        <v>2281</v>
      </c>
      <c r="AI406" s="63">
        <f t="shared" si="83"/>
        <v>2.0746887966804979E-4</v>
      </c>
      <c r="AJ406" s="284">
        <f>RTD("money.excel",,$G406,"PredictVolume")</f>
        <v>5</v>
      </c>
      <c r="AK406" s="399">
        <f>IFERROR(VLOOKUP($G406,基本資料!$A:$M,13,0),"無")</f>
        <v>3.91</v>
      </c>
    </row>
    <row r="407" spans="1:37">
      <c r="A407" s="347">
        <f>IFERROR(VLOOKUP($G407,基本資料!$A:$J,3,0),"無")</f>
        <v>2.15</v>
      </c>
      <c r="B407" s="79">
        <f>IFERROR(VLOOKUP($G407,基本資料!$A:$J,4,0),"無")</f>
        <v>-34</v>
      </c>
      <c r="C407" s="79">
        <f>IFERROR(VLOOKUP($G407,基本資料!$A:$J,5,0),"無")</f>
        <v>-31</v>
      </c>
      <c r="D407" s="79">
        <f>IFERROR(VLOOKUP($G407,基本資料!$A:$J,6,0),"無")</f>
        <v>19</v>
      </c>
      <c r="E407" s="79">
        <f>IFERROR(VLOOKUP($G407,基本資料!$A:$J,7,0),"無")</f>
        <v>-21</v>
      </c>
      <c r="F407" s="6">
        <f>IFERROR(VLOOKUP($G407,基本資料!$A:$J,8,0),"無")</f>
        <v>34.020000000000003</v>
      </c>
      <c r="G407" s="79">
        <v>6762</v>
      </c>
      <c r="H407" s="8" t="s">
        <v>309</v>
      </c>
      <c r="I407" s="16" t="s">
        <v>3863</v>
      </c>
      <c r="J407" s="8" t="str">
        <f>IFERROR(VLOOKUP($G407,今日總結!$A:$AJ,35,0),"")</f>
        <v/>
      </c>
      <c r="K407" s="5" t="str">
        <f>IFERROR(VLOOKUP($G407,今日總結!$A:$AJ,36,0),"")</f>
        <v/>
      </c>
      <c r="L407" s="156" t="str">
        <f>IFERROR(VLOOKUP($G407,今日總結!$A:$AJ,33,0),"")</f>
        <v/>
      </c>
      <c r="M407" s="340" t="str">
        <f>IFERROR(VLOOKUP($G407,今日總結!$A:$AJ,34,0),"")</f>
        <v/>
      </c>
      <c r="N407" s="240" t="str">
        <f t="shared" si="84"/>
        <v/>
      </c>
      <c r="P407" s="365" t="str">
        <f>IFERROR(VLOOKUP($G407,融外自投!$A:$J,7,0),"無")</f>
        <v>無</v>
      </c>
      <c r="Q407" s="79" t="str">
        <f>IFERROR(VLOOKUP($G407,融外自投!$A:$J,9,0),"無")</f>
        <v>無</v>
      </c>
      <c r="R407" s="346" t="str">
        <f>IFERROR(VLOOKUP($G407,融外自投!$A:$J,8,0),"無")</f>
        <v>無</v>
      </c>
      <c r="S407" s="81" t="str">
        <f>IFERROR(VLOOKUP($G407,融外自投!$A:$J,10,0),"無")</f>
        <v>無</v>
      </c>
      <c r="T407" s="327" t="str">
        <f>IFERROR(VLOOKUP($G407,'321買'!$A:$E,5,0),"'沒有資料'")</f>
        <v>'沒有資料'</v>
      </c>
      <c r="U407" s="186">
        <f>IFERROR(VLOOKUP($G407,基本資料!$A:$J,9,0),"無")</f>
        <v>5</v>
      </c>
      <c r="V407" s="310">
        <f t="shared" si="78"/>
        <v>1.9230769230769232E-2</v>
      </c>
      <c r="W407" s="94">
        <f>IFERROR(VLOOKUP($G407,基本資料!$A:$J,10,0),"無")</f>
        <v>6.04</v>
      </c>
      <c r="X407" s="36">
        <f>RTD("money.excel",,"6762","Price")</f>
        <v>260</v>
      </c>
      <c r="Y407" s="66"/>
      <c r="Z407" s="15">
        <f t="shared" si="79"/>
        <v>260</v>
      </c>
      <c r="AA407" s="3" t="e">
        <f t="shared" si="80"/>
        <v>#DIV/0!</v>
      </c>
      <c r="AB407" s="344">
        <f>IFERROR(VLOOKUP($G407,基本資料!$A:$M,11,0),"無")</f>
        <v>-25.18</v>
      </c>
      <c r="AC407" s="397">
        <f>IFERROR(VLOOKUP($G407,基本資料!$A:$M,12,0),"無")</f>
        <v>13.8</v>
      </c>
      <c r="AD407" s="16" t="s">
        <v>3863</v>
      </c>
      <c r="AG407" s="33">
        <f t="shared" si="81"/>
        <v>0</v>
      </c>
      <c r="AH407" s="43" t="s">
        <v>2122</v>
      </c>
      <c r="AI407" s="63">
        <f t="shared" si="83"/>
        <v>4.6511627906976741E-5</v>
      </c>
      <c r="AJ407" s="284">
        <f>RTD("money.excel",,$G407,"PredictVolume")</f>
        <v>1</v>
      </c>
      <c r="AK407" s="399">
        <f>IFERROR(VLOOKUP($G407,基本資料!$A:$M,13,0),"無")</f>
        <v>16.829999999999998</v>
      </c>
    </row>
    <row r="408" spans="1:37">
      <c r="A408" s="347">
        <f>IFERROR(VLOOKUP($G408,基本資料!$A:$J,3,0),"無")</f>
        <v>2.91</v>
      </c>
      <c r="B408" s="79">
        <f>IFERROR(VLOOKUP($G408,基本資料!$A:$J,4,0),"無")</f>
        <v>-255</v>
      </c>
      <c r="C408" s="79">
        <f>IFERROR(VLOOKUP($G408,基本資料!$A:$J,5,0),"無")</f>
        <v>23</v>
      </c>
      <c r="D408" s="79">
        <f>IFERROR(VLOOKUP($G408,基本資料!$A:$J,6,0),"無")</f>
        <v>112</v>
      </c>
      <c r="E408" s="79">
        <f>IFERROR(VLOOKUP($G408,基本資料!$A:$J,7,0),"無")</f>
        <v>53</v>
      </c>
      <c r="F408" s="6">
        <f>IFERROR(VLOOKUP($G408,基本資料!$A:$J,8,0),"無")</f>
        <v>-24.15</v>
      </c>
      <c r="G408" s="79">
        <v>6767</v>
      </c>
      <c r="H408" s="8" t="s">
        <v>309</v>
      </c>
      <c r="I408" s="16" t="s">
        <v>3864</v>
      </c>
      <c r="J408" s="8" t="str">
        <f>IFERROR(VLOOKUP($G408,今日總結!$A:$AJ,35,0),"")</f>
        <v/>
      </c>
      <c r="K408" s="5" t="str">
        <f>IFERROR(VLOOKUP($G408,今日總結!$A:$AJ,36,0),"")</f>
        <v/>
      </c>
      <c r="L408" s="156" t="str">
        <f>IFERROR(VLOOKUP($G408,今日總結!$A:$AJ,33,0),"")</f>
        <v/>
      </c>
      <c r="M408" s="340" t="str">
        <f>IFERROR(VLOOKUP($G408,今日總結!$A:$AJ,34,0),"")</f>
        <v/>
      </c>
      <c r="N408" s="240" t="str">
        <f t="shared" si="84"/>
        <v/>
      </c>
      <c r="P408" s="365" t="str">
        <f>IFERROR(VLOOKUP($G408,融外自投!$A:$J,7,0),"無")</f>
        <v>無</v>
      </c>
      <c r="Q408" s="79" t="str">
        <f>IFERROR(VLOOKUP($G408,融外自投!$A:$J,9,0),"無")</f>
        <v>無</v>
      </c>
      <c r="R408" s="346" t="str">
        <f>IFERROR(VLOOKUP($G408,融外自投!$A:$J,8,0),"無")</f>
        <v>無</v>
      </c>
      <c r="S408" s="81" t="str">
        <f>IFERROR(VLOOKUP($G408,融外自投!$A:$J,10,0),"無")</f>
        <v>無</v>
      </c>
      <c r="T408" s="327" t="str">
        <f>IFERROR(VLOOKUP($G408,'321買'!$A:$E,5,0),"'沒有資料'")</f>
        <v>'沒有資料'</v>
      </c>
      <c r="U408" s="186">
        <f>IFERROR(VLOOKUP($G408,基本資料!$A:$J,9,0),"無")</f>
        <v>0</v>
      </c>
      <c r="V408" s="310" t="e">
        <f t="shared" si="78"/>
        <v>#VALUE!</v>
      </c>
      <c r="W408" s="94">
        <f>IFERROR(VLOOKUP($G408,基本資料!$A:$J,10,0),"無")</f>
        <v>-1.64</v>
      </c>
      <c r="X408" s="36" t="str">
        <f>RTD("money.excel",,"6767","Price")</f>
        <v>無資料</v>
      </c>
      <c r="Y408" s="66"/>
      <c r="Z408" s="15" t="e">
        <f t="shared" si="79"/>
        <v>#VALUE!</v>
      </c>
      <c r="AA408" s="3" t="e">
        <f t="shared" si="80"/>
        <v>#VALUE!</v>
      </c>
      <c r="AB408" s="344">
        <f>IFERROR(VLOOKUP($G408,基本資料!$A:$M,11,0),"無")</f>
        <v>-8.09</v>
      </c>
      <c r="AC408" s="397">
        <f>IFERROR(VLOOKUP($G408,基本資料!$A:$M,12,0),"無")</f>
        <v>44.94</v>
      </c>
      <c r="AD408" s="16" t="s">
        <v>3864</v>
      </c>
      <c r="AG408" s="33">
        <f t="shared" si="81"/>
        <v>0</v>
      </c>
      <c r="AH408" s="43" t="s">
        <v>3865</v>
      </c>
      <c r="AI408" s="63">
        <f t="shared" si="83"/>
        <v>0</v>
      </c>
      <c r="AJ408" s="284">
        <f>RTD("money.excel",,$G408,"PredictVolume")</f>
        <v>0</v>
      </c>
      <c r="AK408" s="399">
        <f>IFERROR(VLOOKUP($G408,基本資料!$A:$M,13,0),"無")</f>
        <v>1.41</v>
      </c>
    </row>
    <row r="409" spans="1:37">
      <c r="A409" s="347">
        <f>IFERROR(VLOOKUP($G409,基本資料!$A:$J,3,0),"無")</f>
        <v>2.71</v>
      </c>
      <c r="B409" s="79">
        <f>IFERROR(VLOOKUP($G409,基本資料!$A:$J,4,0),"無")</f>
        <v>10</v>
      </c>
      <c r="C409" s="79">
        <f>IFERROR(VLOOKUP($G409,基本資料!$A:$J,5,0),"無")</f>
        <v>8</v>
      </c>
      <c r="D409" s="79">
        <f>IFERROR(VLOOKUP($G409,基本資料!$A:$J,6,0),"無")</f>
        <v>-2</v>
      </c>
      <c r="E409" s="79">
        <f>IFERROR(VLOOKUP($G409,基本資料!$A:$J,7,0),"無")</f>
        <v>6</v>
      </c>
      <c r="F409" s="6">
        <f>IFERROR(VLOOKUP($G409,基本資料!$A:$J,8,0),"無")</f>
        <v>19.13</v>
      </c>
      <c r="G409" s="79">
        <v>8279</v>
      </c>
      <c r="H409" s="8" t="s">
        <v>309</v>
      </c>
      <c r="I409" s="16" t="s">
        <v>3866</v>
      </c>
      <c r="J409" s="8" t="str">
        <f>IFERROR(VLOOKUP($G409,今日總結!$A:$AJ,35,0),"")</f>
        <v/>
      </c>
      <c r="K409" s="5" t="str">
        <f>IFERROR(VLOOKUP($G409,今日總結!$A:$AJ,36,0),"")</f>
        <v/>
      </c>
      <c r="L409" s="156" t="str">
        <f>IFERROR(VLOOKUP($G409,今日總結!$A:$AJ,33,0),"")</f>
        <v/>
      </c>
      <c r="M409" s="340" t="str">
        <f>IFERROR(VLOOKUP($G409,今日總結!$A:$AJ,34,0),"")</f>
        <v/>
      </c>
      <c r="N409" s="240" t="str">
        <f t="shared" si="84"/>
        <v/>
      </c>
      <c r="P409" s="365" t="str">
        <f>IFERROR(VLOOKUP($G409,融外自投!$A:$J,7,0),"無")</f>
        <v>無</v>
      </c>
      <c r="Q409" s="79" t="str">
        <f>IFERROR(VLOOKUP($G409,融外自投!$A:$J,9,0),"無")</f>
        <v>無</v>
      </c>
      <c r="R409" s="346" t="str">
        <f>IFERROR(VLOOKUP($G409,融外自投!$A:$J,8,0),"無")</f>
        <v>無</v>
      </c>
      <c r="S409" s="81" t="str">
        <f>IFERROR(VLOOKUP($G409,融外自投!$A:$J,10,0),"無")</f>
        <v>無</v>
      </c>
      <c r="T409" s="327" t="str">
        <f>IFERROR(VLOOKUP($G409,'321買'!$A:$E,5,0),"'沒有資料'")</f>
        <v>'沒有資料'</v>
      </c>
      <c r="U409" s="186">
        <f>IFERROR(VLOOKUP($G409,基本資料!$A:$J,9,0),"無")</f>
        <v>4</v>
      </c>
      <c r="V409" s="310">
        <f t="shared" si="78"/>
        <v>3.1746031746031744E-2</v>
      </c>
      <c r="W409" s="94">
        <f>IFERROR(VLOOKUP($G409,基本資料!$A:$J,10,0),"無")</f>
        <v>8.77</v>
      </c>
      <c r="X409" s="36">
        <f>RTD("money.excel",,"8279","Price")</f>
        <v>126</v>
      </c>
      <c r="Y409" s="66"/>
      <c r="Z409" s="15">
        <f t="shared" si="79"/>
        <v>126</v>
      </c>
      <c r="AA409" s="3" t="e">
        <f t="shared" si="80"/>
        <v>#DIV/0!</v>
      </c>
      <c r="AB409" s="344">
        <f>IFERROR(VLOOKUP($G409,基本資料!$A:$M,11,0),"無")</f>
        <v>-2.21</v>
      </c>
      <c r="AC409" s="397">
        <f>IFERROR(VLOOKUP($G409,基本資料!$A:$M,12,0),"無")</f>
        <v>80.709999999999994</v>
      </c>
      <c r="AD409" s="16" t="s">
        <v>3866</v>
      </c>
      <c r="AG409" s="33">
        <f t="shared" si="81"/>
        <v>0</v>
      </c>
      <c r="AH409" s="43" t="s">
        <v>3867</v>
      </c>
      <c r="AI409" s="63">
        <f t="shared" si="83"/>
        <v>1.8081180811808119E-3</v>
      </c>
      <c r="AJ409" s="284">
        <f>RTD("money.excel",,$G409,"PredictVolume")</f>
        <v>49</v>
      </c>
      <c r="AK409" s="399">
        <f>IFERROR(VLOOKUP($G409,基本資料!$A:$M,13,0),"無")</f>
        <v>1.45</v>
      </c>
    </row>
    <row r="410" spans="1:37">
      <c r="A410" s="347">
        <f>IFERROR(VLOOKUP($G410,基本資料!$A:$J,3,0),"無")</f>
        <v>11.43</v>
      </c>
      <c r="B410" s="79">
        <f>IFERROR(VLOOKUP($G410,基本資料!$A:$J,4,0),"無")</f>
        <v>-46</v>
      </c>
      <c r="C410" s="79">
        <f>IFERROR(VLOOKUP($G410,基本資料!$A:$J,5,0),"無")</f>
        <v>-49</v>
      </c>
      <c r="D410" s="79">
        <f>IFERROR(VLOOKUP($G410,基本資料!$A:$J,6,0),"無")</f>
        <v>55</v>
      </c>
      <c r="E410" s="79">
        <f>IFERROR(VLOOKUP($G410,基本資料!$A:$J,7,0),"無")</f>
        <v>30</v>
      </c>
      <c r="F410" s="6">
        <f>IFERROR(VLOOKUP($G410,基本資料!$A:$J,8,0),"無")</f>
        <v>6.71</v>
      </c>
      <c r="G410" s="79">
        <v>8403</v>
      </c>
      <c r="H410" s="8" t="s">
        <v>309</v>
      </c>
      <c r="I410" s="16" t="s">
        <v>3868</v>
      </c>
      <c r="J410" s="8" t="str">
        <f>IFERROR(VLOOKUP($G410,今日總結!$A:$AJ,35,0),"")</f>
        <v/>
      </c>
      <c r="K410" s="5" t="str">
        <f>IFERROR(VLOOKUP($G410,今日總結!$A:$AJ,36,0),"")</f>
        <v/>
      </c>
      <c r="L410" s="156" t="str">
        <f>IFERROR(VLOOKUP($G410,今日總結!$A:$AJ,33,0),"")</f>
        <v/>
      </c>
      <c r="M410" s="340" t="str">
        <f>IFERROR(VLOOKUP($G410,今日總結!$A:$AJ,34,0),"")</f>
        <v/>
      </c>
      <c r="N410" s="240" t="str">
        <f t="shared" si="84"/>
        <v/>
      </c>
      <c r="P410" s="365">
        <f>IFERROR(VLOOKUP($G410,融外自投!$A:$J,7,0),"無")</f>
        <v>565</v>
      </c>
      <c r="Q410" s="79">
        <f>IFERROR(VLOOKUP($G410,融外自投!$A:$J,9,0),"無")</f>
        <v>762</v>
      </c>
      <c r="R410" s="346">
        <f>IFERROR(VLOOKUP($G410,融外自投!$A:$J,8,0),"無")</f>
        <v>1085</v>
      </c>
      <c r="S410" s="81" t="str">
        <f>IFERROR(VLOOKUP($G410,融外自投!$A:$J,10,0),"無")</f>
        <v>無</v>
      </c>
      <c r="T410" s="327">
        <f>IFERROR(VLOOKUP($G410,'321買'!$A:$E,5,0),"'沒有資料'")</f>
        <v>336</v>
      </c>
      <c r="U410" s="186">
        <f>IFERROR(VLOOKUP($G410,基本資料!$A:$J,9,0),"無")</f>
        <v>0</v>
      </c>
      <c r="V410" s="310">
        <f t="shared" si="78"/>
        <v>0</v>
      </c>
      <c r="W410" s="94">
        <f>IFERROR(VLOOKUP($G410,基本資料!$A:$J,10,0),"無")</f>
        <v>2.04</v>
      </c>
      <c r="X410" s="36">
        <f>RTD("money.excel",,"8403","Price")</f>
        <v>28.6</v>
      </c>
      <c r="Y410" s="66"/>
      <c r="Z410" s="15">
        <f t="shared" si="79"/>
        <v>28.6</v>
      </c>
      <c r="AA410" s="3" t="e">
        <f t="shared" si="80"/>
        <v>#DIV/0!</v>
      </c>
      <c r="AB410" s="344">
        <f>IFERROR(VLOOKUP($G410,基本資料!$A:$M,11,0),"無")</f>
        <v>-14.14</v>
      </c>
      <c r="AC410" s="397">
        <f>IFERROR(VLOOKUP($G410,基本資料!$A:$M,12,0),"無")</f>
        <v>48.76</v>
      </c>
      <c r="AD410" s="16" t="s">
        <v>3868</v>
      </c>
      <c r="AG410" s="33">
        <f t="shared" si="81"/>
        <v>0</v>
      </c>
      <c r="AH410" s="117" t="s">
        <v>3869</v>
      </c>
      <c r="AI410" s="63">
        <f t="shared" si="83"/>
        <v>6.1942257217847772E-3</v>
      </c>
      <c r="AJ410" s="284">
        <f>RTD("money.excel",,$G410,"PredictVolume")</f>
        <v>708</v>
      </c>
      <c r="AK410" s="399">
        <f>IFERROR(VLOOKUP($G410,基本資料!$A:$M,13,0),"無")</f>
        <v>8.08</v>
      </c>
    </row>
    <row r="411" spans="1:37">
      <c r="A411" s="347" t="str">
        <f>IFERROR(VLOOKUP($G411,基本資料!$A:$J,3,0),"無")</f>
        <v>無</v>
      </c>
      <c r="B411" s="79" t="str">
        <f>IFERROR(VLOOKUP($G411,基本資料!$A:$J,4,0),"無")</f>
        <v>無</v>
      </c>
      <c r="C411" s="79" t="str">
        <f>IFERROR(VLOOKUP($G411,基本資料!$A:$J,5,0),"無")</f>
        <v>無</v>
      </c>
      <c r="D411" s="79" t="str">
        <f>IFERROR(VLOOKUP($G411,基本資料!$A:$J,6,0),"無")</f>
        <v>無</v>
      </c>
      <c r="E411" s="79" t="str">
        <f>IFERROR(VLOOKUP($G411,基本資料!$A:$J,7,0),"無")</f>
        <v>無</v>
      </c>
      <c r="F411" s="6" t="str">
        <f>IFERROR(VLOOKUP($G411,基本資料!$A:$J,8,0),"無")</f>
        <v>無</v>
      </c>
      <c r="G411" s="79">
        <v>8406</v>
      </c>
      <c r="H411" s="8" t="s">
        <v>309</v>
      </c>
      <c r="I411" s="16" t="s">
        <v>3870</v>
      </c>
      <c r="J411" s="8" t="str">
        <f>IFERROR(VLOOKUP($G411,今日總結!$A:$AJ,35,0),"")</f>
        <v/>
      </c>
      <c r="K411" s="5" t="str">
        <f>IFERROR(VLOOKUP($G411,今日總結!$A:$AJ,36,0),"")</f>
        <v/>
      </c>
      <c r="L411" s="156" t="str">
        <f>IFERROR(VLOOKUP($G411,今日總結!$A:$AJ,33,0),"")</f>
        <v/>
      </c>
      <c r="M411" s="340" t="str">
        <f>IFERROR(VLOOKUP($G411,今日總結!$A:$AJ,34,0),"")</f>
        <v/>
      </c>
      <c r="N411" s="240" t="str">
        <f t="shared" si="84"/>
        <v/>
      </c>
      <c r="P411" s="365" t="str">
        <f>IFERROR(VLOOKUP($G411,融外自投!$A:$J,7,0),"無")</f>
        <v>無</v>
      </c>
      <c r="Q411" s="79" t="str">
        <f>IFERROR(VLOOKUP($G411,融外自投!$A:$J,9,0),"無")</f>
        <v>無</v>
      </c>
      <c r="R411" s="346" t="str">
        <f>IFERROR(VLOOKUP($G411,融外自投!$A:$J,8,0),"無")</f>
        <v>無</v>
      </c>
      <c r="S411" s="81" t="str">
        <f>IFERROR(VLOOKUP($G411,融外自投!$A:$J,10,0),"無")</f>
        <v>無</v>
      </c>
      <c r="T411" s="327" t="str">
        <f>IFERROR(VLOOKUP($G411,'321買'!$A:$E,5,0),"'沒有資料'")</f>
        <v>'沒有資料'</v>
      </c>
      <c r="U411" s="186" t="str">
        <f>IFERROR(VLOOKUP($G411,基本資料!$A:$J,9,0),"無")</f>
        <v>無</v>
      </c>
      <c r="V411" s="310" t="e">
        <f t="shared" si="78"/>
        <v>#VALUE!</v>
      </c>
      <c r="W411" s="94" t="str">
        <f>IFERROR(VLOOKUP($G411,基本資料!$A:$J,10,0),"無")</f>
        <v>無</v>
      </c>
      <c r="X411" s="36" t="str">
        <f>RTD("money.excel",,"8406","Price")</f>
        <v>商品錯誤</v>
      </c>
      <c r="Y411" s="66"/>
      <c r="Z411" s="15" t="e">
        <f t="shared" si="79"/>
        <v>#VALUE!</v>
      </c>
      <c r="AA411" s="3" t="e">
        <f t="shared" si="80"/>
        <v>#VALUE!</v>
      </c>
      <c r="AB411" s="344" t="str">
        <f>IFERROR(VLOOKUP($G411,基本資料!$A:$M,11,0),"無")</f>
        <v>無</v>
      </c>
      <c r="AC411" s="397" t="str">
        <f>IFERROR(VLOOKUP($G411,基本資料!$A:$M,12,0),"無")</f>
        <v>無</v>
      </c>
      <c r="AD411" s="16" t="s">
        <v>3870</v>
      </c>
      <c r="AG411" s="33">
        <f t="shared" si="81"/>
        <v>0</v>
      </c>
      <c r="AH411" s="117" t="s">
        <v>3667</v>
      </c>
      <c r="AI411" s="63" t="e">
        <f t="shared" si="83"/>
        <v>#VALUE!</v>
      </c>
      <c r="AJ411" s="284" t="str">
        <f>RTD("money.excel",,$G411,"PredictVolume")</f>
        <v>商品錯誤</v>
      </c>
      <c r="AK411" s="399" t="str">
        <f>IFERROR(VLOOKUP($G411,基本資料!$A:$M,13,0),"無")</f>
        <v>無</v>
      </c>
    </row>
    <row r="412" spans="1:37">
      <c r="A412" s="347">
        <f>IFERROR(VLOOKUP($G412,基本資料!$A:$J,3,0),"無")</f>
        <v>3.2</v>
      </c>
      <c r="B412" s="79">
        <f>IFERROR(VLOOKUP($G412,基本資料!$A:$J,4,0),"無")</f>
        <v>29</v>
      </c>
      <c r="C412" s="79">
        <f>IFERROR(VLOOKUP($G412,基本資料!$A:$J,5,0),"無")</f>
        <v>6</v>
      </c>
      <c r="D412" s="79">
        <f>IFERROR(VLOOKUP($G412,基本資料!$A:$J,6,0),"無")</f>
        <v>-93</v>
      </c>
      <c r="E412" s="79">
        <f>IFERROR(VLOOKUP($G412,基本資料!$A:$J,7,0),"無")</f>
        <v>22</v>
      </c>
      <c r="F412" s="6">
        <f>IFERROR(VLOOKUP($G412,基本資料!$A:$J,8,0),"無")</f>
        <v>-18.16</v>
      </c>
      <c r="G412" s="79">
        <v>8409</v>
      </c>
      <c r="H412" s="8" t="s">
        <v>309</v>
      </c>
      <c r="I412" s="16" t="s">
        <v>3871</v>
      </c>
      <c r="J412" s="8" t="str">
        <f>IFERROR(VLOOKUP($G412,今日總結!$A:$AJ,35,0),"")</f>
        <v/>
      </c>
      <c r="K412" s="5" t="str">
        <f>IFERROR(VLOOKUP($G412,今日總結!$A:$AJ,36,0),"")</f>
        <v/>
      </c>
      <c r="L412" s="156" t="str">
        <f>IFERROR(VLOOKUP($G412,今日總結!$A:$AJ,33,0),"")</f>
        <v/>
      </c>
      <c r="M412" s="340" t="str">
        <f>IFERROR(VLOOKUP($G412,今日總結!$A:$AJ,34,0),"")</f>
        <v/>
      </c>
      <c r="N412" s="240" t="str">
        <f t="shared" si="84"/>
        <v/>
      </c>
      <c r="P412" s="365" t="str">
        <f>IFERROR(VLOOKUP($G412,融外自投!$A:$J,7,0),"無")</f>
        <v>無</v>
      </c>
      <c r="Q412" s="79" t="str">
        <f>IFERROR(VLOOKUP($G412,融外自投!$A:$J,9,0),"無")</f>
        <v>無</v>
      </c>
      <c r="R412" s="346" t="str">
        <f>IFERROR(VLOOKUP($G412,融外自投!$A:$J,8,0),"無")</f>
        <v>無</v>
      </c>
      <c r="S412" s="81" t="str">
        <f>IFERROR(VLOOKUP($G412,融外自投!$A:$J,10,0),"無")</f>
        <v>無</v>
      </c>
      <c r="T412" s="327" t="str">
        <f>IFERROR(VLOOKUP($G412,'321買'!$A:$E,5,0),"'沒有資料'")</f>
        <v>'沒有資料'</v>
      </c>
      <c r="U412" s="186">
        <f>IFERROR(VLOOKUP($G412,基本資料!$A:$J,9,0),"無")</f>
        <v>0</v>
      </c>
      <c r="V412" s="310">
        <f t="shared" si="78"/>
        <v>0</v>
      </c>
      <c r="W412" s="94">
        <f>IFERROR(VLOOKUP($G412,基本資料!$A:$J,10,0),"無")</f>
        <v>-0.73</v>
      </c>
      <c r="X412" s="36">
        <f>RTD("money.excel",,"8409","Price")</f>
        <v>23</v>
      </c>
      <c r="Y412" s="66"/>
      <c r="Z412" s="15">
        <f t="shared" si="79"/>
        <v>23</v>
      </c>
      <c r="AA412" s="3" t="e">
        <f t="shared" si="80"/>
        <v>#DIV/0!</v>
      </c>
      <c r="AB412" s="344">
        <f>IFERROR(VLOOKUP($G412,基本資料!$A:$M,11,0),"無")</f>
        <v>-14.22</v>
      </c>
      <c r="AC412" s="397">
        <f>IFERROR(VLOOKUP($G412,基本資料!$A:$M,12,0),"無")</f>
        <v>71.069999999999993</v>
      </c>
      <c r="AD412" s="16" t="s">
        <v>3871</v>
      </c>
      <c r="AG412" s="33">
        <f t="shared" si="81"/>
        <v>0</v>
      </c>
      <c r="AH412" s="43" t="s">
        <v>2455</v>
      </c>
      <c r="AI412" s="63">
        <f t="shared" si="83"/>
        <v>5.0750000000000003E-2</v>
      </c>
      <c r="AJ412" s="284">
        <f>RTD("money.excel",,$G412,"PredictVolume")</f>
        <v>1624</v>
      </c>
      <c r="AK412" s="399">
        <f>IFERROR(VLOOKUP($G412,基本資料!$A:$M,13,0),"無")</f>
        <v>14.26</v>
      </c>
    </row>
    <row r="413" spans="1:37">
      <c r="A413" s="347">
        <f>IFERROR(VLOOKUP($G413,基本資料!$A:$J,3,0),"無")</f>
        <v>3.83</v>
      </c>
      <c r="B413" s="79">
        <f>IFERROR(VLOOKUP($G413,基本資料!$A:$J,4,0),"無")</f>
        <v>-23</v>
      </c>
      <c r="C413" s="79">
        <f>IFERROR(VLOOKUP($G413,基本資料!$A:$J,5,0),"無")</f>
        <v>-25</v>
      </c>
      <c r="D413" s="79">
        <f>IFERROR(VLOOKUP($G413,基本資料!$A:$J,6,0),"無")</f>
        <v>-12</v>
      </c>
      <c r="E413" s="79">
        <f>IFERROR(VLOOKUP($G413,基本資料!$A:$J,7,0),"無")</f>
        <v>5</v>
      </c>
      <c r="F413" s="6">
        <f>IFERROR(VLOOKUP($G413,基本資料!$A:$J,8,0),"無")</f>
        <v>13.45</v>
      </c>
      <c r="G413" s="79">
        <v>8432</v>
      </c>
      <c r="H413" s="8" t="s">
        <v>309</v>
      </c>
      <c r="I413" s="16" t="s">
        <v>3872</v>
      </c>
      <c r="J413" s="8" t="str">
        <f>IFERROR(VLOOKUP($G413,今日總結!$A:$AJ,35,0),"")</f>
        <v/>
      </c>
      <c r="K413" s="5" t="str">
        <f>IFERROR(VLOOKUP($G413,今日總結!$A:$AJ,36,0),"")</f>
        <v/>
      </c>
      <c r="L413" s="156" t="str">
        <f>IFERROR(VLOOKUP($G413,今日總結!$A:$AJ,33,0),"")</f>
        <v/>
      </c>
      <c r="M413" s="340" t="str">
        <f>IFERROR(VLOOKUP($G413,今日總結!$A:$AJ,34,0),"")</f>
        <v/>
      </c>
      <c r="N413" s="240" t="str">
        <f t="shared" si="84"/>
        <v/>
      </c>
      <c r="P413" s="365">
        <f>IFERROR(VLOOKUP($G413,融外自投!$A:$J,7,0),"無")</f>
        <v>987</v>
      </c>
      <c r="Q413" s="79">
        <f>IFERROR(VLOOKUP($G413,融外自投!$A:$J,9,0),"無")</f>
        <v>762</v>
      </c>
      <c r="R413" s="346">
        <f>IFERROR(VLOOKUP($G413,融外自投!$A:$J,8,0),"無")</f>
        <v>1326</v>
      </c>
      <c r="S413" s="81" t="str">
        <f>IFERROR(VLOOKUP($G413,融外自投!$A:$J,10,0),"無")</f>
        <v>無</v>
      </c>
      <c r="T413" s="327">
        <f>IFERROR(VLOOKUP($G413,'321買'!$A:$E,5,0),"'沒有資料'")</f>
        <v>1310</v>
      </c>
      <c r="U413" s="186">
        <f>IFERROR(VLOOKUP($G413,基本資料!$A:$J,9,0),"無")</f>
        <v>1.5</v>
      </c>
      <c r="V413" s="310">
        <f t="shared" si="78"/>
        <v>3.5629453681710214E-2</v>
      </c>
      <c r="W413" s="94">
        <f>IFERROR(VLOOKUP($G413,基本資料!$A:$J,10,0),"無")</f>
        <v>1.23</v>
      </c>
      <c r="X413" s="36">
        <f>RTD("money.excel",,"8432","Price")</f>
        <v>42.1</v>
      </c>
      <c r="Y413" s="66"/>
      <c r="Z413" s="15">
        <f t="shared" si="79"/>
        <v>42.1</v>
      </c>
      <c r="AA413" s="3" t="e">
        <f t="shared" si="80"/>
        <v>#DIV/0!</v>
      </c>
      <c r="AB413" s="344">
        <f>IFERROR(VLOOKUP($G413,基本資料!$A:$M,11,0),"無")</f>
        <v>-12.68</v>
      </c>
      <c r="AC413" s="397">
        <f>IFERROR(VLOOKUP($G413,基本資料!$A:$M,12,0),"無")</f>
        <v>31.99</v>
      </c>
      <c r="AD413" s="16" t="s">
        <v>3872</v>
      </c>
      <c r="AG413" s="33">
        <f t="shared" si="81"/>
        <v>0</v>
      </c>
      <c r="AH413" s="43" t="s">
        <v>3873</v>
      </c>
      <c r="AI413" s="63">
        <f t="shared" si="83"/>
        <v>7.0496083550913836E-4</v>
      </c>
      <c r="AJ413" s="284">
        <f>RTD("money.excel",,$G413,"PredictVolume")</f>
        <v>27</v>
      </c>
      <c r="AK413" s="399">
        <f>IFERROR(VLOOKUP($G413,基本資料!$A:$M,13,0),"無")</f>
        <v>4.47</v>
      </c>
    </row>
    <row r="414" spans="1:37">
      <c r="A414" s="347">
        <f>IFERROR(VLOOKUP($G414,基本資料!$A:$J,3,0),"無")</f>
        <v>11.82</v>
      </c>
      <c r="B414" s="79">
        <f>IFERROR(VLOOKUP($G414,基本資料!$A:$J,4,0),"無")</f>
        <v>-12</v>
      </c>
      <c r="C414" s="79">
        <f>IFERROR(VLOOKUP($G414,基本資料!$A:$J,5,0),"無")</f>
        <v>-14</v>
      </c>
      <c r="D414" s="79">
        <f>IFERROR(VLOOKUP($G414,基本資料!$A:$J,6,0),"無")</f>
        <v>3</v>
      </c>
      <c r="E414" s="79">
        <f>IFERROR(VLOOKUP($G414,基本資料!$A:$J,7,0),"無")</f>
        <v>-28</v>
      </c>
      <c r="F414" s="6">
        <f>IFERROR(VLOOKUP($G414,基本資料!$A:$J,8,0),"無")</f>
        <v>20.16</v>
      </c>
      <c r="G414" s="79">
        <v>8436</v>
      </c>
      <c r="H414" s="145" t="s">
        <v>309</v>
      </c>
      <c r="I414" s="16" t="s">
        <v>3874</v>
      </c>
      <c r="J414" s="8" t="str">
        <f>IFERROR(VLOOKUP($G414,今日總結!$A:$AJ,35,0),"")</f>
        <v/>
      </c>
      <c r="K414" s="5" t="str">
        <f>IFERROR(VLOOKUP($G414,今日總結!$A:$AJ,36,0),"")</f>
        <v/>
      </c>
      <c r="L414" s="156" t="str">
        <f>IFERROR(VLOOKUP($G414,今日總結!$A:$AJ,33,0),"")</f>
        <v/>
      </c>
      <c r="M414" s="340" t="str">
        <f>IFERROR(VLOOKUP($G414,今日總結!$A:$AJ,34,0),"")</f>
        <v/>
      </c>
      <c r="N414" s="240" t="str">
        <f t="shared" si="84"/>
        <v/>
      </c>
      <c r="P414" s="365">
        <f>IFERROR(VLOOKUP($G414,融外自投!$A:$J,7,0),"無")</f>
        <v>543</v>
      </c>
      <c r="Q414" s="79">
        <f>IFERROR(VLOOKUP($G414,融外自投!$A:$J,9,0),"無")</f>
        <v>243</v>
      </c>
      <c r="R414" s="346">
        <f>IFERROR(VLOOKUP($G414,融外自投!$A:$J,8,0),"無")</f>
        <v>167</v>
      </c>
      <c r="S414" s="81">
        <f>IFERROR(VLOOKUP($G414,融外自投!$A:$J,10,0),"無")</f>
        <v>305</v>
      </c>
      <c r="T414" s="327">
        <f>IFERROR(VLOOKUP($G414,'321買'!$A:$E,5,0),"'沒有資料'")</f>
        <v>584</v>
      </c>
      <c r="U414" s="186">
        <f>IFERROR(VLOOKUP($G414,基本資料!$A:$J,9,0),"無")</f>
        <v>8.8800000000000008</v>
      </c>
      <c r="V414" s="310">
        <f t="shared" si="78"/>
        <v>6.0000000000000005E-2</v>
      </c>
      <c r="W414" s="94">
        <f>IFERROR(VLOOKUP($G414,基本資料!$A:$J,10,0),"無")</f>
        <v>13.17</v>
      </c>
      <c r="X414" s="36">
        <f>RTD("money.excel",,"8436","Price")</f>
        <v>148</v>
      </c>
      <c r="Y414" s="66"/>
      <c r="Z414" s="15">
        <f t="shared" si="79"/>
        <v>148</v>
      </c>
      <c r="AA414" s="3" t="e">
        <f t="shared" si="80"/>
        <v>#DIV/0!</v>
      </c>
      <c r="AB414" s="344">
        <f>IFERROR(VLOOKUP($G414,基本資料!$A:$M,11,0),"無")</f>
        <v>-56.14</v>
      </c>
      <c r="AC414" s="397">
        <f>IFERROR(VLOOKUP($G414,基本資料!$A:$M,12,0),"無")</f>
        <v>5.89</v>
      </c>
      <c r="AD414" s="16" t="s">
        <v>3874</v>
      </c>
      <c r="AG414" s="33">
        <f t="shared" si="81"/>
        <v>0</v>
      </c>
      <c r="AH414" s="117" t="s">
        <v>3875</v>
      </c>
      <c r="AI414" s="63">
        <f t="shared" si="83"/>
        <v>5.9221658206429781E-3</v>
      </c>
      <c r="AJ414" s="284">
        <f>RTD("money.excel",,$G414,"PredictVolume")</f>
        <v>700</v>
      </c>
      <c r="AK414" s="399">
        <f>IFERROR(VLOOKUP($G414,基本資料!$A:$M,13,0),"無")</f>
        <v>10.15</v>
      </c>
    </row>
    <row r="415" spans="1:37">
      <c r="B415" s="80"/>
      <c r="C415" s="80"/>
      <c r="D415" s="79"/>
      <c r="E415" s="79"/>
      <c r="F415" s="57"/>
      <c r="G415" s="79"/>
      <c r="H415" s="145"/>
      <c r="I415" s="16"/>
      <c r="L415" s="2"/>
      <c r="S415" s="26"/>
      <c r="U415" s="66"/>
      <c r="W415" s="94"/>
      <c r="X415" s="36"/>
      <c r="Y415" s="66"/>
      <c r="Z415" s="15"/>
      <c r="AA415" s="3"/>
      <c r="AD415" s="16"/>
      <c r="AG415" s="33"/>
      <c r="AH415" s="117"/>
      <c r="AI415" s="63"/>
      <c r="AJ415" s="284"/>
    </row>
    <row r="416" spans="1:37">
      <c r="A416" s="127" t="s">
        <v>3876</v>
      </c>
      <c r="B416" s="90" t="s">
        <v>3877</v>
      </c>
      <c r="C416" s="90" t="s">
        <v>3878</v>
      </c>
      <c r="D416" s="90" t="s">
        <v>3879</v>
      </c>
      <c r="E416" s="90" t="s">
        <v>3880</v>
      </c>
      <c r="F416" s="8" t="s">
        <v>3881</v>
      </c>
      <c r="G416" s="27" t="s">
        <v>3882</v>
      </c>
      <c r="H416" s="55" t="s">
        <v>320</v>
      </c>
      <c r="I416" s="8" t="s">
        <v>3883</v>
      </c>
      <c r="J416" s="8" t="s">
        <v>6221</v>
      </c>
      <c r="K416" s="5" t="s">
        <v>6222</v>
      </c>
      <c r="L416" s="337" t="s">
        <v>6206</v>
      </c>
      <c r="M416" s="338" t="s">
        <v>6207</v>
      </c>
      <c r="N416" s="339" t="s">
        <v>6208</v>
      </c>
      <c r="O416" s="4" t="s">
        <v>6713</v>
      </c>
      <c r="P416" s="89" t="s">
        <v>6285</v>
      </c>
      <c r="Q416" s="293" t="s">
        <v>6284</v>
      </c>
      <c r="R416" s="354" t="s">
        <v>6283</v>
      </c>
      <c r="S416" s="26" t="s">
        <v>6286</v>
      </c>
      <c r="T416" s="321" t="s">
        <v>4716</v>
      </c>
      <c r="U416" s="10" t="s">
        <v>3884</v>
      </c>
      <c r="V416" s="308" t="s">
        <v>4731</v>
      </c>
      <c r="W416" s="68" t="s">
        <v>3273</v>
      </c>
      <c r="X416" s="28" t="s">
        <v>2</v>
      </c>
      <c r="Y416" s="17" t="s">
        <v>3885</v>
      </c>
      <c r="Z416" s="14" t="s">
        <v>3886</v>
      </c>
      <c r="AA416" s="21" t="s">
        <v>3887</v>
      </c>
      <c r="AB416" s="96" t="s">
        <v>6174</v>
      </c>
      <c r="AC416" s="384" t="s">
        <v>6420</v>
      </c>
      <c r="AD416" s="8" t="s">
        <v>3883</v>
      </c>
      <c r="AE416" s="71" t="s">
        <v>3888</v>
      </c>
      <c r="AF416" s="72" t="s">
        <v>3889</v>
      </c>
      <c r="AG416" s="32" t="s">
        <v>3890</v>
      </c>
      <c r="AH416" s="25" t="s">
        <v>6209</v>
      </c>
      <c r="AI416" s="8" t="s">
        <v>6731</v>
      </c>
      <c r="AJ416" s="50" t="s">
        <v>3361</v>
      </c>
      <c r="AK416" s="44" t="s">
        <v>6730</v>
      </c>
    </row>
    <row r="417" spans="1:37">
      <c r="A417" s="347">
        <f>IFERROR(VLOOKUP($G417,基本資料!$A:$J,3,0),"無")</f>
        <v>290</v>
      </c>
      <c r="B417" s="79">
        <f>IFERROR(VLOOKUP($G417,基本資料!$A:$J,4,0),"無")</f>
        <v>397</v>
      </c>
      <c r="C417" s="79">
        <f>IFERROR(VLOOKUP($G417,基本資料!$A:$J,5,0),"無")</f>
        <v>359</v>
      </c>
      <c r="D417" s="79">
        <f>IFERROR(VLOOKUP($G417,基本資料!$A:$J,6,0),"無")</f>
        <v>3</v>
      </c>
      <c r="E417" s="79">
        <f>IFERROR(VLOOKUP($G417,基本資料!$A:$J,7,0),"無")</f>
        <v>-20</v>
      </c>
      <c r="F417" s="6">
        <f>IFERROR(VLOOKUP($G417,基本資料!$A:$J,8,0),"無")</f>
        <v>20.62</v>
      </c>
      <c r="G417" s="79">
        <v>1802</v>
      </c>
      <c r="H417" s="8" t="s">
        <v>297</v>
      </c>
      <c r="I417" s="22" t="s">
        <v>3891</v>
      </c>
      <c r="J417" s="8" t="str">
        <f>IFERROR(VLOOKUP($G417,今日總結!$A:$AJ,35,0),"")</f>
        <v/>
      </c>
      <c r="K417" s="5" t="str">
        <f>IFERROR(VLOOKUP($G417,今日總結!$A:$AJ,36,0),"")</f>
        <v/>
      </c>
      <c r="L417" s="156" t="str">
        <f>IFERROR(VLOOKUP($G417,今日總結!$A:$AJ,33,0),"")</f>
        <v/>
      </c>
      <c r="M417" s="340" t="str">
        <f>IFERROR(VLOOKUP($G417,今日總結!$A:$AJ,34,0),"")</f>
        <v/>
      </c>
      <c r="N417" s="240" t="str">
        <f t="shared" ref="N417" si="85">IFERROR(L417-M417,"")</f>
        <v/>
      </c>
      <c r="P417" s="365">
        <f>IFERROR(VLOOKUP($G417,融外自投!$A:$J,7,0),"無")</f>
        <v>1039</v>
      </c>
      <c r="Q417" s="79">
        <f>IFERROR(VLOOKUP($G417,融外自投!$A:$J,9,0),"無")</f>
        <v>708</v>
      </c>
      <c r="R417" s="346">
        <f>IFERROR(VLOOKUP($G417,融外自投!$A:$J,8,0),"無")</f>
        <v>581</v>
      </c>
      <c r="S417" s="81">
        <f>IFERROR(VLOOKUP($G417,融外自投!$A:$J,10,0),"無")</f>
        <v>262</v>
      </c>
      <c r="T417" s="327">
        <f>IFERROR(VLOOKUP($G417,'321買'!$A:$E,5,0),"'沒有資料'")</f>
        <v>503</v>
      </c>
      <c r="U417" s="186">
        <f>IFERROR(VLOOKUP($G417,基本資料!$A:$J,9,0),"無")</f>
        <v>1.82</v>
      </c>
      <c r="V417" s="310">
        <f t="shared" ref="V417:V421" si="86">$U417/$X417</f>
        <v>8.8135593220338995E-2</v>
      </c>
      <c r="W417" s="94">
        <f>IFERROR(VLOOKUP($G417,基本資料!$A:$J,10,0),"無")</f>
        <v>3.95</v>
      </c>
      <c r="X417" s="36">
        <f>RTD("money.excel",,"1802","Price")</f>
        <v>20.65</v>
      </c>
      <c r="Y417" s="66"/>
      <c r="Z417" s="15">
        <f>X417-Y417</f>
        <v>20.65</v>
      </c>
      <c r="AA417" s="3" t="e">
        <f>Z417/Y417</f>
        <v>#DIV/0!</v>
      </c>
      <c r="AB417" s="344">
        <f>IFERROR(VLOOKUP($G417,基本資料!$A:$M,11,0),"無")</f>
        <v>-55.11</v>
      </c>
      <c r="AC417" s="397">
        <f>IFERROR(VLOOKUP($G417,基本資料!$A:$M,12,0),"無")</f>
        <v>21.82</v>
      </c>
      <c r="AD417" s="22" t="s">
        <v>3891</v>
      </c>
      <c r="AG417" s="33">
        <f>AF417-AE417</f>
        <v>0</v>
      </c>
      <c r="AH417" s="117" t="s">
        <v>3892</v>
      </c>
      <c r="AI417" s="63">
        <f>AJ417/(A417*10000)</f>
        <v>1.6631034482758622E-3</v>
      </c>
      <c r="AJ417" s="284">
        <f>RTD("money.excel",,$G417,"PredictVolume")</f>
        <v>4823</v>
      </c>
      <c r="AK417" s="399">
        <f>IFERROR(VLOOKUP($G417,基本資料!$A:$M,13,0),"無")</f>
        <v>8.27</v>
      </c>
    </row>
    <row r="418" spans="1:37">
      <c r="A418" s="347">
        <f>IFERROR(VLOOKUP($G418,基本資料!$A:$J,3,0),"無")</f>
        <v>43.37</v>
      </c>
      <c r="B418" s="79">
        <f>IFERROR(VLOOKUP($G418,基本資料!$A:$J,4,0),"無")</f>
        <v>346</v>
      </c>
      <c r="C418" s="79">
        <f>IFERROR(VLOOKUP($G418,基本資料!$A:$J,5,0),"無")</f>
        <v>106</v>
      </c>
      <c r="D418" s="79">
        <f>IFERROR(VLOOKUP($G418,基本資料!$A:$J,6,0),"無")</f>
        <v>96</v>
      </c>
      <c r="E418" s="79">
        <f>IFERROR(VLOOKUP($G418,基本資料!$A:$J,7,0),"無")</f>
        <v>33</v>
      </c>
      <c r="F418" s="6">
        <f>IFERROR(VLOOKUP($G418,基本資料!$A:$J,8,0),"無")</f>
        <v>0.67</v>
      </c>
      <c r="G418" s="79">
        <v>1806</v>
      </c>
      <c r="H418" s="8" t="s">
        <v>297</v>
      </c>
      <c r="I418" s="22" t="s">
        <v>3893</v>
      </c>
      <c r="J418" s="8" t="str">
        <f>IFERROR(VLOOKUP($G418,今日總結!$A:$AJ,35,0),"")</f>
        <v/>
      </c>
      <c r="K418" s="5" t="str">
        <f>IFERROR(VLOOKUP($G418,今日總結!$A:$AJ,36,0),"")</f>
        <v/>
      </c>
      <c r="L418" s="156" t="str">
        <f>IFERROR(VLOOKUP($G418,今日總結!$A:$AJ,33,0),"")</f>
        <v/>
      </c>
      <c r="M418" s="340" t="str">
        <f>IFERROR(VLOOKUP($G418,今日總結!$A:$AJ,34,0),"")</f>
        <v/>
      </c>
      <c r="N418" s="240" t="str">
        <f t="shared" ref="N418:N421" si="87">IFERROR(L418-M418,"")</f>
        <v/>
      </c>
      <c r="P418" s="365">
        <f>IFERROR(VLOOKUP($G418,融外自投!$A:$J,7,0),"無")</f>
        <v>685</v>
      </c>
      <c r="Q418" s="79">
        <f>IFERROR(VLOOKUP($G418,融外自投!$A:$J,9,0),"無")</f>
        <v>1051</v>
      </c>
      <c r="R418" s="346">
        <f>IFERROR(VLOOKUP($G418,融外自投!$A:$J,8,0),"無")</f>
        <v>505</v>
      </c>
      <c r="S418" s="81">
        <f>IFERROR(VLOOKUP($G418,融外自投!$A:$J,10,0),"無")</f>
        <v>362</v>
      </c>
      <c r="T418" s="327">
        <f>IFERROR(VLOOKUP($G418,'321買'!$A:$E,5,0),"'沒有資料'")</f>
        <v>827</v>
      </c>
      <c r="U418" s="186">
        <f>IFERROR(VLOOKUP($G418,基本資料!$A:$J,9,0),"無")</f>
        <v>1</v>
      </c>
      <c r="V418" s="310">
        <f t="shared" si="86"/>
        <v>9.0497737556561084E-2</v>
      </c>
      <c r="W418" s="94">
        <f>IFERROR(VLOOKUP($G418,基本資料!$A:$J,10,0),"無")</f>
        <v>2.29</v>
      </c>
      <c r="X418" s="36">
        <f>RTD("money.excel",,"1806","Price")</f>
        <v>11.05</v>
      </c>
      <c r="Y418" s="66"/>
      <c r="Z418" s="15">
        <f>X418-Y418</f>
        <v>11.05</v>
      </c>
      <c r="AA418" s="3" t="e">
        <f>Z418/Y418</f>
        <v>#DIV/0!</v>
      </c>
      <c r="AB418" s="344">
        <f>IFERROR(VLOOKUP($G418,基本資料!$A:$M,11,0),"無")</f>
        <v>-22.6</v>
      </c>
      <c r="AC418" s="397">
        <f>IFERROR(VLOOKUP($G418,基本資料!$A:$M,12,0),"無")</f>
        <v>39.19</v>
      </c>
      <c r="AD418" s="22" t="s">
        <v>3893</v>
      </c>
      <c r="AG418" s="33">
        <f>AF418-AE418</f>
        <v>0</v>
      </c>
      <c r="AH418" s="43" t="s">
        <v>3894</v>
      </c>
      <c r="AI418" s="63">
        <f>AJ418/(A418*10000)</f>
        <v>1.3142725386211668E-3</v>
      </c>
      <c r="AJ418" s="284">
        <f>RTD("money.excel",,$G418,"PredictVolume")</f>
        <v>570</v>
      </c>
      <c r="AK418" s="399">
        <f>IFERROR(VLOOKUP($G418,基本資料!$A:$M,13,0),"無")</f>
        <v>11.97</v>
      </c>
    </row>
    <row r="419" spans="1:37">
      <c r="A419" s="347">
        <f>IFERROR(VLOOKUP($G419,基本資料!$A:$J,3,0),"無")</f>
        <v>16.7</v>
      </c>
      <c r="B419" s="79">
        <f>IFERROR(VLOOKUP($G419,基本資料!$A:$J,4,0),"無")</f>
        <v>130</v>
      </c>
      <c r="C419" s="79">
        <f>IFERROR(VLOOKUP($G419,基本資料!$A:$J,5,0),"無")</f>
        <v>86</v>
      </c>
      <c r="D419" s="79">
        <f>IFERROR(VLOOKUP($G419,基本資料!$A:$J,6,0),"無")</f>
        <v>87</v>
      </c>
      <c r="E419" s="79">
        <f>IFERROR(VLOOKUP($G419,基本資料!$A:$J,7,0),"無")</f>
        <v>30</v>
      </c>
      <c r="F419" s="6">
        <f>IFERROR(VLOOKUP($G419,基本資料!$A:$J,8,0),"無")</f>
        <v>-0.63</v>
      </c>
      <c r="G419" s="79">
        <v>1809</v>
      </c>
      <c r="H419" s="8" t="s">
        <v>297</v>
      </c>
      <c r="I419" s="22" t="s">
        <v>3895</v>
      </c>
      <c r="J419" s="8" t="str">
        <f>IFERROR(VLOOKUP($G419,今日總結!$A:$AJ,35,0),"")</f>
        <v/>
      </c>
      <c r="K419" s="5" t="str">
        <f>IFERROR(VLOOKUP($G419,今日總結!$A:$AJ,36,0),"")</f>
        <v/>
      </c>
      <c r="L419" s="156" t="str">
        <f>IFERROR(VLOOKUP($G419,今日總結!$A:$AJ,33,0),"")</f>
        <v/>
      </c>
      <c r="M419" s="340" t="str">
        <f>IFERROR(VLOOKUP($G419,今日總結!$A:$AJ,34,0),"")</f>
        <v/>
      </c>
      <c r="N419" s="240" t="str">
        <f t="shared" si="87"/>
        <v/>
      </c>
      <c r="P419" s="365">
        <f>IFERROR(VLOOKUP($G419,融外自投!$A:$J,7,0),"無")</f>
        <v>400</v>
      </c>
      <c r="Q419" s="79">
        <f>IFERROR(VLOOKUP($G419,融外自投!$A:$J,9,0),"無")</f>
        <v>936</v>
      </c>
      <c r="R419" s="346">
        <f>IFERROR(VLOOKUP($G419,融外自投!$A:$J,8,0),"無")</f>
        <v>1000</v>
      </c>
      <c r="S419" s="81" t="str">
        <f>IFERROR(VLOOKUP($G419,融外自投!$A:$J,10,0),"無")</f>
        <v>無</v>
      </c>
      <c r="T419" s="327">
        <f>IFERROR(VLOOKUP($G419,'321買'!$A:$E,5,0),"'沒有資料'")</f>
        <v>683</v>
      </c>
      <c r="U419" s="186">
        <f>IFERROR(VLOOKUP($G419,基本資料!$A:$J,9,0),"無")</f>
        <v>0.25</v>
      </c>
      <c r="V419" s="310">
        <f t="shared" si="86"/>
        <v>2.0242914979757085E-2</v>
      </c>
      <c r="W419" s="94">
        <f>IFERROR(VLOOKUP($G419,基本資料!$A:$J,10,0),"無")</f>
        <v>0.25</v>
      </c>
      <c r="X419" s="36">
        <f>RTD("money.excel",,"1809","Price")</f>
        <v>12.35</v>
      </c>
      <c r="Y419" s="66"/>
      <c r="Z419" s="15">
        <f>X419-Y419</f>
        <v>12.35</v>
      </c>
      <c r="AA419" s="3" t="e">
        <f>Z419/Y419</f>
        <v>#DIV/0!</v>
      </c>
      <c r="AB419" s="344">
        <f>IFERROR(VLOOKUP($G419,基本資料!$A:$M,11,0),"無")</f>
        <v>-28.29</v>
      </c>
      <c r="AC419" s="397">
        <f>IFERROR(VLOOKUP($G419,基本資料!$A:$M,12,0),"無")</f>
        <v>8.23</v>
      </c>
      <c r="AD419" s="22" t="s">
        <v>3895</v>
      </c>
      <c r="AG419" s="33">
        <f>AF419-AE419</f>
        <v>0</v>
      </c>
      <c r="AH419" s="43" t="s">
        <v>3896</v>
      </c>
      <c r="AI419" s="63">
        <f>AJ419/(A419*10000)</f>
        <v>1.4790419161676647E-3</v>
      </c>
      <c r="AJ419" s="284">
        <f>RTD("money.excel",,$G419,"PredictVolume")</f>
        <v>247</v>
      </c>
      <c r="AK419" s="399">
        <f>IFERROR(VLOOKUP($G419,基本資料!$A:$M,13,0),"無")</f>
        <v>20.99</v>
      </c>
    </row>
    <row r="420" spans="1:37">
      <c r="A420" s="347">
        <f>IFERROR(VLOOKUP($G420,基本資料!$A:$J,3,0),"無")</f>
        <v>36.979999999999997</v>
      </c>
      <c r="B420" s="79">
        <f>IFERROR(VLOOKUP($G420,基本資料!$A:$J,4,0),"無")</f>
        <v>2098</v>
      </c>
      <c r="C420" s="79">
        <f>IFERROR(VLOOKUP($G420,基本資料!$A:$J,5,0),"無")</f>
        <v>35940</v>
      </c>
      <c r="D420" s="79">
        <f>IFERROR(VLOOKUP($G420,基本資料!$A:$J,6,0),"無")</f>
        <v>8</v>
      </c>
      <c r="E420" s="79">
        <f>IFERROR(VLOOKUP($G420,基本資料!$A:$J,7,0),"無")</f>
        <v>3</v>
      </c>
      <c r="F420" s="6">
        <f>IFERROR(VLOOKUP($G420,基本資料!$A:$J,8,0),"無")</f>
        <v>1.25</v>
      </c>
      <c r="G420" s="79">
        <v>1810</v>
      </c>
      <c r="H420" s="8" t="s">
        <v>297</v>
      </c>
      <c r="I420" s="22" t="s">
        <v>3897</v>
      </c>
      <c r="J420" s="8">
        <f>IFERROR(VLOOKUP($G420,今日總結!$A:$AJ,35,0),"")</f>
        <v>0</v>
      </c>
      <c r="K420" s="5" t="str">
        <f>IFERROR(VLOOKUP($G420,今日總結!$A:$AJ,36,0),"")</f>
        <v>借</v>
      </c>
      <c r="L420" s="156">
        <f>IFERROR(VLOOKUP($G420,今日總結!$A:$AJ,33,0),"")</f>
        <v>0</v>
      </c>
      <c r="M420" s="340">
        <f>IFERROR(VLOOKUP($G420,今日總結!$A:$AJ,34,0),"")</f>
        <v>1</v>
      </c>
      <c r="N420" s="240">
        <f t="shared" si="87"/>
        <v>-1</v>
      </c>
      <c r="P420" s="365">
        <f>IFERROR(VLOOKUP($G420,融外自投!$A:$J,7,0),"無")</f>
        <v>111</v>
      </c>
      <c r="Q420" s="79" t="str">
        <f>IFERROR(VLOOKUP($G420,融外自投!$A:$J,9,0),"無")</f>
        <v>無</v>
      </c>
      <c r="R420" s="346">
        <f>IFERROR(VLOOKUP($G420,融外自投!$A:$J,8,0),"無")</f>
        <v>742</v>
      </c>
      <c r="S420" s="81" t="str">
        <f>IFERROR(VLOOKUP($G420,融外自投!$A:$J,10,0),"無")</f>
        <v>無</v>
      </c>
      <c r="T420" s="327">
        <f>IFERROR(VLOOKUP($G420,'321買'!$A:$E,5,0),"'沒有資料'")</f>
        <v>827</v>
      </c>
      <c r="U420" s="186">
        <f>IFERROR(VLOOKUP($G420,基本資料!$A:$J,9,0),"無")</f>
        <v>0</v>
      </c>
      <c r="V420" s="310">
        <f t="shared" si="86"/>
        <v>0</v>
      </c>
      <c r="W420" s="94">
        <f>IFERROR(VLOOKUP($G420,基本資料!$A:$J,10,0),"無")</f>
        <v>3.33</v>
      </c>
      <c r="X420" s="36">
        <f>RTD("money.excel",,"1810","Price")</f>
        <v>12.4</v>
      </c>
      <c r="Y420" s="66"/>
      <c r="Z420" s="15">
        <f>X420-Y420</f>
        <v>12.4</v>
      </c>
      <c r="AA420" s="3" t="e">
        <f>Z420/Y420</f>
        <v>#DIV/0!</v>
      </c>
      <c r="AB420" s="344">
        <f>IFERROR(VLOOKUP($G420,基本資料!$A:$M,11,0),"無")</f>
        <v>-25.96</v>
      </c>
      <c r="AC420" s="397">
        <f>IFERROR(VLOOKUP($G420,基本資料!$A:$M,12,0),"無")</f>
        <v>14.75</v>
      </c>
      <c r="AD420" s="22" t="s">
        <v>3897</v>
      </c>
      <c r="AG420" s="33">
        <f>AF420-AE420</f>
        <v>0</v>
      </c>
      <c r="AH420" s="43" t="s">
        <v>3898</v>
      </c>
      <c r="AI420" s="63">
        <f>AJ420/(A420*10000)</f>
        <v>1.5173066522444567E-2</v>
      </c>
      <c r="AJ420" s="284">
        <f>RTD("money.excel",,$G420,"PredictVolume")</f>
        <v>5611</v>
      </c>
      <c r="AK420" s="399">
        <f>IFERROR(VLOOKUP($G420,基本資料!$A:$M,13,0),"無")</f>
        <v>11.38</v>
      </c>
    </row>
    <row r="421" spans="1:37">
      <c r="A421" s="347">
        <f>IFERROR(VLOOKUP($G421,基本資料!$A:$J,3,0),"無")</f>
        <v>7.26</v>
      </c>
      <c r="B421" s="79">
        <f>IFERROR(VLOOKUP($G421,基本資料!$A:$J,4,0),"無")</f>
        <v>2</v>
      </c>
      <c r="C421" s="79">
        <f>IFERROR(VLOOKUP($G421,基本資料!$A:$J,5,0),"無")</f>
        <v>-1</v>
      </c>
      <c r="D421" s="79">
        <f>IFERROR(VLOOKUP($G421,基本資料!$A:$J,6,0),"無")</f>
        <v>-11</v>
      </c>
      <c r="E421" s="79">
        <f>IFERROR(VLOOKUP($G421,基本資料!$A:$J,7,0),"無")</f>
        <v>16</v>
      </c>
      <c r="F421" s="6">
        <f>IFERROR(VLOOKUP($G421,基本資料!$A:$J,8,0),"無")</f>
        <v>12.01</v>
      </c>
      <c r="G421" s="79">
        <v>1817</v>
      </c>
      <c r="H421" s="8" t="s">
        <v>297</v>
      </c>
      <c r="I421" s="22" t="s">
        <v>3899</v>
      </c>
      <c r="J421" s="8" t="str">
        <f>IFERROR(VLOOKUP($G421,今日總結!$A:$AJ,35,0),"")</f>
        <v/>
      </c>
      <c r="K421" s="5" t="str">
        <f>IFERROR(VLOOKUP($G421,今日總結!$A:$AJ,36,0),"")</f>
        <v/>
      </c>
      <c r="L421" s="156" t="str">
        <f>IFERROR(VLOOKUP($G421,今日總結!$A:$AJ,33,0),"")</f>
        <v/>
      </c>
      <c r="M421" s="340" t="str">
        <f>IFERROR(VLOOKUP($G421,今日總結!$A:$AJ,34,0),"")</f>
        <v/>
      </c>
      <c r="N421" s="240" t="str">
        <f t="shared" si="87"/>
        <v/>
      </c>
      <c r="P421" s="365">
        <f>IFERROR(VLOOKUP($G421,融外自投!$A:$J,7,0),"無")</f>
        <v>377</v>
      </c>
      <c r="Q421" s="79">
        <f>IFERROR(VLOOKUP($G421,融外自投!$A:$J,9,0),"無")</f>
        <v>459</v>
      </c>
      <c r="R421" s="346">
        <f>IFERROR(VLOOKUP($G421,融外自投!$A:$J,8,0),"無")</f>
        <v>1017</v>
      </c>
      <c r="S421" s="81">
        <f>IFERROR(VLOOKUP($G421,融外自投!$A:$J,10,0),"無")</f>
        <v>351</v>
      </c>
      <c r="T421" s="327">
        <f>IFERROR(VLOOKUP($G421,'321買'!$A:$E,5,0),"'沒有資料'")</f>
        <v>1338</v>
      </c>
      <c r="U421" s="186">
        <f>IFERROR(VLOOKUP($G421,基本資料!$A:$J,9,0),"無")</f>
        <v>2</v>
      </c>
      <c r="V421" s="310">
        <f t="shared" si="86"/>
        <v>5.6899004267425321E-2</v>
      </c>
      <c r="W421" s="94">
        <f>IFERROR(VLOOKUP($G421,基本資料!$A:$J,10,0),"無")</f>
        <v>3.07</v>
      </c>
      <c r="X421" s="36">
        <f>RTD("money.excel",,"1817","Price")</f>
        <v>35.15</v>
      </c>
      <c r="Y421" s="66"/>
      <c r="Z421" s="15">
        <f>X421-Y421</f>
        <v>35.15</v>
      </c>
      <c r="AA421" s="3" t="e">
        <f>Z421/Y421</f>
        <v>#DIV/0!</v>
      </c>
      <c r="AB421" s="344">
        <f>IFERROR(VLOOKUP($G421,基本資料!$A:$M,11,0),"無")</f>
        <v>-17.12</v>
      </c>
      <c r="AC421" s="397">
        <f>IFERROR(VLOOKUP($G421,基本資料!$A:$M,12,0),"無")</f>
        <v>11.29</v>
      </c>
      <c r="AD421" s="22" t="s">
        <v>3899</v>
      </c>
      <c r="AG421" s="33">
        <f>AF421-AE421</f>
        <v>0</v>
      </c>
      <c r="AH421" s="43" t="s">
        <v>3898</v>
      </c>
      <c r="AI421" s="63">
        <f>AJ421/(A421*10000)</f>
        <v>1.5840220385674932E-3</v>
      </c>
      <c r="AJ421" s="284">
        <f>RTD("money.excel",,$G421,"PredictVolume")</f>
        <v>115</v>
      </c>
      <c r="AK421" s="399">
        <f>IFERROR(VLOOKUP($G421,基本資料!$A:$M,13,0),"無")</f>
        <v>2.56</v>
      </c>
    </row>
    <row r="422" spans="1:37">
      <c r="B422" s="90"/>
      <c r="C422" s="90"/>
      <c r="D422" s="90"/>
      <c r="E422" s="90"/>
      <c r="F422" s="57"/>
      <c r="G422" s="79"/>
      <c r="H422" s="8"/>
      <c r="I422" s="22"/>
      <c r="L422" s="2"/>
      <c r="P422" s="365"/>
      <c r="Q422" s="79"/>
      <c r="R422" s="346"/>
      <c r="S422" s="81"/>
      <c r="U422" s="34"/>
      <c r="W422" s="94"/>
      <c r="X422" s="36"/>
      <c r="Y422" s="66"/>
      <c r="Z422" s="15"/>
      <c r="AA422" s="3"/>
      <c r="AD422" s="22"/>
      <c r="AG422" s="33"/>
      <c r="AH422" s="43"/>
      <c r="AI422" s="63"/>
      <c r="AJ422" s="284"/>
    </row>
    <row r="423" spans="1:37">
      <c r="A423" s="127" t="s">
        <v>3876</v>
      </c>
      <c r="B423" s="90" t="s">
        <v>3877</v>
      </c>
      <c r="C423" s="90" t="s">
        <v>3878</v>
      </c>
      <c r="D423" s="90" t="s">
        <v>3879</v>
      </c>
      <c r="E423" s="90" t="s">
        <v>3880</v>
      </c>
      <c r="F423" s="8" t="s">
        <v>3881</v>
      </c>
      <c r="G423" s="27" t="s">
        <v>1868</v>
      </c>
      <c r="H423" s="55" t="s">
        <v>320</v>
      </c>
      <c r="I423" s="8" t="s">
        <v>3900</v>
      </c>
      <c r="J423" s="8" t="s">
        <v>6221</v>
      </c>
      <c r="K423" s="5" t="s">
        <v>6222</v>
      </c>
      <c r="L423" s="337" t="s">
        <v>6206</v>
      </c>
      <c r="M423" s="338" t="s">
        <v>6207</v>
      </c>
      <c r="N423" s="339" t="s">
        <v>6208</v>
      </c>
      <c r="O423" s="4" t="s">
        <v>6713</v>
      </c>
      <c r="P423" s="89" t="s">
        <v>6285</v>
      </c>
      <c r="Q423" s="293" t="s">
        <v>6284</v>
      </c>
      <c r="R423" s="354" t="s">
        <v>6283</v>
      </c>
      <c r="S423" s="26" t="s">
        <v>6286</v>
      </c>
      <c r="T423" s="321" t="s">
        <v>4716</v>
      </c>
      <c r="U423" s="10" t="s">
        <v>3884</v>
      </c>
      <c r="V423" s="308" t="s">
        <v>4731</v>
      </c>
      <c r="W423" s="68" t="s">
        <v>3273</v>
      </c>
      <c r="X423" s="28" t="s">
        <v>2</v>
      </c>
      <c r="Y423" s="17" t="s">
        <v>3885</v>
      </c>
      <c r="Z423" s="14" t="s">
        <v>3886</v>
      </c>
      <c r="AA423" s="21" t="s">
        <v>3887</v>
      </c>
      <c r="AB423" s="96" t="s">
        <v>6174</v>
      </c>
      <c r="AC423" s="384" t="s">
        <v>6420</v>
      </c>
      <c r="AD423" s="8" t="s">
        <v>3900</v>
      </c>
      <c r="AE423" s="71" t="s">
        <v>3888</v>
      </c>
      <c r="AF423" s="72" t="s">
        <v>3889</v>
      </c>
      <c r="AG423" s="32" t="s">
        <v>3890</v>
      </c>
      <c r="AH423" s="25" t="s">
        <v>6209</v>
      </c>
      <c r="AI423" s="8" t="s">
        <v>6731</v>
      </c>
      <c r="AJ423" s="50" t="s">
        <v>3361</v>
      </c>
      <c r="AK423" s="44" t="s">
        <v>6730</v>
      </c>
    </row>
    <row r="424" spans="1:37">
      <c r="A424" s="347">
        <f>IFERROR(VLOOKUP($G424,基本資料!$A:$J,3,0),"無")</f>
        <v>26</v>
      </c>
      <c r="B424" s="79">
        <f>IFERROR(VLOOKUP($G424,基本資料!$A:$J,4,0),"無")</f>
        <v>162</v>
      </c>
      <c r="C424" s="79">
        <f>IFERROR(VLOOKUP($G424,基本資料!$A:$J,5,0),"無")</f>
        <v>82</v>
      </c>
      <c r="D424" s="79">
        <f>IFERROR(VLOOKUP($G424,基本資料!$A:$J,6,0),"無")</f>
        <v>-30</v>
      </c>
      <c r="E424" s="79">
        <f>IFERROR(VLOOKUP($G424,基本資料!$A:$J,7,0),"無")</f>
        <v>-15</v>
      </c>
      <c r="F424" s="6">
        <f>IFERROR(VLOOKUP($G424,基本資料!$A:$J,8,0),"無")</f>
        <v>-8.15</v>
      </c>
      <c r="G424" s="79">
        <v>1903</v>
      </c>
      <c r="H424" s="8" t="s">
        <v>298</v>
      </c>
      <c r="I424" s="22" t="s">
        <v>3901</v>
      </c>
      <c r="J424" s="8">
        <f>IFERROR(VLOOKUP($G424,今日總結!$A:$AJ,35,0),"")</f>
        <v>0</v>
      </c>
      <c r="K424" s="5" t="str">
        <f>IFERROR(VLOOKUP($G424,今日總結!$A:$AJ,36,0),"")</f>
        <v>借</v>
      </c>
      <c r="L424" s="156">
        <f>IFERROR(VLOOKUP($G424,今日總結!$A:$AJ,33,0),"")</f>
        <v>0</v>
      </c>
      <c r="M424" s="340">
        <f>IFERROR(VLOOKUP($G424,今日總結!$A:$AJ,34,0),"")</f>
        <v>2</v>
      </c>
      <c r="N424" s="240">
        <f t="shared" ref="N424" si="88">IFERROR(L424-M424,"")</f>
        <v>-2</v>
      </c>
      <c r="P424" s="365">
        <f>IFERROR(VLOOKUP($G424,融外自投!$A:$J,7,0),"無")</f>
        <v>931</v>
      </c>
      <c r="Q424" s="79" t="str">
        <f>IFERROR(VLOOKUP($G424,融外自投!$A:$J,9,0),"無")</f>
        <v>無</v>
      </c>
      <c r="R424" s="346">
        <f>IFERROR(VLOOKUP($G424,融外自投!$A:$J,8,0),"無")</f>
        <v>298</v>
      </c>
      <c r="S424" s="81" t="str">
        <f>IFERROR(VLOOKUP($G424,融外自投!$A:$J,10,0),"無")</f>
        <v>無</v>
      </c>
      <c r="T424" s="327">
        <f>IFERROR(VLOOKUP($G424,'321買'!$A:$E,5,0),"'沒有資料'")</f>
        <v>683</v>
      </c>
      <c r="U424" s="186">
        <f>IFERROR(VLOOKUP($G424,基本資料!$A:$J,9,0),"無")</f>
        <v>0</v>
      </c>
      <c r="V424" s="310">
        <f t="shared" ref="V424:V429" si="89">$U424/$X424</f>
        <v>0</v>
      </c>
      <c r="W424" s="94">
        <f>IFERROR(VLOOKUP($G424,基本資料!$A:$J,10,0),"無")</f>
        <v>0.32</v>
      </c>
      <c r="X424" s="36">
        <f>RTD("money.excel",,"1903","Price")</f>
        <v>55.1</v>
      </c>
      <c r="Y424" s="66"/>
      <c r="Z424" s="15">
        <f t="shared" ref="Z424:Z429" si="90">X424-Y424</f>
        <v>55.1</v>
      </c>
      <c r="AA424" s="3" t="e">
        <f t="shared" ref="AA424:AA429" si="91">Z424/Y424</f>
        <v>#DIV/0!</v>
      </c>
      <c r="AB424" s="344">
        <f>IFERROR(VLOOKUP($G424,基本資料!$A:$M,11,0),"無")</f>
        <v>-29.44</v>
      </c>
      <c r="AC424" s="397">
        <f>IFERROR(VLOOKUP($G424,基本資料!$A:$M,12,0),"無")</f>
        <v>10.34</v>
      </c>
      <c r="AD424" s="22" t="s">
        <v>3901</v>
      </c>
      <c r="AG424" s="33">
        <f t="shared" ref="AG424:AG429" si="92">AF424-AE424</f>
        <v>0</v>
      </c>
      <c r="AH424" s="43" t="s">
        <v>3902</v>
      </c>
      <c r="AI424" s="63">
        <f t="shared" ref="AI424:AI429" si="93">AJ424/(A424*10000)</f>
        <v>2.5769230769230768E-4</v>
      </c>
      <c r="AJ424" s="284">
        <f>RTD("money.excel",,$G424,"PredictVolume")</f>
        <v>67</v>
      </c>
      <c r="AK424" s="399">
        <f>IFERROR(VLOOKUP($G424,基本資料!$A:$M,13,0),"無")</f>
        <v>7.09</v>
      </c>
    </row>
    <row r="425" spans="1:37">
      <c r="A425" s="347">
        <f>IFERROR(VLOOKUP($G425,基本資料!$A:$J,3,0),"無")</f>
        <v>110</v>
      </c>
      <c r="B425" s="79">
        <f>IFERROR(VLOOKUP($G425,基本資料!$A:$J,4,0),"無")</f>
        <v>7</v>
      </c>
      <c r="C425" s="79">
        <f>IFERROR(VLOOKUP($G425,基本資料!$A:$J,5,0),"無")</f>
        <v>-8</v>
      </c>
      <c r="D425" s="79">
        <f>IFERROR(VLOOKUP($G425,基本資料!$A:$J,6,0),"無")</f>
        <v>-5</v>
      </c>
      <c r="E425" s="79">
        <f>IFERROR(VLOOKUP($G425,基本資料!$A:$J,7,0),"無")</f>
        <v>3</v>
      </c>
      <c r="F425" s="6">
        <f>IFERROR(VLOOKUP($G425,基本資料!$A:$J,8,0),"無")</f>
        <v>10.17</v>
      </c>
      <c r="G425" s="79">
        <v>1904</v>
      </c>
      <c r="H425" s="8" t="s">
        <v>298</v>
      </c>
      <c r="I425" s="22" t="s">
        <v>3903</v>
      </c>
      <c r="J425" s="8">
        <f>IFERROR(VLOOKUP($G425,今日總結!$A:$AJ,35,0),"")</f>
        <v>0</v>
      </c>
      <c r="K425" s="5" t="str">
        <f>IFERROR(VLOOKUP($G425,今日總結!$A:$AJ,36,0),"")</f>
        <v>借</v>
      </c>
      <c r="L425" s="156">
        <f>IFERROR(VLOOKUP($G425,今日總結!$A:$AJ,33,0),"")</f>
        <v>0</v>
      </c>
      <c r="M425" s="340">
        <f>IFERROR(VLOOKUP($G425,今日總結!$A:$AJ,34,0),"")</f>
        <v>2</v>
      </c>
      <c r="N425" s="240">
        <f t="shared" ref="N425:N429" si="94">IFERROR(L425-M425,"")</f>
        <v>-2</v>
      </c>
      <c r="P425" s="365">
        <f>IFERROR(VLOOKUP($G425,融外自投!$A:$J,7,0),"無")</f>
        <v>1183</v>
      </c>
      <c r="Q425" s="79">
        <f>IFERROR(VLOOKUP($G425,融外自投!$A:$J,9,0),"無")</f>
        <v>824</v>
      </c>
      <c r="R425" s="346">
        <f>IFERROR(VLOOKUP($G425,融外自投!$A:$J,8,0),"無")</f>
        <v>590</v>
      </c>
      <c r="S425" s="81">
        <f>IFERROR(VLOOKUP($G425,融外自投!$A:$J,10,0),"無")</f>
        <v>274</v>
      </c>
      <c r="T425" s="327">
        <f>IFERROR(VLOOKUP($G425,'321買'!$A:$E,5,0),"'沒有資料'")</f>
        <v>430</v>
      </c>
      <c r="U425" s="186">
        <f>IFERROR(VLOOKUP($G425,基本資料!$A:$J,9,0),"無")</f>
        <v>1.9</v>
      </c>
      <c r="V425" s="310">
        <f t="shared" si="89"/>
        <v>5.9654631083202507E-2</v>
      </c>
      <c r="W425" s="94">
        <f>IFERROR(VLOOKUP($G425,基本資料!$A:$J,10,0),"無")</f>
        <v>3.58</v>
      </c>
      <c r="X425" s="36">
        <f>RTD("money.excel",,"1904","Price")</f>
        <v>31.85</v>
      </c>
      <c r="Y425" s="66"/>
      <c r="Z425" s="15">
        <f t="shared" si="90"/>
        <v>31.85</v>
      </c>
      <c r="AA425" s="3" t="e">
        <f t="shared" si="91"/>
        <v>#DIV/0!</v>
      </c>
      <c r="AB425" s="344">
        <f>IFERROR(VLOOKUP($G425,基本資料!$A:$M,11,0),"無")</f>
        <v>-36.409999999999997</v>
      </c>
      <c r="AC425" s="397">
        <f>IFERROR(VLOOKUP($G425,基本資料!$A:$M,12,0),"無")</f>
        <v>17.14</v>
      </c>
      <c r="AD425" s="22" t="s">
        <v>3903</v>
      </c>
      <c r="AG425" s="33">
        <f t="shared" si="92"/>
        <v>0</v>
      </c>
      <c r="AH425" s="117" t="s">
        <v>3904</v>
      </c>
      <c r="AI425" s="63">
        <f t="shared" si="93"/>
        <v>2.6099999999999999E-3</v>
      </c>
      <c r="AJ425" s="284">
        <f>RTD("money.excel",,$G425,"PredictVolume")</f>
        <v>2871</v>
      </c>
      <c r="AK425" s="399">
        <f>IFERROR(VLOOKUP($G425,基本資料!$A:$M,13,0),"無")</f>
        <v>5.54</v>
      </c>
    </row>
    <row r="426" spans="1:37">
      <c r="A426" s="347">
        <f>IFERROR(VLOOKUP($G426,基本資料!$A:$J,3,0),"無")</f>
        <v>110</v>
      </c>
      <c r="B426" s="79">
        <f>IFERROR(VLOOKUP($G426,基本資料!$A:$J,4,0),"無")</f>
        <v>248</v>
      </c>
      <c r="C426" s="79">
        <f>IFERROR(VLOOKUP($G426,基本資料!$A:$J,5,0),"無")</f>
        <v>169</v>
      </c>
      <c r="D426" s="79">
        <f>IFERROR(VLOOKUP($G426,基本資料!$A:$J,6,0),"無")</f>
        <v>42</v>
      </c>
      <c r="E426" s="79">
        <f>IFERROR(VLOOKUP($G426,基本資料!$A:$J,7,0),"無")</f>
        <v>6</v>
      </c>
      <c r="F426" s="6">
        <f>IFERROR(VLOOKUP($G426,基本資料!$A:$J,8,0),"無")</f>
        <v>1.24</v>
      </c>
      <c r="G426" s="79">
        <v>1905</v>
      </c>
      <c r="H426" s="8" t="s">
        <v>298</v>
      </c>
      <c r="I426" s="22" t="s">
        <v>3905</v>
      </c>
      <c r="J426" s="8">
        <f>IFERROR(VLOOKUP($G426,今日總結!$A:$AJ,35,0),"")</f>
        <v>0</v>
      </c>
      <c r="K426" s="5" t="str">
        <f>IFERROR(VLOOKUP($G426,今日總結!$A:$AJ,36,0),"")</f>
        <v>借</v>
      </c>
      <c r="L426" s="156">
        <f>IFERROR(VLOOKUP($G426,今日總結!$A:$AJ,33,0),"")</f>
        <v>0</v>
      </c>
      <c r="M426" s="340">
        <f>IFERROR(VLOOKUP($G426,今日總結!$A:$AJ,34,0),"")</f>
        <v>1</v>
      </c>
      <c r="N426" s="240">
        <f t="shared" si="94"/>
        <v>-1</v>
      </c>
      <c r="P426" s="365">
        <f>IFERROR(VLOOKUP($G426,融外自投!$A:$J,7,0),"無")</f>
        <v>913</v>
      </c>
      <c r="Q426" s="79">
        <f>IFERROR(VLOOKUP($G426,融外自投!$A:$J,9,0),"無")</f>
        <v>852</v>
      </c>
      <c r="R426" s="346">
        <f>IFERROR(VLOOKUP($G426,融外自投!$A:$J,8,0),"無")</f>
        <v>946</v>
      </c>
      <c r="S426" s="81" t="str">
        <f>IFERROR(VLOOKUP($G426,融外自投!$A:$J,10,0),"無")</f>
        <v>無</v>
      </c>
      <c r="T426" s="327">
        <f>IFERROR(VLOOKUP($G426,'321買'!$A:$E,5,0),"'沒有資料'")</f>
        <v>536</v>
      </c>
      <c r="U426" s="186">
        <f>IFERROR(VLOOKUP($G426,基本資料!$A:$J,9,0),"無")</f>
        <v>0.4</v>
      </c>
      <c r="V426" s="310">
        <f t="shared" si="89"/>
        <v>2.0408163265306121E-2</v>
      </c>
      <c r="W426" s="94">
        <f>IFERROR(VLOOKUP($G426,基本資料!$A:$J,10,0),"無")</f>
        <v>0.45</v>
      </c>
      <c r="X426" s="36">
        <f>RTD("money.excel",,"1905","Price")</f>
        <v>19.600000000000001</v>
      </c>
      <c r="Y426" s="66"/>
      <c r="Z426" s="15">
        <f t="shared" si="90"/>
        <v>19.600000000000001</v>
      </c>
      <c r="AA426" s="3" t="e">
        <f t="shared" si="91"/>
        <v>#DIV/0!</v>
      </c>
      <c r="AB426" s="344">
        <f>IFERROR(VLOOKUP($G426,基本資料!$A:$M,11,0),"無")</f>
        <v>-37.5</v>
      </c>
      <c r="AC426" s="397">
        <f>IFERROR(VLOOKUP($G426,基本資料!$A:$M,12,0),"無")</f>
        <v>36.5</v>
      </c>
      <c r="AD426" s="22" t="s">
        <v>3905</v>
      </c>
      <c r="AG426" s="33">
        <f t="shared" si="92"/>
        <v>0</v>
      </c>
      <c r="AH426" s="43" t="s">
        <v>3906</v>
      </c>
      <c r="AI426" s="63">
        <f t="shared" si="93"/>
        <v>4.0790909090909089E-3</v>
      </c>
      <c r="AJ426" s="284">
        <f>RTD("money.excel",,$G426,"PredictVolume")</f>
        <v>4487</v>
      </c>
      <c r="AK426" s="399">
        <f>IFERROR(VLOOKUP($G426,基本資料!$A:$M,13,0),"無")</f>
        <v>18.350000000000001</v>
      </c>
    </row>
    <row r="427" spans="1:37">
      <c r="A427" s="347">
        <f>IFERROR(VLOOKUP($G427,基本資料!$A:$J,3,0),"無")</f>
        <v>15.1</v>
      </c>
      <c r="B427" s="79">
        <f>IFERROR(VLOOKUP($G427,基本資料!$A:$J,4,0),"無")</f>
        <v>97</v>
      </c>
      <c r="C427" s="79">
        <f>IFERROR(VLOOKUP($G427,基本資料!$A:$J,5,0),"無")</f>
        <v>-80</v>
      </c>
      <c r="D427" s="79">
        <f>IFERROR(VLOOKUP($G427,基本資料!$A:$J,6,0),"無")</f>
        <v>3</v>
      </c>
      <c r="E427" s="79">
        <f>IFERROR(VLOOKUP($G427,基本資料!$A:$J,7,0),"無")</f>
        <v>3734</v>
      </c>
      <c r="F427" s="6">
        <f>IFERROR(VLOOKUP($G427,基本資料!$A:$J,8,0),"無")</f>
        <v>0.1</v>
      </c>
      <c r="G427" s="79">
        <v>1906</v>
      </c>
      <c r="H427" s="8" t="s">
        <v>298</v>
      </c>
      <c r="I427" s="22" t="s">
        <v>3907</v>
      </c>
      <c r="J427" s="8" t="str">
        <f>IFERROR(VLOOKUP($G427,今日總結!$A:$AJ,35,0),"")</f>
        <v/>
      </c>
      <c r="K427" s="5" t="str">
        <f>IFERROR(VLOOKUP($G427,今日總結!$A:$AJ,36,0),"")</f>
        <v/>
      </c>
      <c r="L427" s="156" t="str">
        <f>IFERROR(VLOOKUP($G427,今日總結!$A:$AJ,33,0),"")</f>
        <v/>
      </c>
      <c r="M427" s="340" t="str">
        <f>IFERROR(VLOOKUP($G427,今日總結!$A:$AJ,34,0),"")</f>
        <v/>
      </c>
      <c r="N427" s="240" t="str">
        <f t="shared" si="94"/>
        <v/>
      </c>
      <c r="P427" s="365">
        <f>IFERROR(VLOOKUP($G427,融外自投!$A:$J,7,0),"無")</f>
        <v>774</v>
      </c>
      <c r="Q427" s="79">
        <f>IFERROR(VLOOKUP($G427,融外自投!$A:$J,9,0),"無")</f>
        <v>936</v>
      </c>
      <c r="R427" s="346">
        <f>IFERROR(VLOOKUP($G427,融外自投!$A:$J,8,0),"無")</f>
        <v>1106</v>
      </c>
      <c r="S427" s="81" t="str">
        <f>IFERROR(VLOOKUP($G427,融外自投!$A:$J,10,0),"無")</f>
        <v>無</v>
      </c>
      <c r="T427" s="327">
        <f>IFERROR(VLOOKUP($G427,'321買'!$A:$E,5,0),"'沒有資料'")</f>
        <v>237</v>
      </c>
      <c r="U427" s="186">
        <f>IFERROR(VLOOKUP($G427,基本資料!$A:$J,9,0),"無")</f>
        <v>0.6</v>
      </c>
      <c r="V427" s="310">
        <f t="shared" si="89"/>
        <v>3.1168831168831169E-2</v>
      </c>
      <c r="W427" s="94">
        <f>IFERROR(VLOOKUP($G427,基本資料!$A:$J,10,0),"無")</f>
        <v>1.22</v>
      </c>
      <c r="X427" s="36">
        <f>RTD("money.excel",,"1906","Price")</f>
        <v>19.25</v>
      </c>
      <c r="Y427" s="66"/>
      <c r="Z427" s="15">
        <f t="shared" si="90"/>
        <v>19.25</v>
      </c>
      <c r="AA427" s="3" t="e">
        <f t="shared" si="91"/>
        <v>#DIV/0!</v>
      </c>
      <c r="AB427" s="344">
        <f>IFERROR(VLOOKUP($G427,基本資料!$A:$M,11,0),"無")</f>
        <v>-18.43</v>
      </c>
      <c r="AC427" s="397">
        <f>IFERROR(VLOOKUP($G427,基本資料!$A:$M,12,0),"無")</f>
        <v>39.950000000000003</v>
      </c>
      <c r="AD427" s="22" t="s">
        <v>3907</v>
      </c>
      <c r="AG427" s="33">
        <f t="shared" si="92"/>
        <v>0</v>
      </c>
      <c r="AH427" s="43" t="s">
        <v>3908</v>
      </c>
      <c r="AI427" s="63">
        <f t="shared" si="93"/>
        <v>5.6953642384105965E-3</v>
      </c>
      <c r="AJ427" s="284">
        <f>RTD("money.excel",,$G427,"PredictVolume")</f>
        <v>860</v>
      </c>
      <c r="AK427" s="399">
        <f>IFERROR(VLOOKUP($G427,基本資料!$A:$M,13,0),"無")</f>
        <v>6.56</v>
      </c>
    </row>
    <row r="428" spans="1:37">
      <c r="A428" s="347">
        <f>IFERROR(VLOOKUP($G428,基本資料!$A:$J,3,0),"無")</f>
        <v>166</v>
      </c>
      <c r="B428" s="79">
        <f>IFERROR(VLOOKUP($G428,基本資料!$A:$J,4,0),"無")</f>
        <v>17</v>
      </c>
      <c r="C428" s="79">
        <f>IFERROR(VLOOKUP($G428,基本資料!$A:$J,5,0),"無")</f>
        <v>42</v>
      </c>
      <c r="D428" s="79">
        <f>IFERROR(VLOOKUP($G428,基本資料!$A:$J,6,0),"無")</f>
        <v>36</v>
      </c>
      <c r="E428" s="79">
        <f>IFERROR(VLOOKUP($G428,基本資料!$A:$J,7,0),"無")</f>
        <v>-4</v>
      </c>
      <c r="F428" s="6">
        <f>IFERROR(VLOOKUP($G428,基本資料!$A:$J,8,0),"無")</f>
        <v>9.39</v>
      </c>
      <c r="G428" s="79">
        <v>1907</v>
      </c>
      <c r="H428" s="8" t="s">
        <v>298</v>
      </c>
      <c r="I428" s="22" t="s">
        <v>3909</v>
      </c>
      <c r="J428" s="8">
        <f>IFERROR(VLOOKUP($G428,今日總結!$A:$AJ,35,0),"")</f>
        <v>0</v>
      </c>
      <c r="K428" s="5" t="str">
        <f>IFERROR(VLOOKUP($G428,今日總結!$A:$AJ,36,0),"")</f>
        <v>融外</v>
      </c>
      <c r="L428" s="156">
        <f>IFERROR(VLOOKUP($G428,今日總結!$A:$AJ,33,0),"")</f>
        <v>0</v>
      </c>
      <c r="M428" s="340">
        <f>IFERROR(VLOOKUP($G428,今日總結!$A:$AJ,34,0),"")</f>
        <v>3</v>
      </c>
      <c r="N428" s="240">
        <f t="shared" si="94"/>
        <v>-3</v>
      </c>
      <c r="P428" s="365">
        <f>IFERROR(VLOOKUP($G428,融外自投!$A:$J,7,0),"無")</f>
        <v>954</v>
      </c>
      <c r="Q428" s="79">
        <f>IFERROR(VLOOKUP($G428,融外自投!$A:$J,9,0),"無")</f>
        <v>852</v>
      </c>
      <c r="R428" s="346">
        <f>IFERROR(VLOOKUP($G428,融外自投!$A:$J,8,0),"無")</f>
        <v>349</v>
      </c>
      <c r="S428" s="81">
        <f>IFERROR(VLOOKUP($G428,融外自投!$A:$J,10,0),"無")</f>
        <v>491</v>
      </c>
      <c r="T428" s="327">
        <f>IFERROR(VLOOKUP($G428,'321買'!$A:$E,5,0),"'沒有資料'")</f>
        <v>683</v>
      </c>
      <c r="U428" s="186">
        <f>IFERROR(VLOOKUP($G428,基本資料!$A:$J,9,0),"無")</f>
        <v>1.5</v>
      </c>
      <c r="V428" s="310">
        <f t="shared" si="89"/>
        <v>5.0335570469798654E-2</v>
      </c>
      <c r="W428" s="94">
        <f>IFERROR(VLOOKUP($G428,基本資料!$A:$J,10,0),"無")</f>
        <v>3.13</v>
      </c>
      <c r="X428" s="36">
        <f>RTD("money.excel",,"1907","Price")</f>
        <v>29.8</v>
      </c>
      <c r="Y428" s="66"/>
      <c r="Z428" s="15">
        <f t="shared" si="90"/>
        <v>29.8</v>
      </c>
      <c r="AA428" s="3" t="e">
        <f t="shared" si="91"/>
        <v>#DIV/0!</v>
      </c>
      <c r="AB428" s="344">
        <f>IFERROR(VLOOKUP($G428,基本資料!$A:$M,11,0),"無")</f>
        <v>-41.02</v>
      </c>
      <c r="AC428" s="397">
        <f>IFERROR(VLOOKUP($G428,基本資料!$A:$M,12,0),"無")</f>
        <v>11.66</v>
      </c>
      <c r="AD428" s="22" t="s">
        <v>3909</v>
      </c>
      <c r="AG428" s="33">
        <f t="shared" si="92"/>
        <v>0</v>
      </c>
      <c r="AH428" s="117" t="s">
        <v>3904</v>
      </c>
      <c r="AI428" s="63">
        <f t="shared" si="93"/>
        <v>1.2168674698795181E-3</v>
      </c>
      <c r="AJ428" s="284">
        <f>RTD("money.excel",,$G428,"PredictVolume")</f>
        <v>2020</v>
      </c>
      <c r="AK428" s="399">
        <f>IFERROR(VLOOKUP($G428,基本資料!$A:$M,13,0),"無")</f>
        <v>6.15</v>
      </c>
    </row>
    <row r="429" spans="1:37">
      <c r="A429" s="347">
        <f>IFERROR(VLOOKUP($G429,基本資料!$A:$J,3,0),"無")</f>
        <v>127</v>
      </c>
      <c r="B429" s="79">
        <f>IFERROR(VLOOKUP($G429,基本資料!$A:$J,4,0),"無")</f>
        <v>153</v>
      </c>
      <c r="C429" s="79">
        <f>IFERROR(VLOOKUP($G429,基本資料!$A:$J,5,0),"無")</f>
        <v>80</v>
      </c>
      <c r="D429" s="79">
        <f>IFERROR(VLOOKUP($G429,基本資料!$A:$J,6,0),"無")</f>
        <v>-19</v>
      </c>
      <c r="E429" s="79">
        <f>IFERROR(VLOOKUP($G429,基本資料!$A:$J,7,0),"無")</f>
        <v>14</v>
      </c>
      <c r="F429" s="6">
        <f>IFERROR(VLOOKUP($G429,基本資料!$A:$J,8,0),"無")</f>
        <v>7.34</v>
      </c>
      <c r="G429" s="79">
        <v>1909</v>
      </c>
      <c r="H429" s="192" t="s">
        <v>298</v>
      </c>
      <c r="I429" s="22" t="s">
        <v>3910</v>
      </c>
      <c r="J429" s="8">
        <f>IFERROR(VLOOKUP($G429,今日總結!$A:$AJ,35,0),"")</f>
        <v>0</v>
      </c>
      <c r="K429" s="5">
        <f>IFERROR(VLOOKUP($G429,今日總結!$A:$AJ,36,0),"")</f>
        <v>0</v>
      </c>
      <c r="L429" s="156">
        <f>IFERROR(VLOOKUP($G429,今日總結!$A:$AJ,33,0),"")</f>
        <v>0</v>
      </c>
      <c r="M429" s="340">
        <f>IFERROR(VLOOKUP($G429,今日總結!$A:$AJ,34,0),"")</f>
        <v>1</v>
      </c>
      <c r="N429" s="240">
        <f t="shared" si="94"/>
        <v>-1</v>
      </c>
      <c r="P429" s="365">
        <f>IFERROR(VLOOKUP($G429,融外自投!$A:$J,7,0),"無")</f>
        <v>677</v>
      </c>
      <c r="Q429" s="79">
        <f>IFERROR(VLOOKUP($G429,融外自投!$A:$J,9,0),"無")</f>
        <v>896</v>
      </c>
      <c r="R429" s="346">
        <f>IFERROR(VLOOKUP($G429,融外自投!$A:$J,8,0),"無")</f>
        <v>477</v>
      </c>
      <c r="S429" s="81" t="str">
        <f>IFERROR(VLOOKUP($G429,融外自投!$A:$J,10,0),"無")</f>
        <v>無</v>
      </c>
      <c r="T429" s="327">
        <f>IFERROR(VLOOKUP($G429,'321買'!$A:$E,5,0),"'沒有資料'")</f>
        <v>357</v>
      </c>
      <c r="U429" s="186">
        <f>IFERROR(VLOOKUP($G429,基本資料!$A:$J,9,0),"無")</f>
        <v>1.2</v>
      </c>
      <c r="V429" s="310">
        <f t="shared" si="89"/>
        <v>6.4000000000000001E-2</v>
      </c>
      <c r="W429" s="94">
        <f>IFERROR(VLOOKUP($G429,基本資料!$A:$J,10,0),"無")</f>
        <v>1.84</v>
      </c>
      <c r="X429" s="36">
        <f>RTD("money.excel",,"1909","Price")</f>
        <v>18.75</v>
      </c>
      <c r="Y429" s="66"/>
      <c r="Z429" s="15">
        <f t="shared" si="90"/>
        <v>18.75</v>
      </c>
      <c r="AA429" s="3" t="e">
        <f t="shared" si="91"/>
        <v>#DIV/0!</v>
      </c>
      <c r="AB429" s="344">
        <f>IFERROR(VLOOKUP($G429,基本資料!$A:$M,11,0),"無")</f>
        <v>-41.82</v>
      </c>
      <c r="AC429" s="397">
        <f>IFERROR(VLOOKUP($G429,基本資料!$A:$M,12,0),"無")</f>
        <v>27.68</v>
      </c>
      <c r="AD429" s="22" t="s">
        <v>3910</v>
      </c>
      <c r="AG429" s="33">
        <f t="shared" si="92"/>
        <v>0</v>
      </c>
      <c r="AH429" s="117" t="s">
        <v>3904</v>
      </c>
      <c r="AI429" s="63">
        <f t="shared" si="93"/>
        <v>4.8141732283464569E-3</v>
      </c>
      <c r="AJ429" s="284">
        <f>RTD("money.excel",,$G429,"PredictVolume")</f>
        <v>6114</v>
      </c>
      <c r="AK429" s="399">
        <f>IFERROR(VLOOKUP($G429,基本資料!$A:$M,13,0),"無")</f>
        <v>11.06</v>
      </c>
    </row>
    <row r="430" spans="1:37">
      <c r="A430" s="142"/>
      <c r="B430" s="92"/>
      <c r="C430" s="79"/>
      <c r="D430" s="79"/>
      <c r="E430" s="80"/>
      <c r="F430" s="6"/>
      <c r="G430" s="79"/>
      <c r="H430" s="192"/>
      <c r="I430" s="22"/>
      <c r="L430" s="2"/>
      <c r="S430" s="26"/>
      <c r="U430" s="34"/>
      <c r="W430" s="94"/>
      <c r="X430" s="36"/>
      <c r="Y430" s="66"/>
      <c r="Z430" s="15"/>
      <c r="AA430" s="3"/>
      <c r="AD430" s="22"/>
      <c r="AG430" s="33"/>
      <c r="AH430" s="117"/>
      <c r="AI430" s="63"/>
      <c r="AJ430" s="284"/>
    </row>
    <row r="431" spans="1:37">
      <c r="A431" s="127" t="s">
        <v>3876</v>
      </c>
      <c r="B431" s="90" t="s">
        <v>3877</v>
      </c>
      <c r="C431" s="90" t="s">
        <v>3878</v>
      </c>
      <c r="D431" s="90" t="s">
        <v>3879</v>
      </c>
      <c r="E431" s="90" t="s">
        <v>3880</v>
      </c>
      <c r="F431" s="8" t="s">
        <v>3881</v>
      </c>
      <c r="G431" s="27" t="s">
        <v>3911</v>
      </c>
      <c r="H431" s="55" t="s">
        <v>320</v>
      </c>
      <c r="I431" s="8" t="s">
        <v>3912</v>
      </c>
      <c r="J431" s="8" t="s">
        <v>6221</v>
      </c>
      <c r="K431" s="5" t="s">
        <v>6222</v>
      </c>
      <c r="L431" s="337" t="s">
        <v>6206</v>
      </c>
      <c r="M431" s="338" t="s">
        <v>6207</v>
      </c>
      <c r="N431" s="339" t="s">
        <v>6208</v>
      </c>
      <c r="O431" s="4" t="s">
        <v>6713</v>
      </c>
      <c r="P431" s="89" t="s">
        <v>6285</v>
      </c>
      <c r="Q431" s="293" t="s">
        <v>6284</v>
      </c>
      <c r="R431" s="354" t="s">
        <v>6283</v>
      </c>
      <c r="S431" s="26" t="s">
        <v>6286</v>
      </c>
      <c r="T431" s="321" t="s">
        <v>4716</v>
      </c>
      <c r="U431" s="10" t="s">
        <v>3884</v>
      </c>
      <c r="V431" s="308" t="s">
        <v>4731</v>
      </c>
      <c r="W431" s="68" t="s">
        <v>3273</v>
      </c>
      <c r="X431" s="28" t="s">
        <v>2</v>
      </c>
      <c r="Y431" s="17" t="s">
        <v>3885</v>
      </c>
      <c r="Z431" s="14" t="s">
        <v>3886</v>
      </c>
      <c r="AA431" s="21" t="s">
        <v>3887</v>
      </c>
      <c r="AB431" s="96" t="s">
        <v>6174</v>
      </c>
      <c r="AC431" s="384" t="s">
        <v>6420</v>
      </c>
      <c r="AD431" s="8" t="s">
        <v>3912</v>
      </c>
      <c r="AE431" s="71" t="s">
        <v>3888</v>
      </c>
      <c r="AF431" s="72" t="s">
        <v>3889</v>
      </c>
      <c r="AG431" s="32" t="s">
        <v>3890</v>
      </c>
      <c r="AH431" s="25" t="s">
        <v>6209</v>
      </c>
      <c r="AI431" s="8" t="s">
        <v>6731</v>
      </c>
      <c r="AJ431" s="50" t="s">
        <v>3361</v>
      </c>
      <c r="AK431" s="44" t="s">
        <v>6730</v>
      </c>
    </row>
    <row r="432" spans="1:37">
      <c r="A432" s="347">
        <f>IFERROR(VLOOKUP($G432,基本資料!$A:$J,3,0),"無")</f>
        <v>1573</v>
      </c>
      <c r="B432" s="79">
        <f>IFERROR(VLOOKUP($G432,基本資料!$A:$J,4,0),"無")</f>
        <v>2951</v>
      </c>
      <c r="C432" s="79">
        <f>IFERROR(VLOOKUP($G432,基本資料!$A:$J,5,0),"無")</f>
        <v>3373</v>
      </c>
      <c r="D432" s="79">
        <f>IFERROR(VLOOKUP($G432,基本資料!$A:$J,6,0),"無")</f>
        <v>24</v>
      </c>
      <c r="E432" s="79">
        <f>IFERROR(VLOOKUP($G432,基本資料!$A:$J,7,0),"無")</f>
        <v>12</v>
      </c>
      <c r="F432" s="6">
        <f>IFERROR(VLOOKUP($G432,基本資料!$A:$J,8,0),"無")</f>
        <v>17.03</v>
      </c>
      <c r="G432" s="79">
        <v>2002</v>
      </c>
      <c r="H432" s="8" t="s">
        <v>299</v>
      </c>
      <c r="I432" s="22" t="s">
        <v>3913</v>
      </c>
      <c r="J432" s="8" t="str">
        <f>IFERROR(VLOOKUP($G432,今日總結!$A:$AJ,35,0),"")</f>
        <v>借</v>
      </c>
      <c r="K432" s="5" t="str">
        <f>IFERROR(VLOOKUP($G432,今日總結!$A:$AJ,36,0),"")</f>
        <v>外</v>
      </c>
      <c r="L432" s="156">
        <f>IFERROR(VLOOKUP($G432,今日總結!$A:$AJ,33,0),"")</f>
        <v>1</v>
      </c>
      <c r="M432" s="340">
        <f>IFERROR(VLOOKUP($G432,今日總結!$A:$AJ,34,0),"")</f>
        <v>1</v>
      </c>
      <c r="N432" s="240">
        <f t="shared" ref="N432" si="95">IFERROR(L432-M432,"")</f>
        <v>0</v>
      </c>
      <c r="P432" s="365">
        <f>IFERROR(VLOOKUP($G432,融外自投!$A:$J,7,0),"無")</f>
        <v>1205</v>
      </c>
      <c r="Q432" s="79">
        <f>IFERROR(VLOOKUP($G432,融外自投!$A:$J,9,0),"無")</f>
        <v>238</v>
      </c>
      <c r="R432" s="346">
        <f>IFERROR(VLOOKUP($G432,融外自投!$A:$J,8,0),"無")</f>
        <v>276</v>
      </c>
      <c r="S432" s="81">
        <f>IFERROR(VLOOKUP($G432,融外自投!$A:$J,10,0),"無")</f>
        <v>121</v>
      </c>
      <c r="T432" s="327">
        <f>IFERROR(VLOOKUP($G432,'321買'!$A:$E,5,0),"'沒有資料'")</f>
        <v>68</v>
      </c>
      <c r="U432" s="186">
        <f>IFERROR(VLOOKUP($G432,基本資料!$A:$J,9,0),"無")</f>
        <v>3.1</v>
      </c>
      <c r="V432" s="310">
        <f t="shared" ref="V432:V477" si="96">$U432/$X432</f>
        <v>9.0643274853801165E-2</v>
      </c>
      <c r="W432" s="94">
        <f>IFERROR(VLOOKUP($G432,基本資料!$A:$J,10,0),"無")</f>
        <v>4.0199999999999996</v>
      </c>
      <c r="X432" s="36">
        <f>RTD("money.excel",,"2002","Price")</f>
        <v>34.200000000000003</v>
      </c>
      <c r="Y432" s="66"/>
      <c r="Z432" s="15">
        <f t="shared" ref="Z432" si="97">X432-Y432</f>
        <v>34.200000000000003</v>
      </c>
      <c r="AA432" s="3" t="e">
        <f t="shared" ref="AA432" si="98">Z432/Y432</f>
        <v>#DIV/0!</v>
      </c>
      <c r="AB432" s="344">
        <f>IFERROR(VLOOKUP($G432,基本資料!$A:$M,11,0),"無")</f>
        <v>-15.36</v>
      </c>
      <c r="AC432" s="397">
        <f>IFERROR(VLOOKUP($G432,基本資料!$A:$M,12,0),"無")</f>
        <v>26.54</v>
      </c>
      <c r="AD432" s="22" t="s">
        <v>3913</v>
      </c>
      <c r="AG432" s="33">
        <f t="shared" ref="AG432" si="99">AF432-AE432</f>
        <v>0</v>
      </c>
      <c r="AH432" s="117" t="s">
        <v>299</v>
      </c>
      <c r="AI432" s="63">
        <f t="shared" ref="AI432:AI477" si="100">AJ432/(A432*10000)</f>
        <v>2.3595677050222506E-3</v>
      </c>
      <c r="AJ432" s="284">
        <f>RTD("money.excel",,$G432,"PredictVolume")</f>
        <v>37116</v>
      </c>
      <c r="AK432" s="399">
        <f>IFERROR(VLOOKUP($G432,基本資料!$A:$M,13,0),"無")</f>
        <v>5.14</v>
      </c>
    </row>
    <row r="433" spans="1:37">
      <c r="A433" s="347">
        <f>IFERROR(VLOOKUP($G433,基本資料!$A:$J,3,0),"無")</f>
        <v>73.02</v>
      </c>
      <c r="B433" s="79">
        <f>IFERROR(VLOOKUP($G433,基本資料!$A:$J,4,0),"無")</f>
        <v>66</v>
      </c>
      <c r="C433" s="79">
        <f>IFERROR(VLOOKUP($G433,基本資料!$A:$J,5,0),"無")</f>
        <v>59</v>
      </c>
      <c r="D433" s="79">
        <f>IFERROR(VLOOKUP($G433,基本資料!$A:$J,6,0),"無")</f>
        <v>49</v>
      </c>
      <c r="E433" s="79">
        <f>IFERROR(VLOOKUP($G433,基本資料!$A:$J,7,0),"無")</f>
        <v>22</v>
      </c>
      <c r="F433" s="6">
        <f>IFERROR(VLOOKUP($G433,基本資料!$A:$J,8,0),"無")</f>
        <v>12.01</v>
      </c>
      <c r="G433" s="79">
        <v>2006</v>
      </c>
      <c r="H433" s="8" t="s">
        <v>299</v>
      </c>
      <c r="I433" s="22" t="s">
        <v>3914</v>
      </c>
      <c r="J433" s="8" t="str">
        <f>IFERROR(VLOOKUP($G433,今日總結!$A:$AJ,35,0),"")</f>
        <v/>
      </c>
      <c r="K433" s="5" t="str">
        <f>IFERROR(VLOOKUP($G433,今日總結!$A:$AJ,36,0),"")</f>
        <v/>
      </c>
      <c r="L433" s="156" t="str">
        <f>IFERROR(VLOOKUP($G433,今日總結!$A:$AJ,33,0),"")</f>
        <v/>
      </c>
      <c r="M433" s="340" t="str">
        <f>IFERROR(VLOOKUP($G433,今日總結!$A:$AJ,34,0),"")</f>
        <v/>
      </c>
      <c r="N433" s="240" t="str">
        <f t="shared" ref="N433:N453" si="101">IFERROR(L433-M433,"")</f>
        <v/>
      </c>
      <c r="P433" s="365">
        <f>IFERROR(VLOOKUP($G433,融外自投!$A:$J,7,0),"無")</f>
        <v>950</v>
      </c>
      <c r="Q433" s="79">
        <f>IFERROR(VLOOKUP($G433,融外自投!$A:$J,9,0),"無")</f>
        <v>140</v>
      </c>
      <c r="R433" s="346">
        <f>IFERROR(VLOOKUP($G433,融外自投!$A:$J,8,0),"無")</f>
        <v>417</v>
      </c>
      <c r="S433" s="81">
        <f>IFERROR(VLOOKUP($G433,融外自投!$A:$J,10,0),"無")</f>
        <v>111</v>
      </c>
      <c r="T433" s="327">
        <f>IFERROR(VLOOKUP($G433,'321買'!$A:$E,5,0),"'沒有資料'")</f>
        <v>255</v>
      </c>
      <c r="U433" s="186">
        <f>IFERROR(VLOOKUP($G433,基本資料!$A:$J,9,0),"無")</f>
        <v>6.4</v>
      </c>
      <c r="V433" s="310">
        <f t="shared" si="96"/>
        <v>0.10996563573883161</v>
      </c>
      <c r="W433" s="94">
        <f>IFERROR(VLOOKUP($G433,基本資料!$A:$J,10,0),"無")</f>
        <v>5.95</v>
      </c>
      <c r="X433" s="36">
        <f>RTD("money.excel",,"2006","Price")</f>
        <v>58.2</v>
      </c>
      <c r="Y433" s="66"/>
      <c r="Z433" s="15">
        <f t="shared" ref="Z433:Z477" si="102">X433-Y433</f>
        <v>58.2</v>
      </c>
      <c r="AA433" s="3" t="e">
        <f t="shared" ref="AA433:AA477" si="103">Z433/Y433</f>
        <v>#DIV/0!</v>
      </c>
      <c r="AB433" s="344">
        <f>IFERROR(VLOOKUP($G433,基本資料!$A:$M,11,0),"無")</f>
        <v>-29.16</v>
      </c>
      <c r="AC433" s="397">
        <f>IFERROR(VLOOKUP($G433,基本資料!$A:$M,12,0),"無")</f>
        <v>8.98</v>
      </c>
      <c r="AD433" s="22" t="s">
        <v>3914</v>
      </c>
      <c r="AG433" s="33">
        <f t="shared" ref="AG433:AG477" si="104">AF433-AE433</f>
        <v>0</v>
      </c>
      <c r="AH433" s="43" t="s">
        <v>3915</v>
      </c>
      <c r="AI433" s="63">
        <f t="shared" si="100"/>
        <v>5.2232265132840317E-3</v>
      </c>
      <c r="AJ433" s="284">
        <f>RTD("money.excel",,$G433,"PredictVolume")</f>
        <v>3814</v>
      </c>
      <c r="AK433" s="399">
        <f>IFERROR(VLOOKUP($G433,基本資料!$A:$M,13,0),"無")</f>
        <v>10.19</v>
      </c>
    </row>
    <row r="434" spans="1:37">
      <c r="A434" s="347">
        <f>IFERROR(VLOOKUP($G434,基本資料!$A:$J,3,0),"無")</f>
        <v>53.06</v>
      </c>
      <c r="B434" s="79">
        <f>IFERROR(VLOOKUP($G434,基本資料!$A:$J,4,0),"無")</f>
        <v>102</v>
      </c>
      <c r="C434" s="79">
        <f>IFERROR(VLOOKUP($G434,基本資料!$A:$J,5,0),"無")</f>
        <v>207</v>
      </c>
      <c r="D434" s="79">
        <f>IFERROR(VLOOKUP($G434,基本資料!$A:$J,6,0),"無")</f>
        <v>8</v>
      </c>
      <c r="E434" s="79">
        <f>IFERROR(VLOOKUP($G434,基本資料!$A:$J,7,0),"無")</f>
        <v>48</v>
      </c>
      <c r="F434" s="6">
        <f>IFERROR(VLOOKUP($G434,基本資料!$A:$J,8,0),"無")</f>
        <v>5.42</v>
      </c>
      <c r="G434" s="79">
        <v>2007</v>
      </c>
      <c r="H434" s="8" t="s">
        <v>299</v>
      </c>
      <c r="I434" s="22" t="s">
        <v>3916</v>
      </c>
      <c r="J434" s="8">
        <f>IFERROR(VLOOKUP($G434,今日總結!$A:$AJ,35,0),"")</f>
        <v>0</v>
      </c>
      <c r="K434" s="5" t="str">
        <f>IFERROR(VLOOKUP($G434,今日總結!$A:$AJ,36,0),"")</f>
        <v>自借</v>
      </c>
      <c r="L434" s="156">
        <f>IFERROR(VLOOKUP($G434,今日總結!$A:$AJ,33,0),"")</f>
        <v>0</v>
      </c>
      <c r="M434" s="340">
        <f>IFERROR(VLOOKUP($G434,今日總結!$A:$AJ,34,0),"")</f>
        <v>2</v>
      </c>
      <c r="N434" s="240">
        <f t="shared" si="101"/>
        <v>-2</v>
      </c>
      <c r="P434" s="365">
        <f>IFERROR(VLOOKUP($G434,融外自投!$A:$J,7,0),"無")</f>
        <v>339</v>
      </c>
      <c r="Q434" s="79">
        <f>IFERROR(VLOOKUP($G434,融外自投!$A:$J,9,0),"無")</f>
        <v>708</v>
      </c>
      <c r="R434" s="346">
        <f>IFERROR(VLOOKUP($G434,融外自投!$A:$J,8,0),"無")</f>
        <v>1344</v>
      </c>
      <c r="S434" s="81" t="str">
        <f>IFERROR(VLOOKUP($G434,融外自投!$A:$J,10,0),"無")</f>
        <v>無</v>
      </c>
      <c r="T434" s="327">
        <f>IFERROR(VLOOKUP($G434,'321買'!$A:$E,5,0),"'沒有資料'")</f>
        <v>584</v>
      </c>
      <c r="U434" s="186">
        <f>IFERROR(VLOOKUP($G434,基本資料!$A:$J,9,0),"無")</f>
        <v>0</v>
      </c>
      <c r="V434" s="310">
        <f t="shared" si="96"/>
        <v>0</v>
      </c>
      <c r="W434" s="94">
        <f>IFERROR(VLOOKUP($G434,基本資料!$A:$J,10,0),"無")</f>
        <v>0.02</v>
      </c>
      <c r="X434" s="36">
        <f>RTD("money.excel",,"2007","Price")</f>
        <v>14.95</v>
      </c>
      <c r="Y434" s="66"/>
      <c r="Z434" s="15">
        <f t="shared" si="102"/>
        <v>14.95</v>
      </c>
      <c r="AA434" s="3" t="e">
        <f t="shared" si="103"/>
        <v>#DIV/0!</v>
      </c>
      <c r="AB434" s="344">
        <f>IFERROR(VLOOKUP($G434,基本資料!$A:$M,11,0),"無")</f>
        <v>-57.45</v>
      </c>
      <c r="AC434" s="397">
        <f>IFERROR(VLOOKUP($G434,基本資料!$A:$M,12,0),"無")</f>
        <v>14.09</v>
      </c>
      <c r="AD434" s="22" t="s">
        <v>3916</v>
      </c>
      <c r="AG434" s="33">
        <f t="shared" si="104"/>
        <v>0</v>
      </c>
      <c r="AH434" s="43" t="s">
        <v>3917</v>
      </c>
      <c r="AI434" s="63">
        <f t="shared" si="100"/>
        <v>1.7244628722201281E-3</v>
      </c>
      <c r="AJ434" s="284">
        <f>RTD("money.excel",,$G434,"PredictVolume")</f>
        <v>915</v>
      </c>
      <c r="AK434" s="399">
        <f>IFERROR(VLOOKUP($G434,基本資料!$A:$M,13,0),"無")</f>
        <v>18.43</v>
      </c>
    </row>
    <row r="435" spans="1:37">
      <c r="A435" s="347">
        <f>IFERROR(VLOOKUP($G435,基本資料!$A:$J,3,0),"無")</f>
        <v>20.079999999999998</v>
      </c>
      <c r="B435" s="79">
        <f>IFERROR(VLOOKUP($G435,基本資料!$A:$J,4,0),"無")</f>
        <v>228</v>
      </c>
      <c r="C435" s="79">
        <f>IFERROR(VLOOKUP($G435,基本資料!$A:$J,5,0),"無")</f>
        <v>241</v>
      </c>
      <c r="D435" s="79">
        <f>IFERROR(VLOOKUP($G435,基本資料!$A:$J,6,0),"無")</f>
        <v>83</v>
      </c>
      <c r="E435" s="79">
        <f>IFERROR(VLOOKUP($G435,基本資料!$A:$J,7,0),"無")</f>
        <v>86</v>
      </c>
      <c r="F435" s="6">
        <f>IFERROR(VLOOKUP($G435,基本資料!$A:$J,8,0),"無")</f>
        <v>6.25</v>
      </c>
      <c r="G435" s="79">
        <v>2008</v>
      </c>
      <c r="H435" s="8" t="s">
        <v>299</v>
      </c>
      <c r="I435" s="22" t="s">
        <v>3918</v>
      </c>
      <c r="J435" s="8" t="str">
        <f>IFERROR(VLOOKUP($G435,今日總結!$A:$AJ,35,0),"")</f>
        <v/>
      </c>
      <c r="K435" s="5" t="str">
        <f>IFERROR(VLOOKUP($G435,今日總結!$A:$AJ,36,0),"")</f>
        <v/>
      </c>
      <c r="L435" s="156" t="str">
        <f>IFERROR(VLOOKUP($G435,今日總結!$A:$AJ,33,0),"")</f>
        <v/>
      </c>
      <c r="M435" s="340" t="str">
        <f>IFERROR(VLOOKUP($G435,今日總結!$A:$AJ,34,0),"")</f>
        <v/>
      </c>
      <c r="N435" s="240" t="str">
        <f t="shared" si="101"/>
        <v/>
      </c>
      <c r="P435" s="365">
        <f>IFERROR(VLOOKUP($G435,融外自投!$A:$J,7,0),"無")</f>
        <v>1161</v>
      </c>
      <c r="Q435" s="79">
        <f>IFERROR(VLOOKUP($G435,融外自投!$A:$J,9,0),"無")</f>
        <v>653</v>
      </c>
      <c r="R435" s="346">
        <f>IFERROR(VLOOKUP($G435,融外自投!$A:$J,8,0),"無")</f>
        <v>608</v>
      </c>
      <c r="S435" s="81" t="str">
        <f>IFERROR(VLOOKUP($G435,融外自投!$A:$J,10,0),"無")</f>
        <v>無</v>
      </c>
      <c r="T435" s="327">
        <f>IFERROR(VLOOKUP($G435,'321買'!$A:$E,5,0),"'沒有資料'")</f>
        <v>1007</v>
      </c>
      <c r="U435" s="186">
        <f>IFERROR(VLOOKUP($G435,基本資料!$A:$J,9,0),"無")</f>
        <v>0</v>
      </c>
      <c r="V435" s="310">
        <f t="shared" si="96"/>
        <v>0</v>
      </c>
      <c r="W435" s="94">
        <f>IFERROR(VLOOKUP($G435,基本資料!$A:$J,10,0),"無")</f>
        <v>0.21</v>
      </c>
      <c r="X435" s="36">
        <f>RTD("money.excel",,"2008","Price")</f>
        <v>16.05</v>
      </c>
      <c r="Y435" s="66"/>
      <c r="Z435" s="15">
        <f t="shared" si="102"/>
        <v>16.05</v>
      </c>
      <c r="AA435" s="3" t="e">
        <f t="shared" si="103"/>
        <v>#DIV/0!</v>
      </c>
      <c r="AB435" s="344">
        <f>IFERROR(VLOOKUP($G435,基本資料!$A:$M,11,0),"無")</f>
        <v>-45.36</v>
      </c>
      <c r="AC435" s="397">
        <f>IFERROR(VLOOKUP($G435,基本資料!$A:$M,12,0),"無")</f>
        <v>10.76</v>
      </c>
      <c r="AD435" s="22" t="s">
        <v>3918</v>
      </c>
      <c r="AG435" s="33">
        <f t="shared" si="104"/>
        <v>0</v>
      </c>
      <c r="AH435" s="43" t="s">
        <v>3919</v>
      </c>
      <c r="AI435" s="63">
        <f t="shared" si="100"/>
        <v>1.3446215139442232E-4</v>
      </c>
      <c r="AJ435" s="284">
        <f>RTD("money.excel",,$G435,"PredictVolume")</f>
        <v>27</v>
      </c>
      <c r="AK435" s="399">
        <f>IFERROR(VLOOKUP($G435,基本資料!$A:$M,13,0),"無")</f>
        <v>8.92</v>
      </c>
    </row>
    <row r="436" spans="1:37">
      <c r="A436" s="347">
        <f>IFERROR(VLOOKUP($G436,基本資料!$A:$J,3,0),"無")</f>
        <v>35.96</v>
      </c>
      <c r="B436" s="79">
        <f>IFERROR(VLOOKUP($G436,基本資料!$A:$J,4,0),"無")</f>
        <v>433</v>
      </c>
      <c r="C436" s="79">
        <f>IFERROR(VLOOKUP($G436,基本資料!$A:$J,5,0),"無")</f>
        <v>437</v>
      </c>
      <c r="D436" s="79">
        <f>IFERROR(VLOOKUP($G436,基本資料!$A:$J,6,0),"無")</f>
        <v>-6</v>
      </c>
      <c r="E436" s="79">
        <f>IFERROR(VLOOKUP($G436,基本資料!$A:$J,7,0),"無")</f>
        <v>8</v>
      </c>
      <c r="F436" s="6">
        <f>IFERROR(VLOOKUP($G436,基本資料!$A:$J,8,0),"無")</f>
        <v>7.97</v>
      </c>
      <c r="G436" s="79">
        <v>2009</v>
      </c>
      <c r="H436" s="8" t="s">
        <v>299</v>
      </c>
      <c r="I436" s="22" t="s">
        <v>3920</v>
      </c>
      <c r="J436" s="8" t="str">
        <f>IFERROR(VLOOKUP($G436,今日總結!$A:$AJ,35,0),"")</f>
        <v/>
      </c>
      <c r="K436" s="5" t="str">
        <f>IFERROR(VLOOKUP($G436,今日總結!$A:$AJ,36,0),"")</f>
        <v/>
      </c>
      <c r="L436" s="156" t="str">
        <f>IFERROR(VLOOKUP($G436,今日總結!$A:$AJ,33,0),"")</f>
        <v/>
      </c>
      <c r="M436" s="340" t="str">
        <f>IFERROR(VLOOKUP($G436,今日總結!$A:$AJ,34,0),"")</f>
        <v/>
      </c>
      <c r="N436" s="240" t="str">
        <f t="shared" si="101"/>
        <v/>
      </c>
      <c r="P436" s="365">
        <f>IFERROR(VLOOKUP($G436,融外自投!$A:$J,7,0),"無")</f>
        <v>541</v>
      </c>
      <c r="Q436" s="79">
        <f>IFERROR(VLOOKUP($G436,融外自投!$A:$J,9,0),"無")</f>
        <v>256</v>
      </c>
      <c r="R436" s="346">
        <f>IFERROR(VLOOKUP($G436,融外自投!$A:$J,8,0),"無")</f>
        <v>1224</v>
      </c>
      <c r="S436" s="81" t="str">
        <f>IFERROR(VLOOKUP($G436,融外自投!$A:$J,10,0),"無")</f>
        <v>無</v>
      </c>
      <c r="T436" s="327">
        <f>IFERROR(VLOOKUP($G436,'321買'!$A:$E,5,0),"'沒有資料'")</f>
        <v>503</v>
      </c>
      <c r="U436" s="186">
        <f>IFERROR(VLOOKUP($G436,基本資料!$A:$J,9,0),"無")</f>
        <v>1</v>
      </c>
      <c r="V436" s="310">
        <f t="shared" si="96"/>
        <v>3.0674846625766871E-2</v>
      </c>
      <c r="W436" s="94">
        <f>IFERROR(VLOOKUP($G436,基本資料!$A:$J,10,0),"無")</f>
        <v>1.18</v>
      </c>
      <c r="X436" s="36">
        <f>RTD("money.excel",,"2009","Price")</f>
        <v>32.6</v>
      </c>
      <c r="Y436" s="66"/>
      <c r="Z436" s="15">
        <f t="shared" si="102"/>
        <v>32.6</v>
      </c>
      <c r="AA436" s="3" t="e">
        <f t="shared" si="103"/>
        <v>#DIV/0!</v>
      </c>
      <c r="AB436" s="344">
        <f>IFERROR(VLOOKUP($G436,基本資料!$A:$M,11,0),"無")</f>
        <v>-51.73</v>
      </c>
      <c r="AC436" s="397">
        <f>IFERROR(VLOOKUP($G436,基本資料!$A:$M,12,0),"無")</f>
        <v>7.75</v>
      </c>
      <c r="AD436" s="22" t="s">
        <v>3920</v>
      </c>
      <c r="AG436" s="33">
        <f t="shared" si="104"/>
        <v>0</v>
      </c>
      <c r="AH436" s="43" t="s">
        <v>3921</v>
      </c>
      <c r="AI436" s="63">
        <f t="shared" si="100"/>
        <v>7.4276974416017799E-3</v>
      </c>
      <c r="AJ436" s="284">
        <f>RTD("money.excel",,$G436,"PredictVolume")</f>
        <v>2671</v>
      </c>
      <c r="AK436" s="399">
        <f>IFERROR(VLOOKUP($G436,基本資料!$A:$M,13,0),"無")</f>
        <v>39.65</v>
      </c>
    </row>
    <row r="437" spans="1:37">
      <c r="A437" s="347">
        <f>IFERROR(VLOOKUP($G437,基本資料!$A:$J,3,0),"無")</f>
        <v>64.760000000000005</v>
      </c>
      <c r="B437" s="79">
        <f>IFERROR(VLOOKUP($G437,基本資料!$A:$J,4,0),"無")</f>
        <v>138</v>
      </c>
      <c r="C437" s="79">
        <f>IFERROR(VLOOKUP($G437,基本資料!$A:$J,5,0),"無")</f>
        <v>151</v>
      </c>
      <c r="D437" s="79">
        <f>IFERROR(VLOOKUP($G437,基本資料!$A:$J,6,0),"無")</f>
        <v>33</v>
      </c>
      <c r="E437" s="79">
        <f>IFERROR(VLOOKUP($G437,基本資料!$A:$J,7,0),"無")</f>
        <v>17</v>
      </c>
      <c r="F437" s="6">
        <f>IFERROR(VLOOKUP($G437,基本資料!$A:$J,8,0),"無")</f>
        <v>5.18</v>
      </c>
      <c r="G437" s="79">
        <v>2010</v>
      </c>
      <c r="H437" s="8" t="s">
        <v>299</v>
      </c>
      <c r="I437" s="22" t="s">
        <v>3922</v>
      </c>
      <c r="J437" s="8" t="str">
        <f>IFERROR(VLOOKUP($G437,今日總結!$A:$AJ,35,0),"")</f>
        <v/>
      </c>
      <c r="K437" s="5" t="str">
        <f>IFERROR(VLOOKUP($G437,今日總結!$A:$AJ,36,0),"")</f>
        <v/>
      </c>
      <c r="L437" s="156" t="str">
        <f>IFERROR(VLOOKUP($G437,今日總結!$A:$AJ,33,0),"")</f>
        <v/>
      </c>
      <c r="M437" s="340" t="str">
        <f>IFERROR(VLOOKUP($G437,今日總結!$A:$AJ,34,0),"")</f>
        <v/>
      </c>
      <c r="N437" s="240" t="str">
        <f t="shared" si="101"/>
        <v/>
      </c>
      <c r="P437" s="365">
        <f>IFERROR(VLOOKUP($G437,融外自投!$A:$J,7,0),"無")</f>
        <v>793</v>
      </c>
      <c r="Q437" s="79" t="str">
        <f>IFERROR(VLOOKUP($G437,融外自投!$A:$J,9,0),"無")</f>
        <v>無</v>
      </c>
      <c r="R437" s="346">
        <f>IFERROR(VLOOKUP($G437,融外自投!$A:$J,8,0),"無")</f>
        <v>769</v>
      </c>
      <c r="S437" s="81" t="str">
        <f>IFERROR(VLOOKUP($G437,融外自投!$A:$J,10,0),"無")</f>
        <v>無</v>
      </c>
      <c r="T437" s="327">
        <f>IFERROR(VLOOKUP($G437,'321買'!$A:$E,5,0),"'沒有資料'")</f>
        <v>634</v>
      </c>
      <c r="U437" s="186">
        <f>IFERROR(VLOOKUP($G437,基本資料!$A:$J,9,0),"無")</f>
        <v>1.3</v>
      </c>
      <c r="V437" s="310">
        <f t="shared" si="96"/>
        <v>6.8421052631578952E-2</v>
      </c>
      <c r="W437" s="94">
        <f>IFERROR(VLOOKUP($G437,基本資料!$A:$J,10,0),"無")</f>
        <v>1.88</v>
      </c>
      <c r="X437" s="36">
        <f>RTD("money.excel",,"2010","Price")</f>
        <v>19</v>
      </c>
      <c r="Y437" s="66"/>
      <c r="Z437" s="15">
        <f t="shared" si="102"/>
        <v>19</v>
      </c>
      <c r="AA437" s="3" t="e">
        <f t="shared" si="103"/>
        <v>#DIV/0!</v>
      </c>
      <c r="AB437" s="344">
        <f>IFERROR(VLOOKUP($G437,基本資料!$A:$M,11,0),"無")</f>
        <v>-47.67</v>
      </c>
      <c r="AC437" s="397">
        <f>IFERROR(VLOOKUP($G437,基本資料!$A:$M,12,0),"無")</f>
        <v>17.34</v>
      </c>
      <c r="AD437" s="22" t="s">
        <v>3922</v>
      </c>
      <c r="AG437" s="33">
        <f t="shared" si="104"/>
        <v>0</v>
      </c>
      <c r="AH437" s="43" t="s">
        <v>3923</v>
      </c>
      <c r="AI437" s="63">
        <f t="shared" si="100"/>
        <v>3.3400247066090179E-3</v>
      </c>
      <c r="AJ437" s="284">
        <f>RTD("money.excel",,$G437,"PredictVolume")</f>
        <v>2163</v>
      </c>
      <c r="AK437" s="399">
        <f>IFERROR(VLOOKUP($G437,基本資料!$A:$M,13,0),"無")</f>
        <v>18.89</v>
      </c>
    </row>
    <row r="438" spans="1:37">
      <c r="A438" s="347">
        <f>IFERROR(VLOOKUP($G438,基本資料!$A:$J,3,0),"無")</f>
        <v>28.77</v>
      </c>
      <c r="B438" s="79">
        <f>IFERROR(VLOOKUP($G438,基本資料!$A:$J,4,0),"無")</f>
        <v>232</v>
      </c>
      <c r="C438" s="79">
        <f>IFERROR(VLOOKUP($G438,基本資料!$A:$J,5,0),"無")</f>
        <v>214</v>
      </c>
      <c r="D438" s="79">
        <f>IFERROR(VLOOKUP($G438,基本資料!$A:$J,6,0),"無")</f>
        <v>64</v>
      </c>
      <c r="E438" s="79">
        <f>IFERROR(VLOOKUP($G438,基本資料!$A:$J,7,0),"無")</f>
        <v>44</v>
      </c>
      <c r="F438" s="6">
        <f>IFERROR(VLOOKUP($G438,基本資料!$A:$J,8,0),"無")</f>
        <v>9.33</v>
      </c>
      <c r="G438" s="79">
        <v>2012</v>
      </c>
      <c r="H438" s="8" t="s">
        <v>299</v>
      </c>
      <c r="I438" s="22" t="s">
        <v>3924</v>
      </c>
      <c r="J438" s="8">
        <f>IFERROR(VLOOKUP($G438,今日總結!$A:$AJ,35,0),"")</f>
        <v>0</v>
      </c>
      <c r="K438" s="5" t="str">
        <f>IFERROR(VLOOKUP($G438,今日總結!$A:$AJ,36,0),"")</f>
        <v>外</v>
      </c>
      <c r="L438" s="156">
        <f>IFERROR(VLOOKUP($G438,今日總結!$A:$AJ,33,0),"")</f>
        <v>0</v>
      </c>
      <c r="M438" s="340">
        <f>IFERROR(VLOOKUP($G438,今日總結!$A:$AJ,34,0),"")</f>
        <v>1</v>
      </c>
      <c r="N438" s="240">
        <f t="shared" si="101"/>
        <v>-1</v>
      </c>
      <c r="P438" s="365">
        <f>IFERROR(VLOOKUP($G438,融外自投!$A:$J,7,0),"無")</f>
        <v>1044</v>
      </c>
      <c r="Q438" s="79">
        <f>IFERROR(VLOOKUP($G438,融外自投!$A:$J,9,0),"無")</f>
        <v>978</v>
      </c>
      <c r="R438" s="346">
        <f>IFERROR(VLOOKUP($G438,融外自投!$A:$J,8,0),"無")</f>
        <v>1059</v>
      </c>
      <c r="S438" s="81" t="str">
        <f>IFERROR(VLOOKUP($G438,融外自投!$A:$J,10,0),"無")</f>
        <v>無</v>
      </c>
      <c r="T438" s="327">
        <f>IFERROR(VLOOKUP($G438,'321買'!$A:$E,5,0),"'沒有資料'")</f>
        <v>710</v>
      </c>
      <c r="U438" s="186">
        <f>IFERROR(VLOOKUP($G438,基本資料!$A:$J,9,0),"無")</f>
        <v>2</v>
      </c>
      <c r="V438" s="310">
        <f t="shared" si="96"/>
        <v>7.0175438596491224E-2</v>
      </c>
      <c r="W438" s="94">
        <f>IFERROR(VLOOKUP($G438,基本資料!$A:$J,10,0),"無")</f>
        <v>2.81</v>
      </c>
      <c r="X438" s="36">
        <f>RTD("money.excel",,"2012","Price")</f>
        <v>28.5</v>
      </c>
      <c r="Y438" s="66"/>
      <c r="Z438" s="15">
        <f t="shared" si="102"/>
        <v>28.5</v>
      </c>
      <c r="AA438" s="3" t="e">
        <f t="shared" si="103"/>
        <v>#DIV/0!</v>
      </c>
      <c r="AB438" s="344">
        <f>IFERROR(VLOOKUP($G438,基本資料!$A:$M,11,0),"無")</f>
        <v>-32.35</v>
      </c>
      <c r="AC438" s="397">
        <f>IFERROR(VLOOKUP($G438,基本資料!$A:$M,12,0),"無")</f>
        <v>25.2</v>
      </c>
      <c r="AD438" s="22" t="s">
        <v>3924</v>
      </c>
      <c r="AG438" s="33">
        <f t="shared" si="104"/>
        <v>0</v>
      </c>
      <c r="AH438" s="43" t="s">
        <v>3925</v>
      </c>
      <c r="AI438" s="63">
        <f t="shared" si="100"/>
        <v>8.2725060827250612E-4</v>
      </c>
      <c r="AJ438" s="284">
        <f>RTD("money.excel",,$G438,"PredictVolume")</f>
        <v>238</v>
      </c>
      <c r="AK438" s="399">
        <f>IFERROR(VLOOKUP($G438,基本資料!$A:$M,13,0),"無")</f>
        <v>15.34</v>
      </c>
    </row>
    <row r="439" spans="1:37">
      <c r="A439" s="347">
        <f>IFERROR(VLOOKUP($G439,基本資料!$A:$J,3,0),"無")</f>
        <v>20</v>
      </c>
      <c r="B439" s="79">
        <f>IFERROR(VLOOKUP($G439,基本資料!$A:$J,4,0),"無")</f>
        <v>-21</v>
      </c>
      <c r="C439" s="79">
        <f>IFERROR(VLOOKUP($G439,基本資料!$A:$J,5,0),"無")</f>
        <v>70</v>
      </c>
      <c r="D439" s="79">
        <f>IFERROR(VLOOKUP($G439,基本資料!$A:$J,6,0),"無")</f>
        <v>-5</v>
      </c>
      <c r="E439" s="79">
        <f>IFERROR(VLOOKUP($G439,基本資料!$A:$J,7,0),"無")</f>
        <v>42</v>
      </c>
      <c r="F439" s="6">
        <f>IFERROR(VLOOKUP($G439,基本資料!$A:$J,8,0),"無")</f>
        <v>2.96</v>
      </c>
      <c r="G439" s="79">
        <v>2013</v>
      </c>
      <c r="H439" s="8" t="s">
        <v>299</v>
      </c>
      <c r="I439" s="22" t="s">
        <v>3926</v>
      </c>
      <c r="J439" s="8">
        <f>IFERROR(VLOOKUP($G439,今日總結!$A:$AJ,35,0),"")</f>
        <v>0</v>
      </c>
      <c r="K439" s="5" t="str">
        <f>IFERROR(VLOOKUP($G439,今日總結!$A:$AJ,36,0),"")</f>
        <v>融借</v>
      </c>
      <c r="L439" s="156">
        <f>IFERROR(VLOOKUP($G439,今日總結!$A:$AJ,33,0),"")</f>
        <v>0</v>
      </c>
      <c r="M439" s="340">
        <f>IFERROR(VLOOKUP($G439,今日總結!$A:$AJ,34,0),"")</f>
        <v>2</v>
      </c>
      <c r="N439" s="240">
        <f t="shared" si="101"/>
        <v>-2</v>
      </c>
      <c r="P439" s="365">
        <f>IFERROR(VLOOKUP($G439,融外自投!$A:$J,7,0),"無")</f>
        <v>233</v>
      </c>
      <c r="Q439" s="79">
        <f>IFERROR(VLOOKUP($G439,融外自投!$A:$J,9,0),"無")</f>
        <v>243</v>
      </c>
      <c r="R439" s="346">
        <f>IFERROR(VLOOKUP($G439,融外自投!$A:$J,8,0),"無")</f>
        <v>618</v>
      </c>
      <c r="S439" s="81" t="str">
        <f>IFERROR(VLOOKUP($G439,融外自投!$A:$J,10,0),"無")</f>
        <v>無</v>
      </c>
      <c r="T439" s="327">
        <f>IFERROR(VLOOKUP($G439,'321買'!$A:$E,5,0),"'沒有資料'")</f>
        <v>271</v>
      </c>
      <c r="U439" s="186">
        <f>IFERROR(VLOOKUP($G439,基本資料!$A:$J,9,0),"無")</f>
        <v>2</v>
      </c>
      <c r="V439" s="310">
        <f t="shared" si="96"/>
        <v>3.8095238095238099E-2</v>
      </c>
      <c r="W439" s="94">
        <f>IFERROR(VLOOKUP($G439,基本資料!$A:$J,10,0),"無")</f>
        <v>2.4900000000000002</v>
      </c>
      <c r="X439" s="36">
        <f>RTD("money.excel",,"2013","Price")</f>
        <v>52.5</v>
      </c>
      <c r="Y439" s="66"/>
      <c r="Z439" s="15">
        <f t="shared" si="102"/>
        <v>52.5</v>
      </c>
      <c r="AA439" s="3" t="e">
        <f t="shared" si="103"/>
        <v>#DIV/0!</v>
      </c>
      <c r="AB439" s="344">
        <f>IFERROR(VLOOKUP($G439,基本資料!$A:$M,11,0),"無")</f>
        <v>-34.520000000000003</v>
      </c>
      <c r="AC439" s="397">
        <f>IFERROR(VLOOKUP($G439,基本資料!$A:$M,12,0),"無")</f>
        <v>27.16</v>
      </c>
      <c r="AD439" s="22" t="s">
        <v>3926</v>
      </c>
      <c r="AG439" s="33">
        <f t="shared" si="104"/>
        <v>0</v>
      </c>
      <c r="AH439" s="117" t="s">
        <v>3927</v>
      </c>
      <c r="AI439" s="63">
        <f t="shared" si="100"/>
        <v>3.9150000000000001E-3</v>
      </c>
      <c r="AJ439" s="284">
        <f>RTD("money.excel",,$G439,"PredictVolume")</f>
        <v>783</v>
      </c>
      <c r="AK439" s="399">
        <f>IFERROR(VLOOKUP($G439,基本資料!$A:$M,13,0),"無")</f>
        <v>18.77</v>
      </c>
    </row>
    <row r="440" spans="1:37">
      <c r="A440" s="347">
        <f>IFERROR(VLOOKUP($G440,基本資料!$A:$J,3,0),"無")</f>
        <v>143</v>
      </c>
      <c r="B440" s="79">
        <f>IFERROR(VLOOKUP($G440,基本資料!$A:$J,4,0),"無")</f>
        <v>1102</v>
      </c>
      <c r="C440" s="79">
        <f>IFERROR(VLOOKUP($G440,基本資料!$A:$J,5,0),"無")</f>
        <v>1828</v>
      </c>
      <c r="D440" s="79">
        <f>IFERROR(VLOOKUP($G440,基本資料!$A:$J,6,0),"無")</f>
        <v>20</v>
      </c>
      <c r="E440" s="79">
        <f>IFERROR(VLOOKUP($G440,基本資料!$A:$J,7,0),"無")</f>
        <v>46</v>
      </c>
      <c r="F440" s="6">
        <f>IFERROR(VLOOKUP($G440,基本資料!$A:$J,8,0),"無")</f>
        <v>12.14</v>
      </c>
      <c r="G440" s="79">
        <v>2014</v>
      </c>
      <c r="H440" s="8" t="s">
        <v>299</v>
      </c>
      <c r="I440" s="22" t="s">
        <v>3928</v>
      </c>
      <c r="J440" s="8">
        <f>IFERROR(VLOOKUP($G440,今日總結!$A:$AJ,35,0),"")</f>
        <v>0</v>
      </c>
      <c r="K440" s="5" t="str">
        <f>IFERROR(VLOOKUP($G440,今日總結!$A:$AJ,36,0),"")</f>
        <v>6借</v>
      </c>
      <c r="L440" s="156">
        <f>IFERROR(VLOOKUP($G440,今日總結!$A:$AJ,33,0),"")</f>
        <v>0</v>
      </c>
      <c r="M440" s="340">
        <f>IFERROR(VLOOKUP($G440,今日總結!$A:$AJ,34,0),"")</f>
        <v>2</v>
      </c>
      <c r="N440" s="240">
        <f t="shared" si="101"/>
        <v>-2</v>
      </c>
      <c r="P440" s="365">
        <f>IFERROR(VLOOKUP($G440,融外自投!$A:$J,7,0),"無")</f>
        <v>616</v>
      </c>
      <c r="Q440" s="79">
        <f>IFERROR(VLOOKUP($G440,融外自投!$A:$J,9,0),"無")</f>
        <v>183</v>
      </c>
      <c r="R440" s="346">
        <f>IFERROR(VLOOKUP($G440,融外自投!$A:$J,8,0),"無")</f>
        <v>791</v>
      </c>
      <c r="S440" s="81">
        <f>IFERROR(VLOOKUP($G440,融外自投!$A:$J,10,0),"無")</f>
        <v>28</v>
      </c>
      <c r="T440" s="327">
        <f>IFERROR(VLOOKUP($G440,'321買'!$A:$E,5,0),"'沒有資料'")</f>
        <v>110</v>
      </c>
      <c r="U440" s="186">
        <f>IFERROR(VLOOKUP($G440,基本資料!$A:$J,9,0),"無")</f>
        <v>2.8</v>
      </c>
      <c r="V440" s="310">
        <f t="shared" si="96"/>
        <v>8.3209509658246653E-2</v>
      </c>
      <c r="W440" s="94">
        <f>IFERROR(VLOOKUP($G440,基本資料!$A:$J,10,0),"無")</f>
        <v>4.42</v>
      </c>
      <c r="X440" s="36">
        <f>RTD("money.excel",,"2014","Price")</f>
        <v>33.65</v>
      </c>
      <c r="Y440" s="66"/>
      <c r="Z440" s="15">
        <f t="shared" si="102"/>
        <v>33.65</v>
      </c>
      <c r="AA440" s="3" t="e">
        <f t="shared" si="103"/>
        <v>#DIV/0!</v>
      </c>
      <c r="AB440" s="344">
        <f>IFERROR(VLOOKUP($G440,基本資料!$A:$M,11,0),"無")</f>
        <v>-47.99</v>
      </c>
      <c r="AC440" s="397">
        <f>IFERROR(VLOOKUP($G440,基本資料!$A:$M,12,0),"無")</f>
        <v>22.09</v>
      </c>
      <c r="AD440" s="22" t="s">
        <v>3928</v>
      </c>
      <c r="AG440" s="33">
        <f t="shared" si="104"/>
        <v>0</v>
      </c>
      <c r="AH440" s="43" t="s">
        <v>3929</v>
      </c>
      <c r="AI440" s="63">
        <f t="shared" si="100"/>
        <v>7.5517482517482521E-3</v>
      </c>
      <c r="AJ440" s="284">
        <f>RTD("money.excel",,$G440,"PredictVolume")</f>
        <v>10799</v>
      </c>
      <c r="AK440" s="399">
        <f>IFERROR(VLOOKUP($G440,基本資料!$A:$M,13,0),"無")</f>
        <v>35.64</v>
      </c>
    </row>
    <row r="441" spans="1:37">
      <c r="A441" s="347">
        <f>IFERROR(VLOOKUP($G441,基本資料!$A:$J,3,0),"無")</f>
        <v>58.15</v>
      </c>
      <c r="B441" s="79">
        <f>IFERROR(VLOOKUP($G441,基本資料!$A:$J,4,0),"無")</f>
        <v>54</v>
      </c>
      <c r="C441" s="79">
        <f>IFERROR(VLOOKUP($G441,基本資料!$A:$J,5,0),"無")</f>
        <v>52</v>
      </c>
      <c r="D441" s="79">
        <f>IFERROR(VLOOKUP($G441,基本資料!$A:$J,6,0),"無")</f>
        <v>-9</v>
      </c>
      <c r="E441" s="79">
        <f>IFERROR(VLOOKUP($G441,基本資料!$A:$J,7,0),"無")</f>
        <v>23</v>
      </c>
      <c r="F441" s="6">
        <f>IFERROR(VLOOKUP($G441,基本資料!$A:$J,8,0),"無")</f>
        <v>12.31</v>
      </c>
      <c r="G441" s="79">
        <v>2015</v>
      </c>
      <c r="H441" s="8" t="s">
        <v>299</v>
      </c>
      <c r="I441" s="22" t="s">
        <v>3930</v>
      </c>
      <c r="J441" s="8" t="str">
        <f>IFERROR(VLOOKUP($G441,今日總結!$A:$AJ,35,0),"")</f>
        <v/>
      </c>
      <c r="K441" s="5" t="str">
        <f>IFERROR(VLOOKUP($G441,今日總結!$A:$AJ,36,0),"")</f>
        <v/>
      </c>
      <c r="L441" s="156" t="str">
        <f>IFERROR(VLOOKUP($G441,今日總結!$A:$AJ,33,0),"")</f>
        <v/>
      </c>
      <c r="M441" s="340" t="str">
        <f>IFERROR(VLOOKUP($G441,今日總結!$A:$AJ,34,0),"")</f>
        <v/>
      </c>
      <c r="N441" s="240" t="str">
        <f t="shared" si="101"/>
        <v/>
      </c>
      <c r="P441" s="365">
        <f>IFERROR(VLOOKUP($G441,融外自投!$A:$J,7,0),"無")</f>
        <v>1434</v>
      </c>
      <c r="Q441" s="79">
        <f>IFERROR(VLOOKUP($G441,融外自投!$A:$J,9,0),"無")</f>
        <v>571</v>
      </c>
      <c r="R441" s="346">
        <f>IFERROR(VLOOKUP($G441,融外自投!$A:$J,8,0),"無")</f>
        <v>413</v>
      </c>
      <c r="S441" s="81">
        <f>IFERROR(VLOOKUP($G441,融外自投!$A:$J,10,0),"無")</f>
        <v>324</v>
      </c>
      <c r="T441" s="327">
        <f>IFERROR(VLOOKUP($G441,'321買'!$A:$E,5,0),"'沒有資料'")</f>
        <v>318</v>
      </c>
      <c r="U441" s="186">
        <f>IFERROR(VLOOKUP($G441,基本資料!$A:$J,9,0),"無")</f>
        <v>5</v>
      </c>
      <c r="V441" s="310">
        <f t="shared" si="96"/>
        <v>6.5789473684210523E-2</v>
      </c>
      <c r="W441" s="94">
        <f>IFERROR(VLOOKUP($G441,基本資料!$A:$J,10,0),"無")</f>
        <v>6.94</v>
      </c>
      <c r="X441" s="36">
        <f>RTD("money.excel",,"2015","Price")</f>
        <v>76</v>
      </c>
      <c r="Y441" s="66"/>
      <c r="Z441" s="15">
        <f t="shared" si="102"/>
        <v>76</v>
      </c>
      <c r="AA441" s="3" t="e">
        <f t="shared" si="103"/>
        <v>#DIV/0!</v>
      </c>
      <c r="AB441" s="344">
        <f>IFERROR(VLOOKUP($G441,基本資料!$A:$M,11,0),"無")</f>
        <v>-22.12</v>
      </c>
      <c r="AC441" s="397">
        <f>IFERROR(VLOOKUP($G441,基本資料!$A:$M,12,0),"無")</f>
        <v>15.99</v>
      </c>
      <c r="AD441" s="22" t="s">
        <v>3930</v>
      </c>
      <c r="AG441" s="33">
        <f t="shared" si="104"/>
        <v>0</v>
      </c>
      <c r="AH441" s="117" t="s">
        <v>2660</v>
      </c>
      <c r="AI441" s="63">
        <f t="shared" si="100"/>
        <v>6.5692175408426485E-4</v>
      </c>
      <c r="AJ441" s="284">
        <f>RTD("money.excel",,$G441,"PredictVolume")</f>
        <v>382</v>
      </c>
      <c r="AK441" s="399">
        <f>IFERROR(VLOOKUP($G441,基本資料!$A:$M,13,0),"無")</f>
        <v>1.94</v>
      </c>
    </row>
    <row r="442" spans="1:37">
      <c r="A442" s="347">
        <f>IFERROR(VLOOKUP($G442,基本資料!$A:$J,3,0),"無")</f>
        <v>34.18</v>
      </c>
      <c r="B442" s="79">
        <f>IFERROR(VLOOKUP($G442,基本資料!$A:$J,4,0),"無")</f>
        <v>853</v>
      </c>
      <c r="C442" s="79">
        <f>IFERROR(VLOOKUP($G442,基本資料!$A:$J,5,0),"無")</f>
        <v>4096</v>
      </c>
      <c r="D442" s="79">
        <f>IFERROR(VLOOKUP($G442,基本資料!$A:$J,6,0),"無")</f>
        <v>63</v>
      </c>
      <c r="E442" s="79">
        <f>IFERROR(VLOOKUP($G442,基本資料!$A:$J,7,0),"無")</f>
        <v>10</v>
      </c>
      <c r="F442" s="6">
        <f>IFERROR(VLOOKUP($G442,基本資料!$A:$J,8,0),"無")</f>
        <v>13.53</v>
      </c>
      <c r="G442" s="79">
        <v>2017</v>
      </c>
      <c r="H442" s="8" t="s">
        <v>299</v>
      </c>
      <c r="I442" s="22" t="s">
        <v>3931</v>
      </c>
      <c r="J442" s="8">
        <f>IFERROR(VLOOKUP($G442,今日總結!$A:$AJ,35,0),"")</f>
        <v>0</v>
      </c>
      <c r="K442" s="5" t="str">
        <f>IFERROR(VLOOKUP($G442,今日總結!$A:$AJ,36,0),"")</f>
        <v>借</v>
      </c>
      <c r="L442" s="156">
        <f>IFERROR(VLOOKUP($G442,今日總結!$A:$AJ,33,0),"")</f>
        <v>0</v>
      </c>
      <c r="M442" s="340">
        <f>IFERROR(VLOOKUP($G442,今日總結!$A:$AJ,34,0),"")</f>
        <v>1</v>
      </c>
      <c r="N442" s="240">
        <f t="shared" si="101"/>
        <v>-1</v>
      </c>
      <c r="P442" s="365">
        <f>IFERROR(VLOOKUP($G442,融外自投!$A:$J,7,0),"無")</f>
        <v>705</v>
      </c>
      <c r="Q442" s="79">
        <f>IFERROR(VLOOKUP($G442,融外自投!$A:$J,9,0),"無")</f>
        <v>3</v>
      </c>
      <c r="R442" s="346">
        <f>IFERROR(VLOOKUP($G442,融外自投!$A:$J,8,0),"無")</f>
        <v>1216</v>
      </c>
      <c r="S442" s="81" t="str">
        <f>IFERROR(VLOOKUP($G442,融外自投!$A:$J,10,0),"無")</f>
        <v>無</v>
      </c>
      <c r="T442" s="327">
        <f>IFERROR(VLOOKUP($G442,'321買'!$A:$E,5,0),"'沒有資料'")</f>
        <v>683</v>
      </c>
      <c r="U442" s="186">
        <f>IFERROR(VLOOKUP($G442,基本資料!$A:$J,9,0),"無")</f>
        <v>1.2</v>
      </c>
      <c r="V442" s="310">
        <f t="shared" si="96"/>
        <v>7.6923076923076927E-2</v>
      </c>
      <c r="W442" s="94">
        <f>IFERROR(VLOOKUP($G442,基本資料!$A:$J,10,0),"無")</f>
        <v>1.98</v>
      </c>
      <c r="X442" s="36">
        <f>RTD("money.excel",,"2017","Price")</f>
        <v>15.6</v>
      </c>
      <c r="Y442" s="66"/>
      <c r="Z442" s="15">
        <f t="shared" si="102"/>
        <v>15.6</v>
      </c>
      <c r="AA442" s="3" t="e">
        <f t="shared" si="103"/>
        <v>#DIV/0!</v>
      </c>
      <c r="AB442" s="344">
        <f>IFERROR(VLOOKUP($G442,基本資料!$A:$M,11,0),"無")</f>
        <v>-58.02</v>
      </c>
      <c r="AC442" s="397">
        <f>IFERROR(VLOOKUP($G442,基本資料!$A:$M,12,0),"無")</f>
        <v>20.25</v>
      </c>
      <c r="AD442" s="22" t="s">
        <v>3931</v>
      </c>
      <c r="AG442" s="33">
        <f t="shared" si="104"/>
        <v>0</v>
      </c>
      <c r="AH442" s="43" t="s">
        <v>3932</v>
      </c>
      <c r="AI442" s="63">
        <f t="shared" si="100"/>
        <v>2.4136922176711526E-3</v>
      </c>
      <c r="AJ442" s="284">
        <f>RTD("money.excel",,$G442,"PredictVolume")</f>
        <v>825</v>
      </c>
      <c r="AK442" s="399">
        <f>IFERROR(VLOOKUP($G442,基本資料!$A:$M,13,0),"無")</f>
        <v>21.87</v>
      </c>
    </row>
    <row r="443" spans="1:37">
      <c r="A443" s="347">
        <f>IFERROR(VLOOKUP($G443,基本資料!$A:$J,3,0),"無")</f>
        <v>22.25</v>
      </c>
      <c r="B443" s="79">
        <f>IFERROR(VLOOKUP($G443,基本資料!$A:$J,4,0),"無")</f>
        <v>98</v>
      </c>
      <c r="C443" s="79">
        <f>IFERROR(VLOOKUP($G443,基本資料!$A:$J,5,0),"無")</f>
        <v>95</v>
      </c>
      <c r="D443" s="79">
        <f>IFERROR(VLOOKUP($G443,基本資料!$A:$J,6,0),"無")</f>
        <v>43</v>
      </c>
      <c r="E443" s="79">
        <f>IFERROR(VLOOKUP($G443,基本資料!$A:$J,7,0),"無")</f>
        <v>22</v>
      </c>
      <c r="F443" s="6">
        <f>IFERROR(VLOOKUP($G443,基本資料!$A:$J,8,0),"無")</f>
        <v>7.97</v>
      </c>
      <c r="G443" s="79">
        <v>2020</v>
      </c>
      <c r="H443" s="8" t="s">
        <v>299</v>
      </c>
      <c r="I443" s="22" t="s">
        <v>3933</v>
      </c>
      <c r="J443" s="8" t="str">
        <f>IFERROR(VLOOKUP($G443,今日總結!$A:$AJ,35,0),"")</f>
        <v/>
      </c>
      <c r="K443" s="5" t="str">
        <f>IFERROR(VLOOKUP($G443,今日總結!$A:$AJ,36,0),"")</f>
        <v/>
      </c>
      <c r="L443" s="156" t="str">
        <f>IFERROR(VLOOKUP($G443,今日總結!$A:$AJ,33,0),"")</f>
        <v/>
      </c>
      <c r="M443" s="340" t="str">
        <f>IFERROR(VLOOKUP($G443,今日總結!$A:$AJ,34,0),"")</f>
        <v/>
      </c>
      <c r="N443" s="240" t="str">
        <f t="shared" si="101"/>
        <v/>
      </c>
      <c r="P443" s="365">
        <f>IFERROR(VLOOKUP($G443,融外自投!$A:$J,7,0),"無")</f>
        <v>818</v>
      </c>
      <c r="Q443" s="79">
        <f>IFERROR(VLOOKUP($G443,融外自投!$A:$J,9,0),"無")</f>
        <v>279</v>
      </c>
      <c r="R443" s="346">
        <f>IFERROR(VLOOKUP($G443,融外自投!$A:$J,8,0),"無")</f>
        <v>921</v>
      </c>
      <c r="S443" s="81" t="str">
        <f>IFERROR(VLOOKUP($G443,融外自投!$A:$J,10,0),"無")</f>
        <v>無</v>
      </c>
      <c r="T443" s="327">
        <f>IFERROR(VLOOKUP($G443,'321買'!$A:$E,5,0),"'沒有資料'")</f>
        <v>939</v>
      </c>
      <c r="U443" s="186">
        <f>IFERROR(VLOOKUP($G443,基本資料!$A:$J,9,0),"無")</f>
        <v>3</v>
      </c>
      <c r="V443" s="310">
        <f t="shared" si="96"/>
        <v>9.7087378640776698E-2</v>
      </c>
      <c r="W443" s="94">
        <f>IFERROR(VLOOKUP($G443,基本資料!$A:$J,10,0),"無")</f>
        <v>3.52</v>
      </c>
      <c r="X443" s="36">
        <f>RTD("money.excel",,"2020","Price")</f>
        <v>30.9</v>
      </c>
      <c r="Y443" s="66"/>
      <c r="Z443" s="15">
        <f t="shared" si="102"/>
        <v>30.9</v>
      </c>
      <c r="AA443" s="3" t="e">
        <f t="shared" si="103"/>
        <v>#DIV/0!</v>
      </c>
      <c r="AB443" s="344">
        <f>IFERROR(VLOOKUP($G443,基本資料!$A:$M,11,0),"無")</f>
        <v>-27.8</v>
      </c>
      <c r="AC443" s="397">
        <f>IFERROR(VLOOKUP($G443,基本資料!$A:$M,12,0),"無")</f>
        <v>39.979999999999997</v>
      </c>
      <c r="AD443" s="22" t="s">
        <v>3933</v>
      </c>
      <c r="AG443" s="33">
        <f t="shared" si="104"/>
        <v>0</v>
      </c>
      <c r="AH443" s="43" t="s">
        <v>3919</v>
      </c>
      <c r="AI443" s="63">
        <f t="shared" si="100"/>
        <v>4.8224719101123597E-3</v>
      </c>
      <c r="AJ443" s="284">
        <f>RTD("money.excel",,$G443,"PredictVolume")</f>
        <v>1073</v>
      </c>
      <c r="AK443" s="399">
        <f>IFERROR(VLOOKUP($G443,基本資料!$A:$M,13,0),"無")</f>
        <v>24.28</v>
      </c>
    </row>
    <row r="444" spans="1:37">
      <c r="A444" s="347">
        <f>IFERROR(VLOOKUP($G444,基本資料!$A:$J,3,0),"無")</f>
        <v>47.97</v>
      </c>
      <c r="B444" s="79">
        <f>IFERROR(VLOOKUP($G444,基本資料!$A:$J,4,0),"無")</f>
        <v>315</v>
      </c>
      <c r="C444" s="79">
        <f>IFERROR(VLOOKUP($G444,基本資料!$A:$J,5,0),"無")</f>
        <v>681</v>
      </c>
      <c r="D444" s="79">
        <f>IFERROR(VLOOKUP($G444,基本資料!$A:$J,6,0),"無")</f>
        <v>6</v>
      </c>
      <c r="E444" s="79">
        <f>IFERROR(VLOOKUP($G444,基本資料!$A:$J,7,0),"無")</f>
        <v>-29</v>
      </c>
      <c r="F444" s="6">
        <f>IFERROR(VLOOKUP($G444,基本資料!$A:$J,8,0),"無")</f>
        <v>8.59</v>
      </c>
      <c r="G444" s="79">
        <v>2022</v>
      </c>
      <c r="H444" s="8" t="s">
        <v>299</v>
      </c>
      <c r="I444" s="22" t="s">
        <v>3934</v>
      </c>
      <c r="J444" s="8" t="str">
        <f>IFERROR(VLOOKUP($G444,今日總結!$A:$AJ,35,0),"")</f>
        <v/>
      </c>
      <c r="K444" s="5" t="str">
        <f>IFERROR(VLOOKUP($G444,今日總結!$A:$AJ,36,0),"")</f>
        <v/>
      </c>
      <c r="L444" s="156" t="str">
        <f>IFERROR(VLOOKUP($G444,今日總結!$A:$AJ,33,0),"")</f>
        <v/>
      </c>
      <c r="M444" s="340" t="str">
        <f>IFERROR(VLOOKUP($G444,今日總結!$A:$AJ,34,0),"")</f>
        <v/>
      </c>
      <c r="N444" s="240" t="str">
        <f t="shared" si="101"/>
        <v/>
      </c>
      <c r="P444" s="365" t="str">
        <f>IFERROR(VLOOKUP($G444,融外自投!$A:$J,7,0),"無")</f>
        <v>無</v>
      </c>
      <c r="Q444" s="79" t="str">
        <f>IFERROR(VLOOKUP($G444,融外自投!$A:$J,9,0),"無")</f>
        <v>無</v>
      </c>
      <c r="R444" s="346" t="str">
        <f>IFERROR(VLOOKUP($G444,融外自投!$A:$J,8,0),"無")</f>
        <v>無</v>
      </c>
      <c r="S444" s="81" t="str">
        <f>IFERROR(VLOOKUP($G444,融外自投!$A:$J,10,0),"無")</f>
        <v>無</v>
      </c>
      <c r="T444" s="327" t="str">
        <f>IFERROR(VLOOKUP($G444,'321買'!$A:$E,5,0),"'沒有資料'")</f>
        <v>'沒有資料'</v>
      </c>
      <c r="U444" s="186">
        <f>IFERROR(VLOOKUP($G444,基本資料!$A:$J,9,0),"無")</f>
        <v>0</v>
      </c>
      <c r="V444" s="310">
        <f t="shared" si="96"/>
        <v>0</v>
      </c>
      <c r="W444" s="94">
        <f>IFERROR(VLOOKUP($G444,基本資料!$A:$J,10,0),"無")</f>
        <v>0.89</v>
      </c>
      <c r="X444" s="36">
        <f>RTD("money.excel",,"2022","Price")</f>
        <v>10.15</v>
      </c>
      <c r="Y444" s="66"/>
      <c r="Z444" s="15">
        <f t="shared" si="102"/>
        <v>10.15</v>
      </c>
      <c r="AA444" s="3" t="e">
        <f t="shared" si="103"/>
        <v>#DIV/0!</v>
      </c>
      <c r="AB444" s="344">
        <f>IFERROR(VLOOKUP($G444,基本資料!$A:$M,11,0),"無")</f>
        <v>-63.04</v>
      </c>
      <c r="AC444" s="397">
        <f>IFERROR(VLOOKUP($G444,基本資料!$A:$M,12,0),"無")</f>
        <v>9</v>
      </c>
      <c r="AD444" s="22" t="s">
        <v>3934</v>
      </c>
      <c r="AG444" s="33">
        <f t="shared" si="104"/>
        <v>0</v>
      </c>
      <c r="AH444" s="43" t="s">
        <v>3935</v>
      </c>
      <c r="AI444" s="63">
        <f t="shared" si="100"/>
        <v>1.6281008963935793E-3</v>
      </c>
      <c r="AJ444" s="284">
        <f>RTD("money.excel",,$G444,"PredictVolume")</f>
        <v>781</v>
      </c>
      <c r="AK444" s="399">
        <f>IFERROR(VLOOKUP($G444,基本資料!$A:$M,13,0),"無")</f>
        <v>18.329999999999998</v>
      </c>
    </row>
    <row r="445" spans="1:37">
      <c r="A445" s="347">
        <f>IFERROR(VLOOKUP($G445,基本資料!$A:$J,3,0),"無")</f>
        <v>189</v>
      </c>
      <c r="B445" s="79">
        <f>IFERROR(VLOOKUP($G445,基本資料!$A:$J,4,0),"無")</f>
        <v>908</v>
      </c>
      <c r="C445" s="79">
        <f>IFERROR(VLOOKUP($G445,基本資料!$A:$J,5,0),"無")</f>
        <v>344</v>
      </c>
      <c r="D445" s="79">
        <f>IFERROR(VLOOKUP($G445,基本資料!$A:$J,6,0),"無")</f>
        <v>3</v>
      </c>
      <c r="E445" s="79">
        <f>IFERROR(VLOOKUP($G445,基本資料!$A:$J,7,0),"無")</f>
        <v>17</v>
      </c>
      <c r="F445" s="6">
        <f>IFERROR(VLOOKUP($G445,基本資料!$A:$J,8,0),"無")</f>
        <v>5.59</v>
      </c>
      <c r="G445" s="79">
        <v>2023</v>
      </c>
      <c r="H445" s="8" t="s">
        <v>299</v>
      </c>
      <c r="I445" s="22" t="s">
        <v>3936</v>
      </c>
      <c r="J445" s="8">
        <f>IFERROR(VLOOKUP($G445,今日總結!$A:$AJ,35,0),"")</f>
        <v>0</v>
      </c>
      <c r="K445" s="5">
        <f>IFERROR(VLOOKUP($G445,今日總結!$A:$AJ,36,0),"")</f>
        <v>0</v>
      </c>
      <c r="L445" s="156">
        <f>IFERROR(VLOOKUP($G445,今日總結!$A:$AJ,33,0),"")</f>
        <v>0</v>
      </c>
      <c r="M445" s="340">
        <f>IFERROR(VLOOKUP($G445,今日總結!$A:$AJ,34,0),"")</f>
        <v>1</v>
      </c>
      <c r="N445" s="240">
        <f t="shared" si="101"/>
        <v>-1</v>
      </c>
      <c r="P445" s="365">
        <f>IFERROR(VLOOKUP($G445,融外自投!$A:$J,7,0),"無")</f>
        <v>738</v>
      </c>
      <c r="Q445" s="79">
        <f>IFERROR(VLOOKUP($G445,融外自投!$A:$J,9,0),"無")</f>
        <v>896</v>
      </c>
      <c r="R445" s="346">
        <f>IFERROR(VLOOKUP($G445,融外自投!$A:$J,8,0),"無")</f>
        <v>766</v>
      </c>
      <c r="S445" s="81">
        <f>IFERROR(VLOOKUP($G445,融外自投!$A:$J,10,0),"無")</f>
        <v>491</v>
      </c>
      <c r="T445" s="327">
        <f>IFERROR(VLOOKUP($G445,'321買'!$A:$E,5,0),"'沒有資料'")</f>
        <v>802</v>
      </c>
      <c r="U445" s="186">
        <f>IFERROR(VLOOKUP($G445,基本資料!$A:$J,9,0),"無")</f>
        <v>1</v>
      </c>
      <c r="V445" s="310">
        <f t="shared" si="96"/>
        <v>5.1150895140664961E-2</v>
      </c>
      <c r="W445" s="94">
        <f>IFERROR(VLOOKUP($G445,基本資料!$A:$J,10,0),"無")</f>
        <v>2.75</v>
      </c>
      <c r="X445" s="36">
        <f>RTD("money.excel",,"2023","Price")</f>
        <v>19.55</v>
      </c>
      <c r="Y445" s="66"/>
      <c r="Z445" s="15">
        <f t="shared" si="102"/>
        <v>19.55</v>
      </c>
      <c r="AA445" s="3" t="e">
        <f t="shared" si="103"/>
        <v>#DIV/0!</v>
      </c>
      <c r="AB445" s="344">
        <f>IFERROR(VLOOKUP($G445,基本資料!$A:$M,11,0),"無")</f>
        <v>-52.76</v>
      </c>
      <c r="AC445" s="397">
        <f>IFERROR(VLOOKUP($G445,基本資料!$A:$M,12,0),"無")</f>
        <v>17.14</v>
      </c>
      <c r="AD445" s="22" t="s">
        <v>3936</v>
      </c>
      <c r="AG445" s="33">
        <f t="shared" si="104"/>
        <v>0</v>
      </c>
      <c r="AH445" s="117" t="s">
        <v>3937</v>
      </c>
      <c r="AI445" s="63">
        <f t="shared" si="100"/>
        <v>2.0407407407407405E-3</v>
      </c>
      <c r="AJ445" s="284">
        <f>RTD("money.excel",,$G445,"PredictVolume")</f>
        <v>3857</v>
      </c>
      <c r="AK445" s="399">
        <f>IFERROR(VLOOKUP($G445,基本資料!$A:$M,13,0),"無")</f>
        <v>18.260000000000002</v>
      </c>
    </row>
    <row r="446" spans="1:37">
      <c r="A446" s="347">
        <f>IFERROR(VLOOKUP($G446,基本資料!$A:$J,3,0),"無")</f>
        <v>9.75</v>
      </c>
      <c r="B446" s="79">
        <f>IFERROR(VLOOKUP($G446,基本資料!$A:$J,4,0),"無")</f>
        <v>434</v>
      </c>
      <c r="C446" s="79">
        <f>IFERROR(VLOOKUP($G446,基本資料!$A:$J,5,0),"無")</f>
        <v>402</v>
      </c>
      <c r="D446" s="79">
        <f>IFERROR(VLOOKUP($G446,基本資料!$A:$J,6,0),"無")</f>
        <v>57</v>
      </c>
      <c r="E446" s="79">
        <f>IFERROR(VLOOKUP($G446,基本資料!$A:$J,7,0),"無")</f>
        <v>10</v>
      </c>
      <c r="F446" s="6">
        <f>IFERROR(VLOOKUP($G446,基本資料!$A:$J,8,0),"無")</f>
        <v>11.95</v>
      </c>
      <c r="G446" s="79">
        <v>2024</v>
      </c>
      <c r="H446" s="8" t="s">
        <v>299</v>
      </c>
      <c r="I446" s="22" t="s">
        <v>3938</v>
      </c>
      <c r="J446" s="8" t="str">
        <f>IFERROR(VLOOKUP($G446,今日總結!$A:$AJ,35,0),"")</f>
        <v>券</v>
      </c>
      <c r="K446" s="5" t="str">
        <f>IFERROR(VLOOKUP($G446,今日總結!$A:$AJ,36,0),"")</f>
        <v>融借</v>
      </c>
      <c r="L446" s="156">
        <f>IFERROR(VLOOKUP($G446,今日總結!$A:$AJ,33,0),"")</f>
        <v>1</v>
      </c>
      <c r="M446" s="340">
        <f>IFERROR(VLOOKUP($G446,今日總結!$A:$AJ,34,0),"")</f>
        <v>2</v>
      </c>
      <c r="N446" s="240">
        <f t="shared" si="101"/>
        <v>-1</v>
      </c>
      <c r="P446" s="365">
        <f>IFERROR(VLOOKUP($G446,融外自投!$A:$J,7,0),"無")</f>
        <v>942</v>
      </c>
      <c r="Q446" s="79">
        <f>IFERROR(VLOOKUP($G446,融外自投!$A:$J,9,0),"無")</f>
        <v>896</v>
      </c>
      <c r="R446" s="346">
        <f>IFERROR(VLOOKUP($G446,融外自投!$A:$J,8,0),"無")</f>
        <v>1405</v>
      </c>
      <c r="S446" s="81" t="str">
        <f>IFERROR(VLOOKUP($G446,融外自投!$A:$J,10,0),"無")</f>
        <v>無</v>
      </c>
      <c r="T446" s="327">
        <f>IFERROR(VLOOKUP($G446,'321買'!$A:$E,5,0),"'沒有資料'")</f>
        <v>1179</v>
      </c>
      <c r="U446" s="186">
        <f>IFERROR(VLOOKUP($G446,基本資料!$A:$J,9,0),"無")</f>
        <v>1.2</v>
      </c>
      <c r="V446" s="310">
        <f t="shared" si="96"/>
        <v>5.5555555555555552E-2</v>
      </c>
      <c r="W446" s="94">
        <f>IFERROR(VLOOKUP($G446,基本資料!$A:$J,10,0),"無")</f>
        <v>1.47</v>
      </c>
      <c r="X446" s="36">
        <f>RTD("money.excel",,"2024","Price")</f>
        <v>21.6</v>
      </c>
      <c r="Y446" s="66"/>
      <c r="Z446" s="15">
        <f t="shared" si="102"/>
        <v>21.6</v>
      </c>
      <c r="AA446" s="3" t="e">
        <f t="shared" si="103"/>
        <v>#DIV/0!</v>
      </c>
      <c r="AB446" s="344">
        <f>IFERROR(VLOOKUP($G446,基本資料!$A:$M,11,0),"無")</f>
        <v>-35.6</v>
      </c>
      <c r="AC446" s="397">
        <f>IFERROR(VLOOKUP($G446,基本資料!$A:$M,12,0),"無")</f>
        <v>23.77</v>
      </c>
      <c r="AD446" s="22" t="s">
        <v>3938</v>
      </c>
      <c r="AG446" s="33">
        <f t="shared" si="104"/>
        <v>0</v>
      </c>
      <c r="AH446" s="43" t="s">
        <v>3939</v>
      </c>
      <c r="AI446" s="63">
        <f t="shared" si="100"/>
        <v>1.8871794871794872E-3</v>
      </c>
      <c r="AJ446" s="284">
        <f>RTD("money.excel",,$G446,"PredictVolume")</f>
        <v>184</v>
      </c>
      <c r="AK446" s="399">
        <f>IFERROR(VLOOKUP($G446,基本資料!$A:$M,13,0),"無")</f>
        <v>17.78</v>
      </c>
    </row>
    <row r="447" spans="1:37">
      <c r="A447" s="347">
        <f>IFERROR(VLOOKUP($G447,基本資料!$A:$J,3,0),"無")</f>
        <v>28.11</v>
      </c>
      <c r="B447" s="79">
        <f>IFERROR(VLOOKUP($G447,基本資料!$A:$J,4,0),"無")</f>
        <v>231</v>
      </c>
      <c r="C447" s="79">
        <f>IFERROR(VLOOKUP($G447,基本資料!$A:$J,5,0),"無")</f>
        <v>219</v>
      </c>
      <c r="D447" s="79">
        <f>IFERROR(VLOOKUP($G447,基本資料!$A:$J,6,0),"無")</f>
        <v>25</v>
      </c>
      <c r="E447" s="79">
        <f>IFERROR(VLOOKUP($G447,基本資料!$A:$J,7,0),"無")</f>
        <v>6</v>
      </c>
      <c r="F447" s="6">
        <f>IFERROR(VLOOKUP($G447,基本資料!$A:$J,8,0),"無")</f>
        <v>10.75</v>
      </c>
      <c r="G447" s="79">
        <v>2025</v>
      </c>
      <c r="H447" s="8" t="s">
        <v>299</v>
      </c>
      <c r="I447" s="22" t="s">
        <v>3940</v>
      </c>
      <c r="J447" s="8" t="str">
        <f>IFERROR(VLOOKUP($G447,今日總結!$A:$AJ,35,0),"")</f>
        <v/>
      </c>
      <c r="K447" s="5" t="str">
        <f>IFERROR(VLOOKUP($G447,今日總結!$A:$AJ,36,0),"")</f>
        <v/>
      </c>
      <c r="L447" s="156" t="str">
        <f>IFERROR(VLOOKUP($G447,今日總結!$A:$AJ,33,0),"")</f>
        <v/>
      </c>
      <c r="M447" s="340" t="str">
        <f>IFERROR(VLOOKUP($G447,今日總結!$A:$AJ,34,0),"")</f>
        <v/>
      </c>
      <c r="N447" s="240" t="str">
        <f t="shared" si="101"/>
        <v/>
      </c>
      <c r="P447" s="365" t="str">
        <f>IFERROR(VLOOKUP($G447,融外自投!$A:$J,7,0),"無")</f>
        <v>無</v>
      </c>
      <c r="Q447" s="79" t="str">
        <f>IFERROR(VLOOKUP($G447,融外自投!$A:$J,9,0),"無")</f>
        <v>無</v>
      </c>
      <c r="R447" s="346" t="str">
        <f>IFERROR(VLOOKUP($G447,融外自投!$A:$J,8,0),"無")</f>
        <v>無</v>
      </c>
      <c r="S447" s="81" t="str">
        <f>IFERROR(VLOOKUP($G447,融外自投!$A:$J,10,0),"無")</f>
        <v>無</v>
      </c>
      <c r="T447" s="327" t="str">
        <f>IFERROR(VLOOKUP($G447,'321買'!$A:$E,5,0),"'沒有資料'")</f>
        <v>'沒有資料'</v>
      </c>
      <c r="U447" s="186">
        <f>IFERROR(VLOOKUP($G447,基本資料!$A:$J,9,0),"無")</f>
        <v>0</v>
      </c>
      <c r="V447" s="310">
        <f t="shared" si="96"/>
        <v>0</v>
      </c>
      <c r="W447" s="94">
        <f>IFERROR(VLOOKUP($G447,基本資料!$A:$J,10,0),"無")</f>
        <v>0.98</v>
      </c>
      <c r="X447" s="36">
        <f>RTD("money.excel",,"2025","Price")</f>
        <v>5.28</v>
      </c>
      <c r="Y447" s="66"/>
      <c r="Z447" s="15">
        <f t="shared" si="102"/>
        <v>5.28</v>
      </c>
      <c r="AA447" s="3" t="e">
        <f t="shared" si="103"/>
        <v>#DIV/0!</v>
      </c>
      <c r="AB447" s="344">
        <f>IFERROR(VLOOKUP($G447,基本資料!$A:$M,11,0),"無")</f>
        <v>-39.76</v>
      </c>
      <c r="AC447" s="397">
        <f>IFERROR(VLOOKUP($G447,基本資料!$A:$M,12,0),"無")</f>
        <v>16.79</v>
      </c>
      <c r="AD447" s="22" t="s">
        <v>3940</v>
      </c>
      <c r="AG447" s="33">
        <f t="shared" si="104"/>
        <v>0</v>
      </c>
      <c r="AH447" s="43" t="s">
        <v>3941</v>
      </c>
      <c r="AI447" s="63">
        <f t="shared" si="100"/>
        <v>2.4617573817146922E-3</v>
      </c>
      <c r="AJ447" s="284">
        <f>RTD("money.excel",,$G447,"PredictVolume")</f>
        <v>692</v>
      </c>
      <c r="AK447" s="399">
        <f>IFERROR(VLOOKUP($G447,基本資料!$A:$M,13,0),"無")</f>
        <v>6.58</v>
      </c>
    </row>
    <row r="448" spans="1:37">
      <c r="A448" s="347">
        <f>IFERROR(VLOOKUP($G448,基本資料!$A:$J,3,0),"無")</f>
        <v>200</v>
      </c>
      <c r="B448" s="79">
        <f>IFERROR(VLOOKUP($G448,基本資料!$A:$J,4,0),"無")</f>
        <v>11496</v>
      </c>
      <c r="C448" s="79">
        <f>IFERROR(VLOOKUP($G448,基本資料!$A:$J,5,0),"無")</f>
        <v>938</v>
      </c>
      <c r="D448" s="79">
        <f>IFERROR(VLOOKUP($G448,基本資料!$A:$J,6,0),"無")</f>
        <v>-6</v>
      </c>
      <c r="E448" s="79">
        <f>IFERROR(VLOOKUP($G448,基本資料!$A:$J,7,0),"無")</f>
        <v>33</v>
      </c>
      <c r="F448" s="6">
        <f>IFERROR(VLOOKUP($G448,基本資料!$A:$J,8,0),"無")</f>
        <v>19.55</v>
      </c>
      <c r="G448" s="79">
        <v>2027</v>
      </c>
      <c r="H448" s="8" t="s">
        <v>299</v>
      </c>
      <c r="I448" s="22" t="s">
        <v>3942</v>
      </c>
      <c r="J448" s="8">
        <f>IFERROR(VLOOKUP($G448,今日總結!$A:$AJ,35,0),"")</f>
        <v>0</v>
      </c>
      <c r="K448" s="5" t="str">
        <f>IFERROR(VLOOKUP($G448,今日總結!$A:$AJ,36,0),"")</f>
        <v>借</v>
      </c>
      <c r="L448" s="156">
        <f>IFERROR(VLOOKUP($G448,今日總結!$A:$AJ,33,0),"")</f>
        <v>0</v>
      </c>
      <c r="M448" s="340">
        <f>IFERROR(VLOOKUP($G448,今日總結!$A:$AJ,34,0),"")</f>
        <v>1</v>
      </c>
      <c r="N448" s="240">
        <f t="shared" si="101"/>
        <v>-1</v>
      </c>
      <c r="P448" s="365">
        <f>IFERROR(VLOOKUP($G448,融外自投!$A:$J,7,0),"無")</f>
        <v>442</v>
      </c>
      <c r="Q448" s="79">
        <f>IFERROR(VLOOKUP($G448,融外自投!$A:$J,9,0),"無")</f>
        <v>55</v>
      </c>
      <c r="R448" s="346">
        <f>IFERROR(VLOOKUP($G448,融外自投!$A:$J,8,0),"無")</f>
        <v>351</v>
      </c>
      <c r="S448" s="81">
        <f>IFERROR(VLOOKUP($G448,融外自投!$A:$J,10,0),"無")</f>
        <v>227</v>
      </c>
      <c r="T448" s="327">
        <f>IFERROR(VLOOKUP($G448,'321買'!$A:$E,5,0),"'沒有資料'")</f>
        <v>392</v>
      </c>
      <c r="U448" s="186">
        <f>IFERROR(VLOOKUP($G448,基本資料!$A:$J,9,0),"無")</f>
        <v>1.9</v>
      </c>
      <c r="V448" s="310">
        <f t="shared" si="96"/>
        <v>4.2986425339366509E-2</v>
      </c>
      <c r="W448" s="94">
        <f>IFERROR(VLOOKUP($G448,基本資料!$A:$J,10,0),"無")</f>
        <v>5.76</v>
      </c>
      <c r="X448" s="36">
        <f>RTD("money.excel",,"2027","Price")</f>
        <v>44.2</v>
      </c>
      <c r="Y448" s="66"/>
      <c r="Z448" s="15">
        <f t="shared" si="102"/>
        <v>44.2</v>
      </c>
      <c r="AA448" s="3" t="e">
        <f t="shared" si="103"/>
        <v>#DIV/0!</v>
      </c>
      <c r="AB448" s="344">
        <f>IFERROR(VLOOKUP($G448,基本資料!$A:$M,11,0),"無")</f>
        <v>-31.4</v>
      </c>
      <c r="AC448" s="397">
        <f>IFERROR(VLOOKUP($G448,基本資料!$A:$M,12,0),"無")</f>
        <v>18.36</v>
      </c>
      <c r="AD448" s="22" t="s">
        <v>3942</v>
      </c>
      <c r="AG448" s="33">
        <f t="shared" si="104"/>
        <v>0</v>
      </c>
      <c r="AH448" s="117" t="s">
        <v>3261</v>
      </c>
      <c r="AI448" s="63">
        <f t="shared" si="100"/>
        <v>1.3363999999999999E-2</v>
      </c>
      <c r="AJ448" s="284">
        <f>RTD("money.excel",,$G448,"PredictVolume")</f>
        <v>26728</v>
      </c>
      <c r="AK448" s="399">
        <f>IFERROR(VLOOKUP($G448,基本資料!$A:$M,13,0),"無")</f>
        <v>22.9</v>
      </c>
    </row>
    <row r="449" spans="1:37">
      <c r="A449" s="347">
        <f>IFERROR(VLOOKUP($G449,基本資料!$A:$J,3,0),"無")</f>
        <v>32.57</v>
      </c>
      <c r="B449" s="79">
        <f>IFERROR(VLOOKUP($G449,基本資料!$A:$J,4,0),"無")</f>
        <v>176</v>
      </c>
      <c r="C449" s="79">
        <f>IFERROR(VLOOKUP($G449,基本資料!$A:$J,5,0),"無")</f>
        <v>228</v>
      </c>
      <c r="D449" s="79">
        <f>IFERROR(VLOOKUP($G449,基本資料!$A:$J,6,0),"無")</f>
        <v>-13</v>
      </c>
      <c r="E449" s="79">
        <f>IFERROR(VLOOKUP($G449,基本資料!$A:$J,7,0),"無")</f>
        <v>33</v>
      </c>
      <c r="F449" s="6">
        <f>IFERROR(VLOOKUP($G449,基本資料!$A:$J,8,0),"無")</f>
        <v>14.46</v>
      </c>
      <c r="G449" s="79">
        <v>2028</v>
      </c>
      <c r="H449" s="8" t="s">
        <v>299</v>
      </c>
      <c r="I449" s="22" t="s">
        <v>3943</v>
      </c>
      <c r="J449" s="8">
        <f>IFERROR(VLOOKUP($G449,今日總結!$A:$AJ,35,0),"")</f>
        <v>0</v>
      </c>
      <c r="K449" s="5">
        <f>IFERROR(VLOOKUP($G449,今日總結!$A:$AJ,36,0),"")</f>
        <v>0</v>
      </c>
      <c r="L449" s="156">
        <f>IFERROR(VLOOKUP($G449,今日總結!$A:$AJ,33,0),"")</f>
        <v>0</v>
      </c>
      <c r="M449" s="340">
        <f>IFERROR(VLOOKUP($G449,今日總結!$A:$AJ,34,0),"")</f>
        <v>1</v>
      </c>
      <c r="N449" s="240">
        <f t="shared" si="101"/>
        <v>-1</v>
      </c>
      <c r="P449" s="365">
        <f>IFERROR(VLOOKUP($G449,融外自投!$A:$J,7,0),"無")</f>
        <v>312</v>
      </c>
      <c r="Q449" s="79">
        <f>IFERROR(VLOOKUP($G449,融外自投!$A:$J,9,0),"無")</f>
        <v>708</v>
      </c>
      <c r="R449" s="346">
        <f>IFERROR(VLOOKUP($G449,融外自投!$A:$J,8,0),"無")</f>
        <v>1331</v>
      </c>
      <c r="S449" s="81" t="str">
        <f>IFERROR(VLOOKUP($G449,融外自投!$A:$J,10,0),"無")</f>
        <v>無</v>
      </c>
      <c r="T449" s="327">
        <f>IFERROR(VLOOKUP($G449,'321買'!$A:$E,5,0),"'沒有資料'")</f>
        <v>1007</v>
      </c>
      <c r="U449" s="186">
        <f>IFERROR(VLOOKUP($G449,基本資料!$A:$J,9,0),"無")</f>
        <v>2.5</v>
      </c>
      <c r="V449" s="310">
        <f t="shared" si="96"/>
        <v>7.4626865671641784E-2</v>
      </c>
      <c r="W449" s="94">
        <f>IFERROR(VLOOKUP($G449,基本資料!$A:$J,10,0),"無")</f>
        <v>5.1100000000000003</v>
      </c>
      <c r="X449" s="36">
        <f>RTD("money.excel",,"2028","Price")</f>
        <v>33.5</v>
      </c>
      <c r="Y449" s="66"/>
      <c r="Z449" s="15">
        <f t="shared" si="102"/>
        <v>33.5</v>
      </c>
      <c r="AA449" s="3" t="e">
        <f t="shared" si="103"/>
        <v>#DIV/0!</v>
      </c>
      <c r="AB449" s="344">
        <f>IFERROR(VLOOKUP($G449,基本資料!$A:$M,11,0),"無")</f>
        <v>-49.78</v>
      </c>
      <c r="AC449" s="397">
        <f>IFERROR(VLOOKUP($G449,基本資料!$A:$M,12,0),"無")</f>
        <v>18.07</v>
      </c>
      <c r="AD449" s="22" t="s">
        <v>3943</v>
      </c>
      <c r="AG449" s="33">
        <f t="shared" si="104"/>
        <v>0</v>
      </c>
      <c r="AH449" s="43" t="s">
        <v>2660</v>
      </c>
      <c r="AI449" s="63">
        <f t="shared" si="100"/>
        <v>2.698802579060485E-3</v>
      </c>
      <c r="AJ449" s="284">
        <f>RTD("money.excel",,$G449,"PredictVolume")</f>
        <v>879</v>
      </c>
      <c r="AK449" s="399">
        <f>IFERROR(VLOOKUP($G449,基本資料!$A:$M,13,0),"無")</f>
        <v>18.09</v>
      </c>
    </row>
    <row r="450" spans="1:37">
      <c r="A450" s="347">
        <f>IFERROR(VLOOKUP($G450,基本資料!$A:$J,3,0),"無")</f>
        <v>32.11</v>
      </c>
      <c r="B450" s="79">
        <f>IFERROR(VLOOKUP($G450,基本資料!$A:$J,4,0),"無")</f>
        <v>405</v>
      </c>
      <c r="C450" s="79">
        <f>IFERROR(VLOOKUP($G450,基本資料!$A:$J,5,0),"無")</f>
        <v>312</v>
      </c>
      <c r="D450" s="79">
        <f>IFERROR(VLOOKUP($G450,基本資料!$A:$J,6,0),"無")</f>
        <v>34</v>
      </c>
      <c r="E450" s="79">
        <f>IFERROR(VLOOKUP($G450,基本資料!$A:$J,7,0),"無")</f>
        <v>54</v>
      </c>
      <c r="F450" s="6">
        <f>IFERROR(VLOOKUP($G450,基本資料!$A:$J,8,0),"無")</f>
        <v>10.86</v>
      </c>
      <c r="G450" s="79">
        <v>2029</v>
      </c>
      <c r="H450" s="8" t="s">
        <v>299</v>
      </c>
      <c r="I450" s="22" t="s">
        <v>3944</v>
      </c>
      <c r="J450" s="8" t="str">
        <f>IFERROR(VLOOKUP($G450,今日總結!$A:$AJ,35,0),"")</f>
        <v/>
      </c>
      <c r="K450" s="5" t="str">
        <f>IFERROR(VLOOKUP($G450,今日總結!$A:$AJ,36,0),"")</f>
        <v/>
      </c>
      <c r="L450" s="156" t="str">
        <f>IFERROR(VLOOKUP($G450,今日總結!$A:$AJ,33,0),"")</f>
        <v/>
      </c>
      <c r="M450" s="340" t="str">
        <f>IFERROR(VLOOKUP($G450,今日總結!$A:$AJ,34,0),"")</f>
        <v/>
      </c>
      <c r="N450" s="240" t="str">
        <f t="shared" si="101"/>
        <v/>
      </c>
      <c r="P450" s="365">
        <f>IFERROR(VLOOKUP($G450,融外自投!$A:$J,7,0),"無")</f>
        <v>701</v>
      </c>
      <c r="Q450" s="79">
        <f>IFERROR(VLOOKUP($G450,融外自投!$A:$J,9,0),"無")</f>
        <v>474</v>
      </c>
      <c r="R450" s="346">
        <f>IFERROR(VLOOKUP($G450,融外自投!$A:$J,8,0),"無")</f>
        <v>25</v>
      </c>
      <c r="S450" s="81">
        <f>IFERROR(VLOOKUP($G450,融外自投!$A:$J,10,0),"無")</f>
        <v>351</v>
      </c>
      <c r="T450" s="327">
        <f>IFERROR(VLOOKUP($G450,'321買'!$A:$E,5,0),"'沒有資料'")</f>
        <v>779</v>
      </c>
      <c r="U450" s="186">
        <f>IFERROR(VLOOKUP($G450,基本資料!$A:$J,9,0),"無")</f>
        <v>2.5499999999999998</v>
      </c>
      <c r="V450" s="310">
        <f t="shared" si="96"/>
        <v>8.3061889250814328E-2</v>
      </c>
      <c r="W450" s="94">
        <f>IFERROR(VLOOKUP($G450,基本資料!$A:$J,10,0),"無")</f>
        <v>3.94</v>
      </c>
      <c r="X450" s="36">
        <f>RTD("money.excel",,"2029","Price")</f>
        <v>30.7</v>
      </c>
      <c r="Y450" s="66"/>
      <c r="Z450" s="15">
        <f t="shared" si="102"/>
        <v>30.7</v>
      </c>
      <c r="AA450" s="3" t="e">
        <f t="shared" si="103"/>
        <v>#DIV/0!</v>
      </c>
      <c r="AB450" s="344">
        <f>IFERROR(VLOOKUP($G450,基本資料!$A:$M,11,0),"無")</f>
        <v>-45.34</v>
      </c>
      <c r="AC450" s="397">
        <f>IFERROR(VLOOKUP($G450,基本資料!$A:$M,12,0),"無")</f>
        <v>31.03</v>
      </c>
      <c r="AD450" s="22" t="s">
        <v>3944</v>
      </c>
      <c r="AG450" s="33">
        <f t="shared" si="104"/>
        <v>0</v>
      </c>
      <c r="AH450" s="117" t="s">
        <v>3945</v>
      </c>
      <c r="AI450" s="63">
        <f t="shared" si="100"/>
        <v>5.1167860479601366E-3</v>
      </c>
      <c r="AJ450" s="284">
        <f>RTD("money.excel",,$G450,"PredictVolume")</f>
        <v>1643</v>
      </c>
      <c r="AK450" s="399">
        <f>IFERROR(VLOOKUP($G450,基本資料!$A:$M,13,0),"無")</f>
        <v>22.37</v>
      </c>
    </row>
    <row r="451" spans="1:37">
      <c r="A451" s="347">
        <f>IFERROR(VLOOKUP($G451,基本資料!$A:$J,3,0),"無")</f>
        <v>28.05</v>
      </c>
      <c r="B451" s="79">
        <f>IFERROR(VLOOKUP($G451,基本資料!$A:$J,4,0),"無")</f>
        <v>1011</v>
      </c>
      <c r="C451" s="79">
        <f>IFERROR(VLOOKUP($G451,基本資料!$A:$J,5,0),"無")</f>
        <v>635</v>
      </c>
      <c r="D451" s="79">
        <f>IFERROR(VLOOKUP($G451,基本資料!$A:$J,6,0),"無")</f>
        <v>-22</v>
      </c>
      <c r="E451" s="79">
        <f>IFERROR(VLOOKUP($G451,基本資料!$A:$J,7,0),"無")</f>
        <v>32</v>
      </c>
      <c r="F451" s="6">
        <f>IFERROR(VLOOKUP($G451,基本資料!$A:$J,8,0),"無")</f>
        <v>11.33</v>
      </c>
      <c r="G451" s="79">
        <v>2030</v>
      </c>
      <c r="H451" s="8" t="s">
        <v>299</v>
      </c>
      <c r="I451" s="22" t="s">
        <v>3946</v>
      </c>
      <c r="J451" s="8">
        <f>IFERROR(VLOOKUP($G451,今日總結!$A:$AJ,35,0),"")</f>
        <v>0</v>
      </c>
      <c r="K451" s="5">
        <f>IFERROR(VLOOKUP($G451,今日總結!$A:$AJ,36,0),"")</f>
        <v>0</v>
      </c>
      <c r="L451" s="156">
        <f>IFERROR(VLOOKUP($G451,今日總結!$A:$AJ,33,0),"")</f>
        <v>0</v>
      </c>
      <c r="M451" s="340">
        <f>IFERROR(VLOOKUP($G451,今日總結!$A:$AJ,34,0),"")</f>
        <v>1</v>
      </c>
      <c r="N451" s="240">
        <f t="shared" si="101"/>
        <v>-1</v>
      </c>
      <c r="P451" s="365">
        <f>IFERROR(VLOOKUP($G451,融外自投!$A:$J,7,0),"無")</f>
        <v>152</v>
      </c>
      <c r="Q451" s="79">
        <f>IFERROR(VLOOKUP($G451,融外自投!$A:$J,9,0),"無")</f>
        <v>200</v>
      </c>
      <c r="R451" s="346">
        <f>IFERROR(VLOOKUP($G451,融外自投!$A:$J,8,0),"無")</f>
        <v>839</v>
      </c>
      <c r="S451" s="81">
        <f>IFERROR(VLOOKUP($G451,融外自投!$A:$J,10,0),"無")</f>
        <v>458</v>
      </c>
      <c r="T451" s="327">
        <f>IFERROR(VLOOKUP($G451,'321買'!$A:$E,5,0),"'沒有資料'")</f>
        <v>207</v>
      </c>
      <c r="U451" s="186">
        <f>IFERROR(VLOOKUP($G451,基本資料!$A:$J,9,0),"無")</f>
        <v>2</v>
      </c>
      <c r="V451" s="310">
        <f t="shared" si="96"/>
        <v>6.7567567567567557E-2</v>
      </c>
      <c r="W451" s="94">
        <f>IFERROR(VLOOKUP($G451,基本資料!$A:$J,10,0),"無")</f>
        <v>4.29</v>
      </c>
      <c r="X451" s="36">
        <f>RTD("money.excel",,"2030","Price")</f>
        <v>29.6</v>
      </c>
      <c r="Y451" s="66"/>
      <c r="Z451" s="15">
        <f t="shared" si="102"/>
        <v>29.6</v>
      </c>
      <c r="AA451" s="3" t="e">
        <f t="shared" si="103"/>
        <v>#DIV/0!</v>
      </c>
      <c r="AB451" s="344">
        <f>IFERROR(VLOOKUP($G451,基本資料!$A:$M,11,0),"無")</f>
        <v>-43.37</v>
      </c>
      <c r="AC451" s="397">
        <f>IFERROR(VLOOKUP($G451,基本資料!$A:$M,12,0),"無")</f>
        <v>23.2</v>
      </c>
      <c r="AD451" s="22" t="s">
        <v>3946</v>
      </c>
      <c r="AG451" s="33">
        <f t="shared" si="104"/>
        <v>0</v>
      </c>
      <c r="AH451" s="43" t="s">
        <v>3261</v>
      </c>
      <c r="AI451" s="63">
        <f t="shared" si="100"/>
        <v>1.6117647058823528E-2</v>
      </c>
      <c r="AJ451" s="284">
        <f>RTD("money.excel",,$G451,"PredictVolume")</f>
        <v>4521</v>
      </c>
      <c r="AK451" s="399">
        <f>IFERROR(VLOOKUP($G451,基本資料!$A:$M,13,0),"無")</f>
        <v>60.94</v>
      </c>
    </row>
    <row r="452" spans="1:37">
      <c r="A452" s="347">
        <f>IFERROR(VLOOKUP($G452,基本資料!$A:$J,3,0),"無")</f>
        <v>32.11</v>
      </c>
      <c r="B452" s="79">
        <f>IFERROR(VLOOKUP($G452,基本資料!$A:$J,4,0),"無")</f>
        <v>227</v>
      </c>
      <c r="C452" s="79">
        <f>IFERROR(VLOOKUP($G452,基本資料!$A:$J,5,0),"無")</f>
        <v>461</v>
      </c>
      <c r="D452" s="79">
        <f>IFERROR(VLOOKUP($G452,基本資料!$A:$J,6,0),"無")</f>
        <v>-25</v>
      </c>
      <c r="E452" s="79">
        <f>IFERROR(VLOOKUP($G452,基本資料!$A:$J,7,0),"無")</f>
        <v>29</v>
      </c>
      <c r="F452" s="6">
        <f>IFERROR(VLOOKUP($G452,基本資料!$A:$J,8,0),"無")</f>
        <v>18.7</v>
      </c>
      <c r="G452" s="79">
        <v>2031</v>
      </c>
      <c r="H452" s="8" t="s">
        <v>299</v>
      </c>
      <c r="I452" s="22" t="s">
        <v>3947</v>
      </c>
      <c r="J452" s="8">
        <f>IFERROR(VLOOKUP($G452,今日總結!$A:$AJ,35,0),"")</f>
        <v>0</v>
      </c>
      <c r="K452" s="5" t="str">
        <f>IFERROR(VLOOKUP($G452,今日總結!$A:$AJ,36,0),"")</f>
        <v>6投</v>
      </c>
      <c r="L452" s="156">
        <f>IFERROR(VLOOKUP($G452,今日總結!$A:$AJ,33,0),"")</f>
        <v>0</v>
      </c>
      <c r="M452" s="340">
        <f>IFERROR(VLOOKUP($G452,今日總結!$A:$AJ,34,0),"")</f>
        <v>3</v>
      </c>
      <c r="N452" s="240">
        <f t="shared" si="101"/>
        <v>-3</v>
      </c>
      <c r="P452" s="365">
        <f>IFERROR(VLOOKUP($G452,融外自投!$A:$J,7,0),"無")</f>
        <v>355</v>
      </c>
      <c r="Q452" s="79">
        <f>IFERROR(VLOOKUP($G452,融外自投!$A:$J,9,0),"無")</f>
        <v>334</v>
      </c>
      <c r="R452" s="346">
        <f>IFERROR(VLOOKUP($G452,融外自投!$A:$J,8,0),"無")</f>
        <v>452</v>
      </c>
      <c r="S452" s="81">
        <f>IFERROR(VLOOKUP($G452,融外自投!$A:$J,10,0),"無")</f>
        <v>82</v>
      </c>
      <c r="T452" s="327">
        <f>IFERROR(VLOOKUP($G452,'321買'!$A:$E,5,0),"'沒有資料'")</f>
        <v>430</v>
      </c>
      <c r="U452" s="186">
        <f>IFERROR(VLOOKUP($G452,基本資料!$A:$J,9,0),"無")</f>
        <v>4</v>
      </c>
      <c r="V452" s="310">
        <f t="shared" si="96"/>
        <v>7.6335877862595422E-2</v>
      </c>
      <c r="W452" s="94">
        <f>IFERROR(VLOOKUP($G452,基本資料!$A:$J,10,0),"無")</f>
        <v>8.6199999999999992</v>
      </c>
      <c r="X452" s="36">
        <f>RTD("money.excel",,"2031","Price")</f>
        <v>52.4</v>
      </c>
      <c r="Y452" s="66"/>
      <c r="Z452" s="15">
        <f t="shared" si="102"/>
        <v>52.4</v>
      </c>
      <c r="AA452" s="3" t="e">
        <f t="shared" si="103"/>
        <v>#DIV/0!</v>
      </c>
      <c r="AB452" s="344">
        <f>IFERROR(VLOOKUP($G452,基本資料!$A:$M,11,0),"無")</f>
        <v>-38.69</v>
      </c>
      <c r="AC452" s="397">
        <f>IFERROR(VLOOKUP($G452,基本資料!$A:$M,12,0),"無")</f>
        <v>28.75</v>
      </c>
      <c r="AD452" s="22" t="s">
        <v>3947</v>
      </c>
      <c r="AG452" s="33">
        <f t="shared" si="104"/>
        <v>0</v>
      </c>
      <c r="AH452" s="43" t="s">
        <v>3948</v>
      </c>
      <c r="AI452" s="63">
        <f t="shared" si="100"/>
        <v>3.9127997508564313E-2</v>
      </c>
      <c r="AJ452" s="284">
        <f>RTD("money.excel",,$G452,"PredictVolume")</f>
        <v>12564</v>
      </c>
      <c r="AK452" s="399">
        <f>IFERROR(VLOOKUP($G452,基本資料!$A:$M,13,0),"無")</f>
        <v>28.97</v>
      </c>
    </row>
    <row r="453" spans="1:37">
      <c r="A453" s="347">
        <f>IFERROR(VLOOKUP($G453,基本資料!$A:$J,3,0),"無")</f>
        <v>13.05</v>
      </c>
      <c r="B453" s="79">
        <f>IFERROR(VLOOKUP($G453,基本資料!$A:$J,4,0),"無")</f>
        <v>119</v>
      </c>
      <c r="C453" s="79">
        <f>IFERROR(VLOOKUP($G453,基本資料!$A:$J,5,0),"無")</f>
        <v>114</v>
      </c>
      <c r="D453" s="79">
        <f>IFERROR(VLOOKUP($G453,基本資料!$A:$J,6,0),"無")</f>
        <v>-28</v>
      </c>
      <c r="E453" s="79">
        <f>IFERROR(VLOOKUP($G453,基本資料!$A:$J,7,0),"無")</f>
        <v>7</v>
      </c>
      <c r="F453" s="6">
        <f>IFERROR(VLOOKUP($G453,基本資料!$A:$J,8,0),"無")</f>
        <v>5.45</v>
      </c>
      <c r="G453" s="79">
        <v>2032</v>
      </c>
      <c r="H453" s="8" t="s">
        <v>299</v>
      </c>
      <c r="I453" s="22" t="s">
        <v>3949</v>
      </c>
      <c r="J453" s="8">
        <f>IFERROR(VLOOKUP($G453,今日總結!$A:$AJ,35,0),"")</f>
        <v>4</v>
      </c>
      <c r="K453" s="5" t="str">
        <f>IFERROR(VLOOKUP($G453,今日總結!$A:$AJ,36,0),"")</f>
        <v>融</v>
      </c>
      <c r="L453" s="156">
        <f>IFERROR(VLOOKUP($G453,今日總結!$A:$AJ,33,0),"")</f>
        <v>1</v>
      </c>
      <c r="M453" s="340">
        <f>IFERROR(VLOOKUP($G453,今日總結!$A:$AJ,34,0),"")</f>
        <v>1</v>
      </c>
      <c r="N453" s="240">
        <f t="shared" si="101"/>
        <v>0</v>
      </c>
      <c r="P453" s="365">
        <f>IFERROR(VLOOKUP($G453,融外自投!$A:$J,7,0),"無")</f>
        <v>440</v>
      </c>
      <c r="Q453" s="79">
        <f>IFERROR(VLOOKUP($G453,融外自投!$A:$J,9,0),"無")</f>
        <v>734</v>
      </c>
      <c r="R453" s="346">
        <f>IFERROR(VLOOKUP($G453,融外自投!$A:$J,8,0),"無")</f>
        <v>1212</v>
      </c>
      <c r="S453" s="81" t="str">
        <f>IFERROR(VLOOKUP($G453,融外自投!$A:$J,10,0),"無")</f>
        <v>無</v>
      </c>
      <c r="T453" s="327">
        <f>IFERROR(VLOOKUP($G453,'321買'!$A:$E,5,0),"'沒有資料'")</f>
        <v>558</v>
      </c>
      <c r="U453" s="186">
        <f>IFERROR(VLOOKUP($G453,基本資料!$A:$J,9,0),"無")</f>
        <v>1.18</v>
      </c>
      <c r="V453" s="310">
        <f t="shared" si="96"/>
        <v>4.4952380952380952E-2</v>
      </c>
      <c r="W453" s="94">
        <f>IFERROR(VLOOKUP($G453,基本資料!$A:$J,10,0),"無")</f>
        <v>1.28</v>
      </c>
      <c r="X453" s="36">
        <f>RTD("money.excel",,"2032","Price")</f>
        <v>26.25</v>
      </c>
      <c r="Y453" s="66"/>
      <c r="Z453" s="15">
        <f t="shared" si="102"/>
        <v>26.25</v>
      </c>
      <c r="AA453" s="3" t="e">
        <f t="shared" si="103"/>
        <v>#DIV/0!</v>
      </c>
      <c r="AB453" s="344">
        <f>IFERROR(VLOOKUP($G453,基本資料!$A:$M,11,0),"無")</f>
        <v>-42.37</v>
      </c>
      <c r="AC453" s="397">
        <f>IFERROR(VLOOKUP($G453,基本資料!$A:$M,12,0),"無")</f>
        <v>23.21</v>
      </c>
      <c r="AD453" s="22" t="s">
        <v>3949</v>
      </c>
      <c r="AG453" s="33">
        <f t="shared" si="104"/>
        <v>0</v>
      </c>
      <c r="AH453" s="43" t="s">
        <v>3950</v>
      </c>
      <c r="AI453" s="63">
        <f t="shared" si="100"/>
        <v>9.1724137931034483E-3</v>
      </c>
      <c r="AJ453" s="284">
        <f>RTD("money.excel",,$G453,"PredictVolume")</f>
        <v>1197</v>
      </c>
      <c r="AK453" s="399">
        <f>IFERROR(VLOOKUP($G453,基本資料!$A:$M,13,0),"無")</f>
        <v>42.25</v>
      </c>
    </row>
    <row r="454" spans="1:37">
      <c r="A454" s="347">
        <f>IFERROR(VLOOKUP($G454,基本資料!$A:$J,3,0),"無")</f>
        <v>8.06</v>
      </c>
      <c r="B454" s="79">
        <f>IFERROR(VLOOKUP($G454,基本資料!$A:$J,4,0),"無")</f>
        <v>-25</v>
      </c>
      <c r="C454" s="79">
        <f>IFERROR(VLOOKUP($G454,基本資料!$A:$J,5,0),"無")</f>
        <v>-32</v>
      </c>
      <c r="D454" s="79">
        <f>IFERROR(VLOOKUP($G454,基本資料!$A:$J,6,0),"無")</f>
        <v>-30</v>
      </c>
      <c r="E454" s="79">
        <f>IFERROR(VLOOKUP($G454,基本資料!$A:$J,7,0),"無")</f>
        <v>4</v>
      </c>
      <c r="F454" s="6">
        <f>IFERROR(VLOOKUP($G454,基本資料!$A:$J,8,0),"無")</f>
        <v>1.7</v>
      </c>
      <c r="G454" s="79">
        <v>2033</v>
      </c>
      <c r="H454" s="8" t="s">
        <v>299</v>
      </c>
      <c r="I454" s="22" t="s">
        <v>3951</v>
      </c>
      <c r="J454" s="8" t="str">
        <f>IFERROR(VLOOKUP($G454,今日總結!$A:$AJ,35,0),"")</f>
        <v/>
      </c>
      <c r="K454" s="5" t="str">
        <f>IFERROR(VLOOKUP($G454,今日總結!$A:$AJ,36,0),"")</f>
        <v/>
      </c>
      <c r="L454" s="156" t="str">
        <f>IFERROR(VLOOKUP($G454,今日總結!$A:$AJ,33,0),"")</f>
        <v/>
      </c>
      <c r="M454" s="340" t="str">
        <f>IFERROR(VLOOKUP($G454,今日總結!$A:$AJ,34,0),"")</f>
        <v/>
      </c>
      <c r="N454" s="240" t="str">
        <f t="shared" ref="N454:N477" si="105">IFERROR(L454-M454,"")</f>
        <v/>
      </c>
      <c r="P454" s="365">
        <f>IFERROR(VLOOKUP($G454,融外自投!$A:$J,7,0),"無")</f>
        <v>563</v>
      </c>
      <c r="Q454" s="79">
        <f>IFERROR(VLOOKUP($G454,融外自投!$A:$J,9,0),"無")</f>
        <v>708</v>
      </c>
      <c r="R454" s="346">
        <f>IFERROR(VLOOKUP($G454,融外自投!$A:$J,8,0),"無")</f>
        <v>1399</v>
      </c>
      <c r="S454" s="81" t="str">
        <f>IFERROR(VLOOKUP($G454,融外自投!$A:$J,10,0),"無")</f>
        <v>無</v>
      </c>
      <c r="T454" s="327">
        <f>IFERROR(VLOOKUP($G454,'321買'!$A:$E,5,0),"'沒有資料'")</f>
        <v>752</v>
      </c>
      <c r="U454" s="186">
        <f>IFERROR(VLOOKUP($G454,基本資料!$A:$J,9,0),"無")</f>
        <v>0.2</v>
      </c>
      <c r="V454" s="310">
        <f t="shared" si="96"/>
        <v>1.0230179028132993E-2</v>
      </c>
      <c r="W454" s="94">
        <f>IFERROR(VLOOKUP($G454,基本資料!$A:$J,10,0),"無")</f>
        <v>0.18</v>
      </c>
      <c r="X454" s="36">
        <f>RTD("money.excel",,"2033","Price")</f>
        <v>19.55</v>
      </c>
      <c r="Y454" s="66"/>
      <c r="Z454" s="15">
        <f t="shared" si="102"/>
        <v>19.55</v>
      </c>
      <c r="AA454" s="3" t="e">
        <f t="shared" si="103"/>
        <v>#DIV/0!</v>
      </c>
      <c r="AB454" s="344">
        <f>IFERROR(VLOOKUP($G454,基本資料!$A:$M,11,0),"無")</f>
        <v>-37.58</v>
      </c>
      <c r="AC454" s="397">
        <f>IFERROR(VLOOKUP($G454,基本資料!$A:$M,12,0),"無")</f>
        <v>29.81</v>
      </c>
      <c r="AD454" s="22" t="s">
        <v>3951</v>
      </c>
      <c r="AG454" s="33">
        <f t="shared" si="104"/>
        <v>0</v>
      </c>
      <c r="AH454" s="43" t="s">
        <v>3952</v>
      </c>
      <c r="AI454" s="63">
        <f t="shared" si="100"/>
        <v>3.8585607940446651E-3</v>
      </c>
      <c r="AJ454" s="284">
        <f>RTD("money.excel",,$G454,"PredictVolume")</f>
        <v>311</v>
      </c>
      <c r="AK454" s="399">
        <f>IFERROR(VLOOKUP($G454,基本資料!$A:$M,13,0),"無")</f>
        <v>48.24</v>
      </c>
    </row>
    <row r="455" spans="1:37">
      <c r="A455" s="347">
        <f>IFERROR(VLOOKUP($G455,基本資料!$A:$J,3,0),"無")</f>
        <v>44.53</v>
      </c>
      <c r="B455" s="79">
        <f>IFERROR(VLOOKUP($G455,基本資料!$A:$J,4,0),"無")</f>
        <v>197</v>
      </c>
      <c r="C455" s="79">
        <f>IFERROR(VLOOKUP($G455,基本資料!$A:$J,5,0),"無")</f>
        <v>199</v>
      </c>
      <c r="D455" s="79">
        <f>IFERROR(VLOOKUP($G455,基本資料!$A:$J,6,0),"無")</f>
        <v>19</v>
      </c>
      <c r="E455" s="79">
        <f>IFERROR(VLOOKUP($G455,基本資料!$A:$J,7,0),"無")</f>
        <v>33</v>
      </c>
      <c r="F455" s="6">
        <f>IFERROR(VLOOKUP($G455,基本資料!$A:$J,8,0),"無")</f>
        <v>7.81</v>
      </c>
      <c r="G455" s="79">
        <v>2034</v>
      </c>
      <c r="H455" s="8" t="s">
        <v>299</v>
      </c>
      <c r="I455" s="22" t="s">
        <v>3953</v>
      </c>
      <c r="J455" s="8">
        <f>IFERROR(VLOOKUP($G455,今日總結!$A:$AJ,35,0),"")</f>
        <v>0</v>
      </c>
      <c r="K455" s="5" t="str">
        <f>IFERROR(VLOOKUP($G455,今日總結!$A:$AJ,36,0),"")</f>
        <v>6借</v>
      </c>
      <c r="L455" s="156">
        <f>IFERROR(VLOOKUP($G455,今日總結!$A:$AJ,33,0),"")</f>
        <v>0</v>
      </c>
      <c r="M455" s="340">
        <f>IFERROR(VLOOKUP($G455,今日總結!$A:$AJ,34,0),"")</f>
        <v>3</v>
      </c>
      <c r="N455" s="240">
        <f t="shared" si="105"/>
        <v>-3</v>
      </c>
      <c r="P455" s="365">
        <f>IFERROR(VLOOKUP($G455,融外自投!$A:$J,7,0),"無")</f>
        <v>542</v>
      </c>
      <c r="Q455" s="79">
        <f>IFERROR(VLOOKUP($G455,融外自投!$A:$J,9,0),"無")</f>
        <v>896</v>
      </c>
      <c r="R455" s="346">
        <f>IFERROR(VLOOKUP($G455,融外自投!$A:$J,8,0),"無")</f>
        <v>548</v>
      </c>
      <c r="S455" s="81">
        <f>IFERROR(VLOOKUP($G455,融外自投!$A:$J,10,0),"無")</f>
        <v>201</v>
      </c>
      <c r="T455" s="327">
        <f>IFERROR(VLOOKUP($G455,'321買'!$A:$E,5,0),"'沒有資料'")</f>
        <v>430</v>
      </c>
      <c r="U455" s="186">
        <f>IFERROR(VLOOKUP($G455,基本資料!$A:$J,9,0),"無")</f>
        <v>1.5</v>
      </c>
      <c r="V455" s="310">
        <f t="shared" si="96"/>
        <v>4.9019607843137254E-2</v>
      </c>
      <c r="W455" s="94">
        <f>IFERROR(VLOOKUP($G455,基本資料!$A:$J,10,0),"無")</f>
        <v>2.86</v>
      </c>
      <c r="X455" s="36">
        <f>RTD("money.excel",,"2034","Price")</f>
        <v>30.6</v>
      </c>
      <c r="Y455" s="66"/>
      <c r="Z455" s="15">
        <f t="shared" si="102"/>
        <v>30.6</v>
      </c>
      <c r="AA455" s="3" t="e">
        <f t="shared" si="103"/>
        <v>#DIV/0!</v>
      </c>
      <c r="AB455" s="344">
        <f>IFERROR(VLOOKUP($G455,基本資料!$A:$M,11,0),"無")</f>
        <v>-35.409999999999997</v>
      </c>
      <c r="AC455" s="397">
        <f>IFERROR(VLOOKUP($G455,基本資料!$A:$M,12,0),"無")</f>
        <v>23.37</v>
      </c>
      <c r="AD455" s="22" t="s">
        <v>3953</v>
      </c>
      <c r="AG455" s="33">
        <f t="shared" si="104"/>
        <v>0</v>
      </c>
      <c r="AH455" s="117" t="s">
        <v>3261</v>
      </c>
      <c r="AI455" s="63">
        <f t="shared" si="100"/>
        <v>3.9591286772962045E-3</v>
      </c>
      <c r="AJ455" s="284">
        <f>RTD("money.excel",,$G455,"PredictVolume")</f>
        <v>1763</v>
      </c>
      <c r="AK455" s="399">
        <f>IFERROR(VLOOKUP($G455,基本資料!$A:$M,13,0),"無")</f>
        <v>31.91</v>
      </c>
    </row>
    <row r="456" spans="1:37">
      <c r="A456" s="347">
        <f>IFERROR(VLOOKUP($G456,基本資料!$A:$J,3,0),"無")</f>
        <v>35</v>
      </c>
      <c r="B456" s="79">
        <f>IFERROR(VLOOKUP($G456,基本資料!$A:$J,4,0),"無")</f>
        <v>338</v>
      </c>
      <c r="C456" s="79">
        <f>IFERROR(VLOOKUP($G456,基本資料!$A:$J,5,0),"無")</f>
        <v>307</v>
      </c>
      <c r="D456" s="79">
        <f>IFERROR(VLOOKUP($G456,基本資料!$A:$J,6,0),"無")</f>
        <v>-9</v>
      </c>
      <c r="E456" s="79">
        <f>IFERROR(VLOOKUP($G456,基本資料!$A:$J,7,0),"無")</f>
        <v>22</v>
      </c>
      <c r="F456" s="6">
        <f>IFERROR(VLOOKUP($G456,基本資料!$A:$J,8,0),"無")</f>
        <v>9.58</v>
      </c>
      <c r="G456" s="79">
        <v>2035</v>
      </c>
      <c r="H456" s="8" t="s">
        <v>299</v>
      </c>
      <c r="I456" s="16" t="s">
        <v>3954</v>
      </c>
      <c r="J456" s="8" t="str">
        <f>IFERROR(VLOOKUP($G456,今日總結!$A:$AJ,35,0),"")</f>
        <v/>
      </c>
      <c r="K456" s="5" t="str">
        <f>IFERROR(VLOOKUP($G456,今日總結!$A:$AJ,36,0),"")</f>
        <v/>
      </c>
      <c r="L456" s="156" t="str">
        <f>IFERROR(VLOOKUP($G456,今日總結!$A:$AJ,33,0),"")</f>
        <v/>
      </c>
      <c r="M456" s="340" t="str">
        <f>IFERROR(VLOOKUP($G456,今日總結!$A:$AJ,34,0),"")</f>
        <v/>
      </c>
      <c r="N456" s="240" t="str">
        <f t="shared" si="105"/>
        <v/>
      </c>
      <c r="P456" s="365">
        <f>IFERROR(VLOOKUP($G456,融外自投!$A:$J,7,0),"無")</f>
        <v>1281</v>
      </c>
      <c r="Q456" s="79">
        <f>IFERROR(VLOOKUP($G456,融外自投!$A:$J,9,0),"無")</f>
        <v>1110</v>
      </c>
      <c r="R456" s="346">
        <f>IFERROR(VLOOKUP($G456,融外自投!$A:$J,8,0),"無")</f>
        <v>1457</v>
      </c>
      <c r="S456" s="81" t="str">
        <f>IFERROR(VLOOKUP($G456,融外自投!$A:$J,10,0),"無")</f>
        <v>無</v>
      </c>
      <c r="T456" s="327">
        <f>IFERROR(VLOOKUP($G456,'321買'!$A:$E,5,0),"'沒有資料'")</f>
        <v>1259</v>
      </c>
      <c r="U456" s="186">
        <f>IFERROR(VLOOKUP($G456,基本資料!$A:$J,9,0),"無")</f>
        <v>0</v>
      </c>
      <c r="V456" s="310">
        <f t="shared" si="96"/>
        <v>0</v>
      </c>
      <c r="W456" s="94">
        <f>IFERROR(VLOOKUP($G456,基本資料!$A:$J,10,0),"無")</f>
        <v>4.53</v>
      </c>
      <c r="X456" s="36">
        <f>RTD("money.excel",,"2035","Price")</f>
        <v>33.25</v>
      </c>
      <c r="Y456" s="66"/>
      <c r="Z456" s="15">
        <f t="shared" si="102"/>
        <v>33.25</v>
      </c>
      <c r="AA456" s="3" t="e">
        <f t="shared" si="103"/>
        <v>#DIV/0!</v>
      </c>
      <c r="AB456" s="344">
        <f>IFERROR(VLOOKUP($G456,基本資料!$A:$M,11,0),"無")</f>
        <v>-33.99</v>
      </c>
      <c r="AC456" s="397">
        <f>IFERROR(VLOOKUP($G456,基本資料!$A:$M,12,0),"無")</f>
        <v>13.13</v>
      </c>
      <c r="AD456" s="16" t="s">
        <v>3954</v>
      </c>
      <c r="AG456" s="33">
        <f t="shared" si="104"/>
        <v>0</v>
      </c>
      <c r="AH456" s="43" t="s">
        <v>3955</v>
      </c>
      <c r="AI456" s="63">
        <f t="shared" si="100"/>
        <v>1.3999999999999999E-4</v>
      </c>
      <c r="AJ456" s="284">
        <f>RTD("money.excel",,$G456,"PredictVolume")</f>
        <v>49</v>
      </c>
      <c r="AK456" s="399">
        <f>IFERROR(VLOOKUP($G456,基本資料!$A:$M,13,0),"無")</f>
        <v>1.22</v>
      </c>
    </row>
    <row r="457" spans="1:37">
      <c r="A457" s="347">
        <f>IFERROR(VLOOKUP($G457,基本資料!$A:$J,3,0),"無")</f>
        <v>18.12</v>
      </c>
      <c r="B457" s="79">
        <f>IFERROR(VLOOKUP($G457,基本資料!$A:$J,4,0),"無")</f>
        <v>196</v>
      </c>
      <c r="C457" s="79">
        <f>IFERROR(VLOOKUP($G457,基本資料!$A:$J,5,0),"無")</f>
        <v>190</v>
      </c>
      <c r="D457" s="79">
        <f>IFERROR(VLOOKUP($G457,基本資料!$A:$J,6,0),"無")</f>
        <v>38</v>
      </c>
      <c r="E457" s="79">
        <f>IFERROR(VLOOKUP($G457,基本資料!$A:$J,7,0),"無")</f>
        <v>10</v>
      </c>
      <c r="F457" s="6">
        <f>IFERROR(VLOOKUP($G457,基本資料!$A:$J,8,0),"無")</f>
        <v>5.09</v>
      </c>
      <c r="G457" s="79">
        <v>2038</v>
      </c>
      <c r="H457" s="8" t="s">
        <v>299</v>
      </c>
      <c r="I457" s="22" t="s">
        <v>3956</v>
      </c>
      <c r="J457" s="8" t="str">
        <f>IFERROR(VLOOKUP($G457,今日總結!$A:$AJ,35,0),"")</f>
        <v/>
      </c>
      <c r="K457" s="5" t="str">
        <f>IFERROR(VLOOKUP($G457,今日總結!$A:$AJ,36,0),"")</f>
        <v/>
      </c>
      <c r="L457" s="156" t="str">
        <f>IFERROR(VLOOKUP($G457,今日總結!$A:$AJ,33,0),"")</f>
        <v/>
      </c>
      <c r="M457" s="340" t="str">
        <f>IFERROR(VLOOKUP($G457,今日總結!$A:$AJ,34,0),"")</f>
        <v/>
      </c>
      <c r="N457" s="240" t="str">
        <f t="shared" si="105"/>
        <v/>
      </c>
      <c r="P457" s="365">
        <f>IFERROR(VLOOKUP($G457,融外自投!$A:$J,7,0),"無")</f>
        <v>224</v>
      </c>
      <c r="Q457" s="79">
        <f>IFERROR(VLOOKUP($G457,融外自投!$A:$J,9,0),"無")</f>
        <v>379</v>
      </c>
      <c r="R457" s="346">
        <f>IFERROR(VLOOKUP($G457,融外自投!$A:$J,8,0),"無")</f>
        <v>1187</v>
      </c>
      <c r="S457" s="81" t="str">
        <f>IFERROR(VLOOKUP($G457,融外自投!$A:$J,10,0),"無")</f>
        <v>無</v>
      </c>
      <c r="T457" s="327">
        <f>IFERROR(VLOOKUP($G457,'321買'!$A:$E,5,0),"'沒有資料'")</f>
        <v>217</v>
      </c>
      <c r="U457" s="186">
        <f>IFERROR(VLOOKUP($G457,基本資料!$A:$J,9,0),"無")</f>
        <v>1.5</v>
      </c>
      <c r="V457" s="310">
        <f t="shared" si="96"/>
        <v>5.7581573896353162E-2</v>
      </c>
      <c r="W457" s="94">
        <f>IFERROR(VLOOKUP($G457,基本資料!$A:$J,10,0),"無")</f>
        <v>2.54</v>
      </c>
      <c r="X457" s="36">
        <f>RTD("money.excel",,"2038","Price")</f>
        <v>26.05</v>
      </c>
      <c r="Y457" s="66"/>
      <c r="Z457" s="15">
        <f t="shared" si="102"/>
        <v>26.05</v>
      </c>
      <c r="AA457" s="3" t="e">
        <f t="shared" si="103"/>
        <v>#DIV/0!</v>
      </c>
      <c r="AB457" s="344">
        <f>IFERROR(VLOOKUP($G457,基本資料!$A:$M,11,0),"無")</f>
        <v>-61.62</v>
      </c>
      <c r="AC457" s="397">
        <f>IFERROR(VLOOKUP($G457,基本資料!$A:$M,12,0),"無")</f>
        <v>19.45</v>
      </c>
      <c r="AD457" s="22" t="s">
        <v>3956</v>
      </c>
      <c r="AG457" s="33">
        <f t="shared" si="104"/>
        <v>0</v>
      </c>
      <c r="AH457" s="43" t="s">
        <v>2660</v>
      </c>
      <c r="AI457" s="63">
        <f t="shared" si="100"/>
        <v>3.8410596026490066E-3</v>
      </c>
      <c r="AJ457" s="284">
        <f>RTD("money.excel",,$G457,"PredictVolume")</f>
        <v>696</v>
      </c>
      <c r="AK457" s="399">
        <f>IFERROR(VLOOKUP($G457,基本資料!$A:$M,13,0),"無")</f>
        <v>66</v>
      </c>
    </row>
    <row r="458" spans="1:37">
      <c r="A458" s="347">
        <f>IFERROR(VLOOKUP($G458,基本資料!$A:$J,3,0),"無")</f>
        <v>4.5</v>
      </c>
      <c r="B458" s="79">
        <f>IFERROR(VLOOKUP($G458,基本資料!$A:$J,4,0),"無")</f>
        <v>39</v>
      </c>
      <c r="C458" s="79">
        <f>IFERROR(VLOOKUP($G458,基本資料!$A:$J,5,0),"無")</f>
        <v>41</v>
      </c>
      <c r="D458" s="79">
        <f>IFERROR(VLOOKUP($G458,基本資料!$A:$J,6,0),"無")</f>
        <v>14</v>
      </c>
      <c r="E458" s="79">
        <f>IFERROR(VLOOKUP($G458,基本資料!$A:$J,7,0),"無")</f>
        <v>37</v>
      </c>
      <c r="F458" s="6">
        <f>IFERROR(VLOOKUP($G458,基本資料!$A:$J,8,0),"無")</f>
        <v>14.07</v>
      </c>
      <c r="G458" s="79">
        <v>2063</v>
      </c>
      <c r="H458" s="8" t="s">
        <v>299</v>
      </c>
      <c r="I458" s="16" t="s">
        <v>3957</v>
      </c>
      <c r="J458" s="8">
        <f>IFERROR(VLOOKUP($G458,今日總結!$A:$AJ,35,0),"")</f>
        <v>0</v>
      </c>
      <c r="K458" s="5" t="str">
        <f>IFERROR(VLOOKUP($G458,今日總結!$A:$AJ,36,0),"")</f>
        <v>融</v>
      </c>
      <c r="L458" s="156">
        <f>IFERROR(VLOOKUP($G458,今日總結!$A:$AJ,33,0),"")</f>
        <v>0</v>
      </c>
      <c r="M458" s="340">
        <f>IFERROR(VLOOKUP($G458,今日總結!$A:$AJ,34,0),"")</f>
        <v>1</v>
      </c>
      <c r="N458" s="240">
        <f t="shared" si="105"/>
        <v>-1</v>
      </c>
      <c r="P458" s="365">
        <f>IFERROR(VLOOKUP($G458,融外自投!$A:$J,7,0),"無")</f>
        <v>1077</v>
      </c>
      <c r="Q458" s="79">
        <f>IFERROR(VLOOKUP($G458,融外自投!$A:$J,9,0),"無")</f>
        <v>896</v>
      </c>
      <c r="R458" s="346">
        <f>IFERROR(VLOOKUP($G458,融外自投!$A:$J,8,0),"無")</f>
        <v>1124</v>
      </c>
      <c r="S458" s="81" t="str">
        <f>IFERROR(VLOOKUP($G458,融外自投!$A:$J,10,0),"無")</f>
        <v>無</v>
      </c>
      <c r="T458" s="327">
        <f>IFERROR(VLOOKUP($G458,'321買'!$A:$E,5,0),"'沒有資料'")</f>
        <v>1038</v>
      </c>
      <c r="U458" s="186">
        <f>IFERROR(VLOOKUP($G458,基本資料!$A:$J,9,0),"無")</f>
        <v>3</v>
      </c>
      <c r="V458" s="310">
        <f t="shared" si="96"/>
        <v>8.5227272727272721E-2</v>
      </c>
      <c r="W458" s="94">
        <f>IFERROR(VLOOKUP($G458,基本資料!$A:$J,10,0),"無")</f>
        <v>3.31</v>
      </c>
      <c r="X458" s="36">
        <f>RTD("money.excel",,"2063","Price")</f>
        <v>35.200000000000003</v>
      </c>
      <c r="Y458" s="66"/>
      <c r="Z458" s="15">
        <f t="shared" si="102"/>
        <v>35.200000000000003</v>
      </c>
      <c r="AA458" s="3" t="e">
        <f t="shared" si="103"/>
        <v>#DIV/0!</v>
      </c>
      <c r="AB458" s="344">
        <f>IFERROR(VLOOKUP($G458,基本資料!$A:$M,11,0),"無")</f>
        <v>-12.13</v>
      </c>
      <c r="AC458" s="397">
        <f>IFERROR(VLOOKUP($G458,基本資料!$A:$M,12,0),"無")</f>
        <v>20.05</v>
      </c>
      <c r="AD458" s="16" t="s">
        <v>3957</v>
      </c>
      <c r="AG458" s="33">
        <f t="shared" si="104"/>
        <v>0</v>
      </c>
      <c r="AH458" s="43" t="s">
        <v>3958</v>
      </c>
      <c r="AI458" s="63">
        <f t="shared" si="100"/>
        <v>1.7111111111111112E-3</v>
      </c>
      <c r="AJ458" s="284">
        <f>RTD("money.excel",,$G458,"PredictVolume")</f>
        <v>77</v>
      </c>
      <c r="AK458" s="399">
        <f>IFERROR(VLOOKUP($G458,基本資料!$A:$M,13,0),"無")</f>
        <v>2.98</v>
      </c>
    </row>
    <row r="459" spans="1:37">
      <c r="A459" s="347">
        <f>IFERROR(VLOOKUP($G459,基本資料!$A:$J,3,0),"無")</f>
        <v>6.96</v>
      </c>
      <c r="B459" s="79">
        <f>IFERROR(VLOOKUP($G459,基本資料!$A:$J,4,0),"無")</f>
        <v>221</v>
      </c>
      <c r="C459" s="79">
        <f>IFERROR(VLOOKUP($G459,基本資料!$A:$J,5,0),"無")</f>
        <v>291</v>
      </c>
      <c r="D459" s="79">
        <f>IFERROR(VLOOKUP($G459,基本資料!$A:$J,6,0),"無")</f>
        <v>81</v>
      </c>
      <c r="E459" s="79">
        <f>IFERROR(VLOOKUP($G459,基本資料!$A:$J,7,0),"無")</f>
        <v>18</v>
      </c>
      <c r="F459" s="6">
        <f>IFERROR(VLOOKUP($G459,基本資料!$A:$J,8,0),"無")</f>
        <v>5.48</v>
      </c>
      <c r="G459" s="79">
        <v>2064</v>
      </c>
      <c r="H459" s="8" t="s">
        <v>299</v>
      </c>
      <c r="I459" s="16" t="s">
        <v>3959</v>
      </c>
      <c r="J459" s="8" t="str">
        <f>IFERROR(VLOOKUP($G459,今日總結!$A:$AJ,35,0),"")</f>
        <v>主</v>
      </c>
      <c r="K459" s="5">
        <f>IFERROR(VLOOKUP($G459,今日總結!$A:$AJ,36,0),"")</f>
        <v>0</v>
      </c>
      <c r="L459" s="156">
        <f>IFERROR(VLOOKUP($G459,今日總結!$A:$AJ,33,0),"")</f>
        <v>1</v>
      </c>
      <c r="M459" s="340">
        <f>IFERROR(VLOOKUP($G459,今日總結!$A:$AJ,34,0),"")</f>
        <v>0</v>
      </c>
      <c r="N459" s="240">
        <f t="shared" si="105"/>
        <v>1</v>
      </c>
      <c r="P459" s="365">
        <f>IFERROR(VLOOKUP($G459,融外自投!$A:$J,7,0),"無")</f>
        <v>818</v>
      </c>
      <c r="Q459" s="79" t="str">
        <f>IFERROR(VLOOKUP($G459,融外自投!$A:$J,9,0),"無")</f>
        <v>無</v>
      </c>
      <c r="R459" s="346">
        <f>IFERROR(VLOOKUP($G459,融外自投!$A:$J,8,0),"無")</f>
        <v>1373</v>
      </c>
      <c r="S459" s="81" t="str">
        <f>IFERROR(VLOOKUP($G459,融外自投!$A:$J,10,0),"無")</f>
        <v>無</v>
      </c>
      <c r="T459" s="327">
        <f>IFERROR(VLOOKUP($G459,'321買'!$A:$E,5,0),"'沒有資料'")</f>
        <v>1007</v>
      </c>
      <c r="U459" s="186">
        <f>IFERROR(VLOOKUP($G459,基本資料!$A:$J,9,0),"無")</f>
        <v>1</v>
      </c>
      <c r="V459" s="310">
        <f t="shared" si="96"/>
        <v>4.6082949308755762E-2</v>
      </c>
      <c r="W459" s="94">
        <f>IFERROR(VLOOKUP($G459,基本資料!$A:$J,10,0),"無")</f>
        <v>1.81</v>
      </c>
      <c r="X459" s="36">
        <f>RTD("money.excel",,"2064","Price")</f>
        <v>21.7</v>
      </c>
      <c r="Y459" s="66"/>
      <c r="Z459" s="15">
        <f t="shared" si="102"/>
        <v>21.7</v>
      </c>
      <c r="AA459" s="3" t="e">
        <f t="shared" si="103"/>
        <v>#DIV/0!</v>
      </c>
      <c r="AB459" s="344">
        <f>IFERROR(VLOOKUP($G459,基本資料!$A:$M,11,0),"無")</f>
        <v>-33.090000000000003</v>
      </c>
      <c r="AC459" s="397">
        <f>IFERROR(VLOOKUP($G459,基本資料!$A:$M,12,0),"無")</f>
        <v>33.44</v>
      </c>
      <c r="AD459" s="16" t="s">
        <v>3959</v>
      </c>
      <c r="AG459" s="33">
        <f t="shared" si="104"/>
        <v>0</v>
      </c>
      <c r="AH459" s="43" t="s">
        <v>3960</v>
      </c>
      <c r="AI459" s="63">
        <f t="shared" si="100"/>
        <v>4.1666666666666666E-3</v>
      </c>
      <c r="AJ459" s="284">
        <f>RTD("money.excel",,$G459,"PredictVolume")</f>
        <v>290</v>
      </c>
      <c r="AK459" s="399">
        <f>IFERROR(VLOOKUP($G459,基本資料!$A:$M,13,0),"無")</f>
        <v>23.68</v>
      </c>
    </row>
    <row r="460" spans="1:37">
      <c r="A460" s="347">
        <f>IFERROR(VLOOKUP($G460,基本資料!$A:$J,3,0),"無")</f>
        <v>5.43</v>
      </c>
      <c r="B460" s="79">
        <f>IFERROR(VLOOKUP($G460,基本資料!$A:$J,4,0),"無")</f>
        <v>81</v>
      </c>
      <c r="C460" s="79">
        <f>IFERROR(VLOOKUP($G460,基本資料!$A:$J,5,0),"無")</f>
        <v>72</v>
      </c>
      <c r="D460" s="79">
        <f>IFERROR(VLOOKUP($G460,基本資料!$A:$J,6,0),"無")</f>
        <v>-3</v>
      </c>
      <c r="E460" s="79">
        <f>IFERROR(VLOOKUP($G460,基本資料!$A:$J,7,0),"無")</f>
        <v>-9</v>
      </c>
      <c r="F460" s="6">
        <f>IFERROR(VLOOKUP($G460,基本資料!$A:$J,8,0),"無")</f>
        <v>12.2</v>
      </c>
      <c r="G460" s="79">
        <v>2065</v>
      </c>
      <c r="H460" s="8" t="s">
        <v>299</v>
      </c>
      <c r="I460" s="16" t="s">
        <v>3962</v>
      </c>
      <c r="J460" s="8">
        <f>IFERROR(VLOOKUP($G460,今日總結!$A:$AJ,35,0),"")</f>
        <v>0</v>
      </c>
      <c r="K460" s="5" t="str">
        <f>IFERROR(VLOOKUP($G460,今日總結!$A:$AJ,36,0),"")</f>
        <v>自</v>
      </c>
      <c r="L460" s="156">
        <f>IFERROR(VLOOKUP($G460,今日總結!$A:$AJ,33,0),"")</f>
        <v>0</v>
      </c>
      <c r="M460" s="340">
        <f>IFERROR(VLOOKUP($G460,今日總結!$A:$AJ,34,0),"")</f>
        <v>1</v>
      </c>
      <c r="N460" s="240">
        <f t="shared" si="105"/>
        <v>-1</v>
      </c>
      <c r="P460" s="365">
        <f>IFERROR(VLOOKUP($G460,融外自投!$A:$J,7,0),"無")</f>
        <v>1196</v>
      </c>
      <c r="Q460" s="79" t="str">
        <f>IFERROR(VLOOKUP($G460,融外自投!$A:$J,9,0),"無")</f>
        <v>無</v>
      </c>
      <c r="R460" s="346">
        <f>IFERROR(VLOOKUP($G460,融外自投!$A:$J,8,0),"無")</f>
        <v>1082</v>
      </c>
      <c r="S460" s="81" t="str">
        <f>IFERROR(VLOOKUP($G460,融外自投!$A:$J,10,0),"無")</f>
        <v>無</v>
      </c>
      <c r="T460" s="327">
        <f>IFERROR(VLOOKUP($G460,'321買'!$A:$E,5,0),"'沒有資料'")</f>
        <v>802</v>
      </c>
      <c r="U460" s="186">
        <f>IFERROR(VLOOKUP($G460,基本資料!$A:$J,9,0),"無")</f>
        <v>5.14</v>
      </c>
      <c r="V460" s="310">
        <f t="shared" si="96"/>
        <v>0.10971184631803628</v>
      </c>
      <c r="W460" s="94">
        <f>IFERROR(VLOOKUP($G460,基本資料!$A:$J,10,0),"無")</f>
        <v>5.42</v>
      </c>
      <c r="X460" s="36">
        <f>RTD("money.excel",,"2065","Price")</f>
        <v>46.85</v>
      </c>
      <c r="Y460" s="66"/>
      <c r="Z460" s="15">
        <f t="shared" si="102"/>
        <v>46.85</v>
      </c>
      <c r="AA460" s="3" t="e">
        <f t="shared" si="103"/>
        <v>#DIV/0!</v>
      </c>
      <c r="AB460" s="344">
        <f>IFERROR(VLOOKUP($G460,基本資料!$A:$M,11,0),"無")</f>
        <v>-16.399999999999999</v>
      </c>
      <c r="AC460" s="397">
        <f>IFERROR(VLOOKUP($G460,基本資料!$A:$M,12,0),"無")</f>
        <v>19.39</v>
      </c>
      <c r="AD460" s="16" t="s">
        <v>3962</v>
      </c>
      <c r="AG460" s="33">
        <f t="shared" si="104"/>
        <v>0</v>
      </c>
      <c r="AH460" s="43" t="s">
        <v>3958</v>
      </c>
      <c r="AI460" s="63">
        <f t="shared" si="100"/>
        <v>4.2357274401473295E-4</v>
      </c>
      <c r="AJ460" s="284">
        <f>RTD("money.excel",,$G460,"PredictVolume")</f>
        <v>23</v>
      </c>
      <c r="AK460" s="399">
        <f>IFERROR(VLOOKUP($G460,基本資料!$A:$M,13,0),"無")</f>
        <v>7.05</v>
      </c>
    </row>
    <row r="461" spans="1:37">
      <c r="A461" s="347">
        <f>IFERROR(VLOOKUP($G461,基本資料!$A:$J,3,0),"無")</f>
        <v>16.63</v>
      </c>
      <c r="B461" s="79">
        <f>IFERROR(VLOOKUP($G461,基本資料!$A:$J,4,0),"無")</f>
        <v>1744</v>
      </c>
      <c r="C461" s="79">
        <f>IFERROR(VLOOKUP($G461,基本資料!$A:$J,5,0),"無")</f>
        <v>762</v>
      </c>
      <c r="D461" s="79">
        <f>IFERROR(VLOOKUP($G461,基本資料!$A:$J,6,0),"無")</f>
        <v>7</v>
      </c>
      <c r="E461" s="79">
        <f>IFERROR(VLOOKUP($G461,基本資料!$A:$J,7,0),"無")</f>
        <v>40</v>
      </c>
      <c r="F461" s="6">
        <f>IFERROR(VLOOKUP($G461,基本資料!$A:$J,8,0),"無")</f>
        <v>6.72</v>
      </c>
      <c r="G461" s="79">
        <v>2069</v>
      </c>
      <c r="H461" s="8" t="s">
        <v>299</v>
      </c>
      <c r="I461" s="22" t="s">
        <v>3963</v>
      </c>
      <c r="J461" s="8" t="str">
        <f>IFERROR(VLOOKUP($G461,今日總結!$A:$AJ,35,0),"")</f>
        <v/>
      </c>
      <c r="K461" s="5" t="str">
        <f>IFERROR(VLOOKUP($G461,今日總結!$A:$AJ,36,0),"")</f>
        <v/>
      </c>
      <c r="L461" s="156" t="str">
        <f>IFERROR(VLOOKUP($G461,今日總結!$A:$AJ,33,0),"")</f>
        <v/>
      </c>
      <c r="M461" s="340" t="str">
        <f>IFERROR(VLOOKUP($G461,今日總結!$A:$AJ,34,0),"")</f>
        <v/>
      </c>
      <c r="N461" s="240" t="str">
        <f t="shared" si="105"/>
        <v/>
      </c>
      <c r="P461" s="365">
        <f>IFERROR(VLOOKUP($G461,融外自投!$A:$J,7,0),"無")</f>
        <v>302</v>
      </c>
      <c r="Q461" s="79">
        <f>IFERROR(VLOOKUP($G461,融外自投!$A:$J,9,0),"無")</f>
        <v>614</v>
      </c>
      <c r="R461" s="346">
        <f>IFERROR(VLOOKUP($G461,融外自投!$A:$J,8,0),"無")</f>
        <v>1202</v>
      </c>
      <c r="S461" s="81" t="str">
        <f>IFERROR(VLOOKUP($G461,融外自投!$A:$J,10,0),"無")</f>
        <v>無</v>
      </c>
      <c r="T461" s="327">
        <f>IFERROR(VLOOKUP($G461,'321買'!$A:$E,5,0),"'沒有資料'")</f>
        <v>634</v>
      </c>
      <c r="U461" s="186">
        <f>IFERROR(VLOOKUP($G461,基本資料!$A:$J,9,0),"無")</f>
        <v>2.2000000000000002</v>
      </c>
      <c r="V461" s="310">
        <f t="shared" si="96"/>
        <v>8.1481481481481488E-2</v>
      </c>
      <c r="W461" s="94">
        <f>IFERROR(VLOOKUP($G461,基本資料!$A:$J,10,0),"無")</f>
        <v>4.7300000000000004</v>
      </c>
      <c r="X461" s="36">
        <f>RTD("money.excel",,"2069","Price")</f>
        <v>27</v>
      </c>
      <c r="Y461" s="66"/>
      <c r="Z461" s="15">
        <f t="shared" si="102"/>
        <v>27</v>
      </c>
      <c r="AA461" s="3" t="e">
        <f t="shared" si="103"/>
        <v>#DIV/0!</v>
      </c>
      <c r="AB461" s="344">
        <f>IFERROR(VLOOKUP($G461,基本資料!$A:$M,11,0),"無")</f>
        <v>-45.08</v>
      </c>
      <c r="AC461" s="397">
        <f>IFERROR(VLOOKUP($G461,基本資料!$A:$M,12,0),"無")</f>
        <v>18.93</v>
      </c>
      <c r="AD461" s="22" t="s">
        <v>3963</v>
      </c>
      <c r="AG461" s="33">
        <f t="shared" si="104"/>
        <v>0</v>
      </c>
      <c r="AH461" s="43" t="s">
        <v>2000</v>
      </c>
      <c r="AI461" s="63">
        <f t="shared" si="100"/>
        <v>6.6446181599518943E-3</v>
      </c>
      <c r="AJ461" s="284">
        <f>RTD("money.excel",,$G461,"PredictVolume")</f>
        <v>1105</v>
      </c>
      <c r="AK461" s="399">
        <f>IFERROR(VLOOKUP($G461,基本資料!$A:$M,13,0),"無")</f>
        <v>46.09</v>
      </c>
    </row>
    <row r="462" spans="1:37">
      <c r="A462" s="347">
        <f>IFERROR(VLOOKUP($G462,基本資料!$A:$J,3,0),"無")</f>
        <v>41.99</v>
      </c>
      <c r="B462" s="79">
        <f>IFERROR(VLOOKUP($G462,基本資料!$A:$J,4,0),"無")</f>
        <v>14</v>
      </c>
      <c r="C462" s="79">
        <f>IFERROR(VLOOKUP($G462,基本資料!$A:$J,5,0),"無")</f>
        <v>14</v>
      </c>
      <c r="D462" s="79">
        <f>IFERROR(VLOOKUP($G462,基本資料!$A:$J,6,0),"無")</f>
        <v>22</v>
      </c>
      <c r="E462" s="79">
        <f>IFERROR(VLOOKUP($G462,基本資料!$A:$J,7,0),"無")</f>
        <v>-5</v>
      </c>
      <c r="F462" s="6">
        <f>IFERROR(VLOOKUP($G462,基本資料!$A:$J,8,0),"無")</f>
        <v>12.89</v>
      </c>
      <c r="G462" s="79">
        <v>2211</v>
      </c>
      <c r="H462" s="8" t="s">
        <v>299</v>
      </c>
      <c r="I462" s="22" t="s">
        <v>3964</v>
      </c>
      <c r="J462" s="8" t="str">
        <f>IFERROR(VLOOKUP($G462,今日總結!$A:$AJ,35,0),"")</f>
        <v/>
      </c>
      <c r="K462" s="5" t="str">
        <f>IFERROR(VLOOKUP($G462,今日總結!$A:$AJ,36,0),"")</f>
        <v/>
      </c>
      <c r="L462" s="156" t="str">
        <f>IFERROR(VLOOKUP($G462,今日總結!$A:$AJ,33,0),"")</f>
        <v/>
      </c>
      <c r="M462" s="340" t="str">
        <f>IFERROR(VLOOKUP($G462,今日總結!$A:$AJ,34,0),"")</f>
        <v/>
      </c>
      <c r="N462" s="240" t="str">
        <f t="shared" si="105"/>
        <v/>
      </c>
      <c r="P462" s="365">
        <f>IFERROR(VLOOKUP($G462,融外自投!$A:$J,7,0),"無")</f>
        <v>1242</v>
      </c>
      <c r="Q462" s="79" t="str">
        <f>IFERROR(VLOOKUP($G462,融外自投!$A:$J,9,0),"無")</f>
        <v>無</v>
      </c>
      <c r="R462" s="346">
        <f>IFERROR(VLOOKUP($G462,融外自投!$A:$J,8,0),"無")</f>
        <v>1011</v>
      </c>
      <c r="S462" s="81" t="str">
        <f>IFERROR(VLOOKUP($G462,融外自投!$A:$J,10,0),"無")</f>
        <v>無</v>
      </c>
      <c r="T462" s="327">
        <f>IFERROR(VLOOKUP($G462,'321買'!$A:$E,5,0),"'沒有資料'")</f>
        <v>634</v>
      </c>
      <c r="U462" s="186">
        <f>IFERROR(VLOOKUP($G462,基本資料!$A:$J,9,0),"無")</f>
        <v>3</v>
      </c>
      <c r="V462" s="310">
        <f t="shared" si="96"/>
        <v>5.0505050505050504E-2</v>
      </c>
      <c r="W462" s="94">
        <f>IFERROR(VLOOKUP($G462,基本資料!$A:$J,10,0),"無")</f>
        <v>3.11</v>
      </c>
      <c r="X462" s="36">
        <f>RTD("money.excel",,"2211","Price")</f>
        <v>59.4</v>
      </c>
      <c r="Y462" s="66"/>
      <c r="Z462" s="15">
        <f t="shared" si="102"/>
        <v>59.4</v>
      </c>
      <c r="AA462" s="3" t="e">
        <f t="shared" si="103"/>
        <v>#DIV/0!</v>
      </c>
      <c r="AB462" s="344">
        <f>IFERROR(VLOOKUP($G462,基本資料!$A:$M,11,0),"無")</f>
        <v>-20.190000000000001</v>
      </c>
      <c r="AC462" s="397">
        <f>IFERROR(VLOOKUP($G462,基本資料!$A:$M,12,0),"無")</f>
        <v>17.48</v>
      </c>
      <c r="AD462" s="22" t="s">
        <v>3964</v>
      </c>
      <c r="AG462" s="33">
        <f t="shared" si="104"/>
        <v>0</v>
      </c>
      <c r="AH462" s="43" t="s">
        <v>3107</v>
      </c>
      <c r="AI462" s="63">
        <f t="shared" si="100"/>
        <v>2.7744701119314123E-3</v>
      </c>
      <c r="AJ462" s="284">
        <f>RTD("money.excel",,$G462,"PredictVolume")</f>
        <v>1165</v>
      </c>
      <c r="AK462" s="399">
        <f>IFERROR(VLOOKUP($G462,基本資料!$A:$M,13,0),"無")</f>
        <v>4.2</v>
      </c>
    </row>
    <row r="463" spans="1:37">
      <c r="A463" s="347">
        <f>IFERROR(VLOOKUP($G463,基本資料!$A:$J,3,0),"無")</f>
        <v>5.26</v>
      </c>
      <c r="B463" s="79">
        <f>IFERROR(VLOOKUP($G463,基本資料!$A:$J,4,0),"無")</f>
        <v>-261</v>
      </c>
      <c r="C463" s="79">
        <f>IFERROR(VLOOKUP($G463,基本資料!$A:$J,5,0),"無")</f>
        <v>-448</v>
      </c>
      <c r="D463" s="79">
        <f>IFERROR(VLOOKUP($G463,基本資料!$A:$J,6,0),"無")</f>
        <v>-17</v>
      </c>
      <c r="E463" s="79">
        <f>IFERROR(VLOOKUP($G463,基本資料!$A:$J,7,0),"無")</f>
        <v>35</v>
      </c>
      <c r="F463" s="6">
        <f>IFERROR(VLOOKUP($G463,基本資料!$A:$J,8,0),"無")</f>
        <v>-8.2200000000000006</v>
      </c>
      <c r="G463" s="79">
        <v>3004</v>
      </c>
      <c r="H463" s="8" t="s">
        <v>299</v>
      </c>
      <c r="I463" s="22" t="s">
        <v>3965</v>
      </c>
      <c r="J463" s="8">
        <f>IFERROR(VLOOKUP($G463,今日總結!$A:$AJ,35,0),"")</f>
        <v>0</v>
      </c>
      <c r="K463" s="5">
        <f>IFERROR(VLOOKUP($G463,今日總結!$A:$AJ,36,0),"")</f>
        <v>0</v>
      </c>
      <c r="L463" s="156">
        <f>IFERROR(VLOOKUP($G463,今日總結!$A:$AJ,33,0),"")</f>
        <v>0</v>
      </c>
      <c r="M463" s="340">
        <f>IFERROR(VLOOKUP($G463,今日總結!$A:$AJ,34,0),"")</f>
        <v>1</v>
      </c>
      <c r="N463" s="240">
        <f t="shared" si="105"/>
        <v>-1</v>
      </c>
      <c r="P463" s="365">
        <f>IFERROR(VLOOKUP($G463,融外自投!$A:$J,7,0),"無")</f>
        <v>627</v>
      </c>
      <c r="Q463" s="79">
        <f>IFERROR(VLOOKUP($G463,融外自投!$A:$J,9,0),"無")</f>
        <v>978</v>
      </c>
      <c r="R463" s="346">
        <f>IFERROR(VLOOKUP($G463,融外自投!$A:$J,8,0),"無")</f>
        <v>1141</v>
      </c>
      <c r="S463" s="81" t="str">
        <f>IFERROR(VLOOKUP($G463,融外自投!$A:$J,10,0),"無")</f>
        <v>無</v>
      </c>
      <c r="T463" s="327">
        <f>IFERROR(VLOOKUP($G463,'321買'!$A:$E,5,0),"'沒有資料'")</f>
        <v>1310</v>
      </c>
      <c r="U463" s="186">
        <f>IFERROR(VLOOKUP($G463,基本資料!$A:$J,9,0),"無")</f>
        <v>0</v>
      </c>
      <c r="V463" s="310">
        <f t="shared" si="96"/>
        <v>0</v>
      </c>
      <c r="W463" s="94">
        <f>IFERROR(VLOOKUP($G463,基本資料!$A:$J,10,0),"無")</f>
        <v>-1.84</v>
      </c>
      <c r="X463" s="36">
        <f>RTD("money.excel",,"3004","Price")</f>
        <v>52.6</v>
      </c>
      <c r="Y463" s="66"/>
      <c r="Z463" s="15">
        <f t="shared" si="102"/>
        <v>52.6</v>
      </c>
      <c r="AA463" s="3" t="e">
        <f t="shared" si="103"/>
        <v>#DIV/0!</v>
      </c>
      <c r="AB463" s="344">
        <f>IFERROR(VLOOKUP($G463,基本資料!$A:$M,11,0),"無")</f>
        <v>-18.86</v>
      </c>
      <c r="AC463" s="397">
        <f>IFERROR(VLOOKUP($G463,基本資料!$A:$M,12,0),"無")</f>
        <v>19.72</v>
      </c>
      <c r="AD463" s="22" t="s">
        <v>3965</v>
      </c>
      <c r="AG463" s="33">
        <f t="shared" si="104"/>
        <v>0</v>
      </c>
      <c r="AH463" s="43" t="s">
        <v>3966</v>
      </c>
      <c r="AI463" s="63">
        <f t="shared" si="100"/>
        <v>1.1596958174904942E-3</v>
      </c>
      <c r="AJ463" s="284">
        <f>RTD("money.excel",,$G463,"PredictVolume")</f>
        <v>61</v>
      </c>
      <c r="AK463" s="399">
        <f>IFERROR(VLOOKUP($G463,基本資料!$A:$M,13,0),"無")</f>
        <v>6.79</v>
      </c>
    </row>
    <row r="464" spans="1:37">
      <c r="A464" s="347">
        <f>IFERROR(VLOOKUP($G464,基本資料!$A:$J,3,0),"無")</f>
        <v>29.49</v>
      </c>
      <c r="B464" s="79">
        <f>IFERROR(VLOOKUP($G464,基本資料!$A:$J,4,0),"無")</f>
        <v>63</v>
      </c>
      <c r="C464" s="79">
        <f>IFERROR(VLOOKUP($G464,基本資料!$A:$J,5,0),"無")</f>
        <v>87</v>
      </c>
      <c r="D464" s="79">
        <f>IFERROR(VLOOKUP($G464,基本資料!$A:$J,6,0),"無")</f>
        <v>40</v>
      </c>
      <c r="E464" s="79">
        <f>IFERROR(VLOOKUP($G464,基本資料!$A:$J,7,0),"無")</f>
        <v>12</v>
      </c>
      <c r="F464" s="6">
        <f>IFERROR(VLOOKUP($G464,基本資料!$A:$J,8,0),"無")</f>
        <v>17.3</v>
      </c>
      <c r="G464" s="79">
        <v>5007</v>
      </c>
      <c r="H464" s="8" t="s">
        <v>299</v>
      </c>
      <c r="I464" s="22" t="s">
        <v>3967</v>
      </c>
      <c r="J464" s="8" t="str">
        <f>IFERROR(VLOOKUP($G464,今日總結!$A:$AJ,35,0),"")</f>
        <v/>
      </c>
      <c r="K464" s="5" t="str">
        <f>IFERROR(VLOOKUP($G464,今日總結!$A:$AJ,36,0),"")</f>
        <v/>
      </c>
      <c r="L464" s="156" t="str">
        <f>IFERROR(VLOOKUP($G464,今日總結!$A:$AJ,33,0),"")</f>
        <v/>
      </c>
      <c r="M464" s="340" t="str">
        <f>IFERROR(VLOOKUP($G464,今日總結!$A:$AJ,34,0),"")</f>
        <v/>
      </c>
      <c r="N464" s="240" t="str">
        <f t="shared" si="105"/>
        <v/>
      </c>
      <c r="P464" s="365">
        <f>IFERROR(VLOOKUP($G464,融外自投!$A:$J,7,0),"無")</f>
        <v>1314</v>
      </c>
      <c r="Q464" s="79">
        <f>IFERROR(VLOOKUP($G464,融外自投!$A:$J,9,0),"無")</f>
        <v>1110</v>
      </c>
      <c r="R464" s="346">
        <f>IFERROR(VLOOKUP($G464,融外自投!$A:$J,8,0),"無")</f>
        <v>896</v>
      </c>
      <c r="S464" s="81" t="str">
        <f>IFERROR(VLOOKUP($G464,融外自投!$A:$J,10,0),"無")</f>
        <v>無</v>
      </c>
      <c r="T464" s="327">
        <f>IFERROR(VLOOKUP($G464,'321買'!$A:$E,5,0),"'沒有資料'")</f>
        <v>1327</v>
      </c>
      <c r="U464" s="186">
        <f>IFERROR(VLOOKUP($G464,基本資料!$A:$J,9,0),"無")</f>
        <v>3</v>
      </c>
      <c r="V464" s="310">
        <f t="shared" si="96"/>
        <v>5.4545454545454543E-2</v>
      </c>
      <c r="W464" s="94">
        <f>IFERROR(VLOOKUP($G464,基本資料!$A:$J,10,0),"無")</f>
        <v>3.33</v>
      </c>
      <c r="X464" s="36">
        <f>RTD("money.excel",,"5007","Price")</f>
        <v>55</v>
      </c>
      <c r="Y464" s="66"/>
      <c r="Z464" s="15">
        <f t="shared" si="102"/>
        <v>55</v>
      </c>
      <c r="AA464" s="3" t="e">
        <f t="shared" si="103"/>
        <v>#DIV/0!</v>
      </c>
      <c r="AB464" s="344">
        <f>IFERROR(VLOOKUP($G464,基本資料!$A:$M,11,0),"無")</f>
        <v>-11.84</v>
      </c>
      <c r="AC464" s="397">
        <f>IFERROR(VLOOKUP($G464,基本資料!$A:$M,12,0),"無")</f>
        <v>48.83</v>
      </c>
      <c r="AD464" s="22" t="s">
        <v>3967</v>
      </c>
      <c r="AG464" s="33">
        <f t="shared" si="104"/>
        <v>0</v>
      </c>
      <c r="AH464" s="43" t="s">
        <v>3968</v>
      </c>
      <c r="AI464" s="63">
        <f t="shared" si="100"/>
        <v>1.8989487962021024E-4</v>
      </c>
      <c r="AJ464" s="284">
        <f>RTD("money.excel",,$G464,"PredictVolume")</f>
        <v>56</v>
      </c>
      <c r="AK464" s="399">
        <f>IFERROR(VLOOKUP($G464,基本資料!$A:$M,13,0),"無")</f>
        <v>0.38</v>
      </c>
    </row>
    <row r="465" spans="1:37">
      <c r="A465" s="347">
        <f>IFERROR(VLOOKUP($G465,基本資料!$A:$J,3,0),"無")</f>
        <v>45.67</v>
      </c>
      <c r="B465" s="79">
        <f>IFERROR(VLOOKUP($G465,基本資料!$A:$J,4,0),"無")</f>
        <v>224</v>
      </c>
      <c r="C465" s="79">
        <f>IFERROR(VLOOKUP($G465,基本資料!$A:$J,5,0),"無")</f>
        <v>720</v>
      </c>
      <c r="D465" s="79">
        <f>IFERROR(VLOOKUP($G465,基本資料!$A:$J,6,0),"無")</f>
        <v>40</v>
      </c>
      <c r="E465" s="79">
        <f>IFERROR(VLOOKUP($G465,基本資料!$A:$J,7,0),"無")</f>
        <v>57</v>
      </c>
      <c r="F465" s="6">
        <f>IFERROR(VLOOKUP($G465,基本資料!$A:$J,8,0),"無")</f>
        <v>12.25</v>
      </c>
      <c r="G465" s="79">
        <v>5009</v>
      </c>
      <c r="H465" s="8" t="s">
        <v>299</v>
      </c>
      <c r="I465" s="16" t="s">
        <v>3969</v>
      </c>
      <c r="J465" s="8">
        <f>IFERROR(VLOOKUP($G465,今日總結!$A:$AJ,35,0),"")</f>
        <v>462</v>
      </c>
      <c r="K465" s="5">
        <f>IFERROR(VLOOKUP($G465,今日總結!$A:$AJ,36,0),"")</f>
        <v>3</v>
      </c>
      <c r="L465" s="156">
        <f>IFERROR(VLOOKUP($G465,今日總結!$A:$AJ,33,0),"")</f>
        <v>3</v>
      </c>
      <c r="M465" s="340">
        <f>IFERROR(VLOOKUP($G465,今日總結!$A:$AJ,34,0),"")</f>
        <v>1</v>
      </c>
      <c r="N465" s="240">
        <f t="shared" si="105"/>
        <v>2</v>
      </c>
      <c r="P465" s="365">
        <f>IFERROR(VLOOKUP($G465,融外自投!$A:$J,7,0),"無")</f>
        <v>160</v>
      </c>
      <c r="Q465" s="79">
        <f>IFERROR(VLOOKUP($G465,融外自投!$A:$J,9,0),"無")</f>
        <v>147</v>
      </c>
      <c r="R465" s="346">
        <f>IFERROR(VLOOKUP($G465,融外自投!$A:$J,8,0),"無")</f>
        <v>427</v>
      </c>
      <c r="S465" s="81">
        <f>IFERROR(VLOOKUP($G465,融外自投!$A:$J,10,0),"無")</f>
        <v>50</v>
      </c>
      <c r="T465" s="327">
        <f>IFERROR(VLOOKUP($G465,'321買'!$A:$E,5,0),"'沒有資料'")</f>
        <v>131</v>
      </c>
      <c r="U465" s="186">
        <f>IFERROR(VLOOKUP($G465,基本資料!$A:$J,9,0),"無")</f>
        <v>1.4</v>
      </c>
      <c r="V465" s="310">
        <f t="shared" si="96"/>
        <v>4.5751633986928102E-2</v>
      </c>
      <c r="W465" s="94">
        <f>IFERROR(VLOOKUP($G465,基本資料!$A:$J,10,0),"無")</f>
        <v>1.7</v>
      </c>
      <c r="X465" s="36">
        <f>RTD("money.excel",,"5009","Price")</f>
        <v>30.6</v>
      </c>
      <c r="Y465" s="66"/>
      <c r="Z465" s="15">
        <f t="shared" si="102"/>
        <v>30.6</v>
      </c>
      <c r="AA465" s="3" t="e">
        <f t="shared" si="103"/>
        <v>#DIV/0!</v>
      </c>
      <c r="AB465" s="344">
        <f>IFERROR(VLOOKUP($G465,基本資料!$A:$M,11,0),"無")</f>
        <v>-16.18</v>
      </c>
      <c r="AC465" s="397">
        <f>IFERROR(VLOOKUP($G465,基本資料!$A:$M,12,0),"無")</f>
        <v>61.87</v>
      </c>
      <c r="AD465" s="16" t="s">
        <v>3969</v>
      </c>
      <c r="AG465" s="33">
        <f t="shared" si="104"/>
        <v>0</v>
      </c>
      <c r="AH465" s="117" t="s">
        <v>3970</v>
      </c>
      <c r="AI465" s="63">
        <f t="shared" si="100"/>
        <v>0.16406174731771403</v>
      </c>
      <c r="AJ465" s="284">
        <f>RTD("money.excel",,$G465,"PredictVolume")</f>
        <v>74927</v>
      </c>
      <c r="AK465" s="399">
        <f>IFERROR(VLOOKUP($G465,基本資料!$A:$M,13,0),"無")</f>
        <v>30.52</v>
      </c>
    </row>
    <row r="466" spans="1:37">
      <c r="A466" s="347">
        <f>IFERROR(VLOOKUP($G466,基本資料!$A:$J,3,0),"無")</f>
        <v>8.94</v>
      </c>
      <c r="B466" s="79">
        <f>IFERROR(VLOOKUP($G466,基本資料!$A:$J,4,0),"無")</f>
        <v>303</v>
      </c>
      <c r="C466" s="79">
        <f>IFERROR(VLOOKUP($G466,基本資料!$A:$J,5,0),"無")</f>
        <v>340</v>
      </c>
      <c r="D466" s="79">
        <f>IFERROR(VLOOKUP($G466,基本資料!$A:$J,6,0),"無")</f>
        <v>-25</v>
      </c>
      <c r="E466" s="79">
        <f>IFERROR(VLOOKUP($G466,基本資料!$A:$J,7,0),"無")</f>
        <v>37</v>
      </c>
      <c r="F466" s="6">
        <f>IFERROR(VLOOKUP($G466,基本資料!$A:$J,8,0),"無")</f>
        <v>3.78</v>
      </c>
      <c r="G466" s="79">
        <v>5011</v>
      </c>
      <c r="H466" s="8" t="s">
        <v>299</v>
      </c>
      <c r="I466" s="16" t="s">
        <v>3971</v>
      </c>
      <c r="J466" s="8">
        <f>IFERROR(VLOOKUP($G466,今日總結!$A:$AJ,35,0),"")</f>
        <v>0</v>
      </c>
      <c r="K466" s="5" t="str">
        <f>IFERROR(VLOOKUP($G466,今日總結!$A:$AJ,36,0),"")</f>
        <v>借</v>
      </c>
      <c r="L466" s="156">
        <f>IFERROR(VLOOKUP($G466,今日總結!$A:$AJ,33,0),"")</f>
        <v>0</v>
      </c>
      <c r="M466" s="340">
        <f>IFERROR(VLOOKUP($G466,今日總結!$A:$AJ,34,0),"")</f>
        <v>2</v>
      </c>
      <c r="N466" s="240">
        <f t="shared" si="105"/>
        <v>-2</v>
      </c>
      <c r="P466" s="365">
        <f>IFERROR(VLOOKUP($G466,融外自投!$A:$J,7,0),"無")</f>
        <v>31</v>
      </c>
      <c r="Q466" s="79">
        <f>IFERROR(VLOOKUP($G466,融外自投!$A:$J,9,0),"無")</f>
        <v>243</v>
      </c>
      <c r="R466" s="346">
        <f>IFERROR(VLOOKUP($G466,融外自投!$A:$J,8,0),"無")</f>
        <v>1100</v>
      </c>
      <c r="S466" s="81" t="str">
        <f>IFERROR(VLOOKUP($G466,融外自投!$A:$J,10,0),"無")</f>
        <v>無</v>
      </c>
      <c r="T466" s="327">
        <f>IFERROR(VLOOKUP($G466,'321買'!$A:$E,5,0),"'沒有資料'")</f>
        <v>480</v>
      </c>
      <c r="U466" s="186">
        <f>IFERROR(VLOOKUP($G466,基本資料!$A:$J,9,0),"無")</f>
        <v>0.95</v>
      </c>
      <c r="V466" s="310">
        <f t="shared" si="96"/>
        <v>2.7142857142857142E-2</v>
      </c>
      <c r="W466" s="94">
        <f>IFERROR(VLOOKUP($G466,基本資料!$A:$J,10,0),"無")</f>
        <v>1.74</v>
      </c>
      <c r="X466" s="36">
        <f>RTD("money.excel",,"5011","Price")</f>
        <v>35</v>
      </c>
      <c r="Y466" s="66"/>
      <c r="Z466" s="15">
        <f t="shared" si="102"/>
        <v>35</v>
      </c>
      <c r="AA466" s="3" t="e">
        <f t="shared" si="103"/>
        <v>#DIV/0!</v>
      </c>
      <c r="AB466" s="344">
        <f>IFERROR(VLOOKUP($G466,基本資料!$A:$M,11,0),"無")</f>
        <v>-20.22</v>
      </c>
      <c r="AC466" s="397">
        <f>IFERROR(VLOOKUP($G466,基本資料!$A:$M,12,0),"無")</f>
        <v>22.69</v>
      </c>
      <c r="AD466" s="16" t="s">
        <v>3971</v>
      </c>
      <c r="AG466" s="33">
        <f t="shared" si="104"/>
        <v>0</v>
      </c>
      <c r="AH466" s="43" t="s">
        <v>3972</v>
      </c>
      <c r="AI466" s="63">
        <f t="shared" si="100"/>
        <v>9.966442953020134E-3</v>
      </c>
      <c r="AJ466" s="284">
        <f>RTD("money.excel",,$G466,"PredictVolume")</f>
        <v>891</v>
      </c>
      <c r="AK466" s="399">
        <f>IFERROR(VLOOKUP($G466,基本資料!$A:$M,13,0),"無")</f>
        <v>30.07</v>
      </c>
    </row>
    <row r="467" spans="1:37">
      <c r="A467" s="347">
        <f>IFERROR(VLOOKUP($G467,基本資料!$A:$J,3,0),"無")</f>
        <v>13.34</v>
      </c>
      <c r="B467" s="79">
        <f>IFERROR(VLOOKUP($G467,基本資料!$A:$J,4,0),"無")</f>
        <v>140</v>
      </c>
      <c r="C467" s="79">
        <f>IFERROR(VLOOKUP($G467,基本資料!$A:$J,5,0),"無")</f>
        <v>138</v>
      </c>
      <c r="D467" s="79">
        <f>IFERROR(VLOOKUP($G467,基本資料!$A:$J,6,0),"無")</f>
        <v>-30</v>
      </c>
      <c r="E467" s="79">
        <f>IFERROR(VLOOKUP($G467,基本資料!$A:$J,7,0),"無")</f>
        <v>-13</v>
      </c>
      <c r="F467" s="6">
        <f>IFERROR(VLOOKUP($G467,基本資料!$A:$J,8,0),"無")</f>
        <v>11.91</v>
      </c>
      <c r="G467" s="79">
        <v>5013</v>
      </c>
      <c r="H467" s="8" t="s">
        <v>299</v>
      </c>
      <c r="I467" s="16" t="s">
        <v>3973</v>
      </c>
      <c r="J467" s="8" t="str">
        <f>IFERROR(VLOOKUP($G467,今日總結!$A:$AJ,35,0),"")</f>
        <v/>
      </c>
      <c r="K467" s="5" t="str">
        <f>IFERROR(VLOOKUP($G467,今日總結!$A:$AJ,36,0),"")</f>
        <v/>
      </c>
      <c r="L467" s="156" t="str">
        <f>IFERROR(VLOOKUP($G467,今日總結!$A:$AJ,33,0),"")</f>
        <v/>
      </c>
      <c r="M467" s="340" t="str">
        <f>IFERROR(VLOOKUP($G467,今日總結!$A:$AJ,34,0),"")</f>
        <v/>
      </c>
      <c r="N467" s="240" t="str">
        <f t="shared" si="105"/>
        <v/>
      </c>
      <c r="P467" s="365">
        <f>IFERROR(VLOOKUP($G467,融外自投!$A:$J,7,0),"無")</f>
        <v>1245</v>
      </c>
      <c r="Q467" s="79" t="str">
        <f>IFERROR(VLOOKUP($G467,融外自投!$A:$J,9,0),"無")</f>
        <v>無</v>
      </c>
      <c r="R467" s="346">
        <f>IFERROR(VLOOKUP($G467,融外自投!$A:$J,8,0),"無")</f>
        <v>916</v>
      </c>
      <c r="S467" s="81" t="str">
        <f>IFERROR(VLOOKUP($G467,融外自投!$A:$J,10,0),"無")</f>
        <v>無</v>
      </c>
      <c r="T467" s="327" t="str">
        <f>IFERROR(VLOOKUP($G467,'321買'!$A:$E,5,0),"'沒有資料'")</f>
        <v>'沒有資料'</v>
      </c>
      <c r="U467" s="186">
        <f>IFERROR(VLOOKUP($G467,基本資料!$A:$J,9,0),"無")</f>
        <v>2</v>
      </c>
      <c r="V467" s="310">
        <f t="shared" si="96"/>
        <v>5.722460658082975E-2</v>
      </c>
      <c r="W467" s="94">
        <f>IFERROR(VLOOKUP($G467,基本資料!$A:$J,10,0),"無")</f>
        <v>4.41</v>
      </c>
      <c r="X467" s="36">
        <f>RTD("money.excel",,"5013","Price")</f>
        <v>34.950000000000003</v>
      </c>
      <c r="Y467" s="66"/>
      <c r="Z467" s="15">
        <f t="shared" si="102"/>
        <v>34.950000000000003</v>
      </c>
      <c r="AA467" s="3" t="e">
        <f t="shared" si="103"/>
        <v>#DIV/0!</v>
      </c>
      <c r="AB467" s="344">
        <f>IFERROR(VLOOKUP($G467,基本資料!$A:$M,11,0),"無")</f>
        <v>-36.78</v>
      </c>
      <c r="AC467" s="397">
        <f>IFERROR(VLOOKUP($G467,基本資料!$A:$M,12,0),"無")</f>
        <v>14.77</v>
      </c>
      <c r="AD467" s="16" t="s">
        <v>3973</v>
      </c>
      <c r="AG467" s="33">
        <f t="shared" si="104"/>
        <v>0</v>
      </c>
      <c r="AH467" s="117" t="s">
        <v>3974</v>
      </c>
      <c r="AI467" s="63">
        <f t="shared" si="100"/>
        <v>4.7976011994003E-4</v>
      </c>
      <c r="AJ467" s="284">
        <f>RTD("money.excel",,$G467,"PredictVolume")</f>
        <v>64</v>
      </c>
      <c r="AK467" s="399">
        <f>IFERROR(VLOOKUP($G467,基本資料!$A:$M,13,0),"無")</f>
        <v>3.78</v>
      </c>
    </row>
    <row r="468" spans="1:37">
      <c r="A468" s="347">
        <f>IFERROR(VLOOKUP($G468,基本資料!$A:$J,3,0),"無")</f>
        <v>18.53</v>
      </c>
      <c r="B468" s="79">
        <f>IFERROR(VLOOKUP($G468,基本資料!$A:$J,4,0),"無")</f>
        <v>204</v>
      </c>
      <c r="C468" s="79">
        <f>IFERROR(VLOOKUP($G468,基本資料!$A:$J,5,0),"無")</f>
        <v>641</v>
      </c>
      <c r="D468" s="79">
        <f>IFERROR(VLOOKUP($G468,基本資料!$A:$J,6,0),"無")</f>
        <v>-11</v>
      </c>
      <c r="E468" s="79">
        <f>IFERROR(VLOOKUP($G468,基本資料!$A:$J,7,0),"無")</f>
        <v>5</v>
      </c>
      <c r="F468" s="6">
        <f>IFERROR(VLOOKUP($G468,基本資料!$A:$J,8,0),"無")</f>
        <v>4.1500000000000004</v>
      </c>
      <c r="G468" s="79">
        <v>5014</v>
      </c>
      <c r="H468" s="8" t="s">
        <v>299</v>
      </c>
      <c r="I468" s="16" t="s">
        <v>3975</v>
      </c>
      <c r="J468" s="8" t="str">
        <f>IFERROR(VLOOKUP($G468,今日總結!$A:$AJ,35,0),"")</f>
        <v/>
      </c>
      <c r="K468" s="5" t="str">
        <f>IFERROR(VLOOKUP($G468,今日總結!$A:$AJ,36,0),"")</f>
        <v/>
      </c>
      <c r="L468" s="156" t="str">
        <f>IFERROR(VLOOKUP($G468,今日總結!$A:$AJ,33,0),"")</f>
        <v/>
      </c>
      <c r="M468" s="340" t="str">
        <f>IFERROR(VLOOKUP($G468,今日總結!$A:$AJ,34,0),"")</f>
        <v/>
      </c>
      <c r="N468" s="240" t="str">
        <f t="shared" si="105"/>
        <v/>
      </c>
      <c r="P468" s="365">
        <f>IFERROR(VLOOKUP($G468,融外自投!$A:$J,7,0),"無")</f>
        <v>46</v>
      </c>
      <c r="Q468" s="79" t="str">
        <f>IFERROR(VLOOKUP($G468,融外自投!$A:$J,9,0),"無")</f>
        <v>無</v>
      </c>
      <c r="R468" s="346">
        <f>IFERROR(VLOOKUP($G468,融外自投!$A:$J,8,0),"無")</f>
        <v>1100</v>
      </c>
      <c r="S468" s="81" t="str">
        <f>IFERROR(VLOOKUP($G468,融外自投!$A:$J,10,0),"無")</f>
        <v>無</v>
      </c>
      <c r="T468" s="327">
        <f>IFERROR(VLOOKUP($G468,'321買'!$A:$E,5,0),"'沒有資料'")</f>
        <v>584</v>
      </c>
      <c r="U468" s="186">
        <f>IFERROR(VLOOKUP($G468,基本資料!$A:$J,9,0),"無")</f>
        <v>0</v>
      </c>
      <c r="V468" s="310">
        <f t="shared" si="96"/>
        <v>0</v>
      </c>
      <c r="W468" s="94">
        <f>IFERROR(VLOOKUP($G468,基本資料!$A:$J,10,0),"無")</f>
        <v>3.14</v>
      </c>
      <c r="X468" s="36">
        <f>RTD("money.excel",,"5014","Price")</f>
        <v>19.95</v>
      </c>
      <c r="Y468" s="66"/>
      <c r="Z468" s="15">
        <f t="shared" si="102"/>
        <v>19.95</v>
      </c>
      <c r="AA468" s="3" t="e">
        <f t="shared" si="103"/>
        <v>#DIV/0!</v>
      </c>
      <c r="AB468" s="344">
        <f>IFERROR(VLOOKUP($G468,基本資料!$A:$M,11,0),"無")</f>
        <v>-39.5</v>
      </c>
      <c r="AC468" s="397">
        <f>IFERROR(VLOOKUP($G468,基本資料!$A:$M,12,0),"無")</f>
        <v>21.66</v>
      </c>
      <c r="AD468" s="16" t="s">
        <v>3975</v>
      </c>
      <c r="AG468" s="33">
        <f t="shared" si="104"/>
        <v>0</v>
      </c>
      <c r="AH468" s="43" t="s">
        <v>3976</v>
      </c>
      <c r="AI468" s="63">
        <f t="shared" si="100"/>
        <v>1.9325418240690773E-2</v>
      </c>
      <c r="AJ468" s="284">
        <f>RTD("money.excel",,$G468,"PredictVolume")</f>
        <v>3581</v>
      </c>
      <c r="AK468" s="399">
        <f>IFERROR(VLOOKUP($G468,基本資料!$A:$M,13,0),"無")</f>
        <v>35.840000000000003</v>
      </c>
    </row>
    <row r="469" spans="1:37">
      <c r="A469" s="347">
        <f>IFERROR(VLOOKUP($G469,基本資料!$A:$J,3,0),"無")</f>
        <v>6.06</v>
      </c>
      <c r="B469" s="79">
        <f>IFERROR(VLOOKUP($G469,基本資料!$A:$J,4,0),"無")</f>
        <v>111</v>
      </c>
      <c r="C469" s="79">
        <f>IFERROR(VLOOKUP($G469,基本資料!$A:$J,5,0),"無")</f>
        <v>105</v>
      </c>
      <c r="D469" s="79">
        <f>IFERROR(VLOOKUP($G469,基本資料!$A:$J,6,0),"無")</f>
        <v>0</v>
      </c>
      <c r="E469" s="79">
        <f>IFERROR(VLOOKUP($G469,基本資料!$A:$J,7,0),"無")</f>
        <v>9</v>
      </c>
      <c r="F469" s="6">
        <f>IFERROR(VLOOKUP($G469,基本資料!$A:$J,8,0),"無")</f>
        <v>13.94</v>
      </c>
      <c r="G469" s="79">
        <v>5015</v>
      </c>
      <c r="H469" s="8" t="s">
        <v>299</v>
      </c>
      <c r="I469" s="16" t="s">
        <v>3977</v>
      </c>
      <c r="J469" s="8" t="str">
        <f>IFERROR(VLOOKUP($G469,今日總結!$A:$AJ,35,0),"")</f>
        <v>主</v>
      </c>
      <c r="K469" s="5">
        <f>IFERROR(VLOOKUP($G469,今日總結!$A:$AJ,36,0),"")</f>
        <v>0</v>
      </c>
      <c r="L469" s="156">
        <f>IFERROR(VLOOKUP($G469,今日總結!$A:$AJ,33,0),"")</f>
        <v>1</v>
      </c>
      <c r="M469" s="340">
        <f>IFERROR(VLOOKUP($G469,今日總結!$A:$AJ,34,0),"")</f>
        <v>0</v>
      </c>
      <c r="N469" s="240">
        <f t="shared" si="105"/>
        <v>1</v>
      </c>
      <c r="P469" s="365">
        <f>IFERROR(VLOOKUP($G469,融外自投!$A:$J,7,0),"無")</f>
        <v>998</v>
      </c>
      <c r="Q469" s="79" t="str">
        <f>IFERROR(VLOOKUP($G469,融外自投!$A:$J,9,0),"無")</f>
        <v>無</v>
      </c>
      <c r="R469" s="346">
        <f>IFERROR(VLOOKUP($G469,融外自投!$A:$J,8,0),"無")</f>
        <v>575</v>
      </c>
      <c r="S469" s="81" t="str">
        <f>IFERROR(VLOOKUP($G469,融外自投!$A:$J,10,0),"無")</f>
        <v>無</v>
      </c>
      <c r="T469" s="327">
        <f>IFERROR(VLOOKUP($G469,'321買'!$A:$E,5,0),"'沒有資料'")</f>
        <v>1038</v>
      </c>
      <c r="U469" s="186">
        <f>IFERROR(VLOOKUP($G469,基本資料!$A:$J,9,0),"無")</f>
        <v>3.5</v>
      </c>
      <c r="V469" s="310">
        <f t="shared" si="96"/>
        <v>7.7007700770077001E-2</v>
      </c>
      <c r="W469" s="94">
        <f>IFERROR(VLOOKUP($G469,基本資料!$A:$J,10,0),"無")</f>
        <v>4.0999999999999996</v>
      </c>
      <c r="X469" s="36">
        <f>RTD("money.excel",,"5015","Price")</f>
        <v>45.45</v>
      </c>
      <c r="Y469" s="66"/>
      <c r="Z469" s="15">
        <f t="shared" si="102"/>
        <v>45.45</v>
      </c>
      <c r="AA469" s="3" t="e">
        <f t="shared" si="103"/>
        <v>#DIV/0!</v>
      </c>
      <c r="AB469" s="344">
        <f>IFERROR(VLOOKUP($G469,基本資料!$A:$M,11,0),"無")</f>
        <v>-1.33</v>
      </c>
      <c r="AC469" s="397">
        <f>IFERROR(VLOOKUP($G469,基本資料!$A:$M,12,0),"無")</f>
        <v>85.31</v>
      </c>
      <c r="AD469" s="16" t="s">
        <v>3977</v>
      </c>
      <c r="AG469" s="33">
        <f t="shared" si="104"/>
        <v>0</v>
      </c>
      <c r="AH469" s="43" t="s">
        <v>3958</v>
      </c>
      <c r="AI469" s="63">
        <f t="shared" si="100"/>
        <v>3.6963696369636968E-3</v>
      </c>
      <c r="AJ469" s="284">
        <f>RTD("money.excel",,$G469,"PredictVolume")</f>
        <v>224</v>
      </c>
      <c r="AK469" s="399">
        <f>IFERROR(VLOOKUP($G469,基本資料!$A:$M,13,0),"無")</f>
        <v>2.41</v>
      </c>
    </row>
    <row r="470" spans="1:37">
      <c r="A470" s="347">
        <f>IFERROR(VLOOKUP($G470,基本資料!$A:$J,3,0),"無")</f>
        <v>4.96</v>
      </c>
      <c r="B470" s="79">
        <f>IFERROR(VLOOKUP($G470,基本資料!$A:$J,4,0),"無")</f>
        <v>50</v>
      </c>
      <c r="C470" s="79">
        <f>IFERROR(VLOOKUP($G470,基本資料!$A:$J,5,0),"無")</f>
        <v>55</v>
      </c>
      <c r="D470" s="79">
        <f>IFERROR(VLOOKUP($G470,基本資料!$A:$J,6,0),"無")</f>
        <v>45</v>
      </c>
      <c r="E470" s="79">
        <f>IFERROR(VLOOKUP($G470,基本資料!$A:$J,7,0),"無")</f>
        <v>3</v>
      </c>
      <c r="F470" s="6">
        <f>IFERROR(VLOOKUP($G470,基本資料!$A:$J,8,0),"無")</f>
        <v>10.68</v>
      </c>
      <c r="G470" s="79">
        <v>5016</v>
      </c>
      <c r="H470" s="8" t="s">
        <v>299</v>
      </c>
      <c r="I470" s="16" t="s">
        <v>3978</v>
      </c>
      <c r="J470" s="8" t="str">
        <f>IFERROR(VLOOKUP($G470,今日總結!$A:$AJ,35,0),"")</f>
        <v/>
      </c>
      <c r="K470" s="5" t="str">
        <f>IFERROR(VLOOKUP($G470,今日總結!$A:$AJ,36,0),"")</f>
        <v/>
      </c>
      <c r="L470" s="156" t="str">
        <f>IFERROR(VLOOKUP($G470,今日總結!$A:$AJ,33,0),"")</f>
        <v/>
      </c>
      <c r="M470" s="340" t="str">
        <f>IFERROR(VLOOKUP($G470,今日總結!$A:$AJ,34,0),"")</f>
        <v/>
      </c>
      <c r="N470" s="240" t="str">
        <f t="shared" si="105"/>
        <v/>
      </c>
      <c r="P470" s="365">
        <f>IFERROR(VLOOKUP($G470,融外自投!$A:$J,7,0),"無")</f>
        <v>1166</v>
      </c>
      <c r="Q470" s="79" t="str">
        <f>IFERROR(VLOOKUP($G470,融外自投!$A:$J,9,0),"無")</f>
        <v>無</v>
      </c>
      <c r="R470" s="346">
        <f>IFERROR(VLOOKUP($G470,融外自投!$A:$J,8,0),"無")</f>
        <v>1302</v>
      </c>
      <c r="S470" s="81" t="str">
        <f>IFERROR(VLOOKUP($G470,融外自投!$A:$J,10,0),"無")</f>
        <v>無</v>
      </c>
      <c r="T470" s="327">
        <f>IFERROR(VLOOKUP($G470,'321買'!$A:$E,5,0),"'沒有資料'")</f>
        <v>1214</v>
      </c>
      <c r="U470" s="186">
        <f>IFERROR(VLOOKUP($G470,基本資料!$A:$J,9,0),"無")</f>
        <v>3.3</v>
      </c>
      <c r="V470" s="310">
        <f t="shared" si="96"/>
        <v>8.7533156498673728E-2</v>
      </c>
      <c r="W470" s="94">
        <f>IFERROR(VLOOKUP($G470,基本資料!$A:$J,10,0),"無")</f>
        <v>4.75</v>
      </c>
      <c r="X470" s="36">
        <f>RTD("money.excel",,"5016","Price")</f>
        <v>37.700000000000003</v>
      </c>
      <c r="Y470" s="66"/>
      <c r="Z470" s="15">
        <f t="shared" si="102"/>
        <v>37.700000000000003</v>
      </c>
      <c r="AA470" s="3" t="e">
        <f t="shared" si="103"/>
        <v>#DIV/0!</v>
      </c>
      <c r="AB470" s="344">
        <f>IFERROR(VLOOKUP($G470,基本資料!$A:$M,11,0),"無")</f>
        <v>-18.11</v>
      </c>
      <c r="AC470" s="397">
        <f>IFERROR(VLOOKUP($G470,基本資料!$A:$M,12,0),"無")</f>
        <v>25.01</v>
      </c>
      <c r="AD470" s="16" t="s">
        <v>3978</v>
      </c>
      <c r="AG470" s="33">
        <f t="shared" si="104"/>
        <v>0</v>
      </c>
      <c r="AH470" s="43" t="s">
        <v>3979</v>
      </c>
      <c r="AI470" s="63">
        <f t="shared" si="100"/>
        <v>5.2419354838709675E-4</v>
      </c>
      <c r="AJ470" s="284">
        <f>RTD("money.excel",,$G470,"PredictVolume")</f>
        <v>26</v>
      </c>
      <c r="AK470" s="399">
        <f>IFERROR(VLOOKUP($G470,基本資料!$A:$M,13,0),"無")</f>
        <v>3.81</v>
      </c>
    </row>
    <row r="471" spans="1:37">
      <c r="A471" s="347">
        <f>IFERROR(VLOOKUP($G471,基本資料!$A:$J,3,0),"無")</f>
        <v>20.12</v>
      </c>
      <c r="B471" s="79">
        <f>IFERROR(VLOOKUP($G471,基本資料!$A:$J,4,0),"無")</f>
        <v>192</v>
      </c>
      <c r="C471" s="79">
        <f>IFERROR(VLOOKUP($G471,基本資料!$A:$J,5,0),"無")</f>
        <v>183</v>
      </c>
      <c r="D471" s="79">
        <f>IFERROR(VLOOKUP($G471,基本資料!$A:$J,6,0),"無")</f>
        <v>50</v>
      </c>
      <c r="E471" s="79">
        <f>IFERROR(VLOOKUP($G471,基本資料!$A:$J,7,0),"無")</f>
        <v>55</v>
      </c>
      <c r="F471" s="6">
        <f>IFERROR(VLOOKUP($G471,基本資料!$A:$J,8,0),"無")</f>
        <v>14.84</v>
      </c>
      <c r="G471" s="79">
        <v>5538</v>
      </c>
      <c r="H471" s="8" t="s">
        <v>299</v>
      </c>
      <c r="I471" s="22" t="s">
        <v>3980</v>
      </c>
      <c r="J471" s="8">
        <f>IFERROR(VLOOKUP($G471,今日總結!$A:$AJ,35,0),"")</f>
        <v>0</v>
      </c>
      <c r="K471" s="5" t="str">
        <f>IFERROR(VLOOKUP($G471,今日總結!$A:$AJ,36,0),"")</f>
        <v>自</v>
      </c>
      <c r="L471" s="156">
        <f>IFERROR(VLOOKUP($G471,今日總結!$A:$AJ,33,0),"")</f>
        <v>0</v>
      </c>
      <c r="M471" s="340">
        <f>IFERROR(VLOOKUP($G471,今日總結!$A:$AJ,34,0),"")</f>
        <v>1</v>
      </c>
      <c r="N471" s="240">
        <f t="shared" si="105"/>
        <v>-1</v>
      </c>
      <c r="P471" s="365">
        <f>IFERROR(VLOOKUP($G471,融外自投!$A:$J,7,0),"無")</f>
        <v>1273</v>
      </c>
      <c r="Q471" s="79">
        <f>IFERROR(VLOOKUP($G471,融外自投!$A:$J,9,0),"無")</f>
        <v>1051</v>
      </c>
      <c r="R471" s="346">
        <f>IFERROR(VLOOKUP($G471,融外自投!$A:$J,8,0),"無")</f>
        <v>37</v>
      </c>
      <c r="S471" s="81">
        <f>IFERROR(VLOOKUP($G471,融外自投!$A:$J,10,0),"無")</f>
        <v>491</v>
      </c>
      <c r="T471" s="327">
        <f>IFERROR(VLOOKUP($G471,'321買'!$A:$E,5,0),"'沒有資料'")</f>
        <v>802</v>
      </c>
      <c r="U471" s="186">
        <f>IFERROR(VLOOKUP($G471,基本資料!$A:$J,9,0),"無")</f>
        <v>3.2</v>
      </c>
      <c r="V471" s="310">
        <f t="shared" si="96"/>
        <v>6.510681586978638E-2</v>
      </c>
      <c r="W471" s="94">
        <f>IFERROR(VLOOKUP($G471,基本資料!$A:$J,10,0),"無")</f>
        <v>8</v>
      </c>
      <c r="X471" s="36">
        <f>RTD("money.excel",,"5538","Price")</f>
        <v>49.15</v>
      </c>
      <c r="Y471" s="66"/>
      <c r="Z471" s="15">
        <f t="shared" si="102"/>
        <v>49.15</v>
      </c>
      <c r="AA471" s="3" t="e">
        <f t="shared" si="103"/>
        <v>#DIV/0!</v>
      </c>
      <c r="AB471" s="344">
        <f>IFERROR(VLOOKUP($G471,基本資料!$A:$M,11,0),"無")</f>
        <v>-24.01</v>
      </c>
      <c r="AC471" s="397">
        <f>IFERROR(VLOOKUP($G471,基本資料!$A:$M,12,0),"無")</f>
        <v>14.15</v>
      </c>
      <c r="AD471" s="22" t="s">
        <v>3980</v>
      </c>
      <c r="AG471" s="33">
        <f t="shared" si="104"/>
        <v>0</v>
      </c>
      <c r="AH471" s="43" t="s">
        <v>3262</v>
      </c>
      <c r="AI471" s="63">
        <f t="shared" si="100"/>
        <v>2.0427435387673958E-3</v>
      </c>
      <c r="AJ471" s="284">
        <f>RTD("money.excel",,$G471,"PredictVolume")</f>
        <v>411</v>
      </c>
      <c r="AK471" s="399">
        <f>IFERROR(VLOOKUP($G471,基本資料!$A:$M,13,0),"無")</f>
        <v>1.91</v>
      </c>
    </row>
    <row r="472" spans="1:37">
      <c r="A472" s="347">
        <f>IFERROR(VLOOKUP($G472,基本資料!$A:$J,3,0),"無")</f>
        <v>4.57</v>
      </c>
      <c r="B472" s="79">
        <f>IFERROR(VLOOKUP($G472,基本資料!$A:$J,4,0),"無")</f>
        <v>8</v>
      </c>
      <c r="C472" s="79">
        <f>IFERROR(VLOOKUP($G472,基本資料!$A:$J,5,0),"無")</f>
        <v>4</v>
      </c>
      <c r="D472" s="79">
        <f>IFERROR(VLOOKUP($G472,基本資料!$A:$J,6,0),"無")</f>
        <v>-1</v>
      </c>
      <c r="E472" s="79">
        <f>IFERROR(VLOOKUP($G472,基本資料!$A:$J,7,0),"無")</f>
        <v>37</v>
      </c>
      <c r="F472" s="6">
        <f>IFERROR(VLOOKUP($G472,基本資料!$A:$J,8,0),"無")</f>
        <v>1.68</v>
      </c>
      <c r="G472" s="79">
        <v>6248</v>
      </c>
      <c r="H472" s="8" t="s">
        <v>299</v>
      </c>
      <c r="I472" s="16" t="s">
        <v>3981</v>
      </c>
      <c r="J472" s="8">
        <f>IFERROR(VLOOKUP($G472,今日總結!$A:$AJ,35,0),"")</f>
        <v>0</v>
      </c>
      <c r="K472" s="5" t="str">
        <f>IFERROR(VLOOKUP($G472,今日總結!$A:$AJ,36,0),"")</f>
        <v>融</v>
      </c>
      <c r="L472" s="156">
        <f>IFERROR(VLOOKUP($G472,今日總結!$A:$AJ,33,0),"")</f>
        <v>0</v>
      </c>
      <c r="M472" s="340">
        <f>IFERROR(VLOOKUP($G472,今日總結!$A:$AJ,34,0),"")</f>
        <v>1</v>
      </c>
      <c r="N472" s="240">
        <f t="shared" si="105"/>
        <v>-1</v>
      </c>
      <c r="P472" s="365">
        <f>IFERROR(VLOOKUP($G472,融外自投!$A:$J,7,0),"無")</f>
        <v>779</v>
      </c>
      <c r="Q472" s="79">
        <f>IFERROR(VLOOKUP($G472,融外自投!$A:$J,9,0),"無")</f>
        <v>363</v>
      </c>
      <c r="R472" s="346">
        <f>IFERROR(VLOOKUP($G472,融外自投!$A:$J,8,0),"無")</f>
        <v>1209</v>
      </c>
      <c r="S472" s="81" t="str">
        <f>IFERROR(VLOOKUP($G472,融外自投!$A:$J,10,0),"無")</f>
        <v>無</v>
      </c>
      <c r="T472" s="327">
        <f>IFERROR(VLOOKUP($G472,'321買'!$A:$E,5,0),"'沒有資料'")</f>
        <v>1259</v>
      </c>
      <c r="U472" s="186">
        <f>IFERROR(VLOOKUP($G472,基本資料!$A:$J,9,0),"無")</f>
        <v>1.2</v>
      </c>
      <c r="V472" s="310">
        <f t="shared" si="96"/>
        <v>5.4669703872437359E-2</v>
      </c>
      <c r="W472" s="94">
        <f>IFERROR(VLOOKUP($G472,基本資料!$A:$J,10,0),"無")</f>
        <v>1.62</v>
      </c>
      <c r="X472" s="36">
        <f>RTD("money.excel",,"6248","Price")</f>
        <v>21.95</v>
      </c>
      <c r="Y472" s="66"/>
      <c r="Z472" s="15">
        <f t="shared" si="102"/>
        <v>21.95</v>
      </c>
      <c r="AA472" s="3" t="e">
        <f t="shared" si="103"/>
        <v>#DIV/0!</v>
      </c>
      <c r="AB472" s="344">
        <f>IFERROR(VLOOKUP($G472,基本資料!$A:$M,11,0),"無")</f>
        <v>-31.61</v>
      </c>
      <c r="AC472" s="397">
        <f>IFERROR(VLOOKUP($G472,基本資料!$A:$M,12,0),"無")</f>
        <v>27.62</v>
      </c>
      <c r="AD472" s="16" t="s">
        <v>3981</v>
      </c>
      <c r="AG472" s="33">
        <f t="shared" si="104"/>
        <v>0</v>
      </c>
      <c r="AH472" s="43" t="s">
        <v>2660</v>
      </c>
      <c r="AI472" s="63">
        <f t="shared" si="100"/>
        <v>1.1816192560175054E-3</v>
      </c>
      <c r="AJ472" s="284">
        <f>RTD("money.excel",,$G472,"PredictVolume")</f>
        <v>54</v>
      </c>
      <c r="AK472" s="399">
        <f>IFERROR(VLOOKUP($G472,基本資料!$A:$M,13,0),"無")</f>
        <v>17.059999999999999</v>
      </c>
    </row>
    <row r="473" spans="1:37">
      <c r="A473" s="347">
        <f>IFERROR(VLOOKUP($G473,基本資料!$A:$J,3,0),"無")</f>
        <v>11.92</v>
      </c>
      <c r="B473" s="79">
        <f>IFERROR(VLOOKUP($G473,基本資料!$A:$J,4,0),"無")</f>
        <v>27</v>
      </c>
      <c r="C473" s="79">
        <f>IFERROR(VLOOKUP($G473,基本資料!$A:$J,5,0),"無")</f>
        <v>30</v>
      </c>
      <c r="D473" s="79">
        <f>IFERROR(VLOOKUP($G473,基本資料!$A:$J,6,0),"無")</f>
        <v>-23</v>
      </c>
      <c r="E473" s="79">
        <f>IFERROR(VLOOKUP($G473,基本資料!$A:$J,7,0),"無")</f>
        <v>-10</v>
      </c>
      <c r="F473" s="6">
        <f>IFERROR(VLOOKUP($G473,基本資料!$A:$J,8,0),"無")</f>
        <v>4.3899999999999997</v>
      </c>
      <c r="G473" s="79">
        <v>8349</v>
      </c>
      <c r="H473" s="8" t="s">
        <v>299</v>
      </c>
      <c r="I473" s="16" t="s">
        <v>3982</v>
      </c>
      <c r="J473" s="8" t="str">
        <f>IFERROR(VLOOKUP($G473,今日總結!$A:$AJ,35,0),"")</f>
        <v/>
      </c>
      <c r="K473" s="5" t="str">
        <f>IFERROR(VLOOKUP($G473,今日總結!$A:$AJ,36,0),"")</f>
        <v/>
      </c>
      <c r="L473" s="156" t="str">
        <f>IFERROR(VLOOKUP($G473,今日總結!$A:$AJ,33,0),"")</f>
        <v/>
      </c>
      <c r="M473" s="340" t="str">
        <f>IFERROR(VLOOKUP($G473,今日總結!$A:$AJ,34,0),"")</f>
        <v/>
      </c>
      <c r="N473" s="240" t="str">
        <f t="shared" si="105"/>
        <v/>
      </c>
      <c r="P473" s="365">
        <f>IFERROR(VLOOKUP($G473,融外自投!$A:$J,7,0),"無")</f>
        <v>924</v>
      </c>
      <c r="Q473" s="79">
        <f>IFERROR(VLOOKUP($G473,融外自投!$A:$J,9,0),"無")</f>
        <v>1110</v>
      </c>
      <c r="R473" s="346">
        <f>IFERROR(VLOOKUP($G473,融外自投!$A:$J,8,0),"無")</f>
        <v>1110</v>
      </c>
      <c r="S473" s="81" t="str">
        <f>IFERROR(VLOOKUP($G473,融外自投!$A:$J,10,0),"無")</f>
        <v>無</v>
      </c>
      <c r="T473" s="327" t="str">
        <f>IFERROR(VLOOKUP($G473,'321買'!$A:$E,5,0),"'沒有資料'")</f>
        <v>'沒有資料'</v>
      </c>
      <c r="U473" s="186">
        <f>IFERROR(VLOOKUP($G473,基本資料!$A:$J,9,0),"無")</f>
        <v>2.2000000000000002</v>
      </c>
      <c r="V473" s="310">
        <f t="shared" si="96"/>
        <v>3.8327526132404185E-2</v>
      </c>
      <c r="W473" s="94">
        <f>IFERROR(VLOOKUP($G473,基本資料!$A:$J,10,0),"無")</f>
        <v>3.03</v>
      </c>
      <c r="X473" s="36">
        <f>RTD("money.excel",,"8349","Price")</f>
        <v>57.4</v>
      </c>
      <c r="Y473" s="66"/>
      <c r="Z473" s="15">
        <f t="shared" si="102"/>
        <v>57.4</v>
      </c>
      <c r="AA473" s="3" t="e">
        <f t="shared" si="103"/>
        <v>#DIV/0!</v>
      </c>
      <c r="AB473" s="344">
        <f>IFERROR(VLOOKUP($G473,基本資料!$A:$M,11,0),"無")</f>
        <v>-21.08</v>
      </c>
      <c r="AC473" s="397">
        <f>IFERROR(VLOOKUP($G473,基本資料!$A:$M,12,0),"無")</f>
        <v>44.89</v>
      </c>
      <c r="AD473" s="16" t="s">
        <v>3982</v>
      </c>
      <c r="AG473" s="33">
        <f t="shared" si="104"/>
        <v>0</v>
      </c>
      <c r="AH473" s="117" t="s">
        <v>3983</v>
      </c>
      <c r="AI473" s="63">
        <f t="shared" si="100"/>
        <v>1.5100671140939596E-4</v>
      </c>
      <c r="AJ473" s="284">
        <f>RTD("money.excel",,$G473,"PredictVolume")</f>
        <v>18</v>
      </c>
      <c r="AK473" s="399">
        <f>IFERROR(VLOOKUP($G473,基本資料!$A:$M,13,0),"無")</f>
        <v>2.2799999999999998</v>
      </c>
    </row>
    <row r="474" spans="1:37">
      <c r="A474" s="347">
        <f>IFERROR(VLOOKUP($G474,基本資料!$A:$J,3,0),"無")</f>
        <v>103</v>
      </c>
      <c r="B474" s="79">
        <f>IFERROR(VLOOKUP($G474,基本資料!$A:$J,4,0),"無")</f>
        <v>281</v>
      </c>
      <c r="C474" s="79">
        <f>IFERROR(VLOOKUP($G474,基本資料!$A:$J,5,0),"無")</f>
        <v>197</v>
      </c>
      <c r="D474" s="79">
        <f>IFERROR(VLOOKUP($G474,基本資料!$A:$J,6,0),"無")</f>
        <v>-8</v>
      </c>
      <c r="E474" s="79">
        <f>IFERROR(VLOOKUP($G474,基本資料!$A:$J,7,0),"無")</f>
        <v>35</v>
      </c>
      <c r="F474" s="6">
        <f>IFERROR(VLOOKUP($G474,基本資料!$A:$J,8,0),"無")</f>
        <v>21.23</v>
      </c>
      <c r="G474" s="79">
        <v>8415</v>
      </c>
      <c r="H474" s="8" t="s">
        <v>299</v>
      </c>
      <c r="I474" s="16" t="s">
        <v>3984</v>
      </c>
      <c r="J474" s="8">
        <f>IFERROR(VLOOKUP($G474,今日總結!$A:$AJ,35,0),"")</f>
        <v>0</v>
      </c>
      <c r="K474" s="5" t="str">
        <f>IFERROR(VLOOKUP($G474,今日總結!$A:$AJ,36,0),"")</f>
        <v>外</v>
      </c>
      <c r="L474" s="156">
        <f>IFERROR(VLOOKUP($G474,今日總結!$A:$AJ,33,0),"")</f>
        <v>0</v>
      </c>
      <c r="M474" s="340">
        <f>IFERROR(VLOOKUP($G474,今日總結!$A:$AJ,34,0),"")</f>
        <v>1</v>
      </c>
      <c r="N474" s="240">
        <f t="shared" si="105"/>
        <v>-1</v>
      </c>
      <c r="P474" s="365">
        <f>IFERROR(VLOOKUP($G474,融外自投!$A:$J,7,0),"無")</f>
        <v>968</v>
      </c>
      <c r="Q474" s="79">
        <f>IFERROR(VLOOKUP($G474,融外自投!$A:$J,9,0),"無")</f>
        <v>852</v>
      </c>
      <c r="R474" s="346">
        <f>IFERROR(VLOOKUP($G474,融外自投!$A:$J,8,0),"無")</f>
        <v>500</v>
      </c>
      <c r="S474" s="81" t="str">
        <f>IFERROR(VLOOKUP($G474,融外自投!$A:$J,10,0),"無")</f>
        <v>無</v>
      </c>
      <c r="T474" s="327">
        <f>IFERROR(VLOOKUP($G474,'321買'!$A:$E,5,0),"'沒有資料'")</f>
        <v>379</v>
      </c>
      <c r="U474" s="186">
        <f>IFERROR(VLOOKUP($G474,基本資料!$A:$J,9,0),"無")</f>
        <v>1.8</v>
      </c>
      <c r="V474" s="310">
        <f t="shared" si="96"/>
        <v>5.1063829787234047E-2</v>
      </c>
      <c r="W474" s="94">
        <f>IFERROR(VLOOKUP($G474,基本資料!$A:$J,10,0),"無")</f>
        <v>3.5</v>
      </c>
      <c r="X474" s="36">
        <f>RTD("money.excel",,"8415","Price")</f>
        <v>35.25</v>
      </c>
      <c r="Y474" s="66"/>
      <c r="Z474" s="15">
        <f t="shared" si="102"/>
        <v>35.25</v>
      </c>
      <c r="AA474" s="3" t="e">
        <f t="shared" si="103"/>
        <v>#DIV/0!</v>
      </c>
      <c r="AB474" s="344">
        <f>IFERROR(VLOOKUP($G474,基本資料!$A:$M,11,0),"無")</f>
        <v>-21.83</v>
      </c>
      <c r="AC474" s="397">
        <f>IFERROR(VLOOKUP($G474,基本資料!$A:$M,12,0),"無")</f>
        <v>19.43</v>
      </c>
      <c r="AD474" s="16" t="s">
        <v>3984</v>
      </c>
      <c r="AG474" s="33">
        <f t="shared" si="104"/>
        <v>0</v>
      </c>
      <c r="AH474" s="43" t="s">
        <v>3985</v>
      </c>
      <c r="AI474" s="63">
        <f t="shared" si="100"/>
        <v>1.2757281553398058E-3</v>
      </c>
      <c r="AJ474" s="284">
        <f>RTD("money.excel",,$G474,"PredictVolume")</f>
        <v>1314</v>
      </c>
      <c r="AK474" s="399">
        <f>IFERROR(VLOOKUP($G474,基本資料!$A:$M,13,0),"無")</f>
        <v>7.94</v>
      </c>
    </row>
    <row r="475" spans="1:37">
      <c r="A475" s="347">
        <f>IFERROR(VLOOKUP($G475,基本資料!$A:$J,3,0),"無")</f>
        <v>8.18</v>
      </c>
      <c r="B475" s="79">
        <f>IFERROR(VLOOKUP($G475,基本資料!$A:$J,4,0),"無")</f>
        <v>220</v>
      </c>
      <c r="C475" s="79">
        <f>IFERROR(VLOOKUP($G475,基本資料!$A:$J,5,0),"無")</f>
        <v>48</v>
      </c>
      <c r="D475" s="79">
        <f>IFERROR(VLOOKUP($G475,基本資料!$A:$J,6,0),"無")</f>
        <v>-15</v>
      </c>
      <c r="E475" s="79">
        <f>IFERROR(VLOOKUP($G475,基本資料!$A:$J,7,0),"無")</f>
        <v>26</v>
      </c>
      <c r="F475" s="6">
        <f>IFERROR(VLOOKUP($G475,基本資料!$A:$J,8,0),"無")</f>
        <v>10.32</v>
      </c>
      <c r="G475" s="79">
        <v>8930</v>
      </c>
      <c r="H475" s="8" t="s">
        <v>299</v>
      </c>
      <c r="I475" s="16" t="s">
        <v>3986</v>
      </c>
      <c r="J475" s="8">
        <f>IFERROR(VLOOKUP($G475,今日總結!$A:$AJ,35,0),"")</f>
        <v>0</v>
      </c>
      <c r="K475" s="5" t="str">
        <f>IFERROR(VLOOKUP($G475,今日總結!$A:$AJ,36,0),"")</f>
        <v>融</v>
      </c>
      <c r="L475" s="156">
        <f>IFERROR(VLOOKUP($G475,今日總結!$A:$AJ,33,0),"")</f>
        <v>0</v>
      </c>
      <c r="M475" s="340">
        <f>IFERROR(VLOOKUP($G475,今日總結!$A:$AJ,34,0),"")</f>
        <v>1</v>
      </c>
      <c r="N475" s="240">
        <f t="shared" si="105"/>
        <v>-1</v>
      </c>
      <c r="P475" s="365">
        <f>IFERROR(VLOOKUP($G475,融外自投!$A:$J,7,0),"無")</f>
        <v>507</v>
      </c>
      <c r="Q475" s="79" t="str">
        <f>IFERROR(VLOOKUP($G475,融外自投!$A:$J,9,0),"無")</f>
        <v>無</v>
      </c>
      <c r="R475" s="346">
        <f>IFERROR(VLOOKUP($G475,融外自投!$A:$J,8,0),"無")</f>
        <v>957</v>
      </c>
      <c r="S475" s="81" t="str">
        <f>IFERROR(VLOOKUP($G475,融外自投!$A:$J,10,0),"無")</f>
        <v>無</v>
      </c>
      <c r="T475" s="327">
        <f>IFERROR(VLOOKUP($G475,'321買'!$A:$E,5,0),"'沒有資料'")</f>
        <v>1126</v>
      </c>
      <c r="U475" s="186">
        <f>IFERROR(VLOOKUP($G475,基本資料!$A:$J,9,0),"無")</f>
        <v>0.8</v>
      </c>
      <c r="V475" s="310">
        <f t="shared" si="96"/>
        <v>5.0473186119873822E-2</v>
      </c>
      <c r="W475" s="94">
        <f>IFERROR(VLOOKUP($G475,基本資料!$A:$J,10,0),"無")</f>
        <v>1</v>
      </c>
      <c r="X475" s="36">
        <f>RTD("money.excel",,"8930","Price")</f>
        <v>15.85</v>
      </c>
      <c r="Y475" s="66"/>
      <c r="Z475" s="15">
        <f t="shared" si="102"/>
        <v>15.85</v>
      </c>
      <c r="AA475" s="3" t="e">
        <f t="shared" si="103"/>
        <v>#DIV/0!</v>
      </c>
      <c r="AB475" s="344">
        <f>IFERROR(VLOOKUP($G475,基本資料!$A:$M,11,0),"無")</f>
        <v>-30.75</v>
      </c>
      <c r="AC475" s="397">
        <f>IFERROR(VLOOKUP($G475,基本資料!$A:$M,12,0),"無")</f>
        <v>22.29</v>
      </c>
      <c r="AD475" s="16" t="s">
        <v>3986</v>
      </c>
      <c r="AG475" s="33">
        <f t="shared" si="104"/>
        <v>0</v>
      </c>
      <c r="AH475" s="43" t="s">
        <v>3987</v>
      </c>
      <c r="AI475" s="63">
        <f t="shared" si="100"/>
        <v>5.5867970660146695E-3</v>
      </c>
      <c r="AJ475" s="284">
        <f>RTD("money.excel",,$G475,"PredictVolume")</f>
        <v>457</v>
      </c>
      <c r="AK475" s="399">
        <f>IFERROR(VLOOKUP($G475,基本資料!$A:$M,13,0),"無")</f>
        <v>20.53</v>
      </c>
    </row>
    <row r="476" spans="1:37">
      <c r="A476" s="347">
        <f>IFERROR(VLOOKUP($G476,基本資料!$A:$J,3,0),"無")</f>
        <v>23.23</v>
      </c>
      <c r="B476" s="79">
        <f>IFERROR(VLOOKUP($G476,基本資料!$A:$J,4,0),"無")</f>
        <v>77</v>
      </c>
      <c r="C476" s="79">
        <f>IFERROR(VLOOKUP($G476,基本資料!$A:$J,5,0),"無")</f>
        <v>55</v>
      </c>
      <c r="D476" s="79">
        <f>IFERROR(VLOOKUP($G476,基本資料!$A:$J,6,0),"無")</f>
        <v>15</v>
      </c>
      <c r="E476" s="79">
        <f>IFERROR(VLOOKUP($G476,基本資料!$A:$J,7,0),"無")</f>
        <v>25</v>
      </c>
      <c r="F476" s="6">
        <f>IFERROR(VLOOKUP($G476,基本資料!$A:$J,8,0),"無")</f>
        <v>17.600000000000001</v>
      </c>
      <c r="G476" s="79">
        <v>9958</v>
      </c>
      <c r="H476" s="8" t="s">
        <v>299</v>
      </c>
      <c r="I476" s="22" t="s">
        <v>3988</v>
      </c>
      <c r="J476" s="8">
        <f>IFERROR(VLOOKUP($G476,今日總結!$A:$AJ,35,0),"")</f>
        <v>0</v>
      </c>
      <c r="K476" s="5" t="str">
        <f>IFERROR(VLOOKUP($G476,今日總結!$A:$AJ,36,0),"")</f>
        <v>借</v>
      </c>
      <c r="L476" s="156">
        <f>IFERROR(VLOOKUP($G476,今日總結!$A:$AJ,33,0),"")</f>
        <v>0</v>
      </c>
      <c r="M476" s="340">
        <f>IFERROR(VLOOKUP($G476,今日總結!$A:$AJ,34,0),"")</f>
        <v>2</v>
      </c>
      <c r="N476" s="240">
        <f t="shared" si="105"/>
        <v>-2</v>
      </c>
      <c r="P476" s="365">
        <f>IFERROR(VLOOKUP($G476,融外自投!$A:$J,7,0),"無")</f>
        <v>187</v>
      </c>
      <c r="Q476" s="79">
        <f>IFERROR(VLOOKUP($G476,融外自投!$A:$J,9,0),"無")</f>
        <v>586</v>
      </c>
      <c r="R476" s="346">
        <f>IFERROR(VLOOKUP($G476,融外自投!$A:$J,8,0),"無")</f>
        <v>492</v>
      </c>
      <c r="S476" s="81">
        <f>IFERROR(VLOOKUP($G476,融外自投!$A:$J,10,0),"無")</f>
        <v>60</v>
      </c>
      <c r="T476" s="327">
        <f>IFERROR(VLOOKUP($G476,'321買'!$A:$E,5,0),"'沒有資料'")</f>
        <v>480</v>
      </c>
      <c r="U476" s="186">
        <f>IFERROR(VLOOKUP($G476,基本資料!$A:$J,9,0),"無")</f>
        <v>3</v>
      </c>
      <c r="V476" s="310">
        <f t="shared" si="96"/>
        <v>2.5974025974025976E-2</v>
      </c>
      <c r="W476" s="94">
        <f>IFERROR(VLOOKUP($G476,基本資料!$A:$J,10,0),"無")</f>
        <v>5.45</v>
      </c>
      <c r="X476" s="36">
        <f>RTD("money.excel",,"9958","Price")</f>
        <v>115.5</v>
      </c>
      <c r="Y476" s="66"/>
      <c r="Z476" s="15">
        <f t="shared" si="102"/>
        <v>115.5</v>
      </c>
      <c r="AA476" s="3" t="e">
        <f t="shared" si="103"/>
        <v>#DIV/0!</v>
      </c>
      <c r="AB476" s="344">
        <f>IFERROR(VLOOKUP($G476,基本資料!$A:$M,11,0),"無")</f>
        <v>0</v>
      </c>
      <c r="AC476" s="397">
        <f>IFERROR(VLOOKUP($G476,基本資料!$A:$M,12,0),"無")</f>
        <v>0</v>
      </c>
      <c r="AD476" s="22" t="s">
        <v>3988</v>
      </c>
      <c r="AG476" s="33">
        <f t="shared" si="104"/>
        <v>0</v>
      </c>
      <c r="AH476" s="43" t="s">
        <v>3989</v>
      </c>
      <c r="AI476" s="63">
        <f t="shared" si="100"/>
        <v>1.4167025398191993E-2</v>
      </c>
      <c r="AJ476" s="284">
        <f>RTD("money.excel",,$G476,"PredictVolume")</f>
        <v>3291</v>
      </c>
      <c r="AK476" s="399">
        <f>IFERROR(VLOOKUP($G476,基本資料!$A:$M,13,0),"無")</f>
        <v>0</v>
      </c>
    </row>
    <row r="477" spans="1:37">
      <c r="A477" s="347">
        <f>IFERROR(VLOOKUP($G477,基本資料!$A:$J,3,0),"無")</f>
        <v>9.02</v>
      </c>
      <c r="B477" s="79">
        <f>IFERROR(VLOOKUP($G477,基本資料!$A:$J,4,0),"無")</f>
        <v>11658</v>
      </c>
      <c r="C477" s="79">
        <f>IFERROR(VLOOKUP($G477,基本資料!$A:$J,5,0),"無")</f>
        <v>2358</v>
      </c>
      <c r="D477" s="79">
        <f>IFERROR(VLOOKUP($G477,基本資料!$A:$J,6,0),"無")</f>
        <v>-32</v>
      </c>
      <c r="E477" s="79">
        <f>IFERROR(VLOOKUP($G477,基本資料!$A:$J,7,0),"無")</f>
        <v>56</v>
      </c>
      <c r="F477" s="6">
        <f>IFERROR(VLOOKUP($G477,基本資料!$A:$J,8,0),"無")</f>
        <v>6.32</v>
      </c>
      <c r="G477" s="79">
        <v>9962</v>
      </c>
      <c r="H477" s="8" t="s">
        <v>299</v>
      </c>
      <c r="I477" s="16" t="s">
        <v>3990</v>
      </c>
      <c r="J477" s="8">
        <f>IFERROR(VLOOKUP($G477,今日總結!$A:$AJ,35,0),"")</f>
        <v>4</v>
      </c>
      <c r="K477" s="5">
        <f>IFERROR(VLOOKUP($G477,今日總結!$A:$AJ,36,0),"")</f>
        <v>0</v>
      </c>
      <c r="L477" s="156">
        <f>IFERROR(VLOOKUP($G477,今日總結!$A:$AJ,33,0),"")</f>
        <v>1</v>
      </c>
      <c r="M477" s="340">
        <f>IFERROR(VLOOKUP($G477,今日總結!$A:$AJ,34,0),"")</f>
        <v>0</v>
      </c>
      <c r="N477" s="240">
        <f t="shared" si="105"/>
        <v>1</v>
      </c>
      <c r="P477" s="365">
        <f>IFERROR(VLOOKUP($G477,融外自投!$A:$J,7,0),"無")</f>
        <v>273</v>
      </c>
      <c r="Q477" s="79">
        <f>IFERROR(VLOOKUP($G477,融外自投!$A:$J,9,0),"無")</f>
        <v>68</v>
      </c>
      <c r="R477" s="346">
        <f>IFERROR(VLOOKUP($G477,融外自投!$A:$J,8,0),"無")</f>
        <v>958</v>
      </c>
      <c r="S477" s="81" t="str">
        <f>IFERROR(VLOOKUP($G477,融外自投!$A:$J,10,0),"無")</f>
        <v>無</v>
      </c>
      <c r="T477" s="327">
        <f>IFERROR(VLOOKUP($G477,'321買'!$A:$E,5,0),"'沒有資料'")</f>
        <v>445</v>
      </c>
      <c r="U477" s="186">
        <f>IFERROR(VLOOKUP($G477,基本資料!$A:$J,9,0),"無")</f>
        <v>1.1000000000000001</v>
      </c>
      <c r="V477" s="310">
        <f t="shared" si="96"/>
        <v>6.3218390804597707E-2</v>
      </c>
      <c r="W477" s="94">
        <f>IFERROR(VLOOKUP($G477,基本資料!$A:$J,10,0),"無")</f>
        <v>1.55</v>
      </c>
      <c r="X477" s="36">
        <f>RTD("money.excel",,"9962","Price")</f>
        <v>17.399999999999999</v>
      </c>
      <c r="Y477" s="66"/>
      <c r="Z477" s="15">
        <f t="shared" si="102"/>
        <v>17.399999999999999</v>
      </c>
      <c r="AA477" s="3" t="e">
        <f t="shared" si="103"/>
        <v>#DIV/0!</v>
      </c>
      <c r="AB477" s="344">
        <f>IFERROR(VLOOKUP($G477,基本資料!$A:$M,11,0),"無")</f>
        <v>0</v>
      </c>
      <c r="AC477" s="397">
        <f>IFERROR(VLOOKUP($G477,基本資料!$A:$M,12,0),"無")</f>
        <v>0</v>
      </c>
      <c r="AD477" s="16" t="s">
        <v>3990</v>
      </c>
      <c r="AG477" s="33">
        <f t="shared" si="104"/>
        <v>0</v>
      </c>
      <c r="AH477" s="43" t="s">
        <v>3991</v>
      </c>
      <c r="AI477" s="63">
        <f t="shared" si="100"/>
        <v>1.0609756097560976E-2</v>
      </c>
      <c r="AJ477" s="284">
        <f>RTD("money.excel",,$G477,"PredictVolume")</f>
        <v>957</v>
      </c>
      <c r="AK477" s="399">
        <f>IFERROR(VLOOKUP($G477,基本資料!$A:$M,13,0),"無")</f>
        <v>0</v>
      </c>
    </row>
    <row r="478" spans="1:37">
      <c r="A478" s="142"/>
      <c r="B478" s="194"/>
      <c r="C478" s="90"/>
      <c r="D478" s="90"/>
      <c r="E478" s="90"/>
      <c r="F478" s="6"/>
      <c r="G478" s="79"/>
      <c r="H478" s="8"/>
      <c r="I478" s="16"/>
      <c r="L478" s="2"/>
      <c r="S478" s="26"/>
      <c r="U478" s="34"/>
      <c r="W478" s="94"/>
      <c r="X478" s="36"/>
      <c r="Y478" s="66"/>
      <c r="Z478" s="15"/>
      <c r="AA478" s="3"/>
      <c r="AD478" s="16"/>
      <c r="AG478" s="33"/>
      <c r="AH478" s="43"/>
      <c r="AI478" s="63"/>
      <c r="AJ478" s="284"/>
    </row>
    <row r="479" spans="1:37">
      <c r="A479" s="127" t="s">
        <v>3876</v>
      </c>
      <c r="B479" s="90" t="s">
        <v>3877</v>
      </c>
      <c r="C479" s="90" t="s">
        <v>3878</v>
      </c>
      <c r="D479" s="90" t="s">
        <v>3879</v>
      </c>
      <c r="E479" s="90" t="s">
        <v>3880</v>
      </c>
      <c r="F479" s="8" t="s">
        <v>3881</v>
      </c>
      <c r="G479" s="27" t="s">
        <v>941</v>
      </c>
      <c r="H479" s="55" t="s">
        <v>320</v>
      </c>
      <c r="I479" s="8" t="s">
        <v>3992</v>
      </c>
      <c r="J479" s="8" t="s">
        <v>6221</v>
      </c>
      <c r="K479" s="5" t="s">
        <v>6222</v>
      </c>
      <c r="L479" s="337" t="s">
        <v>6206</v>
      </c>
      <c r="M479" s="338" t="s">
        <v>6207</v>
      </c>
      <c r="N479" s="339" t="s">
        <v>6208</v>
      </c>
      <c r="O479" s="4" t="s">
        <v>6713</v>
      </c>
      <c r="P479" s="89" t="s">
        <v>6285</v>
      </c>
      <c r="Q479" s="293" t="s">
        <v>6284</v>
      </c>
      <c r="R479" s="354" t="s">
        <v>6283</v>
      </c>
      <c r="S479" s="26" t="s">
        <v>6286</v>
      </c>
      <c r="T479" s="321" t="s">
        <v>4716</v>
      </c>
      <c r="U479" s="10" t="s">
        <v>3884</v>
      </c>
      <c r="V479" s="308" t="s">
        <v>4731</v>
      </c>
      <c r="W479" s="68" t="s">
        <v>3273</v>
      </c>
      <c r="X479" s="28" t="s">
        <v>2</v>
      </c>
      <c r="Y479" s="17" t="s">
        <v>3885</v>
      </c>
      <c r="Z479" s="14" t="s">
        <v>3886</v>
      </c>
      <c r="AA479" s="21" t="s">
        <v>3887</v>
      </c>
      <c r="AB479" s="96" t="s">
        <v>6174</v>
      </c>
      <c r="AC479" s="384" t="s">
        <v>6420</v>
      </c>
      <c r="AD479" s="8" t="s">
        <v>3992</v>
      </c>
      <c r="AE479" s="71" t="s">
        <v>3888</v>
      </c>
      <c r="AF479" s="72" t="s">
        <v>3889</v>
      </c>
      <c r="AG479" s="32" t="s">
        <v>3890</v>
      </c>
      <c r="AH479" s="25" t="s">
        <v>6209</v>
      </c>
      <c r="AI479" s="8" t="s">
        <v>6731</v>
      </c>
      <c r="AJ479" s="50" t="s">
        <v>3361</v>
      </c>
      <c r="AK479" s="44" t="s">
        <v>6730</v>
      </c>
    </row>
    <row r="480" spans="1:37">
      <c r="A480" s="347">
        <f>IFERROR(VLOOKUP($G480,基本資料!$A:$J,3,0),"無")</f>
        <v>83.39</v>
      </c>
      <c r="B480" s="79">
        <f>IFERROR(VLOOKUP($G480,基本資料!$A:$J,4,0),"無")</f>
        <v>-128</v>
      </c>
      <c r="C480" s="79">
        <f>IFERROR(VLOOKUP($G480,基本資料!$A:$J,5,0),"無")</f>
        <v>-180</v>
      </c>
      <c r="D480" s="79">
        <f>IFERROR(VLOOKUP($G480,基本資料!$A:$J,6,0),"無")</f>
        <v>13</v>
      </c>
      <c r="E480" s="79">
        <f>IFERROR(VLOOKUP($G480,基本資料!$A:$J,7,0),"無")</f>
        <v>20</v>
      </c>
      <c r="F480" s="6">
        <f>IFERROR(VLOOKUP($G480,基本資料!$A:$J,8,0),"無")</f>
        <v>-10.29</v>
      </c>
      <c r="G480" s="79">
        <v>2101</v>
      </c>
      <c r="H480" s="8" t="s">
        <v>300</v>
      </c>
      <c r="I480" s="22" t="s">
        <v>3993</v>
      </c>
      <c r="J480" s="8" t="str">
        <f>IFERROR(VLOOKUP($G480,今日總結!$A:$AJ,35,0),"")</f>
        <v/>
      </c>
      <c r="K480" s="5" t="str">
        <f>IFERROR(VLOOKUP($G480,今日總結!$A:$AJ,36,0),"")</f>
        <v/>
      </c>
      <c r="L480" s="156" t="str">
        <f>IFERROR(VLOOKUP($G480,今日總結!$A:$AJ,33,0),"")</f>
        <v/>
      </c>
      <c r="M480" s="340" t="str">
        <f>IFERROR(VLOOKUP($G480,今日總結!$A:$AJ,34,0),"")</f>
        <v/>
      </c>
      <c r="N480" s="240" t="str">
        <f t="shared" ref="N480" si="106">IFERROR(L480-M480,"")</f>
        <v/>
      </c>
      <c r="P480" s="365">
        <f>IFERROR(VLOOKUP($G480,融外自投!$A:$J,7,0),"無")</f>
        <v>637</v>
      </c>
      <c r="Q480" s="79">
        <f>IFERROR(VLOOKUP($G480,融外自投!$A:$J,9,0),"無")</f>
        <v>852</v>
      </c>
      <c r="R480" s="346">
        <f>IFERROR(VLOOKUP($G480,融外自投!$A:$J,8,0),"無")</f>
        <v>749</v>
      </c>
      <c r="S480" s="81" t="str">
        <f>IFERROR(VLOOKUP($G480,融外自投!$A:$J,10,0),"無")</f>
        <v>無</v>
      </c>
      <c r="T480" s="327">
        <f>IFERROR(VLOOKUP($G480,'321買'!$A:$E,5,0),"'沒有資料'")</f>
        <v>237</v>
      </c>
      <c r="U480" s="186">
        <f>IFERROR(VLOOKUP($G480,基本資料!$A:$J,9,0),"無")</f>
        <v>0</v>
      </c>
      <c r="V480" s="310">
        <f t="shared" ref="V480:V491" si="107">$U480/$X480</f>
        <v>0</v>
      </c>
      <c r="W480" s="94">
        <f>IFERROR(VLOOKUP($G480,基本資料!$A:$J,10,0),"無")</f>
        <v>-0.28999999999999998</v>
      </c>
      <c r="X480" s="36">
        <f>RTD("money.excel",,"2101","Price")</f>
        <v>39.5</v>
      </c>
      <c r="Y480" s="66"/>
      <c r="Z480" s="15">
        <f t="shared" ref="Z480:Z491" si="108">X480-Y480</f>
        <v>39.5</v>
      </c>
      <c r="AA480" s="3" t="e">
        <f t="shared" ref="AA480:AA491" si="109">Z480/Y480</f>
        <v>#DIV/0!</v>
      </c>
      <c r="AB480" s="344">
        <f>IFERROR(VLOOKUP($G480,基本資料!$A:$M,11,0),"無")</f>
        <v>-21.5</v>
      </c>
      <c r="AC480" s="397">
        <f>IFERROR(VLOOKUP($G480,基本資料!$A:$M,12,0),"無")</f>
        <v>17.36</v>
      </c>
      <c r="AD480" s="22" t="s">
        <v>3993</v>
      </c>
      <c r="AG480" s="33">
        <f t="shared" ref="AG480:AG491" si="110">AF480-AE480</f>
        <v>0</v>
      </c>
      <c r="AH480" s="117" t="s">
        <v>3994</v>
      </c>
      <c r="AI480" s="63">
        <f t="shared" ref="AI480:AI491" si="111">AJ480/(A480*10000)</f>
        <v>1.08166446816165E-3</v>
      </c>
      <c r="AJ480" s="284">
        <f>RTD("money.excel",,$G480,"PredictVolume")</f>
        <v>902</v>
      </c>
      <c r="AK480" s="399">
        <f>IFERROR(VLOOKUP($G480,基本資料!$A:$M,13,0),"無")</f>
        <v>8.01</v>
      </c>
    </row>
    <row r="481" spans="1:37">
      <c r="A481" s="347">
        <f>IFERROR(VLOOKUP($G481,基本資料!$A:$J,3,0),"無")</f>
        <v>47.33</v>
      </c>
      <c r="B481" s="79">
        <f>IFERROR(VLOOKUP($G481,基本資料!$A:$J,4,0),"無")</f>
        <v>-2208</v>
      </c>
      <c r="C481" s="79">
        <f>IFERROR(VLOOKUP($G481,基本資料!$A:$J,5,0),"無")</f>
        <v>-847</v>
      </c>
      <c r="D481" s="79">
        <f>IFERROR(VLOOKUP($G481,基本資料!$A:$J,6,0),"無")</f>
        <v>-7</v>
      </c>
      <c r="E481" s="79">
        <f>IFERROR(VLOOKUP($G481,基本資料!$A:$J,7,0),"無")</f>
        <v>11</v>
      </c>
      <c r="F481" s="6">
        <f>IFERROR(VLOOKUP($G481,基本資料!$A:$J,8,0),"無")</f>
        <v>-118.38</v>
      </c>
      <c r="G481" s="79">
        <v>2102</v>
      </c>
      <c r="H481" s="8" t="s">
        <v>300</v>
      </c>
      <c r="I481" s="22" t="s">
        <v>3995</v>
      </c>
      <c r="J481" s="8">
        <f>IFERROR(VLOOKUP($G481,今日總結!$A:$AJ,35,0),"")</f>
        <v>0</v>
      </c>
      <c r="K481" s="5">
        <f>IFERROR(VLOOKUP($G481,今日總結!$A:$AJ,36,0),"")</f>
        <v>0</v>
      </c>
      <c r="L481" s="156">
        <f>IFERROR(VLOOKUP($G481,今日總結!$A:$AJ,33,0),"")</f>
        <v>0</v>
      </c>
      <c r="M481" s="340">
        <f>IFERROR(VLOOKUP($G481,今日總結!$A:$AJ,34,0),"")</f>
        <v>1</v>
      </c>
      <c r="N481" s="240">
        <f t="shared" ref="N481:N491" si="112">IFERROR(L481-M481,"")</f>
        <v>-1</v>
      </c>
      <c r="P481" s="365">
        <f>IFERROR(VLOOKUP($G481,融外自投!$A:$J,7,0),"無")</f>
        <v>767</v>
      </c>
      <c r="Q481" s="79">
        <f>IFERROR(VLOOKUP($G481,融外自投!$A:$J,9,0),"無")</f>
        <v>492</v>
      </c>
      <c r="R481" s="346">
        <f>IFERROR(VLOOKUP($G481,融外自投!$A:$J,8,0),"無")</f>
        <v>715</v>
      </c>
      <c r="S481" s="81" t="str">
        <f>IFERROR(VLOOKUP($G481,融外自投!$A:$J,10,0),"無")</f>
        <v>無</v>
      </c>
      <c r="T481" s="327">
        <f>IFERROR(VLOOKUP($G481,'321買'!$A:$E,5,0),"'沒有資料'")</f>
        <v>623</v>
      </c>
      <c r="U481" s="186">
        <f>IFERROR(VLOOKUP($G481,基本資料!$A:$J,9,0),"無")</f>
        <v>0</v>
      </c>
      <c r="V481" s="310">
        <f t="shared" si="107"/>
        <v>0</v>
      </c>
      <c r="W481" s="94">
        <f>IFERROR(VLOOKUP($G481,基本資料!$A:$J,10,0),"無")</f>
        <v>-5.1100000000000003</v>
      </c>
      <c r="X481" s="36">
        <f>RTD("money.excel",,"2102","Price")</f>
        <v>23</v>
      </c>
      <c r="Y481" s="66"/>
      <c r="Z481" s="15">
        <f t="shared" si="108"/>
        <v>23</v>
      </c>
      <c r="AA481" s="3" t="e">
        <f t="shared" si="109"/>
        <v>#DIV/0!</v>
      </c>
      <c r="AB481" s="344">
        <f>IFERROR(VLOOKUP($G481,基本資料!$A:$M,11,0),"無")</f>
        <v>-39.46</v>
      </c>
      <c r="AC481" s="397">
        <f>IFERROR(VLOOKUP($G481,基本資料!$A:$M,12,0),"無")</f>
        <v>9.56</v>
      </c>
      <c r="AD481" s="22" t="s">
        <v>3995</v>
      </c>
      <c r="AG481" s="33">
        <f t="shared" si="110"/>
        <v>0</v>
      </c>
      <c r="AH481" s="43" t="s">
        <v>3996</v>
      </c>
      <c r="AI481" s="63">
        <f t="shared" si="111"/>
        <v>5.1996619480245091E-3</v>
      </c>
      <c r="AJ481" s="284">
        <f>RTD("money.excel",,$G481,"PredictVolume")</f>
        <v>2461</v>
      </c>
      <c r="AK481" s="399">
        <f>IFERROR(VLOOKUP($G481,基本資料!$A:$M,13,0),"無")</f>
        <v>7.36</v>
      </c>
    </row>
    <row r="482" spans="1:37">
      <c r="A482" s="347">
        <f>IFERROR(VLOOKUP($G482,基本資料!$A:$J,3,0),"無")</f>
        <v>82.57</v>
      </c>
      <c r="B482" s="79">
        <f>IFERROR(VLOOKUP($G482,基本資料!$A:$J,4,0),"無")</f>
        <v>1973</v>
      </c>
      <c r="C482" s="79">
        <f>IFERROR(VLOOKUP($G482,基本資料!$A:$J,5,0),"無")</f>
        <v>377</v>
      </c>
      <c r="D482" s="79">
        <f>IFERROR(VLOOKUP($G482,基本資料!$A:$J,6,0),"無")</f>
        <v>-2</v>
      </c>
      <c r="E482" s="79">
        <f>IFERROR(VLOOKUP($G482,基本資料!$A:$J,7,0),"無")</f>
        <v>0</v>
      </c>
      <c r="F482" s="6">
        <f>IFERROR(VLOOKUP($G482,基本資料!$A:$J,8,0),"無")</f>
        <v>12.07</v>
      </c>
      <c r="G482" s="79">
        <v>2103</v>
      </c>
      <c r="H482" s="8" t="s">
        <v>300</v>
      </c>
      <c r="I482" s="153" t="s">
        <v>3997</v>
      </c>
      <c r="J482" s="8" t="str">
        <f>IFERROR(VLOOKUP($G482,今日總結!$A:$AJ,35,0),"")</f>
        <v/>
      </c>
      <c r="K482" s="5" t="str">
        <f>IFERROR(VLOOKUP($G482,今日總結!$A:$AJ,36,0),"")</f>
        <v/>
      </c>
      <c r="L482" s="156" t="str">
        <f>IFERROR(VLOOKUP($G482,今日總結!$A:$AJ,33,0),"")</f>
        <v/>
      </c>
      <c r="M482" s="340" t="str">
        <f>IFERROR(VLOOKUP($G482,今日總結!$A:$AJ,34,0),"")</f>
        <v/>
      </c>
      <c r="N482" s="240" t="str">
        <f t="shared" si="112"/>
        <v/>
      </c>
      <c r="P482" s="365">
        <f>IFERROR(VLOOKUP($G482,融外自投!$A:$J,7,0),"無")</f>
        <v>1012</v>
      </c>
      <c r="Q482" s="79">
        <f>IFERROR(VLOOKUP($G482,融外自投!$A:$J,9,0),"無")</f>
        <v>896</v>
      </c>
      <c r="R482" s="346">
        <f>IFERROR(VLOOKUP($G482,融外自投!$A:$J,8,0),"無")</f>
        <v>185</v>
      </c>
      <c r="S482" s="81" t="str">
        <f>IFERROR(VLOOKUP($G482,融外自投!$A:$J,10,0),"無")</f>
        <v>無</v>
      </c>
      <c r="T482" s="327">
        <f>IFERROR(VLOOKUP($G482,'321買'!$A:$E,5,0),"'沒有資料'")</f>
        <v>503</v>
      </c>
      <c r="U482" s="186">
        <f>IFERROR(VLOOKUP($G482,基本資料!$A:$J,9,0),"無")</f>
        <v>2.4</v>
      </c>
      <c r="V482" s="310">
        <f t="shared" si="107"/>
        <v>8.2758620689655171E-2</v>
      </c>
      <c r="W482" s="94">
        <f>IFERROR(VLOOKUP($G482,基本資料!$A:$J,10,0),"無")</f>
        <v>4.76</v>
      </c>
      <c r="X482" s="36">
        <f>RTD("money.excel",,"2103","Price")</f>
        <v>29</v>
      </c>
      <c r="Y482" s="66"/>
      <c r="Z482" s="15">
        <f t="shared" si="108"/>
        <v>29</v>
      </c>
      <c r="AA482" s="3" t="e">
        <f t="shared" si="109"/>
        <v>#DIV/0!</v>
      </c>
      <c r="AB482" s="344">
        <f>IFERROR(VLOOKUP($G482,基本資料!$A:$M,11,0),"無")</f>
        <v>-32.46</v>
      </c>
      <c r="AC482" s="397">
        <f>IFERROR(VLOOKUP($G482,基本資料!$A:$M,12,0),"無")</f>
        <v>11.72</v>
      </c>
      <c r="AD482" s="22" t="s">
        <v>3997</v>
      </c>
      <c r="AG482" s="33">
        <f t="shared" si="110"/>
        <v>0</v>
      </c>
      <c r="AH482" s="117" t="s">
        <v>3135</v>
      </c>
      <c r="AI482" s="63">
        <f t="shared" si="111"/>
        <v>3.5303378951192931E-3</v>
      </c>
      <c r="AJ482" s="284">
        <f>RTD("money.excel",,$G482,"PredictVolume")</f>
        <v>2915</v>
      </c>
      <c r="AK482" s="399">
        <f>IFERROR(VLOOKUP($G482,基本資料!$A:$M,13,0),"無")</f>
        <v>13.35</v>
      </c>
    </row>
    <row r="483" spans="1:37">
      <c r="A483" s="347">
        <f>IFERROR(VLOOKUP($G483,基本資料!$A:$J,3,0),"無")</f>
        <v>98.47</v>
      </c>
      <c r="B483" s="79">
        <f>IFERROR(VLOOKUP($G483,基本資料!$A:$J,4,0),"無")</f>
        <v>407</v>
      </c>
      <c r="C483" s="79">
        <f>IFERROR(VLOOKUP($G483,基本資料!$A:$J,5,0),"無")</f>
        <v>268</v>
      </c>
      <c r="D483" s="79">
        <f>IFERROR(VLOOKUP($G483,基本資料!$A:$J,6,0),"無")</f>
        <v>17</v>
      </c>
      <c r="E483" s="79">
        <f>IFERROR(VLOOKUP($G483,基本資料!$A:$J,7,0),"無")</f>
        <v>-3</v>
      </c>
      <c r="F483" s="6">
        <f>IFERROR(VLOOKUP($G483,基本資料!$A:$J,8,0),"無")</f>
        <v>21.03</v>
      </c>
      <c r="G483" s="79">
        <v>2104</v>
      </c>
      <c r="H483" s="8" t="s">
        <v>300</v>
      </c>
      <c r="I483" s="22" t="s">
        <v>3998</v>
      </c>
      <c r="J483" s="8" t="str">
        <f>IFERROR(VLOOKUP($G483,今日總結!$A:$AJ,35,0),"")</f>
        <v/>
      </c>
      <c r="K483" s="5" t="str">
        <f>IFERROR(VLOOKUP($G483,今日總結!$A:$AJ,36,0),"")</f>
        <v/>
      </c>
      <c r="L483" s="156" t="str">
        <f>IFERROR(VLOOKUP($G483,今日總結!$A:$AJ,33,0),"")</f>
        <v/>
      </c>
      <c r="M483" s="340" t="str">
        <f>IFERROR(VLOOKUP($G483,今日總結!$A:$AJ,34,0),"")</f>
        <v/>
      </c>
      <c r="N483" s="240" t="str">
        <f t="shared" si="112"/>
        <v/>
      </c>
      <c r="P483" s="365">
        <f>IFERROR(VLOOKUP($G483,融外自投!$A:$J,7,0),"無")</f>
        <v>1065</v>
      </c>
      <c r="Q483" s="79">
        <f>IFERROR(VLOOKUP($G483,融外自投!$A:$J,9,0),"無")</f>
        <v>614</v>
      </c>
      <c r="R483" s="346">
        <f>IFERROR(VLOOKUP($G483,融外自投!$A:$J,8,0),"無")</f>
        <v>436</v>
      </c>
      <c r="S483" s="81">
        <f>IFERROR(VLOOKUP($G483,融外自投!$A:$J,10,0),"無")</f>
        <v>437</v>
      </c>
      <c r="T483" s="327">
        <f>IFERROR(VLOOKUP($G483,'321買'!$A:$E,5,0),"'沒有資料'")</f>
        <v>357</v>
      </c>
      <c r="U483" s="186">
        <f>IFERROR(VLOOKUP($G483,基本資料!$A:$J,9,0),"無")</f>
        <v>0.2</v>
      </c>
      <c r="V483" s="310">
        <f t="shared" si="107"/>
        <v>9.2165898617511521E-3</v>
      </c>
      <c r="W483" s="94">
        <f>IFERROR(VLOOKUP($G483,基本資料!$A:$J,10,0),"無")</f>
        <v>3.5</v>
      </c>
      <c r="X483" s="36">
        <f>RTD("money.excel",,"2104","Price")</f>
        <v>21.7</v>
      </c>
      <c r="Y483" s="66"/>
      <c r="Z483" s="15">
        <f t="shared" si="108"/>
        <v>21.7</v>
      </c>
      <c r="AA483" s="3" t="e">
        <f t="shared" si="109"/>
        <v>#DIV/0!</v>
      </c>
      <c r="AB483" s="344">
        <f>IFERROR(VLOOKUP($G483,基本資料!$A:$M,11,0),"無")</f>
        <v>-24.58</v>
      </c>
      <c r="AC483" s="397">
        <f>IFERROR(VLOOKUP($G483,基本資料!$A:$M,12,0),"無")</f>
        <v>12.43</v>
      </c>
      <c r="AD483" s="22" t="s">
        <v>3998</v>
      </c>
      <c r="AG483" s="33">
        <f t="shared" si="110"/>
        <v>0</v>
      </c>
      <c r="AH483" s="43" t="s">
        <v>3999</v>
      </c>
      <c r="AI483" s="63">
        <f t="shared" si="111"/>
        <v>4.1515182289022035E-3</v>
      </c>
      <c r="AJ483" s="284">
        <f>RTD("money.excel",,$G483,"PredictVolume")</f>
        <v>4088</v>
      </c>
      <c r="AK483" s="399">
        <f>IFERROR(VLOOKUP($G483,基本資料!$A:$M,13,0),"無")</f>
        <v>4.75</v>
      </c>
    </row>
    <row r="484" spans="1:37">
      <c r="A484" s="347">
        <f>IFERROR(VLOOKUP($G484,基本資料!$A:$J,3,0),"無")</f>
        <v>324</v>
      </c>
      <c r="B484" s="79">
        <f>IFERROR(VLOOKUP($G484,基本資料!$A:$J,4,0),"無")</f>
        <v>-11</v>
      </c>
      <c r="C484" s="79">
        <f>IFERROR(VLOOKUP($G484,基本資料!$A:$J,5,0),"無")</f>
        <v>-10</v>
      </c>
      <c r="D484" s="79">
        <f>IFERROR(VLOOKUP($G484,基本資料!$A:$J,6,0),"無")</f>
        <v>-25</v>
      </c>
      <c r="E484" s="79">
        <f>IFERROR(VLOOKUP($G484,基本資料!$A:$J,7,0),"無")</f>
        <v>-16</v>
      </c>
      <c r="F484" s="6">
        <f>IFERROR(VLOOKUP($G484,基本資料!$A:$J,8,0),"無")</f>
        <v>7.54</v>
      </c>
      <c r="G484" s="79">
        <v>2105</v>
      </c>
      <c r="H484" s="8" t="s">
        <v>300</v>
      </c>
      <c r="I484" s="22" t="s">
        <v>4000</v>
      </c>
      <c r="J484" s="8" t="str">
        <f>IFERROR(VLOOKUP($G484,今日總結!$A:$AJ,35,0),"")</f>
        <v/>
      </c>
      <c r="K484" s="5" t="str">
        <f>IFERROR(VLOOKUP($G484,今日總結!$A:$AJ,36,0),"")</f>
        <v/>
      </c>
      <c r="L484" s="156" t="str">
        <f>IFERROR(VLOOKUP($G484,今日總結!$A:$AJ,33,0),"")</f>
        <v/>
      </c>
      <c r="M484" s="340" t="str">
        <f>IFERROR(VLOOKUP($G484,今日總結!$A:$AJ,34,0),"")</f>
        <v/>
      </c>
      <c r="N484" s="240" t="str">
        <f t="shared" si="112"/>
        <v/>
      </c>
      <c r="P484" s="365">
        <f>IFERROR(VLOOKUP($G484,融外自投!$A:$J,7,0),"無")</f>
        <v>1276</v>
      </c>
      <c r="Q484" s="79">
        <f>IFERROR(VLOOKUP($G484,融外自投!$A:$J,9,0),"無")</f>
        <v>1110</v>
      </c>
      <c r="R484" s="346">
        <f>IFERROR(VLOOKUP($G484,融外自投!$A:$J,8,0),"無")</f>
        <v>383</v>
      </c>
      <c r="S484" s="81">
        <f>IFERROR(VLOOKUP($G484,融外自投!$A:$J,10,0),"無")</f>
        <v>374</v>
      </c>
      <c r="T484" s="327">
        <f>IFERROR(VLOOKUP($G484,'321買'!$A:$E,5,0),"'沒有資料'")</f>
        <v>318</v>
      </c>
      <c r="U484" s="186">
        <f>IFERROR(VLOOKUP($G484,基本資料!$A:$J,9,0),"無")</f>
        <v>1.2</v>
      </c>
      <c r="V484" s="310">
        <f t="shared" si="107"/>
        <v>3.6363636363636362E-2</v>
      </c>
      <c r="W484" s="94">
        <f>IFERROR(VLOOKUP($G484,基本資料!$A:$J,10,0),"無")</f>
        <v>1.63</v>
      </c>
      <c r="X484" s="36">
        <f>RTD("money.excel",,"2105","Price")</f>
        <v>33</v>
      </c>
      <c r="Y484" s="66"/>
      <c r="Z484" s="15">
        <f t="shared" si="108"/>
        <v>33</v>
      </c>
      <c r="AA484" s="3" t="e">
        <f t="shared" si="109"/>
        <v>#DIV/0!</v>
      </c>
      <c r="AB484" s="344">
        <f>IFERROR(VLOOKUP($G484,基本資料!$A:$M,11,0),"無")</f>
        <v>-30.31</v>
      </c>
      <c r="AC484" s="397">
        <f>IFERROR(VLOOKUP($G484,基本資料!$A:$M,12,0),"無")</f>
        <v>21.32</v>
      </c>
      <c r="AD484" s="22" t="s">
        <v>4000</v>
      </c>
      <c r="AG484" s="33">
        <f t="shared" si="110"/>
        <v>0</v>
      </c>
      <c r="AH484" s="117" t="s">
        <v>3996</v>
      </c>
      <c r="AI484" s="63">
        <f t="shared" si="111"/>
        <v>8.9351851851851853E-4</v>
      </c>
      <c r="AJ484" s="284">
        <f>RTD("money.excel",,$G484,"PredictVolume")</f>
        <v>2895</v>
      </c>
      <c r="AK484" s="399">
        <f>IFERROR(VLOOKUP($G484,基本資料!$A:$M,13,0),"無")</f>
        <v>1.77</v>
      </c>
    </row>
    <row r="485" spans="1:37">
      <c r="A485" s="347">
        <f>IFERROR(VLOOKUP($G485,基本資料!$A:$J,3,0),"無")</f>
        <v>90.94</v>
      </c>
      <c r="B485" s="79">
        <f>IFERROR(VLOOKUP($G485,基本資料!$A:$J,4,0),"無")</f>
        <v>-5</v>
      </c>
      <c r="C485" s="79">
        <f>IFERROR(VLOOKUP($G485,基本資料!$A:$J,5,0),"無")</f>
        <v>13</v>
      </c>
      <c r="D485" s="79">
        <f>IFERROR(VLOOKUP($G485,基本資料!$A:$J,6,0),"無")</f>
        <v>40</v>
      </c>
      <c r="E485" s="79">
        <f>IFERROR(VLOOKUP($G485,基本資料!$A:$J,7,0),"無")</f>
        <v>15</v>
      </c>
      <c r="F485" s="6">
        <f>IFERROR(VLOOKUP($G485,基本資料!$A:$J,8,0),"無")</f>
        <v>4.99</v>
      </c>
      <c r="G485" s="79">
        <v>2106</v>
      </c>
      <c r="H485" s="8" t="s">
        <v>300</v>
      </c>
      <c r="I485" s="22" t="s">
        <v>4001</v>
      </c>
      <c r="J485" s="8">
        <f>IFERROR(VLOOKUP($G485,今日總結!$A:$AJ,35,0),"")</f>
        <v>0</v>
      </c>
      <c r="K485" s="5">
        <f>IFERROR(VLOOKUP($G485,今日總結!$A:$AJ,36,0),"")</f>
        <v>0</v>
      </c>
      <c r="L485" s="156">
        <f>IFERROR(VLOOKUP($G485,今日總結!$A:$AJ,33,0),"")</f>
        <v>0</v>
      </c>
      <c r="M485" s="340">
        <f>IFERROR(VLOOKUP($G485,今日總結!$A:$AJ,34,0),"")</f>
        <v>1</v>
      </c>
      <c r="N485" s="240">
        <f t="shared" si="112"/>
        <v>-1</v>
      </c>
      <c r="P485" s="365">
        <f>IFERROR(VLOOKUP($G485,融外自投!$A:$J,7,0),"無")</f>
        <v>1224</v>
      </c>
      <c r="Q485" s="79">
        <f>IFERROR(VLOOKUP($G485,融外自投!$A:$J,9,0),"無")</f>
        <v>824</v>
      </c>
      <c r="R485" s="346">
        <f>IFERROR(VLOOKUP($G485,融外自投!$A:$J,8,0),"無")</f>
        <v>677</v>
      </c>
      <c r="S485" s="81" t="str">
        <f>IFERROR(VLOOKUP($G485,融外自投!$A:$J,10,0),"無")</f>
        <v>無</v>
      </c>
      <c r="T485" s="327">
        <f>IFERROR(VLOOKUP($G485,'321買'!$A:$E,5,0),"'沒有資料'")</f>
        <v>869</v>
      </c>
      <c r="U485" s="186">
        <f>IFERROR(VLOOKUP($G485,基本資料!$A:$J,9,0),"無")</f>
        <v>1</v>
      </c>
      <c r="V485" s="310">
        <f t="shared" si="107"/>
        <v>3.3057851239669422E-2</v>
      </c>
      <c r="W485" s="94">
        <f>IFERROR(VLOOKUP($G485,基本資料!$A:$J,10,0),"無")</f>
        <v>1.01</v>
      </c>
      <c r="X485" s="36">
        <f>RTD("money.excel",,"2106","Price")</f>
        <v>30.25</v>
      </c>
      <c r="Y485" s="66"/>
      <c r="Z485" s="15">
        <f t="shared" si="108"/>
        <v>30.25</v>
      </c>
      <c r="AA485" s="3" t="e">
        <f t="shared" si="109"/>
        <v>#DIV/0!</v>
      </c>
      <c r="AB485" s="344">
        <f>IFERROR(VLOOKUP($G485,基本資料!$A:$M,11,0),"無")</f>
        <v>-26.35</v>
      </c>
      <c r="AC485" s="397">
        <f>IFERROR(VLOOKUP($G485,基本資料!$A:$M,12,0),"無")</f>
        <v>42.06</v>
      </c>
      <c r="AD485" s="22" t="s">
        <v>4001</v>
      </c>
      <c r="AG485" s="33">
        <f t="shared" si="110"/>
        <v>0</v>
      </c>
      <c r="AH485" s="117" t="s">
        <v>3996</v>
      </c>
      <c r="AI485" s="63">
        <f t="shared" si="111"/>
        <v>5.8610072575324395E-4</v>
      </c>
      <c r="AJ485" s="284">
        <f>RTD("money.excel",,$G485,"PredictVolume")</f>
        <v>533</v>
      </c>
      <c r="AK485" s="399">
        <f>IFERROR(VLOOKUP($G485,基本資料!$A:$M,13,0),"無")</f>
        <v>2.2400000000000002</v>
      </c>
    </row>
    <row r="486" spans="1:37">
      <c r="A486" s="347">
        <f>IFERROR(VLOOKUP($G486,基本資料!$A:$J,3,0),"無")</f>
        <v>34.229999999999997</v>
      </c>
      <c r="B486" s="79">
        <f>IFERROR(VLOOKUP($G486,基本資料!$A:$J,4,0),"無")</f>
        <v>-13</v>
      </c>
      <c r="C486" s="79">
        <f>IFERROR(VLOOKUP($G486,基本資料!$A:$J,5,0),"無")</f>
        <v>-22</v>
      </c>
      <c r="D486" s="79">
        <f>IFERROR(VLOOKUP($G486,基本資料!$A:$J,6,0),"無")</f>
        <v>25</v>
      </c>
      <c r="E486" s="79">
        <f>IFERROR(VLOOKUP($G486,基本資料!$A:$J,7,0),"無")</f>
        <v>-2</v>
      </c>
      <c r="F486" s="6">
        <f>IFERROR(VLOOKUP($G486,基本資料!$A:$J,8,0),"無")</f>
        <v>22.44</v>
      </c>
      <c r="G486" s="79">
        <v>2107</v>
      </c>
      <c r="H486" s="8" t="s">
        <v>300</v>
      </c>
      <c r="I486" s="22" t="s">
        <v>4002</v>
      </c>
      <c r="J486" s="8">
        <f>IFERROR(VLOOKUP($G486,今日總結!$A:$AJ,35,0),"")</f>
        <v>0</v>
      </c>
      <c r="K486" s="5" t="str">
        <f>IFERROR(VLOOKUP($G486,今日總結!$A:$AJ,36,0),"")</f>
        <v>外</v>
      </c>
      <c r="L486" s="156">
        <f>IFERROR(VLOOKUP($G486,今日總結!$A:$AJ,33,0),"")</f>
        <v>0</v>
      </c>
      <c r="M486" s="340">
        <f>IFERROR(VLOOKUP($G486,今日總結!$A:$AJ,34,0),"")</f>
        <v>1</v>
      </c>
      <c r="N486" s="240">
        <f t="shared" si="112"/>
        <v>-1</v>
      </c>
      <c r="P486" s="365">
        <f>IFERROR(VLOOKUP($G486,融外自投!$A:$J,7,0),"無")</f>
        <v>1094</v>
      </c>
      <c r="Q486" s="79">
        <f>IFERROR(VLOOKUP($G486,融外自投!$A:$J,9,0),"無")</f>
        <v>414</v>
      </c>
      <c r="R486" s="346">
        <f>IFERROR(VLOOKUP($G486,融外自投!$A:$J,8,0),"無")</f>
        <v>542</v>
      </c>
      <c r="S486" s="81" t="str">
        <f>IFERROR(VLOOKUP($G486,融外自投!$A:$J,10,0),"無")</f>
        <v>無</v>
      </c>
      <c r="T486" s="327">
        <f>IFERROR(VLOOKUP($G486,'321買'!$A:$E,5,0),"'沒有資料'")</f>
        <v>894</v>
      </c>
      <c r="U486" s="186">
        <f>IFERROR(VLOOKUP($G486,基本資料!$A:$J,9,0),"無")</f>
        <v>1.2</v>
      </c>
      <c r="V486" s="310">
        <f t="shared" si="107"/>
        <v>5.5172413793103448E-2</v>
      </c>
      <c r="W486" s="94">
        <f>IFERROR(VLOOKUP($G486,基本資料!$A:$J,10,0),"無")</f>
        <v>2.27</v>
      </c>
      <c r="X486" s="36">
        <f>RTD("money.excel",,"2107","Price")</f>
        <v>21.75</v>
      </c>
      <c r="Y486" s="66"/>
      <c r="Z486" s="15">
        <f t="shared" si="108"/>
        <v>21.75</v>
      </c>
      <c r="AA486" s="3" t="e">
        <f t="shared" si="109"/>
        <v>#DIV/0!</v>
      </c>
      <c r="AB486" s="344">
        <f>IFERROR(VLOOKUP($G486,基本資料!$A:$M,11,0),"無")</f>
        <v>-14.98</v>
      </c>
      <c r="AC486" s="397">
        <f>IFERROR(VLOOKUP($G486,基本資料!$A:$M,12,0),"無")</f>
        <v>60.1</v>
      </c>
      <c r="AD486" s="22" t="s">
        <v>4002</v>
      </c>
      <c r="AG486" s="33">
        <f t="shared" si="110"/>
        <v>0</v>
      </c>
      <c r="AH486" s="43" t="s">
        <v>4003</v>
      </c>
      <c r="AI486" s="63">
        <f t="shared" si="111"/>
        <v>3.4764826175869126E-4</v>
      </c>
      <c r="AJ486" s="284">
        <f>RTD("money.excel",,$G486,"PredictVolume")</f>
        <v>119</v>
      </c>
      <c r="AK486" s="399">
        <f>IFERROR(VLOOKUP($G486,基本資料!$A:$M,13,0),"無")</f>
        <v>3.59</v>
      </c>
    </row>
    <row r="487" spans="1:37">
      <c r="A487" s="347">
        <f>IFERROR(VLOOKUP($G487,基本資料!$A:$J,3,0),"無")</f>
        <v>49.24</v>
      </c>
      <c r="B487" s="79">
        <f>IFERROR(VLOOKUP($G487,基本資料!$A:$J,4,0),"無")</f>
        <v>107</v>
      </c>
      <c r="C487" s="79">
        <f>IFERROR(VLOOKUP($G487,基本資料!$A:$J,5,0),"無")</f>
        <v>105</v>
      </c>
      <c r="D487" s="79">
        <f>IFERROR(VLOOKUP($G487,基本資料!$A:$J,6,0),"無")</f>
        <v>-6</v>
      </c>
      <c r="E487" s="79">
        <f>IFERROR(VLOOKUP($G487,基本資料!$A:$J,7,0),"無")</f>
        <v>-52</v>
      </c>
      <c r="F487" s="6">
        <f>IFERROR(VLOOKUP($G487,基本資料!$A:$J,8,0),"無")</f>
        <v>42.15</v>
      </c>
      <c r="G487" s="79">
        <v>2108</v>
      </c>
      <c r="H487" s="8" t="s">
        <v>300</v>
      </c>
      <c r="I487" s="22" t="s">
        <v>4004</v>
      </c>
      <c r="J487" s="8">
        <f>IFERROR(VLOOKUP($G487,今日總結!$A:$AJ,35,0),"")</f>
        <v>0</v>
      </c>
      <c r="K487" s="5" t="str">
        <f>IFERROR(VLOOKUP($G487,今日總結!$A:$AJ,36,0),"")</f>
        <v>借</v>
      </c>
      <c r="L487" s="156">
        <f>IFERROR(VLOOKUP($G487,今日總結!$A:$AJ,33,0),"")</f>
        <v>0</v>
      </c>
      <c r="M487" s="340">
        <f>IFERROR(VLOOKUP($G487,今日總結!$A:$AJ,34,0),"")</f>
        <v>1</v>
      </c>
      <c r="N487" s="240">
        <f t="shared" si="112"/>
        <v>-1</v>
      </c>
      <c r="P487" s="365">
        <f>IFERROR(VLOOKUP($G487,融外自投!$A:$J,7,0),"無")</f>
        <v>842</v>
      </c>
      <c r="Q487" s="79">
        <f>IFERROR(VLOOKUP($G487,融外自投!$A:$J,9,0),"無")</f>
        <v>70</v>
      </c>
      <c r="R487" s="346">
        <f>IFERROR(VLOOKUP($G487,融外自投!$A:$J,8,0),"無")</f>
        <v>571</v>
      </c>
      <c r="S487" s="81">
        <f>IFERROR(VLOOKUP($G487,融外自投!$A:$J,10,0),"無")</f>
        <v>319</v>
      </c>
      <c r="T487" s="327">
        <f>IFERROR(VLOOKUP($G487,'321買'!$A:$E,5,0),"'沒有資料'")</f>
        <v>52</v>
      </c>
      <c r="U487" s="186">
        <f>IFERROR(VLOOKUP($G487,基本資料!$A:$J,9,0),"無")</f>
        <v>7</v>
      </c>
      <c r="V487" s="310">
        <f t="shared" si="107"/>
        <v>0.14285714285714285</v>
      </c>
      <c r="W487" s="94">
        <f>IFERROR(VLOOKUP($G487,基本資料!$A:$J,10,0),"無")</f>
        <v>14.92</v>
      </c>
      <c r="X487" s="36">
        <f>RTD("money.excel",,"2108","Price")</f>
        <v>49</v>
      </c>
      <c r="Y487" s="66"/>
      <c r="Z487" s="15">
        <f t="shared" si="108"/>
        <v>49</v>
      </c>
      <c r="AA487" s="3" t="e">
        <f t="shared" si="109"/>
        <v>#DIV/0!</v>
      </c>
      <c r="AB487" s="344">
        <f>IFERROR(VLOOKUP($G487,基本資料!$A:$M,11,0),"無")</f>
        <v>-71.62</v>
      </c>
      <c r="AC487" s="397">
        <f>IFERROR(VLOOKUP($G487,基本資料!$A:$M,12,0),"無")</f>
        <v>4.6399999999999997</v>
      </c>
      <c r="AD487" s="22" t="s">
        <v>4004</v>
      </c>
      <c r="AG487" s="33">
        <f t="shared" si="110"/>
        <v>0</v>
      </c>
      <c r="AH487" s="43" t="s">
        <v>4005</v>
      </c>
      <c r="AI487" s="63">
        <f t="shared" si="111"/>
        <v>3.186433793663688E-3</v>
      </c>
      <c r="AJ487" s="284">
        <f>RTD("money.excel",,$G487,"PredictVolume")</f>
        <v>1569</v>
      </c>
      <c r="AK487" s="399">
        <f>IFERROR(VLOOKUP($G487,基本資料!$A:$M,13,0),"無")</f>
        <v>10.42</v>
      </c>
    </row>
    <row r="488" spans="1:37">
      <c r="A488" s="347">
        <f>IFERROR(VLOOKUP($G488,基本資料!$A:$J,3,0),"無")</f>
        <v>27.93</v>
      </c>
      <c r="B488" s="79">
        <f>IFERROR(VLOOKUP($G488,基本資料!$A:$J,4,0),"無")</f>
        <v>0</v>
      </c>
      <c r="C488" s="79">
        <f>IFERROR(VLOOKUP($G488,基本資料!$A:$J,5,0),"無")</f>
        <v>15</v>
      </c>
      <c r="D488" s="79">
        <f>IFERROR(VLOOKUP($G488,基本資料!$A:$J,6,0),"無")</f>
        <v>-15</v>
      </c>
      <c r="E488" s="79">
        <f>IFERROR(VLOOKUP($G488,基本資料!$A:$J,7,0),"無")</f>
        <v>-1</v>
      </c>
      <c r="F488" s="6">
        <f>IFERROR(VLOOKUP($G488,基本資料!$A:$J,8,0),"無")</f>
        <v>12.63</v>
      </c>
      <c r="G488" s="79">
        <v>2109</v>
      </c>
      <c r="H488" s="8" t="s">
        <v>300</v>
      </c>
      <c r="I488" s="22" t="s">
        <v>4006</v>
      </c>
      <c r="J488" s="8" t="str">
        <f>IFERROR(VLOOKUP($G488,今日總結!$A:$AJ,35,0),"")</f>
        <v/>
      </c>
      <c r="K488" s="5" t="str">
        <f>IFERROR(VLOOKUP($G488,今日總結!$A:$AJ,36,0),"")</f>
        <v/>
      </c>
      <c r="L488" s="156" t="str">
        <f>IFERROR(VLOOKUP($G488,今日總結!$A:$AJ,33,0),"")</f>
        <v/>
      </c>
      <c r="M488" s="340" t="str">
        <f>IFERROR(VLOOKUP($G488,今日總結!$A:$AJ,34,0),"")</f>
        <v/>
      </c>
      <c r="N488" s="240" t="str">
        <f t="shared" si="112"/>
        <v/>
      </c>
      <c r="P488" s="365">
        <f>IFERROR(VLOOKUP($G488,融外自投!$A:$J,7,0),"無")</f>
        <v>1077</v>
      </c>
      <c r="Q488" s="79">
        <f>IFERROR(VLOOKUP($G488,融外自投!$A:$J,9,0),"無")</f>
        <v>1110</v>
      </c>
      <c r="R488" s="346">
        <f>IFERROR(VLOOKUP($G488,融外自投!$A:$J,8,0),"無")</f>
        <v>368</v>
      </c>
      <c r="S488" s="81" t="str">
        <f>IFERROR(VLOOKUP($G488,融外自投!$A:$J,10,0),"無")</f>
        <v>無</v>
      </c>
      <c r="T488" s="327">
        <f>IFERROR(VLOOKUP($G488,'321買'!$A:$E,5,0),"'沒有資料'")</f>
        <v>915</v>
      </c>
      <c r="U488" s="186">
        <f>IFERROR(VLOOKUP($G488,基本資料!$A:$J,9,0),"無")</f>
        <v>1</v>
      </c>
      <c r="V488" s="310">
        <f t="shared" si="107"/>
        <v>7.0175438596491224E-2</v>
      </c>
      <c r="W488" s="94">
        <f>IFERROR(VLOOKUP($G488,基本資料!$A:$J,10,0),"無")</f>
        <v>1.3</v>
      </c>
      <c r="X488" s="36">
        <f>RTD("money.excel",,"2109","Price")</f>
        <v>14.25</v>
      </c>
      <c r="Y488" s="66"/>
      <c r="Z488" s="15">
        <f t="shared" si="108"/>
        <v>14.25</v>
      </c>
      <c r="AA488" s="3" t="e">
        <f t="shared" si="109"/>
        <v>#DIV/0!</v>
      </c>
      <c r="AB488" s="344">
        <f>IFERROR(VLOOKUP($G488,基本資料!$A:$M,11,0),"無")</f>
        <v>-33.1</v>
      </c>
      <c r="AC488" s="397">
        <f>IFERROR(VLOOKUP($G488,基本資料!$A:$M,12,0),"無")</f>
        <v>13.82</v>
      </c>
      <c r="AD488" s="22" t="s">
        <v>4006</v>
      </c>
      <c r="AG488" s="33">
        <f t="shared" si="110"/>
        <v>0</v>
      </c>
      <c r="AH488" s="43" t="s">
        <v>3996</v>
      </c>
      <c r="AI488" s="63">
        <f t="shared" si="111"/>
        <v>4.5828857858933047E-4</v>
      </c>
      <c r="AJ488" s="284">
        <f>RTD("money.excel",,$G488,"PredictVolume")</f>
        <v>128</v>
      </c>
      <c r="AK488" s="399">
        <f>IFERROR(VLOOKUP($G488,基本資料!$A:$M,13,0),"無")</f>
        <v>5.09</v>
      </c>
    </row>
    <row r="489" spans="1:37">
      <c r="A489" s="347">
        <f>IFERROR(VLOOKUP($G489,基本資料!$A:$J,3,0),"無")</f>
        <v>7.79</v>
      </c>
      <c r="B489" s="79">
        <f>IFERROR(VLOOKUP($G489,基本資料!$A:$J,4,0),"無")</f>
        <v>84</v>
      </c>
      <c r="C489" s="79">
        <f>IFERROR(VLOOKUP($G489,基本資料!$A:$J,5,0),"無")</f>
        <v>2</v>
      </c>
      <c r="D489" s="79">
        <f>IFERROR(VLOOKUP($G489,基本資料!$A:$J,6,0),"無")</f>
        <v>0</v>
      </c>
      <c r="E489" s="79">
        <f>IFERROR(VLOOKUP($G489,基本資料!$A:$J,7,0),"無")</f>
        <v>2</v>
      </c>
      <c r="F489" s="6">
        <f>IFERROR(VLOOKUP($G489,基本資料!$A:$J,8,0),"無")</f>
        <v>26.97</v>
      </c>
      <c r="G489" s="79">
        <v>2114</v>
      </c>
      <c r="H489" s="8" t="s">
        <v>300</v>
      </c>
      <c r="I489" s="22" t="s">
        <v>4007</v>
      </c>
      <c r="J489" s="8" t="str">
        <f>IFERROR(VLOOKUP($G489,今日總結!$A:$AJ,35,0),"")</f>
        <v/>
      </c>
      <c r="K489" s="5" t="str">
        <f>IFERROR(VLOOKUP($G489,今日總結!$A:$AJ,36,0),"")</f>
        <v/>
      </c>
      <c r="L489" s="156" t="str">
        <f>IFERROR(VLOOKUP($G489,今日總結!$A:$AJ,33,0),"")</f>
        <v/>
      </c>
      <c r="M489" s="340" t="str">
        <f>IFERROR(VLOOKUP($G489,今日總結!$A:$AJ,34,0),"")</f>
        <v/>
      </c>
      <c r="N489" s="240" t="str">
        <f t="shared" si="112"/>
        <v/>
      </c>
      <c r="P489" s="365">
        <f>IFERROR(VLOOKUP($G489,融外自投!$A:$J,7,0),"無")</f>
        <v>1069</v>
      </c>
      <c r="Q489" s="79" t="str">
        <f>IFERROR(VLOOKUP($G489,融外自投!$A:$J,9,0),"無")</f>
        <v>無</v>
      </c>
      <c r="R489" s="346">
        <f>IFERROR(VLOOKUP($G489,融外自投!$A:$J,8,0),"無")</f>
        <v>1097</v>
      </c>
      <c r="S489" s="81">
        <f>IFERROR(VLOOKUP($G489,融外自投!$A:$J,10,0),"無")</f>
        <v>491</v>
      </c>
      <c r="T489" s="327">
        <f>IFERROR(VLOOKUP($G489,'321買'!$A:$E,5,0),"'沒有資料'")</f>
        <v>1038</v>
      </c>
      <c r="U489" s="186">
        <f>IFERROR(VLOOKUP($G489,基本資料!$A:$J,9,0),"無")</f>
        <v>0</v>
      </c>
      <c r="V489" s="310">
        <f t="shared" si="107"/>
        <v>0</v>
      </c>
      <c r="W489" s="94">
        <f>IFERROR(VLOOKUP($G489,基本資料!$A:$J,10,0),"無")</f>
        <v>12.42</v>
      </c>
      <c r="X489" s="36">
        <f>RTD("money.excel",,"2114","Price")</f>
        <v>122.5</v>
      </c>
      <c r="Y489" s="66"/>
      <c r="Z489" s="15">
        <f t="shared" si="108"/>
        <v>122.5</v>
      </c>
      <c r="AA489" s="3" t="e">
        <f t="shared" si="109"/>
        <v>#DIV/0!</v>
      </c>
      <c r="AB489" s="344">
        <f>IFERROR(VLOOKUP($G489,基本資料!$A:$M,11,0),"無")</f>
        <v>-26.69</v>
      </c>
      <c r="AC489" s="397">
        <f>IFERROR(VLOOKUP($G489,基本資料!$A:$M,12,0),"無")</f>
        <v>16.13</v>
      </c>
      <c r="AD489" s="22" t="s">
        <v>4007</v>
      </c>
      <c r="AG489" s="33">
        <f t="shared" si="110"/>
        <v>0</v>
      </c>
      <c r="AH489" s="43" t="s">
        <v>4008</v>
      </c>
      <c r="AI489" s="63">
        <f t="shared" si="111"/>
        <v>2.6957637997432603E-4</v>
      </c>
      <c r="AJ489" s="284">
        <f>RTD("money.excel",,$G489,"PredictVolume")</f>
        <v>21</v>
      </c>
      <c r="AK489" s="399">
        <f>IFERROR(VLOOKUP($G489,基本資料!$A:$M,13,0),"無")</f>
        <v>1.19</v>
      </c>
    </row>
    <row r="490" spans="1:37">
      <c r="A490" s="347">
        <f>IFERROR(VLOOKUP($G490,基本資料!$A:$J,3,0),"無")</f>
        <v>6.4</v>
      </c>
      <c r="B490" s="79">
        <f>IFERROR(VLOOKUP($G490,基本資料!$A:$J,4,0),"無")</f>
        <v>25</v>
      </c>
      <c r="C490" s="79">
        <f>IFERROR(VLOOKUP($G490,基本資料!$A:$J,5,0),"無")</f>
        <v>117</v>
      </c>
      <c r="D490" s="79">
        <f>IFERROR(VLOOKUP($G490,基本資料!$A:$J,6,0),"無")</f>
        <v>-12</v>
      </c>
      <c r="E490" s="79">
        <f>IFERROR(VLOOKUP($G490,基本資料!$A:$J,7,0),"無")</f>
        <v>-29</v>
      </c>
      <c r="F490" s="6">
        <f>IFERROR(VLOOKUP($G490,基本資料!$A:$J,8,0),"無")</f>
        <v>7.55</v>
      </c>
      <c r="G490" s="79">
        <v>5102</v>
      </c>
      <c r="H490" s="8" t="s">
        <v>300</v>
      </c>
      <c r="I490" s="16" t="s">
        <v>4009</v>
      </c>
      <c r="J490" s="8" t="str">
        <f>IFERROR(VLOOKUP($G490,今日總結!$A:$AJ,35,0),"")</f>
        <v/>
      </c>
      <c r="K490" s="5" t="str">
        <f>IFERROR(VLOOKUP($G490,今日總結!$A:$AJ,36,0),"")</f>
        <v/>
      </c>
      <c r="L490" s="156" t="str">
        <f>IFERROR(VLOOKUP($G490,今日總結!$A:$AJ,33,0),"")</f>
        <v/>
      </c>
      <c r="M490" s="340" t="str">
        <f>IFERROR(VLOOKUP($G490,今日總結!$A:$AJ,34,0),"")</f>
        <v/>
      </c>
      <c r="N490" s="240" t="str">
        <f t="shared" si="112"/>
        <v/>
      </c>
      <c r="P490" s="365">
        <f>IFERROR(VLOOKUP($G490,融外自投!$A:$J,7,0),"無")</f>
        <v>1410</v>
      </c>
      <c r="Q490" s="79" t="str">
        <f>IFERROR(VLOOKUP($G490,融外自投!$A:$J,9,0),"無")</f>
        <v>無</v>
      </c>
      <c r="R490" s="346">
        <f>IFERROR(VLOOKUP($G490,融外自投!$A:$J,8,0),"無")</f>
        <v>1467</v>
      </c>
      <c r="S490" s="81" t="str">
        <f>IFERROR(VLOOKUP($G490,融外自投!$A:$J,10,0),"無")</f>
        <v>無</v>
      </c>
      <c r="T490" s="327" t="str">
        <f>IFERROR(VLOOKUP($G490,'321買'!$A:$E,5,0),"'沒有資料'")</f>
        <v>'沒有資料'</v>
      </c>
      <c r="U490" s="186">
        <f>IFERROR(VLOOKUP($G490,基本資料!$A:$J,9,0),"無")</f>
        <v>0.5</v>
      </c>
      <c r="V490" s="310">
        <f t="shared" si="107"/>
        <v>2.0283975659229209E-2</v>
      </c>
      <c r="W490" s="94">
        <f>IFERROR(VLOOKUP($G490,基本資料!$A:$J,10,0),"無")</f>
        <v>0.99</v>
      </c>
      <c r="X490" s="36">
        <f>RTD("money.excel",,"5102","Price")</f>
        <v>24.65</v>
      </c>
      <c r="Y490" s="66"/>
      <c r="Z490" s="15">
        <f t="shared" si="108"/>
        <v>24.65</v>
      </c>
      <c r="AA490" s="3" t="e">
        <f t="shared" si="109"/>
        <v>#DIV/0!</v>
      </c>
      <c r="AB490" s="344">
        <f>IFERROR(VLOOKUP($G490,基本資料!$A:$M,11,0),"無")</f>
        <v>-2.95</v>
      </c>
      <c r="AC490" s="397">
        <f>IFERROR(VLOOKUP($G490,基本資料!$A:$M,12,0),"無")</f>
        <v>58.18</v>
      </c>
      <c r="AD490" s="16" t="s">
        <v>4009</v>
      </c>
      <c r="AG490" s="33">
        <f t="shared" si="110"/>
        <v>0</v>
      </c>
      <c r="AH490" s="43" t="s">
        <v>4010</v>
      </c>
      <c r="AI490" s="63">
        <f t="shared" si="111"/>
        <v>2.5000000000000001E-4</v>
      </c>
      <c r="AJ490" s="284">
        <f>RTD("money.excel",,$G490,"PredictVolume")</f>
        <v>16</v>
      </c>
      <c r="AK490" s="399">
        <f>IFERROR(VLOOKUP($G490,基本資料!$A:$M,13,0),"無")</f>
        <v>2.11</v>
      </c>
    </row>
    <row r="491" spans="1:37">
      <c r="A491" s="347">
        <f>IFERROR(VLOOKUP($G491,基本資料!$A:$J,3,0),"無")</f>
        <v>10.61</v>
      </c>
      <c r="B491" s="79">
        <f>IFERROR(VLOOKUP($G491,基本資料!$A:$J,4,0),"無")</f>
        <v>95</v>
      </c>
      <c r="C491" s="79">
        <f>IFERROR(VLOOKUP($G491,基本資料!$A:$J,5,0),"無")</f>
        <v>98</v>
      </c>
      <c r="D491" s="79">
        <f>IFERROR(VLOOKUP($G491,基本資料!$A:$J,6,0),"無")</f>
        <v>-42</v>
      </c>
      <c r="E491" s="79">
        <f>IFERROR(VLOOKUP($G491,基本資料!$A:$J,7,0),"無")</f>
        <v>-84</v>
      </c>
      <c r="F491" s="6">
        <f>IFERROR(VLOOKUP($G491,基本資料!$A:$J,8,0),"無")</f>
        <v>53.5</v>
      </c>
      <c r="G491" s="79">
        <v>6582</v>
      </c>
      <c r="H491" s="8" t="s">
        <v>300</v>
      </c>
      <c r="I491" s="22" t="s">
        <v>4011</v>
      </c>
      <c r="J491" s="8">
        <f>IFERROR(VLOOKUP($G491,今日總結!$A:$AJ,35,0),"")</f>
        <v>0</v>
      </c>
      <c r="K491" s="5">
        <f>IFERROR(VLOOKUP($G491,今日總結!$A:$AJ,36,0),"")</f>
        <v>0</v>
      </c>
      <c r="L491" s="156">
        <f>IFERROR(VLOOKUP($G491,今日總結!$A:$AJ,33,0),"")</f>
        <v>0</v>
      </c>
      <c r="M491" s="340">
        <f>IFERROR(VLOOKUP($G491,今日總結!$A:$AJ,34,0),"")</f>
        <v>1</v>
      </c>
      <c r="N491" s="240">
        <f t="shared" si="112"/>
        <v>-1</v>
      </c>
      <c r="P491" s="365">
        <f>IFERROR(VLOOKUP($G491,融外自投!$A:$J,7,0),"無")</f>
        <v>903</v>
      </c>
      <c r="Q491" s="79">
        <f>IFERROR(VLOOKUP($G491,融外自投!$A:$J,9,0),"無")</f>
        <v>598</v>
      </c>
      <c r="R491" s="346">
        <f>IFERROR(VLOOKUP($G491,融外自投!$A:$J,8,0),"無")</f>
        <v>321</v>
      </c>
      <c r="S491" s="81">
        <f>IFERROR(VLOOKUP($G491,融外自投!$A:$J,10,0),"無")</f>
        <v>491</v>
      </c>
      <c r="T491" s="327">
        <f>IFERROR(VLOOKUP($G491,'321買'!$A:$E,5,0),"'沒有資料'")</f>
        <v>869</v>
      </c>
      <c r="U491" s="186">
        <f>IFERROR(VLOOKUP($G491,基本資料!$A:$J,9,0),"無")</f>
        <v>15</v>
      </c>
      <c r="V491" s="310">
        <f t="shared" si="107"/>
        <v>0.15447991761071062</v>
      </c>
      <c r="W491" s="94">
        <f>IFERROR(VLOOKUP($G491,基本資料!$A:$J,10,0),"無")</f>
        <v>32.74</v>
      </c>
      <c r="X491" s="36">
        <f>RTD("money.excel",,"6582","Price")</f>
        <v>97.1</v>
      </c>
      <c r="Y491" s="66"/>
      <c r="Z491" s="15">
        <f t="shared" si="108"/>
        <v>97.1</v>
      </c>
      <c r="AA491" s="3" t="e">
        <f t="shared" si="109"/>
        <v>#DIV/0!</v>
      </c>
      <c r="AB491" s="344">
        <f>IFERROR(VLOOKUP($G491,基本資料!$A:$M,11,0),"無")</f>
        <v>-70.150000000000006</v>
      </c>
      <c r="AC491" s="397">
        <f>IFERROR(VLOOKUP($G491,基本資料!$A:$M,12,0),"無")</f>
        <v>6.83</v>
      </c>
      <c r="AD491" s="22" t="s">
        <v>4011</v>
      </c>
      <c r="AG491" s="33">
        <f t="shared" si="110"/>
        <v>0</v>
      </c>
      <c r="AH491" s="43" t="s">
        <v>4012</v>
      </c>
      <c r="AI491" s="63">
        <f t="shared" si="111"/>
        <v>1.6211121583411875E-3</v>
      </c>
      <c r="AJ491" s="284">
        <f>RTD("money.excel",,$G491,"PredictVolume")</f>
        <v>172</v>
      </c>
      <c r="AK491" s="399">
        <f>IFERROR(VLOOKUP($G491,基本資料!$A:$M,13,0),"無")</f>
        <v>7.14</v>
      </c>
    </row>
    <row r="492" spans="1:37">
      <c r="B492" s="79"/>
      <c r="C492" s="79"/>
      <c r="D492" s="80"/>
      <c r="E492" s="80"/>
      <c r="F492" s="57"/>
      <c r="G492" s="79"/>
      <c r="H492" s="8"/>
      <c r="I492" s="22"/>
      <c r="L492" s="2"/>
      <c r="S492" s="26"/>
      <c r="U492" s="66"/>
      <c r="W492" s="94"/>
      <c r="X492" s="36"/>
      <c r="Y492" s="66"/>
      <c r="Z492" s="15"/>
      <c r="AA492" s="3"/>
      <c r="AD492" s="22"/>
      <c r="AG492" s="33"/>
      <c r="AH492" s="43"/>
      <c r="AI492" s="63"/>
      <c r="AJ492" s="284"/>
    </row>
    <row r="493" spans="1:37">
      <c r="A493" s="127" t="s">
        <v>3876</v>
      </c>
      <c r="B493" s="90" t="s">
        <v>3877</v>
      </c>
      <c r="C493" s="90" t="s">
        <v>3878</v>
      </c>
      <c r="D493" s="90" t="s">
        <v>3879</v>
      </c>
      <c r="E493" s="90" t="s">
        <v>3880</v>
      </c>
      <c r="F493" s="8" t="s">
        <v>3881</v>
      </c>
      <c r="G493" s="27" t="s">
        <v>4013</v>
      </c>
      <c r="H493" s="55" t="s">
        <v>320</v>
      </c>
      <c r="I493" s="8" t="s">
        <v>4014</v>
      </c>
      <c r="J493" s="8" t="s">
        <v>6221</v>
      </c>
      <c r="K493" s="5" t="s">
        <v>6222</v>
      </c>
      <c r="L493" s="337" t="s">
        <v>6206</v>
      </c>
      <c r="M493" s="338" t="s">
        <v>6207</v>
      </c>
      <c r="N493" s="339" t="s">
        <v>6208</v>
      </c>
      <c r="P493" s="89" t="s">
        <v>6285</v>
      </c>
      <c r="Q493" s="293" t="s">
        <v>6284</v>
      </c>
      <c r="R493" s="354" t="s">
        <v>6283</v>
      </c>
      <c r="S493" s="26" t="s">
        <v>6286</v>
      </c>
      <c r="T493" s="321" t="s">
        <v>4716</v>
      </c>
      <c r="U493" s="10" t="s">
        <v>3884</v>
      </c>
      <c r="V493" s="308" t="s">
        <v>4731</v>
      </c>
      <c r="W493" s="68" t="s">
        <v>3273</v>
      </c>
      <c r="X493" s="28" t="s">
        <v>2</v>
      </c>
      <c r="Y493" s="17" t="s">
        <v>3885</v>
      </c>
      <c r="Z493" s="14" t="s">
        <v>3886</v>
      </c>
      <c r="AA493" s="21" t="s">
        <v>3887</v>
      </c>
      <c r="AB493" s="96" t="s">
        <v>6174</v>
      </c>
      <c r="AC493" s="384" t="s">
        <v>6420</v>
      </c>
      <c r="AD493" s="8" t="s">
        <v>4014</v>
      </c>
      <c r="AE493" s="71" t="s">
        <v>3888</v>
      </c>
      <c r="AF493" s="72" t="s">
        <v>3889</v>
      </c>
      <c r="AG493" s="32" t="s">
        <v>3890</v>
      </c>
      <c r="AH493" s="43"/>
      <c r="AI493" s="8" t="s">
        <v>6731</v>
      </c>
      <c r="AJ493" s="50" t="s">
        <v>3361</v>
      </c>
      <c r="AK493" s="44" t="s">
        <v>6730</v>
      </c>
    </row>
    <row r="494" spans="1:37">
      <c r="A494" s="347">
        <f>IFERROR(VLOOKUP($G494,基本資料!$A:$J,3,0),"無")</f>
        <v>59.14</v>
      </c>
      <c r="B494" s="79">
        <f>IFERROR(VLOOKUP($G494,基本資料!$A:$J,4,0),"無")</f>
        <v>-14</v>
      </c>
      <c r="C494" s="79">
        <f>IFERROR(VLOOKUP($G494,基本資料!$A:$J,5,0),"無")</f>
        <v>0</v>
      </c>
      <c r="D494" s="79">
        <f>IFERROR(VLOOKUP($G494,基本資料!$A:$J,6,0),"無")</f>
        <v>-5</v>
      </c>
      <c r="E494" s="79">
        <f>IFERROR(VLOOKUP($G494,基本資料!$A:$J,7,0),"無")</f>
        <v>22</v>
      </c>
      <c r="F494" s="6">
        <f>IFERROR(VLOOKUP($G494,基本資料!$A:$J,8,0),"無")</f>
        <v>2.95</v>
      </c>
      <c r="G494" s="79">
        <v>1319</v>
      </c>
      <c r="H494" s="8" t="s">
        <v>301</v>
      </c>
      <c r="I494" s="22" t="s">
        <v>4015</v>
      </c>
      <c r="J494" s="8" t="str">
        <f>IFERROR(VLOOKUP($G494,今日總結!$A:$AJ,35,0),"")</f>
        <v/>
      </c>
      <c r="K494" s="5" t="str">
        <f>IFERROR(VLOOKUP($G494,今日總結!$A:$AJ,36,0),"")</f>
        <v/>
      </c>
      <c r="L494" s="156" t="str">
        <f>IFERROR(VLOOKUP($G494,今日總結!$A:$AJ,33,0),"")</f>
        <v/>
      </c>
      <c r="M494" s="340" t="str">
        <f>IFERROR(VLOOKUP($G494,今日總結!$A:$AJ,34,0),"")</f>
        <v/>
      </c>
      <c r="N494" s="240" t="str">
        <f t="shared" ref="N494:N505" si="113">IFERROR(L494-M494,"")</f>
        <v/>
      </c>
      <c r="P494" s="365">
        <f>IFERROR(VLOOKUP($G494,融外自投!$A:$J,7,0),"無")</f>
        <v>1118</v>
      </c>
      <c r="Q494" s="79">
        <f>IFERROR(VLOOKUP($G494,融外自投!$A:$J,9,0),"無")</f>
        <v>586</v>
      </c>
      <c r="R494" s="346">
        <f>IFERROR(VLOOKUP($G494,融外自投!$A:$J,8,0),"無")</f>
        <v>382</v>
      </c>
      <c r="S494" s="81">
        <f>IFERROR(VLOOKUP($G494,融外自投!$A:$J,10,0),"無")</f>
        <v>458</v>
      </c>
      <c r="T494" s="327">
        <f>IFERROR(VLOOKUP($G494,'321買'!$A:$E,5,0),"'沒有資料'")</f>
        <v>634</v>
      </c>
      <c r="U494" s="186">
        <f>IFERROR(VLOOKUP($G494,基本資料!$A:$J,9,0),"無")</f>
        <v>0.85</v>
      </c>
      <c r="V494" s="310">
        <f t="shared" ref="V494:V526" si="114">$U494/$X494</f>
        <v>2.5835866261398176E-2</v>
      </c>
      <c r="W494" s="94">
        <f>IFERROR(VLOOKUP($G494,基本資料!$A:$J,10,0),"無")</f>
        <v>1.1599999999999999</v>
      </c>
      <c r="X494" s="36">
        <f>RTD("money.excel",,"1319","Price")</f>
        <v>32.9</v>
      </c>
      <c r="Y494" s="66"/>
      <c r="Z494" s="15">
        <f t="shared" ref="Z494:Z526" si="115">X494-Y494</f>
        <v>32.9</v>
      </c>
      <c r="AA494" s="3" t="e">
        <f t="shared" ref="AA494:AA526" si="116">Z494/Y494</f>
        <v>#DIV/0!</v>
      </c>
      <c r="AB494" s="344">
        <f>IFERROR(VLOOKUP($G494,基本資料!$A:$M,11,0),"無")</f>
        <v>-18.73</v>
      </c>
      <c r="AC494" s="397">
        <f>IFERROR(VLOOKUP($G494,基本資料!$A:$M,12,0),"無")</f>
        <v>51.36</v>
      </c>
      <c r="AD494" s="22" t="s">
        <v>4015</v>
      </c>
      <c r="AG494" s="33">
        <f t="shared" ref="AG494:AG526" si="117">AF494-AE494</f>
        <v>0</v>
      </c>
      <c r="AH494" s="117" t="s">
        <v>4016</v>
      </c>
      <c r="AI494" s="63">
        <f t="shared" ref="AI494:AI526" si="118">AJ494/(A494*10000)</f>
        <v>1.5319580656070341E-3</v>
      </c>
      <c r="AJ494" s="284">
        <f>RTD("money.excel",,$G494,"PredictVolume")</f>
        <v>906</v>
      </c>
      <c r="AK494" s="399">
        <f>IFERROR(VLOOKUP($G494,基本資料!$A:$M,13,0),"無")</f>
        <v>1.86</v>
      </c>
    </row>
    <row r="495" spans="1:37">
      <c r="A495" s="347">
        <f>IFERROR(VLOOKUP($G495,基本資料!$A:$J,3,0),"無")</f>
        <v>8.3800000000000008</v>
      </c>
      <c r="B495" s="79">
        <f>IFERROR(VLOOKUP($G495,基本資料!$A:$J,4,0),"無")</f>
        <v>22</v>
      </c>
      <c r="C495" s="79">
        <f>IFERROR(VLOOKUP($G495,基本資料!$A:$J,5,0),"無")</f>
        <v>0</v>
      </c>
      <c r="D495" s="79">
        <f>IFERROR(VLOOKUP($G495,基本資料!$A:$J,6,0),"無")</f>
        <v>-42</v>
      </c>
      <c r="E495" s="79">
        <f>IFERROR(VLOOKUP($G495,基本資料!$A:$J,7,0),"無")</f>
        <v>-25</v>
      </c>
      <c r="F495" s="6">
        <f>IFERROR(VLOOKUP($G495,基本資料!$A:$J,8,0),"無")</f>
        <v>3.47</v>
      </c>
      <c r="G495" s="79">
        <v>1338</v>
      </c>
      <c r="H495" s="8" t="s">
        <v>301</v>
      </c>
      <c r="I495" s="22" t="s">
        <v>4017</v>
      </c>
      <c r="J495" s="8">
        <f>IFERROR(VLOOKUP($G495,今日總結!$A:$AJ,35,0),"")</f>
        <v>0</v>
      </c>
      <c r="K495" s="5" t="str">
        <f>IFERROR(VLOOKUP($G495,今日總結!$A:$AJ,36,0),"")</f>
        <v>融</v>
      </c>
      <c r="L495" s="156">
        <f>IFERROR(VLOOKUP($G495,今日總結!$A:$AJ,33,0),"")</f>
        <v>0</v>
      </c>
      <c r="M495" s="340">
        <f>IFERROR(VLOOKUP($G495,今日總結!$A:$AJ,34,0),"")</f>
        <v>1</v>
      </c>
      <c r="N495" s="240">
        <f t="shared" si="113"/>
        <v>-1</v>
      </c>
      <c r="P495" s="365">
        <f>IFERROR(VLOOKUP($G495,融外自投!$A:$J,7,0),"無")</f>
        <v>358</v>
      </c>
      <c r="Q495" s="79">
        <f>IFERROR(VLOOKUP($G495,融外自投!$A:$J,9,0),"無")</f>
        <v>734</v>
      </c>
      <c r="R495" s="346">
        <f>IFERROR(VLOOKUP($G495,融外自投!$A:$J,8,0),"無")</f>
        <v>565</v>
      </c>
      <c r="S495" s="81" t="str">
        <f>IFERROR(VLOOKUP($G495,融外自投!$A:$J,10,0),"無")</f>
        <v>無</v>
      </c>
      <c r="T495" s="327">
        <f>IFERROR(VLOOKUP($G495,'321買'!$A:$E,5,0),"'沒有資料'")</f>
        <v>802</v>
      </c>
      <c r="U495" s="186">
        <f>IFERROR(VLOOKUP($G495,基本資料!$A:$J,9,0),"無")</f>
        <v>2.5</v>
      </c>
      <c r="V495" s="310">
        <f t="shared" si="114"/>
        <v>4.9603174603174607E-2</v>
      </c>
      <c r="W495" s="94">
        <f>IFERROR(VLOOKUP($G495,基本資料!$A:$J,10,0),"無")</f>
        <v>4.04</v>
      </c>
      <c r="X495" s="36">
        <f>RTD("money.excel",,"1338","Price")</f>
        <v>50.4</v>
      </c>
      <c r="Y495" s="66"/>
      <c r="Z495" s="15">
        <f t="shared" si="115"/>
        <v>50.4</v>
      </c>
      <c r="AA495" s="3" t="e">
        <f t="shared" si="116"/>
        <v>#DIV/0!</v>
      </c>
      <c r="AB495" s="344">
        <f>IFERROR(VLOOKUP($G495,基本資料!$A:$M,11,0),"無")</f>
        <v>-29.26</v>
      </c>
      <c r="AC495" s="397">
        <f>IFERROR(VLOOKUP($G495,基本資料!$A:$M,12,0),"無")</f>
        <v>20.22</v>
      </c>
      <c r="AD495" s="22" t="s">
        <v>4017</v>
      </c>
      <c r="AG495" s="33">
        <f t="shared" si="117"/>
        <v>0</v>
      </c>
      <c r="AH495" s="43" t="s">
        <v>4018</v>
      </c>
      <c r="AI495" s="63">
        <f t="shared" si="118"/>
        <v>1.968973747016706E-3</v>
      </c>
      <c r="AJ495" s="284">
        <f>RTD("money.excel",,$G495,"PredictVolume")</f>
        <v>165</v>
      </c>
      <c r="AK495" s="399">
        <f>IFERROR(VLOOKUP($G495,基本資料!$A:$M,13,0),"無")</f>
        <v>2.5</v>
      </c>
    </row>
    <row r="496" spans="1:37">
      <c r="A496" s="347">
        <f>IFERROR(VLOOKUP($G496,基本資料!$A:$J,3,0),"無")</f>
        <v>7.41</v>
      </c>
      <c r="B496" s="79">
        <f>IFERROR(VLOOKUP($G496,基本資料!$A:$J,4,0),"無")</f>
        <v>6</v>
      </c>
      <c r="C496" s="79">
        <f>IFERROR(VLOOKUP($G496,基本資料!$A:$J,5,0),"無")</f>
        <v>-50</v>
      </c>
      <c r="D496" s="79">
        <f>IFERROR(VLOOKUP($G496,基本資料!$A:$J,6,0),"無")</f>
        <v>31</v>
      </c>
      <c r="E496" s="79">
        <f>IFERROR(VLOOKUP($G496,基本資料!$A:$J,7,0),"無")</f>
        <v>-5</v>
      </c>
      <c r="F496" s="6">
        <f>IFERROR(VLOOKUP($G496,基本資料!$A:$J,8,0),"無")</f>
        <v>9.1</v>
      </c>
      <c r="G496" s="79">
        <v>1339</v>
      </c>
      <c r="H496" s="8" t="s">
        <v>301</v>
      </c>
      <c r="I496" s="22" t="s">
        <v>4019</v>
      </c>
      <c r="J496" s="8" t="str">
        <f>IFERROR(VLOOKUP($G496,今日總結!$A:$AJ,35,0),"")</f>
        <v/>
      </c>
      <c r="K496" s="5" t="str">
        <f>IFERROR(VLOOKUP($G496,今日總結!$A:$AJ,36,0),"")</f>
        <v/>
      </c>
      <c r="L496" s="156" t="str">
        <f>IFERROR(VLOOKUP($G496,今日總結!$A:$AJ,33,0),"")</f>
        <v/>
      </c>
      <c r="M496" s="340" t="str">
        <f>IFERROR(VLOOKUP($G496,今日總結!$A:$AJ,34,0),"")</f>
        <v/>
      </c>
      <c r="N496" s="240" t="str">
        <f t="shared" si="113"/>
        <v/>
      </c>
      <c r="P496" s="365">
        <f>IFERROR(VLOOKUP($G496,融外自投!$A:$J,7,0),"無")</f>
        <v>1051</v>
      </c>
      <c r="Q496" s="79">
        <f>IFERROR(VLOOKUP($G496,融外自投!$A:$J,9,0),"無")</f>
        <v>789</v>
      </c>
      <c r="R496" s="346">
        <f>IFERROR(VLOOKUP($G496,融外自投!$A:$J,8,0),"無")</f>
        <v>1241</v>
      </c>
      <c r="S496" s="81" t="str">
        <f>IFERROR(VLOOKUP($G496,融外自投!$A:$J,10,0),"無")</f>
        <v>無</v>
      </c>
      <c r="T496" s="327">
        <f>IFERROR(VLOOKUP($G496,'321買'!$A:$E,5,0),"'沒有資料'")</f>
        <v>1198</v>
      </c>
      <c r="U496" s="186">
        <f>IFERROR(VLOOKUP($G496,基本資料!$A:$J,9,0),"無")</f>
        <v>2</v>
      </c>
      <c r="V496" s="310">
        <f t="shared" si="114"/>
        <v>5.722460658082975E-2</v>
      </c>
      <c r="W496" s="94">
        <f>IFERROR(VLOOKUP($G496,基本資料!$A:$J,10,0),"無")</f>
        <v>1.83</v>
      </c>
      <c r="X496" s="36">
        <f>RTD("money.excel",,"1339","Price")</f>
        <v>34.950000000000003</v>
      </c>
      <c r="Y496" s="66"/>
      <c r="Z496" s="15">
        <f t="shared" si="115"/>
        <v>34.950000000000003</v>
      </c>
      <c r="AA496" s="3" t="e">
        <f t="shared" si="116"/>
        <v>#DIV/0!</v>
      </c>
      <c r="AB496" s="344">
        <f>IFERROR(VLOOKUP($G496,基本資料!$A:$M,11,0),"無")</f>
        <v>-13.94</v>
      </c>
      <c r="AC496" s="397">
        <f>IFERROR(VLOOKUP($G496,基本資料!$A:$M,12,0),"無")</f>
        <v>63.91</v>
      </c>
      <c r="AD496" s="22" t="s">
        <v>4019</v>
      </c>
      <c r="AG496" s="33">
        <f t="shared" si="117"/>
        <v>0</v>
      </c>
      <c r="AH496" s="43" t="s">
        <v>4016</v>
      </c>
      <c r="AI496" s="63">
        <f t="shared" si="118"/>
        <v>5.1282051282051282E-4</v>
      </c>
      <c r="AJ496" s="284">
        <f>RTD("money.excel",,$G496,"PredictVolume")</f>
        <v>38</v>
      </c>
      <c r="AK496" s="399">
        <f>IFERROR(VLOOKUP($G496,基本資料!$A:$M,13,0),"無")</f>
        <v>0.84</v>
      </c>
    </row>
    <row r="497" spans="1:37">
      <c r="A497" s="347">
        <f>IFERROR(VLOOKUP($G497,基本資料!$A:$J,3,0),"無")</f>
        <v>25.33</v>
      </c>
      <c r="B497" s="79">
        <f>IFERROR(VLOOKUP($G497,基本資料!$A:$J,4,0),"無")</f>
        <v>-20</v>
      </c>
      <c r="C497" s="79">
        <f>IFERROR(VLOOKUP($G497,基本資料!$A:$J,5,0),"無")</f>
        <v>-16</v>
      </c>
      <c r="D497" s="79">
        <f>IFERROR(VLOOKUP($G497,基本資料!$A:$J,6,0),"無")</f>
        <v>68</v>
      </c>
      <c r="E497" s="79">
        <f>IFERROR(VLOOKUP($G497,基本資料!$A:$J,7,0),"無")</f>
        <v>-15</v>
      </c>
      <c r="F497" s="6">
        <f>IFERROR(VLOOKUP($G497,基本資料!$A:$J,8,0),"無")</f>
        <v>-16.27</v>
      </c>
      <c r="G497" s="79">
        <v>1512</v>
      </c>
      <c r="H497" s="8" t="s">
        <v>301</v>
      </c>
      <c r="I497" s="22" t="s">
        <v>4020</v>
      </c>
      <c r="J497" s="8" t="str">
        <f>IFERROR(VLOOKUP($G497,今日總結!$A:$AJ,35,0),"")</f>
        <v/>
      </c>
      <c r="K497" s="5" t="str">
        <f>IFERROR(VLOOKUP($G497,今日總結!$A:$AJ,36,0),"")</f>
        <v/>
      </c>
      <c r="L497" s="156" t="str">
        <f>IFERROR(VLOOKUP($G497,今日總結!$A:$AJ,33,0),"")</f>
        <v/>
      </c>
      <c r="M497" s="340" t="str">
        <f>IFERROR(VLOOKUP($G497,今日總結!$A:$AJ,34,0),"")</f>
        <v/>
      </c>
      <c r="N497" s="240" t="str">
        <f t="shared" si="113"/>
        <v/>
      </c>
      <c r="P497" s="365" t="str">
        <f>IFERROR(VLOOKUP($G497,融外自投!$A:$J,7,0),"無")</f>
        <v>無</v>
      </c>
      <c r="Q497" s="79" t="str">
        <f>IFERROR(VLOOKUP($G497,融外自投!$A:$J,9,0),"無")</f>
        <v>無</v>
      </c>
      <c r="R497" s="346" t="str">
        <f>IFERROR(VLOOKUP($G497,融外自投!$A:$J,8,0),"無")</f>
        <v>無</v>
      </c>
      <c r="S497" s="81" t="str">
        <f>IFERROR(VLOOKUP($G497,融外自投!$A:$J,10,0),"無")</f>
        <v>無</v>
      </c>
      <c r="T497" s="327" t="str">
        <f>IFERROR(VLOOKUP($G497,'321買'!$A:$E,5,0),"'沒有資料'")</f>
        <v>'沒有資料'</v>
      </c>
      <c r="U497" s="186">
        <f>IFERROR(VLOOKUP($G497,基本資料!$A:$J,9,0),"無")</f>
        <v>0</v>
      </c>
      <c r="V497" s="310">
        <f t="shared" si="114"/>
        <v>0</v>
      </c>
      <c r="W497" s="94">
        <f>IFERROR(VLOOKUP($G497,基本資料!$A:$J,10,0),"無")</f>
        <v>-0.65</v>
      </c>
      <c r="X497" s="36">
        <f>RTD("money.excel",,"1512","Price")</f>
        <v>3.2</v>
      </c>
      <c r="Y497" s="66"/>
      <c r="Z497" s="15">
        <f t="shared" si="115"/>
        <v>3.2</v>
      </c>
      <c r="AA497" s="3" t="e">
        <f t="shared" si="116"/>
        <v>#DIV/0!</v>
      </c>
      <c r="AB497" s="344">
        <f>IFERROR(VLOOKUP($G497,基本資料!$A:$M,11,0),"無")</f>
        <v>-41.81</v>
      </c>
      <c r="AC497" s="397">
        <f>IFERROR(VLOOKUP($G497,基本資料!$A:$M,12,0),"無")</f>
        <v>4.6100000000000003</v>
      </c>
      <c r="AD497" s="22" t="s">
        <v>4020</v>
      </c>
      <c r="AG497" s="33">
        <f t="shared" si="117"/>
        <v>0</v>
      </c>
      <c r="AH497" s="43" t="s">
        <v>4021</v>
      </c>
      <c r="AI497" s="63">
        <f t="shared" si="118"/>
        <v>4.5795499407816825E-4</v>
      </c>
      <c r="AJ497" s="284">
        <f>RTD("money.excel",,$G497,"PredictVolume")</f>
        <v>116</v>
      </c>
      <c r="AK497" s="399">
        <f>IFERROR(VLOOKUP($G497,基本資料!$A:$M,13,0),"無")</f>
        <v>0.93</v>
      </c>
    </row>
    <row r="498" spans="1:37">
      <c r="A498" s="347">
        <f>IFERROR(VLOOKUP($G498,基本資料!$A:$J,3,0),"無")</f>
        <v>7.62</v>
      </c>
      <c r="B498" s="79">
        <f>IFERROR(VLOOKUP($G498,基本資料!$A:$J,4,0),"無")</f>
        <v>-48</v>
      </c>
      <c r="C498" s="79">
        <f>IFERROR(VLOOKUP($G498,基本資料!$A:$J,5,0),"無")</f>
        <v>-31</v>
      </c>
      <c r="D498" s="79">
        <f>IFERROR(VLOOKUP($G498,基本資料!$A:$J,6,0),"無")</f>
        <v>26</v>
      </c>
      <c r="E498" s="79">
        <f>IFERROR(VLOOKUP($G498,基本資料!$A:$J,7,0),"無")</f>
        <v>-10</v>
      </c>
      <c r="F498" s="6">
        <f>IFERROR(VLOOKUP($G498,基本資料!$A:$J,8,0),"無")</f>
        <v>2.5499999999999998</v>
      </c>
      <c r="G498" s="79">
        <v>1521</v>
      </c>
      <c r="H498" s="8" t="s">
        <v>301</v>
      </c>
      <c r="I498" s="22" t="s">
        <v>4022</v>
      </c>
      <c r="J498" s="8" t="str">
        <f>IFERROR(VLOOKUP($G498,今日總結!$A:$AJ,35,0),"")</f>
        <v/>
      </c>
      <c r="K498" s="5" t="str">
        <f>IFERROR(VLOOKUP($G498,今日總結!$A:$AJ,36,0),"")</f>
        <v/>
      </c>
      <c r="L498" s="156" t="str">
        <f>IFERROR(VLOOKUP($G498,今日總結!$A:$AJ,33,0),"")</f>
        <v/>
      </c>
      <c r="M498" s="340" t="str">
        <f>IFERROR(VLOOKUP($G498,今日總結!$A:$AJ,34,0),"")</f>
        <v/>
      </c>
      <c r="N498" s="240" t="str">
        <f t="shared" si="113"/>
        <v/>
      </c>
      <c r="P498" s="365">
        <f>IFERROR(VLOOKUP($G498,融外自投!$A:$J,7,0),"無")</f>
        <v>1294</v>
      </c>
      <c r="Q498" s="79">
        <f>IFERROR(VLOOKUP($G498,融外自投!$A:$J,9,0),"無")</f>
        <v>1051</v>
      </c>
      <c r="R498" s="346">
        <f>IFERROR(VLOOKUP($G498,融外自投!$A:$J,8,0),"無")</f>
        <v>153</v>
      </c>
      <c r="S498" s="81" t="str">
        <f>IFERROR(VLOOKUP($G498,融外自投!$A:$J,10,0),"無")</f>
        <v>無</v>
      </c>
      <c r="T498" s="327">
        <f>IFERROR(VLOOKUP($G498,'321買'!$A:$E,5,0),"'沒有資料'")</f>
        <v>1327</v>
      </c>
      <c r="U498" s="186">
        <f>IFERROR(VLOOKUP($G498,基本資料!$A:$J,9,0),"無")</f>
        <v>0.6</v>
      </c>
      <c r="V498" s="310">
        <f t="shared" si="114"/>
        <v>1.7492711370262391E-2</v>
      </c>
      <c r="W498" s="94">
        <f>IFERROR(VLOOKUP($G498,基本資料!$A:$J,10,0),"無")</f>
        <v>1.08</v>
      </c>
      <c r="X498" s="36">
        <f>RTD("money.excel",,"1521","Price")</f>
        <v>34.299999999999997</v>
      </c>
      <c r="Y498" s="66"/>
      <c r="Z498" s="15">
        <f t="shared" si="115"/>
        <v>34.299999999999997</v>
      </c>
      <c r="AA498" s="3" t="e">
        <f t="shared" si="116"/>
        <v>#DIV/0!</v>
      </c>
      <c r="AB498" s="344">
        <f>IFERROR(VLOOKUP($G498,基本資料!$A:$M,11,0),"無")</f>
        <v>-27.23</v>
      </c>
      <c r="AC498" s="397">
        <f>IFERROR(VLOOKUP($G498,基本資料!$A:$M,12,0),"無")</f>
        <v>8.92</v>
      </c>
      <c r="AD498" s="22" t="s">
        <v>4022</v>
      </c>
      <c r="AG498" s="33">
        <f t="shared" si="117"/>
        <v>0</v>
      </c>
      <c r="AH498" s="43" t="s">
        <v>2089</v>
      </c>
      <c r="AI498" s="63">
        <f t="shared" si="118"/>
        <v>2.2309711286089238E-4</v>
      </c>
      <c r="AJ498" s="284">
        <f>RTD("money.excel",,$G498,"PredictVolume")</f>
        <v>17</v>
      </c>
      <c r="AK498" s="399">
        <f>IFERROR(VLOOKUP($G498,基本資料!$A:$M,13,0),"無")</f>
        <v>0.83</v>
      </c>
    </row>
    <row r="499" spans="1:37">
      <c r="A499" s="347">
        <f>IFERROR(VLOOKUP($G499,基本資料!$A:$J,3,0),"無")</f>
        <v>31.28</v>
      </c>
      <c r="B499" s="79">
        <f>IFERROR(VLOOKUP($G499,基本資料!$A:$J,4,0),"無")</f>
        <v>-17</v>
      </c>
      <c r="C499" s="79">
        <f>IFERROR(VLOOKUP($G499,基本資料!$A:$J,5,0),"無")</f>
        <v>60</v>
      </c>
      <c r="D499" s="79">
        <f>IFERROR(VLOOKUP($G499,基本資料!$A:$J,6,0),"無")</f>
        <v>27</v>
      </c>
      <c r="E499" s="79">
        <f>IFERROR(VLOOKUP($G499,基本資料!$A:$J,7,0),"無")</f>
        <v>21</v>
      </c>
      <c r="F499" s="6">
        <f>IFERROR(VLOOKUP($G499,基本資料!$A:$J,8,0),"無")</f>
        <v>2.59</v>
      </c>
      <c r="G499" s="79">
        <v>1522</v>
      </c>
      <c r="H499" s="8" t="s">
        <v>301</v>
      </c>
      <c r="I499" s="23" t="s">
        <v>4023</v>
      </c>
      <c r="J499" s="8" t="str">
        <f>IFERROR(VLOOKUP($G499,今日總結!$A:$AJ,35,0),"")</f>
        <v>融主</v>
      </c>
      <c r="K499" s="5">
        <f>IFERROR(VLOOKUP($G499,今日總結!$A:$AJ,36,0),"")</f>
        <v>0</v>
      </c>
      <c r="L499" s="156">
        <f>IFERROR(VLOOKUP($G499,今日總結!$A:$AJ,33,0),"")</f>
        <v>2</v>
      </c>
      <c r="M499" s="340">
        <f>IFERROR(VLOOKUP($G499,今日總結!$A:$AJ,34,0),"")</f>
        <v>0</v>
      </c>
      <c r="N499" s="240">
        <f t="shared" si="113"/>
        <v>2</v>
      </c>
      <c r="P499" s="365">
        <f>IFERROR(VLOOKUP($G499,融外自投!$A:$J,7,0),"無")</f>
        <v>969</v>
      </c>
      <c r="Q499" s="79" t="str">
        <f>IFERROR(VLOOKUP($G499,融外自投!$A:$J,9,0),"無")</f>
        <v>無</v>
      </c>
      <c r="R499" s="346">
        <f>IFERROR(VLOOKUP($G499,融外自投!$A:$J,8,0),"無")</f>
        <v>746</v>
      </c>
      <c r="S499" s="81" t="str">
        <f>IFERROR(VLOOKUP($G499,融外自投!$A:$J,10,0),"無")</f>
        <v>無</v>
      </c>
      <c r="T499" s="327">
        <f>IFERROR(VLOOKUP($G499,'321買'!$A:$E,5,0),"'沒有資料'")</f>
        <v>984</v>
      </c>
      <c r="U499" s="186">
        <f>IFERROR(VLOOKUP($G499,基本資料!$A:$J,9,0),"無")</f>
        <v>0.5</v>
      </c>
      <c r="V499" s="310">
        <f t="shared" si="114"/>
        <v>2.5000000000000001E-2</v>
      </c>
      <c r="W499" s="94">
        <f>IFERROR(VLOOKUP($G499,基本資料!$A:$J,10,0),"無")</f>
        <v>0.62</v>
      </c>
      <c r="X499" s="36">
        <f>RTD("money.excel",,"1522","Price")</f>
        <v>20</v>
      </c>
      <c r="Y499" s="66"/>
      <c r="Z499" s="15">
        <f t="shared" si="115"/>
        <v>20</v>
      </c>
      <c r="AA499" s="3" t="e">
        <f t="shared" si="116"/>
        <v>#DIV/0!</v>
      </c>
      <c r="AB499" s="344">
        <f>IFERROR(VLOOKUP($G499,基本資料!$A:$M,11,0),"無")</f>
        <v>-15.79</v>
      </c>
      <c r="AC499" s="397">
        <f>IFERROR(VLOOKUP($G499,基本資料!$A:$M,12,0),"無")</f>
        <v>78.69</v>
      </c>
      <c r="AD499" s="23" t="s">
        <v>4023</v>
      </c>
      <c r="AG499" s="33">
        <f t="shared" si="117"/>
        <v>0</v>
      </c>
      <c r="AH499" s="119" t="s">
        <v>2089</v>
      </c>
      <c r="AI499" s="63">
        <f t="shared" si="118"/>
        <v>4.3925831202046035E-3</v>
      </c>
      <c r="AJ499" s="284">
        <f>RTD("money.excel",,$G499,"PredictVolume")</f>
        <v>1374</v>
      </c>
      <c r="AK499" s="399">
        <f>IFERROR(VLOOKUP($G499,基本資料!$A:$M,13,0),"無")</f>
        <v>2.17</v>
      </c>
    </row>
    <row r="500" spans="1:37">
      <c r="A500" s="347">
        <f>IFERROR(VLOOKUP($G500,基本資料!$A:$J,3,0),"無")</f>
        <v>16.53</v>
      </c>
      <c r="B500" s="79">
        <f>IFERROR(VLOOKUP($G500,基本資料!$A:$J,4,0),"無")</f>
        <v>69</v>
      </c>
      <c r="C500" s="79">
        <f>IFERROR(VLOOKUP($G500,基本資料!$A:$J,5,0),"無")</f>
        <v>51</v>
      </c>
      <c r="D500" s="79">
        <f>IFERROR(VLOOKUP($G500,基本資料!$A:$J,6,0),"無")</f>
        <v>92</v>
      </c>
      <c r="E500" s="79">
        <f>IFERROR(VLOOKUP($G500,基本資料!$A:$J,7,0),"無")</f>
        <v>29</v>
      </c>
      <c r="F500" s="6">
        <f>IFERROR(VLOOKUP($G500,基本資料!$A:$J,8,0),"無")</f>
        <v>4.26</v>
      </c>
      <c r="G500" s="79">
        <v>1524</v>
      </c>
      <c r="H500" s="8" t="s">
        <v>301</v>
      </c>
      <c r="I500" s="22" t="s">
        <v>4024</v>
      </c>
      <c r="J500" s="8" t="str">
        <f>IFERROR(VLOOKUP($G500,今日總結!$A:$AJ,35,0),"")</f>
        <v>32融</v>
      </c>
      <c r="K500" s="5">
        <f>IFERROR(VLOOKUP($G500,今日總結!$A:$AJ,36,0),"")</f>
        <v>0</v>
      </c>
      <c r="L500" s="156">
        <f>IFERROR(VLOOKUP($G500,今日總結!$A:$AJ,33,0),"")</f>
        <v>3</v>
      </c>
      <c r="M500" s="340">
        <f>IFERROR(VLOOKUP($G500,今日總結!$A:$AJ,34,0),"")</f>
        <v>1</v>
      </c>
      <c r="N500" s="240">
        <f t="shared" si="113"/>
        <v>2</v>
      </c>
      <c r="P500" s="365">
        <f>IFERROR(VLOOKUP($G500,融外自投!$A:$J,7,0),"無")</f>
        <v>267</v>
      </c>
      <c r="Q500" s="79">
        <f>IFERROR(VLOOKUP($G500,融外自投!$A:$J,9,0),"無")</f>
        <v>635</v>
      </c>
      <c r="R500" s="346">
        <f>IFERROR(VLOOKUP($G500,融外自投!$A:$J,8,0),"無")</f>
        <v>1351</v>
      </c>
      <c r="S500" s="81" t="str">
        <f>IFERROR(VLOOKUP($G500,融外自投!$A:$J,10,0),"無")</f>
        <v>無</v>
      </c>
      <c r="T500" s="327">
        <f>IFERROR(VLOOKUP($G500,'321買'!$A:$E,5,0),"'沒有資料'")</f>
        <v>1143</v>
      </c>
      <c r="U500" s="186">
        <f>IFERROR(VLOOKUP($G500,基本資料!$A:$J,9,0),"無")</f>
        <v>0.3</v>
      </c>
      <c r="V500" s="310">
        <f t="shared" si="114"/>
        <v>2.1582733812949638E-2</v>
      </c>
      <c r="W500" s="94">
        <f>IFERROR(VLOOKUP($G500,基本資料!$A:$J,10,0),"無")</f>
        <v>0.38</v>
      </c>
      <c r="X500" s="36">
        <f>RTD("money.excel",,"1524","Price")</f>
        <v>13.9</v>
      </c>
      <c r="Y500" s="66"/>
      <c r="Z500" s="15">
        <f t="shared" si="115"/>
        <v>13.9</v>
      </c>
      <c r="AA500" s="3" t="e">
        <f t="shared" si="116"/>
        <v>#DIV/0!</v>
      </c>
      <c r="AB500" s="344">
        <f>IFERROR(VLOOKUP($G500,基本資料!$A:$M,11,0),"無")</f>
        <v>-6.67</v>
      </c>
      <c r="AC500" s="397">
        <f>IFERROR(VLOOKUP($G500,基本資料!$A:$M,12,0),"無")</f>
        <v>76.53</v>
      </c>
      <c r="AD500" s="22" t="s">
        <v>4024</v>
      </c>
      <c r="AG500" s="33">
        <f t="shared" si="117"/>
        <v>0</v>
      </c>
      <c r="AH500" s="119" t="s">
        <v>4025</v>
      </c>
      <c r="AI500" s="63">
        <f t="shared" si="118"/>
        <v>0.3143436176648518</v>
      </c>
      <c r="AJ500" s="284">
        <f>RTD("money.excel",,$G500,"PredictVolume")</f>
        <v>51961</v>
      </c>
      <c r="AK500" s="399">
        <f>IFERROR(VLOOKUP($G500,基本資料!$A:$M,13,0),"無")</f>
        <v>29.62</v>
      </c>
    </row>
    <row r="501" spans="1:37">
      <c r="A501" s="347">
        <f>IFERROR(VLOOKUP($G501,基本資料!$A:$J,3,0),"無")</f>
        <v>7.34</v>
      </c>
      <c r="B501" s="79">
        <f>IFERROR(VLOOKUP($G501,基本資料!$A:$J,4,0),"無")</f>
        <v>-5</v>
      </c>
      <c r="C501" s="79">
        <f>IFERROR(VLOOKUP($G501,基本資料!$A:$J,5,0),"無")</f>
        <v>130</v>
      </c>
      <c r="D501" s="79">
        <f>IFERROR(VLOOKUP($G501,基本資料!$A:$J,6,0),"無")</f>
        <v>31</v>
      </c>
      <c r="E501" s="79">
        <f>IFERROR(VLOOKUP($G501,基本資料!$A:$J,7,0),"無")</f>
        <v>4</v>
      </c>
      <c r="F501" s="6">
        <f>IFERROR(VLOOKUP($G501,基本資料!$A:$J,8,0),"無")</f>
        <v>1.1399999999999999</v>
      </c>
      <c r="G501" s="79">
        <v>1525</v>
      </c>
      <c r="H501" s="8" t="s">
        <v>301</v>
      </c>
      <c r="I501" s="22" t="s">
        <v>4026</v>
      </c>
      <c r="J501" s="8" t="str">
        <f>IFERROR(VLOOKUP($G501,今日總結!$A:$AJ,35,0),"")</f>
        <v/>
      </c>
      <c r="K501" s="5" t="str">
        <f>IFERROR(VLOOKUP($G501,今日總結!$A:$AJ,36,0),"")</f>
        <v/>
      </c>
      <c r="L501" s="156" t="str">
        <f>IFERROR(VLOOKUP($G501,今日總結!$A:$AJ,33,0),"")</f>
        <v/>
      </c>
      <c r="M501" s="340" t="str">
        <f>IFERROR(VLOOKUP($G501,今日總結!$A:$AJ,34,0),"")</f>
        <v/>
      </c>
      <c r="N501" s="240" t="str">
        <f t="shared" si="113"/>
        <v/>
      </c>
      <c r="P501" s="365">
        <f>IFERROR(VLOOKUP($G501,融外自投!$A:$J,7,0),"無")</f>
        <v>738</v>
      </c>
      <c r="Q501" s="79" t="str">
        <f>IFERROR(VLOOKUP($G501,融外自投!$A:$J,9,0),"無")</f>
        <v>無</v>
      </c>
      <c r="R501" s="346">
        <f>IFERROR(VLOOKUP($G501,融外自投!$A:$J,8,0),"無")</f>
        <v>1378</v>
      </c>
      <c r="S501" s="81" t="str">
        <f>IFERROR(VLOOKUP($G501,融外自投!$A:$J,10,0),"無")</f>
        <v>無</v>
      </c>
      <c r="T501" s="327">
        <f>IFERROR(VLOOKUP($G501,'321買'!$A:$E,5,0),"'沒有資料'")</f>
        <v>1338</v>
      </c>
      <c r="U501" s="186">
        <f>IFERROR(VLOOKUP($G501,基本資料!$A:$J,9,0),"無")</f>
        <v>2.1</v>
      </c>
      <c r="V501" s="310">
        <f t="shared" si="114"/>
        <v>3.6906854130052728E-2</v>
      </c>
      <c r="W501" s="94">
        <f>IFERROR(VLOOKUP($G501,基本資料!$A:$J,10,0),"無")</f>
        <v>4.18</v>
      </c>
      <c r="X501" s="36">
        <f>RTD("money.excel",,"1525","Price")</f>
        <v>56.9</v>
      </c>
      <c r="Y501" s="66"/>
      <c r="Z501" s="15">
        <f t="shared" si="115"/>
        <v>56.9</v>
      </c>
      <c r="AA501" s="3" t="e">
        <f t="shared" si="116"/>
        <v>#DIV/0!</v>
      </c>
      <c r="AB501" s="344">
        <f>IFERROR(VLOOKUP($G501,基本資料!$A:$M,11,0),"無")</f>
        <v>-26.27</v>
      </c>
      <c r="AC501" s="397">
        <f>IFERROR(VLOOKUP($G501,基本資料!$A:$M,12,0),"無")</f>
        <v>25.41</v>
      </c>
      <c r="AD501" s="22" t="s">
        <v>4026</v>
      </c>
      <c r="AE501" s="110"/>
      <c r="AG501" s="33">
        <f t="shared" si="117"/>
        <v>0</v>
      </c>
      <c r="AH501" s="43" t="s">
        <v>4027</v>
      </c>
      <c r="AI501" s="63">
        <f t="shared" si="118"/>
        <v>2.0435967302452317E-4</v>
      </c>
      <c r="AJ501" s="284">
        <f>RTD("money.excel",,$G501,"PredictVolume")</f>
        <v>15</v>
      </c>
      <c r="AK501" s="399">
        <f>IFERROR(VLOOKUP($G501,基本資料!$A:$M,13,0),"無")</f>
        <v>0.95</v>
      </c>
    </row>
    <row r="502" spans="1:37">
      <c r="A502" s="347">
        <f>IFERROR(VLOOKUP($G502,基本資料!$A:$J,3,0),"無")</f>
        <v>9.85</v>
      </c>
      <c r="B502" s="79">
        <f>IFERROR(VLOOKUP($G502,基本資料!$A:$J,4,0),"無")</f>
        <v>357</v>
      </c>
      <c r="C502" s="79">
        <f>IFERROR(VLOOKUP($G502,基本資料!$A:$J,5,0),"無")</f>
        <v>-54</v>
      </c>
      <c r="D502" s="79">
        <f>IFERROR(VLOOKUP($G502,基本資料!$A:$J,6,0),"無")</f>
        <v>-7</v>
      </c>
      <c r="E502" s="79">
        <f>IFERROR(VLOOKUP($G502,基本資料!$A:$J,7,0),"無")</f>
        <v>-7</v>
      </c>
      <c r="F502" s="6">
        <f>IFERROR(VLOOKUP($G502,基本資料!$A:$J,8,0),"無")</f>
        <v>0.99</v>
      </c>
      <c r="G502" s="79">
        <v>1533</v>
      </c>
      <c r="H502" s="8" t="s">
        <v>301</v>
      </c>
      <c r="I502" s="23" t="s">
        <v>4028</v>
      </c>
      <c r="J502" s="8" t="str">
        <f>IFERROR(VLOOKUP($G502,今日總結!$A:$AJ,35,0),"")</f>
        <v/>
      </c>
      <c r="K502" s="5" t="str">
        <f>IFERROR(VLOOKUP($G502,今日總結!$A:$AJ,36,0),"")</f>
        <v/>
      </c>
      <c r="L502" s="156" t="str">
        <f>IFERROR(VLOOKUP($G502,今日總結!$A:$AJ,33,0),"")</f>
        <v/>
      </c>
      <c r="M502" s="340" t="str">
        <f>IFERROR(VLOOKUP($G502,今日總結!$A:$AJ,34,0),"")</f>
        <v/>
      </c>
      <c r="N502" s="240" t="str">
        <f t="shared" si="113"/>
        <v/>
      </c>
      <c r="P502" s="365">
        <f>IFERROR(VLOOKUP($G502,融外自投!$A:$J,7,0),"無")</f>
        <v>494</v>
      </c>
      <c r="Q502" s="79">
        <f>IFERROR(VLOOKUP($G502,融外自投!$A:$J,9,0),"無")</f>
        <v>1110</v>
      </c>
      <c r="R502" s="346">
        <f>IFERROR(VLOOKUP($G502,融外自投!$A:$J,8,0),"無")</f>
        <v>725</v>
      </c>
      <c r="S502" s="81" t="str">
        <f>IFERROR(VLOOKUP($G502,融外自投!$A:$J,10,0),"無")</f>
        <v>無</v>
      </c>
      <c r="T502" s="327">
        <f>IFERROR(VLOOKUP($G502,'321買'!$A:$E,5,0),"'沒有資料'")</f>
        <v>1085</v>
      </c>
      <c r="U502" s="186">
        <f>IFERROR(VLOOKUP($G502,基本資料!$A:$J,9,0),"無")</f>
        <v>0.3</v>
      </c>
      <c r="V502" s="310">
        <f t="shared" si="114"/>
        <v>5.2447552447552441E-3</v>
      </c>
      <c r="W502" s="94">
        <f>IFERROR(VLOOKUP($G502,基本資料!$A:$J,10,0),"無")</f>
        <v>0.88</v>
      </c>
      <c r="X502" s="36">
        <f>RTD("money.excel",,"1533","Price")</f>
        <v>57.2</v>
      </c>
      <c r="Y502" s="66"/>
      <c r="Z502" s="15">
        <f t="shared" si="115"/>
        <v>57.2</v>
      </c>
      <c r="AA502" s="3" t="e">
        <f t="shared" si="116"/>
        <v>#DIV/0!</v>
      </c>
      <c r="AB502" s="344">
        <f>IFERROR(VLOOKUP($G502,基本資料!$A:$M,11,0),"無")</f>
        <v>-23.99</v>
      </c>
      <c r="AC502" s="397">
        <f>IFERROR(VLOOKUP($G502,基本資料!$A:$M,12,0),"無")</f>
        <v>39.6</v>
      </c>
      <c r="AD502" s="23" t="s">
        <v>4028</v>
      </c>
      <c r="AG502" s="33">
        <f t="shared" si="117"/>
        <v>0</v>
      </c>
      <c r="AH502" s="119" t="s">
        <v>4029</v>
      </c>
      <c r="AI502" s="63">
        <f t="shared" si="118"/>
        <v>9.5532994923857861E-3</v>
      </c>
      <c r="AJ502" s="284">
        <f>RTD("money.excel",,$G502,"PredictVolume")</f>
        <v>941</v>
      </c>
      <c r="AK502" s="399">
        <f>IFERROR(VLOOKUP($G502,基本資料!$A:$M,13,0),"無")</f>
        <v>34.85</v>
      </c>
    </row>
    <row r="503" spans="1:37">
      <c r="A503" s="347">
        <f>IFERROR(VLOOKUP($G503,基本資料!$A:$J,3,0),"無")</f>
        <v>27.95</v>
      </c>
      <c r="B503" s="79">
        <f>IFERROR(VLOOKUP($G503,基本資料!$A:$J,4,0),"無")</f>
        <v>19</v>
      </c>
      <c r="C503" s="79">
        <f>IFERROR(VLOOKUP($G503,基本資料!$A:$J,5,0),"無")</f>
        <v>13</v>
      </c>
      <c r="D503" s="79">
        <f>IFERROR(VLOOKUP($G503,基本資料!$A:$J,6,0),"無")</f>
        <v>1</v>
      </c>
      <c r="E503" s="79">
        <f>IFERROR(VLOOKUP($G503,基本資料!$A:$J,7,0),"無")</f>
        <v>13</v>
      </c>
      <c r="F503" s="6">
        <f>IFERROR(VLOOKUP($G503,基本資料!$A:$J,8,0),"無")</f>
        <v>6.75</v>
      </c>
      <c r="G503" s="79">
        <v>1536</v>
      </c>
      <c r="H503" s="8" t="s">
        <v>301</v>
      </c>
      <c r="I503" s="22" t="s">
        <v>4030</v>
      </c>
      <c r="J503" s="8" t="str">
        <f>IFERROR(VLOOKUP($G503,今日總結!$A:$AJ,35,0),"")</f>
        <v>外</v>
      </c>
      <c r="K503" s="5">
        <f>IFERROR(VLOOKUP($G503,今日總結!$A:$AJ,36,0),"")</f>
        <v>0</v>
      </c>
      <c r="L503" s="156">
        <f>IFERROR(VLOOKUP($G503,今日總結!$A:$AJ,33,0),"")</f>
        <v>1</v>
      </c>
      <c r="M503" s="340">
        <f>IFERROR(VLOOKUP($G503,今日總結!$A:$AJ,34,0),"")</f>
        <v>0</v>
      </c>
      <c r="N503" s="240">
        <f t="shared" si="113"/>
        <v>1</v>
      </c>
      <c r="P503" s="365">
        <f>IFERROR(VLOOKUP($G503,融外自投!$A:$J,7,0),"無")</f>
        <v>736</v>
      </c>
      <c r="Q503" s="79">
        <f>IFERROR(VLOOKUP($G503,融外自投!$A:$J,9,0),"無")</f>
        <v>329</v>
      </c>
      <c r="R503" s="346">
        <f>IFERROR(VLOOKUP($G503,融外自投!$A:$J,8,0),"無")</f>
        <v>446</v>
      </c>
      <c r="S503" s="81">
        <f>IFERROR(VLOOKUP($G503,融外自投!$A:$J,10,0),"無")</f>
        <v>491</v>
      </c>
      <c r="T503" s="327">
        <f>IFERROR(VLOOKUP($G503,'321買'!$A:$E,5,0),"'沒有資料'")</f>
        <v>237</v>
      </c>
      <c r="U503" s="186">
        <f>IFERROR(VLOOKUP($G503,基本資料!$A:$J,9,0),"無")</f>
        <v>1.36</v>
      </c>
      <c r="V503" s="310">
        <f t="shared" si="114"/>
        <v>1.8630136986301372E-2</v>
      </c>
      <c r="W503" s="94">
        <f>IFERROR(VLOOKUP($G503,基本資料!$A:$J,10,0),"無")</f>
        <v>1.23</v>
      </c>
      <c r="X503" s="36">
        <f>RTD("money.excel",,"1536","Price")</f>
        <v>73</v>
      </c>
      <c r="Y503" s="66"/>
      <c r="Z503" s="15">
        <f t="shared" si="115"/>
        <v>73</v>
      </c>
      <c r="AA503" s="3" t="e">
        <f t="shared" si="116"/>
        <v>#DIV/0!</v>
      </c>
      <c r="AB503" s="344">
        <f>IFERROR(VLOOKUP($G503,基本資料!$A:$M,11,0),"無")</f>
        <v>-36.090000000000003</v>
      </c>
      <c r="AC503" s="397">
        <f>IFERROR(VLOOKUP($G503,基本資料!$A:$M,12,0),"無")</f>
        <v>28.31</v>
      </c>
      <c r="AD503" s="22" t="s">
        <v>4030</v>
      </c>
      <c r="AG503" s="33">
        <f t="shared" si="117"/>
        <v>0</v>
      </c>
      <c r="AH503" s="117" t="s">
        <v>4031</v>
      </c>
      <c r="AI503" s="63">
        <f t="shared" si="118"/>
        <v>1.4025044722719142E-3</v>
      </c>
      <c r="AJ503" s="284">
        <f>RTD("money.excel",,$G503,"PredictVolume")</f>
        <v>392</v>
      </c>
      <c r="AK503" s="399">
        <f>IFERROR(VLOOKUP($G503,基本資料!$A:$M,13,0),"無")</f>
        <v>2.97</v>
      </c>
    </row>
    <row r="504" spans="1:37">
      <c r="A504" s="347">
        <f>IFERROR(VLOOKUP($G504,基本資料!$A:$J,3,0),"無")</f>
        <v>10.3</v>
      </c>
      <c r="B504" s="79">
        <f>IFERROR(VLOOKUP($G504,基本資料!$A:$J,4,0),"無")</f>
        <v>187</v>
      </c>
      <c r="C504" s="79">
        <f>IFERROR(VLOOKUP($G504,基本資料!$A:$J,5,0),"無")</f>
        <v>259</v>
      </c>
      <c r="D504" s="79">
        <f>IFERROR(VLOOKUP($G504,基本資料!$A:$J,6,0),"無")</f>
        <v>-27</v>
      </c>
      <c r="E504" s="79">
        <f>IFERROR(VLOOKUP($G504,基本資料!$A:$J,7,0),"無")</f>
        <v>-16</v>
      </c>
      <c r="F504" s="6">
        <f>IFERROR(VLOOKUP($G504,基本資料!$A:$J,8,0),"無")</f>
        <v>1.8</v>
      </c>
      <c r="G504" s="79">
        <v>1568</v>
      </c>
      <c r="H504" s="8" t="s">
        <v>301</v>
      </c>
      <c r="I504" s="22" t="s">
        <v>4032</v>
      </c>
      <c r="J504" s="8" t="str">
        <f>IFERROR(VLOOKUP($G504,今日總結!$A:$AJ,35,0),"")</f>
        <v/>
      </c>
      <c r="K504" s="5" t="str">
        <f>IFERROR(VLOOKUP($G504,今日總結!$A:$AJ,36,0),"")</f>
        <v/>
      </c>
      <c r="L504" s="156" t="str">
        <f>IFERROR(VLOOKUP($G504,今日總結!$A:$AJ,33,0),"")</f>
        <v/>
      </c>
      <c r="M504" s="340" t="str">
        <f>IFERROR(VLOOKUP($G504,今日總結!$A:$AJ,34,0),"")</f>
        <v/>
      </c>
      <c r="N504" s="240" t="str">
        <f t="shared" si="113"/>
        <v/>
      </c>
      <c r="P504" s="365">
        <f>IFERROR(VLOOKUP($G504,融外自投!$A:$J,7,0),"無")</f>
        <v>829</v>
      </c>
      <c r="Q504" s="79">
        <f>IFERROR(VLOOKUP($G504,融外自投!$A:$J,9,0),"無")</f>
        <v>789</v>
      </c>
      <c r="R504" s="346">
        <f>IFERROR(VLOOKUP($G504,融外自投!$A:$J,8,0),"無")</f>
        <v>1165</v>
      </c>
      <c r="S504" s="81" t="str">
        <f>IFERROR(VLOOKUP($G504,融外自投!$A:$J,10,0),"無")</f>
        <v>無</v>
      </c>
      <c r="T504" s="327">
        <f>IFERROR(VLOOKUP($G504,'321買'!$A:$E,5,0),"'沒有資料'")</f>
        <v>1161</v>
      </c>
      <c r="U504" s="186">
        <f>IFERROR(VLOOKUP($G504,基本資料!$A:$J,9,0),"無")</f>
        <v>0.3</v>
      </c>
      <c r="V504" s="310">
        <f t="shared" si="114"/>
        <v>1.5706806282722512E-2</v>
      </c>
      <c r="W504" s="94">
        <f>IFERROR(VLOOKUP($G504,基本資料!$A:$J,10,0),"無")</f>
        <v>0.28999999999999998</v>
      </c>
      <c r="X504" s="36">
        <f>RTD("money.excel",,"1568","Price")</f>
        <v>19.100000000000001</v>
      </c>
      <c r="Y504" s="66"/>
      <c r="Z504" s="15">
        <f t="shared" si="115"/>
        <v>19.100000000000001</v>
      </c>
      <c r="AA504" s="3" t="e">
        <f t="shared" si="116"/>
        <v>#DIV/0!</v>
      </c>
      <c r="AB504" s="344">
        <f>IFERROR(VLOOKUP($G504,基本資料!$A:$M,11,0),"無")</f>
        <v>-38.51</v>
      </c>
      <c r="AC504" s="397">
        <f>IFERROR(VLOOKUP($G504,基本資料!$A:$M,12,0),"無")</f>
        <v>15.28</v>
      </c>
      <c r="AD504" s="22" t="s">
        <v>4032</v>
      </c>
      <c r="AG504" s="33">
        <f t="shared" si="117"/>
        <v>0</v>
      </c>
      <c r="AH504" s="43" t="s">
        <v>4033</v>
      </c>
      <c r="AI504" s="63">
        <f t="shared" si="118"/>
        <v>3.9805825242718448E-4</v>
      </c>
      <c r="AJ504" s="284">
        <f>RTD("money.excel",,$G504,"PredictVolume")</f>
        <v>41</v>
      </c>
      <c r="AK504" s="399">
        <f>IFERROR(VLOOKUP($G504,基本資料!$A:$M,13,0),"無")</f>
        <v>5.56</v>
      </c>
    </row>
    <row r="505" spans="1:37">
      <c r="A505" s="347">
        <f>IFERROR(VLOOKUP($G505,基本資料!$A:$J,3,0),"無")</f>
        <v>6.86</v>
      </c>
      <c r="B505" s="79">
        <f>IFERROR(VLOOKUP($G505,基本資料!$A:$J,4,0),"無")</f>
        <v>-40</v>
      </c>
      <c r="C505" s="79">
        <f>IFERROR(VLOOKUP($G505,基本資料!$A:$J,5,0),"無")</f>
        <v>19</v>
      </c>
      <c r="D505" s="79">
        <f>IFERROR(VLOOKUP($G505,基本資料!$A:$J,6,0),"無")</f>
        <v>-3</v>
      </c>
      <c r="E505" s="79">
        <f>IFERROR(VLOOKUP($G505,基本資料!$A:$J,7,0),"無")</f>
        <v>1</v>
      </c>
      <c r="F505" s="6">
        <f>IFERROR(VLOOKUP($G505,基本資料!$A:$J,8,0),"無")</f>
        <v>6.66</v>
      </c>
      <c r="G505" s="79">
        <v>1587</v>
      </c>
      <c r="H505" s="8" t="s">
        <v>301</v>
      </c>
      <c r="I505" s="22" t="s">
        <v>4034</v>
      </c>
      <c r="J505" s="8" t="str">
        <f>IFERROR(VLOOKUP($G505,今日總結!$A:$AJ,35,0),"")</f>
        <v/>
      </c>
      <c r="K505" s="5" t="str">
        <f>IFERROR(VLOOKUP($G505,今日總結!$A:$AJ,36,0),"")</f>
        <v/>
      </c>
      <c r="L505" s="156" t="str">
        <f>IFERROR(VLOOKUP($G505,今日總結!$A:$AJ,33,0),"")</f>
        <v/>
      </c>
      <c r="M505" s="340" t="str">
        <f>IFERROR(VLOOKUP($G505,今日總結!$A:$AJ,34,0),"")</f>
        <v/>
      </c>
      <c r="N505" s="240" t="str">
        <f t="shared" si="113"/>
        <v/>
      </c>
      <c r="P505" s="365">
        <f>IFERROR(VLOOKUP($G505,融外自投!$A:$J,7,0),"無")</f>
        <v>855</v>
      </c>
      <c r="Q505" s="79">
        <f>IFERROR(VLOOKUP($G505,融外自投!$A:$J,9,0),"無")</f>
        <v>1110</v>
      </c>
      <c r="R505" s="346">
        <f>IFERROR(VLOOKUP($G505,融外自投!$A:$J,8,0),"無")</f>
        <v>268</v>
      </c>
      <c r="S505" s="81" t="str">
        <f>IFERROR(VLOOKUP($G505,融外自投!$A:$J,10,0),"無")</f>
        <v>無</v>
      </c>
      <c r="T505" s="327">
        <f>IFERROR(VLOOKUP($G505,'321買'!$A:$E,5,0),"'沒有資料'")</f>
        <v>1259</v>
      </c>
      <c r="U505" s="186">
        <f>IFERROR(VLOOKUP($G505,基本資料!$A:$J,9,0),"無")</f>
        <v>1</v>
      </c>
      <c r="V505" s="310">
        <f t="shared" si="114"/>
        <v>4.2826552462526764E-2</v>
      </c>
      <c r="W505" s="94">
        <f>IFERROR(VLOOKUP($G505,基本資料!$A:$J,10,0),"無")</f>
        <v>1.49</v>
      </c>
      <c r="X505" s="36">
        <f>RTD("money.excel",,"1587","Price")</f>
        <v>23.35</v>
      </c>
      <c r="Y505" s="66"/>
      <c r="Z505" s="15">
        <f t="shared" si="115"/>
        <v>23.35</v>
      </c>
      <c r="AA505" s="3" t="e">
        <f t="shared" si="116"/>
        <v>#DIV/0!</v>
      </c>
      <c r="AB505" s="344">
        <f>IFERROR(VLOOKUP($G505,基本資料!$A:$M,11,0),"無")</f>
        <v>-24.36</v>
      </c>
      <c r="AC505" s="397">
        <f>IFERROR(VLOOKUP($G505,基本資料!$A:$M,12,0),"無")</f>
        <v>23.02</v>
      </c>
      <c r="AD505" s="22" t="s">
        <v>4034</v>
      </c>
      <c r="AG505" s="33">
        <f t="shared" si="117"/>
        <v>0</v>
      </c>
      <c r="AH505" s="43" t="s">
        <v>4035</v>
      </c>
      <c r="AI505" s="63">
        <f t="shared" si="118"/>
        <v>8.4548104956268222E-4</v>
      </c>
      <c r="AJ505" s="284">
        <f>RTD("money.excel",,$G505,"PredictVolume")</f>
        <v>58</v>
      </c>
      <c r="AK505" s="399">
        <f>IFERROR(VLOOKUP($G505,基本資料!$A:$M,13,0),"無")</f>
        <v>4.46</v>
      </c>
    </row>
    <row r="506" spans="1:37">
      <c r="A506" s="347">
        <f>IFERROR(VLOOKUP($G506,基本資料!$A:$J,3,0),"無")</f>
        <v>9.94</v>
      </c>
      <c r="B506" s="79">
        <f>IFERROR(VLOOKUP($G506,基本資料!$A:$J,4,0),"無")</f>
        <v>-32</v>
      </c>
      <c r="C506" s="79">
        <f>IFERROR(VLOOKUP($G506,基本資料!$A:$J,5,0),"無")</f>
        <v>43</v>
      </c>
      <c r="D506" s="79">
        <f>IFERROR(VLOOKUP($G506,基本資料!$A:$J,6,0),"無")</f>
        <v>-1</v>
      </c>
      <c r="E506" s="79">
        <f>IFERROR(VLOOKUP($G506,基本資料!$A:$J,7,0),"無")</f>
        <v>-5</v>
      </c>
      <c r="F506" s="6">
        <f>IFERROR(VLOOKUP($G506,基本資料!$A:$J,8,0),"無")</f>
        <v>13.88</v>
      </c>
      <c r="G506" s="79">
        <v>2115</v>
      </c>
      <c r="H506" s="8" t="s">
        <v>301</v>
      </c>
      <c r="I506" s="22" t="s">
        <v>242</v>
      </c>
      <c r="J506" s="8" t="str">
        <f>IFERROR(VLOOKUP($G506,今日總結!$A:$AJ,35,0),"")</f>
        <v>外</v>
      </c>
      <c r="K506" s="5">
        <f>IFERROR(VLOOKUP($G506,今日總結!$A:$AJ,36,0),"")</f>
        <v>0</v>
      </c>
      <c r="L506" s="156">
        <f>IFERROR(VLOOKUP($G506,今日總結!$A:$AJ,33,0),"")</f>
        <v>1</v>
      </c>
      <c r="M506" s="340">
        <f>IFERROR(VLOOKUP($G506,今日總結!$A:$AJ,34,0),"")</f>
        <v>0</v>
      </c>
      <c r="N506" s="240">
        <f t="shared" ref="N506:N526" si="119">IFERROR(L506-M506,"")</f>
        <v>1</v>
      </c>
      <c r="P506" s="365">
        <f>IFERROR(VLOOKUP($G506,融外自投!$A:$J,7,0),"無")</f>
        <v>1352</v>
      </c>
      <c r="Q506" s="79">
        <f>IFERROR(VLOOKUP($G506,融外自投!$A:$J,9,0),"無")</f>
        <v>852</v>
      </c>
      <c r="R506" s="346">
        <f>IFERROR(VLOOKUP($G506,融外自投!$A:$J,8,0),"無")</f>
        <v>91</v>
      </c>
      <c r="S506" s="81" t="str">
        <f>IFERROR(VLOOKUP($G506,融外自投!$A:$J,10,0),"無")</f>
        <v>無</v>
      </c>
      <c r="T506" s="327">
        <f>IFERROR(VLOOKUP($G506,'321買'!$A:$E,5,0),"'沒有資料'")</f>
        <v>1281</v>
      </c>
      <c r="U506" s="186">
        <f>IFERROR(VLOOKUP($G506,基本資料!$A:$J,9,0),"無")</f>
        <v>1.6</v>
      </c>
      <c r="V506" s="310">
        <f t="shared" si="114"/>
        <v>4.60431654676259E-2</v>
      </c>
      <c r="W506" s="94">
        <f>IFERROR(VLOOKUP($G506,基本資料!$A:$J,10,0),"無")</f>
        <v>4.0199999999999996</v>
      </c>
      <c r="X506" s="36">
        <f>RTD("money.excel",,"2115","Price")</f>
        <v>34.75</v>
      </c>
      <c r="Y506" s="66"/>
      <c r="Z506" s="15">
        <f t="shared" si="115"/>
        <v>34.75</v>
      </c>
      <c r="AA506" s="3" t="e">
        <f t="shared" si="116"/>
        <v>#DIV/0!</v>
      </c>
      <c r="AB506" s="344">
        <f>IFERROR(VLOOKUP($G506,基本資料!$A:$M,11,0),"無")</f>
        <v>-31.47</v>
      </c>
      <c r="AC506" s="397">
        <f>IFERROR(VLOOKUP($G506,基本資料!$A:$M,12,0),"無")</f>
        <v>5.03</v>
      </c>
      <c r="AD506" s="22" t="s">
        <v>242</v>
      </c>
      <c r="AG506" s="33">
        <f t="shared" si="117"/>
        <v>0</v>
      </c>
      <c r="AH506" s="119" t="s">
        <v>2785</v>
      </c>
      <c r="AI506" s="63">
        <f t="shared" si="118"/>
        <v>3.8229376257545273E-4</v>
      </c>
      <c r="AJ506" s="284">
        <f>RTD("money.excel",,$G506,"PredictVolume")</f>
        <v>38</v>
      </c>
      <c r="AK506" s="399">
        <f>IFERROR(VLOOKUP($G506,基本資料!$A:$M,13,0),"無")</f>
        <v>0.95</v>
      </c>
    </row>
    <row r="507" spans="1:37">
      <c r="A507" s="347">
        <f>IFERROR(VLOOKUP($G507,基本資料!$A:$J,3,0),"無")</f>
        <v>100</v>
      </c>
      <c r="B507" s="79">
        <f>IFERROR(VLOOKUP($G507,基本資料!$A:$J,4,0),"無")</f>
        <v>59</v>
      </c>
      <c r="C507" s="79">
        <f>IFERROR(VLOOKUP($G507,基本資料!$A:$J,5,0),"無")</f>
        <v>685</v>
      </c>
      <c r="D507" s="79">
        <f>IFERROR(VLOOKUP($G507,基本資料!$A:$J,6,0),"無")</f>
        <v>27</v>
      </c>
      <c r="E507" s="79">
        <f>IFERROR(VLOOKUP($G507,基本資料!$A:$J,7,0),"無")</f>
        <v>-11</v>
      </c>
      <c r="F507" s="6">
        <f>IFERROR(VLOOKUP($G507,基本資料!$A:$J,8,0),"無")</f>
        <v>9.14</v>
      </c>
      <c r="G507" s="79">
        <v>2201</v>
      </c>
      <c r="H507" s="8" t="s">
        <v>301</v>
      </c>
      <c r="I507" s="22" t="s">
        <v>30</v>
      </c>
      <c r="J507" s="8" t="str">
        <f>IFERROR(VLOOKUP($G507,今日總結!$A:$AJ,35,0),"")</f>
        <v/>
      </c>
      <c r="K507" s="5" t="str">
        <f>IFERROR(VLOOKUP($G507,今日總結!$A:$AJ,36,0),"")</f>
        <v/>
      </c>
      <c r="L507" s="156" t="str">
        <f>IFERROR(VLOOKUP($G507,今日總結!$A:$AJ,33,0),"")</f>
        <v/>
      </c>
      <c r="M507" s="340" t="str">
        <f>IFERROR(VLOOKUP($G507,今日總結!$A:$AJ,34,0),"")</f>
        <v/>
      </c>
      <c r="N507" s="240" t="str">
        <f t="shared" si="119"/>
        <v/>
      </c>
      <c r="P507" s="365">
        <f>IFERROR(VLOOKUP($G507,融外自投!$A:$J,7,0),"無")</f>
        <v>900</v>
      </c>
      <c r="Q507" s="79">
        <f>IFERROR(VLOOKUP($G507,融外自投!$A:$J,9,0),"無")</f>
        <v>193</v>
      </c>
      <c r="R507" s="346">
        <f>IFERROR(VLOOKUP($G507,融外自投!$A:$J,8,0),"無")</f>
        <v>600</v>
      </c>
      <c r="S507" s="81">
        <f>IFERROR(VLOOKUP($G507,融外自投!$A:$J,10,0),"無")</f>
        <v>458</v>
      </c>
      <c r="T507" s="327">
        <f>IFERROR(VLOOKUP($G507,'321買'!$A:$E,5,0),"'沒有資料'")</f>
        <v>558</v>
      </c>
      <c r="U507" s="186">
        <f>IFERROR(VLOOKUP($G507,基本資料!$A:$J,9,0),"無")</f>
        <v>1.5</v>
      </c>
      <c r="V507" s="310">
        <f t="shared" si="114"/>
        <v>3.8809831824062099E-2</v>
      </c>
      <c r="W507" s="94">
        <f>IFERROR(VLOOKUP($G507,基本資料!$A:$J,10,0),"無")</f>
        <v>4.82</v>
      </c>
      <c r="X507" s="36">
        <f>RTD("money.excel",,"2201","Price")</f>
        <v>38.65</v>
      </c>
      <c r="Y507" s="66"/>
      <c r="Z507" s="15">
        <f t="shared" si="115"/>
        <v>38.65</v>
      </c>
      <c r="AA507" s="3" t="e">
        <f t="shared" si="116"/>
        <v>#DIV/0!</v>
      </c>
      <c r="AB507" s="344">
        <f>IFERROR(VLOOKUP($G507,基本資料!$A:$M,11,0),"無")</f>
        <v>-14.66</v>
      </c>
      <c r="AC507" s="397">
        <f>IFERROR(VLOOKUP($G507,基本資料!$A:$M,12,0),"無")</f>
        <v>25.27</v>
      </c>
      <c r="AD507" s="22" t="s">
        <v>30</v>
      </c>
      <c r="AG507" s="33">
        <f t="shared" si="117"/>
        <v>0</v>
      </c>
      <c r="AH507" s="117" t="s">
        <v>1413</v>
      </c>
      <c r="AI507" s="63">
        <f t="shared" si="118"/>
        <v>2E-3</v>
      </c>
      <c r="AJ507" s="284">
        <f>RTD("money.excel",,$G507,"PredictVolume")</f>
        <v>2000</v>
      </c>
      <c r="AK507" s="399">
        <f>IFERROR(VLOOKUP($G507,基本資料!$A:$M,13,0),"無")</f>
        <v>4.82</v>
      </c>
    </row>
    <row r="508" spans="1:37">
      <c r="A508" s="347">
        <f>IFERROR(VLOOKUP($G508,基本資料!$A:$J,3,0),"無")</f>
        <v>55.36</v>
      </c>
      <c r="B508" s="79">
        <f>IFERROR(VLOOKUP($G508,基本資料!$A:$J,4,0),"無")</f>
        <v>24</v>
      </c>
      <c r="C508" s="79">
        <f>IFERROR(VLOOKUP($G508,基本資料!$A:$J,5,0),"無")</f>
        <v>14</v>
      </c>
      <c r="D508" s="79">
        <f>IFERROR(VLOOKUP($G508,基本資料!$A:$J,6,0),"無")</f>
        <v>31</v>
      </c>
      <c r="E508" s="79">
        <f>IFERROR(VLOOKUP($G508,基本資料!$A:$J,7,0),"無")</f>
        <v>-7</v>
      </c>
      <c r="F508" s="6">
        <f>IFERROR(VLOOKUP($G508,基本資料!$A:$J,8,0),"無")</f>
        <v>6.55</v>
      </c>
      <c r="G508" s="79">
        <v>2204</v>
      </c>
      <c r="H508" s="8" t="s">
        <v>301</v>
      </c>
      <c r="I508" s="22" t="s">
        <v>164</v>
      </c>
      <c r="J508" s="8">
        <f>IFERROR(VLOOKUP($G508,今日總結!$A:$AJ,35,0),"")</f>
        <v>0</v>
      </c>
      <c r="K508" s="5">
        <f>IFERROR(VLOOKUP($G508,今日總結!$A:$AJ,36,0),"")</f>
        <v>0</v>
      </c>
      <c r="L508" s="156">
        <f>IFERROR(VLOOKUP($G508,今日總結!$A:$AJ,33,0),"")</f>
        <v>0</v>
      </c>
      <c r="M508" s="340">
        <f>IFERROR(VLOOKUP($G508,今日總結!$A:$AJ,34,0),"")</f>
        <v>1</v>
      </c>
      <c r="N508" s="240">
        <f t="shared" si="119"/>
        <v>-1</v>
      </c>
      <c r="P508" s="365">
        <f>IFERROR(VLOOKUP($G508,融外自投!$A:$J,7,0),"無")</f>
        <v>1212</v>
      </c>
      <c r="Q508" s="79">
        <f>IFERROR(VLOOKUP($G508,融外自投!$A:$J,9,0),"無")</f>
        <v>370</v>
      </c>
      <c r="R508" s="346">
        <f>IFERROR(VLOOKUP($G508,融外自投!$A:$J,8,0),"無")</f>
        <v>188</v>
      </c>
      <c r="S508" s="81">
        <f>IFERROR(VLOOKUP($G508,融外自投!$A:$J,10,0),"無")</f>
        <v>340</v>
      </c>
      <c r="T508" s="327">
        <f>IFERROR(VLOOKUP($G508,'321買'!$A:$E,5,0),"'沒有資料'")</f>
        <v>430</v>
      </c>
      <c r="U508" s="186">
        <f>IFERROR(VLOOKUP($G508,基本資料!$A:$J,9,0),"無")</f>
        <v>5.5</v>
      </c>
      <c r="V508" s="310">
        <f t="shared" si="114"/>
        <v>9.3378607809847206E-2</v>
      </c>
      <c r="W508" s="94">
        <f>IFERROR(VLOOKUP($G508,基本資料!$A:$J,10,0),"無")</f>
        <v>7.67</v>
      </c>
      <c r="X508" s="36">
        <f>RTD("money.excel",,"2204","Price")</f>
        <v>58.9</v>
      </c>
      <c r="Y508" s="66"/>
      <c r="Z508" s="15">
        <f t="shared" si="115"/>
        <v>58.9</v>
      </c>
      <c r="AA508" s="3" t="e">
        <f t="shared" si="116"/>
        <v>#DIV/0!</v>
      </c>
      <c r="AB508" s="344">
        <f>IFERROR(VLOOKUP($G508,基本資料!$A:$M,11,0),"無")</f>
        <v>-26.58</v>
      </c>
      <c r="AC508" s="397">
        <f>IFERROR(VLOOKUP($G508,基本資料!$A:$M,12,0),"無")</f>
        <v>13.88</v>
      </c>
      <c r="AD508" s="22" t="s">
        <v>164</v>
      </c>
      <c r="AG508" s="33">
        <f t="shared" si="117"/>
        <v>0</v>
      </c>
      <c r="AH508" s="117" t="s">
        <v>2786</v>
      </c>
      <c r="AI508" s="63">
        <f t="shared" si="118"/>
        <v>3.5386560693641618E-3</v>
      </c>
      <c r="AJ508" s="284">
        <f>RTD("money.excel",,$G508,"PredictVolume")</f>
        <v>1959</v>
      </c>
      <c r="AK508" s="399">
        <f>IFERROR(VLOOKUP($G508,基本資料!$A:$M,13,0),"無")</f>
        <v>3.29</v>
      </c>
    </row>
    <row r="509" spans="1:37">
      <c r="A509" s="347">
        <f>IFERROR(VLOOKUP($G509,基本資料!$A:$J,3,0),"無")</f>
        <v>79.760000000000005</v>
      </c>
      <c r="B509" s="79">
        <f>IFERROR(VLOOKUP($G509,基本資料!$A:$J,4,0),"無")</f>
        <v>-4</v>
      </c>
      <c r="C509" s="79">
        <f>IFERROR(VLOOKUP($G509,基本資料!$A:$J,5,0),"無")</f>
        <v>13</v>
      </c>
      <c r="D509" s="79">
        <f>IFERROR(VLOOKUP($G509,基本資料!$A:$J,6,0),"無")</f>
        <v>48</v>
      </c>
      <c r="E509" s="79">
        <f>IFERROR(VLOOKUP($G509,基本資料!$A:$J,7,0),"無")</f>
        <v>13</v>
      </c>
      <c r="F509" s="6">
        <f>IFERROR(VLOOKUP($G509,基本資料!$A:$J,8,0),"無")</f>
        <v>5.34</v>
      </c>
      <c r="G509" s="79">
        <v>2206</v>
      </c>
      <c r="H509" s="8" t="s">
        <v>301</v>
      </c>
      <c r="I509" s="22" t="s">
        <v>1119</v>
      </c>
      <c r="J509" s="8" t="str">
        <f>IFERROR(VLOOKUP($G509,今日總結!$A:$AJ,35,0),"")</f>
        <v/>
      </c>
      <c r="K509" s="5" t="str">
        <f>IFERROR(VLOOKUP($G509,今日總結!$A:$AJ,36,0),"")</f>
        <v/>
      </c>
      <c r="L509" s="156" t="str">
        <f>IFERROR(VLOOKUP($G509,今日總結!$A:$AJ,33,0),"")</f>
        <v/>
      </c>
      <c r="M509" s="340" t="str">
        <f>IFERROR(VLOOKUP($G509,今日總結!$A:$AJ,34,0),"")</f>
        <v/>
      </c>
      <c r="N509" s="240" t="str">
        <f t="shared" si="119"/>
        <v/>
      </c>
      <c r="P509" s="365">
        <f>IFERROR(VLOOKUP($G509,融外自投!$A:$J,7,0),"無")</f>
        <v>957</v>
      </c>
      <c r="Q509" s="79">
        <f>IFERROR(VLOOKUP($G509,融外自投!$A:$J,9,0),"無")</f>
        <v>379</v>
      </c>
      <c r="R509" s="346">
        <f>IFERROR(VLOOKUP($G509,融外自投!$A:$J,8,0),"無")</f>
        <v>583</v>
      </c>
      <c r="S509" s="81" t="str">
        <f>IFERROR(VLOOKUP($G509,融外自投!$A:$J,10,0),"無")</f>
        <v>無</v>
      </c>
      <c r="T509" s="327">
        <f>IFERROR(VLOOKUP($G509,'321買'!$A:$E,5,0),"'沒有資料'")</f>
        <v>964</v>
      </c>
      <c r="U509" s="186">
        <f>IFERROR(VLOOKUP($G509,基本資料!$A:$J,9,0),"無")</f>
        <v>1.3</v>
      </c>
      <c r="V509" s="310">
        <f t="shared" si="114"/>
        <v>4.7531992687385741E-2</v>
      </c>
      <c r="W509" s="94">
        <f>IFERROR(VLOOKUP($G509,基本資料!$A:$J,10,0),"無")</f>
        <v>2.2999999999999998</v>
      </c>
      <c r="X509" s="36">
        <f>RTD("money.excel",,"2206","Price")</f>
        <v>27.35</v>
      </c>
      <c r="Y509" s="66"/>
      <c r="Z509" s="15">
        <f t="shared" si="115"/>
        <v>27.35</v>
      </c>
      <c r="AA509" s="3" t="e">
        <f t="shared" si="116"/>
        <v>#DIV/0!</v>
      </c>
      <c r="AB509" s="344">
        <f>IFERROR(VLOOKUP($G509,基本資料!$A:$M,11,0),"無")</f>
        <v>-12.82</v>
      </c>
      <c r="AC509" s="397">
        <f>IFERROR(VLOOKUP($G509,基本資料!$A:$M,12,0),"無")</f>
        <v>28.02</v>
      </c>
      <c r="AD509" s="22" t="s">
        <v>1119</v>
      </c>
      <c r="AG509" s="33">
        <f t="shared" si="117"/>
        <v>0</v>
      </c>
      <c r="AH509" s="43" t="s">
        <v>2787</v>
      </c>
      <c r="AI509" s="63">
        <f t="shared" si="118"/>
        <v>7.5601805416248744E-4</v>
      </c>
      <c r="AJ509" s="284">
        <f>RTD("money.excel",,$G509,"PredictVolume")</f>
        <v>603</v>
      </c>
      <c r="AK509" s="399">
        <f>IFERROR(VLOOKUP($G509,基本資料!$A:$M,13,0),"無")</f>
        <v>1.1299999999999999</v>
      </c>
    </row>
    <row r="510" spans="1:37">
      <c r="A510" s="347">
        <f>IFERROR(VLOOKUP($G510,基本資料!$A:$J,3,0),"無")</f>
        <v>54.61</v>
      </c>
      <c r="B510" s="79">
        <f>IFERROR(VLOOKUP($G510,基本資料!$A:$J,4,0),"無")</f>
        <v>18</v>
      </c>
      <c r="C510" s="79">
        <f>IFERROR(VLOOKUP($G510,基本資料!$A:$J,5,0),"無")</f>
        <v>15</v>
      </c>
      <c r="D510" s="79">
        <f>IFERROR(VLOOKUP($G510,基本資料!$A:$J,6,0),"無")</f>
        <v>27</v>
      </c>
      <c r="E510" s="79">
        <f>IFERROR(VLOOKUP($G510,基本資料!$A:$J,7,0),"無")</f>
        <v>-5</v>
      </c>
      <c r="F510" s="6">
        <f>IFERROR(VLOOKUP($G510,基本資料!$A:$J,8,0),"無")</f>
        <v>10.81</v>
      </c>
      <c r="G510" s="79">
        <v>2207</v>
      </c>
      <c r="H510" s="8" t="s">
        <v>301</v>
      </c>
      <c r="I510" s="22" t="s">
        <v>14</v>
      </c>
      <c r="J510" s="8" t="str">
        <f>IFERROR(VLOOKUP($G510,今日總結!$A:$AJ,35,0),"")</f>
        <v/>
      </c>
      <c r="K510" s="5" t="str">
        <f>IFERROR(VLOOKUP($G510,今日總結!$A:$AJ,36,0),"")</f>
        <v/>
      </c>
      <c r="L510" s="156" t="str">
        <f>IFERROR(VLOOKUP($G510,今日總結!$A:$AJ,33,0),"")</f>
        <v/>
      </c>
      <c r="M510" s="340" t="str">
        <f>IFERROR(VLOOKUP($G510,今日總結!$A:$AJ,34,0),"")</f>
        <v/>
      </c>
      <c r="N510" s="240" t="str">
        <f t="shared" si="119"/>
        <v/>
      </c>
      <c r="P510" s="365">
        <f>IFERROR(VLOOKUP($G510,融外自投!$A:$J,7,0),"無")</f>
        <v>1448</v>
      </c>
      <c r="Q510" s="79">
        <f>IFERROR(VLOOKUP($G510,融外自投!$A:$J,9,0),"無")</f>
        <v>734</v>
      </c>
      <c r="R510" s="346">
        <f>IFERROR(VLOOKUP($G510,融外自投!$A:$J,8,0),"無")</f>
        <v>235</v>
      </c>
      <c r="S510" s="81">
        <f>IFERROR(VLOOKUP($G510,融外自投!$A:$J,10,0),"無")</f>
        <v>250</v>
      </c>
      <c r="T510" s="327">
        <f>IFERROR(VLOOKUP($G510,'321買'!$A:$E,5,0),"'沒有資料'")</f>
        <v>306</v>
      </c>
      <c r="U510" s="186">
        <f>IFERROR(VLOOKUP($G510,基本資料!$A:$J,9,0),"無")</f>
        <v>20</v>
      </c>
      <c r="V510" s="310">
        <f t="shared" si="114"/>
        <v>3.5273368606701938E-2</v>
      </c>
      <c r="W510" s="94">
        <f>IFERROR(VLOOKUP($G510,基本資料!$A:$J,10,0),"無")</f>
        <v>29.68</v>
      </c>
      <c r="X510" s="36">
        <f>RTD("money.excel",,"2207","Price")</f>
        <v>567</v>
      </c>
      <c r="Y510" s="66"/>
      <c r="Z510" s="15">
        <f t="shared" si="115"/>
        <v>567</v>
      </c>
      <c r="AA510" s="3" t="e">
        <f t="shared" si="116"/>
        <v>#DIV/0!</v>
      </c>
      <c r="AB510" s="344">
        <f>IFERROR(VLOOKUP($G510,基本資料!$A:$M,11,0),"無")</f>
        <v>-17.34</v>
      </c>
      <c r="AC510" s="397">
        <f>IFERROR(VLOOKUP($G510,基本資料!$A:$M,12,0),"無")</f>
        <v>14.65</v>
      </c>
      <c r="AD510" s="22" t="s">
        <v>14</v>
      </c>
      <c r="AG510" s="33">
        <f t="shared" si="117"/>
        <v>0</v>
      </c>
      <c r="AH510" s="117" t="s">
        <v>2621</v>
      </c>
      <c r="AI510" s="63">
        <f t="shared" si="118"/>
        <v>5.4568760300311293E-4</v>
      </c>
      <c r="AJ510" s="284">
        <f>RTD("money.excel",,$G510,"PredictVolume")</f>
        <v>298</v>
      </c>
      <c r="AK510" s="399">
        <f>IFERROR(VLOOKUP($G510,基本資料!$A:$M,13,0),"無")</f>
        <v>0.23</v>
      </c>
    </row>
    <row r="511" spans="1:37">
      <c r="A511" s="347">
        <f>IFERROR(VLOOKUP($G511,基本資料!$A:$J,3,0),"無")</f>
        <v>30</v>
      </c>
      <c r="B511" s="79">
        <f>IFERROR(VLOOKUP($G511,基本資料!$A:$J,4,0),"無")</f>
        <v>-53</v>
      </c>
      <c r="C511" s="79">
        <f>IFERROR(VLOOKUP($G511,基本資料!$A:$J,5,0),"無")</f>
        <v>-58</v>
      </c>
      <c r="D511" s="79">
        <f>IFERROR(VLOOKUP($G511,基本資料!$A:$J,6,0),"無")</f>
        <v>40</v>
      </c>
      <c r="E511" s="79">
        <f>IFERROR(VLOOKUP($G511,基本資料!$A:$J,7,0),"無")</f>
        <v>-3</v>
      </c>
      <c r="F511" s="6">
        <f>IFERROR(VLOOKUP($G511,基本資料!$A:$J,8,0),"無")</f>
        <v>0.5</v>
      </c>
      <c r="G511" s="79">
        <v>2227</v>
      </c>
      <c r="H511" s="8" t="s">
        <v>301</v>
      </c>
      <c r="I511" s="22" t="s">
        <v>111</v>
      </c>
      <c r="J511" s="8" t="str">
        <f>IFERROR(VLOOKUP($G511,今日總結!$A:$AJ,35,0),"")</f>
        <v/>
      </c>
      <c r="K511" s="5" t="str">
        <f>IFERROR(VLOOKUP($G511,今日總結!$A:$AJ,36,0),"")</f>
        <v/>
      </c>
      <c r="L511" s="156" t="str">
        <f>IFERROR(VLOOKUP($G511,今日總結!$A:$AJ,33,0),"")</f>
        <v/>
      </c>
      <c r="M511" s="340" t="str">
        <f>IFERROR(VLOOKUP($G511,今日總結!$A:$AJ,34,0),"")</f>
        <v/>
      </c>
      <c r="N511" s="240" t="str">
        <f t="shared" si="119"/>
        <v/>
      </c>
      <c r="P511" s="365" t="str">
        <f>IFERROR(VLOOKUP($G511,融外自投!$A:$J,7,0),"無")</f>
        <v>無</v>
      </c>
      <c r="Q511" s="79" t="str">
        <f>IFERROR(VLOOKUP($G511,融外自投!$A:$J,9,0),"無")</f>
        <v>無</v>
      </c>
      <c r="R511" s="346" t="str">
        <f>IFERROR(VLOOKUP($G511,融外自投!$A:$J,8,0),"無")</f>
        <v>無</v>
      </c>
      <c r="S511" s="81" t="str">
        <f>IFERROR(VLOOKUP($G511,融外自投!$A:$J,10,0),"無")</f>
        <v>無</v>
      </c>
      <c r="T511" s="327" t="str">
        <f>IFERROR(VLOOKUP($G511,'321買'!$A:$E,5,0),"'沒有資料'")</f>
        <v>'沒有資料'</v>
      </c>
      <c r="U511" s="186">
        <f>IFERROR(VLOOKUP($G511,基本資料!$A:$J,9,0),"無")</f>
        <v>0</v>
      </c>
      <c r="V511" s="310">
        <f t="shared" si="114"/>
        <v>0</v>
      </c>
      <c r="W511" s="94">
        <f>IFERROR(VLOOKUP($G511,基本資料!$A:$J,10,0),"無")</f>
        <v>10.09</v>
      </c>
      <c r="X511" s="36">
        <f>RTD("money.excel",,"2227","Price")</f>
        <v>226</v>
      </c>
      <c r="Y511" s="66"/>
      <c r="Z511" s="15">
        <f t="shared" si="115"/>
        <v>226</v>
      </c>
      <c r="AA511" s="3" t="e">
        <f t="shared" si="116"/>
        <v>#DIV/0!</v>
      </c>
      <c r="AB511" s="344">
        <f>IFERROR(VLOOKUP($G511,基本資料!$A:$M,11,0),"無")</f>
        <v>-14.31</v>
      </c>
      <c r="AC511" s="397">
        <f>IFERROR(VLOOKUP($G511,基本資料!$A:$M,12,0),"無")</f>
        <v>41.23</v>
      </c>
      <c r="AD511" s="22" t="s">
        <v>111</v>
      </c>
      <c r="AG511" s="33">
        <f t="shared" si="117"/>
        <v>0</v>
      </c>
      <c r="AH511" s="117" t="s">
        <v>2788</v>
      </c>
      <c r="AI511" s="63">
        <f t="shared" si="118"/>
        <v>5.1999999999999995E-4</v>
      </c>
      <c r="AJ511" s="284">
        <f>RTD("money.excel",,$G511,"PredictVolume")</f>
        <v>156</v>
      </c>
      <c r="AK511" s="399">
        <f>IFERROR(VLOOKUP($G511,基本資料!$A:$M,13,0),"無")</f>
        <v>0.22</v>
      </c>
    </row>
    <row r="512" spans="1:37">
      <c r="A512" s="347">
        <f>IFERROR(VLOOKUP($G512,基本資料!$A:$J,3,0),"無")</f>
        <v>7.57</v>
      </c>
      <c r="B512" s="79">
        <f>IFERROR(VLOOKUP($G512,基本資料!$A:$J,4,0),"無")</f>
        <v>141</v>
      </c>
      <c r="C512" s="79">
        <f>IFERROR(VLOOKUP($G512,基本資料!$A:$J,5,0),"無")</f>
        <v>8</v>
      </c>
      <c r="D512" s="79">
        <f>IFERROR(VLOOKUP($G512,基本資料!$A:$J,6,0),"無")</f>
        <v>44</v>
      </c>
      <c r="E512" s="79">
        <f>IFERROR(VLOOKUP($G512,基本資料!$A:$J,7,0),"無")</f>
        <v>8</v>
      </c>
      <c r="F512" s="6">
        <f>IFERROR(VLOOKUP($G512,基本資料!$A:$J,8,0),"無")</f>
        <v>4.08</v>
      </c>
      <c r="G512" s="79">
        <v>2228</v>
      </c>
      <c r="H512" s="8" t="s">
        <v>301</v>
      </c>
      <c r="I512" s="22" t="s">
        <v>575</v>
      </c>
      <c r="J512" s="8" t="str">
        <f>IFERROR(VLOOKUP($G512,今日總結!$A:$AJ,35,0),"")</f>
        <v/>
      </c>
      <c r="K512" s="5" t="str">
        <f>IFERROR(VLOOKUP($G512,今日總結!$A:$AJ,36,0),"")</f>
        <v/>
      </c>
      <c r="L512" s="156" t="str">
        <f>IFERROR(VLOOKUP($G512,今日總結!$A:$AJ,33,0),"")</f>
        <v/>
      </c>
      <c r="M512" s="340" t="str">
        <f>IFERROR(VLOOKUP($G512,今日總結!$A:$AJ,34,0),"")</f>
        <v/>
      </c>
      <c r="N512" s="240" t="str">
        <f t="shared" si="119"/>
        <v/>
      </c>
      <c r="P512" s="365">
        <f>IFERROR(VLOOKUP($G512,融外自投!$A:$J,7,0),"無")</f>
        <v>954</v>
      </c>
      <c r="Q512" s="79">
        <f>IFERROR(VLOOKUP($G512,融外自投!$A:$J,9,0),"無")</f>
        <v>259</v>
      </c>
      <c r="R512" s="346">
        <f>IFERROR(VLOOKUP($G512,融外自投!$A:$J,8,0),"無")</f>
        <v>762</v>
      </c>
      <c r="S512" s="81" t="str">
        <f>IFERROR(VLOOKUP($G512,融外自投!$A:$J,10,0),"無")</f>
        <v>無</v>
      </c>
      <c r="T512" s="327">
        <f>IFERROR(VLOOKUP($G512,'321買'!$A:$E,5,0),"'沒有資料'")</f>
        <v>1161</v>
      </c>
      <c r="U512" s="186">
        <f>IFERROR(VLOOKUP($G512,基本資料!$A:$J,9,0),"無")</f>
        <v>2</v>
      </c>
      <c r="V512" s="310">
        <f t="shared" si="114"/>
        <v>3.0864197530864199E-2</v>
      </c>
      <c r="W512" s="94">
        <f>IFERROR(VLOOKUP($G512,基本資料!$A:$J,10,0),"無")</f>
        <v>3.15</v>
      </c>
      <c r="X512" s="36">
        <f>RTD("money.excel",,"2228","Price")</f>
        <v>64.8</v>
      </c>
      <c r="Y512" s="66"/>
      <c r="Z512" s="15">
        <f t="shared" si="115"/>
        <v>64.8</v>
      </c>
      <c r="AA512" s="3" t="e">
        <f t="shared" si="116"/>
        <v>#DIV/0!</v>
      </c>
      <c r="AB512" s="344">
        <f>IFERROR(VLOOKUP($G512,基本資料!$A:$M,11,0),"無")</f>
        <v>-21.92</v>
      </c>
      <c r="AC512" s="397">
        <f>IFERROR(VLOOKUP($G512,基本資料!$A:$M,12,0),"無")</f>
        <v>10.56</v>
      </c>
      <c r="AD512" s="22" t="s">
        <v>575</v>
      </c>
      <c r="AG512" s="33">
        <f t="shared" si="117"/>
        <v>0</v>
      </c>
      <c r="AH512" s="43" t="s">
        <v>2789</v>
      </c>
      <c r="AI512" s="63">
        <f t="shared" si="118"/>
        <v>4.359313077939234E-4</v>
      </c>
      <c r="AJ512" s="284">
        <f>RTD("money.excel",,$G512,"PredictVolume")</f>
        <v>33</v>
      </c>
      <c r="AK512" s="399">
        <f>IFERROR(VLOOKUP($G512,基本資料!$A:$M,13,0),"無")</f>
        <v>3.04</v>
      </c>
    </row>
    <row r="513" spans="1:37">
      <c r="A513" s="347">
        <f>IFERROR(VLOOKUP($G513,基本資料!$A:$J,3,0),"無")</f>
        <v>12.19</v>
      </c>
      <c r="B513" s="79">
        <f>IFERROR(VLOOKUP($G513,基本資料!$A:$J,4,0),"無")</f>
        <v>94</v>
      </c>
      <c r="C513" s="79">
        <f>IFERROR(VLOOKUP($G513,基本資料!$A:$J,5,0),"無")</f>
        <v>53</v>
      </c>
      <c r="D513" s="79">
        <f>IFERROR(VLOOKUP($G513,基本資料!$A:$J,6,0),"無")</f>
        <v>-26</v>
      </c>
      <c r="E513" s="79">
        <f>IFERROR(VLOOKUP($G513,基本資料!$A:$J,7,0),"無")</f>
        <v>-36</v>
      </c>
      <c r="F513" s="6">
        <f>IFERROR(VLOOKUP($G513,基本資料!$A:$J,8,0),"無")</f>
        <v>14.52</v>
      </c>
      <c r="G513" s="79">
        <v>2231</v>
      </c>
      <c r="H513" s="8" t="s">
        <v>301</v>
      </c>
      <c r="I513" s="22" t="s">
        <v>165</v>
      </c>
      <c r="J513" s="8" t="str">
        <f>IFERROR(VLOOKUP($G513,今日總結!$A:$AJ,35,0),"")</f>
        <v/>
      </c>
      <c r="K513" s="5" t="str">
        <f>IFERROR(VLOOKUP($G513,今日總結!$A:$AJ,36,0),"")</f>
        <v/>
      </c>
      <c r="L513" s="156" t="str">
        <f>IFERROR(VLOOKUP($G513,今日總結!$A:$AJ,33,0),"")</f>
        <v/>
      </c>
      <c r="M513" s="340" t="str">
        <f>IFERROR(VLOOKUP($G513,今日總結!$A:$AJ,34,0),"")</f>
        <v/>
      </c>
      <c r="N513" s="240" t="str">
        <f t="shared" si="119"/>
        <v/>
      </c>
      <c r="P513" s="365">
        <f>IFERROR(VLOOKUP($G513,融外自投!$A:$J,7,0),"無")</f>
        <v>114</v>
      </c>
      <c r="Q513" s="79" t="str">
        <f>IFERROR(VLOOKUP($G513,融外自投!$A:$J,9,0),"無")</f>
        <v>無</v>
      </c>
      <c r="R513" s="346">
        <f>IFERROR(VLOOKUP($G513,融外自投!$A:$J,8,0),"無")</f>
        <v>603</v>
      </c>
      <c r="S513" s="81">
        <f>IFERROR(VLOOKUP($G513,融外自投!$A:$J,10,0),"無")</f>
        <v>428</v>
      </c>
      <c r="T513" s="327">
        <f>IFERROR(VLOOKUP($G513,'321買'!$A:$E,5,0),"'沒有資料'")</f>
        <v>306</v>
      </c>
      <c r="U513" s="186">
        <f>IFERROR(VLOOKUP($G513,基本資料!$A:$J,9,0),"無")</f>
        <v>2</v>
      </c>
      <c r="V513" s="310">
        <f t="shared" si="114"/>
        <v>1.4388489208633094E-2</v>
      </c>
      <c r="W513" s="94">
        <f>IFERROR(VLOOKUP($G513,基本資料!$A:$J,10,0),"無")</f>
        <v>4.2300000000000004</v>
      </c>
      <c r="X513" s="36">
        <f>RTD("money.excel",,"2231","Price")</f>
        <v>139</v>
      </c>
      <c r="Y513" s="66"/>
      <c r="Z513" s="15">
        <f t="shared" si="115"/>
        <v>139</v>
      </c>
      <c r="AA513" s="3" t="e">
        <f t="shared" si="116"/>
        <v>#DIV/0!</v>
      </c>
      <c r="AB513" s="344">
        <f>IFERROR(VLOOKUP($G513,基本資料!$A:$M,11,0),"無")</f>
        <v>-38.9</v>
      </c>
      <c r="AC513" s="397">
        <f>IFERROR(VLOOKUP($G513,基本資料!$A:$M,12,0),"無")</f>
        <v>24.44</v>
      </c>
      <c r="AD513" s="22" t="s">
        <v>165</v>
      </c>
      <c r="AG513" s="33">
        <f t="shared" si="117"/>
        <v>0</v>
      </c>
      <c r="AH513" s="117" t="s">
        <v>2790</v>
      </c>
      <c r="AI513" s="63">
        <f t="shared" si="118"/>
        <v>5.8244462674323218E-4</v>
      </c>
      <c r="AJ513" s="284">
        <f>RTD("money.excel",,$G513,"PredictVolume")</f>
        <v>71</v>
      </c>
      <c r="AK513" s="399">
        <f>IFERROR(VLOOKUP($G513,基本資料!$A:$M,13,0),"無")</f>
        <v>9.41</v>
      </c>
    </row>
    <row r="514" spans="1:37">
      <c r="A514" s="347">
        <f>IFERROR(VLOOKUP($G514,基本資料!$A:$J,3,0),"無")</f>
        <v>6.02</v>
      </c>
      <c r="B514" s="79">
        <f>IFERROR(VLOOKUP($G514,基本資料!$A:$J,4,0),"無")</f>
        <v>47</v>
      </c>
      <c r="C514" s="79">
        <f>IFERROR(VLOOKUP($G514,基本資料!$A:$J,5,0),"無")</f>
        <v>60</v>
      </c>
      <c r="D514" s="79">
        <f>IFERROR(VLOOKUP($G514,基本資料!$A:$J,6,0),"無")</f>
        <v>-16</v>
      </c>
      <c r="E514" s="79">
        <f>IFERROR(VLOOKUP($G514,基本資料!$A:$J,7,0),"無")</f>
        <v>-11</v>
      </c>
      <c r="F514" s="6">
        <f>IFERROR(VLOOKUP($G514,基本資料!$A:$J,8,0),"無")</f>
        <v>20.079999999999998</v>
      </c>
      <c r="G514" s="79">
        <v>2233</v>
      </c>
      <c r="H514" s="8" t="s">
        <v>301</v>
      </c>
      <c r="I514" s="22" t="s">
        <v>154</v>
      </c>
      <c r="J514" s="8" t="str">
        <f>IFERROR(VLOOKUP($G514,今日總結!$A:$AJ,35,0),"")</f>
        <v/>
      </c>
      <c r="K514" s="5" t="str">
        <f>IFERROR(VLOOKUP($G514,今日總結!$A:$AJ,36,0),"")</f>
        <v/>
      </c>
      <c r="L514" s="156" t="str">
        <f>IFERROR(VLOOKUP($G514,今日總結!$A:$AJ,33,0),"")</f>
        <v/>
      </c>
      <c r="M514" s="340" t="str">
        <f>IFERROR(VLOOKUP($G514,今日總結!$A:$AJ,34,0),"")</f>
        <v/>
      </c>
      <c r="N514" s="240" t="str">
        <f t="shared" si="119"/>
        <v/>
      </c>
      <c r="P514" s="365">
        <f>IFERROR(VLOOKUP($G514,融外自投!$A:$J,7,0),"無")</f>
        <v>73</v>
      </c>
      <c r="Q514" s="79">
        <f>IFERROR(VLOOKUP($G514,融外自投!$A:$J,9,0),"無")</f>
        <v>406</v>
      </c>
      <c r="R514" s="346">
        <f>IFERROR(VLOOKUP($G514,融外自投!$A:$J,8,0),"無")</f>
        <v>491</v>
      </c>
      <c r="S514" s="81">
        <f>IFERROR(VLOOKUP($G514,融外自投!$A:$J,10,0),"無")</f>
        <v>99</v>
      </c>
      <c r="T514" s="327">
        <f>IFERROR(VLOOKUP($G514,'321買'!$A:$E,5,0),"'沒有資料'")</f>
        <v>237</v>
      </c>
      <c r="U514" s="186">
        <f>IFERROR(VLOOKUP($G514,基本資料!$A:$J,9,0),"無")</f>
        <v>5.4</v>
      </c>
      <c r="V514" s="310">
        <f t="shared" si="114"/>
        <v>5.2427184466019419E-2</v>
      </c>
      <c r="W514" s="94">
        <f>IFERROR(VLOOKUP($G514,基本資料!$A:$J,10,0),"無")</f>
        <v>9.01</v>
      </c>
      <c r="X514" s="36">
        <f>RTD("money.excel",,"2233","Price")</f>
        <v>103</v>
      </c>
      <c r="Y514" s="66"/>
      <c r="Z514" s="15">
        <f t="shared" si="115"/>
        <v>103</v>
      </c>
      <c r="AA514" s="3" t="e">
        <f t="shared" si="116"/>
        <v>#DIV/0!</v>
      </c>
      <c r="AB514" s="344">
        <f>IFERROR(VLOOKUP($G514,基本資料!$A:$M,11,0),"無")</f>
        <v>-27.27</v>
      </c>
      <c r="AC514" s="397">
        <f>IFERROR(VLOOKUP($G514,基本資料!$A:$M,12,0),"無")</f>
        <v>30.43</v>
      </c>
      <c r="AD514" s="22" t="s">
        <v>154</v>
      </c>
      <c r="AG514" s="33">
        <f t="shared" si="117"/>
        <v>0</v>
      </c>
      <c r="AH514" s="117" t="s">
        <v>2791</v>
      </c>
      <c r="AI514" s="63">
        <f t="shared" si="118"/>
        <v>1.2574750830564786E-2</v>
      </c>
      <c r="AJ514" s="284">
        <f>RTD("money.excel",,$G514,"PredictVolume")</f>
        <v>757</v>
      </c>
      <c r="AK514" s="399">
        <f>IFERROR(VLOOKUP($G514,基本資料!$A:$M,13,0),"無")</f>
        <v>9.5299999999999994</v>
      </c>
    </row>
    <row r="515" spans="1:37">
      <c r="A515" s="347">
        <f>IFERROR(VLOOKUP($G515,基本資料!$A:$J,3,0),"無")</f>
        <v>4.57</v>
      </c>
      <c r="B515" s="79">
        <f>IFERROR(VLOOKUP($G515,基本資料!$A:$J,4,0),"無")</f>
        <v>158</v>
      </c>
      <c r="C515" s="79">
        <f>IFERROR(VLOOKUP($G515,基本資料!$A:$J,5,0),"無")</f>
        <v>64</v>
      </c>
      <c r="D515" s="79">
        <f>IFERROR(VLOOKUP($G515,基本資料!$A:$J,6,0),"無")</f>
        <v>10</v>
      </c>
      <c r="E515" s="79">
        <f>IFERROR(VLOOKUP($G515,基本資料!$A:$J,7,0),"無")</f>
        <v>-2</v>
      </c>
      <c r="F515" s="6">
        <f>IFERROR(VLOOKUP($G515,基本資料!$A:$J,8,0),"無")</f>
        <v>6.56</v>
      </c>
      <c r="G515" s="79">
        <v>2236</v>
      </c>
      <c r="H515" s="8" t="s">
        <v>301</v>
      </c>
      <c r="I515" s="22" t="s">
        <v>576</v>
      </c>
      <c r="J515" s="8">
        <f>IFERROR(VLOOKUP($G515,今日總結!$A:$AJ,35,0),"")</f>
        <v>0</v>
      </c>
      <c r="K515" s="5" t="str">
        <f>IFERROR(VLOOKUP($G515,今日總結!$A:$AJ,36,0),"")</f>
        <v>投</v>
      </c>
      <c r="L515" s="156">
        <f>IFERROR(VLOOKUP($G515,今日總結!$A:$AJ,33,0),"")</f>
        <v>0</v>
      </c>
      <c r="M515" s="340">
        <f>IFERROR(VLOOKUP($G515,今日總結!$A:$AJ,34,0),"")</f>
        <v>1</v>
      </c>
      <c r="N515" s="240">
        <f t="shared" si="119"/>
        <v>-1</v>
      </c>
      <c r="P515" s="365">
        <f>IFERROR(VLOOKUP($G515,融外自投!$A:$J,7,0),"無")</f>
        <v>1166</v>
      </c>
      <c r="Q515" s="79">
        <f>IFERROR(VLOOKUP($G515,融外自投!$A:$J,9,0),"無")</f>
        <v>936</v>
      </c>
      <c r="R515" s="346">
        <f>IFERROR(VLOOKUP($G515,融外自投!$A:$J,8,0),"無")</f>
        <v>150</v>
      </c>
      <c r="S515" s="81">
        <f>IFERROR(VLOOKUP($G515,融外自投!$A:$J,10,0),"無")</f>
        <v>362</v>
      </c>
      <c r="T515" s="327">
        <f>IFERROR(VLOOKUP($G515,'321買'!$A:$E,5,0),"'沒有資料'")</f>
        <v>1281</v>
      </c>
      <c r="U515" s="186">
        <f>IFERROR(VLOOKUP($G515,基本資料!$A:$J,9,0),"無")</f>
        <v>4.5</v>
      </c>
      <c r="V515" s="310">
        <f t="shared" si="114"/>
        <v>0.17612524461839529</v>
      </c>
      <c r="W515" s="94">
        <f>IFERROR(VLOOKUP($G515,基本資料!$A:$J,10,0),"無")</f>
        <v>1.47</v>
      </c>
      <c r="X515" s="36">
        <f>RTD("money.excel",,"2236","Price")</f>
        <v>25.55</v>
      </c>
      <c r="Y515" s="66"/>
      <c r="Z515" s="15">
        <f t="shared" si="115"/>
        <v>25.55</v>
      </c>
      <c r="AA515" s="3" t="e">
        <f t="shared" si="116"/>
        <v>#DIV/0!</v>
      </c>
      <c r="AB515" s="344">
        <f>IFERROR(VLOOKUP($G515,基本資料!$A:$M,11,0),"無")</f>
        <v>-21.49</v>
      </c>
      <c r="AC515" s="397">
        <f>IFERROR(VLOOKUP($G515,基本資料!$A:$M,12,0),"無")</f>
        <v>23.72</v>
      </c>
      <c r="AD515" s="22" t="s">
        <v>576</v>
      </c>
      <c r="AG515" s="33">
        <f t="shared" si="117"/>
        <v>0</v>
      </c>
      <c r="AH515" s="43" t="s">
        <v>2792</v>
      </c>
      <c r="AI515" s="63">
        <f t="shared" si="118"/>
        <v>4.8140043763676151E-4</v>
      </c>
      <c r="AJ515" s="284">
        <f>RTD("money.excel",,$G515,"PredictVolume")</f>
        <v>22</v>
      </c>
      <c r="AK515" s="399">
        <f>IFERROR(VLOOKUP($G515,基本資料!$A:$M,13,0),"無")</f>
        <v>4.1500000000000004</v>
      </c>
    </row>
    <row r="516" spans="1:37">
      <c r="A516" s="347">
        <f>IFERROR(VLOOKUP($G516,基本資料!$A:$J,3,0),"無")</f>
        <v>11.81</v>
      </c>
      <c r="B516" s="79">
        <f>IFERROR(VLOOKUP($G516,基本資料!$A:$J,4,0),"無")</f>
        <v>18</v>
      </c>
      <c r="C516" s="79">
        <f>IFERROR(VLOOKUP($G516,基本資料!$A:$J,5,0),"無")</f>
        <v>-46</v>
      </c>
      <c r="D516" s="79">
        <f>IFERROR(VLOOKUP($G516,基本資料!$A:$J,6,0),"無")</f>
        <v>-9</v>
      </c>
      <c r="E516" s="79">
        <f>IFERROR(VLOOKUP($G516,基本資料!$A:$J,7,0),"無")</f>
        <v>-5</v>
      </c>
      <c r="F516" s="6">
        <f>IFERROR(VLOOKUP($G516,基本資料!$A:$J,8,0),"無")</f>
        <v>3.33</v>
      </c>
      <c r="G516" s="79">
        <v>2239</v>
      </c>
      <c r="H516" s="8" t="s">
        <v>301</v>
      </c>
      <c r="I516" s="22" t="s">
        <v>956</v>
      </c>
      <c r="J516" s="8" t="str">
        <f>IFERROR(VLOOKUP($G516,今日總結!$A:$AJ,35,0),"")</f>
        <v/>
      </c>
      <c r="K516" s="5" t="str">
        <f>IFERROR(VLOOKUP($G516,今日總結!$A:$AJ,36,0),"")</f>
        <v/>
      </c>
      <c r="L516" s="156" t="str">
        <f>IFERROR(VLOOKUP($G516,今日總結!$A:$AJ,33,0),"")</f>
        <v/>
      </c>
      <c r="M516" s="340" t="str">
        <f>IFERROR(VLOOKUP($G516,今日總結!$A:$AJ,34,0),"")</f>
        <v/>
      </c>
      <c r="N516" s="240" t="str">
        <f t="shared" si="119"/>
        <v/>
      </c>
      <c r="P516" s="365">
        <f>IFERROR(VLOOKUP($G516,融外自投!$A:$J,7,0),"無")</f>
        <v>863</v>
      </c>
      <c r="Q516" s="79">
        <f>IFERROR(VLOOKUP($G516,融外自投!$A:$J,9,0),"無")</f>
        <v>978</v>
      </c>
      <c r="R516" s="346">
        <f>IFERROR(VLOOKUP($G516,融外自投!$A:$J,8,0),"無")</f>
        <v>15</v>
      </c>
      <c r="S516" s="81">
        <f>IFERROR(VLOOKUP($G516,融外自投!$A:$J,10,0),"無")</f>
        <v>349</v>
      </c>
      <c r="T516" s="327">
        <f>IFERROR(VLOOKUP($G516,'321買'!$A:$E,5,0),"'沒有資料'")</f>
        <v>1161</v>
      </c>
      <c r="U516" s="186">
        <f>IFERROR(VLOOKUP($G516,基本資料!$A:$J,9,0),"無")</f>
        <v>2.5</v>
      </c>
      <c r="V516" s="310">
        <f t="shared" si="114"/>
        <v>3.7537537537537538E-2</v>
      </c>
      <c r="W516" s="94">
        <f>IFERROR(VLOOKUP($G516,基本資料!$A:$J,10,0),"無")</f>
        <v>5.64</v>
      </c>
      <c r="X516" s="36">
        <f>RTD("money.excel",,"2239","Price")</f>
        <v>66.599999999999994</v>
      </c>
      <c r="Y516" s="66"/>
      <c r="Z516" s="15">
        <f t="shared" si="115"/>
        <v>66.599999999999994</v>
      </c>
      <c r="AA516" s="3" t="e">
        <f t="shared" si="116"/>
        <v>#DIV/0!</v>
      </c>
      <c r="AB516" s="344">
        <f>IFERROR(VLOOKUP($G516,基本資料!$A:$M,11,0),"無")</f>
        <v>-27.97</v>
      </c>
      <c r="AC516" s="397">
        <f>IFERROR(VLOOKUP($G516,基本資料!$A:$M,12,0),"無")</f>
        <v>28.01</v>
      </c>
      <c r="AD516" s="22" t="s">
        <v>956</v>
      </c>
      <c r="AG516" s="33">
        <f t="shared" si="117"/>
        <v>0</v>
      </c>
      <c r="AH516" s="43" t="s">
        <v>1995</v>
      </c>
      <c r="AI516" s="63">
        <f t="shared" si="118"/>
        <v>2.0321761219305672E-4</v>
      </c>
      <c r="AJ516" s="284">
        <f>RTD("money.excel",,$G516,"PredictVolume")</f>
        <v>24</v>
      </c>
      <c r="AK516" s="399">
        <f>IFERROR(VLOOKUP($G516,基本資料!$A:$M,13,0),"無")</f>
        <v>2.69</v>
      </c>
    </row>
    <row r="517" spans="1:37">
      <c r="A517" s="347">
        <f>IFERROR(VLOOKUP($G517,基本資料!$A:$J,3,0),"無")</f>
        <v>4.59</v>
      </c>
      <c r="B517" s="79">
        <f>IFERROR(VLOOKUP($G517,基本資料!$A:$J,4,0),"無")</f>
        <v>72</v>
      </c>
      <c r="C517" s="79">
        <f>IFERROR(VLOOKUP($G517,基本資料!$A:$J,5,0),"無")</f>
        <v>97</v>
      </c>
      <c r="D517" s="79">
        <f>IFERROR(VLOOKUP($G517,基本資料!$A:$J,6,0),"無")</f>
        <v>7145</v>
      </c>
      <c r="E517" s="79">
        <f>IFERROR(VLOOKUP($G517,基本資料!$A:$J,7,0),"無")</f>
        <v>71</v>
      </c>
      <c r="F517" s="6">
        <f>IFERROR(VLOOKUP($G517,基本資料!$A:$J,8,0),"無")</f>
        <v>-0.69</v>
      </c>
      <c r="G517" s="79">
        <v>2243</v>
      </c>
      <c r="H517" s="8" t="s">
        <v>301</v>
      </c>
      <c r="I517" s="22" t="s">
        <v>957</v>
      </c>
      <c r="J517" s="8" t="str">
        <f>IFERROR(VLOOKUP($G517,今日總結!$A:$AJ,35,0),"")</f>
        <v/>
      </c>
      <c r="K517" s="5" t="str">
        <f>IFERROR(VLOOKUP($G517,今日總結!$A:$AJ,36,0),"")</f>
        <v/>
      </c>
      <c r="L517" s="156" t="str">
        <f>IFERROR(VLOOKUP($G517,今日總結!$A:$AJ,33,0),"")</f>
        <v/>
      </c>
      <c r="M517" s="340" t="str">
        <f>IFERROR(VLOOKUP($G517,今日總結!$A:$AJ,34,0),"")</f>
        <v/>
      </c>
      <c r="N517" s="240" t="str">
        <f t="shared" si="119"/>
        <v/>
      </c>
      <c r="P517" s="365">
        <f>IFERROR(VLOOKUP($G517,融外自投!$A:$J,7,0),"無")</f>
        <v>914</v>
      </c>
      <c r="Q517" s="79">
        <f>IFERROR(VLOOKUP($G517,融外自投!$A:$J,9,0),"無")</f>
        <v>683</v>
      </c>
      <c r="R517" s="346">
        <f>IFERROR(VLOOKUP($G517,融外自投!$A:$J,8,0),"無")</f>
        <v>105</v>
      </c>
      <c r="S517" s="81" t="str">
        <f>IFERROR(VLOOKUP($G517,融外自投!$A:$J,10,0),"無")</f>
        <v>無</v>
      </c>
      <c r="T517" s="327">
        <f>IFERROR(VLOOKUP($G517,'321買'!$A:$E,5,0),"'沒有資料'")</f>
        <v>939</v>
      </c>
      <c r="U517" s="186">
        <f>IFERROR(VLOOKUP($G517,基本資料!$A:$J,9,0),"無")</f>
        <v>0</v>
      </c>
      <c r="V517" s="310">
        <f t="shared" si="114"/>
        <v>0</v>
      </c>
      <c r="W517" s="94">
        <f>IFERROR(VLOOKUP($G517,基本資料!$A:$J,10,0),"無")</f>
        <v>-1.81</v>
      </c>
      <c r="X517" s="36">
        <f>RTD("money.excel",,"2243","Price")</f>
        <v>15.7</v>
      </c>
      <c r="Y517" s="66"/>
      <c r="Z517" s="15">
        <f t="shared" si="115"/>
        <v>15.7</v>
      </c>
      <c r="AA517" s="3" t="e">
        <f t="shared" si="116"/>
        <v>#DIV/0!</v>
      </c>
      <c r="AB517" s="344">
        <f>IFERROR(VLOOKUP($G517,基本資料!$A:$M,11,0),"無")</f>
        <v>-36.47</v>
      </c>
      <c r="AC517" s="397">
        <f>IFERROR(VLOOKUP($G517,基本資料!$A:$M,12,0),"無")</f>
        <v>39.770000000000003</v>
      </c>
      <c r="AD517" s="22" t="s">
        <v>957</v>
      </c>
      <c r="AG517" s="33">
        <f t="shared" si="117"/>
        <v>0</v>
      </c>
      <c r="AH517" s="43" t="s">
        <v>2793</v>
      </c>
      <c r="AI517" s="63">
        <f t="shared" si="118"/>
        <v>4.9455337690631805E-3</v>
      </c>
      <c r="AJ517" s="284">
        <f>RTD("money.excel",,$G517,"PredictVolume")</f>
        <v>227</v>
      </c>
      <c r="AK517" s="399">
        <f>IFERROR(VLOOKUP($G517,基本資料!$A:$M,13,0),"無")</f>
        <v>36.47</v>
      </c>
    </row>
    <row r="518" spans="1:37">
      <c r="A518" s="347">
        <f>IFERROR(VLOOKUP($G518,基本資料!$A:$J,3,0),"無")</f>
        <v>8.07</v>
      </c>
      <c r="B518" s="79">
        <f>IFERROR(VLOOKUP($G518,基本資料!$A:$J,4,0),"無")</f>
        <v>15</v>
      </c>
      <c r="C518" s="79">
        <f>IFERROR(VLOOKUP($G518,基本資料!$A:$J,5,0),"無")</f>
        <v>20</v>
      </c>
      <c r="D518" s="79">
        <f>IFERROR(VLOOKUP($G518,基本資料!$A:$J,6,0),"無")</f>
        <v>118</v>
      </c>
      <c r="E518" s="79">
        <f>IFERROR(VLOOKUP($G518,基本資料!$A:$J,7,0),"無")</f>
        <v>-10</v>
      </c>
      <c r="F518" s="6">
        <f>IFERROR(VLOOKUP($G518,基本資料!$A:$J,8,0),"無")</f>
        <v>3.69</v>
      </c>
      <c r="G518" s="79">
        <v>2247</v>
      </c>
      <c r="H518" s="8" t="s">
        <v>301</v>
      </c>
      <c r="I518" s="22" t="s">
        <v>2032</v>
      </c>
      <c r="J518" s="8" t="str">
        <f>IFERROR(VLOOKUP($G518,今日總結!$A:$AJ,35,0),"")</f>
        <v/>
      </c>
      <c r="K518" s="5" t="str">
        <f>IFERROR(VLOOKUP($G518,今日總結!$A:$AJ,36,0),"")</f>
        <v/>
      </c>
      <c r="L518" s="156" t="str">
        <f>IFERROR(VLOOKUP($G518,今日總結!$A:$AJ,33,0),"")</f>
        <v/>
      </c>
      <c r="M518" s="340" t="str">
        <f>IFERROR(VLOOKUP($G518,今日總結!$A:$AJ,34,0),"")</f>
        <v/>
      </c>
      <c r="N518" s="240" t="str">
        <f t="shared" si="119"/>
        <v/>
      </c>
      <c r="P518" s="365">
        <f>IFERROR(VLOOKUP($G518,融外自投!$A:$J,7,0),"無")</f>
        <v>1401</v>
      </c>
      <c r="Q518" s="79" t="str">
        <f>IFERROR(VLOOKUP($G518,融外自投!$A:$J,9,0),"無")</f>
        <v>無</v>
      </c>
      <c r="R518" s="346">
        <f>IFERROR(VLOOKUP($G518,融外自投!$A:$J,8,0),"無")</f>
        <v>1286</v>
      </c>
      <c r="S518" s="81" t="str">
        <f>IFERROR(VLOOKUP($G518,融外自投!$A:$J,10,0),"無")</f>
        <v>無</v>
      </c>
      <c r="T518" s="327">
        <f>IFERROR(VLOOKUP($G518,'321買'!$A:$E,5,0),"'沒有資料'")</f>
        <v>1007</v>
      </c>
      <c r="U518" s="186">
        <f>IFERROR(VLOOKUP($G518,基本資料!$A:$J,9,0),"無")</f>
        <v>12</v>
      </c>
      <c r="V518" s="310">
        <f t="shared" si="114"/>
        <v>5.8111380145278453E-2</v>
      </c>
      <c r="W518" s="94">
        <f>IFERROR(VLOOKUP($G518,基本資料!$A:$J,10,0),"無")</f>
        <v>15.36</v>
      </c>
      <c r="X518" s="36">
        <f>RTD("money.excel",,"2247","Price")</f>
        <v>206.5</v>
      </c>
      <c r="Y518" s="66"/>
      <c r="Z518" s="15">
        <f t="shared" si="115"/>
        <v>206.5</v>
      </c>
      <c r="AA518" s="3" t="e">
        <f t="shared" si="116"/>
        <v>#DIV/0!</v>
      </c>
      <c r="AB518" s="344">
        <f>IFERROR(VLOOKUP($G518,基本資料!$A:$M,11,0),"無")</f>
        <v>-12.02</v>
      </c>
      <c r="AC518" s="397">
        <f>IFERROR(VLOOKUP($G518,基本資料!$A:$M,12,0),"無")</f>
        <v>26.9</v>
      </c>
      <c r="AD518" s="22" t="s">
        <v>2032</v>
      </c>
      <c r="AG518" s="33">
        <f t="shared" si="117"/>
        <v>0</v>
      </c>
      <c r="AH518" s="43" t="s">
        <v>2033</v>
      </c>
      <c r="AI518" s="63">
        <f t="shared" si="118"/>
        <v>2.7261462205700125E-4</v>
      </c>
      <c r="AJ518" s="284">
        <f>RTD("money.excel",,$G518,"PredictVolume")</f>
        <v>22</v>
      </c>
      <c r="AK518" s="399">
        <f>IFERROR(VLOOKUP($G518,基本資料!$A:$M,13,0),"無")</f>
        <v>8.08</v>
      </c>
    </row>
    <row r="519" spans="1:37">
      <c r="A519" s="347" t="str">
        <f>IFERROR(VLOOKUP($G519,基本資料!$A:$J,3,0),"無")</f>
        <v>無</v>
      </c>
      <c r="B519" s="79" t="str">
        <f>IFERROR(VLOOKUP($G519,基本資料!$A:$J,4,0),"無")</f>
        <v>無</v>
      </c>
      <c r="C519" s="79" t="str">
        <f>IFERROR(VLOOKUP($G519,基本資料!$A:$J,5,0),"無")</f>
        <v>無</v>
      </c>
      <c r="D519" s="79" t="str">
        <f>IFERROR(VLOOKUP($G519,基本資料!$A:$J,6,0),"無")</f>
        <v>無</v>
      </c>
      <c r="E519" s="79" t="str">
        <f>IFERROR(VLOOKUP($G519,基本資料!$A:$J,7,0),"無")</f>
        <v>無</v>
      </c>
      <c r="F519" s="6" t="str">
        <f>IFERROR(VLOOKUP($G519,基本資料!$A:$J,8,0),"無")</f>
        <v>無</v>
      </c>
      <c r="G519" s="79">
        <v>2250</v>
      </c>
      <c r="H519" s="8" t="s">
        <v>301</v>
      </c>
      <c r="I519" s="22" t="s">
        <v>3349</v>
      </c>
      <c r="J519" s="8" t="str">
        <f>IFERROR(VLOOKUP($G519,今日總結!$A:$AJ,35,0),"")</f>
        <v/>
      </c>
      <c r="K519" s="5" t="str">
        <f>IFERROR(VLOOKUP($G519,今日總結!$A:$AJ,36,0),"")</f>
        <v/>
      </c>
      <c r="L519" s="156" t="str">
        <f>IFERROR(VLOOKUP($G519,今日總結!$A:$AJ,33,0),"")</f>
        <v/>
      </c>
      <c r="M519" s="340" t="str">
        <f>IFERROR(VLOOKUP($G519,今日總結!$A:$AJ,34,0),"")</f>
        <v/>
      </c>
      <c r="N519" s="240" t="str">
        <f t="shared" si="119"/>
        <v/>
      </c>
      <c r="P519" s="365">
        <f>IFERROR(VLOOKUP($G519,融外自投!$A:$J,7,0),"無")</f>
        <v>776</v>
      </c>
      <c r="Q519" s="79" t="str">
        <f>IFERROR(VLOOKUP($G519,融外自投!$A:$J,9,0),"無")</f>
        <v>無</v>
      </c>
      <c r="R519" s="346">
        <f>IFERROR(VLOOKUP($G519,融外自投!$A:$J,8,0),"無")</f>
        <v>726</v>
      </c>
      <c r="S519" s="81">
        <f>IFERROR(VLOOKUP($G519,融外自投!$A:$J,10,0),"無")</f>
        <v>428</v>
      </c>
      <c r="T519" s="327">
        <f>IFERROR(VLOOKUP($G519,'321買'!$A:$E,5,0),"'沒有資料'")</f>
        <v>984</v>
      </c>
      <c r="U519" s="186" t="str">
        <f>IFERROR(VLOOKUP($G519,基本資料!$A:$J,9,0),"無")</f>
        <v>無</v>
      </c>
      <c r="V519" s="310" t="e">
        <f t="shared" si="114"/>
        <v>#VALUE!</v>
      </c>
      <c r="W519" s="94" t="str">
        <f>IFERROR(VLOOKUP($G519,基本資料!$A:$J,10,0),"無")</f>
        <v>無</v>
      </c>
      <c r="X519" s="36">
        <f>RTD("money.excel",,"2250","Price")</f>
        <v>88.1</v>
      </c>
      <c r="Y519" s="66"/>
      <c r="Z519" s="15">
        <f t="shared" si="115"/>
        <v>88.1</v>
      </c>
      <c r="AA519" s="154" t="e">
        <f t="shared" si="116"/>
        <v>#DIV/0!</v>
      </c>
      <c r="AB519" s="344" t="str">
        <f>IFERROR(VLOOKUP($G519,基本資料!$A:$M,11,0),"無")</f>
        <v>無</v>
      </c>
      <c r="AC519" s="397" t="str">
        <f>IFERROR(VLOOKUP($G519,基本資料!$A:$M,12,0),"無")</f>
        <v>無</v>
      </c>
      <c r="AD519" s="22" t="s">
        <v>3349</v>
      </c>
      <c r="AG519" s="33">
        <f t="shared" si="117"/>
        <v>0</v>
      </c>
      <c r="AH519" s="43" t="s">
        <v>3346</v>
      </c>
      <c r="AI519" s="63" t="e">
        <f t="shared" si="118"/>
        <v>#VALUE!</v>
      </c>
      <c r="AJ519" s="284">
        <f>RTD("money.excel",,$G519,"PredictVolume")</f>
        <v>13</v>
      </c>
      <c r="AK519" s="399" t="str">
        <f>IFERROR(VLOOKUP($G519,基本資料!$A:$M,13,0),"無")</f>
        <v>無</v>
      </c>
    </row>
    <row r="520" spans="1:37">
      <c r="A520" s="347">
        <f>IFERROR(VLOOKUP($G520,基本資料!$A:$J,3,0),"無")</f>
        <v>11.87</v>
      </c>
      <c r="B520" s="79">
        <f>IFERROR(VLOOKUP($G520,基本資料!$A:$J,4,0),"無")</f>
        <v>217</v>
      </c>
      <c r="C520" s="79">
        <f>IFERROR(VLOOKUP($G520,基本資料!$A:$J,5,0),"無")</f>
        <v>294</v>
      </c>
      <c r="D520" s="79">
        <f>IFERROR(VLOOKUP($G520,基本資料!$A:$J,6,0),"無")</f>
        <v>-29</v>
      </c>
      <c r="E520" s="79">
        <f>IFERROR(VLOOKUP($G520,基本資料!$A:$J,7,0),"無")</f>
        <v>3</v>
      </c>
      <c r="F520" s="6">
        <f>IFERROR(VLOOKUP($G520,基本資料!$A:$J,8,0),"無")</f>
        <v>6.92</v>
      </c>
      <c r="G520" s="79">
        <v>2497</v>
      </c>
      <c r="H520" s="8" t="s">
        <v>301</v>
      </c>
      <c r="I520" s="22" t="s">
        <v>243</v>
      </c>
      <c r="J520" s="8">
        <f>IFERROR(VLOOKUP($G520,今日總結!$A:$AJ,35,0),"")</f>
        <v>42</v>
      </c>
      <c r="K520" s="5">
        <f>IFERROR(VLOOKUP($G520,今日總結!$A:$AJ,36,0),"")</f>
        <v>0</v>
      </c>
      <c r="L520" s="156">
        <f>IFERROR(VLOOKUP($G520,今日總結!$A:$AJ,33,0),"")</f>
        <v>2</v>
      </c>
      <c r="M520" s="340">
        <f>IFERROR(VLOOKUP($G520,今日總結!$A:$AJ,34,0),"")</f>
        <v>0</v>
      </c>
      <c r="N520" s="240">
        <f t="shared" si="119"/>
        <v>2</v>
      </c>
      <c r="P520" s="365">
        <f>IFERROR(VLOOKUP($G520,融外自投!$A:$J,7,0),"無")</f>
        <v>103</v>
      </c>
      <c r="Q520" s="79">
        <f>IFERROR(VLOOKUP($G520,融外自投!$A:$J,9,0),"無")</f>
        <v>355</v>
      </c>
      <c r="R520" s="346">
        <f>IFERROR(VLOOKUP($G520,融外自投!$A:$J,8,0),"無")</f>
        <v>951</v>
      </c>
      <c r="S520" s="81" t="str">
        <f>IFERROR(VLOOKUP($G520,融外自投!$A:$J,10,0),"無")</f>
        <v>無</v>
      </c>
      <c r="T520" s="327">
        <f>IFERROR(VLOOKUP($G520,'321買'!$A:$E,5,0),"'沒有資料'")</f>
        <v>153</v>
      </c>
      <c r="U520" s="186">
        <f>IFERROR(VLOOKUP($G520,基本資料!$A:$J,9,0),"無")</f>
        <v>0</v>
      </c>
      <c r="V520" s="310">
        <f t="shared" si="114"/>
        <v>0</v>
      </c>
      <c r="W520" s="94">
        <f>IFERROR(VLOOKUP($G520,基本資料!$A:$J,10,0),"無")</f>
        <v>0.81</v>
      </c>
      <c r="X520" s="36">
        <f>RTD("money.excel",,"2497","Price")</f>
        <v>74.599999999999994</v>
      </c>
      <c r="Y520" s="66"/>
      <c r="Z520" s="15">
        <f t="shared" si="115"/>
        <v>74.599999999999994</v>
      </c>
      <c r="AA520" s="3" t="e">
        <f t="shared" si="116"/>
        <v>#DIV/0!</v>
      </c>
      <c r="AB520" s="344">
        <f>IFERROR(VLOOKUP($G520,基本資料!$A:$M,11,0),"無")</f>
        <v>-39.229999999999997</v>
      </c>
      <c r="AC520" s="397">
        <f>IFERROR(VLOOKUP($G520,基本資料!$A:$M,12,0),"無")</f>
        <v>14.04</v>
      </c>
      <c r="AD520" s="22" t="s">
        <v>243</v>
      </c>
      <c r="AG520" s="33">
        <f t="shared" si="117"/>
        <v>0</v>
      </c>
      <c r="AH520" s="119" t="s">
        <v>2137</v>
      </c>
      <c r="AI520" s="63">
        <f t="shared" si="118"/>
        <v>3.8989048020219047E-2</v>
      </c>
      <c r="AJ520" s="284">
        <f>RTD("money.excel",,$G520,"PredictVolume")</f>
        <v>4628</v>
      </c>
      <c r="AK520" s="399">
        <f>IFERROR(VLOOKUP($G520,基本資料!$A:$M,13,0),"無")</f>
        <v>42.57</v>
      </c>
    </row>
    <row r="521" spans="1:37">
      <c r="A521" s="347">
        <f>IFERROR(VLOOKUP($G521,基本資料!$A:$J,3,0),"無")</f>
        <v>10.66</v>
      </c>
      <c r="B521" s="79">
        <f>IFERROR(VLOOKUP($G521,基本資料!$A:$J,4,0),"無")</f>
        <v>680</v>
      </c>
      <c r="C521" s="79">
        <f>IFERROR(VLOOKUP($G521,基本資料!$A:$J,5,0),"無")</f>
        <v>1465</v>
      </c>
      <c r="D521" s="79">
        <f>IFERROR(VLOOKUP($G521,基本資料!$A:$J,6,0),"無")</f>
        <v>-35</v>
      </c>
      <c r="E521" s="79">
        <f>IFERROR(VLOOKUP($G521,基本資料!$A:$J,7,0),"無")</f>
        <v>-13</v>
      </c>
      <c r="F521" s="6">
        <f>IFERROR(VLOOKUP($G521,基本資料!$A:$J,8,0),"無")</f>
        <v>1.62</v>
      </c>
      <c r="G521" s="79">
        <v>3346</v>
      </c>
      <c r="H521" s="8" t="s">
        <v>301</v>
      </c>
      <c r="I521" s="22" t="s">
        <v>577</v>
      </c>
      <c r="J521" s="8" t="str">
        <f>IFERROR(VLOOKUP($G521,今日總結!$A:$AJ,35,0),"")</f>
        <v/>
      </c>
      <c r="K521" s="5" t="str">
        <f>IFERROR(VLOOKUP($G521,今日總結!$A:$AJ,36,0),"")</f>
        <v/>
      </c>
      <c r="L521" s="156" t="str">
        <f>IFERROR(VLOOKUP($G521,今日總結!$A:$AJ,33,0),"")</f>
        <v/>
      </c>
      <c r="M521" s="340" t="str">
        <f>IFERROR(VLOOKUP($G521,今日總結!$A:$AJ,34,0),"")</f>
        <v/>
      </c>
      <c r="N521" s="240" t="str">
        <f t="shared" si="119"/>
        <v/>
      </c>
      <c r="P521" s="365">
        <f>IFERROR(VLOOKUP($G521,融外自投!$A:$J,7,0),"無")</f>
        <v>218</v>
      </c>
      <c r="Q521" s="79" t="str">
        <f>IFERROR(VLOOKUP($G521,融外自投!$A:$J,9,0),"無")</f>
        <v>無</v>
      </c>
      <c r="R521" s="346">
        <f>IFERROR(VLOOKUP($G521,融外自投!$A:$J,8,0),"無")</f>
        <v>933</v>
      </c>
      <c r="S521" s="81" t="str">
        <f>IFERROR(VLOOKUP($G521,融外自投!$A:$J,10,0),"無")</f>
        <v>無</v>
      </c>
      <c r="T521" s="327">
        <f>IFERROR(VLOOKUP($G521,'321買'!$A:$E,5,0),"'沒有資料'")</f>
        <v>779</v>
      </c>
      <c r="U521" s="186">
        <f>IFERROR(VLOOKUP($G521,基本資料!$A:$J,9,0),"無")</f>
        <v>0.62</v>
      </c>
      <c r="V521" s="310">
        <f t="shared" si="114"/>
        <v>2.1716287215411557E-2</v>
      </c>
      <c r="W521" s="94">
        <f>IFERROR(VLOOKUP($G521,基本資料!$A:$J,10,0),"無")</f>
        <v>1.03</v>
      </c>
      <c r="X521" s="36">
        <f>RTD("money.excel",,"3346","Price")</f>
        <v>28.55</v>
      </c>
      <c r="Y521" s="66"/>
      <c r="Z521" s="15">
        <f t="shared" si="115"/>
        <v>28.55</v>
      </c>
      <c r="AA521" s="3" t="e">
        <f t="shared" si="116"/>
        <v>#DIV/0!</v>
      </c>
      <c r="AB521" s="344">
        <f>IFERROR(VLOOKUP($G521,基本資料!$A:$M,11,0),"無")</f>
        <v>-47.21</v>
      </c>
      <c r="AC521" s="397">
        <f>IFERROR(VLOOKUP($G521,基本資料!$A:$M,12,0),"無")</f>
        <v>5.04</v>
      </c>
      <c r="AD521" s="22" t="s">
        <v>577</v>
      </c>
      <c r="AG521" s="33">
        <f t="shared" si="117"/>
        <v>0</v>
      </c>
      <c r="AH521" s="43" t="s">
        <v>2089</v>
      </c>
      <c r="AI521" s="63">
        <f t="shared" si="118"/>
        <v>2.1294559099437147E-3</v>
      </c>
      <c r="AJ521" s="284">
        <f>RTD("money.excel",,$G521,"PredictVolume")</f>
        <v>227</v>
      </c>
      <c r="AK521" s="399">
        <f>IFERROR(VLOOKUP($G521,基本資料!$A:$M,13,0),"無")</f>
        <v>18.93</v>
      </c>
    </row>
    <row r="522" spans="1:37">
      <c r="A522" s="347">
        <f>IFERROR(VLOOKUP($G522,基本資料!$A:$J,3,0),"無")</f>
        <v>11.77</v>
      </c>
      <c r="B522" s="79">
        <f>IFERROR(VLOOKUP($G522,基本資料!$A:$J,4,0),"無")</f>
        <v>55</v>
      </c>
      <c r="C522" s="79">
        <f>IFERROR(VLOOKUP($G522,基本資料!$A:$J,5,0),"無")</f>
        <v>31</v>
      </c>
      <c r="D522" s="79">
        <f>IFERROR(VLOOKUP($G522,基本資料!$A:$J,6,0),"無")</f>
        <v>-2</v>
      </c>
      <c r="E522" s="79">
        <f>IFERROR(VLOOKUP($G522,基本資料!$A:$J,7,0),"無")</f>
        <v>2</v>
      </c>
      <c r="F522" s="6">
        <f>IFERROR(VLOOKUP($G522,基本資料!$A:$J,8,0),"無")</f>
        <v>17.61</v>
      </c>
      <c r="G522" s="79">
        <v>4551</v>
      </c>
      <c r="H522" s="8" t="s">
        <v>301</v>
      </c>
      <c r="I522" s="23" t="s">
        <v>240</v>
      </c>
      <c r="J522" s="8" t="str">
        <f>IFERROR(VLOOKUP($G522,今日總結!$A:$AJ,35,0),"")</f>
        <v/>
      </c>
      <c r="K522" s="5" t="str">
        <f>IFERROR(VLOOKUP($G522,今日總結!$A:$AJ,36,0),"")</f>
        <v/>
      </c>
      <c r="L522" s="156" t="str">
        <f>IFERROR(VLOOKUP($G522,今日總結!$A:$AJ,33,0),"")</f>
        <v/>
      </c>
      <c r="M522" s="340" t="str">
        <f>IFERROR(VLOOKUP($G522,今日總結!$A:$AJ,34,0),"")</f>
        <v/>
      </c>
      <c r="N522" s="240" t="str">
        <f t="shared" si="119"/>
        <v/>
      </c>
      <c r="P522" s="365">
        <f>IFERROR(VLOOKUP($G522,融外自投!$A:$J,7,0),"無")</f>
        <v>969</v>
      </c>
      <c r="Q522" s="79" t="str">
        <f>IFERROR(VLOOKUP($G522,融外自投!$A:$J,9,0),"無")</f>
        <v>無</v>
      </c>
      <c r="R522" s="346">
        <f>IFERROR(VLOOKUP($G522,融外自投!$A:$J,8,0),"無")</f>
        <v>67</v>
      </c>
      <c r="S522" s="81">
        <f>IFERROR(VLOOKUP($G522,融外自投!$A:$J,10,0),"無")</f>
        <v>146</v>
      </c>
      <c r="T522" s="327">
        <f>IFERROR(VLOOKUP($G522,'321買'!$A:$E,5,0),"'沒有資料'")</f>
        <v>1007</v>
      </c>
      <c r="U522" s="186">
        <f>IFERROR(VLOOKUP($G522,基本資料!$A:$J,9,0),"無")</f>
        <v>5</v>
      </c>
      <c r="V522" s="310">
        <f t="shared" si="114"/>
        <v>0.04</v>
      </c>
      <c r="W522" s="94">
        <f>IFERROR(VLOOKUP($G522,基本資料!$A:$J,10,0),"無")</f>
        <v>10.47</v>
      </c>
      <c r="X522" s="36">
        <f>RTD("money.excel",,"4551","Price")</f>
        <v>125</v>
      </c>
      <c r="Y522" s="66"/>
      <c r="Z522" s="15">
        <f t="shared" si="115"/>
        <v>125</v>
      </c>
      <c r="AA522" s="35" t="e">
        <f t="shared" si="116"/>
        <v>#DIV/0!</v>
      </c>
      <c r="AB522" s="344">
        <f>IFERROR(VLOOKUP($G522,基本資料!$A:$M,11,0),"無")</f>
        <v>-37.5</v>
      </c>
      <c r="AC522" s="397">
        <f>IFERROR(VLOOKUP($G522,基本資料!$A:$M,12,0),"無")</f>
        <v>16</v>
      </c>
      <c r="AD522" s="23" t="s">
        <v>240</v>
      </c>
      <c r="AG522" s="33">
        <f t="shared" si="117"/>
        <v>0</v>
      </c>
      <c r="AH522" s="119" t="s">
        <v>2792</v>
      </c>
      <c r="AI522" s="63">
        <f t="shared" si="118"/>
        <v>1.469838572642311E-3</v>
      </c>
      <c r="AJ522" s="284">
        <f>RTD("money.excel",,$G522,"PredictVolume")</f>
        <v>173</v>
      </c>
      <c r="AK522" s="399">
        <f>IFERROR(VLOOKUP($G522,基本資料!$A:$M,13,0),"無")</f>
        <v>2.5499999999999998</v>
      </c>
    </row>
    <row r="523" spans="1:37">
      <c r="A523" s="347">
        <f>IFERROR(VLOOKUP($G523,基本資料!$A:$J,3,0),"無")</f>
        <v>4.1900000000000004</v>
      </c>
      <c r="B523" s="79">
        <f>IFERROR(VLOOKUP($G523,基本資料!$A:$J,4,0),"無")</f>
        <v>46</v>
      </c>
      <c r="C523" s="79">
        <f>IFERROR(VLOOKUP($G523,基本資料!$A:$J,5,0),"無")</f>
        <v>16</v>
      </c>
      <c r="D523" s="79">
        <f>IFERROR(VLOOKUP($G523,基本資料!$A:$J,6,0),"無")</f>
        <v>-6</v>
      </c>
      <c r="E523" s="79">
        <f>IFERROR(VLOOKUP($G523,基本資料!$A:$J,7,0),"無")</f>
        <v>52</v>
      </c>
      <c r="F523" s="6">
        <f>IFERROR(VLOOKUP($G523,基本資料!$A:$J,8,0),"無")</f>
        <v>11.64</v>
      </c>
      <c r="G523" s="79">
        <v>4557</v>
      </c>
      <c r="H523" s="8" t="s">
        <v>301</v>
      </c>
      <c r="I523" s="22" t="s">
        <v>581</v>
      </c>
      <c r="J523" s="8" t="str">
        <f>IFERROR(VLOOKUP($G523,今日總結!$A:$AJ,35,0),"")</f>
        <v/>
      </c>
      <c r="K523" s="5" t="str">
        <f>IFERROR(VLOOKUP($G523,今日總結!$A:$AJ,36,0),"")</f>
        <v/>
      </c>
      <c r="L523" s="156" t="str">
        <f>IFERROR(VLOOKUP($G523,今日總結!$A:$AJ,33,0),"")</f>
        <v/>
      </c>
      <c r="M523" s="340" t="str">
        <f>IFERROR(VLOOKUP($G523,今日總結!$A:$AJ,34,0),"")</f>
        <v/>
      </c>
      <c r="N523" s="240" t="str">
        <f t="shared" si="119"/>
        <v/>
      </c>
      <c r="P523" s="365">
        <f>IFERROR(VLOOKUP($G523,融外自投!$A:$J,7,0),"無")</f>
        <v>1360</v>
      </c>
      <c r="Q523" s="79">
        <f>IFERROR(VLOOKUP($G523,融外自投!$A:$J,9,0),"無")</f>
        <v>734</v>
      </c>
      <c r="R523" s="346">
        <f>IFERROR(VLOOKUP($G523,融外自投!$A:$J,8,0),"無")</f>
        <v>121</v>
      </c>
      <c r="S523" s="81" t="str">
        <f>IFERROR(VLOOKUP($G523,融外自投!$A:$J,10,0),"無")</f>
        <v>無</v>
      </c>
      <c r="T523" s="327">
        <f>IFERROR(VLOOKUP($G523,'321買'!$A:$E,5,0),"'沒有資料'")</f>
        <v>1367</v>
      </c>
      <c r="U523" s="186">
        <f>IFERROR(VLOOKUP($G523,基本資料!$A:$J,9,0),"無")</f>
        <v>4.5</v>
      </c>
      <c r="V523" s="310">
        <f t="shared" si="114"/>
        <v>5.8365758754863821E-2</v>
      </c>
      <c r="W523" s="94">
        <f>IFERROR(VLOOKUP($G523,基本資料!$A:$J,10,0),"無")</f>
        <v>5.16</v>
      </c>
      <c r="X523" s="36">
        <f>RTD("money.excel",,"4557","Price")</f>
        <v>77.099999999999994</v>
      </c>
      <c r="Y523" s="66"/>
      <c r="Z523" s="15">
        <f t="shared" si="115"/>
        <v>77.099999999999994</v>
      </c>
      <c r="AA523" s="3" t="e">
        <f t="shared" si="116"/>
        <v>#DIV/0!</v>
      </c>
      <c r="AB523" s="344">
        <f>IFERROR(VLOOKUP($G523,基本資料!$A:$M,11,0),"無")</f>
        <v>-6.03</v>
      </c>
      <c r="AC523" s="397">
        <f>IFERROR(VLOOKUP($G523,基本資料!$A:$M,12,0),"無")</f>
        <v>48.96</v>
      </c>
      <c r="AD523" s="22" t="s">
        <v>581</v>
      </c>
      <c r="AG523" s="33">
        <f t="shared" si="117"/>
        <v>0</v>
      </c>
      <c r="AH523" s="43" t="s">
        <v>2794</v>
      </c>
      <c r="AI523" s="63">
        <f t="shared" si="118"/>
        <v>4.7732696897374692E-4</v>
      </c>
      <c r="AJ523" s="284">
        <f>RTD("money.excel",,$G523,"PredictVolume")</f>
        <v>20</v>
      </c>
      <c r="AK523" s="399">
        <f>IFERROR(VLOOKUP($G523,基本資料!$A:$M,13,0),"無")</f>
        <v>0.96</v>
      </c>
    </row>
    <row r="524" spans="1:37">
      <c r="A524" s="347">
        <f>IFERROR(VLOOKUP($G524,基本資料!$A:$J,3,0),"無")</f>
        <v>3.38</v>
      </c>
      <c r="B524" s="79">
        <f>IFERROR(VLOOKUP($G524,基本資料!$A:$J,4,0),"無")</f>
        <v>17</v>
      </c>
      <c r="C524" s="79">
        <f>IFERROR(VLOOKUP($G524,基本資料!$A:$J,5,0),"無")</f>
        <v>24</v>
      </c>
      <c r="D524" s="79">
        <f>IFERROR(VLOOKUP($G524,基本資料!$A:$J,6,0),"無")</f>
        <v>10</v>
      </c>
      <c r="E524" s="79">
        <f>IFERROR(VLOOKUP($G524,基本資料!$A:$J,7,0),"無")</f>
        <v>-10</v>
      </c>
      <c r="F524" s="6">
        <f>IFERROR(VLOOKUP($G524,基本資料!$A:$J,8,0),"無")</f>
        <v>9.76</v>
      </c>
      <c r="G524" s="79">
        <v>4581</v>
      </c>
      <c r="H524" s="8" t="s">
        <v>301</v>
      </c>
      <c r="I524" s="22" t="s">
        <v>1891</v>
      </c>
      <c r="J524" s="8" t="str">
        <f>IFERROR(VLOOKUP($G524,今日總結!$A:$AJ,35,0),"")</f>
        <v/>
      </c>
      <c r="K524" s="5" t="str">
        <f>IFERROR(VLOOKUP($G524,今日總結!$A:$AJ,36,0),"")</f>
        <v/>
      </c>
      <c r="L524" s="156" t="str">
        <f>IFERROR(VLOOKUP($G524,今日總結!$A:$AJ,33,0),"")</f>
        <v/>
      </c>
      <c r="M524" s="340" t="str">
        <f>IFERROR(VLOOKUP($G524,今日總結!$A:$AJ,34,0),"")</f>
        <v/>
      </c>
      <c r="N524" s="240" t="str">
        <f t="shared" si="119"/>
        <v/>
      </c>
      <c r="P524" s="365">
        <f>IFERROR(VLOOKUP($G524,融外自投!$A:$J,7,0),"無")</f>
        <v>1280</v>
      </c>
      <c r="Q524" s="79">
        <f>IFERROR(VLOOKUP($G524,融外自投!$A:$J,9,0),"無")</f>
        <v>1051</v>
      </c>
      <c r="R524" s="346">
        <f>IFERROR(VLOOKUP($G524,融外自投!$A:$J,8,0),"無")</f>
        <v>207</v>
      </c>
      <c r="S524" s="81" t="str">
        <f>IFERROR(VLOOKUP($G524,融外自投!$A:$J,10,0),"無")</f>
        <v>無</v>
      </c>
      <c r="T524" s="327">
        <f>IFERROR(VLOOKUP($G524,'321買'!$A:$E,5,0),"'沒有資料'")</f>
        <v>1408</v>
      </c>
      <c r="U524" s="186">
        <f>IFERROR(VLOOKUP($G524,基本資料!$A:$J,9,0),"無")</f>
        <v>1.5</v>
      </c>
      <c r="V524" s="310">
        <f t="shared" si="114"/>
        <v>4.6153846153846156E-2</v>
      </c>
      <c r="W524" s="94">
        <f>IFERROR(VLOOKUP($G524,基本資料!$A:$J,10,0),"無")</f>
        <v>2.38</v>
      </c>
      <c r="X524" s="36">
        <f>RTD("money.excel",,"4581","Price")</f>
        <v>32.5</v>
      </c>
      <c r="Y524" s="66"/>
      <c r="Z524" s="15">
        <f t="shared" si="115"/>
        <v>32.5</v>
      </c>
      <c r="AA524" s="35" t="e">
        <f t="shared" si="116"/>
        <v>#DIV/0!</v>
      </c>
      <c r="AB524" s="344">
        <f>IFERROR(VLOOKUP($G524,基本資料!$A:$M,11,0),"無")</f>
        <v>-18.98</v>
      </c>
      <c r="AC524" s="397">
        <f>IFERROR(VLOOKUP($G524,基本資料!$A:$M,12,0),"無")</f>
        <v>19.86</v>
      </c>
      <c r="AD524" s="22" t="s">
        <v>1891</v>
      </c>
      <c r="AG524" s="33">
        <f t="shared" si="117"/>
        <v>0</v>
      </c>
      <c r="AH524" s="119" t="s">
        <v>2795</v>
      </c>
      <c r="AI524" s="63">
        <f t="shared" si="118"/>
        <v>2.9585798816568048E-4</v>
      </c>
      <c r="AJ524" s="284">
        <f>RTD("money.excel",,$G524,"PredictVolume")</f>
        <v>10</v>
      </c>
      <c r="AK524" s="399">
        <f>IFERROR(VLOOKUP($G524,基本資料!$A:$M,13,0),"無")</f>
        <v>2.21</v>
      </c>
    </row>
    <row r="525" spans="1:37">
      <c r="A525" s="347">
        <f>IFERROR(VLOOKUP($G525,基本資料!$A:$J,3,0),"無")</f>
        <v>18.27</v>
      </c>
      <c r="B525" s="79">
        <f>IFERROR(VLOOKUP($G525,基本資料!$A:$J,4,0),"無")</f>
        <v>-92</v>
      </c>
      <c r="C525" s="79">
        <f>IFERROR(VLOOKUP($G525,基本資料!$A:$J,5,0),"無")</f>
        <v>-69</v>
      </c>
      <c r="D525" s="79">
        <f>IFERROR(VLOOKUP($G525,基本資料!$A:$J,6,0),"無")</f>
        <v>4</v>
      </c>
      <c r="E525" s="79">
        <f>IFERROR(VLOOKUP($G525,基本資料!$A:$J,7,0),"無")</f>
        <v>7</v>
      </c>
      <c r="F525" s="6">
        <f>IFERROR(VLOOKUP($G525,基本資料!$A:$J,8,0),"無")</f>
        <v>1.57</v>
      </c>
      <c r="G525" s="79">
        <v>6288</v>
      </c>
      <c r="H525" s="8" t="s">
        <v>301</v>
      </c>
      <c r="I525" s="22" t="s">
        <v>448</v>
      </c>
      <c r="J525" s="8" t="str">
        <f>IFERROR(VLOOKUP($G525,今日總結!$A:$AJ,35,0),"")</f>
        <v/>
      </c>
      <c r="K525" s="5" t="str">
        <f>IFERROR(VLOOKUP($G525,今日總結!$A:$AJ,36,0),"")</f>
        <v/>
      </c>
      <c r="L525" s="156" t="str">
        <f>IFERROR(VLOOKUP($G525,今日總結!$A:$AJ,33,0),"")</f>
        <v/>
      </c>
      <c r="M525" s="340" t="str">
        <f>IFERROR(VLOOKUP($G525,今日總結!$A:$AJ,34,0),"")</f>
        <v/>
      </c>
      <c r="N525" s="240" t="str">
        <f t="shared" si="119"/>
        <v/>
      </c>
      <c r="P525" s="365">
        <f>IFERROR(VLOOKUP($G525,融外自投!$A:$J,7,0),"無")</f>
        <v>539</v>
      </c>
      <c r="Q525" s="79">
        <f>IFERROR(VLOOKUP($G525,融外自投!$A:$J,9,0),"無")</f>
        <v>355</v>
      </c>
      <c r="R525" s="346">
        <f>IFERROR(VLOOKUP($G525,融外自投!$A:$J,8,0),"無")</f>
        <v>1270</v>
      </c>
      <c r="S525" s="81">
        <f>IFERROR(VLOOKUP($G525,融外自投!$A:$J,10,0),"無")</f>
        <v>248</v>
      </c>
      <c r="T525" s="327">
        <f>IFERROR(VLOOKUP($G525,'321買'!$A:$E,5,0),"'沒有資料'")</f>
        <v>1085</v>
      </c>
      <c r="U525" s="186">
        <f>IFERROR(VLOOKUP($G525,基本資料!$A:$J,9,0),"無")</f>
        <v>0.4</v>
      </c>
      <c r="V525" s="310">
        <f t="shared" si="114"/>
        <v>1.7021276595744681E-2</v>
      </c>
      <c r="W525" s="94">
        <f>IFERROR(VLOOKUP($G525,基本資料!$A:$J,10,0),"無")</f>
        <v>0.06</v>
      </c>
      <c r="X525" s="36">
        <f>RTD("money.excel",,"6288","Price")</f>
        <v>23.5</v>
      </c>
      <c r="Y525" s="66"/>
      <c r="Z525" s="15">
        <f t="shared" si="115"/>
        <v>23.5</v>
      </c>
      <c r="AA525" s="35" t="e">
        <f t="shared" si="116"/>
        <v>#DIV/0!</v>
      </c>
      <c r="AB525" s="344">
        <f>IFERROR(VLOOKUP($G525,基本資料!$A:$M,11,0),"無")</f>
        <v>-31.84</v>
      </c>
      <c r="AC525" s="397">
        <f>IFERROR(VLOOKUP($G525,基本資料!$A:$M,12,0),"無")</f>
        <v>23.85</v>
      </c>
      <c r="AD525" s="22" t="s">
        <v>448</v>
      </c>
      <c r="AG525" s="33">
        <f t="shared" si="117"/>
        <v>0</v>
      </c>
      <c r="AH525" s="43" t="s">
        <v>2025</v>
      </c>
      <c r="AI525" s="63">
        <f t="shared" si="118"/>
        <v>1.0016420361247948E-3</v>
      </c>
      <c r="AJ525" s="284">
        <f>RTD("money.excel",,$G525,"PredictVolume")</f>
        <v>183</v>
      </c>
      <c r="AK525" s="399">
        <f>IFERROR(VLOOKUP($G525,基本資料!$A:$M,13,0),"無")</f>
        <v>23.67</v>
      </c>
    </row>
    <row r="526" spans="1:37">
      <c r="A526" s="347">
        <f>IFERROR(VLOOKUP($G526,基本資料!$A:$J,3,0),"無")</f>
        <v>16.579999999999998</v>
      </c>
      <c r="B526" s="79">
        <f>IFERROR(VLOOKUP($G526,基本資料!$A:$J,4,0),"無")</f>
        <v>105</v>
      </c>
      <c r="C526" s="79">
        <f>IFERROR(VLOOKUP($G526,基本資料!$A:$J,5,0),"無")</f>
        <v>68</v>
      </c>
      <c r="D526" s="79">
        <f>IFERROR(VLOOKUP($G526,基本資料!$A:$J,6,0),"無")</f>
        <v>31</v>
      </c>
      <c r="E526" s="79">
        <f>IFERROR(VLOOKUP($G526,基本資料!$A:$J,7,0),"無")</f>
        <v>-4</v>
      </c>
      <c r="F526" s="6">
        <f>IFERROR(VLOOKUP($G526,基本資料!$A:$J,8,0),"無")</f>
        <v>10.7</v>
      </c>
      <c r="G526" s="79">
        <v>6605</v>
      </c>
      <c r="H526" s="8" t="s">
        <v>301</v>
      </c>
      <c r="I526" s="22" t="s">
        <v>4036</v>
      </c>
      <c r="J526" s="8">
        <f>IFERROR(VLOOKUP($G526,今日總結!$A:$AJ,35,0),"")</f>
        <v>0</v>
      </c>
      <c r="K526" s="5" t="str">
        <f>IFERROR(VLOOKUP($G526,今日總結!$A:$AJ,36,0),"")</f>
        <v>外</v>
      </c>
      <c r="L526" s="156">
        <f>IFERROR(VLOOKUP($G526,今日總結!$A:$AJ,33,0),"")</f>
        <v>0</v>
      </c>
      <c r="M526" s="340">
        <f>IFERROR(VLOOKUP($G526,今日總結!$A:$AJ,34,0),"")</f>
        <v>1</v>
      </c>
      <c r="N526" s="240">
        <f t="shared" si="119"/>
        <v>-1</v>
      </c>
      <c r="P526" s="365">
        <f>IFERROR(VLOOKUP($G526,融外自投!$A:$J,7,0),"無")</f>
        <v>1060</v>
      </c>
      <c r="Q526" s="79" t="str">
        <f>IFERROR(VLOOKUP($G526,融外自投!$A:$J,9,0),"無")</f>
        <v>無</v>
      </c>
      <c r="R526" s="346">
        <f>IFERROR(VLOOKUP($G526,融外自投!$A:$J,8,0),"無")</f>
        <v>434</v>
      </c>
      <c r="S526" s="81" t="str">
        <f>IFERROR(VLOOKUP($G526,融外自投!$A:$J,10,0),"無")</f>
        <v>無</v>
      </c>
      <c r="T526" s="327">
        <f>IFERROR(VLOOKUP($G526,'321買'!$A:$E,5,0),"'沒有資料'")</f>
        <v>1161</v>
      </c>
      <c r="U526" s="186">
        <f>IFERROR(VLOOKUP($G526,基本資料!$A:$J,9,0),"無")</f>
        <v>3</v>
      </c>
      <c r="V526" s="310">
        <f t="shared" si="114"/>
        <v>5.2356020942408377E-2</v>
      </c>
      <c r="W526" s="94">
        <f>IFERROR(VLOOKUP($G526,基本資料!$A:$J,10,0),"無")</f>
        <v>6.85</v>
      </c>
      <c r="X526" s="36">
        <f>RTD("money.excel",,"6605","Price")</f>
        <v>57.3</v>
      </c>
      <c r="Y526" s="66"/>
      <c r="Z526" s="15">
        <f t="shared" si="115"/>
        <v>57.3</v>
      </c>
      <c r="AA526" s="3" t="e">
        <f t="shared" si="116"/>
        <v>#DIV/0!</v>
      </c>
      <c r="AB526" s="344">
        <f>IFERROR(VLOOKUP($G526,基本資料!$A:$M,11,0),"無")</f>
        <v>-10</v>
      </c>
      <c r="AC526" s="397">
        <f>IFERROR(VLOOKUP($G526,基本資料!$A:$M,12,0),"無")</f>
        <v>57.16</v>
      </c>
      <c r="AD526" s="22" t="s">
        <v>4036</v>
      </c>
      <c r="AG526" s="33">
        <f t="shared" si="117"/>
        <v>0</v>
      </c>
      <c r="AH526" s="117" t="s">
        <v>2089</v>
      </c>
      <c r="AI526" s="63">
        <f t="shared" si="118"/>
        <v>3.196622436670688E-4</v>
      </c>
      <c r="AJ526" s="284">
        <f>RTD("money.excel",,$G526,"PredictVolume")</f>
        <v>53</v>
      </c>
      <c r="AK526" s="399">
        <f>IFERROR(VLOOKUP($G526,基本資料!$A:$M,13,0),"無")</f>
        <v>0.97</v>
      </c>
    </row>
    <row r="527" spans="1:37">
      <c r="A527" s="142"/>
      <c r="B527" s="80"/>
      <c r="C527" s="80"/>
      <c r="D527" s="79"/>
      <c r="E527" s="79"/>
      <c r="F527" s="6"/>
      <c r="G527" s="79"/>
      <c r="H527" s="8"/>
      <c r="I527" s="22"/>
      <c r="L527" s="2"/>
      <c r="S527" s="26"/>
      <c r="U527" s="34"/>
      <c r="W527" s="94"/>
      <c r="X527" s="36"/>
      <c r="Y527" s="66"/>
      <c r="Z527" s="15"/>
      <c r="AA527" s="3"/>
      <c r="AD527" s="22"/>
      <c r="AG527" s="33"/>
      <c r="AH527" s="117"/>
      <c r="AI527" s="63"/>
      <c r="AJ527" s="284"/>
    </row>
    <row r="528" spans="1:37">
      <c r="A528" s="127" t="s">
        <v>1673</v>
      </c>
      <c r="B528" s="90" t="s">
        <v>1572</v>
      </c>
      <c r="C528" s="90" t="s">
        <v>1573</v>
      </c>
      <c r="D528" s="90" t="s">
        <v>1574</v>
      </c>
      <c r="E528" s="90" t="s">
        <v>1575</v>
      </c>
      <c r="F528" s="8" t="s">
        <v>1060</v>
      </c>
      <c r="G528" s="27" t="s">
        <v>426</v>
      </c>
      <c r="H528" s="55" t="s">
        <v>320</v>
      </c>
      <c r="I528" s="8" t="s">
        <v>343</v>
      </c>
      <c r="J528" s="8" t="s">
        <v>6221</v>
      </c>
      <c r="K528" s="5" t="s">
        <v>6222</v>
      </c>
      <c r="L528" s="337" t="s">
        <v>6206</v>
      </c>
      <c r="M528" s="338" t="s">
        <v>6207</v>
      </c>
      <c r="N528" s="339" t="s">
        <v>6208</v>
      </c>
      <c r="O528" s="4" t="s">
        <v>6713</v>
      </c>
      <c r="P528" s="89" t="s">
        <v>6285</v>
      </c>
      <c r="Q528" s="293" t="s">
        <v>6284</v>
      </c>
      <c r="R528" s="354" t="s">
        <v>6283</v>
      </c>
      <c r="S528" s="26" t="s">
        <v>6286</v>
      </c>
      <c r="T528" s="321" t="s">
        <v>4716</v>
      </c>
      <c r="U528" s="10" t="s">
        <v>66</v>
      </c>
      <c r="V528" s="308" t="s">
        <v>4731</v>
      </c>
      <c r="W528" s="68" t="s">
        <v>3273</v>
      </c>
      <c r="X528" s="28" t="s">
        <v>2</v>
      </c>
      <c r="Y528" s="17" t="s">
        <v>1399</v>
      </c>
      <c r="Z528" s="14" t="s">
        <v>5</v>
      </c>
      <c r="AA528" s="21" t="s">
        <v>3</v>
      </c>
      <c r="AB528" s="96" t="s">
        <v>6174</v>
      </c>
      <c r="AC528" s="384" t="s">
        <v>6420</v>
      </c>
      <c r="AD528" s="8" t="s">
        <v>343</v>
      </c>
      <c r="AE528" s="71" t="s">
        <v>1400</v>
      </c>
      <c r="AF528" s="72" t="s">
        <v>1157</v>
      </c>
      <c r="AG528" s="32" t="s">
        <v>1158</v>
      </c>
      <c r="AH528" s="25" t="s">
        <v>6209</v>
      </c>
      <c r="AI528" s="8" t="s">
        <v>6731</v>
      </c>
      <c r="AJ528" s="50" t="s">
        <v>3361</v>
      </c>
      <c r="AK528" s="44" t="s">
        <v>6730</v>
      </c>
    </row>
    <row r="529" spans="1:37">
      <c r="A529" s="347">
        <f>IFERROR(VLOOKUP($G529,基本資料!$A:$J,3,0),"無")</f>
        <v>16.63</v>
      </c>
      <c r="B529" s="79">
        <f>IFERROR(VLOOKUP($G529,基本資料!$A:$J,4,0),"無")</f>
        <v>-19</v>
      </c>
      <c r="C529" s="79">
        <f>IFERROR(VLOOKUP($G529,基本資料!$A:$J,5,0),"無")</f>
        <v>-41</v>
      </c>
      <c r="D529" s="79">
        <f>IFERROR(VLOOKUP($G529,基本資料!$A:$J,6,0),"無")</f>
        <v>7</v>
      </c>
      <c r="E529" s="79">
        <f>IFERROR(VLOOKUP($G529,基本資料!$A:$J,7,0),"無")</f>
        <v>11</v>
      </c>
      <c r="F529" s="6">
        <f>IFERROR(VLOOKUP($G529,基本資料!$A:$J,8,0),"無")</f>
        <v>10.98</v>
      </c>
      <c r="G529" s="79">
        <v>2302</v>
      </c>
      <c r="H529" s="17" t="s">
        <v>3039</v>
      </c>
      <c r="I529" s="22" t="s">
        <v>4037</v>
      </c>
      <c r="J529" s="8">
        <f>IFERROR(VLOOKUP($G529,今日總結!$A:$AJ,35,0),"")</f>
        <v>0</v>
      </c>
      <c r="K529" s="5" t="str">
        <f>IFERROR(VLOOKUP($G529,今日總結!$A:$AJ,36,0),"")</f>
        <v>借</v>
      </c>
      <c r="L529" s="156">
        <f>IFERROR(VLOOKUP($G529,今日總結!$A:$AJ,33,0),"")</f>
        <v>0</v>
      </c>
      <c r="M529" s="340">
        <f>IFERROR(VLOOKUP($G529,今日總結!$A:$AJ,34,0),"")</f>
        <v>1</v>
      </c>
      <c r="N529" s="240">
        <f t="shared" ref="N529" si="120">IFERROR(L529-M529,"")</f>
        <v>-1</v>
      </c>
      <c r="P529" s="365">
        <f>IFERROR(VLOOKUP($G529,融外自投!$A:$J,7,0),"無")</f>
        <v>766</v>
      </c>
      <c r="Q529" s="79">
        <f>IFERROR(VLOOKUP($G529,融外自投!$A:$J,9,0),"無")</f>
        <v>1051</v>
      </c>
      <c r="R529" s="346">
        <f>IFERROR(VLOOKUP($G529,融外自投!$A:$J,8,0),"無")</f>
        <v>948</v>
      </c>
      <c r="S529" s="81" t="str">
        <f>IFERROR(VLOOKUP($G529,融外自投!$A:$J,10,0),"無")</f>
        <v>無</v>
      </c>
      <c r="T529" s="327">
        <f>IFERROR(VLOOKUP($G529,'321買'!$A:$E,5,0),"'沒有資料'")</f>
        <v>1179</v>
      </c>
      <c r="U529" s="186">
        <f>IFERROR(VLOOKUP($G529,基本資料!$A:$J,9,0),"無")</f>
        <v>0.6</v>
      </c>
      <c r="V529" s="310">
        <f t="shared" ref="V529:V592" si="121">$U529/$X529</f>
        <v>3.7267080745341609E-2</v>
      </c>
      <c r="W529" s="94">
        <f>IFERROR(VLOOKUP($G529,基本資料!$A:$J,10,0),"無")</f>
        <v>0.51</v>
      </c>
      <c r="X529" s="36">
        <f>RTD("money.excel",,"2302","Price")</f>
        <v>16.100000000000001</v>
      </c>
      <c r="Y529" s="66"/>
      <c r="Z529" s="15">
        <f t="shared" ref="Z529:Z592" si="122">X529-Y529</f>
        <v>16.100000000000001</v>
      </c>
      <c r="AA529" s="3" t="e">
        <f t="shared" ref="AA529:AA592" si="123">Z529/Y529</f>
        <v>#DIV/0!</v>
      </c>
      <c r="AB529" s="344">
        <f>IFERROR(VLOOKUP($G529,基本資料!$A:$M,11,0),"無")</f>
        <v>-30.95</v>
      </c>
      <c r="AC529" s="397">
        <f>IFERROR(VLOOKUP($G529,基本資料!$A:$M,12,0),"無")</f>
        <v>53.1</v>
      </c>
      <c r="AD529" s="22" t="s">
        <v>4037</v>
      </c>
      <c r="AG529" s="33">
        <f t="shared" ref="AG529:AG592" si="124">AF529-AE529</f>
        <v>0</v>
      </c>
      <c r="AH529" s="43" t="s">
        <v>2185</v>
      </c>
      <c r="AI529" s="63">
        <f t="shared" ref="AI529:AI560" si="125">AJ529/(A529*10000)</f>
        <v>1.0234515935057125E-2</v>
      </c>
      <c r="AJ529" s="284">
        <f>RTD("money.excel",,$G529,"PredictVolume")</f>
        <v>1702</v>
      </c>
      <c r="AK529" s="399">
        <f>IFERROR(VLOOKUP($G529,基本資料!$A:$M,13,0),"無")</f>
        <v>8.9</v>
      </c>
    </row>
    <row r="530" spans="1:37">
      <c r="A530" s="347">
        <f>IFERROR(VLOOKUP($G530,基本資料!$A:$J,3,0),"無")</f>
        <v>1248</v>
      </c>
      <c r="B530" s="79">
        <f>IFERROR(VLOOKUP($G530,基本資料!$A:$J,4,0),"無")</f>
        <v>102</v>
      </c>
      <c r="C530" s="79">
        <f>IFERROR(VLOOKUP($G530,基本資料!$A:$J,5,0),"無")</f>
        <v>134</v>
      </c>
      <c r="D530" s="79">
        <f>IFERROR(VLOOKUP($G530,基本資料!$A:$J,6,0),"無")</f>
        <v>2</v>
      </c>
      <c r="E530" s="79">
        <f>IFERROR(VLOOKUP($G530,基本資料!$A:$J,7,0),"無")</f>
        <v>39</v>
      </c>
      <c r="F530" s="6">
        <f>IFERROR(VLOOKUP($G530,基本資料!$A:$J,8,0),"無")</f>
        <v>24.26</v>
      </c>
      <c r="G530" s="79">
        <v>2303</v>
      </c>
      <c r="H530" s="17" t="s">
        <v>3039</v>
      </c>
      <c r="I530" s="22" t="s">
        <v>1829</v>
      </c>
      <c r="J530" s="8" t="str">
        <f>IFERROR(VLOOKUP($G530,今日總結!$A:$AJ,35,0),"")</f>
        <v>外</v>
      </c>
      <c r="K530" s="5" t="str">
        <f>IFERROR(VLOOKUP($G530,今日總結!$A:$AJ,36,0),"")</f>
        <v>借</v>
      </c>
      <c r="L530" s="156">
        <f>IFERROR(VLOOKUP($G530,今日總結!$A:$AJ,33,0),"")</f>
        <v>1</v>
      </c>
      <c r="M530" s="340">
        <f>IFERROR(VLOOKUP($G530,今日總結!$A:$AJ,34,0),"")</f>
        <v>1</v>
      </c>
      <c r="N530" s="240">
        <f t="shared" ref="N530:N593" si="126">IFERROR(L530-M530,"")</f>
        <v>0</v>
      </c>
      <c r="P530" s="365">
        <f>IFERROR(VLOOKUP($G530,融外自投!$A:$J,7,0),"無")</f>
        <v>705</v>
      </c>
      <c r="Q530" s="79">
        <f>IFERROR(VLOOKUP($G530,融外自投!$A:$J,9,0),"無")</f>
        <v>183</v>
      </c>
      <c r="R530" s="346">
        <f>IFERROR(VLOOKUP($G530,融外自投!$A:$J,8,0),"無")</f>
        <v>173</v>
      </c>
      <c r="S530" s="81">
        <f>IFERROR(VLOOKUP($G530,融外自投!$A:$J,10,0),"無")</f>
        <v>92</v>
      </c>
      <c r="T530" s="327">
        <f>IFERROR(VLOOKUP($G530,'321買'!$A:$E,5,0),"'沒有資料'")</f>
        <v>110</v>
      </c>
      <c r="U530" s="186">
        <f>IFERROR(VLOOKUP($G530,基本資料!$A:$J,9,0),"無")</f>
        <v>3</v>
      </c>
      <c r="V530" s="310">
        <f t="shared" si="121"/>
        <v>6.1664953751284689E-2</v>
      </c>
      <c r="W530" s="94">
        <f>IFERROR(VLOOKUP($G530,基本資料!$A:$J,10,0),"無")</f>
        <v>4.57</v>
      </c>
      <c r="X530" s="36">
        <f>RTD("money.excel",,"2303","Price")</f>
        <v>48.65</v>
      </c>
      <c r="Y530" s="66"/>
      <c r="Z530" s="15">
        <f t="shared" si="122"/>
        <v>48.65</v>
      </c>
      <c r="AA530" s="3" t="e">
        <f t="shared" si="123"/>
        <v>#DIV/0!</v>
      </c>
      <c r="AB530" s="344">
        <f>IFERROR(VLOOKUP($G530,基本資料!$A:$M,11,0),"無")</f>
        <v>-33.47</v>
      </c>
      <c r="AC530" s="397">
        <f>IFERROR(VLOOKUP($G530,基本資料!$A:$M,12,0),"無")</f>
        <v>33.08</v>
      </c>
      <c r="AD530" s="22" t="s">
        <v>1829</v>
      </c>
      <c r="AG530" s="33">
        <f t="shared" si="124"/>
        <v>0</v>
      </c>
      <c r="AH530" s="117" t="s">
        <v>2557</v>
      </c>
      <c r="AI530" s="63">
        <f t="shared" si="125"/>
        <v>6.2874999999999997E-3</v>
      </c>
      <c r="AJ530" s="317">
        <f>RTD("money.excel",,$G530,"PredictVolume")</f>
        <v>78468</v>
      </c>
      <c r="AK530" s="399">
        <f>IFERROR(VLOOKUP($G530,基本資料!$A:$M,13,0),"無")</f>
        <v>5.53</v>
      </c>
    </row>
    <row r="531" spans="1:37">
      <c r="A531" s="347">
        <f>IFERROR(VLOOKUP($G531,基本資料!$A:$J,3,0),"無")</f>
        <v>55.54</v>
      </c>
      <c r="B531" s="79">
        <f>IFERROR(VLOOKUP($G531,基本資料!$A:$J,4,0),"無")</f>
        <v>675</v>
      </c>
      <c r="C531" s="79">
        <f>IFERROR(VLOOKUP($G531,基本資料!$A:$J,5,0),"無")</f>
        <v>1108</v>
      </c>
      <c r="D531" s="79">
        <f>IFERROR(VLOOKUP($G531,基本資料!$A:$J,6,0),"無")</f>
        <v>34</v>
      </c>
      <c r="E531" s="79">
        <f>IFERROR(VLOOKUP($G531,基本資料!$A:$J,7,0),"無")</f>
        <v>4</v>
      </c>
      <c r="F531" s="6">
        <f>IFERROR(VLOOKUP($G531,基本資料!$A:$J,8,0),"無")</f>
        <v>11.76</v>
      </c>
      <c r="G531" s="79">
        <v>2329</v>
      </c>
      <c r="H531" s="17" t="s">
        <v>3039</v>
      </c>
      <c r="I531" s="22" t="s">
        <v>344</v>
      </c>
      <c r="J531" s="8" t="str">
        <f>IFERROR(VLOOKUP($G531,今日總結!$A:$AJ,35,0),"")</f>
        <v/>
      </c>
      <c r="K531" s="5" t="str">
        <f>IFERROR(VLOOKUP($G531,今日總結!$A:$AJ,36,0),"")</f>
        <v/>
      </c>
      <c r="L531" s="156" t="str">
        <f>IFERROR(VLOOKUP($G531,今日總結!$A:$AJ,33,0),"")</f>
        <v/>
      </c>
      <c r="M531" s="340" t="str">
        <f>IFERROR(VLOOKUP($G531,今日總結!$A:$AJ,34,0),"")</f>
        <v/>
      </c>
      <c r="N531" s="240" t="str">
        <f t="shared" si="126"/>
        <v/>
      </c>
      <c r="P531" s="365">
        <f>IFERROR(VLOOKUP($G531,融外自投!$A:$J,7,0),"無")</f>
        <v>378</v>
      </c>
      <c r="Q531" s="79">
        <f>IFERROR(VLOOKUP($G531,融外自投!$A:$J,9,0),"無")</f>
        <v>789</v>
      </c>
      <c r="R531" s="346">
        <f>IFERROR(VLOOKUP($G531,融外自投!$A:$J,8,0),"無")</f>
        <v>525</v>
      </c>
      <c r="S531" s="81">
        <f>IFERROR(VLOOKUP($G531,融外自投!$A:$J,10,0),"無")</f>
        <v>473</v>
      </c>
      <c r="T531" s="327">
        <f>IFERROR(VLOOKUP($G531,'321買'!$A:$E,5,0),"'沒有資料'")</f>
        <v>463</v>
      </c>
      <c r="U531" s="186">
        <f>IFERROR(VLOOKUP($G531,基本資料!$A:$J,9,0),"無")</f>
        <v>1</v>
      </c>
      <c r="V531" s="310">
        <f t="shared" si="121"/>
        <v>5.0761421319796954E-2</v>
      </c>
      <c r="W531" s="94">
        <f>IFERROR(VLOOKUP($G531,基本資料!$A:$J,10,0),"無")</f>
        <v>2.2400000000000002</v>
      </c>
      <c r="X531" s="36">
        <f>RTD("money.excel",,"2329","Price")</f>
        <v>19.7</v>
      </c>
      <c r="Y531" s="66"/>
      <c r="Z531" s="15">
        <f t="shared" si="122"/>
        <v>19.7</v>
      </c>
      <c r="AA531" s="3" t="e">
        <f t="shared" si="123"/>
        <v>#DIV/0!</v>
      </c>
      <c r="AB531" s="344">
        <f>IFERROR(VLOOKUP($G531,基本資料!$A:$M,11,0),"無")</f>
        <v>-42.04</v>
      </c>
      <c r="AC531" s="397">
        <f>IFERROR(VLOOKUP($G531,基本資料!$A:$M,12,0),"無")</f>
        <v>25.87</v>
      </c>
      <c r="AD531" s="22" t="s">
        <v>344</v>
      </c>
      <c r="AG531" s="33">
        <f t="shared" si="124"/>
        <v>0</v>
      </c>
      <c r="AH531" s="43" t="s">
        <v>3281</v>
      </c>
      <c r="AI531" s="63">
        <f t="shared" si="125"/>
        <v>7.8790061217140807E-3</v>
      </c>
      <c r="AJ531" s="284">
        <f>RTD("money.excel",,$G531,"PredictVolume")</f>
        <v>4376</v>
      </c>
      <c r="AK531" s="399">
        <f>IFERROR(VLOOKUP($G531,基本資料!$A:$M,13,0),"無")</f>
        <v>29.29</v>
      </c>
    </row>
    <row r="532" spans="1:37">
      <c r="A532" s="347">
        <f>IFERROR(VLOOKUP($G532,基本資料!$A:$J,3,0),"無")</f>
        <v>2593</v>
      </c>
      <c r="B532" s="79">
        <f>IFERROR(VLOOKUP($G532,基本資料!$A:$J,4,0),"無")</f>
        <v>15</v>
      </c>
      <c r="C532" s="79">
        <f>IFERROR(VLOOKUP($G532,基本資料!$A:$J,5,0),"無")</f>
        <v>14</v>
      </c>
      <c r="D532" s="79">
        <f>IFERROR(VLOOKUP($G532,基本資料!$A:$J,6,0),"無")</f>
        <v>17</v>
      </c>
      <c r="E532" s="79">
        <f>IFERROR(VLOOKUP($G532,基本資料!$A:$J,7,0),"無")</f>
        <v>33</v>
      </c>
      <c r="F532" s="6">
        <f>IFERROR(VLOOKUP($G532,基本資料!$A:$J,8,0),"無")</f>
        <v>40.950000000000003</v>
      </c>
      <c r="G532" s="79">
        <v>2330</v>
      </c>
      <c r="H532" s="17" t="s">
        <v>3039</v>
      </c>
      <c r="I532" s="22" t="s">
        <v>8</v>
      </c>
      <c r="J532" s="8" t="str">
        <f>IFERROR(VLOOKUP($G532,今日總結!$A:$AJ,35,0),"")</f>
        <v/>
      </c>
      <c r="K532" s="5" t="str">
        <f>IFERROR(VLOOKUP($G532,今日總結!$A:$AJ,36,0),"")</f>
        <v/>
      </c>
      <c r="L532" s="156" t="str">
        <f>IFERROR(VLOOKUP($G532,今日總結!$A:$AJ,33,0),"")</f>
        <v/>
      </c>
      <c r="M532" s="340" t="str">
        <f>IFERROR(VLOOKUP($G532,今日總結!$A:$AJ,34,0),"")</f>
        <v/>
      </c>
      <c r="N532" s="240" t="str">
        <f t="shared" si="126"/>
        <v/>
      </c>
      <c r="P532" s="365">
        <f>IFERROR(VLOOKUP($G532,融外自投!$A:$J,7,0),"無")</f>
        <v>1310</v>
      </c>
      <c r="Q532" s="79">
        <f>IFERROR(VLOOKUP($G532,融外自投!$A:$J,9,0),"無")</f>
        <v>270</v>
      </c>
      <c r="R532" s="346">
        <f>IFERROR(VLOOKUP($G532,融外自投!$A:$J,8,0),"無")</f>
        <v>20</v>
      </c>
      <c r="S532" s="81">
        <f>IFERROR(VLOOKUP($G532,融外自投!$A:$J,10,0),"無")</f>
        <v>169</v>
      </c>
      <c r="T532" s="327">
        <f>IFERROR(VLOOKUP($G532,'321買'!$A:$E,5,0),"'沒有資料'")</f>
        <v>52</v>
      </c>
      <c r="U532" s="186">
        <f>IFERROR(VLOOKUP($G532,基本資料!$A:$J,9,0),"無")</f>
        <v>11</v>
      </c>
      <c r="V532" s="310">
        <f t="shared" si="121"/>
        <v>2.1113243761996161E-2</v>
      </c>
      <c r="W532" s="94">
        <f>IFERROR(VLOOKUP($G532,基本資料!$A:$J,10,0),"無")</f>
        <v>23.01</v>
      </c>
      <c r="X532" s="36">
        <f>RTD("money.excel",,"2330","Price")</f>
        <v>521</v>
      </c>
      <c r="Y532" s="65"/>
      <c r="Z532" s="15">
        <f t="shared" si="122"/>
        <v>521</v>
      </c>
      <c r="AA532" s="3" t="e">
        <f t="shared" si="123"/>
        <v>#DIV/0!</v>
      </c>
      <c r="AB532" s="344">
        <f>IFERROR(VLOOKUP($G532,基本資料!$A:$M,11,0),"無")</f>
        <v>-24.42</v>
      </c>
      <c r="AC532" s="397">
        <f>IFERROR(VLOOKUP($G532,基本資料!$A:$M,12,0),"無")</f>
        <v>8.3800000000000008</v>
      </c>
      <c r="AD532" s="22" t="s">
        <v>8</v>
      </c>
      <c r="AG532" s="33">
        <f t="shared" si="124"/>
        <v>0</v>
      </c>
      <c r="AH532" s="43" t="s">
        <v>2556</v>
      </c>
      <c r="AI532" s="63">
        <f t="shared" si="125"/>
        <v>1.0431932124951794E-3</v>
      </c>
      <c r="AJ532" s="284">
        <f>RTD("money.excel",,$G532,"PredictVolume")</f>
        <v>27050</v>
      </c>
      <c r="AK532" s="399">
        <f>IFERROR(VLOOKUP($G532,基本資料!$A:$M,13,0),"無")</f>
        <v>0.53</v>
      </c>
    </row>
    <row r="533" spans="1:37">
      <c r="A533" s="347">
        <f>IFERROR(VLOOKUP($G533,基本資料!$A:$J,3,0),"無")</f>
        <v>185</v>
      </c>
      <c r="B533" s="79">
        <f>IFERROR(VLOOKUP($G533,基本資料!$A:$J,4,0),"無")</f>
        <v>124</v>
      </c>
      <c r="C533" s="79">
        <f>IFERROR(VLOOKUP($G533,基本資料!$A:$J,5,0),"無")</f>
        <v>88</v>
      </c>
      <c r="D533" s="79">
        <f>IFERROR(VLOOKUP($G533,基本資料!$A:$J,6,0),"無")</f>
        <v>-8</v>
      </c>
      <c r="E533" s="79">
        <f>IFERROR(VLOOKUP($G533,基本資料!$A:$J,7,0),"無")</f>
        <v>1</v>
      </c>
      <c r="F533" s="6">
        <f>IFERROR(VLOOKUP($G533,基本資料!$A:$J,8,0),"無")</f>
        <v>21.88</v>
      </c>
      <c r="G533" s="79">
        <v>2337</v>
      </c>
      <c r="H533" s="17" t="s">
        <v>3039</v>
      </c>
      <c r="I533" s="22" t="s">
        <v>42</v>
      </c>
      <c r="J533" s="8" t="str">
        <f>IFERROR(VLOOKUP($G533,今日總結!$A:$AJ,35,0),"")</f>
        <v/>
      </c>
      <c r="K533" s="5" t="str">
        <f>IFERROR(VLOOKUP($G533,今日總結!$A:$AJ,36,0),"")</f>
        <v/>
      </c>
      <c r="L533" s="156" t="str">
        <f>IFERROR(VLOOKUP($G533,今日總結!$A:$AJ,33,0),"")</f>
        <v/>
      </c>
      <c r="M533" s="340" t="str">
        <f>IFERROR(VLOOKUP($G533,今日總結!$A:$AJ,34,0),"")</f>
        <v/>
      </c>
      <c r="N533" s="240" t="str">
        <f t="shared" si="126"/>
        <v/>
      </c>
      <c r="P533" s="365">
        <f>IFERROR(VLOOKUP($G533,融外自投!$A:$J,7,0),"無")</f>
        <v>565</v>
      </c>
      <c r="Q533" s="79">
        <f>IFERROR(VLOOKUP($G533,融外自投!$A:$J,9,0),"無")</f>
        <v>104</v>
      </c>
      <c r="R533" s="346">
        <f>IFERROR(VLOOKUP($G533,融外自投!$A:$J,8,0),"無")</f>
        <v>229</v>
      </c>
      <c r="S533" s="81">
        <f>IFERROR(VLOOKUP($G533,融外自投!$A:$J,10,0),"無")</f>
        <v>103</v>
      </c>
      <c r="T533" s="327">
        <f>IFERROR(VLOOKUP($G533,'321買'!$A:$E,5,0),"'沒有資料'")</f>
        <v>59</v>
      </c>
      <c r="U533" s="186">
        <f>IFERROR(VLOOKUP($G533,基本資料!$A:$J,9,0),"無")</f>
        <v>1.8</v>
      </c>
      <c r="V533" s="310">
        <f t="shared" si="121"/>
        <v>4.7872340425531915E-2</v>
      </c>
      <c r="W533" s="94">
        <f>IFERROR(VLOOKUP($G533,基本資料!$A:$J,10,0),"無")</f>
        <v>6.48</v>
      </c>
      <c r="X533" s="36">
        <f>RTD("money.excel",,"2337","Price")</f>
        <v>37.6</v>
      </c>
      <c r="Y533" s="66"/>
      <c r="Z533" s="15">
        <f t="shared" si="122"/>
        <v>37.6</v>
      </c>
      <c r="AA533" s="3" t="e">
        <f t="shared" si="123"/>
        <v>#DIV/0!</v>
      </c>
      <c r="AB533" s="344">
        <f>IFERROR(VLOOKUP($G533,基本資料!$A:$M,11,0),"無")</f>
        <v>-21.67</v>
      </c>
      <c r="AC533" s="397">
        <f>IFERROR(VLOOKUP($G533,基本資料!$A:$M,12,0),"無")</f>
        <v>17.690000000000001</v>
      </c>
      <c r="AD533" s="22" t="s">
        <v>42</v>
      </c>
      <c r="AG533" s="33">
        <f t="shared" si="124"/>
        <v>0</v>
      </c>
      <c r="AH533" s="117" t="s">
        <v>1424</v>
      </c>
      <c r="AI533" s="63">
        <f t="shared" si="125"/>
        <v>3.2864864864864864E-3</v>
      </c>
      <c r="AJ533" s="284">
        <f>RTD("money.excel",,$G533,"PredictVolume")</f>
        <v>6080</v>
      </c>
      <c r="AK533" s="399">
        <f>IFERROR(VLOOKUP($G533,基本資料!$A:$M,13,0),"無")</f>
        <v>13.08</v>
      </c>
    </row>
    <row r="534" spans="1:37">
      <c r="A534" s="347">
        <f>IFERROR(VLOOKUP($G534,基本資料!$A:$J,3,0),"無")</f>
        <v>25.56</v>
      </c>
      <c r="B534" s="79">
        <f>IFERROR(VLOOKUP($G534,基本資料!$A:$J,4,0),"無")</f>
        <v>82</v>
      </c>
      <c r="C534" s="79">
        <f>IFERROR(VLOOKUP($G534,基本資料!$A:$J,5,0),"無")</f>
        <v>26</v>
      </c>
      <c r="D534" s="79">
        <f>IFERROR(VLOOKUP($G534,基本資料!$A:$J,6,0),"無")</f>
        <v>14</v>
      </c>
      <c r="E534" s="79">
        <f>IFERROR(VLOOKUP($G534,基本資料!$A:$J,7,0),"無")</f>
        <v>45</v>
      </c>
      <c r="F534" s="6">
        <f>IFERROR(VLOOKUP($G534,基本資料!$A:$J,8,0),"無")</f>
        <v>7.14</v>
      </c>
      <c r="G534" s="79">
        <v>2338</v>
      </c>
      <c r="H534" s="17" t="s">
        <v>3039</v>
      </c>
      <c r="I534" s="22" t="s">
        <v>288</v>
      </c>
      <c r="J534" s="8" t="str">
        <f>IFERROR(VLOOKUP($G534,今日總結!$A:$AJ,35,0),"")</f>
        <v>6借</v>
      </c>
      <c r="K534" s="5">
        <f>IFERROR(VLOOKUP($G534,今日總結!$A:$AJ,36,0),"")</f>
        <v>0</v>
      </c>
      <c r="L534" s="156">
        <f>IFERROR(VLOOKUP($G534,今日總結!$A:$AJ,33,0),"")</f>
        <v>2</v>
      </c>
      <c r="M534" s="340">
        <f>IFERROR(VLOOKUP($G534,今日總結!$A:$AJ,34,0),"")</f>
        <v>0</v>
      </c>
      <c r="N534" s="240">
        <f t="shared" si="126"/>
        <v>2</v>
      </c>
      <c r="P534" s="365">
        <f>IFERROR(VLOOKUP($G534,融外自投!$A:$J,7,0),"無")</f>
        <v>148</v>
      </c>
      <c r="Q534" s="79">
        <f>IFERROR(VLOOKUP($G534,融外自投!$A:$J,9,0),"無")</f>
        <v>1051</v>
      </c>
      <c r="R534" s="346">
        <f>IFERROR(VLOOKUP($G534,融外自投!$A:$J,8,0),"無")</f>
        <v>617</v>
      </c>
      <c r="S534" s="81">
        <f>IFERROR(VLOOKUP($G534,融外自投!$A:$J,10,0),"無")</f>
        <v>92</v>
      </c>
      <c r="T534" s="327">
        <f>IFERROR(VLOOKUP($G534,'321買'!$A:$E,5,0),"'沒有資料'")</f>
        <v>104</v>
      </c>
      <c r="U534" s="186">
        <f>IFERROR(VLOOKUP($G534,基本資料!$A:$J,9,0),"無")</f>
        <v>2</v>
      </c>
      <c r="V534" s="310">
        <f t="shared" si="121"/>
        <v>2.4906600249066005E-2</v>
      </c>
      <c r="W534" s="94">
        <f>IFERROR(VLOOKUP($G534,基本資料!$A:$J,10,0),"無")</f>
        <v>5.65</v>
      </c>
      <c r="X534" s="36">
        <f>RTD("money.excel",,"2338","Price")</f>
        <v>80.3</v>
      </c>
      <c r="Y534" s="66"/>
      <c r="Z534" s="15">
        <f t="shared" si="122"/>
        <v>80.3</v>
      </c>
      <c r="AA534" s="3" t="e">
        <f t="shared" si="123"/>
        <v>#DIV/0!</v>
      </c>
      <c r="AB534" s="344">
        <f>IFERROR(VLOOKUP($G534,基本資料!$A:$M,11,0),"無")</f>
        <v>-36.58</v>
      </c>
      <c r="AC534" s="397">
        <f>IFERROR(VLOOKUP($G534,基本資料!$A:$M,12,0),"無")</f>
        <v>18.8</v>
      </c>
      <c r="AD534" s="22" t="s">
        <v>288</v>
      </c>
      <c r="AG534" s="33">
        <f t="shared" si="124"/>
        <v>0</v>
      </c>
      <c r="AH534" s="43" t="s">
        <v>288</v>
      </c>
      <c r="AI534" s="63">
        <f t="shared" si="125"/>
        <v>4.7742566510172141E-2</v>
      </c>
      <c r="AJ534" s="284">
        <f>RTD("money.excel",,$G534,"PredictVolume")</f>
        <v>12203</v>
      </c>
      <c r="AK534" s="399">
        <f>IFERROR(VLOOKUP($G534,基本資料!$A:$M,13,0),"無")</f>
        <v>30.58</v>
      </c>
    </row>
    <row r="535" spans="1:37">
      <c r="A535" s="347">
        <f>IFERROR(VLOOKUP($G535,基本資料!$A:$J,3,0),"無")</f>
        <v>15.61</v>
      </c>
      <c r="B535" s="79">
        <f>IFERROR(VLOOKUP($G535,基本資料!$A:$J,4,0),"無")</f>
        <v>12</v>
      </c>
      <c r="C535" s="79">
        <f>IFERROR(VLOOKUP($G535,基本資料!$A:$J,5,0),"無")</f>
        <v>19</v>
      </c>
      <c r="D535" s="79">
        <f>IFERROR(VLOOKUP($G535,基本資料!$A:$J,6,0),"無")</f>
        <v>5</v>
      </c>
      <c r="E535" s="79">
        <f>IFERROR(VLOOKUP($G535,基本資料!$A:$J,7,0),"無")</f>
        <v>22</v>
      </c>
      <c r="F535" s="6">
        <f>IFERROR(VLOOKUP($G535,基本資料!$A:$J,8,0),"無")</f>
        <v>13.38</v>
      </c>
      <c r="G535" s="79">
        <v>2342</v>
      </c>
      <c r="H535" s="17" t="s">
        <v>3039</v>
      </c>
      <c r="I535" s="22" t="s">
        <v>4038</v>
      </c>
      <c r="J535" s="8" t="str">
        <f>IFERROR(VLOOKUP($G535,今日總結!$A:$AJ,35,0),"")</f>
        <v/>
      </c>
      <c r="K535" s="5" t="str">
        <f>IFERROR(VLOOKUP($G535,今日總結!$A:$AJ,36,0),"")</f>
        <v/>
      </c>
      <c r="L535" s="156" t="str">
        <f>IFERROR(VLOOKUP($G535,今日總結!$A:$AJ,33,0),"")</f>
        <v/>
      </c>
      <c r="M535" s="340" t="str">
        <f>IFERROR(VLOOKUP($G535,今日總結!$A:$AJ,34,0),"")</f>
        <v/>
      </c>
      <c r="N535" s="240" t="str">
        <f t="shared" si="126"/>
        <v/>
      </c>
      <c r="P535" s="365">
        <f>IFERROR(VLOOKUP($G535,融外自投!$A:$J,7,0),"無")</f>
        <v>57</v>
      </c>
      <c r="Q535" s="79">
        <f>IFERROR(VLOOKUP($G535,融外自投!$A:$J,9,0),"無")</f>
        <v>936</v>
      </c>
      <c r="R535" s="346">
        <f>IFERROR(VLOOKUP($G535,融外自投!$A:$J,8,0),"無")</f>
        <v>809</v>
      </c>
      <c r="S535" s="81" t="str">
        <f>IFERROR(VLOOKUP($G535,融外自投!$A:$J,10,0),"無")</f>
        <v>無</v>
      </c>
      <c r="T535" s="327">
        <f>IFERROR(VLOOKUP($G535,'321買'!$A:$E,5,0),"'沒有資料'")</f>
        <v>153</v>
      </c>
      <c r="U535" s="186">
        <f>IFERROR(VLOOKUP($G535,基本資料!$A:$J,9,0),"無")</f>
        <v>0.5</v>
      </c>
      <c r="V535" s="310">
        <f t="shared" si="121"/>
        <v>1.2919896640826873E-2</v>
      </c>
      <c r="W535" s="94">
        <f>IFERROR(VLOOKUP($G535,基本資料!$A:$J,10,0),"無")</f>
        <v>1.58</v>
      </c>
      <c r="X535" s="36">
        <f>RTD("money.excel",,"2342","Price")</f>
        <v>38.700000000000003</v>
      </c>
      <c r="Y535" s="66"/>
      <c r="Z535" s="15">
        <f t="shared" si="122"/>
        <v>38.700000000000003</v>
      </c>
      <c r="AA535" s="3" t="e">
        <f t="shared" si="123"/>
        <v>#DIV/0!</v>
      </c>
      <c r="AB535" s="344">
        <f>IFERROR(VLOOKUP($G535,基本資料!$A:$M,11,0),"無")</f>
        <v>-36.93</v>
      </c>
      <c r="AC535" s="397">
        <f>IFERROR(VLOOKUP($G535,基本資料!$A:$M,12,0),"無")</f>
        <v>23.13</v>
      </c>
      <c r="AD535" s="22" t="s">
        <v>4038</v>
      </c>
      <c r="AG535" s="33">
        <f t="shared" si="124"/>
        <v>0</v>
      </c>
      <c r="AH535" s="43" t="s">
        <v>1797</v>
      </c>
      <c r="AI535" s="63">
        <f t="shared" si="125"/>
        <v>2.2793081358103779E-2</v>
      </c>
      <c r="AJ535" s="284">
        <f>RTD("money.excel",,$G535,"PredictVolume")</f>
        <v>3558</v>
      </c>
      <c r="AK535" s="399">
        <f>IFERROR(VLOOKUP($G535,基本資料!$A:$M,13,0),"無")</f>
        <v>39.97</v>
      </c>
    </row>
    <row r="536" spans="1:37">
      <c r="A536" s="347">
        <f>IFERROR(VLOOKUP($G536,基本資料!$A:$J,3,0),"無")</f>
        <v>398</v>
      </c>
      <c r="B536" s="79">
        <f>IFERROR(VLOOKUP($G536,基本資料!$A:$J,4,0),"無")</f>
        <v>887</v>
      </c>
      <c r="C536" s="79">
        <f>IFERROR(VLOOKUP($G536,基本資料!$A:$J,5,0),"無")</f>
        <v>1032</v>
      </c>
      <c r="D536" s="79">
        <f>IFERROR(VLOOKUP($G536,基本資料!$A:$J,6,0),"無")</f>
        <v>7</v>
      </c>
      <c r="E536" s="79">
        <f>IFERROR(VLOOKUP($G536,基本資料!$A:$J,7,0),"無")</f>
        <v>15</v>
      </c>
      <c r="F536" s="6">
        <f>IFERROR(VLOOKUP($G536,基本資料!$A:$J,8,0),"無")</f>
        <v>18.510000000000002</v>
      </c>
      <c r="G536" s="79">
        <v>2344</v>
      </c>
      <c r="H536" s="17" t="s">
        <v>3039</v>
      </c>
      <c r="I536" s="22" t="s">
        <v>4039</v>
      </c>
      <c r="J536" s="8" t="str">
        <f>IFERROR(VLOOKUP($G536,今日總結!$A:$AJ,35,0),"")</f>
        <v/>
      </c>
      <c r="K536" s="5" t="str">
        <f>IFERROR(VLOOKUP($G536,今日總結!$A:$AJ,36,0),"")</f>
        <v/>
      </c>
      <c r="L536" s="156" t="str">
        <f>IFERROR(VLOOKUP($G536,今日總結!$A:$AJ,33,0),"")</f>
        <v/>
      </c>
      <c r="M536" s="340" t="str">
        <f>IFERROR(VLOOKUP($G536,今日總結!$A:$AJ,34,0),"")</f>
        <v/>
      </c>
      <c r="N536" s="240" t="str">
        <f t="shared" si="126"/>
        <v/>
      </c>
      <c r="P536" s="365">
        <f>IFERROR(VLOOKUP($G536,融外自投!$A:$J,7,0),"無")</f>
        <v>713</v>
      </c>
      <c r="Q536" s="79">
        <f>IFERROR(VLOOKUP($G536,融外自投!$A:$J,9,0),"無")</f>
        <v>896</v>
      </c>
      <c r="R536" s="346">
        <f>IFERROR(VLOOKUP($G536,融外自投!$A:$J,8,0),"無")</f>
        <v>216</v>
      </c>
      <c r="S536" s="81">
        <f>IFERROR(VLOOKUP($G536,融外自投!$A:$J,10,0),"無")</f>
        <v>257</v>
      </c>
      <c r="T536" s="327">
        <f>IFERROR(VLOOKUP($G536,'321買'!$A:$E,5,0),"'沒有資料'")</f>
        <v>145</v>
      </c>
      <c r="U536" s="186">
        <f>IFERROR(VLOOKUP($G536,基本資料!$A:$J,9,0),"無")</f>
        <v>1</v>
      </c>
      <c r="V536" s="310">
        <f t="shared" si="121"/>
        <v>3.6231884057971016E-2</v>
      </c>
      <c r="W536" s="94">
        <f>IFERROR(VLOOKUP($G536,基本資料!$A:$J,10,0),"無")</f>
        <v>3.42</v>
      </c>
      <c r="X536" s="36">
        <f>RTD("money.excel",,"2344","Price")</f>
        <v>27.6</v>
      </c>
      <c r="Y536" s="66"/>
      <c r="Z536" s="15">
        <f t="shared" si="122"/>
        <v>27.6</v>
      </c>
      <c r="AA536" s="3" t="e">
        <f t="shared" si="123"/>
        <v>#DIV/0!</v>
      </c>
      <c r="AB536" s="344">
        <f>IFERROR(VLOOKUP($G536,基本資料!$A:$M,11,0),"無")</f>
        <v>-29.35</v>
      </c>
      <c r="AC536" s="397">
        <f>IFERROR(VLOOKUP($G536,基本資料!$A:$M,12,0),"無")</f>
        <v>18.07</v>
      </c>
      <c r="AD536" s="22" t="s">
        <v>4039</v>
      </c>
      <c r="AG536" s="33">
        <f t="shared" si="124"/>
        <v>0</v>
      </c>
      <c r="AH536" s="117" t="s">
        <v>1427</v>
      </c>
      <c r="AI536" s="63">
        <f t="shared" si="125"/>
        <v>3.9984924623115582E-3</v>
      </c>
      <c r="AJ536" s="284">
        <f>RTD("money.excel",,$G536,"PredictVolume")</f>
        <v>15914</v>
      </c>
      <c r="AK536" s="399">
        <f>IFERROR(VLOOKUP($G536,基本資料!$A:$M,13,0),"無")</f>
        <v>12.91</v>
      </c>
    </row>
    <row r="537" spans="1:37">
      <c r="A537" s="347">
        <f>IFERROR(VLOOKUP($G537,基本資料!$A:$J,3,0),"無")</f>
        <v>18.21</v>
      </c>
      <c r="B537" s="79">
        <f>IFERROR(VLOOKUP($G537,基本資料!$A:$J,4,0),"無")</f>
        <v>126</v>
      </c>
      <c r="C537" s="79">
        <f>IFERROR(VLOOKUP($G537,基本資料!$A:$J,5,0),"無")</f>
        <v>103</v>
      </c>
      <c r="D537" s="79">
        <f>IFERROR(VLOOKUP($G537,基本資料!$A:$J,6,0),"無")</f>
        <v>4</v>
      </c>
      <c r="E537" s="79">
        <f>IFERROR(VLOOKUP($G537,基本資料!$A:$J,7,0),"無")</f>
        <v>11</v>
      </c>
      <c r="F537" s="6">
        <f>IFERROR(VLOOKUP($G537,基本資料!$A:$J,8,0),"無")</f>
        <v>10.99</v>
      </c>
      <c r="G537" s="79">
        <v>2351</v>
      </c>
      <c r="H537" s="192" t="s">
        <v>3039</v>
      </c>
      <c r="I537" s="22" t="s">
        <v>61</v>
      </c>
      <c r="J537" s="8" t="str">
        <f>IFERROR(VLOOKUP($G537,今日總結!$A:$AJ,35,0),"")</f>
        <v/>
      </c>
      <c r="K537" s="5" t="str">
        <f>IFERROR(VLOOKUP($G537,今日總結!$A:$AJ,36,0),"")</f>
        <v/>
      </c>
      <c r="L537" s="156" t="str">
        <f>IFERROR(VLOOKUP($G537,今日總結!$A:$AJ,33,0),"")</f>
        <v/>
      </c>
      <c r="M537" s="340" t="str">
        <f>IFERROR(VLOOKUP($G537,今日總結!$A:$AJ,34,0),"")</f>
        <v/>
      </c>
      <c r="N537" s="240" t="str">
        <f t="shared" si="126"/>
        <v/>
      </c>
      <c r="P537" s="365">
        <f>IFERROR(VLOOKUP($G537,融外自投!$A:$J,7,0),"無")</f>
        <v>714</v>
      </c>
      <c r="Q537" s="79">
        <f>IFERROR(VLOOKUP($G537,融外自投!$A:$J,9,0),"無")</f>
        <v>683</v>
      </c>
      <c r="R537" s="346">
        <f>IFERROR(VLOOKUP($G537,融外自投!$A:$J,8,0),"無")</f>
        <v>300</v>
      </c>
      <c r="S537" s="81">
        <f>IFERROR(VLOOKUP($G537,融外自投!$A:$J,10,0),"無")</f>
        <v>19</v>
      </c>
      <c r="T537" s="327">
        <f>IFERROR(VLOOKUP($G537,'321買'!$A:$E,5,0),"'沒有資料'")</f>
        <v>117</v>
      </c>
      <c r="U537" s="186">
        <f>IFERROR(VLOOKUP($G537,基本資料!$A:$J,9,0),"無")</f>
        <v>3</v>
      </c>
      <c r="V537" s="310">
        <f t="shared" si="121"/>
        <v>2.2813688212927757E-2</v>
      </c>
      <c r="W537" s="94">
        <f>IFERROR(VLOOKUP($G537,基本資料!$A:$J,10,0),"無")</f>
        <v>4.68</v>
      </c>
      <c r="X537" s="36">
        <f>RTD("money.excel",,"2351","Price")</f>
        <v>131.5</v>
      </c>
      <c r="Y537" s="66"/>
      <c r="Z537" s="15">
        <f t="shared" si="122"/>
        <v>131.5</v>
      </c>
      <c r="AA537" s="3" t="e">
        <f t="shared" si="123"/>
        <v>#DIV/0!</v>
      </c>
      <c r="AB537" s="344">
        <f>IFERROR(VLOOKUP($G537,基本資料!$A:$M,11,0),"無")</f>
        <v>-33.5</v>
      </c>
      <c r="AC537" s="397">
        <f>IFERROR(VLOOKUP($G537,基本資料!$A:$M,12,0),"無")</f>
        <v>26.57</v>
      </c>
      <c r="AD537" s="22" t="s">
        <v>61</v>
      </c>
      <c r="AG537" s="33">
        <f t="shared" si="124"/>
        <v>0</v>
      </c>
      <c r="AH537" s="117" t="s">
        <v>3368</v>
      </c>
      <c r="AI537" s="63">
        <f t="shared" si="125"/>
        <v>5.1070840197693576E-3</v>
      </c>
      <c r="AJ537" s="284">
        <f>RTD("money.excel",,$G537,"PredictVolume")</f>
        <v>930</v>
      </c>
      <c r="AK537" s="399">
        <f>IFERROR(VLOOKUP($G537,基本資料!$A:$M,13,0),"無")</f>
        <v>16.02</v>
      </c>
    </row>
    <row r="538" spans="1:37">
      <c r="A538" s="347">
        <f>IFERROR(VLOOKUP($G538,基本資料!$A:$J,3,0),"無")</f>
        <v>68.14</v>
      </c>
      <c r="B538" s="79">
        <f>IFERROR(VLOOKUP($G538,基本資料!$A:$J,4,0),"無")</f>
        <v>161</v>
      </c>
      <c r="C538" s="79">
        <f>IFERROR(VLOOKUP($G538,基本資料!$A:$J,5,0),"無")</f>
        <v>20</v>
      </c>
      <c r="D538" s="79">
        <f>IFERROR(VLOOKUP($G538,基本資料!$A:$J,6,0),"無")</f>
        <v>186</v>
      </c>
      <c r="E538" s="79">
        <f>IFERROR(VLOOKUP($G538,基本資料!$A:$J,7,0),"無")</f>
        <v>-1</v>
      </c>
      <c r="F538" s="6">
        <f>IFERROR(VLOOKUP($G538,基本資料!$A:$J,8,0),"無")</f>
        <v>-140.97</v>
      </c>
      <c r="G538" s="79">
        <v>2363</v>
      </c>
      <c r="H538" s="8" t="s">
        <v>3039</v>
      </c>
      <c r="I538" s="22" t="s">
        <v>321</v>
      </c>
      <c r="J538" s="8" t="str">
        <f>IFERROR(VLOOKUP($G538,今日總結!$A:$AJ,35,0),"")</f>
        <v/>
      </c>
      <c r="K538" s="5" t="str">
        <f>IFERROR(VLOOKUP($G538,今日總結!$A:$AJ,36,0),"")</f>
        <v/>
      </c>
      <c r="L538" s="156" t="str">
        <f>IFERROR(VLOOKUP($G538,今日總結!$A:$AJ,33,0),"")</f>
        <v/>
      </c>
      <c r="M538" s="340" t="str">
        <f>IFERROR(VLOOKUP($G538,今日總結!$A:$AJ,34,0),"")</f>
        <v/>
      </c>
      <c r="N538" s="240" t="str">
        <f t="shared" si="126"/>
        <v/>
      </c>
      <c r="P538" s="365">
        <f>IFERROR(VLOOKUP($G538,融外自投!$A:$J,7,0),"無")</f>
        <v>642</v>
      </c>
      <c r="Q538" s="79">
        <f>IFERROR(VLOOKUP($G538,融外自投!$A:$J,9,0),"無")</f>
        <v>48</v>
      </c>
      <c r="R538" s="346">
        <f>IFERROR(VLOOKUP($G538,融外自投!$A:$J,8,0),"無")</f>
        <v>790</v>
      </c>
      <c r="S538" s="81" t="str">
        <f>IFERROR(VLOOKUP($G538,融外自投!$A:$J,10,0),"無")</f>
        <v>無</v>
      </c>
      <c r="T538" s="327">
        <f>IFERROR(VLOOKUP($G538,'321買'!$A:$E,5,0),"'沒有資料'")</f>
        <v>558</v>
      </c>
      <c r="U538" s="186">
        <f>IFERROR(VLOOKUP($G538,基本資料!$A:$J,9,0),"無")</f>
        <v>1.8</v>
      </c>
      <c r="V538" s="310">
        <f t="shared" si="121"/>
        <v>7.9822616407982258E-2</v>
      </c>
      <c r="W538" s="94">
        <f>IFERROR(VLOOKUP($G538,基本資料!$A:$J,10,0),"無")</f>
        <v>0.28999999999999998</v>
      </c>
      <c r="X538" s="36">
        <f>RTD("money.excel",,"2363","Price")</f>
        <v>22.55</v>
      </c>
      <c r="Y538" s="66"/>
      <c r="Z538" s="15">
        <f t="shared" si="122"/>
        <v>22.55</v>
      </c>
      <c r="AA538" s="3" t="e">
        <f t="shared" si="123"/>
        <v>#DIV/0!</v>
      </c>
      <c r="AB538" s="344">
        <f>IFERROR(VLOOKUP($G538,基本資料!$A:$M,11,0),"無")</f>
        <v>-30.03</v>
      </c>
      <c r="AC538" s="397">
        <f>IFERROR(VLOOKUP($G538,基本資料!$A:$M,12,0),"無")</f>
        <v>46.23</v>
      </c>
      <c r="AD538" s="22" t="s">
        <v>321</v>
      </c>
      <c r="AG538" s="33">
        <f t="shared" si="124"/>
        <v>0</v>
      </c>
      <c r="AH538" s="43" t="s">
        <v>2344</v>
      </c>
      <c r="AI538" s="63">
        <f t="shared" si="125"/>
        <v>2.4713824479013794E-3</v>
      </c>
      <c r="AJ538" s="284">
        <f>RTD("money.excel",,$G538,"PredictVolume")</f>
        <v>1684</v>
      </c>
      <c r="AK538" s="399">
        <f>IFERROR(VLOOKUP($G538,基本資料!$A:$M,13,0),"無")</f>
        <v>33</v>
      </c>
    </row>
    <row r="539" spans="1:37">
      <c r="A539" s="347">
        <f>IFERROR(VLOOKUP($G539,基本資料!$A:$J,3,0),"無")</f>
        <v>38.01</v>
      </c>
      <c r="B539" s="79">
        <f>IFERROR(VLOOKUP($G539,基本資料!$A:$J,4,0),"無")</f>
        <v>671</v>
      </c>
      <c r="C539" s="79">
        <f>IFERROR(VLOOKUP($G539,基本資料!$A:$J,5,0),"無")</f>
        <v>643</v>
      </c>
      <c r="D539" s="79">
        <f>IFERROR(VLOOKUP($G539,基本資料!$A:$J,6,0),"無")</f>
        <v>-9</v>
      </c>
      <c r="E539" s="79">
        <f>IFERROR(VLOOKUP($G539,基本資料!$A:$J,7,0),"無")</f>
        <v>-10</v>
      </c>
      <c r="F539" s="6">
        <f>IFERROR(VLOOKUP($G539,基本資料!$A:$J,8,0),"無")</f>
        <v>11.5</v>
      </c>
      <c r="G539" s="79">
        <v>2369</v>
      </c>
      <c r="H539" s="17" t="s">
        <v>3039</v>
      </c>
      <c r="I539" s="22" t="s">
        <v>4040</v>
      </c>
      <c r="J539" s="8">
        <f>IFERROR(VLOOKUP($G539,今日總結!$A:$AJ,35,0),"")</f>
        <v>0</v>
      </c>
      <c r="K539" s="5">
        <f>IFERROR(VLOOKUP($G539,今日總結!$A:$AJ,36,0),"")</f>
        <v>0</v>
      </c>
      <c r="L539" s="156">
        <f>IFERROR(VLOOKUP($G539,今日總結!$A:$AJ,33,0),"")</f>
        <v>0</v>
      </c>
      <c r="M539" s="340">
        <f>IFERROR(VLOOKUP($G539,今日總結!$A:$AJ,34,0),"")</f>
        <v>1</v>
      </c>
      <c r="N539" s="240">
        <f t="shared" si="126"/>
        <v>-1</v>
      </c>
      <c r="P539" s="365">
        <f>IFERROR(VLOOKUP($G539,融外自投!$A:$J,7,0),"無")</f>
        <v>330</v>
      </c>
      <c r="Q539" s="79">
        <f>IFERROR(VLOOKUP($G539,融外自投!$A:$J,9,0),"無")</f>
        <v>435</v>
      </c>
      <c r="R539" s="346">
        <f>IFERROR(VLOOKUP($G539,融外自投!$A:$J,8,0),"無")</f>
        <v>371</v>
      </c>
      <c r="S539" s="81">
        <f>IFERROR(VLOOKUP($G539,融外自投!$A:$J,10,0),"無")</f>
        <v>491</v>
      </c>
      <c r="T539" s="327">
        <f>IFERROR(VLOOKUP($G539,'321買'!$A:$E,5,0),"'沒有資料'")</f>
        <v>164</v>
      </c>
      <c r="U539" s="186">
        <f>IFERROR(VLOOKUP($G539,基本資料!$A:$J,9,0),"無")</f>
        <v>1.29</v>
      </c>
      <c r="V539" s="310">
        <f t="shared" si="121"/>
        <v>6.3861386138613863E-2</v>
      </c>
      <c r="W539" s="94">
        <f>IFERROR(VLOOKUP($G539,基本資料!$A:$J,10,0),"無")</f>
        <v>2.35</v>
      </c>
      <c r="X539" s="36">
        <f>RTD("money.excel",,"2369","Price")</f>
        <v>20.2</v>
      </c>
      <c r="Y539" s="66"/>
      <c r="Z539" s="15">
        <f t="shared" si="122"/>
        <v>20.2</v>
      </c>
      <c r="AA539" s="3" t="e">
        <f t="shared" si="123"/>
        <v>#DIV/0!</v>
      </c>
      <c r="AB539" s="344">
        <f>IFERROR(VLOOKUP($G539,基本資料!$A:$M,11,0),"無")</f>
        <v>-35.6</v>
      </c>
      <c r="AC539" s="397">
        <f>IFERROR(VLOOKUP($G539,基本資料!$A:$M,12,0),"無")</f>
        <v>21.1</v>
      </c>
      <c r="AD539" s="22" t="s">
        <v>4040</v>
      </c>
      <c r="AG539" s="33">
        <f t="shared" si="124"/>
        <v>0</v>
      </c>
      <c r="AH539" s="117" t="s">
        <v>2335</v>
      </c>
      <c r="AI539" s="63">
        <f t="shared" si="125"/>
        <v>3.5832675611681135E-3</v>
      </c>
      <c r="AJ539" s="284">
        <f>RTD("money.excel",,$G539,"PredictVolume")</f>
        <v>1362</v>
      </c>
      <c r="AK539" s="399">
        <f>IFERROR(VLOOKUP($G539,基本資料!$A:$M,13,0),"無")</f>
        <v>42.92</v>
      </c>
    </row>
    <row r="540" spans="1:37">
      <c r="A540" s="347">
        <f>IFERROR(VLOOKUP($G540,基本資料!$A:$J,3,0),"無")</f>
        <v>51.28</v>
      </c>
      <c r="B540" s="79">
        <f>IFERROR(VLOOKUP($G540,基本資料!$A:$J,4,0),"無")</f>
        <v>91</v>
      </c>
      <c r="C540" s="79">
        <f>IFERROR(VLOOKUP($G540,基本資料!$A:$J,5,0),"無")</f>
        <v>100</v>
      </c>
      <c r="D540" s="79">
        <f>IFERROR(VLOOKUP($G540,基本資料!$A:$J,6,0),"無")</f>
        <v>0</v>
      </c>
      <c r="E540" s="79">
        <f>IFERROR(VLOOKUP($G540,基本資料!$A:$J,7,0),"無")</f>
        <v>33</v>
      </c>
      <c r="F540" s="6">
        <f>IFERROR(VLOOKUP($G540,基本資料!$A:$J,8,0),"無")</f>
        <v>16.420000000000002</v>
      </c>
      <c r="G540" s="79">
        <v>2379</v>
      </c>
      <c r="H540" s="17" t="s">
        <v>3039</v>
      </c>
      <c r="I540" s="22" t="s">
        <v>26</v>
      </c>
      <c r="J540" s="8" t="str">
        <f>IFERROR(VLOOKUP($G540,今日總結!$A:$AJ,35,0),"")</f>
        <v>投</v>
      </c>
      <c r="K540" s="5" t="str">
        <f>IFERROR(VLOOKUP($G540,今日總結!$A:$AJ,36,0),"")</f>
        <v>外</v>
      </c>
      <c r="L540" s="156">
        <f>IFERROR(VLOOKUP($G540,今日總結!$A:$AJ,33,0),"")</f>
        <v>1</v>
      </c>
      <c r="M540" s="340">
        <f>IFERROR(VLOOKUP($G540,今日總結!$A:$AJ,34,0),"")</f>
        <v>1</v>
      </c>
      <c r="N540" s="240">
        <f t="shared" si="126"/>
        <v>0</v>
      </c>
      <c r="P540" s="365">
        <f>IFERROR(VLOOKUP($G540,融外自投!$A:$J,7,0),"無")</f>
        <v>1019</v>
      </c>
      <c r="Q540" s="79">
        <f>IFERROR(VLOOKUP($G540,融外自投!$A:$J,9,0),"無")</f>
        <v>253</v>
      </c>
      <c r="R540" s="346">
        <f>IFERROR(VLOOKUP($G540,融外自投!$A:$J,8,0),"無")</f>
        <v>75</v>
      </c>
      <c r="S540" s="81">
        <f>IFERROR(VLOOKUP($G540,融外自投!$A:$J,10,0),"無")</f>
        <v>89</v>
      </c>
      <c r="T540" s="327">
        <f>IFERROR(VLOOKUP($G540,'321買'!$A:$E,5,0),"'沒有資料'")</f>
        <v>153</v>
      </c>
      <c r="U540" s="186">
        <f>IFERROR(VLOOKUP($G540,基本資料!$A:$J,9,0),"無")</f>
        <v>27</v>
      </c>
      <c r="V540" s="310">
        <f t="shared" si="121"/>
        <v>6.5060240963855417E-2</v>
      </c>
      <c r="W540" s="94">
        <f>IFERROR(VLOOKUP($G540,基本資料!$A:$J,10,0),"無")</f>
        <v>33</v>
      </c>
      <c r="X540" s="36">
        <f>RTD("money.excel",,"2379","Price")</f>
        <v>415</v>
      </c>
      <c r="Y540" s="66"/>
      <c r="Z540" s="15">
        <f t="shared" si="122"/>
        <v>415</v>
      </c>
      <c r="AA540" s="3" t="e">
        <f t="shared" si="123"/>
        <v>#DIV/0!</v>
      </c>
      <c r="AB540" s="344">
        <f>IFERROR(VLOOKUP($G540,基本資料!$A:$M,11,0),"無")</f>
        <v>-34.299999999999997</v>
      </c>
      <c r="AC540" s="397">
        <f>IFERROR(VLOOKUP($G540,基本資料!$A:$M,12,0),"無")</f>
        <v>27.41</v>
      </c>
      <c r="AD540" s="22" t="s">
        <v>26</v>
      </c>
      <c r="AG540" s="33">
        <f t="shared" si="124"/>
        <v>0</v>
      </c>
      <c r="AH540" s="117" t="s">
        <v>2559</v>
      </c>
      <c r="AI540" s="63">
        <f t="shared" si="125"/>
        <v>3.9489079563182527E-3</v>
      </c>
      <c r="AJ540" s="284">
        <f>RTD("money.excel",,$G540,"PredictVolume")</f>
        <v>2025</v>
      </c>
      <c r="AK540" s="399">
        <f>IFERROR(VLOOKUP($G540,基本資料!$A:$M,13,0),"無")</f>
        <v>1.59</v>
      </c>
    </row>
    <row r="541" spans="1:37">
      <c r="A541" s="347">
        <f>IFERROR(VLOOKUP($G541,基本資料!$A:$J,3,0),"無")</f>
        <v>49.67</v>
      </c>
      <c r="B541" s="79">
        <f>IFERROR(VLOOKUP($G541,基本資料!$A:$J,4,0),"無")</f>
        <v>-10</v>
      </c>
      <c r="C541" s="79">
        <f>IFERROR(VLOOKUP($G541,基本資料!$A:$J,5,0),"無")</f>
        <v>-85</v>
      </c>
      <c r="D541" s="79">
        <f>IFERROR(VLOOKUP($G541,基本資料!$A:$J,6,0),"無")</f>
        <v>81</v>
      </c>
      <c r="E541" s="79">
        <f>IFERROR(VLOOKUP($G541,基本資料!$A:$J,7,0),"無")</f>
        <v>71</v>
      </c>
      <c r="F541" s="6">
        <f>IFERROR(VLOOKUP($G541,基本資料!$A:$J,8,0),"無")</f>
        <v>-20.6</v>
      </c>
      <c r="G541" s="79">
        <v>2388</v>
      </c>
      <c r="H541" s="17" t="s">
        <v>3039</v>
      </c>
      <c r="I541" s="22" t="s">
        <v>285</v>
      </c>
      <c r="J541" s="8">
        <f>IFERROR(VLOOKUP($G541,今日總結!$A:$AJ,35,0),"")</f>
        <v>0</v>
      </c>
      <c r="K541" s="5" t="str">
        <f>IFERROR(VLOOKUP($G541,今日總結!$A:$AJ,36,0),"")</f>
        <v>融</v>
      </c>
      <c r="L541" s="156">
        <f>IFERROR(VLOOKUP($G541,今日總結!$A:$AJ,33,0),"")</f>
        <v>0</v>
      </c>
      <c r="M541" s="340">
        <f>IFERROR(VLOOKUP($G541,今日總結!$A:$AJ,34,0),"")</f>
        <v>1</v>
      </c>
      <c r="N541" s="240">
        <f t="shared" si="126"/>
        <v>-1</v>
      </c>
      <c r="P541" s="365">
        <f>IFERROR(VLOOKUP($G541,融外自投!$A:$J,7,0),"無")</f>
        <v>776</v>
      </c>
      <c r="Q541" s="79">
        <f>IFERROR(VLOOKUP($G541,融外自投!$A:$J,9,0),"無")</f>
        <v>406</v>
      </c>
      <c r="R541" s="346">
        <f>IFERROR(VLOOKUP($G541,融外自投!$A:$J,8,0),"無")</f>
        <v>440</v>
      </c>
      <c r="S541" s="81">
        <f>IFERROR(VLOOKUP($G541,融外自投!$A:$J,10,0),"無")</f>
        <v>473</v>
      </c>
      <c r="T541" s="327">
        <f>IFERROR(VLOOKUP($G541,'321買'!$A:$E,5,0),"'沒有資料'")</f>
        <v>515</v>
      </c>
      <c r="U541" s="186">
        <f>IFERROR(VLOOKUP($G541,基本資料!$A:$J,9,0),"無")</f>
        <v>1</v>
      </c>
      <c r="V541" s="310">
        <f t="shared" si="121"/>
        <v>2.0746887966804978E-2</v>
      </c>
      <c r="W541" s="94">
        <f>IFERROR(VLOOKUP($G541,基本資料!$A:$J,10,0),"無")</f>
        <v>8.01</v>
      </c>
      <c r="X541" s="36">
        <f>RTD("money.excel",,"2388","Price")</f>
        <v>48.2</v>
      </c>
      <c r="Y541" s="66"/>
      <c r="Z541" s="15">
        <f t="shared" si="122"/>
        <v>48.2</v>
      </c>
      <c r="AA541" s="3" t="e">
        <f t="shared" si="123"/>
        <v>#DIV/0!</v>
      </c>
      <c r="AB541" s="344">
        <f>IFERROR(VLOOKUP($G541,基本資料!$A:$M,11,0),"無")</f>
        <v>-54.54</v>
      </c>
      <c r="AC541" s="397">
        <f>IFERROR(VLOOKUP($G541,基本資料!$A:$M,12,0),"無")</f>
        <v>7.94</v>
      </c>
      <c r="AD541" s="22" t="s">
        <v>285</v>
      </c>
      <c r="AG541" s="33">
        <f t="shared" si="124"/>
        <v>0</v>
      </c>
      <c r="AH541" s="43" t="s">
        <v>2063</v>
      </c>
      <c r="AI541" s="63">
        <f t="shared" si="125"/>
        <v>3.2353533319911414E-3</v>
      </c>
      <c r="AJ541" s="284">
        <f>RTD("money.excel",,$G541,"PredictVolume")</f>
        <v>1607</v>
      </c>
      <c r="AK541" s="399">
        <f>IFERROR(VLOOKUP($G541,基本資料!$A:$M,13,0),"無")</f>
        <v>47.63</v>
      </c>
    </row>
    <row r="542" spans="1:37">
      <c r="A542" s="347">
        <f>IFERROR(VLOOKUP($G542,基本資料!$A:$J,3,0),"無")</f>
        <v>59.19</v>
      </c>
      <c r="B542" s="79">
        <f>IFERROR(VLOOKUP($G542,基本資料!$A:$J,4,0),"無")</f>
        <v>183</v>
      </c>
      <c r="C542" s="79">
        <f>IFERROR(VLOOKUP($G542,基本資料!$A:$J,5,0),"無")</f>
        <v>78</v>
      </c>
      <c r="D542" s="79">
        <f>IFERROR(VLOOKUP($G542,基本資料!$A:$J,6,0),"無")</f>
        <v>12</v>
      </c>
      <c r="E542" s="79">
        <f>IFERROR(VLOOKUP($G542,基本資料!$A:$J,7,0),"無")</f>
        <v>18</v>
      </c>
      <c r="F542" s="6">
        <f>IFERROR(VLOOKUP($G542,基本資料!$A:$J,8,0),"無")</f>
        <v>11.6</v>
      </c>
      <c r="G542" s="79">
        <v>2401</v>
      </c>
      <c r="H542" s="17" t="s">
        <v>3039</v>
      </c>
      <c r="I542" s="22" t="s">
        <v>94</v>
      </c>
      <c r="J542" s="8" t="str">
        <f>IFERROR(VLOOKUP($G542,今日總結!$A:$AJ,35,0),"")</f>
        <v/>
      </c>
      <c r="K542" s="5" t="str">
        <f>IFERROR(VLOOKUP($G542,今日總結!$A:$AJ,36,0),"")</f>
        <v/>
      </c>
      <c r="L542" s="156" t="str">
        <f>IFERROR(VLOOKUP($G542,今日總結!$A:$AJ,33,0),"")</f>
        <v/>
      </c>
      <c r="M542" s="340" t="str">
        <f>IFERROR(VLOOKUP($G542,今日總結!$A:$AJ,34,0),"")</f>
        <v/>
      </c>
      <c r="N542" s="240" t="str">
        <f t="shared" si="126"/>
        <v/>
      </c>
      <c r="P542" s="365">
        <f>IFERROR(VLOOKUP($G542,融外自投!$A:$J,7,0),"無")</f>
        <v>425</v>
      </c>
      <c r="Q542" s="79">
        <f>IFERROR(VLOOKUP($G542,融外自投!$A:$J,9,0),"無")</f>
        <v>852</v>
      </c>
      <c r="R542" s="346">
        <f>IFERROR(VLOOKUP($G542,融外自投!$A:$J,8,0),"無")</f>
        <v>416</v>
      </c>
      <c r="S542" s="81" t="str">
        <f>IFERROR(VLOOKUP($G542,融外自投!$A:$J,10,0),"無")</f>
        <v>無</v>
      </c>
      <c r="T542" s="327">
        <f>IFERROR(VLOOKUP($G542,'321買'!$A:$E,5,0),"'沒有資料'")</f>
        <v>416</v>
      </c>
      <c r="U542" s="186">
        <f>IFERROR(VLOOKUP($G542,基本資料!$A:$J,9,0),"無")</f>
        <v>2</v>
      </c>
      <c r="V542" s="310">
        <f t="shared" si="121"/>
        <v>5.7803468208092484E-2</v>
      </c>
      <c r="W542" s="94">
        <f>IFERROR(VLOOKUP($G542,基本資料!$A:$J,10,0),"無")</f>
        <v>2.0099999999999998</v>
      </c>
      <c r="X542" s="36">
        <f>RTD("money.excel",,"2401","Price")</f>
        <v>34.6</v>
      </c>
      <c r="Y542" s="66"/>
      <c r="Z542" s="15">
        <f t="shared" si="122"/>
        <v>34.6</v>
      </c>
      <c r="AA542" s="3" t="e">
        <f t="shared" si="123"/>
        <v>#DIV/0!</v>
      </c>
      <c r="AB542" s="344">
        <f>IFERROR(VLOOKUP($G542,基本資料!$A:$M,11,0),"無")</f>
        <v>-29.55</v>
      </c>
      <c r="AC542" s="397">
        <f>IFERROR(VLOOKUP($G542,基本資料!$A:$M,12,0),"無")</f>
        <v>41.23</v>
      </c>
      <c r="AD542" s="22" t="s">
        <v>94</v>
      </c>
      <c r="AG542" s="33">
        <f t="shared" si="124"/>
        <v>0</v>
      </c>
      <c r="AH542" s="117" t="s">
        <v>1401</v>
      </c>
      <c r="AI542" s="63">
        <f t="shared" si="125"/>
        <v>8.6686940361547556E-3</v>
      </c>
      <c r="AJ542" s="284">
        <f>RTD("money.excel",,$G542,"PredictVolume")</f>
        <v>5131</v>
      </c>
      <c r="AK542" s="399">
        <f>IFERROR(VLOOKUP($G542,基本資料!$A:$M,13,0),"無")</f>
        <v>32.340000000000003</v>
      </c>
    </row>
    <row r="543" spans="1:37">
      <c r="A543" s="347">
        <f>IFERROR(VLOOKUP($G543,基本資料!$A:$J,3,0),"無")</f>
        <v>309</v>
      </c>
      <c r="B543" s="79">
        <f>IFERROR(VLOOKUP($G543,基本資料!$A:$J,4,0),"無")</f>
        <v>197</v>
      </c>
      <c r="C543" s="79">
        <f>IFERROR(VLOOKUP($G543,基本資料!$A:$J,5,0),"無")</f>
        <v>222</v>
      </c>
      <c r="D543" s="79">
        <f>IFERROR(VLOOKUP($G543,基本資料!$A:$J,6,0),"無")</f>
        <v>-2</v>
      </c>
      <c r="E543" s="79">
        <f>IFERROR(VLOOKUP($G543,基本資料!$A:$J,7,0),"無")</f>
        <v>-10</v>
      </c>
      <c r="F543" s="6">
        <f>IFERROR(VLOOKUP($G543,基本資料!$A:$J,8,0),"無")</f>
        <v>31.76</v>
      </c>
      <c r="G543" s="79">
        <v>2408</v>
      </c>
      <c r="H543" s="17" t="s">
        <v>307</v>
      </c>
      <c r="I543" s="22" t="s">
        <v>209</v>
      </c>
      <c r="J543" s="8" t="str">
        <f>IFERROR(VLOOKUP($G543,今日總結!$A:$AJ,35,0),"")</f>
        <v>投</v>
      </c>
      <c r="K543" s="5">
        <f>IFERROR(VLOOKUP($G543,今日總結!$A:$AJ,36,0),"")</f>
        <v>0</v>
      </c>
      <c r="L543" s="156">
        <f>IFERROR(VLOOKUP($G543,今日總結!$A:$AJ,33,0),"")</f>
        <v>1</v>
      </c>
      <c r="M543" s="340">
        <f>IFERROR(VLOOKUP($G543,今日總結!$A:$AJ,34,0),"")</f>
        <v>0</v>
      </c>
      <c r="N543" s="240">
        <f t="shared" si="126"/>
        <v>1</v>
      </c>
      <c r="P543" s="365">
        <f>IFERROR(VLOOKUP($G543,融外自投!$A:$J,7,0),"無")</f>
        <v>1127</v>
      </c>
      <c r="Q543" s="79">
        <f>IFERROR(VLOOKUP($G543,融外自投!$A:$J,9,0),"無")</f>
        <v>270</v>
      </c>
      <c r="R543" s="346">
        <f>IFERROR(VLOOKUP($G543,融外自投!$A:$J,8,0),"無")</f>
        <v>315</v>
      </c>
      <c r="S543" s="81">
        <f>IFERROR(VLOOKUP($G543,融外自投!$A:$J,10,0),"無")</f>
        <v>111</v>
      </c>
      <c r="T543" s="327">
        <f>IFERROR(VLOOKUP($G543,'321買'!$A:$E,5,0),"'沒有資料'")</f>
        <v>52</v>
      </c>
      <c r="U543" s="186">
        <f>IFERROR(VLOOKUP($G543,基本資料!$A:$J,9,0),"無")</f>
        <v>3.7</v>
      </c>
      <c r="V543" s="310">
        <f t="shared" si="121"/>
        <v>5.674846625766871E-2</v>
      </c>
      <c r="W543" s="94">
        <f>IFERROR(VLOOKUP($G543,基本資料!$A:$J,10,0),"無")</f>
        <v>7.4</v>
      </c>
      <c r="X543" s="36">
        <f>RTD("money.excel",,"2408","Price")</f>
        <v>65.2</v>
      </c>
      <c r="Y543" s="66"/>
      <c r="Z543" s="15">
        <f t="shared" si="122"/>
        <v>65.2</v>
      </c>
      <c r="AA543" s="3" t="e">
        <f t="shared" si="123"/>
        <v>#DIV/0!</v>
      </c>
      <c r="AB543" s="344">
        <f>IFERROR(VLOOKUP($G543,基本資料!$A:$M,11,0),"無")</f>
        <v>-22.68</v>
      </c>
      <c r="AC543" s="397">
        <f>IFERROR(VLOOKUP($G543,基本資料!$A:$M,12,0),"無")</f>
        <v>21.49</v>
      </c>
      <c r="AD543" s="22" t="s">
        <v>209</v>
      </c>
      <c r="AG543" s="33">
        <f t="shared" si="124"/>
        <v>0</v>
      </c>
      <c r="AH543" s="117" t="s">
        <v>2558</v>
      </c>
      <c r="AI543" s="63">
        <f t="shared" si="125"/>
        <v>2.5928802588996765E-3</v>
      </c>
      <c r="AJ543" s="284">
        <f>RTD("money.excel",,$G543,"PredictVolume")</f>
        <v>8012</v>
      </c>
      <c r="AK543" s="399">
        <f>IFERROR(VLOOKUP($G543,基本資料!$A:$M,13,0),"無")</f>
        <v>1.97</v>
      </c>
    </row>
    <row r="544" spans="1:37">
      <c r="A544" s="347">
        <f>IFERROR(VLOOKUP($G544,基本資料!$A:$J,3,0),"無")</f>
        <v>3.7</v>
      </c>
      <c r="B544" s="79">
        <f>IFERROR(VLOOKUP($G544,基本資料!$A:$J,4,0),"無")</f>
        <v>-200</v>
      </c>
      <c r="C544" s="79">
        <f>IFERROR(VLOOKUP($G544,基本資料!$A:$J,5,0),"無")</f>
        <v>62</v>
      </c>
      <c r="D544" s="79">
        <f>IFERROR(VLOOKUP($G544,基本資料!$A:$J,6,0),"無")</f>
        <v>48</v>
      </c>
      <c r="E544" s="79">
        <f>IFERROR(VLOOKUP($G544,基本資料!$A:$J,7,0),"無")</f>
        <v>-37</v>
      </c>
      <c r="F544" s="6">
        <f>IFERROR(VLOOKUP($G544,基本資料!$A:$J,8,0),"無")</f>
        <v>-18.95</v>
      </c>
      <c r="G544" s="79">
        <v>2434</v>
      </c>
      <c r="H544" s="17" t="s">
        <v>3039</v>
      </c>
      <c r="I544" s="22" t="s">
        <v>345</v>
      </c>
      <c r="J544" s="8" t="str">
        <f>IFERROR(VLOOKUP($G544,今日總結!$A:$AJ,35,0),"")</f>
        <v/>
      </c>
      <c r="K544" s="5" t="str">
        <f>IFERROR(VLOOKUP($G544,今日總結!$A:$AJ,36,0),"")</f>
        <v/>
      </c>
      <c r="L544" s="156" t="str">
        <f>IFERROR(VLOOKUP($G544,今日總結!$A:$AJ,33,0),"")</f>
        <v/>
      </c>
      <c r="M544" s="340" t="str">
        <f>IFERROR(VLOOKUP($G544,今日總結!$A:$AJ,34,0),"")</f>
        <v/>
      </c>
      <c r="N544" s="240" t="str">
        <f t="shared" si="126"/>
        <v/>
      </c>
      <c r="P544" s="365">
        <f>IFERROR(VLOOKUP($G544,融外自投!$A:$J,7,0),"無")</f>
        <v>381</v>
      </c>
      <c r="Q544" s="79">
        <f>IFERROR(VLOOKUP($G544,融外自投!$A:$J,9,0),"無")</f>
        <v>936</v>
      </c>
      <c r="R544" s="346">
        <f>IFERROR(VLOOKUP($G544,融外自投!$A:$J,8,0),"無")</f>
        <v>1195</v>
      </c>
      <c r="S544" s="81" t="str">
        <f>IFERROR(VLOOKUP($G544,融外自投!$A:$J,10,0),"無")</f>
        <v>無</v>
      </c>
      <c r="T544" s="327">
        <f>IFERROR(VLOOKUP($G544,'321買'!$A:$E,5,0),"'沒有資料'")</f>
        <v>1327</v>
      </c>
      <c r="U544" s="186">
        <f>IFERROR(VLOOKUP($G544,基本資料!$A:$J,9,0),"無")</f>
        <v>0</v>
      </c>
      <c r="V544" s="310">
        <f t="shared" si="121"/>
        <v>0</v>
      </c>
      <c r="W544" s="94">
        <f>IFERROR(VLOOKUP($G544,基本資料!$A:$J,10,0),"無")</f>
        <v>-0.54</v>
      </c>
      <c r="X544" s="36">
        <f>RTD("money.excel",,"2434","Price")</f>
        <v>34</v>
      </c>
      <c r="Y544" s="66"/>
      <c r="Z544" s="15">
        <f t="shared" si="122"/>
        <v>34</v>
      </c>
      <c r="AA544" s="3" t="e">
        <f t="shared" si="123"/>
        <v>#DIV/0!</v>
      </c>
      <c r="AB544" s="344">
        <f>IFERROR(VLOOKUP($G544,基本資料!$A:$M,11,0),"無")</f>
        <v>-36.26</v>
      </c>
      <c r="AC544" s="397">
        <f>IFERROR(VLOOKUP($G544,基本資料!$A:$M,12,0),"無")</f>
        <v>22.05</v>
      </c>
      <c r="AD544" s="22" t="s">
        <v>345</v>
      </c>
      <c r="AG544" s="33">
        <f t="shared" si="124"/>
        <v>0</v>
      </c>
      <c r="AH544" s="43" t="s">
        <v>2185</v>
      </c>
      <c r="AI544" s="63">
        <f t="shared" si="125"/>
        <v>5.4054054054054054E-5</v>
      </c>
      <c r="AJ544" s="284">
        <f>RTD("money.excel",,$G544,"PredictVolume")</f>
        <v>2</v>
      </c>
      <c r="AK544" s="399">
        <f>IFERROR(VLOOKUP($G544,基本資料!$A:$M,13,0),"無")</f>
        <v>2.21</v>
      </c>
    </row>
    <row r="545" spans="1:37">
      <c r="A545" s="347">
        <f>IFERROR(VLOOKUP($G545,基本資料!$A:$J,3,0),"無")</f>
        <v>17.8</v>
      </c>
      <c r="B545" s="79">
        <f>IFERROR(VLOOKUP($G545,基本資料!$A:$J,4,0),"無")</f>
        <v>120</v>
      </c>
      <c r="C545" s="79">
        <f>IFERROR(VLOOKUP($G545,基本資料!$A:$J,5,0),"無")</f>
        <v>264</v>
      </c>
      <c r="D545" s="79">
        <f>IFERROR(VLOOKUP($G545,基本資料!$A:$J,6,0),"無")</f>
        <v>-28</v>
      </c>
      <c r="E545" s="79">
        <f>IFERROR(VLOOKUP($G545,基本資料!$A:$J,7,0),"無")</f>
        <v>-13</v>
      </c>
      <c r="F545" s="6">
        <f>IFERROR(VLOOKUP($G545,基本資料!$A:$J,8,0),"無")</f>
        <v>12.77</v>
      </c>
      <c r="G545" s="79">
        <v>2436</v>
      </c>
      <c r="H545" s="17" t="s">
        <v>307</v>
      </c>
      <c r="I545" s="22" t="s">
        <v>112</v>
      </c>
      <c r="J545" s="8" t="str">
        <f>IFERROR(VLOOKUP($G545,今日總結!$A:$AJ,35,0),"")</f>
        <v>券</v>
      </c>
      <c r="K545" s="5">
        <f>IFERROR(VLOOKUP($G545,今日總結!$A:$AJ,36,0),"")</f>
        <v>0</v>
      </c>
      <c r="L545" s="156">
        <f>IFERROR(VLOOKUP($G545,今日總結!$A:$AJ,33,0),"")</f>
        <v>1</v>
      </c>
      <c r="M545" s="340">
        <f>IFERROR(VLOOKUP($G545,今日總結!$A:$AJ,34,0),"")</f>
        <v>0</v>
      </c>
      <c r="N545" s="240">
        <f t="shared" si="126"/>
        <v>1</v>
      </c>
      <c r="P545" s="365">
        <f>IFERROR(VLOOKUP($G545,融外自投!$A:$J,7,0),"無")</f>
        <v>53</v>
      </c>
      <c r="Q545" s="79">
        <f>IFERROR(VLOOKUP($G545,融外自投!$A:$J,9,0),"無")</f>
        <v>379</v>
      </c>
      <c r="R545" s="346">
        <f>IFERROR(VLOOKUP($G545,融外自投!$A:$J,8,0),"無")</f>
        <v>750</v>
      </c>
      <c r="S545" s="81">
        <f>IFERROR(VLOOKUP($G545,融外自投!$A:$J,10,0),"無")</f>
        <v>374</v>
      </c>
      <c r="T545" s="327">
        <f>IFERROR(VLOOKUP($G545,'321買'!$A:$E,5,0),"'沒有資料'")</f>
        <v>100</v>
      </c>
      <c r="U545" s="186">
        <f>IFERROR(VLOOKUP($G545,基本資料!$A:$J,9,0),"無")</f>
        <v>3</v>
      </c>
      <c r="V545" s="310">
        <f t="shared" si="121"/>
        <v>4.4910179640718563E-2</v>
      </c>
      <c r="W545" s="94">
        <f>IFERROR(VLOOKUP($G545,基本資料!$A:$J,10,0),"無")</f>
        <v>4.25</v>
      </c>
      <c r="X545" s="36">
        <f>RTD("money.excel",,"2436","Price")</f>
        <v>66.8</v>
      </c>
      <c r="Y545" s="66"/>
      <c r="Z545" s="15">
        <f t="shared" si="122"/>
        <v>66.8</v>
      </c>
      <c r="AA545" s="3" t="e">
        <f t="shared" si="123"/>
        <v>#DIV/0!</v>
      </c>
      <c r="AB545" s="344">
        <f>IFERROR(VLOOKUP($G545,基本資料!$A:$M,11,0),"無")</f>
        <v>-43.29</v>
      </c>
      <c r="AC545" s="397">
        <f>IFERROR(VLOOKUP($G545,基本資料!$A:$M,12,0),"無")</f>
        <v>10.73</v>
      </c>
      <c r="AD545" s="22" t="s">
        <v>112</v>
      </c>
      <c r="AG545" s="33">
        <f t="shared" si="124"/>
        <v>0</v>
      </c>
      <c r="AH545" s="43" t="s">
        <v>2194</v>
      </c>
      <c r="AI545" s="63">
        <f t="shared" si="125"/>
        <v>1.4623595505617978E-2</v>
      </c>
      <c r="AJ545" s="284">
        <f>RTD("money.excel",,$G545,"PredictVolume")</f>
        <v>2603</v>
      </c>
      <c r="AK545" s="399">
        <f>IFERROR(VLOOKUP($G545,基本資料!$A:$M,13,0),"無")</f>
        <v>59</v>
      </c>
    </row>
    <row r="546" spans="1:37">
      <c r="A546" s="347">
        <f>IFERROR(VLOOKUP($G546,基本資料!$A:$J,3,0),"無")</f>
        <v>56.88</v>
      </c>
      <c r="B546" s="79">
        <f>IFERROR(VLOOKUP($G546,基本資料!$A:$J,4,0),"無")</f>
        <v>72</v>
      </c>
      <c r="C546" s="79">
        <f>IFERROR(VLOOKUP($G546,基本資料!$A:$J,5,0),"無")</f>
        <v>73</v>
      </c>
      <c r="D546" s="79">
        <f>IFERROR(VLOOKUP($G546,基本資料!$A:$J,6,0),"無")</f>
        <v>2</v>
      </c>
      <c r="E546" s="79">
        <f>IFERROR(VLOOKUP($G546,基本資料!$A:$J,7,0),"無")</f>
        <v>7</v>
      </c>
      <c r="F546" s="6">
        <f>IFERROR(VLOOKUP($G546,基本資料!$A:$J,8,0),"無")</f>
        <v>29.02</v>
      </c>
      <c r="G546" s="79">
        <v>2441</v>
      </c>
      <c r="H546" s="17" t="s">
        <v>3039</v>
      </c>
      <c r="I546" s="22" t="s">
        <v>275</v>
      </c>
      <c r="J546" s="8" t="str">
        <f>IFERROR(VLOOKUP($G546,今日總結!$A:$AJ,35,0),"")</f>
        <v>自</v>
      </c>
      <c r="K546" s="5" t="str">
        <f>IFERROR(VLOOKUP($G546,今日總結!$A:$AJ,36,0),"")</f>
        <v>融</v>
      </c>
      <c r="L546" s="156">
        <f>IFERROR(VLOOKUP($G546,今日總結!$A:$AJ,33,0),"")</f>
        <v>1</v>
      </c>
      <c r="M546" s="340">
        <f>IFERROR(VLOOKUP($G546,今日總結!$A:$AJ,34,0),"")</f>
        <v>1</v>
      </c>
      <c r="N546" s="240">
        <f t="shared" si="126"/>
        <v>0</v>
      </c>
      <c r="P546" s="365">
        <f>IFERROR(VLOOKUP($G546,融外自投!$A:$J,7,0),"無")</f>
        <v>1171</v>
      </c>
      <c r="Q546" s="79">
        <f>IFERROR(VLOOKUP($G546,融外自投!$A:$J,9,0),"無")</f>
        <v>51</v>
      </c>
      <c r="R546" s="346">
        <f>IFERROR(VLOOKUP($G546,融外自投!$A:$J,8,0),"無")</f>
        <v>369</v>
      </c>
      <c r="S546" s="81">
        <f>IFERROR(VLOOKUP($G546,融外自投!$A:$J,10,0),"無")</f>
        <v>57</v>
      </c>
      <c r="T546" s="327">
        <f>IFERROR(VLOOKUP($G546,'321買'!$A:$E,5,0),"'沒有資料'")</f>
        <v>34</v>
      </c>
      <c r="U546" s="186">
        <f>IFERROR(VLOOKUP($G546,基本資料!$A:$J,9,0),"無")</f>
        <v>5</v>
      </c>
      <c r="V546" s="310">
        <f t="shared" si="121"/>
        <v>7.0521861777150904E-2</v>
      </c>
      <c r="W546" s="94">
        <f>IFERROR(VLOOKUP($G546,基本資料!$A:$J,10,0),"無")</f>
        <v>8.09</v>
      </c>
      <c r="X546" s="36">
        <f>RTD("money.excel",,"2441","Price")</f>
        <v>70.900000000000006</v>
      </c>
      <c r="Y546" s="66"/>
      <c r="Z546" s="15">
        <f t="shared" si="122"/>
        <v>70.900000000000006</v>
      </c>
      <c r="AA546" s="3" t="e">
        <f t="shared" si="123"/>
        <v>#DIV/0!</v>
      </c>
      <c r="AB546" s="344">
        <f>IFERROR(VLOOKUP($G546,基本資料!$A:$M,11,0),"無")</f>
        <v>-30.25</v>
      </c>
      <c r="AC546" s="397">
        <f>IFERROR(VLOOKUP($G546,基本資料!$A:$M,12,0),"無")</f>
        <v>28.85</v>
      </c>
      <c r="AD546" s="22" t="s">
        <v>275</v>
      </c>
      <c r="AG546" s="33">
        <f t="shared" si="124"/>
        <v>0</v>
      </c>
      <c r="AH546" s="117" t="s">
        <v>3020</v>
      </c>
      <c r="AI546" s="63">
        <f t="shared" si="125"/>
        <v>1.0900140646976091E-3</v>
      </c>
      <c r="AJ546" s="284">
        <f>RTD("money.excel",,$G546,"PredictVolume")</f>
        <v>620</v>
      </c>
      <c r="AK546" s="399">
        <f>IFERROR(VLOOKUP($G546,基本資料!$A:$M,13,0),"無")</f>
        <v>5.31</v>
      </c>
    </row>
    <row r="547" spans="1:37">
      <c r="A547" s="347">
        <f>IFERROR(VLOOKUP($G547,基本資料!$A:$J,3,0),"無")</f>
        <v>122</v>
      </c>
      <c r="B547" s="79">
        <f>IFERROR(VLOOKUP($G547,基本資料!$A:$J,4,0),"無")</f>
        <v>43</v>
      </c>
      <c r="C547" s="79">
        <f>IFERROR(VLOOKUP($G547,基本資料!$A:$J,5,0),"無")</f>
        <v>42</v>
      </c>
      <c r="D547" s="79">
        <f>IFERROR(VLOOKUP($G547,基本資料!$A:$J,6,0),"無")</f>
        <v>2</v>
      </c>
      <c r="E547" s="79">
        <f>IFERROR(VLOOKUP($G547,基本資料!$A:$J,7,0),"無")</f>
        <v>22</v>
      </c>
      <c r="F547" s="6">
        <f>IFERROR(VLOOKUP($G547,基本資料!$A:$J,8,0),"無")</f>
        <v>19.57</v>
      </c>
      <c r="G547" s="79">
        <v>2449</v>
      </c>
      <c r="H547" s="17" t="s">
        <v>3039</v>
      </c>
      <c r="I547" s="22" t="s">
        <v>47</v>
      </c>
      <c r="J547" s="8" t="str">
        <f>IFERROR(VLOOKUP($G547,今日總結!$A:$AJ,35,0),"")</f>
        <v/>
      </c>
      <c r="K547" s="5" t="str">
        <f>IFERROR(VLOOKUP($G547,今日總結!$A:$AJ,36,0),"")</f>
        <v/>
      </c>
      <c r="L547" s="156" t="str">
        <f>IFERROR(VLOOKUP($G547,今日總結!$A:$AJ,33,0),"")</f>
        <v/>
      </c>
      <c r="M547" s="340" t="str">
        <f>IFERROR(VLOOKUP($G547,今日總結!$A:$AJ,34,0),"")</f>
        <v/>
      </c>
      <c r="N547" s="240" t="str">
        <f t="shared" si="126"/>
        <v/>
      </c>
      <c r="P547" s="365">
        <f>IFERROR(VLOOKUP($G547,融外自投!$A:$J,7,0),"無")</f>
        <v>999</v>
      </c>
      <c r="Q547" s="79">
        <f>IFERROR(VLOOKUP($G547,融外自投!$A:$J,9,0),"無")</f>
        <v>8</v>
      </c>
      <c r="R547" s="346">
        <f>IFERROR(VLOOKUP($G547,融外自投!$A:$J,8,0),"無")</f>
        <v>149</v>
      </c>
      <c r="S547" s="81">
        <f>IFERROR(VLOOKUP($G547,融外自投!$A:$J,10,0),"無")</f>
        <v>56</v>
      </c>
      <c r="T547" s="327">
        <f>IFERROR(VLOOKUP($G547,'321買'!$A:$E,5,0),"'沒有資料'")</f>
        <v>40</v>
      </c>
      <c r="U547" s="186">
        <f>IFERROR(VLOOKUP($G547,基本資料!$A:$J,9,0),"無")</f>
        <v>3</v>
      </c>
      <c r="V547" s="310">
        <f t="shared" si="121"/>
        <v>6.9848661233993012E-2</v>
      </c>
      <c r="W547" s="94">
        <f>IFERROR(VLOOKUP($G547,基本資料!$A:$J,10,0),"無")</f>
        <v>4.2300000000000004</v>
      </c>
      <c r="X547" s="36">
        <f>RTD("money.excel",,"2449","Price")</f>
        <v>42.95</v>
      </c>
      <c r="Y547" s="66"/>
      <c r="Z547" s="15">
        <f t="shared" si="122"/>
        <v>42.95</v>
      </c>
      <c r="AA547" s="3" t="e">
        <f t="shared" si="123"/>
        <v>#DIV/0!</v>
      </c>
      <c r="AB547" s="344">
        <f>IFERROR(VLOOKUP($G547,基本資料!$A:$M,11,0),"無")</f>
        <v>-16.54</v>
      </c>
      <c r="AC547" s="397">
        <f>IFERROR(VLOOKUP($G547,基本資料!$A:$M,12,0),"無")</f>
        <v>48.96</v>
      </c>
      <c r="AD547" s="22" t="s">
        <v>47</v>
      </c>
      <c r="AG547" s="33">
        <f t="shared" si="124"/>
        <v>0</v>
      </c>
      <c r="AH547" s="117" t="s">
        <v>2298</v>
      </c>
      <c r="AI547" s="63">
        <f t="shared" si="125"/>
        <v>7.1598360655737705E-3</v>
      </c>
      <c r="AJ547" s="284">
        <f>RTD("money.excel",,$G547,"PredictVolume")</f>
        <v>8735</v>
      </c>
      <c r="AK547" s="399">
        <f>IFERROR(VLOOKUP($G547,基本資料!$A:$M,13,0),"無")</f>
        <v>4.53</v>
      </c>
    </row>
    <row r="548" spans="1:37">
      <c r="A548" s="347">
        <f>IFERROR(VLOOKUP($G548,基本資料!$A:$J,3,0),"無")</f>
        <v>42.9</v>
      </c>
      <c r="B548" s="79">
        <f>IFERROR(VLOOKUP($G548,基本資料!$A:$J,4,0),"無")</f>
        <v>111</v>
      </c>
      <c r="C548" s="79">
        <f>IFERROR(VLOOKUP($G548,基本資料!$A:$J,5,0),"無")</f>
        <v>138</v>
      </c>
      <c r="D548" s="79">
        <f>IFERROR(VLOOKUP($G548,基本資料!$A:$J,6,0),"無")</f>
        <v>-25</v>
      </c>
      <c r="E548" s="79">
        <f>IFERROR(VLOOKUP($G548,基本資料!$A:$J,7,0),"無")</f>
        <v>-29</v>
      </c>
      <c r="F548" s="6">
        <f>IFERROR(VLOOKUP($G548,基本資料!$A:$J,8,0),"無")</f>
        <v>20.2</v>
      </c>
      <c r="G548" s="79">
        <v>2451</v>
      </c>
      <c r="H548" s="17" t="s">
        <v>3039</v>
      </c>
      <c r="I548" s="22" t="s">
        <v>32</v>
      </c>
      <c r="J548" s="8" t="str">
        <f>IFERROR(VLOOKUP($G548,今日總結!$A:$AJ,35,0),"")</f>
        <v/>
      </c>
      <c r="K548" s="5" t="str">
        <f>IFERROR(VLOOKUP($G548,今日總結!$A:$AJ,36,0),"")</f>
        <v/>
      </c>
      <c r="L548" s="156" t="str">
        <f>IFERROR(VLOOKUP($G548,今日總結!$A:$AJ,33,0),"")</f>
        <v/>
      </c>
      <c r="M548" s="340" t="str">
        <f>IFERROR(VLOOKUP($G548,今日總結!$A:$AJ,34,0),"")</f>
        <v/>
      </c>
      <c r="N548" s="240" t="str">
        <f t="shared" si="126"/>
        <v/>
      </c>
      <c r="P548" s="365">
        <f>IFERROR(VLOOKUP($G548,融外自投!$A:$J,7,0),"無")</f>
        <v>1108</v>
      </c>
      <c r="Q548" s="79">
        <f>IFERROR(VLOOKUP($G548,融外自投!$A:$J,9,0),"無")</f>
        <v>28</v>
      </c>
      <c r="R548" s="346">
        <f>IFERROR(VLOOKUP($G548,融外自投!$A:$J,8,0),"無")</f>
        <v>520</v>
      </c>
      <c r="S548" s="81">
        <f>IFERROR(VLOOKUP($G548,融外自投!$A:$J,10,0),"無")</f>
        <v>284</v>
      </c>
      <c r="T548" s="327">
        <f>IFERROR(VLOOKUP($G548,'321買'!$A:$E,5,0),"'沒有資料'")</f>
        <v>683</v>
      </c>
      <c r="U548" s="186">
        <f>IFERROR(VLOOKUP($G548,基本資料!$A:$J,9,0),"無")</f>
        <v>6</v>
      </c>
      <c r="V548" s="310">
        <f t="shared" si="121"/>
        <v>8.4865629420084868E-2</v>
      </c>
      <c r="W548" s="94">
        <f>IFERROR(VLOOKUP($G548,基本資料!$A:$J,10,0),"無")</f>
        <v>5.9</v>
      </c>
      <c r="X548" s="36">
        <f>RTD("money.excel",,"2451","Price")</f>
        <v>70.7</v>
      </c>
      <c r="Y548" s="66"/>
      <c r="Z548" s="15">
        <f t="shared" si="122"/>
        <v>70.7</v>
      </c>
      <c r="AA548" s="3" t="e">
        <f t="shared" si="123"/>
        <v>#DIV/0!</v>
      </c>
      <c r="AB548" s="344">
        <f>IFERROR(VLOOKUP($G548,基本資料!$A:$M,11,0),"無")</f>
        <v>-9.75</v>
      </c>
      <c r="AC548" s="397">
        <f>IFERROR(VLOOKUP($G548,基本資料!$A:$M,12,0),"無")</f>
        <v>27.51</v>
      </c>
      <c r="AD548" s="22" t="s">
        <v>32</v>
      </c>
      <c r="AG548" s="33">
        <f t="shared" si="124"/>
        <v>0</v>
      </c>
      <c r="AH548" s="117" t="s">
        <v>1414</v>
      </c>
      <c r="AI548" s="63">
        <f t="shared" si="125"/>
        <v>1.1818181818181819E-3</v>
      </c>
      <c r="AJ548" s="284">
        <f>RTD("money.excel",,$G548,"PredictVolume")</f>
        <v>507</v>
      </c>
      <c r="AK548" s="399">
        <f>IFERROR(VLOOKUP($G548,基本資料!$A:$M,13,0),"無")</f>
        <v>4.66</v>
      </c>
    </row>
    <row r="549" spans="1:37">
      <c r="A549" s="347">
        <f>IFERROR(VLOOKUP($G549,基本資料!$A:$J,3,0),"無")</f>
        <v>159</v>
      </c>
      <c r="B549" s="79">
        <f>IFERROR(VLOOKUP($G549,基本資料!$A:$J,4,0),"無")</f>
        <v>169</v>
      </c>
      <c r="C549" s="79">
        <f>IFERROR(VLOOKUP($G549,基本資料!$A:$J,5,0),"無")</f>
        <v>149</v>
      </c>
      <c r="D549" s="79">
        <f>IFERROR(VLOOKUP($G549,基本資料!$A:$J,6,0),"無")</f>
        <v>47</v>
      </c>
      <c r="E549" s="79">
        <f>IFERROR(VLOOKUP($G549,基本資料!$A:$J,7,0),"無")</f>
        <v>47</v>
      </c>
      <c r="F549" s="6">
        <f>IFERROR(VLOOKUP($G549,基本資料!$A:$J,8,0),"無")</f>
        <v>21.9</v>
      </c>
      <c r="G549" s="79">
        <v>2454</v>
      </c>
      <c r="H549" s="8" t="s">
        <v>3039</v>
      </c>
      <c r="I549" s="22" t="s">
        <v>1839</v>
      </c>
      <c r="J549" s="8" t="str">
        <f>IFERROR(VLOOKUP($G549,今日總結!$A:$AJ,35,0),"")</f>
        <v/>
      </c>
      <c r="K549" s="5" t="str">
        <f>IFERROR(VLOOKUP($G549,今日總結!$A:$AJ,36,0),"")</f>
        <v/>
      </c>
      <c r="L549" s="156" t="str">
        <f>IFERROR(VLOOKUP($G549,今日總結!$A:$AJ,33,0),"")</f>
        <v/>
      </c>
      <c r="M549" s="340" t="str">
        <f>IFERROR(VLOOKUP($G549,今日總結!$A:$AJ,34,0),"")</f>
        <v/>
      </c>
      <c r="N549" s="240" t="str">
        <f t="shared" si="126"/>
        <v/>
      </c>
      <c r="P549" s="365">
        <f>IFERROR(VLOOKUP($G549,融外自投!$A:$J,7,0),"無")</f>
        <v>1090</v>
      </c>
      <c r="Q549" s="79">
        <f>IFERROR(VLOOKUP($G549,融外自投!$A:$J,9,0),"無")</f>
        <v>159</v>
      </c>
      <c r="R549" s="346">
        <f>IFERROR(VLOOKUP($G549,融外自投!$A:$J,8,0),"無")</f>
        <v>39</v>
      </c>
      <c r="S549" s="81">
        <f>IFERROR(VLOOKUP($G549,融外自投!$A:$J,10,0),"無")</f>
        <v>115</v>
      </c>
      <c r="T549" s="327">
        <f>IFERROR(VLOOKUP($G549,'321買'!$A:$E,5,0),"'沒有資料'")</f>
        <v>336</v>
      </c>
      <c r="U549" s="186">
        <f>IFERROR(VLOOKUP($G549,基本資料!$A:$J,9,0),"無")</f>
        <v>73</v>
      </c>
      <c r="V549" s="310">
        <f t="shared" si="121"/>
        <v>8.805790108564536E-2</v>
      </c>
      <c r="W549" s="94">
        <f>IFERROR(VLOOKUP($G549,基本資料!$A:$J,10,0),"無")</f>
        <v>70.56</v>
      </c>
      <c r="X549" s="372">
        <f>RTD("money.excel",,"2454","Price")</f>
        <v>829</v>
      </c>
      <c r="Y549" s="66"/>
      <c r="Z549" s="137">
        <f t="shared" si="122"/>
        <v>829</v>
      </c>
      <c r="AA549" s="3" t="e">
        <f t="shared" si="123"/>
        <v>#DIV/0!</v>
      </c>
      <c r="AB549" s="344">
        <f>IFERROR(VLOOKUP($G549,基本資料!$A:$M,11,0),"無")</f>
        <v>-33.090000000000003</v>
      </c>
      <c r="AC549" s="397">
        <f>IFERROR(VLOOKUP($G549,基本資料!$A:$M,12,0),"無")</f>
        <v>10.6</v>
      </c>
      <c r="AD549" s="22" t="s">
        <v>1839</v>
      </c>
      <c r="AG549" s="33">
        <f t="shared" si="124"/>
        <v>0</v>
      </c>
      <c r="AH549" s="117" t="s">
        <v>1051</v>
      </c>
      <c r="AI549" s="63">
        <f t="shared" si="125"/>
        <v>2.3597484276729561E-3</v>
      </c>
      <c r="AJ549" s="284">
        <f>RTD("money.excel",,$G549,"PredictVolume")</f>
        <v>3752</v>
      </c>
      <c r="AK549" s="399">
        <f>IFERROR(VLOOKUP($G549,基本資料!$A:$M,13,0),"無")</f>
        <v>1.99</v>
      </c>
    </row>
    <row r="550" spans="1:37">
      <c r="A550" s="347">
        <f>IFERROR(VLOOKUP($G550,基本資料!$A:$J,3,0),"無")</f>
        <v>30.38</v>
      </c>
      <c r="B550" s="79">
        <f>IFERROR(VLOOKUP($G550,基本資料!$A:$J,4,0),"無")</f>
        <v>57</v>
      </c>
      <c r="C550" s="79">
        <f>IFERROR(VLOOKUP($G550,基本資料!$A:$J,5,0),"無")</f>
        <v>34</v>
      </c>
      <c r="D550" s="79">
        <f>IFERROR(VLOOKUP($G550,基本資料!$A:$J,6,0),"無")</f>
        <v>-23</v>
      </c>
      <c r="E550" s="79">
        <f>IFERROR(VLOOKUP($G550,基本資料!$A:$J,7,0),"無")</f>
        <v>-26</v>
      </c>
      <c r="F550" s="6">
        <f>IFERROR(VLOOKUP($G550,基本資料!$A:$J,8,0),"無")</f>
        <v>30.91</v>
      </c>
      <c r="G550" s="79">
        <v>2458</v>
      </c>
      <c r="H550" s="8" t="s">
        <v>3039</v>
      </c>
      <c r="I550" s="22" t="s">
        <v>57</v>
      </c>
      <c r="J550" s="8" t="str">
        <f>IFERROR(VLOOKUP($G550,今日總結!$A:$AJ,35,0),"")</f>
        <v/>
      </c>
      <c r="K550" s="5" t="str">
        <f>IFERROR(VLOOKUP($G550,今日總結!$A:$AJ,36,0),"")</f>
        <v/>
      </c>
      <c r="L550" s="156" t="str">
        <f>IFERROR(VLOOKUP($G550,今日總結!$A:$AJ,33,0),"")</f>
        <v/>
      </c>
      <c r="M550" s="340" t="str">
        <f>IFERROR(VLOOKUP($G550,今日總結!$A:$AJ,34,0),"")</f>
        <v/>
      </c>
      <c r="N550" s="240" t="str">
        <f t="shared" si="126"/>
        <v/>
      </c>
      <c r="P550" s="365">
        <f>IFERROR(VLOOKUP($G550,融外自投!$A:$J,7,0),"無")</f>
        <v>757</v>
      </c>
      <c r="Q550" s="79">
        <f>IFERROR(VLOOKUP($G550,融外自投!$A:$J,9,0),"無")</f>
        <v>14</v>
      </c>
      <c r="R550" s="346">
        <f>IFERROR(VLOOKUP($G550,融外自投!$A:$J,8,0),"無")</f>
        <v>270</v>
      </c>
      <c r="S550" s="81">
        <f>IFERROR(VLOOKUP($G550,融外自投!$A:$J,10,0),"無")</f>
        <v>30</v>
      </c>
      <c r="T550" s="327">
        <f>IFERROR(VLOOKUP($G550,'321買'!$A:$E,5,0),"'沒有資料'")</f>
        <v>49</v>
      </c>
      <c r="U550" s="186">
        <f>IFERROR(VLOOKUP($G550,基本資料!$A:$J,9,0),"無")</f>
        <v>13.5</v>
      </c>
      <c r="V550" s="310">
        <f t="shared" si="121"/>
        <v>9.6428571428571433E-2</v>
      </c>
      <c r="W550" s="94">
        <f>IFERROR(VLOOKUP($G550,基本資料!$A:$J,10,0),"無")</f>
        <v>17.64</v>
      </c>
      <c r="X550" s="36">
        <f>RTD("money.excel",,"2458","Price")</f>
        <v>140</v>
      </c>
      <c r="Y550" s="66"/>
      <c r="Z550" s="15">
        <f t="shared" si="122"/>
        <v>140</v>
      </c>
      <c r="AA550" s="3" t="e">
        <f t="shared" si="123"/>
        <v>#DIV/0!</v>
      </c>
      <c r="AB550" s="344">
        <f>IFERROR(VLOOKUP($G550,基本資料!$A:$M,11,0),"無")</f>
        <v>-33.799999999999997</v>
      </c>
      <c r="AC550" s="397">
        <f>IFERROR(VLOOKUP($G550,基本資料!$A:$M,12,0),"無")</f>
        <v>11.46</v>
      </c>
      <c r="AD550" s="22" t="s">
        <v>57</v>
      </c>
      <c r="AG550" s="33">
        <f t="shared" si="124"/>
        <v>0</v>
      </c>
      <c r="AH550" s="117" t="s">
        <v>2344</v>
      </c>
      <c r="AI550" s="63">
        <f t="shared" si="125"/>
        <v>4.226464779460171E-3</v>
      </c>
      <c r="AJ550" s="284">
        <f>RTD("money.excel",,$G550,"PredictVolume")</f>
        <v>1284</v>
      </c>
      <c r="AK550" s="399">
        <f>IFERROR(VLOOKUP($G550,基本資料!$A:$M,13,0),"無")</f>
        <v>4.5999999999999996</v>
      </c>
    </row>
    <row r="551" spans="1:37">
      <c r="A551" s="347">
        <f>IFERROR(VLOOKUP($G551,基本資料!$A:$J,3,0),"無")</f>
        <v>38.28</v>
      </c>
      <c r="B551" s="79">
        <f>IFERROR(VLOOKUP($G551,基本資料!$A:$J,4,0),"無")</f>
        <v>119</v>
      </c>
      <c r="C551" s="79">
        <f>IFERROR(VLOOKUP($G551,基本資料!$A:$J,5,0),"無")</f>
        <v>130</v>
      </c>
      <c r="D551" s="79">
        <f>IFERROR(VLOOKUP($G551,基本資料!$A:$J,6,0),"無")</f>
        <v>-12</v>
      </c>
      <c r="E551" s="79">
        <f>IFERROR(VLOOKUP($G551,基本資料!$A:$J,7,0),"無")</f>
        <v>-1</v>
      </c>
      <c r="F551" s="6">
        <f>IFERROR(VLOOKUP($G551,基本資料!$A:$J,8,0),"無")</f>
        <v>16.52</v>
      </c>
      <c r="G551" s="79">
        <v>2481</v>
      </c>
      <c r="H551" s="8" t="s">
        <v>307</v>
      </c>
      <c r="I551" s="22" t="s">
        <v>183</v>
      </c>
      <c r="J551" s="8">
        <f>IFERROR(VLOOKUP($G551,今日總結!$A:$AJ,35,0),"")</f>
        <v>0</v>
      </c>
      <c r="K551" s="5">
        <f>IFERROR(VLOOKUP($G551,今日總結!$A:$AJ,36,0),"")</f>
        <v>42</v>
      </c>
      <c r="L551" s="156">
        <f>IFERROR(VLOOKUP($G551,今日總結!$A:$AJ,33,0),"")</f>
        <v>0</v>
      </c>
      <c r="M551" s="340">
        <f>IFERROR(VLOOKUP($G551,今日總結!$A:$AJ,34,0),"")</f>
        <v>2</v>
      </c>
      <c r="N551" s="240">
        <f t="shared" si="126"/>
        <v>-2</v>
      </c>
      <c r="P551" s="365">
        <f>IFERROR(VLOOKUP($G551,融外自投!$A:$J,7,0),"無")</f>
        <v>157</v>
      </c>
      <c r="Q551" s="79">
        <f>IFERROR(VLOOKUP($G551,融外自投!$A:$J,9,0),"無")</f>
        <v>435</v>
      </c>
      <c r="R551" s="346">
        <f>IFERROR(VLOOKUP($G551,融外自投!$A:$J,8,0),"無")</f>
        <v>410</v>
      </c>
      <c r="S551" s="81">
        <f>IFERROR(VLOOKUP($G551,融外自投!$A:$J,10,0),"無")</f>
        <v>158</v>
      </c>
      <c r="T551" s="327">
        <f>IFERROR(VLOOKUP($G551,'321買'!$A:$E,5,0),"'沒有資料'")</f>
        <v>68</v>
      </c>
      <c r="U551" s="186">
        <f>IFERROR(VLOOKUP($G551,基本資料!$A:$J,9,0),"無")</f>
        <v>3</v>
      </c>
      <c r="V551" s="310">
        <f t="shared" si="121"/>
        <v>3.8910505836575876E-2</v>
      </c>
      <c r="W551" s="94">
        <f>IFERROR(VLOOKUP($G551,基本資料!$A:$J,10,0),"無")</f>
        <v>5.66</v>
      </c>
      <c r="X551" s="36">
        <f>RTD("money.excel",,"2481","Price")</f>
        <v>77.099999999999994</v>
      </c>
      <c r="Y551" s="66"/>
      <c r="Z551" s="15">
        <f t="shared" si="122"/>
        <v>77.099999999999994</v>
      </c>
      <c r="AA551" s="3" t="e">
        <f t="shared" si="123"/>
        <v>#DIV/0!</v>
      </c>
      <c r="AB551" s="344">
        <f>IFERROR(VLOOKUP($G551,基本資料!$A:$M,11,0),"無")</f>
        <v>-38.32</v>
      </c>
      <c r="AC551" s="397">
        <f>IFERROR(VLOOKUP($G551,基本資料!$A:$M,12,0),"無")</f>
        <v>19.38</v>
      </c>
      <c r="AD551" s="22" t="s">
        <v>183</v>
      </c>
      <c r="AG551" s="33">
        <f t="shared" si="124"/>
        <v>0</v>
      </c>
      <c r="AH551" s="119" t="s">
        <v>2185</v>
      </c>
      <c r="AI551" s="63">
        <f t="shared" si="125"/>
        <v>4.4689132706374084E-2</v>
      </c>
      <c r="AJ551" s="284">
        <f>RTD("money.excel",,$G551,"PredictVolume")</f>
        <v>17107</v>
      </c>
      <c r="AK551" s="399">
        <f>IFERROR(VLOOKUP($G551,基本資料!$A:$M,13,0),"無")</f>
        <v>25.27</v>
      </c>
    </row>
    <row r="552" spans="1:37">
      <c r="A552" s="347">
        <f>IFERROR(VLOOKUP($G552,基本資料!$A:$J,3,0),"無")</f>
        <v>28.61</v>
      </c>
      <c r="B552" s="79">
        <f>IFERROR(VLOOKUP($G552,基本資料!$A:$J,4,0),"無")</f>
        <v>364</v>
      </c>
      <c r="C552" s="79">
        <f>IFERROR(VLOOKUP($G552,基本資料!$A:$J,5,0),"無")</f>
        <v>408</v>
      </c>
      <c r="D552" s="79">
        <f>IFERROR(VLOOKUP($G552,基本資料!$A:$J,6,0),"無")</f>
        <v>-4</v>
      </c>
      <c r="E552" s="79">
        <f>IFERROR(VLOOKUP($G552,基本資料!$A:$J,7,0),"無")</f>
        <v>-13</v>
      </c>
      <c r="F552" s="6">
        <f>IFERROR(VLOOKUP($G552,基本資料!$A:$J,8,0),"無")</f>
        <v>24.64</v>
      </c>
      <c r="G552" s="79">
        <v>3006</v>
      </c>
      <c r="H552" s="8" t="s">
        <v>3039</v>
      </c>
      <c r="I552" s="22" t="s">
        <v>95</v>
      </c>
      <c r="J552" s="8">
        <f>IFERROR(VLOOKUP($G552,今日總結!$A:$AJ,35,0),"")</f>
        <v>4</v>
      </c>
      <c r="K552" s="5" t="str">
        <f>IFERROR(VLOOKUP($G552,今日總結!$A:$AJ,36,0),"")</f>
        <v>借</v>
      </c>
      <c r="L552" s="156">
        <f>IFERROR(VLOOKUP($G552,今日總結!$A:$AJ,33,0),"")</f>
        <v>1</v>
      </c>
      <c r="M552" s="340">
        <f>IFERROR(VLOOKUP($G552,今日總結!$A:$AJ,34,0),"")</f>
        <v>1</v>
      </c>
      <c r="N552" s="240">
        <f t="shared" si="126"/>
        <v>0</v>
      </c>
      <c r="P552" s="365">
        <f>IFERROR(VLOOKUP($G552,融外自投!$A:$J,7,0),"無")</f>
        <v>25</v>
      </c>
      <c r="Q552" s="79" t="str">
        <f>IFERROR(VLOOKUP($G552,融外自投!$A:$J,9,0),"無")</f>
        <v>無</v>
      </c>
      <c r="R552" s="346">
        <f>IFERROR(VLOOKUP($G552,融外自投!$A:$J,8,0),"無")</f>
        <v>387</v>
      </c>
      <c r="S552" s="81">
        <f>IFERROR(VLOOKUP($G552,融外自投!$A:$J,10,0),"無")</f>
        <v>169</v>
      </c>
      <c r="T552" s="327">
        <f>IFERROR(VLOOKUP($G552,'321買'!$A:$E,5,0),"'沒有資料'")</f>
        <v>93</v>
      </c>
      <c r="U552" s="186">
        <f>IFERROR(VLOOKUP($G552,基本資料!$A:$J,9,0),"無")</f>
        <v>8</v>
      </c>
      <c r="V552" s="310">
        <f t="shared" si="121"/>
        <v>6.8376068376068383E-2</v>
      </c>
      <c r="W552" s="94">
        <f>IFERROR(VLOOKUP($G552,基本資料!$A:$J,10,0),"無")</f>
        <v>17.760000000000002</v>
      </c>
      <c r="X552" s="36">
        <f>RTD("money.excel",,"3006","Price")</f>
        <v>117</v>
      </c>
      <c r="Y552" s="66"/>
      <c r="Z552" s="15">
        <f t="shared" si="122"/>
        <v>117</v>
      </c>
      <c r="AA552" s="3" t="e">
        <f t="shared" si="123"/>
        <v>#DIV/0!</v>
      </c>
      <c r="AB552" s="344">
        <f>IFERROR(VLOOKUP($G552,基本資料!$A:$M,11,0),"無")</f>
        <v>-45.54</v>
      </c>
      <c r="AC552" s="397">
        <f>IFERROR(VLOOKUP($G552,基本資料!$A:$M,12,0),"無")</f>
        <v>14.51</v>
      </c>
      <c r="AD552" s="22" t="s">
        <v>95</v>
      </c>
      <c r="AG552" s="33">
        <f t="shared" si="124"/>
        <v>0</v>
      </c>
      <c r="AH552" s="117" t="s">
        <v>2129</v>
      </c>
      <c r="AI552" s="63">
        <f t="shared" si="125"/>
        <v>2.7077944774554351E-2</v>
      </c>
      <c r="AJ552" s="284">
        <f>RTD("money.excel",,$G552,"PredictVolume")</f>
        <v>7747</v>
      </c>
      <c r="AK552" s="399">
        <f>IFERROR(VLOOKUP($G552,基本資料!$A:$M,13,0),"無")</f>
        <v>38.299999999999997</v>
      </c>
    </row>
    <row r="553" spans="1:37">
      <c r="A553" s="347">
        <f>IFERROR(VLOOKUP($G553,基本資料!$A:$J,3,0),"無")</f>
        <v>16.100000000000001</v>
      </c>
      <c r="B553" s="79">
        <f>IFERROR(VLOOKUP($G553,基本資料!$A:$J,4,0),"無")</f>
        <v>93</v>
      </c>
      <c r="C553" s="79">
        <f>IFERROR(VLOOKUP($G553,基本資料!$A:$J,5,0),"無")</f>
        <v>88</v>
      </c>
      <c r="D553" s="79">
        <f>IFERROR(VLOOKUP($G553,基本資料!$A:$J,6,0),"無")</f>
        <v>-6</v>
      </c>
      <c r="E553" s="79">
        <f>IFERROR(VLOOKUP($G553,基本資料!$A:$J,7,0),"無")</f>
        <v>-10</v>
      </c>
      <c r="F553" s="6">
        <f>IFERROR(VLOOKUP($G553,基本資料!$A:$J,8,0),"無")</f>
        <v>29.18</v>
      </c>
      <c r="G553" s="79">
        <v>3014</v>
      </c>
      <c r="H553" s="8" t="s">
        <v>3039</v>
      </c>
      <c r="I553" s="22" t="s">
        <v>97</v>
      </c>
      <c r="J553" s="8">
        <f>IFERROR(VLOOKUP($G553,今日總結!$A:$AJ,35,0),"")</f>
        <v>0</v>
      </c>
      <c r="K553" s="5" t="str">
        <f>IFERROR(VLOOKUP($G553,今日總結!$A:$AJ,36,0),"")</f>
        <v>融</v>
      </c>
      <c r="L553" s="156">
        <f>IFERROR(VLOOKUP($G553,今日總結!$A:$AJ,33,0),"")</f>
        <v>0</v>
      </c>
      <c r="M553" s="340">
        <f>IFERROR(VLOOKUP($G553,今日總結!$A:$AJ,34,0),"")</f>
        <v>1</v>
      </c>
      <c r="N553" s="240">
        <f t="shared" si="126"/>
        <v>-1</v>
      </c>
      <c r="P553" s="365">
        <f>IFERROR(VLOOKUP($G553,融外自投!$A:$J,7,0),"無")</f>
        <v>569</v>
      </c>
      <c r="Q553" s="79">
        <f>IFERROR(VLOOKUP($G553,融外自投!$A:$J,9,0),"無")</f>
        <v>653</v>
      </c>
      <c r="R553" s="346">
        <f>IFERROR(VLOOKUP($G553,融外自投!$A:$J,8,0),"無")</f>
        <v>553</v>
      </c>
      <c r="S553" s="81">
        <f>IFERROR(VLOOKUP($G553,融外自投!$A:$J,10,0),"無")</f>
        <v>351</v>
      </c>
      <c r="T553" s="327">
        <f>IFERROR(VLOOKUP($G553,'321買'!$A:$E,5,0),"'沒有資料'")</f>
        <v>207</v>
      </c>
      <c r="U553" s="186">
        <f>IFERROR(VLOOKUP($G553,基本資料!$A:$J,9,0),"無")</f>
        <v>9</v>
      </c>
      <c r="V553" s="310">
        <f t="shared" si="121"/>
        <v>9.4736842105263161E-2</v>
      </c>
      <c r="W553" s="94">
        <f>IFERROR(VLOOKUP($G553,基本資料!$A:$J,10,0),"無")</f>
        <v>11.21</v>
      </c>
      <c r="X553" s="36">
        <f>RTD("money.excel",,"3014","Price")</f>
        <v>95</v>
      </c>
      <c r="Y553" s="66"/>
      <c r="Z553" s="15">
        <f t="shared" si="122"/>
        <v>95</v>
      </c>
      <c r="AA553" s="3" t="e">
        <f t="shared" si="123"/>
        <v>#DIV/0!</v>
      </c>
      <c r="AB553" s="344">
        <f>IFERROR(VLOOKUP($G553,基本資料!$A:$M,11,0),"無")</f>
        <v>-33.94</v>
      </c>
      <c r="AC553" s="397">
        <f>IFERROR(VLOOKUP($G553,基本資料!$A:$M,12,0),"無")</f>
        <v>17.989999999999998</v>
      </c>
      <c r="AD553" s="22" t="s">
        <v>97</v>
      </c>
      <c r="AG553" s="33">
        <f t="shared" si="124"/>
        <v>0</v>
      </c>
      <c r="AH553" s="117" t="s">
        <v>1438</v>
      </c>
      <c r="AI553" s="63">
        <f t="shared" si="125"/>
        <v>3.0993788819875774E-3</v>
      </c>
      <c r="AJ553" s="284">
        <f>RTD("money.excel",,$G553,"PredictVolume")</f>
        <v>499</v>
      </c>
      <c r="AK553" s="399">
        <f>IFERROR(VLOOKUP($G553,基本資料!$A:$M,13,0),"無")</f>
        <v>38.229999999999997</v>
      </c>
    </row>
    <row r="554" spans="1:37">
      <c r="A554" s="347">
        <f>IFERROR(VLOOKUP($G554,基本資料!$A:$J,3,0),"無")</f>
        <v>28.8</v>
      </c>
      <c r="B554" s="79">
        <f>IFERROR(VLOOKUP($G554,基本資料!$A:$J,4,0),"無")</f>
        <v>1381</v>
      </c>
      <c r="C554" s="79">
        <f>IFERROR(VLOOKUP($G554,基本資料!$A:$J,5,0),"無")</f>
        <v>3939</v>
      </c>
      <c r="D554" s="79">
        <f>IFERROR(VLOOKUP($G554,基本資料!$A:$J,6,0),"無")</f>
        <v>0</v>
      </c>
      <c r="E554" s="79">
        <f>IFERROR(VLOOKUP($G554,基本資料!$A:$J,7,0),"無")</f>
        <v>28</v>
      </c>
      <c r="F554" s="6">
        <f>IFERROR(VLOOKUP($G554,基本資料!$A:$J,8,0),"無")</f>
        <v>9.1999999999999993</v>
      </c>
      <c r="G554" s="79">
        <v>3016</v>
      </c>
      <c r="H554" s="195" t="s">
        <v>3039</v>
      </c>
      <c r="I554" s="23" t="s">
        <v>246</v>
      </c>
      <c r="J554" s="8" t="str">
        <f>IFERROR(VLOOKUP($G554,今日總結!$A:$AJ,35,0),"")</f>
        <v/>
      </c>
      <c r="K554" s="5" t="str">
        <f>IFERROR(VLOOKUP($G554,今日總結!$A:$AJ,36,0),"")</f>
        <v/>
      </c>
      <c r="L554" s="156" t="str">
        <f>IFERROR(VLOOKUP($G554,今日總結!$A:$AJ,33,0),"")</f>
        <v/>
      </c>
      <c r="M554" s="340" t="str">
        <f>IFERROR(VLOOKUP($G554,今日總結!$A:$AJ,34,0),"")</f>
        <v/>
      </c>
      <c r="N554" s="240" t="str">
        <f t="shared" si="126"/>
        <v/>
      </c>
      <c r="P554" s="365">
        <f>IFERROR(VLOOKUP($G554,融外自投!$A:$J,7,0),"無")</f>
        <v>467</v>
      </c>
      <c r="Q554" s="79">
        <f>IFERROR(VLOOKUP($G554,融外自投!$A:$J,9,0),"無")</f>
        <v>734</v>
      </c>
      <c r="R554" s="346">
        <f>IFERROR(VLOOKUP($G554,融外自投!$A:$J,8,0),"無")</f>
        <v>844</v>
      </c>
      <c r="S554" s="81">
        <f>IFERROR(VLOOKUP($G554,融外自投!$A:$J,10,0),"無")</f>
        <v>473</v>
      </c>
      <c r="T554" s="327">
        <f>IFERROR(VLOOKUP($G554,'321買'!$A:$E,5,0),"'沒有資料'")</f>
        <v>271</v>
      </c>
      <c r="U554" s="186">
        <f>IFERROR(VLOOKUP($G554,基本資料!$A:$J,9,0),"無")</f>
        <v>1.2</v>
      </c>
      <c r="V554" s="310">
        <f t="shared" si="121"/>
        <v>1.2499999999999999E-2</v>
      </c>
      <c r="W554" s="94">
        <f>IFERROR(VLOOKUP($G554,基本資料!$A:$J,10,0),"無")</f>
        <v>1.35</v>
      </c>
      <c r="X554" s="36">
        <f>RTD("money.excel",,"3016","Price")</f>
        <v>96</v>
      </c>
      <c r="Y554" s="66"/>
      <c r="Z554" s="15">
        <f t="shared" si="122"/>
        <v>96</v>
      </c>
      <c r="AA554" s="3" t="e">
        <f t="shared" si="123"/>
        <v>#DIV/0!</v>
      </c>
      <c r="AB554" s="344">
        <f>IFERROR(VLOOKUP($G554,基本資料!$A:$M,11,0),"無")</f>
        <v>-42.98</v>
      </c>
      <c r="AC554" s="397">
        <f>IFERROR(VLOOKUP($G554,基本資料!$A:$M,12,0),"無")</f>
        <v>12.07</v>
      </c>
      <c r="AD554" s="23" t="s">
        <v>246</v>
      </c>
      <c r="AG554" s="33">
        <f t="shared" si="124"/>
        <v>0</v>
      </c>
      <c r="AH554" s="119" t="s">
        <v>2310</v>
      </c>
      <c r="AI554" s="63">
        <f t="shared" si="125"/>
        <v>1.5159722222222222E-2</v>
      </c>
      <c r="AJ554" s="284">
        <f>RTD("money.excel",,$G554,"PredictVolume")</f>
        <v>4366</v>
      </c>
      <c r="AK554" s="399">
        <f>IFERROR(VLOOKUP($G554,基本資料!$A:$M,13,0),"無")</f>
        <v>28.61</v>
      </c>
    </row>
    <row r="555" spans="1:37">
      <c r="A555" s="347">
        <f>IFERROR(VLOOKUP($G555,基本資料!$A:$J,3,0),"無")</f>
        <v>60.85</v>
      </c>
      <c r="B555" s="79">
        <f>IFERROR(VLOOKUP($G555,基本資料!$A:$J,4,0),"無")</f>
        <v>228</v>
      </c>
      <c r="C555" s="79">
        <f>IFERROR(VLOOKUP($G555,基本資料!$A:$J,5,0),"無")</f>
        <v>223</v>
      </c>
      <c r="D555" s="79">
        <f>IFERROR(VLOOKUP($G555,基本資料!$A:$J,6,0),"無")</f>
        <v>-1</v>
      </c>
      <c r="E555" s="79">
        <f>IFERROR(VLOOKUP($G555,基本資料!$A:$J,7,0),"無")</f>
        <v>11</v>
      </c>
      <c r="F555" s="6">
        <f>IFERROR(VLOOKUP($G555,基本資料!$A:$J,8,0),"無")</f>
        <v>35.29</v>
      </c>
      <c r="G555" s="79">
        <v>3034</v>
      </c>
      <c r="H555" s="8" t="s">
        <v>3039</v>
      </c>
      <c r="I555" s="22" t="s">
        <v>4041</v>
      </c>
      <c r="J555" s="8" t="str">
        <f>IFERROR(VLOOKUP($G555,今日總結!$A:$AJ,35,0),"")</f>
        <v/>
      </c>
      <c r="K555" s="5" t="str">
        <f>IFERROR(VLOOKUP($G555,今日總結!$A:$AJ,36,0),"")</f>
        <v/>
      </c>
      <c r="L555" s="156" t="str">
        <f>IFERROR(VLOOKUP($G555,今日總結!$A:$AJ,33,0),"")</f>
        <v/>
      </c>
      <c r="M555" s="340" t="str">
        <f>IFERROR(VLOOKUP($G555,今日總結!$A:$AJ,34,0),"")</f>
        <v/>
      </c>
      <c r="N555" s="240" t="str">
        <f t="shared" si="126"/>
        <v/>
      </c>
      <c r="P555" s="365">
        <f>IFERROR(VLOOKUP($G555,融外自投!$A:$J,7,0),"無")</f>
        <v>745</v>
      </c>
      <c r="Q555" s="79">
        <f>IFERROR(VLOOKUP($G555,融外自投!$A:$J,9,0),"無")</f>
        <v>79</v>
      </c>
      <c r="R555" s="346">
        <f>IFERROR(VLOOKUP($G555,融外自投!$A:$J,8,0),"無")</f>
        <v>80</v>
      </c>
      <c r="S555" s="81">
        <f>IFERROR(VLOOKUP($G555,融外自投!$A:$J,10,0),"無")</f>
        <v>53</v>
      </c>
      <c r="T555" s="327">
        <f>IFERROR(VLOOKUP($G555,'321買'!$A:$E,5,0),"'沒有資料'")</f>
        <v>188</v>
      </c>
      <c r="U555" s="186">
        <f>IFERROR(VLOOKUP($G555,基本資料!$A:$J,9,0),"無")</f>
        <v>51.5</v>
      </c>
      <c r="V555" s="310">
        <f t="shared" si="121"/>
        <v>0.13154533844189017</v>
      </c>
      <c r="W555" s="94">
        <f>IFERROR(VLOOKUP($G555,基本資料!$A:$J,10,0),"無")</f>
        <v>63.87</v>
      </c>
      <c r="X555" s="36">
        <f>RTD("money.excel",,"3034","Price")</f>
        <v>391.5</v>
      </c>
      <c r="Y555" s="66"/>
      <c r="Z555" s="15">
        <f t="shared" si="122"/>
        <v>391.5</v>
      </c>
      <c r="AA555" s="3" t="e">
        <f t="shared" si="123"/>
        <v>#DIV/0!</v>
      </c>
      <c r="AB555" s="344">
        <f>IFERROR(VLOOKUP($G555,基本資料!$A:$M,11,0),"無")</f>
        <v>-35.049999999999997</v>
      </c>
      <c r="AC555" s="397">
        <f>IFERROR(VLOOKUP($G555,基本資料!$A:$M,12,0),"無")</f>
        <v>23.08</v>
      </c>
      <c r="AD555" s="22" t="s">
        <v>4041</v>
      </c>
      <c r="AG555" s="33">
        <f t="shared" si="124"/>
        <v>0</v>
      </c>
      <c r="AH555" s="117" t="s">
        <v>2560</v>
      </c>
      <c r="AI555" s="63">
        <f t="shared" si="125"/>
        <v>6.2925225965488911E-3</v>
      </c>
      <c r="AJ555" s="284">
        <f>RTD("money.excel",,$G555,"PredictVolume")</f>
        <v>3829</v>
      </c>
      <c r="AK555" s="399">
        <f>IFERROR(VLOOKUP($G555,基本資料!$A:$M,13,0),"無")</f>
        <v>5.3</v>
      </c>
    </row>
    <row r="556" spans="1:37">
      <c r="A556" s="347">
        <f>IFERROR(VLOOKUP($G556,基本資料!$A:$J,3,0),"無")</f>
        <v>24.85</v>
      </c>
      <c r="B556" s="79">
        <f>IFERROR(VLOOKUP($G556,基本資料!$A:$J,4,0),"無")</f>
        <v>403</v>
      </c>
      <c r="C556" s="79">
        <f>IFERROR(VLOOKUP($G556,基本資料!$A:$J,5,0),"無")</f>
        <v>840</v>
      </c>
      <c r="D556" s="79">
        <f>IFERROR(VLOOKUP($G556,基本資料!$A:$J,6,0),"無")</f>
        <v>1</v>
      </c>
      <c r="E556" s="79">
        <f>IFERROR(VLOOKUP($G556,基本資料!$A:$J,7,0),"無")</f>
        <v>100</v>
      </c>
      <c r="F556" s="6">
        <f>IFERROR(VLOOKUP($G556,基本資料!$A:$J,8,0),"無")</f>
        <v>17.34</v>
      </c>
      <c r="G556" s="79">
        <v>3035</v>
      </c>
      <c r="H556" s="8" t="s">
        <v>307</v>
      </c>
      <c r="I556" s="22" t="s">
        <v>1826</v>
      </c>
      <c r="J556" s="8" t="str">
        <f>IFERROR(VLOOKUP($G556,今日總結!$A:$AJ,35,0),"")</f>
        <v/>
      </c>
      <c r="K556" s="5" t="str">
        <f>IFERROR(VLOOKUP($G556,今日總結!$A:$AJ,36,0),"")</f>
        <v/>
      </c>
      <c r="L556" s="156" t="str">
        <f>IFERROR(VLOOKUP($G556,今日總結!$A:$AJ,33,0),"")</f>
        <v/>
      </c>
      <c r="M556" s="340" t="str">
        <f>IFERROR(VLOOKUP($G556,今日總結!$A:$AJ,34,0),"")</f>
        <v/>
      </c>
      <c r="N556" s="240" t="str">
        <f t="shared" si="126"/>
        <v/>
      </c>
      <c r="P556" s="365">
        <f>IFERROR(VLOOKUP($G556,融外自投!$A:$J,7,0),"無")</f>
        <v>324</v>
      </c>
      <c r="Q556" s="79">
        <f>IFERROR(VLOOKUP($G556,融外自投!$A:$J,9,0),"無")</f>
        <v>78</v>
      </c>
      <c r="R556" s="346">
        <f>IFERROR(VLOOKUP($G556,融外自投!$A:$J,8,0),"無")</f>
        <v>187</v>
      </c>
      <c r="S556" s="81">
        <f>IFERROR(VLOOKUP($G556,融外自投!$A:$J,10,0),"無")</f>
        <v>2</v>
      </c>
      <c r="T556" s="327">
        <f>IFERROR(VLOOKUP($G556,'321買'!$A:$E,5,0),"'沒有資料'")</f>
        <v>2</v>
      </c>
      <c r="U556" s="186">
        <f>IFERROR(VLOOKUP($G556,基本資料!$A:$J,9,0),"無")</f>
        <v>3.3</v>
      </c>
      <c r="V556" s="310">
        <f t="shared" si="121"/>
        <v>1.2815533980582524E-2</v>
      </c>
      <c r="W556" s="94">
        <f>IFERROR(VLOOKUP($G556,基本資料!$A:$J,10,0),"無")</f>
        <v>4.6500000000000004</v>
      </c>
      <c r="X556" s="36">
        <f>RTD("money.excel",,"3035","Price")</f>
        <v>257.5</v>
      </c>
      <c r="Y556" s="66"/>
      <c r="Z556" s="15">
        <f t="shared" si="122"/>
        <v>257.5</v>
      </c>
      <c r="AA556" s="3" t="e">
        <f t="shared" si="123"/>
        <v>#DIV/0!</v>
      </c>
      <c r="AB556" s="344">
        <f>IFERROR(VLOOKUP($G556,基本資料!$A:$M,11,0),"無")</f>
        <v>-25.64</v>
      </c>
      <c r="AC556" s="397">
        <f>IFERROR(VLOOKUP($G556,基本資料!$A:$M,12,0),"無")</f>
        <v>36.04</v>
      </c>
      <c r="AD556" s="22" t="s">
        <v>1826</v>
      </c>
      <c r="AG556" s="33">
        <f t="shared" si="124"/>
        <v>0</v>
      </c>
      <c r="AH556" s="117" t="s">
        <v>2315</v>
      </c>
      <c r="AI556" s="63">
        <f t="shared" si="125"/>
        <v>0.1301810865191147</v>
      </c>
      <c r="AJ556" s="284">
        <f>RTD("money.excel",,$G556,"PredictVolume")</f>
        <v>32350</v>
      </c>
      <c r="AK556" s="399">
        <f>IFERROR(VLOOKUP($G556,基本資料!$A:$M,13,0),"無")</f>
        <v>45.71</v>
      </c>
    </row>
    <row r="557" spans="1:37">
      <c r="A557" s="347">
        <f>IFERROR(VLOOKUP($G557,基本資料!$A:$J,3,0),"無")</f>
        <v>19.34</v>
      </c>
      <c r="B557" s="79">
        <f>IFERROR(VLOOKUP($G557,基本資料!$A:$J,4,0),"無")</f>
        <v>62</v>
      </c>
      <c r="C557" s="79">
        <f>IFERROR(VLOOKUP($G557,基本資料!$A:$J,5,0),"無")</f>
        <v>73</v>
      </c>
      <c r="D557" s="79">
        <f>IFERROR(VLOOKUP($G557,基本資料!$A:$J,6,0),"無")</f>
        <v>4</v>
      </c>
      <c r="E557" s="79">
        <f>IFERROR(VLOOKUP($G557,基本資料!$A:$J,7,0),"無")</f>
        <v>23</v>
      </c>
      <c r="F557" s="6">
        <f>IFERROR(VLOOKUP($G557,基本資料!$A:$J,8,0),"無")</f>
        <v>-3.31</v>
      </c>
      <c r="G557" s="79">
        <v>3041</v>
      </c>
      <c r="H557" s="8" t="s">
        <v>3039</v>
      </c>
      <c r="I557" s="22" t="s">
        <v>4042</v>
      </c>
      <c r="J557" s="8" t="str">
        <f>IFERROR(VLOOKUP($G557,今日總結!$A:$AJ,35,0),"")</f>
        <v>外</v>
      </c>
      <c r="K557" s="5">
        <f>IFERROR(VLOOKUP($G557,今日總結!$A:$AJ,36,0),"")</f>
        <v>0</v>
      </c>
      <c r="L557" s="156">
        <f>IFERROR(VLOOKUP($G557,今日總結!$A:$AJ,33,0),"")</f>
        <v>1</v>
      </c>
      <c r="M557" s="340">
        <f>IFERROR(VLOOKUP($G557,今日總結!$A:$AJ,34,0),"")</f>
        <v>1</v>
      </c>
      <c r="N557" s="240">
        <f t="shared" si="126"/>
        <v>0</v>
      </c>
      <c r="P557" s="365">
        <f>IFERROR(VLOOKUP($G557,融外自投!$A:$J,7,0),"無")</f>
        <v>128</v>
      </c>
      <c r="Q557" s="79">
        <f>IFERROR(VLOOKUP($G557,融外自投!$A:$J,9,0),"無")</f>
        <v>287</v>
      </c>
      <c r="R557" s="346">
        <f>IFERROR(VLOOKUP($G557,融外自投!$A:$J,8,0),"無")</f>
        <v>429</v>
      </c>
      <c r="S557" s="81">
        <f>IFERROR(VLOOKUP($G557,融外自投!$A:$J,10,0),"無")</f>
        <v>473</v>
      </c>
      <c r="T557" s="327">
        <f>IFERROR(VLOOKUP($G557,'321買'!$A:$E,5,0),"'沒有資料'")</f>
        <v>153</v>
      </c>
      <c r="U557" s="186">
        <f>IFERROR(VLOOKUP($G557,基本資料!$A:$J,9,0),"無")</f>
        <v>0</v>
      </c>
      <c r="V557" s="310">
        <f t="shared" si="121"/>
        <v>0</v>
      </c>
      <c r="W557" s="94">
        <f>IFERROR(VLOOKUP($G557,基本資料!$A:$J,10,0),"無")</f>
        <v>-0.47</v>
      </c>
      <c r="X557" s="36">
        <f>RTD("money.excel",,"3041","Price")</f>
        <v>27.55</v>
      </c>
      <c r="Y557" s="66"/>
      <c r="Z557" s="15">
        <f t="shared" si="122"/>
        <v>27.55</v>
      </c>
      <c r="AA557" s="3" t="e">
        <f t="shared" si="123"/>
        <v>#DIV/0!</v>
      </c>
      <c r="AB557" s="344">
        <f>IFERROR(VLOOKUP($G557,基本資料!$A:$M,11,0),"無")</f>
        <v>-39.28</v>
      </c>
      <c r="AC557" s="397">
        <f>IFERROR(VLOOKUP($G557,基本資料!$A:$M,12,0),"無")</f>
        <v>22.57</v>
      </c>
      <c r="AD557" s="22" t="s">
        <v>4042</v>
      </c>
      <c r="AG557" s="33">
        <f t="shared" si="124"/>
        <v>0</v>
      </c>
      <c r="AH557" s="43" t="s">
        <v>1458</v>
      </c>
      <c r="AI557" s="63">
        <f t="shared" si="125"/>
        <v>5.8117890382626677E-3</v>
      </c>
      <c r="AJ557" s="284">
        <f>RTD("money.excel",,$G557,"PredictVolume")</f>
        <v>1124</v>
      </c>
      <c r="AK557" s="399">
        <f>IFERROR(VLOOKUP($G557,基本資料!$A:$M,13,0),"無")</f>
        <v>53.6</v>
      </c>
    </row>
    <row r="558" spans="1:37">
      <c r="A558" s="347">
        <f>IFERROR(VLOOKUP($G558,基本資料!$A:$J,3,0),"無")</f>
        <v>8.34</v>
      </c>
      <c r="B558" s="79">
        <f>IFERROR(VLOOKUP($G558,基本資料!$A:$J,4,0),"無")</f>
        <v>434</v>
      </c>
      <c r="C558" s="79">
        <f>IFERROR(VLOOKUP($G558,基本資料!$A:$J,5,0),"無")</f>
        <v>52</v>
      </c>
      <c r="D558" s="79">
        <f>IFERROR(VLOOKUP($G558,基本資料!$A:$J,6,0),"無")</f>
        <v>-30</v>
      </c>
      <c r="E558" s="79">
        <f>IFERROR(VLOOKUP($G558,基本資料!$A:$J,7,0),"無")</f>
        <v>-35</v>
      </c>
      <c r="F558" s="6">
        <f>IFERROR(VLOOKUP($G558,基本資料!$A:$J,8,0),"無")</f>
        <v>-101.73</v>
      </c>
      <c r="G558" s="79">
        <v>3054</v>
      </c>
      <c r="H558" s="8" t="s">
        <v>3039</v>
      </c>
      <c r="I558" s="22" t="s">
        <v>4043</v>
      </c>
      <c r="J558" s="8" t="str">
        <f>IFERROR(VLOOKUP($G558,今日總結!$A:$AJ,35,0),"")</f>
        <v/>
      </c>
      <c r="K558" s="5" t="str">
        <f>IFERROR(VLOOKUP($G558,今日總結!$A:$AJ,36,0),"")</f>
        <v/>
      </c>
      <c r="L558" s="156" t="str">
        <f>IFERROR(VLOOKUP($G558,今日總結!$A:$AJ,33,0),"")</f>
        <v/>
      </c>
      <c r="M558" s="340" t="str">
        <f>IFERROR(VLOOKUP($G558,今日總結!$A:$AJ,34,0),"")</f>
        <v/>
      </c>
      <c r="N558" s="240" t="str">
        <f t="shared" si="126"/>
        <v/>
      </c>
      <c r="P558" s="365">
        <f>IFERROR(VLOOKUP($G558,融外自投!$A:$J,7,0),"無")</f>
        <v>725</v>
      </c>
      <c r="Q558" s="79">
        <f>IFERROR(VLOOKUP($G558,融外自投!$A:$J,9,0),"無")</f>
        <v>683</v>
      </c>
      <c r="R558" s="346">
        <f>IFERROR(VLOOKUP($G558,融外自投!$A:$J,8,0),"無")</f>
        <v>1314</v>
      </c>
      <c r="S558" s="81">
        <f>IFERROR(VLOOKUP($G558,融外自投!$A:$J,10,0),"無")</f>
        <v>473</v>
      </c>
      <c r="T558" s="327">
        <f>IFERROR(VLOOKUP($G558,'321買'!$A:$E,5,0),"'沒有資料'")</f>
        <v>1007</v>
      </c>
      <c r="U558" s="186">
        <f>IFERROR(VLOOKUP($G558,基本資料!$A:$J,9,0),"無")</f>
        <v>0</v>
      </c>
      <c r="V558" s="310">
        <f t="shared" si="121"/>
        <v>0</v>
      </c>
      <c r="W558" s="94">
        <f>IFERROR(VLOOKUP($G558,基本資料!$A:$J,10,0),"無")</f>
        <v>0.55000000000000004</v>
      </c>
      <c r="X558" s="36">
        <f>RTD("money.excel",,"3054","Price")</f>
        <v>18.8</v>
      </c>
      <c r="Y558" s="66"/>
      <c r="Z558" s="15">
        <f t="shared" si="122"/>
        <v>18.8</v>
      </c>
      <c r="AA558" s="3" t="e">
        <f t="shared" si="123"/>
        <v>#DIV/0!</v>
      </c>
      <c r="AB558" s="344">
        <f>IFERROR(VLOOKUP($G558,基本資料!$A:$M,11,0),"無")</f>
        <v>-45.71</v>
      </c>
      <c r="AC558" s="397">
        <f>IFERROR(VLOOKUP($G558,基本資料!$A:$M,12,0),"無")</f>
        <v>9.44</v>
      </c>
      <c r="AD558" s="22" t="s">
        <v>4043</v>
      </c>
      <c r="AG558" s="33">
        <f t="shared" si="124"/>
        <v>0</v>
      </c>
      <c r="AH558" s="43" t="s">
        <v>1414</v>
      </c>
      <c r="AI558" s="63">
        <f t="shared" si="125"/>
        <v>9.5923261390887284E-5</v>
      </c>
      <c r="AJ558" s="284">
        <f>RTD("money.excel",,$G558,"PredictVolume")</f>
        <v>8</v>
      </c>
      <c r="AK558" s="399">
        <f>IFERROR(VLOOKUP($G558,基本資料!$A:$M,13,0),"無")</f>
        <v>7.94</v>
      </c>
    </row>
    <row r="559" spans="1:37">
      <c r="A559" s="347">
        <f>IFERROR(VLOOKUP($G559,基本資料!$A:$J,3,0),"無")</f>
        <v>2.7</v>
      </c>
      <c r="B559" s="79">
        <f>IFERROR(VLOOKUP($G559,基本資料!$A:$J,4,0),"無")</f>
        <v>-696</v>
      </c>
      <c r="C559" s="79">
        <f>IFERROR(VLOOKUP($G559,基本資料!$A:$J,5,0),"無")</f>
        <v>-1291</v>
      </c>
      <c r="D559" s="79">
        <f>IFERROR(VLOOKUP($G559,基本資料!$A:$J,6,0),"無")</f>
        <v>-21</v>
      </c>
      <c r="E559" s="79">
        <f>IFERROR(VLOOKUP($G559,基本資料!$A:$J,7,0),"無")</f>
        <v>-2</v>
      </c>
      <c r="F559" s="6">
        <f>IFERROR(VLOOKUP($G559,基本資料!$A:$J,8,0),"無")</f>
        <v>-41.15</v>
      </c>
      <c r="G559" s="79">
        <v>3073</v>
      </c>
      <c r="H559" s="145" t="s">
        <v>3039</v>
      </c>
      <c r="I559" s="16" t="s">
        <v>3159</v>
      </c>
      <c r="J559" s="8" t="str">
        <f>IFERROR(VLOOKUP($G559,今日總結!$A:$AJ,35,0),"")</f>
        <v/>
      </c>
      <c r="K559" s="5" t="str">
        <f>IFERROR(VLOOKUP($G559,今日總結!$A:$AJ,36,0),"")</f>
        <v/>
      </c>
      <c r="L559" s="156" t="str">
        <f>IFERROR(VLOOKUP($G559,今日總結!$A:$AJ,33,0),"")</f>
        <v/>
      </c>
      <c r="M559" s="340" t="str">
        <f>IFERROR(VLOOKUP($G559,今日總結!$A:$AJ,34,0),"")</f>
        <v/>
      </c>
      <c r="N559" s="240" t="str">
        <f t="shared" si="126"/>
        <v/>
      </c>
      <c r="P559" s="365" t="str">
        <f>IFERROR(VLOOKUP($G559,融外自投!$A:$J,7,0),"無")</f>
        <v>無</v>
      </c>
      <c r="Q559" s="79" t="str">
        <f>IFERROR(VLOOKUP($G559,融外自投!$A:$J,9,0),"無")</f>
        <v>無</v>
      </c>
      <c r="R559" s="346" t="str">
        <f>IFERROR(VLOOKUP($G559,融外自投!$A:$J,8,0),"無")</f>
        <v>無</v>
      </c>
      <c r="S559" s="81" t="str">
        <f>IFERROR(VLOOKUP($G559,融外自投!$A:$J,10,0),"無")</f>
        <v>無</v>
      </c>
      <c r="T559" s="327" t="str">
        <f>IFERROR(VLOOKUP($G559,'321買'!$A:$E,5,0),"'沒有資料'")</f>
        <v>'沒有資料'</v>
      </c>
      <c r="U559" s="186">
        <f>IFERROR(VLOOKUP($G559,基本資料!$A:$J,9,0),"無")</f>
        <v>0</v>
      </c>
      <c r="V559" s="310">
        <f t="shared" si="121"/>
        <v>0</v>
      </c>
      <c r="W559" s="94">
        <f>IFERROR(VLOOKUP($G559,基本資料!$A:$J,10,0),"無")</f>
        <v>-3.16</v>
      </c>
      <c r="X559" s="36">
        <f>RTD("money.excel",,"3073","Price")</f>
        <v>23.3</v>
      </c>
      <c r="Y559" s="66"/>
      <c r="Z559" s="15">
        <f t="shared" si="122"/>
        <v>23.3</v>
      </c>
      <c r="AA559" s="3" t="e">
        <f t="shared" si="123"/>
        <v>#DIV/0!</v>
      </c>
      <c r="AB559" s="344">
        <f>IFERROR(VLOOKUP($G559,基本資料!$A:$M,11,0),"無")</f>
        <v>-25.81</v>
      </c>
      <c r="AC559" s="397">
        <f>IFERROR(VLOOKUP($G559,基本資料!$A:$M,12,0),"無")</f>
        <v>27.84</v>
      </c>
      <c r="AD559" s="16" t="s">
        <v>3159</v>
      </c>
      <c r="AG559" s="33">
        <f t="shared" si="124"/>
        <v>0</v>
      </c>
      <c r="AH559" s="43" t="s">
        <v>3160</v>
      </c>
      <c r="AI559" s="63">
        <f t="shared" si="125"/>
        <v>4.0740740740740738E-4</v>
      </c>
      <c r="AJ559" s="284">
        <f>RTD("money.excel",,$G559,"PredictVolume")</f>
        <v>11</v>
      </c>
      <c r="AK559" s="399">
        <f>IFERROR(VLOOKUP($G559,基本資料!$A:$M,13,0),"無")</f>
        <v>0.24</v>
      </c>
    </row>
    <row r="560" spans="1:37">
      <c r="A560" s="347">
        <f>IFERROR(VLOOKUP($G560,基本資料!$A:$J,3,0),"無")</f>
        <v>8.31</v>
      </c>
      <c r="B560" s="79">
        <f>IFERROR(VLOOKUP($G560,基本資料!$A:$J,4,0),"無")</f>
        <v>108</v>
      </c>
      <c r="C560" s="79">
        <f>IFERROR(VLOOKUP($G560,基本資料!$A:$J,5,0),"無")</f>
        <v>179</v>
      </c>
      <c r="D560" s="79">
        <f>IFERROR(VLOOKUP($G560,基本資料!$A:$J,6,0),"無")</f>
        <v>0</v>
      </c>
      <c r="E560" s="79">
        <f>IFERROR(VLOOKUP($G560,基本資料!$A:$J,7,0),"無")</f>
        <v>-4</v>
      </c>
      <c r="F560" s="6">
        <f>IFERROR(VLOOKUP($G560,基本資料!$A:$J,8,0),"無")</f>
        <v>19.940000000000001</v>
      </c>
      <c r="G560" s="79">
        <v>3094</v>
      </c>
      <c r="H560" s="8" t="s">
        <v>3039</v>
      </c>
      <c r="I560" s="22" t="s">
        <v>346</v>
      </c>
      <c r="J560" s="8" t="str">
        <f>IFERROR(VLOOKUP($G560,今日總結!$A:$AJ,35,0),"")</f>
        <v/>
      </c>
      <c r="K560" s="5" t="str">
        <f>IFERROR(VLOOKUP($G560,今日總結!$A:$AJ,36,0),"")</f>
        <v/>
      </c>
      <c r="L560" s="156" t="str">
        <f>IFERROR(VLOOKUP($G560,今日總結!$A:$AJ,33,0),"")</f>
        <v/>
      </c>
      <c r="M560" s="340" t="str">
        <f>IFERROR(VLOOKUP($G560,今日總結!$A:$AJ,34,0),"")</f>
        <v/>
      </c>
      <c r="N560" s="240" t="str">
        <f t="shared" si="126"/>
        <v/>
      </c>
      <c r="P560" s="365">
        <f>IFERROR(VLOOKUP($G560,融外自投!$A:$J,7,0),"無")</f>
        <v>191</v>
      </c>
      <c r="Q560" s="79">
        <f>IFERROR(VLOOKUP($G560,融外自投!$A:$J,9,0),"無")</f>
        <v>708</v>
      </c>
      <c r="R560" s="346">
        <f>IFERROR(VLOOKUP($G560,融外自投!$A:$J,8,0),"無")</f>
        <v>1092</v>
      </c>
      <c r="S560" s="81" t="str">
        <f>IFERROR(VLOOKUP($G560,融外自投!$A:$J,10,0),"無")</f>
        <v>無</v>
      </c>
      <c r="T560" s="327">
        <f>IFERROR(VLOOKUP($G560,'321買'!$A:$E,5,0),"'沒有資料'")</f>
        <v>536</v>
      </c>
      <c r="U560" s="186">
        <f>IFERROR(VLOOKUP($G560,基本資料!$A:$J,9,0),"無")</f>
        <v>1</v>
      </c>
      <c r="V560" s="310">
        <f t="shared" si="121"/>
        <v>3.4602076124567477E-2</v>
      </c>
      <c r="W560" s="94">
        <f>IFERROR(VLOOKUP($G560,基本資料!$A:$J,10,0),"無")</f>
        <v>0.85</v>
      </c>
      <c r="X560" s="36">
        <f>RTD("money.excel",,"3094","Price")</f>
        <v>28.9</v>
      </c>
      <c r="Y560" s="66"/>
      <c r="Z560" s="15">
        <f t="shared" si="122"/>
        <v>28.9</v>
      </c>
      <c r="AA560" s="3" t="e">
        <f t="shared" si="123"/>
        <v>#DIV/0!</v>
      </c>
      <c r="AB560" s="344">
        <f>IFERROR(VLOOKUP($G560,基本資料!$A:$M,11,0),"無")</f>
        <v>-44.5</v>
      </c>
      <c r="AC560" s="397">
        <f>IFERROR(VLOOKUP($G560,基本資料!$A:$M,12,0),"無")</f>
        <v>17.46</v>
      </c>
      <c r="AD560" s="22" t="s">
        <v>346</v>
      </c>
      <c r="AG560" s="33">
        <f t="shared" si="124"/>
        <v>0</v>
      </c>
      <c r="AH560" s="43" t="s">
        <v>2144</v>
      </c>
      <c r="AI560" s="63">
        <f t="shared" si="125"/>
        <v>5.619735258724428E-3</v>
      </c>
      <c r="AJ560" s="284">
        <f>RTD("money.excel",,$G560,"PredictVolume")</f>
        <v>467</v>
      </c>
      <c r="AK560" s="399">
        <f>IFERROR(VLOOKUP($G560,基本資料!$A:$M,13,0),"無")</f>
        <v>85.8</v>
      </c>
    </row>
    <row r="561" spans="1:37">
      <c r="A561" s="347">
        <f>IFERROR(VLOOKUP($G561,基本資料!$A:$J,3,0),"無")</f>
        <v>42.39</v>
      </c>
      <c r="B561" s="79">
        <f>IFERROR(VLOOKUP($G561,基本資料!$A:$J,4,0),"無")</f>
        <v>-19</v>
      </c>
      <c r="C561" s="79">
        <f>IFERROR(VLOOKUP($G561,基本資料!$A:$J,5,0),"無")</f>
        <v>-17</v>
      </c>
      <c r="D561" s="79">
        <f>IFERROR(VLOOKUP($G561,基本資料!$A:$J,6,0),"無")</f>
        <v>-2</v>
      </c>
      <c r="E561" s="79">
        <f>IFERROR(VLOOKUP($G561,基本資料!$A:$J,7,0),"無")</f>
        <v>-11</v>
      </c>
      <c r="F561" s="6">
        <f>IFERROR(VLOOKUP($G561,基本資料!$A:$J,8,0),"無")</f>
        <v>24.53</v>
      </c>
      <c r="G561" s="79">
        <v>3105</v>
      </c>
      <c r="H561" s="145" t="s">
        <v>3039</v>
      </c>
      <c r="I561" s="16" t="s">
        <v>258</v>
      </c>
      <c r="J561" s="8" t="str">
        <f>IFERROR(VLOOKUP($G561,今日總結!$A:$AJ,35,0),"")</f>
        <v>外</v>
      </c>
      <c r="K561" s="5">
        <f>IFERROR(VLOOKUP($G561,今日總結!$A:$AJ,36,0),"")</f>
        <v>0</v>
      </c>
      <c r="L561" s="156">
        <f>IFERROR(VLOOKUP($G561,今日總結!$A:$AJ,33,0),"")</f>
        <v>1</v>
      </c>
      <c r="M561" s="340">
        <f>IFERROR(VLOOKUP($G561,今日總結!$A:$AJ,34,0),"")</f>
        <v>0</v>
      </c>
      <c r="N561" s="240">
        <f t="shared" si="126"/>
        <v>1</v>
      </c>
      <c r="P561" s="365">
        <f>IFERROR(VLOOKUP($G561,融外自投!$A:$J,7,0),"無")</f>
        <v>850</v>
      </c>
      <c r="Q561" s="79">
        <f>IFERROR(VLOOKUP($G561,融外自投!$A:$J,9,0),"無")</f>
        <v>108</v>
      </c>
      <c r="R561" s="346">
        <f>IFERROR(VLOOKUP($G561,融外自投!$A:$J,8,0),"無")</f>
        <v>100</v>
      </c>
      <c r="S561" s="81">
        <f>IFERROR(VLOOKUP($G561,融外自投!$A:$J,10,0),"無")</f>
        <v>164</v>
      </c>
      <c r="T561" s="327">
        <f>IFERROR(VLOOKUP($G561,'321買'!$A:$E,5,0),"'沒有資料'")</f>
        <v>416</v>
      </c>
      <c r="U561" s="186">
        <f>IFERROR(VLOOKUP($G561,基本資料!$A:$J,9,0),"無")</f>
        <v>8</v>
      </c>
      <c r="V561" s="310">
        <f t="shared" si="121"/>
        <v>4.1237113402061855E-2</v>
      </c>
      <c r="W561" s="94">
        <f>IFERROR(VLOOKUP($G561,基本資料!$A:$J,10,0),"無")</f>
        <v>12.9</v>
      </c>
      <c r="X561" s="36">
        <f>RTD("money.excel",,"3105","Price")</f>
        <v>194</v>
      </c>
      <c r="Y561" s="66"/>
      <c r="Z561" s="15">
        <f t="shared" si="122"/>
        <v>194</v>
      </c>
      <c r="AA561" s="3" t="e">
        <f t="shared" si="123"/>
        <v>#DIV/0!</v>
      </c>
      <c r="AB561" s="344">
        <f>IFERROR(VLOOKUP($G561,基本資料!$A:$M,11,0),"無")</f>
        <v>-51.87</v>
      </c>
      <c r="AC561" s="397">
        <f>IFERROR(VLOOKUP($G561,基本資料!$A:$M,12,0),"無")</f>
        <v>3.94</v>
      </c>
      <c r="AD561" s="16" t="s">
        <v>258</v>
      </c>
      <c r="AG561" s="33">
        <f t="shared" si="124"/>
        <v>0</v>
      </c>
      <c r="AH561" s="117" t="s">
        <v>2325</v>
      </c>
      <c r="AI561" s="63">
        <f t="shared" ref="AI561:AI592" si="127">AJ561/(A561*10000)</f>
        <v>3.8947865062514742E-3</v>
      </c>
      <c r="AJ561" s="284">
        <f>RTD("money.excel",,$G561,"PredictVolume")</f>
        <v>1651</v>
      </c>
      <c r="AK561" s="399">
        <f>IFERROR(VLOOKUP($G561,基本資料!$A:$M,13,0),"無")</f>
        <v>5.35</v>
      </c>
    </row>
    <row r="562" spans="1:37">
      <c r="A562" s="347">
        <f>IFERROR(VLOOKUP($G562,基本資料!$A:$J,3,0),"無")</f>
        <v>3.9</v>
      </c>
      <c r="B562" s="79">
        <f>IFERROR(VLOOKUP($G562,基本資料!$A:$J,4,0),"無")</f>
        <v>1262</v>
      </c>
      <c r="C562" s="79">
        <f>IFERROR(VLOOKUP($G562,基本資料!$A:$J,5,0),"無")</f>
        <v>1058</v>
      </c>
      <c r="D562" s="79">
        <f>IFERROR(VLOOKUP($G562,基本資料!$A:$J,6,0),"無")</f>
        <v>-19</v>
      </c>
      <c r="E562" s="79">
        <f>IFERROR(VLOOKUP($G562,基本資料!$A:$J,7,0),"無")</f>
        <v>-14</v>
      </c>
      <c r="F562" s="6">
        <f>IFERROR(VLOOKUP($G562,基本資料!$A:$J,8,0),"無")</f>
        <v>17.05</v>
      </c>
      <c r="G562" s="79">
        <v>3122</v>
      </c>
      <c r="H562" s="145" t="s">
        <v>3039</v>
      </c>
      <c r="I562" s="16" t="s">
        <v>358</v>
      </c>
      <c r="J562" s="8">
        <f>IFERROR(VLOOKUP($G562,今日總結!$A:$AJ,35,0),"")</f>
        <v>0</v>
      </c>
      <c r="K562" s="5">
        <f>IFERROR(VLOOKUP($G562,今日總結!$A:$AJ,36,0),"")</f>
        <v>2</v>
      </c>
      <c r="L562" s="156">
        <f>IFERROR(VLOOKUP($G562,今日總結!$A:$AJ,33,0),"")</f>
        <v>0</v>
      </c>
      <c r="M562" s="340">
        <f>IFERROR(VLOOKUP($G562,今日總結!$A:$AJ,34,0),"")</f>
        <v>1</v>
      </c>
      <c r="N562" s="240">
        <f t="shared" si="126"/>
        <v>-1</v>
      </c>
      <c r="P562" s="365">
        <f>IFERROR(VLOOKUP($G562,融外自投!$A:$J,7,0),"無")</f>
        <v>61</v>
      </c>
      <c r="Q562" s="79">
        <f>IFERROR(VLOOKUP($G562,融外自投!$A:$J,9,0),"無")</f>
        <v>49</v>
      </c>
      <c r="R562" s="346">
        <f>IFERROR(VLOOKUP($G562,融外自投!$A:$J,8,0),"無")</f>
        <v>993</v>
      </c>
      <c r="S562" s="81" t="str">
        <f>IFERROR(VLOOKUP($G562,融外自投!$A:$J,10,0),"無")</f>
        <v>無</v>
      </c>
      <c r="T562" s="327">
        <f>IFERROR(VLOOKUP($G562,'321買'!$A:$E,5,0),"'沒有資料'")</f>
        <v>100</v>
      </c>
      <c r="U562" s="186">
        <f>IFERROR(VLOOKUP($G562,基本資料!$A:$J,9,0),"無")</f>
        <v>2.2000000000000002</v>
      </c>
      <c r="V562" s="310">
        <f t="shared" si="121"/>
        <v>4.4715447154471545E-2</v>
      </c>
      <c r="W562" s="94">
        <f>IFERROR(VLOOKUP($G562,基本資料!$A:$J,10,0),"無")</f>
        <v>3.38</v>
      </c>
      <c r="X562" s="36">
        <f>RTD("money.excel",,"3122","Price")</f>
        <v>49.2</v>
      </c>
      <c r="Y562" s="66"/>
      <c r="Z562" s="15">
        <f t="shared" si="122"/>
        <v>49.2</v>
      </c>
      <c r="AA562" s="3" t="e">
        <f t="shared" si="123"/>
        <v>#DIV/0!</v>
      </c>
      <c r="AB562" s="344">
        <f>IFERROR(VLOOKUP($G562,基本資料!$A:$M,11,0),"無")</f>
        <v>-31.04</v>
      </c>
      <c r="AC562" s="397">
        <f>IFERROR(VLOOKUP($G562,基本資料!$A:$M,12,0),"無")</f>
        <v>23.19</v>
      </c>
      <c r="AD562" s="16" t="s">
        <v>358</v>
      </c>
      <c r="AG562" s="33">
        <f t="shared" si="124"/>
        <v>0</v>
      </c>
      <c r="AH562" s="43" t="s">
        <v>2352</v>
      </c>
      <c r="AI562" s="63">
        <f t="shared" si="127"/>
        <v>2.2641025641025641E-2</v>
      </c>
      <c r="AJ562" s="284">
        <f>RTD("money.excel",,$G562,"PredictVolume")</f>
        <v>883</v>
      </c>
      <c r="AK562" s="399">
        <f>IFERROR(VLOOKUP($G562,基本資料!$A:$M,13,0),"無")</f>
        <v>89.48</v>
      </c>
    </row>
    <row r="563" spans="1:37">
      <c r="A563" s="347">
        <f>IFERROR(VLOOKUP($G563,基本資料!$A:$J,3,0),"無")</f>
        <v>7.47</v>
      </c>
      <c r="B563" s="79">
        <f>IFERROR(VLOOKUP($G563,基本資料!$A:$J,4,0),"無")</f>
        <v>445</v>
      </c>
      <c r="C563" s="79">
        <f>IFERROR(VLOOKUP($G563,基本資料!$A:$J,5,0),"無")</f>
        <v>461</v>
      </c>
      <c r="D563" s="79">
        <f>IFERROR(VLOOKUP($G563,基本資料!$A:$J,6,0),"無")</f>
        <v>0</v>
      </c>
      <c r="E563" s="79">
        <f>IFERROR(VLOOKUP($G563,基本資料!$A:$J,7,0),"無")</f>
        <v>34</v>
      </c>
      <c r="F563" s="6">
        <f>IFERROR(VLOOKUP($G563,基本資料!$A:$J,8,0),"無")</f>
        <v>29.97</v>
      </c>
      <c r="G563" s="79">
        <v>3141</v>
      </c>
      <c r="H563" s="145" t="s">
        <v>307</v>
      </c>
      <c r="I563" s="16" t="s">
        <v>181</v>
      </c>
      <c r="J563" s="8">
        <f>IFERROR(VLOOKUP($G563,今日總結!$A:$AJ,35,0),"")</f>
        <v>452</v>
      </c>
      <c r="K563" s="5" t="str">
        <f>IFERROR(VLOOKUP($G563,今日總結!$A:$AJ,36,0),"")</f>
        <v>3融</v>
      </c>
      <c r="L563" s="156">
        <f>IFERROR(VLOOKUP($G563,今日總結!$A:$AJ,33,0),"")</f>
        <v>3</v>
      </c>
      <c r="M563" s="340">
        <f>IFERROR(VLOOKUP($G563,今日總結!$A:$AJ,34,0),"")</f>
        <v>2</v>
      </c>
      <c r="N563" s="240">
        <f t="shared" si="126"/>
        <v>1</v>
      </c>
      <c r="P563" s="365">
        <f>IFERROR(VLOOKUP($G563,融外自投!$A:$J,7,0),"無")</f>
        <v>18</v>
      </c>
      <c r="Q563" s="79">
        <f>IFERROR(VLOOKUP($G563,融外自投!$A:$J,9,0),"無")</f>
        <v>215</v>
      </c>
      <c r="R563" s="346">
        <f>IFERROR(VLOOKUP($G563,融外自投!$A:$J,8,0),"無")</f>
        <v>698</v>
      </c>
      <c r="S563" s="81">
        <f>IFERROR(VLOOKUP($G563,融外自投!$A:$J,10,0),"無")</f>
        <v>198</v>
      </c>
      <c r="T563" s="327">
        <f>IFERROR(VLOOKUP($G563,'321買'!$A:$E,5,0),"'沒有資料'")</f>
        <v>12</v>
      </c>
      <c r="U563" s="186">
        <f>IFERROR(VLOOKUP($G563,基本資料!$A:$J,9,0),"無")</f>
        <v>4</v>
      </c>
      <c r="V563" s="310">
        <f t="shared" si="121"/>
        <v>2.5477707006369428E-2</v>
      </c>
      <c r="W563" s="94">
        <f>IFERROR(VLOOKUP($G563,基本資料!$A:$J,10,0),"無")</f>
        <v>9.8000000000000007</v>
      </c>
      <c r="X563" s="36">
        <f>RTD("money.excel",,"3141","Price")</f>
        <v>157</v>
      </c>
      <c r="Y563" s="66"/>
      <c r="Z563" s="15">
        <f t="shared" si="122"/>
        <v>157</v>
      </c>
      <c r="AA563" s="3" t="e">
        <f t="shared" si="123"/>
        <v>#DIV/0!</v>
      </c>
      <c r="AB563" s="344">
        <f>IFERROR(VLOOKUP($G563,基本資料!$A:$M,11,0),"無")</f>
        <v>-52.82</v>
      </c>
      <c r="AC563" s="397">
        <f>IFERROR(VLOOKUP($G563,基本資料!$A:$M,12,0),"無")</f>
        <v>22.85</v>
      </c>
      <c r="AD563" s="16" t="s">
        <v>181</v>
      </c>
      <c r="AG563" s="33">
        <f t="shared" si="124"/>
        <v>0</v>
      </c>
      <c r="AH563" s="119" t="s">
        <v>2146</v>
      </c>
      <c r="AI563" s="63">
        <f t="shared" si="127"/>
        <v>0.38289156626506027</v>
      </c>
      <c r="AJ563" s="284">
        <f>RTD("money.excel",,$G563,"PredictVolume")</f>
        <v>28602</v>
      </c>
      <c r="AK563" s="399">
        <f>IFERROR(VLOOKUP($G563,基本資料!$A:$M,13,0),"無")</f>
        <v>66.53</v>
      </c>
    </row>
    <row r="564" spans="1:37">
      <c r="A564" s="347">
        <f>IFERROR(VLOOKUP($G564,基本資料!$A:$J,3,0),"無")</f>
        <v>6.21</v>
      </c>
      <c r="B564" s="79">
        <f>IFERROR(VLOOKUP($G564,基本資料!$A:$J,4,0),"無")</f>
        <v>141</v>
      </c>
      <c r="C564" s="79">
        <f>IFERROR(VLOOKUP($G564,基本資料!$A:$J,5,0),"無")</f>
        <v>145</v>
      </c>
      <c r="D564" s="79">
        <f>IFERROR(VLOOKUP($G564,基本資料!$A:$J,6,0),"無")</f>
        <v>0</v>
      </c>
      <c r="E564" s="79">
        <f>IFERROR(VLOOKUP($G564,基本資料!$A:$J,7,0),"無")</f>
        <v>52</v>
      </c>
      <c r="F564" s="6">
        <f>IFERROR(VLOOKUP($G564,基本資料!$A:$J,8,0),"無")</f>
        <v>34.74</v>
      </c>
      <c r="G564" s="79">
        <v>3169</v>
      </c>
      <c r="H564" s="145" t="s">
        <v>3039</v>
      </c>
      <c r="I564" s="16" t="s">
        <v>359</v>
      </c>
      <c r="J564" s="8">
        <f>IFERROR(VLOOKUP($G564,今日總結!$A:$AJ,35,0),"")</f>
        <v>62</v>
      </c>
      <c r="K564" s="5">
        <f>IFERROR(VLOOKUP($G564,今日總結!$A:$AJ,36,0),"")</f>
        <v>0</v>
      </c>
      <c r="L564" s="156">
        <f>IFERROR(VLOOKUP($G564,今日總結!$A:$AJ,33,0),"")</f>
        <v>3</v>
      </c>
      <c r="M564" s="340">
        <f>IFERROR(VLOOKUP($G564,今日總結!$A:$AJ,34,0),"")</f>
        <v>0</v>
      </c>
      <c r="N564" s="240">
        <f t="shared" si="126"/>
        <v>3</v>
      </c>
      <c r="P564" s="365">
        <f>IFERROR(VLOOKUP($G564,融外自投!$A:$J,7,0),"無")</f>
        <v>19</v>
      </c>
      <c r="Q564" s="79">
        <f>IFERROR(VLOOKUP($G564,融外自投!$A:$J,9,0),"無")</f>
        <v>231</v>
      </c>
      <c r="R564" s="346">
        <f>IFERROR(VLOOKUP($G564,融外自投!$A:$J,8,0),"無")</f>
        <v>919</v>
      </c>
      <c r="S564" s="81">
        <f>IFERROR(VLOOKUP($G564,融外自投!$A:$J,10,0),"無")</f>
        <v>383</v>
      </c>
      <c r="T564" s="327">
        <f>IFERROR(VLOOKUP($G564,'321買'!$A:$E,5,0),"'沒有資料'")</f>
        <v>93</v>
      </c>
      <c r="U564" s="186">
        <f>IFERROR(VLOOKUP($G564,基本資料!$A:$J,9,0),"無")</f>
        <v>5</v>
      </c>
      <c r="V564" s="310">
        <f t="shared" si="121"/>
        <v>3.0581039755351681E-2</v>
      </c>
      <c r="W564" s="94">
        <f>IFERROR(VLOOKUP($G564,基本資料!$A:$J,10,0),"無")</f>
        <v>6.34</v>
      </c>
      <c r="X564" s="36">
        <f>RTD("money.excel",,"3169","Price")</f>
        <v>163.5</v>
      </c>
      <c r="Y564" s="66"/>
      <c r="Z564" s="15">
        <f t="shared" si="122"/>
        <v>163.5</v>
      </c>
      <c r="AA564" s="3" t="e">
        <f t="shared" si="123"/>
        <v>#DIV/0!</v>
      </c>
      <c r="AB564" s="344">
        <f>IFERROR(VLOOKUP($G564,基本資料!$A:$M,11,0),"無")</f>
        <v>-51.25</v>
      </c>
      <c r="AC564" s="397">
        <f>IFERROR(VLOOKUP($G564,基本資料!$A:$M,12,0),"無")</f>
        <v>14.85</v>
      </c>
      <c r="AD564" s="16" t="s">
        <v>359</v>
      </c>
      <c r="AG564" s="33">
        <f t="shared" si="124"/>
        <v>0</v>
      </c>
      <c r="AH564" s="43" t="s">
        <v>2893</v>
      </c>
      <c r="AI564" s="63">
        <f t="shared" si="127"/>
        <v>0.1928341384863124</v>
      </c>
      <c r="AJ564" s="284">
        <f>RTD("money.excel",,$G564,"PredictVolume")</f>
        <v>11975</v>
      </c>
      <c r="AK564" s="399">
        <f>IFERROR(VLOOKUP($G564,基本資料!$A:$M,13,0),"無")</f>
        <v>70.58</v>
      </c>
    </row>
    <row r="565" spans="1:37">
      <c r="A565" s="347">
        <f>IFERROR(VLOOKUP($G565,基本資料!$A:$J,3,0),"無")</f>
        <v>45.08</v>
      </c>
      <c r="B565" s="79">
        <f>IFERROR(VLOOKUP($G565,基本資料!$A:$J,4,0),"無")</f>
        <v>383</v>
      </c>
      <c r="C565" s="79">
        <f>IFERROR(VLOOKUP($G565,基本資料!$A:$J,5,0),"無")</f>
        <v>273</v>
      </c>
      <c r="D565" s="79">
        <f>IFERROR(VLOOKUP($G565,基本資料!$A:$J,6,0),"無")</f>
        <v>0</v>
      </c>
      <c r="E565" s="79">
        <f>IFERROR(VLOOKUP($G565,基本資料!$A:$J,7,0),"無")</f>
        <v>37</v>
      </c>
      <c r="F565" s="6">
        <f>IFERROR(VLOOKUP($G565,基本資料!$A:$J,8,0),"無")</f>
        <v>14.03</v>
      </c>
      <c r="G565" s="79">
        <v>3189</v>
      </c>
      <c r="H565" s="8" t="s">
        <v>3039</v>
      </c>
      <c r="I565" s="22" t="s">
        <v>4044</v>
      </c>
      <c r="J565" s="8" t="str">
        <f>IFERROR(VLOOKUP($G565,今日總結!$A:$AJ,35,0),"")</f>
        <v/>
      </c>
      <c r="K565" s="5" t="str">
        <f>IFERROR(VLOOKUP($G565,今日總結!$A:$AJ,36,0),"")</f>
        <v/>
      </c>
      <c r="L565" s="156" t="str">
        <f>IFERROR(VLOOKUP($G565,今日總結!$A:$AJ,33,0),"")</f>
        <v/>
      </c>
      <c r="M565" s="340" t="str">
        <f>IFERROR(VLOOKUP($G565,今日總結!$A:$AJ,34,0),"")</f>
        <v/>
      </c>
      <c r="N565" s="240" t="str">
        <f t="shared" si="126"/>
        <v/>
      </c>
      <c r="P565" s="365">
        <f>IFERROR(VLOOKUP($G565,融外自投!$A:$J,7,0),"無")</f>
        <v>410</v>
      </c>
      <c r="Q565" s="79">
        <f>IFERROR(VLOOKUP($G565,融外自投!$A:$J,9,0),"無")</f>
        <v>222</v>
      </c>
      <c r="R565" s="346">
        <f>IFERROR(VLOOKUP($G565,融外自投!$A:$J,8,0),"無")</f>
        <v>308</v>
      </c>
      <c r="S565" s="81">
        <f>IFERROR(VLOOKUP($G565,融外自投!$A:$J,10,0),"無")</f>
        <v>46</v>
      </c>
      <c r="T565" s="327">
        <f>IFERROR(VLOOKUP($G565,'321買'!$A:$E,5,0),"'沒有資料'")</f>
        <v>83</v>
      </c>
      <c r="U565" s="186">
        <f>IFERROR(VLOOKUP($G565,基本資料!$A:$J,9,0),"無")</f>
        <v>4.5</v>
      </c>
      <c r="V565" s="310">
        <f t="shared" si="121"/>
        <v>2.6785714285714284E-2</v>
      </c>
      <c r="W565" s="94">
        <f>IFERROR(VLOOKUP($G565,基本資料!$A:$J,10,0),"無")</f>
        <v>8.56</v>
      </c>
      <c r="X565" s="36">
        <f>RTD("money.excel",,"3189","Price")</f>
        <v>168</v>
      </c>
      <c r="Y565" s="66"/>
      <c r="Z565" s="15">
        <f t="shared" si="122"/>
        <v>168</v>
      </c>
      <c r="AA565" s="3" t="e">
        <f t="shared" si="123"/>
        <v>#DIV/0!</v>
      </c>
      <c r="AB565" s="344">
        <f>IFERROR(VLOOKUP($G565,基本資料!$A:$M,11,0),"無")</f>
        <v>-35.340000000000003</v>
      </c>
      <c r="AC565" s="397">
        <f>IFERROR(VLOOKUP($G565,基本資料!$A:$M,12,0),"無")</f>
        <v>21.87</v>
      </c>
      <c r="AD565" s="22" t="s">
        <v>4044</v>
      </c>
      <c r="AG565" s="33">
        <f t="shared" si="124"/>
        <v>0</v>
      </c>
      <c r="AH565" s="117" t="s">
        <v>2303</v>
      </c>
      <c r="AI565" s="63">
        <f t="shared" si="127"/>
        <v>1.6506211180124224E-2</v>
      </c>
      <c r="AJ565" s="284">
        <f>RTD("money.excel",,$G565,"PredictVolume")</f>
        <v>7441</v>
      </c>
      <c r="AK565" s="399">
        <f>IFERROR(VLOOKUP($G565,基本資料!$A:$M,13,0),"無")</f>
        <v>13.89</v>
      </c>
    </row>
    <row r="566" spans="1:37">
      <c r="A566" s="347">
        <f>IFERROR(VLOOKUP($G566,基本資料!$A:$J,3,0),"無")</f>
        <v>7.02</v>
      </c>
      <c r="B566" s="79">
        <f>IFERROR(VLOOKUP($G566,基本資料!$A:$J,4,0),"無")</f>
        <v>1606</v>
      </c>
      <c r="C566" s="79">
        <f>IFERROR(VLOOKUP($G566,基本資料!$A:$J,5,0),"無")</f>
        <v>799</v>
      </c>
      <c r="D566" s="79">
        <f>IFERROR(VLOOKUP($G566,基本資料!$A:$J,6,0),"無")</f>
        <v>-38</v>
      </c>
      <c r="E566" s="79">
        <f>IFERROR(VLOOKUP($G566,基本資料!$A:$J,7,0),"無")</f>
        <v>1758</v>
      </c>
      <c r="F566" s="6">
        <f>IFERROR(VLOOKUP($G566,基本資料!$A:$J,8,0),"無")</f>
        <v>21.4</v>
      </c>
      <c r="G566" s="79">
        <v>3219</v>
      </c>
      <c r="H566" s="145" t="s">
        <v>3039</v>
      </c>
      <c r="I566" s="16" t="s">
        <v>2954</v>
      </c>
      <c r="J566" s="8" t="str">
        <f>IFERROR(VLOOKUP($G566,今日總結!$A:$AJ,35,0),"")</f>
        <v/>
      </c>
      <c r="K566" s="5" t="str">
        <f>IFERROR(VLOOKUP($G566,今日總結!$A:$AJ,36,0),"")</f>
        <v/>
      </c>
      <c r="L566" s="156" t="str">
        <f>IFERROR(VLOOKUP($G566,今日總結!$A:$AJ,33,0),"")</f>
        <v/>
      </c>
      <c r="M566" s="340" t="str">
        <f>IFERROR(VLOOKUP($G566,今日總結!$A:$AJ,34,0),"")</f>
        <v/>
      </c>
      <c r="N566" s="240" t="str">
        <f t="shared" si="126"/>
        <v/>
      </c>
      <c r="P566" s="365">
        <f>IFERROR(VLOOKUP($G566,融外自投!$A:$J,7,0),"無")</f>
        <v>69</v>
      </c>
      <c r="Q566" s="79">
        <f>IFERROR(VLOOKUP($G566,融外自投!$A:$J,9,0),"無")</f>
        <v>1110</v>
      </c>
      <c r="R566" s="346">
        <f>IFERROR(VLOOKUP($G566,融外自投!$A:$J,8,0),"無")</f>
        <v>964</v>
      </c>
      <c r="S566" s="81" t="str">
        <f>IFERROR(VLOOKUP($G566,融外自投!$A:$J,10,0),"無")</f>
        <v>無</v>
      </c>
      <c r="T566" s="327">
        <f>IFERROR(VLOOKUP($G566,'321買'!$A:$E,5,0),"'沒有資料'")</f>
        <v>984</v>
      </c>
      <c r="U566" s="186">
        <f>IFERROR(VLOOKUP($G566,基本資料!$A:$J,9,0),"無")</f>
        <v>2.5</v>
      </c>
      <c r="V566" s="310">
        <f t="shared" si="121"/>
        <v>2.7412280701754384E-2</v>
      </c>
      <c r="W566" s="94">
        <f>IFERROR(VLOOKUP($G566,基本資料!$A:$J,10,0),"無")</f>
        <v>6.33</v>
      </c>
      <c r="X566" s="36">
        <f>RTD("money.excel",,"3219","Price")</f>
        <v>91.2</v>
      </c>
      <c r="Y566" s="66"/>
      <c r="Z566" s="15">
        <f t="shared" si="122"/>
        <v>91.2</v>
      </c>
      <c r="AA566" s="3" t="e">
        <f t="shared" si="123"/>
        <v>#DIV/0!</v>
      </c>
      <c r="AB566" s="344">
        <f>IFERROR(VLOOKUP($G566,基本資料!$A:$M,11,0),"無")</f>
        <v>-53.83</v>
      </c>
      <c r="AC566" s="397">
        <f>IFERROR(VLOOKUP($G566,基本資料!$A:$M,12,0),"無")</f>
        <v>11.21</v>
      </c>
      <c r="AD566" s="16" t="s">
        <v>2954</v>
      </c>
      <c r="AG566" s="33">
        <f t="shared" si="124"/>
        <v>0</v>
      </c>
      <c r="AH566" s="43" t="s">
        <v>1437</v>
      </c>
      <c r="AI566" s="63">
        <f t="shared" si="127"/>
        <v>2.8490028490028488E-4</v>
      </c>
      <c r="AJ566" s="284">
        <f>RTD("money.excel",,$G566,"PredictVolume")</f>
        <v>20</v>
      </c>
      <c r="AK566" s="399">
        <f>IFERROR(VLOOKUP($G566,基本資料!$A:$M,13,0),"無")</f>
        <v>3.77</v>
      </c>
    </row>
    <row r="567" spans="1:37">
      <c r="A567" s="347">
        <f>IFERROR(VLOOKUP($G567,基本資料!$A:$J,3,0),"無")</f>
        <v>14.45</v>
      </c>
      <c r="B567" s="79">
        <f>IFERROR(VLOOKUP($G567,基本資料!$A:$J,4,0),"無")</f>
        <v>9</v>
      </c>
      <c r="C567" s="79">
        <f>IFERROR(VLOOKUP($G567,基本資料!$A:$J,5,0),"無")</f>
        <v>0</v>
      </c>
      <c r="D567" s="79">
        <f>IFERROR(VLOOKUP($G567,基本資料!$A:$J,6,0),"無")</f>
        <v>11</v>
      </c>
      <c r="E567" s="79">
        <f>IFERROR(VLOOKUP($G567,基本資料!$A:$J,7,0),"無")</f>
        <v>-35</v>
      </c>
      <c r="F567" s="6">
        <f>IFERROR(VLOOKUP($G567,基本資料!$A:$J,8,0),"無")</f>
        <v>20.82</v>
      </c>
      <c r="G567" s="79">
        <v>3227</v>
      </c>
      <c r="H567" s="145" t="s">
        <v>3039</v>
      </c>
      <c r="I567" s="16" t="s">
        <v>4045</v>
      </c>
      <c r="J567" s="8" t="str">
        <f>IFERROR(VLOOKUP($G567,今日總結!$A:$AJ,35,0),"")</f>
        <v/>
      </c>
      <c r="K567" s="5" t="str">
        <f>IFERROR(VLOOKUP($G567,今日總結!$A:$AJ,36,0),"")</f>
        <v/>
      </c>
      <c r="L567" s="156" t="str">
        <f>IFERROR(VLOOKUP($G567,今日總結!$A:$AJ,33,0),"")</f>
        <v/>
      </c>
      <c r="M567" s="340" t="str">
        <f>IFERROR(VLOOKUP($G567,今日總結!$A:$AJ,34,0),"")</f>
        <v/>
      </c>
      <c r="N567" s="240" t="str">
        <f t="shared" si="126"/>
        <v/>
      </c>
      <c r="P567" s="365">
        <f>IFERROR(VLOOKUP($G567,融外自投!$A:$J,7,0),"無")</f>
        <v>419</v>
      </c>
      <c r="Q567" s="79">
        <f>IFERROR(VLOOKUP($G567,融外自投!$A:$J,9,0),"無")</f>
        <v>98</v>
      </c>
      <c r="R567" s="346">
        <f>IFERROR(VLOOKUP($G567,融外自投!$A:$J,8,0),"無")</f>
        <v>355</v>
      </c>
      <c r="S567" s="81">
        <f>IFERROR(VLOOKUP($G567,融外自投!$A:$J,10,0),"無")</f>
        <v>383</v>
      </c>
      <c r="T567" s="327">
        <f>IFERROR(VLOOKUP($G567,'321買'!$A:$E,5,0),"'沒有資料'")</f>
        <v>416</v>
      </c>
      <c r="U567" s="186">
        <f>IFERROR(VLOOKUP($G567,基本資料!$A:$J,9,0),"無")</f>
        <v>9.14</v>
      </c>
      <c r="V567" s="310">
        <f t="shared" si="121"/>
        <v>8.1607142857142864E-2</v>
      </c>
      <c r="W567" s="94">
        <f>IFERROR(VLOOKUP($G567,基本資料!$A:$J,10,0),"無")</f>
        <v>11.32</v>
      </c>
      <c r="X567" s="36">
        <f>RTD("money.excel",,"3227","Price")</f>
        <v>112</v>
      </c>
      <c r="Y567" s="66"/>
      <c r="Z567" s="15">
        <f t="shared" si="122"/>
        <v>112</v>
      </c>
      <c r="AA567" s="3" t="e">
        <f t="shared" si="123"/>
        <v>#DIV/0!</v>
      </c>
      <c r="AB567" s="344">
        <f>IFERROR(VLOOKUP($G567,基本資料!$A:$M,11,0),"無")</f>
        <v>-49.66</v>
      </c>
      <c r="AC567" s="397">
        <f>IFERROR(VLOOKUP($G567,基本資料!$A:$M,12,0),"無")</f>
        <v>12.52</v>
      </c>
      <c r="AD567" s="16" t="s">
        <v>4045</v>
      </c>
      <c r="AG567" s="33">
        <f t="shared" si="124"/>
        <v>0</v>
      </c>
      <c r="AH567" s="117" t="s">
        <v>2312</v>
      </c>
      <c r="AI567" s="63">
        <f t="shared" si="127"/>
        <v>1.8477508650519032E-3</v>
      </c>
      <c r="AJ567" s="284">
        <f>RTD("money.excel",,$G567,"PredictVolume")</f>
        <v>267</v>
      </c>
      <c r="AK567" s="399">
        <f>IFERROR(VLOOKUP($G567,基本資料!$A:$M,13,0),"無")</f>
        <v>12.96</v>
      </c>
    </row>
    <row r="568" spans="1:37">
      <c r="A568" s="347">
        <f>IFERROR(VLOOKUP($G568,基本資料!$A:$J,3,0),"無")</f>
        <v>6.77</v>
      </c>
      <c r="B568" s="79">
        <f>IFERROR(VLOOKUP($G568,基本資料!$A:$J,4,0),"無")</f>
        <v>185</v>
      </c>
      <c r="C568" s="79">
        <f>IFERROR(VLOOKUP($G568,基本資料!$A:$J,5,0),"無")</f>
        <v>193</v>
      </c>
      <c r="D568" s="79">
        <f>IFERROR(VLOOKUP($G568,基本資料!$A:$J,6,0),"無")</f>
        <v>-16</v>
      </c>
      <c r="E568" s="79">
        <f>IFERROR(VLOOKUP($G568,基本資料!$A:$J,7,0),"無")</f>
        <v>-68</v>
      </c>
      <c r="F568" s="6">
        <f>IFERROR(VLOOKUP($G568,基本資料!$A:$J,8,0),"無")</f>
        <v>35.03</v>
      </c>
      <c r="G568" s="79">
        <v>3228</v>
      </c>
      <c r="H568" s="145" t="s">
        <v>3039</v>
      </c>
      <c r="I568" s="16" t="s">
        <v>4046</v>
      </c>
      <c r="J568" s="8" t="str">
        <f>IFERROR(VLOOKUP($G568,今日總結!$A:$AJ,35,0),"")</f>
        <v/>
      </c>
      <c r="K568" s="5" t="str">
        <f>IFERROR(VLOOKUP($G568,今日總結!$A:$AJ,36,0),"")</f>
        <v/>
      </c>
      <c r="L568" s="156" t="str">
        <f>IFERROR(VLOOKUP($G568,今日總結!$A:$AJ,33,0),"")</f>
        <v/>
      </c>
      <c r="M568" s="340" t="str">
        <f>IFERROR(VLOOKUP($G568,今日總結!$A:$AJ,34,0),"")</f>
        <v/>
      </c>
      <c r="N568" s="240" t="str">
        <f t="shared" si="126"/>
        <v/>
      </c>
      <c r="P568" s="365">
        <f>IFERROR(VLOOKUP($G568,融外自投!$A:$J,7,0),"無")</f>
        <v>769</v>
      </c>
      <c r="Q568" s="79">
        <f>IFERROR(VLOOKUP($G568,融外自投!$A:$J,9,0),"無")</f>
        <v>395</v>
      </c>
      <c r="R568" s="346">
        <f>IFERROR(VLOOKUP($G568,融外自投!$A:$J,8,0),"無")</f>
        <v>600</v>
      </c>
      <c r="S568" s="81">
        <f>IFERROR(VLOOKUP($G568,融外自投!$A:$J,10,0),"無")</f>
        <v>83</v>
      </c>
      <c r="T568" s="327">
        <f>IFERROR(VLOOKUP($G568,'321買'!$A:$E,5,0),"'沒有資料'")</f>
        <v>403</v>
      </c>
      <c r="U568" s="186">
        <f>IFERROR(VLOOKUP($G568,基本資料!$A:$J,9,0),"無")</f>
        <v>0</v>
      </c>
      <c r="V568" s="310">
        <f t="shared" si="121"/>
        <v>0</v>
      </c>
      <c r="W568" s="94">
        <f>IFERROR(VLOOKUP($G568,基本資料!$A:$J,10,0),"無")</f>
        <v>2.92</v>
      </c>
      <c r="X568" s="36">
        <f>RTD("money.excel",,"3228","Price")</f>
        <v>359.5</v>
      </c>
      <c r="Y568" s="66"/>
      <c r="Z568" s="15">
        <f t="shared" si="122"/>
        <v>359.5</v>
      </c>
      <c r="AA568" s="3" t="e">
        <f t="shared" si="123"/>
        <v>#DIV/0!</v>
      </c>
      <c r="AB568" s="344">
        <f>IFERROR(VLOOKUP($G568,基本資料!$A:$M,11,0),"無")</f>
        <v>-32.409999999999997</v>
      </c>
      <c r="AC568" s="397">
        <f>IFERROR(VLOOKUP($G568,基本資料!$A:$M,12,0),"無")</f>
        <v>41.92</v>
      </c>
      <c r="AD568" s="16" t="s">
        <v>4046</v>
      </c>
      <c r="AG568" s="33">
        <f t="shared" si="124"/>
        <v>0</v>
      </c>
      <c r="AH568" s="43" t="s">
        <v>2037</v>
      </c>
      <c r="AI568" s="63">
        <f t="shared" si="127"/>
        <v>1.9675036927621861E-2</v>
      </c>
      <c r="AJ568" s="284">
        <f>RTD("money.excel",,$G568,"PredictVolume")</f>
        <v>1332</v>
      </c>
      <c r="AK568" s="399">
        <f>IFERROR(VLOOKUP($G568,基本資料!$A:$M,13,0),"無")</f>
        <v>12.8</v>
      </c>
    </row>
    <row r="569" spans="1:37">
      <c r="A569" s="347">
        <f>IFERROR(VLOOKUP($G569,基本資料!$A:$J,3,0),"無")</f>
        <v>7.99</v>
      </c>
      <c r="B569" s="79">
        <f>IFERROR(VLOOKUP($G569,基本資料!$A:$J,4,0),"無")</f>
        <v>67</v>
      </c>
      <c r="C569" s="79">
        <f>IFERROR(VLOOKUP($G569,基本資料!$A:$J,5,0),"無")</f>
        <v>70</v>
      </c>
      <c r="D569" s="79">
        <f>IFERROR(VLOOKUP($G569,基本資料!$A:$J,6,0),"無")</f>
        <v>-6</v>
      </c>
      <c r="E569" s="79">
        <f>IFERROR(VLOOKUP($G569,基本資料!$A:$J,7,0),"無")</f>
        <v>-34</v>
      </c>
      <c r="F569" s="6">
        <f>IFERROR(VLOOKUP($G569,基本資料!$A:$J,8,0),"無")</f>
        <v>35.94</v>
      </c>
      <c r="G569" s="79">
        <v>3257</v>
      </c>
      <c r="H569" s="8" t="s">
        <v>3039</v>
      </c>
      <c r="I569" s="22" t="s">
        <v>4047</v>
      </c>
      <c r="J569" s="8" t="str">
        <f>IFERROR(VLOOKUP($G569,今日總結!$A:$AJ,35,0),"")</f>
        <v>外</v>
      </c>
      <c r="K569" s="5">
        <f>IFERROR(VLOOKUP($G569,今日總結!$A:$AJ,36,0),"")</f>
        <v>0</v>
      </c>
      <c r="L569" s="156">
        <f>IFERROR(VLOOKUP($G569,今日總結!$A:$AJ,33,0),"")</f>
        <v>1</v>
      </c>
      <c r="M569" s="340">
        <f>IFERROR(VLOOKUP($G569,今日總結!$A:$AJ,34,0),"")</f>
        <v>0</v>
      </c>
      <c r="N569" s="240">
        <f t="shared" si="126"/>
        <v>1</v>
      </c>
      <c r="P569" s="365">
        <f>IFERROR(VLOOKUP($G569,融外自投!$A:$J,7,0),"無")</f>
        <v>685</v>
      </c>
      <c r="Q569" s="79">
        <f>IFERROR(VLOOKUP($G569,融外自投!$A:$J,9,0),"無")</f>
        <v>140</v>
      </c>
      <c r="R569" s="346">
        <f>IFERROR(VLOOKUP($G569,融外自投!$A:$J,8,0),"無")</f>
        <v>667</v>
      </c>
      <c r="S569" s="81" t="str">
        <f>IFERROR(VLOOKUP($G569,融外自投!$A:$J,10,0),"無")</f>
        <v>無</v>
      </c>
      <c r="T569" s="327">
        <f>IFERROR(VLOOKUP($G569,'321買'!$A:$E,5,0),"'沒有資料'")</f>
        <v>195</v>
      </c>
      <c r="U569" s="186">
        <f>IFERROR(VLOOKUP($G569,基本資料!$A:$J,9,0),"無")</f>
        <v>5</v>
      </c>
      <c r="V569" s="310">
        <f t="shared" si="121"/>
        <v>7.0621468926553674E-2</v>
      </c>
      <c r="W569" s="94">
        <f>IFERROR(VLOOKUP($G569,基本資料!$A:$J,10,0),"無")</f>
        <v>5.03</v>
      </c>
      <c r="X569" s="36">
        <f>RTD("money.excel",,"3257","Price")</f>
        <v>70.8</v>
      </c>
      <c r="Y569" s="66"/>
      <c r="Z569" s="15">
        <f t="shared" si="122"/>
        <v>70.8</v>
      </c>
      <c r="AA569" s="3" t="e">
        <f t="shared" si="123"/>
        <v>#DIV/0!</v>
      </c>
      <c r="AB569" s="344">
        <f>IFERROR(VLOOKUP($G569,基本資料!$A:$M,11,0),"無")</f>
        <v>-23.51</v>
      </c>
      <c r="AC569" s="397">
        <f>IFERROR(VLOOKUP($G569,基本資料!$A:$M,12,0),"無")</f>
        <v>41.07</v>
      </c>
      <c r="AD569" s="22" t="s">
        <v>4047</v>
      </c>
      <c r="AG569" s="33">
        <f t="shared" si="124"/>
        <v>0</v>
      </c>
      <c r="AH569" s="43" t="s">
        <v>1951</v>
      </c>
      <c r="AI569" s="63">
        <f t="shared" si="127"/>
        <v>9.8873591989987494E-4</v>
      </c>
      <c r="AJ569" s="284">
        <f>RTD("money.excel",,$G569,"PredictVolume")</f>
        <v>79</v>
      </c>
      <c r="AK569" s="399">
        <f>IFERROR(VLOOKUP($G569,基本資料!$A:$M,13,0),"無")</f>
        <v>18.41</v>
      </c>
    </row>
    <row r="570" spans="1:37">
      <c r="A570" s="347">
        <f>IFERROR(VLOOKUP($G570,基本資料!$A:$J,3,0),"無")</f>
        <v>7.46</v>
      </c>
      <c r="B570" s="79">
        <f>IFERROR(VLOOKUP($G570,基本資料!$A:$J,4,0),"無")</f>
        <v>101</v>
      </c>
      <c r="C570" s="79">
        <f>IFERROR(VLOOKUP($G570,基本資料!$A:$J,5,0),"無")</f>
        <v>97</v>
      </c>
      <c r="D570" s="79">
        <f>IFERROR(VLOOKUP($G570,基本資料!$A:$J,6,0),"無")</f>
        <v>-18</v>
      </c>
      <c r="E570" s="79">
        <f>IFERROR(VLOOKUP($G570,基本資料!$A:$J,7,0),"無")</f>
        <v>-38</v>
      </c>
      <c r="F570" s="6">
        <f>IFERROR(VLOOKUP($G570,基本資料!$A:$J,8,0),"無")</f>
        <v>-0.5</v>
      </c>
      <c r="G570" s="79">
        <v>3259</v>
      </c>
      <c r="H570" s="145" t="s">
        <v>3039</v>
      </c>
      <c r="I570" s="16" t="s">
        <v>4048</v>
      </c>
      <c r="J570" s="8" t="str">
        <f>IFERROR(VLOOKUP($G570,今日總結!$A:$AJ,35,0),"")</f>
        <v/>
      </c>
      <c r="K570" s="5" t="str">
        <f>IFERROR(VLOOKUP($G570,今日總結!$A:$AJ,36,0),"")</f>
        <v/>
      </c>
      <c r="L570" s="156" t="str">
        <f>IFERROR(VLOOKUP($G570,今日總結!$A:$AJ,33,0),"")</f>
        <v/>
      </c>
      <c r="M570" s="340" t="str">
        <f>IFERROR(VLOOKUP($G570,今日總結!$A:$AJ,34,0),"")</f>
        <v/>
      </c>
      <c r="N570" s="240" t="str">
        <f t="shared" si="126"/>
        <v/>
      </c>
      <c r="P570" s="365" t="str">
        <f>IFERROR(VLOOKUP($G570,融外自投!$A:$J,7,0),"無")</f>
        <v>無</v>
      </c>
      <c r="Q570" s="79" t="str">
        <f>IFERROR(VLOOKUP($G570,融外自投!$A:$J,9,0),"無")</f>
        <v>無</v>
      </c>
      <c r="R570" s="346" t="str">
        <f>IFERROR(VLOOKUP($G570,融外自投!$A:$J,8,0),"無")</f>
        <v>無</v>
      </c>
      <c r="S570" s="81" t="str">
        <f>IFERROR(VLOOKUP($G570,融外自投!$A:$J,10,0),"無")</f>
        <v>無</v>
      </c>
      <c r="T570" s="327" t="str">
        <f>IFERROR(VLOOKUP($G570,'321買'!$A:$E,5,0),"'沒有資料'")</f>
        <v>'沒有資料'</v>
      </c>
      <c r="U570" s="186">
        <f>IFERROR(VLOOKUP($G570,基本資料!$A:$J,9,0),"無")</f>
        <v>0</v>
      </c>
      <c r="V570" s="310">
        <f t="shared" si="121"/>
        <v>0</v>
      </c>
      <c r="W570" s="94">
        <f>IFERROR(VLOOKUP($G570,基本資料!$A:$J,10,0),"無")</f>
        <v>0.02</v>
      </c>
      <c r="X570" s="36">
        <f>RTD("money.excel",,"3259","Price")</f>
        <v>17.899999999999999</v>
      </c>
      <c r="Y570" s="66"/>
      <c r="Z570" s="15">
        <f t="shared" si="122"/>
        <v>17.899999999999999</v>
      </c>
      <c r="AA570" s="3" t="e">
        <f t="shared" si="123"/>
        <v>#DIV/0!</v>
      </c>
      <c r="AB570" s="344">
        <f>IFERROR(VLOOKUP($G570,基本資料!$A:$M,11,0),"無")</f>
        <v>-63.47</v>
      </c>
      <c r="AC570" s="397">
        <f>IFERROR(VLOOKUP($G570,基本資料!$A:$M,12,0),"無")</f>
        <v>5.26</v>
      </c>
      <c r="AD570" s="16" t="s">
        <v>4048</v>
      </c>
      <c r="AG570" s="33">
        <f t="shared" si="124"/>
        <v>0</v>
      </c>
      <c r="AH570" s="43" t="s">
        <v>2353</v>
      </c>
      <c r="AI570" s="63">
        <f t="shared" si="127"/>
        <v>1.2064343163538874E-4</v>
      </c>
      <c r="AJ570" s="284">
        <f>RTD("money.excel",,$G570,"PredictVolume")</f>
        <v>9</v>
      </c>
      <c r="AK570" s="399">
        <f>IFERROR(VLOOKUP($G570,基本資料!$A:$M,13,0),"無")</f>
        <v>1.91</v>
      </c>
    </row>
    <row r="571" spans="1:37">
      <c r="A571" s="347">
        <f>IFERROR(VLOOKUP($G571,基本資料!$A:$J,3,0),"無")</f>
        <v>26.67</v>
      </c>
      <c r="B571" s="79">
        <f>IFERROR(VLOOKUP($G571,基本資料!$A:$J,4,0),"無")</f>
        <v>73</v>
      </c>
      <c r="C571" s="79">
        <f>IFERROR(VLOOKUP($G571,基本資料!$A:$J,5,0),"無")</f>
        <v>22</v>
      </c>
      <c r="D571" s="79">
        <f>IFERROR(VLOOKUP($G571,基本資料!$A:$J,6,0),"無")</f>
        <v>-10</v>
      </c>
      <c r="E571" s="79">
        <f>IFERROR(VLOOKUP($G571,基本資料!$A:$J,7,0),"無")</f>
        <v>-19</v>
      </c>
      <c r="F571" s="6">
        <f>IFERROR(VLOOKUP($G571,基本資料!$A:$J,8,0),"無")</f>
        <v>5.85</v>
      </c>
      <c r="G571" s="79">
        <v>3260</v>
      </c>
      <c r="H571" s="145" t="s">
        <v>3039</v>
      </c>
      <c r="I571" s="16" t="s">
        <v>215</v>
      </c>
      <c r="J571" s="8" t="str">
        <f>IFERROR(VLOOKUP($G571,今日總結!$A:$AJ,35,0),"")</f>
        <v>券</v>
      </c>
      <c r="K571" s="5">
        <f>IFERROR(VLOOKUP($G571,今日總結!$A:$AJ,36,0),"")</f>
        <v>0</v>
      </c>
      <c r="L571" s="156">
        <f>IFERROR(VLOOKUP($G571,今日總結!$A:$AJ,33,0),"")</f>
        <v>1</v>
      </c>
      <c r="M571" s="340">
        <f>IFERROR(VLOOKUP($G571,今日總結!$A:$AJ,34,0),"")</f>
        <v>0</v>
      </c>
      <c r="N571" s="240">
        <f t="shared" si="126"/>
        <v>1</v>
      </c>
      <c r="P571" s="365">
        <f>IFERROR(VLOOKUP($G571,融外自投!$A:$J,7,0),"無")</f>
        <v>181</v>
      </c>
      <c r="Q571" s="79">
        <f>IFERROR(VLOOKUP($G571,融外自投!$A:$J,9,0),"無")</f>
        <v>304</v>
      </c>
      <c r="R571" s="346">
        <f>IFERROR(VLOOKUP($G571,融外自投!$A:$J,8,0),"無")</f>
        <v>623</v>
      </c>
      <c r="S571" s="81">
        <f>IFERROR(VLOOKUP($G571,融外自投!$A:$J,10,0),"無")</f>
        <v>395</v>
      </c>
      <c r="T571" s="327">
        <f>IFERROR(VLOOKUP($G571,'321買'!$A:$E,5,0),"'沒有資料'")</f>
        <v>430</v>
      </c>
      <c r="U571" s="186">
        <f>IFERROR(VLOOKUP($G571,基本資料!$A:$J,9,0),"無")</f>
        <v>5.5</v>
      </c>
      <c r="V571" s="310">
        <f t="shared" si="121"/>
        <v>7.7793493635077787E-2</v>
      </c>
      <c r="W571" s="94">
        <f>IFERROR(VLOOKUP($G571,基本資料!$A:$J,10,0),"無")</f>
        <v>9.14</v>
      </c>
      <c r="X571" s="36">
        <f>RTD("money.excel",,"3260","Price")</f>
        <v>70.7</v>
      </c>
      <c r="Y571" s="66"/>
      <c r="Z571" s="15">
        <f t="shared" si="122"/>
        <v>70.7</v>
      </c>
      <c r="AA571" s="3" t="e">
        <f t="shared" si="123"/>
        <v>#DIV/0!</v>
      </c>
      <c r="AB571" s="344">
        <f>IFERROR(VLOOKUP($G571,基本資料!$A:$M,11,0),"無")</f>
        <v>-47.05</v>
      </c>
      <c r="AC571" s="397">
        <f>IFERROR(VLOOKUP($G571,基本資料!$A:$M,12,0),"無")</f>
        <v>10.95</v>
      </c>
      <c r="AD571" s="16" t="s">
        <v>215</v>
      </c>
      <c r="AG571" s="33">
        <f t="shared" si="124"/>
        <v>0</v>
      </c>
      <c r="AH571" s="117" t="s">
        <v>1414</v>
      </c>
      <c r="AI571" s="63">
        <f t="shared" si="127"/>
        <v>3.6520434945631797E-3</v>
      </c>
      <c r="AJ571" s="284">
        <f>RTD("money.excel",,$G571,"PredictVolume")</f>
        <v>974</v>
      </c>
      <c r="AK571" s="399">
        <f>IFERROR(VLOOKUP($G571,基本資料!$A:$M,13,0),"無")</f>
        <v>34.14</v>
      </c>
    </row>
    <row r="572" spans="1:37">
      <c r="A572" s="347">
        <f>IFERROR(VLOOKUP($G572,基本資料!$A:$J,3,0),"無")</f>
        <v>49.01</v>
      </c>
      <c r="B572" s="79">
        <f>IFERROR(VLOOKUP($G572,基本資料!$A:$J,4,0),"無")</f>
        <v>44</v>
      </c>
      <c r="C572" s="79">
        <f>IFERROR(VLOOKUP($G572,基本資料!$A:$J,5,0),"無")</f>
        <v>37</v>
      </c>
      <c r="D572" s="79">
        <f>IFERROR(VLOOKUP($G572,基本資料!$A:$J,6,0),"無")</f>
        <v>1</v>
      </c>
      <c r="E572" s="79">
        <f>IFERROR(VLOOKUP($G572,基本資料!$A:$J,7,0),"無")</f>
        <v>18</v>
      </c>
      <c r="F572" s="6">
        <f>IFERROR(VLOOKUP($G572,基本資料!$A:$J,8,0),"無")</f>
        <v>25.7</v>
      </c>
      <c r="G572" s="79">
        <v>3264</v>
      </c>
      <c r="H572" s="145" t="s">
        <v>3039</v>
      </c>
      <c r="I572" s="16" t="s">
        <v>2913</v>
      </c>
      <c r="J572" s="8" t="str">
        <f>IFERROR(VLOOKUP($G572,今日總結!$A:$AJ,35,0),"")</f>
        <v/>
      </c>
      <c r="K572" s="5" t="str">
        <f>IFERROR(VLOOKUP($G572,今日總結!$A:$AJ,36,0),"")</f>
        <v/>
      </c>
      <c r="L572" s="156" t="str">
        <f>IFERROR(VLOOKUP($G572,今日總結!$A:$AJ,33,0),"")</f>
        <v/>
      </c>
      <c r="M572" s="340" t="str">
        <f>IFERROR(VLOOKUP($G572,今日總結!$A:$AJ,34,0),"")</f>
        <v/>
      </c>
      <c r="N572" s="240" t="str">
        <f t="shared" si="126"/>
        <v/>
      </c>
      <c r="P572" s="365">
        <f>IFERROR(VLOOKUP($G572,融外自投!$A:$J,7,0),"無")</f>
        <v>626</v>
      </c>
      <c r="Q572" s="79">
        <f>IFERROR(VLOOKUP($G572,融外自投!$A:$J,9,0),"無")</f>
        <v>346</v>
      </c>
      <c r="R572" s="346">
        <f>IFERROR(VLOOKUP($G572,融外自投!$A:$J,8,0),"無")</f>
        <v>231</v>
      </c>
      <c r="S572" s="81">
        <f>IFERROR(VLOOKUP($G572,融外自投!$A:$J,10,0),"無")</f>
        <v>94</v>
      </c>
      <c r="T572" s="327">
        <f>IFERROR(VLOOKUP($G572,'321買'!$A:$E,5,0),"'沒有資料'")</f>
        <v>83</v>
      </c>
      <c r="U572" s="186">
        <f>IFERROR(VLOOKUP($G572,基本資料!$A:$J,9,0),"無")</f>
        <v>2.8</v>
      </c>
      <c r="V572" s="310">
        <f t="shared" si="121"/>
        <v>6.3420158550396372E-2</v>
      </c>
      <c r="W572" s="94">
        <f>IFERROR(VLOOKUP($G572,基本資料!$A:$J,10,0),"無")</f>
        <v>5.46</v>
      </c>
      <c r="X572" s="36">
        <f>RTD("money.excel",,"3264","Price")</f>
        <v>44.15</v>
      </c>
      <c r="Y572" s="66"/>
      <c r="Z572" s="15">
        <f t="shared" si="122"/>
        <v>44.15</v>
      </c>
      <c r="AA572" s="3" t="e">
        <f t="shared" si="123"/>
        <v>#DIV/0!</v>
      </c>
      <c r="AB572" s="344">
        <f>IFERROR(VLOOKUP($G572,基本資料!$A:$M,11,0),"無")</f>
        <v>-37.83</v>
      </c>
      <c r="AC572" s="397">
        <f>IFERROR(VLOOKUP($G572,基本資料!$A:$M,12,0),"無")</f>
        <v>25.24</v>
      </c>
      <c r="AD572" s="16" t="s">
        <v>2913</v>
      </c>
      <c r="AG572" s="33">
        <f t="shared" si="124"/>
        <v>0</v>
      </c>
      <c r="AH572" s="117" t="s">
        <v>2342</v>
      </c>
      <c r="AI572" s="63">
        <f t="shared" si="127"/>
        <v>2.57906549683738E-3</v>
      </c>
      <c r="AJ572" s="284">
        <f>RTD("money.excel",,$G572,"PredictVolume")</f>
        <v>1264</v>
      </c>
      <c r="AK572" s="399">
        <f>IFERROR(VLOOKUP($G572,基本資料!$A:$M,13,0),"無")</f>
        <v>21.69</v>
      </c>
    </row>
    <row r="573" spans="1:37">
      <c r="A573" s="347">
        <f>IFERROR(VLOOKUP($G573,基本資料!$A:$J,3,0),"無")</f>
        <v>13.62</v>
      </c>
      <c r="B573" s="79">
        <f>IFERROR(VLOOKUP($G573,基本資料!$A:$J,4,0),"無")</f>
        <v>88</v>
      </c>
      <c r="C573" s="79">
        <f>IFERROR(VLOOKUP($G573,基本資料!$A:$J,5,0),"無")</f>
        <v>111</v>
      </c>
      <c r="D573" s="79">
        <f>IFERROR(VLOOKUP($G573,基本資料!$A:$J,6,0),"無")</f>
        <v>-4</v>
      </c>
      <c r="E573" s="79">
        <f>IFERROR(VLOOKUP($G573,基本資料!$A:$J,7,0),"無")</f>
        <v>46</v>
      </c>
      <c r="F573" s="6">
        <f>IFERROR(VLOOKUP($G573,基本資料!$A:$J,8,0),"無")</f>
        <v>15.56</v>
      </c>
      <c r="G573" s="79">
        <v>3265</v>
      </c>
      <c r="H573" s="145" t="s">
        <v>3039</v>
      </c>
      <c r="I573" s="166" t="s">
        <v>78</v>
      </c>
      <c r="J573" s="8">
        <f>IFERROR(VLOOKUP($G573,今日總結!$A:$AJ,35,0),"")</f>
        <v>0</v>
      </c>
      <c r="K573" s="5" t="str">
        <f>IFERROR(VLOOKUP($G573,今日總結!$A:$AJ,36,0),"")</f>
        <v>借</v>
      </c>
      <c r="L573" s="156">
        <f>IFERROR(VLOOKUP($G573,今日總結!$A:$AJ,33,0),"")</f>
        <v>0</v>
      </c>
      <c r="M573" s="340">
        <f>IFERROR(VLOOKUP($G573,今日總結!$A:$AJ,34,0),"")</f>
        <v>1</v>
      </c>
      <c r="N573" s="240">
        <f t="shared" si="126"/>
        <v>-1</v>
      </c>
      <c r="P573" s="365">
        <f>IFERROR(VLOOKUP($G573,融外自投!$A:$J,7,0),"無")</f>
        <v>590</v>
      </c>
      <c r="Q573" s="79">
        <f>IFERROR(VLOOKUP($G573,融外自投!$A:$J,9,0),"無")</f>
        <v>47</v>
      </c>
      <c r="R573" s="346">
        <f>IFERROR(VLOOKUP($G573,融外自投!$A:$J,8,0),"無")</f>
        <v>791</v>
      </c>
      <c r="S573" s="81" t="str">
        <f>IFERROR(VLOOKUP($G573,融外自投!$A:$J,10,0),"無")</f>
        <v>無</v>
      </c>
      <c r="T573" s="327">
        <f>IFERROR(VLOOKUP($G573,'321買'!$A:$E,5,0),"'沒有資料'")</f>
        <v>984</v>
      </c>
      <c r="U573" s="186">
        <f>IFERROR(VLOOKUP($G573,基本資料!$A:$J,9,0),"無")</f>
        <v>2.2999999999999998</v>
      </c>
      <c r="V573" s="310">
        <f t="shared" si="121"/>
        <v>4.8936170212765952E-2</v>
      </c>
      <c r="W573" s="94">
        <f>IFERROR(VLOOKUP($G573,基本資料!$A:$J,10,0),"無")</f>
        <v>2.89</v>
      </c>
      <c r="X573" s="36">
        <f>RTD("money.excel",,"3265","Price")</f>
        <v>47</v>
      </c>
      <c r="Y573" s="66"/>
      <c r="Z573" s="15">
        <f t="shared" si="122"/>
        <v>47</v>
      </c>
      <c r="AA573" s="3" t="e">
        <f t="shared" si="123"/>
        <v>#DIV/0!</v>
      </c>
      <c r="AB573" s="344">
        <f>IFERROR(VLOOKUP($G573,基本資料!$A:$M,11,0),"無")</f>
        <v>-9.18</v>
      </c>
      <c r="AC573" s="397">
        <f>IFERROR(VLOOKUP($G573,基本資料!$A:$M,12,0),"無")</f>
        <v>85.36</v>
      </c>
      <c r="AD573" s="16" t="s">
        <v>78</v>
      </c>
      <c r="AG573" s="33">
        <f t="shared" si="124"/>
        <v>0</v>
      </c>
      <c r="AH573" s="117" t="s">
        <v>3066</v>
      </c>
      <c r="AI573" s="63">
        <f t="shared" si="127"/>
        <v>5.026431718061674E-2</v>
      </c>
      <c r="AJ573" s="284">
        <f>RTD("money.excel",,$G573,"PredictVolume")</f>
        <v>6846</v>
      </c>
      <c r="AK573" s="399">
        <f>IFERROR(VLOOKUP($G573,基本資料!$A:$M,13,0),"無")</f>
        <v>13.35</v>
      </c>
    </row>
    <row r="574" spans="1:37">
      <c r="A574" s="347">
        <f>IFERROR(VLOOKUP($G574,基本資料!$A:$J,3,0),"無")</f>
        <v>3.34</v>
      </c>
      <c r="B574" s="79">
        <f>IFERROR(VLOOKUP($G574,基本資料!$A:$J,4,0),"無")</f>
        <v>5</v>
      </c>
      <c r="C574" s="79">
        <f>IFERROR(VLOOKUP($G574,基本資料!$A:$J,5,0),"無")</f>
        <v>269</v>
      </c>
      <c r="D574" s="79">
        <f>IFERROR(VLOOKUP($G574,基本資料!$A:$J,6,0),"無")</f>
        <v>-20</v>
      </c>
      <c r="E574" s="79">
        <f>IFERROR(VLOOKUP($G574,基本資料!$A:$J,7,0),"無")</f>
        <v>20</v>
      </c>
      <c r="F574" s="6">
        <f>IFERROR(VLOOKUP($G574,基本資料!$A:$J,8,0),"無")</f>
        <v>2.52</v>
      </c>
      <c r="G574" s="79">
        <v>3268</v>
      </c>
      <c r="H574" s="145" t="s">
        <v>3039</v>
      </c>
      <c r="I574" s="16" t="s">
        <v>361</v>
      </c>
      <c r="J574" s="8" t="str">
        <f>IFERROR(VLOOKUP($G574,今日總結!$A:$AJ,35,0),"")</f>
        <v/>
      </c>
      <c r="K574" s="5" t="str">
        <f>IFERROR(VLOOKUP($G574,今日總結!$A:$AJ,36,0),"")</f>
        <v/>
      </c>
      <c r="L574" s="156" t="str">
        <f>IFERROR(VLOOKUP($G574,今日總結!$A:$AJ,33,0),"")</f>
        <v/>
      </c>
      <c r="M574" s="340" t="str">
        <f>IFERROR(VLOOKUP($G574,今日總結!$A:$AJ,34,0),"")</f>
        <v/>
      </c>
      <c r="N574" s="240" t="str">
        <f t="shared" si="126"/>
        <v/>
      </c>
      <c r="P574" s="365">
        <f>IFERROR(VLOOKUP($G574,融外自投!$A:$J,7,0),"無")</f>
        <v>851</v>
      </c>
      <c r="Q574" s="79" t="str">
        <f>IFERROR(VLOOKUP($G574,融外自投!$A:$J,9,0),"無")</f>
        <v>無</v>
      </c>
      <c r="R574" s="346">
        <f>IFERROR(VLOOKUP($G574,融外自投!$A:$J,8,0),"無")</f>
        <v>1360</v>
      </c>
      <c r="S574" s="81" t="str">
        <f>IFERROR(VLOOKUP($G574,融外自投!$A:$J,10,0),"無")</f>
        <v>無</v>
      </c>
      <c r="T574" s="327">
        <f>IFERROR(VLOOKUP($G574,'321買'!$A:$E,5,0),"'沒有資料'")</f>
        <v>1259</v>
      </c>
      <c r="U574" s="186">
        <f>IFERROR(VLOOKUP($G574,基本資料!$A:$J,9,0),"無")</f>
        <v>0.6</v>
      </c>
      <c r="V574" s="310">
        <f t="shared" si="121"/>
        <v>2.6905829596412554E-2</v>
      </c>
      <c r="W574" s="94">
        <f>IFERROR(VLOOKUP($G574,基本資料!$A:$J,10,0),"無")</f>
        <v>0.95</v>
      </c>
      <c r="X574" s="36">
        <f>RTD("money.excel",,"3268","Price")</f>
        <v>22.3</v>
      </c>
      <c r="Y574" s="66"/>
      <c r="Z574" s="15">
        <f t="shared" si="122"/>
        <v>22.3</v>
      </c>
      <c r="AA574" s="3" t="e">
        <f t="shared" si="123"/>
        <v>#DIV/0!</v>
      </c>
      <c r="AB574" s="344">
        <f>IFERROR(VLOOKUP($G574,基本資料!$A:$M,11,0),"無")</f>
        <v>-53.22</v>
      </c>
      <c r="AC574" s="397">
        <f>IFERROR(VLOOKUP($G574,基本資料!$A:$M,12,0),"無")</f>
        <v>28.38</v>
      </c>
      <c r="AD574" s="16" t="s">
        <v>361</v>
      </c>
      <c r="AG574" s="33">
        <f t="shared" si="124"/>
        <v>0</v>
      </c>
      <c r="AH574" s="43" t="s">
        <v>2354</v>
      </c>
      <c r="AI574" s="63">
        <f t="shared" si="127"/>
        <v>1.4970059880239521E-4</v>
      </c>
      <c r="AJ574" s="284">
        <f>RTD("money.excel",,$G574,"PredictVolume")</f>
        <v>5</v>
      </c>
      <c r="AK574" s="399">
        <f>IFERROR(VLOOKUP($G574,基本資料!$A:$M,13,0),"無")</f>
        <v>13.7</v>
      </c>
    </row>
    <row r="575" spans="1:37">
      <c r="A575" s="347">
        <f>IFERROR(VLOOKUP($G575,基本資料!$A:$J,3,0),"無")</f>
        <v>6.12</v>
      </c>
      <c r="B575" s="79">
        <f>IFERROR(VLOOKUP($G575,基本資料!$A:$J,4,0),"無")</f>
        <v>90</v>
      </c>
      <c r="C575" s="79">
        <f>IFERROR(VLOOKUP($G575,基本資料!$A:$J,5,0),"無")</f>
        <v>75</v>
      </c>
      <c r="D575" s="79">
        <f>IFERROR(VLOOKUP($G575,基本資料!$A:$J,6,0),"無")</f>
        <v>1</v>
      </c>
      <c r="E575" s="79">
        <f>IFERROR(VLOOKUP($G575,基本資料!$A:$J,7,0),"無")</f>
        <v>4</v>
      </c>
      <c r="F575" s="6">
        <f>IFERROR(VLOOKUP($G575,基本資料!$A:$J,8,0),"無")</f>
        <v>15.71</v>
      </c>
      <c r="G575" s="79">
        <v>3317</v>
      </c>
      <c r="H575" s="195" t="s">
        <v>3039</v>
      </c>
      <c r="I575" s="16" t="s">
        <v>168</v>
      </c>
      <c r="J575" s="8">
        <f>IFERROR(VLOOKUP($G575,今日總結!$A:$AJ,35,0),"")</f>
        <v>0</v>
      </c>
      <c r="K575" s="5">
        <f>IFERROR(VLOOKUP($G575,今日總結!$A:$AJ,36,0),"")</f>
        <v>0</v>
      </c>
      <c r="L575" s="156">
        <f>IFERROR(VLOOKUP($G575,今日總結!$A:$AJ,33,0),"")</f>
        <v>0</v>
      </c>
      <c r="M575" s="340">
        <f>IFERROR(VLOOKUP($G575,今日總結!$A:$AJ,34,0),"")</f>
        <v>1</v>
      </c>
      <c r="N575" s="240">
        <f t="shared" si="126"/>
        <v>-1</v>
      </c>
      <c r="P575" s="365">
        <f>IFERROR(VLOOKUP($G575,融外自投!$A:$J,7,0),"無")</f>
        <v>35</v>
      </c>
      <c r="Q575" s="79">
        <f>IFERROR(VLOOKUP($G575,融外自投!$A:$J,9,0),"無")</f>
        <v>683</v>
      </c>
      <c r="R575" s="346">
        <f>IFERROR(VLOOKUP($G575,融外自投!$A:$J,8,0),"無")</f>
        <v>908</v>
      </c>
      <c r="S575" s="81" t="str">
        <f>IFERROR(VLOOKUP($G575,融外自投!$A:$J,10,0),"無")</f>
        <v>無</v>
      </c>
      <c r="T575" s="327">
        <f>IFERROR(VLOOKUP($G575,'321買'!$A:$E,5,0),"'沒有資料'")</f>
        <v>153</v>
      </c>
      <c r="U575" s="186">
        <f>IFERROR(VLOOKUP($G575,基本資料!$A:$J,9,0),"無")</f>
        <v>1.2</v>
      </c>
      <c r="V575" s="310">
        <f t="shared" si="121"/>
        <v>1.9017432646592707E-2</v>
      </c>
      <c r="W575" s="94">
        <f>IFERROR(VLOOKUP($G575,基本資料!$A:$J,10,0),"無")</f>
        <v>5.78</v>
      </c>
      <c r="X575" s="36">
        <f>RTD("money.excel",,"3317","Price")</f>
        <v>63.1</v>
      </c>
      <c r="Y575" s="66"/>
      <c r="Z575" s="15">
        <f t="shared" si="122"/>
        <v>63.1</v>
      </c>
      <c r="AA575" s="3" t="e">
        <f t="shared" si="123"/>
        <v>#DIV/0!</v>
      </c>
      <c r="AB575" s="344">
        <f>IFERROR(VLOOKUP($G575,基本資料!$A:$M,11,0),"無")</f>
        <v>-36.869999999999997</v>
      </c>
      <c r="AC575" s="397">
        <f>IFERROR(VLOOKUP($G575,基本資料!$A:$M,12,0),"無")</f>
        <v>34.15</v>
      </c>
      <c r="AD575" s="16" t="s">
        <v>168</v>
      </c>
      <c r="AG575" s="33">
        <f t="shared" si="124"/>
        <v>0</v>
      </c>
      <c r="AH575" s="117" t="s">
        <v>2176</v>
      </c>
      <c r="AI575" s="63">
        <f t="shared" si="127"/>
        <v>3.8839869281045748E-2</v>
      </c>
      <c r="AJ575" s="284">
        <f>RTD("money.excel",,$G575,"PredictVolume")</f>
        <v>2377</v>
      </c>
      <c r="AK575" s="399">
        <f>IFERROR(VLOOKUP($G575,基本資料!$A:$M,13,0),"無")</f>
        <v>52.56</v>
      </c>
    </row>
    <row r="576" spans="1:37">
      <c r="A576" s="347">
        <f>IFERROR(VLOOKUP($G576,基本資料!$A:$J,3,0),"無")</f>
        <v>17.559999999999999</v>
      </c>
      <c r="B576" s="79">
        <f>IFERROR(VLOOKUP($G576,基本資料!$A:$J,4,0),"無")</f>
        <v>3828</v>
      </c>
      <c r="C576" s="79">
        <f>IFERROR(VLOOKUP($G576,基本資料!$A:$J,5,0),"無")</f>
        <v>4959</v>
      </c>
      <c r="D576" s="79">
        <f>IFERROR(VLOOKUP($G576,基本資料!$A:$J,6,0),"無")</f>
        <v>0</v>
      </c>
      <c r="E576" s="79">
        <f>IFERROR(VLOOKUP($G576,基本資料!$A:$J,7,0),"無")</f>
        <v>-15</v>
      </c>
      <c r="F576" s="6">
        <f>IFERROR(VLOOKUP($G576,基本資料!$A:$J,8,0),"無")</f>
        <v>21.31</v>
      </c>
      <c r="G576" s="79">
        <v>3372</v>
      </c>
      <c r="H576" s="145" t="s">
        <v>3039</v>
      </c>
      <c r="I576" s="16" t="s">
        <v>4049</v>
      </c>
      <c r="J576" s="8" t="str">
        <f>IFERROR(VLOOKUP($G576,今日總結!$A:$AJ,35,0),"")</f>
        <v/>
      </c>
      <c r="K576" s="5" t="str">
        <f>IFERROR(VLOOKUP($G576,今日總結!$A:$AJ,36,0),"")</f>
        <v/>
      </c>
      <c r="L576" s="156" t="str">
        <f>IFERROR(VLOOKUP($G576,今日總結!$A:$AJ,33,0),"")</f>
        <v/>
      </c>
      <c r="M576" s="340" t="str">
        <f>IFERROR(VLOOKUP($G576,今日總結!$A:$AJ,34,0),"")</f>
        <v/>
      </c>
      <c r="N576" s="240" t="str">
        <f t="shared" si="126"/>
        <v/>
      </c>
      <c r="P576" s="365">
        <f>IFERROR(VLOOKUP($G576,融外自投!$A:$J,7,0),"無")</f>
        <v>600</v>
      </c>
      <c r="Q576" s="79">
        <f>IFERROR(VLOOKUP($G576,融外自投!$A:$J,9,0),"無")</f>
        <v>708</v>
      </c>
      <c r="R576" s="346">
        <f>IFERROR(VLOOKUP($G576,融外自投!$A:$J,8,0),"無")</f>
        <v>1186</v>
      </c>
      <c r="S576" s="81">
        <f>IFERROR(VLOOKUP($G576,融外自投!$A:$J,10,0),"無")</f>
        <v>172</v>
      </c>
      <c r="T576" s="327">
        <f>IFERROR(VLOOKUP($G576,'321買'!$A:$E,5,0),"'沒有資料'")</f>
        <v>779</v>
      </c>
      <c r="U576" s="186">
        <f>IFERROR(VLOOKUP($G576,基本資料!$A:$J,9,0),"無")</f>
        <v>1</v>
      </c>
      <c r="V576" s="310">
        <f t="shared" si="121"/>
        <v>6.4102564102564111E-2</v>
      </c>
      <c r="W576" s="94">
        <f>IFERROR(VLOOKUP($G576,基本資料!$A:$J,10,0),"無")</f>
        <v>2.39</v>
      </c>
      <c r="X576" s="36">
        <f>RTD("money.excel",,"3372","Price")</f>
        <v>15.6</v>
      </c>
      <c r="Y576" s="66"/>
      <c r="Z576" s="15">
        <f t="shared" si="122"/>
        <v>15.6</v>
      </c>
      <c r="AA576" s="3" t="e">
        <f t="shared" si="123"/>
        <v>#DIV/0!</v>
      </c>
      <c r="AB576" s="344">
        <f>IFERROR(VLOOKUP($G576,基本資料!$A:$M,11,0),"無")</f>
        <v>-53.03</v>
      </c>
      <c r="AC576" s="397">
        <f>IFERROR(VLOOKUP($G576,基本資料!$A:$M,12,0),"無")</f>
        <v>12.6</v>
      </c>
      <c r="AD576" s="16" t="s">
        <v>4049</v>
      </c>
      <c r="AG576" s="33">
        <f t="shared" si="124"/>
        <v>0</v>
      </c>
      <c r="AH576" s="43" t="s">
        <v>2355</v>
      </c>
      <c r="AI576" s="63">
        <f t="shared" si="127"/>
        <v>7.1184510250569481E-4</v>
      </c>
      <c r="AJ576" s="284">
        <f>RTD("money.excel",,$G576,"PredictVolume")</f>
        <v>125</v>
      </c>
      <c r="AK576" s="399">
        <f>IFERROR(VLOOKUP($G576,基本資料!$A:$M,13,0),"無")</f>
        <v>18.940000000000001</v>
      </c>
    </row>
    <row r="577" spans="1:37">
      <c r="A577" s="347">
        <f>IFERROR(VLOOKUP($G577,基本資料!$A:$J,3,0),"無")</f>
        <v>27.13</v>
      </c>
      <c r="B577" s="79">
        <f>IFERROR(VLOOKUP($G577,基本資料!$A:$J,4,0),"無")</f>
        <v>8</v>
      </c>
      <c r="C577" s="79">
        <f>IFERROR(VLOOKUP($G577,基本資料!$A:$J,5,0),"無")</f>
        <v>25</v>
      </c>
      <c r="D577" s="79">
        <f>IFERROR(VLOOKUP($G577,基本資料!$A:$J,6,0),"無")</f>
        <v>33</v>
      </c>
      <c r="E577" s="79">
        <f>IFERROR(VLOOKUP($G577,基本資料!$A:$J,7,0),"無")</f>
        <v>6</v>
      </c>
      <c r="F577" s="6">
        <f>IFERROR(VLOOKUP($G577,基本資料!$A:$J,8,0),"無")</f>
        <v>28.8</v>
      </c>
      <c r="G577" s="79">
        <v>3374</v>
      </c>
      <c r="H577" s="145" t="s">
        <v>307</v>
      </c>
      <c r="I577" s="16" t="s">
        <v>167</v>
      </c>
      <c r="J577" s="8" t="str">
        <f>IFERROR(VLOOKUP($G577,今日總結!$A:$AJ,35,0),"")</f>
        <v/>
      </c>
      <c r="K577" s="5" t="str">
        <f>IFERROR(VLOOKUP($G577,今日總結!$A:$AJ,36,0),"")</f>
        <v/>
      </c>
      <c r="L577" s="156" t="str">
        <f>IFERROR(VLOOKUP($G577,今日總結!$A:$AJ,33,0),"")</f>
        <v/>
      </c>
      <c r="M577" s="340" t="str">
        <f>IFERROR(VLOOKUP($G577,今日總結!$A:$AJ,34,0),"")</f>
        <v/>
      </c>
      <c r="N577" s="240" t="str">
        <f t="shared" si="126"/>
        <v/>
      </c>
      <c r="P577" s="365">
        <f>IFERROR(VLOOKUP($G577,融外自投!$A:$J,7,0),"無")</f>
        <v>304</v>
      </c>
      <c r="Q577" s="79">
        <f>IFERROR(VLOOKUP($G577,融外自投!$A:$J,9,0),"無")</f>
        <v>200</v>
      </c>
      <c r="R577" s="346">
        <f>IFERROR(VLOOKUP($G577,融外自投!$A:$J,8,0),"無")</f>
        <v>692</v>
      </c>
      <c r="S577" s="81">
        <f>IFERROR(VLOOKUP($G577,融外自投!$A:$J,10,0),"無")</f>
        <v>72</v>
      </c>
      <c r="T577" s="327">
        <f>IFERROR(VLOOKUP($G577,'321買'!$A:$E,5,0),"'沒有資料'")</f>
        <v>349</v>
      </c>
      <c r="U577" s="186">
        <f>IFERROR(VLOOKUP($G577,基本資料!$A:$J,9,0),"無")</f>
        <v>3</v>
      </c>
      <c r="V577" s="310">
        <f t="shared" si="121"/>
        <v>2.1897810218978103E-2</v>
      </c>
      <c r="W577" s="94">
        <f>IFERROR(VLOOKUP($G577,基本資料!$A:$J,10,0),"無")</f>
        <v>6.92</v>
      </c>
      <c r="X577" s="36">
        <f>RTD("money.excel",,"3374","Price")</f>
        <v>137</v>
      </c>
      <c r="Y577" s="66"/>
      <c r="Z577" s="15">
        <f t="shared" si="122"/>
        <v>137</v>
      </c>
      <c r="AA577" s="3" t="e">
        <f t="shared" si="123"/>
        <v>#DIV/0!</v>
      </c>
      <c r="AB577" s="344">
        <f>IFERROR(VLOOKUP($G577,基本資料!$A:$M,11,0),"無")</f>
        <v>-30.91</v>
      </c>
      <c r="AC577" s="397">
        <f>IFERROR(VLOOKUP($G577,基本資料!$A:$M,12,0),"無")</f>
        <v>60.86</v>
      </c>
      <c r="AD577" s="16" t="s">
        <v>167</v>
      </c>
      <c r="AG577" s="33">
        <f t="shared" si="124"/>
        <v>0</v>
      </c>
      <c r="AH577" s="117" t="s">
        <v>2322</v>
      </c>
      <c r="AI577" s="63">
        <f t="shared" si="127"/>
        <v>1.4935495761150018E-2</v>
      </c>
      <c r="AJ577" s="284">
        <f>RTD("money.excel",,$G577,"PredictVolume")</f>
        <v>4052</v>
      </c>
      <c r="AK577" s="399">
        <f>IFERROR(VLOOKUP($G577,基本資料!$A:$M,13,0),"無")</f>
        <v>8.73</v>
      </c>
    </row>
    <row r="578" spans="1:37">
      <c r="A578" s="347">
        <f>IFERROR(VLOOKUP($G578,基本資料!$A:$J,3,0),"無")</f>
        <v>9.67</v>
      </c>
      <c r="B578" s="79">
        <f>IFERROR(VLOOKUP($G578,基本資料!$A:$J,4,0),"無")</f>
        <v>22</v>
      </c>
      <c r="C578" s="79">
        <f>IFERROR(VLOOKUP($G578,基本資料!$A:$J,5,0),"無")</f>
        <v>21</v>
      </c>
      <c r="D578" s="79">
        <f>IFERROR(VLOOKUP($G578,基本資料!$A:$J,6,0),"無")</f>
        <v>4</v>
      </c>
      <c r="E578" s="79">
        <f>IFERROR(VLOOKUP($G578,基本資料!$A:$J,7,0),"無")</f>
        <v>24</v>
      </c>
      <c r="F578" s="6">
        <f>IFERROR(VLOOKUP($G578,基本資料!$A:$J,8,0),"無")</f>
        <v>16.239999999999998</v>
      </c>
      <c r="G578" s="79">
        <v>3413</v>
      </c>
      <c r="H578" s="8" t="s">
        <v>3039</v>
      </c>
      <c r="I578" s="22" t="s">
        <v>59</v>
      </c>
      <c r="J578" s="8" t="str">
        <f>IFERROR(VLOOKUP($G578,今日總結!$A:$AJ,35,0),"")</f>
        <v>券</v>
      </c>
      <c r="K578" s="5">
        <f>IFERROR(VLOOKUP($G578,今日總結!$A:$AJ,36,0),"")</f>
        <v>0</v>
      </c>
      <c r="L578" s="156">
        <f>IFERROR(VLOOKUP($G578,今日總結!$A:$AJ,33,0),"")</f>
        <v>1</v>
      </c>
      <c r="M578" s="340">
        <f>IFERROR(VLOOKUP($G578,今日總結!$A:$AJ,34,0),"")</f>
        <v>0</v>
      </c>
      <c r="N578" s="240">
        <f t="shared" si="126"/>
        <v>1</v>
      </c>
      <c r="P578" s="365">
        <f>IFERROR(VLOOKUP($G578,融外自投!$A:$J,7,0),"無")</f>
        <v>284</v>
      </c>
      <c r="Q578" s="79" t="str">
        <f>IFERROR(VLOOKUP($G578,融外自投!$A:$J,9,0),"無")</f>
        <v>無</v>
      </c>
      <c r="R578" s="346">
        <f>IFERROR(VLOOKUP($G578,融外自投!$A:$J,8,0),"無")</f>
        <v>249</v>
      </c>
      <c r="S578" s="81">
        <f>IFERROR(VLOOKUP($G578,融外自投!$A:$J,10,0),"無")</f>
        <v>144</v>
      </c>
      <c r="T578" s="327">
        <f>IFERROR(VLOOKUP($G578,'321買'!$A:$E,5,0),"'沒有資料'")</f>
        <v>336</v>
      </c>
      <c r="U578" s="186">
        <f>IFERROR(VLOOKUP($G578,基本資料!$A:$J,9,0),"無")</f>
        <v>9.5</v>
      </c>
      <c r="V578" s="310">
        <f t="shared" si="121"/>
        <v>4.4811320754716978E-2</v>
      </c>
      <c r="W578" s="94">
        <f>IFERROR(VLOOKUP($G578,基本資料!$A:$J,10,0),"無")</f>
        <v>17.010000000000002</v>
      </c>
      <c r="X578" s="36">
        <f>RTD("money.excel",,"3413","Price")</f>
        <v>212</v>
      </c>
      <c r="Y578" s="66"/>
      <c r="Z578" s="15">
        <f t="shared" si="122"/>
        <v>212</v>
      </c>
      <c r="AA578" s="3" t="e">
        <f t="shared" si="123"/>
        <v>#DIV/0!</v>
      </c>
      <c r="AB578" s="344">
        <f>IFERROR(VLOOKUP($G578,基本資料!$A:$M,11,0),"無")</f>
        <v>-23.13</v>
      </c>
      <c r="AC578" s="397">
        <f>IFERROR(VLOOKUP($G578,基本資料!$A:$M,12,0),"無")</f>
        <v>33.92</v>
      </c>
      <c r="AD578" s="22" t="s">
        <v>59</v>
      </c>
      <c r="AG578" s="33">
        <f t="shared" si="124"/>
        <v>0</v>
      </c>
      <c r="AH578" s="117" t="s">
        <v>1435</v>
      </c>
      <c r="AI578" s="63">
        <f t="shared" si="127"/>
        <v>5.8014477766287487E-3</v>
      </c>
      <c r="AJ578" s="284">
        <f>RTD("money.excel",,$G578,"PredictVolume")</f>
        <v>561</v>
      </c>
      <c r="AK578" s="399">
        <f>IFERROR(VLOOKUP($G578,基本資料!$A:$M,13,0),"無")</f>
        <v>10.63</v>
      </c>
    </row>
    <row r="579" spans="1:37">
      <c r="A579" s="347">
        <f>IFERROR(VLOOKUP($G579,基本資料!$A:$J,3,0),"無")</f>
        <v>4.71</v>
      </c>
      <c r="B579" s="79">
        <f>IFERROR(VLOOKUP($G579,基本資料!$A:$J,4,0),"無")</f>
        <v>121</v>
      </c>
      <c r="C579" s="79">
        <f>IFERROR(VLOOKUP($G579,基本資料!$A:$J,5,0),"無")</f>
        <v>135</v>
      </c>
      <c r="D579" s="79">
        <f>IFERROR(VLOOKUP($G579,基本資料!$A:$J,6,0),"無")</f>
        <v>28</v>
      </c>
      <c r="E579" s="79">
        <f>IFERROR(VLOOKUP($G579,基本資料!$A:$J,7,0),"無")</f>
        <v>5</v>
      </c>
      <c r="F579" s="6">
        <f>IFERROR(VLOOKUP($G579,基本資料!$A:$J,8,0),"無")</f>
        <v>19.690000000000001</v>
      </c>
      <c r="G579" s="79">
        <v>3438</v>
      </c>
      <c r="H579" s="145" t="s">
        <v>307</v>
      </c>
      <c r="I579" s="16" t="s">
        <v>362</v>
      </c>
      <c r="J579" s="8" t="str">
        <f>IFERROR(VLOOKUP($G579,今日總結!$A:$AJ,35,0),"")</f>
        <v/>
      </c>
      <c r="K579" s="5" t="str">
        <f>IFERROR(VLOOKUP($G579,今日總結!$A:$AJ,36,0),"")</f>
        <v/>
      </c>
      <c r="L579" s="156" t="str">
        <f>IFERROR(VLOOKUP($G579,今日總結!$A:$AJ,33,0),"")</f>
        <v/>
      </c>
      <c r="M579" s="340" t="str">
        <f>IFERROR(VLOOKUP($G579,今日總結!$A:$AJ,34,0),"")</f>
        <v/>
      </c>
      <c r="N579" s="240" t="str">
        <f t="shared" si="126"/>
        <v/>
      </c>
      <c r="P579" s="365">
        <f>IFERROR(VLOOKUP($G579,融外自投!$A:$J,7,0),"無")</f>
        <v>358</v>
      </c>
      <c r="Q579" s="79">
        <f>IFERROR(VLOOKUP($G579,融外自投!$A:$J,9,0),"無")</f>
        <v>29</v>
      </c>
      <c r="R579" s="346">
        <f>IFERROR(VLOOKUP($G579,融外自投!$A:$J,8,0),"無")</f>
        <v>1041</v>
      </c>
      <c r="S579" s="81" t="str">
        <f>IFERROR(VLOOKUP($G579,融外自投!$A:$J,10,0),"無")</f>
        <v>無</v>
      </c>
      <c r="T579" s="327">
        <f>IFERROR(VLOOKUP($G579,'321買'!$A:$E,5,0),"'沒有資料'")</f>
        <v>852</v>
      </c>
      <c r="U579" s="186">
        <f>IFERROR(VLOOKUP($G579,基本資料!$A:$J,9,0),"無")</f>
        <v>3.6</v>
      </c>
      <c r="V579" s="310">
        <f t="shared" si="121"/>
        <v>5.5384615384615386E-2</v>
      </c>
      <c r="W579" s="94">
        <f>IFERROR(VLOOKUP($G579,基本資料!$A:$J,10,0),"無")</f>
        <v>5.14</v>
      </c>
      <c r="X579" s="36">
        <f>RTD("money.excel",,"3438","Price")</f>
        <v>65</v>
      </c>
      <c r="Y579" s="66"/>
      <c r="Z579" s="15">
        <f t="shared" si="122"/>
        <v>65</v>
      </c>
      <c r="AA579" s="3" t="e">
        <f t="shared" si="123"/>
        <v>#DIV/0!</v>
      </c>
      <c r="AB579" s="344">
        <f>IFERROR(VLOOKUP($G579,基本資料!$A:$M,11,0),"無")</f>
        <v>-45.52</v>
      </c>
      <c r="AC579" s="397">
        <f>IFERROR(VLOOKUP($G579,基本資料!$A:$M,12,0),"無")</f>
        <v>22.52</v>
      </c>
      <c r="AD579" s="16" t="s">
        <v>362</v>
      </c>
      <c r="AG579" s="33">
        <f t="shared" si="124"/>
        <v>0</v>
      </c>
      <c r="AH579" s="43" t="s">
        <v>1438</v>
      </c>
      <c r="AI579" s="63">
        <f t="shared" si="127"/>
        <v>2.3142250530785564E-3</v>
      </c>
      <c r="AJ579" s="284">
        <f>RTD("money.excel",,$G579,"PredictVolume")</f>
        <v>109</v>
      </c>
      <c r="AK579" s="399">
        <f>IFERROR(VLOOKUP($G579,基本資料!$A:$M,13,0),"無")</f>
        <v>19.059999999999999</v>
      </c>
    </row>
    <row r="580" spans="1:37">
      <c r="A580" s="347">
        <f>IFERROR(VLOOKUP($G580,基本資料!$A:$J,3,0),"無")</f>
        <v>13.4</v>
      </c>
      <c r="B580" s="79">
        <f>IFERROR(VLOOKUP($G580,基本資料!$A:$J,4,0),"無")</f>
        <v>71</v>
      </c>
      <c r="C580" s="79">
        <f>IFERROR(VLOOKUP($G580,基本資料!$A:$J,5,0),"無")</f>
        <v>73</v>
      </c>
      <c r="D580" s="79">
        <f>IFERROR(VLOOKUP($G580,基本資料!$A:$J,6,0),"無")</f>
        <v>17</v>
      </c>
      <c r="E580" s="79">
        <f>IFERROR(VLOOKUP($G580,基本資料!$A:$J,7,0),"無")</f>
        <v>75</v>
      </c>
      <c r="F580" s="6">
        <f>IFERROR(VLOOKUP($G580,基本資料!$A:$J,8,0),"無")</f>
        <v>11.08</v>
      </c>
      <c r="G580" s="79">
        <v>3443</v>
      </c>
      <c r="H580" s="192" t="s">
        <v>307</v>
      </c>
      <c r="I580" s="22" t="s">
        <v>49</v>
      </c>
      <c r="J580" s="8" t="str">
        <f>IFERROR(VLOOKUP($G580,今日總結!$A:$AJ,35,0),"")</f>
        <v>投</v>
      </c>
      <c r="K580" s="5">
        <f>IFERROR(VLOOKUP($G580,今日總結!$A:$AJ,36,0),"")</f>
        <v>0</v>
      </c>
      <c r="L580" s="156">
        <f>IFERROR(VLOOKUP($G580,今日總結!$A:$AJ,33,0),"")</f>
        <v>1</v>
      </c>
      <c r="M580" s="340">
        <f>IFERROR(VLOOKUP($G580,今日總結!$A:$AJ,34,0),"")</f>
        <v>0</v>
      </c>
      <c r="N580" s="240">
        <f t="shared" si="126"/>
        <v>1</v>
      </c>
      <c r="P580" s="365">
        <f>IFERROR(VLOOKUP($G580,融外自投!$A:$J,7,0),"無")</f>
        <v>764</v>
      </c>
      <c r="Q580" s="79">
        <f>IFERROR(VLOOKUP($G580,融外自投!$A:$J,9,0),"無")</f>
        <v>43</v>
      </c>
      <c r="R580" s="346">
        <f>IFERROR(VLOOKUP($G580,融外自投!$A:$J,8,0),"無")</f>
        <v>134</v>
      </c>
      <c r="S580" s="81">
        <f>IFERROR(VLOOKUP($G580,融外自投!$A:$J,10,0),"無")</f>
        <v>49</v>
      </c>
      <c r="T580" s="327">
        <f>IFERROR(VLOOKUP($G580,'321買'!$A:$E,5,0),"'沒有資料'")</f>
        <v>73</v>
      </c>
      <c r="U580" s="186">
        <f>IFERROR(VLOOKUP($G580,基本資料!$A:$J,9,0),"無")</f>
        <v>7</v>
      </c>
      <c r="V580" s="310">
        <f t="shared" si="121"/>
        <v>1.4028056112224449E-2</v>
      </c>
      <c r="W580" s="94">
        <f>IFERROR(VLOOKUP($G580,基本資料!$A:$J,10,0),"無")</f>
        <v>10.9</v>
      </c>
      <c r="X580" s="36">
        <f>RTD("money.excel",,"3443","Price")</f>
        <v>499</v>
      </c>
      <c r="Y580" s="66"/>
      <c r="Z580" s="15">
        <f t="shared" si="122"/>
        <v>499</v>
      </c>
      <c r="AA580" s="3" t="e">
        <f t="shared" si="123"/>
        <v>#DIV/0!</v>
      </c>
      <c r="AB580" s="344">
        <f>IFERROR(VLOOKUP($G580,基本資料!$A:$M,11,0),"無")</f>
        <v>-29.5</v>
      </c>
      <c r="AC580" s="397">
        <f>IFERROR(VLOOKUP($G580,基本資料!$A:$M,12,0),"無")</f>
        <v>50.53</v>
      </c>
      <c r="AD580" s="22" t="s">
        <v>49</v>
      </c>
      <c r="AG580" s="33">
        <f t="shared" si="124"/>
        <v>0</v>
      </c>
      <c r="AH580" s="117" t="s">
        <v>3315</v>
      </c>
      <c r="AI580" s="63">
        <f t="shared" si="127"/>
        <v>2.8567164179104477E-2</v>
      </c>
      <c r="AJ580" s="284">
        <f>RTD("money.excel",,$G580,"PredictVolume")</f>
        <v>3828</v>
      </c>
      <c r="AK580" s="399">
        <f>IFERROR(VLOOKUP($G580,基本資料!$A:$M,13,0),"無")</f>
        <v>6.21</v>
      </c>
    </row>
    <row r="581" spans="1:37">
      <c r="A581" s="347">
        <f>IFERROR(VLOOKUP($G581,基本資料!$A:$J,3,0),"無")</f>
        <v>4.4400000000000004</v>
      </c>
      <c r="B581" s="79">
        <f>IFERROR(VLOOKUP($G581,基本資料!$A:$J,4,0),"無")</f>
        <v>730</v>
      </c>
      <c r="C581" s="79">
        <f>IFERROR(VLOOKUP($G581,基本資料!$A:$J,5,0),"無")</f>
        <v>2520</v>
      </c>
      <c r="D581" s="79">
        <f>IFERROR(VLOOKUP($G581,基本資料!$A:$J,6,0),"無")</f>
        <v>16</v>
      </c>
      <c r="E581" s="79">
        <f>IFERROR(VLOOKUP($G581,基本資料!$A:$J,7,0),"無")</f>
        <v>29</v>
      </c>
      <c r="F581" s="6">
        <f>IFERROR(VLOOKUP($G581,基本資料!$A:$J,8,0),"無")</f>
        <v>18.47</v>
      </c>
      <c r="G581" s="79">
        <v>3527</v>
      </c>
      <c r="H581" s="8" t="s">
        <v>3039</v>
      </c>
      <c r="I581" s="16" t="s">
        <v>326</v>
      </c>
      <c r="J581" s="8">
        <f>IFERROR(VLOOKUP($G581,今日總結!$A:$AJ,35,0),"")</f>
        <v>0</v>
      </c>
      <c r="K581" s="5" t="str">
        <f>IFERROR(VLOOKUP($G581,今日總結!$A:$AJ,36,0),"")</f>
        <v>借</v>
      </c>
      <c r="L581" s="156">
        <f>IFERROR(VLOOKUP($G581,今日總結!$A:$AJ,33,0),"")</f>
        <v>0</v>
      </c>
      <c r="M581" s="340">
        <f>IFERROR(VLOOKUP($G581,今日總結!$A:$AJ,34,0),"")</f>
        <v>1</v>
      </c>
      <c r="N581" s="240">
        <f t="shared" si="126"/>
        <v>-1</v>
      </c>
      <c r="P581" s="365">
        <f>IFERROR(VLOOKUP($G581,融外自投!$A:$J,7,0),"無")</f>
        <v>131</v>
      </c>
      <c r="Q581" s="79">
        <f>IFERROR(VLOOKUP($G581,融外自投!$A:$J,9,0),"無")</f>
        <v>414</v>
      </c>
      <c r="R581" s="346">
        <f>IFERROR(VLOOKUP($G581,融外自投!$A:$J,8,0),"無")</f>
        <v>611</v>
      </c>
      <c r="S581" s="81">
        <f>IFERROR(VLOOKUP($G581,融外自投!$A:$J,10,0),"無")</f>
        <v>195</v>
      </c>
      <c r="T581" s="327">
        <f>IFERROR(VLOOKUP($G581,'321買'!$A:$E,5,0),"'沒有資料'")</f>
        <v>145</v>
      </c>
      <c r="U581" s="186">
        <f>IFERROR(VLOOKUP($G581,基本資料!$A:$J,9,0),"無")</f>
        <v>8</v>
      </c>
      <c r="V581" s="310">
        <f t="shared" si="121"/>
        <v>0.05</v>
      </c>
      <c r="W581" s="94">
        <f>IFERROR(VLOOKUP($G581,基本資料!$A:$J,10,0),"無")</f>
        <v>12.69</v>
      </c>
      <c r="X581" s="36">
        <f>RTD("money.excel",,"3527","Price")</f>
        <v>160</v>
      </c>
      <c r="Y581" s="66"/>
      <c r="Z581" s="15">
        <f t="shared" si="122"/>
        <v>160</v>
      </c>
      <c r="AA581" s="3" t="e">
        <f t="shared" si="123"/>
        <v>#DIV/0!</v>
      </c>
      <c r="AB581" s="344">
        <f>IFERROR(VLOOKUP($G581,基本資料!$A:$M,11,0),"無")</f>
        <v>-46.77</v>
      </c>
      <c r="AC581" s="397">
        <f>IFERROR(VLOOKUP($G581,基本資料!$A:$M,12,0),"無")</f>
        <v>38.07</v>
      </c>
      <c r="AD581" s="16" t="s">
        <v>326</v>
      </c>
      <c r="AG581" s="33">
        <f t="shared" si="124"/>
        <v>0</v>
      </c>
      <c r="AH581" s="43" t="s">
        <v>2356</v>
      </c>
      <c r="AI581" s="63">
        <f t="shared" si="127"/>
        <v>2.6058558558558553E-2</v>
      </c>
      <c r="AJ581" s="284">
        <f>RTD("money.excel",,$G581,"PredictVolume")</f>
        <v>1157</v>
      </c>
      <c r="AK581" s="399">
        <f>IFERROR(VLOOKUP($G581,基本資料!$A:$M,13,0),"無")</f>
        <v>42.73</v>
      </c>
    </row>
    <row r="582" spans="1:37">
      <c r="A582" s="347">
        <f>IFERROR(VLOOKUP($G582,基本資料!$A:$J,3,0),"無")</f>
        <v>7.61</v>
      </c>
      <c r="B582" s="79">
        <f>IFERROR(VLOOKUP($G582,基本資料!$A:$J,4,0),"無")</f>
        <v>54</v>
      </c>
      <c r="C582" s="79">
        <f>IFERROR(VLOOKUP($G582,基本資料!$A:$J,5,0),"無")</f>
        <v>54</v>
      </c>
      <c r="D582" s="79">
        <f>IFERROR(VLOOKUP($G582,基本資料!$A:$J,6,0),"無")</f>
        <v>729</v>
      </c>
      <c r="E582" s="79">
        <f>IFERROR(VLOOKUP($G582,基本資料!$A:$J,7,0),"無")</f>
        <v>45</v>
      </c>
      <c r="F582" s="6">
        <f>IFERROR(VLOOKUP($G582,基本資料!$A:$J,8,0),"無")</f>
        <v>53.68</v>
      </c>
      <c r="G582" s="79">
        <v>3529</v>
      </c>
      <c r="H582" s="145" t="s">
        <v>3039</v>
      </c>
      <c r="I582" s="16" t="s">
        <v>36</v>
      </c>
      <c r="J582" s="8">
        <f>IFERROR(VLOOKUP($G582,今日總結!$A:$AJ,35,0),"")</f>
        <v>0</v>
      </c>
      <c r="K582" s="5">
        <f>IFERROR(VLOOKUP($G582,今日總結!$A:$AJ,36,0),"")</f>
        <v>9</v>
      </c>
      <c r="L582" s="156">
        <f>IFERROR(VLOOKUP($G582,今日總結!$A:$AJ,33,0),"")</f>
        <v>0</v>
      </c>
      <c r="M582" s="340">
        <f>IFERROR(VLOOKUP($G582,今日總結!$A:$AJ,34,0),"")</f>
        <v>1</v>
      </c>
      <c r="N582" s="240">
        <f t="shared" si="126"/>
        <v>-1</v>
      </c>
      <c r="P582" s="365">
        <f>IFERROR(VLOOKUP($G582,融外自投!$A:$J,7,0),"無")</f>
        <v>870</v>
      </c>
      <c r="Q582" s="79">
        <f>IFERROR(VLOOKUP($G582,融外自投!$A:$J,9,0),"無")</f>
        <v>13</v>
      </c>
      <c r="R582" s="346">
        <f>IFERROR(VLOOKUP($G582,融外自投!$A:$J,8,0),"無")</f>
        <v>53</v>
      </c>
      <c r="S582" s="81">
        <f>IFERROR(VLOOKUP($G582,融外自投!$A:$J,10,0),"無")</f>
        <v>12</v>
      </c>
      <c r="T582" s="327">
        <f>IFERROR(VLOOKUP($G582,'321買'!$A:$E,5,0),"'沒有資料'")</f>
        <v>164</v>
      </c>
      <c r="U582" s="186">
        <f>IFERROR(VLOOKUP($G582,基本資料!$A:$J,9,0),"無")</f>
        <v>14</v>
      </c>
      <c r="V582" s="310">
        <f t="shared" si="121"/>
        <v>1.1475409836065573E-2</v>
      </c>
      <c r="W582" s="94">
        <f>IFERROR(VLOOKUP($G582,基本資料!$A:$J,10,0),"無")</f>
        <v>14.78</v>
      </c>
      <c r="X582" s="372">
        <f>RTD("money.excel",,"3529","Price")</f>
        <v>1220</v>
      </c>
      <c r="Y582" s="66"/>
      <c r="Z582" s="137">
        <f t="shared" si="122"/>
        <v>1220</v>
      </c>
      <c r="AA582" s="3" t="e">
        <f t="shared" si="123"/>
        <v>#DIV/0!</v>
      </c>
      <c r="AB582" s="344">
        <f>IFERROR(VLOOKUP($G582,基本資料!$A:$M,11,0),"無")</f>
        <v>-52.58</v>
      </c>
      <c r="AC582" s="397">
        <f>IFERROR(VLOOKUP($G582,基本資料!$A:$M,12,0),"無")</f>
        <v>19.91</v>
      </c>
      <c r="AD582" s="16" t="s">
        <v>36</v>
      </c>
      <c r="AG582" s="33">
        <f t="shared" si="124"/>
        <v>0</v>
      </c>
      <c r="AH582" s="117" t="s">
        <v>2924</v>
      </c>
      <c r="AI582" s="63">
        <f t="shared" si="127"/>
        <v>1.7923784494086728E-2</v>
      </c>
      <c r="AJ582" s="284">
        <f>RTD("money.excel",,$G582,"PredictVolume")</f>
        <v>1364</v>
      </c>
      <c r="AK582" s="399">
        <f>IFERROR(VLOOKUP($G582,基本資料!$A:$M,13,0),"無")</f>
        <v>8.49</v>
      </c>
    </row>
    <row r="583" spans="1:37">
      <c r="A583" s="347">
        <f>IFERROR(VLOOKUP($G583,基本資料!$A:$J,3,0),"無")</f>
        <v>7.81</v>
      </c>
      <c r="B583" s="79">
        <f>IFERROR(VLOOKUP($G583,基本資料!$A:$J,4,0),"無")</f>
        <v>163</v>
      </c>
      <c r="C583" s="79">
        <f>IFERROR(VLOOKUP($G583,基本資料!$A:$J,5,0),"無")</f>
        <v>174</v>
      </c>
      <c r="D583" s="79">
        <f>IFERROR(VLOOKUP($G583,基本資料!$A:$J,6,0),"無")</f>
        <v>-11</v>
      </c>
      <c r="E583" s="79">
        <f>IFERROR(VLOOKUP($G583,基本資料!$A:$J,7,0),"無")</f>
        <v>-18</v>
      </c>
      <c r="F583" s="6">
        <f>IFERROR(VLOOKUP($G583,基本資料!$A:$J,8,0),"無")</f>
        <v>22.12</v>
      </c>
      <c r="G583" s="79">
        <v>3530</v>
      </c>
      <c r="H583" s="195" t="s">
        <v>3039</v>
      </c>
      <c r="I583" s="22" t="s">
        <v>515</v>
      </c>
      <c r="J583" s="8" t="str">
        <f>IFERROR(VLOOKUP($G583,今日總結!$A:$AJ,35,0),"")</f>
        <v>券主</v>
      </c>
      <c r="K583" s="5" t="str">
        <f>IFERROR(VLOOKUP($G583,今日總結!$A:$AJ,36,0),"")</f>
        <v>外</v>
      </c>
      <c r="L583" s="156">
        <f>IFERROR(VLOOKUP($G583,今日總結!$A:$AJ,33,0),"")</f>
        <v>2</v>
      </c>
      <c r="M583" s="340">
        <f>IFERROR(VLOOKUP($G583,今日總結!$A:$AJ,34,0),"")</f>
        <v>1</v>
      </c>
      <c r="N583" s="240">
        <f t="shared" si="126"/>
        <v>1</v>
      </c>
      <c r="P583" s="365">
        <f>IFERROR(VLOOKUP($G583,融外自投!$A:$J,7,0),"無")</f>
        <v>269</v>
      </c>
      <c r="Q583" s="79">
        <f>IFERROR(VLOOKUP($G583,融外自投!$A:$J,9,0),"無")</f>
        <v>258</v>
      </c>
      <c r="R583" s="346">
        <f>IFERROR(VLOOKUP($G583,融外自投!$A:$J,8,0),"無")</f>
        <v>98</v>
      </c>
      <c r="S583" s="81" t="str">
        <f>IFERROR(VLOOKUP($G583,融外自投!$A:$J,10,0),"無")</f>
        <v>無</v>
      </c>
      <c r="T583" s="327">
        <f>IFERROR(VLOOKUP($G583,'321買'!$A:$E,5,0),"'沒有資料'")</f>
        <v>255</v>
      </c>
      <c r="U583" s="186">
        <f>IFERROR(VLOOKUP($G583,基本資料!$A:$J,9,0),"無")</f>
        <v>3.5</v>
      </c>
      <c r="V583" s="310">
        <f t="shared" si="121"/>
        <v>2.8806584362139918E-2</v>
      </c>
      <c r="W583" s="94">
        <f>IFERROR(VLOOKUP($G583,基本資料!$A:$J,10,0),"無")</f>
        <v>9.61</v>
      </c>
      <c r="X583" s="36">
        <f>RTD("money.excel",,"3530","Price")</f>
        <v>121.5</v>
      </c>
      <c r="Y583" s="66"/>
      <c r="Z583" s="15">
        <f t="shared" si="122"/>
        <v>121.5</v>
      </c>
      <c r="AA583" s="3" t="e">
        <f t="shared" si="123"/>
        <v>#DIV/0!</v>
      </c>
      <c r="AB583" s="344">
        <f>IFERROR(VLOOKUP($G583,基本資料!$A:$M,11,0),"無")</f>
        <v>-49.48</v>
      </c>
      <c r="AC583" s="397">
        <f>IFERROR(VLOOKUP($G583,基本資料!$A:$M,12,0),"無")</f>
        <v>76.31</v>
      </c>
      <c r="AD583" s="22" t="s">
        <v>515</v>
      </c>
      <c r="AG583" s="33">
        <f t="shared" si="124"/>
        <v>0</v>
      </c>
      <c r="AH583" s="43" t="s">
        <v>2313</v>
      </c>
      <c r="AI583" s="63">
        <f t="shared" si="127"/>
        <v>2.3431498079385404E-3</v>
      </c>
      <c r="AJ583" s="284">
        <f>RTD("money.excel",,$G583,"PredictVolume")</f>
        <v>183</v>
      </c>
      <c r="AK583" s="399">
        <f>IFERROR(VLOOKUP($G583,基本資料!$A:$M,13,0),"無")</f>
        <v>41.86</v>
      </c>
    </row>
    <row r="584" spans="1:37">
      <c r="A584" s="347">
        <f>IFERROR(VLOOKUP($G584,基本資料!$A:$J,3,0),"無")</f>
        <v>38.78</v>
      </c>
      <c r="B584" s="79">
        <f>IFERROR(VLOOKUP($G584,基本資料!$A:$J,4,0),"無")</f>
        <v>7</v>
      </c>
      <c r="C584" s="79">
        <f>IFERROR(VLOOKUP($G584,基本資料!$A:$J,5,0),"無")</f>
        <v>-1</v>
      </c>
      <c r="D584" s="79">
        <f>IFERROR(VLOOKUP($G584,基本資料!$A:$J,6,0),"無")</f>
        <v>2</v>
      </c>
      <c r="E584" s="79">
        <f>IFERROR(VLOOKUP($G584,基本資料!$A:$J,7,0),"無")</f>
        <v>39</v>
      </c>
      <c r="F584" s="6">
        <f>IFERROR(VLOOKUP($G584,基本資料!$A:$J,8,0),"無")</f>
        <v>14.93</v>
      </c>
      <c r="G584" s="79">
        <v>3532</v>
      </c>
      <c r="H584" s="8" t="s">
        <v>3039</v>
      </c>
      <c r="I584" s="22" t="s">
        <v>43</v>
      </c>
      <c r="J584" s="8" t="str">
        <f>IFERROR(VLOOKUP($G584,今日總結!$A:$AJ,35,0),"")</f>
        <v>投借</v>
      </c>
      <c r="K584" s="5">
        <f>IFERROR(VLOOKUP($G584,今日總結!$A:$AJ,36,0),"")</f>
        <v>0</v>
      </c>
      <c r="L584" s="156">
        <f>IFERROR(VLOOKUP($G584,今日總結!$A:$AJ,33,0),"")</f>
        <v>2</v>
      </c>
      <c r="M584" s="340">
        <f>IFERROR(VLOOKUP($G584,今日總結!$A:$AJ,34,0),"")</f>
        <v>0</v>
      </c>
      <c r="N584" s="240">
        <f t="shared" si="126"/>
        <v>2</v>
      </c>
      <c r="P584" s="365">
        <f>IFERROR(VLOOKUP($G584,融外自投!$A:$J,7,0),"無")</f>
        <v>818</v>
      </c>
      <c r="Q584" s="79">
        <f>IFERROR(VLOOKUP($G584,融外自投!$A:$J,9,0),"無")</f>
        <v>38</v>
      </c>
      <c r="R584" s="346">
        <f>IFERROR(VLOOKUP($G584,融外自投!$A:$J,8,0),"無")</f>
        <v>79</v>
      </c>
      <c r="S584" s="81">
        <f>IFERROR(VLOOKUP($G584,融外自投!$A:$J,10,0),"無")</f>
        <v>91</v>
      </c>
      <c r="T584" s="327">
        <f>IFERROR(VLOOKUP($G584,'321買'!$A:$E,5,0),"'沒有資料'")</f>
        <v>63</v>
      </c>
      <c r="U584" s="186">
        <f>IFERROR(VLOOKUP($G584,基本資料!$A:$J,9,0),"無")</f>
        <v>2.2200000000000002</v>
      </c>
      <c r="V584" s="310">
        <f t="shared" si="121"/>
        <v>1.0183486238532111E-2</v>
      </c>
      <c r="W584" s="94">
        <f>IFERROR(VLOOKUP($G584,基本資料!$A:$J,10,0),"無")</f>
        <v>3.64</v>
      </c>
      <c r="X584" s="36">
        <f>RTD("money.excel",,"3532","Price")</f>
        <v>218</v>
      </c>
      <c r="Y584" s="66"/>
      <c r="Z584" s="15">
        <f t="shared" si="122"/>
        <v>218</v>
      </c>
      <c r="AA584" s="3" t="e">
        <f t="shared" si="123"/>
        <v>#DIV/0!</v>
      </c>
      <c r="AB584" s="344">
        <f>IFERROR(VLOOKUP($G584,基本資料!$A:$M,11,0),"無")</f>
        <v>-46.28</v>
      </c>
      <c r="AC584" s="397">
        <f>IFERROR(VLOOKUP($G584,基本資料!$A:$M,12,0),"無")</f>
        <v>12.44</v>
      </c>
      <c r="AD584" s="22" t="s">
        <v>43</v>
      </c>
      <c r="AG584" s="33">
        <f t="shared" si="124"/>
        <v>0</v>
      </c>
      <c r="AH584" s="117" t="s">
        <v>2561</v>
      </c>
      <c r="AI584" s="63">
        <f t="shared" si="127"/>
        <v>4.252707581227437E-2</v>
      </c>
      <c r="AJ584" s="284">
        <f>RTD("money.excel",,$G584,"PredictVolume")</f>
        <v>16492</v>
      </c>
      <c r="AK584" s="399">
        <f>IFERROR(VLOOKUP($G584,基本資料!$A:$M,13,0),"無")</f>
        <v>4.71</v>
      </c>
    </row>
    <row r="585" spans="1:37">
      <c r="A585" s="347">
        <f>IFERROR(VLOOKUP($G585,基本資料!$A:$J,3,0),"無")</f>
        <v>10.68</v>
      </c>
      <c r="B585" s="79">
        <f>IFERROR(VLOOKUP($G585,基本資料!$A:$J,4,0),"無")</f>
        <v>21</v>
      </c>
      <c r="C585" s="79">
        <f>IFERROR(VLOOKUP($G585,基本資料!$A:$J,5,0),"無")</f>
        <v>10</v>
      </c>
      <c r="D585" s="79">
        <f>IFERROR(VLOOKUP($G585,基本資料!$A:$J,6,0),"無")</f>
        <v>72</v>
      </c>
      <c r="E585" s="79">
        <f>IFERROR(VLOOKUP($G585,基本資料!$A:$J,7,0),"無")</f>
        <v>-18</v>
      </c>
      <c r="F585" s="6">
        <f>IFERROR(VLOOKUP($G585,基本資料!$A:$J,8,0),"無")</f>
        <v>-16.04</v>
      </c>
      <c r="G585" s="79">
        <v>3536</v>
      </c>
      <c r="H585" s="8" t="s">
        <v>3039</v>
      </c>
      <c r="I585" s="22" t="s">
        <v>4050</v>
      </c>
      <c r="J585" s="8" t="str">
        <f>IFERROR(VLOOKUP($G585,今日總結!$A:$AJ,35,0),"")</f>
        <v/>
      </c>
      <c r="K585" s="5" t="str">
        <f>IFERROR(VLOOKUP($G585,今日總結!$A:$AJ,36,0),"")</f>
        <v/>
      </c>
      <c r="L585" s="156" t="str">
        <f>IFERROR(VLOOKUP($G585,今日總結!$A:$AJ,33,0),"")</f>
        <v/>
      </c>
      <c r="M585" s="340" t="str">
        <f>IFERROR(VLOOKUP($G585,今日總結!$A:$AJ,34,0),"")</f>
        <v/>
      </c>
      <c r="N585" s="240" t="str">
        <f t="shared" si="126"/>
        <v/>
      </c>
      <c r="P585" s="365" t="str">
        <f>IFERROR(VLOOKUP($G585,融外自投!$A:$J,7,0),"無")</f>
        <v>無</v>
      </c>
      <c r="Q585" s="79" t="str">
        <f>IFERROR(VLOOKUP($G585,融外自投!$A:$J,9,0),"無")</f>
        <v>無</v>
      </c>
      <c r="R585" s="346" t="str">
        <f>IFERROR(VLOOKUP($G585,融外自投!$A:$J,8,0),"無")</f>
        <v>無</v>
      </c>
      <c r="S585" s="81" t="str">
        <f>IFERROR(VLOOKUP($G585,融外自投!$A:$J,10,0),"無")</f>
        <v>無</v>
      </c>
      <c r="T585" s="327" t="str">
        <f>IFERROR(VLOOKUP($G585,'321買'!$A:$E,5,0),"'沒有資料'")</f>
        <v>'沒有資料'</v>
      </c>
      <c r="U585" s="186">
        <f>IFERROR(VLOOKUP($G585,基本資料!$A:$J,9,0),"無")</f>
        <v>0</v>
      </c>
      <c r="V585" s="310">
        <f t="shared" si="121"/>
        <v>0</v>
      </c>
      <c r="W585" s="94">
        <f>IFERROR(VLOOKUP($G585,基本資料!$A:$J,10,0),"無")</f>
        <v>-0.88</v>
      </c>
      <c r="X585" s="36">
        <f>RTD("money.excel",,"3536","Price")</f>
        <v>4.8899999999999997</v>
      </c>
      <c r="Y585" s="66"/>
      <c r="Z585" s="15">
        <f t="shared" si="122"/>
        <v>4.8899999999999997</v>
      </c>
      <c r="AA585" s="3" t="e">
        <f t="shared" si="123"/>
        <v>#DIV/0!</v>
      </c>
      <c r="AB585" s="344">
        <f>IFERROR(VLOOKUP($G585,基本資料!$A:$M,11,0),"無")</f>
        <v>-46.7</v>
      </c>
      <c r="AC585" s="397">
        <f>IFERROR(VLOOKUP($G585,基本資料!$A:$M,12,0),"無")</f>
        <v>21.58</v>
      </c>
      <c r="AD585" s="22" t="s">
        <v>4050</v>
      </c>
      <c r="AG585" s="33">
        <f t="shared" si="124"/>
        <v>0</v>
      </c>
      <c r="AH585" s="43" t="s">
        <v>2178</v>
      </c>
      <c r="AI585" s="63">
        <f t="shared" si="127"/>
        <v>8.4269662921348311E-5</v>
      </c>
      <c r="AJ585" s="284">
        <f>RTD("money.excel",,$G585,"PredictVolume")</f>
        <v>9</v>
      </c>
      <c r="AK585" s="399">
        <f>IFERROR(VLOOKUP($G585,基本資料!$A:$M,13,0),"無")</f>
        <v>2.61</v>
      </c>
    </row>
    <row r="586" spans="1:37">
      <c r="A586" s="347">
        <f>IFERROR(VLOOKUP($G586,基本資料!$A:$J,3,0),"無")</f>
        <v>21.65</v>
      </c>
      <c r="B586" s="79">
        <f>IFERROR(VLOOKUP($G586,基本資料!$A:$J,4,0),"無")</f>
        <v>519</v>
      </c>
      <c r="C586" s="79">
        <f>IFERROR(VLOOKUP($G586,基本資料!$A:$J,5,0),"無")</f>
        <v>591</v>
      </c>
      <c r="D586" s="79">
        <f>IFERROR(VLOOKUP($G586,基本資料!$A:$J,6,0),"無")</f>
        <v>-10</v>
      </c>
      <c r="E586" s="79">
        <f>IFERROR(VLOOKUP($G586,基本資料!$A:$J,7,0),"無")</f>
        <v>-40</v>
      </c>
      <c r="F586" s="6">
        <f>IFERROR(VLOOKUP($G586,基本資料!$A:$J,8,0),"無")</f>
        <v>32.42</v>
      </c>
      <c r="G586" s="79">
        <v>3545</v>
      </c>
      <c r="H586" s="8" t="s">
        <v>3039</v>
      </c>
      <c r="I586" s="22" t="s">
        <v>347</v>
      </c>
      <c r="J586" s="8">
        <f>IFERROR(VLOOKUP($G586,今日總結!$A:$AJ,35,0),"")</f>
        <v>2</v>
      </c>
      <c r="K586" s="5">
        <f>IFERROR(VLOOKUP($G586,今日總結!$A:$AJ,36,0),"")</f>
        <v>0</v>
      </c>
      <c r="L586" s="156">
        <f>IFERROR(VLOOKUP($G586,今日總結!$A:$AJ,33,0),"")</f>
        <v>1</v>
      </c>
      <c r="M586" s="340">
        <f>IFERROR(VLOOKUP($G586,今日總結!$A:$AJ,34,0),"")</f>
        <v>0</v>
      </c>
      <c r="N586" s="240">
        <f t="shared" si="126"/>
        <v>1</v>
      </c>
      <c r="P586" s="365">
        <f>IFERROR(VLOOKUP($G586,融外自投!$A:$J,7,0),"無")</f>
        <v>56</v>
      </c>
      <c r="Q586" s="79">
        <f>IFERROR(VLOOKUP($G586,融外自投!$A:$J,9,0),"無")</f>
        <v>88</v>
      </c>
      <c r="R586" s="346">
        <f>IFERROR(VLOOKUP($G586,融外自投!$A:$J,8,0),"無")</f>
        <v>408</v>
      </c>
      <c r="S586" s="81">
        <f>IFERROR(VLOOKUP($G586,融外自投!$A:$J,10,0),"無")</f>
        <v>491</v>
      </c>
      <c r="T586" s="327">
        <f>IFERROR(VLOOKUP($G586,'321買'!$A:$E,5,0),"'沒有資料'")</f>
        <v>188</v>
      </c>
      <c r="U586" s="186">
        <f>IFERROR(VLOOKUP($G586,基本資料!$A:$J,9,0),"無")</f>
        <v>15.71</v>
      </c>
      <c r="V586" s="310">
        <f t="shared" si="121"/>
        <v>0.1372052401746725</v>
      </c>
      <c r="W586" s="94">
        <f>IFERROR(VLOOKUP($G586,基本資料!$A:$J,10,0),"無")</f>
        <v>30.23</v>
      </c>
      <c r="X586" s="36">
        <f>RTD("money.excel",,"3545","Price")</f>
        <v>114.5</v>
      </c>
      <c r="Y586" s="66"/>
      <c r="Z586" s="15">
        <f t="shared" si="122"/>
        <v>114.5</v>
      </c>
      <c r="AA586" s="3" t="e">
        <f t="shared" si="123"/>
        <v>#DIV/0!</v>
      </c>
      <c r="AB586" s="344">
        <f>IFERROR(VLOOKUP($G586,基本資料!$A:$M,11,0),"無")</f>
        <v>-62.08</v>
      </c>
      <c r="AC586" s="397">
        <f>IFERROR(VLOOKUP($G586,基本資料!$A:$M,12,0),"無")</f>
        <v>7.89</v>
      </c>
      <c r="AD586" s="22" t="s">
        <v>347</v>
      </c>
      <c r="AG586" s="33">
        <f t="shared" si="124"/>
        <v>0</v>
      </c>
      <c r="AH586" s="43" t="s">
        <v>2344</v>
      </c>
      <c r="AI586" s="63">
        <f t="shared" si="127"/>
        <v>1.5847575057736721E-2</v>
      </c>
      <c r="AJ586" s="284">
        <f>RTD("money.excel",,$G586,"PredictVolume")</f>
        <v>3431</v>
      </c>
      <c r="AK586" s="399">
        <f>IFERROR(VLOOKUP($G586,基本資料!$A:$M,13,0),"無")</f>
        <v>44.75</v>
      </c>
    </row>
    <row r="587" spans="1:37">
      <c r="A587" s="347">
        <f>IFERROR(VLOOKUP($G587,基本資料!$A:$J,3,0),"無")</f>
        <v>2.57</v>
      </c>
      <c r="B587" s="79">
        <f>IFERROR(VLOOKUP($G587,基本資料!$A:$J,4,0),"無")</f>
        <v>137</v>
      </c>
      <c r="C587" s="79">
        <f>IFERROR(VLOOKUP($G587,基本資料!$A:$J,5,0),"無")</f>
        <v>-20</v>
      </c>
      <c r="D587" s="79">
        <f>IFERROR(VLOOKUP($G587,基本資料!$A:$J,6,0),"無")</f>
        <v>-65</v>
      </c>
      <c r="E587" s="79">
        <f>IFERROR(VLOOKUP($G587,基本資料!$A:$J,7,0),"無")</f>
        <v>104</v>
      </c>
      <c r="F587" s="6">
        <f>IFERROR(VLOOKUP($G587,基本資料!$A:$J,8,0),"無")</f>
        <v>-200.52</v>
      </c>
      <c r="G587" s="79">
        <v>3555</v>
      </c>
      <c r="H587" s="145" t="s">
        <v>3039</v>
      </c>
      <c r="I587" s="16" t="s">
        <v>2955</v>
      </c>
      <c r="J587" s="8" t="str">
        <f>IFERROR(VLOOKUP($G587,今日總結!$A:$AJ,35,0),"")</f>
        <v/>
      </c>
      <c r="K587" s="5" t="str">
        <f>IFERROR(VLOOKUP($G587,今日總結!$A:$AJ,36,0),"")</f>
        <v/>
      </c>
      <c r="L587" s="156" t="str">
        <f>IFERROR(VLOOKUP($G587,今日總結!$A:$AJ,33,0),"")</f>
        <v/>
      </c>
      <c r="M587" s="340" t="str">
        <f>IFERROR(VLOOKUP($G587,今日總結!$A:$AJ,34,0),"")</f>
        <v/>
      </c>
      <c r="N587" s="240" t="str">
        <f t="shared" si="126"/>
        <v/>
      </c>
      <c r="P587" s="365">
        <f>IFERROR(VLOOKUP($G587,融外自投!$A:$J,7,0),"無")</f>
        <v>1352</v>
      </c>
      <c r="Q587" s="79">
        <f>IFERROR(VLOOKUP($G587,融外自投!$A:$J,9,0),"無")</f>
        <v>1110</v>
      </c>
      <c r="R587" s="346">
        <f>IFERROR(VLOOKUP($G587,融外自投!$A:$J,8,0),"無")</f>
        <v>866</v>
      </c>
      <c r="S587" s="81" t="str">
        <f>IFERROR(VLOOKUP($G587,融外自投!$A:$J,10,0),"無")</f>
        <v>無</v>
      </c>
      <c r="T587" s="327" t="str">
        <f>IFERROR(VLOOKUP($G587,'321買'!$A:$E,5,0),"'沒有資料'")</f>
        <v>'沒有資料'</v>
      </c>
      <c r="U587" s="186">
        <f>IFERROR(VLOOKUP($G587,基本資料!$A:$J,9,0),"無")</f>
        <v>0.2</v>
      </c>
      <c r="V587" s="310">
        <f t="shared" si="121"/>
        <v>6.2305295950155761E-3</v>
      </c>
      <c r="W587" s="94">
        <f>IFERROR(VLOOKUP($G587,基本資料!$A:$J,10,0),"無")</f>
        <v>0.93</v>
      </c>
      <c r="X587" s="36">
        <f>RTD("money.excel",,"3555","Price")</f>
        <v>32.1</v>
      </c>
      <c r="Y587" s="66"/>
      <c r="Z587" s="15">
        <f t="shared" si="122"/>
        <v>32.1</v>
      </c>
      <c r="AA587" s="3" t="e">
        <f t="shared" si="123"/>
        <v>#DIV/0!</v>
      </c>
      <c r="AB587" s="344">
        <f>IFERROR(VLOOKUP($G587,基本資料!$A:$M,11,0),"無")</f>
        <v>-36.119999999999997</v>
      </c>
      <c r="AC587" s="397">
        <f>IFERROR(VLOOKUP($G587,基本資料!$A:$M,12,0),"無")</f>
        <v>12.12</v>
      </c>
      <c r="AD587" s="16" t="s">
        <v>2955</v>
      </c>
      <c r="AG587" s="33">
        <f t="shared" si="124"/>
        <v>0</v>
      </c>
      <c r="AH587" s="43" t="s">
        <v>2399</v>
      </c>
      <c r="AI587" s="63">
        <f t="shared" si="127"/>
        <v>3.1128404669260703E-4</v>
      </c>
      <c r="AJ587" s="284">
        <f>RTD("money.excel",,$G587,"PredictVolume")</f>
        <v>8</v>
      </c>
      <c r="AK587" s="399">
        <f>IFERROR(VLOOKUP($G587,基本資料!$A:$M,13,0),"無")</f>
        <v>3.12</v>
      </c>
    </row>
    <row r="588" spans="1:37">
      <c r="A588" s="347">
        <f>IFERROR(VLOOKUP($G588,基本資料!$A:$J,3,0),"無")</f>
        <v>6.12</v>
      </c>
      <c r="B588" s="79">
        <f>IFERROR(VLOOKUP($G588,基本資料!$A:$J,4,0),"無")</f>
        <v>60</v>
      </c>
      <c r="C588" s="79">
        <f>IFERROR(VLOOKUP($G588,基本資料!$A:$J,5,0),"無")</f>
        <v>61</v>
      </c>
      <c r="D588" s="79">
        <f>IFERROR(VLOOKUP($G588,基本資料!$A:$J,6,0),"無")</f>
        <v>-19</v>
      </c>
      <c r="E588" s="79">
        <f>IFERROR(VLOOKUP($G588,基本資料!$A:$J,7,0),"無")</f>
        <v>8</v>
      </c>
      <c r="F588" s="6">
        <f>IFERROR(VLOOKUP($G588,基本資料!$A:$J,8,0),"無")</f>
        <v>26.95</v>
      </c>
      <c r="G588" s="79">
        <v>3556</v>
      </c>
      <c r="H588" s="145" t="s">
        <v>3039</v>
      </c>
      <c r="I588" s="16" t="s">
        <v>363</v>
      </c>
      <c r="J588" s="8" t="str">
        <f>IFERROR(VLOOKUP($G588,今日總結!$A:$AJ,35,0),"")</f>
        <v/>
      </c>
      <c r="K588" s="5" t="str">
        <f>IFERROR(VLOOKUP($G588,今日總結!$A:$AJ,36,0),"")</f>
        <v/>
      </c>
      <c r="L588" s="156" t="str">
        <f>IFERROR(VLOOKUP($G588,今日總結!$A:$AJ,33,0),"")</f>
        <v/>
      </c>
      <c r="M588" s="340" t="str">
        <f>IFERROR(VLOOKUP($G588,今日總結!$A:$AJ,34,0),"")</f>
        <v/>
      </c>
      <c r="N588" s="240" t="str">
        <f t="shared" si="126"/>
        <v/>
      </c>
      <c r="P588" s="365">
        <f>IFERROR(VLOOKUP($G588,融外自投!$A:$J,7,0),"無")</f>
        <v>229</v>
      </c>
      <c r="Q588" s="79">
        <f>IFERROR(VLOOKUP($G588,融外自投!$A:$J,9,0),"無")</f>
        <v>337</v>
      </c>
      <c r="R588" s="346">
        <f>IFERROR(VLOOKUP($G588,融外自投!$A:$J,8,0),"無")</f>
        <v>667</v>
      </c>
      <c r="S588" s="81">
        <f>IFERROR(VLOOKUP($G588,融外自投!$A:$J,10,0),"無")</f>
        <v>305</v>
      </c>
      <c r="T588" s="327">
        <f>IFERROR(VLOOKUP($G588,'321買'!$A:$E,5,0),"'沒有資料'")</f>
        <v>281</v>
      </c>
      <c r="U588" s="186">
        <f>IFERROR(VLOOKUP($G588,基本資料!$A:$J,9,0),"無")</f>
        <v>5.4</v>
      </c>
      <c r="V588" s="310">
        <f t="shared" si="121"/>
        <v>7.0312500000000014E-2</v>
      </c>
      <c r="W588" s="94">
        <f>IFERROR(VLOOKUP($G588,基本資料!$A:$J,10,0),"無")</f>
        <v>6.08</v>
      </c>
      <c r="X588" s="36">
        <f>RTD("money.excel",,"3556","Price")</f>
        <v>76.8</v>
      </c>
      <c r="Y588" s="66"/>
      <c r="Z588" s="15">
        <f t="shared" si="122"/>
        <v>76.8</v>
      </c>
      <c r="AA588" s="3" t="e">
        <f t="shared" si="123"/>
        <v>#DIV/0!</v>
      </c>
      <c r="AB588" s="344">
        <f>IFERROR(VLOOKUP($G588,基本資料!$A:$M,11,0),"無")</f>
        <v>-36.42</v>
      </c>
      <c r="AC588" s="397">
        <f>IFERROR(VLOOKUP($G588,基本資料!$A:$M,12,0),"無")</f>
        <v>33.28</v>
      </c>
      <c r="AD588" s="16" t="s">
        <v>363</v>
      </c>
      <c r="AG588" s="33">
        <f t="shared" si="124"/>
        <v>0</v>
      </c>
      <c r="AH588" s="43" t="s">
        <v>2357</v>
      </c>
      <c r="AI588" s="63">
        <f t="shared" si="127"/>
        <v>3.2189542483660131E-3</v>
      </c>
      <c r="AJ588" s="284">
        <f>RTD("money.excel",,$G588,"PredictVolume")</f>
        <v>197</v>
      </c>
      <c r="AK588" s="399">
        <f>IFERROR(VLOOKUP($G588,基本資料!$A:$M,13,0),"無")</f>
        <v>29.1</v>
      </c>
    </row>
    <row r="589" spans="1:37">
      <c r="A589" s="347">
        <f>IFERROR(VLOOKUP($G589,基本資料!$A:$J,3,0),"無")</f>
        <v>3.41</v>
      </c>
      <c r="B589" s="79">
        <f>IFERROR(VLOOKUP($G589,基本資料!$A:$J,4,0),"無")</f>
        <v>31</v>
      </c>
      <c r="C589" s="79">
        <f>IFERROR(VLOOKUP($G589,基本資料!$A:$J,5,0),"無")</f>
        <v>22</v>
      </c>
      <c r="D589" s="79">
        <f>IFERROR(VLOOKUP($G589,基本資料!$A:$J,6,0),"無")</f>
        <v>10</v>
      </c>
      <c r="E589" s="79">
        <f>IFERROR(VLOOKUP($G589,基本資料!$A:$J,7,0),"無")</f>
        <v>8</v>
      </c>
      <c r="F589" s="6">
        <f>IFERROR(VLOOKUP($G589,基本資料!$A:$J,8,0),"無")</f>
        <v>28.01</v>
      </c>
      <c r="G589" s="79">
        <v>3567</v>
      </c>
      <c r="H589" s="145" t="s">
        <v>3039</v>
      </c>
      <c r="I589" s="16" t="s">
        <v>4051</v>
      </c>
      <c r="J589" s="8">
        <f>IFERROR(VLOOKUP($G589,今日總結!$A:$AJ,35,0),"")</f>
        <v>0</v>
      </c>
      <c r="K589" s="5" t="str">
        <f>IFERROR(VLOOKUP($G589,今日總結!$A:$AJ,36,0),"")</f>
        <v>外</v>
      </c>
      <c r="L589" s="156">
        <f>IFERROR(VLOOKUP($G589,今日總結!$A:$AJ,33,0),"")</f>
        <v>0</v>
      </c>
      <c r="M589" s="340">
        <f>IFERROR(VLOOKUP($G589,今日總結!$A:$AJ,34,0),"")</f>
        <v>1</v>
      </c>
      <c r="N589" s="240">
        <f t="shared" si="126"/>
        <v>-1</v>
      </c>
      <c r="P589" s="365">
        <f>IFERROR(VLOOKUP($G589,融外自投!$A:$J,7,0),"無")</f>
        <v>453</v>
      </c>
      <c r="Q589" s="79" t="str">
        <f>IFERROR(VLOOKUP($G589,融外自投!$A:$J,9,0),"無")</f>
        <v>無</v>
      </c>
      <c r="R589" s="346">
        <f>IFERROR(VLOOKUP($G589,融外自投!$A:$J,8,0),"無")</f>
        <v>1100</v>
      </c>
      <c r="S589" s="81">
        <f>IFERROR(VLOOKUP($G589,融外自投!$A:$J,10,0),"無")</f>
        <v>125</v>
      </c>
      <c r="T589" s="327">
        <f>IFERROR(VLOOKUP($G589,'321買'!$A:$E,5,0),"'沒有資料'")</f>
        <v>1085</v>
      </c>
      <c r="U589" s="186">
        <f>IFERROR(VLOOKUP($G589,基本資料!$A:$J,9,0),"無")</f>
        <v>2.6</v>
      </c>
      <c r="V589" s="310">
        <f t="shared" si="121"/>
        <v>7.5036075036075039E-2</v>
      </c>
      <c r="W589" s="94">
        <f>IFERROR(VLOOKUP($G589,基本資料!$A:$J,10,0),"無")</f>
        <v>3.09</v>
      </c>
      <c r="X589" s="36">
        <f>RTD("money.excel",,"3567","Price")</f>
        <v>34.65</v>
      </c>
      <c r="Y589" s="66"/>
      <c r="Z589" s="15">
        <f t="shared" si="122"/>
        <v>34.65</v>
      </c>
      <c r="AA589" s="3" t="e">
        <f t="shared" si="123"/>
        <v>#DIV/0!</v>
      </c>
      <c r="AB589" s="344">
        <f>IFERROR(VLOOKUP($G589,基本資料!$A:$M,11,0),"無")</f>
        <v>-16.27</v>
      </c>
      <c r="AC589" s="397">
        <f>IFERROR(VLOOKUP($G589,基本資料!$A:$M,12,0),"無")</f>
        <v>36.26</v>
      </c>
      <c r="AD589" s="16" t="s">
        <v>4051</v>
      </c>
      <c r="AG589" s="33">
        <f t="shared" si="124"/>
        <v>0</v>
      </c>
      <c r="AH589" s="43" t="s">
        <v>2335</v>
      </c>
      <c r="AI589" s="63">
        <f t="shared" si="127"/>
        <v>2.0527859237536657E-3</v>
      </c>
      <c r="AJ589" s="284">
        <f>RTD("money.excel",,$G589,"PredictVolume")</f>
        <v>70</v>
      </c>
      <c r="AK589" s="399">
        <f>IFERROR(VLOOKUP($G589,基本資料!$A:$M,13,0),"無")</f>
        <v>12</v>
      </c>
    </row>
    <row r="590" spans="1:37">
      <c r="A590" s="347">
        <f>IFERROR(VLOOKUP($G590,基本資料!$A:$J,3,0),"無")</f>
        <v>5.0999999999999996</v>
      </c>
      <c r="B590" s="79">
        <f>IFERROR(VLOOKUP($G590,基本資料!$A:$J,4,0),"無")</f>
        <v>9</v>
      </c>
      <c r="C590" s="79">
        <f>IFERROR(VLOOKUP($G590,基本資料!$A:$J,5,0),"無")</f>
        <v>19</v>
      </c>
      <c r="D590" s="79">
        <f>IFERROR(VLOOKUP($G590,基本資料!$A:$J,6,0),"無")</f>
        <v>8</v>
      </c>
      <c r="E590" s="79">
        <f>IFERROR(VLOOKUP($G590,基本資料!$A:$J,7,0),"無")</f>
        <v>31</v>
      </c>
      <c r="F590" s="6">
        <f>IFERROR(VLOOKUP($G590,基本資料!$A:$J,8,0),"無")</f>
        <v>11.37</v>
      </c>
      <c r="G590" s="79">
        <v>3581</v>
      </c>
      <c r="H590" s="145" t="s">
        <v>3039</v>
      </c>
      <c r="I590" s="16" t="s">
        <v>364</v>
      </c>
      <c r="J590" s="8" t="str">
        <f>IFERROR(VLOOKUP($G590,今日總結!$A:$AJ,35,0),"")</f>
        <v/>
      </c>
      <c r="K590" s="5" t="str">
        <f>IFERROR(VLOOKUP($G590,今日總結!$A:$AJ,36,0),"")</f>
        <v/>
      </c>
      <c r="L590" s="156" t="str">
        <f>IFERROR(VLOOKUP($G590,今日總結!$A:$AJ,33,0),"")</f>
        <v/>
      </c>
      <c r="M590" s="340" t="str">
        <f>IFERROR(VLOOKUP($G590,今日總結!$A:$AJ,34,0),"")</f>
        <v/>
      </c>
      <c r="N590" s="240" t="str">
        <f t="shared" si="126"/>
        <v/>
      </c>
      <c r="P590" s="365">
        <f>IFERROR(VLOOKUP($G590,融外自投!$A:$J,7,0),"無")</f>
        <v>661</v>
      </c>
      <c r="Q590" s="79" t="str">
        <f>IFERROR(VLOOKUP($G590,融外自投!$A:$J,9,0),"無")</f>
        <v>無</v>
      </c>
      <c r="R590" s="346">
        <f>IFERROR(VLOOKUP($G590,融外自投!$A:$J,8,0),"無")</f>
        <v>593</v>
      </c>
      <c r="S590" s="81" t="str">
        <f>IFERROR(VLOOKUP($G590,融外自投!$A:$J,10,0),"無")</f>
        <v>無</v>
      </c>
      <c r="T590" s="327">
        <f>IFERROR(VLOOKUP($G590,'321買'!$A:$E,5,0),"'沒有資料'")</f>
        <v>1038</v>
      </c>
      <c r="U590" s="186">
        <f>IFERROR(VLOOKUP($G590,基本資料!$A:$J,9,0),"無")</f>
        <v>1</v>
      </c>
      <c r="V590" s="310">
        <f t="shared" si="121"/>
        <v>4.2105263157894736E-2</v>
      </c>
      <c r="W590" s="94">
        <f>IFERROR(VLOOKUP($G590,基本資料!$A:$J,10,0),"無")</f>
        <v>2.11</v>
      </c>
      <c r="X590" s="36">
        <f>RTD("money.excel",,"3581","Price")</f>
        <v>23.75</v>
      </c>
      <c r="Y590" s="66"/>
      <c r="Z590" s="15">
        <f t="shared" si="122"/>
        <v>23.75</v>
      </c>
      <c r="AA590" s="3" t="e">
        <f t="shared" si="123"/>
        <v>#DIV/0!</v>
      </c>
      <c r="AB590" s="344">
        <f>IFERROR(VLOOKUP($G590,基本資料!$A:$M,11,0),"無")</f>
        <v>-27.85</v>
      </c>
      <c r="AC590" s="397">
        <f>IFERROR(VLOOKUP($G590,基本資料!$A:$M,12,0),"無")</f>
        <v>14.75</v>
      </c>
      <c r="AD590" s="16" t="s">
        <v>364</v>
      </c>
      <c r="AG590" s="33">
        <f t="shared" si="124"/>
        <v>0</v>
      </c>
      <c r="AH590" s="43" t="s">
        <v>2331</v>
      </c>
      <c r="AI590" s="63">
        <f t="shared" si="127"/>
        <v>7.4509803921568628E-4</v>
      </c>
      <c r="AJ590" s="284">
        <f>RTD("money.excel",,$G590,"PredictVolume")</f>
        <v>38</v>
      </c>
      <c r="AK590" s="399">
        <f>IFERROR(VLOOKUP($G590,基本資料!$A:$M,13,0),"無")</f>
        <v>9.34</v>
      </c>
    </row>
    <row r="591" spans="1:37">
      <c r="A591" s="347">
        <f>IFERROR(VLOOKUP($G591,基本資料!$A:$J,3,0),"無")</f>
        <v>8.11</v>
      </c>
      <c r="B591" s="79">
        <f>IFERROR(VLOOKUP($G591,基本資料!$A:$J,4,0),"無")</f>
        <v>37</v>
      </c>
      <c r="C591" s="79">
        <f>IFERROR(VLOOKUP($G591,基本資料!$A:$J,5,0),"無")</f>
        <v>19</v>
      </c>
      <c r="D591" s="79">
        <f>IFERROR(VLOOKUP($G591,基本資料!$A:$J,6,0),"無")</f>
        <v>19</v>
      </c>
      <c r="E591" s="79">
        <f>IFERROR(VLOOKUP($G591,基本資料!$A:$J,7,0),"無")</f>
        <v>14</v>
      </c>
      <c r="F591" s="6">
        <f>IFERROR(VLOOKUP($G591,基本資料!$A:$J,8,0),"無")</f>
        <v>11.85</v>
      </c>
      <c r="G591" s="79">
        <v>3583</v>
      </c>
      <c r="H591" s="8" t="s">
        <v>3039</v>
      </c>
      <c r="I591" s="22" t="s">
        <v>7</v>
      </c>
      <c r="J591" s="8" t="str">
        <f>IFERROR(VLOOKUP($G591,今日總結!$A:$AJ,35,0),"")</f>
        <v>外主</v>
      </c>
      <c r="K591" s="5">
        <f>IFERROR(VLOOKUP($G591,今日總結!$A:$AJ,36,0),"")</f>
        <v>9</v>
      </c>
      <c r="L591" s="156">
        <f>IFERROR(VLOOKUP($G591,今日總結!$A:$AJ,33,0),"")</f>
        <v>2</v>
      </c>
      <c r="M591" s="340">
        <f>IFERROR(VLOOKUP($G591,今日總結!$A:$AJ,34,0),"")</f>
        <v>1</v>
      </c>
      <c r="N591" s="240">
        <f t="shared" si="126"/>
        <v>1</v>
      </c>
      <c r="P591" s="365">
        <f>IFERROR(VLOOKUP($G591,融外自投!$A:$J,7,0),"無")</f>
        <v>316</v>
      </c>
      <c r="Q591" s="79">
        <f>IFERROR(VLOOKUP($G591,融外自投!$A:$J,9,0),"無")</f>
        <v>762</v>
      </c>
      <c r="R591" s="346">
        <f>IFERROR(VLOOKUP($G591,融外自投!$A:$J,8,0),"無")</f>
        <v>543</v>
      </c>
      <c r="S591" s="81" t="str">
        <f>IFERROR(VLOOKUP($G591,融外自投!$A:$J,10,0),"無")</f>
        <v>無</v>
      </c>
      <c r="T591" s="327">
        <f>IFERROR(VLOOKUP($G591,'321買'!$A:$E,5,0),"'沒有資料'")</f>
        <v>392</v>
      </c>
      <c r="U591" s="186">
        <f>IFERROR(VLOOKUP($G591,基本資料!$A:$J,9,0),"無")</f>
        <v>2.5</v>
      </c>
      <c r="V591" s="310">
        <f t="shared" si="121"/>
        <v>3.0902348578491962E-2</v>
      </c>
      <c r="W591" s="94">
        <f>IFERROR(VLOOKUP($G591,基本資料!$A:$J,10,0),"無")</f>
        <v>5.23</v>
      </c>
      <c r="X591" s="36">
        <f>RTD("money.excel",,"3583","Price")</f>
        <v>80.900000000000006</v>
      </c>
      <c r="Y591" s="66"/>
      <c r="Z591" s="15">
        <f t="shared" si="122"/>
        <v>80.900000000000006</v>
      </c>
      <c r="AA591" s="3" t="e">
        <f t="shared" si="123"/>
        <v>#DIV/0!</v>
      </c>
      <c r="AB591" s="344">
        <f>IFERROR(VLOOKUP($G591,基本資料!$A:$M,11,0),"無")</f>
        <v>-32.43</v>
      </c>
      <c r="AC591" s="397">
        <f>IFERROR(VLOOKUP($G591,基本資料!$A:$M,12,0),"無")</f>
        <v>25.64</v>
      </c>
      <c r="AD591" s="22" t="s">
        <v>7</v>
      </c>
      <c r="AG591" s="33">
        <f t="shared" si="124"/>
        <v>0</v>
      </c>
      <c r="AH591" s="117" t="s">
        <v>2156</v>
      </c>
      <c r="AI591" s="63">
        <f t="shared" si="127"/>
        <v>8.1874229346485822E-3</v>
      </c>
      <c r="AJ591" s="284">
        <f>RTD("money.excel",,$G591,"PredictVolume")</f>
        <v>664</v>
      </c>
      <c r="AK591" s="399">
        <f>IFERROR(VLOOKUP($G591,基本資料!$A:$M,13,0),"無")</f>
        <v>56.41</v>
      </c>
    </row>
    <row r="592" spans="1:37">
      <c r="A592" s="347">
        <f>IFERROR(VLOOKUP($G592,基本資料!$A:$J,3,0),"無")</f>
        <v>5.28</v>
      </c>
      <c r="B592" s="79">
        <f>IFERROR(VLOOKUP($G592,基本資料!$A:$J,4,0),"無")</f>
        <v>443</v>
      </c>
      <c r="C592" s="79">
        <f>IFERROR(VLOOKUP($G592,基本資料!$A:$J,5,0),"無")</f>
        <v>369</v>
      </c>
      <c r="D592" s="79">
        <f>IFERROR(VLOOKUP($G592,基本資料!$A:$J,6,0),"無")</f>
        <v>-5</v>
      </c>
      <c r="E592" s="79">
        <f>IFERROR(VLOOKUP($G592,基本資料!$A:$J,7,0),"無")</f>
        <v>4</v>
      </c>
      <c r="F592" s="6">
        <f>IFERROR(VLOOKUP($G592,基本資料!$A:$J,8,0),"無")</f>
        <v>17.22</v>
      </c>
      <c r="G592" s="79">
        <v>3588</v>
      </c>
      <c r="H592" s="8" t="s">
        <v>3039</v>
      </c>
      <c r="I592" s="22" t="s">
        <v>348</v>
      </c>
      <c r="J592" s="8" t="str">
        <f>IFERROR(VLOOKUP($G592,今日總結!$A:$AJ,35,0),"")</f>
        <v/>
      </c>
      <c r="K592" s="5" t="str">
        <f>IFERROR(VLOOKUP($G592,今日總結!$A:$AJ,36,0),"")</f>
        <v/>
      </c>
      <c r="L592" s="156" t="str">
        <f>IFERROR(VLOOKUP($G592,今日總結!$A:$AJ,33,0),"")</f>
        <v/>
      </c>
      <c r="M592" s="340" t="str">
        <f>IFERROR(VLOOKUP($G592,今日總結!$A:$AJ,34,0),"")</f>
        <v/>
      </c>
      <c r="N592" s="240" t="str">
        <f t="shared" si="126"/>
        <v/>
      </c>
      <c r="P592" s="365">
        <f>IFERROR(VLOOKUP($G592,融外自投!$A:$J,7,0),"無")</f>
        <v>109</v>
      </c>
      <c r="Q592" s="79">
        <f>IFERROR(VLOOKUP($G592,融外自投!$A:$J,9,0),"無")</f>
        <v>558</v>
      </c>
      <c r="R592" s="346">
        <f>IFERROR(VLOOKUP($G592,融外自投!$A:$J,8,0),"無")</f>
        <v>752</v>
      </c>
      <c r="S592" s="81">
        <f>IFERROR(VLOOKUP($G592,融外自投!$A:$J,10,0),"無")</f>
        <v>491</v>
      </c>
      <c r="T592" s="327">
        <f>IFERROR(VLOOKUP($G592,'321買'!$A:$E,5,0),"'沒有資料'")</f>
        <v>110</v>
      </c>
      <c r="U592" s="186">
        <f>IFERROR(VLOOKUP($G592,基本資料!$A:$J,9,0),"無")</f>
        <v>4</v>
      </c>
      <c r="V592" s="310">
        <f t="shared" si="121"/>
        <v>3.7914691943127965E-2</v>
      </c>
      <c r="W592" s="94">
        <f>IFERROR(VLOOKUP($G592,基本資料!$A:$J,10,0),"無")</f>
        <v>6.37</v>
      </c>
      <c r="X592" s="36">
        <f>RTD("money.excel",,"3588","Price")</f>
        <v>105.5</v>
      </c>
      <c r="Y592" s="66"/>
      <c r="Z592" s="15">
        <f t="shared" si="122"/>
        <v>105.5</v>
      </c>
      <c r="AA592" s="3" t="e">
        <f t="shared" si="123"/>
        <v>#DIV/0!</v>
      </c>
      <c r="AB592" s="344">
        <f>IFERROR(VLOOKUP($G592,基本資料!$A:$M,11,0),"無")</f>
        <v>-42.41</v>
      </c>
      <c r="AC592" s="397">
        <f>IFERROR(VLOOKUP($G592,基本資料!$A:$M,12,0),"無")</f>
        <v>14.54</v>
      </c>
      <c r="AD592" s="22" t="s">
        <v>348</v>
      </c>
      <c r="AG592" s="33">
        <f t="shared" si="124"/>
        <v>0</v>
      </c>
      <c r="AH592" s="43" t="s">
        <v>3563</v>
      </c>
      <c r="AI592" s="63">
        <f t="shared" si="127"/>
        <v>1.143939393939394E-2</v>
      </c>
      <c r="AJ592" s="284">
        <f>RTD("money.excel",,$G592,"PredictVolume")</f>
        <v>604</v>
      </c>
      <c r="AK592" s="399">
        <f>IFERROR(VLOOKUP($G592,基本資料!$A:$M,13,0),"無")</f>
        <v>56.38</v>
      </c>
    </row>
    <row r="593" spans="1:37">
      <c r="A593" s="347" t="str">
        <f>IFERROR(VLOOKUP($G593,基本資料!$A:$J,3,0),"無")</f>
        <v>無</v>
      </c>
      <c r="B593" s="79" t="str">
        <f>IFERROR(VLOOKUP($G593,基本資料!$A:$J,4,0),"無")</f>
        <v>無</v>
      </c>
      <c r="C593" s="79" t="str">
        <f>IFERROR(VLOOKUP($G593,基本資料!$A:$J,5,0),"無")</f>
        <v>無</v>
      </c>
      <c r="D593" s="79" t="str">
        <f>IFERROR(VLOOKUP($G593,基本資料!$A:$J,6,0),"無")</f>
        <v>無</v>
      </c>
      <c r="E593" s="79" t="str">
        <f>IFERROR(VLOOKUP($G593,基本資料!$A:$J,7,0),"無")</f>
        <v>無</v>
      </c>
      <c r="F593" s="6" t="str">
        <f>IFERROR(VLOOKUP($G593,基本資料!$A:$J,8,0),"無")</f>
        <v>無</v>
      </c>
      <c r="G593" s="79">
        <v>3592</v>
      </c>
      <c r="H593" s="8" t="s">
        <v>3039</v>
      </c>
      <c r="I593" s="22" t="s">
        <v>3576</v>
      </c>
      <c r="J593" s="8" t="str">
        <f>IFERROR(VLOOKUP($G593,今日總結!$A:$AJ,35,0),"")</f>
        <v/>
      </c>
      <c r="K593" s="5" t="str">
        <f>IFERROR(VLOOKUP($G593,今日總結!$A:$AJ,36,0),"")</f>
        <v/>
      </c>
      <c r="L593" s="156" t="str">
        <f>IFERROR(VLOOKUP($G593,今日總結!$A:$AJ,33,0),"")</f>
        <v/>
      </c>
      <c r="M593" s="340" t="str">
        <f>IFERROR(VLOOKUP($G593,今日總結!$A:$AJ,34,0),"")</f>
        <v/>
      </c>
      <c r="N593" s="240" t="str">
        <f t="shared" si="126"/>
        <v/>
      </c>
      <c r="P593" s="365" t="str">
        <f>IFERROR(VLOOKUP($G593,融外自投!$A:$J,7,0),"無")</f>
        <v>無</v>
      </c>
      <c r="Q593" s="79" t="str">
        <f>IFERROR(VLOOKUP($G593,融外自投!$A:$J,9,0),"無")</f>
        <v>無</v>
      </c>
      <c r="R593" s="346" t="str">
        <f>IFERROR(VLOOKUP($G593,融外自投!$A:$J,8,0),"無")</f>
        <v>無</v>
      </c>
      <c r="S593" s="81" t="str">
        <f>IFERROR(VLOOKUP($G593,融外自投!$A:$J,10,0),"無")</f>
        <v>無</v>
      </c>
      <c r="T593" s="327" t="str">
        <f>IFERROR(VLOOKUP($G593,'321買'!$A:$E,5,0),"'沒有資料'")</f>
        <v>'沒有資料'</v>
      </c>
      <c r="U593" s="186" t="str">
        <f>IFERROR(VLOOKUP($G593,基本資料!$A:$J,9,0),"無")</f>
        <v>無</v>
      </c>
      <c r="V593" s="310" t="e">
        <f t="shared" ref="V593:V656" si="128">$U593/$X593</f>
        <v>#VALUE!</v>
      </c>
      <c r="W593" s="94" t="str">
        <f>IFERROR(VLOOKUP($G593,基本資料!$A:$J,10,0),"無")</f>
        <v>無</v>
      </c>
      <c r="X593" s="36">
        <f>RTD("money.excel",,"3592","Price")</f>
        <v>496</v>
      </c>
      <c r="Y593" s="66"/>
      <c r="Z593" s="15">
        <f t="shared" ref="Z593:Z657" si="129">X593-Y593</f>
        <v>496</v>
      </c>
      <c r="AA593" s="3" t="e">
        <f t="shared" ref="AA593:AA657" si="130">Z593/Y593</f>
        <v>#DIV/0!</v>
      </c>
      <c r="AB593" s="344" t="str">
        <f>IFERROR(VLOOKUP($G593,基本資料!$A:$M,11,0),"無")</f>
        <v>無</v>
      </c>
      <c r="AC593" s="397" t="str">
        <f>IFERROR(VLOOKUP($G593,基本資料!$A:$M,12,0),"無")</f>
        <v>無</v>
      </c>
      <c r="AD593" s="22" t="s">
        <v>3576</v>
      </c>
      <c r="AG593" s="33">
        <f t="shared" ref="AG593:AG657" si="131">AF593-AE593</f>
        <v>0</v>
      </c>
      <c r="AH593" s="43" t="s">
        <v>3577</v>
      </c>
      <c r="AI593" s="63" t="e">
        <f t="shared" ref="AI593:AI624" si="132">AJ593/(A593*10000)</f>
        <v>#VALUE!</v>
      </c>
      <c r="AJ593" s="284">
        <f>RTD("money.excel",,$G593,"PredictVolume")</f>
        <v>656</v>
      </c>
      <c r="AK593" s="399" t="str">
        <f>IFERROR(VLOOKUP($G593,基本資料!$A:$M,13,0),"無")</f>
        <v>無</v>
      </c>
    </row>
    <row r="594" spans="1:37">
      <c r="A594" s="347">
        <f>IFERROR(VLOOKUP($G594,基本資料!$A:$J,3,0),"無")</f>
        <v>7.12</v>
      </c>
      <c r="B594" s="79">
        <f>IFERROR(VLOOKUP($G594,基本資料!$A:$J,4,0),"無")</f>
        <v>78</v>
      </c>
      <c r="C594" s="79">
        <f>IFERROR(VLOOKUP($G594,基本資料!$A:$J,5,0),"無")</f>
        <v>85</v>
      </c>
      <c r="D594" s="79">
        <f>IFERROR(VLOOKUP($G594,基本資料!$A:$J,6,0),"無")</f>
        <v>-3</v>
      </c>
      <c r="E594" s="79">
        <f>IFERROR(VLOOKUP($G594,基本資料!$A:$J,7,0),"無")</f>
        <v>-17</v>
      </c>
      <c r="F594" s="6">
        <f>IFERROR(VLOOKUP($G594,基本資料!$A:$J,8,0),"無")</f>
        <v>17.53</v>
      </c>
      <c r="G594" s="79">
        <v>3661</v>
      </c>
      <c r="H594" s="8" t="s">
        <v>3039</v>
      </c>
      <c r="I594" s="22" t="s">
        <v>4052</v>
      </c>
      <c r="J594" s="8">
        <f>IFERROR(VLOOKUP($G594,今日總結!$A:$AJ,35,0),"")</f>
        <v>0</v>
      </c>
      <c r="K594" s="5" t="str">
        <f>IFERROR(VLOOKUP($G594,今日總結!$A:$AJ,36,0),"")</f>
        <v>外</v>
      </c>
      <c r="L594" s="156">
        <f>IFERROR(VLOOKUP($G594,今日總結!$A:$AJ,33,0),"")</f>
        <v>0</v>
      </c>
      <c r="M594" s="340">
        <f>IFERROR(VLOOKUP($G594,今日總結!$A:$AJ,34,0),"")</f>
        <v>1</v>
      </c>
      <c r="N594" s="240">
        <f t="shared" ref="N594:N657" si="133">IFERROR(L594-M594,"")</f>
        <v>-1</v>
      </c>
      <c r="P594" s="365">
        <f>IFERROR(VLOOKUP($G594,融外自投!$A:$J,7,0),"無")</f>
        <v>434</v>
      </c>
      <c r="Q594" s="79">
        <f>IFERROR(VLOOKUP($G594,融外自投!$A:$J,9,0),"無")</f>
        <v>113</v>
      </c>
      <c r="R594" s="346">
        <f>IFERROR(VLOOKUP($G594,融外自投!$A:$J,8,0),"無")</f>
        <v>51</v>
      </c>
      <c r="S594" s="81">
        <f>IFERROR(VLOOKUP($G594,融外自投!$A:$J,10,0),"無")</f>
        <v>6</v>
      </c>
      <c r="T594" s="327">
        <f>IFERROR(VLOOKUP($G594,'321買'!$A:$E,5,0),"'沒有資料'")</f>
        <v>40</v>
      </c>
      <c r="U594" s="186">
        <f>IFERROR(VLOOKUP($G594,基本資料!$A:$J,9,0),"無")</f>
        <v>10.59</v>
      </c>
      <c r="V594" s="310">
        <f t="shared" si="128"/>
        <v>1.1485900216919739E-2</v>
      </c>
      <c r="W594" s="94">
        <f>IFERROR(VLOOKUP($G594,基本資料!$A:$J,10,0),"無")</f>
        <v>21.34</v>
      </c>
      <c r="X594" s="372">
        <f>RTD("money.excel",,"3661","Price")</f>
        <v>922</v>
      </c>
      <c r="Y594" s="66"/>
      <c r="Z594" s="137">
        <f t="shared" si="129"/>
        <v>922</v>
      </c>
      <c r="AA594" s="3" t="e">
        <f t="shared" si="130"/>
        <v>#DIV/0!</v>
      </c>
      <c r="AB594" s="344">
        <f>IFERROR(VLOOKUP($G594,基本資料!$A:$M,11,0),"無")</f>
        <v>-34.64</v>
      </c>
      <c r="AC594" s="397">
        <f>IFERROR(VLOOKUP($G594,基本資料!$A:$M,12,0),"無")</f>
        <v>27.41</v>
      </c>
      <c r="AD594" s="22" t="s">
        <v>4052</v>
      </c>
      <c r="AG594" s="33">
        <f t="shared" si="131"/>
        <v>0</v>
      </c>
      <c r="AH594" s="43" t="s">
        <v>3041</v>
      </c>
      <c r="AI594" s="63">
        <f t="shared" si="132"/>
        <v>4.7752808988764044E-2</v>
      </c>
      <c r="AJ594" s="284">
        <f>RTD("money.excel",,$G594,"PredictVolume")</f>
        <v>3400</v>
      </c>
      <c r="AK594" s="399">
        <f>IFERROR(VLOOKUP($G594,基本資料!$A:$M,13,0),"無")</f>
        <v>17.170000000000002</v>
      </c>
    </row>
    <row r="595" spans="1:37">
      <c r="A595" s="347">
        <f>IFERROR(VLOOKUP($G595,基本資料!$A:$J,3,0),"無")</f>
        <v>4.4400000000000004</v>
      </c>
      <c r="B595" s="79">
        <f>IFERROR(VLOOKUP($G595,基本資料!$A:$J,4,0),"無")</f>
        <v>249</v>
      </c>
      <c r="C595" s="79">
        <f>IFERROR(VLOOKUP($G595,基本資料!$A:$J,5,0),"無")</f>
        <v>154</v>
      </c>
      <c r="D595" s="79">
        <f>IFERROR(VLOOKUP($G595,基本資料!$A:$J,6,0),"無")</f>
        <v>0</v>
      </c>
      <c r="E595" s="79">
        <f>IFERROR(VLOOKUP($G595,基本資料!$A:$J,7,0),"無")</f>
        <v>10</v>
      </c>
      <c r="F595" s="6">
        <f>IFERROR(VLOOKUP($G595,基本資料!$A:$J,8,0),"無")</f>
        <v>16.510000000000002</v>
      </c>
      <c r="G595" s="79">
        <v>3675</v>
      </c>
      <c r="H595" s="145" t="s">
        <v>3039</v>
      </c>
      <c r="I595" s="16" t="s">
        <v>365</v>
      </c>
      <c r="J595" s="8" t="str">
        <f>IFERROR(VLOOKUP($G595,今日總結!$A:$AJ,35,0),"")</f>
        <v/>
      </c>
      <c r="K595" s="5" t="str">
        <f>IFERROR(VLOOKUP($G595,今日總結!$A:$AJ,36,0),"")</f>
        <v/>
      </c>
      <c r="L595" s="156" t="str">
        <f>IFERROR(VLOOKUP($G595,今日總結!$A:$AJ,33,0),"")</f>
        <v/>
      </c>
      <c r="M595" s="340" t="str">
        <f>IFERROR(VLOOKUP($G595,今日總結!$A:$AJ,34,0),"")</f>
        <v/>
      </c>
      <c r="N595" s="240" t="str">
        <f t="shared" si="133"/>
        <v/>
      </c>
      <c r="P595" s="365">
        <f>IFERROR(VLOOKUP($G595,融外自投!$A:$J,7,0),"無")</f>
        <v>340</v>
      </c>
      <c r="Q595" s="79">
        <f>IFERROR(VLOOKUP($G595,融外自投!$A:$J,9,0),"無")</f>
        <v>379</v>
      </c>
      <c r="R595" s="346">
        <f>IFERROR(VLOOKUP($G595,融外自投!$A:$J,8,0),"無")</f>
        <v>69</v>
      </c>
      <c r="S595" s="81">
        <f>IFERROR(VLOOKUP($G595,融外自投!$A:$J,10,0),"無")</f>
        <v>3</v>
      </c>
      <c r="T595" s="327">
        <f>IFERROR(VLOOKUP($G595,'321買'!$A:$E,5,0),"'沒有資料'")</f>
        <v>87</v>
      </c>
      <c r="U595" s="186">
        <f>IFERROR(VLOOKUP($G595,基本資料!$A:$J,9,0),"無")</f>
        <v>5</v>
      </c>
      <c r="V595" s="310">
        <f t="shared" si="128"/>
        <v>1.6638935108153077E-2</v>
      </c>
      <c r="W595" s="94">
        <f>IFERROR(VLOOKUP($G595,基本資料!$A:$J,10,0),"無")</f>
        <v>7.36</v>
      </c>
      <c r="X595" s="36">
        <f>RTD("money.excel",,"3675","Price")</f>
        <v>300.5</v>
      </c>
      <c r="Y595" s="66"/>
      <c r="Z595" s="15">
        <f t="shared" si="129"/>
        <v>300.5</v>
      </c>
      <c r="AA595" s="3" t="e">
        <f t="shared" si="130"/>
        <v>#DIV/0!</v>
      </c>
      <c r="AB595" s="344">
        <f>IFERROR(VLOOKUP($G595,基本資料!$A:$M,11,0),"無")</f>
        <v>-19.48</v>
      </c>
      <c r="AC595" s="397">
        <f>IFERROR(VLOOKUP($G595,基本資料!$A:$M,12,0),"無")</f>
        <v>46.52</v>
      </c>
      <c r="AD595" s="16" t="s">
        <v>365</v>
      </c>
      <c r="AG595" s="33">
        <f t="shared" si="131"/>
        <v>0</v>
      </c>
      <c r="AH595" s="43" t="s">
        <v>2940</v>
      </c>
      <c r="AI595" s="63">
        <f t="shared" si="132"/>
        <v>3.6193693693693685E-2</v>
      </c>
      <c r="AJ595" s="284">
        <f>RTD("money.excel",,$G595,"PredictVolume")</f>
        <v>1607</v>
      </c>
      <c r="AK595" s="399">
        <f>IFERROR(VLOOKUP($G595,基本資料!$A:$M,13,0),"無")</f>
        <v>49.61</v>
      </c>
    </row>
    <row r="596" spans="1:37">
      <c r="A596" s="347">
        <f>IFERROR(VLOOKUP($G596,基本資料!$A:$J,3,0),"無")</f>
        <v>8.4</v>
      </c>
      <c r="B596" s="79">
        <f>IFERROR(VLOOKUP($G596,基本資料!$A:$J,4,0),"無")</f>
        <v>-24</v>
      </c>
      <c r="C596" s="79">
        <f>IFERROR(VLOOKUP($G596,基本資料!$A:$J,5,0),"無")</f>
        <v>369</v>
      </c>
      <c r="D596" s="79">
        <f>IFERROR(VLOOKUP($G596,基本資料!$A:$J,6,0),"無")</f>
        <v>47</v>
      </c>
      <c r="E596" s="79">
        <f>IFERROR(VLOOKUP($G596,基本資料!$A:$J,7,0),"無")</f>
        <v>73</v>
      </c>
      <c r="F596" s="6">
        <f>IFERROR(VLOOKUP($G596,基本資料!$A:$J,8,0),"無")</f>
        <v>14.74</v>
      </c>
      <c r="G596" s="79">
        <v>3680</v>
      </c>
      <c r="H596" s="145" t="s">
        <v>3039</v>
      </c>
      <c r="I596" s="16" t="s">
        <v>366</v>
      </c>
      <c r="J596" s="8" t="str">
        <f>IFERROR(VLOOKUP($G596,今日總結!$A:$AJ,35,0),"")</f>
        <v/>
      </c>
      <c r="K596" s="5" t="str">
        <f>IFERROR(VLOOKUP($G596,今日總結!$A:$AJ,36,0),"")</f>
        <v/>
      </c>
      <c r="L596" s="156" t="str">
        <f>IFERROR(VLOOKUP($G596,今日總結!$A:$AJ,33,0),"")</f>
        <v/>
      </c>
      <c r="M596" s="340" t="str">
        <f>IFERROR(VLOOKUP($G596,今日總結!$A:$AJ,34,0),"")</f>
        <v/>
      </c>
      <c r="N596" s="240" t="str">
        <f t="shared" si="133"/>
        <v/>
      </c>
      <c r="P596" s="365">
        <f>IFERROR(VLOOKUP($G596,融外自投!$A:$J,7,0),"無")</f>
        <v>455</v>
      </c>
      <c r="Q596" s="79">
        <f>IFERROR(VLOOKUP($G596,融外自投!$A:$J,9,0),"無")</f>
        <v>117</v>
      </c>
      <c r="R596" s="346">
        <f>IFERROR(VLOOKUP($G596,融外自投!$A:$J,8,0),"無")</f>
        <v>561</v>
      </c>
      <c r="S596" s="81">
        <f>IFERROR(VLOOKUP($G596,融外自投!$A:$J,10,0),"無")</f>
        <v>70</v>
      </c>
      <c r="T596" s="327">
        <f>IFERROR(VLOOKUP($G596,'321買'!$A:$E,5,0),"'沒有資料'")</f>
        <v>515</v>
      </c>
      <c r="U596" s="186">
        <f>IFERROR(VLOOKUP($G596,基本資料!$A:$J,9,0),"無")</f>
        <v>2.8</v>
      </c>
      <c r="V596" s="310">
        <f t="shared" si="128"/>
        <v>1.3270142180094787E-2</v>
      </c>
      <c r="W596" s="94">
        <f>IFERROR(VLOOKUP($G596,基本資料!$A:$J,10,0),"無")</f>
        <v>4.03</v>
      </c>
      <c r="X596" s="36">
        <f>RTD("money.excel",,"3680","Price")</f>
        <v>211</v>
      </c>
      <c r="Y596" s="66"/>
      <c r="Z596" s="15">
        <f t="shared" si="129"/>
        <v>211</v>
      </c>
      <c r="AA596" s="3" t="e">
        <f t="shared" si="130"/>
        <v>#DIV/0!</v>
      </c>
      <c r="AB596" s="344">
        <f>IFERROR(VLOOKUP($G596,基本資料!$A:$M,11,0),"無")</f>
        <v>-37.880000000000003</v>
      </c>
      <c r="AC596" s="397">
        <f>IFERROR(VLOOKUP($G596,基本資料!$A:$M,12,0),"無")</f>
        <v>22.99</v>
      </c>
      <c r="AD596" s="16" t="s">
        <v>366</v>
      </c>
      <c r="AG596" s="33">
        <f t="shared" si="131"/>
        <v>0</v>
      </c>
      <c r="AH596" s="43" t="s">
        <v>288</v>
      </c>
      <c r="AI596" s="63">
        <f t="shared" si="132"/>
        <v>3.8809523809523808E-3</v>
      </c>
      <c r="AJ596" s="284">
        <f>RTD("money.excel",,$G596,"PredictVolume")</f>
        <v>326</v>
      </c>
      <c r="AK596" s="399">
        <f>IFERROR(VLOOKUP($G596,基本資料!$A:$M,13,0),"無")</f>
        <v>7.44</v>
      </c>
    </row>
    <row r="597" spans="1:37">
      <c r="A597" s="347">
        <f>IFERROR(VLOOKUP($G597,基本資料!$A:$J,3,0),"無")</f>
        <v>11.35</v>
      </c>
      <c r="B597" s="79">
        <f>IFERROR(VLOOKUP($G597,基本資料!$A:$J,4,0),"無")</f>
        <v>86</v>
      </c>
      <c r="C597" s="79">
        <f>IFERROR(VLOOKUP($G597,基本資料!$A:$J,5,0),"無")</f>
        <v>239</v>
      </c>
      <c r="D597" s="79">
        <f>IFERROR(VLOOKUP($G597,基本資料!$A:$J,6,0),"無")</f>
        <v>-2</v>
      </c>
      <c r="E597" s="79">
        <f>IFERROR(VLOOKUP($G597,基本資料!$A:$J,7,0),"無")</f>
        <v>-91</v>
      </c>
      <c r="F597" s="6">
        <f>IFERROR(VLOOKUP($G597,基本資料!$A:$J,8,0),"無")</f>
        <v>36.21</v>
      </c>
      <c r="G597" s="79">
        <v>3686</v>
      </c>
      <c r="H597" s="8" t="s">
        <v>3039</v>
      </c>
      <c r="I597" s="22" t="s">
        <v>349</v>
      </c>
      <c r="J597" s="8" t="str">
        <f>IFERROR(VLOOKUP($G597,今日總結!$A:$AJ,35,0),"")</f>
        <v/>
      </c>
      <c r="K597" s="5" t="str">
        <f>IFERROR(VLOOKUP($G597,今日總結!$A:$AJ,36,0),"")</f>
        <v/>
      </c>
      <c r="L597" s="156" t="str">
        <f>IFERROR(VLOOKUP($G597,今日總結!$A:$AJ,33,0),"")</f>
        <v/>
      </c>
      <c r="M597" s="340" t="str">
        <f>IFERROR(VLOOKUP($G597,今日總結!$A:$AJ,34,0),"")</f>
        <v/>
      </c>
      <c r="N597" s="240" t="str">
        <f t="shared" si="133"/>
        <v/>
      </c>
      <c r="P597" s="365" t="str">
        <f>IFERROR(VLOOKUP($G597,融外自投!$A:$J,7,0),"無")</f>
        <v>無</v>
      </c>
      <c r="Q597" s="79" t="str">
        <f>IFERROR(VLOOKUP($G597,融外自投!$A:$J,9,0),"無")</f>
        <v>無</v>
      </c>
      <c r="R597" s="346" t="str">
        <f>IFERROR(VLOOKUP($G597,融外自投!$A:$J,8,0),"無")</f>
        <v>無</v>
      </c>
      <c r="S597" s="81" t="str">
        <f>IFERROR(VLOOKUP($G597,融外自投!$A:$J,10,0),"無")</f>
        <v>無</v>
      </c>
      <c r="T597" s="327" t="str">
        <f>IFERROR(VLOOKUP($G597,'321買'!$A:$E,5,0),"'沒有資料'")</f>
        <v>'沒有資料'</v>
      </c>
      <c r="U597" s="186">
        <f>IFERROR(VLOOKUP($G597,基本資料!$A:$J,9,0),"無")</f>
        <v>0</v>
      </c>
      <c r="V597" s="310">
        <f t="shared" si="128"/>
        <v>0</v>
      </c>
      <c r="W597" s="94">
        <f>IFERROR(VLOOKUP($G597,基本資料!$A:$J,10,0),"無")</f>
        <v>-0.18</v>
      </c>
      <c r="X597" s="36">
        <f>RTD("money.excel",,"3686","Price")</f>
        <v>13.2</v>
      </c>
      <c r="Y597" s="66"/>
      <c r="Z597" s="15">
        <f t="shared" si="129"/>
        <v>13.2</v>
      </c>
      <c r="AA597" s="3" t="e">
        <f t="shared" si="130"/>
        <v>#DIV/0!</v>
      </c>
      <c r="AB597" s="344">
        <f>IFERROR(VLOOKUP($G597,基本資料!$A:$M,11,0),"無")</f>
        <v>-43.71</v>
      </c>
      <c r="AC597" s="397">
        <f>IFERROR(VLOOKUP($G597,基本資料!$A:$M,12,0),"無")</f>
        <v>26.28</v>
      </c>
      <c r="AD597" s="22" t="s">
        <v>349</v>
      </c>
      <c r="AG597" s="33">
        <f t="shared" si="131"/>
        <v>0</v>
      </c>
      <c r="AH597" s="43" t="s">
        <v>2167</v>
      </c>
      <c r="AI597" s="63">
        <f t="shared" si="132"/>
        <v>6.3788546255506605E-3</v>
      </c>
      <c r="AJ597" s="284">
        <f>RTD("money.excel",,$G597,"PredictVolume")</f>
        <v>724</v>
      </c>
      <c r="AK597" s="399">
        <f>IFERROR(VLOOKUP($G597,基本資料!$A:$M,13,0),"無")</f>
        <v>18.62</v>
      </c>
    </row>
    <row r="598" spans="1:37">
      <c r="A598" s="347">
        <f>IFERROR(VLOOKUP($G598,基本資料!$A:$J,3,0),"無")</f>
        <v>33.31</v>
      </c>
      <c r="B598" s="79">
        <f>IFERROR(VLOOKUP($G598,基本資料!$A:$J,4,0),"無")</f>
        <v>179</v>
      </c>
      <c r="C598" s="79">
        <f>IFERROR(VLOOKUP($G598,基本資料!$A:$J,5,0),"無")</f>
        <v>202</v>
      </c>
      <c r="D598" s="79">
        <f>IFERROR(VLOOKUP($G598,基本資料!$A:$J,6,0),"無")</f>
        <v>0</v>
      </c>
      <c r="E598" s="79">
        <f>IFERROR(VLOOKUP($G598,基本資料!$A:$J,7,0),"無")</f>
        <v>29</v>
      </c>
      <c r="F598" s="6">
        <f>IFERROR(VLOOKUP($G598,基本資料!$A:$J,8,0),"無")</f>
        <v>6.68</v>
      </c>
      <c r="G598" s="79">
        <v>3707</v>
      </c>
      <c r="H598" s="195" t="s">
        <v>3039</v>
      </c>
      <c r="I598" s="24" t="s">
        <v>4053</v>
      </c>
      <c r="J598" s="8">
        <f>IFERROR(VLOOKUP($G598,今日總結!$A:$AJ,35,0),"")</f>
        <v>4</v>
      </c>
      <c r="K598" s="5">
        <f>IFERROR(VLOOKUP($G598,今日總結!$A:$AJ,36,0),"")</f>
        <v>0</v>
      </c>
      <c r="L598" s="156">
        <f>IFERROR(VLOOKUP($G598,今日總結!$A:$AJ,33,0),"")</f>
        <v>1</v>
      </c>
      <c r="M598" s="340">
        <f>IFERROR(VLOOKUP($G598,今日總結!$A:$AJ,34,0),"")</f>
        <v>0</v>
      </c>
      <c r="N598" s="240">
        <f t="shared" si="133"/>
        <v>1</v>
      </c>
      <c r="P598" s="365">
        <f>IFERROR(VLOOKUP($G598,融外自投!$A:$J,7,0),"無")</f>
        <v>155</v>
      </c>
      <c r="Q598" s="79">
        <f>IFERROR(VLOOKUP($G598,融外自投!$A:$J,9,0),"無")</f>
        <v>363</v>
      </c>
      <c r="R598" s="346">
        <f>IFERROR(VLOOKUP($G598,融外自投!$A:$J,8,0),"無")</f>
        <v>514</v>
      </c>
      <c r="S598" s="81">
        <f>IFERROR(VLOOKUP($G598,融外自投!$A:$J,10,0),"無")</f>
        <v>54</v>
      </c>
      <c r="T598" s="327">
        <f>IFERROR(VLOOKUP($G598,'321買'!$A:$E,5,0),"'沒有資料'")</f>
        <v>44</v>
      </c>
      <c r="U598" s="186">
        <f>IFERROR(VLOOKUP($G598,基本資料!$A:$J,9,0),"無")</f>
        <v>0.35</v>
      </c>
      <c r="V598" s="310">
        <f t="shared" si="128"/>
        <v>3.1249999999999997E-3</v>
      </c>
      <c r="W598" s="94">
        <f>IFERROR(VLOOKUP($G598,基本資料!$A:$J,10,0),"無")</f>
        <v>0.73</v>
      </c>
      <c r="X598" s="36">
        <f>RTD("money.excel",,"3707","Price")</f>
        <v>112</v>
      </c>
      <c r="Y598" s="66"/>
      <c r="Z598" s="15">
        <f t="shared" si="129"/>
        <v>112</v>
      </c>
      <c r="AA598" s="3" t="e">
        <f t="shared" si="130"/>
        <v>#DIV/0!</v>
      </c>
      <c r="AB598" s="344">
        <f>IFERROR(VLOOKUP($G598,基本資料!$A:$M,11,0),"無")</f>
        <v>-37.46</v>
      </c>
      <c r="AC598" s="397">
        <f>IFERROR(VLOOKUP($G598,基本資料!$A:$M,12,0),"無")</f>
        <v>32.520000000000003</v>
      </c>
      <c r="AD598" s="24" t="s">
        <v>4053</v>
      </c>
      <c r="AG598" s="33">
        <f t="shared" si="131"/>
        <v>0</v>
      </c>
      <c r="AH598" s="119" t="s">
        <v>2555</v>
      </c>
      <c r="AI598" s="63">
        <f t="shared" si="132"/>
        <v>2.8078655058540979E-2</v>
      </c>
      <c r="AJ598" s="284">
        <f>RTD("money.excel",,$G598,"PredictVolume")</f>
        <v>9353</v>
      </c>
      <c r="AK598" s="399">
        <f>IFERROR(VLOOKUP($G598,基本資料!$A:$M,13,0),"無")</f>
        <v>41.37</v>
      </c>
    </row>
    <row r="599" spans="1:37">
      <c r="A599" s="347">
        <f>IFERROR(VLOOKUP($G599,基本資料!$A:$J,3,0),"無")</f>
        <v>435</v>
      </c>
      <c r="B599" s="79">
        <f>IFERROR(VLOOKUP($G599,基本資料!$A:$J,4,0),"無")</f>
        <v>125</v>
      </c>
      <c r="C599" s="79">
        <f>IFERROR(VLOOKUP($G599,基本資料!$A:$J,5,0),"無")</f>
        <v>78</v>
      </c>
      <c r="D599" s="79">
        <f>IFERROR(VLOOKUP($G599,基本資料!$A:$J,6,0),"無")</f>
        <v>18</v>
      </c>
      <c r="E599" s="79">
        <f>IFERROR(VLOOKUP($G599,基本資料!$A:$J,7,0),"無")</f>
        <v>23</v>
      </c>
      <c r="F599" s="6">
        <f>IFERROR(VLOOKUP($G599,基本資料!$A:$J,8,0),"無")</f>
        <v>10.9</v>
      </c>
      <c r="G599" s="79">
        <v>3711</v>
      </c>
      <c r="H599" s="8" t="s">
        <v>307</v>
      </c>
      <c r="I599" s="22" t="s">
        <v>12</v>
      </c>
      <c r="J599" s="8" t="str">
        <f>IFERROR(VLOOKUP($G599,今日總結!$A:$AJ,35,0),"")</f>
        <v/>
      </c>
      <c r="K599" s="5" t="str">
        <f>IFERROR(VLOOKUP($G599,今日總結!$A:$AJ,36,0),"")</f>
        <v/>
      </c>
      <c r="L599" s="156" t="str">
        <f>IFERROR(VLOOKUP($G599,今日總結!$A:$AJ,33,0),"")</f>
        <v/>
      </c>
      <c r="M599" s="340" t="str">
        <f>IFERROR(VLOOKUP($G599,今日總結!$A:$AJ,34,0),"")</f>
        <v/>
      </c>
      <c r="N599" s="240" t="str">
        <f t="shared" si="133"/>
        <v/>
      </c>
      <c r="P599" s="365">
        <f>IFERROR(VLOOKUP($G599,融外自投!$A:$J,7,0),"無")</f>
        <v>1218</v>
      </c>
      <c r="Q599" s="79">
        <f>IFERROR(VLOOKUP($G599,融外自投!$A:$J,9,0),"無")</f>
        <v>492</v>
      </c>
      <c r="R599" s="346">
        <f>IFERROR(VLOOKUP($G599,融外自投!$A:$J,8,0),"無")</f>
        <v>16</v>
      </c>
      <c r="S599" s="81">
        <f>IFERROR(VLOOKUP($G599,融外自投!$A:$J,10,0),"無")</f>
        <v>153</v>
      </c>
      <c r="T599" s="327">
        <f>IFERROR(VLOOKUP($G599,'321買'!$A:$E,5,0),"'沒有資料'")</f>
        <v>122</v>
      </c>
      <c r="U599" s="186">
        <f>IFERROR(VLOOKUP($G599,基本資料!$A:$J,9,0),"無")</f>
        <v>7</v>
      </c>
      <c r="V599" s="310">
        <f t="shared" si="128"/>
        <v>7.2765072765072769E-2</v>
      </c>
      <c r="W599" s="94">
        <f>IFERROR(VLOOKUP($G599,基本資料!$A:$J,10,0),"無")</f>
        <v>14.84</v>
      </c>
      <c r="X599" s="36">
        <f>RTD("money.excel",,"3711","Price")</f>
        <v>96.2</v>
      </c>
      <c r="Y599" s="66"/>
      <c r="Z599" s="15">
        <f t="shared" si="129"/>
        <v>96.2</v>
      </c>
      <c r="AA599" s="3" t="e">
        <f t="shared" si="130"/>
        <v>#DIV/0!</v>
      </c>
      <c r="AB599" s="344">
        <f>IFERROR(VLOOKUP($G599,基本資料!$A:$M,11,0),"無")</f>
        <v>-29.51</v>
      </c>
      <c r="AC599" s="397">
        <f>IFERROR(VLOOKUP($G599,基本資料!$A:$M,12,0),"無")</f>
        <v>31.58</v>
      </c>
      <c r="AD599" s="22" t="s">
        <v>12</v>
      </c>
      <c r="AG599" s="33">
        <f t="shared" si="131"/>
        <v>0</v>
      </c>
      <c r="AH599" s="117" t="s">
        <v>2390</v>
      </c>
      <c r="AI599" s="63">
        <f t="shared" si="132"/>
        <v>1.4797701149425286E-3</v>
      </c>
      <c r="AJ599" s="284">
        <f>RTD("money.excel",,$G599,"PredictVolume")</f>
        <v>6437</v>
      </c>
      <c r="AK599" s="399">
        <f>IFERROR(VLOOKUP($G599,基本資料!$A:$M,13,0),"無")</f>
        <v>1.1000000000000001</v>
      </c>
    </row>
    <row r="600" spans="1:37">
      <c r="A600" s="347">
        <f>IFERROR(VLOOKUP($G600,基本資料!$A:$J,3,0),"無")</f>
        <v>41.97</v>
      </c>
      <c r="B600" s="79">
        <f>IFERROR(VLOOKUP($G600,基本資料!$A:$J,4,0),"無")</f>
        <v>451</v>
      </c>
      <c r="C600" s="79">
        <f>IFERROR(VLOOKUP($G600,基本資料!$A:$J,5,0),"無")</f>
        <v>932</v>
      </c>
      <c r="D600" s="79">
        <f>IFERROR(VLOOKUP($G600,基本資料!$A:$J,6,0),"無")</f>
        <v>8</v>
      </c>
      <c r="E600" s="79">
        <f>IFERROR(VLOOKUP($G600,基本資料!$A:$J,7,0),"無")</f>
        <v>-2</v>
      </c>
      <c r="F600" s="6">
        <f>IFERROR(VLOOKUP($G600,基本資料!$A:$J,8,0),"無")</f>
        <v>8.0299999999999994</v>
      </c>
      <c r="G600" s="79">
        <v>4919</v>
      </c>
      <c r="H600" s="8" t="s">
        <v>307</v>
      </c>
      <c r="I600" s="22" t="s">
        <v>118</v>
      </c>
      <c r="J600" s="8">
        <f>IFERROR(VLOOKUP($G600,今日總結!$A:$AJ,35,0),"")</f>
        <v>5</v>
      </c>
      <c r="K600" s="5" t="str">
        <f>IFERROR(VLOOKUP($G600,今日總結!$A:$AJ,36,0),"")</f>
        <v>借</v>
      </c>
      <c r="L600" s="156">
        <f>IFERROR(VLOOKUP($G600,今日總結!$A:$AJ,33,0),"")</f>
        <v>1</v>
      </c>
      <c r="M600" s="340">
        <f>IFERROR(VLOOKUP($G600,今日總結!$A:$AJ,34,0),"")</f>
        <v>1</v>
      </c>
      <c r="N600" s="240">
        <f t="shared" si="133"/>
        <v>0</v>
      </c>
      <c r="P600" s="365">
        <f>IFERROR(VLOOKUP($G600,融外自投!$A:$J,7,0),"無")</f>
        <v>299</v>
      </c>
      <c r="Q600" s="79">
        <f>IFERROR(VLOOKUP($G600,融外自投!$A:$J,9,0),"無")</f>
        <v>296</v>
      </c>
      <c r="R600" s="346">
        <f>IFERROR(VLOOKUP($G600,融外自投!$A:$J,8,0),"無")</f>
        <v>591</v>
      </c>
      <c r="S600" s="81">
        <f>IFERROR(VLOOKUP($G600,融外自投!$A:$J,10,0),"無")</f>
        <v>16</v>
      </c>
      <c r="T600" s="327">
        <f>IFERROR(VLOOKUP($G600,'321買'!$A:$E,5,0),"'沒有資料'")</f>
        <v>44</v>
      </c>
      <c r="U600" s="186">
        <f>IFERROR(VLOOKUP($G600,基本資料!$A:$J,9,0),"無")</f>
        <v>5</v>
      </c>
      <c r="V600" s="310">
        <f t="shared" si="128"/>
        <v>3.0581039755351681E-2</v>
      </c>
      <c r="W600" s="94">
        <f>IFERROR(VLOOKUP($G600,基本資料!$A:$J,10,0),"無")</f>
        <v>7.27</v>
      </c>
      <c r="X600" s="36">
        <f>RTD("money.excel",,"4919","Price")</f>
        <v>163.5</v>
      </c>
      <c r="Y600" s="66"/>
      <c r="Z600" s="15">
        <f t="shared" si="129"/>
        <v>163.5</v>
      </c>
      <c r="AA600" s="3" t="e">
        <f t="shared" si="130"/>
        <v>#DIV/0!</v>
      </c>
      <c r="AB600" s="344">
        <f>IFERROR(VLOOKUP($G600,基本資料!$A:$M,11,0),"無")</f>
        <v>-20.49</v>
      </c>
      <c r="AC600" s="397">
        <f>IFERROR(VLOOKUP($G600,基本資料!$A:$M,12,0),"無")</f>
        <v>41.99</v>
      </c>
      <c r="AD600" s="22" t="s">
        <v>118</v>
      </c>
      <c r="AG600" s="33">
        <f t="shared" si="131"/>
        <v>0</v>
      </c>
      <c r="AH600" s="117" t="s">
        <v>3021</v>
      </c>
      <c r="AI600" s="63">
        <f t="shared" si="132"/>
        <v>5.0002382654276867E-2</v>
      </c>
      <c r="AJ600" s="284">
        <f>RTD("money.excel",,$G600,"PredictVolume")</f>
        <v>20986</v>
      </c>
      <c r="AK600" s="399">
        <f>IFERROR(VLOOKUP($G600,基本資料!$A:$M,13,0),"無")</f>
        <v>41.69</v>
      </c>
    </row>
    <row r="601" spans="1:37">
      <c r="A601" s="347" t="str">
        <f>IFERROR(VLOOKUP($G601,基本資料!$A:$J,3,0),"無")</f>
        <v>無</v>
      </c>
      <c r="B601" s="79" t="str">
        <f>IFERROR(VLOOKUP($G601,基本資料!$A:$J,4,0),"無")</f>
        <v>無</v>
      </c>
      <c r="C601" s="79" t="str">
        <f>IFERROR(VLOOKUP($G601,基本資料!$A:$J,5,0),"無")</f>
        <v>無</v>
      </c>
      <c r="D601" s="79" t="str">
        <f>IFERROR(VLOOKUP($G601,基本資料!$A:$J,6,0),"無")</f>
        <v>無</v>
      </c>
      <c r="E601" s="79" t="str">
        <f>IFERROR(VLOOKUP($G601,基本資料!$A:$J,7,0),"無")</f>
        <v>無</v>
      </c>
      <c r="F601" s="6" t="str">
        <f>IFERROR(VLOOKUP($G601,基本資料!$A:$J,8,0),"無")</f>
        <v>無</v>
      </c>
      <c r="G601" s="79">
        <v>4923</v>
      </c>
      <c r="H601" s="145" t="s">
        <v>3039</v>
      </c>
      <c r="I601" s="16" t="s">
        <v>4763</v>
      </c>
      <c r="J601" s="8" t="str">
        <f>IFERROR(VLOOKUP($G601,今日總結!$A:$AJ,35,0),"")</f>
        <v/>
      </c>
      <c r="K601" s="5" t="str">
        <f>IFERROR(VLOOKUP($G601,今日總結!$A:$AJ,36,0),"")</f>
        <v/>
      </c>
      <c r="L601" s="156" t="str">
        <f>IFERROR(VLOOKUP($G601,今日總結!$A:$AJ,33,0),"")</f>
        <v/>
      </c>
      <c r="M601" s="340" t="str">
        <f>IFERROR(VLOOKUP($G601,今日總結!$A:$AJ,34,0),"")</f>
        <v/>
      </c>
      <c r="N601" s="240" t="str">
        <f t="shared" si="133"/>
        <v/>
      </c>
      <c r="P601" s="365" t="str">
        <f>IFERROR(VLOOKUP($G601,融外自投!$A:$J,7,0),"無")</f>
        <v>無</v>
      </c>
      <c r="Q601" s="79" t="str">
        <f>IFERROR(VLOOKUP($G601,融外自投!$A:$J,9,0),"無")</f>
        <v>無</v>
      </c>
      <c r="R601" s="346" t="str">
        <f>IFERROR(VLOOKUP($G601,融外自投!$A:$J,8,0),"無")</f>
        <v>無</v>
      </c>
      <c r="S601" s="81" t="str">
        <f>IFERROR(VLOOKUP($G601,融外自投!$A:$J,10,0),"無")</f>
        <v>無</v>
      </c>
      <c r="T601" s="327" t="str">
        <f>IFERROR(VLOOKUP($G601,'321買'!$A:$E,5,0),"'沒有資料'")</f>
        <v>'沒有資料'</v>
      </c>
      <c r="U601" s="186" t="str">
        <f>IFERROR(VLOOKUP($G601,基本資料!$A:$J,9,0),"無")</f>
        <v>無</v>
      </c>
      <c r="V601" s="310" t="e">
        <f t="shared" si="128"/>
        <v>#VALUE!</v>
      </c>
      <c r="W601" s="94" t="str">
        <f>IFERROR(VLOOKUP($G601,基本資料!$A:$J,10,0),"無")</f>
        <v>無</v>
      </c>
      <c r="X601" s="36">
        <f>RTD("money.excel",,"4923","Price")</f>
        <v>72.3</v>
      </c>
      <c r="Y601" s="66"/>
      <c r="Z601" s="15">
        <f>X601-Y601</f>
        <v>72.3</v>
      </c>
      <c r="AA601" s="3" t="e">
        <f>Z601/Y601</f>
        <v>#DIV/0!</v>
      </c>
      <c r="AB601" s="344" t="str">
        <f>IFERROR(VLOOKUP($G601,基本資料!$A:$M,11,0),"無")</f>
        <v>無</v>
      </c>
      <c r="AC601" s="397" t="str">
        <f>IFERROR(VLOOKUP($G601,基本資料!$A:$M,12,0),"無")</f>
        <v>無</v>
      </c>
      <c r="AD601" s="16" t="s">
        <v>4763</v>
      </c>
      <c r="AG601" s="33">
        <f>AF601-AE601</f>
        <v>0</v>
      </c>
      <c r="AH601" s="123" t="s">
        <v>4766</v>
      </c>
      <c r="AI601" s="63" t="e">
        <f t="shared" si="132"/>
        <v>#VALUE!</v>
      </c>
      <c r="AJ601" s="284">
        <f>RTD("money.excel",,$G601,"PredictVolume")</f>
        <v>218</v>
      </c>
      <c r="AK601" s="399" t="str">
        <f>IFERROR(VLOOKUP($G601,基本資料!$A:$M,13,0),"無")</f>
        <v>無</v>
      </c>
    </row>
    <row r="602" spans="1:37">
      <c r="A602" s="347">
        <f>IFERROR(VLOOKUP($G602,基本資料!$A:$J,3,0),"無")</f>
        <v>3</v>
      </c>
      <c r="B602" s="79">
        <f>IFERROR(VLOOKUP($G602,基本資料!$A:$J,4,0),"無")</f>
        <v>93</v>
      </c>
      <c r="C602" s="79">
        <f>IFERROR(VLOOKUP($G602,基本資料!$A:$J,5,0),"無")</f>
        <v>73</v>
      </c>
      <c r="D602" s="79">
        <f>IFERROR(VLOOKUP($G602,基本資料!$A:$J,6,0),"無")</f>
        <v>-16</v>
      </c>
      <c r="E602" s="79">
        <f>IFERROR(VLOOKUP($G602,基本資料!$A:$J,7,0),"無")</f>
        <v>23</v>
      </c>
      <c r="F602" s="6">
        <f>IFERROR(VLOOKUP($G602,基本資料!$A:$J,8,0),"無")</f>
        <v>22.97</v>
      </c>
      <c r="G602" s="79">
        <v>4945</v>
      </c>
      <c r="H602" s="195" t="s">
        <v>3039</v>
      </c>
      <c r="I602" s="24" t="s">
        <v>2073</v>
      </c>
      <c r="J602" s="8" t="str">
        <f>IFERROR(VLOOKUP($G602,今日總結!$A:$AJ,35,0),"")</f>
        <v/>
      </c>
      <c r="K602" s="5" t="str">
        <f>IFERROR(VLOOKUP($G602,今日總結!$A:$AJ,36,0),"")</f>
        <v/>
      </c>
      <c r="L602" s="156" t="str">
        <f>IFERROR(VLOOKUP($G602,今日總結!$A:$AJ,33,0),"")</f>
        <v/>
      </c>
      <c r="M602" s="340" t="str">
        <f>IFERROR(VLOOKUP($G602,今日總結!$A:$AJ,34,0),"")</f>
        <v/>
      </c>
      <c r="N602" s="240" t="str">
        <f t="shared" si="133"/>
        <v/>
      </c>
      <c r="P602" s="365">
        <f>IFERROR(VLOOKUP($G602,融外自投!$A:$J,7,0),"無")</f>
        <v>588</v>
      </c>
      <c r="Q602" s="79">
        <f>IFERROR(VLOOKUP($G602,融外自投!$A:$J,9,0),"無")</f>
        <v>762</v>
      </c>
      <c r="R602" s="346">
        <f>IFERROR(VLOOKUP($G602,融外自投!$A:$J,8,0),"無")</f>
        <v>816</v>
      </c>
      <c r="S602" s="81">
        <f>IFERROR(VLOOKUP($G602,融外自投!$A:$J,10,0),"無")</f>
        <v>217</v>
      </c>
      <c r="T602" s="327">
        <f>IFERROR(VLOOKUP($G602,'321買'!$A:$E,5,0),"'沒有資料'")</f>
        <v>1099</v>
      </c>
      <c r="U602" s="186">
        <f>IFERROR(VLOOKUP($G602,基本資料!$A:$J,9,0),"無")</f>
        <v>3.2</v>
      </c>
      <c r="V602" s="310">
        <f t="shared" si="128"/>
        <v>4.38957475994513E-2</v>
      </c>
      <c r="W602" s="94">
        <f>IFERROR(VLOOKUP($G602,基本資料!$A:$J,10,0),"無")</f>
        <v>3.51</v>
      </c>
      <c r="X602" s="36">
        <f>RTD("money.excel",,"4945","Price")</f>
        <v>72.900000000000006</v>
      </c>
      <c r="Y602" s="66"/>
      <c r="Z602" s="15">
        <f t="shared" si="129"/>
        <v>72.900000000000006</v>
      </c>
      <c r="AA602" s="3" t="e">
        <f t="shared" si="130"/>
        <v>#DIV/0!</v>
      </c>
      <c r="AB602" s="344">
        <f>IFERROR(VLOOKUP($G602,基本資料!$A:$M,11,0),"無")</f>
        <v>-34.81</v>
      </c>
      <c r="AC602" s="397">
        <f>IFERROR(VLOOKUP($G602,基本資料!$A:$M,12,0),"無")</f>
        <v>19.45</v>
      </c>
      <c r="AD602" s="24" t="s">
        <v>2073</v>
      </c>
      <c r="AG602" s="33">
        <f t="shared" si="131"/>
        <v>0</v>
      </c>
      <c r="AH602" s="119" t="s">
        <v>2076</v>
      </c>
      <c r="AI602" s="63">
        <f t="shared" si="132"/>
        <v>4.7999999999999996E-3</v>
      </c>
      <c r="AJ602" s="284">
        <f>RTD("money.excel",,$G602,"PredictVolume")</f>
        <v>144</v>
      </c>
      <c r="AK602" s="399">
        <f>IFERROR(VLOOKUP($G602,基本資料!$A:$M,13,0),"無")</f>
        <v>13.68</v>
      </c>
    </row>
    <row r="603" spans="1:37">
      <c r="A603" s="347">
        <f>IFERROR(VLOOKUP($G603,基本資料!$A:$J,3,0),"無")</f>
        <v>10.88</v>
      </c>
      <c r="B603" s="79">
        <f>IFERROR(VLOOKUP($G603,基本資料!$A:$J,4,0),"無")</f>
        <v>133</v>
      </c>
      <c r="C603" s="79">
        <f>IFERROR(VLOOKUP($G603,基本資料!$A:$J,5,0),"無")</f>
        <v>144</v>
      </c>
      <c r="D603" s="79">
        <f>IFERROR(VLOOKUP($G603,基本資料!$A:$J,6,0),"無")</f>
        <v>0</v>
      </c>
      <c r="E603" s="79">
        <f>IFERROR(VLOOKUP($G603,基本資料!$A:$J,7,0),"無")</f>
        <v>22</v>
      </c>
      <c r="F603" s="6">
        <f>IFERROR(VLOOKUP($G603,基本資料!$A:$J,8,0),"無")</f>
        <v>22.08</v>
      </c>
      <c r="G603" s="79">
        <v>4952</v>
      </c>
      <c r="H603" s="8" t="s">
        <v>3039</v>
      </c>
      <c r="I603" s="22" t="s">
        <v>176</v>
      </c>
      <c r="J603" s="8">
        <f>IFERROR(VLOOKUP($G603,今日總結!$A:$AJ,35,0),"")</f>
        <v>42</v>
      </c>
      <c r="K603" s="5">
        <f>IFERROR(VLOOKUP($G603,今日總結!$A:$AJ,36,0),"")</f>
        <v>0</v>
      </c>
      <c r="L603" s="156">
        <f>IFERROR(VLOOKUP($G603,今日總結!$A:$AJ,33,0),"")</f>
        <v>2</v>
      </c>
      <c r="M603" s="340">
        <f>IFERROR(VLOOKUP($G603,今日總結!$A:$AJ,34,0),"")</f>
        <v>1</v>
      </c>
      <c r="N603" s="240">
        <f t="shared" si="133"/>
        <v>1</v>
      </c>
      <c r="P603" s="365">
        <f>IFERROR(VLOOKUP($G603,融外自投!$A:$J,7,0),"無")</f>
        <v>307</v>
      </c>
      <c r="Q603" s="79">
        <f>IFERROR(VLOOKUP($G603,融外自投!$A:$J,9,0),"無")</f>
        <v>558</v>
      </c>
      <c r="R603" s="346">
        <f>IFERROR(VLOOKUP($G603,融外自投!$A:$J,8,0),"無")</f>
        <v>683</v>
      </c>
      <c r="S603" s="81">
        <f>IFERROR(VLOOKUP($G603,融外自投!$A:$J,10,0),"無")</f>
        <v>401</v>
      </c>
      <c r="T603" s="327">
        <f>IFERROR(VLOOKUP($G603,'321買'!$A:$E,5,0),"'沒有資料'")</f>
        <v>584</v>
      </c>
      <c r="U603" s="186">
        <f>IFERROR(VLOOKUP($G603,基本資料!$A:$J,9,0),"無")</f>
        <v>5.4</v>
      </c>
      <c r="V603" s="310">
        <f t="shared" si="128"/>
        <v>6.9767441860465115E-2</v>
      </c>
      <c r="W603" s="94">
        <f>IFERROR(VLOOKUP($G603,基本資料!$A:$J,10,0),"無")</f>
        <v>6.05</v>
      </c>
      <c r="X603" s="36">
        <f>RTD("money.excel",,"4952","Price")</f>
        <v>77.400000000000006</v>
      </c>
      <c r="Y603" s="66"/>
      <c r="Z603" s="15">
        <f t="shared" si="129"/>
        <v>77.400000000000006</v>
      </c>
      <c r="AA603" s="3" t="e">
        <f t="shared" si="130"/>
        <v>#DIV/0!</v>
      </c>
      <c r="AB603" s="344">
        <f>IFERROR(VLOOKUP($G603,基本資料!$A:$M,11,0),"無")</f>
        <v>-20.64</v>
      </c>
      <c r="AC603" s="397">
        <f>IFERROR(VLOOKUP($G603,基本資料!$A:$M,12,0),"無")</f>
        <v>44.35</v>
      </c>
      <c r="AD603" s="22" t="s">
        <v>176</v>
      </c>
      <c r="AG603" s="33">
        <f t="shared" si="131"/>
        <v>0</v>
      </c>
      <c r="AH603" s="117" t="s">
        <v>2105</v>
      </c>
      <c r="AI603" s="63">
        <f t="shared" si="132"/>
        <v>2.9172794117647054E-2</v>
      </c>
      <c r="AJ603" s="284">
        <f>RTD("money.excel",,$G603,"PredictVolume")</f>
        <v>3174</v>
      </c>
      <c r="AK603" s="399">
        <f>IFERROR(VLOOKUP($G603,基本資料!$A:$M,13,0),"無")</f>
        <v>40.049999999999997</v>
      </c>
    </row>
    <row r="604" spans="1:37">
      <c r="A604" s="347">
        <f>IFERROR(VLOOKUP($G604,基本資料!$A:$J,3,0),"無")</f>
        <v>18.649999999999999</v>
      </c>
      <c r="B604" s="79">
        <f>IFERROR(VLOOKUP($G604,基本資料!$A:$J,4,0),"無")</f>
        <v>773</v>
      </c>
      <c r="C604" s="79">
        <f>IFERROR(VLOOKUP($G604,基本資料!$A:$J,5,0),"無")</f>
        <v>872</v>
      </c>
      <c r="D604" s="79">
        <f>IFERROR(VLOOKUP($G604,基本資料!$A:$J,6,0),"無")</f>
        <v>-10</v>
      </c>
      <c r="E604" s="79">
        <f>IFERROR(VLOOKUP($G604,基本資料!$A:$J,7,0),"無")</f>
        <v>15</v>
      </c>
      <c r="F604" s="6">
        <f>IFERROR(VLOOKUP($G604,基本資料!$A:$J,8,0),"無")</f>
        <v>33.75</v>
      </c>
      <c r="G604" s="79">
        <v>4961</v>
      </c>
      <c r="H604" s="8" t="s">
        <v>3039</v>
      </c>
      <c r="I604" s="22" t="s">
        <v>1062</v>
      </c>
      <c r="J604" s="8" t="str">
        <f>IFERROR(VLOOKUP($G604,今日總結!$A:$AJ,35,0),"")</f>
        <v/>
      </c>
      <c r="K604" s="5" t="str">
        <f>IFERROR(VLOOKUP($G604,今日總結!$A:$AJ,36,0),"")</f>
        <v/>
      </c>
      <c r="L604" s="156" t="str">
        <f>IFERROR(VLOOKUP($G604,今日總結!$A:$AJ,33,0),"")</f>
        <v/>
      </c>
      <c r="M604" s="340" t="str">
        <f>IFERROR(VLOOKUP($G604,今日總結!$A:$AJ,34,0),"")</f>
        <v/>
      </c>
      <c r="N604" s="240" t="str">
        <f t="shared" si="133"/>
        <v/>
      </c>
      <c r="P604" s="365">
        <f>IFERROR(VLOOKUP($G604,融外自投!$A:$J,7,0),"無")</f>
        <v>162</v>
      </c>
      <c r="Q604" s="79">
        <f>IFERROR(VLOOKUP($G604,融外自投!$A:$J,9,0),"無")</f>
        <v>176</v>
      </c>
      <c r="R604" s="346">
        <f>IFERROR(VLOOKUP($G604,融外自投!$A:$J,8,0),"無")</f>
        <v>604</v>
      </c>
      <c r="S604" s="81">
        <f>IFERROR(VLOOKUP($G604,融外自投!$A:$J,10,0),"無")</f>
        <v>324</v>
      </c>
      <c r="T604" s="327">
        <f>IFERROR(VLOOKUP($G604,'321買'!$A:$E,5,0),"'沒有資料'")</f>
        <v>164</v>
      </c>
      <c r="U604" s="186">
        <f>IFERROR(VLOOKUP($G604,基本資料!$A:$J,9,0),"無")</f>
        <v>17</v>
      </c>
      <c r="V604" s="310">
        <f t="shared" si="128"/>
        <v>9.6045197740112997E-2</v>
      </c>
      <c r="W604" s="94">
        <f>IFERROR(VLOOKUP($G604,基本資料!$A:$J,10,0),"無")</f>
        <v>33.83</v>
      </c>
      <c r="X604" s="36">
        <f>RTD("money.excel",,"4961","Price")</f>
        <v>177</v>
      </c>
      <c r="Y604" s="66"/>
      <c r="Z604" s="15">
        <f t="shared" si="129"/>
        <v>177</v>
      </c>
      <c r="AA604" s="3" t="e">
        <f t="shared" si="130"/>
        <v>#DIV/0!</v>
      </c>
      <c r="AB604" s="344">
        <f>IFERROR(VLOOKUP($G604,基本資料!$A:$M,11,0),"無")</f>
        <v>-49.71</v>
      </c>
      <c r="AC604" s="397">
        <f>IFERROR(VLOOKUP($G604,基本資料!$A:$M,12,0),"無")</f>
        <v>25.55</v>
      </c>
      <c r="AD604" s="22" t="s">
        <v>1062</v>
      </c>
      <c r="AG604" s="33">
        <f t="shared" si="131"/>
        <v>0</v>
      </c>
      <c r="AH604" s="43" t="s">
        <v>3412</v>
      </c>
      <c r="AI604" s="63">
        <f t="shared" si="132"/>
        <v>7.5549597855227883E-3</v>
      </c>
      <c r="AJ604" s="284">
        <f>RTD("money.excel",,$G604,"PredictVolume")</f>
        <v>1409</v>
      </c>
      <c r="AK604" s="399">
        <f>IFERROR(VLOOKUP($G604,基本資料!$A:$M,13,0),"無")</f>
        <v>23.61</v>
      </c>
    </row>
    <row r="605" spans="1:37">
      <c r="A605" s="347">
        <f>IFERROR(VLOOKUP($G605,基本資料!$A:$J,3,0),"無")</f>
        <v>8.1199999999999992</v>
      </c>
      <c r="B605" s="79">
        <f>IFERROR(VLOOKUP($G605,基本資料!$A:$J,4,0),"無")</f>
        <v>49</v>
      </c>
      <c r="C605" s="79">
        <f>IFERROR(VLOOKUP($G605,基本資料!$A:$J,5,0),"無")</f>
        <v>58</v>
      </c>
      <c r="D605" s="79">
        <f>IFERROR(VLOOKUP($G605,基本資料!$A:$J,6,0),"無")</f>
        <v>0</v>
      </c>
      <c r="E605" s="79">
        <f>IFERROR(VLOOKUP($G605,基本資料!$A:$J,7,0),"無")</f>
        <v>18</v>
      </c>
      <c r="F605" s="6">
        <f>IFERROR(VLOOKUP($G605,基本資料!$A:$J,8,0),"無")</f>
        <v>29.16</v>
      </c>
      <c r="G605" s="79">
        <v>4966</v>
      </c>
      <c r="H605" s="145" t="s">
        <v>3039</v>
      </c>
      <c r="I605" s="16" t="s">
        <v>4054</v>
      </c>
      <c r="J605" s="8" t="str">
        <f>IFERROR(VLOOKUP($G605,今日總結!$A:$AJ,35,0),"")</f>
        <v/>
      </c>
      <c r="K605" s="5" t="str">
        <f>IFERROR(VLOOKUP($G605,今日總結!$A:$AJ,36,0),"")</f>
        <v/>
      </c>
      <c r="L605" s="156" t="str">
        <f>IFERROR(VLOOKUP($G605,今日總結!$A:$AJ,33,0),"")</f>
        <v/>
      </c>
      <c r="M605" s="340" t="str">
        <f>IFERROR(VLOOKUP($G605,今日總結!$A:$AJ,34,0),"")</f>
        <v/>
      </c>
      <c r="N605" s="240" t="str">
        <f t="shared" si="133"/>
        <v/>
      </c>
      <c r="P605" s="365">
        <f>IFERROR(VLOOKUP($G605,融外自投!$A:$J,7,0),"無")</f>
        <v>914</v>
      </c>
      <c r="Q605" s="79">
        <f>IFERROR(VLOOKUP($G605,融外自投!$A:$J,9,0),"無")</f>
        <v>316</v>
      </c>
      <c r="R605" s="346">
        <f>IFERROR(VLOOKUP($G605,融外自投!$A:$J,8,0),"無")</f>
        <v>24</v>
      </c>
      <c r="S605" s="81">
        <f>IFERROR(VLOOKUP($G605,融外自投!$A:$J,10,0),"無")</f>
        <v>81</v>
      </c>
      <c r="T605" s="327">
        <f>IFERROR(VLOOKUP($G605,'321買'!$A:$E,5,0),"'沒有資料'")</f>
        <v>110</v>
      </c>
      <c r="U605" s="186">
        <f>IFERROR(VLOOKUP($G605,基本資料!$A:$J,9,0),"無")</f>
        <v>32.479999999999997</v>
      </c>
      <c r="V605" s="310">
        <f t="shared" si="128"/>
        <v>2.2323024054982817E-2</v>
      </c>
      <c r="W605" s="94">
        <f>IFERROR(VLOOKUP($G605,基本資料!$A:$J,10,0),"無")</f>
        <v>66.290000000000006</v>
      </c>
      <c r="X605" s="372">
        <f>RTD("money.excel",,"4966","Price")</f>
        <v>1455</v>
      </c>
      <c r="Y605" s="66"/>
      <c r="Z605" s="137">
        <f t="shared" si="129"/>
        <v>1455</v>
      </c>
      <c r="AA605" s="3" t="e">
        <f t="shared" si="130"/>
        <v>#DIV/0!</v>
      </c>
      <c r="AB605" s="344">
        <f>IFERROR(VLOOKUP($G605,基本資料!$A:$M,11,0),"無")</f>
        <v>-38.840000000000003</v>
      </c>
      <c r="AC605" s="397">
        <f>IFERROR(VLOOKUP($G605,基本資料!$A:$M,12,0),"無")</f>
        <v>21.8</v>
      </c>
      <c r="AD605" s="16" t="s">
        <v>4054</v>
      </c>
      <c r="AG605" s="33">
        <f t="shared" si="131"/>
        <v>0</v>
      </c>
      <c r="AH605" s="117" t="s">
        <v>2360</v>
      </c>
      <c r="AI605" s="63">
        <f t="shared" si="132"/>
        <v>7.5369458128078833E-3</v>
      </c>
      <c r="AJ605" s="284">
        <f>RTD("money.excel",,$G605,"PredictVolume")</f>
        <v>612</v>
      </c>
      <c r="AK605" s="399">
        <f>IFERROR(VLOOKUP($G605,基本資料!$A:$M,13,0),"無")</f>
        <v>9.32</v>
      </c>
    </row>
    <row r="606" spans="1:37">
      <c r="A606" s="347">
        <f>IFERROR(VLOOKUP($G606,基本資料!$A:$J,3,0),"無")</f>
        <v>10.220000000000001</v>
      </c>
      <c r="B606" s="79">
        <f>IFERROR(VLOOKUP($G606,基本資料!$A:$J,4,0),"無")</f>
        <v>-164</v>
      </c>
      <c r="C606" s="79">
        <f>IFERROR(VLOOKUP($G606,基本資料!$A:$J,5,0),"無")</f>
        <v>-184</v>
      </c>
      <c r="D606" s="79">
        <f>IFERROR(VLOOKUP($G606,基本資料!$A:$J,6,0),"無")</f>
        <v>40</v>
      </c>
      <c r="E606" s="79">
        <f>IFERROR(VLOOKUP($G606,基本資料!$A:$J,7,0),"無")</f>
        <v>7</v>
      </c>
      <c r="F606" s="6">
        <f>IFERROR(VLOOKUP($G606,基本資料!$A:$J,8,0),"無")</f>
        <v>-2.1</v>
      </c>
      <c r="G606" s="79">
        <v>4967</v>
      </c>
      <c r="H606" s="8" t="s">
        <v>3039</v>
      </c>
      <c r="I606" s="22" t="s">
        <v>1726</v>
      </c>
      <c r="J606" s="8" t="str">
        <f>IFERROR(VLOOKUP($G606,今日總結!$A:$AJ,35,0),"")</f>
        <v/>
      </c>
      <c r="K606" s="5" t="str">
        <f>IFERROR(VLOOKUP($G606,今日總結!$A:$AJ,36,0),"")</f>
        <v/>
      </c>
      <c r="L606" s="156" t="str">
        <f>IFERROR(VLOOKUP($G606,今日總結!$A:$AJ,33,0),"")</f>
        <v/>
      </c>
      <c r="M606" s="340" t="str">
        <f>IFERROR(VLOOKUP($G606,今日總結!$A:$AJ,34,0),"")</f>
        <v/>
      </c>
      <c r="N606" s="240" t="str">
        <f t="shared" si="133"/>
        <v/>
      </c>
      <c r="P606" s="365">
        <f>IFERROR(VLOOKUP($G606,融外自投!$A:$J,7,0),"無")</f>
        <v>39</v>
      </c>
      <c r="Q606" s="79">
        <f>IFERROR(VLOOKUP($G606,融外自投!$A:$J,9,0),"無")</f>
        <v>537</v>
      </c>
      <c r="R606" s="346">
        <f>IFERROR(VLOOKUP($G606,融外自投!$A:$J,8,0),"無")</f>
        <v>1059</v>
      </c>
      <c r="S606" s="81" t="str">
        <f>IFERROR(VLOOKUP($G606,融外自投!$A:$J,10,0),"無")</f>
        <v>無</v>
      </c>
      <c r="T606" s="327">
        <f>IFERROR(VLOOKUP($G606,'321買'!$A:$E,5,0),"'沒有資料'")</f>
        <v>178</v>
      </c>
      <c r="U606" s="186">
        <f>IFERROR(VLOOKUP($G606,基本資料!$A:$J,9,0),"無")</f>
        <v>0</v>
      </c>
      <c r="V606" s="310">
        <f t="shared" si="128"/>
        <v>0</v>
      </c>
      <c r="W606" s="94">
        <f>IFERROR(VLOOKUP($G606,基本資料!$A:$J,10,0),"無")</f>
        <v>-1.02</v>
      </c>
      <c r="X606" s="36">
        <f>RTD("money.excel",,"4967","Price")</f>
        <v>30.55</v>
      </c>
      <c r="Y606" s="66"/>
      <c r="Z606" s="15">
        <f t="shared" si="129"/>
        <v>30.55</v>
      </c>
      <c r="AA606" s="3" t="e">
        <f t="shared" si="130"/>
        <v>#DIV/0!</v>
      </c>
      <c r="AB606" s="344">
        <f>IFERROR(VLOOKUP($G606,基本資料!$A:$M,11,0),"無")</f>
        <v>-62.31</v>
      </c>
      <c r="AC606" s="397">
        <f>IFERROR(VLOOKUP($G606,基本資料!$A:$M,12,0),"無")</f>
        <v>7.27</v>
      </c>
      <c r="AD606" s="22" t="s">
        <v>1726</v>
      </c>
      <c r="AG606" s="33">
        <f t="shared" si="131"/>
        <v>0</v>
      </c>
      <c r="AH606" s="43" t="s">
        <v>1414</v>
      </c>
      <c r="AI606" s="63">
        <f t="shared" si="132"/>
        <v>1.0567514677103719E-2</v>
      </c>
      <c r="AJ606" s="284">
        <f>RTD("money.excel",,$G606,"PredictVolume")</f>
        <v>1080</v>
      </c>
      <c r="AK606" s="399">
        <f>IFERROR(VLOOKUP($G606,基本資料!$A:$M,13,0),"無")</f>
        <v>50.64</v>
      </c>
    </row>
    <row r="607" spans="1:37">
      <c r="A607" s="347">
        <f>IFERROR(VLOOKUP($G607,基本資料!$A:$J,3,0),"無")</f>
        <v>8.84</v>
      </c>
      <c r="B607" s="79">
        <f>IFERROR(VLOOKUP($G607,基本資料!$A:$J,4,0),"無")</f>
        <v>-46</v>
      </c>
      <c r="C607" s="79">
        <f>IFERROR(VLOOKUP($G607,基本資料!$A:$J,5,0),"無")</f>
        <v>-47</v>
      </c>
      <c r="D607" s="79">
        <f>IFERROR(VLOOKUP($G607,基本資料!$A:$J,6,0),"無")</f>
        <v>-10</v>
      </c>
      <c r="E607" s="79">
        <f>IFERROR(VLOOKUP($G607,基本資料!$A:$J,7,0),"無")</f>
        <v>-51</v>
      </c>
      <c r="F607" s="6">
        <f>IFERROR(VLOOKUP($G607,基本資料!$A:$J,8,0),"無")</f>
        <v>10.039999999999999</v>
      </c>
      <c r="G607" s="79">
        <v>4968</v>
      </c>
      <c r="H607" s="8" t="s">
        <v>3039</v>
      </c>
      <c r="I607" s="22" t="s">
        <v>350</v>
      </c>
      <c r="J607" s="8" t="str">
        <f>IFERROR(VLOOKUP($G607,今日總結!$A:$AJ,35,0),"")</f>
        <v/>
      </c>
      <c r="K607" s="5" t="str">
        <f>IFERROR(VLOOKUP($G607,今日總結!$A:$AJ,36,0),"")</f>
        <v/>
      </c>
      <c r="L607" s="156" t="str">
        <f>IFERROR(VLOOKUP($G607,今日總結!$A:$AJ,33,0),"")</f>
        <v/>
      </c>
      <c r="M607" s="340" t="str">
        <f>IFERROR(VLOOKUP($G607,今日總結!$A:$AJ,34,0),"")</f>
        <v/>
      </c>
      <c r="N607" s="240" t="str">
        <f t="shared" si="133"/>
        <v/>
      </c>
      <c r="P607" s="365">
        <f>IFERROR(VLOOKUP($G607,融外自投!$A:$J,7,0),"無")</f>
        <v>136</v>
      </c>
      <c r="Q607" s="79">
        <f>IFERROR(VLOOKUP($G607,融外自投!$A:$J,9,0),"無")</f>
        <v>99</v>
      </c>
      <c r="R607" s="346">
        <f>IFERROR(VLOOKUP($G607,融外自投!$A:$J,8,0),"無")</f>
        <v>168</v>
      </c>
      <c r="S607" s="81">
        <f>IFERROR(VLOOKUP($G607,融外自投!$A:$J,10,0),"無")</f>
        <v>98</v>
      </c>
      <c r="T607" s="327">
        <f>IFERROR(VLOOKUP($G607,'321買'!$A:$E,5,0),"'沒有資料'")</f>
        <v>281</v>
      </c>
      <c r="U607" s="186">
        <f>IFERROR(VLOOKUP($G607,基本資料!$A:$J,9,0),"無")</f>
        <v>3.5</v>
      </c>
      <c r="V607" s="310">
        <f t="shared" si="128"/>
        <v>1.6431924882629109E-2</v>
      </c>
      <c r="W607" s="94">
        <f>IFERROR(VLOOKUP($G607,基本資料!$A:$J,10,0),"無")</f>
        <v>5.26</v>
      </c>
      <c r="X607" s="36">
        <f>RTD("money.excel",,"4968","Price")</f>
        <v>213</v>
      </c>
      <c r="Y607" s="66"/>
      <c r="Z607" s="15">
        <f t="shared" si="129"/>
        <v>213</v>
      </c>
      <c r="AA607" s="3" t="e">
        <f t="shared" si="130"/>
        <v>#DIV/0!</v>
      </c>
      <c r="AB607" s="344">
        <f>IFERROR(VLOOKUP($G607,基本資料!$A:$M,11,0),"無")</f>
        <v>-62.72</v>
      </c>
      <c r="AC607" s="397">
        <f>IFERROR(VLOOKUP($G607,基本資料!$A:$M,12,0),"無")</f>
        <v>59.94</v>
      </c>
      <c r="AD607" s="22" t="s">
        <v>350</v>
      </c>
      <c r="AG607" s="33">
        <f t="shared" si="131"/>
        <v>0</v>
      </c>
      <c r="AH607" s="43" t="s">
        <v>2008</v>
      </c>
      <c r="AI607" s="63">
        <f t="shared" si="132"/>
        <v>4.7488687782805433E-2</v>
      </c>
      <c r="AJ607" s="284">
        <f>RTD("money.excel",,$G607,"PredictVolume")</f>
        <v>4198</v>
      </c>
      <c r="AK607" s="399">
        <f>IFERROR(VLOOKUP($G607,基本資料!$A:$M,13,0),"無")</f>
        <v>12.78</v>
      </c>
    </row>
    <row r="608" spans="1:37">
      <c r="A608" s="347">
        <f>IFERROR(VLOOKUP($G608,基本資料!$A:$J,3,0),"無")</f>
        <v>3.65</v>
      </c>
      <c r="B608" s="79">
        <f>IFERROR(VLOOKUP($G608,基本資料!$A:$J,4,0),"無")</f>
        <v>32</v>
      </c>
      <c r="C608" s="79">
        <f>IFERROR(VLOOKUP($G608,基本資料!$A:$J,5,0),"無")</f>
        <v>108</v>
      </c>
      <c r="D608" s="79">
        <f>IFERROR(VLOOKUP($G608,基本資料!$A:$J,6,0),"無")</f>
        <v>4</v>
      </c>
      <c r="E608" s="79">
        <f>IFERROR(VLOOKUP($G608,基本資料!$A:$J,7,0),"無")</f>
        <v>41</v>
      </c>
      <c r="F608" s="6">
        <f>IFERROR(VLOOKUP($G608,基本資料!$A:$J,8,0),"無")</f>
        <v>12.62</v>
      </c>
      <c r="G608" s="79">
        <v>4971</v>
      </c>
      <c r="H608" s="145" t="s">
        <v>3039</v>
      </c>
      <c r="I608" s="16" t="s">
        <v>4055</v>
      </c>
      <c r="J608" s="8" t="str">
        <f>IFERROR(VLOOKUP($G608,今日總結!$A:$AJ,35,0),"")</f>
        <v>外</v>
      </c>
      <c r="K608" s="5">
        <f>IFERROR(VLOOKUP($G608,今日總結!$A:$AJ,36,0),"")</f>
        <v>0</v>
      </c>
      <c r="L608" s="156">
        <f>IFERROR(VLOOKUP($G608,今日總結!$A:$AJ,33,0),"")</f>
        <v>1</v>
      </c>
      <c r="M608" s="340">
        <f>IFERROR(VLOOKUP($G608,今日總結!$A:$AJ,34,0),"")</f>
        <v>0</v>
      </c>
      <c r="N608" s="240">
        <f t="shared" si="133"/>
        <v>1</v>
      </c>
      <c r="P608" s="365">
        <f>IFERROR(VLOOKUP($G608,融外自投!$A:$J,7,0),"無")</f>
        <v>14</v>
      </c>
      <c r="Q608" s="79">
        <f>IFERROR(VLOOKUP($G608,融外自投!$A:$J,9,0),"無")</f>
        <v>502</v>
      </c>
      <c r="R608" s="346">
        <f>IFERROR(VLOOKUP($G608,融外自投!$A:$J,8,0),"無")</f>
        <v>365</v>
      </c>
      <c r="S608" s="81">
        <f>IFERROR(VLOOKUP($G608,融外自投!$A:$J,10,0),"無")</f>
        <v>271</v>
      </c>
      <c r="T608" s="327">
        <f>IFERROR(VLOOKUP($G608,'321買'!$A:$E,5,0),"'沒有資料'")</f>
        <v>349</v>
      </c>
      <c r="U608" s="186">
        <f>IFERROR(VLOOKUP($G608,基本資料!$A:$J,9,0),"無")</f>
        <v>1.5</v>
      </c>
      <c r="V608" s="310">
        <f t="shared" si="128"/>
        <v>1.95822454308094E-2</v>
      </c>
      <c r="W608" s="94">
        <f>IFERROR(VLOOKUP($G608,基本資料!$A:$J,10,0),"無")</f>
        <v>2.4500000000000002</v>
      </c>
      <c r="X608" s="36">
        <f>RTD("money.excel",,"4971","Price")</f>
        <v>76.599999999999994</v>
      </c>
      <c r="Y608" s="66"/>
      <c r="Z608" s="15">
        <f t="shared" si="129"/>
        <v>76.599999999999994</v>
      </c>
      <c r="AA608" s="3" t="e">
        <f t="shared" si="130"/>
        <v>#DIV/0!</v>
      </c>
      <c r="AB608" s="344">
        <f>IFERROR(VLOOKUP($G608,基本資料!$A:$M,11,0),"無")</f>
        <v>-14.53</v>
      </c>
      <c r="AC608" s="397">
        <f>IFERROR(VLOOKUP($G608,基本資料!$A:$M,12,0),"無")</f>
        <v>55.01</v>
      </c>
      <c r="AD608" s="16" t="s">
        <v>4055</v>
      </c>
      <c r="AG608" s="33">
        <f t="shared" si="131"/>
        <v>0</v>
      </c>
      <c r="AH608" s="117" t="s">
        <v>2164</v>
      </c>
      <c r="AI608" s="63">
        <f t="shared" si="132"/>
        <v>2.2739726027397262E-3</v>
      </c>
      <c r="AJ608" s="284">
        <f>RTD("money.excel",,$G608,"PredictVolume")</f>
        <v>83</v>
      </c>
      <c r="AK608" s="399">
        <f>IFERROR(VLOOKUP($G608,基本資料!$A:$M,13,0),"無")</f>
        <v>14.75</v>
      </c>
    </row>
    <row r="609" spans="1:37">
      <c r="A609" s="347">
        <f>IFERROR(VLOOKUP($G609,基本資料!$A:$J,3,0),"無")</f>
        <v>6.35</v>
      </c>
      <c r="B609" s="79">
        <f>IFERROR(VLOOKUP($G609,基本資料!$A:$J,4,0),"無")</f>
        <v>-69</v>
      </c>
      <c r="C609" s="79">
        <f>IFERROR(VLOOKUP($G609,基本資料!$A:$J,5,0),"無")</f>
        <v>-32</v>
      </c>
      <c r="D609" s="79">
        <f>IFERROR(VLOOKUP($G609,基本資料!$A:$J,6,0),"無")</f>
        <v>-18</v>
      </c>
      <c r="E609" s="79">
        <f>IFERROR(VLOOKUP($G609,基本資料!$A:$J,7,0),"無")</f>
        <v>4</v>
      </c>
      <c r="F609" s="6">
        <f>IFERROR(VLOOKUP($G609,基本資料!$A:$J,8,0),"無")</f>
        <v>0.8</v>
      </c>
      <c r="G609" s="79">
        <v>4973</v>
      </c>
      <c r="H609" s="145" t="s">
        <v>3039</v>
      </c>
      <c r="I609" s="16" t="s">
        <v>367</v>
      </c>
      <c r="J609" s="8" t="str">
        <f>IFERROR(VLOOKUP($G609,今日總結!$A:$AJ,35,0),"")</f>
        <v/>
      </c>
      <c r="K609" s="5" t="str">
        <f>IFERROR(VLOOKUP($G609,今日總結!$A:$AJ,36,0),"")</f>
        <v/>
      </c>
      <c r="L609" s="156" t="str">
        <f>IFERROR(VLOOKUP($G609,今日總結!$A:$AJ,33,0),"")</f>
        <v/>
      </c>
      <c r="M609" s="340" t="str">
        <f>IFERROR(VLOOKUP($G609,今日總結!$A:$AJ,34,0),"")</f>
        <v/>
      </c>
      <c r="N609" s="240" t="str">
        <f t="shared" si="133"/>
        <v/>
      </c>
      <c r="P609" s="365">
        <f>IFERROR(VLOOKUP($G609,融外自投!$A:$J,7,0),"無")</f>
        <v>390</v>
      </c>
      <c r="Q609" s="79" t="str">
        <f>IFERROR(VLOOKUP($G609,融外自投!$A:$J,9,0),"無")</f>
        <v>無</v>
      </c>
      <c r="R609" s="346">
        <f>IFERROR(VLOOKUP($G609,融外自投!$A:$J,8,0),"無")</f>
        <v>1326</v>
      </c>
      <c r="S609" s="81" t="str">
        <f>IFERROR(VLOOKUP($G609,融外自投!$A:$J,10,0),"無")</f>
        <v>無</v>
      </c>
      <c r="T609" s="327">
        <f>IFERROR(VLOOKUP($G609,'321買'!$A:$E,5,0),"'沒有資料'")</f>
        <v>894</v>
      </c>
      <c r="U609" s="186">
        <f>IFERROR(VLOOKUP($G609,基本資料!$A:$J,9,0),"無")</f>
        <v>1</v>
      </c>
      <c r="V609" s="310">
        <f t="shared" si="128"/>
        <v>4.7393364928909949E-2</v>
      </c>
      <c r="W609" s="94">
        <f>IFERROR(VLOOKUP($G609,基本資料!$A:$J,10,0),"無")</f>
        <v>0.35</v>
      </c>
      <c r="X609" s="36">
        <f>RTD("money.excel",,"4973","Price")</f>
        <v>21.1</v>
      </c>
      <c r="Y609" s="66"/>
      <c r="Z609" s="15">
        <f t="shared" si="129"/>
        <v>21.1</v>
      </c>
      <c r="AA609" s="3" t="e">
        <f t="shared" si="130"/>
        <v>#DIV/0!</v>
      </c>
      <c r="AB609" s="344">
        <f>IFERROR(VLOOKUP($G609,基本資料!$A:$M,11,0),"無")</f>
        <v>-36.299999999999997</v>
      </c>
      <c r="AC609" s="397">
        <f>IFERROR(VLOOKUP($G609,基本資料!$A:$M,12,0),"無")</f>
        <v>11.78</v>
      </c>
      <c r="AD609" s="16" t="s">
        <v>367</v>
      </c>
      <c r="AG609" s="33">
        <f t="shared" si="131"/>
        <v>0</v>
      </c>
      <c r="AH609" s="43" t="s">
        <v>2359</v>
      </c>
      <c r="AI609" s="63">
        <f t="shared" si="132"/>
        <v>8.6614173228346462E-4</v>
      </c>
      <c r="AJ609" s="284">
        <f>RTD("money.excel",,$G609,"PredictVolume")</f>
        <v>55</v>
      </c>
      <c r="AK609" s="399">
        <f>IFERROR(VLOOKUP($G609,基本資料!$A:$M,13,0),"無")</f>
        <v>25.06</v>
      </c>
    </row>
    <row r="610" spans="1:37">
      <c r="A610" s="347">
        <f>IFERROR(VLOOKUP($G610,基本資料!$A:$J,3,0),"無")</f>
        <v>11.1</v>
      </c>
      <c r="B610" s="79">
        <f>IFERROR(VLOOKUP($G610,基本資料!$A:$J,4,0),"無")</f>
        <v>-232</v>
      </c>
      <c r="C610" s="79">
        <f>IFERROR(VLOOKUP($G610,基本資料!$A:$J,5,0),"無")</f>
        <v>-116</v>
      </c>
      <c r="D610" s="79">
        <f>IFERROR(VLOOKUP($G610,基本資料!$A:$J,6,0),"無")</f>
        <v>-44</v>
      </c>
      <c r="E610" s="79">
        <f>IFERROR(VLOOKUP($G610,基本資料!$A:$J,7,0),"無")</f>
        <v>-9</v>
      </c>
      <c r="F610" s="6">
        <f>IFERROR(VLOOKUP($G610,基本資料!$A:$J,8,0),"無")</f>
        <v>-2.4900000000000002</v>
      </c>
      <c r="G610" s="79">
        <v>4991</v>
      </c>
      <c r="H610" s="145" t="s">
        <v>3039</v>
      </c>
      <c r="I610" s="16" t="s">
        <v>177</v>
      </c>
      <c r="J610" s="8" t="str">
        <f>IFERROR(VLOOKUP($G610,今日總結!$A:$AJ,35,0),"")</f>
        <v>融</v>
      </c>
      <c r="K610" s="5">
        <f>IFERROR(VLOOKUP($G610,今日總結!$A:$AJ,36,0),"")</f>
        <v>0</v>
      </c>
      <c r="L610" s="156">
        <f>IFERROR(VLOOKUP($G610,今日總結!$A:$AJ,33,0),"")</f>
        <v>1</v>
      </c>
      <c r="M610" s="340">
        <f>IFERROR(VLOOKUP($G610,今日總結!$A:$AJ,34,0),"")</f>
        <v>0</v>
      </c>
      <c r="N610" s="240">
        <f t="shared" si="133"/>
        <v>1</v>
      </c>
      <c r="P610" s="365">
        <f>IFERROR(VLOOKUP($G610,融外自投!$A:$J,7,0),"無")</f>
        <v>597</v>
      </c>
      <c r="Q610" s="79">
        <f>IFERROR(VLOOKUP($G610,融外自投!$A:$J,9,0),"無")</f>
        <v>936</v>
      </c>
      <c r="R610" s="346">
        <f>IFERROR(VLOOKUP($G610,融外自投!$A:$J,8,0),"無")</f>
        <v>805</v>
      </c>
      <c r="S610" s="81">
        <f>IFERROR(VLOOKUP($G610,融外自投!$A:$J,10,0),"無")</f>
        <v>491</v>
      </c>
      <c r="T610" s="327">
        <f>IFERROR(VLOOKUP($G610,'321買'!$A:$E,5,0),"'沒有資料'")</f>
        <v>1085</v>
      </c>
      <c r="U610" s="186">
        <f>IFERROR(VLOOKUP($G610,基本資料!$A:$J,9,0),"無")</f>
        <v>0</v>
      </c>
      <c r="V610" s="310">
        <f t="shared" si="128"/>
        <v>0</v>
      </c>
      <c r="W610" s="94">
        <f>IFERROR(VLOOKUP($G610,基本資料!$A:$J,10,0),"無")</f>
        <v>-4.2</v>
      </c>
      <c r="X610" s="36">
        <f>RTD("money.excel",,"4991","Price")</f>
        <v>36.75</v>
      </c>
      <c r="Y610" s="66"/>
      <c r="Z610" s="15">
        <f t="shared" si="129"/>
        <v>36.75</v>
      </c>
      <c r="AA610" s="3" t="e">
        <f t="shared" si="130"/>
        <v>#DIV/0!</v>
      </c>
      <c r="AB610" s="344">
        <f>IFERROR(VLOOKUP($G610,基本資料!$A:$M,11,0),"無")</f>
        <v>-32.57</v>
      </c>
      <c r="AC610" s="397">
        <f>IFERROR(VLOOKUP($G610,基本資料!$A:$M,12,0),"無")</f>
        <v>5.29</v>
      </c>
      <c r="AD610" s="16" t="s">
        <v>177</v>
      </c>
      <c r="AG610" s="33">
        <f t="shared" si="131"/>
        <v>0</v>
      </c>
      <c r="AH610" s="119" t="s">
        <v>1797</v>
      </c>
      <c r="AI610" s="63">
        <f t="shared" si="132"/>
        <v>5.4054054054054055E-4</v>
      </c>
      <c r="AJ610" s="284">
        <f>RTD("money.excel",,$G610,"PredictVolume")</f>
        <v>60</v>
      </c>
      <c r="AK610" s="399">
        <f>IFERROR(VLOOKUP($G610,基本資料!$A:$M,13,0),"無")</f>
        <v>10.88</v>
      </c>
    </row>
    <row r="611" spans="1:37">
      <c r="A611" s="347">
        <f>IFERROR(VLOOKUP($G611,基本資料!$A:$J,3,0),"無")</f>
        <v>6.78</v>
      </c>
      <c r="B611" s="79">
        <f>IFERROR(VLOOKUP($G611,基本資料!$A:$J,4,0),"無")</f>
        <v>50</v>
      </c>
      <c r="C611" s="79">
        <f>IFERROR(VLOOKUP($G611,基本資料!$A:$J,5,0),"無")</f>
        <v>51</v>
      </c>
      <c r="D611" s="79">
        <f>IFERROR(VLOOKUP($G611,基本資料!$A:$J,6,0),"無")</f>
        <v>36</v>
      </c>
      <c r="E611" s="79">
        <f>IFERROR(VLOOKUP($G611,基本資料!$A:$J,7,0),"無")</f>
        <v>4</v>
      </c>
      <c r="F611" s="6">
        <f>IFERROR(VLOOKUP($G611,基本資料!$A:$J,8,0),"無")</f>
        <v>34.07</v>
      </c>
      <c r="G611" s="79">
        <v>5222</v>
      </c>
      <c r="H611" s="8" t="s">
        <v>3039</v>
      </c>
      <c r="I611" s="22" t="s">
        <v>3489</v>
      </c>
      <c r="J611" s="8" t="str">
        <f>IFERROR(VLOOKUP($G611,今日總結!$A:$AJ,35,0),"")</f>
        <v/>
      </c>
      <c r="K611" s="5" t="str">
        <f>IFERROR(VLOOKUP($G611,今日總結!$A:$AJ,36,0),"")</f>
        <v/>
      </c>
      <c r="L611" s="156" t="str">
        <f>IFERROR(VLOOKUP($G611,今日總結!$A:$AJ,33,0),"")</f>
        <v/>
      </c>
      <c r="M611" s="340" t="str">
        <f>IFERROR(VLOOKUP($G611,今日總結!$A:$AJ,34,0),"")</f>
        <v/>
      </c>
      <c r="N611" s="240" t="str">
        <f t="shared" si="133"/>
        <v/>
      </c>
      <c r="P611" s="365">
        <f>IFERROR(VLOOKUP($G611,融外自投!$A:$J,7,0),"無")</f>
        <v>1448</v>
      </c>
      <c r="Q611" s="79">
        <f>IFERROR(VLOOKUP($G611,融外自投!$A:$J,9,0),"無")</f>
        <v>67</v>
      </c>
      <c r="R611" s="346">
        <f>IFERROR(VLOOKUP($G611,融外自投!$A:$J,8,0),"無")</f>
        <v>901</v>
      </c>
      <c r="S611" s="81">
        <f>IFERROR(VLOOKUP($G611,融外自投!$A:$J,10,0),"無")</f>
        <v>437</v>
      </c>
      <c r="T611" s="327">
        <f>IFERROR(VLOOKUP($G611,'321買'!$A:$E,5,0),"'沒有資料'")</f>
        <v>894</v>
      </c>
      <c r="U611" s="186">
        <f>IFERROR(VLOOKUP($G611,基本資料!$A:$J,9,0),"無")</f>
        <v>3.5</v>
      </c>
      <c r="V611" s="310">
        <f t="shared" si="128"/>
        <v>2.8806584362139918E-2</v>
      </c>
      <c r="W611" s="94">
        <f>IFERROR(VLOOKUP($G611,基本資料!$A:$J,10,0),"無")</f>
        <v>4.04</v>
      </c>
      <c r="X611" s="36">
        <f>RTD("money.excel",,"5222","Price")</f>
        <v>121.5</v>
      </c>
      <c r="Y611" s="66"/>
      <c r="Z611" s="15">
        <f t="shared" si="129"/>
        <v>121.5</v>
      </c>
      <c r="AA611" s="3" t="e">
        <f t="shared" si="130"/>
        <v>#DIV/0!</v>
      </c>
      <c r="AB611" s="344" t="str">
        <f>IFERROR(VLOOKUP($G611,基本資料!$A:$M,11,0),"無")</f>
        <v>無</v>
      </c>
      <c r="AC611" s="397" t="str">
        <f>IFERROR(VLOOKUP($G611,基本資料!$A:$M,12,0),"無")</f>
        <v>無</v>
      </c>
      <c r="AD611" s="22" t="s">
        <v>3489</v>
      </c>
      <c r="AG611" s="33">
        <f t="shared" si="131"/>
        <v>0</v>
      </c>
      <c r="AH611" s="43" t="s">
        <v>3491</v>
      </c>
      <c r="AI611" s="63">
        <f t="shared" si="132"/>
        <v>2.5811209439528023E-3</v>
      </c>
      <c r="AJ611" s="284">
        <f>RTD("money.excel",,$G611,"PredictVolume")</f>
        <v>175</v>
      </c>
      <c r="AK611" s="399" t="str">
        <f>IFERROR(VLOOKUP($G611,基本資料!$A:$M,13,0),"無")</f>
        <v>無</v>
      </c>
    </row>
    <row r="612" spans="1:37">
      <c r="A612" s="347">
        <f>IFERROR(VLOOKUP($G612,基本資料!$A:$J,3,0),"無")</f>
        <v>5.85</v>
      </c>
      <c r="B612" s="79">
        <f>IFERROR(VLOOKUP($G612,基本資料!$A:$J,4,0),"無")</f>
        <v>35</v>
      </c>
      <c r="C612" s="79">
        <f>IFERROR(VLOOKUP($G612,基本資料!$A:$J,5,0),"無")</f>
        <v>34</v>
      </c>
      <c r="D612" s="79">
        <f>IFERROR(VLOOKUP($G612,基本資料!$A:$J,6,0),"無")</f>
        <v>-8</v>
      </c>
      <c r="E612" s="79">
        <f>IFERROR(VLOOKUP($G612,基本資料!$A:$J,7,0),"無")</f>
        <v>-17</v>
      </c>
      <c r="F612" s="6">
        <f>IFERROR(VLOOKUP($G612,基本資料!$A:$J,8,0),"無")</f>
        <v>33.83</v>
      </c>
      <c r="G612" s="79">
        <v>5236</v>
      </c>
      <c r="H612" s="145" t="s">
        <v>3039</v>
      </c>
      <c r="I612" s="16" t="s">
        <v>3384</v>
      </c>
      <c r="J612" s="8" t="str">
        <f>IFERROR(VLOOKUP($G612,今日總結!$A:$AJ,35,0),"")</f>
        <v/>
      </c>
      <c r="K612" s="5" t="str">
        <f>IFERROR(VLOOKUP($G612,今日總結!$A:$AJ,36,0),"")</f>
        <v/>
      </c>
      <c r="L612" s="156" t="str">
        <f>IFERROR(VLOOKUP($G612,今日總結!$A:$AJ,33,0),"")</f>
        <v/>
      </c>
      <c r="M612" s="340" t="str">
        <f>IFERROR(VLOOKUP($G612,今日總結!$A:$AJ,34,0),"")</f>
        <v/>
      </c>
      <c r="N612" s="240" t="str">
        <f t="shared" si="133"/>
        <v/>
      </c>
      <c r="P612" s="365">
        <f>IFERROR(VLOOKUP($G612,融外自投!$A:$J,7,0),"無")</f>
        <v>1096</v>
      </c>
      <c r="Q612" s="79">
        <f>IFERROR(VLOOKUP($G612,融外自投!$A:$J,9,0),"無")</f>
        <v>824</v>
      </c>
      <c r="R612" s="346">
        <f>IFERROR(VLOOKUP($G612,融外自投!$A:$J,8,0),"無")</f>
        <v>923</v>
      </c>
      <c r="S612" s="81" t="str">
        <f>IFERROR(VLOOKUP($G612,融外自投!$A:$J,10,0),"無")</f>
        <v>無</v>
      </c>
      <c r="T612" s="327">
        <f>IFERROR(VLOOKUP($G612,'321買'!$A:$E,5,0),"'沒有資料'")</f>
        <v>1281</v>
      </c>
      <c r="U612" s="186">
        <f>IFERROR(VLOOKUP($G612,基本資料!$A:$J,9,0),"無")</f>
        <v>10</v>
      </c>
      <c r="V612" s="310">
        <f t="shared" si="128"/>
        <v>8.6580086580086577E-2</v>
      </c>
      <c r="W612" s="94">
        <f>IFERROR(VLOOKUP($G612,基本資料!$A:$J,10,0),"無")</f>
        <v>11.83</v>
      </c>
      <c r="X612" s="36">
        <f>RTD("money.excel",,"5236","Price")</f>
        <v>115.5</v>
      </c>
      <c r="Y612" s="66"/>
      <c r="Z612" s="15">
        <f t="shared" si="129"/>
        <v>115.5</v>
      </c>
      <c r="AA612" s="3" t="e">
        <f t="shared" si="130"/>
        <v>#DIV/0!</v>
      </c>
      <c r="AB612" s="344" t="str">
        <f>IFERROR(VLOOKUP($G612,基本資料!$A:$M,11,0),"無")</f>
        <v>無</v>
      </c>
      <c r="AC612" s="397" t="str">
        <f>IFERROR(VLOOKUP($G612,基本資料!$A:$M,12,0),"無")</f>
        <v>無</v>
      </c>
      <c r="AD612" s="16" t="s">
        <v>3384</v>
      </c>
      <c r="AG612" s="33">
        <f t="shared" si="131"/>
        <v>0</v>
      </c>
      <c r="AH612" s="43" t="s">
        <v>3385</v>
      </c>
      <c r="AI612" s="63">
        <f t="shared" si="132"/>
        <v>1.7948717948717949E-3</v>
      </c>
      <c r="AJ612" s="284">
        <f>RTD("money.excel",,$G612,"PredictVolume")</f>
        <v>105</v>
      </c>
      <c r="AK612" s="399" t="str">
        <f>IFERROR(VLOOKUP($G612,基本資料!$A:$M,13,0),"無")</f>
        <v>無</v>
      </c>
    </row>
    <row r="613" spans="1:37">
      <c r="A613" s="347">
        <f>IFERROR(VLOOKUP($G613,基本資料!$A:$J,3,0),"無")</f>
        <v>6.92</v>
      </c>
      <c r="B613" s="79">
        <f>IFERROR(VLOOKUP($G613,基本資料!$A:$J,4,0),"無")</f>
        <v>9</v>
      </c>
      <c r="C613" s="79">
        <f>IFERROR(VLOOKUP($G613,基本資料!$A:$J,5,0),"無")</f>
        <v>-21</v>
      </c>
      <c r="D613" s="79">
        <f>IFERROR(VLOOKUP($G613,基本資料!$A:$J,6,0),"無")</f>
        <v>20</v>
      </c>
      <c r="E613" s="79">
        <f>IFERROR(VLOOKUP($G613,基本資料!$A:$J,7,0),"無")</f>
        <v>-5</v>
      </c>
      <c r="F613" s="6">
        <f>IFERROR(VLOOKUP($G613,基本資料!$A:$J,8,0),"無")</f>
        <v>32.25</v>
      </c>
      <c r="G613" s="79">
        <v>5269</v>
      </c>
      <c r="H613" s="8" t="s">
        <v>3039</v>
      </c>
      <c r="I613" s="22" t="s">
        <v>53</v>
      </c>
      <c r="J613" s="8">
        <f>IFERROR(VLOOKUP($G613,今日總結!$A:$AJ,35,0),"")</f>
        <v>0</v>
      </c>
      <c r="K613" s="5" t="str">
        <f>IFERROR(VLOOKUP($G613,今日總結!$A:$AJ,36,0),"")</f>
        <v>投</v>
      </c>
      <c r="L613" s="156">
        <f>IFERROR(VLOOKUP($G613,今日總結!$A:$AJ,33,0),"")</f>
        <v>0</v>
      </c>
      <c r="M613" s="340">
        <f>IFERROR(VLOOKUP($G613,今日總結!$A:$AJ,34,0),"")</f>
        <v>1</v>
      </c>
      <c r="N613" s="240">
        <f t="shared" si="133"/>
        <v>-1</v>
      </c>
      <c r="P613" s="365">
        <f>IFERROR(VLOOKUP($G613,融外自投!$A:$J,7,0),"無")</f>
        <v>944</v>
      </c>
      <c r="Q613" s="79">
        <f>IFERROR(VLOOKUP($G613,融外自投!$A:$J,9,0),"無")</f>
        <v>171</v>
      </c>
      <c r="R613" s="346">
        <f>IFERROR(VLOOKUP($G613,融外自投!$A:$J,8,0),"無")</f>
        <v>237</v>
      </c>
      <c r="S613" s="81">
        <f>IFERROR(VLOOKUP($G613,融外自投!$A:$J,10,0),"無")</f>
        <v>137</v>
      </c>
      <c r="T613" s="327">
        <f>IFERROR(VLOOKUP($G613,'321買'!$A:$E,5,0),"'沒有資料'")</f>
        <v>110</v>
      </c>
      <c r="U613" s="186">
        <f>IFERROR(VLOOKUP($G613,基本資料!$A:$J,9,0),"無")</f>
        <v>26</v>
      </c>
      <c r="V613" s="310">
        <f t="shared" si="128"/>
        <v>1.890909090909091E-2</v>
      </c>
      <c r="W613" s="94">
        <f>IFERROR(VLOOKUP($G613,基本資料!$A:$J,10,0),"無")</f>
        <v>46.23</v>
      </c>
      <c r="X613" s="36">
        <f>RTD("money.excel",,"5269","Price")</f>
        <v>1375</v>
      </c>
      <c r="Y613" s="66"/>
      <c r="Z613" s="137">
        <f t="shared" si="129"/>
        <v>1375</v>
      </c>
      <c r="AA613" s="35" t="e">
        <f t="shared" si="130"/>
        <v>#DIV/0!</v>
      </c>
      <c r="AB613" s="344">
        <f>IFERROR(VLOOKUP($G613,基本資料!$A:$M,11,0),"無")</f>
        <v>-47.05</v>
      </c>
      <c r="AC613" s="397">
        <f>IFERROR(VLOOKUP($G613,基本資料!$A:$M,12,0),"無")</f>
        <v>15.58</v>
      </c>
      <c r="AD613" s="22" t="s">
        <v>53</v>
      </c>
      <c r="AG613" s="33">
        <f t="shared" si="131"/>
        <v>0</v>
      </c>
      <c r="AH613" s="117" t="s">
        <v>2057</v>
      </c>
      <c r="AI613" s="63">
        <f t="shared" si="132"/>
        <v>9.2774566473988445E-3</v>
      </c>
      <c r="AJ613" s="284">
        <f>RTD("money.excel",,$G613,"PredictVolume")</f>
        <v>642</v>
      </c>
      <c r="AK613" s="399">
        <f>IFERROR(VLOOKUP($G613,基本資料!$A:$M,13,0),"無")</f>
        <v>5.14</v>
      </c>
    </row>
    <row r="614" spans="1:37">
      <c r="A614" s="347">
        <f>IFERROR(VLOOKUP($G614,基本資料!$A:$J,3,0),"無")</f>
        <v>5.59</v>
      </c>
      <c r="B614" s="79">
        <f>IFERROR(VLOOKUP($G614,基本資料!$A:$J,4,0),"無")</f>
        <v>257</v>
      </c>
      <c r="C614" s="79">
        <f>IFERROR(VLOOKUP($G614,基本資料!$A:$J,5,0),"無")</f>
        <v>204</v>
      </c>
      <c r="D614" s="79">
        <f>IFERROR(VLOOKUP($G614,基本資料!$A:$J,6,0),"無")</f>
        <v>0</v>
      </c>
      <c r="E614" s="79">
        <f>IFERROR(VLOOKUP($G614,基本資料!$A:$J,7,0),"無")</f>
        <v>19</v>
      </c>
      <c r="F614" s="6">
        <f>IFERROR(VLOOKUP($G614,基本資料!$A:$J,8,0),"無")</f>
        <v>7.18</v>
      </c>
      <c r="G614" s="79">
        <v>5272</v>
      </c>
      <c r="H614" s="145" t="s">
        <v>3039</v>
      </c>
      <c r="I614" s="16" t="s">
        <v>4056</v>
      </c>
      <c r="J614" s="8" t="str">
        <f>IFERROR(VLOOKUP($G614,今日總結!$A:$AJ,35,0),"")</f>
        <v/>
      </c>
      <c r="K614" s="5" t="str">
        <f>IFERROR(VLOOKUP($G614,今日總結!$A:$AJ,36,0),"")</f>
        <v/>
      </c>
      <c r="L614" s="156" t="str">
        <f>IFERROR(VLOOKUP($G614,今日總結!$A:$AJ,33,0),"")</f>
        <v/>
      </c>
      <c r="M614" s="340" t="str">
        <f>IFERROR(VLOOKUP($G614,今日總結!$A:$AJ,34,0),"")</f>
        <v/>
      </c>
      <c r="N614" s="240" t="str">
        <f t="shared" si="133"/>
        <v/>
      </c>
      <c r="P614" s="365">
        <f>IFERROR(VLOOKUP($G614,融外自投!$A:$J,7,0),"無")</f>
        <v>401</v>
      </c>
      <c r="Q614" s="79">
        <f>IFERROR(VLOOKUP($G614,融外自投!$A:$J,9,0),"無")</f>
        <v>824</v>
      </c>
      <c r="R614" s="346">
        <f>IFERROR(VLOOKUP($G614,融外自投!$A:$J,8,0),"無")</f>
        <v>799</v>
      </c>
      <c r="S614" s="81" t="str">
        <f>IFERROR(VLOOKUP($G614,融外自投!$A:$J,10,0),"無")</f>
        <v>無</v>
      </c>
      <c r="T614" s="327">
        <f>IFERROR(VLOOKUP($G614,'321買'!$A:$E,5,0),"'沒有資料'")</f>
        <v>729</v>
      </c>
      <c r="U614" s="186">
        <f>IFERROR(VLOOKUP($G614,基本資料!$A:$J,9,0),"無")</f>
        <v>0.86</v>
      </c>
      <c r="V614" s="310">
        <f t="shared" si="128"/>
        <v>2.6299694189602443E-2</v>
      </c>
      <c r="W614" s="94">
        <f>IFERROR(VLOOKUP($G614,基本資料!$A:$J,10,0),"無")</f>
        <v>0.96</v>
      </c>
      <c r="X614" s="36">
        <f>RTD("money.excel",,"5272","Price")</f>
        <v>32.700000000000003</v>
      </c>
      <c r="Y614" s="66"/>
      <c r="Z614" s="15">
        <f t="shared" si="129"/>
        <v>32.700000000000003</v>
      </c>
      <c r="AA614" s="3" t="e">
        <f t="shared" si="130"/>
        <v>#DIV/0!</v>
      </c>
      <c r="AB614" s="344">
        <f>IFERROR(VLOOKUP($G614,基本資料!$A:$M,11,0),"無")</f>
        <v>-30.84</v>
      </c>
      <c r="AC614" s="397">
        <f>IFERROR(VLOOKUP($G614,基本資料!$A:$M,12,0),"無")</f>
        <v>26.91</v>
      </c>
      <c r="AD614" s="16" t="s">
        <v>4056</v>
      </c>
      <c r="AG614" s="33">
        <f t="shared" si="131"/>
        <v>0</v>
      </c>
      <c r="AH614" s="43" t="s">
        <v>2235</v>
      </c>
      <c r="AI614" s="63">
        <f t="shared" si="132"/>
        <v>1.8533094812164579E-2</v>
      </c>
      <c r="AJ614" s="284">
        <f>RTD("money.excel",,$G614,"PredictVolume")</f>
        <v>1036</v>
      </c>
      <c r="AK614" s="399">
        <f>IFERROR(VLOOKUP($G614,基本資料!$A:$M,13,0),"無")</f>
        <v>55.69</v>
      </c>
    </row>
    <row r="615" spans="1:37">
      <c r="A615" s="347">
        <f>IFERROR(VLOOKUP($G615,基本資料!$A:$J,3,0),"無")</f>
        <v>3.43</v>
      </c>
      <c r="B615" s="79">
        <f>IFERROR(VLOOKUP($G615,基本資料!$A:$J,4,0),"無")</f>
        <v>30</v>
      </c>
      <c r="C615" s="79">
        <f>IFERROR(VLOOKUP($G615,基本資料!$A:$J,5,0),"無")</f>
        <v>30</v>
      </c>
      <c r="D615" s="79">
        <f>IFERROR(VLOOKUP($G615,基本資料!$A:$J,6,0),"無")</f>
        <v>4</v>
      </c>
      <c r="E615" s="79">
        <f>IFERROR(VLOOKUP($G615,基本資料!$A:$J,7,0),"無")</f>
        <v>60</v>
      </c>
      <c r="F615" s="6">
        <f>IFERROR(VLOOKUP($G615,基本資料!$A:$J,8,0),"無")</f>
        <v>45.42</v>
      </c>
      <c r="G615" s="79">
        <v>5274</v>
      </c>
      <c r="H615" s="145" t="s">
        <v>3039</v>
      </c>
      <c r="I615" s="16" t="s">
        <v>217</v>
      </c>
      <c r="J615" s="8" t="str">
        <f>IFERROR(VLOOKUP($G615,今日總結!$A:$AJ,35,0),"")</f>
        <v>融</v>
      </c>
      <c r="K615" s="5" t="str">
        <f>IFERROR(VLOOKUP($G615,今日總結!$A:$AJ,36,0),"")</f>
        <v>外</v>
      </c>
      <c r="L615" s="156">
        <f>IFERROR(VLOOKUP($G615,今日總結!$A:$AJ,33,0),"")</f>
        <v>1</v>
      </c>
      <c r="M615" s="340">
        <f>IFERROR(VLOOKUP($G615,今日總結!$A:$AJ,34,0),"")</f>
        <v>2</v>
      </c>
      <c r="N615" s="240">
        <f t="shared" si="133"/>
        <v>-1</v>
      </c>
      <c r="P615" s="365">
        <f>IFERROR(VLOOKUP($G615,融外自投!$A:$J,7,0),"無")</f>
        <v>1164</v>
      </c>
      <c r="Q615" s="79">
        <f>IFERROR(VLOOKUP($G615,融外自投!$A:$J,9,0),"無")</f>
        <v>571</v>
      </c>
      <c r="R615" s="346">
        <f>IFERROR(VLOOKUP($G615,融外自投!$A:$J,8,0),"無")</f>
        <v>47</v>
      </c>
      <c r="S615" s="81">
        <f>IFERROR(VLOOKUP($G615,融外自投!$A:$J,10,0),"無")</f>
        <v>26</v>
      </c>
      <c r="T615" s="327">
        <f>IFERROR(VLOOKUP($G615,'321買'!$A:$E,5,0),"'沒有資料'")</f>
        <v>403</v>
      </c>
      <c r="U615" s="186">
        <f>IFERROR(VLOOKUP($G615,基本資料!$A:$J,9,0),"無")</f>
        <v>36</v>
      </c>
      <c r="V615" s="310">
        <f t="shared" si="128"/>
        <v>1.4814814814814815E-2</v>
      </c>
      <c r="W615" s="94">
        <f>IFERROR(VLOOKUP($G615,基本資料!$A:$J,10,0),"無")</f>
        <v>38.299999999999997</v>
      </c>
      <c r="X615" s="372">
        <f>RTD("money.excel",,"5274","Price")</f>
        <v>2430</v>
      </c>
      <c r="Y615" s="66"/>
      <c r="Z615" s="137">
        <f t="shared" si="129"/>
        <v>2430</v>
      </c>
      <c r="AA615" s="3" t="e">
        <f t="shared" si="130"/>
        <v>#DIV/0!</v>
      </c>
      <c r="AB615" s="344">
        <f>IFERROR(VLOOKUP($G615,基本資料!$A:$M,11,0),"無")</f>
        <v>-33.880000000000003</v>
      </c>
      <c r="AC615" s="397">
        <f>IFERROR(VLOOKUP($G615,基本資料!$A:$M,12,0),"無")</f>
        <v>31.41</v>
      </c>
      <c r="AD615" s="16" t="s">
        <v>217</v>
      </c>
      <c r="AG615" s="33">
        <f t="shared" si="131"/>
        <v>0</v>
      </c>
      <c r="AH615" s="117" t="s">
        <v>2358</v>
      </c>
      <c r="AI615" s="63">
        <f t="shared" si="132"/>
        <v>1.6443148688046649E-2</v>
      </c>
      <c r="AJ615" s="284">
        <f>RTD("money.excel",,$G615,"PredictVolume")</f>
        <v>564</v>
      </c>
      <c r="AK615" s="399">
        <f>IFERROR(VLOOKUP($G615,基本資料!$A:$M,13,0),"無")</f>
        <v>2.2799999999999998</v>
      </c>
    </row>
    <row r="616" spans="1:37">
      <c r="A616" s="347">
        <f>IFERROR(VLOOKUP($G616,基本資料!$A:$J,3,0),"無")</f>
        <v>10.199999999999999</v>
      </c>
      <c r="B616" s="79">
        <f>IFERROR(VLOOKUP($G616,基本資料!$A:$J,4,0),"無")</f>
        <v>263</v>
      </c>
      <c r="C616" s="79">
        <f>IFERROR(VLOOKUP($G616,基本資料!$A:$J,5,0),"無")</f>
        <v>173</v>
      </c>
      <c r="D616" s="79">
        <f>IFERROR(VLOOKUP($G616,基本資料!$A:$J,6,0),"無")</f>
        <v>0</v>
      </c>
      <c r="E616" s="79">
        <f>IFERROR(VLOOKUP($G616,基本資料!$A:$J,7,0),"無")</f>
        <v>-4</v>
      </c>
      <c r="F616" s="6">
        <f>IFERROR(VLOOKUP($G616,基本資料!$A:$J,8,0),"無")</f>
        <v>9.73</v>
      </c>
      <c r="G616" s="79">
        <v>5285</v>
      </c>
      <c r="H616" s="8" t="s">
        <v>3039</v>
      </c>
      <c r="I616" s="22" t="s">
        <v>351</v>
      </c>
      <c r="J616" s="8" t="str">
        <f>IFERROR(VLOOKUP($G616,今日總結!$A:$AJ,35,0),"")</f>
        <v/>
      </c>
      <c r="K616" s="5" t="str">
        <f>IFERROR(VLOOKUP($G616,今日總結!$A:$AJ,36,0),"")</f>
        <v/>
      </c>
      <c r="L616" s="156" t="str">
        <f>IFERROR(VLOOKUP($G616,今日總結!$A:$AJ,33,0),"")</f>
        <v/>
      </c>
      <c r="M616" s="340" t="str">
        <f>IFERROR(VLOOKUP($G616,今日總結!$A:$AJ,34,0),"")</f>
        <v/>
      </c>
      <c r="N616" s="240" t="str">
        <f t="shared" si="133"/>
        <v/>
      </c>
      <c r="P616" s="365">
        <f>IFERROR(VLOOKUP($G616,融外自投!$A:$J,7,0),"無")</f>
        <v>253</v>
      </c>
      <c r="Q616" s="79">
        <f>IFERROR(VLOOKUP($G616,融外自投!$A:$J,9,0),"無")</f>
        <v>229</v>
      </c>
      <c r="R616" s="346">
        <f>IFERROR(VLOOKUP($G616,融外自投!$A:$J,8,0),"無")</f>
        <v>990</v>
      </c>
      <c r="S616" s="81" t="str">
        <f>IFERROR(VLOOKUP($G616,融外自投!$A:$J,10,0),"無")</f>
        <v>無</v>
      </c>
      <c r="T616" s="327">
        <f>IFERROR(VLOOKUP($G616,'321買'!$A:$E,5,0),"'沒有資料'")</f>
        <v>403</v>
      </c>
      <c r="U616" s="186">
        <f>IFERROR(VLOOKUP($G616,基本資料!$A:$J,9,0),"無")</f>
        <v>4</v>
      </c>
      <c r="V616" s="310">
        <f t="shared" si="128"/>
        <v>4.9321824907521579E-2</v>
      </c>
      <c r="W616" s="94">
        <f>IFERROR(VLOOKUP($G616,基本資料!$A:$J,10,0),"無")</f>
        <v>4.82</v>
      </c>
      <c r="X616" s="36">
        <f>RTD("money.excel",,"5285","Price")</f>
        <v>81.099999999999994</v>
      </c>
      <c r="Y616" s="66"/>
      <c r="Z616" s="15">
        <f>X616-Y616</f>
        <v>81.099999999999994</v>
      </c>
      <c r="AA616" s="3" t="e">
        <f>Z616/Y616</f>
        <v>#DIV/0!</v>
      </c>
      <c r="AB616" s="344">
        <f>IFERROR(VLOOKUP($G616,基本資料!$A:$M,11,0),"無")</f>
        <v>-42.44</v>
      </c>
      <c r="AC616" s="397">
        <f>IFERROR(VLOOKUP($G616,基本資料!$A:$M,12,0),"無")</f>
        <v>19.03</v>
      </c>
      <c r="AD616" s="22" t="s">
        <v>351</v>
      </c>
      <c r="AG616" s="33">
        <f>AF616-AE616</f>
        <v>0</v>
      </c>
      <c r="AH616" s="43" t="s">
        <v>3019</v>
      </c>
      <c r="AI616" s="63">
        <f t="shared" si="132"/>
        <v>4.4705882352941177E-3</v>
      </c>
      <c r="AJ616" s="284">
        <f>RTD("money.excel",,$G616,"PredictVolume")</f>
        <v>456</v>
      </c>
      <c r="AK616" s="399">
        <f>IFERROR(VLOOKUP($G616,基本資料!$A:$M,13,0),"無")</f>
        <v>24.47</v>
      </c>
    </row>
    <row r="617" spans="1:37">
      <c r="A617" s="347">
        <f>IFERROR(VLOOKUP($G617,基本資料!$A:$J,3,0),"無")</f>
        <v>3.58</v>
      </c>
      <c r="B617" s="79">
        <f>IFERROR(VLOOKUP($G617,基本資料!$A:$J,4,0),"無")</f>
        <v>92</v>
      </c>
      <c r="C617" s="79">
        <f>IFERROR(VLOOKUP($G617,基本資料!$A:$J,5,0),"無")</f>
        <v>81</v>
      </c>
      <c r="D617" s="79">
        <f>IFERROR(VLOOKUP($G617,基本資料!$A:$J,6,0),"無")</f>
        <v>1</v>
      </c>
      <c r="E617" s="79">
        <f>IFERROR(VLOOKUP($G617,基本資料!$A:$J,7,0),"無")</f>
        <v>14</v>
      </c>
      <c r="F617" s="6">
        <f>IFERROR(VLOOKUP($G617,基本資料!$A:$J,8,0),"無")</f>
        <v>28.1</v>
      </c>
      <c r="G617" s="79">
        <v>5299</v>
      </c>
      <c r="H617" s="145" t="s">
        <v>3039</v>
      </c>
      <c r="I617" s="16" t="s">
        <v>316</v>
      </c>
      <c r="J617" s="8" t="str">
        <f>IFERROR(VLOOKUP($G617,今日總結!$A:$AJ,35,0),"")</f>
        <v/>
      </c>
      <c r="K617" s="5" t="str">
        <f>IFERROR(VLOOKUP($G617,今日總結!$A:$AJ,36,0),"")</f>
        <v/>
      </c>
      <c r="L617" s="156" t="str">
        <f>IFERROR(VLOOKUP($G617,今日總結!$A:$AJ,33,0),"")</f>
        <v/>
      </c>
      <c r="M617" s="340" t="str">
        <f>IFERROR(VLOOKUP($G617,今日總結!$A:$AJ,34,0),"")</f>
        <v/>
      </c>
      <c r="N617" s="240" t="str">
        <f t="shared" si="133"/>
        <v/>
      </c>
      <c r="P617" s="365">
        <f>IFERROR(VLOOKUP($G617,融外自投!$A:$J,7,0),"無")</f>
        <v>125</v>
      </c>
      <c r="Q617" s="79">
        <f>IFERROR(VLOOKUP($G617,融外自投!$A:$J,9,0),"無")</f>
        <v>474</v>
      </c>
      <c r="R617" s="346">
        <f>IFERROR(VLOOKUP($G617,融外自投!$A:$J,8,0),"無")</f>
        <v>1073</v>
      </c>
      <c r="S617" s="81" t="str">
        <f>IFERROR(VLOOKUP($G617,融外自投!$A:$J,10,0),"無")</f>
        <v>無</v>
      </c>
      <c r="T617" s="327">
        <f>IFERROR(VLOOKUP($G617,'321買'!$A:$E,5,0),"'沒有資料'")</f>
        <v>357</v>
      </c>
      <c r="U617" s="186">
        <f>IFERROR(VLOOKUP($G617,基本資料!$A:$J,9,0),"無")</f>
        <v>11.6</v>
      </c>
      <c r="V617" s="310">
        <f t="shared" si="128"/>
        <v>6.4265927977839338E-2</v>
      </c>
      <c r="W617" s="94">
        <f>IFERROR(VLOOKUP($G617,基本資料!$A:$J,10,0),"無")</f>
        <v>17.68</v>
      </c>
      <c r="X617" s="36">
        <f>RTD("money.excel",,"5299","Price")</f>
        <v>180.5</v>
      </c>
      <c r="Y617" s="66"/>
      <c r="Z617" s="15">
        <f t="shared" si="129"/>
        <v>180.5</v>
      </c>
      <c r="AA617" s="3" t="e">
        <f t="shared" si="130"/>
        <v>#DIV/0!</v>
      </c>
      <c r="AB617" s="344">
        <f>IFERROR(VLOOKUP($G617,基本資料!$A:$M,11,0),"無")</f>
        <v>-33.21</v>
      </c>
      <c r="AC617" s="397">
        <f>IFERROR(VLOOKUP($G617,基本資料!$A:$M,12,0),"無")</f>
        <v>35.71</v>
      </c>
      <c r="AD617" s="16" t="s">
        <v>316</v>
      </c>
      <c r="AG617" s="33">
        <f t="shared" si="131"/>
        <v>0</v>
      </c>
      <c r="AH617" s="43" t="s">
        <v>2379</v>
      </c>
      <c r="AI617" s="63">
        <f t="shared" si="132"/>
        <v>6.9273743016759776E-3</v>
      </c>
      <c r="AJ617" s="284">
        <f>RTD("money.excel",,$G617,"PredictVolume")</f>
        <v>248</v>
      </c>
      <c r="AK617" s="399">
        <f>IFERROR(VLOOKUP($G617,基本資料!$A:$M,13,0),"無")</f>
        <v>24.33</v>
      </c>
    </row>
    <row r="618" spans="1:37">
      <c r="A618" s="347">
        <f>IFERROR(VLOOKUP($G618,基本資料!$A:$J,3,0),"無")</f>
        <v>15.98</v>
      </c>
      <c r="B618" s="79">
        <f>IFERROR(VLOOKUP($G618,基本資料!$A:$J,4,0),"無")</f>
        <v>26</v>
      </c>
      <c r="C618" s="79">
        <f>IFERROR(VLOOKUP($G618,基本資料!$A:$J,5,0),"無")</f>
        <v>17</v>
      </c>
      <c r="D618" s="79">
        <f>IFERROR(VLOOKUP($G618,基本資料!$A:$J,6,0),"無")</f>
        <v>70</v>
      </c>
      <c r="E618" s="79">
        <f>IFERROR(VLOOKUP($G618,基本資料!$A:$J,7,0),"無")</f>
        <v>-81</v>
      </c>
      <c r="F618" s="6">
        <f>IFERROR(VLOOKUP($G618,基本資料!$A:$J,8,0),"無")</f>
        <v>-213.02</v>
      </c>
      <c r="G618" s="79">
        <v>5302</v>
      </c>
      <c r="H618" s="145" t="s">
        <v>3039</v>
      </c>
      <c r="I618" s="16" t="s">
        <v>368</v>
      </c>
      <c r="J618" s="8" t="str">
        <f>IFERROR(VLOOKUP($G618,今日總結!$A:$AJ,35,0),"")</f>
        <v/>
      </c>
      <c r="K618" s="5" t="str">
        <f>IFERROR(VLOOKUP($G618,今日總結!$A:$AJ,36,0),"")</f>
        <v/>
      </c>
      <c r="L618" s="156" t="str">
        <f>IFERROR(VLOOKUP($G618,今日總結!$A:$AJ,33,0),"")</f>
        <v/>
      </c>
      <c r="M618" s="340" t="str">
        <f>IFERROR(VLOOKUP($G618,今日總結!$A:$AJ,34,0),"")</f>
        <v/>
      </c>
      <c r="N618" s="240" t="str">
        <f t="shared" si="133"/>
        <v/>
      </c>
      <c r="P618" s="365" t="str">
        <f>IFERROR(VLOOKUP($G618,融外自投!$A:$J,7,0),"無")</f>
        <v>無</v>
      </c>
      <c r="Q618" s="79" t="str">
        <f>IFERROR(VLOOKUP($G618,融外自投!$A:$J,9,0),"無")</f>
        <v>無</v>
      </c>
      <c r="R618" s="346" t="str">
        <f>IFERROR(VLOOKUP($G618,融外自投!$A:$J,8,0),"無")</f>
        <v>無</v>
      </c>
      <c r="S618" s="81" t="str">
        <f>IFERROR(VLOOKUP($G618,融外自投!$A:$J,10,0),"無")</f>
        <v>無</v>
      </c>
      <c r="T618" s="327" t="str">
        <f>IFERROR(VLOOKUP($G618,'321買'!$A:$E,5,0),"'沒有資料'")</f>
        <v>'沒有資料'</v>
      </c>
      <c r="U618" s="186">
        <f>IFERROR(VLOOKUP($G618,基本資料!$A:$J,9,0),"無")</f>
        <v>0</v>
      </c>
      <c r="V618" s="310">
        <f t="shared" si="128"/>
        <v>0</v>
      </c>
      <c r="W618" s="94">
        <f>IFERROR(VLOOKUP($G618,基本資料!$A:$J,10,0),"無")</f>
        <v>-0.27</v>
      </c>
      <c r="X618" s="36">
        <f>RTD("money.excel",,"5302","Price")</f>
        <v>10.199999999999999</v>
      </c>
      <c r="Y618" s="66"/>
      <c r="Z618" s="15">
        <f t="shared" si="129"/>
        <v>10.199999999999999</v>
      </c>
      <c r="AA618" s="3" t="e">
        <f t="shared" si="130"/>
        <v>#DIV/0!</v>
      </c>
      <c r="AB618" s="344">
        <f>IFERROR(VLOOKUP($G618,基本資料!$A:$M,11,0),"無")</f>
        <v>-47.96</v>
      </c>
      <c r="AC618" s="397">
        <f>IFERROR(VLOOKUP($G618,基本資料!$A:$M,12,0),"無")</f>
        <v>15.07</v>
      </c>
      <c r="AD618" s="16" t="s">
        <v>368</v>
      </c>
      <c r="AG618" s="33">
        <f t="shared" si="131"/>
        <v>0</v>
      </c>
      <c r="AH618" s="43" t="s">
        <v>2396</v>
      </c>
      <c r="AI618" s="63">
        <f t="shared" si="132"/>
        <v>7.6345431789737173E-4</v>
      </c>
      <c r="AJ618" s="284">
        <f>RTD("money.excel",,$G618,"PredictVolume")</f>
        <v>122</v>
      </c>
      <c r="AK618" s="399">
        <f>IFERROR(VLOOKUP($G618,基本資料!$A:$M,13,0),"無")</f>
        <v>8.73</v>
      </c>
    </row>
    <row r="619" spans="1:37">
      <c r="A619" s="347">
        <f>IFERROR(VLOOKUP($G619,基本資料!$A:$J,3,0),"無")</f>
        <v>6</v>
      </c>
      <c r="B619" s="79">
        <f>IFERROR(VLOOKUP($G619,基本資料!$A:$J,4,0),"無")</f>
        <v>1</v>
      </c>
      <c r="C619" s="79">
        <f>IFERROR(VLOOKUP($G619,基本資料!$A:$J,5,0),"無")</f>
        <v>0</v>
      </c>
      <c r="D619" s="79">
        <f>IFERROR(VLOOKUP($G619,基本資料!$A:$J,6,0),"無")</f>
        <v>1076</v>
      </c>
      <c r="E619" s="79">
        <f>IFERROR(VLOOKUP($G619,基本資料!$A:$J,7,0),"無")</f>
        <v>-65</v>
      </c>
      <c r="F619" s="6">
        <f>IFERROR(VLOOKUP($G619,基本資料!$A:$J,8,0),"無")</f>
        <v>-205.96</v>
      </c>
      <c r="G619" s="79">
        <v>5314</v>
      </c>
      <c r="H619" s="145" t="s">
        <v>3039</v>
      </c>
      <c r="I619" s="16" t="s">
        <v>4057</v>
      </c>
      <c r="J619" s="8" t="str">
        <f>IFERROR(VLOOKUP($G619,今日總結!$A:$AJ,35,0),"")</f>
        <v/>
      </c>
      <c r="K619" s="5" t="str">
        <f>IFERROR(VLOOKUP($G619,今日總結!$A:$AJ,36,0),"")</f>
        <v/>
      </c>
      <c r="L619" s="156" t="str">
        <f>IFERROR(VLOOKUP($G619,今日總結!$A:$AJ,33,0),"")</f>
        <v/>
      </c>
      <c r="M619" s="340" t="str">
        <f>IFERROR(VLOOKUP($G619,今日總結!$A:$AJ,34,0),"")</f>
        <v/>
      </c>
      <c r="N619" s="240" t="str">
        <f t="shared" si="133"/>
        <v/>
      </c>
      <c r="P619" s="365" t="str">
        <f>IFERROR(VLOOKUP($G619,融外自投!$A:$J,7,0),"無")</f>
        <v>無</v>
      </c>
      <c r="Q619" s="79" t="str">
        <f>IFERROR(VLOOKUP($G619,融外自投!$A:$J,9,0),"無")</f>
        <v>無</v>
      </c>
      <c r="R619" s="346" t="str">
        <f>IFERROR(VLOOKUP($G619,融外自投!$A:$J,8,0),"無")</f>
        <v>無</v>
      </c>
      <c r="S619" s="81" t="str">
        <f>IFERROR(VLOOKUP($G619,融外自投!$A:$J,10,0),"無")</f>
        <v>無</v>
      </c>
      <c r="T619" s="327" t="str">
        <f>IFERROR(VLOOKUP($G619,'321買'!$A:$E,5,0),"'沒有資料'")</f>
        <v>'沒有資料'</v>
      </c>
      <c r="U619" s="186">
        <f>IFERROR(VLOOKUP($G619,基本資料!$A:$J,9,0),"無")</f>
        <v>0</v>
      </c>
      <c r="V619" s="310">
        <f t="shared" si="128"/>
        <v>0</v>
      </c>
      <c r="W619" s="94">
        <f>IFERROR(VLOOKUP($G619,基本資料!$A:$J,10,0),"無")</f>
        <v>-0.5</v>
      </c>
      <c r="X619" s="36">
        <f>RTD("money.excel",,"5314","Price")</f>
        <v>4.6500000000000004</v>
      </c>
      <c r="Y619" s="66"/>
      <c r="Z619" s="15">
        <f t="shared" si="129"/>
        <v>4.6500000000000004</v>
      </c>
      <c r="AA619" s="3" t="e">
        <f t="shared" si="130"/>
        <v>#DIV/0!</v>
      </c>
      <c r="AB619" s="344">
        <f>IFERROR(VLOOKUP($G619,基本資料!$A:$M,11,0),"無")</f>
        <v>-32.299999999999997</v>
      </c>
      <c r="AC619" s="397">
        <f>IFERROR(VLOOKUP($G619,基本資料!$A:$M,12,0),"無")</f>
        <v>25.81</v>
      </c>
      <c r="AD619" s="16" t="s">
        <v>4057</v>
      </c>
      <c r="AG619" s="33">
        <f t="shared" si="131"/>
        <v>0</v>
      </c>
      <c r="AH619" s="43" t="s">
        <v>2397</v>
      </c>
      <c r="AI619" s="63">
        <f t="shared" si="132"/>
        <v>6.666666666666667E-5</v>
      </c>
      <c r="AJ619" s="284">
        <f>RTD("money.excel",,$G619,"PredictVolume")</f>
        <v>4</v>
      </c>
      <c r="AK619" s="399">
        <f>IFERROR(VLOOKUP($G619,基本資料!$A:$M,13,0),"無")</f>
        <v>13.23</v>
      </c>
    </row>
    <row r="620" spans="1:37">
      <c r="A620" s="347">
        <f>IFERROR(VLOOKUP($G620,基本資料!$A:$J,3,0),"無")</f>
        <v>7.94</v>
      </c>
      <c r="B620" s="79">
        <f>IFERROR(VLOOKUP($G620,基本資料!$A:$J,4,0),"無")</f>
        <v>43</v>
      </c>
      <c r="C620" s="79">
        <f>IFERROR(VLOOKUP($G620,基本資料!$A:$J,5,0),"無")</f>
        <v>47</v>
      </c>
      <c r="D620" s="79">
        <f>IFERROR(VLOOKUP($G620,基本資料!$A:$J,6,0),"無")</f>
        <v>-17</v>
      </c>
      <c r="E620" s="79">
        <f>IFERROR(VLOOKUP($G620,基本資料!$A:$J,7,0),"無")</f>
        <v>-26</v>
      </c>
      <c r="F620" s="6">
        <f>IFERROR(VLOOKUP($G620,基本資料!$A:$J,8,0),"無")</f>
        <v>14.07</v>
      </c>
      <c r="G620" s="79">
        <v>5344</v>
      </c>
      <c r="H620" s="145" t="s">
        <v>3039</v>
      </c>
      <c r="I620" s="16" t="s">
        <v>1063</v>
      </c>
      <c r="J620" s="8" t="str">
        <f>IFERROR(VLOOKUP($G620,今日總結!$A:$AJ,35,0),"")</f>
        <v/>
      </c>
      <c r="K620" s="5" t="str">
        <f>IFERROR(VLOOKUP($G620,今日總結!$A:$AJ,36,0),"")</f>
        <v/>
      </c>
      <c r="L620" s="156" t="str">
        <f>IFERROR(VLOOKUP($G620,今日總結!$A:$AJ,33,0),"")</f>
        <v/>
      </c>
      <c r="M620" s="340" t="str">
        <f>IFERROR(VLOOKUP($G620,今日總結!$A:$AJ,34,0),"")</f>
        <v/>
      </c>
      <c r="N620" s="240" t="str">
        <f t="shared" si="133"/>
        <v/>
      </c>
      <c r="P620" s="365" t="str">
        <f>IFERROR(VLOOKUP($G620,融外自投!$A:$J,7,0),"無")</f>
        <v>無</v>
      </c>
      <c r="Q620" s="79" t="str">
        <f>IFERROR(VLOOKUP($G620,融外自投!$A:$J,9,0),"無")</f>
        <v>無</v>
      </c>
      <c r="R620" s="346" t="str">
        <f>IFERROR(VLOOKUP($G620,融外自投!$A:$J,8,0),"無")</f>
        <v>無</v>
      </c>
      <c r="S620" s="81" t="str">
        <f>IFERROR(VLOOKUP($G620,融外自投!$A:$J,10,0),"無")</f>
        <v>無</v>
      </c>
      <c r="T620" s="327" t="str">
        <f>IFERROR(VLOOKUP($G620,'321買'!$A:$E,5,0),"'沒有資料'")</f>
        <v>'沒有資料'</v>
      </c>
      <c r="U620" s="186">
        <f>IFERROR(VLOOKUP($G620,基本資料!$A:$J,9,0),"無")</f>
        <v>0</v>
      </c>
      <c r="V620" s="310">
        <f t="shared" si="128"/>
        <v>0</v>
      </c>
      <c r="W620" s="94">
        <f>IFERROR(VLOOKUP($G620,基本資料!$A:$J,10,0),"無")</f>
        <v>0.76</v>
      </c>
      <c r="X620" s="36">
        <f>RTD("money.excel",,"5344","Price")</f>
        <v>18.649999999999999</v>
      </c>
      <c r="Y620" s="66"/>
      <c r="Z620" s="15">
        <f t="shared" si="129"/>
        <v>18.649999999999999</v>
      </c>
      <c r="AA620" s="3" t="e">
        <f t="shared" si="130"/>
        <v>#DIV/0!</v>
      </c>
      <c r="AB620" s="344">
        <f>IFERROR(VLOOKUP($G620,基本資料!$A:$M,11,0),"無")</f>
        <v>-55.26</v>
      </c>
      <c r="AC620" s="397">
        <f>IFERROR(VLOOKUP($G620,基本資料!$A:$M,12,0),"無")</f>
        <v>10.6</v>
      </c>
      <c r="AD620" s="16" t="s">
        <v>1063</v>
      </c>
      <c r="AG620" s="33">
        <f t="shared" si="131"/>
        <v>0</v>
      </c>
      <c r="AH620" s="43" t="s">
        <v>2398</v>
      </c>
      <c r="AI620" s="63">
        <f t="shared" si="132"/>
        <v>5.7934508816120912E-4</v>
      </c>
      <c r="AJ620" s="284">
        <f>RTD("money.excel",,$G620,"PredictVolume")</f>
        <v>46</v>
      </c>
      <c r="AK620" s="399">
        <f>IFERROR(VLOOKUP($G620,基本資料!$A:$M,13,0),"無")</f>
        <v>5.45</v>
      </c>
    </row>
    <row r="621" spans="1:37">
      <c r="A621" s="347">
        <f>IFERROR(VLOOKUP($G621,基本資料!$A:$J,3,0),"無")</f>
        <v>163</v>
      </c>
      <c r="B621" s="79">
        <f>IFERROR(VLOOKUP($G621,基本資料!$A:$J,4,0),"無")</f>
        <v>87</v>
      </c>
      <c r="C621" s="79">
        <f>IFERROR(VLOOKUP($G621,基本資料!$A:$J,5,0),"無")</f>
        <v>90</v>
      </c>
      <c r="D621" s="79">
        <f>IFERROR(VLOOKUP($G621,基本資料!$A:$J,6,0),"無")</f>
        <v>-11</v>
      </c>
      <c r="E621" s="79">
        <f>IFERROR(VLOOKUP($G621,基本資料!$A:$J,7,0),"無")</f>
        <v>41</v>
      </c>
      <c r="F621" s="6">
        <f>IFERROR(VLOOKUP($G621,基本資料!$A:$J,8,0),"無")</f>
        <v>32.090000000000003</v>
      </c>
      <c r="G621" s="79">
        <v>5347</v>
      </c>
      <c r="H621" s="145" t="s">
        <v>3039</v>
      </c>
      <c r="I621" s="16" t="s">
        <v>33</v>
      </c>
      <c r="J621" s="8" t="str">
        <f>IFERROR(VLOOKUP($G621,今日總結!$A:$AJ,35,0),"")</f>
        <v/>
      </c>
      <c r="K621" s="5" t="str">
        <f>IFERROR(VLOOKUP($G621,今日總結!$A:$AJ,36,0),"")</f>
        <v/>
      </c>
      <c r="L621" s="156" t="str">
        <f>IFERROR(VLOOKUP($G621,今日總結!$A:$AJ,33,0),"")</f>
        <v/>
      </c>
      <c r="M621" s="340" t="str">
        <f>IFERROR(VLOOKUP($G621,今日總結!$A:$AJ,34,0),"")</f>
        <v/>
      </c>
      <c r="N621" s="240" t="str">
        <f t="shared" si="133"/>
        <v/>
      </c>
      <c r="P621" s="365">
        <f>IFERROR(VLOOKUP($G621,融外自投!$A:$J,7,0),"無")</f>
        <v>1181</v>
      </c>
      <c r="Q621" s="79">
        <f>IFERROR(VLOOKUP($G621,融外自投!$A:$J,9,0),"無")</f>
        <v>406</v>
      </c>
      <c r="R621" s="346">
        <f>IFERROR(VLOOKUP($G621,融外自投!$A:$J,8,0),"無")</f>
        <v>171</v>
      </c>
      <c r="S621" s="81">
        <f>IFERROR(VLOOKUP($G621,融外自投!$A:$J,10,0),"無")</f>
        <v>145</v>
      </c>
      <c r="T621" s="327">
        <f>IFERROR(VLOOKUP($G621,'321買'!$A:$E,5,0),"'沒有資料'")</f>
        <v>357</v>
      </c>
      <c r="U621" s="186">
        <f>IFERROR(VLOOKUP($G621,基本資料!$A:$J,9,0),"無")</f>
        <v>4.5</v>
      </c>
      <c r="V621" s="310">
        <f t="shared" si="128"/>
        <v>4.4117647058823532E-2</v>
      </c>
      <c r="W621" s="94">
        <f>IFERROR(VLOOKUP($G621,基本資料!$A:$J,10,0),"無")</f>
        <v>7.21</v>
      </c>
      <c r="X621" s="36">
        <f>RTD("money.excel",,"5347","Price")</f>
        <v>102</v>
      </c>
      <c r="Y621" s="66"/>
      <c r="Z621" s="15">
        <f t="shared" si="129"/>
        <v>102</v>
      </c>
      <c r="AA621" s="3" t="e">
        <f t="shared" si="130"/>
        <v>#DIV/0!</v>
      </c>
      <c r="AB621" s="344">
        <f>IFERROR(VLOOKUP($G621,基本資料!$A:$M,11,0),"無")</f>
        <v>-43.79</v>
      </c>
      <c r="AC621" s="397">
        <f>IFERROR(VLOOKUP($G621,基本資料!$A:$M,12,0),"無")</f>
        <v>19.149999999999999</v>
      </c>
      <c r="AD621" s="16" t="s">
        <v>33</v>
      </c>
      <c r="AG621" s="33">
        <f t="shared" si="131"/>
        <v>0</v>
      </c>
      <c r="AH621" s="117" t="s">
        <v>1453</v>
      </c>
      <c r="AI621" s="63">
        <f t="shared" si="132"/>
        <v>2.4159509202453986E-3</v>
      </c>
      <c r="AJ621" s="284">
        <f>RTD("money.excel",,$G621,"PredictVolume")</f>
        <v>3938</v>
      </c>
      <c r="AK621" s="399">
        <f>IFERROR(VLOOKUP($G621,基本資料!$A:$M,13,0),"無")</f>
        <v>3.26</v>
      </c>
    </row>
    <row r="622" spans="1:37">
      <c r="A622" s="347">
        <f>IFERROR(VLOOKUP($G622,基本資料!$A:$J,3,0),"無")</f>
        <v>27.02</v>
      </c>
      <c r="B622" s="79">
        <f>IFERROR(VLOOKUP($G622,基本資料!$A:$J,4,0),"無")</f>
        <v>478</v>
      </c>
      <c r="C622" s="79">
        <f>IFERROR(VLOOKUP($G622,基本資料!$A:$J,5,0),"無")</f>
        <v>607</v>
      </c>
      <c r="D622" s="79">
        <f>IFERROR(VLOOKUP($G622,基本資料!$A:$J,6,0),"無")</f>
        <v>6</v>
      </c>
      <c r="E622" s="79">
        <f>IFERROR(VLOOKUP($G622,基本資料!$A:$J,7,0),"無")</f>
        <v>45</v>
      </c>
      <c r="F622" s="6">
        <f>IFERROR(VLOOKUP($G622,基本資料!$A:$J,8,0),"無")</f>
        <v>18.37</v>
      </c>
      <c r="G622" s="79">
        <v>5351</v>
      </c>
      <c r="H622" s="145" t="s">
        <v>3039</v>
      </c>
      <c r="I622" s="24" t="s">
        <v>250</v>
      </c>
      <c r="J622" s="8" t="str">
        <f>IFERROR(VLOOKUP($G622,今日總結!$A:$AJ,35,0),"")</f>
        <v>融</v>
      </c>
      <c r="K622" s="5" t="str">
        <f>IFERROR(VLOOKUP($G622,今日總結!$A:$AJ,36,0),"")</f>
        <v>2借</v>
      </c>
      <c r="L622" s="156">
        <f>IFERROR(VLOOKUP($G622,今日總結!$A:$AJ,33,0),"")</f>
        <v>1</v>
      </c>
      <c r="M622" s="340">
        <f>IFERROR(VLOOKUP($G622,今日總結!$A:$AJ,34,0),"")</f>
        <v>2</v>
      </c>
      <c r="N622" s="240">
        <f t="shared" si="133"/>
        <v>-1</v>
      </c>
      <c r="P622" s="365">
        <f>IFERROR(VLOOKUP($G622,融外自投!$A:$J,7,0),"無")</f>
        <v>80</v>
      </c>
      <c r="Q622" s="79">
        <f>IFERROR(VLOOKUP($G622,融外自投!$A:$J,9,0),"無")</f>
        <v>159</v>
      </c>
      <c r="R622" s="346">
        <f>IFERROR(VLOOKUP($G622,融外自投!$A:$J,8,0),"無")</f>
        <v>709</v>
      </c>
      <c r="S622" s="81">
        <f>IFERROR(VLOOKUP($G622,融外自投!$A:$J,10,0),"無")</f>
        <v>407</v>
      </c>
      <c r="T622" s="327">
        <f>IFERROR(VLOOKUP($G622,'321買'!$A:$E,5,0),"'沒有資料'")</f>
        <v>178</v>
      </c>
      <c r="U622" s="186">
        <f>IFERROR(VLOOKUP($G622,基本資料!$A:$J,9,0),"無")</f>
        <v>1.3</v>
      </c>
      <c r="V622" s="310">
        <f t="shared" si="128"/>
        <v>2.1702838063439065E-2</v>
      </c>
      <c r="W622" s="94">
        <f>IFERROR(VLOOKUP($G622,基本資料!$A:$J,10,0),"無")</f>
        <v>3.91</v>
      </c>
      <c r="X622" s="36">
        <f>RTD("money.excel",,"5351","Price")</f>
        <v>59.9</v>
      </c>
      <c r="Y622" s="66"/>
      <c r="Z622" s="15">
        <f t="shared" si="129"/>
        <v>59.9</v>
      </c>
      <c r="AA622" s="3" t="e">
        <f t="shared" si="130"/>
        <v>#DIV/0!</v>
      </c>
      <c r="AB622" s="344">
        <f>IFERROR(VLOOKUP($G622,基本資料!$A:$M,11,0),"無")</f>
        <v>-39.71</v>
      </c>
      <c r="AC622" s="397">
        <f>IFERROR(VLOOKUP($G622,基本資料!$A:$M,12,0),"無")</f>
        <v>22.53</v>
      </c>
      <c r="AD622" s="24" t="s">
        <v>250</v>
      </c>
      <c r="AG622" s="33">
        <f t="shared" si="131"/>
        <v>0</v>
      </c>
      <c r="AH622" s="119" t="s">
        <v>3061</v>
      </c>
      <c r="AI622" s="63">
        <f t="shared" si="132"/>
        <v>4.3271650629163584E-2</v>
      </c>
      <c r="AJ622" s="284">
        <f>RTD("money.excel",,$G622,"PredictVolume")</f>
        <v>11692</v>
      </c>
      <c r="AK622" s="399">
        <f>IFERROR(VLOOKUP($G622,基本資料!$A:$M,13,0),"無")</f>
        <v>56.91</v>
      </c>
    </row>
    <row r="623" spans="1:37">
      <c r="A623" s="347">
        <f>IFERROR(VLOOKUP($G623,基本資料!$A:$J,3,0),"無")</f>
        <v>26.34</v>
      </c>
      <c r="B623" s="79">
        <f>IFERROR(VLOOKUP($G623,基本資料!$A:$J,4,0),"無")</f>
        <v>39</v>
      </c>
      <c r="C623" s="79">
        <f>IFERROR(VLOOKUP($G623,基本資料!$A:$J,5,0),"無")</f>
        <v>51</v>
      </c>
      <c r="D623" s="79">
        <f>IFERROR(VLOOKUP($G623,基本資料!$A:$J,6,0),"無")</f>
        <v>-8</v>
      </c>
      <c r="E623" s="79">
        <f>IFERROR(VLOOKUP($G623,基本資料!$A:$J,7,0),"無")</f>
        <v>14</v>
      </c>
      <c r="F623" s="6">
        <f>IFERROR(VLOOKUP($G623,基本資料!$A:$J,8,0),"無")</f>
        <v>14.49</v>
      </c>
      <c r="G623" s="79">
        <v>5425</v>
      </c>
      <c r="H623" s="145" t="s">
        <v>3039</v>
      </c>
      <c r="I623" s="16" t="s">
        <v>218</v>
      </c>
      <c r="J623" s="8">
        <f>IFERROR(VLOOKUP($G623,今日總結!$A:$AJ,35,0),"")</f>
        <v>562</v>
      </c>
      <c r="K623" s="5">
        <f>IFERROR(VLOOKUP($G623,今日總結!$A:$AJ,36,0),"")</f>
        <v>0</v>
      </c>
      <c r="L623" s="156">
        <f>IFERROR(VLOOKUP($G623,今日總結!$A:$AJ,33,0),"")</f>
        <v>4</v>
      </c>
      <c r="M623" s="340">
        <f>IFERROR(VLOOKUP($G623,今日總結!$A:$AJ,34,0),"")</f>
        <v>0</v>
      </c>
      <c r="N623" s="240">
        <f t="shared" si="133"/>
        <v>4</v>
      </c>
      <c r="P623" s="365">
        <f>IFERROR(VLOOKUP($G623,融外自投!$A:$J,7,0),"無")</f>
        <v>78</v>
      </c>
      <c r="Q623" s="79">
        <f>IFERROR(VLOOKUP($G623,融外自投!$A:$J,9,0),"無")</f>
        <v>414</v>
      </c>
      <c r="R623" s="346">
        <f>IFERROR(VLOOKUP($G623,融外自投!$A:$J,8,0),"無")</f>
        <v>528</v>
      </c>
      <c r="S623" s="81">
        <f>IFERROR(VLOOKUP($G623,融外自投!$A:$J,10,0),"無")</f>
        <v>10</v>
      </c>
      <c r="T623" s="327">
        <f>IFERROR(VLOOKUP($G623,'321買'!$A:$E,5,0),"'沒有資料'")</f>
        <v>35</v>
      </c>
      <c r="U623" s="186">
        <f>IFERROR(VLOOKUP($G623,基本資料!$A:$J,9,0),"無")</f>
        <v>2.5</v>
      </c>
      <c r="V623" s="310">
        <f t="shared" si="128"/>
        <v>2.9308323563892145E-2</v>
      </c>
      <c r="W623" s="94">
        <f>IFERROR(VLOOKUP($G623,基本資料!$A:$J,10,0),"無")</f>
        <v>3.55</v>
      </c>
      <c r="X623" s="36">
        <f>RTD("money.excel",,"5425","Price")</f>
        <v>85.3</v>
      </c>
      <c r="Y623" s="66"/>
      <c r="Z623" s="15">
        <f t="shared" si="129"/>
        <v>85.3</v>
      </c>
      <c r="AA623" s="3" t="e">
        <f t="shared" si="130"/>
        <v>#DIV/0!</v>
      </c>
      <c r="AB623" s="344">
        <f>IFERROR(VLOOKUP($G623,基本資料!$A:$M,11,0),"無")</f>
        <v>-22.76</v>
      </c>
      <c r="AC623" s="397">
        <f>IFERROR(VLOOKUP($G623,基本資料!$A:$M,12,0),"無")</f>
        <v>54.18</v>
      </c>
      <c r="AD623" s="16" t="s">
        <v>218</v>
      </c>
      <c r="AG623" s="33">
        <f t="shared" si="131"/>
        <v>0</v>
      </c>
      <c r="AH623" s="117" t="s">
        <v>2808</v>
      </c>
      <c r="AI623" s="63">
        <f t="shared" si="132"/>
        <v>0.10590736522399392</v>
      </c>
      <c r="AJ623" s="284">
        <f>RTD("money.excel",,$G623,"PredictVolume")</f>
        <v>27896</v>
      </c>
      <c r="AK623" s="399">
        <f>IFERROR(VLOOKUP($G623,基本資料!$A:$M,13,0),"無")</f>
        <v>37.56</v>
      </c>
    </row>
    <row r="624" spans="1:37">
      <c r="A624" s="347">
        <f>IFERROR(VLOOKUP($G624,基本資料!$A:$J,3,0),"無")</f>
        <v>2.78</v>
      </c>
      <c r="B624" s="79">
        <f>IFERROR(VLOOKUP($G624,基本資料!$A:$J,4,0),"無")</f>
        <v>138</v>
      </c>
      <c r="C624" s="79">
        <f>IFERROR(VLOOKUP($G624,基本資料!$A:$J,5,0),"無")</f>
        <v>187</v>
      </c>
      <c r="D624" s="79">
        <f>IFERROR(VLOOKUP($G624,基本資料!$A:$J,6,0),"無")</f>
        <v>0</v>
      </c>
      <c r="E624" s="79">
        <f>IFERROR(VLOOKUP($G624,基本資料!$A:$J,7,0),"無")</f>
        <v>67</v>
      </c>
      <c r="F624" s="6">
        <f>IFERROR(VLOOKUP($G624,基本資料!$A:$J,8,0),"無")</f>
        <v>5.03</v>
      </c>
      <c r="G624" s="79">
        <v>5468</v>
      </c>
      <c r="H624" s="145" t="s">
        <v>3039</v>
      </c>
      <c r="I624" s="16" t="s">
        <v>4058</v>
      </c>
      <c r="J624" s="8" t="str">
        <f>IFERROR(VLOOKUP($G624,今日總結!$A:$AJ,35,0),"")</f>
        <v/>
      </c>
      <c r="K624" s="5" t="str">
        <f>IFERROR(VLOOKUP($G624,今日總結!$A:$AJ,36,0),"")</f>
        <v/>
      </c>
      <c r="L624" s="156" t="str">
        <f>IFERROR(VLOOKUP($G624,今日總結!$A:$AJ,33,0),"")</f>
        <v/>
      </c>
      <c r="M624" s="340" t="str">
        <f>IFERROR(VLOOKUP($G624,今日總結!$A:$AJ,34,0),"")</f>
        <v/>
      </c>
      <c r="N624" s="240" t="str">
        <f t="shared" si="133"/>
        <v/>
      </c>
      <c r="P624" s="365" t="str">
        <f>IFERROR(VLOOKUP($G624,融外自投!$A:$J,7,0),"無")</f>
        <v>無</v>
      </c>
      <c r="Q624" s="79" t="str">
        <f>IFERROR(VLOOKUP($G624,融外自投!$A:$J,9,0),"無")</f>
        <v>無</v>
      </c>
      <c r="R624" s="346" t="str">
        <f>IFERROR(VLOOKUP($G624,融外自投!$A:$J,8,0),"無")</f>
        <v>無</v>
      </c>
      <c r="S624" s="81" t="str">
        <f>IFERROR(VLOOKUP($G624,融外自投!$A:$J,10,0),"無")</f>
        <v>無</v>
      </c>
      <c r="T624" s="327" t="str">
        <f>IFERROR(VLOOKUP($G624,'321買'!$A:$E,5,0),"'沒有資料'")</f>
        <v>'沒有資料'</v>
      </c>
      <c r="U624" s="186">
        <f>IFERROR(VLOOKUP($G624,基本資料!$A:$J,9,0),"無")</f>
        <v>0</v>
      </c>
      <c r="V624" s="310">
        <f t="shared" si="128"/>
        <v>0</v>
      </c>
      <c r="W624" s="94">
        <f>IFERROR(VLOOKUP($G624,基本資料!$A:$J,10,0),"無")</f>
        <v>0.19</v>
      </c>
      <c r="X624" s="36">
        <f>RTD("money.excel",,"5468","Price")</f>
        <v>31.1</v>
      </c>
      <c r="Y624" s="66"/>
      <c r="Z624" s="15">
        <f t="shared" si="129"/>
        <v>31.1</v>
      </c>
      <c r="AA624" s="3" t="e">
        <f t="shared" si="130"/>
        <v>#DIV/0!</v>
      </c>
      <c r="AB624" s="344">
        <f>IFERROR(VLOOKUP($G624,基本資料!$A:$M,11,0),"無")</f>
        <v>-1.41</v>
      </c>
      <c r="AC624" s="397">
        <f>IFERROR(VLOOKUP($G624,基本資料!$A:$M,12,0),"無")</f>
        <v>86.13</v>
      </c>
      <c r="AD624" s="16" t="s">
        <v>4058</v>
      </c>
      <c r="AG624" s="33">
        <f t="shared" si="131"/>
        <v>0</v>
      </c>
      <c r="AH624" s="43" t="s">
        <v>2361</v>
      </c>
      <c r="AI624" s="63">
        <f t="shared" si="132"/>
        <v>5.6654676258992814E-2</v>
      </c>
      <c r="AJ624" s="284">
        <f>RTD("money.excel",,$G624,"PredictVolume")</f>
        <v>1575</v>
      </c>
      <c r="AK624" s="399">
        <f>IFERROR(VLOOKUP($G624,基本資料!$A:$M,13,0),"無")</f>
        <v>7.61</v>
      </c>
    </row>
    <row r="625" spans="1:37">
      <c r="A625" s="347">
        <f>IFERROR(VLOOKUP($G625,基本資料!$A:$J,3,0),"無")</f>
        <v>16.78</v>
      </c>
      <c r="B625" s="79">
        <f>IFERROR(VLOOKUP($G625,基本資料!$A:$J,4,0),"無")</f>
        <v>42</v>
      </c>
      <c r="C625" s="79">
        <f>IFERROR(VLOOKUP($G625,基本資料!$A:$J,5,0),"無")</f>
        <v>49</v>
      </c>
      <c r="D625" s="79">
        <f>IFERROR(VLOOKUP($G625,基本資料!$A:$J,6,0),"無")</f>
        <v>-7</v>
      </c>
      <c r="E625" s="79">
        <f>IFERROR(VLOOKUP($G625,基本資料!$A:$J,7,0),"無")</f>
        <v>-35</v>
      </c>
      <c r="F625" s="6">
        <f>IFERROR(VLOOKUP($G625,基本資料!$A:$J,8,0),"無")</f>
        <v>31.48</v>
      </c>
      <c r="G625" s="79">
        <v>5471</v>
      </c>
      <c r="H625" s="8" t="s">
        <v>3039</v>
      </c>
      <c r="I625" s="22" t="s">
        <v>4059</v>
      </c>
      <c r="J625" s="8" t="str">
        <f>IFERROR(VLOOKUP($G625,今日總結!$A:$AJ,35,0),"")</f>
        <v/>
      </c>
      <c r="K625" s="5" t="str">
        <f>IFERROR(VLOOKUP($G625,今日總結!$A:$AJ,36,0),"")</f>
        <v/>
      </c>
      <c r="L625" s="156" t="str">
        <f>IFERROR(VLOOKUP($G625,今日總結!$A:$AJ,33,0),"")</f>
        <v/>
      </c>
      <c r="M625" s="340" t="str">
        <f>IFERROR(VLOOKUP($G625,今日總結!$A:$AJ,34,0),"")</f>
        <v/>
      </c>
      <c r="N625" s="240" t="str">
        <f t="shared" si="133"/>
        <v/>
      </c>
      <c r="P625" s="365">
        <f>IFERROR(VLOOKUP($G625,融外自投!$A:$J,7,0),"無")</f>
        <v>352</v>
      </c>
      <c r="Q625" s="79">
        <f>IFERROR(VLOOKUP($G625,融外自投!$A:$J,9,0),"無")</f>
        <v>896</v>
      </c>
      <c r="R625" s="346">
        <f>IFERROR(VLOOKUP($G625,融外自投!$A:$J,8,0),"無")</f>
        <v>418</v>
      </c>
      <c r="S625" s="81">
        <f>IFERROR(VLOOKUP($G625,融外自投!$A:$J,10,0),"無")</f>
        <v>395</v>
      </c>
      <c r="T625" s="327">
        <f>IFERROR(VLOOKUP($G625,'321買'!$A:$E,5,0),"'沒有資料'")</f>
        <v>445</v>
      </c>
      <c r="U625" s="186">
        <f>IFERROR(VLOOKUP($G625,基本資料!$A:$J,9,0),"無")</f>
        <v>7</v>
      </c>
      <c r="V625" s="310">
        <f t="shared" si="128"/>
        <v>9.2592592592592601E-2</v>
      </c>
      <c r="W625" s="94">
        <f>IFERROR(VLOOKUP($G625,基本資料!$A:$J,10,0),"無")</f>
        <v>8.7100000000000009</v>
      </c>
      <c r="X625" s="36">
        <f>RTD("money.excel",,"5471","Price")</f>
        <v>75.599999999999994</v>
      </c>
      <c r="Y625" s="66"/>
      <c r="Z625" s="15">
        <f t="shared" si="129"/>
        <v>75.599999999999994</v>
      </c>
      <c r="AA625" s="3" t="e">
        <f t="shared" si="130"/>
        <v>#DIV/0!</v>
      </c>
      <c r="AB625" s="344">
        <f>IFERROR(VLOOKUP($G625,基本資料!$A:$M,11,0),"無")</f>
        <v>-37.65</v>
      </c>
      <c r="AC625" s="397">
        <f>IFERROR(VLOOKUP($G625,基本資料!$A:$M,12,0),"無")</f>
        <v>18.420000000000002</v>
      </c>
      <c r="AD625" s="22" t="s">
        <v>4059</v>
      </c>
      <c r="AG625" s="33">
        <f t="shared" si="131"/>
        <v>0</v>
      </c>
      <c r="AH625" s="43" t="s">
        <v>3562</v>
      </c>
      <c r="AI625" s="63">
        <f t="shared" ref="AI625:AI656" si="134">AJ625/(A625*10000)</f>
        <v>2.1454112038140644E-3</v>
      </c>
      <c r="AJ625" s="284">
        <f>RTD("money.excel",,$G625,"PredictVolume")</f>
        <v>360</v>
      </c>
      <c r="AK625" s="399">
        <f>IFERROR(VLOOKUP($G625,基本資料!$A:$M,13,0),"無")</f>
        <v>21.37</v>
      </c>
    </row>
    <row r="626" spans="1:37">
      <c r="A626" s="347">
        <f>IFERROR(VLOOKUP($G626,基本資料!$A:$J,3,0),"無")</f>
        <v>58.62</v>
      </c>
      <c r="B626" s="79">
        <f>IFERROR(VLOOKUP($G626,基本資料!$A:$J,4,0),"無")</f>
        <v>0</v>
      </c>
      <c r="C626" s="79">
        <f>IFERROR(VLOOKUP($G626,基本資料!$A:$J,5,0),"無")</f>
        <v>21</v>
      </c>
      <c r="D626" s="79">
        <f>IFERROR(VLOOKUP($G626,基本資料!$A:$J,6,0),"無")</f>
        <v>8</v>
      </c>
      <c r="E626" s="79">
        <f>IFERROR(VLOOKUP($G626,基本資料!$A:$J,7,0),"無")</f>
        <v>8</v>
      </c>
      <c r="F626" s="6">
        <f>IFERROR(VLOOKUP($G626,基本資料!$A:$J,8,0),"無")</f>
        <v>26.26</v>
      </c>
      <c r="G626" s="79">
        <v>5483</v>
      </c>
      <c r="H626" s="145" t="s">
        <v>3039</v>
      </c>
      <c r="I626" s="16" t="s">
        <v>145</v>
      </c>
      <c r="J626" s="8" t="str">
        <f>IFERROR(VLOOKUP($G626,今日總結!$A:$AJ,35,0),"")</f>
        <v/>
      </c>
      <c r="K626" s="5" t="str">
        <f>IFERROR(VLOOKUP($G626,今日總結!$A:$AJ,36,0),"")</f>
        <v/>
      </c>
      <c r="L626" s="156" t="str">
        <f>IFERROR(VLOOKUP($G626,今日總結!$A:$AJ,33,0),"")</f>
        <v/>
      </c>
      <c r="M626" s="340" t="str">
        <f>IFERROR(VLOOKUP($G626,今日總結!$A:$AJ,34,0),"")</f>
        <v/>
      </c>
      <c r="N626" s="240" t="str">
        <f t="shared" si="133"/>
        <v/>
      </c>
      <c r="P626" s="365">
        <f>IFERROR(VLOOKUP($G626,融外自投!$A:$J,7,0),"無")</f>
        <v>614</v>
      </c>
      <c r="Q626" s="79">
        <f>IFERROR(VLOOKUP($G626,融外自投!$A:$J,9,0),"無")</f>
        <v>270</v>
      </c>
      <c r="R626" s="346">
        <f>IFERROR(VLOOKUP($G626,融外自投!$A:$J,8,0),"無")</f>
        <v>256</v>
      </c>
      <c r="S626" s="81">
        <f>IFERROR(VLOOKUP($G626,融外自投!$A:$J,10,0),"無")</f>
        <v>47</v>
      </c>
      <c r="T626" s="327">
        <f>IFERROR(VLOOKUP($G626,'321買'!$A:$E,5,0),"'沒有資料'")</f>
        <v>224</v>
      </c>
      <c r="U626" s="186">
        <f>IFERROR(VLOOKUP($G626,基本資料!$A:$J,9,0),"無")</f>
        <v>8</v>
      </c>
      <c r="V626" s="310">
        <f t="shared" si="128"/>
        <v>5.1612903225806452E-2</v>
      </c>
      <c r="W626" s="94">
        <f>IFERROR(VLOOKUP($G626,基本資料!$A:$J,10,0),"無")</f>
        <v>11.62</v>
      </c>
      <c r="X626" s="36">
        <f>RTD("money.excel",,"5483","Price")</f>
        <v>155</v>
      </c>
      <c r="Y626" s="66"/>
      <c r="Z626" s="15">
        <f t="shared" si="129"/>
        <v>155</v>
      </c>
      <c r="AA626" s="3" t="e">
        <f t="shared" si="130"/>
        <v>#DIV/0!</v>
      </c>
      <c r="AB626" s="344">
        <f>IFERROR(VLOOKUP($G626,基本資料!$A:$M,11,0),"無")</f>
        <v>-39.36</v>
      </c>
      <c r="AC626" s="397">
        <f>IFERROR(VLOOKUP($G626,基本資料!$A:$M,12,0),"無")</f>
        <v>23.38</v>
      </c>
      <c r="AD626" s="16" t="s">
        <v>145</v>
      </c>
      <c r="AG626" s="33">
        <f t="shared" si="131"/>
        <v>0</v>
      </c>
      <c r="AH626" s="117" t="s">
        <v>2351</v>
      </c>
      <c r="AI626" s="63">
        <f t="shared" si="134"/>
        <v>1.0348004094165813E-2</v>
      </c>
      <c r="AJ626" s="284">
        <f>RTD("money.excel",,$G626,"PredictVolume")</f>
        <v>6066</v>
      </c>
      <c r="AK626" s="399">
        <f>IFERROR(VLOOKUP($G626,基本資料!$A:$M,13,0),"無")</f>
        <v>11.43</v>
      </c>
    </row>
    <row r="627" spans="1:37">
      <c r="A627" s="347">
        <f>IFERROR(VLOOKUP($G627,基本資料!$A:$J,3,0),"無")</f>
        <v>2.4</v>
      </c>
      <c r="B627" s="79">
        <f>IFERROR(VLOOKUP($G627,基本資料!$A:$J,4,0),"無")</f>
        <v>22</v>
      </c>
      <c r="C627" s="79">
        <f>IFERROR(VLOOKUP($G627,基本資料!$A:$J,5,0),"無")</f>
        <v>16</v>
      </c>
      <c r="D627" s="79">
        <f>IFERROR(VLOOKUP($G627,基本資料!$A:$J,6,0),"無")</f>
        <v>45</v>
      </c>
      <c r="E627" s="79">
        <f>IFERROR(VLOOKUP($G627,基本資料!$A:$J,7,0),"無")</f>
        <v>-8</v>
      </c>
      <c r="F627" s="6">
        <f>IFERROR(VLOOKUP($G627,基本資料!$A:$J,8,0),"無")</f>
        <v>16.649999999999999</v>
      </c>
      <c r="G627" s="79">
        <v>5487</v>
      </c>
      <c r="H627" s="145" t="s">
        <v>3039</v>
      </c>
      <c r="I627" s="16" t="s">
        <v>370</v>
      </c>
      <c r="J627" s="8" t="str">
        <f>IFERROR(VLOOKUP($G627,今日總結!$A:$AJ,35,0),"")</f>
        <v/>
      </c>
      <c r="K627" s="5" t="str">
        <f>IFERROR(VLOOKUP($G627,今日總結!$A:$AJ,36,0),"")</f>
        <v/>
      </c>
      <c r="L627" s="156" t="str">
        <f>IFERROR(VLOOKUP($G627,今日總結!$A:$AJ,33,0),"")</f>
        <v/>
      </c>
      <c r="M627" s="340" t="str">
        <f>IFERROR(VLOOKUP($G627,今日總結!$A:$AJ,34,0),"")</f>
        <v/>
      </c>
      <c r="N627" s="240" t="str">
        <f t="shared" si="133"/>
        <v/>
      </c>
      <c r="P627" s="365">
        <f>IFERROR(VLOOKUP($G627,融外自投!$A:$J,7,0),"無")</f>
        <v>1141</v>
      </c>
      <c r="Q627" s="79" t="str">
        <f>IFERROR(VLOOKUP($G627,融外自投!$A:$J,9,0),"無")</f>
        <v>無</v>
      </c>
      <c r="R627" s="346">
        <f>IFERROR(VLOOKUP($G627,融外自投!$A:$J,8,0),"無")</f>
        <v>1433</v>
      </c>
      <c r="S627" s="81" t="str">
        <f>IFERROR(VLOOKUP($G627,融外自投!$A:$J,10,0),"無")</f>
        <v>無</v>
      </c>
      <c r="T627" s="327" t="str">
        <f>IFERROR(VLOOKUP($G627,'321買'!$A:$E,5,0),"'沒有資料'")</f>
        <v>'沒有資料'</v>
      </c>
      <c r="U627" s="186">
        <f>IFERROR(VLOOKUP($G627,基本資料!$A:$J,9,0),"無")</f>
        <v>1.36</v>
      </c>
      <c r="V627" s="310">
        <f t="shared" si="128"/>
        <v>4.5107794361525712E-2</v>
      </c>
      <c r="W627" s="94">
        <f>IFERROR(VLOOKUP($G627,基本資料!$A:$J,10,0),"無")</f>
        <v>2.02</v>
      </c>
      <c r="X627" s="36">
        <f>RTD("money.excel",,"5487","Price")</f>
        <v>30.15</v>
      </c>
      <c r="Y627" s="66"/>
      <c r="Z627" s="15">
        <f t="shared" si="129"/>
        <v>30.15</v>
      </c>
      <c r="AA627" s="3" t="e">
        <f t="shared" si="130"/>
        <v>#DIV/0!</v>
      </c>
      <c r="AB627" s="344">
        <f>IFERROR(VLOOKUP($G627,基本資料!$A:$M,11,0),"無")</f>
        <v>-30.88</v>
      </c>
      <c r="AC627" s="397">
        <f>IFERROR(VLOOKUP($G627,基本資料!$A:$M,12,0),"無")</f>
        <v>21.85</v>
      </c>
      <c r="AD627" s="16" t="s">
        <v>370</v>
      </c>
      <c r="AG627" s="33">
        <f t="shared" si="131"/>
        <v>0</v>
      </c>
      <c r="AH627" s="43" t="s">
        <v>1926</v>
      </c>
      <c r="AI627" s="63">
        <f t="shared" si="134"/>
        <v>8.7500000000000002E-4</v>
      </c>
      <c r="AJ627" s="284">
        <f>RTD("money.excel",,$G627,"PredictVolume")</f>
        <v>21</v>
      </c>
      <c r="AK627" s="399">
        <f>IFERROR(VLOOKUP($G627,基本資料!$A:$M,13,0),"無")</f>
        <v>2.46</v>
      </c>
    </row>
    <row r="628" spans="1:37">
      <c r="A628" s="347">
        <f>IFERROR(VLOOKUP($G628,基本資料!$A:$J,3,0),"無")</f>
        <v>8.94</v>
      </c>
      <c r="B628" s="79">
        <f>IFERROR(VLOOKUP($G628,基本資料!$A:$J,4,0),"無")</f>
        <v>97</v>
      </c>
      <c r="C628" s="79">
        <f>IFERROR(VLOOKUP($G628,基本資料!$A:$J,5,0),"無")</f>
        <v>90</v>
      </c>
      <c r="D628" s="79">
        <f>IFERROR(VLOOKUP($G628,基本資料!$A:$J,6,0),"無")</f>
        <v>18</v>
      </c>
      <c r="E628" s="79">
        <f>IFERROR(VLOOKUP($G628,基本資料!$A:$J,7,0),"無")</f>
        <v>131</v>
      </c>
      <c r="F628" s="6">
        <f>IFERROR(VLOOKUP($G628,基本資料!$A:$J,8,0),"無")</f>
        <v>-51.09</v>
      </c>
      <c r="G628" s="79">
        <v>6103</v>
      </c>
      <c r="H628" s="145" t="s">
        <v>3039</v>
      </c>
      <c r="I628" s="16" t="s">
        <v>371</v>
      </c>
      <c r="J628" s="8" t="str">
        <f>IFERROR(VLOOKUP($G628,今日總結!$A:$AJ,35,0),"")</f>
        <v/>
      </c>
      <c r="K628" s="5" t="str">
        <f>IFERROR(VLOOKUP($G628,今日總結!$A:$AJ,36,0),"")</f>
        <v/>
      </c>
      <c r="L628" s="156" t="str">
        <f>IFERROR(VLOOKUP($G628,今日總結!$A:$AJ,33,0),"")</f>
        <v/>
      </c>
      <c r="M628" s="340" t="str">
        <f>IFERROR(VLOOKUP($G628,今日總結!$A:$AJ,34,0),"")</f>
        <v/>
      </c>
      <c r="N628" s="240" t="str">
        <f t="shared" si="133"/>
        <v/>
      </c>
      <c r="P628" s="365" t="str">
        <f>IFERROR(VLOOKUP($G628,融外自投!$A:$J,7,0),"無")</f>
        <v>無</v>
      </c>
      <c r="Q628" s="79" t="str">
        <f>IFERROR(VLOOKUP($G628,融外自投!$A:$J,9,0),"無")</f>
        <v>無</v>
      </c>
      <c r="R628" s="346" t="str">
        <f>IFERROR(VLOOKUP($G628,融外自投!$A:$J,8,0),"無")</f>
        <v>無</v>
      </c>
      <c r="S628" s="81" t="str">
        <f>IFERROR(VLOOKUP($G628,融外自投!$A:$J,10,0),"無")</f>
        <v>無</v>
      </c>
      <c r="T628" s="327" t="str">
        <f>IFERROR(VLOOKUP($G628,'321買'!$A:$E,5,0),"'沒有資料'")</f>
        <v>'沒有資料'</v>
      </c>
      <c r="U628" s="186">
        <f>IFERROR(VLOOKUP($G628,基本資料!$A:$J,9,0),"無")</f>
        <v>0</v>
      </c>
      <c r="V628" s="310" t="e">
        <f t="shared" si="128"/>
        <v>#VALUE!</v>
      </c>
      <c r="W628" s="94">
        <f>IFERROR(VLOOKUP($G628,基本資料!$A:$J,10,0),"無")</f>
        <v>-0.04</v>
      </c>
      <c r="X628" s="36" t="str">
        <f>RTD("money.excel",,"6103","Price")</f>
        <v>無資料</v>
      </c>
      <c r="Y628" s="66"/>
      <c r="Z628" s="15" t="e">
        <f t="shared" si="129"/>
        <v>#VALUE!</v>
      </c>
      <c r="AA628" s="3" t="e">
        <f t="shared" si="130"/>
        <v>#VALUE!</v>
      </c>
      <c r="AB628" s="344">
        <f>IFERROR(VLOOKUP($G628,基本資料!$A:$M,11,0),"無")</f>
        <v>-38.700000000000003</v>
      </c>
      <c r="AC628" s="397">
        <f>IFERROR(VLOOKUP($G628,基本資料!$A:$M,12,0),"無")</f>
        <v>7.23</v>
      </c>
      <c r="AD628" s="16" t="s">
        <v>371</v>
      </c>
      <c r="AG628" s="33">
        <f t="shared" si="131"/>
        <v>0</v>
      </c>
      <c r="AH628" s="43" t="s">
        <v>2362</v>
      </c>
      <c r="AI628" s="63">
        <f t="shared" si="134"/>
        <v>0</v>
      </c>
      <c r="AJ628" s="284">
        <f>RTD("money.excel",,$G628,"PredictVolume")</f>
        <v>0</v>
      </c>
      <c r="AK628" s="399">
        <f>IFERROR(VLOOKUP($G628,基本資料!$A:$M,13,0),"無")</f>
        <v>0.15</v>
      </c>
    </row>
    <row r="629" spans="1:37">
      <c r="A629" s="347">
        <f>IFERROR(VLOOKUP($G629,基本資料!$A:$J,3,0),"無")</f>
        <v>9.02</v>
      </c>
      <c r="B629" s="79">
        <f>IFERROR(VLOOKUP($G629,基本資料!$A:$J,4,0),"無")</f>
        <v>73</v>
      </c>
      <c r="C629" s="79">
        <f>IFERROR(VLOOKUP($G629,基本資料!$A:$J,5,0),"無")</f>
        <v>79</v>
      </c>
      <c r="D629" s="79">
        <f>IFERROR(VLOOKUP($G629,基本資料!$A:$J,6,0),"無")</f>
        <v>-20</v>
      </c>
      <c r="E629" s="79">
        <f>IFERROR(VLOOKUP($G629,基本資料!$A:$J,7,0),"無")</f>
        <v>29</v>
      </c>
      <c r="F629" s="6">
        <f>IFERROR(VLOOKUP($G629,基本資料!$A:$J,8,0),"無")</f>
        <v>21.07</v>
      </c>
      <c r="G629" s="79">
        <v>6104</v>
      </c>
      <c r="H629" s="145" t="s">
        <v>3039</v>
      </c>
      <c r="I629" s="16" t="s">
        <v>372</v>
      </c>
      <c r="J629" s="8">
        <f>IFERROR(VLOOKUP($G629,今日總結!$A:$AJ,35,0),"")</f>
        <v>3452</v>
      </c>
      <c r="K629" s="5" t="str">
        <f>IFERROR(VLOOKUP($G629,今日總結!$A:$AJ,36,0),"")</f>
        <v>投</v>
      </c>
      <c r="L629" s="156">
        <f>IFERROR(VLOOKUP($G629,今日總結!$A:$AJ,33,0),"")</f>
        <v>4</v>
      </c>
      <c r="M629" s="340">
        <f>IFERROR(VLOOKUP($G629,今日總結!$A:$AJ,34,0),"")</f>
        <v>1</v>
      </c>
      <c r="N629" s="240">
        <f t="shared" si="133"/>
        <v>3</v>
      </c>
      <c r="P629" s="365">
        <f>IFERROR(VLOOKUP($G629,融外自投!$A:$J,7,0),"無")</f>
        <v>21</v>
      </c>
      <c r="Q629" s="79">
        <f>IFERROR(VLOOKUP($G629,融外自投!$A:$J,9,0),"無")</f>
        <v>131</v>
      </c>
      <c r="R629" s="346">
        <f>IFERROR(VLOOKUP($G629,融外自投!$A:$J,8,0),"無")</f>
        <v>420</v>
      </c>
      <c r="S629" s="81">
        <f>IFERROR(VLOOKUP($G629,融外自投!$A:$J,10,0),"無")</f>
        <v>31</v>
      </c>
      <c r="T629" s="327">
        <f>IFERROR(VLOOKUP($G629,'321買'!$A:$E,5,0),"'沒有資料'")</f>
        <v>4</v>
      </c>
      <c r="U629" s="186">
        <f>IFERROR(VLOOKUP($G629,基本資料!$A:$J,9,0),"無")</f>
        <v>4.5</v>
      </c>
      <c r="V629" s="310">
        <f t="shared" si="128"/>
        <v>2.313624678663239E-2</v>
      </c>
      <c r="W629" s="94">
        <f>IFERROR(VLOOKUP($G629,基本資料!$A:$J,10,0),"無")</f>
        <v>6.41</v>
      </c>
      <c r="X629" s="36">
        <f>RTD("money.excel",,"6104","Price")</f>
        <v>194.5</v>
      </c>
      <c r="Y629" s="66"/>
      <c r="Z629" s="15">
        <f t="shared" si="129"/>
        <v>194.5</v>
      </c>
      <c r="AA629" s="3" t="e">
        <f t="shared" si="130"/>
        <v>#DIV/0!</v>
      </c>
      <c r="AB629" s="344">
        <f>IFERROR(VLOOKUP($G629,基本資料!$A:$M,11,0),"無")</f>
        <v>-44.68</v>
      </c>
      <c r="AC629" s="397">
        <f>IFERROR(VLOOKUP($G629,基本資料!$A:$M,12,0),"無")</f>
        <v>11.58</v>
      </c>
      <c r="AD629" s="16" t="s">
        <v>372</v>
      </c>
      <c r="AG629" s="33">
        <f t="shared" si="131"/>
        <v>0</v>
      </c>
      <c r="AH629" s="43" t="s">
        <v>3046</v>
      </c>
      <c r="AI629" s="63">
        <f t="shared" si="134"/>
        <v>0.25807095343680708</v>
      </c>
      <c r="AJ629" s="284">
        <f>RTD("money.excel",,$G629,"PredictVolume")</f>
        <v>23278</v>
      </c>
      <c r="AK629" s="399">
        <f>IFERROR(VLOOKUP($G629,基本資料!$A:$M,13,0),"無")</f>
        <v>114.78</v>
      </c>
    </row>
    <row r="630" spans="1:37">
      <c r="A630" s="347">
        <f>IFERROR(VLOOKUP($G630,基本資料!$A:$J,3,0),"無")</f>
        <v>18.09</v>
      </c>
      <c r="B630" s="79">
        <f>IFERROR(VLOOKUP($G630,基本資料!$A:$J,4,0),"無")</f>
        <v>370</v>
      </c>
      <c r="C630" s="79">
        <f>IFERROR(VLOOKUP($G630,基本資料!$A:$J,5,0),"無")</f>
        <v>302</v>
      </c>
      <c r="D630" s="79">
        <f>IFERROR(VLOOKUP($G630,基本資料!$A:$J,6,0),"無")</f>
        <v>8</v>
      </c>
      <c r="E630" s="79">
        <f>IFERROR(VLOOKUP($G630,基本資料!$A:$J,7,0),"無")</f>
        <v>42</v>
      </c>
      <c r="F630" s="6">
        <f>IFERROR(VLOOKUP($G630,基本資料!$A:$J,8,0),"無")</f>
        <v>7.03</v>
      </c>
      <c r="G630" s="79">
        <v>6129</v>
      </c>
      <c r="H630" s="145" t="s">
        <v>3039</v>
      </c>
      <c r="I630" s="16" t="s">
        <v>4060</v>
      </c>
      <c r="J630" s="8">
        <f>IFERROR(VLOOKUP($G630,今日總結!$A:$AJ,35,0),"")</f>
        <v>0</v>
      </c>
      <c r="K630" s="5" t="str">
        <f>IFERROR(VLOOKUP($G630,今日總結!$A:$AJ,36,0),"")</f>
        <v>借</v>
      </c>
      <c r="L630" s="156">
        <f>IFERROR(VLOOKUP($G630,今日總結!$A:$AJ,33,0),"")</f>
        <v>0</v>
      </c>
      <c r="M630" s="340">
        <f>IFERROR(VLOOKUP($G630,今日總結!$A:$AJ,34,0),"")</f>
        <v>1</v>
      </c>
      <c r="N630" s="240">
        <f t="shared" si="133"/>
        <v>-1</v>
      </c>
      <c r="P630" s="365">
        <f>IFERROR(VLOOKUP($G630,融外自投!$A:$J,7,0),"無")</f>
        <v>1183</v>
      </c>
      <c r="Q630" s="79">
        <f>IFERROR(VLOOKUP($G630,融外自投!$A:$J,9,0),"無")</f>
        <v>459</v>
      </c>
      <c r="R630" s="346">
        <f>IFERROR(VLOOKUP($G630,融外自投!$A:$J,8,0),"無")</f>
        <v>1300</v>
      </c>
      <c r="S630" s="81" t="str">
        <f>IFERROR(VLOOKUP($G630,融外自投!$A:$J,10,0),"無")</f>
        <v>無</v>
      </c>
      <c r="T630" s="327">
        <f>IFERROR(VLOOKUP($G630,'321買'!$A:$E,5,0),"'沒有資料'")</f>
        <v>1007</v>
      </c>
      <c r="U630" s="186">
        <f>IFERROR(VLOOKUP($G630,基本資料!$A:$J,9,0),"無")</f>
        <v>0</v>
      </c>
      <c r="V630" s="310">
        <f t="shared" si="128"/>
        <v>0</v>
      </c>
      <c r="W630" s="94">
        <f>IFERROR(VLOOKUP($G630,基本資料!$A:$J,10,0),"無")</f>
        <v>0.63</v>
      </c>
      <c r="X630" s="36">
        <f>RTD("money.excel",,"6129","Price")</f>
        <v>28.8</v>
      </c>
      <c r="Y630" s="66"/>
      <c r="Z630" s="15">
        <f t="shared" si="129"/>
        <v>28.8</v>
      </c>
      <c r="AA630" s="3" t="e">
        <f t="shared" si="130"/>
        <v>#DIV/0!</v>
      </c>
      <c r="AB630" s="344">
        <f>IFERROR(VLOOKUP($G630,基本資料!$A:$M,11,0),"無")</f>
        <v>-37.78</v>
      </c>
      <c r="AC630" s="397">
        <f>IFERROR(VLOOKUP($G630,基本資料!$A:$M,12,0),"無")</f>
        <v>18.16</v>
      </c>
      <c r="AD630" s="16" t="s">
        <v>4060</v>
      </c>
      <c r="AG630" s="33">
        <f t="shared" si="131"/>
        <v>0</v>
      </c>
      <c r="AH630" s="43" t="s">
        <v>2300</v>
      </c>
      <c r="AI630" s="63">
        <f t="shared" si="134"/>
        <v>6.0972913211719184E-3</v>
      </c>
      <c r="AJ630" s="284">
        <f>RTD("money.excel",,$G630,"PredictVolume")</f>
        <v>1103</v>
      </c>
      <c r="AK630" s="399">
        <f>IFERROR(VLOOKUP($G630,基本資料!$A:$M,13,0),"無")</f>
        <v>32.68</v>
      </c>
    </row>
    <row r="631" spans="1:37">
      <c r="A631" s="347">
        <f>IFERROR(VLOOKUP($G631,基本資料!$A:$J,3,0),"無")</f>
        <v>7.4</v>
      </c>
      <c r="B631" s="79">
        <f>IFERROR(VLOOKUP($G631,基本資料!$A:$J,4,0),"無")</f>
        <v>100</v>
      </c>
      <c r="C631" s="79">
        <f>IFERROR(VLOOKUP($G631,基本資料!$A:$J,5,0),"無")</f>
        <v>109</v>
      </c>
      <c r="D631" s="79">
        <f>IFERROR(VLOOKUP($G631,基本資料!$A:$J,6,0),"無")</f>
        <v>1</v>
      </c>
      <c r="E631" s="79">
        <f>IFERROR(VLOOKUP($G631,基本資料!$A:$J,7,0),"無")</f>
        <v>28</v>
      </c>
      <c r="F631" s="6">
        <f>IFERROR(VLOOKUP($G631,基本資料!$A:$J,8,0),"無")</f>
        <v>20.53</v>
      </c>
      <c r="G631" s="79">
        <v>6138</v>
      </c>
      <c r="H631" s="145" t="s">
        <v>3039</v>
      </c>
      <c r="I631" s="16" t="s">
        <v>159</v>
      </c>
      <c r="J631" s="8">
        <f>IFERROR(VLOOKUP($G631,今日總結!$A:$AJ,35,0),"")</f>
        <v>0</v>
      </c>
      <c r="K631" s="5">
        <f>IFERROR(VLOOKUP($G631,今日總結!$A:$AJ,36,0),"")</f>
        <v>46</v>
      </c>
      <c r="L631" s="156">
        <f>IFERROR(VLOOKUP($G631,今日總結!$A:$AJ,33,0),"")</f>
        <v>0</v>
      </c>
      <c r="M631" s="340">
        <f>IFERROR(VLOOKUP($G631,今日總結!$A:$AJ,34,0),"")</f>
        <v>2</v>
      </c>
      <c r="N631" s="240">
        <f t="shared" si="133"/>
        <v>-2</v>
      </c>
      <c r="P631" s="365">
        <f>IFERROR(VLOOKUP($G631,融外自投!$A:$J,7,0),"無")</f>
        <v>215</v>
      </c>
      <c r="Q631" s="79">
        <f>IFERROR(VLOOKUP($G631,融外自投!$A:$J,9,0),"無")</f>
        <v>150</v>
      </c>
      <c r="R631" s="346">
        <f>IFERROR(VLOOKUP($G631,融外自投!$A:$J,8,0),"無")</f>
        <v>302</v>
      </c>
      <c r="S631" s="81">
        <f>IFERROR(VLOOKUP($G631,融外自投!$A:$J,10,0),"無")</f>
        <v>35</v>
      </c>
      <c r="T631" s="327">
        <f>IFERROR(VLOOKUP($G631,'321買'!$A:$E,5,0),"'沒有資料'")</f>
        <v>74</v>
      </c>
      <c r="U631" s="186">
        <f>IFERROR(VLOOKUP($G631,基本資料!$A:$J,9,0),"無")</f>
        <v>9.02</v>
      </c>
      <c r="V631" s="310">
        <f t="shared" si="128"/>
        <v>4.5670886075949366E-2</v>
      </c>
      <c r="W631" s="94">
        <f>IFERROR(VLOOKUP($G631,基本資料!$A:$J,10,0),"無")</f>
        <v>12.9</v>
      </c>
      <c r="X631" s="36">
        <f>RTD("money.excel",,"6138","Price")</f>
        <v>197.5</v>
      </c>
      <c r="Y631" s="66"/>
      <c r="Z631" s="15">
        <f t="shared" si="129"/>
        <v>197.5</v>
      </c>
      <c r="AA631" s="3" t="e">
        <f t="shared" si="130"/>
        <v>#DIV/0!</v>
      </c>
      <c r="AB631" s="344">
        <f>IFERROR(VLOOKUP($G631,基本資料!$A:$M,11,0),"無")</f>
        <v>-29.2</v>
      </c>
      <c r="AC631" s="397">
        <f>IFERROR(VLOOKUP($G631,基本資料!$A:$M,12,0),"無")</f>
        <v>29.23</v>
      </c>
      <c r="AD631" s="16" t="s">
        <v>159</v>
      </c>
      <c r="AG631" s="33">
        <f t="shared" si="131"/>
        <v>0</v>
      </c>
      <c r="AH631" s="117" t="s">
        <v>3561</v>
      </c>
      <c r="AI631" s="63">
        <f t="shared" si="134"/>
        <v>2.0945945945945947E-2</v>
      </c>
      <c r="AJ631" s="284">
        <f>RTD("money.excel",,$G631,"PredictVolume")</f>
        <v>1550</v>
      </c>
      <c r="AK631" s="399">
        <f>IFERROR(VLOOKUP($G631,基本資料!$A:$M,13,0),"無")</f>
        <v>34.22</v>
      </c>
    </row>
    <row r="632" spans="1:37">
      <c r="A632" s="347">
        <f>IFERROR(VLOOKUP($G632,基本資料!$A:$J,3,0),"無")</f>
        <v>73.86</v>
      </c>
      <c r="B632" s="79">
        <f>IFERROR(VLOOKUP($G632,基本資料!$A:$J,4,0),"無")</f>
        <v>67</v>
      </c>
      <c r="C632" s="79">
        <f>IFERROR(VLOOKUP($G632,基本資料!$A:$J,5,0),"無")</f>
        <v>42</v>
      </c>
      <c r="D632" s="79">
        <f>IFERROR(VLOOKUP($G632,基本資料!$A:$J,6,0),"無")</f>
        <v>-5</v>
      </c>
      <c r="E632" s="79">
        <f>IFERROR(VLOOKUP($G632,基本資料!$A:$J,7,0),"無")</f>
        <v>0</v>
      </c>
      <c r="F632" s="6">
        <f>IFERROR(VLOOKUP($G632,基本資料!$A:$J,8,0),"無")</f>
        <v>25.46</v>
      </c>
      <c r="G632" s="79">
        <v>6147</v>
      </c>
      <c r="H632" s="145" t="s">
        <v>3039</v>
      </c>
      <c r="I632" s="166" t="s">
        <v>2915</v>
      </c>
      <c r="J632" s="8" t="str">
        <f>IFERROR(VLOOKUP($G632,今日總結!$A:$AJ,35,0),"")</f>
        <v/>
      </c>
      <c r="K632" s="5" t="str">
        <f>IFERROR(VLOOKUP($G632,今日總結!$A:$AJ,36,0),"")</f>
        <v/>
      </c>
      <c r="L632" s="156" t="str">
        <f>IFERROR(VLOOKUP($G632,今日總結!$A:$AJ,33,0),"")</f>
        <v/>
      </c>
      <c r="M632" s="340" t="str">
        <f>IFERROR(VLOOKUP($G632,今日總結!$A:$AJ,34,0),"")</f>
        <v/>
      </c>
      <c r="N632" s="240" t="str">
        <f t="shared" si="133"/>
        <v/>
      </c>
      <c r="P632" s="365">
        <f>IFERROR(VLOOKUP($G632,融外自投!$A:$J,7,0),"無")</f>
        <v>803</v>
      </c>
      <c r="Q632" s="79">
        <f>IFERROR(VLOOKUP($G632,融外自投!$A:$J,9,0),"無")</f>
        <v>292</v>
      </c>
      <c r="R632" s="346">
        <f>IFERROR(VLOOKUP($G632,融外自投!$A:$J,8,0),"無")</f>
        <v>242</v>
      </c>
      <c r="S632" s="81">
        <f>IFERROR(VLOOKUP($G632,融外自投!$A:$J,10,0),"無")</f>
        <v>90</v>
      </c>
      <c r="T632" s="327">
        <f>IFERROR(VLOOKUP($G632,'321買'!$A:$E,5,0),"'沒有資料'")</f>
        <v>131</v>
      </c>
      <c r="U632" s="186">
        <f>IFERROR(VLOOKUP($G632,基本資料!$A:$J,9,0),"無")</f>
        <v>6</v>
      </c>
      <c r="V632" s="310">
        <f t="shared" si="128"/>
        <v>8.8235294117647065E-2</v>
      </c>
      <c r="W632" s="94">
        <f>IFERROR(VLOOKUP($G632,基本資料!$A:$J,10,0),"無")</f>
        <v>9</v>
      </c>
      <c r="X632" s="161">
        <f>RTD("money.excel",,"6147","Price")</f>
        <v>68</v>
      </c>
      <c r="Y632" s="66"/>
      <c r="Z632" s="15">
        <f t="shared" si="129"/>
        <v>68</v>
      </c>
      <c r="AA632" s="3" t="e">
        <f t="shared" si="130"/>
        <v>#DIV/0!</v>
      </c>
      <c r="AB632" s="344">
        <f>IFERROR(VLOOKUP($G632,基本資料!$A:$M,11,0),"無")</f>
        <v>-23.56</v>
      </c>
      <c r="AC632" s="397">
        <f>IFERROR(VLOOKUP($G632,基本資料!$A:$M,12,0),"無")</f>
        <v>33.049999999999997</v>
      </c>
      <c r="AD632" s="16" t="s">
        <v>2915</v>
      </c>
      <c r="AG632" s="33">
        <f t="shared" si="131"/>
        <v>0</v>
      </c>
      <c r="AH632" s="117" t="s">
        <v>2291</v>
      </c>
      <c r="AI632" s="63">
        <f t="shared" si="134"/>
        <v>1.9212022745735175E-3</v>
      </c>
      <c r="AJ632" s="284">
        <f>RTD("money.excel",,$G632,"PredictVolume")</f>
        <v>1419</v>
      </c>
      <c r="AK632" s="399">
        <f>IFERROR(VLOOKUP($G632,基本資料!$A:$M,13,0),"無")</f>
        <v>11.89</v>
      </c>
    </row>
    <row r="633" spans="1:37">
      <c r="A633" s="347">
        <f>IFERROR(VLOOKUP($G633,基本資料!$A:$J,3,0),"無")</f>
        <v>54.09</v>
      </c>
      <c r="B633" s="79">
        <f>IFERROR(VLOOKUP($G633,基本資料!$A:$J,4,0),"無")</f>
        <v>123</v>
      </c>
      <c r="C633" s="79">
        <f>IFERROR(VLOOKUP($G633,基本資料!$A:$J,5,0),"無")</f>
        <v>170</v>
      </c>
      <c r="D633" s="79">
        <f>IFERROR(VLOOKUP($G633,基本資料!$A:$J,6,0),"無")</f>
        <v>-4</v>
      </c>
      <c r="E633" s="79">
        <f>IFERROR(VLOOKUP($G633,基本資料!$A:$J,7,0),"無")</f>
        <v>20</v>
      </c>
      <c r="F633" s="6">
        <f>IFERROR(VLOOKUP($G633,基本資料!$A:$J,8,0),"無")</f>
        <v>19.239999999999998</v>
      </c>
      <c r="G633" s="79">
        <v>6182</v>
      </c>
      <c r="H633" s="195" t="s">
        <v>3039</v>
      </c>
      <c r="I633" s="16" t="s">
        <v>166</v>
      </c>
      <c r="J633" s="8" t="str">
        <f>IFERROR(VLOOKUP($G633,今日總結!$A:$AJ,35,0),"")</f>
        <v/>
      </c>
      <c r="K633" s="5" t="str">
        <f>IFERROR(VLOOKUP($G633,今日總結!$A:$AJ,36,0),"")</f>
        <v/>
      </c>
      <c r="L633" s="156" t="str">
        <f>IFERROR(VLOOKUP($G633,今日總結!$A:$AJ,33,0),"")</f>
        <v/>
      </c>
      <c r="M633" s="340" t="str">
        <f>IFERROR(VLOOKUP($G633,今日總結!$A:$AJ,34,0),"")</f>
        <v/>
      </c>
      <c r="N633" s="240" t="str">
        <f t="shared" si="133"/>
        <v/>
      </c>
      <c r="P633" s="365">
        <f>IFERROR(VLOOKUP($G633,融外自投!$A:$J,7,0),"無")</f>
        <v>115</v>
      </c>
      <c r="Q633" s="79" t="str">
        <f>IFERROR(VLOOKUP($G633,融外自投!$A:$J,9,0),"無")</f>
        <v>無</v>
      </c>
      <c r="R633" s="346">
        <f>IFERROR(VLOOKUP($G633,融外自投!$A:$J,8,0),"無")</f>
        <v>342</v>
      </c>
      <c r="S633" s="81" t="str">
        <f>IFERROR(VLOOKUP($G633,融外自投!$A:$J,10,0),"無")</f>
        <v>無</v>
      </c>
      <c r="T633" s="327">
        <f>IFERROR(VLOOKUP($G633,'321買'!$A:$E,5,0),"'沒有資料'")</f>
        <v>79</v>
      </c>
      <c r="U633" s="186">
        <f>IFERROR(VLOOKUP($G633,基本資料!$A:$J,9,0),"無")</f>
        <v>1.35</v>
      </c>
      <c r="V633" s="310">
        <f t="shared" si="128"/>
        <v>2.3725834797891039E-2</v>
      </c>
      <c r="W633" s="94">
        <f>IFERROR(VLOOKUP($G633,基本資料!$A:$J,10,0),"無")</f>
        <v>2.02</v>
      </c>
      <c r="X633" s="36">
        <f>RTD("money.excel",,"6182","Price")</f>
        <v>56.9</v>
      </c>
      <c r="Y633" s="66"/>
      <c r="Z633" s="15">
        <f t="shared" si="129"/>
        <v>56.9</v>
      </c>
      <c r="AA633" s="3" t="e">
        <f t="shared" si="130"/>
        <v>#DIV/0!</v>
      </c>
      <c r="AB633" s="344">
        <f>IFERROR(VLOOKUP($G633,基本資料!$A:$M,11,0),"無")</f>
        <v>-36.76</v>
      </c>
      <c r="AC633" s="397">
        <f>IFERROR(VLOOKUP($G633,基本資料!$A:$M,12,0),"無")</f>
        <v>14.52</v>
      </c>
      <c r="AD633" s="16" t="s">
        <v>166</v>
      </c>
      <c r="AG633" s="33">
        <f t="shared" si="131"/>
        <v>0</v>
      </c>
      <c r="AH633" s="117" t="s">
        <v>2168</v>
      </c>
      <c r="AI633" s="63">
        <f t="shared" si="134"/>
        <v>2.5860602699205027E-2</v>
      </c>
      <c r="AJ633" s="284">
        <f>RTD("money.excel",,$G633,"PredictVolume")</f>
        <v>13988</v>
      </c>
      <c r="AK633" s="399">
        <f>IFERROR(VLOOKUP($G633,基本資料!$A:$M,13,0),"無")</f>
        <v>37.159999999999997</v>
      </c>
    </row>
    <row r="634" spans="1:37">
      <c r="A634" s="347">
        <f>IFERROR(VLOOKUP($G634,基本資料!$A:$J,3,0),"無")</f>
        <v>2.2599999999999998</v>
      </c>
      <c r="B634" s="79">
        <f>IFERROR(VLOOKUP($G634,基本資料!$A:$J,4,0),"無")</f>
        <v>69</v>
      </c>
      <c r="C634" s="79">
        <f>IFERROR(VLOOKUP($G634,基本資料!$A:$J,5,0),"無")</f>
        <v>67</v>
      </c>
      <c r="D634" s="79">
        <f>IFERROR(VLOOKUP($G634,基本資料!$A:$J,6,0),"無")</f>
        <v>158</v>
      </c>
      <c r="E634" s="79">
        <f>IFERROR(VLOOKUP($G634,基本資料!$A:$J,7,0),"無")</f>
        <v>1497</v>
      </c>
      <c r="F634" s="6">
        <f>IFERROR(VLOOKUP($G634,基本資料!$A:$J,8,0),"無")</f>
        <v>-15.14</v>
      </c>
      <c r="G634" s="79">
        <v>6198</v>
      </c>
      <c r="H634" s="195" t="s">
        <v>3039</v>
      </c>
      <c r="I634" s="16" t="s">
        <v>373</v>
      </c>
      <c r="J634" s="8" t="str">
        <f>IFERROR(VLOOKUP($G634,今日總結!$A:$AJ,35,0),"")</f>
        <v/>
      </c>
      <c r="K634" s="5" t="str">
        <f>IFERROR(VLOOKUP($G634,今日總結!$A:$AJ,36,0),"")</f>
        <v/>
      </c>
      <c r="L634" s="156" t="str">
        <f>IFERROR(VLOOKUP($G634,今日總結!$A:$AJ,33,0),"")</f>
        <v/>
      </c>
      <c r="M634" s="340" t="str">
        <f>IFERROR(VLOOKUP($G634,今日總結!$A:$AJ,34,0),"")</f>
        <v/>
      </c>
      <c r="N634" s="240" t="str">
        <f t="shared" si="133"/>
        <v/>
      </c>
      <c r="P634" s="365" t="str">
        <f>IFERROR(VLOOKUP($G634,融外自投!$A:$J,7,0),"無")</f>
        <v>無</v>
      </c>
      <c r="Q634" s="79" t="str">
        <f>IFERROR(VLOOKUP($G634,融外自投!$A:$J,9,0),"無")</f>
        <v>無</v>
      </c>
      <c r="R634" s="346" t="str">
        <f>IFERROR(VLOOKUP($G634,融外自投!$A:$J,8,0),"無")</f>
        <v>無</v>
      </c>
      <c r="S634" s="81" t="str">
        <f>IFERROR(VLOOKUP($G634,融外自投!$A:$J,10,0),"無")</f>
        <v>無</v>
      </c>
      <c r="T634" s="327" t="str">
        <f>IFERROR(VLOOKUP($G634,'321買'!$A:$E,5,0),"'沒有資料'")</f>
        <v>'沒有資料'</v>
      </c>
      <c r="U634" s="186">
        <f>IFERROR(VLOOKUP($G634,基本資料!$A:$J,9,0),"無")</f>
        <v>0</v>
      </c>
      <c r="V634" s="310">
        <f t="shared" si="128"/>
        <v>0</v>
      </c>
      <c r="W634" s="94">
        <f>IFERROR(VLOOKUP($G634,基本資料!$A:$J,10,0),"無")</f>
        <v>-0.14000000000000001</v>
      </c>
      <c r="X634" s="36">
        <f>RTD("money.excel",,"6198","Price")</f>
        <v>34.1</v>
      </c>
      <c r="Y634" s="66"/>
      <c r="Z634" s="15">
        <f t="shared" si="129"/>
        <v>34.1</v>
      </c>
      <c r="AA634" s="3" t="e">
        <f t="shared" si="130"/>
        <v>#DIV/0!</v>
      </c>
      <c r="AB634" s="344">
        <f>IFERROR(VLOOKUP($G634,基本資料!$A:$M,11,0),"無")</f>
        <v>-8.8699999999999992</v>
      </c>
      <c r="AC634" s="397">
        <f>IFERROR(VLOOKUP($G634,基本資料!$A:$M,12,0),"無")</f>
        <v>50.55</v>
      </c>
      <c r="AD634" s="16" t="s">
        <v>373</v>
      </c>
      <c r="AG634" s="33">
        <f t="shared" si="131"/>
        <v>0</v>
      </c>
      <c r="AH634" s="43" t="s">
        <v>2363</v>
      </c>
      <c r="AI634" s="63">
        <f t="shared" si="134"/>
        <v>4.4247787610619477E-5</v>
      </c>
      <c r="AJ634" s="284">
        <f>RTD("money.excel",,$G634,"PredictVolume")</f>
        <v>1</v>
      </c>
      <c r="AK634" s="399">
        <f>IFERROR(VLOOKUP($G634,基本資料!$A:$M,13,0),"無")</f>
        <v>0.3</v>
      </c>
    </row>
    <row r="635" spans="1:37">
      <c r="A635" s="347">
        <f>IFERROR(VLOOKUP($G635,基本資料!$A:$J,3,0),"無")</f>
        <v>22.61</v>
      </c>
      <c r="B635" s="79">
        <f>IFERROR(VLOOKUP($G635,基本資料!$A:$J,4,0),"無")</f>
        <v>97</v>
      </c>
      <c r="C635" s="79">
        <f>IFERROR(VLOOKUP($G635,基本資料!$A:$J,5,0),"無")</f>
        <v>57</v>
      </c>
      <c r="D635" s="79">
        <f>IFERROR(VLOOKUP($G635,基本資料!$A:$J,6,0),"無")</f>
        <v>9</v>
      </c>
      <c r="E635" s="79">
        <f>IFERROR(VLOOKUP($G635,基本資料!$A:$J,7,0),"無")</f>
        <v>17</v>
      </c>
      <c r="F635" s="6">
        <f>IFERROR(VLOOKUP($G635,基本資料!$A:$J,8,0),"無")</f>
        <v>24.89</v>
      </c>
      <c r="G635" s="79">
        <v>6202</v>
      </c>
      <c r="H635" s="8" t="s">
        <v>3039</v>
      </c>
      <c r="I635" s="22" t="s">
        <v>119</v>
      </c>
      <c r="J635" s="8" t="str">
        <f>IFERROR(VLOOKUP($G635,今日總結!$A:$AJ,35,0),"")</f>
        <v/>
      </c>
      <c r="K635" s="5" t="str">
        <f>IFERROR(VLOOKUP($G635,今日總結!$A:$AJ,36,0),"")</f>
        <v/>
      </c>
      <c r="L635" s="156" t="str">
        <f>IFERROR(VLOOKUP($G635,今日總結!$A:$AJ,33,0),"")</f>
        <v/>
      </c>
      <c r="M635" s="340" t="str">
        <f>IFERROR(VLOOKUP($G635,今日總結!$A:$AJ,34,0),"")</f>
        <v/>
      </c>
      <c r="N635" s="240" t="str">
        <f t="shared" si="133"/>
        <v/>
      </c>
      <c r="P635" s="365">
        <f>IFERROR(VLOOKUP($G635,融外自投!$A:$J,7,0),"無")</f>
        <v>546</v>
      </c>
      <c r="Q635" s="79">
        <f>IFERROR(VLOOKUP($G635,融外自投!$A:$J,9,0),"無")</f>
        <v>734</v>
      </c>
      <c r="R635" s="346">
        <f>IFERROR(VLOOKUP($G635,融外自投!$A:$J,8,0),"無")</f>
        <v>327</v>
      </c>
      <c r="S635" s="81">
        <f>IFERROR(VLOOKUP($G635,融外自投!$A:$J,10,0),"無")</f>
        <v>362</v>
      </c>
      <c r="T635" s="327">
        <f>IFERROR(VLOOKUP($G635,'321買'!$A:$E,5,0),"'沒有資料'")</f>
        <v>138</v>
      </c>
      <c r="U635" s="186">
        <f>IFERROR(VLOOKUP($G635,基本資料!$A:$J,9,0),"無")</f>
        <v>8.1199999999999992</v>
      </c>
      <c r="V635" s="310">
        <f t="shared" si="128"/>
        <v>8.5294117647058812E-2</v>
      </c>
      <c r="W635" s="94">
        <f>IFERROR(VLOOKUP($G635,基本資料!$A:$J,10,0),"無")</f>
        <v>9.0399999999999991</v>
      </c>
      <c r="X635" s="36">
        <f>RTD("money.excel",,"6202","Price")</f>
        <v>95.2</v>
      </c>
      <c r="Y635" s="66"/>
      <c r="Z635" s="15">
        <f t="shared" si="129"/>
        <v>95.2</v>
      </c>
      <c r="AA635" s="3" t="e">
        <f t="shared" si="130"/>
        <v>#DIV/0!</v>
      </c>
      <c r="AB635" s="344">
        <f>IFERROR(VLOOKUP($G635,基本資料!$A:$M,11,0),"無")</f>
        <v>-38.15</v>
      </c>
      <c r="AC635" s="397">
        <f>IFERROR(VLOOKUP($G635,基本資料!$A:$M,12,0),"無")</f>
        <v>18.02</v>
      </c>
      <c r="AD635" s="22" t="s">
        <v>119</v>
      </c>
      <c r="AG635" s="33">
        <f t="shared" si="131"/>
        <v>0</v>
      </c>
      <c r="AH635" s="117" t="s">
        <v>3022</v>
      </c>
      <c r="AI635" s="63">
        <f t="shared" si="134"/>
        <v>4.3653250773993809E-3</v>
      </c>
      <c r="AJ635" s="284">
        <f>RTD("money.excel",,$G635,"PredictVolume")</f>
        <v>987</v>
      </c>
      <c r="AK635" s="399">
        <f>IFERROR(VLOOKUP($G635,基本資料!$A:$M,13,0),"無")</f>
        <v>16.170000000000002</v>
      </c>
    </row>
    <row r="636" spans="1:37" ht="17.25" customHeight="1">
      <c r="A636" s="347">
        <f>IFERROR(VLOOKUP($G636,基本資料!$A:$J,3,0),"無")</f>
        <v>9.4</v>
      </c>
      <c r="B636" s="79">
        <f>IFERROR(VLOOKUP($G636,基本資料!$A:$J,4,0),"無")</f>
        <v>-2</v>
      </c>
      <c r="C636" s="79">
        <f>IFERROR(VLOOKUP($G636,基本資料!$A:$J,5,0),"無")</f>
        <v>-6</v>
      </c>
      <c r="D636" s="79">
        <f>IFERROR(VLOOKUP($G636,基本資料!$A:$J,6,0),"無")</f>
        <v>3</v>
      </c>
      <c r="E636" s="79">
        <f>IFERROR(VLOOKUP($G636,基本資料!$A:$J,7,0),"無")</f>
        <v>30</v>
      </c>
      <c r="F636" s="6">
        <f>IFERROR(VLOOKUP($G636,基本資料!$A:$J,8,0),"無")</f>
        <v>12.41</v>
      </c>
      <c r="G636" s="79">
        <v>6223</v>
      </c>
      <c r="H636" s="195" t="s">
        <v>3039</v>
      </c>
      <c r="I636" s="16" t="s">
        <v>4061</v>
      </c>
      <c r="J636" s="8" t="str">
        <f>IFERROR(VLOOKUP($G636,今日總結!$A:$AJ,35,0),"")</f>
        <v/>
      </c>
      <c r="K636" s="5" t="str">
        <f>IFERROR(VLOOKUP($G636,今日總結!$A:$AJ,36,0),"")</f>
        <v/>
      </c>
      <c r="L636" s="156" t="str">
        <f>IFERROR(VLOOKUP($G636,今日總結!$A:$AJ,33,0),"")</f>
        <v/>
      </c>
      <c r="M636" s="340" t="str">
        <f>IFERROR(VLOOKUP($G636,今日總結!$A:$AJ,34,0),"")</f>
        <v/>
      </c>
      <c r="N636" s="240" t="str">
        <f t="shared" si="133"/>
        <v/>
      </c>
      <c r="P636" s="365">
        <f>IFERROR(VLOOKUP($G636,融外自投!$A:$J,7,0),"無")</f>
        <v>51</v>
      </c>
      <c r="Q636" s="79">
        <f>IFERROR(VLOOKUP($G636,融外自投!$A:$J,9,0),"無")</f>
        <v>708</v>
      </c>
      <c r="R636" s="346">
        <f>IFERROR(VLOOKUP($G636,融外自投!$A:$J,8,0),"無")</f>
        <v>914</v>
      </c>
      <c r="S636" s="81">
        <f>IFERROR(VLOOKUP($G636,融外自投!$A:$J,10,0),"無")</f>
        <v>51</v>
      </c>
      <c r="T636" s="327">
        <f>IFERROR(VLOOKUP($G636,'321買'!$A:$E,5,0),"'沒有資料'")</f>
        <v>164</v>
      </c>
      <c r="U636" s="186">
        <f>IFERROR(VLOOKUP($G636,基本資料!$A:$J,9,0),"無")</f>
        <v>4</v>
      </c>
      <c r="V636" s="310">
        <f t="shared" si="128"/>
        <v>4.2780748663101602E-2</v>
      </c>
      <c r="W636" s="94">
        <f>IFERROR(VLOOKUP($G636,基本資料!$A:$J,10,0),"無")</f>
        <v>7.44</v>
      </c>
      <c r="X636" s="36">
        <f>RTD("money.excel",,"6223","Price")</f>
        <v>93.5</v>
      </c>
      <c r="Y636" s="66"/>
      <c r="Z636" s="15">
        <f t="shared" si="129"/>
        <v>93.5</v>
      </c>
      <c r="AA636" s="3" t="e">
        <f t="shared" si="130"/>
        <v>#DIV/0!</v>
      </c>
      <c r="AB636" s="344">
        <f>IFERROR(VLOOKUP($G636,基本資料!$A:$M,11,0),"無")</f>
        <v>-47.92</v>
      </c>
      <c r="AC636" s="397">
        <f>IFERROR(VLOOKUP($G636,基本資料!$A:$M,12,0),"無")</f>
        <v>20.68</v>
      </c>
      <c r="AD636" s="16" t="s">
        <v>4061</v>
      </c>
      <c r="AG636" s="33">
        <f t="shared" si="131"/>
        <v>0</v>
      </c>
      <c r="AH636" s="117" t="s">
        <v>2350</v>
      </c>
      <c r="AI636" s="63">
        <f t="shared" si="134"/>
        <v>9.1063829787234041E-3</v>
      </c>
      <c r="AJ636" s="284">
        <f>RTD("money.excel",,$G636,"PredictVolume")</f>
        <v>856</v>
      </c>
      <c r="AK636" s="399">
        <f>IFERROR(VLOOKUP($G636,基本資料!$A:$M,13,0),"無")</f>
        <v>36.74</v>
      </c>
    </row>
    <row r="637" spans="1:37">
      <c r="A637" s="347">
        <f>IFERROR(VLOOKUP($G637,基本資料!$A:$J,3,0),"無")</f>
        <v>3.56</v>
      </c>
      <c r="B637" s="79">
        <f>IFERROR(VLOOKUP($G637,基本資料!$A:$J,4,0),"無")</f>
        <v>239</v>
      </c>
      <c r="C637" s="79">
        <f>IFERROR(VLOOKUP($G637,基本資料!$A:$J,5,0),"無")</f>
        <v>204</v>
      </c>
      <c r="D637" s="79">
        <f>IFERROR(VLOOKUP($G637,基本資料!$A:$J,6,0),"無")</f>
        <v>20</v>
      </c>
      <c r="E637" s="79">
        <f>IFERROR(VLOOKUP($G637,基本資料!$A:$J,7,0),"無")</f>
        <v>-1</v>
      </c>
      <c r="F637" s="6">
        <f>IFERROR(VLOOKUP($G637,基本資料!$A:$J,8,0),"無")</f>
        <v>6.33</v>
      </c>
      <c r="G637" s="79">
        <v>6229</v>
      </c>
      <c r="H637" s="195" t="s">
        <v>3039</v>
      </c>
      <c r="I637" s="16" t="s">
        <v>374</v>
      </c>
      <c r="J637" s="8" t="str">
        <f>IFERROR(VLOOKUP($G637,今日總結!$A:$AJ,35,0),"")</f>
        <v>融</v>
      </c>
      <c r="K637" s="5">
        <f>IFERROR(VLOOKUP($G637,今日總結!$A:$AJ,36,0),"")</f>
        <v>0</v>
      </c>
      <c r="L637" s="156">
        <f>IFERROR(VLOOKUP($G637,今日總結!$A:$AJ,33,0),"")</f>
        <v>1</v>
      </c>
      <c r="M637" s="340">
        <f>IFERROR(VLOOKUP($G637,今日總結!$A:$AJ,34,0),"")</f>
        <v>0</v>
      </c>
      <c r="N637" s="240">
        <f t="shared" si="133"/>
        <v>1</v>
      </c>
      <c r="P637" s="365">
        <f>IFERROR(VLOOKUP($G637,融外自投!$A:$J,7,0),"無")</f>
        <v>47</v>
      </c>
      <c r="Q637" s="79">
        <f>IFERROR(VLOOKUP($G637,融外自投!$A:$J,9,0),"無")</f>
        <v>126</v>
      </c>
      <c r="R637" s="346">
        <f>IFERROR(VLOOKUP($G637,融外自投!$A:$J,8,0),"無")</f>
        <v>1229</v>
      </c>
      <c r="S637" s="81" t="str">
        <f>IFERROR(VLOOKUP($G637,融外自投!$A:$J,10,0),"無")</f>
        <v>無</v>
      </c>
      <c r="T637" s="327">
        <f>IFERROR(VLOOKUP($G637,'321買'!$A:$E,5,0),"'沒有資料'")</f>
        <v>379</v>
      </c>
      <c r="U637" s="186">
        <f>IFERROR(VLOOKUP($G637,基本資料!$A:$J,9,0),"無")</f>
        <v>2.5</v>
      </c>
      <c r="V637" s="310">
        <f t="shared" si="128"/>
        <v>7.8003120124804995E-2</v>
      </c>
      <c r="W637" s="94">
        <f>IFERROR(VLOOKUP($G637,基本資料!$A:$J,10,0),"無")</f>
        <v>4.49</v>
      </c>
      <c r="X637" s="36">
        <f>RTD("money.excel",,"6229","Price")</f>
        <v>32.049999999999997</v>
      </c>
      <c r="Y637" s="66"/>
      <c r="Z637" s="15">
        <f t="shared" si="129"/>
        <v>32.049999999999997</v>
      </c>
      <c r="AA637" s="3" t="e">
        <f t="shared" si="130"/>
        <v>#DIV/0!</v>
      </c>
      <c r="AB637" s="344">
        <f>IFERROR(VLOOKUP($G637,基本資料!$A:$M,11,0),"無")</f>
        <v>-41.88</v>
      </c>
      <c r="AC637" s="397">
        <f>IFERROR(VLOOKUP($G637,基本資料!$A:$M,12,0),"無")</f>
        <v>17.190000000000001</v>
      </c>
      <c r="AD637" s="16" t="s">
        <v>374</v>
      </c>
      <c r="AG637" s="33">
        <f t="shared" si="131"/>
        <v>0</v>
      </c>
      <c r="AH637" s="43" t="s">
        <v>2354</v>
      </c>
      <c r="AI637" s="63">
        <f t="shared" si="134"/>
        <v>2.7808988764044945E-3</v>
      </c>
      <c r="AJ637" s="284">
        <f>RTD("money.excel",,$G637,"PredictVolume")</f>
        <v>99</v>
      </c>
      <c r="AK637" s="399">
        <f>IFERROR(VLOOKUP($G637,基本資料!$A:$M,13,0),"無")</f>
        <v>54.59</v>
      </c>
    </row>
    <row r="638" spans="1:37">
      <c r="A638" s="347">
        <f>IFERROR(VLOOKUP($G638,基本資料!$A:$J,3,0),"無")</f>
        <v>7.96</v>
      </c>
      <c r="B638" s="79">
        <f>IFERROR(VLOOKUP($G638,基本資料!$A:$J,4,0),"無")</f>
        <v>579</v>
      </c>
      <c r="C638" s="79">
        <f>IFERROR(VLOOKUP($G638,基本資料!$A:$J,5,0),"無")</f>
        <v>819</v>
      </c>
      <c r="D638" s="79">
        <f>IFERROR(VLOOKUP($G638,基本資料!$A:$J,6,0),"無")</f>
        <v>8</v>
      </c>
      <c r="E638" s="79">
        <f>IFERROR(VLOOKUP($G638,基本資料!$A:$J,7,0),"無")</f>
        <v>5</v>
      </c>
      <c r="F638" s="6">
        <f>IFERROR(VLOOKUP($G638,基本資料!$A:$J,8,0),"無")</f>
        <v>9.9600000000000009</v>
      </c>
      <c r="G638" s="79">
        <v>6233</v>
      </c>
      <c r="H638" s="145" t="s">
        <v>3039</v>
      </c>
      <c r="I638" s="16" t="s">
        <v>375</v>
      </c>
      <c r="J638" s="8" t="str">
        <f>IFERROR(VLOOKUP($G638,今日總結!$A:$AJ,35,0),"")</f>
        <v>外</v>
      </c>
      <c r="K638" s="5" t="str">
        <f>IFERROR(VLOOKUP($G638,今日總結!$A:$AJ,36,0),"")</f>
        <v>融</v>
      </c>
      <c r="L638" s="156">
        <f>IFERROR(VLOOKUP($G638,今日總結!$A:$AJ,33,0),"")</f>
        <v>1</v>
      </c>
      <c r="M638" s="340">
        <f>IFERROR(VLOOKUP($G638,今日總結!$A:$AJ,34,0),"")</f>
        <v>1</v>
      </c>
      <c r="N638" s="240">
        <f t="shared" si="133"/>
        <v>0</v>
      </c>
      <c r="P638" s="365">
        <f>IFERROR(VLOOKUP($G638,融外自投!$A:$J,7,0),"無")</f>
        <v>164</v>
      </c>
      <c r="Q638" s="79">
        <f>IFERROR(VLOOKUP($G638,融外自投!$A:$J,9,0),"無")</f>
        <v>207</v>
      </c>
      <c r="R638" s="346">
        <f>IFERROR(VLOOKUP($G638,融外自投!$A:$J,8,0),"無")</f>
        <v>877</v>
      </c>
      <c r="S638" s="81" t="str">
        <f>IFERROR(VLOOKUP($G638,融外自投!$A:$J,10,0),"無")</f>
        <v>無</v>
      </c>
      <c r="T638" s="327">
        <f>IFERROR(VLOOKUP($G638,'321買'!$A:$E,5,0),"'沒有資料'")</f>
        <v>752</v>
      </c>
      <c r="U638" s="186">
        <f>IFERROR(VLOOKUP($G638,基本資料!$A:$J,9,0),"無")</f>
        <v>0</v>
      </c>
      <c r="V638" s="310">
        <f t="shared" si="128"/>
        <v>0</v>
      </c>
      <c r="W638" s="94">
        <f>IFERROR(VLOOKUP($G638,基本資料!$A:$J,10,0),"無")</f>
        <v>0.75</v>
      </c>
      <c r="X638" s="36">
        <f>RTD("money.excel",,"6233","Price")</f>
        <v>22.3</v>
      </c>
      <c r="Y638" s="66"/>
      <c r="Z638" s="15">
        <f t="shared" si="129"/>
        <v>22.3</v>
      </c>
      <c r="AA638" s="3" t="e">
        <f t="shared" si="130"/>
        <v>#DIV/0!</v>
      </c>
      <c r="AB638" s="344">
        <f>IFERROR(VLOOKUP($G638,基本資料!$A:$M,11,0),"無")</f>
        <v>-59.81</v>
      </c>
      <c r="AC638" s="397">
        <f>IFERROR(VLOOKUP($G638,基本資料!$A:$M,12,0),"無")</f>
        <v>14.25</v>
      </c>
      <c r="AD638" s="16" t="s">
        <v>375</v>
      </c>
      <c r="AG638" s="33">
        <f t="shared" si="131"/>
        <v>0</v>
      </c>
      <c r="AH638" s="43" t="s">
        <v>2234</v>
      </c>
      <c r="AI638" s="63">
        <f t="shared" si="134"/>
        <v>6.1306532663316579E-3</v>
      </c>
      <c r="AJ638" s="284">
        <f>RTD("money.excel",,$G638,"PredictVolume")</f>
        <v>488</v>
      </c>
      <c r="AK638" s="399">
        <f>IFERROR(VLOOKUP($G638,基本資料!$A:$M,13,0),"無")</f>
        <v>37.56</v>
      </c>
    </row>
    <row r="639" spans="1:37">
      <c r="A639" s="347">
        <f>IFERROR(VLOOKUP($G639,基本資料!$A:$J,3,0),"無")</f>
        <v>7.86</v>
      </c>
      <c r="B639" s="79">
        <f>IFERROR(VLOOKUP($G639,基本資料!$A:$J,4,0),"無")</f>
        <v>137</v>
      </c>
      <c r="C639" s="79">
        <f>IFERROR(VLOOKUP($G639,基本資料!$A:$J,5,0),"無")</f>
        <v>257</v>
      </c>
      <c r="D639" s="79">
        <f>IFERROR(VLOOKUP($G639,基本資料!$A:$J,6,0),"無")</f>
        <v>6</v>
      </c>
      <c r="E639" s="79">
        <f>IFERROR(VLOOKUP($G639,基本資料!$A:$J,7,0),"無")</f>
        <v>-42</v>
      </c>
      <c r="F639" s="6">
        <f>IFERROR(VLOOKUP($G639,基本資料!$A:$J,8,0),"無")</f>
        <v>29.06</v>
      </c>
      <c r="G639" s="79">
        <v>6237</v>
      </c>
      <c r="H639" s="145" t="s">
        <v>3039</v>
      </c>
      <c r="I639" s="16" t="s">
        <v>376</v>
      </c>
      <c r="J639" s="8">
        <f>IFERROR(VLOOKUP($G639,今日總結!$A:$AJ,35,0),"")</f>
        <v>4</v>
      </c>
      <c r="K639" s="5">
        <f>IFERROR(VLOOKUP($G639,今日總結!$A:$AJ,36,0),"")</f>
        <v>0</v>
      </c>
      <c r="L639" s="156">
        <f>IFERROR(VLOOKUP($G639,今日總結!$A:$AJ,33,0),"")</f>
        <v>1</v>
      </c>
      <c r="M639" s="340">
        <f>IFERROR(VLOOKUP($G639,今日總結!$A:$AJ,34,0),"")</f>
        <v>0</v>
      </c>
      <c r="N639" s="240">
        <f t="shared" si="133"/>
        <v>1</v>
      </c>
      <c r="P639" s="365">
        <f>IFERROR(VLOOKUP($G639,融外自投!$A:$J,7,0),"無")</f>
        <v>90</v>
      </c>
      <c r="Q639" s="79">
        <f>IFERROR(VLOOKUP($G639,融外自投!$A:$J,9,0),"無")</f>
        <v>108</v>
      </c>
      <c r="R639" s="346">
        <f>IFERROR(VLOOKUP($G639,融外自投!$A:$J,8,0),"無")</f>
        <v>1177</v>
      </c>
      <c r="S639" s="81" t="str">
        <f>IFERROR(VLOOKUP($G639,融外自投!$A:$J,10,0),"無")</f>
        <v>無</v>
      </c>
      <c r="T639" s="327">
        <f>IFERROR(VLOOKUP($G639,'321買'!$A:$E,5,0),"'沒有資料'")</f>
        <v>271</v>
      </c>
      <c r="U639" s="186">
        <f>IFERROR(VLOOKUP($G639,基本資料!$A:$J,9,0),"無")</f>
        <v>1</v>
      </c>
      <c r="V639" s="310">
        <f t="shared" si="128"/>
        <v>1.8832391713747645E-2</v>
      </c>
      <c r="W639" s="94">
        <f>IFERROR(VLOOKUP($G639,基本資料!$A:$J,10,0),"無")</f>
        <v>5.75</v>
      </c>
      <c r="X639" s="36">
        <f>RTD("money.excel",,"6237","Price")</f>
        <v>53.1</v>
      </c>
      <c r="Y639" s="66"/>
      <c r="Z639" s="15">
        <f t="shared" si="129"/>
        <v>53.1</v>
      </c>
      <c r="AA639" s="3" t="e">
        <f t="shared" si="130"/>
        <v>#DIV/0!</v>
      </c>
      <c r="AB639" s="344">
        <f>IFERROR(VLOOKUP($G639,基本資料!$A:$M,11,0),"無")</f>
        <v>-68.3</v>
      </c>
      <c r="AC639" s="397">
        <f>IFERROR(VLOOKUP($G639,基本資料!$A:$M,12,0),"無")</f>
        <v>12.8</v>
      </c>
      <c r="AD639" s="16" t="s">
        <v>376</v>
      </c>
      <c r="AG639" s="33">
        <f t="shared" si="131"/>
        <v>0</v>
      </c>
      <c r="AH639" s="43" t="s">
        <v>3062</v>
      </c>
      <c r="AI639" s="63">
        <f t="shared" si="134"/>
        <v>7.4936386768447837E-3</v>
      </c>
      <c r="AJ639" s="284">
        <f>RTD("money.excel",,$G639,"PredictVolume")</f>
        <v>589</v>
      </c>
      <c r="AK639" s="399">
        <f>IFERROR(VLOOKUP($G639,基本資料!$A:$M,13,0),"無")</f>
        <v>35.71</v>
      </c>
    </row>
    <row r="640" spans="1:37">
      <c r="A640" s="347">
        <f>IFERROR(VLOOKUP($G640,基本資料!$A:$J,3,0),"無")</f>
        <v>75.91</v>
      </c>
      <c r="B640" s="79">
        <f>IFERROR(VLOOKUP($G640,基本資料!$A:$J,4,0),"無")</f>
        <v>43</v>
      </c>
      <c r="C640" s="79">
        <f>IFERROR(VLOOKUP($G640,基本資料!$A:$J,5,0),"無")</f>
        <v>35</v>
      </c>
      <c r="D640" s="79">
        <f>IFERROR(VLOOKUP($G640,基本資料!$A:$J,6,0),"無")</f>
        <v>3</v>
      </c>
      <c r="E640" s="79">
        <f>IFERROR(VLOOKUP($G640,基本資料!$A:$J,7,0),"無")</f>
        <v>9</v>
      </c>
      <c r="F640" s="6">
        <f>IFERROR(VLOOKUP($G640,基本資料!$A:$J,8,0),"無")</f>
        <v>17.329999999999998</v>
      </c>
      <c r="G640" s="79">
        <v>6239</v>
      </c>
      <c r="H640" s="8" t="s">
        <v>3039</v>
      </c>
      <c r="I640" s="22" t="s">
        <v>22</v>
      </c>
      <c r="J640" s="8" t="str">
        <f>IFERROR(VLOOKUP($G640,今日總結!$A:$AJ,35,0),"")</f>
        <v/>
      </c>
      <c r="K640" s="5" t="str">
        <f>IFERROR(VLOOKUP($G640,今日總結!$A:$AJ,36,0),"")</f>
        <v/>
      </c>
      <c r="L640" s="156" t="str">
        <f>IFERROR(VLOOKUP($G640,今日總結!$A:$AJ,33,0),"")</f>
        <v/>
      </c>
      <c r="M640" s="340" t="str">
        <f>IFERROR(VLOOKUP($G640,今日總結!$A:$AJ,34,0),"")</f>
        <v/>
      </c>
      <c r="N640" s="240" t="str">
        <f t="shared" si="133"/>
        <v/>
      </c>
      <c r="P640" s="365">
        <f>IFERROR(VLOOKUP($G640,融外自投!$A:$J,7,0),"無")</f>
        <v>1135</v>
      </c>
      <c r="Q640" s="79">
        <f>IFERROR(VLOOKUP($G640,融外自投!$A:$J,9,0),"無")</f>
        <v>85</v>
      </c>
      <c r="R640" s="346">
        <f>IFERROR(VLOOKUP($G640,融外自投!$A:$J,8,0),"無")</f>
        <v>89</v>
      </c>
      <c r="S640" s="81">
        <f>IFERROR(VLOOKUP($G640,融外自投!$A:$J,10,0),"無")</f>
        <v>102</v>
      </c>
      <c r="T640" s="327">
        <f>IFERROR(VLOOKUP($G640,'321買'!$A:$E,5,0),"'沒有資料'")</f>
        <v>126</v>
      </c>
      <c r="U640" s="186">
        <f>IFERROR(VLOOKUP($G640,基本資料!$A:$J,9,0),"無")</f>
        <v>6.8</v>
      </c>
      <c r="V640" s="310">
        <f t="shared" si="128"/>
        <v>7.2961373390557929E-2</v>
      </c>
      <c r="W640" s="94">
        <f>IFERROR(VLOOKUP($G640,基本資料!$A:$J,10,0),"無")</f>
        <v>11.54</v>
      </c>
      <c r="X640" s="36">
        <f>RTD("money.excel",,"6239","Price")</f>
        <v>93.2</v>
      </c>
      <c r="Y640" s="66"/>
      <c r="Z640" s="15">
        <f t="shared" si="129"/>
        <v>93.2</v>
      </c>
      <c r="AA640" s="3" t="e">
        <f t="shared" si="130"/>
        <v>#DIV/0!</v>
      </c>
      <c r="AB640" s="344">
        <f>IFERROR(VLOOKUP($G640,基本資料!$A:$M,11,0),"無")</f>
        <v>-19.57</v>
      </c>
      <c r="AC640" s="397">
        <f>IFERROR(VLOOKUP($G640,基本資料!$A:$M,12,0),"無")</f>
        <v>29.94</v>
      </c>
      <c r="AD640" s="22" t="s">
        <v>22</v>
      </c>
      <c r="AG640" s="33">
        <f t="shared" si="131"/>
        <v>0</v>
      </c>
      <c r="AH640" s="117" t="s">
        <v>2298</v>
      </c>
      <c r="AI640" s="63">
        <f t="shared" si="134"/>
        <v>3.1036754050849692E-3</v>
      </c>
      <c r="AJ640" s="284">
        <f>RTD("money.excel",,$G640,"PredictVolume")</f>
        <v>2356</v>
      </c>
      <c r="AK640" s="399">
        <f>IFERROR(VLOOKUP($G640,基本資料!$A:$M,13,0),"無")</f>
        <v>10.43</v>
      </c>
    </row>
    <row r="641" spans="1:37">
      <c r="A641" s="347">
        <f>IFERROR(VLOOKUP($G641,基本資料!$A:$J,3,0),"無")</f>
        <v>4.53</v>
      </c>
      <c r="B641" s="79">
        <f>IFERROR(VLOOKUP($G641,基本資料!$A:$J,4,0),"無")</f>
        <v>198</v>
      </c>
      <c r="C641" s="79">
        <f>IFERROR(VLOOKUP($G641,基本資料!$A:$J,5,0),"無")</f>
        <v>356</v>
      </c>
      <c r="D641" s="79">
        <f>IFERROR(VLOOKUP($G641,基本資料!$A:$J,6,0),"無")</f>
        <v>22</v>
      </c>
      <c r="E641" s="79">
        <f>IFERROR(VLOOKUP($G641,基本資料!$A:$J,7,0),"無")</f>
        <v>2</v>
      </c>
      <c r="F641" s="6">
        <f>IFERROR(VLOOKUP($G641,基本資料!$A:$J,8,0),"無")</f>
        <v>7.92</v>
      </c>
      <c r="G641" s="79">
        <v>6243</v>
      </c>
      <c r="H641" s="8" t="s">
        <v>3039</v>
      </c>
      <c r="I641" s="22" t="s">
        <v>353</v>
      </c>
      <c r="J641" s="8">
        <f>IFERROR(VLOOKUP($G641,今日總結!$A:$AJ,35,0),"")</f>
        <v>0</v>
      </c>
      <c r="K641" s="5" t="str">
        <f>IFERROR(VLOOKUP($G641,今日總結!$A:$AJ,36,0),"")</f>
        <v>融</v>
      </c>
      <c r="L641" s="156">
        <f>IFERROR(VLOOKUP($G641,今日總結!$A:$AJ,33,0),"")</f>
        <v>0</v>
      </c>
      <c r="M641" s="340">
        <f>IFERROR(VLOOKUP($G641,今日總結!$A:$AJ,34,0),"")</f>
        <v>1</v>
      </c>
      <c r="N641" s="240">
        <f t="shared" si="133"/>
        <v>-1</v>
      </c>
      <c r="P641" s="365">
        <f>IFERROR(VLOOKUP($G641,融外自投!$A:$J,7,0),"無")</f>
        <v>156</v>
      </c>
      <c r="Q641" s="79">
        <f>IFERROR(VLOOKUP($G641,融外自投!$A:$J,9,0),"無")</f>
        <v>243</v>
      </c>
      <c r="R641" s="346">
        <f>IFERROR(VLOOKUP($G641,融外自投!$A:$J,8,0),"無")</f>
        <v>1291</v>
      </c>
      <c r="S641" s="81">
        <f>IFERROR(VLOOKUP($G641,融外自投!$A:$J,10,0),"無")</f>
        <v>357</v>
      </c>
      <c r="T641" s="327">
        <f>IFERROR(VLOOKUP($G641,'321買'!$A:$E,5,0),"'沒有資料'")</f>
        <v>779</v>
      </c>
      <c r="U641" s="186">
        <f>IFERROR(VLOOKUP($G641,基本資料!$A:$J,9,0),"無")</f>
        <v>1.2</v>
      </c>
      <c r="V641" s="310">
        <f t="shared" si="128"/>
        <v>3.0573248407643312E-2</v>
      </c>
      <c r="W641" s="94">
        <f>IFERROR(VLOOKUP($G641,基本資料!$A:$J,10,0),"無")</f>
        <v>1.6</v>
      </c>
      <c r="X641" s="36">
        <f>RTD("money.excel",,"6243","Price")</f>
        <v>39.25</v>
      </c>
      <c r="Y641" s="66"/>
      <c r="Z641" s="15">
        <f t="shared" si="129"/>
        <v>39.25</v>
      </c>
      <c r="AA641" s="3" t="e">
        <f t="shared" si="130"/>
        <v>#DIV/0!</v>
      </c>
      <c r="AB641" s="344">
        <f>IFERROR(VLOOKUP($G641,基本資料!$A:$M,11,0),"無")</f>
        <v>-47.65</v>
      </c>
      <c r="AC641" s="397">
        <f>IFERROR(VLOOKUP($G641,基本資料!$A:$M,12,0),"無")</f>
        <v>16.440000000000001</v>
      </c>
      <c r="AD641" s="22" t="s">
        <v>353</v>
      </c>
      <c r="AG641" s="33">
        <f t="shared" si="131"/>
        <v>0</v>
      </c>
      <c r="AH641" s="43" t="s">
        <v>2391</v>
      </c>
      <c r="AI641" s="63">
        <f t="shared" si="134"/>
        <v>6.048565121412804E-3</v>
      </c>
      <c r="AJ641" s="284">
        <f>RTD("money.excel",,$G641,"PredictVolume")</f>
        <v>274</v>
      </c>
      <c r="AK641" s="399">
        <f>IFERROR(VLOOKUP($G641,基本資料!$A:$M,13,0),"無")</f>
        <v>45.13</v>
      </c>
    </row>
    <row r="642" spans="1:37">
      <c r="A642" s="347">
        <f>IFERROR(VLOOKUP($G642,基本資料!$A:$J,3,0),"無")</f>
        <v>45.33</v>
      </c>
      <c r="B642" s="79">
        <f>IFERROR(VLOOKUP($G642,基本資料!$A:$J,4,0),"無")</f>
        <v>57</v>
      </c>
      <c r="C642" s="79">
        <f>IFERROR(VLOOKUP($G642,基本資料!$A:$J,5,0),"無")</f>
        <v>47</v>
      </c>
      <c r="D642" s="79">
        <f>IFERROR(VLOOKUP($G642,基本資料!$A:$J,6,0),"無")</f>
        <v>-4</v>
      </c>
      <c r="E642" s="79">
        <f>IFERROR(VLOOKUP($G642,基本資料!$A:$J,7,0),"無")</f>
        <v>21</v>
      </c>
      <c r="F642" s="6">
        <f>IFERROR(VLOOKUP($G642,基本資料!$A:$J,8,0),"無")</f>
        <v>20.62</v>
      </c>
      <c r="G642" s="79">
        <v>6257</v>
      </c>
      <c r="H642" s="8" t="s">
        <v>307</v>
      </c>
      <c r="I642" s="22" t="s">
        <v>4062</v>
      </c>
      <c r="J642" s="8" t="str">
        <f>IFERROR(VLOOKUP($G642,今日總結!$A:$AJ,35,0),"")</f>
        <v>外主</v>
      </c>
      <c r="K642" s="5" t="str">
        <f>IFERROR(VLOOKUP($G642,今日總結!$A:$AJ,36,0),"")</f>
        <v>融自</v>
      </c>
      <c r="L642" s="156">
        <f>IFERROR(VLOOKUP($G642,今日總結!$A:$AJ,33,0),"")</f>
        <v>2</v>
      </c>
      <c r="M642" s="340">
        <f>IFERROR(VLOOKUP($G642,今日總結!$A:$AJ,34,0),"")</f>
        <v>2</v>
      </c>
      <c r="N642" s="240">
        <f t="shared" si="133"/>
        <v>0</v>
      </c>
      <c r="P642" s="365">
        <f>IFERROR(VLOOKUP($G642,融外自投!$A:$J,7,0),"無")</f>
        <v>580</v>
      </c>
      <c r="Q642" s="79" t="str">
        <f>IFERROR(VLOOKUP($G642,融外自投!$A:$J,9,0),"無")</f>
        <v>無</v>
      </c>
      <c r="R642" s="346">
        <f>IFERROR(VLOOKUP($G642,融外自投!$A:$J,8,0),"無")</f>
        <v>262</v>
      </c>
      <c r="S642" s="81">
        <f>IFERROR(VLOOKUP($G642,融外自投!$A:$J,10,0),"無")</f>
        <v>274</v>
      </c>
      <c r="T642" s="327">
        <f>IFERROR(VLOOKUP($G642,'321買'!$A:$E,5,0),"'沒有資料'")</f>
        <v>416</v>
      </c>
      <c r="U642" s="186">
        <f>IFERROR(VLOOKUP($G642,基本資料!$A:$J,9,0),"無")</f>
        <v>4.0999999999999996</v>
      </c>
      <c r="V642" s="310">
        <f t="shared" si="128"/>
        <v>6.984667802385007E-2</v>
      </c>
      <c r="W642" s="94">
        <f>IFERROR(VLOOKUP($G642,基本資料!$A:$J,10,0),"無")</f>
        <v>6.25</v>
      </c>
      <c r="X642" s="36">
        <f>RTD("money.excel",,"6257","Price")</f>
        <v>58.7</v>
      </c>
      <c r="Y642" s="66"/>
      <c r="Z642" s="15">
        <f t="shared" si="129"/>
        <v>58.7</v>
      </c>
      <c r="AA642" s="3" t="e">
        <f t="shared" si="130"/>
        <v>#DIV/0!</v>
      </c>
      <c r="AB642" s="344">
        <f>IFERROR(VLOOKUP($G642,基本資料!$A:$M,11,0),"無")</f>
        <v>-19.39</v>
      </c>
      <c r="AC642" s="397">
        <f>IFERROR(VLOOKUP($G642,基本資料!$A:$M,12,0),"無")</f>
        <v>56.59</v>
      </c>
      <c r="AD642" s="22" t="s">
        <v>4062</v>
      </c>
      <c r="AG642" s="33">
        <f t="shared" si="131"/>
        <v>0</v>
      </c>
      <c r="AH642" s="43" t="s">
        <v>2806</v>
      </c>
      <c r="AI642" s="63">
        <f t="shared" si="134"/>
        <v>4.2422236929185973E-3</v>
      </c>
      <c r="AJ642" s="284">
        <f>RTD("money.excel",,$G642,"PredictVolume")</f>
        <v>1923</v>
      </c>
      <c r="AK642" s="399">
        <f>IFERROR(VLOOKUP($G642,基本資料!$A:$M,13,0),"無")</f>
        <v>6.12</v>
      </c>
    </row>
    <row r="643" spans="1:37">
      <c r="A643" s="347">
        <f>IFERROR(VLOOKUP($G643,基本資料!$A:$J,3,0),"無")</f>
        <v>12.84</v>
      </c>
      <c r="B643" s="79">
        <f>IFERROR(VLOOKUP($G643,基本資料!$A:$J,4,0),"無")</f>
        <v>109</v>
      </c>
      <c r="C643" s="79">
        <f>IFERROR(VLOOKUP($G643,基本資料!$A:$J,5,0),"無")</f>
        <v>101</v>
      </c>
      <c r="D643" s="79">
        <f>IFERROR(VLOOKUP($G643,基本資料!$A:$J,6,0),"無")</f>
        <v>-12</v>
      </c>
      <c r="E643" s="79">
        <f>IFERROR(VLOOKUP($G643,基本資料!$A:$J,7,0),"無")</f>
        <v>-14</v>
      </c>
      <c r="F643" s="6">
        <f>IFERROR(VLOOKUP($G643,基本資料!$A:$J,8,0),"無")</f>
        <v>26.69</v>
      </c>
      <c r="G643" s="79">
        <v>6261</v>
      </c>
      <c r="H643" s="145" t="s">
        <v>3039</v>
      </c>
      <c r="I643" s="24" t="s">
        <v>249</v>
      </c>
      <c r="J643" s="8" t="str">
        <f>IFERROR(VLOOKUP($G643,今日總結!$A:$AJ,35,0),"")</f>
        <v/>
      </c>
      <c r="K643" s="5" t="str">
        <f>IFERROR(VLOOKUP($G643,今日總結!$A:$AJ,36,0),"")</f>
        <v/>
      </c>
      <c r="L643" s="156" t="str">
        <f>IFERROR(VLOOKUP($G643,今日總結!$A:$AJ,33,0),"")</f>
        <v/>
      </c>
      <c r="M643" s="340" t="str">
        <f>IFERROR(VLOOKUP($G643,今日總結!$A:$AJ,34,0),"")</f>
        <v/>
      </c>
      <c r="N643" s="240" t="str">
        <f t="shared" si="133"/>
        <v/>
      </c>
      <c r="P643" s="365">
        <f>IFERROR(VLOOKUP($G643,融外自投!$A:$J,7,0),"無")</f>
        <v>582</v>
      </c>
      <c r="Q643" s="79">
        <f>IFERROR(VLOOKUP($G643,融外自投!$A:$J,9,0),"無")</f>
        <v>586</v>
      </c>
      <c r="R643" s="346">
        <f>IFERROR(VLOOKUP($G643,融外自投!$A:$J,8,0),"無")</f>
        <v>917</v>
      </c>
      <c r="S643" s="81" t="str">
        <f>IFERROR(VLOOKUP($G643,融外自投!$A:$J,10,0),"無")</f>
        <v>無</v>
      </c>
      <c r="T643" s="327">
        <f>IFERROR(VLOOKUP($G643,'321買'!$A:$E,5,0),"'沒有資料'")</f>
        <v>584</v>
      </c>
      <c r="U643" s="186">
        <f>IFERROR(VLOOKUP($G643,基本資料!$A:$J,9,0),"無")</f>
        <v>5</v>
      </c>
      <c r="V643" s="310">
        <f t="shared" si="128"/>
        <v>6.9444444444444448E-2</v>
      </c>
      <c r="W643" s="94">
        <f>IFERROR(VLOOKUP($G643,基本資料!$A:$J,10,0),"無")</f>
        <v>8.41</v>
      </c>
      <c r="X643" s="36">
        <f>RTD("money.excel",,"6261","Price")</f>
        <v>72</v>
      </c>
      <c r="Y643" s="66"/>
      <c r="Z643" s="15">
        <f t="shared" si="129"/>
        <v>72</v>
      </c>
      <c r="AA643" s="3" t="e">
        <f t="shared" si="130"/>
        <v>#DIV/0!</v>
      </c>
      <c r="AB643" s="344">
        <f>IFERROR(VLOOKUP($G643,基本資料!$A:$M,11,0),"無")</f>
        <v>-31.08</v>
      </c>
      <c r="AC643" s="397">
        <f>IFERROR(VLOOKUP($G643,基本資料!$A:$M,12,0),"無")</f>
        <v>19.38</v>
      </c>
      <c r="AD643" s="24" t="s">
        <v>249</v>
      </c>
      <c r="AG643" s="33">
        <f t="shared" si="131"/>
        <v>0</v>
      </c>
      <c r="AH643" s="119" t="s">
        <v>1982</v>
      </c>
      <c r="AI643" s="63">
        <f t="shared" si="134"/>
        <v>2.4844236760124612E-3</v>
      </c>
      <c r="AJ643" s="284">
        <f>RTD("money.excel",,$G643,"PredictVolume")</f>
        <v>319</v>
      </c>
      <c r="AK643" s="399">
        <f>IFERROR(VLOOKUP($G643,基本資料!$A:$M,13,0),"無")</f>
        <v>15.48</v>
      </c>
    </row>
    <row r="644" spans="1:37">
      <c r="A644" s="347">
        <f>IFERROR(VLOOKUP($G644,基本資料!$A:$J,3,0),"無")</f>
        <v>17.86</v>
      </c>
      <c r="B644" s="79">
        <f>IFERROR(VLOOKUP($G644,基本資料!$A:$J,4,0),"無")</f>
        <v>90</v>
      </c>
      <c r="C644" s="79">
        <f>IFERROR(VLOOKUP($G644,基本資料!$A:$J,5,0),"無")</f>
        <v>69</v>
      </c>
      <c r="D644" s="79">
        <f>IFERROR(VLOOKUP($G644,基本資料!$A:$J,6,0),"無")</f>
        <v>-4</v>
      </c>
      <c r="E644" s="79">
        <f>IFERROR(VLOOKUP($G644,基本資料!$A:$J,7,0),"無")</f>
        <v>6</v>
      </c>
      <c r="F644" s="6">
        <f>IFERROR(VLOOKUP($G644,基本資料!$A:$J,8,0),"無")</f>
        <v>24.5</v>
      </c>
      <c r="G644" s="79">
        <v>6271</v>
      </c>
      <c r="H644" s="8" t="s">
        <v>307</v>
      </c>
      <c r="I644" s="22" t="s">
        <v>55</v>
      </c>
      <c r="J644" s="8" t="str">
        <f>IFERROR(VLOOKUP($G644,今日總結!$A:$AJ,35,0),"")</f>
        <v/>
      </c>
      <c r="K644" s="5" t="str">
        <f>IFERROR(VLOOKUP($G644,今日總結!$A:$AJ,36,0),"")</f>
        <v/>
      </c>
      <c r="L644" s="156" t="str">
        <f>IFERROR(VLOOKUP($G644,今日總結!$A:$AJ,33,0),"")</f>
        <v/>
      </c>
      <c r="M644" s="340" t="str">
        <f>IFERROR(VLOOKUP($G644,今日總結!$A:$AJ,34,0),"")</f>
        <v/>
      </c>
      <c r="N644" s="240" t="str">
        <f t="shared" si="133"/>
        <v/>
      </c>
      <c r="P644" s="365">
        <f>IFERROR(VLOOKUP($G644,融外自投!$A:$J,7,0),"無")</f>
        <v>632</v>
      </c>
      <c r="Q644" s="79">
        <f>IFERROR(VLOOKUP($G644,融外自投!$A:$J,9,0),"無")</f>
        <v>137</v>
      </c>
      <c r="R644" s="346">
        <f>IFERROR(VLOOKUP($G644,融外自投!$A:$J,8,0),"無")</f>
        <v>118</v>
      </c>
      <c r="S644" s="81">
        <f>IFERROR(VLOOKUP($G644,融外自投!$A:$J,10,0),"無")</f>
        <v>11</v>
      </c>
      <c r="T644" s="327">
        <f>IFERROR(VLOOKUP($G644,'321買'!$A:$E,5,0),"'沒有資料'")</f>
        <v>47</v>
      </c>
      <c r="U644" s="186">
        <f>IFERROR(VLOOKUP($G644,基本資料!$A:$J,9,0),"無")</f>
        <v>9</v>
      </c>
      <c r="V644" s="310">
        <f t="shared" si="128"/>
        <v>3.7656903765690378E-2</v>
      </c>
      <c r="W644" s="94">
        <f>IFERROR(VLOOKUP($G644,基本資料!$A:$J,10,0),"無")</f>
        <v>15.49</v>
      </c>
      <c r="X644" s="36">
        <f>RTD("money.excel",,"6271","Price")</f>
        <v>239</v>
      </c>
      <c r="Y644" s="66"/>
      <c r="Z644" s="15">
        <f t="shared" si="129"/>
        <v>239</v>
      </c>
      <c r="AA644" s="3" t="e">
        <f t="shared" si="130"/>
        <v>#DIV/0!</v>
      </c>
      <c r="AB644" s="344">
        <f>IFERROR(VLOOKUP($G644,基本資料!$A:$M,11,0),"無")</f>
        <v>-27.51</v>
      </c>
      <c r="AC644" s="397">
        <f>IFERROR(VLOOKUP($G644,基本資料!$A:$M,12,0),"無")</f>
        <v>19.63</v>
      </c>
      <c r="AD644" s="22" t="s">
        <v>55</v>
      </c>
      <c r="AG644" s="33">
        <f t="shared" si="131"/>
        <v>0</v>
      </c>
      <c r="AH644" s="117" t="s">
        <v>2296</v>
      </c>
      <c r="AI644" s="63">
        <f t="shared" si="134"/>
        <v>6.2933930571108625E-3</v>
      </c>
      <c r="AJ644" s="284">
        <f>RTD("money.excel",,$G644,"PredictVolume")</f>
        <v>1124</v>
      </c>
      <c r="AK644" s="399">
        <f>IFERROR(VLOOKUP($G644,基本資料!$A:$M,13,0),"無")</f>
        <v>13.98</v>
      </c>
    </row>
    <row r="645" spans="1:37">
      <c r="A645" s="347">
        <f>IFERROR(VLOOKUP($G645,基本資料!$A:$J,3,0),"無")</f>
        <v>43.81</v>
      </c>
      <c r="B645" s="79">
        <f>IFERROR(VLOOKUP($G645,基本資料!$A:$J,4,0),"無")</f>
        <v>169</v>
      </c>
      <c r="C645" s="79">
        <f>IFERROR(VLOOKUP($G645,基本資料!$A:$J,5,0),"無")</f>
        <v>199</v>
      </c>
      <c r="D645" s="79">
        <f>IFERROR(VLOOKUP($G645,基本資料!$A:$J,6,0),"無")</f>
        <v>2</v>
      </c>
      <c r="E645" s="79">
        <f>IFERROR(VLOOKUP($G645,基本資料!$A:$J,7,0),"無")</f>
        <v>46</v>
      </c>
      <c r="F645" s="6">
        <f>IFERROR(VLOOKUP($G645,基本資料!$A:$J,8,0),"無")</f>
        <v>7.37</v>
      </c>
      <c r="G645" s="79">
        <v>6287</v>
      </c>
      <c r="H645" s="145" t="s">
        <v>3039</v>
      </c>
      <c r="I645" s="16" t="s">
        <v>377</v>
      </c>
      <c r="J645" s="8" t="str">
        <f>IFERROR(VLOOKUP($G645,今日總結!$A:$AJ,35,0),"")</f>
        <v/>
      </c>
      <c r="K645" s="5" t="str">
        <f>IFERROR(VLOOKUP($G645,今日總結!$A:$AJ,36,0),"")</f>
        <v/>
      </c>
      <c r="L645" s="156" t="str">
        <f>IFERROR(VLOOKUP($G645,今日總結!$A:$AJ,33,0),"")</f>
        <v/>
      </c>
      <c r="M645" s="340" t="str">
        <f>IFERROR(VLOOKUP($G645,今日總結!$A:$AJ,34,0),"")</f>
        <v/>
      </c>
      <c r="N645" s="240" t="str">
        <f t="shared" si="133"/>
        <v/>
      </c>
      <c r="P645" s="365" t="str">
        <f>IFERROR(VLOOKUP($G645,融外自投!$A:$J,7,0),"無")</f>
        <v>無</v>
      </c>
      <c r="Q645" s="79" t="str">
        <f>IFERROR(VLOOKUP($G645,融外自投!$A:$J,9,0),"無")</f>
        <v>無</v>
      </c>
      <c r="R645" s="346" t="str">
        <f>IFERROR(VLOOKUP($G645,融外自投!$A:$J,8,0),"無")</f>
        <v>無</v>
      </c>
      <c r="S645" s="81" t="str">
        <f>IFERROR(VLOOKUP($G645,融外自投!$A:$J,10,0),"無")</f>
        <v>無</v>
      </c>
      <c r="T645" s="327" t="str">
        <f>IFERROR(VLOOKUP($G645,'321買'!$A:$E,5,0),"'沒有資料'")</f>
        <v>'沒有資料'</v>
      </c>
      <c r="U645" s="186">
        <f>IFERROR(VLOOKUP($G645,基本資料!$A:$J,9,0),"無")</f>
        <v>0</v>
      </c>
      <c r="V645" s="310">
        <f t="shared" si="128"/>
        <v>0</v>
      </c>
      <c r="W645" s="94">
        <f>IFERROR(VLOOKUP($G645,基本資料!$A:$J,10,0),"無")</f>
        <v>0.24</v>
      </c>
      <c r="X645" s="36">
        <f>RTD("money.excel",,"6287","Price")</f>
        <v>7.85</v>
      </c>
      <c r="Y645" s="66"/>
      <c r="Z645" s="15">
        <f t="shared" si="129"/>
        <v>7.85</v>
      </c>
      <c r="AA645" s="3" t="e">
        <f t="shared" si="130"/>
        <v>#DIV/0!</v>
      </c>
      <c r="AB645" s="344">
        <f>IFERROR(VLOOKUP($G645,基本資料!$A:$M,11,0),"無")</f>
        <v>-56.54</v>
      </c>
      <c r="AC645" s="397">
        <f>IFERROR(VLOOKUP($G645,基本資料!$A:$M,12,0),"無")</f>
        <v>18.91</v>
      </c>
      <c r="AD645" s="16" t="s">
        <v>377</v>
      </c>
      <c r="AG645" s="33">
        <f t="shared" si="131"/>
        <v>0</v>
      </c>
      <c r="AH645" s="43" t="s">
        <v>1797</v>
      </c>
      <c r="AI645" s="63">
        <f t="shared" si="134"/>
        <v>7.7607852088564249E-5</v>
      </c>
      <c r="AJ645" s="284">
        <f>RTD("money.excel",,$G645,"PredictVolume")</f>
        <v>34</v>
      </c>
      <c r="AK645" s="399">
        <f>IFERROR(VLOOKUP($G645,基本資料!$A:$M,13,0),"無")</f>
        <v>0.68</v>
      </c>
    </row>
    <row r="646" spans="1:37">
      <c r="A646" s="347">
        <f>IFERROR(VLOOKUP($G646,基本資料!$A:$J,3,0),"無")</f>
        <v>6.3</v>
      </c>
      <c r="B646" s="79">
        <f>IFERROR(VLOOKUP($G646,基本資料!$A:$J,4,0),"無")</f>
        <v>104</v>
      </c>
      <c r="C646" s="79">
        <f>IFERROR(VLOOKUP($G646,基本資料!$A:$J,5,0),"無")</f>
        <v>168</v>
      </c>
      <c r="D646" s="79">
        <f>IFERROR(VLOOKUP($G646,基本資料!$A:$J,6,0),"無")</f>
        <v>-12</v>
      </c>
      <c r="E646" s="79">
        <f>IFERROR(VLOOKUP($G646,基本資料!$A:$J,7,0),"無")</f>
        <v>30</v>
      </c>
      <c r="F646" s="6">
        <f>IFERROR(VLOOKUP($G646,基本資料!$A:$J,8,0),"無")</f>
        <v>6.87</v>
      </c>
      <c r="G646" s="79">
        <v>6291</v>
      </c>
      <c r="H646" s="145" t="s">
        <v>3039</v>
      </c>
      <c r="I646" s="16" t="s">
        <v>378</v>
      </c>
      <c r="J646" s="8" t="str">
        <f>IFERROR(VLOOKUP($G646,今日總結!$A:$AJ,35,0),"")</f>
        <v/>
      </c>
      <c r="K646" s="5" t="str">
        <f>IFERROR(VLOOKUP($G646,今日總結!$A:$AJ,36,0),"")</f>
        <v/>
      </c>
      <c r="L646" s="156" t="str">
        <f>IFERROR(VLOOKUP($G646,今日總結!$A:$AJ,33,0),"")</f>
        <v/>
      </c>
      <c r="M646" s="340" t="str">
        <f>IFERROR(VLOOKUP($G646,今日總結!$A:$AJ,34,0),"")</f>
        <v/>
      </c>
      <c r="N646" s="240" t="str">
        <f t="shared" si="133"/>
        <v/>
      </c>
      <c r="P646" s="365" t="str">
        <f>IFERROR(VLOOKUP($G646,融外自投!$A:$J,7,0),"無")</f>
        <v>無</v>
      </c>
      <c r="Q646" s="79" t="str">
        <f>IFERROR(VLOOKUP($G646,融外自投!$A:$J,9,0),"無")</f>
        <v>無</v>
      </c>
      <c r="R646" s="346" t="str">
        <f>IFERROR(VLOOKUP($G646,融外自投!$A:$J,8,0),"無")</f>
        <v>無</v>
      </c>
      <c r="S646" s="81" t="str">
        <f>IFERROR(VLOOKUP($G646,融外自投!$A:$J,10,0),"無")</f>
        <v>無</v>
      </c>
      <c r="T646" s="327" t="str">
        <f>IFERROR(VLOOKUP($G646,'321買'!$A:$E,5,0),"'沒有資料'")</f>
        <v>'沒有資料'</v>
      </c>
      <c r="U646" s="186">
        <f>IFERROR(VLOOKUP($G646,基本資料!$A:$J,9,0),"無")</f>
        <v>0</v>
      </c>
      <c r="V646" s="310">
        <f t="shared" si="128"/>
        <v>0</v>
      </c>
      <c r="W646" s="94">
        <f>IFERROR(VLOOKUP($G646,基本資料!$A:$J,10,0),"無")</f>
        <v>1.19</v>
      </c>
      <c r="X646" s="36">
        <f>RTD("money.excel",,"6291","Price")</f>
        <v>69.400000000000006</v>
      </c>
      <c r="Y646" s="66"/>
      <c r="Z646" s="15">
        <f t="shared" si="129"/>
        <v>69.400000000000006</v>
      </c>
      <c r="AA646" s="3" t="e">
        <f t="shared" si="130"/>
        <v>#DIV/0!</v>
      </c>
      <c r="AB646" s="344">
        <f>IFERROR(VLOOKUP($G646,基本資料!$A:$M,11,0),"無")</f>
        <v>-10.51</v>
      </c>
      <c r="AC646" s="397">
        <f>IFERROR(VLOOKUP($G646,基本資料!$A:$M,12,0),"無")</f>
        <v>82.93</v>
      </c>
      <c r="AD646" s="16" t="s">
        <v>378</v>
      </c>
      <c r="AG646" s="33">
        <f t="shared" si="131"/>
        <v>0</v>
      </c>
      <c r="AH646" s="43" t="s">
        <v>1438</v>
      </c>
      <c r="AI646" s="63">
        <f t="shared" si="134"/>
        <v>2.8571428571428574E-4</v>
      </c>
      <c r="AJ646" s="284">
        <f>RTD("money.excel",,$G646,"PredictVolume")</f>
        <v>18</v>
      </c>
      <c r="AK646" s="399">
        <f>IFERROR(VLOOKUP($G646,基本資料!$A:$M,13,0),"無")</f>
        <v>0.84</v>
      </c>
    </row>
    <row r="647" spans="1:37">
      <c r="A647" s="347">
        <f>IFERROR(VLOOKUP($G647,基本資料!$A:$J,3,0),"無")</f>
        <v>9.17</v>
      </c>
      <c r="B647" s="79">
        <f>IFERROR(VLOOKUP($G647,基本資料!$A:$J,4,0),"無")</f>
        <v>81</v>
      </c>
      <c r="C647" s="79">
        <f>IFERROR(VLOOKUP($G647,基本資料!$A:$J,5,0),"無")</f>
        <v>87</v>
      </c>
      <c r="D647" s="79">
        <f>IFERROR(VLOOKUP($G647,基本資料!$A:$J,6,0),"無")</f>
        <v>5</v>
      </c>
      <c r="E647" s="79">
        <f>IFERROR(VLOOKUP($G647,基本資料!$A:$J,7,0),"無")</f>
        <v>-12</v>
      </c>
      <c r="F647" s="6">
        <f>IFERROR(VLOOKUP($G647,基本資料!$A:$J,8,0),"無")</f>
        <v>27.55</v>
      </c>
      <c r="G647" s="79">
        <v>6411</v>
      </c>
      <c r="H647" s="145" t="s">
        <v>307</v>
      </c>
      <c r="I647" s="16" t="s">
        <v>251</v>
      </c>
      <c r="J647" s="8" t="str">
        <f>IFERROR(VLOOKUP($G647,今日總結!$A:$AJ,35,0),"")</f>
        <v>42借</v>
      </c>
      <c r="K647" s="5">
        <f>IFERROR(VLOOKUP($G647,今日總結!$A:$AJ,36,0),"")</f>
        <v>0</v>
      </c>
      <c r="L647" s="156">
        <f>IFERROR(VLOOKUP($G647,今日總結!$A:$AJ,33,0),"")</f>
        <v>3</v>
      </c>
      <c r="M647" s="340">
        <f>IFERROR(VLOOKUP($G647,今日總結!$A:$AJ,34,0),"")</f>
        <v>0</v>
      </c>
      <c r="N647" s="240">
        <f t="shared" si="133"/>
        <v>3</v>
      </c>
      <c r="P647" s="365">
        <f>IFERROR(VLOOKUP($G647,融外自投!$A:$J,7,0),"無")</f>
        <v>76</v>
      </c>
      <c r="Q647" s="79">
        <f>IFERROR(VLOOKUP($G647,融外自投!$A:$J,9,0),"無")</f>
        <v>435</v>
      </c>
      <c r="R647" s="346">
        <f>IFERROR(VLOOKUP($G647,融外自投!$A:$J,8,0),"無")</f>
        <v>384</v>
      </c>
      <c r="S647" s="81">
        <f>IFERROR(VLOOKUP($G647,融外自投!$A:$J,10,0),"無")</f>
        <v>298</v>
      </c>
      <c r="T647" s="327">
        <f>IFERROR(VLOOKUP($G647,'321買'!$A:$E,5,0),"'沒有資料'")</f>
        <v>14</v>
      </c>
      <c r="U647" s="186">
        <f>IFERROR(VLOOKUP($G647,基本資料!$A:$J,9,0),"無")</f>
        <v>7.22</v>
      </c>
      <c r="V647" s="310">
        <f t="shared" si="128"/>
        <v>4.9452054794520549E-2</v>
      </c>
      <c r="W647" s="94">
        <f>IFERROR(VLOOKUP($G647,基本資料!$A:$J,10,0),"無")</f>
        <v>10.32</v>
      </c>
      <c r="X647" s="36">
        <f>RTD("money.excel",,"6411","Price")</f>
        <v>146</v>
      </c>
      <c r="Y647" s="66"/>
      <c r="Z647" s="15">
        <f t="shared" si="129"/>
        <v>146</v>
      </c>
      <c r="AA647" s="3" t="e">
        <f t="shared" si="130"/>
        <v>#DIV/0!</v>
      </c>
      <c r="AB647" s="344">
        <f>IFERROR(VLOOKUP($G647,基本資料!$A:$M,11,0),"無")</f>
        <v>-55.46</v>
      </c>
      <c r="AC647" s="397">
        <f>IFERROR(VLOOKUP($G647,基本資料!$A:$M,12,0),"無")</f>
        <v>17.28</v>
      </c>
      <c r="AD647" s="16" t="s">
        <v>251</v>
      </c>
      <c r="AG647" s="33">
        <f t="shared" si="131"/>
        <v>0</v>
      </c>
      <c r="AH647" s="43" t="s">
        <v>2148</v>
      </c>
      <c r="AI647" s="63">
        <f t="shared" si="134"/>
        <v>6.8440567066521268E-2</v>
      </c>
      <c r="AJ647" s="284">
        <f>RTD("money.excel",,$G647,"PredictVolume")</f>
        <v>6276</v>
      </c>
      <c r="AK647" s="399">
        <f>IFERROR(VLOOKUP($G647,基本資料!$A:$M,13,0),"無")</f>
        <v>48.08</v>
      </c>
    </row>
    <row r="648" spans="1:37">
      <c r="A648" s="347">
        <f>IFERROR(VLOOKUP($G648,基本資料!$A:$J,3,0),"無")</f>
        <v>9.4700000000000006</v>
      </c>
      <c r="B648" s="79">
        <f>IFERROR(VLOOKUP($G648,基本資料!$A:$J,4,0),"無")</f>
        <v>78</v>
      </c>
      <c r="C648" s="79">
        <f>IFERROR(VLOOKUP($G648,基本資料!$A:$J,5,0),"無")</f>
        <v>113</v>
      </c>
      <c r="D648" s="79">
        <f>IFERROR(VLOOKUP($G648,基本資料!$A:$J,6,0),"無")</f>
        <v>17</v>
      </c>
      <c r="E648" s="79">
        <f>IFERROR(VLOOKUP($G648,基本資料!$A:$J,7,0),"無")</f>
        <v>40</v>
      </c>
      <c r="F648" s="6">
        <f>IFERROR(VLOOKUP($G648,基本資料!$A:$J,8,0),"無")</f>
        <v>30.86</v>
      </c>
      <c r="G648" s="79">
        <v>6415</v>
      </c>
      <c r="H648" s="8" t="s">
        <v>3039</v>
      </c>
      <c r="I648" s="22" t="s">
        <v>256</v>
      </c>
      <c r="J648" s="8" t="str">
        <f>IFERROR(VLOOKUP($G648,今日總結!$A:$AJ,35,0),"")</f>
        <v>融借</v>
      </c>
      <c r="K648" s="5">
        <f>IFERROR(VLOOKUP($G648,今日總結!$A:$AJ,36,0),"")</f>
        <v>0</v>
      </c>
      <c r="L648" s="156">
        <f>IFERROR(VLOOKUP($G648,今日總結!$A:$AJ,33,0),"")</f>
        <v>2</v>
      </c>
      <c r="M648" s="340">
        <f>IFERROR(VLOOKUP($G648,今日總結!$A:$AJ,34,0),"")</f>
        <v>0</v>
      </c>
      <c r="N648" s="240">
        <f t="shared" si="133"/>
        <v>2</v>
      </c>
      <c r="P648" s="365">
        <f>IFERROR(VLOOKUP($G648,融外自投!$A:$J,7,0),"無")</f>
        <v>1201</v>
      </c>
      <c r="Q648" s="79">
        <f>IFERROR(VLOOKUP($G648,融外自投!$A:$J,9,0),"無")</f>
        <v>708</v>
      </c>
      <c r="R648" s="346">
        <f>IFERROR(VLOOKUP($G648,融外自投!$A:$J,8,0),"無")</f>
        <v>1</v>
      </c>
      <c r="S648" s="81">
        <f>IFERROR(VLOOKUP($G648,融外自投!$A:$J,10,0),"無")</f>
        <v>118</v>
      </c>
      <c r="T648" s="327">
        <f>IFERROR(VLOOKUP($G648,'321買'!$A:$E,5,0),"'沒有資料'")</f>
        <v>248</v>
      </c>
      <c r="U648" s="186">
        <f>IFERROR(VLOOKUP($G648,基本資料!$A:$J,9,0),"無")</f>
        <v>17.98</v>
      </c>
      <c r="V648" s="310">
        <f t="shared" si="128"/>
        <v>7.1067193675889333E-3</v>
      </c>
      <c r="W648" s="94">
        <f>IFERROR(VLOOKUP($G648,基本資料!$A:$J,10,0),"無")</f>
        <v>61.51</v>
      </c>
      <c r="X648" s="372">
        <f>RTD("money.excel",,"6415","Price")</f>
        <v>2530</v>
      </c>
      <c r="Y648" s="66"/>
      <c r="Z648" s="137">
        <f t="shared" si="129"/>
        <v>2530</v>
      </c>
      <c r="AA648" s="3" t="e">
        <f t="shared" si="130"/>
        <v>#DIV/0!</v>
      </c>
      <c r="AB648" s="344">
        <f>IFERROR(VLOOKUP($G648,基本資料!$A:$M,11,0),"無")</f>
        <v>-55.65</v>
      </c>
      <c r="AC648" s="397">
        <f>IFERROR(VLOOKUP($G648,基本資料!$A:$M,12,0),"無")</f>
        <v>11.59</v>
      </c>
      <c r="AD648" s="22" t="s">
        <v>256</v>
      </c>
      <c r="AG648" s="33">
        <f t="shared" si="131"/>
        <v>0</v>
      </c>
      <c r="AH648" s="117" t="s">
        <v>1438</v>
      </c>
      <c r="AI648" s="63">
        <f t="shared" si="134"/>
        <v>7.7296726504751849E-3</v>
      </c>
      <c r="AJ648" s="284">
        <f>RTD("money.excel",,$G648,"PredictVolume")</f>
        <v>732</v>
      </c>
      <c r="AK648" s="399">
        <f>IFERROR(VLOOKUP($G648,基本資料!$A:$M,13,0),"無")</f>
        <v>2.78</v>
      </c>
    </row>
    <row r="649" spans="1:37">
      <c r="A649" s="347">
        <f>IFERROR(VLOOKUP($G649,基本資料!$A:$J,3,0),"無")</f>
        <v>3.34</v>
      </c>
      <c r="B649" s="79">
        <f>IFERROR(VLOOKUP($G649,基本資料!$A:$J,4,0),"無")</f>
        <v>87</v>
      </c>
      <c r="C649" s="79">
        <f>IFERROR(VLOOKUP($G649,基本資料!$A:$J,5,0),"無")</f>
        <v>100</v>
      </c>
      <c r="D649" s="79">
        <f>IFERROR(VLOOKUP($G649,基本資料!$A:$J,6,0),"無")</f>
        <v>-4</v>
      </c>
      <c r="E649" s="79">
        <f>IFERROR(VLOOKUP($G649,基本資料!$A:$J,7,0),"無")</f>
        <v>30</v>
      </c>
      <c r="F649" s="6">
        <f>IFERROR(VLOOKUP($G649,基本資料!$A:$J,8,0),"無")</f>
        <v>15.93</v>
      </c>
      <c r="G649" s="79">
        <v>6435</v>
      </c>
      <c r="H649" s="8" t="s">
        <v>3039</v>
      </c>
      <c r="I649" s="16" t="s">
        <v>4063</v>
      </c>
      <c r="J649" s="8">
        <f>IFERROR(VLOOKUP($G649,今日總結!$A:$AJ,35,0),"")</f>
        <v>5</v>
      </c>
      <c r="K649" s="5">
        <f>IFERROR(VLOOKUP($G649,今日總結!$A:$AJ,36,0),"")</f>
        <v>0</v>
      </c>
      <c r="L649" s="156">
        <f>IFERROR(VLOOKUP($G649,今日總結!$A:$AJ,33,0),"")</f>
        <v>1</v>
      </c>
      <c r="M649" s="340">
        <f>IFERROR(VLOOKUP($G649,今日總結!$A:$AJ,34,0),"")</f>
        <v>0</v>
      </c>
      <c r="N649" s="240">
        <f t="shared" si="133"/>
        <v>1</v>
      </c>
      <c r="P649" s="365">
        <f>IFERROR(VLOOKUP($G649,融外自投!$A:$J,7,0),"無")</f>
        <v>118</v>
      </c>
      <c r="Q649" s="79">
        <f>IFERROR(VLOOKUP($G649,融外自投!$A:$J,9,0),"無")</f>
        <v>121</v>
      </c>
      <c r="R649" s="346">
        <f>IFERROR(VLOOKUP($G649,融外自投!$A:$J,8,0),"無")</f>
        <v>967</v>
      </c>
      <c r="S649" s="81" t="str">
        <f>IFERROR(VLOOKUP($G649,融外自投!$A:$J,10,0),"無")</f>
        <v>無</v>
      </c>
      <c r="T649" s="327">
        <f>IFERROR(VLOOKUP($G649,'321買'!$A:$E,5,0),"'沒有資料'")</f>
        <v>710</v>
      </c>
      <c r="U649" s="186">
        <f>IFERROR(VLOOKUP($G649,基本資料!$A:$J,9,0),"無")</f>
        <v>7.2</v>
      </c>
      <c r="V649" s="310">
        <f t="shared" si="128"/>
        <v>4.8484848484848485E-2</v>
      </c>
      <c r="W649" s="94">
        <f>IFERROR(VLOOKUP($G649,基本資料!$A:$J,10,0),"無")</f>
        <v>13.09</v>
      </c>
      <c r="X649" s="36">
        <f>RTD("money.excel",,"6435","Price")</f>
        <v>148.5</v>
      </c>
      <c r="Y649" s="66"/>
      <c r="Z649" s="15">
        <f t="shared" si="129"/>
        <v>148.5</v>
      </c>
      <c r="AA649" s="3" t="e">
        <f t="shared" si="130"/>
        <v>#DIV/0!</v>
      </c>
      <c r="AB649" s="344">
        <f>IFERROR(VLOOKUP($G649,基本資料!$A:$M,11,0),"無")</f>
        <v>-16.37</v>
      </c>
      <c r="AC649" s="397">
        <f>IFERROR(VLOOKUP($G649,基本資料!$A:$M,12,0),"無")</f>
        <v>41.28</v>
      </c>
      <c r="AD649" s="16" t="s">
        <v>4063</v>
      </c>
      <c r="AG649" s="33">
        <f t="shared" si="131"/>
        <v>0</v>
      </c>
      <c r="AH649" s="43" t="s">
        <v>2175</v>
      </c>
      <c r="AI649" s="63">
        <f t="shared" si="134"/>
        <v>2.4161676646706588E-2</v>
      </c>
      <c r="AJ649" s="284">
        <f>RTD("money.excel",,$G649,"PredictVolume")</f>
        <v>807</v>
      </c>
      <c r="AK649" s="399">
        <f>IFERROR(VLOOKUP($G649,基本資料!$A:$M,13,0),"無")</f>
        <v>21.18</v>
      </c>
    </row>
    <row r="650" spans="1:37">
      <c r="A650" s="347">
        <f>IFERROR(VLOOKUP($G650,基本資料!$A:$J,3,0),"無")</f>
        <v>10.74</v>
      </c>
      <c r="B650" s="79">
        <f>IFERROR(VLOOKUP($G650,基本資料!$A:$J,4,0),"無")</f>
        <v>-47</v>
      </c>
      <c r="C650" s="79">
        <f>IFERROR(VLOOKUP($G650,基本資料!$A:$J,5,0),"無")</f>
        <v>-93</v>
      </c>
      <c r="D650" s="79">
        <f>IFERROR(VLOOKUP($G650,基本資料!$A:$J,6,0),"無")</f>
        <v>21</v>
      </c>
      <c r="E650" s="79">
        <f>IFERROR(VLOOKUP($G650,基本資料!$A:$J,7,0),"無")</f>
        <v>-10</v>
      </c>
      <c r="F650" s="6">
        <f>IFERROR(VLOOKUP($G650,基本資料!$A:$J,8,0),"無")</f>
        <v>1.38</v>
      </c>
      <c r="G650" s="79">
        <v>6451</v>
      </c>
      <c r="H650" s="8" t="s">
        <v>3039</v>
      </c>
      <c r="I650" s="22" t="s">
        <v>226</v>
      </c>
      <c r="J650" s="8" t="str">
        <f>IFERROR(VLOOKUP($G650,今日總結!$A:$AJ,35,0),"")</f>
        <v/>
      </c>
      <c r="K650" s="5" t="str">
        <f>IFERROR(VLOOKUP($G650,今日總結!$A:$AJ,36,0),"")</f>
        <v/>
      </c>
      <c r="L650" s="156" t="str">
        <f>IFERROR(VLOOKUP($G650,今日總結!$A:$AJ,33,0),"")</f>
        <v/>
      </c>
      <c r="M650" s="340" t="str">
        <f>IFERROR(VLOOKUP($G650,今日總結!$A:$AJ,34,0),"")</f>
        <v/>
      </c>
      <c r="N650" s="240" t="str">
        <f t="shared" si="133"/>
        <v/>
      </c>
      <c r="P650" s="365">
        <f>IFERROR(VLOOKUP($G650,融外自投!$A:$J,7,0),"無")</f>
        <v>432</v>
      </c>
      <c r="Q650" s="79">
        <f>IFERROR(VLOOKUP($G650,融外自投!$A:$J,9,0),"無")</f>
        <v>112</v>
      </c>
      <c r="R650" s="346">
        <f>IFERROR(VLOOKUP($G650,融外自投!$A:$J,8,0),"無")</f>
        <v>44</v>
      </c>
      <c r="S650" s="81">
        <f>IFERROR(VLOOKUP($G650,融外自投!$A:$J,10,0),"無")</f>
        <v>395</v>
      </c>
      <c r="T650" s="327">
        <f>IFERROR(VLOOKUP($G650,'321買'!$A:$E,5,0),"'沒有資料'")</f>
        <v>1143</v>
      </c>
      <c r="U650" s="186">
        <f>IFERROR(VLOOKUP($G650,基本資料!$A:$J,9,0),"無")</f>
        <v>0</v>
      </c>
      <c r="V650" s="310">
        <f t="shared" si="128"/>
        <v>0</v>
      </c>
      <c r="W650" s="94">
        <f>IFERROR(VLOOKUP($G650,基本資料!$A:$J,10,0),"無")</f>
        <v>3.77</v>
      </c>
      <c r="X650" s="36">
        <f>RTD("money.excel",,"6451","Price")</f>
        <v>68.2</v>
      </c>
      <c r="Y650" s="66"/>
      <c r="Z650" s="15">
        <f t="shared" si="129"/>
        <v>68.2</v>
      </c>
      <c r="AA650" s="3" t="e">
        <f t="shared" si="130"/>
        <v>#DIV/0!</v>
      </c>
      <c r="AB650" s="344">
        <f>IFERROR(VLOOKUP($G650,基本資料!$A:$M,11,0),"無")</f>
        <v>-42.82</v>
      </c>
      <c r="AC650" s="397">
        <f>IFERROR(VLOOKUP($G650,基本資料!$A:$M,12,0),"無")</f>
        <v>21.99</v>
      </c>
      <c r="AD650" s="22" t="s">
        <v>226</v>
      </c>
      <c r="AG650" s="33">
        <f t="shared" si="131"/>
        <v>0</v>
      </c>
      <c r="AH650" s="117" t="s">
        <v>2297</v>
      </c>
      <c r="AI650" s="63">
        <f t="shared" si="134"/>
        <v>5.0744878957169458E-3</v>
      </c>
      <c r="AJ650" s="284">
        <f>RTD("money.excel",,$G650,"PredictVolume")</f>
        <v>545</v>
      </c>
      <c r="AK650" s="399">
        <f>IFERROR(VLOOKUP($G650,基本資料!$A:$M,13,0),"無")</f>
        <v>3.19</v>
      </c>
    </row>
    <row r="651" spans="1:37">
      <c r="A651" s="347">
        <f>IFERROR(VLOOKUP($G651,基本資料!$A:$J,3,0),"無")</f>
        <v>3.18</v>
      </c>
      <c r="B651" s="79">
        <f>IFERROR(VLOOKUP($G651,基本資料!$A:$J,4,0),"無")</f>
        <v>84</v>
      </c>
      <c r="C651" s="79">
        <f>IFERROR(VLOOKUP($G651,基本資料!$A:$J,5,0),"無")</f>
        <v>65</v>
      </c>
      <c r="D651" s="79">
        <f>IFERROR(VLOOKUP($G651,基本資料!$A:$J,6,0),"無")</f>
        <v>9</v>
      </c>
      <c r="E651" s="79">
        <f>IFERROR(VLOOKUP($G651,基本資料!$A:$J,7,0),"無")</f>
        <v>-23</v>
      </c>
      <c r="F651" s="6">
        <f>IFERROR(VLOOKUP($G651,基本資料!$A:$J,8,0),"無")</f>
        <v>30.78</v>
      </c>
      <c r="G651" s="79">
        <v>6457</v>
      </c>
      <c r="H651" s="145" t="s">
        <v>3039</v>
      </c>
      <c r="I651" s="16" t="s">
        <v>379</v>
      </c>
      <c r="J651" s="8" t="str">
        <f>IFERROR(VLOOKUP($G651,今日總結!$A:$AJ,35,0),"")</f>
        <v/>
      </c>
      <c r="K651" s="5" t="str">
        <f>IFERROR(VLOOKUP($G651,今日總結!$A:$AJ,36,0),"")</f>
        <v/>
      </c>
      <c r="L651" s="156" t="str">
        <f>IFERROR(VLOOKUP($G651,今日總結!$A:$AJ,33,0),"")</f>
        <v/>
      </c>
      <c r="M651" s="340" t="str">
        <f>IFERROR(VLOOKUP($G651,今日總結!$A:$AJ,34,0),"")</f>
        <v/>
      </c>
      <c r="N651" s="240" t="str">
        <f t="shared" si="133"/>
        <v/>
      </c>
      <c r="P651" s="365">
        <f>IFERROR(VLOOKUP($G651,融外自投!$A:$J,7,0),"無")</f>
        <v>677</v>
      </c>
      <c r="Q651" s="79">
        <f>IFERROR(VLOOKUP($G651,融外自投!$A:$J,9,0),"無")</f>
        <v>762</v>
      </c>
      <c r="R651" s="346">
        <f>IFERROR(VLOOKUP($G651,融外自投!$A:$J,8,0),"無")</f>
        <v>813</v>
      </c>
      <c r="S651" s="81" t="str">
        <f>IFERROR(VLOOKUP($G651,融外自投!$A:$J,10,0),"無")</f>
        <v>無</v>
      </c>
      <c r="T651" s="327">
        <f>IFERROR(VLOOKUP($G651,'321買'!$A:$E,5,0),"'沒有資料'")</f>
        <v>207</v>
      </c>
      <c r="U651" s="186">
        <f>IFERROR(VLOOKUP($G651,基本資料!$A:$J,9,0),"無")</f>
        <v>10.89</v>
      </c>
      <c r="V651" s="310">
        <f t="shared" si="128"/>
        <v>0.10572815533980583</v>
      </c>
      <c r="W651" s="94">
        <f>IFERROR(VLOOKUP($G651,基本資料!$A:$J,10,0),"無")</f>
        <v>12.71</v>
      </c>
      <c r="X651" s="36">
        <f>RTD("money.excel",,"6457","Price")</f>
        <v>103</v>
      </c>
      <c r="Y651" s="66"/>
      <c r="Z651" s="15">
        <f t="shared" si="129"/>
        <v>103</v>
      </c>
      <c r="AA651" s="3" t="e">
        <f t="shared" si="130"/>
        <v>#DIV/0!</v>
      </c>
      <c r="AB651" s="344">
        <f>IFERROR(VLOOKUP($G651,基本資料!$A:$M,11,0),"無")</f>
        <v>-58.25</v>
      </c>
      <c r="AC651" s="397">
        <f>IFERROR(VLOOKUP($G651,基本資料!$A:$M,12,0),"無")</f>
        <v>8.07</v>
      </c>
      <c r="AD651" s="16" t="s">
        <v>379</v>
      </c>
      <c r="AG651" s="33">
        <f t="shared" si="131"/>
        <v>0</v>
      </c>
      <c r="AH651" s="43" t="s">
        <v>2364</v>
      </c>
      <c r="AI651" s="63">
        <f t="shared" si="134"/>
        <v>5.0000000000000001E-3</v>
      </c>
      <c r="AJ651" s="284">
        <f>RTD("money.excel",,$G651,"PredictVolume")</f>
        <v>159</v>
      </c>
      <c r="AK651" s="399">
        <f>IFERROR(VLOOKUP($G651,基本資料!$A:$M,13,0),"無")</f>
        <v>30.26</v>
      </c>
    </row>
    <row r="652" spans="1:37">
      <c r="A652" s="347">
        <f>IFERROR(VLOOKUP($G652,基本資料!$A:$J,3,0),"無")</f>
        <v>6.92</v>
      </c>
      <c r="B652" s="79">
        <f>IFERROR(VLOOKUP($G652,基本資料!$A:$J,4,0),"無")</f>
        <v>-136</v>
      </c>
      <c r="C652" s="79">
        <f>IFERROR(VLOOKUP($G652,基本資料!$A:$J,5,0),"無")</f>
        <v>-135</v>
      </c>
      <c r="D652" s="79">
        <f>IFERROR(VLOOKUP($G652,基本資料!$A:$J,6,0),"無")</f>
        <v>-12</v>
      </c>
      <c r="E652" s="79">
        <f>IFERROR(VLOOKUP($G652,基本資料!$A:$J,7,0),"無")</f>
        <v>4</v>
      </c>
      <c r="F652" s="6">
        <f>IFERROR(VLOOKUP($G652,基本資料!$A:$J,8,0),"無")</f>
        <v>-8.73</v>
      </c>
      <c r="G652" s="79">
        <v>6462</v>
      </c>
      <c r="H652" s="145" t="s">
        <v>307</v>
      </c>
      <c r="I652" s="16" t="s">
        <v>220</v>
      </c>
      <c r="J652" s="8" t="str">
        <f>IFERROR(VLOOKUP($G652,今日總結!$A:$AJ,35,0),"")</f>
        <v>主</v>
      </c>
      <c r="K652" s="5">
        <f>IFERROR(VLOOKUP($G652,今日總結!$A:$AJ,36,0),"")</f>
        <v>0</v>
      </c>
      <c r="L652" s="156">
        <f>IFERROR(VLOOKUP($G652,今日總結!$A:$AJ,33,0),"")</f>
        <v>1</v>
      </c>
      <c r="M652" s="340">
        <f>IFERROR(VLOOKUP($G652,今日總結!$A:$AJ,34,0),"")</f>
        <v>0</v>
      </c>
      <c r="N652" s="240">
        <f t="shared" si="133"/>
        <v>1</v>
      </c>
      <c r="P652" s="365">
        <f>IFERROR(VLOOKUP($G652,融外自投!$A:$J,7,0),"無")</f>
        <v>190</v>
      </c>
      <c r="Q652" s="79">
        <f>IFERROR(VLOOKUP($G652,融外自投!$A:$J,9,0),"無")</f>
        <v>71</v>
      </c>
      <c r="R652" s="346">
        <f>IFERROR(VLOOKUP($G652,融外自投!$A:$J,8,0),"無")</f>
        <v>326</v>
      </c>
      <c r="S652" s="81" t="str">
        <f>IFERROR(VLOOKUP($G652,融外自投!$A:$J,10,0),"無")</f>
        <v>無</v>
      </c>
      <c r="T652" s="327">
        <f>IFERROR(VLOOKUP($G652,'321買'!$A:$E,5,0),"'沒有資料'")</f>
        <v>1007</v>
      </c>
      <c r="U652" s="186">
        <f>IFERROR(VLOOKUP($G652,基本資料!$A:$J,9,0),"無")</f>
        <v>10</v>
      </c>
      <c r="V652" s="310">
        <f t="shared" si="128"/>
        <v>8.771929824561403E-2</v>
      </c>
      <c r="W652" s="94">
        <f>IFERROR(VLOOKUP($G652,基本資料!$A:$J,10,0),"無")</f>
        <v>-3.11</v>
      </c>
      <c r="X652" s="36">
        <f>RTD("money.excel",,"6462","Price")</f>
        <v>114</v>
      </c>
      <c r="Y652" s="66"/>
      <c r="Z652" s="15">
        <f t="shared" si="129"/>
        <v>114</v>
      </c>
      <c r="AA652" s="3" t="e">
        <f t="shared" si="130"/>
        <v>#DIV/0!</v>
      </c>
      <c r="AB652" s="344">
        <f>IFERROR(VLOOKUP($G652,基本資料!$A:$M,11,0),"無")</f>
        <v>-37.880000000000003</v>
      </c>
      <c r="AC652" s="397">
        <f>IFERROR(VLOOKUP($G652,基本資料!$A:$M,12,0),"無")</f>
        <v>65.23</v>
      </c>
      <c r="AD652" s="16" t="s">
        <v>220</v>
      </c>
      <c r="AG652" s="33">
        <f t="shared" si="131"/>
        <v>0</v>
      </c>
      <c r="AH652" s="117" t="s">
        <v>1442</v>
      </c>
      <c r="AI652" s="63">
        <f t="shared" si="134"/>
        <v>4.6387283236994222E-3</v>
      </c>
      <c r="AJ652" s="284">
        <f>RTD("money.excel",,$G652,"PredictVolume")</f>
        <v>321</v>
      </c>
      <c r="AK652" s="399">
        <f>IFERROR(VLOOKUP($G652,基本資料!$A:$M,13,0),"無")</f>
        <v>12.39</v>
      </c>
    </row>
    <row r="653" spans="1:37">
      <c r="A653" s="347">
        <f>IFERROR(VLOOKUP($G653,基本資料!$A:$J,3,0),"無")</f>
        <v>4.3899999999999997</v>
      </c>
      <c r="B653" s="79">
        <f>IFERROR(VLOOKUP($G653,基本資料!$A:$J,4,0),"無")</f>
        <v>1610</v>
      </c>
      <c r="C653" s="79">
        <f>IFERROR(VLOOKUP($G653,基本資料!$A:$J,5,0),"無")</f>
        <v>2987</v>
      </c>
      <c r="D653" s="79">
        <f>IFERROR(VLOOKUP($G653,基本資料!$A:$J,6,0),"無")</f>
        <v>0</v>
      </c>
      <c r="E653" s="79">
        <f>IFERROR(VLOOKUP($G653,基本資料!$A:$J,7,0),"無")</f>
        <v>34</v>
      </c>
      <c r="F653" s="6">
        <f>IFERROR(VLOOKUP($G653,基本資料!$A:$J,8,0),"無")</f>
        <v>31.91</v>
      </c>
      <c r="G653" s="79">
        <v>6485</v>
      </c>
      <c r="H653" s="17" t="s">
        <v>307</v>
      </c>
      <c r="I653" s="16" t="s">
        <v>232</v>
      </c>
      <c r="J653" s="8" t="str">
        <f>IFERROR(VLOOKUP($G653,今日總結!$A:$AJ,35,0),"")</f>
        <v/>
      </c>
      <c r="K653" s="5" t="str">
        <f>IFERROR(VLOOKUP($G653,今日總結!$A:$AJ,36,0),"")</f>
        <v/>
      </c>
      <c r="L653" s="156" t="str">
        <f>IFERROR(VLOOKUP($G653,今日總結!$A:$AJ,33,0),"")</f>
        <v/>
      </c>
      <c r="M653" s="340" t="str">
        <f>IFERROR(VLOOKUP($G653,今日總結!$A:$AJ,34,0),"")</f>
        <v/>
      </c>
      <c r="N653" s="240" t="str">
        <f t="shared" si="133"/>
        <v/>
      </c>
      <c r="P653" s="365">
        <f>IFERROR(VLOOKUP($G653,融外自投!$A:$J,7,0),"無")</f>
        <v>15</v>
      </c>
      <c r="Q653" s="79">
        <f>IFERROR(VLOOKUP($G653,融外自投!$A:$J,9,0),"無")</f>
        <v>125</v>
      </c>
      <c r="R653" s="346">
        <f>IFERROR(VLOOKUP($G653,融外自投!$A:$J,8,0),"無")</f>
        <v>818</v>
      </c>
      <c r="S653" s="81">
        <f>IFERROR(VLOOKUP($G653,融外自投!$A:$J,10,0),"無")</f>
        <v>416</v>
      </c>
      <c r="T653" s="327">
        <f>IFERROR(VLOOKUP($G653,'321買'!$A:$E,5,0),"'沒有資料'")</f>
        <v>71</v>
      </c>
      <c r="U653" s="186">
        <f>IFERROR(VLOOKUP($G653,基本資料!$A:$J,9,0),"無")</f>
        <v>5</v>
      </c>
      <c r="V653" s="310">
        <f t="shared" si="128"/>
        <v>4.3290043290043288E-2</v>
      </c>
      <c r="W653" s="94">
        <f>IFERROR(VLOOKUP($G653,基本資料!$A:$J,10,0),"無")</f>
        <v>12.2</v>
      </c>
      <c r="X653" s="36">
        <f>RTD("money.excel",,"6485","Price")</f>
        <v>115.5</v>
      </c>
      <c r="Y653" s="66"/>
      <c r="Z653" s="15">
        <f t="shared" si="129"/>
        <v>115.5</v>
      </c>
      <c r="AA653" s="3" t="e">
        <f t="shared" si="130"/>
        <v>#DIV/0!</v>
      </c>
      <c r="AB653" s="344">
        <f>IFERROR(VLOOKUP($G653,基本資料!$A:$M,11,0),"無")</f>
        <v>-40.58</v>
      </c>
      <c r="AC653" s="397">
        <f>IFERROR(VLOOKUP($G653,基本資料!$A:$M,12,0),"無")</f>
        <v>21.88</v>
      </c>
      <c r="AD653" s="16" t="s">
        <v>232</v>
      </c>
      <c r="AG653" s="33">
        <f t="shared" si="131"/>
        <v>0</v>
      </c>
      <c r="AH653" s="43" t="s">
        <v>2365</v>
      </c>
      <c r="AI653" s="63">
        <f t="shared" si="134"/>
        <v>1.6446469248291573E-2</v>
      </c>
      <c r="AJ653" s="284">
        <f>RTD("money.excel",,$G653,"PredictVolume")</f>
        <v>722</v>
      </c>
      <c r="AK653" s="399">
        <f>IFERROR(VLOOKUP($G653,基本資料!$A:$M,13,0),"無")</f>
        <v>64.77</v>
      </c>
    </row>
    <row r="654" spans="1:37">
      <c r="A654" s="347">
        <f>IFERROR(VLOOKUP($G654,基本資料!$A:$J,3,0),"無")</f>
        <v>43.72</v>
      </c>
      <c r="B654" s="79">
        <f>IFERROR(VLOOKUP($G654,基本資料!$A:$J,4,0),"無")</f>
        <v>-9</v>
      </c>
      <c r="C654" s="79">
        <f>IFERROR(VLOOKUP($G654,基本資料!$A:$J,5,0),"無")</f>
        <v>15</v>
      </c>
      <c r="D654" s="79">
        <f>IFERROR(VLOOKUP($G654,基本資料!$A:$J,6,0),"無")</f>
        <v>7</v>
      </c>
      <c r="E654" s="79">
        <f>IFERROR(VLOOKUP($G654,基本資料!$A:$J,7,0),"無")</f>
        <v>0</v>
      </c>
      <c r="F654" s="6">
        <f>IFERROR(VLOOKUP($G654,基本資料!$A:$J,8,0),"無")</f>
        <v>28.94</v>
      </c>
      <c r="G654" s="79">
        <v>6488</v>
      </c>
      <c r="H654" s="192" t="s">
        <v>3039</v>
      </c>
      <c r="I654" s="16" t="s">
        <v>34</v>
      </c>
      <c r="J654" s="8" t="str">
        <f>IFERROR(VLOOKUP($G654,今日總結!$A:$AJ,35,0),"")</f>
        <v/>
      </c>
      <c r="K654" s="5" t="str">
        <f>IFERROR(VLOOKUP($G654,今日總結!$A:$AJ,36,0),"")</f>
        <v/>
      </c>
      <c r="L654" s="156" t="str">
        <f>IFERROR(VLOOKUP($G654,今日總結!$A:$AJ,33,0),"")</f>
        <v/>
      </c>
      <c r="M654" s="340" t="str">
        <f>IFERROR(VLOOKUP($G654,今日總結!$A:$AJ,34,0),"")</f>
        <v/>
      </c>
      <c r="N654" s="240" t="str">
        <f t="shared" si="133"/>
        <v/>
      </c>
      <c r="P654" s="365">
        <f>IFERROR(VLOOKUP($G654,融外自投!$A:$J,7,0),"無")</f>
        <v>962</v>
      </c>
      <c r="Q654" s="79">
        <f>IFERROR(VLOOKUP($G654,融外自投!$A:$J,9,0),"無")</f>
        <v>292</v>
      </c>
      <c r="R654" s="346">
        <f>IFERROR(VLOOKUP($G654,融外自投!$A:$J,8,0),"無")</f>
        <v>200</v>
      </c>
      <c r="S654" s="81">
        <f>IFERROR(VLOOKUP($G654,融外自投!$A:$J,10,0),"無")</f>
        <v>156</v>
      </c>
      <c r="T654" s="327">
        <f>IFERROR(VLOOKUP($G654,'321買'!$A:$E,5,0),"'沒有資料'")</f>
        <v>164</v>
      </c>
      <c r="U654" s="186">
        <f>IFERROR(VLOOKUP($G654,基本資料!$A:$J,9,0),"無")</f>
        <v>16</v>
      </c>
      <c r="V654" s="310">
        <f t="shared" si="128"/>
        <v>3.0018761726078799E-2</v>
      </c>
      <c r="W654" s="94">
        <f>IFERROR(VLOOKUP($G654,基本資料!$A:$J,10,0),"無")</f>
        <v>27.27</v>
      </c>
      <c r="X654" s="36">
        <f>RTD("money.excel",,"6488","Price")</f>
        <v>533</v>
      </c>
      <c r="Y654" s="66"/>
      <c r="Z654" s="15">
        <f t="shared" si="129"/>
        <v>533</v>
      </c>
      <c r="AA654" s="3" t="e">
        <f t="shared" si="130"/>
        <v>#DIV/0!</v>
      </c>
      <c r="AB654" s="344">
        <f>IFERROR(VLOOKUP($G654,基本資料!$A:$M,11,0),"無")</f>
        <v>-45.68</v>
      </c>
      <c r="AC654" s="397">
        <f>IFERROR(VLOOKUP($G654,基本資料!$A:$M,12,0),"無")</f>
        <v>18.77</v>
      </c>
      <c r="AD654" s="16" t="s">
        <v>34</v>
      </c>
      <c r="AG654" s="33">
        <f t="shared" si="131"/>
        <v>0</v>
      </c>
      <c r="AH654" s="118" t="s">
        <v>2168</v>
      </c>
      <c r="AI654" s="63">
        <f t="shared" si="134"/>
        <v>5.9743824336688017E-3</v>
      </c>
      <c r="AJ654" s="284">
        <f>RTD("money.excel",,$G654,"PredictVolume")</f>
        <v>2612</v>
      </c>
      <c r="AK654" s="399">
        <f>IFERROR(VLOOKUP($G654,基本資料!$A:$M,13,0),"無")</f>
        <v>2.12</v>
      </c>
    </row>
    <row r="655" spans="1:37">
      <c r="A655" s="347">
        <f>IFERROR(VLOOKUP($G655,基本資料!$A:$J,3,0),"無")</f>
        <v>3.15</v>
      </c>
      <c r="B655" s="79">
        <f>IFERROR(VLOOKUP($G655,基本資料!$A:$J,4,0),"無")</f>
        <v>340</v>
      </c>
      <c r="C655" s="79">
        <f>IFERROR(VLOOKUP($G655,基本資料!$A:$J,5,0),"無")</f>
        <v>323</v>
      </c>
      <c r="D655" s="79">
        <f>IFERROR(VLOOKUP($G655,基本資料!$A:$J,6,0),"無")</f>
        <v>-2</v>
      </c>
      <c r="E655" s="79">
        <f>IFERROR(VLOOKUP($G655,基本資料!$A:$J,7,0),"無")</f>
        <v>-3</v>
      </c>
      <c r="F655" s="6">
        <f>IFERROR(VLOOKUP($G655,基本資料!$A:$J,8,0),"無")</f>
        <v>30.05</v>
      </c>
      <c r="G655" s="79">
        <v>6494</v>
      </c>
      <c r="H655" s="192" t="s">
        <v>3039</v>
      </c>
      <c r="I655" s="16" t="s">
        <v>380</v>
      </c>
      <c r="J655" s="8" t="str">
        <f>IFERROR(VLOOKUP($G655,今日總結!$A:$AJ,35,0),"")</f>
        <v/>
      </c>
      <c r="K655" s="5" t="str">
        <f>IFERROR(VLOOKUP($G655,今日總結!$A:$AJ,36,0),"")</f>
        <v/>
      </c>
      <c r="L655" s="156" t="str">
        <f>IFERROR(VLOOKUP($G655,今日總結!$A:$AJ,33,0),"")</f>
        <v/>
      </c>
      <c r="M655" s="340" t="str">
        <f>IFERROR(VLOOKUP($G655,今日總結!$A:$AJ,34,0),"")</f>
        <v/>
      </c>
      <c r="N655" s="240" t="str">
        <f t="shared" si="133"/>
        <v/>
      </c>
      <c r="P655" s="365">
        <f>IFERROR(VLOOKUP($G655,融外自投!$A:$J,7,0),"無")</f>
        <v>55</v>
      </c>
      <c r="Q655" s="79">
        <f>IFERROR(VLOOKUP($G655,融外自投!$A:$J,9,0),"無")</f>
        <v>104</v>
      </c>
      <c r="R655" s="346">
        <f>IFERROR(VLOOKUP($G655,融外自投!$A:$J,8,0),"無")</f>
        <v>539</v>
      </c>
      <c r="S655" s="81">
        <f>IFERROR(VLOOKUP($G655,融外自投!$A:$J,10,0),"無")</f>
        <v>437</v>
      </c>
      <c r="T655" s="327">
        <f>IFERROR(VLOOKUP($G655,'321買'!$A:$E,5,0),"'沒有資料'")</f>
        <v>178</v>
      </c>
      <c r="U655" s="186">
        <f>IFERROR(VLOOKUP($G655,基本資料!$A:$J,9,0),"無")</f>
        <v>8</v>
      </c>
      <c r="V655" s="310">
        <f t="shared" si="128"/>
        <v>6.3492063492063489E-2</v>
      </c>
      <c r="W655" s="94">
        <f>IFERROR(VLOOKUP($G655,基本資料!$A:$J,10,0),"無")</f>
        <v>17.21</v>
      </c>
      <c r="X655" s="36">
        <f>RTD("money.excel",,"6494","Price")</f>
        <v>126</v>
      </c>
      <c r="Y655" s="66"/>
      <c r="Z655" s="15">
        <f t="shared" si="129"/>
        <v>126</v>
      </c>
      <c r="AA655" s="3" t="e">
        <f t="shared" si="130"/>
        <v>#DIV/0!</v>
      </c>
      <c r="AB655" s="344">
        <f>IFERROR(VLOOKUP($G655,基本資料!$A:$M,11,0),"無")</f>
        <v>-32.14</v>
      </c>
      <c r="AC655" s="397">
        <f>IFERROR(VLOOKUP($G655,基本資料!$A:$M,12,0),"無")</f>
        <v>25.04</v>
      </c>
      <c r="AD655" s="16" t="s">
        <v>380</v>
      </c>
      <c r="AG655" s="33">
        <f t="shared" si="131"/>
        <v>0</v>
      </c>
      <c r="AH655" s="43" t="s">
        <v>2366</v>
      </c>
      <c r="AI655" s="63">
        <f t="shared" si="134"/>
        <v>1.1841269841269842E-2</v>
      </c>
      <c r="AJ655" s="284">
        <f>RTD("money.excel",,$G655,"PredictVolume")</f>
        <v>373</v>
      </c>
      <c r="AK655" s="399">
        <f>IFERROR(VLOOKUP($G655,基本資料!$A:$M,13,0),"無")</f>
        <v>62.26</v>
      </c>
    </row>
    <row r="656" spans="1:37">
      <c r="A656" s="347">
        <f>IFERROR(VLOOKUP($G656,基本資料!$A:$J,3,0),"無")</f>
        <v>3.27</v>
      </c>
      <c r="B656" s="79">
        <f>IFERROR(VLOOKUP($G656,基本資料!$A:$J,4,0),"無")</f>
        <v>-4</v>
      </c>
      <c r="C656" s="79">
        <f>IFERROR(VLOOKUP($G656,基本資料!$A:$J,5,0),"無")</f>
        <v>-8</v>
      </c>
      <c r="D656" s="79">
        <f>IFERROR(VLOOKUP($G656,基本資料!$A:$J,6,0),"無")</f>
        <v>10</v>
      </c>
      <c r="E656" s="79">
        <f>IFERROR(VLOOKUP($G656,基本資料!$A:$J,7,0),"無")</f>
        <v>1</v>
      </c>
      <c r="F656" s="6">
        <f>IFERROR(VLOOKUP($G656,基本資料!$A:$J,8,0),"無")</f>
        <v>25.49</v>
      </c>
      <c r="G656" s="79">
        <v>6510</v>
      </c>
      <c r="H656" s="192" t="s">
        <v>3039</v>
      </c>
      <c r="I656" s="16" t="s">
        <v>221</v>
      </c>
      <c r="J656" s="8" t="str">
        <f>IFERROR(VLOOKUP($G656,今日總結!$A:$AJ,35,0),"")</f>
        <v>外</v>
      </c>
      <c r="K656" s="5">
        <f>IFERROR(VLOOKUP($G656,今日總結!$A:$AJ,36,0),"")</f>
        <v>0</v>
      </c>
      <c r="L656" s="156">
        <f>IFERROR(VLOOKUP($G656,今日總結!$A:$AJ,33,0),"")</f>
        <v>1</v>
      </c>
      <c r="M656" s="340">
        <f>IFERROR(VLOOKUP($G656,今日總結!$A:$AJ,34,0),"")</f>
        <v>0</v>
      </c>
      <c r="N656" s="240">
        <f t="shared" si="133"/>
        <v>1</v>
      </c>
      <c r="P656" s="365">
        <f>IFERROR(VLOOKUP($G656,融外自投!$A:$J,7,0),"無")</f>
        <v>411</v>
      </c>
      <c r="Q656" s="79">
        <f>IFERROR(VLOOKUP($G656,融外自投!$A:$J,9,0),"無")</f>
        <v>238</v>
      </c>
      <c r="R656" s="346">
        <f>IFERROR(VLOOKUP($G656,融外自投!$A:$J,8,0),"無")</f>
        <v>469</v>
      </c>
      <c r="S656" s="81">
        <f>IFERROR(VLOOKUP($G656,融外自投!$A:$J,10,0),"無")</f>
        <v>247</v>
      </c>
      <c r="T656" s="327">
        <f>IFERROR(VLOOKUP($G656,'321買'!$A:$E,5,0),"'沒有資料'")</f>
        <v>200</v>
      </c>
      <c r="U656" s="186">
        <f>IFERROR(VLOOKUP($G656,基本資料!$A:$J,9,0),"無")</f>
        <v>13.6</v>
      </c>
      <c r="V656" s="310">
        <f t="shared" si="128"/>
        <v>2.8691983122362867E-2</v>
      </c>
      <c r="W656" s="94">
        <f>IFERROR(VLOOKUP($G656,基本資料!$A:$J,10,0),"無")</f>
        <v>27.2</v>
      </c>
      <c r="X656" s="36">
        <f>RTD("money.excel",,"6510","Price")</f>
        <v>474</v>
      </c>
      <c r="Y656" s="66"/>
      <c r="Z656" s="15">
        <f t="shared" si="129"/>
        <v>474</v>
      </c>
      <c r="AA656" s="3" t="e">
        <f t="shared" si="130"/>
        <v>#DIV/0!</v>
      </c>
      <c r="AB656" s="344">
        <f>IFERROR(VLOOKUP($G656,基本資料!$A:$M,11,0),"無")</f>
        <v>-43.5</v>
      </c>
      <c r="AC656" s="397">
        <f>IFERROR(VLOOKUP($G656,基本資料!$A:$M,12,0),"無")</f>
        <v>6</v>
      </c>
      <c r="AD656" s="16" t="s">
        <v>221</v>
      </c>
      <c r="AG656" s="33">
        <f t="shared" si="131"/>
        <v>0</v>
      </c>
      <c r="AH656" s="117" t="s">
        <v>1443</v>
      </c>
      <c r="AI656" s="63">
        <f t="shared" si="134"/>
        <v>2.415902140672783E-3</v>
      </c>
      <c r="AJ656" s="284">
        <f>RTD("money.excel",,$G656,"PredictVolume")</f>
        <v>79</v>
      </c>
      <c r="AK656" s="399">
        <f>IFERROR(VLOOKUP($G656,基本資料!$A:$M,13,0),"無")</f>
        <v>8.09</v>
      </c>
    </row>
    <row r="657" spans="1:37">
      <c r="A657" s="347">
        <f>IFERROR(VLOOKUP($G657,基本資料!$A:$J,3,0),"無")</f>
        <v>3.42</v>
      </c>
      <c r="B657" s="79">
        <f>IFERROR(VLOOKUP($G657,基本資料!$A:$J,4,0),"無")</f>
        <v>-8</v>
      </c>
      <c r="C657" s="79">
        <f>IFERROR(VLOOKUP($G657,基本資料!$A:$J,5,0),"無")</f>
        <v>-11</v>
      </c>
      <c r="D657" s="79">
        <f>IFERROR(VLOOKUP($G657,基本資料!$A:$J,6,0),"無")</f>
        <v>-12</v>
      </c>
      <c r="E657" s="79">
        <f>IFERROR(VLOOKUP($G657,基本資料!$A:$J,7,0),"無")</f>
        <v>21</v>
      </c>
      <c r="F657" s="6">
        <f>IFERROR(VLOOKUP($G657,基本資料!$A:$J,8,0),"無")</f>
        <v>20.5</v>
      </c>
      <c r="G657" s="79">
        <v>6515</v>
      </c>
      <c r="H657" s="8" t="s">
        <v>3039</v>
      </c>
      <c r="I657" s="22" t="s">
        <v>2264</v>
      </c>
      <c r="J657" s="8" t="str">
        <f>IFERROR(VLOOKUP($G657,今日總結!$A:$AJ,35,0),"")</f>
        <v>借</v>
      </c>
      <c r="K657" s="5" t="str">
        <f>IFERROR(VLOOKUP($G657,今日總結!$A:$AJ,36,0),"")</f>
        <v>外</v>
      </c>
      <c r="L657" s="156">
        <f>IFERROR(VLOOKUP($G657,今日總結!$A:$AJ,33,0),"")</f>
        <v>1</v>
      </c>
      <c r="M657" s="340">
        <f>IFERROR(VLOOKUP($G657,今日總結!$A:$AJ,34,0),"")</f>
        <v>1</v>
      </c>
      <c r="N657" s="240">
        <f t="shared" si="133"/>
        <v>0</v>
      </c>
      <c r="P657" s="365">
        <f>IFERROR(VLOOKUP($G657,融外自投!$A:$J,7,0),"無")</f>
        <v>768</v>
      </c>
      <c r="Q657" s="79" t="str">
        <f>IFERROR(VLOOKUP($G657,融外自投!$A:$J,9,0),"無")</f>
        <v>無</v>
      </c>
      <c r="R657" s="346">
        <f>IFERROR(VLOOKUP($G657,融外自投!$A:$J,8,0),"無")</f>
        <v>594</v>
      </c>
      <c r="S657" s="81">
        <f>IFERROR(VLOOKUP($G657,融外自投!$A:$J,10,0),"無")</f>
        <v>28</v>
      </c>
      <c r="T657" s="327">
        <f>IFERROR(VLOOKUP($G657,'321買'!$A:$E,5,0),"'沒有資料'")</f>
        <v>248</v>
      </c>
      <c r="U657" s="186">
        <f>IFERROR(VLOOKUP($G657,基本資料!$A:$J,9,0),"無")</f>
        <v>11</v>
      </c>
      <c r="V657" s="310">
        <f t="shared" ref="V657:V696" si="135">$U657/$X657</f>
        <v>3.3742331288343558E-2</v>
      </c>
      <c r="W657" s="94">
        <f>IFERROR(VLOOKUP($G657,基本資料!$A:$J,10,0),"無")</f>
        <v>14.46</v>
      </c>
      <c r="X657" s="36">
        <f>RTD("money.excel",,"6515","Price")</f>
        <v>326</v>
      </c>
      <c r="Y657" s="66"/>
      <c r="Z657" s="15">
        <f t="shared" si="129"/>
        <v>326</v>
      </c>
      <c r="AA657" s="3" t="e">
        <f t="shared" si="130"/>
        <v>#DIV/0!</v>
      </c>
      <c r="AB657" s="344">
        <f>IFERROR(VLOOKUP($G657,基本資料!$A:$M,11,0),"無")</f>
        <v>-30.69</v>
      </c>
      <c r="AC657" s="397">
        <f>IFERROR(VLOOKUP($G657,基本資料!$A:$M,12,0),"無")</f>
        <v>14.21</v>
      </c>
      <c r="AD657" s="22" t="s">
        <v>2264</v>
      </c>
      <c r="AG657" s="33">
        <f t="shared" si="131"/>
        <v>0</v>
      </c>
      <c r="AH657" s="117" t="s">
        <v>2266</v>
      </c>
      <c r="AI657" s="63">
        <f t="shared" ref="AI657:AI679" si="136">AJ657/(A657*10000)</f>
        <v>5.0292397660818711E-3</v>
      </c>
      <c r="AJ657" s="284">
        <f>RTD("money.excel",,$G657,"PredictVolume")</f>
        <v>172</v>
      </c>
      <c r="AK657" s="399">
        <f>IFERROR(VLOOKUP($G657,基本資料!$A:$M,13,0),"無")</f>
        <v>7.52</v>
      </c>
    </row>
    <row r="658" spans="1:37">
      <c r="A658" s="347">
        <f>IFERROR(VLOOKUP($G658,基本資料!$A:$J,3,0),"無")</f>
        <v>12.9</v>
      </c>
      <c r="B658" s="79">
        <f>IFERROR(VLOOKUP($G658,基本資料!$A:$J,4,0),"無")</f>
        <v>25</v>
      </c>
      <c r="C658" s="79">
        <f>IFERROR(VLOOKUP($G658,基本資料!$A:$J,5,0),"無")</f>
        <v>18</v>
      </c>
      <c r="D658" s="79">
        <f>IFERROR(VLOOKUP($G658,基本資料!$A:$J,6,0),"無")</f>
        <v>-4</v>
      </c>
      <c r="E658" s="79">
        <f>IFERROR(VLOOKUP($G658,基本資料!$A:$J,7,0),"無")</f>
        <v>1</v>
      </c>
      <c r="F658" s="6">
        <f>IFERROR(VLOOKUP($G658,基本資料!$A:$J,8,0),"無")</f>
        <v>22.83</v>
      </c>
      <c r="G658" s="79">
        <v>6525</v>
      </c>
      <c r="H658" s="8" t="s">
        <v>3039</v>
      </c>
      <c r="I658" s="22" t="s">
        <v>289</v>
      </c>
      <c r="J658" s="8" t="str">
        <f>IFERROR(VLOOKUP($G658,今日總結!$A:$AJ,35,0),"")</f>
        <v/>
      </c>
      <c r="K658" s="5" t="str">
        <f>IFERROR(VLOOKUP($G658,今日總結!$A:$AJ,36,0),"")</f>
        <v/>
      </c>
      <c r="L658" s="156" t="str">
        <f>IFERROR(VLOOKUP($G658,今日總結!$A:$AJ,33,0),"")</f>
        <v/>
      </c>
      <c r="M658" s="340" t="str">
        <f>IFERROR(VLOOKUP($G658,今日總結!$A:$AJ,34,0),"")</f>
        <v/>
      </c>
      <c r="N658" s="240" t="str">
        <f t="shared" ref="N658:N696" si="137">IFERROR(L658-M658,"")</f>
        <v/>
      </c>
      <c r="P658" s="365">
        <f>IFERROR(VLOOKUP($G658,融外自投!$A:$J,7,0),"無")</f>
        <v>698</v>
      </c>
      <c r="Q658" s="79">
        <f>IFERROR(VLOOKUP($G658,融外自投!$A:$J,9,0),"無")</f>
        <v>978</v>
      </c>
      <c r="R658" s="346">
        <f>IFERROR(VLOOKUP($G658,融外自投!$A:$J,8,0),"無")</f>
        <v>388</v>
      </c>
      <c r="S658" s="81">
        <f>IFERROR(VLOOKUP($G658,融外自投!$A:$J,10,0),"無")</f>
        <v>245</v>
      </c>
      <c r="T658" s="327">
        <f>IFERROR(VLOOKUP($G658,'321買'!$A:$E,5,0),"'沒有資料'")</f>
        <v>403</v>
      </c>
      <c r="U658" s="186">
        <f>IFERROR(VLOOKUP($G658,基本資料!$A:$J,9,0),"無")</f>
        <v>5.5</v>
      </c>
      <c r="V658" s="310">
        <f t="shared" si="135"/>
        <v>6.9182389937106917E-2</v>
      </c>
      <c r="W658" s="94">
        <f>IFERROR(VLOOKUP($G658,基本資料!$A:$J,10,0),"無")</f>
        <v>6.65</v>
      </c>
      <c r="X658" s="36">
        <f>RTD("money.excel",,"6525","Price")</f>
        <v>79.5</v>
      </c>
      <c r="Y658" s="66"/>
      <c r="Z658" s="15">
        <f t="shared" ref="Z658:Z695" si="138">X658-Y658</f>
        <v>79.5</v>
      </c>
      <c r="AA658" s="3" t="e">
        <f t="shared" ref="AA658:AA695" si="139">Z658/Y658</f>
        <v>#DIV/0!</v>
      </c>
      <c r="AB658" s="344">
        <f>IFERROR(VLOOKUP($G658,基本資料!$A:$M,11,0),"無")</f>
        <v>-41.21</v>
      </c>
      <c r="AC658" s="397">
        <f>IFERROR(VLOOKUP($G658,基本資料!$A:$M,12,0),"無")</f>
        <v>17.98</v>
      </c>
      <c r="AD658" s="22" t="s">
        <v>289</v>
      </c>
      <c r="AG658" s="33">
        <f t="shared" ref="AG658:AG695" si="140">AF658-AE658</f>
        <v>0</v>
      </c>
      <c r="AH658" s="43" t="s">
        <v>2392</v>
      </c>
      <c r="AI658" s="63">
        <f t="shared" si="136"/>
        <v>2.2093023255813954E-3</v>
      </c>
      <c r="AJ658" s="284">
        <f>RTD("money.excel",,$G658,"PredictVolume")</f>
        <v>285</v>
      </c>
      <c r="AK658" s="399">
        <f>IFERROR(VLOOKUP($G658,基本資料!$A:$M,13,0),"無")</f>
        <v>10.62</v>
      </c>
    </row>
    <row r="659" spans="1:37">
      <c r="A659" s="347">
        <f>IFERROR(VLOOKUP($G659,基本資料!$A:$J,3,0),"無")</f>
        <v>8.06</v>
      </c>
      <c r="B659" s="79">
        <f>IFERROR(VLOOKUP($G659,基本資料!$A:$J,4,0),"無")</f>
        <v>146</v>
      </c>
      <c r="C659" s="79">
        <f>IFERROR(VLOOKUP($G659,基本資料!$A:$J,5,0),"無")</f>
        <v>356</v>
      </c>
      <c r="D659" s="79">
        <f>IFERROR(VLOOKUP($G659,基本資料!$A:$J,6,0),"無")</f>
        <v>-5</v>
      </c>
      <c r="E659" s="79">
        <f>IFERROR(VLOOKUP($G659,基本資料!$A:$J,7,0),"無")</f>
        <v>-8</v>
      </c>
      <c r="F659" s="6">
        <f>IFERROR(VLOOKUP($G659,基本資料!$A:$J,8,0),"無")</f>
        <v>35.82</v>
      </c>
      <c r="G659" s="79">
        <v>6531</v>
      </c>
      <c r="H659" s="8" t="s">
        <v>3039</v>
      </c>
      <c r="I659" s="22" t="s">
        <v>354</v>
      </c>
      <c r="J659" s="8" t="str">
        <f>IFERROR(VLOOKUP($G659,今日總結!$A:$AJ,35,0),"")</f>
        <v>券</v>
      </c>
      <c r="K659" s="5">
        <f>IFERROR(VLOOKUP($G659,今日總結!$A:$AJ,36,0),"")</f>
        <v>0</v>
      </c>
      <c r="L659" s="156">
        <f>IFERROR(VLOOKUP($G659,今日總結!$A:$AJ,33,0),"")</f>
        <v>1</v>
      </c>
      <c r="M659" s="340">
        <f>IFERROR(VLOOKUP($G659,今日總結!$A:$AJ,34,0),"")</f>
        <v>0</v>
      </c>
      <c r="N659" s="240">
        <f t="shared" si="137"/>
        <v>1</v>
      </c>
      <c r="P659" s="365">
        <f>IFERROR(VLOOKUP($G659,融外自投!$A:$J,7,0),"無")</f>
        <v>112</v>
      </c>
      <c r="Q659" s="79">
        <f>IFERROR(VLOOKUP($G659,融外自投!$A:$J,9,0),"無")</f>
        <v>379</v>
      </c>
      <c r="R659" s="346">
        <f>IFERROR(VLOOKUP($G659,融外自投!$A:$J,8,0),"無")</f>
        <v>332</v>
      </c>
      <c r="S659" s="81">
        <f>IFERROR(VLOOKUP($G659,融外自投!$A:$J,10,0),"無")</f>
        <v>278</v>
      </c>
      <c r="T659" s="327">
        <f>IFERROR(VLOOKUP($G659,'321買'!$A:$E,5,0),"'沒有資料'")</f>
        <v>83</v>
      </c>
      <c r="U659" s="186">
        <f>IFERROR(VLOOKUP($G659,基本資料!$A:$J,9,0),"無")</f>
        <v>6</v>
      </c>
      <c r="V659" s="310">
        <f t="shared" si="135"/>
        <v>2.3300970873786409E-2</v>
      </c>
      <c r="W659" s="94">
        <f>IFERROR(VLOOKUP($G659,基本資料!$A:$J,10,0),"無")</f>
        <v>13.67</v>
      </c>
      <c r="X659" s="36">
        <f>RTD("money.excel",,"6531","Price")</f>
        <v>257.5</v>
      </c>
      <c r="Y659" s="66"/>
      <c r="Z659" s="15">
        <f t="shared" si="138"/>
        <v>257.5</v>
      </c>
      <c r="AA659" s="3" t="e">
        <f t="shared" si="139"/>
        <v>#DIV/0!</v>
      </c>
      <c r="AB659" s="344">
        <f>IFERROR(VLOOKUP($G659,基本資料!$A:$M,11,0),"無")</f>
        <v>-70.17</v>
      </c>
      <c r="AC659" s="397">
        <f>IFERROR(VLOOKUP($G659,基本資料!$A:$M,12,0),"無")</f>
        <v>10.45</v>
      </c>
      <c r="AD659" s="22" t="s">
        <v>354</v>
      </c>
      <c r="AG659" s="33">
        <f t="shared" si="140"/>
        <v>0</v>
      </c>
      <c r="AH659" s="43" t="s">
        <v>2129</v>
      </c>
      <c r="AI659" s="63">
        <f t="shared" si="136"/>
        <v>3.4466501240694787E-2</v>
      </c>
      <c r="AJ659" s="284">
        <f>RTD("money.excel",,$G659,"PredictVolume")</f>
        <v>2778</v>
      </c>
      <c r="AK659" s="399">
        <f>IFERROR(VLOOKUP($G659,基本資料!$A:$M,13,0),"無")</f>
        <v>27.84</v>
      </c>
    </row>
    <row r="660" spans="1:37">
      <c r="A660" s="347">
        <f>IFERROR(VLOOKUP($G660,基本資料!$A:$J,3,0),"無")</f>
        <v>3.61</v>
      </c>
      <c r="B660" s="79">
        <f>IFERROR(VLOOKUP($G660,基本資料!$A:$J,4,0),"無")</f>
        <v>-8</v>
      </c>
      <c r="C660" s="79">
        <f>IFERROR(VLOOKUP($G660,基本資料!$A:$J,5,0),"無")</f>
        <v>-11</v>
      </c>
      <c r="D660" s="79">
        <f>IFERROR(VLOOKUP($G660,基本資料!$A:$J,6,0),"無")</f>
        <v>-9</v>
      </c>
      <c r="E660" s="79">
        <f>IFERROR(VLOOKUP($G660,基本資料!$A:$J,7,0),"無")</f>
        <v>32</v>
      </c>
      <c r="F660" s="6">
        <f>IFERROR(VLOOKUP($G660,基本資料!$A:$J,8,0),"無")</f>
        <v>24.25</v>
      </c>
      <c r="G660" s="79">
        <v>6532</v>
      </c>
      <c r="H660" s="192" t="s">
        <v>3039</v>
      </c>
      <c r="I660" s="16" t="s">
        <v>381</v>
      </c>
      <c r="J660" s="8" t="str">
        <f>IFERROR(VLOOKUP($G660,今日總結!$A:$AJ,35,0),"")</f>
        <v/>
      </c>
      <c r="K660" s="5" t="str">
        <f>IFERROR(VLOOKUP($G660,今日總結!$A:$AJ,36,0),"")</f>
        <v/>
      </c>
      <c r="L660" s="156" t="str">
        <f>IFERROR(VLOOKUP($G660,今日總結!$A:$AJ,33,0),"")</f>
        <v/>
      </c>
      <c r="M660" s="340" t="str">
        <f>IFERROR(VLOOKUP($G660,今日總結!$A:$AJ,34,0),"")</f>
        <v/>
      </c>
      <c r="N660" s="240" t="str">
        <f t="shared" si="137"/>
        <v/>
      </c>
      <c r="P660" s="365">
        <f>IFERROR(VLOOKUP($G660,融外自投!$A:$J,7,0),"無")</f>
        <v>209</v>
      </c>
      <c r="Q660" s="79">
        <f>IFERROR(VLOOKUP($G660,融外自投!$A:$J,9,0),"無")</f>
        <v>259</v>
      </c>
      <c r="R660" s="346">
        <f>IFERROR(VLOOKUP($G660,融外自投!$A:$J,8,0),"無")</f>
        <v>987</v>
      </c>
      <c r="S660" s="81" t="str">
        <f>IFERROR(VLOOKUP($G660,融外自投!$A:$J,10,0),"無")</f>
        <v>無</v>
      </c>
      <c r="T660" s="327">
        <f>IFERROR(VLOOKUP($G660,'321買'!$A:$E,5,0),"'沒有資料'")</f>
        <v>1085</v>
      </c>
      <c r="U660" s="186">
        <f>IFERROR(VLOOKUP($G660,基本資料!$A:$J,9,0),"無")</f>
        <v>1.8</v>
      </c>
      <c r="V660" s="310">
        <f t="shared" si="135"/>
        <v>3.9430449069003289E-2</v>
      </c>
      <c r="W660" s="94">
        <f>IFERROR(VLOOKUP($G660,基本資料!$A:$J,10,0),"無")</f>
        <v>2.63</v>
      </c>
      <c r="X660" s="36">
        <f>RTD("money.excel",,"6532","Price")</f>
        <v>45.65</v>
      </c>
      <c r="Y660" s="66"/>
      <c r="Z660" s="15">
        <f t="shared" si="138"/>
        <v>45.65</v>
      </c>
      <c r="AA660" s="3" t="e">
        <f t="shared" si="139"/>
        <v>#DIV/0!</v>
      </c>
      <c r="AB660" s="344">
        <f>IFERROR(VLOOKUP($G660,基本資料!$A:$M,11,0),"無")</f>
        <v>-26.57</v>
      </c>
      <c r="AC660" s="397">
        <f>IFERROR(VLOOKUP($G660,基本資料!$A:$M,12,0),"無")</f>
        <v>25.15</v>
      </c>
      <c r="AD660" s="16" t="s">
        <v>381</v>
      </c>
      <c r="AG660" s="33">
        <f t="shared" si="140"/>
        <v>0</v>
      </c>
      <c r="AH660" s="43" t="s">
        <v>2309</v>
      </c>
      <c r="AI660" s="63">
        <f t="shared" si="136"/>
        <v>4.4321329639889195E-4</v>
      </c>
      <c r="AJ660" s="284">
        <f>RTD("money.excel",,$G660,"PredictVolume")</f>
        <v>16</v>
      </c>
      <c r="AK660" s="399">
        <f>IFERROR(VLOOKUP($G660,基本資料!$A:$M,13,0),"無")</f>
        <v>13.7</v>
      </c>
    </row>
    <row r="661" spans="1:37">
      <c r="A661" s="347">
        <f>IFERROR(VLOOKUP($G661,基本資料!$A:$J,3,0),"無")</f>
        <v>5.0599999999999996</v>
      </c>
      <c r="B661" s="79">
        <f>IFERROR(VLOOKUP($G661,基本資料!$A:$J,4,0),"無")</f>
        <v>360</v>
      </c>
      <c r="C661" s="79">
        <f>IFERROR(VLOOKUP($G661,基本資料!$A:$J,5,0),"無")</f>
        <v>321</v>
      </c>
      <c r="D661" s="79">
        <f>IFERROR(VLOOKUP($G661,基本資料!$A:$J,6,0),"無")</f>
        <v>170</v>
      </c>
      <c r="E661" s="79">
        <f>IFERROR(VLOOKUP($G661,基本資料!$A:$J,7,0),"無")</f>
        <v>145</v>
      </c>
      <c r="F661" s="6">
        <f>IFERROR(VLOOKUP($G661,基本資料!$A:$J,8,0),"無")</f>
        <v>19.350000000000001</v>
      </c>
      <c r="G661" s="79">
        <v>6533</v>
      </c>
      <c r="H661" s="8" t="s">
        <v>3039</v>
      </c>
      <c r="I661" s="22" t="s">
        <v>4064</v>
      </c>
      <c r="J661" s="8" t="str">
        <f>IFERROR(VLOOKUP($G661,今日總結!$A:$AJ,35,0),"")</f>
        <v/>
      </c>
      <c r="K661" s="5" t="str">
        <f>IFERROR(VLOOKUP($G661,今日總結!$A:$AJ,36,0),"")</f>
        <v/>
      </c>
      <c r="L661" s="156" t="str">
        <f>IFERROR(VLOOKUP($G661,今日總結!$A:$AJ,33,0),"")</f>
        <v/>
      </c>
      <c r="M661" s="340" t="str">
        <f>IFERROR(VLOOKUP($G661,今日總結!$A:$AJ,34,0),"")</f>
        <v/>
      </c>
      <c r="N661" s="240" t="str">
        <f t="shared" si="137"/>
        <v/>
      </c>
      <c r="P661" s="365">
        <f>IFERROR(VLOOKUP($G661,融外自投!$A:$J,7,0),"無")</f>
        <v>336</v>
      </c>
      <c r="Q661" s="79">
        <f>IFERROR(VLOOKUP($G661,融外自投!$A:$J,9,0),"無")</f>
        <v>276</v>
      </c>
      <c r="R661" s="346">
        <f>IFERROR(VLOOKUP($G661,融外自投!$A:$J,8,0),"無")</f>
        <v>224</v>
      </c>
      <c r="S661" s="81">
        <f>IFERROR(VLOOKUP($G661,融外自投!$A:$J,10,0),"無")</f>
        <v>374</v>
      </c>
      <c r="T661" s="327">
        <f>IFERROR(VLOOKUP($G661,'321買'!$A:$E,5,0),"'沒有資料'")</f>
        <v>416</v>
      </c>
      <c r="U661" s="186">
        <f>IFERROR(VLOOKUP($G661,基本資料!$A:$J,9,0),"無")</f>
        <v>2.85</v>
      </c>
      <c r="V661" s="310">
        <f t="shared" si="135"/>
        <v>8.6626139817629188E-3</v>
      </c>
      <c r="W661" s="94">
        <f>IFERROR(VLOOKUP($G661,基本資料!$A:$J,10,0),"無")</f>
        <v>3.59</v>
      </c>
      <c r="X661" s="36">
        <f>RTD("money.excel",,"6533","Price")</f>
        <v>329</v>
      </c>
      <c r="Y661" s="66"/>
      <c r="Z661" s="15">
        <f t="shared" si="138"/>
        <v>329</v>
      </c>
      <c r="AA661" s="3" t="e">
        <f t="shared" si="139"/>
        <v>#DIV/0!</v>
      </c>
      <c r="AB661" s="344">
        <f>IFERROR(VLOOKUP($G661,基本資料!$A:$M,11,0),"無")</f>
        <v>-50.62</v>
      </c>
      <c r="AC661" s="397">
        <f>IFERROR(VLOOKUP($G661,基本資料!$A:$M,12,0),"無")</f>
        <v>21.37</v>
      </c>
      <c r="AD661" s="22" t="s">
        <v>4064</v>
      </c>
      <c r="AG661" s="33">
        <f t="shared" si="140"/>
        <v>0</v>
      </c>
      <c r="AH661" s="43" t="s">
        <v>2314</v>
      </c>
      <c r="AI661" s="63">
        <f t="shared" si="136"/>
        <v>1.6106719367588933E-2</v>
      </c>
      <c r="AJ661" s="284">
        <f>RTD("money.excel",,$G661,"PredictVolume")</f>
        <v>815</v>
      </c>
      <c r="AK661" s="399">
        <f>IFERROR(VLOOKUP($G661,基本資料!$A:$M,13,0),"無")</f>
        <v>13.76</v>
      </c>
    </row>
    <row r="662" spans="1:37">
      <c r="A662" s="347">
        <f>IFERROR(VLOOKUP($G662,基本資料!$A:$J,3,0),"無")</f>
        <v>3.84</v>
      </c>
      <c r="B662" s="79">
        <f>IFERROR(VLOOKUP($G662,基本資料!$A:$J,4,0),"無")</f>
        <v>119</v>
      </c>
      <c r="C662" s="79">
        <f>IFERROR(VLOOKUP($G662,基本資料!$A:$J,5,0),"無")</f>
        <v>130</v>
      </c>
      <c r="D662" s="79">
        <f>IFERROR(VLOOKUP($G662,基本資料!$A:$J,6,0),"無")</f>
        <v>-4</v>
      </c>
      <c r="E662" s="79">
        <f>IFERROR(VLOOKUP($G662,基本資料!$A:$J,7,0),"無")</f>
        <v>24</v>
      </c>
      <c r="F662" s="6">
        <f>IFERROR(VLOOKUP($G662,基本資料!$A:$J,8,0),"無")</f>
        <v>17.28</v>
      </c>
      <c r="G662" s="79">
        <v>6548</v>
      </c>
      <c r="H662" s="192" t="s">
        <v>3039</v>
      </c>
      <c r="I662" s="16" t="s">
        <v>1398</v>
      </c>
      <c r="J662" s="8" t="str">
        <f>IFERROR(VLOOKUP($G662,今日總結!$A:$AJ,35,0),"")</f>
        <v/>
      </c>
      <c r="K662" s="5" t="str">
        <f>IFERROR(VLOOKUP($G662,今日總結!$A:$AJ,36,0),"")</f>
        <v/>
      </c>
      <c r="L662" s="156" t="str">
        <f>IFERROR(VLOOKUP($G662,今日總結!$A:$AJ,33,0),"")</f>
        <v/>
      </c>
      <c r="M662" s="340" t="str">
        <f>IFERROR(VLOOKUP($G662,今日總結!$A:$AJ,34,0),"")</f>
        <v/>
      </c>
      <c r="N662" s="240" t="str">
        <f t="shared" si="137"/>
        <v/>
      </c>
      <c r="P662" s="365">
        <f>IFERROR(VLOOKUP($G662,融外自投!$A:$J,7,0),"無")</f>
        <v>870</v>
      </c>
      <c r="Q662" s="79">
        <f>IFERROR(VLOOKUP($G662,融外自投!$A:$J,9,0),"無")</f>
        <v>1051</v>
      </c>
      <c r="R662" s="346">
        <f>IFERROR(VLOOKUP($G662,融外自投!$A:$J,8,0),"無")</f>
        <v>653</v>
      </c>
      <c r="S662" s="81">
        <f>IFERROR(VLOOKUP($G662,融外自投!$A:$J,10,0),"無")</f>
        <v>284</v>
      </c>
      <c r="T662" s="327">
        <f>IFERROR(VLOOKUP($G662,'321買'!$A:$E,5,0),"'沒有資料'")</f>
        <v>21</v>
      </c>
      <c r="U662" s="186">
        <f>IFERROR(VLOOKUP($G662,基本資料!$A:$J,9,0),"無")</f>
        <v>2.4</v>
      </c>
      <c r="V662" s="310">
        <f t="shared" si="135"/>
        <v>2.7088036117381489E-2</v>
      </c>
      <c r="W662" s="94">
        <f>IFERROR(VLOOKUP($G662,基本資料!$A:$J,10,0),"無")</f>
        <v>4.8099999999999996</v>
      </c>
      <c r="X662" s="36">
        <f>RTD("money.excel",,"6548","Price")</f>
        <v>88.6</v>
      </c>
      <c r="Y662" s="66"/>
      <c r="Z662" s="15">
        <f t="shared" si="138"/>
        <v>88.6</v>
      </c>
      <c r="AA662" s="3" t="e">
        <f t="shared" si="139"/>
        <v>#DIV/0!</v>
      </c>
      <c r="AB662" s="344">
        <f>IFERROR(VLOOKUP($G662,基本資料!$A:$M,11,0),"無")</f>
        <v>-24.76</v>
      </c>
      <c r="AC662" s="397">
        <f>IFERROR(VLOOKUP($G662,基本資料!$A:$M,12,0),"無")</f>
        <v>16.04</v>
      </c>
      <c r="AD662" s="16" t="s">
        <v>1398</v>
      </c>
      <c r="AG662" s="33">
        <f t="shared" si="140"/>
        <v>0</v>
      </c>
      <c r="AH662" s="117" t="s">
        <v>2805</v>
      </c>
      <c r="AI662" s="63">
        <f t="shared" si="136"/>
        <v>6.5624999999999998E-3</v>
      </c>
      <c r="AJ662" s="284">
        <f>RTD("money.excel",,$G662,"PredictVolume")</f>
        <v>252</v>
      </c>
      <c r="AK662" s="399">
        <f>IFERROR(VLOOKUP($G662,基本資料!$A:$M,13,0),"無")</f>
        <v>55.58</v>
      </c>
    </row>
    <row r="663" spans="1:37">
      <c r="A663" s="347">
        <f>IFERROR(VLOOKUP($G663,基本資料!$A:$J,3,0),"無")</f>
        <v>8.3000000000000007</v>
      </c>
      <c r="B663" s="79">
        <f>IFERROR(VLOOKUP($G663,基本資料!$A:$J,4,0),"無")</f>
        <v>118</v>
      </c>
      <c r="C663" s="79">
        <f>IFERROR(VLOOKUP($G663,基本資料!$A:$J,5,0),"無")</f>
        <v>97</v>
      </c>
      <c r="D663" s="79">
        <f>IFERROR(VLOOKUP($G663,基本資料!$A:$J,6,0),"無")</f>
        <v>7</v>
      </c>
      <c r="E663" s="79">
        <f>IFERROR(VLOOKUP($G663,基本資料!$A:$J,7,0),"無")</f>
        <v>-4</v>
      </c>
      <c r="F663" s="6">
        <f>IFERROR(VLOOKUP($G663,基本資料!$A:$J,8,0),"無")</f>
        <v>12.02</v>
      </c>
      <c r="G663" s="79">
        <v>6552</v>
      </c>
      <c r="H663" s="8" t="s">
        <v>3039</v>
      </c>
      <c r="I663" s="22" t="s">
        <v>355</v>
      </c>
      <c r="J663" s="8" t="str">
        <f>IFERROR(VLOOKUP($G663,今日總結!$A:$AJ,35,0),"")</f>
        <v/>
      </c>
      <c r="K663" s="5" t="str">
        <f>IFERROR(VLOOKUP($G663,今日總結!$A:$AJ,36,0),"")</f>
        <v/>
      </c>
      <c r="L663" s="156" t="str">
        <f>IFERROR(VLOOKUP($G663,今日總結!$A:$AJ,33,0),"")</f>
        <v/>
      </c>
      <c r="M663" s="340" t="str">
        <f>IFERROR(VLOOKUP($G663,今日總結!$A:$AJ,34,0),"")</f>
        <v/>
      </c>
      <c r="N663" s="240" t="str">
        <f t="shared" si="137"/>
        <v/>
      </c>
      <c r="P663" s="365">
        <f>IFERROR(VLOOKUP($G663,融外自投!$A:$J,7,0),"無")</f>
        <v>277</v>
      </c>
      <c r="Q663" s="79">
        <f>IFERROR(VLOOKUP($G663,融外自投!$A:$J,9,0),"無")</f>
        <v>502</v>
      </c>
      <c r="R663" s="346">
        <f>IFERROR(VLOOKUP($G663,融外自投!$A:$J,8,0),"無")</f>
        <v>1263</v>
      </c>
      <c r="S663" s="81" t="str">
        <f>IFERROR(VLOOKUP($G663,融外自投!$A:$J,10,0),"無")</f>
        <v>無</v>
      </c>
      <c r="T663" s="327">
        <f>IFERROR(VLOOKUP($G663,'321買'!$A:$E,5,0),"'沒有資料'")</f>
        <v>752</v>
      </c>
      <c r="U663" s="186">
        <f>IFERROR(VLOOKUP($G663,基本資料!$A:$J,9,0),"無")</f>
        <v>2</v>
      </c>
      <c r="V663" s="310">
        <f t="shared" si="135"/>
        <v>4.4593088071348937E-2</v>
      </c>
      <c r="W663" s="94">
        <f>IFERROR(VLOOKUP($G663,基本資料!$A:$J,10,0),"無")</f>
        <v>3.91</v>
      </c>
      <c r="X663" s="36">
        <f>RTD("money.excel",,"6552","Price")</f>
        <v>44.85</v>
      </c>
      <c r="Y663" s="66"/>
      <c r="Z663" s="15">
        <f t="shared" si="138"/>
        <v>44.85</v>
      </c>
      <c r="AA663" s="3" t="e">
        <f t="shared" si="139"/>
        <v>#DIV/0!</v>
      </c>
      <c r="AB663" s="344">
        <f>IFERROR(VLOOKUP($G663,基本資料!$A:$M,11,0),"無")</f>
        <v>-46.32</v>
      </c>
      <c r="AC663" s="397">
        <f>IFERROR(VLOOKUP($G663,基本資料!$A:$M,12,0),"無")</f>
        <v>13.37</v>
      </c>
      <c r="AD663" s="22" t="s">
        <v>355</v>
      </c>
      <c r="AG663" s="33">
        <f t="shared" si="140"/>
        <v>0</v>
      </c>
      <c r="AH663" s="43" t="s">
        <v>2537</v>
      </c>
      <c r="AI663" s="63">
        <f t="shared" si="136"/>
        <v>4.0963855421686748E-4</v>
      </c>
      <c r="AJ663" s="284">
        <f>RTD("money.excel",,$G663,"PredictVolume")</f>
        <v>34</v>
      </c>
      <c r="AK663" s="399">
        <f>IFERROR(VLOOKUP($G663,基本資料!$A:$M,13,0),"無")</f>
        <v>11.32</v>
      </c>
    </row>
    <row r="664" spans="1:37">
      <c r="A664" s="347">
        <f>IFERROR(VLOOKUP($G664,基本資料!$A:$J,3,0),"無")</f>
        <v>3.08</v>
      </c>
      <c r="B664" s="79">
        <f>IFERROR(VLOOKUP($G664,基本資料!$A:$J,4,0),"無")</f>
        <v>-8</v>
      </c>
      <c r="C664" s="79">
        <f>IFERROR(VLOOKUP($G664,基本資料!$A:$J,5,0),"無")</f>
        <v>-21</v>
      </c>
      <c r="D664" s="79">
        <f>IFERROR(VLOOKUP($G664,基本資料!$A:$J,6,0),"無")</f>
        <v>8</v>
      </c>
      <c r="E664" s="79">
        <f>IFERROR(VLOOKUP($G664,基本資料!$A:$J,7,0),"無")</f>
        <v>16</v>
      </c>
      <c r="F664" s="6">
        <f>IFERROR(VLOOKUP($G664,基本資料!$A:$J,8,0),"無")</f>
        <v>16.440000000000001</v>
      </c>
      <c r="G664" s="79">
        <v>6568</v>
      </c>
      <c r="H664" s="192" t="s">
        <v>3039</v>
      </c>
      <c r="I664" s="16" t="s">
        <v>4065</v>
      </c>
      <c r="J664" s="8" t="str">
        <f>IFERROR(VLOOKUP($G664,今日總結!$A:$AJ,35,0),"")</f>
        <v/>
      </c>
      <c r="K664" s="5" t="str">
        <f>IFERROR(VLOOKUP($G664,今日總結!$A:$AJ,36,0),"")</f>
        <v/>
      </c>
      <c r="L664" s="156" t="str">
        <f>IFERROR(VLOOKUP($G664,今日總結!$A:$AJ,33,0),"")</f>
        <v/>
      </c>
      <c r="M664" s="340" t="str">
        <f>IFERROR(VLOOKUP($G664,今日總結!$A:$AJ,34,0),"")</f>
        <v/>
      </c>
      <c r="N664" s="240" t="str">
        <f t="shared" si="137"/>
        <v/>
      </c>
      <c r="P664" s="365" t="str">
        <f>IFERROR(VLOOKUP($G664,融外自投!$A:$J,7,0),"無")</f>
        <v>無</v>
      </c>
      <c r="Q664" s="79" t="str">
        <f>IFERROR(VLOOKUP($G664,融外自投!$A:$J,9,0),"無")</f>
        <v>無</v>
      </c>
      <c r="R664" s="346" t="str">
        <f>IFERROR(VLOOKUP($G664,融外自投!$A:$J,8,0),"無")</f>
        <v>無</v>
      </c>
      <c r="S664" s="81" t="str">
        <f>IFERROR(VLOOKUP($G664,融外自投!$A:$J,10,0),"無")</f>
        <v>無</v>
      </c>
      <c r="T664" s="327" t="str">
        <f>IFERROR(VLOOKUP($G664,'321買'!$A:$E,5,0),"'沒有資料'")</f>
        <v>'沒有資料'</v>
      </c>
      <c r="U664" s="186">
        <f>IFERROR(VLOOKUP($G664,基本資料!$A:$J,9,0),"無")</f>
        <v>5</v>
      </c>
      <c r="V664" s="310">
        <f t="shared" si="135"/>
        <v>3.2258064516129031E-2</v>
      </c>
      <c r="W664" s="94">
        <f>IFERROR(VLOOKUP($G664,基本資料!$A:$J,10,0),"無")</f>
        <v>5.65</v>
      </c>
      <c r="X664" s="36">
        <f>RTD("money.excel",,"6568","Price")</f>
        <v>155</v>
      </c>
      <c r="Y664" s="66"/>
      <c r="Z664" s="15">
        <f t="shared" si="138"/>
        <v>155</v>
      </c>
      <c r="AA664" s="3" t="e">
        <f t="shared" si="139"/>
        <v>#DIV/0!</v>
      </c>
      <c r="AB664" s="344">
        <f>IFERROR(VLOOKUP($G664,基本資料!$A:$M,11,0),"無")</f>
        <v>-63.66</v>
      </c>
      <c r="AC664" s="397">
        <f>IFERROR(VLOOKUP($G664,基本資料!$A:$M,12,0),"無")</f>
        <v>13.21</v>
      </c>
      <c r="AD664" s="16" t="s">
        <v>4065</v>
      </c>
      <c r="AG664" s="33">
        <f t="shared" si="140"/>
        <v>0</v>
      </c>
      <c r="AH664" s="43" t="s">
        <v>2367</v>
      </c>
      <c r="AI664" s="63">
        <f t="shared" si="136"/>
        <v>4.1233766233766235E-3</v>
      </c>
      <c r="AJ664" s="284">
        <f>RTD("money.excel",,$G664,"PredictVolume")</f>
        <v>127</v>
      </c>
      <c r="AK664" s="399">
        <f>IFERROR(VLOOKUP($G664,基本資料!$A:$M,13,0),"無")</f>
        <v>13.79</v>
      </c>
    </row>
    <row r="665" spans="1:37">
      <c r="A665" s="347">
        <f>IFERROR(VLOOKUP($G665,基本資料!$A:$J,3,0),"無")</f>
        <v>8.0399999999999991</v>
      </c>
      <c r="B665" s="79">
        <f>IFERROR(VLOOKUP($G665,基本資料!$A:$J,4,0),"無")</f>
        <v>23</v>
      </c>
      <c r="C665" s="79">
        <f>IFERROR(VLOOKUP($G665,基本資料!$A:$J,5,0),"無")</f>
        <v>37</v>
      </c>
      <c r="D665" s="79">
        <f>IFERROR(VLOOKUP($G665,基本資料!$A:$J,6,0),"無")</f>
        <v>58</v>
      </c>
      <c r="E665" s="79">
        <f>IFERROR(VLOOKUP($G665,基本資料!$A:$J,7,0),"無")</f>
        <v>-36</v>
      </c>
      <c r="F665" s="6">
        <f>IFERROR(VLOOKUP($G665,基本資料!$A:$J,8,0),"無")</f>
        <v>-5.52</v>
      </c>
      <c r="G665" s="79">
        <v>6573</v>
      </c>
      <c r="H665" s="8" t="s">
        <v>3039</v>
      </c>
      <c r="I665" s="22" t="s">
        <v>356</v>
      </c>
      <c r="J665" s="8" t="str">
        <f>IFERROR(VLOOKUP($G665,今日總結!$A:$AJ,35,0),"")</f>
        <v/>
      </c>
      <c r="K665" s="5" t="str">
        <f>IFERROR(VLOOKUP($G665,今日總結!$A:$AJ,36,0),"")</f>
        <v/>
      </c>
      <c r="L665" s="156" t="str">
        <f>IFERROR(VLOOKUP($G665,今日總結!$A:$AJ,33,0),"")</f>
        <v/>
      </c>
      <c r="M665" s="340" t="str">
        <f>IFERROR(VLOOKUP($G665,今日總結!$A:$AJ,34,0),"")</f>
        <v/>
      </c>
      <c r="N665" s="240" t="str">
        <f t="shared" si="137"/>
        <v/>
      </c>
      <c r="P665" s="365">
        <f>IFERROR(VLOOKUP($G665,融外自投!$A:$J,7,0),"無")</f>
        <v>632</v>
      </c>
      <c r="Q665" s="79">
        <f>IFERROR(VLOOKUP($G665,融外自投!$A:$J,9,0),"無")</f>
        <v>708</v>
      </c>
      <c r="R665" s="346">
        <f>IFERROR(VLOOKUP($G665,融外自投!$A:$J,8,0),"無")</f>
        <v>50</v>
      </c>
      <c r="S665" s="81" t="str">
        <f>IFERROR(VLOOKUP($G665,融外自投!$A:$J,10,0),"無")</f>
        <v>無</v>
      </c>
      <c r="T665" s="327">
        <f>IFERROR(VLOOKUP($G665,'321買'!$A:$E,5,0),"'沒有資料'")</f>
        <v>779</v>
      </c>
      <c r="U665" s="186">
        <f>IFERROR(VLOOKUP($G665,基本資料!$A:$J,9,0),"無")</f>
        <v>0</v>
      </c>
      <c r="V665" s="310">
        <f t="shared" si="135"/>
        <v>0</v>
      </c>
      <c r="W665" s="94">
        <f>IFERROR(VLOOKUP($G665,基本資料!$A:$J,10,0),"無")</f>
        <v>-1.93</v>
      </c>
      <c r="X665" s="36">
        <f>RTD("money.excel",,"6573","Price")</f>
        <v>15.9</v>
      </c>
      <c r="Y665" s="66"/>
      <c r="Z665" s="15">
        <f t="shared" si="138"/>
        <v>15.9</v>
      </c>
      <c r="AA665" s="3" t="e">
        <f t="shared" si="139"/>
        <v>#DIV/0!</v>
      </c>
      <c r="AB665" s="344">
        <f>IFERROR(VLOOKUP($G665,基本資料!$A:$M,11,0),"無")</f>
        <v>-54.86</v>
      </c>
      <c r="AC665" s="397">
        <f>IFERROR(VLOOKUP($G665,基本資料!$A:$M,12,0),"無")</f>
        <v>13.74</v>
      </c>
      <c r="AD665" s="22" t="s">
        <v>356</v>
      </c>
      <c r="AG665" s="33">
        <f t="shared" si="140"/>
        <v>0</v>
      </c>
      <c r="AH665" s="43" t="s">
        <v>1405</v>
      </c>
      <c r="AI665" s="63">
        <f t="shared" si="136"/>
        <v>6.8407960199004991E-4</v>
      </c>
      <c r="AJ665" s="284">
        <f>RTD("money.excel",,$G665,"PredictVolume")</f>
        <v>55</v>
      </c>
      <c r="AK665" s="399">
        <f>IFERROR(VLOOKUP($G665,基本資料!$A:$M,13,0),"無")</f>
        <v>34.03</v>
      </c>
    </row>
    <row r="666" spans="1:37">
      <c r="A666" s="347">
        <f>IFERROR(VLOOKUP($G666,基本資料!$A:$J,3,0),"無")</f>
        <v>3.01</v>
      </c>
      <c r="B666" s="79">
        <f>IFERROR(VLOOKUP($G666,基本資料!$A:$J,4,0),"無")</f>
        <v>-24</v>
      </c>
      <c r="C666" s="79">
        <f>IFERROR(VLOOKUP($G666,基本資料!$A:$J,5,0),"無")</f>
        <v>-27</v>
      </c>
      <c r="D666" s="79">
        <f>IFERROR(VLOOKUP($G666,基本資料!$A:$J,6,0),"無")</f>
        <v>-4</v>
      </c>
      <c r="E666" s="79">
        <f>IFERROR(VLOOKUP($G666,基本資料!$A:$J,7,0),"無")</f>
        <v>32</v>
      </c>
      <c r="F666" s="6">
        <f>IFERROR(VLOOKUP($G666,基本資料!$A:$J,8,0),"無")</f>
        <v>5.79</v>
      </c>
      <c r="G666" s="79">
        <v>6594</v>
      </c>
      <c r="H666" s="192" t="s">
        <v>3039</v>
      </c>
      <c r="I666" s="16" t="s">
        <v>4066</v>
      </c>
      <c r="J666" s="8" t="str">
        <f>IFERROR(VLOOKUP($G666,今日總結!$A:$AJ,35,0),"")</f>
        <v/>
      </c>
      <c r="K666" s="5" t="str">
        <f>IFERROR(VLOOKUP($G666,今日總結!$A:$AJ,36,0),"")</f>
        <v/>
      </c>
      <c r="L666" s="156" t="str">
        <f>IFERROR(VLOOKUP($G666,今日總結!$A:$AJ,33,0),"")</f>
        <v/>
      </c>
      <c r="M666" s="340" t="str">
        <f>IFERROR(VLOOKUP($G666,今日總結!$A:$AJ,34,0),"")</f>
        <v/>
      </c>
      <c r="N666" s="240" t="str">
        <f t="shared" si="137"/>
        <v/>
      </c>
      <c r="P666" s="365">
        <f>IFERROR(VLOOKUP($G666,融外自投!$A:$J,7,0),"無")</f>
        <v>1215</v>
      </c>
      <c r="Q666" s="79" t="str">
        <f>IFERROR(VLOOKUP($G666,融外自投!$A:$J,9,0),"無")</f>
        <v>無</v>
      </c>
      <c r="R666" s="346">
        <f>IFERROR(VLOOKUP($G666,融外自投!$A:$J,8,0),"無")</f>
        <v>1150</v>
      </c>
      <c r="S666" s="81" t="str">
        <f>IFERROR(VLOOKUP($G666,融外自投!$A:$J,10,0),"無")</f>
        <v>無</v>
      </c>
      <c r="T666" s="327">
        <f>IFERROR(VLOOKUP($G666,'321買'!$A:$E,5,0),"'沒有資料'")</f>
        <v>1296</v>
      </c>
      <c r="U666" s="186">
        <f>IFERROR(VLOOKUP($G666,基本資料!$A:$J,9,0),"無")</f>
        <v>1</v>
      </c>
      <c r="V666" s="310">
        <f t="shared" si="135"/>
        <v>2.8011204481792715E-2</v>
      </c>
      <c r="W666" s="94">
        <f>IFERROR(VLOOKUP($G666,基本資料!$A:$J,10,0),"無")</f>
        <v>1.08</v>
      </c>
      <c r="X666" s="36">
        <f>RTD("money.excel",,"6594","Price")</f>
        <v>35.700000000000003</v>
      </c>
      <c r="Y666" s="66"/>
      <c r="Z666" s="15">
        <f t="shared" si="138"/>
        <v>35.700000000000003</v>
      </c>
      <c r="AA666" s="3" t="e">
        <f t="shared" si="139"/>
        <v>#DIV/0!</v>
      </c>
      <c r="AB666" s="344">
        <f>IFERROR(VLOOKUP($G666,基本資料!$A:$M,11,0),"無")</f>
        <v>-40.1</v>
      </c>
      <c r="AC666" s="397">
        <f>IFERROR(VLOOKUP($G666,基本資料!$A:$M,12,0),"無")</f>
        <v>25.53</v>
      </c>
      <c r="AD666" s="16" t="s">
        <v>4066</v>
      </c>
      <c r="AG666" s="33">
        <f t="shared" si="140"/>
        <v>0</v>
      </c>
      <c r="AH666" s="43" t="s">
        <v>2368</v>
      </c>
      <c r="AI666" s="63">
        <f t="shared" si="136"/>
        <v>9.9667774086378749E-4</v>
      </c>
      <c r="AJ666" s="284">
        <f>RTD("money.excel",,$G666,"PredictVolume")</f>
        <v>30</v>
      </c>
      <c r="AK666" s="399">
        <f>IFERROR(VLOOKUP($G666,基本資料!$A:$M,13,0),"無")</f>
        <v>4.8600000000000003</v>
      </c>
    </row>
    <row r="667" spans="1:37">
      <c r="A667" s="347">
        <f>IFERROR(VLOOKUP($G667,基本資料!$A:$J,3,0),"無")</f>
        <v>2.82</v>
      </c>
      <c r="B667" s="79">
        <f>IFERROR(VLOOKUP($G667,基本資料!$A:$J,4,0),"無")</f>
        <v>344</v>
      </c>
      <c r="C667" s="79">
        <f>IFERROR(VLOOKUP($G667,基本資料!$A:$J,5,0),"無")</f>
        <v>1121</v>
      </c>
      <c r="D667" s="79">
        <f>IFERROR(VLOOKUP($G667,基本資料!$A:$J,6,0),"無")</f>
        <v>57</v>
      </c>
      <c r="E667" s="79">
        <f>IFERROR(VLOOKUP($G667,基本資料!$A:$J,7,0),"無")</f>
        <v>41</v>
      </c>
      <c r="F667" s="6">
        <f>IFERROR(VLOOKUP($G667,基本資料!$A:$J,8,0),"無")</f>
        <v>10.86</v>
      </c>
      <c r="G667" s="79">
        <v>6640</v>
      </c>
      <c r="H667" s="192" t="s">
        <v>3039</v>
      </c>
      <c r="I667" s="16" t="s">
        <v>1064</v>
      </c>
      <c r="J667" s="8" t="str">
        <f>IFERROR(VLOOKUP($G667,今日總結!$A:$AJ,35,0),"")</f>
        <v/>
      </c>
      <c r="K667" s="5" t="str">
        <f>IFERROR(VLOOKUP($G667,今日總結!$A:$AJ,36,0),"")</f>
        <v/>
      </c>
      <c r="L667" s="156" t="str">
        <f>IFERROR(VLOOKUP($G667,今日總結!$A:$AJ,33,0),"")</f>
        <v/>
      </c>
      <c r="M667" s="340" t="str">
        <f>IFERROR(VLOOKUP($G667,今日總結!$A:$AJ,34,0),"")</f>
        <v/>
      </c>
      <c r="N667" s="240" t="str">
        <f t="shared" si="137"/>
        <v/>
      </c>
      <c r="P667" s="365" t="str">
        <f>IFERROR(VLOOKUP($G667,融外自投!$A:$J,7,0),"無")</f>
        <v>無</v>
      </c>
      <c r="Q667" s="79" t="str">
        <f>IFERROR(VLOOKUP($G667,融外自投!$A:$J,9,0),"無")</f>
        <v>無</v>
      </c>
      <c r="R667" s="346" t="str">
        <f>IFERROR(VLOOKUP($G667,融外自投!$A:$J,8,0),"無")</f>
        <v>無</v>
      </c>
      <c r="S667" s="81" t="str">
        <f>IFERROR(VLOOKUP($G667,融外自投!$A:$J,10,0),"無")</f>
        <v>無</v>
      </c>
      <c r="T667" s="327" t="str">
        <f>IFERROR(VLOOKUP($G667,'321買'!$A:$E,5,0),"'沒有資料'")</f>
        <v>'沒有資料'</v>
      </c>
      <c r="U667" s="186">
        <f>IFERROR(VLOOKUP($G667,基本資料!$A:$J,9,0),"無")</f>
        <v>5</v>
      </c>
      <c r="V667" s="310">
        <f t="shared" si="135"/>
        <v>5.2910052910052907E-2</v>
      </c>
      <c r="W667" s="94">
        <f>IFERROR(VLOOKUP($G667,基本資料!$A:$J,10,0),"無")</f>
        <v>5.84</v>
      </c>
      <c r="X667" s="36">
        <f>RTD("money.excel",,"6640","Price")</f>
        <v>94.5</v>
      </c>
      <c r="Y667" s="66"/>
      <c r="Z667" s="15">
        <f t="shared" si="138"/>
        <v>94.5</v>
      </c>
      <c r="AA667" s="3" t="e">
        <f t="shared" si="139"/>
        <v>#DIV/0!</v>
      </c>
      <c r="AB667" s="344">
        <f>IFERROR(VLOOKUP($G667,基本資料!$A:$M,11,0),"無")</f>
        <v>-47.57</v>
      </c>
      <c r="AC667" s="397">
        <f>IFERROR(VLOOKUP($G667,基本資料!$A:$M,12,0),"無")</f>
        <v>51.37</v>
      </c>
      <c r="AD667" s="16" t="s">
        <v>1064</v>
      </c>
      <c r="AG667" s="33">
        <f t="shared" si="140"/>
        <v>0</v>
      </c>
      <c r="AH667" s="43" t="s">
        <v>2369</v>
      </c>
      <c r="AI667" s="63">
        <f t="shared" si="136"/>
        <v>7.0921985815602842E-4</v>
      </c>
      <c r="AJ667" s="284">
        <f>RTD("money.excel",,$G667,"PredictVolume")</f>
        <v>20</v>
      </c>
      <c r="AK667" s="399">
        <f>IFERROR(VLOOKUP($G667,基本資料!$A:$M,13,0),"無")</f>
        <v>3.27</v>
      </c>
    </row>
    <row r="668" spans="1:37">
      <c r="A668" s="347">
        <f>IFERROR(VLOOKUP($G668,基本資料!$A:$J,3,0),"無")</f>
        <v>3.16</v>
      </c>
      <c r="B668" s="79">
        <f>IFERROR(VLOOKUP($G668,基本資料!$A:$J,4,0),"無")</f>
        <v>-21</v>
      </c>
      <c r="C668" s="79">
        <f>IFERROR(VLOOKUP($G668,基本資料!$A:$J,5,0),"無")</f>
        <v>-25</v>
      </c>
      <c r="D668" s="79">
        <f>IFERROR(VLOOKUP($G668,基本資料!$A:$J,6,0),"無")</f>
        <v>10</v>
      </c>
      <c r="E668" s="79">
        <f>IFERROR(VLOOKUP($G668,基本資料!$A:$J,7,0),"無")</f>
        <v>34</v>
      </c>
      <c r="F668" s="6">
        <f>IFERROR(VLOOKUP($G668,基本資料!$A:$J,8,0),"無")</f>
        <v>30.92</v>
      </c>
      <c r="G668" s="79">
        <v>6643</v>
      </c>
      <c r="H668" s="192" t="s">
        <v>3039</v>
      </c>
      <c r="I668" s="16" t="s">
        <v>1599</v>
      </c>
      <c r="J668" s="8" t="str">
        <f>IFERROR(VLOOKUP($G668,今日總結!$A:$AJ,35,0),"")</f>
        <v/>
      </c>
      <c r="K668" s="5" t="str">
        <f>IFERROR(VLOOKUP($G668,今日總結!$A:$AJ,36,0),"")</f>
        <v/>
      </c>
      <c r="L668" s="156" t="str">
        <f>IFERROR(VLOOKUP($G668,今日總結!$A:$AJ,33,0),"")</f>
        <v/>
      </c>
      <c r="M668" s="340" t="str">
        <f>IFERROR(VLOOKUP($G668,今日總結!$A:$AJ,34,0),"")</f>
        <v/>
      </c>
      <c r="N668" s="240" t="str">
        <f t="shared" si="137"/>
        <v/>
      </c>
      <c r="P668" s="365">
        <f>IFERROR(VLOOKUP($G668,融外自投!$A:$J,7,0),"無")</f>
        <v>294</v>
      </c>
      <c r="Q668" s="79">
        <f>IFERROR(VLOOKUP($G668,融外自投!$A:$J,9,0),"無")</f>
        <v>896</v>
      </c>
      <c r="R668" s="346">
        <f>IFERROR(VLOOKUP($G668,融外自投!$A:$J,8,0),"無")</f>
        <v>547</v>
      </c>
      <c r="S668" s="81" t="str">
        <f>IFERROR(VLOOKUP($G668,融外自投!$A:$J,10,0),"無")</f>
        <v>無</v>
      </c>
      <c r="T668" s="327">
        <f>IFERROR(VLOOKUP($G668,'321買'!$A:$E,5,0),"'沒有資料'")</f>
        <v>752</v>
      </c>
      <c r="U668" s="186">
        <f>IFERROR(VLOOKUP($G668,基本資料!$A:$J,9,0),"無")</f>
        <v>6.3</v>
      </c>
      <c r="V668" s="310">
        <f t="shared" si="135"/>
        <v>2.2661870503597123E-2</v>
      </c>
      <c r="W668" s="94">
        <f>IFERROR(VLOOKUP($G668,基本資料!$A:$J,10,0),"無")</f>
        <v>8.1199999999999992</v>
      </c>
      <c r="X668" s="36">
        <f>RTD("money.excel",,"6643","Price")</f>
        <v>278</v>
      </c>
      <c r="Y668" s="66"/>
      <c r="Z668" s="15">
        <f t="shared" si="138"/>
        <v>278</v>
      </c>
      <c r="AA668" s="3" t="e">
        <f t="shared" si="139"/>
        <v>#DIV/0!</v>
      </c>
      <c r="AB668" s="344">
        <f>IFERROR(VLOOKUP($G668,基本資料!$A:$M,11,0),"無")</f>
        <v>-44.88</v>
      </c>
      <c r="AC668" s="397">
        <f>IFERROR(VLOOKUP($G668,基本資料!$A:$M,12,0),"無")</f>
        <v>17.690000000000001</v>
      </c>
      <c r="AD668" s="16" t="s">
        <v>1599</v>
      </c>
      <c r="AG668" s="33">
        <f t="shared" si="140"/>
        <v>0</v>
      </c>
      <c r="AH668" s="117" t="s">
        <v>2924</v>
      </c>
      <c r="AI668" s="63">
        <f t="shared" si="136"/>
        <v>3.7974683544303796E-3</v>
      </c>
      <c r="AJ668" s="284">
        <f>RTD("money.excel",,$G668,"PredictVolume")</f>
        <v>120</v>
      </c>
      <c r="AK668" s="399">
        <f>IFERROR(VLOOKUP($G668,基本資料!$A:$M,13,0),"無")</f>
        <v>15.43</v>
      </c>
    </row>
    <row r="669" spans="1:37">
      <c r="A669" s="347">
        <f>IFERROR(VLOOKUP($G669,基本資料!$A:$J,3,0),"無")</f>
        <v>3.29</v>
      </c>
      <c r="B669" s="79">
        <f>IFERROR(VLOOKUP($G669,基本資料!$A:$J,4,0),"無")</f>
        <v>112</v>
      </c>
      <c r="C669" s="79">
        <f>IFERROR(VLOOKUP($G669,基本資料!$A:$J,5,0),"無")</f>
        <v>94</v>
      </c>
      <c r="D669" s="79">
        <f>IFERROR(VLOOKUP($G669,基本資料!$A:$J,6,0),"無")</f>
        <v>-14</v>
      </c>
      <c r="E669" s="79">
        <f>IFERROR(VLOOKUP($G669,基本資料!$A:$J,7,0),"無")</f>
        <v>0</v>
      </c>
      <c r="F669" s="6">
        <f>IFERROR(VLOOKUP($G669,基本資料!$A:$J,8,0),"無")</f>
        <v>19.71</v>
      </c>
      <c r="G669" s="79">
        <v>6651</v>
      </c>
      <c r="H669" s="192" t="s">
        <v>307</v>
      </c>
      <c r="I669" s="16" t="s">
        <v>2337</v>
      </c>
      <c r="J669" s="8" t="str">
        <f>IFERROR(VLOOKUP($G669,今日總結!$A:$AJ,35,0),"")</f>
        <v/>
      </c>
      <c r="K669" s="5" t="str">
        <f>IFERROR(VLOOKUP($G669,今日總結!$A:$AJ,36,0),"")</f>
        <v/>
      </c>
      <c r="L669" s="156" t="str">
        <f>IFERROR(VLOOKUP($G669,今日總結!$A:$AJ,33,0),"")</f>
        <v/>
      </c>
      <c r="M669" s="340" t="str">
        <f>IFERROR(VLOOKUP($G669,今日總結!$A:$AJ,34,0),"")</f>
        <v/>
      </c>
      <c r="N669" s="240" t="str">
        <f t="shared" si="137"/>
        <v/>
      </c>
      <c r="P669" s="365">
        <f>IFERROR(VLOOKUP($G669,融外自投!$A:$J,7,0),"無")</f>
        <v>789</v>
      </c>
      <c r="Q669" s="79" t="str">
        <f>IFERROR(VLOOKUP($G669,融外自投!$A:$J,9,0),"無")</f>
        <v>無</v>
      </c>
      <c r="R669" s="346">
        <f>IFERROR(VLOOKUP($G669,融外自投!$A:$J,8,0),"無")</f>
        <v>1295</v>
      </c>
      <c r="S669" s="81" t="str">
        <f>IFERROR(VLOOKUP($G669,融外自投!$A:$J,10,0),"無")</f>
        <v>無</v>
      </c>
      <c r="T669" s="327">
        <f>IFERROR(VLOOKUP($G669,'321買'!$A:$E,5,0),"'沒有資料'")</f>
        <v>827</v>
      </c>
      <c r="U669" s="186">
        <f>IFERROR(VLOOKUP($G669,基本資料!$A:$J,9,0),"無")</f>
        <v>4.5</v>
      </c>
      <c r="V669" s="310">
        <f t="shared" si="135"/>
        <v>5.2508751458576426E-2</v>
      </c>
      <c r="W669" s="94">
        <f>IFERROR(VLOOKUP($G669,基本資料!$A:$J,10,0),"無")</f>
        <v>7.77</v>
      </c>
      <c r="X669" s="36">
        <f>RTD("money.excel",,"6651","Price")</f>
        <v>85.7</v>
      </c>
      <c r="Y669" s="66"/>
      <c r="Z669" s="15">
        <f t="shared" si="138"/>
        <v>85.7</v>
      </c>
      <c r="AA669" s="3" t="e">
        <f t="shared" si="139"/>
        <v>#DIV/0!</v>
      </c>
      <c r="AB669" s="344">
        <f>IFERROR(VLOOKUP($G669,基本資料!$A:$M,11,0),"無")</f>
        <v>-43.73</v>
      </c>
      <c r="AC669" s="397">
        <f>IFERROR(VLOOKUP($G669,基本資料!$A:$M,12,0),"無")</f>
        <v>27.4</v>
      </c>
      <c r="AD669" s="16" t="s">
        <v>2337</v>
      </c>
      <c r="AG669" s="33">
        <f t="shared" si="140"/>
        <v>0</v>
      </c>
      <c r="AH669" s="43" t="s">
        <v>2176</v>
      </c>
      <c r="AI669" s="63">
        <f t="shared" si="136"/>
        <v>3.0395136778115504E-4</v>
      </c>
      <c r="AJ669" s="284">
        <f>RTD("money.excel",,$G669,"PredictVolume")</f>
        <v>10</v>
      </c>
      <c r="AK669" s="399">
        <f>IFERROR(VLOOKUP($G669,基本資料!$A:$M,13,0),"無")</f>
        <v>18.14</v>
      </c>
    </row>
    <row r="670" spans="1:37">
      <c r="A670" s="347">
        <f>IFERROR(VLOOKUP($G670,基本資料!$A:$J,3,0),"無")</f>
        <v>4.3499999999999996</v>
      </c>
      <c r="B670" s="79">
        <f>IFERROR(VLOOKUP($G670,基本資料!$A:$J,4,0),"無")</f>
        <v>102</v>
      </c>
      <c r="C670" s="79">
        <f>IFERROR(VLOOKUP($G670,基本資料!$A:$J,5,0),"無")</f>
        <v>92</v>
      </c>
      <c r="D670" s="79">
        <f>IFERROR(VLOOKUP($G670,基本資料!$A:$J,6,0),"無")</f>
        <v>8</v>
      </c>
      <c r="E670" s="79">
        <f>IFERROR(VLOOKUP($G670,基本資料!$A:$J,7,0),"無")</f>
        <v>7</v>
      </c>
      <c r="F670" s="6">
        <f>IFERROR(VLOOKUP($G670,基本資料!$A:$J,8,0),"無")</f>
        <v>27.61</v>
      </c>
      <c r="G670" s="79">
        <v>6679</v>
      </c>
      <c r="H670" s="192" t="s">
        <v>3039</v>
      </c>
      <c r="I670" s="16" t="s">
        <v>1678</v>
      </c>
      <c r="J670" s="8">
        <f>IFERROR(VLOOKUP($G670,今日總結!$A:$AJ,35,0),"")</f>
        <v>0</v>
      </c>
      <c r="K670" s="5" t="str">
        <f>IFERROR(VLOOKUP($G670,今日總結!$A:$AJ,36,0),"")</f>
        <v>6投</v>
      </c>
      <c r="L670" s="156">
        <f>IFERROR(VLOOKUP($G670,今日總結!$A:$AJ,33,0),"")</f>
        <v>0</v>
      </c>
      <c r="M670" s="340">
        <f>IFERROR(VLOOKUP($G670,今日總結!$A:$AJ,34,0),"")</f>
        <v>2</v>
      </c>
      <c r="N670" s="240">
        <f t="shared" si="137"/>
        <v>-2</v>
      </c>
      <c r="P670" s="365">
        <f>IFERROR(VLOOKUP($G670,融外自投!$A:$J,7,0),"無")</f>
        <v>447</v>
      </c>
      <c r="Q670" s="79">
        <f>IFERROR(VLOOKUP($G670,融外自投!$A:$J,9,0),"無")</f>
        <v>614</v>
      </c>
      <c r="R670" s="346">
        <f>IFERROR(VLOOKUP($G670,融外自投!$A:$J,8,0),"無")</f>
        <v>495</v>
      </c>
      <c r="S670" s="81">
        <f>IFERROR(VLOOKUP($G670,融外自投!$A:$J,10,0),"無")</f>
        <v>21</v>
      </c>
      <c r="T670" s="327">
        <f>IFERROR(VLOOKUP($G670,'321買'!$A:$E,5,0),"'沒有資料'")</f>
        <v>178</v>
      </c>
      <c r="U670" s="186">
        <f>IFERROR(VLOOKUP($G670,基本資料!$A:$J,9,0),"無")</f>
        <v>9.1</v>
      </c>
      <c r="V670" s="310">
        <f t="shared" si="135"/>
        <v>2.9213483146067414E-2</v>
      </c>
      <c r="W670" s="94">
        <f>IFERROR(VLOOKUP($G670,基本資料!$A:$J,10,0),"無")</f>
        <v>15.06</v>
      </c>
      <c r="X670" s="36">
        <f>RTD("money.excel",,"6679","Price")</f>
        <v>311.5</v>
      </c>
      <c r="Y670" s="66"/>
      <c r="Z670" s="15">
        <f t="shared" si="138"/>
        <v>311.5</v>
      </c>
      <c r="AA670" s="3" t="e">
        <f t="shared" si="139"/>
        <v>#DIV/0!</v>
      </c>
      <c r="AB670" s="344">
        <f>IFERROR(VLOOKUP($G670,基本資料!$A:$M,11,0),"無")</f>
        <v>-35.92</v>
      </c>
      <c r="AC670" s="397">
        <f>IFERROR(VLOOKUP($G670,基本資料!$A:$M,12,0),"無")</f>
        <v>11.66</v>
      </c>
      <c r="AD670" s="16" t="s">
        <v>1678</v>
      </c>
      <c r="AG670" s="33">
        <f t="shared" si="140"/>
        <v>0</v>
      </c>
      <c r="AH670" s="43" t="s">
        <v>2345</v>
      </c>
      <c r="AI670" s="63">
        <f t="shared" si="136"/>
        <v>1.0114942528735632E-2</v>
      </c>
      <c r="AJ670" s="284">
        <f>RTD("money.excel",,$G670,"PredictVolume")</f>
        <v>440</v>
      </c>
      <c r="AK670" s="399">
        <f>IFERROR(VLOOKUP($G670,基本資料!$A:$M,13,0),"無")</f>
        <v>8.19</v>
      </c>
    </row>
    <row r="671" spans="1:37">
      <c r="A671" s="347">
        <f>IFERROR(VLOOKUP($G671,基本資料!$A:$J,3,0),"無")</f>
        <v>2.7</v>
      </c>
      <c r="B671" s="79">
        <f>IFERROR(VLOOKUP($G671,基本資料!$A:$J,4,0),"無")</f>
        <v>25</v>
      </c>
      <c r="C671" s="79">
        <f>IFERROR(VLOOKUP($G671,基本資料!$A:$J,5,0),"無")</f>
        <v>23</v>
      </c>
      <c r="D671" s="79">
        <f>IFERROR(VLOOKUP($G671,基本資料!$A:$J,6,0),"無")</f>
        <v>-5</v>
      </c>
      <c r="E671" s="79">
        <f>IFERROR(VLOOKUP($G671,基本資料!$A:$J,7,0),"無")</f>
        <v>0</v>
      </c>
      <c r="F671" s="6">
        <f>IFERROR(VLOOKUP($G671,基本資料!$A:$J,8,0),"無")</f>
        <v>36.49</v>
      </c>
      <c r="G671" s="79">
        <v>6683</v>
      </c>
      <c r="H671" s="192" t="s">
        <v>3039</v>
      </c>
      <c r="I671" s="16" t="s">
        <v>1679</v>
      </c>
      <c r="J671" s="8" t="str">
        <f>IFERROR(VLOOKUP($G671,今日總結!$A:$AJ,35,0),"")</f>
        <v/>
      </c>
      <c r="K671" s="5" t="str">
        <f>IFERROR(VLOOKUP($G671,今日總結!$A:$AJ,36,0),"")</f>
        <v/>
      </c>
      <c r="L671" s="156" t="str">
        <f>IFERROR(VLOOKUP($G671,今日總結!$A:$AJ,33,0),"")</f>
        <v/>
      </c>
      <c r="M671" s="340" t="str">
        <f>IFERROR(VLOOKUP($G671,今日總結!$A:$AJ,34,0),"")</f>
        <v/>
      </c>
      <c r="N671" s="240" t="str">
        <f t="shared" si="137"/>
        <v/>
      </c>
      <c r="P671" s="365" t="str">
        <f>IFERROR(VLOOKUP($G671,融外自投!$A:$J,7,0),"無")</f>
        <v>無</v>
      </c>
      <c r="Q671" s="79" t="str">
        <f>IFERROR(VLOOKUP($G671,融外自投!$A:$J,9,0),"無")</f>
        <v>無</v>
      </c>
      <c r="R671" s="346" t="str">
        <f>IFERROR(VLOOKUP($G671,融外自投!$A:$J,8,0),"無")</f>
        <v>無</v>
      </c>
      <c r="S671" s="81" t="str">
        <f>IFERROR(VLOOKUP($G671,融外自投!$A:$J,10,0),"無")</f>
        <v>無</v>
      </c>
      <c r="T671" s="327" t="str">
        <f>IFERROR(VLOOKUP($G671,'321買'!$A:$E,5,0),"'沒有資料'")</f>
        <v>'沒有資料'</v>
      </c>
      <c r="U671" s="186">
        <f>IFERROR(VLOOKUP($G671,基本資料!$A:$J,9,0),"無")</f>
        <v>7.8</v>
      </c>
      <c r="V671" s="310">
        <f t="shared" si="135"/>
        <v>3.5454545454545454E-2</v>
      </c>
      <c r="W671" s="94">
        <f>IFERROR(VLOOKUP($G671,基本資料!$A:$J,10,0),"無")</f>
        <v>15.5</v>
      </c>
      <c r="X671" s="36">
        <f>RTD("money.excel",,"6683","Price")</f>
        <v>220</v>
      </c>
      <c r="Y671" s="66"/>
      <c r="Z671" s="15">
        <f t="shared" si="138"/>
        <v>220</v>
      </c>
      <c r="AA671" s="3" t="e">
        <f t="shared" si="139"/>
        <v>#DIV/0!</v>
      </c>
      <c r="AB671" s="344">
        <f>IFERROR(VLOOKUP($G671,基本資料!$A:$M,11,0),"無")</f>
        <v>-45.19</v>
      </c>
      <c r="AC671" s="397">
        <f>IFERROR(VLOOKUP($G671,基本資料!$A:$M,12,0),"無")</f>
        <v>22.73</v>
      </c>
      <c r="AD671" s="16" t="s">
        <v>1679</v>
      </c>
      <c r="AG671" s="33">
        <f t="shared" si="140"/>
        <v>0</v>
      </c>
      <c r="AH671" s="43" t="s">
        <v>2943</v>
      </c>
      <c r="AI671" s="63">
        <f t="shared" si="136"/>
        <v>1.4444444444444444E-3</v>
      </c>
      <c r="AJ671" s="284">
        <f>RTD("money.excel",,$G671,"PredictVolume")</f>
        <v>39</v>
      </c>
      <c r="AK671" s="399">
        <f>IFERROR(VLOOKUP($G671,基本資料!$A:$M,13,0),"無")</f>
        <v>17.739999999999998</v>
      </c>
    </row>
    <row r="672" spans="1:37">
      <c r="A672" s="347">
        <f>IFERROR(VLOOKUP($G672,基本資料!$A:$J,3,0),"無")</f>
        <v>2.46</v>
      </c>
      <c r="B672" s="79">
        <f>IFERROR(VLOOKUP($G672,基本資料!$A:$J,4,0),"無")</f>
        <v>260</v>
      </c>
      <c r="C672" s="79">
        <f>IFERROR(VLOOKUP($G672,基本資料!$A:$J,5,0),"無")</f>
        <v>274</v>
      </c>
      <c r="D672" s="79">
        <f>IFERROR(VLOOKUP($G672,基本資料!$A:$J,6,0),"無")</f>
        <v>-15</v>
      </c>
      <c r="E672" s="79">
        <f>IFERROR(VLOOKUP($G672,基本資料!$A:$J,7,0),"無")</f>
        <v>-3</v>
      </c>
      <c r="F672" s="6">
        <f>IFERROR(VLOOKUP($G672,基本資料!$A:$J,8,0),"無")</f>
        <v>29.39</v>
      </c>
      <c r="G672" s="79">
        <v>6684</v>
      </c>
      <c r="H672" s="192" t="s">
        <v>3039</v>
      </c>
      <c r="I672" s="16" t="s">
        <v>3394</v>
      </c>
      <c r="J672" s="8" t="str">
        <f>IFERROR(VLOOKUP($G672,今日總結!$A:$AJ,35,0),"")</f>
        <v/>
      </c>
      <c r="K672" s="5" t="str">
        <f>IFERROR(VLOOKUP($G672,今日總結!$A:$AJ,36,0),"")</f>
        <v/>
      </c>
      <c r="L672" s="156" t="str">
        <f>IFERROR(VLOOKUP($G672,今日總結!$A:$AJ,33,0),"")</f>
        <v/>
      </c>
      <c r="M672" s="340" t="str">
        <f>IFERROR(VLOOKUP($G672,今日總結!$A:$AJ,34,0),"")</f>
        <v/>
      </c>
      <c r="N672" s="240" t="str">
        <f t="shared" si="137"/>
        <v/>
      </c>
      <c r="P672" s="365" t="str">
        <f>IFERROR(VLOOKUP($G672,融外自投!$A:$J,7,0),"無")</f>
        <v>無</v>
      </c>
      <c r="Q672" s="79" t="str">
        <f>IFERROR(VLOOKUP($G672,融外自投!$A:$J,9,0),"無")</f>
        <v>無</v>
      </c>
      <c r="R672" s="346" t="str">
        <f>IFERROR(VLOOKUP($G672,融外自投!$A:$J,8,0),"無")</f>
        <v>無</v>
      </c>
      <c r="S672" s="81" t="str">
        <f>IFERROR(VLOOKUP($G672,融外自投!$A:$J,10,0),"無")</f>
        <v>無</v>
      </c>
      <c r="T672" s="327" t="str">
        <f>IFERROR(VLOOKUP($G672,'321買'!$A:$E,5,0),"'沒有資料'")</f>
        <v>'沒有資料'</v>
      </c>
      <c r="U672" s="186">
        <f>IFERROR(VLOOKUP($G672,基本資料!$A:$J,9,0),"無")</f>
        <v>5.5</v>
      </c>
      <c r="V672" s="310">
        <f t="shared" si="135"/>
        <v>5.4726368159203981E-2</v>
      </c>
      <c r="W672" s="94">
        <f>IFERROR(VLOOKUP($G672,基本資料!$A:$J,10,0),"無")</f>
        <v>6.59</v>
      </c>
      <c r="X672" s="36">
        <f>RTD("money.excel",,"6684","Price")</f>
        <v>100.5</v>
      </c>
      <c r="Y672" s="66"/>
      <c r="Z672" s="15">
        <f t="shared" si="138"/>
        <v>100.5</v>
      </c>
      <c r="AA672" s="3" t="e">
        <f t="shared" si="139"/>
        <v>#DIV/0!</v>
      </c>
      <c r="AB672" s="344" t="str">
        <f>IFERROR(VLOOKUP($G672,基本資料!$A:$M,11,0),"無")</f>
        <v>無</v>
      </c>
      <c r="AC672" s="397" t="str">
        <f>IFERROR(VLOOKUP($G672,基本資料!$A:$M,12,0),"無")</f>
        <v>無</v>
      </c>
      <c r="AD672" s="16" t="s">
        <v>3394</v>
      </c>
      <c r="AG672" s="33">
        <f t="shared" si="140"/>
        <v>0</v>
      </c>
      <c r="AH672" s="43" t="s">
        <v>3395</v>
      </c>
      <c r="AI672" s="63">
        <f t="shared" si="136"/>
        <v>5.4065040650406503E-3</v>
      </c>
      <c r="AJ672" s="284">
        <f>RTD("money.excel",,$G672,"PredictVolume")</f>
        <v>133</v>
      </c>
      <c r="AK672" s="399" t="str">
        <f>IFERROR(VLOOKUP($G672,基本資料!$A:$M,13,0),"無")</f>
        <v>無</v>
      </c>
    </row>
    <row r="673" spans="1:37">
      <c r="A673" s="347" t="str">
        <f>IFERROR(VLOOKUP($G673,基本資料!$A:$J,3,0),"無")</f>
        <v>無</v>
      </c>
      <c r="B673" s="79" t="str">
        <f>IFERROR(VLOOKUP($G673,基本資料!$A:$J,4,0),"無")</f>
        <v>無</v>
      </c>
      <c r="C673" s="79" t="str">
        <f>IFERROR(VLOOKUP($G673,基本資料!$A:$J,5,0),"無")</f>
        <v>無</v>
      </c>
      <c r="D673" s="79" t="str">
        <f>IFERROR(VLOOKUP($G673,基本資料!$A:$J,6,0),"無")</f>
        <v>無</v>
      </c>
      <c r="E673" s="79" t="str">
        <f>IFERROR(VLOOKUP($G673,基本資料!$A:$J,7,0),"無")</f>
        <v>無</v>
      </c>
      <c r="F673" s="6" t="str">
        <f>IFERROR(VLOOKUP($G673,基本資料!$A:$J,8,0),"無")</f>
        <v>無</v>
      </c>
      <c r="G673" s="79">
        <v>6693</v>
      </c>
      <c r="H673" s="192" t="s">
        <v>3039</v>
      </c>
      <c r="I673" s="16" t="s">
        <v>4749</v>
      </c>
      <c r="J673" s="8" t="str">
        <f>IFERROR(VLOOKUP($G673,今日總結!$A:$AJ,35,0),"")</f>
        <v/>
      </c>
      <c r="K673" s="5" t="str">
        <f>IFERROR(VLOOKUP($G673,今日總結!$A:$AJ,36,0),"")</f>
        <v/>
      </c>
      <c r="L673" s="156" t="str">
        <f>IFERROR(VLOOKUP($G673,今日總結!$A:$AJ,33,0),"")</f>
        <v/>
      </c>
      <c r="M673" s="340" t="str">
        <f>IFERROR(VLOOKUP($G673,今日總結!$A:$AJ,34,0),"")</f>
        <v/>
      </c>
      <c r="N673" s="240" t="str">
        <f t="shared" si="137"/>
        <v/>
      </c>
      <c r="P673" s="365" t="str">
        <f>IFERROR(VLOOKUP($G673,融外自投!$A:$J,7,0),"無")</f>
        <v>無</v>
      </c>
      <c r="Q673" s="79" t="str">
        <f>IFERROR(VLOOKUP($G673,融外自投!$A:$J,9,0),"無")</f>
        <v>無</v>
      </c>
      <c r="R673" s="346" t="str">
        <f>IFERROR(VLOOKUP($G673,融外自投!$A:$J,8,0),"無")</f>
        <v>無</v>
      </c>
      <c r="S673" s="81" t="str">
        <f>IFERROR(VLOOKUP($G673,融外自投!$A:$J,10,0),"無")</f>
        <v>無</v>
      </c>
      <c r="T673" s="327" t="str">
        <f>IFERROR(VLOOKUP($G673,'321買'!$A:$E,5,0),"'沒有資料'")</f>
        <v>'沒有資料'</v>
      </c>
      <c r="U673" s="186" t="str">
        <f>IFERROR(VLOOKUP($G673,基本資料!$A:$J,9,0),"無")</f>
        <v>無</v>
      </c>
      <c r="V673" s="310" t="e">
        <f t="shared" si="135"/>
        <v>#VALUE!</v>
      </c>
      <c r="W673" s="94" t="str">
        <f>IFERROR(VLOOKUP($G673,基本資料!$A:$J,10,0),"無")</f>
        <v>無</v>
      </c>
      <c r="X673" s="36">
        <f>RTD("money.excel",,"6693","Price")</f>
        <v>79</v>
      </c>
      <c r="Y673" s="66"/>
      <c r="Z673" s="15">
        <f>X673-Y673</f>
        <v>79</v>
      </c>
      <c r="AA673" s="3" t="e">
        <f>Z673/Y673</f>
        <v>#DIV/0!</v>
      </c>
      <c r="AB673" s="344" t="str">
        <f>IFERROR(VLOOKUP($G673,基本資料!$A:$M,11,0),"無")</f>
        <v>無</v>
      </c>
      <c r="AC673" s="397" t="str">
        <f>IFERROR(VLOOKUP($G673,基本資料!$A:$M,12,0),"無")</f>
        <v>無</v>
      </c>
      <c r="AD673" s="16" t="s">
        <v>4749</v>
      </c>
      <c r="AG673" s="33">
        <f>AF673-AE673</f>
        <v>0</v>
      </c>
      <c r="AH673" s="43" t="s">
        <v>4750</v>
      </c>
      <c r="AI673" s="63" t="e">
        <f t="shared" si="136"/>
        <v>#VALUE!</v>
      </c>
      <c r="AJ673" s="284">
        <f>RTD("money.excel",,$G673,"PredictVolume")</f>
        <v>95</v>
      </c>
      <c r="AK673" s="399" t="str">
        <f>IFERROR(VLOOKUP($G673,基本資料!$A:$M,13,0),"無")</f>
        <v>無</v>
      </c>
    </row>
    <row r="674" spans="1:37">
      <c r="A674" s="347">
        <f>IFERROR(VLOOKUP($G674,基本資料!$A:$J,3,0),"無")</f>
        <v>2.4500000000000002</v>
      </c>
      <c r="B674" s="79">
        <f>IFERROR(VLOOKUP($G674,基本資料!$A:$J,4,0),"無")</f>
        <v>140</v>
      </c>
      <c r="C674" s="79">
        <f>IFERROR(VLOOKUP($G674,基本資料!$A:$J,5,0),"無")</f>
        <v>149</v>
      </c>
      <c r="D674" s="79">
        <f>IFERROR(VLOOKUP($G674,基本資料!$A:$J,6,0),"無")</f>
        <v>-8</v>
      </c>
      <c r="E674" s="79">
        <f>IFERROR(VLOOKUP($G674,基本資料!$A:$J,7,0),"無")</f>
        <v>61</v>
      </c>
      <c r="F674" s="6">
        <f>IFERROR(VLOOKUP($G674,基本資料!$A:$J,8,0),"無")</f>
        <v>35.39</v>
      </c>
      <c r="G674" s="79">
        <v>6716</v>
      </c>
      <c r="H674" s="192" t="s">
        <v>3039</v>
      </c>
      <c r="I674" s="16" t="s">
        <v>1866</v>
      </c>
      <c r="J674" s="8" t="str">
        <f>IFERROR(VLOOKUP($G674,今日總結!$A:$AJ,35,0),"")</f>
        <v/>
      </c>
      <c r="K674" s="5" t="str">
        <f>IFERROR(VLOOKUP($G674,今日總結!$A:$AJ,36,0),"")</f>
        <v/>
      </c>
      <c r="L674" s="156" t="str">
        <f>IFERROR(VLOOKUP($G674,今日總結!$A:$AJ,33,0),"")</f>
        <v/>
      </c>
      <c r="M674" s="340" t="str">
        <f>IFERROR(VLOOKUP($G674,今日總結!$A:$AJ,34,0),"")</f>
        <v/>
      </c>
      <c r="N674" s="240" t="str">
        <f t="shared" si="137"/>
        <v/>
      </c>
      <c r="P674" s="365" t="str">
        <f>IFERROR(VLOOKUP($G674,融外自投!$A:$J,7,0),"無")</f>
        <v>無</v>
      </c>
      <c r="Q674" s="79" t="str">
        <f>IFERROR(VLOOKUP($G674,融外自投!$A:$J,9,0),"無")</f>
        <v>無</v>
      </c>
      <c r="R674" s="346" t="str">
        <f>IFERROR(VLOOKUP($G674,融外自投!$A:$J,8,0),"無")</f>
        <v>無</v>
      </c>
      <c r="S674" s="81" t="str">
        <f>IFERROR(VLOOKUP($G674,融外自投!$A:$J,10,0),"無")</f>
        <v>無</v>
      </c>
      <c r="T674" s="327" t="str">
        <f>IFERROR(VLOOKUP($G674,'321買'!$A:$E,5,0),"'沒有資料'")</f>
        <v>'沒有資料'</v>
      </c>
      <c r="U674" s="186">
        <f>IFERROR(VLOOKUP($G674,基本資料!$A:$J,9,0),"無")</f>
        <v>8.5</v>
      </c>
      <c r="V674" s="310">
        <f t="shared" si="135"/>
        <v>5.6856187290969896E-2</v>
      </c>
      <c r="W674" s="94">
        <f>IFERROR(VLOOKUP($G674,基本資料!$A:$J,10,0),"無")</f>
        <v>11.52</v>
      </c>
      <c r="X674" s="36">
        <f>RTD("money.excel",,"6716","Price")</f>
        <v>149.5</v>
      </c>
      <c r="Y674" s="66"/>
      <c r="Z674" s="15">
        <f t="shared" si="138"/>
        <v>149.5</v>
      </c>
      <c r="AA674" s="3" t="e">
        <f t="shared" si="139"/>
        <v>#DIV/0!</v>
      </c>
      <c r="AB674" s="344">
        <f>IFERROR(VLOOKUP($G674,基本資料!$A:$M,11,0),"無")</f>
        <v>-43.02</v>
      </c>
      <c r="AC674" s="397">
        <f>IFERROR(VLOOKUP($G674,基本資料!$A:$M,12,0),"無")</f>
        <v>32.39</v>
      </c>
      <c r="AD674" s="16" t="s">
        <v>1866</v>
      </c>
      <c r="AG674" s="33">
        <f t="shared" si="140"/>
        <v>0</v>
      </c>
      <c r="AH674" s="43" t="s">
        <v>2316</v>
      </c>
      <c r="AI674" s="63">
        <f t="shared" si="136"/>
        <v>1.5918367346938775E-3</v>
      </c>
      <c r="AJ674" s="284">
        <f>RTD("money.excel",,$G674,"PredictVolume")</f>
        <v>39</v>
      </c>
      <c r="AK674" s="399">
        <f>IFERROR(VLOOKUP($G674,基本資料!$A:$M,13,0),"無")</f>
        <v>5.81</v>
      </c>
    </row>
    <row r="675" spans="1:37">
      <c r="A675" s="347" t="str">
        <f>IFERROR(VLOOKUP($G675,基本資料!$A:$J,3,0),"無")</f>
        <v>無</v>
      </c>
      <c r="B675" s="79" t="str">
        <f>IFERROR(VLOOKUP($G675,基本資料!$A:$J,4,0),"無")</f>
        <v>無</v>
      </c>
      <c r="C675" s="79" t="str">
        <f>IFERROR(VLOOKUP($G675,基本資料!$A:$J,5,0),"無")</f>
        <v>無</v>
      </c>
      <c r="D675" s="79" t="str">
        <f>IFERROR(VLOOKUP($G675,基本資料!$A:$J,6,0),"無")</f>
        <v>無</v>
      </c>
      <c r="E675" s="79" t="str">
        <f>IFERROR(VLOOKUP($G675,基本資料!$A:$J,7,0),"無")</f>
        <v>無</v>
      </c>
      <c r="F675" s="6" t="str">
        <f>IFERROR(VLOOKUP($G675,基本資料!$A:$J,8,0),"無")</f>
        <v>無</v>
      </c>
      <c r="G675" s="79">
        <v>6719</v>
      </c>
      <c r="H675" s="192" t="s">
        <v>3039</v>
      </c>
      <c r="I675" s="22" t="s">
        <v>4698</v>
      </c>
      <c r="J675" s="8" t="str">
        <f>IFERROR(VLOOKUP($G675,今日總結!$A:$AJ,35,0),"")</f>
        <v/>
      </c>
      <c r="K675" s="5" t="str">
        <f>IFERROR(VLOOKUP($G675,今日總結!$A:$AJ,36,0),"")</f>
        <v/>
      </c>
      <c r="L675" s="156" t="str">
        <f>IFERROR(VLOOKUP($G675,今日總結!$A:$AJ,33,0),"")</f>
        <v/>
      </c>
      <c r="M675" s="340" t="str">
        <f>IFERROR(VLOOKUP($G675,今日總結!$A:$AJ,34,0),"")</f>
        <v/>
      </c>
      <c r="N675" s="240" t="str">
        <f t="shared" si="137"/>
        <v/>
      </c>
      <c r="P675" s="365" t="str">
        <f>IFERROR(VLOOKUP($G675,融外自投!$A:$J,7,0),"無")</f>
        <v>無</v>
      </c>
      <c r="Q675" s="79" t="str">
        <f>IFERROR(VLOOKUP($G675,融外自投!$A:$J,9,0),"無")</f>
        <v>無</v>
      </c>
      <c r="R675" s="346" t="str">
        <f>IFERROR(VLOOKUP($G675,融外自投!$A:$J,8,0),"無")</f>
        <v>無</v>
      </c>
      <c r="S675" s="81" t="str">
        <f>IFERROR(VLOOKUP($G675,融外自投!$A:$J,10,0),"無")</f>
        <v>無</v>
      </c>
      <c r="T675" s="327" t="str">
        <f>IFERROR(VLOOKUP($G675,'321買'!$A:$E,5,0),"'沒有資料'")</f>
        <v>'沒有資料'</v>
      </c>
      <c r="U675" s="186" t="str">
        <f>IFERROR(VLOOKUP($G675,基本資料!$A:$J,9,0),"無")</f>
        <v>無</v>
      </c>
      <c r="V675" s="310" t="e">
        <f t="shared" si="135"/>
        <v>#VALUE!</v>
      </c>
      <c r="W675" s="94" t="str">
        <f>IFERROR(VLOOKUP($G675,基本資料!$A:$J,10,0),"無")</f>
        <v>無</v>
      </c>
      <c r="X675" s="36">
        <f>RTD("money.excel",,"6719","Price")</f>
        <v>452</v>
      </c>
      <c r="Y675" s="66"/>
      <c r="Z675" s="15">
        <f>X675-Y675</f>
        <v>452</v>
      </c>
      <c r="AA675" s="3" t="e">
        <f>Z675/Y675</f>
        <v>#DIV/0!</v>
      </c>
      <c r="AB675" s="344" t="str">
        <f>IFERROR(VLOOKUP($G675,基本資料!$A:$M,11,0),"無")</f>
        <v>無</v>
      </c>
      <c r="AC675" s="397" t="str">
        <f>IFERROR(VLOOKUP($G675,基本資料!$A:$M,12,0),"無")</f>
        <v>無</v>
      </c>
      <c r="AD675" s="22" t="s">
        <v>4698</v>
      </c>
      <c r="AG675" s="33">
        <f>AF675-AE675</f>
        <v>0</v>
      </c>
      <c r="AH675" s="43" t="s">
        <v>4700</v>
      </c>
      <c r="AI675" s="63" t="e">
        <f t="shared" si="136"/>
        <v>#VALUE!</v>
      </c>
      <c r="AJ675" s="284">
        <f>RTD("money.excel",,$G675,"PredictVolume")</f>
        <v>1003</v>
      </c>
      <c r="AK675" s="399" t="str">
        <f>IFERROR(VLOOKUP($G675,基本資料!$A:$M,13,0),"無")</f>
        <v>無</v>
      </c>
    </row>
    <row r="676" spans="1:37">
      <c r="A676" s="347">
        <f>IFERROR(VLOOKUP($G676,基本資料!$A:$J,3,0),"無")</f>
        <v>4.8899999999999997</v>
      </c>
      <c r="B676" s="79">
        <f>IFERROR(VLOOKUP($G676,基本資料!$A:$J,4,0),"無")</f>
        <v>21</v>
      </c>
      <c r="C676" s="79">
        <f>IFERROR(VLOOKUP($G676,基本資料!$A:$J,5,0),"無")</f>
        <v>23</v>
      </c>
      <c r="D676" s="79">
        <f>IFERROR(VLOOKUP($G676,基本資料!$A:$J,6,0),"無")</f>
        <v>-11</v>
      </c>
      <c r="E676" s="79">
        <f>IFERROR(VLOOKUP($G676,基本資料!$A:$J,7,0),"無")</f>
        <v>-20</v>
      </c>
      <c r="F676" s="6">
        <f>IFERROR(VLOOKUP($G676,基本資料!$A:$J,8,0),"無")</f>
        <v>32.35</v>
      </c>
      <c r="G676" s="79">
        <v>6732</v>
      </c>
      <c r="H676" s="192" t="s">
        <v>307</v>
      </c>
      <c r="I676" s="16" t="s">
        <v>1918</v>
      </c>
      <c r="J676" s="8">
        <f>IFERROR(VLOOKUP($G676,今日總結!$A:$AJ,35,0),"")</f>
        <v>0</v>
      </c>
      <c r="K676" s="5">
        <f>IFERROR(VLOOKUP($G676,今日總結!$A:$AJ,36,0),"")</f>
        <v>6</v>
      </c>
      <c r="L676" s="156">
        <f>IFERROR(VLOOKUP($G676,今日總結!$A:$AJ,33,0),"")</f>
        <v>0</v>
      </c>
      <c r="M676" s="340">
        <f>IFERROR(VLOOKUP($G676,今日總結!$A:$AJ,34,0),"")</f>
        <v>1</v>
      </c>
      <c r="N676" s="240">
        <f t="shared" si="137"/>
        <v>-1</v>
      </c>
      <c r="P676" s="365">
        <f>IFERROR(VLOOKUP($G676,融外自投!$A:$J,7,0),"無")</f>
        <v>671</v>
      </c>
      <c r="Q676" s="79">
        <f>IFERROR(VLOOKUP($G676,融外自投!$A:$J,9,0),"無")</f>
        <v>1051</v>
      </c>
      <c r="R676" s="346">
        <f>IFERROR(VLOOKUP($G676,融外自投!$A:$J,8,0),"無")</f>
        <v>702</v>
      </c>
      <c r="S676" s="81">
        <f>IFERROR(VLOOKUP($G676,融外自投!$A:$J,10,0),"無")</f>
        <v>105</v>
      </c>
      <c r="T676" s="327">
        <f>IFERROR(VLOOKUP($G676,'321買'!$A:$E,5,0),"'沒有資料'")</f>
        <v>164</v>
      </c>
      <c r="U676" s="186">
        <f>IFERROR(VLOOKUP($G676,基本資料!$A:$J,9,0),"無")</f>
        <v>30</v>
      </c>
      <c r="V676" s="310">
        <f t="shared" si="135"/>
        <v>9.950248756218906E-2</v>
      </c>
      <c r="W676" s="94">
        <f>IFERROR(VLOOKUP($G676,基本資料!$A:$J,10,0),"無")</f>
        <v>33.97</v>
      </c>
      <c r="X676" s="36">
        <f>RTD("money.excel",,"6732","Price")</f>
        <v>301.5</v>
      </c>
      <c r="Y676" s="66"/>
      <c r="Z676" s="15">
        <f t="shared" ref="Z676" si="141">X676-Y676</f>
        <v>301.5</v>
      </c>
      <c r="AA676" s="3" t="e">
        <f t="shared" ref="AA676" si="142">Z676/Y676</f>
        <v>#DIV/0!</v>
      </c>
      <c r="AB676" s="344">
        <f>IFERROR(VLOOKUP($G676,基本資料!$A:$M,11,0),"無")</f>
        <v>-63.89</v>
      </c>
      <c r="AC676" s="397">
        <f>IFERROR(VLOOKUP($G676,基本資料!$A:$M,12,0),"無")</f>
        <v>10.32</v>
      </c>
      <c r="AD676" s="16" t="s">
        <v>1918</v>
      </c>
      <c r="AG676" s="33">
        <f t="shared" ref="AG676" si="143">AF676-AE676</f>
        <v>0</v>
      </c>
      <c r="AH676" s="43" t="s">
        <v>2540</v>
      </c>
      <c r="AI676" s="63">
        <f t="shared" si="136"/>
        <v>7.075664621676892E-3</v>
      </c>
      <c r="AJ676" s="284">
        <f>RTD("money.excel",,$G676,"PredictVolume")</f>
        <v>346</v>
      </c>
      <c r="AK676" s="399">
        <f>IFERROR(VLOOKUP($G676,基本資料!$A:$M,13,0),"無")</f>
        <v>5.18</v>
      </c>
    </row>
    <row r="677" spans="1:37">
      <c r="A677" s="347">
        <f>IFERROR(VLOOKUP($G677,基本資料!$A:$J,3,0),"無")</f>
        <v>6.84</v>
      </c>
      <c r="B677" s="79">
        <f>IFERROR(VLOOKUP($G677,基本資料!$A:$J,4,0),"無")</f>
        <v>176</v>
      </c>
      <c r="C677" s="79">
        <f>IFERROR(VLOOKUP($G677,基本資料!$A:$J,5,0),"無")</f>
        <v>166</v>
      </c>
      <c r="D677" s="79">
        <f>IFERROR(VLOOKUP($G677,基本資料!$A:$J,6,0),"無")</f>
        <v>-3</v>
      </c>
      <c r="E677" s="79">
        <f>IFERROR(VLOOKUP($G677,基本資料!$A:$J,7,0),"無")</f>
        <v>26</v>
      </c>
      <c r="F677" s="6">
        <f>IFERROR(VLOOKUP($G677,基本資料!$A:$J,8,0),"無")</f>
        <v>30.58</v>
      </c>
      <c r="G677" s="79">
        <v>6756</v>
      </c>
      <c r="H677" s="8" t="s">
        <v>3039</v>
      </c>
      <c r="I677" s="22" t="s">
        <v>2133</v>
      </c>
      <c r="J677" s="8">
        <f>IFERROR(VLOOKUP($G677,今日總結!$A:$AJ,35,0),"")</f>
        <v>0</v>
      </c>
      <c r="K677" s="5">
        <f>IFERROR(VLOOKUP($G677,今日總結!$A:$AJ,36,0),"")</f>
        <v>6</v>
      </c>
      <c r="L677" s="156">
        <f>IFERROR(VLOOKUP($G677,今日總結!$A:$AJ,33,0),"")</f>
        <v>0</v>
      </c>
      <c r="M677" s="340">
        <f>IFERROR(VLOOKUP($G677,今日總結!$A:$AJ,34,0),"")</f>
        <v>1</v>
      </c>
      <c r="N677" s="240">
        <f t="shared" si="137"/>
        <v>-1</v>
      </c>
      <c r="P677" s="365">
        <f>IFERROR(VLOOKUP($G677,融外自投!$A:$J,7,0),"無")</f>
        <v>512</v>
      </c>
      <c r="Q677" s="79">
        <f>IFERROR(VLOOKUP($G677,融外自投!$A:$J,9,0),"無")</f>
        <v>1051</v>
      </c>
      <c r="R677" s="346">
        <f>IFERROR(VLOOKUP($G677,融外自投!$A:$J,8,0),"無")</f>
        <v>720</v>
      </c>
      <c r="S677" s="81" t="str">
        <f>IFERROR(VLOOKUP($G677,融外自投!$A:$J,10,0),"無")</f>
        <v>無</v>
      </c>
      <c r="T677" s="327">
        <f>IFERROR(VLOOKUP($G677,'321買'!$A:$E,5,0),"'沒有資料'")</f>
        <v>164</v>
      </c>
      <c r="U677" s="186">
        <f>IFERROR(VLOOKUP($G677,基本資料!$A:$J,9,0),"無")</f>
        <v>10.99</v>
      </c>
      <c r="V677" s="310">
        <f t="shared" si="135"/>
        <v>3.9390681003584227E-2</v>
      </c>
      <c r="W677" s="94">
        <f>IFERROR(VLOOKUP($G677,基本資料!$A:$J,10,0),"無")</f>
        <v>13.04</v>
      </c>
      <c r="X677" s="36">
        <f>RTD("money.excel",,"6756","Price")</f>
        <v>279</v>
      </c>
      <c r="Y677" s="66"/>
      <c r="Z677" s="15">
        <f t="shared" ref="Z677" si="144">X677-Y677</f>
        <v>279</v>
      </c>
      <c r="AA677" s="3" t="e">
        <f t="shared" ref="AA677" si="145">Z677/Y677</f>
        <v>#DIV/0!</v>
      </c>
      <c r="AB677" s="344">
        <f>IFERROR(VLOOKUP($G677,基本資料!$A:$M,11,0),"無")</f>
        <v>-55.28</v>
      </c>
      <c r="AC677" s="397">
        <f>IFERROR(VLOOKUP($G677,基本資料!$A:$M,12,0),"無")</f>
        <v>5.2</v>
      </c>
      <c r="AD677" s="22" t="s">
        <v>2133</v>
      </c>
      <c r="AG677" s="33">
        <f t="shared" ref="AG677" si="146">AF677-AE677</f>
        <v>0</v>
      </c>
      <c r="AH677" s="43" t="s">
        <v>2134</v>
      </c>
      <c r="AI677" s="63">
        <f t="shared" si="136"/>
        <v>9.2251461988304088E-3</v>
      </c>
      <c r="AJ677" s="284">
        <f>RTD("money.excel",,$G677,"PredictVolume")</f>
        <v>631</v>
      </c>
      <c r="AK677" s="399">
        <f>IFERROR(VLOOKUP($G677,基本資料!$A:$M,13,0),"無")</f>
        <v>19.02</v>
      </c>
    </row>
    <row r="678" spans="1:37">
      <c r="A678" s="347">
        <f>IFERROR(VLOOKUP($G678,基本資料!$A:$J,3,0),"無")</f>
        <v>359</v>
      </c>
      <c r="B678" s="79">
        <f>IFERROR(VLOOKUP($G678,基本資料!$A:$J,4,0),"無")</f>
        <v>322</v>
      </c>
      <c r="C678" s="79">
        <f>IFERROR(VLOOKUP($G678,基本資料!$A:$J,5,0),"無")</f>
        <v>249</v>
      </c>
      <c r="D678" s="79">
        <f>IFERROR(VLOOKUP($G678,基本資料!$A:$J,6,0),"無")</f>
        <v>8</v>
      </c>
      <c r="E678" s="79">
        <f>IFERROR(VLOOKUP($G678,基本資料!$A:$J,7,0),"無")</f>
        <v>49</v>
      </c>
      <c r="F678" s="6">
        <f>IFERROR(VLOOKUP($G678,基本資料!$A:$J,8,0),"無")</f>
        <v>30.62</v>
      </c>
      <c r="G678" s="79">
        <v>6770</v>
      </c>
      <c r="H678" s="8" t="s">
        <v>3039</v>
      </c>
      <c r="I678" s="22" t="s">
        <v>3525</v>
      </c>
      <c r="J678" s="8" t="str">
        <f>IFERROR(VLOOKUP($G678,今日總結!$A:$AJ,35,0),"")</f>
        <v/>
      </c>
      <c r="K678" s="5" t="str">
        <f>IFERROR(VLOOKUP($G678,今日總結!$A:$AJ,36,0),"")</f>
        <v/>
      </c>
      <c r="L678" s="156" t="str">
        <f>IFERROR(VLOOKUP($G678,今日總結!$A:$AJ,33,0),"")</f>
        <v/>
      </c>
      <c r="M678" s="340" t="str">
        <f>IFERROR(VLOOKUP($G678,今日總結!$A:$AJ,34,0),"")</f>
        <v/>
      </c>
      <c r="N678" s="240" t="str">
        <f t="shared" si="137"/>
        <v/>
      </c>
      <c r="P678" s="365" t="str">
        <f>IFERROR(VLOOKUP($G678,融外自投!$A:$J,7,0),"無")</f>
        <v>無</v>
      </c>
      <c r="Q678" s="79" t="str">
        <f>IFERROR(VLOOKUP($G678,融外自投!$A:$J,9,0),"無")</f>
        <v>無</v>
      </c>
      <c r="R678" s="346" t="str">
        <f>IFERROR(VLOOKUP($G678,融外自投!$A:$J,8,0),"無")</f>
        <v>無</v>
      </c>
      <c r="S678" s="81" t="str">
        <f>IFERROR(VLOOKUP($G678,融外自投!$A:$J,10,0),"無")</f>
        <v>無</v>
      </c>
      <c r="T678" s="327" t="str">
        <f>IFERROR(VLOOKUP($G678,'321買'!$A:$E,5,0),"'沒有資料'")</f>
        <v>'沒有資料'</v>
      </c>
      <c r="U678" s="186">
        <f>IFERROR(VLOOKUP($G678,基本資料!$A:$J,9,0),"無")</f>
        <v>1.83</v>
      </c>
      <c r="V678" s="310">
        <f t="shared" si="135"/>
        <v>3.3639705882352947E-2</v>
      </c>
      <c r="W678" s="94">
        <f>IFERROR(VLOOKUP($G678,基本資料!$A:$J,10,0),"無")</f>
        <v>4.92</v>
      </c>
      <c r="X678" s="36">
        <f>RTD("money.excel",,"6770","Price")</f>
        <v>54.4</v>
      </c>
      <c r="Y678" s="66"/>
      <c r="Z678" s="15">
        <f t="shared" si="138"/>
        <v>54.4</v>
      </c>
      <c r="AA678" s="3" t="e">
        <f t="shared" si="139"/>
        <v>#DIV/0!</v>
      </c>
      <c r="AB678" s="344" t="str">
        <f>IFERROR(VLOOKUP($G678,基本資料!$A:$M,11,0),"無")</f>
        <v>無</v>
      </c>
      <c r="AC678" s="397" t="str">
        <f>IFERROR(VLOOKUP($G678,基本資料!$A:$M,12,0),"無")</f>
        <v>無</v>
      </c>
      <c r="AD678" s="22" t="s">
        <v>3525</v>
      </c>
      <c r="AG678" s="33">
        <f t="shared" si="140"/>
        <v>0</v>
      </c>
      <c r="AH678" s="43" t="s">
        <v>1797</v>
      </c>
      <c r="AI678" s="63">
        <f t="shared" si="136"/>
        <v>7.045125348189415E-3</v>
      </c>
      <c r="AJ678" s="284">
        <f>RTD("money.excel",,$G678,"PredictVolume")</f>
        <v>25292</v>
      </c>
      <c r="AK678" s="399" t="str">
        <f>IFERROR(VLOOKUP($G678,基本資料!$A:$M,13,0),"無")</f>
        <v>無</v>
      </c>
    </row>
    <row r="679" spans="1:37">
      <c r="A679" s="347">
        <f>IFERROR(VLOOKUP($G679,基本資料!$A:$J,3,0),"無")</f>
        <v>3.47</v>
      </c>
      <c r="B679" s="79">
        <f>IFERROR(VLOOKUP($G679,基本資料!$A:$J,4,0),"無")</f>
        <v>43</v>
      </c>
      <c r="C679" s="79">
        <f>IFERROR(VLOOKUP($G679,基本資料!$A:$J,5,0),"無")</f>
        <v>46</v>
      </c>
      <c r="D679" s="79">
        <f>IFERROR(VLOOKUP($G679,基本資料!$A:$J,6,0),"無")</f>
        <v>-9</v>
      </c>
      <c r="E679" s="79">
        <f>IFERROR(VLOOKUP($G679,基本資料!$A:$J,7,0),"無")</f>
        <v>10</v>
      </c>
      <c r="F679" s="6">
        <f>IFERROR(VLOOKUP($G679,基本資料!$A:$J,8,0),"無")</f>
        <v>27</v>
      </c>
      <c r="G679" s="79">
        <v>6788</v>
      </c>
      <c r="H679" s="192" t="s">
        <v>3039</v>
      </c>
      <c r="I679" s="16" t="s">
        <v>3440</v>
      </c>
      <c r="J679" s="8" t="str">
        <f>IFERROR(VLOOKUP($G679,今日總結!$A:$AJ,35,0),"")</f>
        <v/>
      </c>
      <c r="K679" s="5" t="str">
        <f>IFERROR(VLOOKUP($G679,今日總結!$A:$AJ,36,0),"")</f>
        <v/>
      </c>
      <c r="L679" s="156" t="str">
        <f>IFERROR(VLOOKUP($G679,今日總結!$A:$AJ,33,0),"")</f>
        <v/>
      </c>
      <c r="M679" s="340" t="str">
        <f>IFERROR(VLOOKUP($G679,今日總結!$A:$AJ,34,0),"")</f>
        <v/>
      </c>
      <c r="N679" s="240" t="str">
        <f t="shared" si="137"/>
        <v/>
      </c>
      <c r="P679" s="365">
        <f>IFERROR(VLOOKUP($G679,融外自投!$A:$J,7,0),"無")</f>
        <v>1067</v>
      </c>
      <c r="Q679" s="79">
        <f>IFERROR(VLOOKUP($G679,融外自投!$A:$J,9,0),"無")</f>
        <v>936</v>
      </c>
      <c r="R679" s="346">
        <f>IFERROR(VLOOKUP($G679,融外自投!$A:$J,8,0),"無")</f>
        <v>972</v>
      </c>
      <c r="S679" s="81" t="str">
        <f>IFERROR(VLOOKUP($G679,融外自投!$A:$J,10,0),"無")</f>
        <v>無</v>
      </c>
      <c r="T679" s="327">
        <f>IFERROR(VLOOKUP($G679,'321買'!$A:$E,5,0),"'沒有資料'")</f>
        <v>1007</v>
      </c>
      <c r="U679" s="186">
        <f>IFERROR(VLOOKUP($G679,基本資料!$A:$J,9,0),"無")</f>
        <v>5</v>
      </c>
      <c r="V679" s="310">
        <f t="shared" si="135"/>
        <v>4.7393364928909949E-2</v>
      </c>
      <c r="W679" s="94">
        <f>IFERROR(VLOOKUP($G679,基本資料!$A:$J,10,0),"無")</f>
        <v>7.08</v>
      </c>
      <c r="X679" s="36">
        <f>RTD("money.excel",,"6788","Price")</f>
        <v>105.5</v>
      </c>
      <c r="Y679" s="66"/>
      <c r="Z679" s="15">
        <f t="shared" si="138"/>
        <v>105.5</v>
      </c>
      <c r="AA679" s="3" t="e">
        <f t="shared" si="139"/>
        <v>#DIV/0!</v>
      </c>
      <c r="AB679" s="344" t="str">
        <f>IFERROR(VLOOKUP($G679,基本資料!$A:$M,11,0),"無")</f>
        <v>無</v>
      </c>
      <c r="AC679" s="397" t="str">
        <f>IFERROR(VLOOKUP($G679,基本資料!$A:$M,12,0),"無")</f>
        <v>無</v>
      </c>
      <c r="AD679" s="16" t="s">
        <v>3440</v>
      </c>
      <c r="AG679" s="33">
        <f t="shared" si="140"/>
        <v>0</v>
      </c>
      <c r="AH679" s="43" t="s">
        <v>3441</v>
      </c>
      <c r="AI679" s="63">
        <f t="shared" si="136"/>
        <v>1.786743515850144E-3</v>
      </c>
      <c r="AJ679" s="284">
        <f>RTD("money.excel",,$G679,"PredictVolume")</f>
        <v>62</v>
      </c>
      <c r="AK679" s="399" t="str">
        <f>IFERROR(VLOOKUP($G679,基本資料!$A:$M,13,0),"無")</f>
        <v>無</v>
      </c>
    </row>
    <row r="680" spans="1:37">
      <c r="A680" s="347" t="str">
        <f>IFERROR(VLOOKUP($G680,基本資料!$A:$J,3,0),"無")</f>
        <v>無</v>
      </c>
      <c r="B680" s="79" t="str">
        <f>IFERROR(VLOOKUP($G680,基本資料!$A:$J,4,0),"無")</f>
        <v>無</v>
      </c>
      <c r="C680" s="79" t="str">
        <f>IFERROR(VLOOKUP($G680,基本資料!$A:$J,5,0),"無")</f>
        <v>無</v>
      </c>
      <c r="D680" s="79" t="str">
        <f>IFERROR(VLOOKUP($G680,基本資料!$A:$J,6,0),"無")</f>
        <v>無</v>
      </c>
      <c r="E680" s="79" t="str">
        <f>IFERROR(VLOOKUP($G680,基本資料!$A:$J,7,0),"無")</f>
        <v>無</v>
      </c>
      <c r="F680" s="6" t="str">
        <f>IFERROR(VLOOKUP($G680,基本資料!$A:$J,8,0),"無")</f>
        <v>無</v>
      </c>
      <c r="G680" s="79">
        <v>6799</v>
      </c>
      <c r="H680" s="8" t="s">
        <v>3039</v>
      </c>
      <c r="I680" s="22" t="s">
        <v>6278</v>
      </c>
      <c r="J680" s="8" t="str">
        <f>IFERROR(VLOOKUP($G680,今日總結!$A:$AJ,35,0),"")</f>
        <v/>
      </c>
      <c r="K680" s="5" t="str">
        <f>IFERROR(VLOOKUP($G680,今日總結!$A:$AJ,36,0),"")</f>
        <v/>
      </c>
      <c r="L680" s="156" t="str">
        <f>IFERROR(VLOOKUP($G680,今日總結!$A:$AJ,33,0),"")</f>
        <v/>
      </c>
      <c r="M680" s="340" t="str">
        <f>IFERROR(VLOOKUP($G680,今日總結!$A:$AJ,34,0),"")</f>
        <v/>
      </c>
      <c r="N680" s="240" t="str">
        <f t="shared" si="137"/>
        <v/>
      </c>
      <c r="P680" s="365" t="str">
        <f>IFERROR(VLOOKUP($G680,融外自投!$A:$J,7,0),"無")</f>
        <v>無</v>
      </c>
      <c r="Q680" s="79" t="str">
        <f>IFERROR(VLOOKUP($G680,融外自投!$A:$J,9,0),"無")</f>
        <v>無</v>
      </c>
      <c r="R680" s="346" t="str">
        <f>IFERROR(VLOOKUP($G680,融外自投!$A:$J,8,0),"無")</f>
        <v>無</v>
      </c>
      <c r="S680" s="81" t="str">
        <f>IFERROR(VLOOKUP($G680,融外自投!$A:$J,10,0),"無")</f>
        <v>無</v>
      </c>
      <c r="T680" s="327" t="str">
        <f>IFERROR(VLOOKUP($G680,'321買'!$A:$E,5,0),"'沒有資料'")</f>
        <v>'沒有資料'</v>
      </c>
      <c r="U680" s="186" t="str">
        <f>IFERROR(VLOOKUP($G680,基本資料!$A:$J,9,0),"無")</f>
        <v>無</v>
      </c>
      <c r="V680" s="310" t="e">
        <f t="shared" si="135"/>
        <v>#VALUE!</v>
      </c>
      <c r="W680" s="94" t="str">
        <f>IFERROR(VLOOKUP($G680,基本資料!$A:$J,10,0),"無")</f>
        <v>無</v>
      </c>
      <c r="X680" s="36">
        <f>RTD("money.excel",,"6799","Price")</f>
        <v>165</v>
      </c>
      <c r="Y680" s="66"/>
      <c r="Z680" s="15">
        <f t="shared" ref="Z680" si="147">X680-Y680</f>
        <v>165</v>
      </c>
      <c r="AA680" s="3" t="e">
        <f t="shared" ref="AA680" si="148">Z680/Y680</f>
        <v>#DIV/0!</v>
      </c>
      <c r="AB680" s="344" t="str">
        <f>IFERROR(VLOOKUP($G680,基本資料!$A:$M,11,0),"無")</f>
        <v>無</v>
      </c>
      <c r="AC680" s="397" t="str">
        <f>IFERROR(VLOOKUP($G680,基本資料!$A:$M,12,0),"無")</f>
        <v>無</v>
      </c>
      <c r="AD680" s="22" t="s">
        <v>6278</v>
      </c>
      <c r="AG680" s="33">
        <f t="shared" ref="AG680" si="149">AF680-AE680</f>
        <v>0</v>
      </c>
      <c r="AH680" s="43" t="s">
        <v>6279</v>
      </c>
      <c r="AI680" s="63" t="e">
        <f t="shared" ref="AI680:AI696" si="150">AJ680/(A680*10000)</f>
        <v>#VALUE!</v>
      </c>
      <c r="AJ680" s="284">
        <f>RTD("money.excel",,$G680,"PredictVolume")</f>
        <v>206</v>
      </c>
      <c r="AK680" s="399" t="str">
        <f>IFERROR(VLOOKUP($G680,基本資料!$A:$M,13,0),"無")</f>
        <v>無</v>
      </c>
    </row>
    <row r="681" spans="1:37">
      <c r="A681" s="347">
        <f>IFERROR(VLOOKUP($G681,基本資料!$A:$J,3,0),"無")</f>
        <v>2.2000000000000002</v>
      </c>
      <c r="B681" s="79">
        <f>IFERROR(VLOOKUP($G681,基本資料!$A:$J,4,0),"無")</f>
        <v>33</v>
      </c>
      <c r="C681" s="79">
        <f>IFERROR(VLOOKUP($G681,基本資料!$A:$J,5,0),"無")</f>
        <v>12</v>
      </c>
      <c r="D681" s="79">
        <f>IFERROR(VLOOKUP($G681,基本資料!$A:$J,6,0),"無")</f>
        <v>8</v>
      </c>
      <c r="E681" s="79">
        <f>IFERROR(VLOOKUP($G681,基本資料!$A:$J,7,0),"無")</f>
        <v>31</v>
      </c>
      <c r="F681" s="6">
        <f>IFERROR(VLOOKUP($G681,基本資料!$A:$J,8,0),"無")</f>
        <v>24.64</v>
      </c>
      <c r="G681" s="79">
        <v>7556</v>
      </c>
      <c r="H681" s="192" t="s">
        <v>3039</v>
      </c>
      <c r="I681" s="16" t="s">
        <v>2052</v>
      </c>
      <c r="J681" s="8" t="str">
        <f>IFERROR(VLOOKUP($G681,今日總結!$A:$AJ,35,0),"")</f>
        <v/>
      </c>
      <c r="K681" s="5" t="str">
        <f>IFERROR(VLOOKUP($G681,今日總結!$A:$AJ,36,0),"")</f>
        <v/>
      </c>
      <c r="L681" s="156" t="str">
        <f>IFERROR(VLOOKUP($G681,今日總結!$A:$AJ,33,0),"")</f>
        <v/>
      </c>
      <c r="M681" s="340" t="str">
        <f>IFERROR(VLOOKUP($G681,今日總結!$A:$AJ,34,0),"")</f>
        <v/>
      </c>
      <c r="N681" s="240" t="str">
        <f t="shared" si="137"/>
        <v/>
      </c>
      <c r="P681" s="365" t="str">
        <f>IFERROR(VLOOKUP($G681,融外自投!$A:$J,7,0),"無")</f>
        <v>無</v>
      </c>
      <c r="Q681" s="79" t="str">
        <f>IFERROR(VLOOKUP($G681,融外自投!$A:$J,9,0),"無")</f>
        <v>無</v>
      </c>
      <c r="R681" s="346" t="str">
        <f>IFERROR(VLOOKUP($G681,融外自投!$A:$J,8,0),"無")</f>
        <v>無</v>
      </c>
      <c r="S681" s="81" t="str">
        <f>IFERROR(VLOOKUP($G681,融外自投!$A:$J,10,0),"無")</f>
        <v>無</v>
      </c>
      <c r="T681" s="327" t="str">
        <f>IFERROR(VLOOKUP($G681,'321買'!$A:$E,5,0),"'沒有資料'")</f>
        <v>'沒有資料'</v>
      </c>
      <c r="U681" s="186">
        <f>IFERROR(VLOOKUP($G681,基本資料!$A:$J,9,0),"無")</f>
        <v>2.8</v>
      </c>
      <c r="V681" s="310">
        <f t="shared" si="135"/>
        <v>2.4888888888888887E-2</v>
      </c>
      <c r="W681" s="94">
        <f>IFERROR(VLOOKUP($G681,基本資料!$A:$J,10,0),"無")</f>
        <v>4.62</v>
      </c>
      <c r="X681" s="36">
        <f>RTD("money.excel",,"7556","Price")</f>
        <v>112.5</v>
      </c>
      <c r="Y681" s="66"/>
      <c r="Z681" s="15">
        <f t="shared" si="138"/>
        <v>112.5</v>
      </c>
      <c r="AA681" s="3" t="e">
        <f t="shared" si="139"/>
        <v>#DIV/0!</v>
      </c>
      <c r="AB681" s="344">
        <f>IFERROR(VLOOKUP($G681,基本資料!$A:$M,11,0),"無")</f>
        <v>-25.81</v>
      </c>
      <c r="AC681" s="397">
        <f>IFERROR(VLOOKUP($G681,基本資料!$A:$M,12,0),"無")</f>
        <v>52.32</v>
      </c>
      <c r="AD681" s="16" t="s">
        <v>2052</v>
      </c>
      <c r="AG681" s="33">
        <f t="shared" si="140"/>
        <v>0</v>
      </c>
      <c r="AH681" s="43" t="s">
        <v>2370</v>
      </c>
      <c r="AI681" s="63">
        <f t="shared" si="150"/>
        <v>2.2727272727272727E-4</v>
      </c>
      <c r="AJ681" s="284">
        <f>RTD("money.excel",,$G681,"PredictVolume")</f>
        <v>5</v>
      </c>
      <c r="AK681" s="399">
        <f>IFERROR(VLOOKUP($G681,基本資料!$A:$M,13,0),"無")</f>
        <v>1.68</v>
      </c>
    </row>
    <row r="682" spans="1:37">
      <c r="A682" s="347">
        <f>IFERROR(VLOOKUP($G682,基本資料!$A:$J,3,0),"無")</f>
        <v>12.01</v>
      </c>
      <c r="B682" s="79">
        <f>IFERROR(VLOOKUP($G682,基本資料!$A:$J,4,0),"無")</f>
        <v>226</v>
      </c>
      <c r="C682" s="79">
        <f>IFERROR(VLOOKUP($G682,基本資料!$A:$J,5,0),"無")</f>
        <v>242</v>
      </c>
      <c r="D682" s="79">
        <f>IFERROR(VLOOKUP($G682,基本資料!$A:$J,6,0),"無")</f>
        <v>-6</v>
      </c>
      <c r="E682" s="79">
        <f>IFERROR(VLOOKUP($G682,基本資料!$A:$J,7,0),"無")</f>
        <v>-1</v>
      </c>
      <c r="F682" s="6">
        <f>IFERROR(VLOOKUP($G682,基本資料!$A:$J,8,0),"無")</f>
        <v>36.65</v>
      </c>
      <c r="G682" s="79">
        <v>8016</v>
      </c>
      <c r="H682" s="195" t="s">
        <v>3039</v>
      </c>
      <c r="I682" s="22" t="s">
        <v>4067</v>
      </c>
      <c r="J682" s="8" t="str">
        <f>IFERROR(VLOOKUP($G682,今日總結!$A:$AJ,35,0),"")</f>
        <v/>
      </c>
      <c r="K682" s="5" t="str">
        <f>IFERROR(VLOOKUP($G682,今日總結!$A:$AJ,36,0),"")</f>
        <v/>
      </c>
      <c r="L682" s="156" t="str">
        <f>IFERROR(VLOOKUP($G682,今日總結!$A:$AJ,33,0),"")</f>
        <v/>
      </c>
      <c r="M682" s="340" t="str">
        <f>IFERROR(VLOOKUP($G682,今日總結!$A:$AJ,34,0),"")</f>
        <v/>
      </c>
      <c r="N682" s="240" t="str">
        <f t="shared" si="137"/>
        <v/>
      </c>
      <c r="P682" s="365">
        <f>IFERROR(VLOOKUP($G682,融外自投!$A:$J,7,0),"無")</f>
        <v>203</v>
      </c>
      <c r="Q682" s="79">
        <f>IFERROR(VLOOKUP($G682,融外自投!$A:$J,9,0),"無")</f>
        <v>282</v>
      </c>
      <c r="R682" s="346">
        <f>IFERROR(VLOOKUP($G682,融外自投!$A:$J,8,0),"無")</f>
        <v>211</v>
      </c>
      <c r="S682" s="81">
        <f>IFERROR(VLOOKUP($G682,融外自投!$A:$J,10,0),"無")</f>
        <v>186</v>
      </c>
      <c r="T682" s="327">
        <f>IFERROR(VLOOKUP($G682,'321買'!$A:$E,5,0),"'沒有資料'")</f>
        <v>122</v>
      </c>
      <c r="U682" s="186">
        <f>IFERROR(VLOOKUP($G682,基本資料!$A:$J,9,0),"無")</f>
        <v>32</v>
      </c>
      <c r="V682" s="310">
        <f t="shared" si="135"/>
        <v>0.13168724279835392</v>
      </c>
      <c r="W682" s="94">
        <f>IFERROR(VLOOKUP($G682,基本資料!$A:$J,10,0),"無")</f>
        <v>50.03</v>
      </c>
      <c r="X682" s="36">
        <f>RTD("money.excel",,"8016","Price")</f>
        <v>243</v>
      </c>
      <c r="Y682" s="66"/>
      <c r="Z682" s="15">
        <f t="shared" si="138"/>
        <v>243</v>
      </c>
      <c r="AA682" s="3" t="e">
        <f t="shared" si="139"/>
        <v>#DIV/0!</v>
      </c>
      <c r="AB682" s="344">
        <f>IFERROR(VLOOKUP($G682,基本資料!$A:$M,11,0),"無")</f>
        <v>-41.66</v>
      </c>
      <c r="AC682" s="397">
        <f>IFERROR(VLOOKUP($G682,基本資料!$A:$M,12,0),"無")</f>
        <v>15.24</v>
      </c>
      <c r="AD682" s="22" t="s">
        <v>4067</v>
      </c>
      <c r="AG682" s="33">
        <f t="shared" si="140"/>
        <v>0</v>
      </c>
      <c r="AH682" s="117" t="s">
        <v>2775</v>
      </c>
      <c r="AI682" s="63">
        <f t="shared" si="150"/>
        <v>5.8950874271440469E-3</v>
      </c>
      <c r="AJ682" s="284">
        <f>RTD("money.excel",,$G682,"PredictVolume")</f>
        <v>708</v>
      </c>
      <c r="AK682" s="399">
        <f>IFERROR(VLOOKUP($G682,基本資料!$A:$M,13,0),"無")</f>
        <v>15.87</v>
      </c>
    </row>
    <row r="683" spans="1:37">
      <c r="A683" s="347">
        <f>IFERROR(VLOOKUP($G683,基本資料!$A:$J,3,0),"無")</f>
        <v>4.51</v>
      </c>
      <c r="B683" s="79">
        <f>IFERROR(VLOOKUP($G683,基本資料!$A:$J,4,0),"無")</f>
        <v>298</v>
      </c>
      <c r="C683" s="79">
        <f>IFERROR(VLOOKUP($G683,基本資料!$A:$J,5,0),"無")</f>
        <v>401</v>
      </c>
      <c r="D683" s="79">
        <f>IFERROR(VLOOKUP($G683,基本資料!$A:$J,6,0),"無")</f>
        <v>11</v>
      </c>
      <c r="E683" s="79">
        <f>IFERROR(VLOOKUP($G683,基本資料!$A:$J,7,0),"無")</f>
        <v>-39</v>
      </c>
      <c r="F683" s="6">
        <f>IFERROR(VLOOKUP($G683,基本資料!$A:$J,8,0),"無")</f>
        <v>15.75</v>
      </c>
      <c r="G683" s="79">
        <v>8024</v>
      </c>
      <c r="H683" s="192" t="s">
        <v>3039</v>
      </c>
      <c r="I683" s="16" t="s">
        <v>383</v>
      </c>
      <c r="J683" s="8" t="str">
        <f>IFERROR(VLOOKUP($G683,今日總結!$A:$AJ,35,0),"")</f>
        <v>主</v>
      </c>
      <c r="K683" s="5">
        <f>IFERROR(VLOOKUP($G683,今日總結!$A:$AJ,36,0),"")</f>
        <v>0</v>
      </c>
      <c r="L683" s="156">
        <f>IFERROR(VLOOKUP($G683,今日總結!$A:$AJ,33,0),"")</f>
        <v>1</v>
      </c>
      <c r="M683" s="340">
        <f>IFERROR(VLOOKUP($G683,今日總結!$A:$AJ,34,0),"")</f>
        <v>0</v>
      </c>
      <c r="N683" s="240">
        <f t="shared" si="137"/>
        <v>1</v>
      </c>
      <c r="P683" s="365">
        <f>IFERROR(VLOOKUP($G683,融外自投!$A:$J,7,0),"無")</f>
        <v>50</v>
      </c>
      <c r="Q683" s="79">
        <f>IFERROR(VLOOKUP($G683,融外自投!$A:$J,9,0),"無")</f>
        <v>485</v>
      </c>
      <c r="R683" s="346">
        <f>IFERROR(VLOOKUP($G683,融外自投!$A:$J,8,0),"無")</f>
        <v>833</v>
      </c>
      <c r="S683" s="81" t="str">
        <f>IFERROR(VLOOKUP($G683,融外自投!$A:$J,10,0),"無")</f>
        <v>無</v>
      </c>
      <c r="T683" s="327">
        <f>IFERROR(VLOOKUP($G683,'321買'!$A:$E,5,0),"'沒有資料'")</f>
        <v>536</v>
      </c>
      <c r="U683" s="186">
        <f>IFERROR(VLOOKUP($G683,基本資料!$A:$J,9,0),"無")</f>
        <v>1.4</v>
      </c>
      <c r="V683" s="310">
        <f t="shared" si="135"/>
        <v>5.6451612903225798E-2</v>
      </c>
      <c r="W683" s="94">
        <f>IFERROR(VLOOKUP($G683,基本資料!$A:$J,10,0),"無")</f>
        <v>1.68</v>
      </c>
      <c r="X683" s="36">
        <f>RTD("money.excel",,"8024","Price")</f>
        <v>24.8</v>
      </c>
      <c r="Y683" s="66"/>
      <c r="Z683" s="15">
        <f t="shared" si="138"/>
        <v>24.8</v>
      </c>
      <c r="AA683" s="3" t="e">
        <f t="shared" si="139"/>
        <v>#DIV/0!</v>
      </c>
      <c r="AB683" s="344">
        <f>IFERROR(VLOOKUP($G683,基本資料!$A:$M,11,0),"無")</f>
        <v>-37.5</v>
      </c>
      <c r="AC683" s="397">
        <f>IFERROR(VLOOKUP($G683,基本資料!$A:$M,12,0),"無")</f>
        <v>27.15</v>
      </c>
      <c r="AD683" s="16" t="s">
        <v>383</v>
      </c>
      <c r="AG683" s="33">
        <f t="shared" si="140"/>
        <v>0</v>
      </c>
      <c r="AH683" s="43" t="s">
        <v>2371</v>
      </c>
      <c r="AI683" s="63">
        <f t="shared" si="150"/>
        <v>4.3458980044345898E-3</v>
      </c>
      <c r="AJ683" s="284">
        <f>RTD("money.excel",,$G683,"PredictVolume")</f>
        <v>196</v>
      </c>
      <c r="AK683" s="399">
        <f>IFERROR(VLOOKUP($G683,基本資料!$A:$M,13,0),"無")</f>
        <v>39.35</v>
      </c>
    </row>
    <row r="684" spans="1:37">
      <c r="A684" s="347">
        <f>IFERROR(VLOOKUP($G684,基本資料!$A:$J,3,0),"無")</f>
        <v>14.03</v>
      </c>
      <c r="B684" s="79">
        <f>IFERROR(VLOOKUP($G684,基本資料!$A:$J,4,0),"無")</f>
        <v>88</v>
      </c>
      <c r="C684" s="79">
        <f>IFERROR(VLOOKUP($G684,基本資料!$A:$J,5,0),"無")</f>
        <v>206</v>
      </c>
      <c r="D684" s="79">
        <f>IFERROR(VLOOKUP($G684,基本資料!$A:$J,6,0),"無")</f>
        <v>2</v>
      </c>
      <c r="E684" s="79">
        <f>IFERROR(VLOOKUP($G684,基本資料!$A:$J,7,0),"無")</f>
        <v>9</v>
      </c>
      <c r="F684" s="6">
        <f>IFERROR(VLOOKUP($G684,基本資料!$A:$J,8,0),"無")</f>
        <v>8.77</v>
      </c>
      <c r="G684" s="79">
        <v>8028</v>
      </c>
      <c r="H684" s="195" t="s">
        <v>3039</v>
      </c>
      <c r="I684" s="22" t="s">
        <v>1061</v>
      </c>
      <c r="J684" s="8" t="str">
        <f>IFERROR(VLOOKUP($G684,今日總結!$A:$AJ,35,0),"")</f>
        <v/>
      </c>
      <c r="K684" s="5" t="str">
        <f>IFERROR(VLOOKUP($G684,今日總結!$A:$AJ,36,0),"")</f>
        <v/>
      </c>
      <c r="L684" s="156" t="str">
        <f>IFERROR(VLOOKUP($G684,今日總結!$A:$AJ,33,0),"")</f>
        <v/>
      </c>
      <c r="M684" s="340" t="str">
        <f>IFERROR(VLOOKUP($G684,今日總結!$A:$AJ,34,0),"")</f>
        <v/>
      </c>
      <c r="N684" s="240" t="str">
        <f t="shared" si="137"/>
        <v/>
      </c>
      <c r="P684" s="365">
        <f>IFERROR(VLOOKUP($G684,融外自投!$A:$J,7,0),"無")</f>
        <v>245</v>
      </c>
      <c r="Q684" s="79">
        <f>IFERROR(VLOOKUP($G684,融外自投!$A:$J,9,0),"無")</f>
        <v>614</v>
      </c>
      <c r="R684" s="346">
        <f>IFERROR(VLOOKUP($G684,融外自投!$A:$J,8,0),"無")</f>
        <v>376</v>
      </c>
      <c r="S684" s="81">
        <f>IFERROR(VLOOKUP($G684,融外自投!$A:$J,10,0),"無")</f>
        <v>241</v>
      </c>
      <c r="T684" s="327">
        <f>IFERROR(VLOOKUP($G684,'321買'!$A:$E,5,0),"'沒有資料'")</f>
        <v>480</v>
      </c>
      <c r="U684" s="186">
        <f>IFERROR(VLOOKUP($G684,基本資料!$A:$J,9,0),"無")</f>
        <v>1.4</v>
      </c>
      <c r="V684" s="310">
        <f t="shared" si="135"/>
        <v>2.6666666666666665E-2</v>
      </c>
      <c r="W684" s="94">
        <f>IFERROR(VLOOKUP($G684,基本資料!$A:$J,10,0),"無")</f>
        <v>1.68</v>
      </c>
      <c r="X684" s="36">
        <f>RTD("money.excel",,"8028","Price")</f>
        <v>52.5</v>
      </c>
      <c r="Y684" s="66"/>
      <c r="Z684" s="15">
        <f t="shared" si="138"/>
        <v>52.5</v>
      </c>
      <c r="AA684" s="3" t="e">
        <f t="shared" si="139"/>
        <v>#DIV/0!</v>
      </c>
      <c r="AB684" s="344">
        <f>IFERROR(VLOOKUP($G684,基本資料!$A:$M,11,0),"無")</f>
        <v>-16.670000000000002</v>
      </c>
      <c r="AC684" s="397">
        <f>IFERROR(VLOOKUP($G684,基本資料!$A:$M,12,0),"無")</f>
        <v>43.34</v>
      </c>
      <c r="AD684" s="22" t="s">
        <v>1061</v>
      </c>
      <c r="AG684" s="33">
        <f t="shared" si="140"/>
        <v>0</v>
      </c>
      <c r="AH684" s="117" t="s">
        <v>2005</v>
      </c>
      <c r="AI684" s="63">
        <f t="shared" si="150"/>
        <v>9.4155381325730578E-3</v>
      </c>
      <c r="AJ684" s="284">
        <f>RTD("money.excel",,$G684,"PredictVolume")</f>
        <v>1321</v>
      </c>
      <c r="AK684" s="399">
        <f>IFERROR(VLOOKUP($G684,基本資料!$A:$M,13,0),"無")</f>
        <v>26.39</v>
      </c>
    </row>
    <row r="685" spans="1:37">
      <c r="A685" s="347">
        <f>IFERROR(VLOOKUP($G685,基本資料!$A:$J,3,0),"無")</f>
        <v>6.88</v>
      </c>
      <c r="B685" s="79">
        <f>IFERROR(VLOOKUP($G685,基本資料!$A:$J,4,0),"無")</f>
        <v>153</v>
      </c>
      <c r="C685" s="79">
        <f>IFERROR(VLOOKUP($G685,基本資料!$A:$J,5,0),"無")</f>
        <v>435</v>
      </c>
      <c r="D685" s="79">
        <f>IFERROR(VLOOKUP($G685,基本資料!$A:$J,6,0),"無")</f>
        <v>5</v>
      </c>
      <c r="E685" s="79">
        <f>IFERROR(VLOOKUP($G685,基本資料!$A:$J,7,0),"無")</f>
        <v>-5</v>
      </c>
      <c r="F685" s="6">
        <f>IFERROR(VLOOKUP($G685,基本資料!$A:$J,8,0),"無")</f>
        <v>8.94</v>
      </c>
      <c r="G685" s="79">
        <v>8040</v>
      </c>
      <c r="H685" s="192" t="s">
        <v>3039</v>
      </c>
      <c r="I685" s="16" t="s">
        <v>384</v>
      </c>
      <c r="J685" s="8" t="str">
        <f>IFERROR(VLOOKUP($G685,今日總結!$A:$AJ,35,0),"")</f>
        <v/>
      </c>
      <c r="K685" s="5" t="str">
        <f>IFERROR(VLOOKUP($G685,今日總結!$A:$AJ,36,0),"")</f>
        <v/>
      </c>
      <c r="L685" s="156" t="str">
        <f>IFERROR(VLOOKUP($G685,今日總結!$A:$AJ,33,0),"")</f>
        <v/>
      </c>
      <c r="M685" s="340" t="str">
        <f>IFERROR(VLOOKUP($G685,今日總結!$A:$AJ,34,0),"")</f>
        <v/>
      </c>
      <c r="N685" s="240" t="str">
        <f t="shared" si="137"/>
        <v/>
      </c>
      <c r="P685" s="365">
        <f>IFERROR(VLOOKUP($G685,融外自投!$A:$J,7,0),"無")</f>
        <v>248</v>
      </c>
      <c r="Q685" s="79">
        <f>IFERROR(VLOOKUP($G685,融外自投!$A:$J,9,0),"無")</f>
        <v>143</v>
      </c>
      <c r="R685" s="346">
        <f>IFERROR(VLOOKUP($G685,融外自投!$A:$J,8,0),"無")</f>
        <v>686</v>
      </c>
      <c r="S685" s="81" t="str">
        <f>IFERROR(VLOOKUP($G685,融外自投!$A:$J,10,0),"無")</f>
        <v>無</v>
      </c>
      <c r="T685" s="327">
        <f>IFERROR(VLOOKUP($G685,'321買'!$A:$E,5,0),"'沒有資料'")</f>
        <v>536</v>
      </c>
      <c r="U685" s="186">
        <f>IFERROR(VLOOKUP($G685,基本資料!$A:$J,9,0),"無")</f>
        <v>0.6</v>
      </c>
      <c r="V685" s="310">
        <f t="shared" si="135"/>
        <v>1.2232415902140673E-2</v>
      </c>
      <c r="W685" s="94">
        <f>IFERROR(VLOOKUP($G685,基本資料!$A:$J,10,0),"無")</f>
        <v>0.91</v>
      </c>
      <c r="X685" s="36">
        <f>RTD("money.excel",,"8040","Price")</f>
        <v>49.05</v>
      </c>
      <c r="Y685" s="66"/>
      <c r="Z685" s="15">
        <f t="shared" si="138"/>
        <v>49.05</v>
      </c>
      <c r="AA685" s="3" t="e">
        <f t="shared" si="139"/>
        <v>#DIV/0!</v>
      </c>
      <c r="AB685" s="344">
        <f>IFERROR(VLOOKUP($G685,基本資料!$A:$M,11,0),"無")</f>
        <v>-45.72</v>
      </c>
      <c r="AC685" s="397">
        <f>IFERROR(VLOOKUP($G685,基本資料!$A:$M,12,0),"無")</f>
        <v>18.64</v>
      </c>
      <c r="AD685" s="16" t="s">
        <v>384</v>
      </c>
      <c r="AG685" s="33">
        <f t="shared" si="140"/>
        <v>0</v>
      </c>
      <c r="AH685" s="43" t="s">
        <v>2553</v>
      </c>
      <c r="AI685" s="63">
        <f t="shared" si="150"/>
        <v>5.7558139534883718E-3</v>
      </c>
      <c r="AJ685" s="284">
        <f>RTD("money.excel",,$G685,"PredictVolume")</f>
        <v>396</v>
      </c>
      <c r="AK685" s="399">
        <f>IFERROR(VLOOKUP($G685,基本資料!$A:$M,13,0),"無")</f>
        <v>60.71</v>
      </c>
    </row>
    <row r="686" spans="1:37">
      <c r="A686" s="347">
        <f>IFERROR(VLOOKUP($G686,基本資料!$A:$J,3,0),"無")</f>
        <v>9.08</v>
      </c>
      <c r="B686" s="79">
        <f>IFERROR(VLOOKUP($G686,基本資料!$A:$J,4,0),"無")</f>
        <v>555727</v>
      </c>
      <c r="C686" s="79">
        <f>IFERROR(VLOOKUP($G686,基本資料!$A:$J,5,0),"無")</f>
        <v>451</v>
      </c>
      <c r="D686" s="79">
        <f>IFERROR(VLOOKUP($G686,基本資料!$A:$J,6,0),"無")</f>
        <v>0</v>
      </c>
      <c r="E686" s="79">
        <f>IFERROR(VLOOKUP($G686,基本資料!$A:$J,7,0),"無")</f>
        <v>-11</v>
      </c>
      <c r="F686" s="6">
        <f>IFERROR(VLOOKUP($G686,基本資料!$A:$J,8,0),"無")</f>
        <v>9.3800000000000008</v>
      </c>
      <c r="G686" s="79">
        <v>8054</v>
      </c>
      <c r="H686" s="192" t="s">
        <v>3039</v>
      </c>
      <c r="I686" s="16" t="s">
        <v>4068</v>
      </c>
      <c r="J686" s="8" t="str">
        <f>IFERROR(VLOOKUP($G686,今日總結!$A:$AJ,35,0),"")</f>
        <v/>
      </c>
      <c r="K686" s="5" t="str">
        <f>IFERROR(VLOOKUP($G686,今日總結!$A:$AJ,36,0),"")</f>
        <v/>
      </c>
      <c r="L686" s="156" t="str">
        <f>IFERROR(VLOOKUP($G686,今日總結!$A:$AJ,33,0),"")</f>
        <v/>
      </c>
      <c r="M686" s="340" t="str">
        <f>IFERROR(VLOOKUP($G686,今日總結!$A:$AJ,34,0),"")</f>
        <v/>
      </c>
      <c r="N686" s="240" t="str">
        <f t="shared" si="137"/>
        <v/>
      </c>
      <c r="P686" s="365">
        <f>IFERROR(VLOOKUP($G686,融外自投!$A:$J,7,0),"無")</f>
        <v>29</v>
      </c>
      <c r="Q686" s="79">
        <f>IFERROR(VLOOKUP($G686,融外自投!$A:$J,9,0),"無")</f>
        <v>292</v>
      </c>
      <c r="R686" s="346">
        <f>IFERROR(VLOOKUP($G686,融外自投!$A:$J,8,0),"無")</f>
        <v>1197</v>
      </c>
      <c r="S686" s="81" t="str">
        <f>IFERROR(VLOOKUP($G686,融外自投!$A:$J,10,0),"無")</f>
        <v>無</v>
      </c>
      <c r="T686" s="327">
        <f>IFERROR(VLOOKUP($G686,'321買'!$A:$E,5,0),"'沒有資料'")</f>
        <v>232</v>
      </c>
      <c r="U686" s="186">
        <f>IFERROR(VLOOKUP($G686,基本資料!$A:$J,9,0),"無")</f>
        <v>1.65</v>
      </c>
      <c r="V686" s="310">
        <f t="shared" si="135"/>
        <v>3.8194444444444441E-2</v>
      </c>
      <c r="W686" s="94">
        <f>IFERROR(VLOOKUP($G686,基本資料!$A:$J,10,0),"無")</f>
        <v>3.25</v>
      </c>
      <c r="X686" s="36">
        <f>RTD("money.excel",,"8054","Price")</f>
        <v>43.2</v>
      </c>
      <c r="Y686" s="66"/>
      <c r="Z686" s="15">
        <f t="shared" si="138"/>
        <v>43.2</v>
      </c>
      <c r="AA686" s="3" t="e">
        <f t="shared" si="139"/>
        <v>#DIV/0!</v>
      </c>
      <c r="AB686" s="344">
        <f>IFERROR(VLOOKUP($G686,基本資料!$A:$M,11,0),"無")</f>
        <v>-40.299999999999997</v>
      </c>
      <c r="AC686" s="397">
        <f>IFERROR(VLOOKUP($G686,基本資料!$A:$M,12,0),"無")</f>
        <v>12.64</v>
      </c>
      <c r="AD686" s="16" t="s">
        <v>4068</v>
      </c>
      <c r="AG686" s="33">
        <f t="shared" si="140"/>
        <v>0</v>
      </c>
      <c r="AH686" s="43" t="s">
        <v>2234</v>
      </c>
      <c r="AI686" s="63">
        <f t="shared" si="150"/>
        <v>1.1651982378854625E-2</v>
      </c>
      <c r="AJ686" s="284">
        <f>RTD("money.excel",,$G686,"PredictVolume")</f>
        <v>1058</v>
      </c>
      <c r="AK686" s="399">
        <f>IFERROR(VLOOKUP($G686,基本資料!$A:$M,13,0),"無")</f>
        <v>37.950000000000003</v>
      </c>
    </row>
    <row r="687" spans="1:37">
      <c r="A687" s="347">
        <f>IFERROR(VLOOKUP($G687,基本資料!$A:$J,3,0),"無")</f>
        <v>8.61</v>
      </c>
      <c r="B687" s="79">
        <f>IFERROR(VLOOKUP($G687,基本資料!$A:$J,4,0),"無")</f>
        <v>108</v>
      </c>
      <c r="C687" s="79">
        <f>IFERROR(VLOOKUP($G687,基本資料!$A:$J,5,0),"無")</f>
        <v>105</v>
      </c>
      <c r="D687" s="79">
        <f>IFERROR(VLOOKUP($G687,基本資料!$A:$J,6,0),"無")</f>
        <v>19</v>
      </c>
      <c r="E687" s="79">
        <f>IFERROR(VLOOKUP($G687,基本資料!$A:$J,7,0),"無")</f>
        <v>24</v>
      </c>
      <c r="F687" s="6">
        <f>IFERROR(VLOOKUP($G687,基本資料!$A:$J,8,0),"無")</f>
        <v>29.7</v>
      </c>
      <c r="G687" s="79">
        <v>8081</v>
      </c>
      <c r="H687" s="8" t="s">
        <v>307</v>
      </c>
      <c r="I687" s="22" t="s">
        <v>357</v>
      </c>
      <c r="J687" s="8" t="str">
        <f>IFERROR(VLOOKUP($G687,今日總結!$A:$AJ,35,0),"")</f>
        <v/>
      </c>
      <c r="K687" s="5" t="str">
        <f>IFERROR(VLOOKUP($G687,今日總結!$A:$AJ,36,0),"")</f>
        <v/>
      </c>
      <c r="L687" s="156" t="str">
        <f>IFERROR(VLOOKUP($G687,今日總結!$A:$AJ,33,0),"")</f>
        <v/>
      </c>
      <c r="M687" s="340" t="str">
        <f>IFERROR(VLOOKUP($G687,今日總結!$A:$AJ,34,0),"")</f>
        <v/>
      </c>
      <c r="N687" s="240" t="str">
        <f t="shared" si="137"/>
        <v/>
      </c>
      <c r="P687" s="365">
        <f>IFERROR(VLOOKUP($G687,融外自投!$A:$J,7,0),"無")</f>
        <v>577</v>
      </c>
      <c r="Q687" s="79">
        <f>IFERROR(VLOOKUP($G687,融外自投!$A:$J,9,0),"無")</f>
        <v>370</v>
      </c>
      <c r="R687" s="346">
        <f>IFERROR(VLOOKUP($G687,融外自投!$A:$J,8,0),"無")</f>
        <v>282</v>
      </c>
      <c r="S687" s="81">
        <f>IFERROR(VLOOKUP($G687,融外自投!$A:$J,10,0),"無")</f>
        <v>274</v>
      </c>
      <c r="T687" s="327">
        <f>IFERROR(VLOOKUP($G687,'321買'!$A:$E,5,0),"'沒有資料'")</f>
        <v>357</v>
      </c>
      <c r="U687" s="186">
        <f>IFERROR(VLOOKUP($G687,基本資料!$A:$J,9,0),"無")</f>
        <v>16</v>
      </c>
      <c r="V687" s="310">
        <f t="shared" si="135"/>
        <v>7.8624078624078622E-2</v>
      </c>
      <c r="W687" s="94">
        <f>IFERROR(VLOOKUP($G687,基本資料!$A:$J,10,0),"無")</f>
        <v>25.45</v>
      </c>
      <c r="X687" s="36">
        <f>RTD("money.excel",,"8081","Price")</f>
        <v>203.5</v>
      </c>
      <c r="Y687" s="66"/>
      <c r="Z687" s="15">
        <f t="shared" si="138"/>
        <v>203.5</v>
      </c>
      <c r="AA687" s="3" t="e">
        <f t="shared" si="139"/>
        <v>#DIV/0!</v>
      </c>
      <c r="AB687" s="344">
        <f>IFERROR(VLOOKUP($G687,基本資料!$A:$M,11,0),"無")</f>
        <v>-32.39</v>
      </c>
      <c r="AC687" s="397">
        <f>IFERROR(VLOOKUP($G687,基本資料!$A:$M,12,0),"無")</f>
        <v>20.2</v>
      </c>
      <c r="AD687" s="22" t="s">
        <v>357</v>
      </c>
      <c r="AG687" s="33">
        <f t="shared" si="140"/>
        <v>0</v>
      </c>
      <c r="AH687" s="43" t="s">
        <v>1438</v>
      </c>
      <c r="AI687" s="63">
        <f t="shared" si="150"/>
        <v>4.7270615563298488E-3</v>
      </c>
      <c r="AJ687" s="284">
        <f>RTD("money.excel",,$G687,"PredictVolume")</f>
        <v>407</v>
      </c>
      <c r="AK687" s="399">
        <f>IFERROR(VLOOKUP($G687,基本資料!$A:$M,13,0),"無")</f>
        <v>7.34</v>
      </c>
    </row>
    <row r="688" spans="1:37">
      <c r="A688" s="347">
        <f>IFERROR(VLOOKUP($G688,基本資料!$A:$J,3,0),"無")</f>
        <v>19.649999999999999</v>
      </c>
      <c r="B688" s="79">
        <f>IFERROR(VLOOKUP($G688,基本資料!$A:$J,4,0),"無")</f>
        <v>35</v>
      </c>
      <c r="C688" s="79">
        <f>IFERROR(VLOOKUP($G688,基本資料!$A:$J,5,0),"無")</f>
        <v>25</v>
      </c>
      <c r="D688" s="79">
        <f>IFERROR(VLOOKUP($G688,基本資料!$A:$J,6,0),"無")</f>
        <v>2</v>
      </c>
      <c r="E688" s="79">
        <f>IFERROR(VLOOKUP($G688,基本資料!$A:$J,7,0),"無")</f>
        <v>-50</v>
      </c>
      <c r="F688" s="6">
        <f>IFERROR(VLOOKUP($G688,基本資料!$A:$J,8,0),"無")</f>
        <v>20.71</v>
      </c>
      <c r="G688" s="79">
        <v>8086</v>
      </c>
      <c r="H688" s="192" t="s">
        <v>3039</v>
      </c>
      <c r="I688" s="16" t="s">
        <v>262</v>
      </c>
      <c r="J688" s="8" t="str">
        <f>IFERROR(VLOOKUP($G688,今日總結!$A:$AJ,35,0),"")</f>
        <v/>
      </c>
      <c r="K688" s="5" t="str">
        <f>IFERROR(VLOOKUP($G688,今日總結!$A:$AJ,36,0),"")</f>
        <v/>
      </c>
      <c r="L688" s="156" t="str">
        <f>IFERROR(VLOOKUP($G688,今日總結!$A:$AJ,33,0),"")</f>
        <v/>
      </c>
      <c r="M688" s="340" t="str">
        <f>IFERROR(VLOOKUP($G688,今日總結!$A:$AJ,34,0),"")</f>
        <v/>
      </c>
      <c r="N688" s="240" t="str">
        <f t="shared" si="137"/>
        <v/>
      </c>
      <c r="P688" s="365">
        <f>IFERROR(VLOOKUP($G688,融外自投!$A:$J,7,0),"無")</f>
        <v>193</v>
      </c>
      <c r="Q688" s="79">
        <f>IFERROR(VLOOKUP($G688,融外自投!$A:$J,9,0),"無")</f>
        <v>292</v>
      </c>
      <c r="R688" s="346">
        <f>IFERROR(VLOOKUP($G688,融外自投!$A:$J,8,0),"無")</f>
        <v>522</v>
      </c>
      <c r="S688" s="81">
        <f>IFERROR(VLOOKUP($G688,融外自投!$A:$J,10,0),"無")</f>
        <v>319</v>
      </c>
      <c r="T688" s="327">
        <f>IFERROR(VLOOKUP($G688,'321買'!$A:$E,5,0),"'沒有資料'")</f>
        <v>634</v>
      </c>
      <c r="U688" s="186">
        <f>IFERROR(VLOOKUP($G688,基本資料!$A:$J,9,0),"無")</f>
        <v>2.8</v>
      </c>
      <c r="V688" s="310">
        <f t="shared" si="135"/>
        <v>3.3573141486810544E-2</v>
      </c>
      <c r="W688" s="94">
        <f>IFERROR(VLOOKUP($G688,基本資料!$A:$J,10,0),"無")</f>
        <v>4.29</v>
      </c>
      <c r="X688" s="36">
        <f>RTD("money.excel",,"8086","Price")</f>
        <v>83.4</v>
      </c>
      <c r="Y688" s="66"/>
      <c r="Z688" s="15">
        <f t="shared" si="138"/>
        <v>83.4</v>
      </c>
      <c r="AA688" s="3" t="e">
        <f t="shared" si="139"/>
        <v>#DIV/0!</v>
      </c>
      <c r="AB688" s="344">
        <f>IFERROR(VLOOKUP($G688,基本資料!$A:$M,11,0),"無")</f>
        <v>-59.29</v>
      </c>
      <c r="AC688" s="397">
        <f>IFERROR(VLOOKUP($G688,基本資料!$A:$M,12,0),"無")</f>
        <v>6.42</v>
      </c>
      <c r="AD688" s="16" t="s">
        <v>262</v>
      </c>
      <c r="AG688" s="33">
        <f t="shared" si="140"/>
        <v>0</v>
      </c>
      <c r="AH688" s="117" t="s">
        <v>2325</v>
      </c>
      <c r="AI688" s="63">
        <f t="shared" si="150"/>
        <v>5.2213740458015266E-3</v>
      </c>
      <c r="AJ688" s="284">
        <f>RTD("money.excel",,$G688,"PredictVolume")</f>
        <v>1026</v>
      </c>
      <c r="AK688" s="399">
        <f>IFERROR(VLOOKUP($G688,基本資料!$A:$M,13,0),"無")</f>
        <v>13.29</v>
      </c>
    </row>
    <row r="689" spans="1:37">
      <c r="A689" s="347">
        <f>IFERROR(VLOOKUP($G689,基本資料!$A:$J,3,0),"無")</f>
        <v>6.09</v>
      </c>
      <c r="B689" s="79">
        <f>IFERROR(VLOOKUP($G689,基本資料!$A:$J,4,0),"無")</f>
        <v>-16</v>
      </c>
      <c r="C689" s="79">
        <f>IFERROR(VLOOKUP($G689,基本資料!$A:$J,5,0),"無")</f>
        <v>-25</v>
      </c>
      <c r="D689" s="79">
        <f>IFERROR(VLOOKUP($G689,基本資料!$A:$J,6,0),"無")</f>
        <v>48</v>
      </c>
      <c r="E689" s="79">
        <f>IFERROR(VLOOKUP($G689,基本資料!$A:$J,7,0),"無")</f>
        <v>-7</v>
      </c>
      <c r="F689" s="6">
        <f>IFERROR(VLOOKUP($G689,基本資料!$A:$J,8,0),"無")</f>
        <v>7.21</v>
      </c>
      <c r="G689" s="79">
        <v>8088</v>
      </c>
      <c r="H689" s="192" t="s">
        <v>3039</v>
      </c>
      <c r="I689" s="16" t="s">
        <v>385</v>
      </c>
      <c r="J689" s="8" t="str">
        <f>IFERROR(VLOOKUP($G689,今日總結!$A:$AJ,35,0),"")</f>
        <v>外</v>
      </c>
      <c r="K689" s="5">
        <f>IFERROR(VLOOKUP($G689,今日總結!$A:$AJ,36,0),"")</f>
        <v>0</v>
      </c>
      <c r="L689" s="156">
        <f>IFERROR(VLOOKUP($G689,今日總結!$A:$AJ,33,0),"")</f>
        <v>1</v>
      </c>
      <c r="M689" s="340">
        <f>IFERROR(VLOOKUP($G689,今日總結!$A:$AJ,34,0),"")</f>
        <v>0</v>
      </c>
      <c r="N689" s="240">
        <f t="shared" si="137"/>
        <v>1</v>
      </c>
      <c r="P689" s="365">
        <f>IFERROR(VLOOKUP($G689,融外自投!$A:$J,7,0),"無")</f>
        <v>348</v>
      </c>
      <c r="Q689" s="79">
        <f>IFERROR(VLOOKUP($G689,融外自投!$A:$J,9,0),"無")</f>
        <v>279</v>
      </c>
      <c r="R689" s="346">
        <f>IFERROR(VLOOKUP($G689,融外自投!$A:$J,8,0),"無")</f>
        <v>509</v>
      </c>
      <c r="S689" s="81" t="str">
        <f>IFERROR(VLOOKUP($G689,融外自投!$A:$J,10,0),"無")</f>
        <v>無</v>
      </c>
      <c r="T689" s="327">
        <f>IFERROR(VLOOKUP($G689,'321買'!$A:$E,5,0),"'沒有資料'")</f>
        <v>802</v>
      </c>
      <c r="U689" s="186">
        <f>IFERROR(VLOOKUP($G689,基本資料!$A:$J,9,0),"無")</f>
        <v>1</v>
      </c>
      <c r="V689" s="310">
        <f t="shared" si="135"/>
        <v>4.784688995215311E-2</v>
      </c>
      <c r="W689" s="94">
        <f>IFERROR(VLOOKUP($G689,基本資料!$A:$J,10,0),"無")</f>
        <v>1.64</v>
      </c>
      <c r="X689" s="36">
        <f>RTD("money.excel",,"8088","Price")</f>
        <v>20.9</v>
      </c>
      <c r="Y689" s="66"/>
      <c r="Z689" s="15">
        <f t="shared" si="138"/>
        <v>20.9</v>
      </c>
      <c r="AA689" s="3" t="e">
        <f t="shared" si="139"/>
        <v>#DIV/0!</v>
      </c>
      <c r="AB689" s="344">
        <f>IFERROR(VLOOKUP($G689,基本資料!$A:$M,11,0),"無")</f>
        <v>-35.770000000000003</v>
      </c>
      <c r="AC689" s="397">
        <f>IFERROR(VLOOKUP($G689,基本資料!$A:$M,12,0),"無")</f>
        <v>18.14</v>
      </c>
      <c r="AD689" s="16" t="s">
        <v>385</v>
      </c>
      <c r="AG689" s="33">
        <f t="shared" si="140"/>
        <v>0</v>
      </c>
      <c r="AH689" s="43" t="s">
        <v>2324</v>
      </c>
      <c r="AI689" s="63">
        <f t="shared" si="150"/>
        <v>7.8817733990147788E-4</v>
      </c>
      <c r="AJ689" s="284">
        <f>RTD("money.excel",,$G689,"PredictVolume")</f>
        <v>48</v>
      </c>
      <c r="AK689" s="399">
        <f>IFERROR(VLOOKUP($G689,基本資料!$A:$M,13,0),"無")</f>
        <v>33.64</v>
      </c>
    </row>
    <row r="690" spans="1:37">
      <c r="A690" s="347">
        <f>IFERROR(VLOOKUP($G690,基本資料!$A:$J,3,0),"無")</f>
        <v>52.17</v>
      </c>
      <c r="B690" s="79">
        <f>IFERROR(VLOOKUP($G690,基本資料!$A:$J,4,0),"無")</f>
        <v>-53</v>
      </c>
      <c r="C690" s="79">
        <f>IFERROR(VLOOKUP($G690,基本資料!$A:$J,5,0),"無")</f>
        <v>159</v>
      </c>
      <c r="D690" s="79">
        <f>IFERROR(VLOOKUP($G690,基本資料!$A:$J,6,0),"無")</f>
        <v>0</v>
      </c>
      <c r="E690" s="79">
        <f>IFERROR(VLOOKUP($G690,基本資料!$A:$J,7,0),"無")</f>
        <v>58</v>
      </c>
      <c r="F690" s="6">
        <f>IFERROR(VLOOKUP($G690,基本資料!$A:$J,8,0),"無")</f>
        <v>0.68</v>
      </c>
      <c r="G690" s="79">
        <v>8110</v>
      </c>
      <c r="H690" s="8" t="s">
        <v>3039</v>
      </c>
      <c r="I690" s="22" t="s">
        <v>4069</v>
      </c>
      <c r="J690" s="8" t="str">
        <f>IFERROR(VLOOKUP($G690,今日總結!$A:$AJ,35,0),"")</f>
        <v/>
      </c>
      <c r="K690" s="5" t="str">
        <f>IFERROR(VLOOKUP($G690,今日總結!$A:$AJ,36,0),"")</f>
        <v/>
      </c>
      <c r="L690" s="156" t="str">
        <f>IFERROR(VLOOKUP($G690,今日總結!$A:$AJ,33,0),"")</f>
        <v/>
      </c>
      <c r="M690" s="340" t="str">
        <f>IFERROR(VLOOKUP($G690,今日總結!$A:$AJ,34,0),"")</f>
        <v/>
      </c>
      <c r="N690" s="240" t="str">
        <f t="shared" si="137"/>
        <v/>
      </c>
      <c r="P690" s="365">
        <f>IFERROR(VLOOKUP($G690,融外自投!$A:$J,7,0),"無")</f>
        <v>594</v>
      </c>
      <c r="Q690" s="79">
        <f>IFERROR(VLOOKUP($G690,融外自投!$A:$J,9,0),"無")</f>
        <v>492</v>
      </c>
      <c r="R690" s="346">
        <f>IFERROR(VLOOKUP($G690,融外自投!$A:$J,8,0),"無")</f>
        <v>991</v>
      </c>
      <c r="S690" s="81">
        <f>IFERROR(VLOOKUP($G690,融外自投!$A:$J,10,0),"無")</f>
        <v>491</v>
      </c>
      <c r="T690" s="327">
        <f>IFERROR(VLOOKUP($G690,'321買'!$A:$E,5,0),"'沒有資料'")</f>
        <v>306</v>
      </c>
      <c r="U690" s="186">
        <f>IFERROR(VLOOKUP($G690,基本資料!$A:$J,9,0),"無")</f>
        <v>0.13</v>
      </c>
      <c r="V690" s="310">
        <f t="shared" si="135"/>
        <v>9.4545454545454551E-3</v>
      </c>
      <c r="W690" s="94">
        <f>IFERROR(VLOOKUP($G690,基本資料!$A:$J,10,0),"無")</f>
        <v>0.43</v>
      </c>
      <c r="X690" s="36">
        <f>RTD("money.excel",,"8110","Price")</f>
        <v>13.75</v>
      </c>
      <c r="Y690" s="66"/>
      <c r="Z690" s="15">
        <f t="shared" si="138"/>
        <v>13.75</v>
      </c>
      <c r="AA690" s="3" t="e">
        <f t="shared" si="139"/>
        <v>#DIV/0!</v>
      </c>
      <c r="AB690" s="344">
        <f>IFERROR(VLOOKUP($G690,基本資料!$A:$M,11,0),"無")</f>
        <v>-48.8</v>
      </c>
      <c r="AC690" s="397">
        <f>IFERROR(VLOOKUP($G690,基本資料!$A:$M,12,0),"無")</f>
        <v>14.85</v>
      </c>
      <c r="AD690" s="22" t="s">
        <v>4069</v>
      </c>
      <c r="AG690" s="33">
        <f t="shared" si="140"/>
        <v>0</v>
      </c>
      <c r="AH690" s="117" t="s">
        <v>1058</v>
      </c>
      <c r="AI690" s="63">
        <f t="shared" si="150"/>
        <v>1.3379336783592103E-3</v>
      </c>
      <c r="AJ690" s="284">
        <f>RTD("money.excel",,$G690,"PredictVolume")</f>
        <v>698</v>
      </c>
      <c r="AK690" s="399">
        <f>IFERROR(VLOOKUP($G690,基本資料!$A:$M,13,0),"無")</f>
        <v>22.71</v>
      </c>
    </row>
    <row r="691" spans="1:37">
      <c r="A691" s="347">
        <f>IFERROR(VLOOKUP($G691,基本資料!$A:$J,3,0),"無")</f>
        <v>44.22</v>
      </c>
      <c r="B691" s="79">
        <f>IFERROR(VLOOKUP($G691,基本資料!$A:$J,4,0),"無")</f>
        <v>11</v>
      </c>
      <c r="C691" s="79">
        <f>IFERROR(VLOOKUP($G691,基本資料!$A:$J,5,0),"無")</f>
        <v>11</v>
      </c>
      <c r="D691" s="79">
        <f>IFERROR(VLOOKUP($G691,基本資料!$A:$J,6,0),"無")</f>
        <v>4</v>
      </c>
      <c r="E691" s="79">
        <f>IFERROR(VLOOKUP($G691,基本資料!$A:$J,7,0),"無")</f>
        <v>9</v>
      </c>
      <c r="F691" s="6">
        <f>IFERROR(VLOOKUP($G691,基本資料!$A:$J,8,0),"無")</f>
        <v>18.84</v>
      </c>
      <c r="G691" s="79">
        <v>8131</v>
      </c>
      <c r="H691" s="8" t="s">
        <v>3039</v>
      </c>
      <c r="I691" s="22" t="s">
        <v>4070</v>
      </c>
      <c r="J691" s="8" t="str">
        <f>IFERROR(VLOOKUP($G691,今日總結!$A:$AJ,35,0),"")</f>
        <v/>
      </c>
      <c r="K691" s="5" t="str">
        <f>IFERROR(VLOOKUP($G691,今日總結!$A:$AJ,36,0),"")</f>
        <v/>
      </c>
      <c r="L691" s="156" t="str">
        <f>IFERROR(VLOOKUP($G691,今日總結!$A:$AJ,33,0),"")</f>
        <v/>
      </c>
      <c r="M691" s="340" t="str">
        <f>IFERROR(VLOOKUP($G691,今日總結!$A:$AJ,34,0),"")</f>
        <v/>
      </c>
      <c r="N691" s="240" t="str">
        <f t="shared" si="137"/>
        <v/>
      </c>
      <c r="P691" s="365">
        <f>IFERROR(VLOOKUP($G691,融外自投!$A:$J,7,0),"無")</f>
        <v>1270</v>
      </c>
      <c r="Q691" s="79">
        <f>IFERROR(VLOOKUP($G691,融外自投!$A:$J,9,0),"無")</f>
        <v>708</v>
      </c>
      <c r="R691" s="346">
        <f>IFERROR(VLOOKUP($G691,融外自投!$A:$J,8,0),"無")</f>
        <v>767</v>
      </c>
      <c r="S691" s="81">
        <f>IFERROR(VLOOKUP($G691,融外自投!$A:$J,10,0),"無")</f>
        <v>491</v>
      </c>
      <c r="T691" s="327">
        <f>IFERROR(VLOOKUP($G691,'321買'!$A:$E,5,0),"'沒有資料'")</f>
        <v>710</v>
      </c>
      <c r="U691" s="186">
        <f>IFERROR(VLOOKUP($G691,基本資料!$A:$J,9,0),"無")</f>
        <v>2.5</v>
      </c>
      <c r="V691" s="310">
        <f t="shared" si="135"/>
        <v>6.3371356147021538E-2</v>
      </c>
      <c r="W691" s="94">
        <f>IFERROR(VLOOKUP($G691,基本資料!$A:$J,10,0),"無")</f>
        <v>3.52</v>
      </c>
      <c r="X691" s="36">
        <f>RTD("money.excel",,"8131","Price")</f>
        <v>39.450000000000003</v>
      </c>
      <c r="Y691" s="66"/>
      <c r="Z691" s="15">
        <f t="shared" si="138"/>
        <v>39.450000000000003</v>
      </c>
      <c r="AA691" s="3" t="e">
        <f t="shared" si="139"/>
        <v>#DIV/0!</v>
      </c>
      <c r="AB691" s="344">
        <f>IFERROR(VLOOKUP($G691,基本資料!$A:$M,11,0),"無")</f>
        <v>-7.39</v>
      </c>
      <c r="AC691" s="397">
        <f>IFERROR(VLOOKUP($G691,基本資料!$A:$M,12,0),"無")</f>
        <v>35.96</v>
      </c>
      <c r="AD691" s="22" t="s">
        <v>4070</v>
      </c>
      <c r="AG691" s="33">
        <f t="shared" si="140"/>
        <v>0</v>
      </c>
      <c r="AH691" s="117" t="s">
        <v>1710</v>
      </c>
      <c r="AI691" s="63">
        <f t="shared" si="150"/>
        <v>4.4549977385798282E-4</v>
      </c>
      <c r="AJ691" s="284">
        <f>RTD("money.excel",,$G691,"PredictVolume")</f>
        <v>197</v>
      </c>
      <c r="AK691" s="399">
        <f>IFERROR(VLOOKUP($G691,基本資料!$A:$M,13,0),"無")</f>
        <v>0.42</v>
      </c>
    </row>
    <row r="692" spans="1:37">
      <c r="A692" s="347">
        <f>IFERROR(VLOOKUP($G692,基本資料!$A:$J,3,0),"無")</f>
        <v>72.72</v>
      </c>
      <c r="B692" s="79">
        <f>IFERROR(VLOOKUP($G692,基本資料!$A:$J,4,0),"無")</f>
        <v>113</v>
      </c>
      <c r="C692" s="79">
        <f>IFERROR(VLOOKUP($G692,基本資料!$A:$J,5,0),"無")</f>
        <v>55</v>
      </c>
      <c r="D692" s="79">
        <f>IFERROR(VLOOKUP($G692,基本資料!$A:$J,6,0),"無")</f>
        <v>12</v>
      </c>
      <c r="E692" s="79">
        <f>IFERROR(VLOOKUP($G692,基本資料!$A:$J,7,0),"無")</f>
        <v>0</v>
      </c>
      <c r="F692" s="6">
        <f>IFERROR(VLOOKUP($G692,基本資料!$A:$J,8,0),"無")</f>
        <v>20.3</v>
      </c>
      <c r="G692" s="79">
        <v>8150</v>
      </c>
      <c r="H692" s="8" t="s">
        <v>3039</v>
      </c>
      <c r="I692" s="22" t="s">
        <v>276</v>
      </c>
      <c r="J692" s="8" t="str">
        <f>IFERROR(VLOOKUP($G692,今日總結!$A:$AJ,35,0),"")</f>
        <v/>
      </c>
      <c r="K692" s="5" t="str">
        <f>IFERROR(VLOOKUP($G692,今日總結!$A:$AJ,36,0),"")</f>
        <v/>
      </c>
      <c r="L692" s="156" t="str">
        <f>IFERROR(VLOOKUP($G692,今日總結!$A:$AJ,33,0),"")</f>
        <v/>
      </c>
      <c r="M692" s="340" t="str">
        <f>IFERROR(VLOOKUP($G692,今日總結!$A:$AJ,34,0),"")</f>
        <v/>
      </c>
      <c r="N692" s="240" t="str">
        <f t="shared" si="137"/>
        <v/>
      </c>
      <c r="P692" s="365">
        <f>IFERROR(VLOOKUP($G692,融外自投!$A:$J,7,0),"無")</f>
        <v>808</v>
      </c>
      <c r="Q692" s="79">
        <f>IFERROR(VLOOKUP($G692,融外自投!$A:$J,9,0),"無")</f>
        <v>229</v>
      </c>
      <c r="R692" s="346">
        <f>IFERROR(VLOOKUP($G692,融外自投!$A:$J,8,0),"無")</f>
        <v>114</v>
      </c>
      <c r="S692" s="81">
        <f>IFERROR(VLOOKUP($G692,融外自投!$A:$J,10,0),"無")</f>
        <v>217</v>
      </c>
      <c r="T692" s="327">
        <f>IFERROR(VLOOKUP($G692,'321買'!$A:$E,5,0),"'沒有資料'")</f>
        <v>318</v>
      </c>
      <c r="U692" s="186">
        <f>IFERROR(VLOOKUP($G692,基本資料!$A:$J,9,0),"無")</f>
        <v>4.3</v>
      </c>
      <c r="V692" s="310">
        <f t="shared" si="135"/>
        <v>9.3784078516902944E-2</v>
      </c>
      <c r="W692" s="94">
        <f>IFERROR(VLOOKUP($G692,基本資料!$A:$J,10,0),"無")</f>
        <v>6.96</v>
      </c>
      <c r="X692" s="36">
        <f>RTD("money.excel",,"8150","Price")</f>
        <v>45.85</v>
      </c>
      <c r="Y692" s="66"/>
      <c r="Z692" s="15">
        <f t="shared" si="138"/>
        <v>45.85</v>
      </c>
      <c r="AA692" s="3" t="e">
        <f t="shared" si="139"/>
        <v>#DIV/0!</v>
      </c>
      <c r="AB692" s="344">
        <f>IFERROR(VLOOKUP($G692,基本資料!$A:$M,11,0),"無")</f>
        <v>-24.51</v>
      </c>
      <c r="AC692" s="397">
        <f>IFERROR(VLOOKUP($G692,基本資料!$A:$M,12,0),"無")</f>
        <v>27.97</v>
      </c>
      <c r="AD692" s="22" t="s">
        <v>276</v>
      </c>
      <c r="AG692" s="33">
        <f t="shared" si="140"/>
        <v>0</v>
      </c>
      <c r="AH692" s="117" t="s">
        <v>2298</v>
      </c>
      <c r="AI692" s="63">
        <f t="shared" si="150"/>
        <v>4.6342134213421338E-3</v>
      </c>
      <c r="AJ692" s="284">
        <f>RTD("money.excel",,$G692,"PredictVolume")</f>
        <v>3370</v>
      </c>
      <c r="AK692" s="399">
        <f>IFERROR(VLOOKUP($G692,基本資料!$A:$M,13,0),"無")</f>
        <v>11.26</v>
      </c>
    </row>
    <row r="693" spans="1:37">
      <c r="A693" s="347">
        <f>IFERROR(VLOOKUP($G693,基本資料!$A:$J,3,0),"無")</f>
        <v>8.1300000000000008</v>
      </c>
      <c r="B693" s="79">
        <f>IFERROR(VLOOKUP($G693,基本資料!$A:$J,4,0),"無")</f>
        <v>231</v>
      </c>
      <c r="C693" s="79">
        <f>IFERROR(VLOOKUP($G693,基本資料!$A:$J,5,0),"無")</f>
        <v>245</v>
      </c>
      <c r="D693" s="79">
        <f>IFERROR(VLOOKUP($G693,基本資料!$A:$J,6,0),"無")</f>
        <v>-18</v>
      </c>
      <c r="E693" s="79">
        <f>IFERROR(VLOOKUP($G693,基本資料!$A:$J,7,0),"無")</f>
        <v>5</v>
      </c>
      <c r="F693" s="6">
        <f>IFERROR(VLOOKUP($G693,基本資料!$A:$J,8,0),"無")</f>
        <v>19.72</v>
      </c>
      <c r="G693" s="79">
        <v>8261</v>
      </c>
      <c r="H693" s="8" t="s">
        <v>3039</v>
      </c>
      <c r="I693" s="22" t="s">
        <v>322</v>
      </c>
      <c r="J693" s="8">
        <f>IFERROR(VLOOKUP($G693,今日總結!$A:$AJ,35,0),"")</f>
        <v>4</v>
      </c>
      <c r="K693" s="5">
        <f>IFERROR(VLOOKUP($G693,今日總結!$A:$AJ,36,0),"")</f>
        <v>0</v>
      </c>
      <c r="L693" s="156">
        <f>IFERROR(VLOOKUP($G693,今日總結!$A:$AJ,33,0),"")</f>
        <v>1</v>
      </c>
      <c r="M693" s="340">
        <f>IFERROR(VLOOKUP($G693,今日總結!$A:$AJ,34,0),"")</f>
        <v>0</v>
      </c>
      <c r="N693" s="240">
        <f t="shared" si="137"/>
        <v>1</v>
      </c>
      <c r="P693" s="365">
        <f>IFERROR(VLOOKUP($G693,融外自投!$A:$J,7,0),"無")</f>
        <v>41</v>
      </c>
      <c r="Q693" s="79">
        <f>IFERROR(VLOOKUP($G693,融外自投!$A:$J,9,0),"無")</f>
        <v>114</v>
      </c>
      <c r="R693" s="346">
        <f>IFERROR(VLOOKUP($G693,融外自投!$A:$J,8,0),"無")</f>
        <v>415</v>
      </c>
      <c r="S693" s="81">
        <f>IFERROR(VLOOKUP($G693,融外自投!$A:$J,10,0),"無")</f>
        <v>491</v>
      </c>
      <c r="T693" s="327">
        <f>IFERROR(VLOOKUP($G693,'321買'!$A:$E,5,0),"'沒有資料'")</f>
        <v>153</v>
      </c>
      <c r="U693" s="186">
        <f>IFERROR(VLOOKUP($G693,基本資料!$A:$J,9,0),"無")</f>
        <v>6</v>
      </c>
      <c r="V693" s="310">
        <f t="shared" si="135"/>
        <v>5.5555555555555552E-2</v>
      </c>
      <c r="W693" s="94">
        <f>IFERROR(VLOOKUP($G693,基本資料!$A:$J,10,0),"無")</f>
        <v>8.0299999999999994</v>
      </c>
      <c r="X693" s="36">
        <f>RTD("money.excel",,"8261","Price")</f>
        <v>108</v>
      </c>
      <c r="Y693" s="66"/>
      <c r="Z693" s="15">
        <f t="shared" si="138"/>
        <v>108</v>
      </c>
      <c r="AA693" s="3" t="e">
        <f t="shared" si="139"/>
        <v>#DIV/0!</v>
      </c>
      <c r="AB693" s="344">
        <f>IFERROR(VLOOKUP($G693,基本資料!$A:$M,11,0),"無")</f>
        <v>-23.36</v>
      </c>
      <c r="AC693" s="397">
        <f>IFERROR(VLOOKUP($G693,基本資料!$A:$M,12,0),"無")</f>
        <v>44.21</v>
      </c>
      <c r="AD693" s="22" t="s">
        <v>322</v>
      </c>
      <c r="AG693" s="33">
        <f t="shared" si="140"/>
        <v>0</v>
      </c>
      <c r="AH693" s="43" t="s">
        <v>2176</v>
      </c>
      <c r="AI693" s="63">
        <f t="shared" si="150"/>
        <v>4.1955719557195563E-2</v>
      </c>
      <c r="AJ693" s="284">
        <f>RTD("money.excel",,$G693,"PredictVolume")</f>
        <v>3411</v>
      </c>
      <c r="AK693" s="399">
        <f>IFERROR(VLOOKUP($G693,基本資料!$A:$M,13,0),"無")</f>
        <v>53.24</v>
      </c>
    </row>
    <row r="694" spans="1:37">
      <c r="A694" s="347">
        <f>IFERROR(VLOOKUP($G694,基本資料!$A:$J,3,0),"無")</f>
        <v>10.18</v>
      </c>
      <c r="B694" s="79">
        <f>IFERROR(VLOOKUP($G694,基本資料!$A:$J,4,0),"無")</f>
        <v>67</v>
      </c>
      <c r="C694" s="79">
        <f>IFERROR(VLOOKUP($G694,基本資料!$A:$J,5,0),"無")</f>
        <v>65</v>
      </c>
      <c r="D694" s="79">
        <f>IFERROR(VLOOKUP($G694,基本資料!$A:$J,6,0),"無")</f>
        <v>-4</v>
      </c>
      <c r="E694" s="79">
        <f>IFERROR(VLOOKUP($G694,基本資料!$A:$J,7,0),"無")</f>
        <v>-7</v>
      </c>
      <c r="F694" s="6">
        <f>IFERROR(VLOOKUP($G694,基本資料!$A:$J,8,0),"無")</f>
        <v>6.6</v>
      </c>
      <c r="G694" s="79">
        <v>8271</v>
      </c>
      <c r="H694" s="8" t="s">
        <v>3039</v>
      </c>
      <c r="I694" s="22" t="s">
        <v>4071</v>
      </c>
      <c r="J694" s="8" t="str">
        <f>IFERROR(VLOOKUP($G694,今日總結!$A:$AJ,35,0),"")</f>
        <v/>
      </c>
      <c r="K694" s="5" t="str">
        <f>IFERROR(VLOOKUP($G694,今日總結!$A:$AJ,36,0),"")</f>
        <v/>
      </c>
      <c r="L694" s="156" t="str">
        <f>IFERROR(VLOOKUP($G694,今日總結!$A:$AJ,33,0),"")</f>
        <v/>
      </c>
      <c r="M694" s="340" t="str">
        <f>IFERROR(VLOOKUP($G694,今日總結!$A:$AJ,34,0),"")</f>
        <v/>
      </c>
      <c r="N694" s="240" t="str">
        <f t="shared" si="137"/>
        <v/>
      </c>
      <c r="P694" s="365">
        <f>IFERROR(VLOOKUP($G694,融外自投!$A:$J,7,0),"無")</f>
        <v>578</v>
      </c>
      <c r="Q694" s="79">
        <f>IFERROR(VLOOKUP($G694,融外自投!$A:$J,9,0),"無")</f>
        <v>734</v>
      </c>
      <c r="R694" s="346">
        <f>IFERROR(VLOOKUP($G694,融外自投!$A:$J,8,0),"無")</f>
        <v>948</v>
      </c>
      <c r="S694" s="81" t="str">
        <f>IFERROR(VLOOKUP($G694,融外自投!$A:$J,10,0),"無")</f>
        <v>無</v>
      </c>
      <c r="T694" s="327">
        <f>IFERROR(VLOOKUP($G694,'321買'!$A:$E,5,0),"'沒有資料'")</f>
        <v>503</v>
      </c>
      <c r="U694" s="186">
        <f>IFERROR(VLOOKUP($G694,基本資料!$A:$J,9,0),"無")</f>
        <v>2.89</v>
      </c>
      <c r="V694" s="310">
        <f t="shared" si="135"/>
        <v>6.8891537544696069E-2</v>
      </c>
      <c r="W694" s="94">
        <f>IFERROR(VLOOKUP($G694,基本資料!$A:$J,10,0),"無")</f>
        <v>4.8099999999999996</v>
      </c>
      <c r="X694" s="36">
        <f>RTD("money.excel",,"8271","Price")</f>
        <v>41.95</v>
      </c>
      <c r="Y694" s="66"/>
      <c r="Z694" s="15">
        <f t="shared" si="138"/>
        <v>41.95</v>
      </c>
      <c r="AA694" s="3" t="e">
        <f t="shared" si="139"/>
        <v>#DIV/0!</v>
      </c>
      <c r="AB694" s="344">
        <f>IFERROR(VLOOKUP($G694,基本資料!$A:$M,11,0),"無")</f>
        <v>-23.3</v>
      </c>
      <c r="AC694" s="397">
        <f>IFERROR(VLOOKUP($G694,基本資料!$A:$M,12,0),"無")</f>
        <v>20.83</v>
      </c>
      <c r="AD694" s="22" t="s">
        <v>4071</v>
      </c>
      <c r="AG694" s="33">
        <f t="shared" si="140"/>
        <v>0</v>
      </c>
      <c r="AH694" s="43" t="s">
        <v>1414</v>
      </c>
      <c r="AI694" s="63">
        <f t="shared" si="150"/>
        <v>2.24950884086444E-3</v>
      </c>
      <c r="AJ694" s="284">
        <f>RTD("money.excel",,$G694,"PredictVolume")</f>
        <v>229</v>
      </c>
      <c r="AK694" s="399">
        <f>IFERROR(VLOOKUP($G694,基本資料!$A:$M,13,0),"無")</f>
        <v>28.58</v>
      </c>
    </row>
    <row r="695" spans="1:37">
      <c r="A695" s="347">
        <f>IFERROR(VLOOKUP($G695,基本資料!$A:$J,3,0),"無")</f>
        <v>9.16</v>
      </c>
      <c r="B695" s="79">
        <f>IFERROR(VLOOKUP($G695,基本資料!$A:$J,4,0),"無")</f>
        <v>-17</v>
      </c>
      <c r="C695" s="79">
        <f>IFERROR(VLOOKUP($G695,基本資料!$A:$J,5,0),"無")</f>
        <v>-3</v>
      </c>
      <c r="D695" s="79">
        <f>IFERROR(VLOOKUP($G695,基本資料!$A:$J,6,0),"無")</f>
        <v>-16</v>
      </c>
      <c r="E695" s="79">
        <f>IFERROR(VLOOKUP($G695,基本資料!$A:$J,7,0),"無")</f>
        <v>-40</v>
      </c>
      <c r="F695" s="6">
        <f>IFERROR(VLOOKUP($G695,基本資料!$A:$J,8,0),"無")</f>
        <v>-21.02</v>
      </c>
      <c r="G695" s="79">
        <v>8277</v>
      </c>
      <c r="H695" s="192" t="s">
        <v>3039</v>
      </c>
      <c r="I695" s="16" t="s">
        <v>4072</v>
      </c>
      <c r="J695" s="8" t="str">
        <f>IFERROR(VLOOKUP($G695,今日總結!$A:$AJ,35,0),"")</f>
        <v/>
      </c>
      <c r="K695" s="5" t="str">
        <f>IFERROR(VLOOKUP($G695,今日總結!$A:$AJ,36,0),"")</f>
        <v/>
      </c>
      <c r="L695" s="156" t="str">
        <f>IFERROR(VLOOKUP($G695,今日總結!$A:$AJ,33,0),"")</f>
        <v/>
      </c>
      <c r="M695" s="340" t="str">
        <f>IFERROR(VLOOKUP($G695,今日總結!$A:$AJ,34,0),"")</f>
        <v/>
      </c>
      <c r="N695" s="240" t="str">
        <f t="shared" si="137"/>
        <v/>
      </c>
      <c r="P695" s="365" t="str">
        <f>IFERROR(VLOOKUP($G695,融外自投!$A:$J,7,0),"無")</f>
        <v>無</v>
      </c>
      <c r="Q695" s="79" t="str">
        <f>IFERROR(VLOOKUP($G695,融外自投!$A:$J,9,0),"無")</f>
        <v>無</v>
      </c>
      <c r="R695" s="346" t="str">
        <f>IFERROR(VLOOKUP($G695,融外自投!$A:$J,8,0),"無")</f>
        <v>無</v>
      </c>
      <c r="S695" s="81" t="str">
        <f>IFERROR(VLOOKUP($G695,融外自投!$A:$J,10,0),"無")</f>
        <v>無</v>
      </c>
      <c r="T695" s="327" t="str">
        <f>IFERROR(VLOOKUP($G695,'321買'!$A:$E,5,0),"'沒有資料'")</f>
        <v>'沒有資料'</v>
      </c>
      <c r="U695" s="186">
        <f>IFERROR(VLOOKUP($G695,基本資料!$A:$J,9,0),"無")</f>
        <v>0</v>
      </c>
      <c r="V695" s="310">
        <f t="shared" si="135"/>
        <v>0</v>
      </c>
      <c r="W695" s="94">
        <f>IFERROR(VLOOKUP($G695,基本資料!$A:$J,10,0),"無")</f>
        <v>-0.78</v>
      </c>
      <c r="X695" s="36">
        <f>RTD("money.excel",,"8277","Price")</f>
        <v>9.57</v>
      </c>
      <c r="Y695" s="66"/>
      <c r="Z695" s="15">
        <f t="shared" si="138"/>
        <v>9.57</v>
      </c>
      <c r="AA695" s="3" t="e">
        <f t="shared" si="139"/>
        <v>#DIV/0!</v>
      </c>
      <c r="AB695" s="344">
        <f>IFERROR(VLOOKUP($G695,基本資料!$A:$M,11,0),"無")</f>
        <v>-45.75</v>
      </c>
      <c r="AC695" s="397">
        <f>IFERROR(VLOOKUP($G695,基本資料!$A:$M,12,0),"無")</f>
        <v>6.18</v>
      </c>
      <c r="AD695" s="16" t="s">
        <v>4072</v>
      </c>
      <c r="AG695" s="33">
        <f t="shared" si="140"/>
        <v>0</v>
      </c>
      <c r="AH695" s="43" t="s">
        <v>1414</v>
      </c>
      <c r="AI695" s="63">
        <f t="shared" si="150"/>
        <v>9.3886462882096066E-4</v>
      </c>
      <c r="AJ695" s="284">
        <f>RTD("money.excel",,$G695,"PredictVolume")</f>
        <v>86</v>
      </c>
      <c r="AK695" s="399">
        <f>IFERROR(VLOOKUP($G695,基本資料!$A:$M,13,0),"無")</f>
        <v>12.18</v>
      </c>
    </row>
    <row r="696" spans="1:37">
      <c r="A696" s="347">
        <f>IFERROR(VLOOKUP($G696,基本資料!$A:$J,3,0),"無")</f>
        <v>19.7</v>
      </c>
      <c r="B696" s="79">
        <f>IFERROR(VLOOKUP($G696,基本資料!$A:$J,4,0),"無")</f>
        <v>-6</v>
      </c>
      <c r="C696" s="79">
        <f>IFERROR(VLOOKUP($G696,基本資料!$A:$J,5,0),"無")</f>
        <v>133</v>
      </c>
      <c r="D696" s="79">
        <f>IFERROR(VLOOKUP($G696,基本資料!$A:$J,6,0),"無")</f>
        <v>-7</v>
      </c>
      <c r="E696" s="79">
        <f>IFERROR(VLOOKUP($G696,基本資料!$A:$J,7,0),"無")</f>
        <v>15</v>
      </c>
      <c r="F696" s="6">
        <f>IFERROR(VLOOKUP($G696,基本資料!$A:$J,8,0),"無")</f>
        <v>14.52</v>
      </c>
      <c r="G696" s="79">
        <v>8299</v>
      </c>
      <c r="H696" s="192" t="s">
        <v>3039</v>
      </c>
      <c r="I696" s="16" t="s">
        <v>4073</v>
      </c>
      <c r="J696" s="8" t="str">
        <f>IFERROR(VLOOKUP($G696,今日總結!$A:$AJ,35,0),"")</f>
        <v/>
      </c>
      <c r="K696" s="5" t="str">
        <f>IFERROR(VLOOKUP($G696,今日總結!$A:$AJ,36,0),"")</f>
        <v/>
      </c>
      <c r="L696" s="156" t="str">
        <f>IFERROR(VLOOKUP($G696,今日總結!$A:$AJ,33,0),"")</f>
        <v/>
      </c>
      <c r="M696" s="340" t="str">
        <f>IFERROR(VLOOKUP($G696,今日總結!$A:$AJ,34,0),"")</f>
        <v/>
      </c>
      <c r="N696" s="240" t="str">
        <f t="shared" si="137"/>
        <v/>
      </c>
      <c r="P696" s="365">
        <f>IFERROR(VLOOKUP($G696,融外自投!$A:$J,7,0),"無")</f>
        <v>389</v>
      </c>
      <c r="Q696" s="79">
        <f>IFERROR(VLOOKUP($G696,融外自投!$A:$J,9,0),"無")</f>
        <v>107</v>
      </c>
      <c r="R696" s="346">
        <f>IFERROR(VLOOKUP($G696,融外自投!$A:$J,8,0),"無")</f>
        <v>132</v>
      </c>
      <c r="S696" s="81">
        <f>IFERROR(VLOOKUP($G696,融外自投!$A:$J,10,0),"無")</f>
        <v>78</v>
      </c>
      <c r="T696" s="327">
        <f>IFERROR(VLOOKUP($G696,'321買'!$A:$E,5,0),"'沒有資料'")</f>
        <v>217</v>
      </c>
      <c r="U696" s="186">
        <f>IFERROR(VLOOKUP($G696,基本資料!$A:$J,9,0),"無")</f>
        <v>23</v>
      </c>
      <c r="V696" s="310">
        <f t="shared" si="135"/>
        <v>6.1251664447403459E-2</v>
      </c>
      <c r="W696" s="94">
        <f>IFERROR(VLOOKUP($G696,基本資料!$A:$J,10,0),"無")</f>
        <v>41.34</v>
      </c>
      <c r="X696" s="36">
        <f>RTD("money.excel",,"8299","Price")</f>
        <v>375.5</v>
      </c>
      <c r="Y696" s="66"/>
      <c r="Z696" s="15">
        <f>X696-Y696</f>
        <v>375.5</v>
      </c>
      <c r="AA696" s="3" t="e">
        <f>Z696/Y696</f>
        <v>#DIV/0!</v>
      </c>
      <c r="AB696" s="344">
        <f>IFERROR(VLOOKUP($G696,基本資料!$A:$M,11,0),"無")</f>
        <v>-30.55</v>
      </c>
      <c r="AC696" s="397">
        <f>IFERROR(VLOOKUP($G696,基本資料!$A:$M,12,0),"無")</f>
        <v>12.86</v>
      </c>
      <c r="AD696" s="16" t="s">
        <v>4073</v>
      </c>
      <c r="AG696" s="33">
        <f>AF696-AE696</f>
        <v>0</v>
      </c>
      <c r="AH696" s="117" t="s">
        <v>2129</v>
      </c>
      <c r="AI696" s="63">
        <f t="shared" si="150"/>
        <v>9.5888324873096443E-3</v>
      </c>
      <c r="AJ696" s="284">
        <f>RTD("money.excel",,$G696,"PredictVolume")</f>
        <v>1889</v>
      </c>
      <c r="AK696" s="399">
        <f>IFERROR(VLOOKUP($G696,基本資料!$A:$M,13,0),"無")</f>
        <v>9.6300000000000008</v>
      </c>
    </row>
    <row r="697" spans="1:37">
      <c r="B697" s="79"/>
      <c r="C697" s="79"/>
      <c r="D697" s="80"/>
      <c r="E697" s="79"/>
      <c r="F697" s="57"/>
      <c r="G697" s="79"/>
      <c r="H697" s="192"/>
      <c r="I697" s="16"/>
      <c r="L697" s="2"/>
      <c r="S697" s="26"/>
      <c r="U697" s="66"/>
      <c r="W697" s="94"/>
      <c r="X697" s="36"/>
      <c r="Y697" s="66"/>
      <c r="Z697" s="15"/>
      <c r="AA697" s="3"/>
      <c r="AD697" s="16"/>
      <c r="AG697" s="33"/>
      <c r="AH697" s="117"/>
    </row>
    <row r="698" spans="1:37">
      <c r="A698" s="127" t="s">
        <v>1673</v>
      </c>
      <c r="B698" s="90" t="s">
        <v>1572</v>
      </c>
      <c r="C698" s="90" t="s">
        <v>1573</v>
      </c>
      <c r="D698" s="90" t="s">
        <v>1574</v>
      </c>
      <c r="E698" s="90" t="s">
        <v>1575</v>
      </c>
      <c r="F698" s="8" t="s">
        <v>1060</v>
      </c>
      <c r="G698" s="27" t="s">
        <v>4074</v>
      </c>
      <c r="H698" s="55" t="s">
        <v>320</v>
      </c>
      <c r="I698" s="8" t="s">
        <v>1146</v>
      </c>
      <c r="J698" s="8" t="s">
        <v>6221</v>
      </c>
      <c r="K698" s="5" t="s">
        <v>6222</v>
      </c>
      <c r="L698" s="337" t="s">
        <v>6206</v>
      </c>
      <c r="M698" s="338" t="s">
        <v>6207</v>
      </c>
      <c r="N698" s="339" t="s">
        <v>6208</v>
      </c>
      <c r="O698" s="4" t="s">
        <v>6713</v>
      </c>
      <c r="P698" s="89" t="s">
        <v>6285</v>
      </c>
      <c r="Q698" s="293" t="s">
        <v>6284</v>
      </c>
      <c r="R698" s="354" t="s">
        <v>6283</v>
      </c>
      <c r="S698" s="26" t="s">
        <v>6286</v>
      </c>
      <c r="T698" s="321" t="s">
        <v>4716</v>
      </c>
      <c r="U698" s="10" t="s">
        <v>66</v>
      </c>
      <c r="V698" s="308" t="s">
        <v>4731</v>
      </c>
      <c r="W698" s="68" t="s">
        <v>3273</v>
      </c>
      <c r="X698" s="28" t="s">
        <v>2</v>
      </c>
      <c r="Y698" s="17" t="s">
        <v>1399</v>
      </c>
      <c r="Z698" s="14" t="s">
        <v>5</v>
      </c>
      <c r="AA698" s="21" t="s">
        <v>3</v>
      </c>
      <c r="AB698" s="96" t="s">
        <v>6174</v>
      </c>
      <c r="AC698" s="384" t="s">
        <v>6420</v>
      </c>
      <c r="AD698" s="8" t="s">
        <v>1146</v>
      </c>
      <c r="AE698" s="71" t="s">
        <v>1400</v>
      </c>
      <c r="AF698" s="72" t="s">
        <v>1157</v>
      </c>
      <c r="AG698" s="32" t="s">
        <v>1158</v>
      </c>
      <c r="AH698" s="25" t="s">
        <v>6209</v>
      </c>
      <c r="AI698" s="8" t="s">
        <v>6731</v>
      </c>
      <c r="AJ698" s="50" t="s">
        <v>3361</v>
      </c>
      <c r="AK698" s="44" t="s">
        <v>6730</v>
      </c>
    </row>
    <row r="699" spans="1:37">
      <c r="A699" s="347">
        <f>IFERROR(VLOOKUP($G699,基本資料!$A:$J,3,0),"無")</f>
        <v>12.14</v>
      </c>
      <c r="B699" s="79">
        <f>IFERROR(VLOOKUP($G699,基本資料!$A:$J,4,0),"無")</f>
        <v>-18</v>
      </c>
      <c r="C699" s="79">
        <f>IFERROR(VLOOKUP($G699,基本資料!$A:$J,5,0),"無")</f>
        <v>-31</v>
      </c>
      <c r="D699" s="79">
        <f>IFERROR(VLOOKUP($G699,基本資料!$A:$J,6,0),"無")</f>
        <v>-30</v>
      </c>
      <c r="E699" s="79">
        <f>IFERROR(VLOOKUP($G699,基本資料!$A:$J,7,0),"無")</f>
        <v>56</v>
      </c>
      <c r="F699" s="6">
        <f>IFERROR(VLOOKUP($G699,基本資料!$A:$J,8,0),"無")</f>
        <v>8.56</v>
      </c>
      <c r="G699" s="79">
        <v>1569</v>
      </c>
      <c r="H699" s="192" t="s">
        <v>1146</v>
      </c>
      <c r="I699" s="16" t="s">
        <v>2201</v>
      </c>
      <c r="J699" s="8" t="str">
        <f>IFERROR(VLOOKUP($G699,今日總結!$A:$AJ,35,0),"")</f>
        <v/>
      </c>
      <c r="K699" s="5" t="str">
        <f>IFERROR(VLOOKUP($G699,今日總結!$A:$AJ,36,0),"")</f>
        <v/>
      </c>
      <c r="L699" s="156" t="str">
        <f>IFERROR(VLOOKUP($G699,今日總結!$A:$AJ,33,0),"")</f>
        <v/>
      </c>
      <c r="M699" s="340" t="str">
        <f>IFERROR(VLOOKUP($G699,今日總結!$A:$AJ,34,0),"")</f>
        <v/>
      </c>
      <c r="N699" s="240" t="str">
        <f t="shared" ref="N699" si="151">IFERROR(L699-M699,"")</f>
        <v/>
      </c>
      <c r="P699" s="365">
        <f>IFERROR(VLOOKUP($G699,融外自投!$A:$J,7,0),"無")</f>
        <v>412</v>
      </c>
      <c r="Q699" s="79">
        <f>IFERROR(VLOOKUP($G699,融外自投!$A:$J,9,0),"無")</f>
        <v>485</v>
      </c>
      <c r="R699" s="346">
        <f>IFERROR(VLOOKUP($G699,融外自投!$A:$J,8,0),"無")</f>
        <v>967</v>
      </c>
      <c r="S699" s="81">
        <f>IFERROR(VLOOKUP($G699,融外自投!$A:$J,10,0),"無")</f>
        <v>491</v>
      </c>
      <c r="T699" s="327">
        <f>IFERROR(VLOOKUP($G699,'321買'!$A:$E,5,0),"'沒有資料'")</f>
        <v>416</v>
      </c>
      <c r="U699" s="186">
        <f>IFERROR(VLOOKUP($G699,基本資料!$A:$J,9,0),"無")</f>
        <v>1.6</v>
      </c>
      <c r="V699" s="310">
        <f t="shared" ref="V699:V762" si="152">$U699/$X699</f>
        <v>5.9479553903345729E-2</v>
      </c>
      <c r="W699" s="94">
        <f>IFERROR(VLOOKUP($G699,基本資料!$A:$J,10,0),"無")</f>
        <v>2.62</v>
      </c>
      <c r="X699" s="36">
        <f>RTD("money.excel",,"1569","Price")</f>
        <v>26.9</v>
      </c>
      <c r="Y699" s="66"/>
      <c r="Z699" s="15">
        <f t="shared" ref="Z699:Z763" si="153">X699-Y699</f>
        <v>26.9</v>
      </c>
      <c r="AA699" s="3" t="e">
        <f t="shared" ref="AA699:AA763" si="154">Z699/Y699</f>
        <v>#DIV/0!</v>
      </c>
      <c r="AB699" s="344">
        <f>IFERROR(VLOOKUP($G699,基本資料!$A:$M,11,0),"無")</f>
        <v>-21.93</v>
      </c>
      <c r="AC699" s="397">
        <f>IFERROR(VLOOKUP($G699,基本資料!$A:$M,12,0),"無")</f>
        <v>51.29</v>
      </c>
      <c r="AD699" s="16" t="s">
        <v>2201</v>
      </c>
      <c r="AG699" s="33">
        <f t="shared" ref="AG699:AG763" si="155">AF699-AE699</f>
        <v>0</v>
      </c>
      <c r="AH699" s="43" t="s">
        <v>2436</v>
      </c>
      <c r="AI699" s="63">
        <f t="shared" ref="AI699:AI730" si="156">AJ699/(A699*10000)</f>
        <v>8.9373970345963758E-3</v>
      </c>
      <c r="AJ699" s="284">
        <f>RTD("money.excel",,$G699,"PredictVolume")</f>
        <v>1085</v>
      </c>
      <c r="AK699" s="399">
        <f>IFERROR(VLOOKUP($G699,基本資料!$A:$M,13,0),"無")</f>
        <v>20.29</v>
      </c>
    </row>
    <row r="700" spans="1:37">
      <c r="A700" s="347">
        <f>IFERROR(VLOOKUP($G700,基本資料!$A:$J,3,0),"無")</f>
        <v>235</v>
      </c>
      <c r="B700" s="79">
        <f>IFERROR(VLOOKUP($G700,基本資料!$A:$J,4,0),"無")</f>
        <v>41</v>
      </c>
      <c r="C700" s="79">
        <f>IFERROR(VLOOKUP($G700,基本資料!$A:$J,5,0),"無")</f>
        <v>27</v>
      </c>
      <c r="D700" s="79">
        <f>IFERROR(VLOOKUP($G700,基本資料!$A:$J,6,0),"無")</f>
        <v>-9</v>
      </c>
      <c r="E700" s="79">
        <f>IFERROR(VLOOKUP($G700,基本資料!$A:$J,7,0),"無")</f>
        <v>0</v>
      </c>
      <c r="F700" s="6">
        <f>IFERROR(VLOOKUP($G700,基本資料!$A:$J,8,0),"無")</f>
        <v>7.91</v>
      </c>
      <c r="G700" s="79">
        <v>2301</v>
      </c>
      <c r="H700" s="192" t="s">
        <v>1146</v>
      </c>
      <c r="I700" s="22" t="s">
        <v>4075</v>
      </c>
      <c r="J700" s="8" t="str">
        <f>IFERROR(VLOOKUP($G700,今日總結!$A:$AJ,35,0),"")</f>
        <v>自投</v>
      </c>
      <c r="K700" s="5" t="str">
        <f>IFERROR(VLOOKUP($G700,今日總結!$A:$AJ,36,0),"")</f>
        <v>借</v>
      </c>
      <c r="L700" s="156">
        <f>IFERROR(VLOOKUP($G700,今日總結!$A:$AJ,33,0),"")</f>
        <v>2</v>
      </c>
      <c r="M700" s="340">
        <f>IFERROR(VLOOKUP($G700,今日總結!$A:$AJ,34,0),"")</f>
        <v>1</v>
      </c>
      <c r="N700" s="240">
        <f t="shared" ref="N700:N763" si="157">IFERROR(L700-M700,"")</f>
        <v>1</v>
      </c>
      <c r="P700" s="365">
        <f>IFERROR(VLOOKUP($G700,融外自投!$A:$J,7,0),"無")</f>
        <v>1406</v>
      </c>
      <c r="Q700" s="79">
        <f>IFERROR(VLOOKUP($G700,融外自投!$A:$J,9,0),"無")</f>
        <v>35</v>
      </c>
      <c r="R700" s="346">
        <f>IFERROR(VLOOKUP($G700,融外自投!$A:$J,8,0),"無")</f>
        <v>87</v>
      </c>
      <c r="S700" s="81">
        <f>IFERROR(VLOOKUP($G700,融外自投!$A:$J,10,0),"無")</f>
        <v>33</v>
      </c>
      <c r="T700" s="327">
        <f>IFERROR(VLOOKUP($G700,'321買'!$A:$E,5,0),"'沒有資料'")</f>
        <v>8</v>
      </c>
      <c r="U700" s="186">
        <f>IFERROR(VLOOKUP($G700,基本資料!$A:$J,9,0),"無")</f>
        <v>4.5</v>
      </c>
      <c r="V700" s="310">
        <f t="shared" si="152"/>
        <v>7.0532915360501575E-2</v>
      </c>
      <c r="W700" s="94">
        <f>IFERROR(VLOOKUP($G700,基本資料!$A:$J,10,0),"無")</f>
        <v>6.01</v>
      </c>
      <c r="X700" s="36">
        <f>RTD("money.excel",,"2301","Price")</f>
        <v>63.8</v>
      </c>
      <c r="Y700" s="66"/>
      <c r="Z700" s="15">
        <f t="shared" si="153"/>
        <v>63.8</v>
      </c>
      <c r="AA700" s="3" t="e">
        <f t="shared" si="154"/>
        <v>#DIV/0!</v>
      </c>
      <c r="AB700" s="344">
        <f>IFERROR(VLOOKUP($G700,基本資料!$A:$M,11,0),"無")</f>
        <v>-10.52</v>
      </c>
      <c r="AC700" s="397">
        <f>IFERROR(VLOOKUP($G700,基本資料!$A:$M,12,0),"無")</f>
        <v>23.97</v>
      </c>
      <c r="AD700" s="22" t="s">
        <v>4075</v>
      </c>
      <c r="AG700" s="33">
        <f t="shared" si="155"/>
        <v>0</v>
      </c>
      <c r="AH700" s="117" t="s">
        <v>2708</v>
      </c>
      <c r="AI700" s="63">
        <f t="shared" si="156"/>
        <v>2.1685106382978723E-3</v>
      </c>
      <c r="AJ700" s="284">
        <f>RTD("money.excel",,$G700,"PredictVolume")</f>
        <v>5096</v>
      </c>
      <c r="AK700" s="399">
        <f>IFERROR(VLOOKUP($G700,基本資料!$A:$M,13,0),"無")</f>
        <v>1.3</v>
      </c>
    </row>
    <row r="701" spans="1:37">
      <c r="A701" s="347">
        <f>IFERROR(VLOOKUP($G701,基本資料!$A:$J,3,0),"無")</f>
        <v>20.56</v>
      </c>
      <c r="B701" s="79">
        <f>IFERROR(VLOOKUP($G701,基本資料!$A:$J,4,0),"無")</f>
        <v>-7</v>
      </c>
      <c r="C701" s="79">
        <f>IFERROR(VLOOKUP($G701,基本資料!$A:$J,5,0),"無")</f>
        <v>7</v>
      </c>
      <c r="D701" s="79">
        <f>IFERROR(VLOOKUP($G701,基本資料!$A:$J,6,0),"無")</f>
        <v>-47</v>
      </c>
      <c r="E701" s="79">
        <f>IFERROR(VLOOKUP($G701,基本資料!$A:$J,7,0),"無")</f>
        <v>-53</v>
      </c>
      <c r="F701" s="6">
        <f>IFERROR(VLOOKUP($G701,基本資料!$A:$J,8,0),"無")</f>
        <v>-10.06</v>
      </c>
      <c r="G701" s="79">
        <v>2305</v>
      </c>
      <c r="H701" s="192" t="s">
        <v>1146</v>
      </c>
      <c r="I701" s="22" t="s">
        <v>455</v>
      </c>
      <c r="J701" s="8" t="str">
        <f>IFERROR(VLOOKUP($G701,今日總結!$A:$AJ,35,0),"")</f>
        <v>融主</v>
      </c>
      <c r="K701" s="5">
        <f>IFERROR(VLOOKUP($G701,今日總結!$A:$AJ,36,0),"")</f>
        <v>0</v>
      </c>
      <c r="L701" s="156">
        <f>IFERROR(VLOOKUP($G701,今日總結!$A:$AJ,33,0),"")</f>
        <v>2</v>
      </c>
      <c r="M701" s="340">
        <f>IFERROR(VLOOKUP($G701,今日總結!$A:$AJ,34,0),"")</f>
        <v>0</v>
      </c>
      <c r="N701" s="240">
        <f t="shared" si="157"/>
        <v>2</v>
      </c>
      <c r="P701" s="365">
        <f>IFERROR(VLOOKUP($G701,融外自投!$A:$J,7,0),"無")</f>
        <v>232</v>
      </c>
      <c r="Q701" s="79">
        <f>IFERROR(VLOOKUP($G701,融外自投!$A:$J,9,0),"無")</f>
        <v>789</v>
      </c>
      <c r="R701" s="346">
        <f>IFERROR(VLOOKUP($G701,融外自投!$A:$J,8,0),"無")</f>
        <v>703</v>
      </c>
      <c r="S701" s="81" t="str">
        <f>IFERROR(VLOOKUP($G701,融外自投!$A:$J,10,0),"無")</f>
        <v>無</v>
      </c>
      <c r="T701" s="327">
        <f>IFERROR(VLOOKUP($G701,'321買'!$A:$E,5,0),"'沒有資料'")</f>
        <v>445</v>
      </c>
      <c r="U701" s="186">
        <f>IFERROR(VLOOKUP($G701,基本資料!$A:$J,9,0),"無")</f>
        <v>0</v>
      </c>
      <c r="V701" s="310">
        <f t="shared" si="152"/>
        <v>0</v>
      </c>
      <c r="W701" s="94">
        <f>IFERROR(VLOOKUP($G701,基本資料!$A:$J,10,0),"無")</f>
        <v>0.06</v>
      </c>
      <c r="X701" s="36">
        <f>RTD("money.excel",,"2305","Price")</f>
        <v>10.25</v>
      </c>
      <c r="Y701" s="66"/>
      <c r="Z701" s="15">
        <f t="shared" si="153"/>
        <v>10.25</v>
      </c>
      <c r="AA701" s="3" t="e">
        <f t="shared" si="154"/>
        <v>#DIV/0!</v>
      </c>
      <c r="AB701" s="344">
        <f>IFERROR(VLOOKUP($G701,基本資料!$A:$M,11,0),"無")</f>
        <v>-20.56</v>
      </c>
      <c r="AC701" s="397">
        <f>IFERROR(VLOOKUP($G701,基本資料!$A:$M,12,0),"無")</f>
        <v>53</v>
      </c>
      <c r="AD701" s="22" t="s">
        <v>455</v>
      </c>
      <c r="AG701" s="33">
        <f t="shared" si="155"/>
        <v>0</v>
      </c>
      <c r="AH701" s="43" t="s">
        <v>2709</v>
      </c>
      <c r="AI701" s="63">
        <f t="shared" si="156"/>
        <v>9.9708171206225674E-3</v>
      </c>
      <c r="AJ701" s="284">
        <f>RTD("money.excel",,$G701,"PredictVolume")</f>
        <v>2050</v>
      </c>
      <c r="AK701" s="399">
        <f>IFERROR(VLOOKUP($G701,基本資料!$A:$M,13,0),"無")</f>
        <v>34.340000000000003</v>
      </c>
    </row>
    <row r="702" spans="1:37">
      <c r="A702" s="347">
        <f>IFERROR(VLOOKUP($G702,基本資料!$A:$J,3,0),"無")</f>
        <v>440</v>
      </c>
      <c r="B702" s="79">
        <f>IFERROR(VLOOKUP($G702,基本資料!$A:$J,4,0),"無")</f>
        <v>32</v>
      </c>
      <c r="C702" s="79">
        <f>IFERROR(VLOOKUP($G702,基本資料!$A:$J,5,0),"無")</f>
        <v>16</v>
      </c>
      <c r="D702" s="79">
        <f>IFERROR(VLOOKUP($G702,基本資料!$A:$J,6,0),"無")</f>
        <v>-47</v>
      </c>
      <c r="E702" s="79">
        <f>IFERROR(VLOOKUP($G702,基本資料!$A:$J,7,0),"無")</f>
        <v>-39</v>
      </c>
      <c r="F702" s="6">
        <f>IFERROR(VLOOKUP($G702,基本資料!$A:$J,8,0),"無")</f>
        <v>1.08</v>
      </c>
      <c r="G702" s="79">
        <v>2324</v>
      </c>
      <c r="H702" s="192" t="s">
        <v>1146</v>
      </c>
      <c r="I702" s="22" t="s">
        <v>17</v>
      </c>
      <c r="J702" s="8">
        <f>IFERROR(VLOOKUP($G702,今日總結!$A:$AJ,35,0),"")</f>
        <v>0</v>
      </c>
      <c r="K702" s="5" t="str">
        <f>IFERROR(VLOOKUP($G702,今日總結!$A:$AJ,36,0),"")</f>
        <v>融</v>
      </c>
      <c r="L702" s="156">
        <f>IFERROR(VLOOKUP($G702,今日總結!$A:$AJ,33,0),"")</f>
        <v>0</v>
      </c>
      <c r="M702" s="340">
        <f>IFERROR(VLOOKUP($G702,今日總結!$A:$AJ,34,0),"")</f>
        <v>1</v>
      </c>
      <c r="N702" s="240">
        <f t="shared" si="157"/>
        <v>-1</v>
      </c>
      <c r="P702" s="365">
        <f>IFERROR(VLOOKUP($G702,融外自投!$A:$J,7,0),"無")</f>
        <v>1305</v>
      </c>
      <c r="Q702" s="79">
        <f>IFERROR(VLOOKUP($G702,融外自投!$A:$J,9,0),"無")</f>
        <v>26</v>
      </c>
      <c r="R702" s="346">
        <f>IFERROR(VLOOKUP($G702,融外自投!$A:$J,8,0),"無")</f>
        <v>111</v>
      </c>
      <c r="S702" s="81">
        <f>IFERROR(VLOOKUP($G702,融外自投!$A:$J,10,0),"無")</f>
        <v>15</v>
      </c>
      <c r="T702" s="327">
        <f>IFERROR(VLOOKUP($G702,'321買'!$A:$E,5,0),"'沒有資料'")</f>
        <v>7</v>
      </c>
      <c r="U702" s="186">
        <f>IFERROR(VLOOKUP($G702,基本資料!$A:$J,9,0),"無")</f>
        <v>2</v>
      </c>
      <c r="V702" s="310">
        <f t="shared" si="152"/>
        <v>8.6956521739130432E-2</v>
      </c>
      <c r="W702" s="94">
        <f>IFERROR(VLOOKUP($G702,基本資料!$A:$J,10,0),"無")</f>
        <v>2.9</v>
      </c>
      <c r="X702" s="36">
        <f>RTD("money.excel",,"2324","Price")</f>
        <v>23</v>
      </c>
      <c r="Y702" s="66"/>
      <c r="Z702" s="15">
        <f t="shared" si="153"/>
        <v>23</v>
      </c>
      <c r="AA702" s="3" t="e">
        <f t="shared" si="154"/>
        <v>#DIV/0!</v>
      </c>
      <c r="AB702" s="344">
        <f>IFERROR(VLOOKUP($G702,基本資料!$A:$M,11,0),"無")</f>
        <v>-16.73</v>
      </c>
      <c r="AC702" s="397">
        <f>IFERROR(VLOOKUP($G702,基本資料!$A:$M,12,0),"無")</f>
        <v>22.07</v>
      </c>
      <c r="AD702" s="22" t="s">
        <v>17</v>
      </c>
      <c r="AG702" s="33">
        <f t="shared" si="155"/>
        <v>0</v>
      </c>
      <c r="AH702" s="117" t="s">
        <v>2710</v>
      </c>
      <c r="AI702" s="63">
        <f t="shared" si="156"/>
        <v>3.8052272727272726E-3</v>
      </c>
      <c r="AJ702" s="284">
        <f>RTD("money.excel",,$G702,"PredictVolume")</f>
        <v>16743</v>
      </c>
      <c r="AK702" s="399">
        <f>IFERROR(VLOOKUP($G702,基本資料!$A:$M,13,0),"無")</f>
        <v>2.4</v>
      </c>
    </row>
    <row r="703" spans="1:37">
      <c r="A703" s="347">
        <f>IFERROR(VLOOKUP($G703,基本資料!$A:$J,3,0),"無")</f>
        <v>55.74</v>
      </c>
      <c r="B703" s="79">
        <f>IFERROR(VLOOKUP($G703,基本資料!$A:$J,4,0),"無")</f>
        <v>41</v>
      </c>
      <c r="C703" s="79">
        <f>IFERROR(VLOOKUP($G703,基本資料!$A:$J,5,0),"無")</f>
        <v>-739</v>
      </c>
      <c r="D703" s="79">
        <f>IFERROR(VLOOKUP($G703,基本資料!$A:$J,6,0),"無")</f>
        <v>7</v>
      </c>
      <c r="E703" s="79">
        <f>IFERROR(VLOOKUP($G703,基本資料!$A:$J,7,0),"無")</f>
        <v>33</v>
      </c>
      <c r="F703" s="6">
        <f>IFERROR(VLOOKUP($G703,基本資料!$A:$J,8,0),"無")</f>
        <v>-0.81</v>
      </c>
      <c r="G703" s="79">
        <v>2331</v>
      </c>
      <c r="H703" s="192" t="s">
        <v>1146</v>
      </c>
      <c r="I703" s="22" t="s">
        <v>93</v>
      </c>
      <c r="J703" s="8" t="str">
        <f>IFERROR(VLOOKUP($G703,今日總結!$A:$AJ,35,0),"")</f>
        <v/>
      </c>
      <c r="K703" s="5" t="str">
        <f>IFERROR(VLOOKUP($G703,今日總結!$A:$AJ,36,0),"")</f>
        <v/>
      </c>
      <c r="L703" s="156" t="str">
        <f>IFERROR(VLOOKUP($G703,今日總結!$A:$AJ,33,0),"")</f>
        <v/>
      </c>
      <c r="M703" s="340" t="str">
        <f>IFERROR(VLOOKUP($G703,今日總結!$A:$AJ,34,0),"")</f>
        <v/>
      </c>
      <c r="N703" s="240" t="str">
        <f t="shared" si="157"/>
        <v/>
      </c>
      <c r="P703" s="365">
        <f>IFERROR(VLOOKUP($G703,融外自投!$A:$J,7,0),"無")</f>
        <v>271</v>
      </c>
      <c r="Q703" s="79">
        <f>IFERROR(VLOOKUP($G703,融外自投!$A:$J,9,0),"無")</f>
        <v>149</v>
      </c>
      <c r="R703" s="346">
        <f>IFERROR(VLOOKUP($G703,融外自投!$A:$J,8,0),"無")</f>
        <v>722</v>
      </c>
      <c r="S703" s="81" t="str">
        <f>IFERROR(VLOOKUP($G703,融外自投!$A:$J,10,0),"無")</f>
        <v>無</v>
      </c>
      <c r="T703" s="327">
        <f>IFERROR(VLOOKUP($G703,'321買'!$A:$E,5,0),"'沒有資料'")</f>
        <v>664</v>
      </c>
      <c r="U703" s="186">
        <f>IFERROR(VLOOKUP($G703,基本資料!$A:$J,9,0),"無")</f>
        <v>0</v>
      </c>
      <c r="V703" s="310">
        <f t="shared" si="152"/>
        <v>0</v>
      </c>
      <c r="W703" s="94">
        <f>IFERROR(VLOOKUP($G703,基本資料!$A:$J,10,0),"無")</f>
        <v>0.13</v>
      </c>
      <c r="X703" s="36">
        <f>RTD("money.excel",,"2331","Price")</f>
        <v>18.8</v>
      </c>
      <c r="Y703" s="66"/>
      <c r="Z703" s="15">
        <f t="shared" si="153"/>
        <v>18.8</v>
      </c>
      <c r="AA703" s="3" t="e">
        <f t="shared" si="154"/>
        <v>#DIV/0!</v>
      </c>
      <c r="AB703" s="344">
        <f>IFERROR(VLOOKUP($G703,基本資料!$A:$M,11,0),"無")</f>
        <v>-28.38</v>
      </c>
      <c r="AC703" s="397">
        <f>IFERROR(VLOOKUP($G703,基本資料!$A:$M,12,0),"無")</f>
        <v>27.31</v>
      </c>
      <c r="AD703" s="22" t="s">
        <v>93</v>
      </c>
      <c r="AG703" s="33">
        <f t="shared" si="155"/>
        <v>0</v>
      </c>
      <c r="AH703" s="117" t="s">
        <v>2711</v>
      </c>
      <c r="AI703" s="63">
        <f t="shared" si="156"/>
        <v>9.7057768209544309E-4</v>
      </c>
      <c r="AJ703" s="284">
        <f>RTD("money.excel",,$G703,"PredictVolume")</f>
        <v>541</v>
      </c>
      <c r="AK703" s="399">
        <f>IFERROR(VLOOKUP($G703,基本資料!$A:$M,13,0),"無")</f>
        <v>11.4</v>
      </c>
    </row>
    <row r="704" spans="1:37">
      <c r="A704" s="347">
        <f>IFERROR(VLOOKUP($G704,基本資料!$A:$J,3,0),"無")</f>
        <v>196</v>
      </c>
      <c r="B704" s="79">
        <f>IFERROR(VLOOKUP($G704,基本資料!$A:$J,4,0),"無")</f>
        <v>64</v>
      </c>
      <c r="C704" s="79">
        <f>IFERROR(VLOOKUP($G704,基本資料!$A:$J,5,0),"無")</f>
        <v>11</v>
      </c>
      <c r="D704" s="79">
        <f>IFERROR(VLOOKUP($G704,基本資料!$A:$J,6,0),"無")</f>
        <v>-12</v>
      </c>
      <c r="E704" s="79">
        <f>IFERROR(VLOOKUP($G704,基本資料!$A:$J,7,0),"無")</f>
        <v>12</v>
      </c>
      <c r="F704" s="6">
        <f>IFERROR(VLOOKUP($G704,基本資料!$A:$J,8,0),"無")</f>
        <v>3.26</v>
      </c>
      <c r="G704" s="79">
        <v>2352</v>
      </c>
      <c r="H704" s="192" t="s">
        <v>1146</v>
      </c>
      <c r="I704" s="22" t="s">
        <v>107</v>
      </c>
      <c r="J704" s="8" t="str">
        <f>IFERROR(VLOOKUP($G704,今日總結!$A:$AJ,35,0),"")</f>
        <v/>
      </c>
      <c r="K704" s="5" t="str">
        <f>IFERROR(VLOOKUP($G704,今日總結!$A:$AJ,36,0),"")</f>
        <v/>
      </c>
      <c r="L704" s="156" t="str">
        <f>IFERROR(VLOOKUP($G704,今日總結!$A:$AJ,33,0),"")</f>
        <v/>
      </c>
      <c r="M704" s="340" t="str">
        <f>IFERROR(VLOOKUP($G704,今日總結!$A:$AJ,34,0),"")</f>
        <v/>
      </c>
      <c r="N704" s="240" t="str">
        <f t="shared" si="157"/>
        <v/>
      </c>
      <c r="P704" s="365">
        <f>IFERROR(VLOOKUP($G704,融外自投!$A:$J,7,0),"無")</f>
        <v>1102</v>
      </c>
      <c r="Q704" s="79">
        <f>IFERROR(VLOOKUP($G704,融外自投!$A:$J,9,0),"無")</f>
        <v>95</v>
      </c>
      <c r="R704" s="346">
        <f>IFERROR(VLOOKUP($G704,融外自投!$A:$J,8,0),"無")</f>
        <v>294</v>
      </c>
      <c r="S704" s="81">
        <f>IFERROR(VLOOKUP($G704,融外自投!$A:$J,10,0),"無")</f>
        <v>324</v>
      </c>
      <c r="T704" s="327">
        <f>IFERROR(VLOOKUP($G704,'321買'!$A:$E,5,0),"'沒有資料'")</f>
        <v>248</v>
      </c>
      <c r="U704" s="186">
        <f>IFERROR(VLOOKUP($G704,基本資料!$A:$J,9,0),"無")</f>
        <v>2.5</v>
      </c>
      <c r="V704" s="310">
        <f t="shared" si="152"/>
        <v>8.9766606822262118E-2</v>
      </c>
      <c r="W704" s="94">
        <f>IFERROR(VLOOKUP($G704,基本資料!$A:$J,10,0),"無")</f>
        <v>4.22</v>
      </c>
      <c r="X704" s="36">
        <f>RTD("money.excel",,"2352","Price")</f>
        <v>27.85</v>
      </c>
      <c r="Y704" s="66"/>
      <c r="Z704" s="15">
        <f t="shared" si="153"/>
        <v>27.85</v>
      </c>
      <c r="AA704" s="3" t="e">
        <f t="shared" si="154"/>
        <v>#DIV/0!</v>
      </c>
      <c r="AB704" s="344">
        <f>IFERROR(VLOOKUP($G704,基本資料!$A:$M,11,0),"無")</f>
        <v>-16.23</v>
      </c>
      <c r="AC704" s="397">
        <f>IFERROR(VLOOKUP($G704,基本資料!$A:$M,12,0),"無")</f>
        <v>33.99</v>
      </c>
      <c r="AD704" s="22" t="s">
        <v>107</v>
      </c>
      <c r="AG704" s="33">
        <f t="shared" si="155"/>
        <v>0</v>
      </c>
      <c r="AH704" s="117" t="s">
        <v>2062</v>
      </c>
      <c r="AI704" s="63">
        <f t="shared" si="156"/>
        <v>4.4852040816326533E-3</v>
      </c>
      <c r="AJ704" s="284">
        <f>RTD("money.excel",,$G704,"PredictVolume")</f>
        <v>8791</v>
      </c>
      <c r="AK704" s="399">
        <f>IFERROR(VLOOKUP($G704,基本資料!$A:$M,13,0),"無")</f>
        <v>1.9</v>
      </c>
    </row>
    <row r="705" spans="1:39">
      <c r="A705" s="347">
        <f>IFERROR(VLOOKUP($G705,基本資料!$A:$J,3,0),"無")</f>
        <v>304</v>
      </c>
      <c r="B705" s="79">
        <f>IFERROR(VLOOKUP($G705,基本資料!$A:$J,4,0),"無")</f>
        <v>83</v>
      </c>
      <c r="C705" s="79">
        <f>IFERROR(VLOOKUP($G705,基本資料!$A:$J,5,0),"無")</f>
        <v>58</v>
      </c>
      <c r="D705" s="79">
        <f>IFERROR(VLOOKUP($G705,基本資料!$A:$J,6,0),"無")</f>
        <v>32</v>
      </c>
      <c r="E705" s="79">
        <f>IFERROR(VLOOKUP($G705,基本資料!$A:$J,7,0),"無")</f>
        <v>9</v>
      </c>
      <c r="F705" s="6">
        <f>IFERROR(VLOOKUP($G705,基本資料!$A:$J,8,0),"無")</f>
        <v>4.4400000000000004</v>
      </c>
      <c r="G705" s="79">
        <v>2353</v>
      </c>
      <c r="H705" s="192" t="s">
        <v>1146</v>
      </c>
      <c r="I705" s="22" t="s">
        <v>4076</v>
      </c>
      <c r="J705" s="8" t="str">
        <f>IFERROR(VLOOKUP($G705,今日總結!$A:$AJ,35,0),"")</f>
        <v>投</v>
      </c>
      <c r="K705" s="5">
        <f>IFERROR(VLOOKUP($G705,今日總結!$A:$AJ,36,0),"")</f>
        <v>0</v>
      </c>
      <c r="L705" s="156">
        <f>IFERROR(VLOOKUP($G705,今日總結!$A:$AJ,33,0),"")</f>
        <v>1</v>
      </c>
      <c r="M705" s="340">
        <f>IFERROR(VLOOKUP($G705,今日總結!$A:$AJ,34,0),"")</f>
        <v>1</v>
      </c>
      <c r="N705" s="240">
        <f t="shared" si="157"/>
        <v>0</v>
      </c>
      <c r="P705" s="365">
        <f>IFERROR(VLOOKUP($G705,融外自投!$A:$J,7,0),"無")</f>
        <v>1034</v>
      </c>
      <c r="Q705" s="79">
        <f>IFERROR(VLOOKUP($G705,融外自投!$A:$J,9,0),"無")</f>
        <v>155</v>
      </c>
      <c r="R705" s="346">
        <f>IFERROR(VLOOKUP($G705,融外自投!$A:$J,8,0),"無")</f>
        <v>155</v>
      </c>
      <c r="S705" s="81">
        <f>IFERROR(VLOOKUP($G705,融外自投!$A:$J,10,0),"無")</f>
        <v>68</v>
      </c>
      <c r="T705" s="327">
        <f>IFERROR(VLOOKUP($G705,'321買'!$A:$E,5,0),"'沒有資料'")</f>
        <v>35</v>
      </c>
      <c r="U705" s="186">
        <f>IFERROR(VLOOKUP($G705,基本資料!$A:$J,9,0),"無")</f>
        <v>2.2799999999999998</v>
      </c>
      <c r="V705" s="310">
        <f t="shared" si="152"/>
        <v>8.1283422459893034E-2</v>
      </c>
      <c r="W705" s="94">
        <f>IFERROR(VLOOKUP($G705,基本資料!$A:$J,10,0),"無")</f>
        <v>3.63</v>
      </c>
      <c r="X705" s="36">
        <f>RTD("money.excel",,"2353","Price")</f>
        <v>28.05</v>
      </c>
      <c r="Y705" s="66"/>
      <c r="Z705" s="15">
        <f t="shared" si="153"/>
        <v>28.05</v>
      </c>
      <c r="AA705" s="3" t="e">
        <f t="shared" si="154"/>
        <v>#DIV/0!</v>
      </c>
      <c r="AB705" s="344">
        <f>IFERROR(VLOOKUP($G705,基本資料!$A:$M,11,0),"無")</f>
        <v>-15.28</v>
      </c>
      <c r="AC705" s="397">
        <f>IFERROR(VLOOKUP($G705,基本資料!$A:$M,12,0),"無")</f>
        <v>32.32</v>
      </c>
      <c r="AD705" s="22" t="s">
        <v>4076</v>
      </c>
      <c r="AG705" s="33">
        <f t="shared" si="155"/>
        <v>0</v>
      </c>
      <c r="AH705" s="117" t="s">
        <v>2712</v>
      </c>
      <c r="AI705" s="63">
        <f t="shared" si="156"/>
        <v>4.7016447368421052E-3</v>
      </c>
      <c r="AJ705" s="284">
        <f>RTD("money.excel",,$G705,"PredictVolume")</f>
        <v>14293</v>
      </c>
      <c r="AK705" s="399">
        <f>IFERROR(VLOOKUP($G705,基本資料!$A:$M,13,0),"無")</f>
        <v>3.45</v>
      </c>
    </row>
    <row r="706" spans="1:39">
      <c r="A706" s="347">
        <f>IFERROR(VLOOKUP($G706,基本資料!$A:$J,3,0),"無")</f>
        <v>358</v>
      </c>
      <c r="B706" s="79">
        <f>IFERROR(VLOOKUP($G706,基本資料!$A:$J,4,0),"無")</f>
        <v>-9</v>
      </c>
      <c r="C706" s="79">
        <f>IFERROR(VLOOKUP($G706,基本資料!$A:$J,5,0),"無")</f>
        <v>6</v>
      </c>
      <c r="D706" s="79">
        <f>IFERROR(VLOOKUP($G706,基本資料!$A:$J,6,0),"無")</f>
        <v>-17</v>
      </c>
      <c r="E706" s="79">
        <f>IFERROR(VLOOKUP($G706,基本資料!$A:$J,7,0),"無")</f>
        <v>15</v>
      </c>
      <c r="F706" s="6">
        <f>IFERROR(VLOOKUP($G706,基本資料!$A:$J,8,0),"無")</f>
        <v>0.91</v>
      </c>
      <c r="G706" s="79">
        <v>2356</v>
      </c>
      <c r="H706" s="192" t="s">
        <v>1146</v>
      </c>
      <c r="I706" s="22" t="s">
        <v>20</v>
      </c>
      <c r="J706" s="8" t="str">
        <f>IFERROR(VLOOKUP($G706,今日總結!$A:$AJ,35,0),"")</f>
        <v>自投主</v>
      </c>
      <c r="K706" s="5">
        <f>IFERROR(VLOOKUP($G706,今日總結!$A:$AJ,36,0),"")</f>
        <v>0</v>
      </c>
      <c r="L706" s="156">
        <f>IFERROR(VLOOKUP($G706,今日總結!$A:$AJ,33,0),"")</f>
        <v>3</v>
      </c>
      <c r="M706" s="340">
        <f>IFERROR(VLOOKUP($G706,今日總結!$A:$AJ,34,0),"")</f>
        <v>0</v>
      </c>
      <c r="N706" s="240">
        <f t="shared" si="157"/>
        <v>3</v>
      </c>
      <c r="P706" s="365">
        <f>IFERROR(VLOOKUP($G706,融外自投!$A:$J,7,0),"無")</f>
        <v>1367</v>
      </c>
      <c r="Q706" s="79">
        <f>IFERROR(VLOOKUP($G706,融外自投!$A:$J,9,0),"無")</f>
        <v>32</v>
      </c>
      <c r="R706" s="346">
        <f>IFERROR(VLOOKUP($G706,融外自投!$A:$J,8,0),"無")</f>
        <v>226</v>
      </c>
      <c r="S706" s="81">
        <f>IFERROR(VLOOKUP($G706,融外自投!$A:$J,10,0),"無")</f>
        <v>23</v>
      </c>
      <c r="T706" s="327">
        <f>IFERROR(VLOOKUP($G706,'321買'!$A:$E,5,0),"'沒有資料'")</f>
        <v>5</v>
      </c>
      <c r="U706" s="186">
        <f>IFERROR(VLOOKUP($G706,基本資料!$A:$J,9,0),"無")</f>
        <v>1.4</v>
      </c>
      <c r="V706" s="310">
        <f t="shared" si="152"/>
        <v>5.4263565891472861E-2</v>
      </c>
      <c r="W706" s="94">
        <f>IFERROR(VLOOKUP($G706,基本資料!$A:$J,10,0),"無")</f>
        <v>1.82</v>
      </c>
      <c r="X706" s="36">
        <f>RTD("money.excel",,"2356","Price")</f>
        <v>25.8</v>
      </c>
      <c r="Y706" s="66"/>
      <c r="Z706" s="15">
        <f t="shared" si="153"/>
        <v>25.8</v>
      </c>
      <c r="AA706" s="3" t="e">
        <f t="shared" si="154"/>
        <v>#DIV/0!</v>
      </c>
      <c r="AB706" s="344">
        <f>IFERROR(VLOOKUP($G706,基本資料!$A:$M,11,0),"無")</f>
        <v>-6.34</v>
      </c>
      <c r="AC706" s="397">
        <f>IFERROR(VLOOKUP($G706,基本資料!$A:$M,12,0),"無")</f>
        <v>72.489999999999995</v>
      </c>
      <c r="AD706" s="22" t="s">
        <v>20</v>
      </c>
      <c r="AG706" s="33">
        <f t="shared" si="155"/>
        <v>0</v>
      </c>
      <c r="AH706" s="117" t="s">
        <v>1052</v>
      </c>
      <c r="AI706" s="63">
        <f t="shared" si="156"/>
        <v>2.3974860335195529E-3</v>
      </c>
      <c r="AJ706" s="284">
        <f>RTD("money.excel",,$G706,"PredictVolume")</f>
        <v>8583</v>
      </c>
      <c r="AK706" s="399">
        <f>IFERROR(VLOOKUP($G706,基本資料!$A:$M,13,0),"無")</f>
        <v>2.39</v>
      </c>
    </row>
    <row r="707" spans="1:39">
      <c r="A707" s="347">
        <f>IFERROR(VLOOKUP($G707,基本資料!$A:$J,3,0),"無")</f>
        <v>74.27</v>
      </c>
      <c r="B707" s="79">
        <f>IFERROR(VLOOKUP($G707,基本資料!$A:$J,4,0),"無")</f>
        <v>64</v>
      </c>
      <c r="C707" s="79">
        <f>IFERROR(VLOOKUP($G707,基本資料!$A:$J,5,0),"無")</f>
        <v>97</v>
      </c>
      <c r="D707" s="79">
        <f>IFERROR(VLOOKUP($G707,基本資料!$A:$J,6,0),"無")</f>
        <v>-39</v>
      </c>
      <c r="E707" s="79">
        <f>IFERROR(VLOOKUP($G707,基本資料!$A:$J,7,0),"無")</f>
        <v>-14</v>
      </c>
      <c r="F707" s="6">
        <f>IFERROR(VLOOKUP($G707,基本資料!$A:$J,8,0),"無")</f>
        <v>9.2200000000000006</v>
      </c>
      <c r="G707" s="79">
        <v>2357</v>
      </c>
      <c r="H707" s="192" t="s">
        <v>1146</v>
      </c>
      <c r="I707" s="22" t="s">
        <v>1825</v>
      </c>
      <c r="J707" s="8" t="str">
        <f>IFERROR(VLOOKUP($G707,今日總結!$A:$AJ,35,0),"")</f>
        <v>自投</v>
      </c>
      <c r="K707" s="5">
        <f>IFERROR(VLOOKUP($G707,今日總結!$A:$AJ,36,0),"")</f>
        <v>0</v>
      </c>
      <c r="L707" s="156">
        <f>IFERROR(VLOOKUP($G707,今日總結!$A:$AJ,33,0),"")</f>
        <v>2</v>
      </c>
      <c r="M707" s="340">
        <f>IFERROR(VLOOKUP($G707,今日總結!$A:$AJ,34,0),"")</f>
        <v>0</v>
      </c>
      <c r="N707" s="240">
        <f t="shared" si="157"/>
        <v>2</v>
      </c>
      <c r="P707" s="365">
        <f>IFERROR(VLOOKUP($G707,融外自投!$A:$J,7,0),"無")</f>
        <v>1201</v>
      </c>
      <c r="Q707" s="79">
        <f>IFERROR(VLOOKUP($G707,融外自投!$A:$J,9,0),"無")</f>
        <v>36</v>
      </c>
      <c r="R707" s="346">
        <f>IFERROR(VLOOKUP($G707,融外自投!$A:$J,8,0),"無")</f>
        <v>81</v>
      </c>
      <c r="S707" s="81">
        <f>IFERROR(VLOOKUP($G707,融外自投!$A:$J,10,0),"無")</f>
        <v>55</v>
      </c>
      <c r="T707" s="327">
        <f>IFERROR(VLOOKUP($G707,'321買'!$A:$E,5,0),"'沒有資料'")</f>
        <v>5</v>
      </c>
      <c r="U707" s="186">
        <f>IFERROR(VLOOKUP($G707,基本資料!$A:$J,9,0),"無")</f>
        <v>42</v>
      </c>
      <c r="V707" s="310">
        <f t="shared" si="152"/>
        <v>0.12017167381974249</v>
      </c>
      <c r="W707" s="94">
        <f>IFERROR(VLOOKUP($G707,基本資料!$A:$J,10,0),"無")</f>
        <v>59.98</v>
      </c>
      <c r="X707" s="36">
        <f>RTD("money.excel",,"2357","Price")</f>
        <v>349.5</v>
      </c>
      <c r="Y707" s="66"/>
      <c r="Z707" s="15">
        <f t="shared" si="153"/>
        <v>349.5</v>
      </c>
      <c r="AA707" s="3" t="e">
        <f t="shared" si="154"/>
        <v>#DIV/0!</v>
      </c>
      <c r="AB707" s="344">
        <f>IFERROR(VLOOKUP($G707,基本資料!$A:$M,11,0),"無")</f>
        <v>-8.7100000000000009</v>
      </c>
      <c r="AC707" s="397">
        <f>IFERROR(VLOOKUP($G707,基本資料!$A:$M,12,0),"無")</f>
        <v>29</v>
      </c>
      <c r="AD707" s="22" t="s">
        <v>1825</v>
      </c>
      <c r="AG707" s="33">
        <f t="shared" si="155"/>
        <v>0</v>
      </c>
      <c r="AH707" s="117" t="s">
        <v>2446</v>
      </c>
      <c r="AI707" s="63">
        <f t="shared" si="156"/>
        <v>2.7642385889322741E-3</v>
      </c>
      <c r="AJ707" s="284">
        <f>RTD("money.excel",,$G707,"PredictVolume")</f>
        <v>2053</v>
      </c>
      <c r="AK707" s="399">
        <f>IFERROR(VLOOKUP($G707,基本資料!$A:$M,13,0),"無")</f>
        <v>2.2599999999999998</v>
      </c>
    </row>
    <row r="708" spans="1:39">
      <c r="A708" s="347">
        <f>IFERROR(VLOOKUP($G708,基本資料!$A:$J,3,0),"無")</f>
        <v>64.22</v>
      </c>
      <c r="B708" s="79">
        <f>IFERROR(VLOOKUP($G708,基本資料!$A:$J,4,0),"無")</f>
        <v>169</v>
      </c>
      <c r="C708" s="79">
        <f>IFERROR(VLOOKUP($G708,基本資料!$A:$J,5,0),"無")</f>
        <v>41</v>
      </c>
      <c r="D708" s="79">
        <f>IFERROR(VLOOKUP($G708,基本資料!$A:$J,6,0),"無")</f>
        <v>5</v>
      </c>
      <c r="E708" s="79">
        <f>IFERROR(VLOOKUP($G708,基本資料!$A:$J,7,0),"無")</f>
        <v>17</v>
      </c>
      <c r="F708" s="6">
        <f>IFERROR(VLOOKUP($G708,基本資料!$A:$J,8,0),"無")</f>
        <v>7.74</v>
      </c>
      <c r="G708" s="79">
        <v>2362</v>
      </c>
      <c r="H708" s="192" t="s">
        <v>1146</v>
      </c>
      <c r="I708" s="22" t="s">
        <v>56</v>
      </c>
      <c r="J708" s="8">
        <f>IFERROR(VLOOKUP($G708,今日總結!$A:$AJ,35,0),"")</f>
        <v>0</v>
      </c>
      <c r="K708" s="5" t="str">
        <f>IFERROR(VLOOKUP($G708,今日總結!$A:$AJ,36,0),"")</f>
        <v>融</v>
      </c>
      <c r="L708" s="156">
        <f>IFERROR(VLOOKUP($G708,今日總結!$A:$AJ,33,0),"")</f>
        <v>0</v>
      </c>
      <c r="M708" s="340">
        <f>IFERROR(VLOOKUP($G708,今日總結!$A:$AJ,34,0),"")</f>
        <v>2</v>
      </c>
      <c r="N708" s="240">
        <f t="shared" si="157"/>
        <v>-2</v>
      </c>
      <c r="P708" s="365">
        <f>IFERROR(VLOOKUP($G708,融外自投!$A:$J,7,0),"無")</f>
        <v>1053</v>
      </c>
      <c r="Q708" s="79">
        <f>IFERROR(VLOOKUP($G708,融外自投!$A:$J,9,0),"無")</f>
        <v>789</v>
      </c>
      <c r="R708" s="346">
        <f>IFERROR(VLOOKUP($G708,融外自投!$A:$J,8,0),"無")</f>
        <v>478</v>
      </c>
      <c r="S708" s="81" t="str">
        <f>IFERROR(VLOOKUP($G708,融外自投!$A:$J,10,0),"無")</f>
        <v>無</v>
      </c>
      <c r="T708" s="327">
        <f>IFERROR(VLOOKUP($G708,'321買'!$A:$E,5,0),"'沒有資料'")</f>
        <v>869</v>
      </c>
      <c r="U708" s="186">
        <f>IFERROR(VLOOKUP($G708,基本資料!$A:$J,9,0),"無")</f>
        <v>2.1</v>
      </c>
      <c r="V708" s="310">
        <f t="shared" si="152"/>
        <v>6.6561014263074481E-2</v>
      </c>
      <c r="W708" s="94">
        <f>IFERROR(VLOOKUP($G708,基本資料!$A:$J,10,0),"無")</f>
        <v>3.03</v>
      </c>
      <c r="X708" s="36">
        <f>RTD("money.excel",,"2362","Price")</f>
        <v>31.55</v>
      </c>
      <c r="Y708" s="66"/>
      <c r="Z708" s="15">
        <f t="shared" si="153"/>
        <v>31.55</v>
      </c>
      <c r="AA708" s="3" t="e">
        <f t="shared" si="154"/>
        <v>#DIV/0!</v>
      </c>
      <c r="AB708" s="344">
        <f>IFERROR(VLOOKUP($G708,基本資料!$A:$M,11,0),"無")</f>
        <v>-9.67</v>
      </c>
      <c r="AC708" s="397">
        <f>IFERROR(VLOOKUP($G708,基本資料!$A:$M,12,0),"無")</f>
        <v>61.19</v>
      </c>
      <c r="AD708" s="22" t="s">
        <v>56</v>
      </c>
      <c r="AG708" s="33">
        <f t="shared" si="155"/>
        <v>0</v>
      </c>
      <c r="AH708" s="117" t="s">
        <v>2713</v>
      </c>
      <c r="AI708" s="63">
        <f t="shared" si="156"/>
        <v>1.4606041731547803E-3</v>
      </c>
      <c r="AJ708" s="284">
        <f>RTD("money.excel",,$G708,"PredictVolume")</f>
        <v>938</v>
      </c>
      <c r="AK708" s="399">
        <f>IFERROR(VLOOKUP($G708,基本資料!$A:$M,13,0),"無")</f>
        <v>1.07</v>
      </c>
    </row>
    <row r="709" spans="1:39">
      <c r="A709" s="347">
        <f>IFERROR(VLOOKUP($G709,基本資料!$A:$J,3,0),"無")</f>
        <v>2.4700000000000002</v>
      </c>
      <c r="B709" s="79">
        <f>IFERROR(VLOOKUP($G709,基本資料!$A:$J,4,0),"無")</f>
        <v>67</v>
      </c>
      <c r="C709" s="79">
        <f>IFERROR(VLOOKUP($G709,基本資料!$A:$J,5,0),"無")</f>
        <v>316</v>
      </c>
      <c r="D709" s="79">
        <f>IFERROR(VLOOKUP($G709,基本資料!$A:$J,6,0),"無")</f>
        <v>-3</v>
      </c>
      <c r="E709" s="79">
        <f>IFERROR(VLOOKUP($G709,基本資料!$A:$J,7,0),"無")</f>
        <v>-21</v>
      </c>
      <c r="F709" s="6">
        <f>IFERROR(VLOOKUP($G709,基本資料!$A:$J,8,0),"無")</f>
        <v>1.07</v>
      </c>
      <c r="G709" s="79">
        <v>2364</v>
      </c>
      <c r="H709" s="192" t="s">
        <v>1146</v>
      </c>
      <c r="I709" s="22" t="s">
        <v>456</v>
      </c>
      <c r="J709" s="8" t="str">
        <f>IFERROR(VLOOKUP($G709,今日總結!$A:$AJ,35,0),"")</f>
        <v/>
      </c>
      <c r="K709" s="5" t="str">
        <f>IFERROR(VLOOKUP($G709,今日總結!$A:$AJ,36,0),"")</f>
        <v/>
      </c>
      <c r="L709" s="156" t="str">
        <f>IFERROR(VLOOKUP($G709,今日總結!$A:$AJ,33,0),"")</f>
        <v/>
      </c>
      <c r="M709" s="340" t="str">
        <f>IFERROR(VLOOKUP($G709,今日總結!$A:$AJ,34,0),"")</f>
        <v/>
      </c>
      <c r="N709" s="240" t="str">
        <f t="shared" si="157"/>
        <v/>
      </c>
      <c r="P709" s="365" t="str">
        <f>IFERROR(VLOOKUP($G709,融外自投!$A:$J,7,0),"無")</f>
        <v>無</v>
      </c>
      <c r="Q709" s="79" t="str">
        <f>IFERROR(VLOOKUP($G709,融外自投!$A:$J,9,0),"無")</f>
        <v>無</v>
      </c>
      <c r="R709" s="346" t="str">
        <f>IFERROR(VLOOKUP($G709,融外自投!$A:$J,8,0),"無")</f>
        <v>無</v>
      </c>
      <c r="S709" s="81" t="str">
        <f>IFERROR(VLOOKUP($G709,融外自投!$A:$J,10,0),"無")</f>
        <v>無</v>
      </c>
      <c r="T709" s="327" t="str">
        <f>IFERROR(VLOOKUP($G709,'321買'!$A:$E,5,0),"'沒有資料'")</f>
        <v>'沒有資料'</v>
      </c>
      <c r="U709" s="186">
        <f>IFERROR(VLOOKUP($G709,基本資料!$A:$J,9,0),"無")</f>
        <v>1</v>
      </c>
      <c r="V709" s="310">
        <f t="shared" si="152"/>
        <v>5.2493438320209973E-2</v>
      </c>
      <c r="W709" s="94">
        <f>IFERROR(VLOOKUP($G709,基本資料!$A:$J,10,0),"無")</f>
        <v>1.1399999999999999</v>
      </c>
      <c r="X709" s="36">
        <f>RTD("money.excel",,"2364","Price")</f>
        <v>19.05</v>
      </c>
      <c r="Y709" s="66"/>
      <c r="Z709" s="15">
        <f t="shared" si="153"/>
        <v>19.05</v>
      </c>
      <c r="AA709" s="3" t="e">
        <f t="shared" si="154"/>
        <v>#DIV/0!</v>
      </c>
      <c r="AB709" s="344">
        <f>IFERROR(VLOOKUP($G709,基本資料!$A:$M,11,0),"無")</f>
        <v>-18.43</v>
      </c>
      <c r="AC709" s="397">
        <f>IFERROR(VLOOKUP($G709,基本資料!$A:$M,12,0),"無")</f>
        <v>32.82</v>
      </c>
      <c r="AD709" s="22" t="s">
        <v>456</v>
      </c>
      <c r="AG709" s="33">
        <f t="shared" si="155"/>
        <v>0</v>
      </c>
      <c r="AH709" s="43" t="s">
        <v>2714</v>
      </c>
      <c r="AI709" s="63">
        <f t="shared" si="156"/>
        <v>5.6680161943319833E-4</v>
      </c>
      <c r="AJ709" s="284">
        <f>RTD("money.excel",,$G709,"PredictVolume")</f>
        <v>14</v>
      </c>
      <c r="AK709" s="399">
        <f>IFERROR(VLOOKUP($G709,基本資料!$A:$M,13,0),"無")</f>
        <v>18.5</v>
      </c>
    </row>
    <row r="710" spans="1:39">
      <c r="A710" s="347">
        <f>IFERROR(VLOOKUP($G710,基本資料!$A:$J,3,0),"無")</f>
        <v>22.15</v>
      </c>
      <c r="B710" s="79">
        <f>IFERROR(VLOOKUP($G710,基本資料!$A:$J,4,0),"無")</f>
        <v>-65</v>
      </c>
      <c r="C710" s="79">
        <f>IFERROR(VLOOKUP($G710,基本資料!$A:$J,5,0),"無")</f>
        <v>-68</v>
      </c>
      <c r="D710" s="79">
        <f>IFERROR(VLOOKUP($G710,基本資料!$A:$J,6,0),"無")</f>
        <v>39</v>
      </c>
      <c r="E710" s="79">
        <f>IFERROR(VLOOKUP($G710,基本資料!$A:$J,7,0),"無")</f>
        <v>45</v>
      </c>
      <c r="F710" s="6">
        <f>IFERROR(VLOOKUP($G710,基本資料!$A:$J,8,0),"無")</f>
        <v>3.73</v>
      </c>
      <c r="G710" s="79">
        <v>2365</v>
      </c>
      <c r="H710" s="192" t="s">
        <v>1146</v>
      </c>
      <c r="I710" s="22" t="s">
        <v>4077</v>
      </c>
      <c r="J710" s="8" t="str">
        <f>IFERROR(VLOOKUP($G710,今日總結!$A:$AJ,35,0),"")</f>
        <v/>
      </c>
      <c r="K710" s="5" t="str">
        <f>IFERROR(VLOOKUP($G710,今日總結!$A:$AJ,36,0),"")</f>
        <v/>
      </c>
      <c r="L710" s="156" t="str">
        <f>IFERROR(VLOOKUP($G710,今日總結!$A:$AJ,33,0),"")</f>
        <v/>
      </c>
      <c r="M710" s="340" t="str">
        <f>IFERROR(VLOOKUP($G710,今日總結!$A:$AJ,34,0),"")</f>
        <v/>
      </c>
      <c r="N710" s="240" t="str">
        <f t="shared" si="157"/>
        <v/>
      </c>
      <c r="P710" s="365">
        <f>IFERROR(VLOOKUP($G710,融外自投!$A:$J,7,0),"無")</f>
        <v>638</v>
      </c>
      <c r="Q710" s="79">
        <f>IFERROR(VLOOKUP($G710,融外自投!$A:$J,9,0),"無")</f>
        <v>936</v>
      </c>
      <c r="R710" s="346">
        <f>IFERROR(VLOOKUP($G710,融外自投!$A:$J,8,0),"無")</f>
        <v>586</v>
      </c>
      <c r="S710" s="81" t="str">
        <f>IFERROR(VLOOKUP($G710,融外自投!$A:$J,10,0),"無")</f>
        <v>無</v>
      </c>
      <c r="T710" s="327">
        <f>IFERROR(VLOOKUP($G710,'321買'!$A:$E,5,0),"'沒有資料'")</f>
        <v>683</v>
      </c>
      <c r="U710" s="186">
        <f>IFERROR(VLOOKUP($G710,基本資料!$A:$J,9,0),"無")</f>
        <v>0.2</v>
      </c>
      <c r="V710" s="310">
        <f t="shared" si="152"/>
        <v>2.0060180541624874E-2</v>
      </c>
      <c r="W710" s="94">
        <f>IFERROR(VLOOKUP($G710,基本資料!$A:$J,10,0),"無")</f>
        <v>0.23</v>
      </c>
      <c r="X710" s="36">
        <f>RTD("money.excel",,"2365","Price")</f>
        <v>9.9700000000000006</v>
      </c>
      <c r="Y710" s="66"/>
      <c r="Z710" s="15">
        <f t="shared" si="153"/>
        <v>9.9700000000000006</v>
      </c>
      <c r="AA710" s="3" t="e">
        <f t="shared" si="154"/>
        <v>#DIV/0!</v>
      </c>
      <c r="AB710" s="344">
        <f>IFERROR(VLOOKUP($G710,基本資料!$A:$M,11,0),"無")</f>
        <v>-26.67</v>
      </c>
      <c r="AC710" s="397">
        <f>IFERROR(VLOOKUP($G710,基本資料!$A:$M,12,0),"無")</f>
        <v>12.6</v>
      </c>
      <c r="AD710" s="22" t="s">
        <v>4077</v>
      </c>
      <c r="AG710" s="33">
        <f t="shared" si="155"/>
        <v>0</v>
      </c>
      <c r="AH710" s="43" t="s">
        <v>2715</v>
      </c>
      <c r="AI710" s="63">
        <f t="shared" si="156"/>
        <v>3.7020316027088038E-4</v>
      </c>
      <c r="AJ710" s="284">
        <f>RTD("money.excel",,$G710,"PredictVolume")</f>
        <v>82</v>
      </c>
      <c r="AK710" s="399">
        <f>IFERROR(VLOOKUP($G710,基本資料!$A:$M,13,0),"無")</f>
        <v>14.67</v>
      </c>
    </row>
    <row r="711" spans="1:39">
      <c r="A711" s="347">
        <f>IFERROR(VLOOKUP($G711,基本資料!$A:$J,3,0),"無")</f>
        <v>63.56</v>
      </c>
      <c r="B711" s="79">
        <f>IFERROR(VLOOKUP($G711,基本資料!$A:$J,4,0),"無")</f>
        <v>207</v>
      </c>
      <c r="C711" s="79">
        <f>IFERROR(VLOOKUP($G711,基本資料!$A:$J,5,0),"無")</f>
        <v>243</v>
      </c>
      <c r="D711" s="79">
        <f>IFERROR(VLOOKUP($G711,基本資料!$A:$J,6,0),"無")</f>
        <v>-19</v>
      </c>
      <c r="E711" s="79">
        <f>IFERROR(VLOOKUP($G711,基本資料!$A:$J,7,0),"無")</f>
        <v>-30</v>
      </c>
      <c r="F711" s="6">
        <f>IFERROR(VLOOKUP($G711,基本資料!$A:$J,8,0),"無")</f>
        <v>11.88</v>
      </c>
      <c r="G711" s="79">
        <v>2376</v>
      </c>
      <c r="H711" s="192" t="s">
        <v>1146</v>
      </c>
      <c r="I711" s="22" t="s">
        <v>4078</v>
      </c>
      <c r="J711" s="8" t="str">
        <f>IFERROR(VLOOKUP($G711,今日總結!$A:$AJ,35,0),"")</f>
        <v/>
      </c>
      <c r="K711" s="5" t="str">
        <f>IFERROR(VLOOKUP($G711,今日總結!$A:$AJ,36,0),"")</f>
        <v/>
      </c>
      <c r="L711" s="156" t="str">
        <f>IFERROR(VLOOKUP($G711,今日總結!$A:$AJ,33,0),"")</f>
        <v/>
      </c>
      <c r="M711" s="340" t="str">
        <f>IFERROR(VLOOKUP($G711,今日總結!$A:$AJ,34,0),"")</f>
        <v/>
      </c>
      <c r="N711" s="240" t="str">
        <f t="shared" si="157"/>
        <v/>
      </c>
      <c r="P711" s="365">
        <f>IFERROR(VLOOKUP($G711,融外自投!$A:$J,7,0),"無")</f>
        <v>705</v>
      </c>
      <c r="Q711" s="79">
        <f>IFERROR(VLOOKUP($G711,融外自投!$A:$J,9,0),"無")</f>
        <v>7</v>
      </c>
      <c r="R711" s="346">
        <f>IFERROR(VLOOKUP($G711,融外自投!$A:$J,8,0),"無")</f>
        <v>280</v>
      </c>
      <c r="S711" s="81">
        <f>IFERROR(VLOOKUP($G711,融外自投!$A:$J,10,0),"無")</f>
        <v>38</v>
      </c>
      <c r="T711" s="327">
        <f>IFERROR(VLOOKUP($G711,'321買'!$A:$E,5,0),"'沒有資料'")</f>
        <v>63</v>
      </c>
      <c r="U711" s="186">
        <f>IFERROR(VLOOKUP($G711,基本資料!$A:$J,9,0),"無")</f>
        <v>12</v>
      </c>
      <c r="V711" s="310">
        <f t="shared" si="152"/>
        <v>0.11320754716981132</v>
      </c>
      <c r="W711" s="94">
        <f>IFERROR(VLOOKUP($G711,基本資料!$A:$J,10,0),"無")</f>
        <v>21.01</v>
      </c>
      <c r="X711" s="36">
        <f>RTD("money.excel",,"2376","Price")</f>
        <v>106</v>
      </c>
      <c r="Y711" s="66"/>
      <c r="Z711" s="15">
        <f t="shared" si="153"/>
        <v>106</v>
      </c>
      <c r="AA711" s="3" t="e">
        <f t="shared" si="154"/>
        <v>#DIV/0!</v>
      </c>
      <c r="AB711" s="344">
        <f>IFERROR(VLOOKUP($G711,基本資料!$A:$M,11,0),"無")</f>
        <v>-33.33</v>
      </c>
      <c r="AC711" s="397">
        <f>IFERROR(VLOOKUP($G711,基本資料!$A:$M,12,0),"無")</f>
        <v>12.92</v>
      </c>
      <c r="AD711" s="22" t="s">
        <v>4078</v>
      </c>
      <c r="AG711" s="33">
        <f t="shared" si="155"/>
        <v>0</v>
      </c>
      <c r="AH711" s="43" t="s">
        <v>2718</v>
      </c>
      <c r="AI711" s="63">
        <f t="shared" si="156"/>
        <v>1.0106985525487729E-2</v>
      </c>
      <c r="AJ711" s="284">
        <f>RTD("money.excel",,$G711,"PredictVolume")</f>
        <v>6424</v>
      </c>
      <c r="AK711" s="399">
        <f>IFERROR(VLOOKUP($G711,基本資料!$A:$M,13,0),"無")</f>
        <v>11.69</v>
      </c>
    </row>
    <row r="712" spans="1:39">
      <c r="A712" s="347">
        <f>IFERROR(VLOOKUP($G712,基本資料!$A:$J,3,0),"無")</f>
        <v>84.48</v>
      </c>
      <c r="B712" s="79">
        <f>IFERROR(VLOOKUP($G712,基本資料!$A:$J,4,0),"無")</f>
        <v>112</v>
      </c>
      <c r="C712" s="79">
        <f>IFERROR(VLOOKUP($G712,基本資料!$A:$J,5,0),"無")</f>
        <v>117</v>
      </c>
      <c r="D712" s="79">
        <f>IFERROR(VLOOKUP($G712,基本資料!$A:$J,6,0),"無")</f>
        <v>-12</v>
      </c>
      <c r="E712" s="79">
        <f>IFERROR(VLOOKUP($G712,基本資料!$A:$J,7,0),"無")</f>
        <v>3</v>
      </c>
      <c r="F712" s="6">
        <f>IFERROR(VLOOKUP($G712,基本資料!$A:$J,8,0),"無")</f>
        <v>9.9</v>
      </c>
      <c r="G712" s="79">
        <v>2377</v>
      </c>
      <c r="H712" s="192" t="s">
        <v>1146</v>
      </c>
      <c r="I712" s="22" t="s">
        <v>3381</v>
      </c>
      <c r="J712" s="8" t="str">
        <f>IFERROR(VLOOKUP($G712,今日總結!$A:$AJ,35,0),"")</f>
        <v>投</v>
      </c>
      <c r="K712" s="5" t="str">
        <f>IFERROR(VLOOKUP($G712,今日總結!$A:$AJ,36,0),"")</f>
        <v>融</v>
      </c>
      <c r="L712" s="156">
        <f>IFERROR(VLOOKUP($G712,今日總結!$A:$AJ,33,0),"")</f>
        <v>1</v>
      </c>
      <c r="M712" s="340">
        <f>IFERROR(VLOOKUP($G712,今日總結!$A:$AJ,34,0),"")</f>
        <v>1</v>
      </c>
      <c r="N712" s="240">
        <f t="shared" si="157"/>
        <v>0</v>
      </c>
      <c r="P712" s="365">
        <f>IFERROR(VLOOKUP($G712,融外自投!$A:$J,7,0),"無")</f>
        <v>1086</v>
      </c>
      <c r="Q712" s="79">
        <f>IFERROR(VLOOKUP($G712,融外自投!$A:$J,9,0),"無")</f>
        <v>20</v>
      </c>
      <c r="R712" s="346">
        <f>IFERROR(VLOOKUP($G712,融外自投!$A:$J,8,0),"無")</f>
        <v>142</v>
      </c>
      <c r="S712" s="81">
        <f>IFERROR(VLOOKUP($G712,融外自投!$A:$J,10,0),"無")</f>
        <v>40</v>
      </c>
      <c r="T712" s="327">
        <f>IFERROR(VLOOKUP($G712,'321買'!$A:$E,5,0),"'沒有資料'")</f>
        <v>52</v>
      </c>
      <c r="U712" s="186">
        <f>IFERROR(VLOOKUP($G712,基本資料!$A:$J,9,0),"無")</f>
        <v>10.5</v>
      </c>
      <c r="V712" s="310">
        <f t="shared" si="152"/>
        <v>8.0769230769230774E-2</v>
      </c>
      <c r="W712" s="94">
        <f>IFERROR(VLOOKUP($G712,基本資料!$A:$J,10,0),"無")</f>
        <v>20.03</v>
      </c>
      <c r="X712" s="36">
        <f>RTD("money.excel",,"2377","Price")</f>
        <v>130</v>
      </c>
      <c r="Y712" s="66"/>
      <c r="Z712" s="15">
        <f t="shared" si="153"/>
        <v>130</v>
      </c>
      <c r="AA712" s="3" t="e">
        <f t="shared" si="154"/>
        <v>#DIV/0!</v>
      </c>
      <c r="AB712" s="344">
        <f>IFERROR(VLOOKUP($G712,基本資料!$A:$M,11,0),"無")</f>
        <v>-30.91</v>
      </c>
      <c r="AC712" s="397">
        <f>IFERROR(VLOOKUP($G712,基本資料!$A:$M,12,0),"無")</f>
        <v>20.83</v>
      </c>
      <c r="AD712" s="22" t="s">
        <v>3381</v>
      </c>
      <c r="AG712" s="33">
        <f t="shared" si="155"/>
        <v>0</v>
      </c>
      <c r="AH712" s="43" t="s">
        <v>2718</v>
      </c>
      <c r="AI712" s="63">
        <f t="shared" si="156"/>
        <v>5.4225852272727273E-3</v>
      </c>
      <c r="AJ712" s="284">
        <f>RTD("money.excel",,$G712,"PredictVolume")</f>
        <v>4581</v>
      </c>
      <c r="AK712" s="399">
        <f>IFERROR(VLOOKUP($G712,基本資料!$A:$M,13,0),"無")</f>
        <v>3.19</v>
      </c>
    </row>
    <row r="713" spans="1:39">
      <c r="A713" s="347">
        <f>IFERROR(VLOOKUP($G713,基本資料!$A:$J,3,0),"無")</f>
        <v>18.940000000000001</v>
      </c>
      <c r="B713" s="79">
        <f>IFERROR(VLOOKUP($G713,基本資料!$A:$J,4,0),"無")</f>
        <v>69</v>
      </c>
      <c r="C713" s="79">
        <f>IFERROR(VLOOKUP($G713,基本資料!$A:$J,5,0),"無")</f>
        <v>65</v>
      </c>
      <c r="D713" s="79">
        <f>IFERROR(VLOOKUP($G713,基本資料!$A:$J,6,0),"無")</f>
        <v>-54</v>
      </c>
      <c r="E713" s="79">
        <f>IFERROR(VLOOKUP($G713,基本資料!$A:$J,7,0),"無")</f>
        <v>-52</v>
      </c>
      <c r="F713" s="6">
        <f>IFERROR(VLOOKUP($G713,基本資料!$A:$J,8,0),"無")</f>
        <v>-4.4800000000000004</v>
      </c>
      <c r="G713" s="79">
        <v>2380</v>
      </c>
      <c r="H713" s="192" t="s">
        <v>1146</v>
      </c>
      <c r="I713" s="22" t="s">
        <v>4079</v>
      </c>
      <c r="J713" s="8" t="str">
        <f>IFERROR(VLOOKUP($G713,今日總結!$A:$AJ,35,0),"")</f>
        <v/>
      </c>
      <c r="K713" s="5" t="str">
        <f>IFERROR(VLOOKUP($G713,今日總結!$A:$AJ,36,0),"")</f>
        <v/>
      </c>
      <c r="L713" s="156" t="str">
        <f>IFERROR(VLOOKUP($G713,今日總結!$A:$AJ,33,0),"")</f>
        <v/>
      </c>
      <c r="M713" s="340" t="str">
        <f>IFERROR(VLOOKUP($G713,今日總結!$A:$AJ,34,0),"")</f>
        <v/>
      </c>
      <c r="N713" s="240" t="str">
        <f t="shared" si="157"/>
        <v/>
      </c>
      <c r="P713" s="365" t="str">
        <f>IFERROR(VLOOKUP($G713,融外自投!$A:$J,7,0),"無")</f>
        <v>無</v>
      </c>
      <c r="Q713" s="79" t="str">
        <f>IFERROR(VLOOKUP($G713,融外自投!$A:$J,9,0),"無")</f>
        <v>無</v>
      </c>
      <c r="R713" s="346" t="str">
        <f>IFERROR(VLOOKUP($G713,融外自投!$A:$J,8,0),"無")</f>
        <v>無</v>
      </c>
      <c r="S713" s="81" t="str">
        <f>IFERROR(VLOOKUP($G713,融外自投!$A:$J,10,0),"無")</f>
        <v>無</v>
      </c>
      <c r="T713" s="327" t="str">
        <f>IFERROR(VLOOKUP($G713,'321買'!$A:$E,5,0),"'沒有資料'")</f>
        <v>'沒有資料'</v>
      </c>
      <c r="U713" s="186">
        <f>IFERROR(VLOOKUP($G713,基本資料!$A:$J,9,0),"無")</f>
        <v>0</v>
      </c>
      <c r="V713" s="310">
        <f t="shared" si="152"/>
        <v>0</v>
      </c>
      <c r="W713" s="94">
        <f>IFERROR(VLOOKUP($G713,基本資料!$A:$J,10,0),"無")</f>
        <v>-0.69</v>
      </c>
      <c r="X713" s="36">
        <f>RTD("money.excel",,"2380","Price")</f>
        <v>9.92</v>
      </c>
      <c r="Y713" s="66"/>
      <c r="Z713" s="15">
        <f t="shared" si="153"/>
        <v>9.92</v>
      </c>
      <c r="AA713" s="3" t="e">
        <f t="shared" si="154"/>
        <v>#DIV/0!</v>
      </c>
      <c r="AB713" s="344">
        <f>IFERROR(VLOOKUP($G713,基本資料!$A:$M,11,0),"無")</f>
        <v>-45.36</v>
      </c>
      <c r="AC713" s="397">
        <f>IFERROR(VLOOKUP($G713,基本資料!$A:$M,12,0),"無")</f>
        <v>7.07</v>
      </c>
      <c r="AD713" s="22" t="s">
        <v>4079</v>
      </c>
      <c r="AG713" s="33">
        <f t="shared" si="155"/>
        <v>0</v>
      </c>
      <c r="AH713" s="43" t="s">
        <v>2709</v>
      </c>
      <c r="AI713" s="63">
        <f t="shared" si="156"/>
        <v>1.8162618796198522E-3</v>
      </c>
      <c r="AJ713" s="284">
        <f>RTD("money.excel",,$G713,"PredictVolume")</f>
        <v>344</v>
      </c>
      <c r="AK713" s="399">
        <f>IFERROR(VLOOKUP($G713,基本資料!$A:$M,13,0),"無")</f>
        <v>9.7899999999999991</v>
      </c>
    </row>
    <row r="714" spans="1:39">
      <c r="A714" s="347">
        <f>IFERROR(VLOOKUP($G714,基本資料!$A:$J,3,0),"無")</f>
        <v>386</v>
      </c>
      <c r="B714" s="79">
        <f>IFERROR(VLOOKUP($G714,基本資料!$A:$J,4,0),"無")</f>
        <v>35</v>
      </c>
      <c r="C714" s="79">
        <f>IFERROR(VLOOKUP($G714,基本資料!$A:$J,5,0),"無")</f>
        <v>14</v>
      </c>
      <c r="D714" s="79">
        <f>IFERROR(VLOOKUP($G714,基本資料!$A:$J,6,0),"無")</f>
        <v>-39</v>
      </c>
      <c r="E714" s="79">
        <f>IFERROR(VLOOKUP($G714,基本資料!$A:$J,7,0),"無")</f>
        <v>-21</v>
      </c>
      <c r="F714" s="6">
        <f>IFERROR(VLOOKUP($G714,基本資料!$A:$J,8,0),"無")</f>
        <v>3.3</v>
      </c>
      <c r="G714" s="79">
        <v>2382</v>
      </c>
      <c r="H714" s="192" t="s">
        <v>1146</v>
      </c>
      <c r="I714" s="22" t="s">
        <v>208</v>
      </c>
      <c r="J714" s="8" t="str">
        <f>IFERROR(VLOOKUP($G714,今日總結!$A:$AJ,35,0),"")</f>
        <v>自投</v>
      </c>
      <c r="K714" s="5" t="str">
        <f>IFERROR(VLOOKUP($G714,今日總結!$A:$AJ,36,0),"")</f>
        <v>融外</v>
      </c>
      <c r="L714" s="156">
        <f>IFERROR(VLOOKUP($G714,今日總結!$A:$AJ,33,0),"")</f>
        <v>2</v>
      </c>
      <c r="M714" s="340">
        <f>IFERROR(VLOOKUP($G714,今日總結!$A:$AJ,34,0),"")</f>
        <v>2</v>
      </c>
      <c r="N714" s="240">
        <f t="shared" si="157"/>
        <v>0</v>
      </c>
      <c r="P714" s="365">
        <f>IFERROR(VLOOKUP($G714,融外自投!$A:$J,7,0),"無")</f>
        <v>1363</v>
      </c>
      <c r="Q714" s="79">
        <f>IFERROR(VLOOKUP($G714,融外自投!$A:$J,9,0),"無")</f>
        <v>58</v>
      </c>
      <c r="R714" s="346">
        <f>IFERROR(VLOOKUP($G714,融外自投!$A:$J,8,0),"無")</f>
        <v>209</v>
      </c>
      <c r="S714" s="81">
        <f>IFERROR(VLOOKUP($G714,融外自投!$A:$J,10,0),"無")</f>
        <v>74</v>
      </c>
      <c r="T714" s="327">
        <f>IFERROR(VLOOKUP($G714,'321買'!$A:$E,5,0),"'沒有資料'")</f>
        <v>18</v>
      </c>
      <c r="U714" s="186">
        <f>IFERROR(VLOOKUP($G714,基本資料!$A:$J,9,0),"無")</f>
        <v>6.6</v>
      </c>
      <c r="V714" s="310">
        <f t="shared" si="152"/>
        <v>7.9518072289156624E-2</v>
      </c>
      <c r="W714" s="94">
        <f>IFERROR(VLOOKUP($G714,基本資料!$A:$J,10,0),"無")</f>
        <v>8.73</v>
      </c>
      <c r="X714" s="36">
        <f>RTD("money.excel",,"2382","Price")</f>
        <v>83</v>
      </c>
      <c r="Y714" s="66"/>
      <c r="Z714" s="15">
        <f t="shared" si="153"/>
        <v>83</v>
      </c>
      <c r="AA714" s="3" t="e">
        <f t="shared" si="154"/>
        <v>#DIV/0!</v>
      </c>
      <c r="AB714" s="344">
        <f>IFERROR(VLOOKUP($G714,基本資料!$A:$M,11,0),"無")</f>
        <v>-11.56</v>
      </c>
      <c r="AC714" s="397">
        <f>IFERROR(VLOOKUP($G714,基本資料!$A:$M,12,0),"無")</f>
        <v>21.39</v>
      </c>
      <c r="AD714" s="22" t="s">
        <v>208</v>
      </c>
      <c r="AG714" s="33">
        <f t="shared" si="155"/>
        <v>0</v>
      </c>
      <c r="AH714" s="117" t="s">
        <v>2716</v>
      </c>
      <c r="AI714" s="63">
        <f t="shared" si="156"/>
        <v>1.5733160621761659E-3</v>
      </c>
      <c r="AJ714" s="284">
        <f>RTD("money.excel",,$G714,"PredictVolume")</f>
        <v>6073</v>
      </c>
      <c r="AK714" s="399">
        <f>IFERROR(VLOOKUP($G714,基本資料!$A:$M,13,0),"無")</f>
        <v>0.98</v>
      </c>
    </row>
    <row r="715" spans="1:39">
      <c r="A715" s="347">
        <f>IFERROR(VLOOKUP($G715,基本資料!$A:$J,3,0),"無")</f>
        <v>19.52</v>
      </c>
      <c r="B715" s="79">
        <f>IFERROR(VLOOKUP($G715,基本資料!$A:$J,4,0),"無")</f>
        <v>-19</v>
      </c>
      <c r="C715" s="79">
        <f>IFERROR(VLOOKUP($G715,基本資料!$A:$J,5,0),"無")</f>
        <v>-22</v>
      </c>
      <c r="D715" s="79">
        <f>IFERROR(VLOOKUP($G715,基本資料!$A:$J,6,0),"無")</f>
        <v>-46</v>
      </c>
      <c r="E715" s="79">
        <f>IFERROR(VLOOKUP($G715,基本資料!$A:$J,7,0),"無")</f>
        <v>-42</v>
      </c>
      <c r="F715" s="6">
        <f>IFERROR(VLOOKUP($G715,基本資料!$A:$J,8,0),"無")</f>
        <v>6.43</v>
      </c>
      <c r="G715" s="79">
        <v>2387</v>
      </c>
      <c r="H715" s="192" t="s">
        <v>1146</v>
      </c>
      <c r="I715" s="22" t="s">
        <v>234</v>
      </c>
      <c r="J715" s="8" t="str">
        <f>IFERROR(VLOOKUP($G715,今日總結!$A:$AJ,35,0),"")</f>
        <v/>
      </c>
      <c r="K715" s="5" t="str">
        <f>IFERROR(VLOOKUP($G715,今日總結!$A:$AJ,36,0),"")</f>
        <v/>
      </c>
      <c r="L715" s="156" t="str">
        <f>IFERROR(VLOOKUP($G715,今日總結!$A:$AJ,33,0),"")</f>
        <v/>
      </c>
      <c r="M715" s="340" t="str">
        <f>IFERROR(VLOOKUP($G715,今日總結!$A:$AJ,34,0),"")</f>
        <v/>
      </c>
      <c r="N715" s="240" t="str">
        <f t="shared" si="157"/>
        <v/>
      </c>
      <c r="P715" s="365">
        <f>IFERROR(VLOOKUP($G715,融外自投!$A:$J,7,0),"無")</f>
        <v>599</v>
      </c>
      <c r="Q715" s="79">
        <f>IFERROR(VLOOKUP($G715,融外自投!$A:$J,9,0),"無")</f>
        <v>614</v>
      </c>
      <c r="R715" s="346">
        <f>IFERROR(VLOOKUP($G715,融外自投!$A:$J,8,0),"無")</f>
        <v>1041</v>
      </c>
      <c r="S715" s="81">
        <f>IFERROR(VLOOKUP($G715,融外自投!$A:$J,10,0),"無")</f>
        <v>151</v>
      </c>
      <c r="T715" s="327">
        <f>IFERROR(VLOOKUP($G715,'321買'!$A:$E,5,0),"'沒有資料'")</f>
        <v>729</v>
      </c>
      <c r="U715" s="186">
        <f>IFERROR(VLOOKUP($G715,基本資料!$A:$J,9,0),"無")</f>
        <v>3</v>
      </c>
      <c r="V715" s="310">
        <f t="shared" si="152"/>
        <v>8.4507042253521125E-2</v>
      </c>
      <c r="W715" s="94">
        <f>IFERROR(VLOOKUP($G715,基本資料!$A:$J,10,0),"無")</f>
        <v>5.31</v>
      </c>
      <c r="X715" s="36">
        <f>RTD("money.excel",,"2387","Price")</f>
        <v>35.5</v>
      </c>
      <c r="Y715" s="66"/>
      <c r="Z715" s="15">
        <f t="shared" si="153"/>
        <v>35.5</v>
      </c>
      <c r="AA715" s="3" t="e">
        <f t="shared" si="154"/>
        <v>#DIV/0!</v>
      </c>
      <c r="AB715" s="344">
        <f>IFERROR(VLOOKUP($G715,基本資料!$A:$M,11,0),"無")</f>
        <v>-41.82</v>
      </c>
      <c r="AC715" s="397">
        <f>IFERROR(VLOOKUP($G715,基本資料!$A:$M,12,0),"無")</f>
        <v>15.34</v>
      </c>
      <c r="AD715" s="22" t="s">
        <v>234</v>
      </c>
      <c r="AG715" s="33">
        <f t="shared" si="155"/>
        <v>0</v>
      </c>
      <c r="AH715" s="43" t="s">
        <v>2283</v>
      </c>
      <c r="AI715" s="63">
        <f t="shared" si="156"/>
        <v>2.9098360655737707E-3</v>
      </c>
      <c r="AJ715" s="284">
        <f>RTD("money.excel",,$G715,"PredictVolume")</f>
        <v>568</v>
      </c>
      <c r="AK715" s="399">
        <f>IFERROR(VLOOKUP($G715,基本資料!$A:$M,13,0),"無")</f>
        <v>6.5</v>
      </c>
    </row>
    <row r="716" spans="1:39">
      <c r="A716" s="347">
        <f>IFERROR(VLOOKUP($G716,基本資料!$A:$J,3,0),"無")</f>
        <v>77.58</v>
      </c>
      <c r="B716" s="79">
        <f>IFERROR(VLOOKUP($G716,基本資料!$A:$J,4,0),"無")</f>
        <v>13</v>
      </c>
      <c r="C716" s="79">
        <f>IFERROR(VLOOKUP($G716,基本資料!$A:$J,5,0),"無")</f>
        <v>8</v>
      </c>
      <c r="D716" s="79">
        <f>IFERROR(VLOOKUP($G716,基本資料!$A:$J,6,0),"無")</f>
        <v>-21</v>
      </c>
      <c r="E716" s="79">
        <f>IFERROR(VLOOKUP($G716,基本資料!$A:$J,7,0),"無")</f>
        <v>2</v>
      </c>
      <c r="F716" s="6">
        <f>IFERROR(VLOOKUP($G716,基本資料!$A:$J,8,0),"無")</f>
        <v>16.72</v>
      </c>
      <c r="G716" s="79">
        <v>2395</v>
      </c>
      <c r="H716" s="192" t="s">
        <v>1146</v>
      </c>
      <c r="I716" s="22" t="s">
        <v>15</v>
      </c>
      <c r="J716" s="8">
        <f>IFERROR(VLOOKUP($G716,今日總結!$A:$AJ,35,0),"")</f>
        <v>0</v>
      </c>
      <c r="K716" s="5" t="str">
        <f>IFERROR(VLOOKUP($G716,今日總結!$A:$AJ,36,0),"")</f>
        <v>借</v>
      </c>
      <c r="L716" s="156">
        <f>IFERROR(VLOOKUP($G716,今日總結!$A:$AJ,33,0),"")</f>
        <v>0</v>
      </c>
      <c r="M716" s="340">
        <f>IFERROR(VLOOKUP($G716,今日總結!$A:$AJ,34,0),"")</f>
        <v>1</v>
      </c>
      <c r="N716" s="240">
        <f t="shared" si="157"/>
        <v>-1</v>
      </c>
      <c r="P716" s="365">
        <f>IFERROR(VLOOKUP($G716,融外自投!$A:$J,7,0),"無")</f>
        <v>1434</v>
      </c>
      <c r="Q716" s="79">
        <f>IFERROR(VLOOKUP($G716,融外自投!$A:$J,9,0),"無")</f>
        <v>635</v>
      </c>
      <c r="R716" s="346">
        <f>IFERROR(VLOOKUP($G716,融外自投!$A:$J,8,0),"無")</f>
        <v>108</v>
      </c>
      <c r="S716" s="81">
        <f>IFERROR(VLOOKUP($G716,融外自投!$A:$J,10,0),"無")</f>
        <v>222</v>
      </c>
      <c r="T716" s="327">
        <f>IFERROR(VLOOKUP($G716,'321買'!$A:$E,5,0),"'沒有資料'")</f>
        <v>89</v>
      </c>
      <c r="U716" s="186">
        <f>IFERROR(VLOOKUP($G716,基本資料!$A:$J,9,0),"無")</f>
        <v>8</v>
      </c>
      <c r="V716" s="310">
        <f t="shared" si="152"/>
        <v>2.4242424242424242E-2</v>
      </c>
      <c r="W716" s="94">
        <f>IFERROR(VLOOKUP($G716,基本資料!$A:$J,10,0),"無")</f>
        <v>10.67</v>
      </c>
      <c r="X716" s="36">
        <f>RTD("money.excel",,"2395","Price")</f>
        <v>330</v>
      </c>
      <c r="Y716" s="66"/>
      <c r="Z716" s="15">
        <f t="shared" si="153"/>
        <v>330</v>
      </c>
      <c r="AA716" s="3" t="e">
        <f t="shared" si="154"/>
        <v>#DIV/0!</v>
      </c>
      <c r="AB716" s="344">
        <f>IFERROR(VLOOKUP($G716,基本資料!$A:$M,11,0),"無")</f>
        <v>-16.73</v>
      </c>
      <c r="AC716" s="397">
        <f>IFERROR(VLOOKUP($G716,基本資料!$A:$M,12,0),"無")</f>
        <v>33.979999999999997</v>
      </c>
      <c r="AD716" s="22" t="s">
        <v>15</v>
      </c>
      <c r="AG716" s="33">
        <f t="shared" si="155"/>
        <v>0</v>
      </c>
      <c r="AH716" s="117" t="s">
        <v>1933</v>
      </c>
      <c r="AI716" s="63">
        <f t="shared" si="156"/>
        <v>1.0982211910286156E-3</v>
      </c>
      <c r="AJ716" s="284">
        <f>RTD("money.excel",,$G716,"PredictVolume")</f>
        <v>852</v>
      </c>
      <c r="AK716" s="399">
        <f>IFERROR(VLOOKUP($G716,基本資料!$A:$M,13,0),"無")</f>
        <v>1.08</v>
      </c>
    </row>
    <row r="717" spans="1:39">
      <c r="A717" s="347">
        <f>IFERROR(VLOOKUP($G717,基本資料!$A:$J,3,0),"無")</f>
        <v>11.44</v>
      </c>
      <c r="B717" s="79">
        <f>IFERROR(VLOOKUP($G717,基本資料!$A:$J,4,0),"無")</f>
        <v>63</v>
      </c>
      <c r="C717" s="79">
        <f>IFERROR(VLOOKUP($G717,基本資料!$A:$J,5,0),"無")</f>
        <v>-18</v>
      </c>
      <c r="D717" s="79">
        <f>IFERROR(VLOOKUP($G717,基本資料!$A:$J,6,0),"無")</f>
        <v>-7</v>
      </c>
      <c r="E717" s="79">
        <f>IFERROR(VLOOKUP($G717,基本資料!$A:$J,7,0),"無")</f>
        <v>96</v>
      </c>
      <c r="F717" s="6">
        <f>IFERROR(VLOOKUP($G717,基本資料!$A:$J,8,0),"無")</f>
        <v>3.98</v>
      </c>
      <c r="G717" s="79">
        <v>2397</v>
      </c>
      <c r="H717" s="192" t="s">
        <v>1146</v>
      </c>
      <c r="I717" s="22" t="s">
        <v>457</v>
      </c>
      <c r="J717" s="8" t="str">
        <f>IFERROR(VLOOKUP($G717,今日總結!$A:$AJ,35,0),"")</f>
        <v/>
      </c>
      <c r="K717" s="5" t="str">
        <f>IFERROR(VLOOKUP($G717,今日總結!$A:$AJ,36,0),"")</f>
        <v/>
      </c>
      <c r="L717" s="156" t="str">
        <f>IFERROR(VLOOKUP($G717,今日總結!$A:$AJ,33,0),"")</f>
        <v/>
      </c>
      <c r="M717" s="340" t="str">
        <f>IFERROR(VLOOKUP($G717,今日總結!$A:$AJ,34,0),"")</f>
        <v/>
      </c>
      <c r="N717" s="240" t="str">
        <f t="shared" si="157"/>
        <v/>
      </c>
      <c r="P717" s="365">
        <f>IFERROR(VLOOKUP($G717,融外自投!$A:$J,7,0),"無")</f>
        <v>1041</v>
      </c>
      <c r="Q717" s="79">
        <f>IFERROR(VLOOKUP($G717,融外自投!$A:$J,9,0),"無")</f>
        <v>61</v>
      </c>
      <c r="R717" s="346">
        <f>IFERROR(VLOOKUP($G717,融外自投!$A:$J,8,0),"無")</f>
        <v>265</v>
      </c>
      <c r="S717" s="81" t="str">
        <f>IFERROR(VLOOKUP($G717,融外自投!$A:$J,10,0),"無")</f>
        <v>無</v>
      </c>
      <c r="T717" s="327">
        <f>IFERROR(VLOOKUP($G717,'321買'!$A:$E,5,0),"'沒有資料'")</f>
        <v>1281</v>
      </c>
      <c r="U717" s="186">
        <f>IFERROR(VLOOKUP($G717,基本資料!$A:$J,9,0),"無")</f>
        <v>3.6</v>
      </c>
      <c r="V717" s="310">
        <f t="shared" si="152"/>
        <v>5.9900166389351084E-2</v>
      </c>
      <c r="W717" s="94">
        <f>IFERROR(VLOOKUP($G717,基本資料!$A:$J,10,0),"無")</f>
        <v>5.38</v>
      </c>
      <c r="X717" s="36">
        <f>RTD("money.excel",,"2397","Price")</f>
        <v>60.1</v>
      </c>
      <c r="Y717" s="66"/>
      <c r="Z717" s="15">
        <f t="shared" si="153"/>
        <v>60.1</v>
      </c>
      <c r="AA717" s="3" t="e">
        <f t="shared" si="154"/>
        <v>#DIV/0!</v>
      </c>
      <c r="AB717" s="344">
        <f>IFERROR(VLOOKUP($G717,基本資料!$A:$M,11,0),"無")</f>
        <v>-13.86</v>
      </c>
      <c r="AC717" s="397">
        <f>IFERROR(VLOOKUP($G717,基本資料!$A:$M,12,0),"無")</f>
        <v>37.18</v>
      </c>
      <c r="AD717" s="22" t="s">
        <v>457</v>
      </c>
      <c r="AG717" s="33">
        <f t="shared" si="155"/>
        <v>0</v>
      </c>
      <c r="AH717" s="43" t="s">
        <v>2233</v>
      </c>
      <c r="AI717" s="63">
        <f t="shared" si="156"/>
        <v>1.048951048951049E-4</v>
      </c>
      <c r="AJ717" s="284">
        <f>RTD("money.excel",,$G717,"PredictVolume")</f>
        <v>12</v>
      </c>
      <c r="AK717" s="399">
        <f>IFERROR(VLOOKUP($G717,基本資料!$A:$M,13,0),"無")</f>
        <v>0.57999999999999996</v>
      </c>
      <c r="AM717" s="239"/>
    </row>
    <row r="718" spans="1:39">
      <c r="A718" s="347">
        <f>IFERROR(VLOOKUP($G718,基本資料!$A:$J,3,0),"無")</f>
        <v>17.809999999999999</v>
      </c>
      <c r="B718" s="79">
        <f>IFERROR(VLOOKUP($G718,基本資料!$A:$J,4,0),"無")</f>
        <v>148</v>
      </c>
      <c r="C718" s="79">
        <f>IFERROR(VLOOKUP($G718,基本資料!$A:$J,5,0),"無")</f>
        <v>905</v>
      </c>
      <c r="D718" s="79">
        <f>IFERROR(VLOOKUP($G718,基本資料!$A:$J,6,0),"無")</f>
        <v>0</v>
      </c>
      <c r="E718" s="79">
        <f>IFERROR(VLOOKUP($G718,基本資料!$A:$J,7,0),"無")</f>
        <v>-14</v>
      </c>
      <c r="F718" s="6">
        <f>IFERROR(VLOOKUP($G718,基本資料!$A:$J,8,0),"無")</f>
        <v>7.81</v>
      </c>
      <c r="G718" s="79">
        <v>2399</v>
      </c>
      <c r="H718" s="192" t="s">
        <v>1146</v>
      </c>
      <c r="I718" s="22" t="s">
        <v>458</v>
      </c>
      <c r="J718" s="8" t="str">
        <f>IFERROR(VLOOKUP($G718,今日總結!$A:$AJ,35,0),"")</f>
        <v/>
      </c>
      <c r="K718" s="5" t="str">
        <f>IFERROR(VLOOKUP($G718,今日總結!$A:$AJ,36,0),"")</f>
        <v/>
      </c>
      <c r="L718" s="156" t="str">
        <f>IFERROR(VLOOKUP($G718,今日總結!$A:$AJ,33,0),"")</f>
        <v/>
      </c>
      <c r="M718" s="340" t="str">
        <f>IFERROR(VLOOKUP($G718,今日總結!$A:$AJ,34,0),"")</f>
        <v/>
      </c>
      <c r="N718" s="240" t="str">
        <f t="shared" si="157"/>
        <v/>
      </c>
      <c r="P718" s="365">
        <f>IFERROR(VLOOKUP($G718,融外自投!$A:$J,7,0),"無")</f>
        <v>267</v>
      </c>
      <c r="Q718" s="79">
        <f>IFERROR(VLOOKUP($G718,融外自投!$A:$J,9,0),"無")</f>
        <v>316</v>
      </c>
      <c r="R718" s="346">
        <f>IFERROR(VLOOKUP($G718,融外自投!$A:$J,8,0),"無")</f>
        <v>531</v>
      </c>
      <c r="S718" s="81" t="str">
        <f>IFERROR(VLOOKUP($G718,融外自投!$A:$J,10,0),"無")</f>
        <v>無</v>
      </c>
      <c r="T718" s="327">
        <f>IFERROR(VLOOKUP($G718,'321買'!$A:$E,5,0),"'沒有資料'")</f>
        <v>710</v>
      </c>
      <c r="U718" s="186">
        <f>IFERROR(VLOOKUP($G718,基本資料!$A:$J,9,0),"無")</f>
        <v>0</v>
      </c>
      <c r="V718" s="310">
        <f t="shared" si="152"/>
        <v>0</v>
      </c>
      <c r="W718" s="94">
        <f>IFERROR(VLOOKUP($G718,基本資料!$A:$J,10,0),"無")</f>
        <v>2.0299999999999998</v>
      </c>
      <c r="X718" s="36">
        <f>RTD("money.excel",,"2399","Price")</f>
        <v>17.100000000000001</v>
      </c>
      <c r="Y718" s="66"/>
      <c r="Z718" s="15">
        <f t="shared" si="153"/>
        <v>17.100000000000001</v>
      </c>
      <c r="AA718" s="3" t="e">
        <f t="shared" si="154"/>
        <v>#DIV/0!</v>
      </c>
      <c r="AB718" s="344">
        <f>IFERROR(VLOOKUP($G718,基本資料!$A:$M,11,0),"無")</f>
        <v>-42.93</v>
      </c>
      <c r="AC718" s="397">
        <f>IFERROR(VLOOKUP($G718,基本資料!$A:$M,12,0),"無")</f>
        <v>13.07</v>
      </c>
      <c r="AD718" s="22" t="s">
        <v>458</v>
      </c>
      <c r="AG718" s="33">
        <f t="shared" si="155"/>
        <v>0</v>
      </c>
      <c r="AH718" s="43" t="s">
        <v>2718</v>
      </c>
      <c r="AI718" s="63">
        <f t="shared" si="156"/>
        <v>7.0241437394722066E-3</v>
      </c>
      <c r="AJ718" s="284">
        <f>RTD("money.excel",,$G718,"PredictVolume")</f>
        <v>1251</v>
      </c>
      <c r="AK718" s="399">
        <f>IFERROR(VLOOKUP($G718,基本資料!$A:$M,13,0),"無")</f>
        <v>47.71</v>
      </c>
    </row>
    <row r="719" spans="1:39">
      <c r="A719" s="347">
        <f>IFERROR(VLOOKUP($G719,基本資料!$A:$J,3,0),"無")</f>
        <v>34.340000000000003</v>
      </c>
      <c r="B719" s="79">
        <f>IFERROR(VLOOKUP($G719,基本資料!$A:$J,4,0),"無")</f>
        <v>215</v>
      </c>
      <c r="C719" s="79">
        <f>IFERROR(VLOOKUP($G719,基本資料!$A:$J,5,0),"無")</f>
        <v>-96</v>
      </c>
      <c r="D719" s="79">
        <f>IFERROR(VLOOKUP($G719,基本資料!$A:$J,6,0),"無")</f>
        <v>32</v>
      </c>
      <c r="E719" s="79">
        <f>IFERROR(VLOOKUP($G719,基本資料!$A:$J,7,0),"無")</f>
        <v>26</v>
      </c>
      <c r="F719" s="6">
        <f>IFERROR(VLOOKUP($G719,基本資料!$A:$J,8,0),"無")</f>
        <v>0.12</v>
      </c>
      <c r="G719" s="79">
        <v>2405</v>
      </c>
      <c r="H719" s="195" t="s">
        <v>1146</v>
      </c>
      <c r="I719" s="22" t="s">
        <v>4080</v>
      </c>
      <c r="J719" s="8" t="str">
        <f>IFERROR(VLOOKUP($G719,今日總結!$A:$AJ,35,0),"")</f>
        <v/>
      </c>
      <c r="K719" s="5" t="str">
        <f>IFERROR(VLOOKUP($G719,今日總結!$A:$AJ,36,0),"")</f>
        <v/>
      </c>
      <c r="L719" s="156" t="str">
        <f>IFERROR(VLOOKUP($G719,今日總結!$A:$AJ,33,0),"")</f>
        <v/>
      </c>
      <c r="M719" s="340" t="str">
        <f>IFERROR(VLOOKUP($G719,今日總結!$A:$AJ,34,0),"")</f>
        <v/>
      </c>
      <c r="N719" s="240" t="str">
        <f t="shared" si="157"/>
        <v/>
      </c>
      <c r="P719" s="365">
        <f>IFERROR(VLOOKUP($G719,融外自投!$A:$J,7,0),"無")</f>
        <v>1107</v>
      </c>
      <c r="Q719" s="79">
        <f>IFERROR(VLOOKUP($G719,融外自投!$A:$J,9,0),"無")</f>
        <v>558</v>
      </c>
      <c r="R719" s="346">
        <f>IFERROR(VLOOKUP($G719,融外自投!$A:$J,8,0),"無")</f>
        <v>743</v>
      </c>
      <c r="S719" s="81" t="str">
        <f>IFERROR(VLOOKUP($G719,融外自投!$A:$J,10,0),"無")</f>
        <v>無</v>
      </c>
      <c r="T719" s="327">
        <f>IFERROR(VLOOKUP($G719,'321買'!$A:$E,5,0),"'沒有資料'")</f>
        <v>1099</v>
      </c>
      <c r="U719" s="186">
        <f>IFERROR(VLOOKUP($G719,基本資料!$A:$J,9,0),"無")</f>
        <v>0</v>
      </c>
      <c r="V719" s="310">
        <f t="shared" si="152"/>
        <v>0</v>
      </c>
      <c r="W719" s="94">
        <f>IFERROR(VLOOKUP($G719,基本資料!$A:$J,10,0),"無")</f>
        <v>0.57999999999999996</v>
      </c>
      <c r="X719" s="36">
        <f>RTD("money.excel",,"2405","Price")</f>
        <v>12.1</v>
      </c>
      <c r="Y719" s="66"/>
      <c r="Z719" s="15">
        <f t="shared" si="153"/>
        <v>12.1</v>
      </c>
      <c r="AA719" s="3" t="e">
        <f t="shared" si="154"/>
        <v>#DIV/0!</v>
      </c>
      <c r="AB719" s="344">
        <f>IFERROR(VLOOKUP($G719,基本資料!$A:$M,11,0),"無")</f>
        <v>-45.58</v>
      </c>
      <c r="AC719" s="397">
        <f>IFERROR(VLOOKUP($G719,基本資料!$A:$M,12,0),"無")</f>
        <v>12.4</v>
      </c>
      <c r="AD719" s="22" t="s">
        <v>4080</v>
      </c>
      <c r="AG719" s="33">
        <f t="shared" si="155"/>
        <v>0</v>
      </c>
      <c r="AH719" s="117" t="s">
        <v>1052</v>
      </c>
      <c r="AI719" s="63">
        <f t="shared" si="156"/>
        <v>4.7350029120559103E-3</v>
      </c>
      <c r="AJ719" s="284">
        <f>RTD("money.excel",,$G719,"PredictVolume")</f>
        <v>1626</v>
      </c>
      <c r="AK719" s="399">
        <f>IFERROR(VLOOKUP($G719,基本資料!$A:$M,13,0),"無")</f>
        <v>17.43</v>
      </c>
    </row>
    <row r="720" spans="1:39">
      <c r="A720" s="347">
        <f>IFERROR(VLOOKUP($G720,基本資料!$A:$J,3,0),"無")</f>
        <v>15.84</v>
      </c>
      <c r="B720" s="79">
        <f>IFERROR(VLOOKUP($G720,基本資料!$A:$J,4,0),"無")</f>
        <v>-77</v>
      </c>
      <c r="C720" s="79">
        <f>IFERROR(VLOOKUP($G720,基本資料!$A:$J,5,0),"無")</f>
        <v>-71</v>
      </c>
      <c r="D720" s="79">
        <f>IFERROR(VLOOKUP($G720,基本資料!$A:$J,6,0),"無")</f>
        <v>-2</v>
      </c>
      <c r="E720" s="79">
        <f>IFERROR(VLOOKUP($G720,基本資料!$A:$J,7,0),"無")</f>
        <v>-32</v>
      </c>
      <c r="F720" s="6">
        <f>IFERROR(VLOOKUP($G720,基本資料!$A:$J,8,0),"無")</f>
        <v>11.38</v>
      </c>
      <c r="G720" s="79">
        <v>2417</v>
      </c>
      <c r="H720" s="192" t="s">
        <v>1146</v>
      </c>
      <c r="I720" s="22" t="s">
        <v>459</v>
      </c>
      <c r="J720" s="8" t="str">
        <f>IFERROR(VLOOKUP($G720,今日總結!$A:$AJ,35,0),"")</f>
        <v>券主</v>
      </c>
      <c r="K720" s="5" t="str">
        <f>IFERROR(VLOOKUP($G720,今日總結!$A:$AJ,36,0),"")</f>
        <v>融</v>
      </c>
      <c r="L720" s="156">
        <f>IFERROR(VLOOKUP($G720,今日總結!$A:$AJ,33,0),"")</f>
        <v>2</v>
      </c>
      <c r="M720" s="340">
        <f>IFERROR(VLOOKUP($G720,今日總結!$A:$AJ,34,0),"")</f>
        <v>1</v>
      </c>
      <c r="N720" s="240">
        <f t="shared" si="157"/>
        <v>1</v>
      </c>
      <c r="P720" s="365">
        <f>IFERROR(VLOOKUP($G720,融外自投!$A:$J,7,0),"無")</f>
        <v>258</v>
      </c>
      <c r="Q720" s="79">
        <f>IFERROR(VLOOKUP($G720,融外自投!$A:$J,9,0),"無")</f>
        <v>183</v>
      </c>
      <c r="R720" s="346">
        <f>IFERROR(VLOOKUP($G720,融外自投!$A:$J,8,0),"無")</f>
        <v>1224</v>
      </c>
      <c r="S720" s="81" t="str">
        <f>IFERROR(VLOOKUP($G720,融外自投!$A:$J,10,0),"無")</f>
        <v>無</v>
      </c>
      <c r="T720" s="327">
        <f>IFERROR(VLOOKUP($G720,'321買'!$A:$E,5,0),"'沒有資料'")</f>
        <v>357</v>
      </c>
      <c r="U720" s="186">
        <f>IFERROR(VLOOKUP($G720,基本資料!$A:$J,9,0),"無")</f>
        <v>0.15</v>
      </c>
      <c r="V720" s="310">
        <f t="shared" si="152"/>
        <v>5.6074766355140183E-3</v>
      </c>
      <c r="W720" s="94">
        <f>IFERROR(VLOOKUP($G720,基本資料!$A:$J,10,0),"無")</f>
        <v>0.27</v>
      </c>
      <c r="X720" s="36">
        <f>RTD("money.excel",,"2417","Price")</f>
        <v>26.75</v>
      </c>
      <c r="Y720" s="66"/>
      <c r="Z720" s="15">
        <f t="shared" si="153"/>
        <v>26.75</v>
      </c>
      <c r="AA720" s="3" t="e">
        <f t="shared" si="154"/>
        <v>#DIV/0!</v>
      </c>
      <c r="AB720" s="344">
        <f>IFERROR(VLOOKUP($G720,基本資料!$A:$M,11,0),"無")</f>
        <v>-38.380000000000003</v>
      </c>
      <c r="AC720" s="397">
        <f>IFERROR(VLOOKUP($G720,基本資料!$A:$M,12,0),"無")</f>
        <v>37.54</v>
      </c>
      <c r="AD720" s="22" t="s">
        <v>459</v>
      </c>
      <c r="AG720" s="33">
        <f t="shared" si="155"/>
        <v>0</v>
      </c>
      <c r="AH720" s="43" t="s">
        <v>2438</v>
      </c>
      <c r="AI720" s="63">
        <f t="shared" si="156"/>
        <v>2.7070707070707072E-2</v>
      </c>
      <c r="AJ720" s="284">
        <f>RTD("money.excel",,$G720,"PredictVolume")</f>
        <v>4288</v>
      </c>
      <c r="AK720" s="399">
        <f>IFERROR(VLOOKUP($G720,基本資料!$A:$M,13,0),"無")</f>
        <v>29.95</v>
      </c>
    </row>
    <row r="721" spans="1:37">
      <c r="A721" s="347">
        <f>IFERROR(VLOOKUP($G721,基本資料!$A:$J,3,0),"無")</f>
        <v>3.4</v>
      </c>
      <c r="B721" s="79">
        <f>IFERROR(VLOOKUP($G721,基本資料!$A:$J,4,0),"無")</f>
        <v>-58</v>
      </c>
      <c r="C721" s="79">
        <f>IFERROR(VLOOKUP($G721,基本資料!$A:$J,5,0),"無")</f>
        <v>-22</v>
      </c>
      <c r="D721" s="79">
        <f>IFERROR(VLOOKUP($G721,基本資料!$A:$J,6,0),"無")</f>
        <v>835</v>
      </c>
      <c r="E721" s="79">
        <f>IFERROR(VLOOKUP($G721,基本資料!$A:$J,7,0),"無")</f>
        <v>477</v>
      </c>
      <c r="F721" s="6">
        <f>IFERROR(VLOOKUP($G721,基本資料!$A:$J,8,0),"無")</f>
        <v>-1701.75</v>
      </c>
      <c r="G721" s="79">
        <v>2424</v>
      </c>
      <c r="H721" s="192" t="s">
        <v>1146</v>
      </c>
      <c r="I721" s="22" t="s">
        <v>460</v>
      </c>
      <c r="J721" s="8" t="str">
        <f>IFERROR(VLOOKUP($G721,今日總結!$A:$AJ,35,0),"")</f>
        <v/>
      </c>
      <c r="K721" s="5" t="str">
        <f>IFERROR(VLOOKUP($G721,今日總結!$A:$AJ,36,0),"")</f>
        <v/>
      </c>
      <c r="L721" s="156" t="str">
        <f>IFERROR(VLOOKUP($G721,今日總結!$A:$AJ,33,0),"")</f>
        <v/>
      </c>
      <c r="M721" s="340" t="str">
        <f>IFERROR(VLOOKUP($G721,今日總結!$A:$AJ,34,0),"")</f>
        <v/>
      </c>
      <c r="N721" s="240" t="str">
        <f t="shared" si="157"/>
        <v/>
      </c>
      <c r="P721" s="365" t="str">
        <f>IFERROR(VLOOKUP($G721,融外自投!$A:$J,7,0),"無")</f>
        <v>無</v>
      </c>
      <c r="Q721" s="79" t="str">
        <f>IFERROR(VLOOKUP($G721,融外自投!$A:$J,9,0),"無")</f>
        <v>無</v>
      </c>
      <c r="R721" s="346" t="str">
        <f>IFERROR(VLOOKUP($G721,融外自投!$A:$J,8,0),"無")</f>
        <v>無</v>
      </c>
      <c r="S721" s="81" t="str">
        <f>IFERROR(VLOOKUP($G721,融外自投!$A:$J,10,0),"無")</f>
        <v>無</v>
      </c>
      <c r="T721" s="327" t="str">
        <f>IFERROR(VLOOKUP($G721,'321買'!$A:$E,5,0),"'沒有資料'")</f>
        <v>'沒有資料'</v>
      </c>
      <c r="U721" s="186">
        <f>IFERROR(VLOOKUP($G721,基本資料!$A:$J,9,0),"無")</f>
        <v>0</v>
      </c>
      <c r="V721" s="310" t="e">
        <f t="shared" si="152"/>
        <v>#VALUE!</v>
      </c>
      <c r="W721" s="94">
        <f>IFERROR(VLOOKUP($G721,基本資料!$A:$J,10,0),"無")</f>
        <v>-8.57</v>
      </c>
      <c r="X721" s="36" t="str">
        <f>RTD("money.excel",,"2424","Price")</f>
        <v>無資料</v>
      </c>
      <c r="Y721" s="66"/>
      <c r="Z721" s="15" t="e">
        <f t="shared" si="153"/>
        <v>#VALUE!</v>
      </c>
      <c r="AA721" s="3" t="e">
        <f t="shared" si="154"/>
        <v>#VALUE!</v>
      </c>
      <c r="AB721" s="344">
        <f>IFERROR(VLOOKUP($G721,基本資料!$A:$M,11,0),"無")</f>
        <v>-22.82</v>
      </c>
      <c r="AC721" s="397">
        <f>IFERROR(VLOOKUP($G721,基本資料!$A:$M,12,0),"無")</f>
        <v>74.38</v>
      </c>
      <c r="AD721" s="22" t="s">
        <v>460</v>
      </c>
      <c r="AG721" s="33">
        <f t="shared" si="155"/>
        <v>0</v>
      </c>
      <c r="AH721" s="43" t="s">
        <v>2720</v>
      </c>
      <c r="AI721" s="63">
        <f t="shared" si="156"/>
        <v>0</v>
      </c>
      <c r="AJ721" s="284">
        <f>RTD("money.excel",,$G721,"PredictVolume")</f>
        <v>0</v>
      </c>
      <c r="AK721" s="399">
        <f>IFERROR(VLOOKUP($G721,基本資料!$A:$M,13,0),"無")</f>
        <v>0.27</v>
      </c>
    </row>
    <row r="722" spans="1:37">
      <c r="A722" s="347">
        <f>IFERROR(VLOOKUP($G722,基本資料!$A:$J,3,0),"無")</f>
        <v>10.14</v>
      </c>
      <c r="B722" s="79">
        <f>IFERROR(VLOOKUP($G722,基本資料!$A:$J,4,0),"無")</f>
        <v>-11</v>
      </c>
      <c r="C722" s="79">
        <f>IFERROR(VLOOKUP($G722,基本資料!$A:$J,5,0),"無")</f>
        <v>57</v>
      </c>
      <c r="D722" s="79">
        <f>IFERROR(VLOOKUP($G722,基本資料!$A:$J,6,0),"無")</f>
        <v>39</v>
      </c>
      <c r="E722" s="79">
        <f>IFERROR(VLOOKUP($G722,基本資料!$A:$J,7,0),"無")</f>
        <v>27</v>
      </c>
      <c r="F722" s="6">
        <f>IFERROR(VLOOKUP($G722,基本資料!$A:$J,8,0),"無")</f>
        <v>5.45</v>
      </c>
      <c r="G722" s="79">
        <v>2425</v>
      </c>
      <c r="H722" s="192" t="s">
        <v>1146</v>
      </c>
      <c r="I722" s="22" t="s">
        <v>461</v>
      </c>
      <c r="J722" s="8" t="str">
        <f>IFERROR(VLOOKUP($G722,今日總結!$A:$AJ,35,0),"")</f>
        <v>外主</v>
      </c>
      <c r="K722" s="5">
        <f>IFERROR(VLOOKUP($G722,今日總結!$A:$AJ,36,0),"")</f>
        <v>0</v>
      </c>
      <c r="L722" s="156">
        <f>IFERROR(VLOOKUP($G722,今日總結!$A:$AJ,33,0),"")</f>
        <v>2</v>
      </c>
      <c r="M722" s="340">
        <f>IFERROR(VLOOKUP($G722,今日總結!$A:$AJ,34,0),"")</f>
        <v>0</v>
      </c>
      <c r="N722" s="240">
        <f t="shared" si="157"/>
        <v>2</v>
      </c>
      <c r="P722" s="365">
        <f>IFERROR(VLOOKUP($G722,融外自投!$A:$J,7,0),"無")</f>
        <v>363</v>
      </c>
      <c r="Q722" s="79">
        <f>IFERROR(VLOOKUP($G722,融外自投!$A:$J,9,0),"無")</f>
        <v>683</v>
      </c>
      <c r="R722" s="346">
        <f>IFERROR(VLOOKUP($G722,融外自投!$A:$J,8,0),"無")</f>
        <v>338</v>
      </c>
      <c r="S722" s="81" t="str">
        <f>IFERROR(VLOOKUP($G722,融外自投!$A:$J,10,0),"無")</f>
        <v>無</v>
      </c>
      <c r="T722" s="327">
        <f>IFERROR(VLOOKUP($G722,'321買'!$A:$E,5,0),"'沒有資料'")</f>
        <v>915</v>
      </c>
      <c r="U722" s="186">
        <f>IFERROR(VLOOKUP($G722,基本資料!$A:$J,9,0),"無")</f>
        <v>0.6</v>
      </c>
      <c r="V722" s="310">
        <f t="shared" si="152"/>
        <v>1.9261637239165328E-2</v>
      </c>
      <c r="W722" s="94">
        <f>IFERROR(VLOOKUP($G722,基本資料!$A:$J,10,0),"無")</f>
        <v>1.27</v>
      </c>
      <c r="X722" s="36">
        <f>RTD("money.excel",,"2425","Price")</f>
        <v>31.15</v>
      </c>
      <c r="Y722" s="66"/>
      <c r="Z722" s="15">
        <f t="shared" si="153"/>
        <v>31.15</v>
      </c>
      <c r="AA722" s="3" t="e">
        <f t="shared" si="154"/>
        <v>#DIV/0!</v>
      </c>
      <c r="AB722" s="344">
        <f>IFERROR(VLOOKUP($G722,基本資料!$A:$M,11,0),"無")</f>
        <v>-4.78</v>
      </c>
      <c r="AC722" s="397">
        <f>IFERROR(VLOOKUP($G722,基本資料!$A:$M,12,0),"無")</f>
        <v>75.349999999999994</v>
      </c>
      <c r="AD722" s="22" t="s">
        <v>461</v>
      </c>
      <c r="AG722" s="33">
        <f t="shared" si="155"/>
        <v>0</v>
      </c>
      <c r="AH722" s="43" t="s">
        <v>1504</v>
      </c>
      <c r="AI722" s="63">
        <f t="shared" si="156"/>
        <v>1.4072978303747534E-2</v>
      </c>
      <c r="AJ722" s="284">
        <f>RTD("money.excel",,$G722,"PredictVolume")</f>
        <v>1427</v>
      </c>
      <c r="AK722" s="399">
        <f>IFERROR(VLOOKUP($G722,基本資料!$A:$M,13,0),"無")</f>
        <v>4.66</v>
      </c>
    </row>
    <row r="723" spans="1:37">
      <c r="A723" s="347">
        <f>IFERROR(VLOOKUP($G723,基本資料!$A:$J,3,0),"無")</f>
        <v>24.13</v>
      </c>
      <c r="B723" s="79">
        <f>IFERROR(VLOOKUP($G723,基本資料!$A:$J,4,0),"無")</f>
        <v>291</v>
      </c>
      <c r="C723" s="79">
        <f>IFERROR(VLOOKUP($G723,基本資料!$A:$J,5,0),"無")</f>
        <v>588</v>
      </c>
      <c r="D723" s="79">
        <f>IFERROR(VLOOKUP($G723,基本資料!$A:$J,6,0),"無")</f>
        <v>-10</v>
      </c>
      <c r="E723" s="79">
        <f>IFERROR(VLOOKUP($G723,基本資料!$A:$J,7,0),"無")</f>
        <v>12</v>
      </c>
      <c r="F723" s="6">
        <f>IFERROR(VLOOKUP($G723,基本資料!$A:$J,8,0),"無")</f>
        <v>21.92</v>
      </c>
      <c r="G723" s="79">
        <v>2442</v>
      </c>
      <c r="H723" s="192" t="s">
        <v>1146</v>
      </c>
      <c r="I723" s="22" t="s">
        <v>4081</v>
      </c>
      <c r="J723" s="8" t="str">
        <f>IFERROR(VLOOKUP($G723,今日總結!$A:$AJ,35,0),"")</f>
        <v/>
      </c>
      <c r="K723" s="5" t="str">
        <f>IFERROR(VLOOKUP($G723,今日總結!$A:$AJ,36,0),"")</f>
        <v/>
      </c>
      <c r="L723" s="156" t="str">
        <f>IFERROR(VLOOKUP($G723,今日總結!$A:$AJ,33,0),"")</f>
        <v/>
      </c>
      <c r="M723" s="340" t="str">
        <f>IFERROR(VLOOKUP($G723,今日總結!$A:$AJ,34,0),"")</f>
        <v/>
      </c>
      <c r="N723" s="240" t="str">
        <f t="shared" si="157"/>
        <v/>
      </c>
      <c r="P723" s="365">
        <f>IFERROR(VLOOKUP($G723,融外自投!$A:$J,7,0),"無")</f>
        <v>329</v>
      </c>
      <c r="Q723" s="79">
        <f>IFERROR(VLOOKUP($G723,融外自投!$A:$J,9,0),"無")</f>
        <v>852</v>
      </c>
      <c r="R723" s="346">
        <f>IFERROR(VLOOKUP($G723,融外自投!$A:$J,8,0),"無")</f>
        <v>811</v>
      </c>
      <c r="S723" s="81" t="str">
        <f>IFERROR(VLOOKUP($G723,融外自投!$A:$J,10,0),"無")</f>
        <v>無</v>
      </c>
      <c r="T723" s="327">
        <f>IFERROR(VLOOKUP($G723,'321買'!$A:$E,5,0),"'沒有資料'")</f>
        <v>606</v>
      </c>
      <c r="U723" s="186">
        <f>IFERROR(VLOOKUP($G723,基本資料!$A:$J,9,0),"無")</f>
        <v>0.7</v>
      </c>
      <c r="V723" s="310">
        <f t="shared" si="152"/>
        <v>5.2830188679245278E-2</v>
      </c>
      <c r="W723" s="94">
        <f>IFERROR(VLOOKUP($G723,基本資料!$A:$J,10,0),"無")</f>
        <v>1.99</v>
      </c>
      <c r="X723" s="36">
        <f>RTD("money.excel",,"2442","Price")</f>
        <v>13.25</v>
      </c>
      <c r="Y723" s="66"/>
      <c r="Z723" s="15">
        <f t="shared" si="153"/>
        <v>13.25</v>
      </c>
      <c r="AA723" s="3" t="e">
        <f t="shared" si="154"/>
        <v>#DIV/0!</v>
      </c>
      <c r="AB723" s="344">
        <f>IFERROR(VLOOKUP($G723,基本資料!$A:$M,11,0),"無")</f>
        <v>-6.83</v>
      </c>
      <c r="AC723" s="397">
        <f>IFERROR(VLOOKUP($G723,基本資料!$A:$M,12,0),"無")</f>
        <v>58.8</v>
      </c>
      <c r="AD723" s="22" t="s">
        <v>4081</v>
      </c>
      <c r="AG723" s="33">
        <f t="shared" si="155"/>
        <v>0</v>
      </c>
      <c r="AH723" s="43" t="s">
        <v>2721</v>
      </c>
      <c r="AI723" s="63">
        <f t="shared" si="156"/>
        <v>9.0136759220886854E-3</v>
      </c>
      <c r="AJ723" s="284">
        <f>RTD("money.excel",,$G723,"PredictVolume")</f>
        <v>2175</v>
      </c>
      <c r="AK723" s="399">
        <f>IFERROR(VLOOKUP($G723,基本資料!$A:$M,13,0),"無")</f>
        <v>28.09</v>
      </c>
    </row>
    <row r="724" spans="1:37">
      <c r="A724" s="347">
        <f>IFERROR(VLOOKUP($G724,基本資料!$A:$J,3,0),"無")</f>
        <v>5.35</v>
      </c>
      <c r="B724" s="79">
        <f>IFERROR(VLOOKUP($G724,基本資料!$A:$J,4,0),"無")</f>
        <v>1653</v>
      </c>
      <c r="C724" s="79">
        <f>IFERROR(VLOOKUP($G724,基本資料!$A:$J,5,0),"無")</f>
        <v>972</v>
      </c>
      <c r="D724" s="79">
        <f>IFERROR(VLOOKUP($G724,基本資料!$A:$J,6,0),"無")</f>
        <v>-20</v>
      </c>
      <c r="E724" s="79">
        <f>IFERROR(VLOOKUP($G724,基本資料!$A:$J,7,0),"無")</f>
        <v>-68</v>
      </c>
      <c r="F724" s="6">
        <f>IFERROR(VLOOKUP($G724,基本資料!$A:$J,8,0),"無")</f>
        <v>6.27</v>
      </c>
      <c r="G724" s="79">
        <v>2465</v>
      </c>
      <c r="H724" s="192" t="s">
        <v>1146</v>
      </c>
      <c r="I724" s="22" t="s">
        <v>4082</v>
      </c>
      <c r="J724" s="8" t="str">
        <f>IFERROR(VLOOKUP($G724,今日總結!$A:$AJ,35,0),"")</f>
        <v/>
      </c>
      <c r="K724" s="5" t="str">
        <f>IFERROR(VLOOKUP($G724,今日總結!$A:$AJ,36,0),"")</f>
        <v/>
      </c>
      <c r="L724" s="156" t="str">
        <f>IFERROR(VLOOKUP($G724,今日總結!$A:$AJ,33,0),"")</f>
        <v/>
      </c>
      <c r="M724" s="340" t="str">
        <f>IFERROR(VLOOKUP($G724,今日總結!$A:$AJ,34,0),"")</f>
        <v/>
      </c>
      <c r="N724" s="240" t="str">
        <f t="shared" si="157"/>
        <v/>
      </c>
      <c r="P724" s="365">
        <f>IFERROR(VLOOKUP($G724,融外自投!$A:$J,7,0),"無")</f>
        <v>108</v>
      </c>
      <c r="Q724" s="79">
        <f>IFERROR(VLOOKUP($G724,融外自投!$A:$J,9,0),"無")</f>
        <v>435</v>
      </c>
      <c r="R724" s="346">
        <f>IFERROR(VLOOKUP($G724,融外自投!$A:$J,8,0),"無")</f>
        <v>1177</v>
      </c>
      <c r="S724" s="81" t="str">
        <f>IFERROR(VLOOKUP($G724,融外自投!$A:$J,10,0),"無")</f>
        <v>無</v>
      </c>
      <c r="T724" s="327">
        <f>IFERROR(VLOOKUP($G724,'321買'!$A:$E,5,0),"'沒有資料'")</f>
        <v>606</v>
      </c>
      <c r="U724" s="186">
        <f>IFERROR(VLOOKUP($G724,基本資料!$A:$J,9,0),"無")</f>
        <v>2</v>
      </c>
      <c r="V724" s="310">
        <f t="shared" si="152"/>
        <v>4.1797283176593522E-2</v>
      </c>
      <c r="W724" s="94">
        <f>IFERROR(VLOOKUP($G724,基本資料!$A:$J,10,0),"無")</f>
        <v>8.1199999999999992</v>
      </c>
      <c r="X724" s="36">
        <f>RTD("money.excel",,"2465","Price")</f>
        <v>47.85</v>
      </c>
      <c r="Y724" s="66"/>
      <c r="Z724" s="15">
        <f t="shared" si="153"/>
        <v>47.85</v>
      </c>
      <c r="AA724" s="3" t="e">
        <f t="shared" si="154"/>
        <v>#DIV/0!</v>
      </c>
      <c r="AB724" s="344">
        <f>IFERROR(VLOOKUP($G724,基本資料!$A:$M,11,0),"無")</f>
        <v>-50.2</v>
      </c>
      <c r="AC724" s="397">
        <f>IFERROR(VLOOKUP($G724,基本資料!$A:$M,12,0),"無")</f>
        <v>9.0399999999999991</v>
      </c>
      <c r="AD724" s="22" t="s">
        <v>4082</v>
      </c>
      <c r="AG724" s="33">
        <f t="shared" si="155"/>
        <v>0</v>
      </c>
      <c r="AH724" s="43" t="s">
        <v>2718</v>
      </c>
      <c r="AI724" s="63">
        <f t="shared" si="156"/>
        <v>2.1925233644859814E-2</v>
      </c>
      <c r="AJ724" s="284">
        <f>RTD("money.excel",,$G724,"PredictVolume")</f>
        <v>1173</v>
      </c>
      <c r="AK724" s="399">
        <f>IFERROR(VLOOKUP($G724,基本資料!$A:$M,13,0),"無")</f>
        <v>85.01</v>
      </c>
    </row>
    <row r="725" spans="1:37">
      <c r="A725" s="347">
        <f>IFERROR(VLOOKUP($G725,基本資料!$A:$J,3,0),"無")</f>
        <v>10.199999999999999</v>
      </c>
      <c r="B725" s="79">
        <f>IFERROR(VLOOKUP($G725,基本資料!$A:$J,4,0),"無")</f>
        <v>-88</v>
      </c>
      <c r="C725" s="79">
        <f>IFERROR(VLOOKUP($G725,基本資料!$A:$J,5,0),"無")</f>
        <v>-514</v>
      </c>
      <c r="D725" s="79">
        <f>IFERROR(VLOOKUP($G725,基本資料!$A:$J,6,0),"無")</f>
        <v>-20</v>
      </c>
      <c r="E725" s="79">
        <f>IFERROR(VLOOKUP($G725,基本資料!$A:$J,7,0),"無")</f>
        <v>20</v>
      </c>
      <c r="F725" s="6">
        <f>IFERROR(VLOOKUP($G725,基本資料!$A:$J,8,0),"無")</f>
        <v>-4.83</v>
      </c>
      <c r="G725" s="79">
        <v>3002</v>
      </c>
      <c r="H725" s="192" t="s">
        <v>1146</v>
      </c>
      <c r="I725" s="22" t="s">
        <v>4083</v>
      </c>
      <c r="J725" s="8" t="str">
        <f>IFERROR(VLOOKUP($G725,今日總結!$A:$AJ,35,0),"")</f>
        <v/>
      </c>
      <c r="K725" s="5" t="str">
        <f>IFERROR(VLOOKUP($G725,今日總結!$A:$AJ,36,0),"")</f>
        <v/>
      </c>
      <c r="L725" s="156" t="str">
        <f>IFERROR(VLOOKUP($G725,今日總結!$A:$AJ,33,0),"")</f>
        <v/>
      </c>
      <c r="M725" s="340" t="str">
        <f>IFERROR(VLOOKUP($G725,今日總結!$A:$AJ,34,0),"")</f>
        <v/>
      </c>
      <c r="N725" s="240" t="str">
        <f t="shared" si="157"/>
        <v/>
      </c>
      <c r="P725" s="365">
        <f>IFERROR(VLOOKUP($G725,融外自投!$A:$J,7,0),"無")</f>
        <v>311</v>
      </c>
      <c r="Q725" s="79">
        <f>IFERROR(VLOOKUP($G725,融外自投!$A:$J,9,0),"無")</f>
        <v>978</v>
      </c>
      <c r="R725" s="346">
        <f>IFERROR(VLOOKUP($G725,融外自投!$A:$J,8,0),"無")</f>
        <v>1286</v>
      </c>
      <c r="S725" s="81" t="str">
        <f>IFERROR(VLOOKUP($G725,融外自投!$A:$J,10,0),"無")</f>
        <v>無</v>
      </c>
      <c r="T725" s="327">
        <f>IFERROR(VLOOKUP($G725,'321買'!$A:$E,5,0),"'沒有資料'")</f>
        <v>1198</v>
      </c>
      <c r="U725" s="186">
        <f>IFERROR(VLOOKUP($G725,基本資料!$A:$J,9,0),"無")</f>
        <v>0</v>
      </c>
      <c r="V725" s="310">
        <f t="shared" si="152"/>
        <v>0</v>
      </c>
      <c r="W725" s="94">
        <f>IFERROR(VLOOKUP($G725,基本資料!$A:$J,10,0),"無")</f>
        <v>-0.02</v>
      </c>
      <c r="X725" s="36">
        <f>RTD("money.excel",,"3002","Price")</f>
        <v>11.6</v>
      </c>
      <c r="Y725" s="66"/>
      <c r="Z725" s="15">
        <f t="shared" si="153"/>
        <v>11.6</v>
      </c>
      <c r="AA725" s="3" t="e">
        <f t="shared" si="154"/>
        <v>#DIV/0!</v>
      </c>
      <c r="AB725" s="344">
        <f>IFERROR(VLOOKUP($G725,基本資料!$A:$M,11,0),"無")</f>
        <v>-20.62</v>
      </c>
      <c r="AC725" s="397">
        <f>IFERROR(VLOOKUP($G725,基本資料!$A:$M,12,0),"無")</f>
        <v>40.56</v>
      </c>
      <c r="AD725" s="22" t="s">
        <v>4083</v>
      </c>
      <c r="AG725" s="33">
        <f t="shared" si="155"/>
        <v>0</v>
      </c>
      <c r="AH725" s="43" t="s">
        <v>2722</v>
      </c>
      <c r="AI725" s="63">
        <f t="shared" si="156"/>
        <v>2.7450980392156862E-4</v>
      </c>
      <c r="AJ725" s="284">
        <f>RTD("money.excel",,$G725,"PredictVolume")</f>
        <v>28</v>
      </c>
      <c r="AK725" s="399">
        <f>IFERROR(VLOOKUP($G725,基本資料!$A:$M,13,0),"無")</f>
        <v>22.62</v>
      </c>
    </row>
    <row r="726" spans="1:37">
      <c r="A726" s="347">
        <f>IFERROR(VLOOKUP($G726,基本資料!$A:$J,3,0),"無")</f>
        <v>60</v>
      </c>
      <c r="B726" s="79">
        <f>IFERROR(VLOOKUP($G726,基本資料!$A:$J,4,0),"無")</f>
        <v>59</v>
      </c>
      <c r="C726" s="79">
        <f>IFERROR(VLOOKUP($G726,基本資料!$A:$J,5,0),"無")</f>
        <v>-16</v>
      </c>
      <c r="D726" s="79">
        <f>IFERROR(VLOOKUP($G726,基本資料!$A:$J,6,0),"無")</f>
        <v>-49</v>
      </c>
      <c r="E726" s="79">
        <f>IFERROR(VLOOKUP($G726,基本資料!$A:$J,7,0),"無")</f>
        <v>-55</v>
      </c>
      <c r="F726" s="6">
        <f>IFERROR(VLOOKUP($G726,基本資料!$A:$J,8,0),"無")</f>
        <v>8.68</v>
      </c>
      <c r="G726" s="79">
        <v>3005</v>
      </c>
      <c r="H726" s="192" t="s">
        <v>1146</v>
      </c>
      <c r="I726" s="22" t="s">
        <v>51</v>
      </c>
      <c r="J726" s="8">
        <f>IFERROR(VLOOKUP($G726,今日總結!$A:$AJ,35,0),"")</f>
        <v>0</v>
      </c>
      <c r="K726" s="5" t="str">
        <f>IFERROR(VLOOKUP($G726,今日總結!$A:$AJ,36,0),"")</f>
        <v>外借</v>
      </c>
      <c r="L726" s="156">
        <f>IFERROR(VLOOKUP($G726,今日總結!$A:$AJ,33,0),"")</f>
        <v>0</v>
      </c>
      <c r="M726" s="340">
        <f>IFERROR(VLOOKUP($G726,今日總結!$A:$AJ,34,0),"")</f>
        <v>2</v>
      </c>
      <c r="N726" s="240">
        <f t="shared" si="157"/>
        <v>-2</v>
      </c>
      <c r="P726" s="365">
        <f>IFERROR(VLOOKUP($G726,融外自投!$A:$J,7,0),"無")</f>
        <v>1144</v>
      </c>
      <c r="Q726" s="79">
        <f>IFERROR(VLOOKUP($G726,融外自投!$A:$J,9,0),"無")</f>
        <v>9</v>
      </c>
      <c r="R726" s="346">
        <f>IFERROR(VLOOKUP($G726,融外自投!$A:$J,8,0),"無")</f>
        <v>219</v>
      </c>
      <c r="S726" s="81">
        <f>IFERROR(VLOOKUP($G726,融外自投!$A:$J,10,0),"無")</f>
        <v>401</v>
      </c>
      <c r="T726" s="327">
        <f>IFERROR(VLOOKUP($G726,'321買'!$A:$E,5,0),"'沒有資料'")</f>
        <v>306</v>
      </c>
      <c r="U726" s="186">
        <f>IFERROR(VLOOKUP($G726,基本資料!$A:$J,9,0),"無")</f>
        <v>3.59</v>
      </c>
      <c r="V726" s="310">
        <f t="shared" si="152"/>
        <v>7.8901098901098893E-2</v>
      </c>
      <c r="W726" s="94">
        <f>IFERROR(VLOOKUP($G726,基本資料!$A:$J,10,0),"無")</f>
        <v>7.2</v>
      </c>
      <c r="X726" s="36">
        <f>RTD("money.excel",,"3005","Price")</f>
        <v>45.5</v>
      </c>
      <c r="Y726" s="66"/>
      <c r="Z726" s="15">
        <f t="shared" si="153"/>
        <v>45.5</v>
      </c>
      <c r="AA726" s="3" t="e">
        <f t="shared" si="154"/>
        <v>#DIV/0!</v>
      </c>
      <c r="AB726" s="344">
        <f>IFERROR(VLOOKUP($G726,基本資料!$A:$M,11,0),"無")</f>
        <v>-23.33</v>
      </c>
      <c r="AC726" s="397">
        <f>IFERROR(VLOOKUP($G726,基本資料!$A:$M,12,0),"無")</f>
        <v>9.41</v>
      </c>
      <c r="AD726" s="22" t="s">
        <v>51</v>
      </c>
      <c r="AG726" s="33">
        <f t="shared" si="155"/>
        <v>0</v>
      </c>
      <c r="AH726" s="117" t="s">
        <v>2723</v>
      </c>
      <c r="AI726" s="63">
        <f t="shared" si="156"/>
        <v>2.3E-3</v>
      </c>
      <c r="AJ726" s="284">
        <f>RTD("money.excel",,$G726,"PredictVolume")</f>
        <v>1380</v>
      </c>
      <c r="AK726" s="399">
        <f>IFERROR(VLOOKUP($G726,基本資料!$A:$M,13,0),"無")</f>
        <v>1.88</v>
      </c>
    </row>
    <row r="727" spans="1:37">
      <c r="A727" s="347">
        <f>IFERROR(VLOOKUP($G727,基本資料!$A:$J,3,0),"無")</f>
        <v>19.59</v>
      </c>
      <c r="B727" s="79">
        <f>IFERROR(VLOOKUP($G727,基本資料!$A:$J,4,0),"無")</f>
        <v>-243</v>
      </c>
      <c r="C727" s="79">
        <f>IFERROR(VLOOKUP($G727,基本資料!$A:$J,5,0),"無")</f>
        <v>-163</v>
      </c>
      <c r="D727" s="79">
        <f>IFERROR(VLOOKUP($G727,基本資料!$A:$J,6,0),"無")</f>
        <v>8</v>
      </c>
      <c r="E727" s="79">
        <f>IFERROR(VLOOKUP($G727,基本資料!$A:$J,7,0),"無")</f>
        <v>45</v>
      </c>
      <c r="F727" s="6">
        <f>IFERROR(VLOOKUP($G727,基本資料!$A:$J,8,0),"無")</f>
        <v>-2.3199999999999998</v>
      </c>
      <c r="G727" s="79">
        <v>3013</v>
      </c>
      <c r="H727" s="192" t="s">
        <v>1146</v>
      </c>
      <c r="I727" s="22" t="s">
        <v>4084</v>
      </c>
      <c r="J727" s="8" t="str">
        <f>IFERROR(VLOOKUP($G727,今日總結!$A:$AJ,35,0),"")</f>
        <v/>
      </c>
      <c r="K727" s="5" t="str">
        <f>IFERROR(VLOOKUP($G727,今日總結!$A:$AJ,36,0),"")</f>
        <v/>
      </c>
      <c r="L727" s="156" t="str">
        <f>IFERROR(VLOOKUP($G727,今日總結!$A:$AJ,33,0),"")</f>
        <v/>
      </c>
      <c r="M727" s="340" t="str">
        <f>IFERROR(VLOOKUP($G727,今日總結!$A:$AJ,34,0),"")</f>
        <v/>
      </c>
      <c r="N727" s="240" t="str">
        <f t="shared" si="157"/>
        <v/>
      </c>
      <c r="P727" s="365">
        <f>IFERROR(VLOOKUP($G727,融外自投!$A:$J,7,0),"無")</f>
        <v>510</v>
      </c>
      <c r="Q727" s="79">
        <f>IFERROR(VLOOKUP($G727,融外自投!$A:$J,9,0),"無")</f>
        <v>896</v>
      </c>
      <c r="R727" s="346">
        <f>IFERROR(VLOOKUP($G727,融外自投!$A:$J,8,0),"無")</f>
        <v>1113</v>
      </c>
      <c r="S727" s="81" t="str">
        <f>IFERROR(VLOOKUP($G727,融外自投!$A:$J,10,0),"無")</f>
        <v>無</v>
      </c>
      <c r="T727" s="327">
        <f>IFERROR(VLOOKUP($G727,'321買'!$A:$E,5,0),"'沒有資料'")</f>
        <v>894</v>
      </c>
      <c r="U727" s="186">
        <f>IFERROR(VLOOKUP($G727,基本資料!$A:$J,9,0),"無")</f>
        <v>0</v>
      </c>
      <c r="V727" s="310">
        <f t="shared" si="152"/>
        <v>0</v>
      </c>
      <c r="W727" s="94">
        <f>IFERROR(VLOOKUP($G727,基本資料!$A:$J,10,0),"無")</f>
        <v>-0.74</v>
      </c>
      <c r="X727" s="36">
        <f>RTD("money.excel",,"3013","Price")</f>
        <v>13.4</v>
      </c>
      <c r="Y727" s="66"/>
      <c r="Z727" s="15">
        <f t="shared" si="153"/>
        <v>13.4</v>
      </c>
      <c r="AA727" s="3" t="e">
        <f t="shared" si="154"/>
        <v>#DIV/0!</v>
      </c>
      <c r="AB727" s="344">
        <f>IFERROR(VLOOKUP($G727,基本資料!$A:$M,11,0),"無")</f>
        <v>-20</v>
      </c>
      <c r="AC727" s="397">
        <f>IFERROR(VLOOKUP($G727,基本資料!$A:$M,12,0),"無")</f>
        <v>50.21</v>
      </c>
      <c r="AD727" s="22" t="s">
        <v>4084</v>
      </c>
      <c r="AG727" s="33">
        <f t="shared" si="155"/>
        <v>0</v>
      </c>
      <c r="AH727" s="43" t="s">
        <v>2724</v>
      </c>
      <c r="AI727" s="63">
        <f t="shared" si="156"/>
        <v>4.543134252169474E-4</v>
      </c>
      <c r="AJ727" s="284">
        <f>RTD("money.excel",,$G727,"PredictVolume")</f>
        <v>89</v>
      </c>
      <c r="AK727" s="399">
        <f>IFERROR(VLOOKUP($G727,基本資料!$A:$M,13,0),"無")</f>
        <v>8.82</v>
      </c>
    </row>
    <row r="728" spans="1:37">
      <c r="A728" s="347">
        <f>IFERROR(VLOOKUP($G728,基本資料!$A:$J,3,0),"無")</f>
        <v>35.33</v>
      </c>
      <c r="B728" s="79">
        <f>IFERROR(VLOOKUP($G728,基本資料!$A:$J,4,0),"無")</f>
        <v>60</v>
      </c>
      <c r="C728" s="79">
        <f>IFERROR(VLOOKUP($G728,基本資料!$A:$J,5,0),"無")</f>
        <v>47</v>
      </c>
      <c r="D728" s="79">
        <f>IFERROR(VLOOKUP($G728,基本資料!$A:$J,6,0),"無")</f>
        <v>7</v>
      </c>
      <c r="E728" s="79">
        <f>IFERROR(VLOOKUP($G728,基本資料!$A:$J,7,0),"無")</f>
        <v>0</v>
      </c>
      <c r="F728" s="6">
        <f>IFERROR(VLOOKUP($G728,基本資料!$A:$J,8,0),"無")</f>
        <v>10.199999999999999</v>
      </c>
      <c r="G728" s="79">
        <v>3017</v>
      </c>
      <c r="H728" s="192" t="s">
        <v>1146</v>
      </c>
      <c r="I728" s="22" t="s">
        <v>117</v>
      </c>
      <c r="J728" s="8">
        <f>IFERROR(VLOOKUP($G728,今日總結!$A:$AJ,35,0),"")</f>
        <v>42</v>
      </c>
      <c r="K728" s="5">
        <f>IFERROR(VLOOKUP($G728,今日總結!$A:$AJ,36,0),"")</f>
        <v>0</v>
      </c>
      <c r="L728" s="156">
        <f>IFERROR(VLOOKUP($G728,今日總結!$A:$AJ,33,0),"")</f>
        <v>2</v>
      </c>
      <c r="M728" s="340">
        <f>IFERROR(VLOOKUP($G728,今日總結!$A:$AJ,34,0),"")</f>
        <v>0</v>
      </c>
      <c r="N728" s="240">
        <f t="shared" si="157"/>
        <v>2</v>
      </c>
      <c r="P728" s="365">
        <f>IFERROR(VLOOKUP($G728,融外自投!$A:$J,7,0),"無")</f>
        <v>490</v>
      </c>
      <c r="Q728" s="79">
        <f>IFERROR(VLOOKUP($G728,融外自投!$A:$J,9,0),"無")</f>
        <v>379</v>
      </c>
      <c r="R728" s="346">
        <f>IFERROR(VLOOKUP($G728,融外自投!$A:$J,8,0),"無")</f>
        <v>126</v>
      </c>
      <c r="S728" s="81">
        <f>IFERROR(VLOOKUP($G728,融外自投!$A:$J,10,0),"無")</f>
        <v>7</v>
      </c>
      <c r="T728" s="327">
        <f>IFERROR(VLOOKUP($G728,'321買'!$A:$E,5,0),"'沒有資料'")</f>
        <v>48</v>
      </c>
      <c r="U728" s="186">
        <f>IFERROR(VLOOKUP($G728,基本資料!$A:$J,9,0),"無")</f>
        <v>4.3</v>
      </c>
      <c r="V728" s="310">
        <f t="shared" si="152"/>
        <v>4.1545893719806763E-2</v>
      </c>
      <c r="W728" s="94">
        <f>IFERROR(VLOOKUP($G728,基本資料!$A:$J,10,0),"無")</f>
        <v>8.2100000000000009</v>
      </c>
      <c r="X728" s="36">
        <f>RTD("money.excel",,"3017","Price")</f>
        <v>103.5</v>
      </c>
      <c r="Y728" s="66"/>
      <c r="Z728" s="15">
        <f t="shared" si="153"/>
        <v>103.5</v>
      </c>
      <c r="AA728" s="3" t="e">
        <f t="shared" si="154"/>
        <v>#DIV/0!</v>
      </c>
      <c r="AB728" s="344">
        <f>IFERROR(VLOOKUP($G728,基本資料!$A:$M,11,0),"無")</f>
        <v>-20.78</v>
      </c>
      <c r="AC728" s="397">
        <f>IFERROR(VLOOKUP($G728,基本資料!$A:$M,12,0),"無")</f>
        <v>22.97</v>
      </c>
      <c r="AD728" s="22" t="s">
        <v>117</v>
      </c>
      <c r="AG728" s="33">
        <f t="shared" si="155"/>
        <v>0</v>
      </c>
      <c r="AH728" s="43" t="s">
        <v>2927</v>
      </c>
      <c r="AI728" s="63">
        <f t="shared" si="156"/>
        <v>2.0418907444098501E-2</v>
      </c>
      <c r="AJ728" s="284">
        <f>RTD("money.excel",,$G728,"PredictVolume")</f>
        <v>7214</v>
      </c>
      <c r="AK728" s="399">
        <f>IFERROR(VLOOKUP($G728,基本資料!$A:$M,13,0),"無")</f>
        <v>20.69</v>
      </c>
    </row>
    <row r="729" spans="1:37" ht="16.5" customHeight="1">
      <c r="A729" s="347">
        <f>IFERROR(VLOOKUP($G729,基本資料!$A:$J,3,0),"無")</f>
        <v>17.649999999999999</v>
      </c>
      <c r="B729" s="79">
        <f>IFERROR(VLOOKUP($G729,基本資料!$A:$J,4,0),"無")</f>
        <v>-13</v>
      </c>
      <c r="C729" s="79">
        <f>IFERROR(VLOOKUP($G729,基本資料!$A:$J,5,0),"無")</f>
        <v>-19</v>
      </c>
      <c r="D729" s="79">
        <f>IFERROR(VLOOKUP($G729,基本資料!$A:$J,6,0),"無")</f>
        <v>-2</v>
      </c>
      <c r="E729" s="79">
        <f>IFERROR(VLOOKUP($G729,基本資料!$A:$J,7,0),"無")</f>
        <v>-11</v>
      </c>
      <c r="F729" s="6">
        <f>IFERROR(VLOOKUP($G729,基本資料!$A:$J,8,0),"無")</f>
        <v>11.55</v>
      </c>
      <c r="G729" s="79">
        <v>3022</v>
      </c>
      <c r="H729" s="192" t="s">
        <v>1146</v>
      </c>
      <c r="I729" s="22" t="s">
        <v>63</v>
      </c>
      <c r="J729" s="8" t="str">
        <f>IFERROR(VLOOKUP($G729,今日總結!$A:$AJ,35,0),"")</f>
        <v/>
      </c>
      <c r="K729" s="5" t="str">
        <f>IFERROR(VLOOKUP($G729,今日總結!$A:$AJ,36,0),"")</f>
        <v/>
      </c>
      <c r="L729" s="156" t="str">
        <f>IFERROR(VLOOKUP($G729,今日總結!$A:$AJ,33,0),"")</f>
        <v/>
      </c>
      <c r="M729" s="340" t="str">
        <f>IFERROR(VLOOKUP($G729,今日總結!$A:$AJ,34,0),"")</f>
        <v/>
      </c>
      <c r="N729" s="240" t="str">
        <f t="shared" si="157"/>
        <v/>
      </c>
      <c r="P729" s="365">
        <f>IFERROR(VLOOKUP($G729,融外自投!$A:$J,7,0),"無")</f>
        <v>985</v>
      </c>
      <c r="Q729" s="79">
        <f>IFERROR(VLOOKUP($G729,融外自投!$A:$J,9,0),"無")</f>
        <v>571</v>
      </c>
      <c r="R729" s="346">
        <f>IFERROR(VLOOKUP($G729,融外自投!$A:$J,8,0),"無")</f>
        <v>295</v>
      </c>
      <c r="S729" s="81" t="str">
        <f>IFERROR(VLOOKUP($G729,融外自投!$A:$J,10,0),"無")</f>
        <v>無</v>
      </c>
      <c r="T729" s="327">
        <f>IFERROR(VLOOKUP($G729,'321買'!$A:$E,5,0),"'沒有資料'")</f>
        <v>1281</v>
      </c>
      <c r="U729" s="186">
        <f>IFERROR(VLOOKUP($G729,基本資料!$A:$J,9,0),"無")</f>
        <v>3</v>
      </c>
      <c r="V729" s="310">
        <f t="shared" si="152"/>
        <v>6.7796610169491525E-2</v>
      </c>
      <c r="W729" s="94">
        <f>IFERROR(VLOOKUP($G729,基本資料!$A:$J,10,0),"無")</f>
        <v>4.9000000000000004</v>
      </c>
      <c r="X729" s="36">
        <f>RTD("money.excel",,"3022","Price")</f>
        <v>44.25</v>
      </c>
      <c r="Y729" s="66"/>
      <c r="Z729" s="15">
        <f t="shared" si="153"/>
        <v>44.25</v>
      </c>
      <c r="AA729" s="3" t="e">
        <f t="shared" si="154"/>
        <v>#DIV/0!</v>
      </c>
      <c r="AB729" s="344">
        <f>IFERROR(VLOOKUP($G729,基本資料!$A:$M,11,0),"無")</f>
        <v>-20.309999999999999</v>
      </c>
      <c r="AC729" s="397">
        <f>IFERROR(VLOOKUP($G729,基本資料!$A:$M,12,0),"無")</f>
        <v>19.16</v>
      </c>
      <c r="AD729" s="22" t="s">
        <v>63</v>
      </c>
      <c r="AG729" s="33">
        <f t="shared" si="155"/>
        <v>0</v>
      </c>
      <c r="AH729" s="117" t="s">
        <v>2725</v>
      </c>
      <c r="AI729" s="63">
        <f t="shared" si="156"/>
        <v>4.0226628895184138E-4</v>
      </c>
      <c r="AJ729" s="284">
        <f>RTD("money.excel",,$G729,"PredictVolume")</f>
        <v>71</v>
      </c>
      <c r="AK729" s="399">
        <f>IFERROR(VLOOKUP($G729,基本資料!$A:$M,13,0),"無")</f>
        <v>4.1100000000000003</v>
      </c>
    </row>
    <row r="730" spans="1:37" ht="16.5" customHeight="1">
      <c r="A730" s="347">
        <f>IFERROR(VLOOKUP($G730,基本資料!$A:$J,3,0),"無")</f>
        <v>7.14</v>
      </c>
      <c r="B730" s="79">
        <f>IFERROR(VLOOKUP($G730,基本資料!$A:$J,4,0),"無")</f>
        <v>308</v>
      </c>
      <c r="C730" s="79">
        <f>IFERROR(VLOOKUP($G730,基本資料!$A:$J,5,0),"無")</f>
        <v>216</v>
      </c>
      <c r="D730" s="79">
        <f>IFERROR(VLOOKUP($G730,基本資料!$A:$J,6,0),"無")</f>
        <v>-63</v>
      </c>
      <c r="E730" s="79">
        <f>IFERROR(VLOOKUP($G730,基本資料!$A:$J,7,0),"無")</f>
        <v>-32</v>
      </c>
      <c r="F730" s="6">
        <f>IFERROR(VLOOKUP($G730,基本資料!$A:$J,8,0),"無")</f>
        <v>2.93</v>
      </c>
      <c r="G730" s="79">
        <v>3046</v>
      </c>
      <c r="H730" s="192" t="s">
        <v>1146</v>
      </c>
      <c r="I730" s="22" t="s">
        <v>4085</v>
      </c>
      <c r="J730" s="8" t="str">
        <f>IFERROR(VLOOKUP($G730,今日總結!$A:$AJ,35,0),"")</f>
        <v/>
      </c>
      <c r="K730" s="5" t="str">
        <f>IFERROR(VLOOKUP($G730,今日總結!$A:$AJ,36,0),"")</f>
        <v/>
      </c>
      <c r="L730" s="156" t="str">
        <f>IFERROR(VLOOKUP($G730,今日總結!$A:$AJ,33,0),"")</f>
        <v/>
      </c>
      <c r="M730" s="340" t="str">
        <f>IFERROR(VLOOKUP($G730,今日總結!$A:$AJ,34,0),"")</f>
        <v/>
      </c>
      <c r="N730" s="240" t="str">
        <f t="shared" si="157"/>
        <v/>
      </c>
      <c r="P730" s="365" t="str">
        <f>IFERROR(VLOOKUP($G730,融外自投!$A:$J,7,0),"無")</f>
        <v>無</v>
      </c>
      <c r="Q730" s="79" t="str">
        <f>IFERROR(VLOOKUP($G730,融外自投!$A:$J,9,0),"無")</f>
        <v>無</v>
      </c>
      <c r="R730" s="346" t="str">
        <f>IFERROR(VLOOKUP($G730,融外自投!$A:$J,8,0),"無")</f>
        <v>無</v>
      </c>
      <c r="S730" s="81" t="str">
        <f>IFERROR(VLOOKUP($G730,融外自投!$A:$J,10,0),"無")</f>
        <v>無</v>
      </c>
      <c r="T730" s="327" t="str">
        <f>IFERROR(VLOOKUP($G730,'321買'!$A:$E,5,0),"'沒有資料'")</f>
        <v>'沒有資料'</v>
      </c>
      <c r="U730" s="186">
        <f>IFERROR(VLOOKUP($G730,基本資料!$A:$J,9,0),"無")</f>
        <v>0</v>
      </c>
      <c r="V730" s="310">
        <f t="shared" si="152"/>
        <v>0</v>
      </c>
      <c r="W730" s="94">
        <f>IFERROR(VLOOKUP($G730,基本資料!$A:$J,10,0),"無")</f>
        <v>1.82</v>
      </c>
      <c r="X730" s="36">
        <f>RTD("money.excel",,"3046","Price")</f>
        <v>28.5</v>
      </c>
      <c r="Y730" s="66"/>
      <c r="Z730" s="15">
        <f t="shared" si="153"/>
        <v>28.5</v>
      </c>
      <c r="AA730" s="3" t="e">
        <f t="shared" si="154"/>
        <v>#DIV/0!</v>
      </c>
      <c r="AB730" s="344">
        <f>IFERROR(VLOOKUP($G730,基本資料!$A:$M,11,0),"無")</f>
        <v>-46.17</v>
      </c>
      <c r="AC730" s="397">
        <f>IFERROR(VLOOKUP($G730,基本資料!$A:$M,12,0),"無")</f>
        <v>24.36</v>
      </c>
      <c r="AD730" s="22" t="s">
        <v>4085</v>
      </c>
      <c r="AG730" s="33">
        <f t="shared" si="155"/>
        <v>0</v>
      </c>
      <c r="AH730" s="43" t="s">
        <v>2104</v>
      </c>
      <c r="AI730" s="63">
        <f t="shared" si="156"/>
        <v>1.246498599439776E-3</v>
      </c>
      <c r="AJ730" s="284">
        <f>RTD("money.excel",,$G730,"PredictVolume")</f>
        <v>89</v>
      </c>
      <c r="AK730" s="399">
        <f>IFERROR(VLOOKUP($G730,基本資料!$A:$M,13,0),"無")</f>
        <v>8.5</v>
      </c>
    </row>
    <row r="731" spans="1:37" ht="16.5" customHeight="1">
      <c r="A731" s="347">
        <f>IFERROR(VLOOKUP($G731,基本資料!$A:$J,3,0),"無")</f>
        <v>9.26</v>
      </c>
      <c r="B731" s="79">
        <f>IFERROR(VLOOKUP($G731,基本資料!$A:$J,4,0),"無")</f>
        <v>100</v>
      </c>
      <c r="C731" s="79">
        <f>IFERROR(VLOOKUP($G731,基本資料!$A:$J,5,0),"無")</f>
        <v>96</v>
      </c>
      <c r="D731" s="79">
        <f>IFERROR(VLOOKUP($G731,基本資料!$A:$J,6,0),"無")</f>
        <v>52</v>
      </c>
      <c r="E731" s="79">
        <f>IFERROR(VLOOKUP($G731,基本資料!$A:$J,7,0),"無")</f>
        <v>30</v>
      </c>
      <c r="F731" s="6">
        <f>IFERROR(VLOOKUP($G731,基本資料!$A:$J,8,0),"無")</f>
        <v>-0.51</v>
      </c>
      <c r="G731" s="79">
        <v>3057</v>
      </c>
      <c r="H731" s="192" t="s">
        <v>1146</v>
      </c>
      <c r="I731" s="22" t="s">
        <v>462</v>
      </c>
      <c r="J731" s="8" t="str">
        <f>IFERROR(VLOOKUP($G731,今日總結!$A:$AJ,35,0),"")</f>
        <v/>
      </c>
      <c r="K731" s="5" t="str">
        <f>IFERROR(VLOOKUP($G731,今日總結!$A:$AJ,36,0),"")</f>
        <v/>
      </c>
      <c r="L731" s="156" t="str">
        <f>IFERROR(VLOOKUP($G731,今日總結!$A:$AJ,33,0),"")</f>
        <v/>
      </c>
      <c r="M731" s="340" t="str">
        <f>IFERROR(VLOOKUP($G731,今日總結!$A:$AJ,34,0),"")</f>
        <v/>
      </c>
      <c r="N731" s="240" t="str">
        <f t="shared" si="157"/>
        <v/>
      </c>
      <c r="P731" s="365" t="str">
        <f>IFERROR(VLOOKUP($G731,融外自投!$A:$J,7,0),"無")</f>
        <v>無</v>
      </c>
      <c r="Q731" s="79" t="str">
        <f>IFERROR(VLOOKUP($G731,融外自投!$A:$J,9,0),"無")</f>
        <v>無</v>
      </c>
      <c r="R731" s="346" t="str">
        <f>IFERROR(VLOOKUP($G731,融外自投!$A:$J,8,0),"無")</f>
        <v>無</v>
      </c>
      <c r="S731" s="81" t="str">
        <f>IFERROR(VLOOKUP($G731,融外自投!$A:$J,10,0),"無")</f>
        <v>無</v>
      </c>
      <c r="T731" s="327" t="str">
        <f>IFERROR(VLOOKUP($G731,'321買'!$A:$E,5,0),"'沒有資料'")</f>
        <v>'沒有資料'</v>
      </c>
      <c r="U731" s="186">
        <f>IFERROR(VLOOKUP($G731,基本資料!$A:$J,9,0),"無")</f>
        <v>0</v>
      </c>
      <c r="V731" s="310">
        <f t="shared" si="152"/>
        <v>0</v>
      </c>
      <c r="W731" s="94">
        <f>IFERROR(VLOOKUP($G731,基本資料!$A:$J,10,0),"無")</f>
        <v>0.01</v>
      </c>
      <c r="X731" s="36">
        <f>RTD("money.excel",,"3057","Price")</f>
        <v>12.25</v>
      </c>
      <c r="Y731" s="66"/>
      <c r="Z731" s="15">
        <f t="shared" si="153"/>
        <v>12.25</v>
      </c>
      <c r="AA731" s="3" t="e">
        <f t="shared" si="154"/>
        <v>#DIV/0!</v>
      </c>
      <c r="AB731" s="344">
        <f>IFERROR(VLOOKUP($G731,基本資料!$A:$M,11,0),"無")</f>
        <v>-24.24</v>
      </c>
      <c r="AC731" s="397">
        <f>IFERROR(VLOOKUP($G731,基本資料!$A:$M,12,0),"無")</f>
        <v>13</v>
      </c>
      <c r="AD731" s="22" t="s">
        <v>462</v>
      </c>
      <c r="AG731" s="33">
        <f t="shared" si="155"/>
        <v>0</v>
      </c>
      <c r="AH731" s="43" t="s">
        <v>2726</v>
      </c>
      <c r="AI731" s="63">
        <f t="shared" ref="AI731:AI762" si="158">AJ731/(A731*10000)</f>
        <v>4.2116630669546438E-4</v>
      </c>
      <c r="AJ731" s="284">
        <f>RTD("money.excel",,$G731,"PredictVolume")</f>
        <v>39</v>
      </c>
      <c r="AK731" s="399">
        <f>IFERROR(VLOOKUP($G731,基本資料!$A:$M,13,0),"無")</f>
        <v>8.73</v>
      </c>
    </row>
    <row r="732" spans="1:37" ht="16.5" customHeight="1">
      <c r="A732" s="347">
        <f>IFERROR(VLOOKUP($G732,基本資料!$A:$J,3,0),"無")</f>
        <v>13.75</v>
      </c>
      <c r="B732" s="79">
        <f>IFERROR(VLOOKUP($G732,基本資料!$A:$J,4,0),"無")</f>
        <v>164</v>
      </c>
      <c r="C732" s="79">
        <f>IFERROR(VLOOKUP($G732,基本資料!$A:$J,5,0),"無")</f>
        <v>165</v>
      </c>
      <c r="D732" s="79">
        <f>IFERROR(VLOOKUP($G732,基本資料!$A:$J,6,0),"無")</f>
        <v>-14</v>
      </c>
      <c r="E732" s="79">
        <f>IFERROR(VLOOKUP($G732,基本資料!$A:$J,7,0),"無")</f>
        <v>18</v>
      </c>
      <c r="F732" s="6">
        <f>IFERROR(VLOOKUP($G732,基本資料!$A:$J,8,0),"無")</f>
        <v>4.3899999999999997</v>
      </c>
      <c r="G732" s="79">
        <v>3060</v>
      </c>
      <c r="H732" s="192" t="s">
        <v>1146</v>
      </c>
      <c r="I732" s="22" t="s">
        <v>463</v>
      </c>
      <c r="J732" s="8" t="str">
        <f>IFERROR(VLOOKUP($G732,今日總結!$A:$AJ,35,0),"")</f>
        <v/>
      </c>
      <c r="K732" s="5" t="str">
        <f>IFERROR(VLOOKUP($G732,今日總結!$A:$AJ,36,0),"")</f>
        <v/>
      </c>
      <c r="L732" s="156" t="str">
        <f>IFERROR(VLOOKUP($G732,今日總結!$A:$AJ,33,0),"")</f>
        <v/>
      </c>
      <c r="M732" s="340" t="str">
        <f>IFERROR(VLOOKUP($G732,今日總結!$A:$AJ,34,0),"")</f>
        <v/>
      </c>
      <c r="N732" s="240" t="str">
        <f t="shared" si="157"/>
        <v/>
      </c>
      <c r="P732" s="365">
        <f>IFERROR(VLOOKUP($G732,融外自投!$A:$J,7,0),"無")</f>
        <v>384</v>
      </c>
      <c r="Q732" s="79">
        <f>IFERROR(VLOOKUP($G732,融外自投!$A:$J,9,0),"無")</f>
        <v>130</v>
      </c>
      <c r="R732" s="346">
        <f>IFERROR(VLOOKUP($G732,融外自投!$A:$J,8,0),"無")</f>
        <v>651</v>
      </c>
      <c r="S732" s="81">
        <f>IFERROR(VLOOKUP($G732,融外自投!$A:$J,10,0),"無")</f>
        <v>491</v>
      </c>
      <c r="T732" s="327">
        <f>IFERROR(VLOOKUP($G732,'321買'!$A:$E,5,0),"'沒有資料'")</f>
        <v>729</v>
      </c>
      <c r="U732" s="186">
        <f>IFERROR(VLOOKUP($G732,基本資料!$A:$J,9,0),"無")</f>
        <v>1</v>
      </c>
      <c r="V732" s="310">
        <f t="shared" si="152"/>
        <v>5.0251256281407038E-2</v>
      </c>
      <c r="W732" s="94">
        <f>IFERROR(VLOOKUP($G732,基本資料!$A:$J,10,0),"無")</f>
        <v>1.36</v>
      </c>
      <c r="X732" s="36">
        <f>RTD("money.excel",,"3060","Price")</f>
        <v>19.899999999999999</v>
      </c>
      <c r="Y732" s="66"/>
      <c r="Z732" s="15">
        <f t="shared" si="153"/>
        <v>19.899999999999999</v>
      </c>
      <c r="AA732" s="3" t="e">
        <f t="shared" si="154"/>
        <v>#DIV/0!</v>
      </c>
      <c r="AB732" s="344">
        <f>IFERROR(VLOOKUP($G732,基本資料!$A:$M,11,0),"無")</f>
        <v>-39.479999999999997</v>
      </c>
      <c r="AC732" s="397">
        <f>IFERROR(VLOOKUP($G732,基本資料!$A:$M,12,0),"無")</f>
        <v>20.81</v>
      </c>
      <c r="AD732" s="22" t="s">
        <v>463</v>
      </c>
      <c r="AG732" s="33">
        <f t="shared" si="155"/>
        <v>0</v>
      </c>
      <c r="AH732" s="43" t="s">
        <v>2727</v>
      </c>
      <c r="AI732" s="63">
        <f t="shared" si="158"/>
        <v>1.4909090909090909E-3</v>
      </c>
      <c r="AJ732" s="284">
        <f>RTD("money.excel",,$G732,"PredictVolume")</f>
        <v>205</v>
      </c>
      <c r="AK732" s="399">
        <f>IFERROR(VLOOKUP($G732,基本資料!$A:$M,13,0),"無")</f>
        <v>23.45</v>
      </c>
    </row>
    <row r="733" spans="1:37" ht="16.5" customHeight="1">
      <c r="A733" s="347">
        <f>IFERROR(VLOOKUP($G733,基本資料!$A:$J,3,0),"無")</f>
        <v>11</v>
      </c>
      <c r="B733" s="79">
        <f>IFERROR(VLOOKUP($G733,基本資料!$A:$J,4,0),"無")</f>
        <v>0</v>
      </c>
      <c r="C733" s="79">
        <f>IFERROR(VLOOKUP($G733,基本資料!$A:$J,5,0),"無")</f>
        <v>16</v>
      </c>
      <c r="D733" s="79">
        <f>IFERROR(VLOOKUP($G733,基本資料!$A:$J,6,0),"無")</f>
        <v>13</v>
      </c>
      <c r="E733" s="79">
        <f>IFERROR(VLOOKUP($G733,基本資料!$A:$J,7,0),"無")</f>
        <v>15</v>
      </c>
      <c r="F733" s="6">
        <f>IFERROR(VLOOKUP($G733,基本資料!$A:$J,8,0),"無")</f>
        <v>8.9</v>
      </c>
      <c r="G733" s="79">
        <v>3071</v>
      </c>
      <c r="H733" s="192" t="s">
        <v>1146</v>
      </c>
      <c r="I733" s="16" t="s">
        <v>2202</v>
      </c>
      <c r="J733" s="8" t="str">
        <f>IFERROR(VLOOKUP($G733,今日總結!$A:$AJ,35,0),"")</f>
        <v>融</v>
      </c>
      <c r="K733" s="5">
        <f>IFERROR(VLOOKUP($G733,今日總結!$A:$AJ,36,0),"")</f>
        <v>0</v>
      </c>
      <c r="L733" s="156">
        <f>IFERROR(VLOOKUP($G733,今日總結!$A:$AJ,33,0),"")</f>
        <v>1</v>
      </c>
      <c r="M733" s="340">
        <f>IFERROR(VLOOKUP($G733,今日總結!$A:$AJ,34,0),"")</f>
        <v>0</v>
      </c>
      <c r="N733" s="240">
        <f t="shared" si="157"/>
        <v>1</v>
      </c>
      <c r="P733" s="365">
        <f>IFERROR(VLOOKUP($G733,融外自投!$A:$J,7,0),"無")</f>
        <v>545</v>
      </c>
      <c r="Q733" s="79">
        <f>IFERROR(VLOOKUP($G733,融外自投!$A:$J,9,0),"無")</f>
        <v>852</v>
      </c>
      <c r="R733" s="346">
        <f>IFERROR(VLOOKUP($G733,融外自投!$A:$J,8,0),"無")</f>
        <v>1009</v>
      </c>
      <c r="S733" s="81">
        <f>IFERROR(VLOOKUP($G733,融外自投!$A:$J,10,0),"無")</f>
        <v>362</v>
      </c>
      <c r="T733" s="327">
        <f>IFERROR(VLOOKUP($G733,'321買'!$A:$E,5,0),"'沒有資料'")</f>
        <v>1179</v>
      </c>
      <c r="U733" s="186">
        <f>IFERROR(VLOOKUP($G733,基本資料!$A:$J,9,0),"無")</f>
        <v>1.6</v>
      </c>
      <c r="V733" s="310">
        <f t="shared" si="152"/>
        <v>6.1776061776061784E-2</v>
      </c>
      <c r="W733" s="94">
        <f>IFERROR(VLOOKUP($G733,基本資料!$A:$J,10,0),"無")</f>
        <v>1.86</v>
      </c>
      <c r="X733" s="36">
        <f>RTD("money.excel",,"3071","Price")</f>
        <v>25.9</v>
      </c>
      <c r="Y733" s="66"/>
      <c r="Z733" s="15">
        <f t="shared" si="153"/>
        <v>25.9</v>
      </c>
      <c r="AA733" s="3" t="e">
        <f t="shared" si="154"/>
        <v>#DIV/0!</v>
      </c>
      <c r="AB733" s="344">
        <f>IFERROR(VLOOKUP($G733,基本資料!$A:$M,11,0),"無")</f>
        <v>-20.76</v>
      </c>
      <c r="AC733" s="397">
        <f>IFERROR(VLOOKUP($G733,基本資料!$A:$M,12,0),"無")</f>
        <v>34.79</v>
      </c>
      <c r="AD733" s="16" t="s">
        <v>2202</v>
      </c>
      <c r="AG733" s="33">
        <f t="shared" si="155"/>
        <v>0</v>
      </c>
      <c r="AH733" s="43" t="s">
        <v>2275</v>
      </c>
      <c r="AI733" s="63">
        <f t="shared" si="158"/>
        <v>4.0636363636363639E-3</v>
      </c>
      <c r="AJ733" s="284">
        <f>RTD("money.excel",,$G733,"PredictVolume")</f>
        <v>447</v>
      </c>
      <c r="AK733" s="399">
        <f>IFERROR(VLOOKUP($G733,基本資料!$A:$M,13,0),"無")</f>
        <v>10.26</v>
      </c>
    </row>
    <row r="734" spans="1:37" ht="16.5" customHeight="1">
      <c r="A734" s="347">
        <f>IFERROR(VLOOKUP($G734,基本資料!$A:$J,3,0),"無")</f>
        <v>9.02</v>
      </c>
      <c r="B734" s="79">
        <f>IFERROR(VLOOKUP($G734,基本資料!$A:$J,4,0),"無")</f>
        <v>27</v>
      </c>
      <c r="C734" s="79">
        <f>IFERROR(VLOOKUP($G734,基本資料!$A:$J,5,0),"無")</f>
        <v>3</v>
      </c>
      <c r="D734" s="79">
        <f>IFERROR(VLOOKUP($G734,基本資料!$A:$J,6,0),"無")</f>
        <v>-17</v>
      </c>
      <c r="E734" s="79">
        <f>IFERROR(VLOOKUP($G734,基本資料!$A:$J,7,0),"無")</f>
        <v>40</v>
      </c>
      <c r="F734" s="6">
        <f>IFERROR(VLOOKUP($G734,基本資料!$A:$J,8,0),"無")</f>
        <v>8.23</v>
      </c>
      <c r="G734" s="79">
        <v>3088</v>
      </c>
      <c r="H734" s="145" t="s">
        <v>1146</v>
      </c>
      <c r="I734" s="16" t="s">
        <v>2203</v>
      </c>
      <c r="J734" s="8">
        <f>IFERROR(VLOOKUP($G734,今日總結!$A:$AJ,35,0),"")</f>
        <v>0</v>
      </c>
      <c r="K734" s="5" t="str">
        <f>IFERROR(VLOOKUP($G734,今日總結!$A:$AJ,36,0),"")</f>
        <v>融</v>
      </c>
      <c r="L734" s="156">
        <f>IFERROR(VLOOKUP($G734,今日總結!$A:$AJ,33,0),"")</f>
        <v>0</v>
      </c>
      <c r="M734" s="340">
        <f>IFERROR(VLOOKUP($G734,今日總結!$A:$AJ,34,0),"")</f>
        <v>1</v>
      </c>
      <c r="N734" s="240">
        <f t="shared" si="157"/>
        <v>-1</v>
      </c>
      <c r="P734" s="365">
        <f>IFERROR(VLOOKUP($G734,融外自投!$A:$J,7,0),"無")</f>
        <v>704</v>
      </c>
      <c r="Q734" s="79">
        <f>IFERROR(VLOOKUP($G734,融外自投!$A:$J,9,0),"無")</f>
        <v>896</v>
      </c>
      <c r="R734" s="346">
        <f>IFERROR(VLOOKUP($G734,融外自投!$A:$J,8,0),"無")</f>
        <v>695</v>
      </c>
      <c r="S734" s="81">
        <f>IFERROR(VLOOKUP($G734,融外自投!$A:$J,10,0),"無")</f>
        <v>182</v>
      </c>
      <c r="T734" s="327">
        <f>IFERROR(VLOOKUP($G734,'321買'!$A:$E,5,0),"'沒有資料'")</f>
        <v>281</v>
      </c>
      <c r="U734" s="186">
        <f>IFERROR(VLOOKUP($G734,基本資料!$A:$J,9,0),"無")</f>
        <v>3.05</v>
      </c>
      <c r="V734" s="310">
        <f t="shared" si="152"/>
        <v>5.3135888501742161E-2</v>
      </c>
      <c r="W734" s="94">
        <f>IFERROR(VLOOKUP($G734,基本資料!$A:$J,10,0),"無")</f>
        <v>4.57</v>
      </c>
      <c r="X734" s="36">
        <f>RTD("money.excel",,"3088","Price")</f>
        <v>57.4</v>
      </c>
      <c r="Y734" s="66"/>
      <c r="Z734" s="15">
        <f t="shared" si="153"/>
        <v>57.4</v>
      </c>
      <c r="AA734" s="3" t="e">
        <f t="shared" si="154"/>
        <v>#DIV/0!</v>
      </c>
      <c r="AB734" s="344">
        <f>IFERROR(VLOOKUP($G734,基本資料!$A:$M,11,0),"無")</f>
        <v>-19.72</v>
      </c>
      <c r="AC734" s="397">
        <f>IFERROR(VLOOKUP($G734,基本資料!$A:$M,12,0),"無")</f>
        <v>24.43</v>
      </c>
      <c r="AD734" s="16" t="s">
        <v>2203</v>
      </c>
      <c r="AG734" s="33">
        <f t="shared" si="155"/>
        <v>0</v>
      </c>
      <c r="AH734" s="117" t="s">
        <v>1048</v>
      </c>
      <c r="AI734" s="63">
        <f t="shared" si="158"/>
        <v>2.2727272727272726E-3</v>
      </c>
      <c r="AJ734" s="284">
        <f>RTD("money.excel",,$G734,"PredictVolume")</f>
        <v>205</v>
      </c>
      <c r="AK734" s="399">
        <f>IFERROR(VLOOKUP($G734,基本資料!$A:$M,13,0),"無")</f>
        <v>12.89</v>
      </c>
    </row>
    <row r="735" spans="1:37" ht="16.5" customHeight="1">
      <c r="A735" s="347">
        <f>IFERROR(VLOOKUP($G735,基本資料!$A:$J,3,0),"無")</f>
        <v>14.96</v>
      </c>
      <c r="B735" s="79">
        <f>IFERROR(VLOOKUP($G735,基本資料!$A:$J,4,0),"無")</f>
        <v>219</v>
      </c>
      <c r="C735" s="79">
        <f>IFERROR(VLOOKUP($G735,基本資料!$A:$J,5,0),"無")</f>
        <v>-36</v>
      </c>
      <c r="D735" s="79">
        <f>IFERROR(VLOOKUP($G735,基本資料!$A:$J,6,0),"無")</f>
        <v>-40</v>
      </c>
      <c r="E735" s="79">
        <f>IFERROR(VLOOKUP($G735,基本資料!$A:$J,7,0),"無")</f>
        <v>-43</v>
      </c>
      <c r="F735" s="6">
        <f>IFERROR(VLOOKUP($G735,基本資料!$A:$J,8,0),"無")</f>
        <v>4.08</v>
      </c>
      <c r="G735" s="79">
        <v>3211</v>
      </c>
      <c r="H735" s="145" t="s">
        <v>1146</v>
      </c>
      <c r="I735" s="16" t="s">
        <v>4086</v>
      </c>
      <c r="J735" s="8" t="str">
        <f>IFERROR(VLOOKUP($G735,今日總結!$A:$AJ,35,0),"")</f>
        <v/>
      </c>
      <c r="K735" s="5" t="str">
        <f>IFERROR(VLOOKUP($G735,今日總結!$A:$AJ,36,0),"")</f>
        <v/>
      </c>
      <c r="L735" s="156" t="str">
        <f>IFERROR(VLOOKUP($G735,今日總結!$A:$AJ,33,0),"")</f>
        <v/>
      </c>
      <c r="M735" s="340" t="str">
        <f>IFERROR(VLOOKUP($G735,今日總結!$A:$AJ,34,0),"")</f>
        <v/>
      </c>
      <c r="N735" s="240" t="str">
        <f t="shared" si="157"/>
        <v/>
      </c>
      <c r="P735" s="365">
        <f>IFERROR(VLOOKUP($G735,融外自投!$A:$J,7,0),"無")</f>
        <v>890</v>
      </c>
      <c r="Q735" s="79">
        <f>IFERROR(VLOOKUP($G735,融外自投!$A:$J,9,0),"無")</f>
        <v>198</v>
      </c>
      <c r="R735" s="346">
        <f>IFERROR(VLOOKUP($G735,融外自投!$A:$J,8,0),"無")</f>
        <v>524</v>
      </c>
      <c r="S735" s="81">
        <f>IFERROR(VLOOKUP($G735,融外自投!$A:$J,10,0),"無")</f>
        <v>345</v>
      </c>
      <c r="T735" s="327">
        <f>IFERROR(VLOOKUP($G735,'321買'!$A:$E,5,0),"'沒有資料'")</f>
        <v>606</v>
      </c>
      <c r="U735" s="186">
        <f>IFERROR(VLOOKUP($G735,基本資料!$A:$J,9,0),"無")</f>
        <v>15.03</v>
      </c>
      <c r="V735" s="310">
        <f t="shared" si="152"/>
        <v>0.19907284768211919</v>
      </c>
      <c r="W735" s="94">
        <f>IFERROR(VLOOKUP($G735,基本資料!$A:$J,10,0),"無")</f>
        <v>22.42</v>
      </c>
      <c r="X735" s="36">
        <f>RTD("money.excel",,"3211","Price")</f>
        <v>75.5</v>
      </c>
      <c r="Y735" s="66"/>
      <c r="Z735" s="15">
        <f t="shared" si="153"/>
        <v>75.5</v>
      </c>
      <c r="AA735" s="3" t="e">
        <f t="shared" si="154"/>
        <v>#DIV/0!</v>
      </c>
      <c r="AB735" s="344">
        <f>IFERROR(VLOOKUP($G735,基本資料!$A:$M,11,0),"無")</f>
        <v>-36.729999999999997</v>
      </c>
      <c r="AC735" s="397">
        <f>IFERROR(VLOOKUP($G735,基本資料!$A:$M,12,0),"無")</f>
        <v>7.14</v>
      </c>
      <c r="AD735" s="16" t="s">
        <v>4086</v>
      </c>
      <c r="AG735" s="33">
        <f t="shared" si="155"/>
        <v>0</v>
      </c>
      <c r="AH735" s="43" t="s">
        <v>2214</v>
      </c>
      <c r="AI735" s="63">
        <f t="shared" si="158"/>
        <v>3.5695187165775402E-3</v>
      </c>
      <c r="AJ735" s="284">
        <f>RTD("money.excel",,$G735,"PredictVolume")</f>
        <v>534</v>
      </c>
      <c r="AK735" s="399">
        <f>IFERROR(VLOOKUP($G735,基本資料!$A:$M,13,0),"無")</f>
        <v>10.09</v>
      </c>
    </row>
    <row r="736" spans="1:37">
      <c r="A736" s="347">
        <f>IFERROR(VLOOKUP($G736,基本資料!$A:$J,3,0),"無")</f>
        <v>5.86</v>
      </c>
      <c r="B736" s="79">
        <f>IFERROR(VLOOKUP($G736,基本資料!$A:$J,4,0),"無")</f>
        <v>95</v>
      </c>
      <c r="C736" s="79">
        <f>IFERROR(VLOOKUP($G736,基本資料!$A:$J,5,0),"無")</f>
        <v>-12</v>
      </c>
      <c r="D736" s="79">
        <f>IFERROR(VLOOKUP($G736,基本資料!$A:$J,6,0),"無")</f>
        <v>22</v>
      </c>
      <c r="E736" s="79">
        <f>IFERROR(VLOOKUP($G736,基本資料!$A:$J,7,0),"無")</f>
        <v>-8</v>
      </c>
      <c r="F736" s="6">
        <f>IFERROR(VLOOKUP($G736,基本資料!$A:$J,8,0),"無")</f>
        <v>11.56</v>
      </c>
      <c r="G736" s="79">
        <v>3213</v>
      </c>
      <c r="H736" s="145" t="s">
        <v>1146</v>
      </c>
      <c r="I736" s="16" t="s">
        <v>2204</v>
      </c>
      <c r="J736" s="8" t="str">
        <f>IFERROR(VLOOKUP($G736,今日總結!$A:$AJ,35,0),"")</f>
        <v/>
      </c>
      <c r="K736" s="5" t="str">
        <f>IFERROR(VLOOKUP($G736,今日總結!$A:$AJ,36,0),"")</f>
        <v/>
      </c>
      <c r="L736" s="156" t="str">
        <f>IFERROR(VLOOKUP($G736,今日總結!$A:$AJ,33,0),"")</f>
        <v/>
      </c>
      <c r="M736" s="340" t="str">
        <f>IFERROR(VLOOKUP($G736,今日總結!$A:$AJ,34,0),"")</f>
        <v/>
      </c>
      <c r="N736" s="240" t="str">
        <f t="shared" si="157"/>
        <v/>
      </c>
      <c r="P736" s="365">
        <f>IFERROR(VLOOKUP($G736,融外自投!$A:$J,7,0),"無")</f>
        <v>1193</v>
      </c>
      <c r="Q736" s="79">
        <f>IFERROR(VLOOKUP($G736,融外自投!$A:$J,9,0),"無")</f>
        <v>131</v>
      </c>
      <c r="R736" s="346">
        <f>IFERROR(VLOOKUP($G736,融外自投!$A:$J,8,0),"無")</f>
        <v>707</v>
      </c>
      <c r="S736" s="81" t="str">
        <f>IFERROR(VLOOKUP($G736,融外自投!$A:$J,10,0),"無")</f>
        <v>無</v>
      </c>
      <c r="T736" s="327">
        <f>IFERROR(VLOOKUP($G736,'321買'!$A:$E,5,0),"'沒有資料'")</f>
        <v>939</v>
      </c>
      <c r="U736" s="186">
        <f>IFERROR(VLOOKUP($G736,基本資料!$A:$J,9,0),"無")</f>
        <v>3.7</v>
      </c>
      <c r="V736" s="310">
        <f t="shared" si="152"/>
        <v>7.3852295409181631E-2</v>
      </c>
      <c r="W736" s="94">
        <f>IFERROR(VLOOKUP($G736,基本資料!$A:$J,10,0),"無")</f>
        <v>10.87</v>
      </c>
      <c r="X736" s="36">
        <f>RTD("money.excel",,"3213","Price")</f>
        <v>50.1</v>
      </c>
      <c r="Y736" s="66"/>
      <c r="Z736" s="15">
        <f t="shared" si="153"/>
        <v>50.1</v>
      </c>
      <c r="AA736" s="3" t="e">
        <f t="shared" si="154"/>
        <v>#DIV/0!</v>
      </c>
      <c r="AB736" s="344">
        <f>IFERROR(VLOOKUP($G736,基本資料!$A:$M,11,0),"無")</f>
        <v>-23.48</v>
      </c>
      <c r="AC736" s="397">
        <f>IFERROR(VLOOKUP($G736,基本資料!$A:$M,12,0),"無")</f>
        <v>5.53</v>
      </c>
      <c r="AD736" s="16" t="s">
        <v>2204</v>
      </c>
      <c r="AG736" s="33">
        <f t="shared" si="155"/>
        <v>0</v>
      </c>
      <c r="AH736" s="43" t="s">
        <v>2437</v>
      </c>
      <c r="AI736" s="63">
        <f t="shared" si="158"/>
        <v>7.8498293515358363E-4</v>
      </c>
      <c r="AJ736" s="284">
        <f>RTD("money.excel",,$G736,"PredictVolume")</f>
        <v>46</v>
      </c>
      <c r="AK736" s="399">
        <f>IFERROR(VLOOKUP($G736,基本資料!$A:$M,13,0),"無")</f>
        <v>22.01</v>
      </c>
    </row>
    <row r="737" spans="1:39">
      <c r="A737" s="347">
        <f>IFERROR(VLOOKUP($G737,基本資料!$A:$J,3,0),"無")</f>
        <v>290</v>
      </c>
      <c r="B737" s="79">
        <f>IFERROR(VLOOKUP($G737,基本資料!$A:$J,4,0),"無")</f>
        <v>14</v>
      </c>
      <c r="C737" s="79">
        <f>IFERROR(VLOOKUP($G737,基本資料!$A:$J,5,0),"無")</f>
        <v>13</v>
      </c>
      <c r="D737" s="79">
        <f>IFERROR(VLOOKUP($G737,基本資料!$A:$J,6,0),"無")</f>
        <v>-27</v>
      </c>
      <c r="E737" s="79">
        <f>IFERROR(VLOOKUP($G737,基本資料!$A:$J,7,0),"無")</f>
        <v>0</v>
      </c>
      <c r="F737" s="6">
        <f>IFERROR(VLOOKUP($G737,基本資料!$A:$J,8,0),"無")</f>
        <v>1.9</v>
      </c>
      <c r="G737" s="79">
        <v>3231</v>
      </c>
      <c r="H737" s="192" t="s">
        <v>1146</v>
      </c>
      <c r="I737" s="22" t="s">
        <v>23</v>
      </c>
      <c r="J737" s="8" t="str">
        <f>IFERROR(VLOOKUP($G737,今日總結!$A:$AJ,35,0),"")</f>
        <v/>
      </c>
      <c r="K737" s="5" t="str">
        <f>IFERROR(VLOOKUP($G737,今日總結!$A:$AJ,36,0),"")</f>
        <v/>
      </c>
      <c r="L737" s="156" t="str">
        <f>IFERROR(VLOOKUP($G737,今日總結!$A:$AJ,33,0),"")</f>
        <v/>
      </c>
      <c r="M737" s="340" t="str">
        <f>IFERROR(VLOOKUP($G737,今日總結!$A:$AJ,34,0),"")</f>
        <v/>
      </c>
      <c r="N737" s="240" t="str">
        <f t="shared" si="157"/>
        <v/>
      </c>
      <c r="P737" s="365">
        <f>IFERROR(VLOOKUP($G737,融外自投!$A:$J,7,0),"無")</f>
        <v>1190</v>
      </c>
      <c r="Q737" s="79">
        <f>IFERROR(VLOOKUP($G737,融外自投!$A:$J,9,0),"無")</f>
        <v>24</v>
      </c>
      <c r="R737" s="346">
        <f>IFERROR(VLOOKUP($G737,融外自投!$A:$J,8,0),"無")</f>
        <v>184</v>
      </c>
      <c r="S737" s="81">
        <f>IFERROR(VLOOKUP($G737,融外自投!$A:$J,10,0),"無")</f>
        <v>39</v>
      </c>
      <c r="T737" s="327">
        <f>IFERROR(VLOOKUP($G737,'321買'!$A:$E,5,0),"'沒有資料'")</f>
        <v>26</v>
      </c>
      <c r="U737" s="186">
        <f>IFERROR(VLOOKUP($G737,基本資料!$A:$J,9,0),"無")</f>
        <v>2.2000000000000002</v>
      </c>
      <c r="V737" s="310">
        <f t="shared" si="152"/>
        <v>8.0586080586080591E-2</v>
      </c>
      <c r="W737" s="94">
        <f>IFERROR(VLOOKUP($G737,基本資料!$A:$J,10,0),"無")</f>
        <v>3.76</v>
      </c>
      <c r="X737" s="36">
        <f>RTD("money.excel",,"3231","Price")</f>
        <v>27.3</v>
      </c>
      <c r="Y737" s="66"/>
      <c r="Z737" s="15">
        <f t="shared" si="153"/>
        <v>27.3</v>
      </c>
      <c r="AA737" s="3" t="e">
        <f t="shared" si="154"/>
        <v>#DIV/0!</v>
      </c>
      <c r="AB737" s="344">
        <f>IFERROR(VLOOKUP($G737,基本資料!$A:$M,11,0),"無")</f>
        <v>-16.440000000000001</v>
      </c>
      <c r="AC737" s="397">
        <f>IFERROR(VLOOKUP($G737,基本資料!$A:$M,12,0),"無")</f>
        <v>22.21</v>
      </c>
      <c r="AD737" s="22" t="s">
        <v>23</v>
      </c>
      <c r="AG737" s="33">
        <f t="shared" si="155"/>
        <v>0</v>
      </c>
      <c r="AH737" s="117" t="s">
        <v>2728</v>
      </c>
      <c r="AI737" s="63">
        <f t="shared" si="158"/>
        <v>2.5137931034482758E-3</v>
      </c>
      <c r="AJ737" s="284">
        <f>RTD("money.excel",,$G737,"PredictVolume")</f>
        <v>7290</v>
      </c>
      <c r="AK737" s="399">
        <f>IFERROR(VLOOKUP($G737,基本資料!$A:$M,13,0),"無")</f>
        <v>10.49</v>
      </c>
    </row>
    <row r="738" spans="1:39">
      <c r="A738" s="347">
        <f>IFERROR(VLOOKUP($G738,基本資料!$A:$J,3,0),"無")</f>
        <v>5.46</v>
      </c>
      <c r="B738" s="79">
        <f>IFERROR(VLOOKUP($G738,基本資料!$A:$J,4,0),"無")</f>
        <v>-82</v>
      </c>
      <c r="C738" s="79">
        <f>IFERROR(VLOOKUP($G738,基本資料!$A:$J,5,0),"無")</f>
        <v>-97</v>
      </c>
      <c r="D738" s="79">
        <f>IFERROR(VLOOKUP($G738,基本資料!$A:$J,6,0),"無")</f>
        <v>-58</v>
      </c>
      <c r="E738" s="79">
        <f>IFERROR(VLOOKUP($G738,基本資料!$A:$J,7,0),"無")</f>
        <v>-39</v>
      </c>
      <c r="F738" s="6">
        <f>IFERROR(VLOOKUP($G738,基本資料!$A:$J,8,0),"無")</f>
        <v>0.11</v>
      </c>
      <c r="G738" s="79">
        <v>3272</v>
      </c>
      <c r="H738" s="145" t="s">
        <v>1146</v>
      </c>
      <c r="I738" s="16" t="s">
        <v>2205</v>
      </c>
      <c r="J738" s="8" t="str">
        <f>IFERROR(VLOOKUP($G738,今日總結!$A:$AJ,35,0),"")</f>
        <v/>
      </c>
      <c r="K738" s="5" t="str">
        <f>IFERROR(VLOOKUP($G738,今日總結!$A:$AJ,36,0),"")</f>
        <v/>
      </c>
      <c r="L738" s="156" t="str">
        <f>IFERROR(VLOOKUP($G738,今日總結!$A:$AJ,33,0),"")</f>
        <v/>
      </c>
      <c r="M738" s="340" t="str">
        <f>IFERROR(VLOOKUP($G738,今日總結!$A:$AJ,34,0),"")</f>
        <v/>
      </c>
      <c r="N738" s="240" t="str">
        <f t="shared" si="157"/>
        <v/>
      </c>
      <c r="P738" s="365">
        <f>IFERROR(VLOOKUP($G738,融外自投!$A:$J,7,0),"無")</f>
        <v>476</v>
      </c>
      <c r="Q738" s="79">
        <f>IFERROR(VLOOKUP($G738,融外自投!$A:$J,9,0),"無")</f>
        <v>1110</v>
      </c>
      <c r="R738" s="346">
        <f>IFERROR(VLOOKUP($G738,融外自投!$A:$J,8,0),"無")</f>
        <v>1326</v>
      </c>
      <c r="S738" s="81">
        <f>IFERROR(VLOOKUP($G738,融外自投!$A:$J,10,0),"無")</f>
        <v>407</v>
      </c>
      <c r="T738" s="327">
        <f>IFERROR(VLOOKUP($G738,'321買'!$A:$E,5,0),"'沒有資料'")</f>
        <v>779</v>
      </c>
      <c r="U738" s="186">
        <f>IFERROR(VLOOKUP($G738,基本資料!$A:$J,9,0),"無")</f>
        <v>1</v>
      </c>
      <c r="V738" s="310">
        <f t="shared" si="152"/>
        <v>3.9603960396039604E-2</v>
      </c>
      <c r="W738" s="94">
        <f>IFERROR(VLOOKUP($G738,基本資料!$A:$J,10,0),"無")</f>
        <v>0.57999999999999996</v>
      </c>
      <c r="X738" s="36">
        <f>RTD("money.excel",,"3272","Price")</f>
        <v>25.25</v>
      </c>
      <c r="Y738" s="66"/>
      <c r="Z738" s="15">
        <f t="shared" si="153"/>
        <v>25.25</v>
      </c>
      <c r="AA738" s="3" t="e">
        <f t="shared" si="154"/>
        <v>#DIV/0!</v>
      </c>
      <c r="AB738" s="344">
        <f>IFERROR(VLOOKUP($G738,基本資料!$A:$M,11,0),"無")</f>
        <v>-44.14</v>
      </c>
      <c r="AC738" s="397">
        <f>IFERROR(VLOOKUP($G738,基本資料!$A:$M,12,0),"無")</f>
        <v>8</v>
      </c>
      <c r="AD738" s="16" t="s">
        <v>2205</v>
      </c>
      <c r="AG738" s="33">
        <f t="shared" si="155"/>
        <v>0</v>
      </c>
      <c r="AH738" s="119" t="s">
        <v>2299</v>
      </c>
      <c r="AI738" s="63">
        <f t="shared" si="158"/>
        <v>9.706959706959707E-4</v>
      </c>
      <c r="AJ738" s="284">
        <f>RTD("money.excel",,$G738,"PredictVolume")</f>
        <v>53</v>
      </c>
      <c r="AK738" s="399">
        <f>IFERROR(VLOOKUP($G738,基本資料!$A:$M,13,0),"無")</f>
        <v>5.21</v>
      </c>
    </row>
    <row r="739" spans="1:39">
      <c r="A739" s="347">
        <f>IFERROR(VLOOKUP($G739,基本資料!$A:$J,3,0),"無")</f>
        <v>4.3899999999999997</v>
      </c>
      <c r="B739" s="79">
        <f>IFERROR(VLOOKUP($G739,基本資料!$A:$J,4,0),"無")</f>
        <v>-24</v>
      </c>
      <c r="C739" s="79">
        <f>IFERROR(VLOOKUP($G739,基本資料!$A:$J,5,0),"無")</f>
        <v>-8</v>
      </c>
      <c r="D739" s="79">
        <f>IFERROR(VLOOKUP($G739,基本資料!$A:$J,6,0),"無")</f>
        <v>43</v>
      </c>
      <c r="E739" s="79">
        <f>IFERROR(VLOOKUP($G739,基本資料!$A:$J,7,0),"無")</f>
        <v>-27</v>
      </c>
      <c r="F739" s="6">
        <f>IFERROR(VLOOKUP($G739,基本資料!$A:$J,8,0),"無")</f>
        <v>10.220000000000001</v>
      </c>
      <c r="G739" s="79">
        <v>3287</v>
      </c>
      <c r="H739" s="145" t="s">
        <v>1146</v>
      </c>
      <c r="I739" s="16" t="s">
        <v>2206</v>
      </c>
      <c r="J739" s="8" t="str">
        <f>IFERROR(VLOOKUP($G739,今日總結!$A:$AJ,35,0),"")</f>
        <v/>
      </c>
      <c r="K739" s="5" t="str">
        <f>IFERROR(VLOOKUP($G739,今日總結!$A:$AJ,36,0),"")</f>
        <v/>
      </c>
      <c r="L739" s="156" t="str">
        <f>IFERROR(VLOOKUP($G739,今日總結!$A:$AJ,33,0),"")</f>
        <v/>
      </c>
      <c r="M739" s="340" t="str">
        <f>IFERROR(VLOOKUP($G739,今日總結!$A:$AJ,34,0),"")</f>
        <v/>
      </c>
      <c r="N739" s="240" t="str">
        <f t="shared" si="157"/>
        <v/>
      </c>
      <c r="P739" s="365">
        <f>IFERROR(VLOOKUP($G739,融外自投!$A:$J,7,0),"無")</f>
        <v>307</v>
      </c>
      <c r="Q739" s="79" t="str">
        <f>IFERROR(VLOOKUP($G739,融外自投!$A:$J,9,0),"無")</f>
        <v>無</v>
      </c>
      <c r="R739" s="346">
        <f>IFERROR(VLOOKUP($G739,融外自投!$A:$J,8,0),"無")</f>
        <v>1314</v>
      </c>
      <c r="S739" s="81" t="str">
        <f>IFERROR(VLOOKUP($G739,融外自投!$A:$J,10,0),"無")</f>
        <v>無</v>
      </c>
      <c r="T739" s="327">
        <f>IFERROR(VLOOKUP($G739,'321買'!$A:$E,5,0),"'沒有資料'")</f>
        <v>1281</v>
      </c>
      <c r="U739" s="186">
        <f>IFERROR(VLOOKUP($G739,基本資料!$A:$J,9,0),"無")</f>
        <v>0</v>
      </c>
      <c r="V739" s="310">
        <f t="shared" si="152"/>
        <v>0</v>
      </c>
      <c r="W739" s="94">
        <f>IFERROR(VLOOKUP($G739,基本資料!$A:$J,10,0),"無")</f>
        <v>1.1399999999999999</v>
      </c>
      <c r="X739" s="36">
        <f>RTD("money.excel",,"3287","Price")</f>
        <v>13.35</v>
      </c>
      <c r="Y739" s="66"/>
      <c r="Z739" s="15">
        <f t="shared" si="153"/>
        <v>13.35</v>
      </c>
      <c r="AA739" s="3" t="e">
        <f t="shared" si="154"/>
        <v>#DIV/0!</v>
      </c>
      <c r="AB739" s="344">
        <f>IFERROR(VLOOKUP($G739,基本資料!$A:$M,11,0),"無")</f>
        <v>-36.729999999999997</v>
      </c>
      <c r="AC739" s="397">
        <f>IFERROR(VLOOKUP($G739,基本資料!$A:$M,12,0),"無")</f>
        <v>20.89</v>
      </c>
      <c r="AD739" s="16" t="s">
        <v>2206</v>
      </c>
      <c r="AG739" s="33">
        <f t="shared" si="155"/>
        <v>0</v>
      </c>
      <c r="AH739" s="43" t="s">
        <v>2438</v>
      </c>
      <c r="AI739" s="63">
        <f t="shared" si="158"/>
        <v>1.4123006833712984E-3</v>
      </c>
      <c r="AJ739" s="284">
        <f>RTD("money.excel",,$G739,"PredictVolume")</f>
        <v>62</v>
      </c>
      <c r="AK739" s="399">
        <f>IFERROR(VLOOKUP($G739,基本資料!$A:$M,13,0),"無")</f>
        <v>11.38</v>
      </c>
    </row>
    <row r="740" spans="1:39">
      <c r="A740" s="347">
        <f>IFERROR(VLOOKUP($G740,基本資料!$A:$J,3,0),"無")</f>
        <v>8.0299999999999994</v>
      </c>
      <c r="B740" s="79">
        <f>IFERROR(VLOOKUP($G740,基本資料!$A:$J,4,0),"無")</f>
        <v>-24</v>
      </c>
      <c r="C740" s="79">
        <f>IFERROR(VLOOKUP($G740,基本資料!$A:$J,5,0),"無")</f>
        <v>-21</v>
      </c>
      <c r="D740" s="79">
        <f>IFERROR(VLOOKUP($G740,基本資料!$A:$J,6,0),"無")</f>
        <v>-57</v>
      </c>
      <c r="E740" s="79">
        <f>IFERROR(VLOOKUP($G740,基本資料!$A:$J,7,0),"無")</f>
        <v>-49</v>
      </c>
      <c r="F740" s="6">
        <f>IFERROR(VLOOKUP($G740,基本資料!$A:$J,8,0),"無")</f>
        <v>2.48</v>
      </c>
      <c r="G740" s="79">
        <v>3323</v>
      </c>
      <c r="H740" s="145" t="s">
        <v>1146</v>
      </c>
      <c r="I740" s="16" t="s">
        <v>2207</v>
      </c>
      <c r="J740" s="8" t="str">
        <f>IFERROR(VLOOKUP($G740,今日總結!$A:$AJ,35,0),"")</f>
        <v/>
      </c>
      <c r="K740" s="5" t="str">
        <f>IFERROR(VLOOKUP($G740,今日總結!$A:$AJ,36,0),"")</f>
        <v/>
      </c>
      <c r="L740" s="156" t="str">
        <f>IFERROR(VLOOKUP($G740,今日總結!$A:$AJ,33,0),"")</f>
        <v/>
      </c>
      <c r="M740" s="340" t="str">
        <f>IFERROR(VLOOKUP($G740,今日總結!$A:$AJ,34,0),"")</f>
        <v/>
      </c>
      <c r="N740" s="240" t="str">
        <f t="shared" si="157"/>
        <v/>
      </c>
      <c r="P740" s="365">
        <f>IFERROR(VLOOKUP($G740,融外自投!$A:$J,7,0),"無")</f>
        <v>242</v>
      </c>
      <c r="Q740" s="79">
        <f>IFERROR(VLOOKUP($G740,融外自投!$A:$J,9,0),"無")</f>
        <v>377</v>
      </c>
      <c r="R740" s="346">
        <f>IFERROR(VLOOKUP($G740,融外自投!$A:$J,8,0),"無")</f>
        <v>1085</v>
      </c>
      <c r="S740" s="81" t="str">
        <f>IFERROR(VLOOKUP($G740,融外自投!$A:$J,10,0),"無")</f>
        <v>無</v>
      </c>
      <c r="T740" s="327">
        <f>IFERROR(VLOOKUP($G740,'321買'!$A:$E,5,0),"'沒有資料'")</f>
        <v>634</v>
      </c>
      <c r="U740" s="186">
        <f>IFERROR(VLOOKUP($G740,基本資料!$A:$J,9,0),"無")</f>
        <v>2</v>
      </c>
      <c r="V740" s="310">
        <f t="shared" si="152"/>
        <v>5.7388809182209469E-2</v>
      </c>
      <c r="W740" s="94">
        <f>IFERROR(VLOOKUP($G740,基本資料!$A:$J,10,0),"無")</f>
        <v>3.16</v>
      </c>
      <c r="X740" s="36">
        <f>RTD("money.excel",,"3323","Price")</f>
        <v>34.85</v>
      </c>
      <c r="Y740" s="66"/>
      <c r="Z740" s="15">
        <f t="shared" si="153"/>
        <v>34.85</v>
      </c>
      <c r="AA740" s="3" t="e">
        <f t="shared" si="154"/>
        <v>#DIV/0!</v>
      </c>
      <c r="AB740" s="344">
        <f>IFERROR(VLOOKUP($G740,基本資料!$A:$M,11,0),"無")</f>
        <v>-45.41</v>
      </c>
      <c r="AC740" s="397">
        <f>IFERROR(VLOOKUP($G740,基本資料!$A:$M,12,0),"無")</f>
        <v>15.14</v>
      </c>
      <c r="AD740" s="16" t="s">
        <v>2207</v>
      </c>
      <c r="AG740" s="33">
        <f t="shared" si="155"/>
        <v>0</v>
      </c>
      <c r="AH740" s="43" t="s">
        <v>2214</v>
      </c>
      <c r="AI740" s="63">
        <f t="shared" si="158"/>
        <v>1.7061021170610212E-3</v>
      </c>
      <c r="AJ740" s="284">
        <f>RTD("money.excel",,$G740,"PredictVolume")</f>
        <v>137</v>
      </c>
      <c r="AK740" s="399">
        <f>IFERROR(VLOOKUP($G740,基本資料!$A:$M,13,0),"無")</f>
        <v>26.65</v>
      </c>
    </row>
    <row r="741" spans="1:39">
      <c r="A741" s="347">
        <f>IFERROR(VLOOKUP($G741,基本資料!$A:$J,3,0),"無")</f>
        <v>8.4600000000000009</v>
      </c>
      <c r="B741" s="79">
        <f>IFERROR(VLOOKUP($G741,基本資料!$A:$J,4,0),"無")</f>
        <v>-138</v>
      </c>
      <c r="C741" s="79">
        <f>IFERROR(VLOOKUP($G741,基本資料!$A:$J,5,0),"無")</f>
        <v>-123</v>
      </c>
      <c r="D741" s="79">
        <f>IFERROR(VLOOKUP($G741,基本資料!$A:$J,6,0),"無")</f>
        <v>-35</v>
      </c>
      <c r="E741" s="79">
        <f>IFERROR(VLOOKUP($G741,基本資料!$A:$J,7,0),"無")</f>
        <v>-66</v>
      </c>
      <c r="F741" s="6">
        <f>IFERROR(VLOOKUP($G741,基本資料!$A:$J,8,0),"無")</f>
        <v>-4.2</v>
      </c>
      <c r="G741" s="79">
        <v>3325</v>
      </c>
      <c r="H741" s="145" t="s">
        <v>1146</v>
      </c>
      <c r="I741" s="16" t="s">
        <v>471</v>
      </c>
      <c r="J741" s="8" t="str">
        <f>IFERROR(VLOOKUP($G741,今日總結!$A:$AJ,35,0),"")</f>
        <v/>
      </c>
      <c r="K741" s="5" t="str">
        <f>IFERROR(VLOOKUP($G741,今日總結!$A:$AJ,36,0),"")</f>
        <v/>
      </c>
      <c r="L741" s="156" t="str">
        <f>IFERROR(VLOOKUP($G741,今日總結!$A:$AJ,33,0),"")</f>
        <v/>
      </c>
      <c r="M741" s="340" t="str">
        <f>IFERROR(VLOOKUP($G741,今日總結!$A:$AJ,34,0),"")</f>
        <v/>
      </c>
      <c r="N741" s="240" t="str">
        <f t="shared" si="157"/>
        <v/>
      </c>
      <c r="P741" s="365">
        <f>IFERROR(VLOOKUP($G741,融外自投!$A:$J,7,0),"無")</f>
        <v>394</v>
      </c>
      <c r="Q741" s="79" t="str">
        <f>IFERROR(VLOOKUP($G741,融外自投!$A:$J,9,0),"無")</f>
        <v>無</v>
      </c>
      <c r="R741" s="346">
        <f>IFERROR(VLOOKUP($G741,融外自投!$A:$J,8,0),"無")</f>
        <v>1232</v>
      </c>
      <c r="S741" s="81" t="str">
        <f>IFERROR(VLOOKUP($G741,融外自投!$A:$J,10,0),"無")</f>
        <v>無</v>
      </c>
      <c r="T741" s="327">
        <f>IFERROR(VLOOKUP($G741,'321買'!$A:$E,5,0),"'沒有資料'")</f>
        <v>584</v>
      </c>
      <c r="U741" s="186">
        <f>IFERROR(VLOOKUP($G741,基本資料!$A:$J,9,0),"無")</f>
        <v>0</v>
      </c>
      <c r="V741" s="310">
        <f t="shared" si="152"/>
        <v>0</v>
      </c>
      <c r="W741" s="94">
        <f>IFERROR(VLOOKUP($G741,基本資料!$A:$J,10,0),"無")</f>
        <v>-0.7</v>
      </c>
      <c r="X741" s="36">
        <f>RTD("money.excel",,"3325","Price")</f>
        <v>13.45</v>
      </c>
      <c r="Y741" s="66"/>
      <c r="Z741" s="15">
        <f t="shared" si="153"/>
        <v>13.45</v>
      </c>
      <c r="AA741" s="3" t="e">
        <f t="shared" si="154"/>
        <v>#DIV/0!</v>
      </c>
      <c r="AB741" s="344">
        <f>IFERROR(VLOOKUP($G741,基本資料!$A:$M,11,0),"無")</f>
        <v>-47.59</v>
      </c>
      <c r="AC741" s="397">
        <f>IFERROR(VLOOKUP($G741,基本資料!$A:$M,12,0),"無")</f>
        <v>8.83</v>
      </c>
      <c r="AD741" s="16" t="s">
        <v>471</v>
      </c>
      <c r="AG741" s="33">
        <f t="shared" si="155"/>
        <v>0</v>
      </c>
      <c r="AH741" s="43" t="s">
        <v>2439</v>
      </c>
      <c r="AI741" s="63">
        <f t="shared" si="158"/>
        <v>1.5130023640661937E-3</v>
      </c>
      <c r="AJ741" s="284">
        <f>RTD("money.excel",,$G741,"PredictVolume")</f>
        <v>128</v>
      </c>
      <c r="AK741" s="399">
        <f>IFERROR(VLOOKUP($G741,基本資料!$A:$M,13,0),"無")</f>
        <v>19.739999999999998</v>
      </c>
    </row>
    <row r="742" spans="1:39">
      <c r="A742" s="347" t="str">
        <f>IFERROR(VLOOKUP($G742,基本資料!$A:$J,3,0),"無")</f>
        <v>無</v>
      </c>
      <c r="B742" s="79" t="str">
        <f>IFERROR(VLOOKUP($G742,基本資料!$A:$J,4,0),"無")</f>
        <v>無</v>
      </c>
      <c r="C742" s="79" t="str">
        <f>IFERROR(VLOOKUP($G742,基本資料!$A:$J,5,0),"無")</f>
        <v>無</v>
      </c>
      <c r="D742" s="79" t="str">
        <f>IFERROR(VLOOKUP($G742,基本資料!$A:$J,6,0),"無")</f>
        <v>無</v>
      </c>
      <c r="E742" s="79" t="str">
        <f>IFERROR(VLOOKUP($G742,基本資料!$A:$J,7,0),"無")</f>
        <v>無</v>
      </c>
      <c r="F742" s="6" t="str">
        <f>IFERROR(VLOOKUP($G742,基本資料!$A:$J,8,0),"無")</f>
        <v>無</v>
      </c>
      <c r="G742" s="79">
        <v>3349</v>
      </c>
      <c r="H742" s="145" t="s">
        <v>1146</v>
      </c>
      <c r="I742" s="16" t="s">
        <v>4771</v>
      </c>
      <c r="J742" s="8" t="str">
        <f>IFERROR(VLOOKUP($G742,今日總結!$A:$AJ,35,0),"")</f>
        <v/>
      </c>
      <c r="K742" s="5" t="str">
        <f>IFERROR(VLOOKUP($G742,今日總結!$A:$AJ,36,0),"")</f>
        <v/>
      </c>
      <c r="L742" s="156" t="str">
        <f>IFERROR(VLOOKUP($G742,今日總結!$A:$AJ,33,0),"")</f>
        <v/>
      </c>
      <c r="M742" s="340" t="str">
        <f>IFERROR(VLOOKUP($G742,今日總結!$A:$AJ,34,0),"")</f>
        <v/>
      </c>
      <c r="N742" s="240" t="str">
        <f t="shared" si="157"/>
        <v/>
      </c>
      <c r="P742" s="365" t="str">
        <f>IFERROR(VLOOKUP($G742,融外自投!$A:$J,7,0),"無")</f>
        <v>無</v>
      </c>
      <c r="Q742" s="79" t="str">
        <f>IFERROR(VLOOKUP($G742,融外自投!$A:$J,9,0),"無")</f>
        <v>無</v>
      </c>
      <c r="R742" s="346" t="str">
        <f>IFERROR(VLOOKUP($G742,融外自投!$A:$J,8,0),"無")</f>
        <v>無</v>
      </c>
      <c r="S742" s="81" t="str">
        <f>IFERROR(VLOOKUP($G742,融外自投!$A:$J,10,0),"無")</f>
        <v>無</v>
      </c>
      <c r="T742" s="327" t="str">
        <f>IFERROR(VLOOKUP($G742,'321買'!$A:$E,5,0),"'沒有資料'")</f>
        <v>'沒有資料'</v>
      </c>
      <c r="U742" s="186" t="str">
        <f>IFERROR(VLOOKUP($G742,基本資料!$A:$J,9,0),"無")</f>
        <v>無</v>
      </c>
      <c r="V742" s="310" t="e">
        <f t="shared" si="152"/>
        <v>#VALUE!</v>
      </c>
      <c r="W742" s="94" t="str">
        <f>IFERROR(VLOOKUP($G742,基本資料!$A:$J,10,0),"無")</f>
        <v>無</v>
      </c>
      <c r="X742" s="36">
        <f>RTD("money.excel",,"3349","Price")</f>
        <v>19</v>
      </c>
      <c r="Y742" s="66"/>
      <c r="Z742" s="15">
        <f>X742-Y742</f>
        <v>19</v>
      </c>
      <c r="AA742" s="3" t="e">
        <f>Z742/Y742</f>
        <v>#DIV/0!</v>
      </c>
      <c r="AB742" s="344" t="str">
        <f>IFERROR(VLOOKUP($G742,基本資料!$A:$M,11,0),"無")</f>
        <v>無</v>
      </c>
      <c r="AC742" s="397" t="str">
        <f>IFERROR(VLOOKUP($G742,基本資料!$A:$M,12,0),"無")</f>
        <v>無</v>
      </c>
      <c r="AD742" s="16" t="s">
        <v>4771</v>
      </c>
      <c r="AG742" s="33">
        <f>AF742-AE742</f>
        <v>0</v>
      </c>
      <c r="AH742" s="43" t="s">
        <v>4772</v>
      </c>
      <c r="AI742" s="63" t="e">
        <f t="shared" si="158"/>
        <v>#VALUE!</v>
      </c>
      <c r="AJ742" s="284">
        <f>RTD("money.excel",,$G742,"PredictVolume")</f>
        <v>29</v>
      </c>
      <c r="AK742" s="399" t="str">
        <f>IFERROR(VLOOKUP($G742,基本資料!$A:$M,13,0),"無")</f>
        <v>無</v>
      </c>
    </row>
    <row r="743" spans="1:39">
      <c r="A743" s="347">
        <f>IFERROR(VLOOKUP($G743,基本資料!$A:$J,3,0),"無")</f>
        <v>7.26</v>
      </c>
      <c r="B743" s="79">
        <f>IFERROR(VLOOKUP($G743,基本資料!$A:$J,4,0),"無")</f>
        <v>42</v>
      </c>
      <c r="C743" s="79">
        <f>IFERROR(VLOOKUP($G743,基本資料!$A:$J,5,0),"無")</f>
        <v>50</v>
      </c>
      <c r="D743" s="79">
        <f>IFERROR(VLOOKUP($G743,基本資料!$A:$J,6,0),"無")</f>
        <v>-31</v>
      </c>
      <c r="E743" s="79">
        <f>IFERROR(VLOOKUP($G743,基本資料!$A:$J,7,0),"無")</f>
        <v>12</v>
      </c>
      <c r="F743" s="6">
        <f>IFERROR(VLOOKUP($G743,基本資料!$A:$J,8,0),"無")</f>
        <v>17.48</v>
      </c>
      <c r="G743" s="79">
        <v>3416</v>
      </c>
      <c r="H743" s="192" t="s">
        <v>1146</v>
      </c>
      <c r="I743" s="22" t="s">
        <v>464</v>
      </c>
      <c r="J743" s="8" t="str">
        <f>IFERROR(VLOOKUP($G743,今日總結!$A:$AJ,35,0),"")</f>
        <v/>
      </c>
      <c r="K743" s="5" t="str">
        <f>IFERROR(VLOOKUP($G743,今日總結!$A:$AJ,36,0),"")</f>
        <v/>
      </c>
      <c r="L743" s="156" t="str">
        <f>IFERROR(VLOOKUP($G743,今日總結!$A:$AJ,33,0),"")</f>
        <v/>
      </c>
      <c r="M743" s="340" t="str">
        <f>IFERROR(VLOOKUP($G743,今日總結!$A:$AJ,34,0),"")</f>
        <v/>
      </c>
      <c r="N743" s="240" t="str">
        <f t="shared" si="157"/>
        <v/>
      </c>
      <c r="P743" s="365">
        <f>IFERROR(VLOOKUP($G743,融外自投!$A:$J,7,0),"無")</f>
        <v>1036</v>
      </c>
      <c r="Q743" s="79">
        <f>IFERROR(VLOOKUP($G743,融外自投!$A:$J,9,0),"無")</f>
        <v>334</v>
      </c>
      <c r="R743" s="346">
        <f>IFERROR(VLOOKUP($G743,融外自投!$A:$J,8,0),"無")</f>
        <v>964</v>
      </c>
      <c r="S743" s="81">
        <f>IFERROR(VLOOKUP($G743,融外自投!$A:$J,10,0),"無")</f>
        <v>383</v>
      </c>
      <c r="T743" s="327">
        <f>IFERROR(VLOOKUP($G743,'321買'!$A:$E,5,0),"'沒有資料'")</f>
        <v>634</v>
      </c>
      <c r="U743" s="186">
        <f>IFERROR(VLOOKUP($G743,基本資料!$A:$J,9,0),"無")</f>
        <v>4.5</v>
      </c>
      <c r="V743" s="310">
        <f t="shared" si="152"/>
        <v>5.87467362924282E-2</v>
      </c>
      <c r="W743" s="94">
        <f>IFERROR(VLOOKUP($G743,基本資料!$A:$J,10,0),"無")</f>
        <v>5.03</v>
      </c>
      <c r="X743" s="36">
        <f>RTD("money.excel",,"3416","Price")</f>
        <v>76.599999999999994</v>
      </c>
      <c r="Y743" s="66"/>
      <c r="Z743" s="15">
        <f t="shared" ref="Z743" si="159">X743-Y743</f>
        <v>76.599999999999994</v>
      </c>
      <c r="AA743" s="3" t="e">
        <f t="shared" ref="AA743" si="160">Z743/Y743</f>
        <v>#DIV/0!</v>
      </c>
      <c r="AB743" s="344">
        <f>IFERROR(VLOOKUP($G743,基本資料!$A:$M,11,0),"無")</f>
        <v>-11.23</v>
      </c>
      <c r="AC743" s="397">
        <f>IFERROR(VLOOKUP($G743,基本資料!$A:$M,12,0),"無")</f>
        <v>38.4</v>
      </c>
      <c r="AD743" s="22" t="s">
        <v>464</v>
      </c>
      <c r="AG743" s="33">
        <f t="shared" ref="AG743" si="161">AF743-AE743</f>
        <v>0</v>
      </c>
      <c r="AH743" s="43" t="s">
        <v>2233</v>
      </c>
      <c r="AI743" s="63">
        <f t="shared" si="158"/>
        <v>2.3415977961432506E-4</v>
      </c>
      <c r="AJ743" s="284">
        <f>RTD("money.excel",,$G743,"PredictVolume")</f>
        <v>17</v>
      </c>
      <c r="AK743" s="399">
        <f>IFERROR(VLOOKUP($G743,基本資料!$A:$M,13,0),"無")</f>
        <v>1.27</v>
      </c>
    </row>
    <row r="744" spans="1:39">
      <c r="A744" s="347">
        <f>IFERROR(VLOOKUP($G744,基本資料!$A:$J,3,0),"無")</f>
        <v>7.1</v>
      </c>
      <c r="B744" s="79">
        <f>IFERROR(VLOOKUP($G744,基本資料!$A:$J,4,0),"無")</f>
        <v>-4</v>
      </c>
      <c r="C744" s="79">
        <f>IFERROR(VLOOKUP($G744,基本資料!$A:$J,5,0),"無")</f>
        <v>-3</v>
      </c>
      <c r="D744" s="79">
        <f>IFERROR(VLOOKUP($G744,基本資料!$A:$J,6,0),"無")</f>
        <v>90</v>
      </c>
      <c r="E744" s="79">
        <f>IFERROR(VLOOKUP($G744,基本資料!$A:$J,7,0),"無")</f>
        <v>61</v>
      </c>
      <c r="F744" s="6">
        <f>IFERROR(VLOOKUP($G744,基本資料!$A:$J,8,0),"無")</f>
        <v>5.23</v>
      </c>
      <c r="G744" s="79">
        <v>3479</v>
      </c>
      <c r="H744" s="145" t="s">
        <v>1146</v>
      </c>
      <c r="I744" s="16" t="s">
        <v>2208</v>
      </c>
      <c r="J744" s="8" t="str">
        <f>IFERROR(VLOOKUP($G744,今日總結!$A:$AJ,35,0),"")</f>
        <v/>
      </c>
      <c r="K744" s="5" t="str">
        <f>IFERROR(VLOOKUP($G744,今日總結!$A:$AJ,36,0),"")</f>
        <v/>
      </c>
      <c r="L744" s="156" t="str">
        <f>IFERROR(VLOOKUP($G744,今日總結!$A:$AJ,33,0),"")</f>
        <v/>
      </c>
      <c r="M744" s="340" t="str">
        <f>IFERROR(VLOOKUP($G744,今日總結!$A:$AJ,34,0),"")</f>
        <v/>
      </c>
      <c r="N744" s="240" t="str">
        <f t="shared" si="157"/>
        <v/>
      </c>
      <c r="P744" s="365">
        <f>IFERROR(VLOOKUP($G744,融外自投!$A:$J,7,0),"無")</f>
        <v>540</v>
      </c>
      <c r="Q744" s="79">
        <f>IFERROR(VLOOKUP($G744,融外自投!$A:$J,9,0),"無")</f>
        <v>324</v>
      </c>
      <c r="R744" s="346">
        <f>IFERROR(VLOOKUP($G744,融外自投!$A:$J,8,0),"無")</f>
        <v>835</v>
      </c>
      <c r="S744" s="81">
        <f>IFERROR(VLOOKUP($G744,融外自投!$A:$J,10,0),"無")</f>
        <v>175</v>
      </c>
      <c r="T744" s="327">
        <f>IFERROR(VLOOKUP($G744,'321買'!$A:$E,5,0),"'沒有資料'")</f>
        <v>336</v>
      </c>
      <c r="U744" s="186">
        <f>IFERROR(VLOOKUP($G744,基本資料!$A:$J,9,0),"無")</f>
        <v>2.6</v>
      </c>
      <c r="V744" s="310">
        <f t="shared" si="152"/>
        <v>4.4142614601018676E-2</v>
      </c>
      <c r="W744" s="94">
        <f>IFERROR(VLOOKUP($G744,基本資料!$A:$J,10,0),"無")</f>
        <v>2.94</v>
      </c>
      <c r="X744" s="36">
        <f>RTD("money.excel",,"3479","Price")</f>
        <v>58.9</v>
      </c>
      <c r="Y744" s="66"/>
      <c r="Z744" s="15">
        <f t="shared" si="153"/>
        <v>58.9</v>
      </c>
      <c r="AA744" s="3" t="e">
        <f t="shared" si="154"/>
        <v>#DIV/0!</v>
      </c>
      <c r="AB744" s="344">
        <f>IFERROR(VLOOKUP($G744,基本資料!$A:$M,11,0),"無")</f>
        <v>-9.85</v>
      </c>
      <c r="AC744" s="397">
        <f>IFERROR(VLOOKUP($G744,基本資料!$A:$M,12,0),"無")</f>
        <v>71.12</v>
      </c>
      <c r="AD744" s="16" t="s">
        <v>2208</v>
      </c>
      <c r="AG744" s="33">
        <f t="shared" si="155"/>
        <v>0</v>
      </c>
      <c r="AH744" s="117" t="s">
        <v>2287</v>
      </c>
      <c r="AI744" s="63">
        <f t="shared" si="158"/>
        <v>3.7464788732394366E-3</v>
      </c>
      <c r="AJ744" s="284">
        <f>RTD("money.excel",,$G744,"PredictVolume")</f>
        <v>266</v>
      </c>
      <c r="AK744" s="399">
        <f>IFERROR(VLOOKUP($G744,基本資料!$A:$M,13,0),"無")</f>
        <v>2.72</v>
      </c>
    </row>
    <row r="745" spans="1:39">
      <c r="A745" s="347">
        <f>IFERROR(VLOOKUP($G745,基本資料!$A:$J,3,0),"無")</f>
        <v>7.79</v>
      </c>
      <c r="B745" s="79">
        <f>IFERROR(VLOOKUP($G745,基本資料!$A:$J,4,0),"無")</f>
        <v>35</v>
      </c>
      <c r="C745" s="79">
        <f>IFERROR(VLOOKUP($G745,基本資料!$A:$J,5,0),"無")</f>
        <v>-16</v>
      </c>
      <c r="D745" s="79">
        <f>IFERROR(VLOOKUP($G745,基本資料!$A:$J,6,0),"無")</f>
        <v>61</v>
      </c>
      <c r="E745" s="79">
        <f>IFERROR(VLOOKUP($G745,基本資料!$A:$J,7,0),"無")</f>
        <v>35</v>
      </c>
      <c r="F745" s="6">
        <f>IFERROR(VLOOKUP($G745,基本資料!$A:$J,8,0),"無")</f>
        <v>5.23</v>
      </c>
      <c r="G745" s="79">
        <v>3483</v>
      </c>
      <c r="H745" s="145" t="s">
        <v>1146</v>
      </c>
      <c r="I745" s="16" t="s">
        <v>472</v>
      </c>
      <c r="J745" s="8" t="str">
        <f>IFERROR(VLOOKUP($G745,今日總結!$A:$AJ,35,0),"")</f>
        <v/>
      </c>
      <c r="K745" s="5" t="str">
        <f>IFERROR(VLOOKUP($G745,今日總結!$A:$AJ,36,0),"")</f>
        <v/>
      </c>
      <c r="L745" s="156" t="str">
        <f>IFERROR(VLOOKUP($G745,今日總結!$A:$AJ,33,0),"")</f>
        <v/>
      </c>
      <c r="M745" s="340" t="str">
        <f>IFERROR(VLOOKUP($G745,今日總結!$A:$AJ,34,0),"")</f>
        <v/>
      </c>
      <c r="N745" s="240" t="str">
        <f t="shared" si="157"/>
        <v/>
      </c>
      <c r="P745" s="365">
        <f>IFERROR(VLOOKUP($G745,融外自投!$A:$J,7,0),"無")</f>
        <v>11</v>
      </c>
      <c r="Q745" s="79">
        <f>IFERROR(VLOOKUP($G745,融外自投!$A:$J,9,0),"無")</f>
        <v>586</v>
      </c>
      <c r="R745" s="346">
        <f>IFERROR(VLOOKUP($G745,融外自投!$A:$J,8,0),"無")</f>
        <v>1173</v>
      </c>
      <c r="S745" s="81">
        <f>IFERROR(VLOOKUP($G745,融外自投!$A:$J,10,0),"無")</f>
        <v>272</v>
      </c>
      <c r="T745" s="327">
        <f>IFERROR(VLOOKUP($G745,'321買'!$A:$E,5,0),"'沒有資料'")</f>
        <v>416</v>
      </c>
      <c r="U745" s="186">
        <f>IFERROR(VLOOKUP($G745,基本資料!$A:$J,9,0),"無")</f>
        <v>3</v>
      </c>
      <c r="V745" s="310">
        <f t="shared" si="152"/>
        <v>4.2372881355932208E-2</v>
      </c>
      <c r="W745" s="94">
        <f>IFERROR(VLOOKUP($G745,基本資料!$A:$J,10,0),"無")</f>
        <v>5.34</v>
      </c>
      <c r="X745" s="36">
        <f>RTD("money.excel",,"3483","Price")</f>
        <v>70.8</v>
      </c>
      <c r="Y745" s="66"/>
      <c r="Z745" s="15">
        <f t="shared" si="153"/>
        <v>70.8</v>
      </c>
      <c r="AA745" s="3" t="e">
        <f t="shared" si="154"/>
        <v>#DIV/0!</v>
      </c>
      <c r="AB745" s="344">
        <f>IFERROR(VLOOKUP($G745,基本資料!$A:$M,11,0),"無")</f>
        <v>-38.17</v>
      </c>
      <c r="AC745" s="397">
        <f>IFERROR(VLOOKUP($G745,基本資料!$A:$M,12,0),"無")</f>
        <v>18.72</v>
      </c>
      <c r="AD745" s="16" t="s">
        <v>472</v>
      </c>
      <c r="AG745" s="33">
        <f t="shared" si="155"/>
        <v>0</v>
      </c>
      <c r="AH745" s="43" t="s">
        <v>2926</v>
      </c>
      <c r="AI745" s="63">
        <f t="shared" si="158"/>
        <v>4.72400513478819E-3</v>
      </c>
      <c r="AJ745" s="284">
        <f>RTD("money.excel",,$G745,"PredictVolume")</f>
        <v>368</v>
      </c>
      <c r="AK745" s="399">
        <f>IFERROR(VLOOKUP($G745,基本資料!$A:$M,13,0),"無")</f>
        <v>36.32</v>
      </c>
    </row>
    <row r="746" spans="1:39">
      <c r="A746" s="347">
        <f>IFERROR(VLOOKUP($G746,基本資料!$A:$J,3,0),"無")</f>
        <v>12</v>
      </c>
      <c r="B746" s="79">
        <f>IFERROR(VLOOKUP($G746,基本資料!$A:$J,4,0),"無")</f>
        <v>67</v>
      </c>
      <c r="C746" s="79">
        <f>IFERROR(VLOOKUP($G746,基本資料!$A:$J,5,0),"無")</f>
        <v>51</v>
      </c>
      <c r="D746" s="79">
        <f>IFERROR(VLOOKUP($G746,基本資料!$A:$J,6,0),"無")</f>
        <v>18</v>
      </c>
      <c r="E746" s="79">
        <f>IFERROR(VLOOKUP($G746,基本資料!$A:$J,7,0),"無")</f>
        <v>28</v>
      </c>
      <c r="F746" s="6">
        <f>IFERROR(VLOOKUP($G746,基本資料!$A:$J,8,0),"無")</f>
        <v>-53.7</v>
      </c>
      <c r="G746" s="79">
        <v>3494</v>
      </c>
      <c r="H746" s="192" t="s">
        <v>1146</v>
      </c>
      <c r="I746" s="22" t="s">
        <v>465</v>
      </c>
      <c r="J746" s="8" t="str">
        <f>IFERROR(VLOOKUP($G746,今日總結!$A:$AJ,35,0),"")</f>
        <v/>
      </c>
      <c r="K746" s="5" t="str">
        <f>IFERROR(VLOOKUP($G746,今日總結!$A:$AJ,36,0),"")</f>
        <v/>
      </c>
      <c r="L746" s="156" t="str">
        <f>IFERROR(VLOOKUP($G746,今日總結!$A:$AJ,33,0),"")</f>
        <v/>
      </c>
      <c r="M746" s="340" t="str">
        <f>IFERROR(VLOOKUP($G746,今日總結!$A:$AJ,34,0),"")</f>
        <v/>
      </c>
      <c r="N746" s="240" t="str">
        <f t="shared" si="157"/>
        <v/>
      </c>
      <c r="P746" s="365" t="str">
        <f>IFERROR(VLOOKUP($G746,融外自投!$A:$J,7,0),"無")</f>
        <v>無</v>
      </c>
      <c r="Q746" s="79" t="str">
        <f>IFERROR(VLOOKUP($G746,融外自投!$A:$J,9,0),"無")</f>
        <v>無</v>
      </c>
      <c r="R746" s="346" t="str">
        <f>IFERROR(VLOOKUP($G746,融外自投!$A:$J,8,0),"無")</f>
        <v>無</v>
      </c>
      <c r="S746" s="81" t="str">
        <f>IFERROR(VLOOKUP($G746,融外自投!$A:$J,10,0),"無")</f>
        <v>無</v>
      </c>
      <c r="T746" s="327" t="str">
        <f>IFERROR(VLOOKUP($G746,'321買'!$A:$E,5,0),"'沒有資料'")</f>
        <v>'沒有資料'</v>
      </c>
      <c r="U746" s="186">
        <f>IFERROR(VLOOKUP($G746,基本資料!$A:$J,9,0),"無")</f>
        <v>0</v>
      </c>
      <c r="V746" s="310">
        <f t="shared" si="152"/>
        <v>0</v>
      </c>
      <c r="W746" s="94">
        <f>IFERROR(VLOOKUP($G746,基本資料!$A:$J,10,0),"無")</f>
        <v>-1.57</v>
      </c>
      <c r="X746" s="36">
        <f>RTD("money.excel",,"3494","Price")</f>
        <v>5.87</v>
      </c>
      <c r="Y746" s="66"/>
      <c r="Z746" s="15">
        <f t="shared" si="153"/>
        <v>5.87</v>
      </c>
      <c r="AA746" s="3" t="e">
        <f t="shared" si="154"/>
        <v>#DIV/0!</v>
      </c>
      <c r="AB746" s="344">
        <f>IFERROR(VLOOKUP($G746,基本資料!$A:$M,11,0),"無")</f>
        <v>-9.09</v>
      </c>
      <c r="AC746" s="397">
        <f>IFERROR(VLOOKUP($G746,基本資料!$A:$M,12,0),"無")</f>
        <v>78.16</v>
      </c>
      <c r="AD746" s="22" t="s">
        <v>465</v>
      </c>
      <c r="AG746" s="33">
        <f t="shared" si="155"/>
        <v>0</v>
      </c>
      <c r="AH746" s="43" t="s">
        <v>2729</v>
      </c>
      <c r="AI746" s="63">
        <f t="shared" si="158"/>
        <v>6.9166666666666671E-4</v>
      </c>
      <c r="AJ746" s="284">
        <f>RTD("money.excel",,$G746,"PredictVolume")</f>
        <v>83</v>
      </c>
      <c r="AK746" s="399">
        <f>IFERROR(VLOOKUP($G746,基本資料!$A:$M,13,0),"無")</f>
        <v>1.88</v>
      </c>
    </row>
    <row r="747" spans="1:39">
      <c r="A747" s="347">
        <f>IFERROR(VLOOKUP($G747,基本資料!$A:$J,3,0),"無")</f>
        <v>12.29</v>
      </c>
      <c r="B747" s="79">
        <f>IFERROR(VLOOKUP($G747,基本資料!$A:$J,4,0),"無")</f>
        <v>63</v>
      </c>
      <c r="C747" s="79">
        <f>IFERROR(VLOOKUP($G747,基本資料!$A:$J,5,0),"無")</f>
        <v>64</v>
      </c>
      <c r="D747" s="79">
        <f>IFERROR(VLOOKUP($G747,基本資料!$A:$J,6,0),"無")</f>
        <v>23</v>
      </c>
      <c r="E747" s="79">
        <f>IFERROR(VLOOKUP($G747,基本資料!$A:$J,7,0),"無")</f>
        <v>-12</v>
      </c>
      <c r="F747" s="6">
        <f>IFERROR(VLOOKUP($G747,基本資料!$A:$J,8,0),"無")</f>
        <v>15.47</v>
      </c>
      <c r="G747" s="79">
        <v>3515</v>
      </c>
      <c r="H747" s="192" t="s">
        <v>1146</v>
      </c>
      <c r="I747" s="22" t="s">
        <v>466</v>
      </c>
      <c r="J747" s="8" t="str">
        <f>IFERROR(VLOOKUP($G747,今日總結!$A:$AJ,35,0),"")</f>
        <v/>
      </c>
      <c r="K747" s="5" t="str">
        <f>IFERROR(VLOOKUP($G747,今日總結!$A:$AJ,36,0),"")</f>
        <v/>
      </c>
      <c r="L747" s="156" t="str">
        <f>IFERROR(VLOOKUP($G747,今日總結!$A:$AJ,33,0),"")</f>
        <v/>
      </c>
      <c r="M747" s="340" t="str">
        <f>IFERROR(VLOOKUP($G747,今日總結!$A:$AJ,34,0),"")</f>
        <v/>
      </c>
      <c r="N747" s="240" t="str">
        <f t="shared" si="157"/>
        <v/>
      </c>
      <c r="P747" s="365">
        <f>IFERROR(VLOOKUP($G747,融外自投!$A:$J,7,0),"無")</f>
        <v>797</v>
      </c>
      <c r="Q747" s="79">
        <f>IFERROR(VLOOKUP($G747,融外自投!$A:$J,9,0),"無")</f>
        <v>978</v>
      </c>
      <c r="R747" s="346">
        <f>IFERROR(VLOOKUP($G747,融外自投!$A:$J,8,0),"無")</f>
        <v>441</v>
      </c>
      <c r="S747" s="81">
        <f>IFERROR(VLOOKUP($G747,融外自投!$A:$J,10,0),"無")</f>
        <v>178</v>
      </c>
      <c r="T747" s="327">
        <f>IFERROR(VLOOKUP($G747,'321買'!$A:$E,5,0),"'沒有資料'")</f>
        <v>306</v>
      </c>
      <c r="U747" s="186">
        <f>IFERROR(VLOOKUP($G747,基本資料!$A:$J,9,0),"無")</f>
        <v>13</v>
      </c>
      <c r="V747" s="310">
        <f t="shared" si="152"/>
        <v>8.387096774193549E-2</v>
      </c>
      <c r="W747" s="94">
        <f>IFERROR(VLOOKUP($G747,基本資料!$A:$J,10,0),"無")</f>
        <v>19.670000000000002</v>
      </c>
      <c r="X747" s="36">
        <f>RTD("money.excel",,"3515","Price")</f>
        <v>155</v>
      </c>
      <c r="Y747" s="66"/>
      <c r="Z747" s="15">
        <f t="shared" si="153"/>
        <v>155</v>
      </c>
      <c r="AA747" s="3" t="e">
        <f t="shared" si="154"/>
        <v>#DIV/0!</v>
      </c>
      <c r="AB747" s="344">
        <f>IFERROR(VLOOKUP($G747,基本資料!$A:$M,11,0),"無")</f>
        <v>-48.11</v>
      </c>
      <c r="AC747" s="397">
        <f>IFERROR(VLOOKUP($G747,基本資料!$A:$M,12,0),"無")</f>
        <v>5.18</v>
      </c>
      <c r="AD747" s="22" t="s">
        <v>466</v>
      </c>
      <c r="AG747" s="33">
        <f t="shared" si="155"/>
        <v>0</v>
      </c>
      <c r="AH747" s="43" t="s">
        <v>2719</v>
      </c>
      <c r="AI747" s="63">
        <f t="shared" si="158"/>
        <v>7.8437754271765674E-3</v>
      </c>
      <c r="AJ747" s="284">
        <f>RTD("money.excel",,$G747,"PredictVolume")</f>
        <v>964</v>
      </c>
      <c r="AK747" s="399">
        <f>IFERROR(VLOOKUP($G747,基本資料!$A:$M,13,0),"無")</f>
        <v>12.06</v>
      </c>
      <c r="AM747" s="239"/>
    </row>
    <row r="748" spans="1:39">
      <c r="A748" s="347">
        <f>IFERROR(VLOOKUP($G748,基本資料!$A:$J,3,0),"無")</f>
        <v>4.72</v>
      </c>
      <c r="B748" s="79">
        <f>IFERROR(VLOOKUP($G748,基本資料!$A:$J,4,0),"無")</f>
        <v>-93</v>
      </c>
      <c r="C748" s="79">
        <f>IFERROR(VLOOKUP($G748,基本資料!$A:$J,5,0),"無")</f>
        <v>-11</v>
      </c>
      <c r="D748" s="79">
        <f>IFERROR(VLOOKUP($G748,基本資料!$A:$J,6,0),"無")</f>
        <v>10</v>
      </c>
      <c r="E748" s="79">
        <f>IFERROR(VLOOKUP($G748,基本資料!$A:$J,7,0),"無")</f>
        <v>-22</v>
      </c>
      <c r="F748" s="6">
        <f>IFERROR(VLOOKUP($G748,基本資料!$A:$J,8,0),"無")</f>
        <v>-14.21</v>
      </c>
      <c r="G748" s="79">
        <v>3521</v>
      </c>
      <c r="H748" s="145" t="s">
        <v>1146</v>
      </c>
      <c r="I748" s="16" t="s">
        <v>2209</v>
      </c>
      <c r="J748" s="8" t="str">
        <f>IFERROR(VLOOKUP($G748,今日總結!$A:$AJ,35,0),"")</f>
        <v/>
      </c>
      <c r="K748" s="5" t="str">
        <f>IFERROR(VLOOKUP($G748,今日總結!$A:$AJ,36,0),"")</f>
        <v/>
      </c>
      <c r="L748" s="156" t="str">
        <f>IFERROR(VLOOKUP($G748,今日總結!$A:$AJ,33,0),"")</f>
        <v/>
      </c>
      <c r="M748" s="340" t="str">
        <f>IFERROR(VLOOKUP($G748,今日總結!$A:$AJ,34,0),"")</f>
        <v/>
      </c>
      <c r="N748" s="240" t="str">
        <f t="shared" si="157"/>
        <v/>
      </c>
      <c r="P748" s="365" t="str">
        <f>IFERROR(VLOOKUP($G748,融外自投!$A:$J,7,0),"無")</f>
        <v>無</v>
      </c>
      <c r="Q748" s="79" t="str">
        <f>IFERROR(VLOOKUP($G748,融外自投!$A:$J,9,0),"無")</f>
        <v>無</v>
      </c>
      <c r="R748" s="346" t="str">
        <f>IFERROR(VLOOKUP($G748,融外自投!$A:$J,8,0),"無")</f>
        <v>無</v>
      </c>
      <c r="S748" s="81" t="str">
        <f>IFERROR(VLOOKUP($G748,融外自投!$A:$J,10,0),"無")</f>
        <v>無</v>
      </c>
      <c r="T748" s="327" t="str">
        <f>IFERROR(VLOOKUP($G748,'321買'!$A:$E,5,0),"'沒有資料'")</f>
        <v>'沒有資料'</v>
      </c>
      <c r="U748" s="186">
        <f>IFERROR(VLOOKUP($G748,基本資料!$A:$J,9,0),"無")</f>
        <v>0</v>
      </c>
      <c r="V748" s="310">
        <f t="shared" si="152"/>
        <v>0</v>
      </c>
      <c r="W748" s="94">
        <f>IFERROR(VLOOKUP($G748,基本資料!$A:$J,10,0),"無")</f>
        <v>-1.68</v>
      </c>
      <c r="X748" s="36">
        <f>RTD("money.excel",,"3521","Price")</f>
        <v>14.05</v>
      </c>
      <c r="Y748" s="66"/>
      <c r="Z748" s="15">
        <f t="shared" si="153"/>
        <v>14.05</v>
      </c>
      <c r="AA748" s="3" t="e">
        <f t="shared" si="154"/>
        <v>#DIV/0!</v>
      </c>
      <c r="AB748" s="344">
        <f>IFERROR(VLOOKUP($G748,基本資料!$A:$M,11,0),"無")</f>
        <v>-11.18</v>
      </c>
      <c r="AC748" s="397">
        <f>IFERROR(VLOOKUP($G748,基本資料!$A:$M,12,0),"無")</f>
        <v>45.85</v>
      </c>
      <c r="AD748" s="16" t="s">
        <v>2209</v>
      </c>
      <c r="AG748" s="33">
        <f t="shared" si="155"/>
        <v>0</v>
      </c>
      <c r="AH748" s="43" t="s">
        <v>2395</v>
      </c>
      <c r="AI748" s="63">
        <f t="shared" si="158"/>
        <v>5.0847457627118645E-4</v>
      </c>
      <c r="AJ748" s="284">
        <f>RTD("money.excel",,$G748,"PredictVolume")</f>
        <v>24</v>
      </c>
      <c r="AK748" s="399">
        <f>IFERROR(VLOOKUP($G748,基本資料!$A:$M,13,0),"無")</f>
        <v>10.58</v>
      </c>
    </row>
    <row r="749" spans="1:39">
      <c r="A749" s="347">
        <f>IFERROR(VLOOKUP($G749,基本資料!$A:$J,3,0),"無")</f>
        <v>7.3</v>
      </c>
      <c r="B749" s="79">
        <f>IFERROR(VLOOKUP($G749,基本資料!$A:$J,4,0),"無")</f>
        <v>-56</v>
      </c>
      <c r="C749" s="79">
        <f>IFERROR(VLOOKUP($G749,基本資料!$A:$J,5,0),"無")</f>
        <v>-46</v>
      </c>
      <c r="D749" s="79">
        <f>IFERROR(VLOOKUP($G749,基本資料!$A:$J,6,0),"無")</f>
        <v>17</v>
      </c>
      <c r="E749" s="79">
        <f>IFERROR(VLOOKUP($G749,基本資料!$A:$J,7,0),"無")</f>
        <v>-47</v>
      </c>
      <c r="F749" s="6">
        <f>IFERROR(VLOOKUP($G749,基本資料!$A:$J,8,0),"無")</f>
        <v>7.89</v>
      </c>
      <c r="G749" s="79">
        <v>3540</v>
      </c>
      <c r="H749" s="145" t="s">
        <v>1146</v>
      </c>
      <c r="I749" s="16" t="s">
        <v>4087</v>
      </c>
      <c r="J749" s="8">
        <f>IFERROR(VLOOKUP($G749,今日總結!$A:$AJ,35,0),"")</f>
        <v>0</v>
      </c>
      <c r="K749" s="5">
        <f>IFERROR(VLOOKUP($G749,今日總結!$A:$AJ,36,0),"")</f>
        <v>0</v>
      </c>
      <c r="L749" s="156">
        <f>IFERROR(VLOOKUP($G749,今日總結!$A:$AJ,33,0),"")</f>
        <v>0</v>
      </c>
      <c r="M749" s="340">
        <f>IFERROR(VLOOKUP($G749,今日總結!$A:$AJ,34,0),"")</f>
        <v>1</v>
      </c>
      <c r="N749" s="240">
        <f t="shared" si="157"/>
        <v>-1</v>
      </c>
      <c r="P749" s="365">
        <f>IFERROR(VLOOKUP($G749,融外自投!$A:$J,7,0),"無")</f>
        <v>585</v>
      </c>
      <c r="Q749" s="79" t="str">
        <f>IFERROR(VLOOKUP($G749,融外自投!$A:$J,9,0),"無")</f>
        <v>無</v>
      </c>
      <c r="R749" s="346">
        <f>IFERROR(VLOOKUP($G749,融外自投!$A:$J,8,0),"無")</f>
        <v>1035</v>
      </c>
      <c r="S749" s="81" t="str">
        <f>IFERROR(VLOOKUP($G749,融外自投!$A:$J,10,0),"無")</f>
        <v>無</v>
      </c>
      <c r="T749" s="327">
        <f>IFERROR(VLOOKUP($G749,'321買'!$A:$E,5,0),"'沒有資料'")</f>
        <v>710</v>
      </c>
      <c r="U749" s="186">
        <f>IFERROR(VLOOKUP($G749,基本資料!$A:$J,9,0),"無")</f>
        <v>1.6</v>
      </c>
      <c r="V749" s="310">
        <f t="shared" si="152"/>
        <v>5.5555555555555559E-2</v>
      </c>
      <c r="W749" s="94">
        <f>IFERROR(VLOOKUP($G749,基本資料!$A:$J,10,0),"無")</f>
        <v>3.06</v>
      </c>
      <c r="X749" s="36">
        <f>RTD("money.excel",,"3540","Price")</f>
        <v>28.8</v>
      </c>
      <c r="Y749" s="66"/>
      <c r="Z749" s="15">
        <f t="shared" si="153"/>
        <v>28.8</v>
      </c>
      <c r="AA749" s="3" t="e">
        <f t="shared" si="154"/>
        <v>#DIV/0!</v>
      </c>
      <c r="AB749" s="344">
        <f>IFERROR(VLOOKUP($G749,基本資料!$A:$M,11,0),"無")</f>
        <v>-60.47</v>
      </c>
      <c r="AC749" s="397">
        <f>IFERROR(VLOOKUP($G749,基本資料!$A:$M,12,0),"無")</f>
        <v>10.27</v>
      </c>
      <c r="AD749" s="16" t="s">
        <v>4087</v>
      </c>
      <c r="AG749" s="33">
        <f t="shared" si="155"/>
        <v>0</v>
      </c>
      <c r="AH749" s="117" t="s">
        <v>3521</v>
      </c>
      <c r="AI749" s="63">
        <f t="shared" si="158"/>
        <v>7.9452054794520543E-4</v>
      </c>
      <c r="AJ749" s="284">
        <f>RTD("money.excel",,$G749,"PredictVolume")</f>
        <v>58</v>
      </c>
      <c r="AK749" s="399">
        <f>IFERROR(VLOOKUP($G749,基本資料!$A:$M,13,0),"無")</f>
        <v>5.52</v>
      </c>
    </row>
    <row r="750" spans="1:39">
      <c r="A750" s="347">
        <f>IFERROR(VLOOKUP($G750,基本資料!$A:$J,3,0),"無")</f>
        <v>5.28</v>
      </c>
      <c r="B750" s="79">
        <f>IFERROR(VLOOKUP($G750,基本資料!$A:$J,4,0),"無")</f>
        <v>326</v>
      </c>
      <c r="C750" s="79">
        <f>IFERROR(VLOOKUP($G750,基本資料!$A:$J,5,0),"無")</f>
        <v>338</v>
      </c>
      <c r="D750" s="79">
        <f>IFERROR(VLOOKUP($G750,基本資料!$A:$J,6,0),"無")</f>
        <v>24</v>
      </c>
      <c r="E750" s="79">
        <f>IFERROR(VLOOKUP($G750,基本資料!$A:$J,7,0),"無")</f>
        <v>17</v>
      </c>
      <c r="F750" s="6">
        <f>IFERROR(VLOOKUP($G750,基本資料!$A:$J,8,0),"無")</f>
        <v>19.850000000000001</v>
      </c>
      <c r="G750" s="79">
        <v>3577</v>
      </c>
      <c r="H750" s="145" t="s">
        <v>1146</v>
      </c>
      <c r="I750" s="16" t="s">
        <v>2210</v>
      </c>
      <c r="J750" s="8" t="str">
        <f>IFERROR(VLOOKUP($G750,今日總結!$A:$AJ,35,0),"")</f>
        <v/>
      </c>
      <c r="K750" s="5" t="str">
        <f>IFERROR(VLOOKUP($G750,今日總結!$A:$AJ,36,0),"")</f>
        <v/>
      </c>
      <c r="L750" s="156" t="str">
        <f>IFERROR(VLOOKUP($G750,今日總結!$A:$AJ,33,0),"")</f>
        <v/>
      </c>
      <c r="M750" s="340" t="str">
        <f>IFERROR(VLOOKUP($G750,今日總結!$A:$AJ,34,0),"")</f>
        <v/>
      </c>
      <c r="N750" s="240" t="str">
        <f t="shared" si="157"/>
        <v/>
      </c>
      <c r="P750" s="365">
        <f>IFERROR(VLOOKUP($G750,融外自投!$A:$J,7,0),"無")</f>
        <v>617</v>
      </c>
      <c r="Q750" s="79">
        <f>IFERROR(VLOOKUP($G750,融外自投!$A:$J,9,0),"無")</f>
        <v>571</v>
      </c>
      <c r="R750" s="346">
        <f>IFERROR(VLOOKUP($G750,融外自投!$A:$J,8,0),"無")</f>
        <v>1124</v>
      </c>
      <c r="S750" s="81" t="str">
        <f>IFERROR(VLOOKUP($G750,融外自投!$A:$J,10,0),"無")</f>
        <v>無</v>
      </c>
      <c r="T750" s="327">
        <f>IFERROR(VLOOKUP($G750,'321買'!$A:$E,5,0),"'沒有資料'")</f>
        <v>939</v>
      </c>
      <c r="U750" s="186">
        <f>IFERROR(VLOOKUP($G750,基本資料!$A:$J,9,0),"無")</f>
        <v>2.5</v>
      </c>
      <c r="V750" s="310">
        <f t="shared" si="152"/>
        <v>3.1645569620253167E-2</v>
      </c>
      <c r="W750" s="94">
        <f>IFERROR(VLOOKUP($G750,基本資料!$A:$J,10,0),"無")</f>
        <v>3.23</v>
      </c>
      <c r="X750" s="36">
        <f>RTD("money.excel",,"3577","Price")</f>
        <v>79</v>
      </c>
      <c r="Y750" s="66"/>
      <c r="Z750" s="15">
        <f t="shared" si="153"/>
        <v>79</v>
      </c>
      <c r="AA750" s="3" t="e">
        <f t="shared" si="154"/>
        <v>#DIV/0!</v>
      </c>
      <c r="AB750" s="344">
        <f>IFERROR(VLOOKUP($G750,基本資料!$A:$M,11,0),"無")</f>
        <v>-13.95</v>
      </c>
      <c r="AC750" s="397">
        <f>IFERROR(VLOOKUP($G750,基本資料!$A:$M,12,0),"無")</f>
        <v>51.34</v>
      </c>
      <c r="AD750" s="16" t="s">
        <v>2210</v>
      </c>
      <c r="AG750" s="33">
        <f t="shared" si="155"/>
        <v>0</v>
      </c>
      <c r="AH750" s="43" t="s">
        <v>2233</v>
      </c>
      <c r="AI750" s="63">
        <f t="shared" si="158"/>
        <v>6.6287878787878792E-4</v>
      </c>
      <c r="AJ750" s="284">
        <f>RTD("money.excel",,$G750,"PredictVolume")</f>
        <v>35</v>
      </c>
      <c r="AK750" s="399">
        <f>IFERROR(VLOOKUP($G750,基本資料!$A:$M,13,0),"無")</f>
        <v>2.62</v>
      </c>
    </row>
    <row r="751" spans="1:39">
      <c r="A751" s="347">
        <f>IFERROR(VLOOKUP($G751,基本資料!$A:$J,3,0),"無")</f>
        <v>9.06</v>
      </c>
      <c r="B751" s="79">
        <f>IFERROR(VLOOKUP($G751,基本資料!$A:$J,4,0),"無")</f>
        <v>154</v>
      </c>
      <c r="C751" s="79">
        <f>IFERROR(VLOOKUP($G751,基本資料!$A:$J,5,0),"無")</f>
        <v>-12</v>
      </c>
      <c r="D751" s="79">
        <f>IFERROR(VLOOKUP($G751,基本資料!$A:$J,6,0),"無")</f>
        <v>29</v>
      </c>
      <c r="E751" s="79">
        <f>IFERROR(VLOOKUP($G751,基本資料!$A:$J,7,0),"無")</f>
        <v>0</v>
      </c>
      <c r="F751" s="6">
        <f>IFERROR(VLOOKUP($G751,基本資料!$A:$J,8,0),"無")</f>
        <v>2.1</v>
      </c>
      <c r="G751" s="79">
        <v>3594</v>
      </c>
      <c r="H751" s="145" t="s">
        <v>1146</v>
      </c>
      <c r="I751" s="16" t="s">
        <v>2211</v>
      </c>
      <c r="J751" s="8" t="str">
        <f>IFERROR(VLOOKUP($G751,今日總結!$A:$AJ,35,0),"")</f>
        <v/>
      </c>
      <c r="K751" s="5" t="str">
        <f>IFERROR(VLOOKUP($G751,今日總結!$A:$AJ,36,0),"")</f>
        <v/>
      </c>
      <c r="L751" s="156" t="str">
        <f>IFERROR(VLOOKUP($G751,今日總結!$A:$AJ,33,0),"")</f>
        <v/>
      </c>
      <c r="M751" s="340" t="str">
        <f>IFERROR(VLOOKUP($G751,今日總結!$A:$AJ,34,0),"")</f>
        <v/>
      </c>
      <c r="N751" s="240" t="str">
        <f t="shared" si="157"/>
        <v/>
      </c>
      <c r="P751" s="365">
        <f>IFERROR(VLOOKUP($G751,融外自投!$A:$J,7,0),"無")</f>
        <v>147</v>
      </c>
      <c r="Q751" s="79">
        <f>IFERROR(VLOOKUP($G751,融外自投!$A:$J,9,0),"無")</f>
        <v>287</v>
      </c>
      <c r="R751" s="346">
        <f>IFERROR(VLOOKUP($G751,融外自投!$A:$J,8,0),"無")</f>
        <v>1399</v>
      </c>
      <c r="S751" s="81">
        <f>IFERROR(VLOOKUP($G751,融外自投!$A:$J,10,0),"無")</f>
        <v>143</v>
      </c>
      <c r="T751" s="327">
        <f>IFERROR(VLOOKUP($G751,'321買'!$A:$E,5,0),"'沒有資料'")</f>
        <v>664</v>
      </c>
      <c r="U751" s="186">
        <f>IFERROR(VLOOKUP($G751,基本資料!$A:$J,9,0),"無")</f>
        <v>0.1</v>
      </c>
      <c r="V751" s="310">
        <f t="shared" si="152"/>
        <v>4.3956043956043956E-3</v>
      </c>
      <c r="W751" s="94">
        <f>IFERROR(VLOOKUP($G751,基本資料!$A:$J,10,0),"無")</f>
        <v>0.3</v>
      </c>
      <c r="X751" s="36">
        <f>RTD("money.excel",,"3594","Price")</f>
        <v>22.75</v>
      </c>
      <c r="Y751" s="66"/>
      <c r="Z751" s="15">
        <f t="shared" si="153"/>
        <v>22.75</v>
      </c>
      <c r="AA751" s="3" t="e">
        <f t="shared" si="154"/>
        <v>#DIV/0!</v>
      </c>
      <c r="AB751" s="344">
        <f>IFERROR(VLOOKUP($G751,基本資料!$A:$M,11,0),"無")</f>
        <v>-18.95</v>
      </c>
      <c r="AC751" s="397">
        <f>IFERROR(VLOOKUP($G751,基本資料!$A:$M,12,0),"無")</f>
        <v>29.06</v>
      </c>
      <c r="AD751" s="16" t="s">
        <v>2211</v>
      </c>
      <c r="AG751" s="33">
        <f t="shared" si="155"/>
        <v>0</v>
      </c>
      <c r="AH751" s="43" t="s">
        <v>2233</v>
      </c>
      <c r="AI751" s="63">
        <f t="shared" si="158"/>
        <v>1.9977924944812363E-3</v>
      </c>
      <c r="AJ751" s="284">
        <f>RTD("money.excel",,$G751,"PredictVolume")</f>
        <v>181</v>
      </c>
      <c r="AK751" s="399">
        <f>IFERROR(VLOOKUP($G751,基本資料!$A:$M,13,0),"無")</f>
        <v>7.32</v>
      </c>
    </row>
    <row r="752" spans="1:39">
      <c r="A752" s="347">
        <f>IFERROR(VLOOKUP($G752,基本資料!$A:$J,3,0),"無")</f>
        <v>4.24</v>
      </c>
      <c r="B752" s="79">
        <f>IFERROR(VLOOKUP($G752,基本資料!$A:$J,4,0),"無")</f>
        <v>9</v>
      </c>
      <c r="C752" s="79">
        <f>IFERROR(VLOOKUP($G752,基本資料!$A:$J,5,0),"無")</f>
        <v>14</v>
      </c>
      <c r="D752" s="79">
        <f>IFERROR(VLOOKUP($G752,基本資料!$A:$J,6,0),"無")</f>
        <v>-4</v>
      </c>
      <c r="E752" s="79">
        <f>IFERROR(VLOOKUP($G752,基本資料!$A:$J,7,0),"無")</f>
        <v>7</v>
      </c>
      <c r="F752" s="6">
        <f>IFERROR(VLOOKUP($G752,基本資料!$A:$J,8,0),"無")</f>
        <v>15.33</v>
      </c>
      <c r="G752" s="79">
        <v>3611</v>
      </c>
      <c r="H752" s="145" t="s">
        <v>1146</v>
      </c>
      <c r="I752" s="16" t="s">
        <v>2212</v>
      </c>
      <c r="J752" s="8" t="str">
        <f>IFERROR(VLOOKUP($G752,今日總結!$A:$AJ,35,0),"")</f>
        <v/>
      </c>
      <c r="K752" s="5" t="str">
        <f>IFERROR(VLOOKUP($G752,今日總結!$A:$AJ,36,0),"")</f>
        <v/>
      </c>
      <c r="L752" s="156" t="str">
        <f>IFERROR(VLOOKUP($G752,今日總結!$A:$AJ,33,0),"")</f>
        <v/>
      </c>
      <c r="M752" s="340" t="str">
        <f>IFERROR(VLOOKUP($G752,今日總結!$A:$AJ,34,0),"")</f>
        <v/>
      </c>
      <c r="N752" s="240" t="str">
        <f t="shared" si="157"/>
        <v/>
      </c>
      <c r="P752" s="365">
        <f>IFERROR(VLOOKUP($G752,融外自投!$A:$J,7,0),"無")</f>
        <v>1112</v>
      </c>
      <c r="Q752" s="79">
        <f>IFERROR(VLOOKUP($G752,融外自投!$A:$J,9,0),"無")</f>
        <v>414</v>
      </c>
      <c r="R752" s="346">
        <f>IFERROR(VLOOKUP($G752,融外自投!$A:$J,8,0),"無")</f>
        <v>467</v>
      </c>
      <c r="S752" s="81">
        <f>IFERROR(VLOOKUP($G752,融外自投!$A:$J,10,0),"無")</f>
        <v>491</v>
      </c>
      <c r="T752" s="327">
        <f>IFERROR(VLOOKUP($G752,'321買'!$A:$E,5,0),"'沒有資料'")</f>
        <v>503</v>
      </c>
      <c r="U752" s="186">
        <f>IFERROR(VLOOKUP($G752,基本資料!$A:$J,9,0),"無")</f>
        <v>11</v>
      </c>
      <c r="V752" s="310">
        <f t="shared" si="152"/>
        <v>6.0941828254847646E-2</v>
      </c>
      <c r="W752" s="94">
        <f>IFERROR(VLOOKUP($G752,基本資料!$A:$J,10,0),"無")</f>
        <v>18.47</v>
      </c>
      <c r="X752" s="36">
        <f>RTD("money.excel",,"3611","Price")</f>
        <v>180.5</v>
      </c>
      <c r="Y752" s="66"/>
      <c r="Z752" s="15">
        <f t="shared" si="153"/>
        <v>180.5</v>
      </c>
      <c r="AA752" s="3" t="e">
        <f t="shared" si="154"/>
        <v>#DIV/0!</v>
      </c>
      <c r="AB752" s="344">
        <f>IFERROR(VLOOKUP($G752,基本資料!$A:$M,11,0),"無")</f>
        <v>-23.89</v>
      </c>
      <c r="AC752" s="397">
        <f>IFERROR(VLOOKUP($G752,基本資料!$A:$M,12,0),"無")</f>
        <v>10.48</v>
      </c>
      <c r="AD752" s="16" t="s">
        <v>2212</v>
      </c>
      <c r="AG752" s="33">
        <f t="shared" si="155"/>
        <v>0</v>
      </c>
      <c r="AH752" s="117" t="s">
        <v>2889</v>
      </c>
      <c r="AI752" s="63">
        <f t="shared" si="158"/>
        <v>6.6273584905660373E-3</v>
      </c>
      <c r="AJ752" s="284">
        <f>RTD("money.excel",,$G752,"PredictVolume")</f>
        <v>281</v>
      </c>
      <c r="AK752" s="399">
        <f>IFERROR(VLOOKUP($G752,基本資料!$A:$M,13,0),"無")</f>
        <v>1.02</v>
      </c>
    </row>
    <row r="753" spans="1:37">
      <c r="A753" s="347">
        <f>IFERROR(VLOOKUP($G753,基本資料!$A:$J,3,0),"無")</f>
        <v>11.41</v>
      </c>
      <c r="B753" s="79">
        <f>IFERROR(VLOOKUP($G753,基本資料!$A:$J,4,0),"無")</f>
        <v>-2</v>
      </c>
      <c r="C753" s="79">
        <f>IFERROR(VLOOKUP($G753,基本資料!$A:$J,5,0),"無")</f>
        <v>-4</v>
      </c>
      <c r="D753" s="79">
        <f>IFERROR(VLOOKUP($G753,基本資料!$A:$J,6,0),"無")</f>
        <v>-4</v>
      </c>
      <c r="E753" s="79">
        <f>IFERROR(VLOOKUP($G753,基本資料!$A:$J,7,0),"無")</f>
        <v>0</v>
      </c>
      <c r="F753" s="6">
        <f>IFERROR(VLOOKUP($G753,基本資料!$A:$J,8,0),"無")</f>
        <v>-5.2</v>
      </c>
      <c r="G753" s="79">
        <v>3625</v>
      </c>
      <c r="H753" s="145" t="s">
        <v>1146</v>
      </c>
      <c r="I753" s="24" t="s">
        <v>2213</v>
      </c>
      <c r="J753" s="8" t="str">
        <f>IFERROR(VLOOKUP($G753,今日總結!$A:$AJ,35,0),"")</f>
        <v/>
      </c>
      <c r="K753" s="5" t="str">
        <f>IFERROR(VLOOKUP($G753,今日總結!$A:$AJ,36,0),"")</f>
        <v/>
      </c>
      <c r="L753" s="156" t="str">
        <f>IFERROR(VLOOKUP($G753,今日總結!$A:$AJ,33,0),"")</f>
        <v/>
      </c>
      <c r="M753" s="340" t="str">
        <f>IFERROR(VLOOKUP($G753,今日總結!$A:$AJ,34,0),"")</f>
        <v/>
      </c>
      <c r="N753" s="240" t="str">
        <f t="shared" si="157"/>
        <v/>
      </c>
      <c r="P753" s="365">
        <f>IFERROR(VLOOKUP($G753,融外自投!$A:$J,7,0),"無")</f>
        <v>529</v>
      </c>
      <c r="Q753" s="79" t="str">
        <f>IFERROR(VLOOKUP($G753,融外自投!$A:$J,9,0),"無")</f>
        <v>無</v>
      </c>
      <c r="R753" s="346">
        <f>IFERROR(VLOOKUP($G753,融外自投!$A:$J,8,0),"無")</f>
        <v>663</v>
      </c>
      <c r="S753" s="81" t="str">
        <f>IFERROR(VLOOKUP($G753,融外自投!$A:$J,10,0),"無")</f>
        <v>無</v>
      </c>
      <c r="T753" s="327">
        <f>IFERROR(VLOOKUP($G753,'321買'!$A:$E,5,0),"'沒有資料'")</f>
        <v>683</v>
      </c>
      <c r="U753" s="186">
        <f>IFERROR(VLOOKUP($G753,基本資料!$A:$J,9,0),"無")</f>
        <v>0</v>
      </c>
      <c r="V753" s="310">
        <f t="shared" si="152"/>
        <v>0</v>
      </c>
      <c r="W753" s="94">
        <f>IFERROR(VLOOKUP($G753,基本資料!$A:$J,10,0),"無")</f>
        <v>-1.92</v>
      </c>
      <c r="X753" s="36">
        <f>RTD("money.excel",,"3625","Price")</f>
        <v>17.899999999999999</v>
      </c>
      <c r="Y753" s="66"/>
      <c r="Z753" s="15">
        <f t="shared" si="153"/>
        <v>17.899999999999999</v>
      </c>
      <c r="AA753" s="3" t="e">
        <f t="shared" si="154"/>
        <v>#DIV/0!</v>
      </c>
      <c r="AB753" s="344">
        <f>IFERROR(VLOOKUP($G753,基本資料!$A:$M,11,0),"無")</f>
        <v>-46.12</v>
      </c>
      <c r="AC753" s="397">
        <f>IFERROR(VLOOKUP($G753,基本資料!$A:$M,12,0),"無")</f>
        <v>8.36</v>
      </c>
      <c r="AD753" s="24" t="s">
        <v>2213</v>
      </c>
      <c r="AG753" s="33">
        <f t="shared" si="155"/>
        <v>0</v>
      </c>
      <c r="AH753" s="119" t="s">
        <v>2214</v>
      </c>
      <c r="AI753" s="63">
        <f t="shared" si="158"/>
        <v>5.7843996494303242E-4</v>
      </c>
      <c r="AJ753" s="284">
        <f>RTD("money.excel",,$G753,"PredictVolume")</f>
        <v>66</v>
      </c>
      <c r="AK753" s="399">
        <f>IFERROR(VLOOKUP($G753,基本資料!$A:$M,13,0),"無")</f>
        <v>17.440000000000001</v>
      </c>
    </row>
    <row r="754" spans="1:37">
      <c r="A754" s="347">
        <f>IFERROR(VLOOKUP($G754,基本資料!$A:$J,3,0),"無")</f>
        <v>7.5</v>
      </c>
      <c r="B754" s="79">
        <f>IFERROR(VLOOKUP($G754,基本資料!$A:$J,4,0),"無")</f>
        <v>204</v>
      </c>
      <c r="C754" s="79">
        <f>IFERROR(VLOOKUP($G754,基本資料!$A:$J,5,0),"無")</f>
        <v>342</v>
      </c>
      <c r="D754" s="79">
        <f>IFERROR(VLOOKUP($G754,基本資料!$A:$J,6,0),"無")</f>
        <v>55</v>
      </c>
      <c r="E754" s="79">
        <f>IFERROR(VLOOKUP($G754,基本資料!$A:$J,7,0),"無")</f>
        <v>0</v>
      </c>
      <c r="F754" s="6">
        <f>IFERROR(VLOOKUP($G754,基本資料!$A:$J,8,0),"無")</f>
        <v>3.57</v>
      </c>
      <c r="G754" s="79">
        <v>3652</v>
      </c>
      <c r="H754" s="145" t="s">
        <v>1146</v>
      </c>
      <c r="I754" s="16" t="s">
        <v>2215</v>
      </c>
      <c r="J754" s="8" t="str">
        <f>IFERROR(VLOOKUP($G754,今日總結!$A:$AJ,35,0),"")</f>
        <v/>
      </c>
      <c r="K754" s="5" t="str">
        <f>IFERROR(VLOOKUP($G754,今日總結!$A:$AJ,36,0),"")</f>
        <v/>
      </c>
      <c r="L754" s="156" t="str">
        <f>IFERROR(VLOOKUP($G754,今日總結!$A:$AJ,33,0),"")</f>
        <v/>
      </c>
      <c r="M754" s="340" t="str">
        <f>IFERROR(VLOOKUP($G754,今日總結!$A:$AJ,34,0),"")</f>
        <v/>
      </c>
      <c r="N754" s="240" t="str">
        <f t="shared" si="157"/>
        <v/>
      </c>
      <c r="P754" s="365">
        <f>IFERROR(VLOOKUP($G754,融外自投!$A:$J,7,0),"無")</f>
        <v>1005</v>
      </c>
      <c r="Q754" s="79" t="str">
        <f>IFERROR(VLOOKUP($G754,融外自投!$A:$J,9,0),"無")</f>
        <v>無</v>
      </c>
      <c r="R754" s="346">
        <f>IFERROR(VLOOKUP($G754,融外自投!$A:$J,8,0),"無")</f>
        <v>1236</v>
      </c>
      <c r="S754" s="81" t="str">
        <f>IFERROR(VLOOKUP($G754,融外自投!$A:$J,10,0),"無")</f>
        <v>無</v>
      </c>
      <c r="T754" s="327" t="str">
        <f>IFERROR(VLOOKUP($G754,'321買'!$A:$E,5,0),"'沒有資料'")</f>
        <v>'沒有資料'</v>
      </c>
      <c r="U754" s="186">
        <f>IFERROR(VLOOKUP($G754,基本資料!$A:$J,9,0),"無")</f>
        <v>0.41</v>
      </c>
      <c r="V754" s="310">
        <f t="shared" si="152"/>
        <v>2.0098039215686276E-2</v>
      </c>
      <c r="W754" s="94">
        <f>IFERROR(VLOOKUP($G754,基本資料!$A:$J,10,0),"無")</f>
        <v>1.03</v>
      </c>
      <c r="X754" s="36">
        <f>RTD("money.excel",,"3652","Price")</f>
        <v>20.399999999999999</v>
      </c>
      <c r="Y754" s="66"/>
      <c r="Z754" s="15">
        <f t="shared" si="153"/>
        <v>20.399999999999999</v>
      </c>
      <c r="AA754" s="3" t="e">
        <f t="shared" si="154"/>
        <v>#DIV/0!</v>
      </c>
      <c r="AB754" s="344">
        <f>IFERROR(VLOOKUP($G754,基本資料!$A:$M,11,0),"無")</f>
        <v>-38.33</v>
      </c>
      <c r="AC754" s="397">
        <f>IFERROR(VLOOKUP($G754,基本資料!$A:$M,12,0),"無")</f>
        <v>34.590000000000003</v>
      </c>
      <c r="AD754" s="16" t="s">
        <v>2215</v>
      </c>
      <c r="AG754" s="33">
        <f t="shared" si="155"/>
        <v>0</v>
      </c>
      <c r="AH754" s="43" t="s">
        <v>2440</v>
      </c>
      <c r="AI754" s="63">
        <f t="shared" si="158"/>
        <v>9.333333333333333E-5</v>
      </c>
      <c r="AJ754" s="284">
        <f>RTD("money.excel",,$G754,"PredictVolume")</f>
        <v>7</v>
      </c>
      <c r="AK754" s="399">
        <f>IFERROR(VLOOKUP($G754,基本資料!$A:$M,13,0),"無")</f>
        <v>10.16</v>
      </c>
    </row>
    <row r="755" spans="1:37">
      <c r="A755" s="347">
        <f>IFERROR(VLOOKUP($G755,基本資料!$A:$J,3,0),"無")</f>
        <v>3.84</v>
      </c>
      <c r="B755" s="79">
        <f>IFERROR(VLOOKUP($G755,基本資料!$A:$J,4,0),"無")</f>
        <v>43</v>
      </c>
      <c r="C755" s="79">
        <f>IFERROR(VLOOKUP($G755,基本資料!$A:$J,5,0),"無")</f>
        <v>2</v>
      </c>
      <c r="D755" s="79">
        <f>IFERROR(VLOOKUP($G755,基本資料!$A:$J,6,0),"無")</f>
        <v>-7</v>
      </c>
      <c r="E755" s="79">
        <f>IFERROR(VLOOKUP($G755,基本資料!$A:$J,7,0),"無")</f>
        <v>10</v>
      </c>
      <c r="F755" s="6">
        <f>IFERROR(VLOOKUP($G755,基本資料!$A:$J,8,0),"無")</f>
        <v>4.24</v>
      </c>
      <c r="G755" s="79">
        <v>3693</v>
      </c>
      <c r="H755" s="145" t="s">
        <v>1146</v>
      </c>
      <c r="I755" s="16" t="s">
        <v>2216</v>
      </c>
      <c r="J755" s="8">
        <f>IFERROR(VLOOKUP($G755,今日總結!$A:$AJ,35,0),"")</f>
        <v>0</v>
      </c>
      <c r="K755" s="5" t="str">
        <f>IFERROR(VLOOKUP($G755,今日總結!$A:$AJ,36,0),"")</f>
        <v>外</v>
      </c>
      <c r="L755" s="156">
        <f>IFERROR(VLOOKUP($G755,今日總結!$A:$AJ,33,0),"")</f>
        <v>0</v>
      </c>
      <c r="M755" s="340">
        <f>IFERROR(VLOOKUP($G755,今日總結!$A:$AJ,34,0),"")</f>
        <v>1</v>
      </c>
      <c r="N755" s="240">
        <f t="shared" si="157"/>
        <v>-1</v>
      </c>
      <c r="P755" s="365">
        <f>IFERROR(VLOOKUP($G755,融外自投!$A:$J,7,0),"無")</f>
        <v>560</v>
      </c>
      <c r="Q755" s="79">
        <f>IFERROR(VLOOKUP($G755,融外自投!$A:$J,9,0),"無")</f>
        <v>168</v>
      </c>
      <c r="R755" s="346">
        <f>IFERROR(VLOOKUP($G755,融外自投!$A:$J,8,0),"無")</f>
        <v>1180</v>
      </c>
      <c r="S755" s="81" t="str">
        <f>IFERROR(VLOOKUP($G755,融外自投!$A:$J,10,0),"無")</f>
        <v>無</v>
      </c>
      <c r="T755" s="327">
        <f>IFERROR(VLOOKUP($G755,'321買'!$A:$E,5,0),"'沒有資料'")</f>
        <v>1198</v>
      </c>
      <c r="U755" s="186">
        <f>IFERROR(VLOOKUP($G755,基本資料!$A:$J,9,0),"無")</f>
        <v>1.5</v>
      </c>
      <c r="V755" s="310">
        <f t="shared" si="152"/>
        <v>3.0991735537190084E-2</v>
      </c>
      <c r="W755" s="94">
        <f>IFERROR(VLOOKUP($G755,基本資料!$A:$J,10,0),"無")</f>
        <v>3.08</v>
      </c>
      <c r="X755" s="36">
        <f>RTD("money.excel",,"3693","Price")</f>
        <v>48.4</v>
      </c>
      <c r="Y755" s="66"/>
      <c r="Z755" s="15">
        <f t="shared" si="153"/>
        <v>48.4</v>
      </c>
      <c r="AA755" s="3" t="e">
        <f t="shared" si="154"/>
        <v>#DIV/0!</v>
      </c>
      <c r="AB755" s="344">
        <f>IFERROR(VLOOKUP($G755,基本資料!$A:$M,11,0),"無")</f>
        <v>-26.95</v>
      </c>
      <c r="AC755" s="397">
        <f>IFERROR(VLOOKUP($G755,基本資料!$A:$M,12,0),"無")</f>
        <v>31.35</v>
      </c>
      <c r="AD755" s="16" t="s">
        <v>2216</v>
      </c>
      <c r="AG755" s="33">
        <f t="shared" si="155"/>
        <v>0</v>
      </c>
      <c r="AH755" s="117" t="s">
        <v>2217</v>
      </c>
      <c r="AI755" s="63">
        <f t="shared" si="158"/>
        <v>9.6354166666666669E-4</v>
      </c>
      <c r="AJ755" s="284">
        <f>RTD("money.excel",,$G755,"PredictVolume")</f>
        <v>37</v>
      </c>
      <c r="AK755" s="399">
        <f>IFERROR(VLOOKUP($G755,基本資料!$A:$M,13,0),"無")</f>
        <v>10.55</v>
      </c>
    </row>
    <row r="756" spans="1:37">
      <c r="A756" s="347">
        <f>IFERROR(VLOOKUP($G756,基本資料!$A:$J,3,0),"無")</f>
        <v>21.36</v>
      </c>
      <c r="B756" s="79">
        <f>IFERROR(VLOOKUP($G756,基本資料!$A:$J,4,0),"無")</f>
        <v>3314</v>
      </c>
      <c r="C756" s="79">
        <f>IFERROR(VLOOKUP($G756,基本資料!$A:$J,5,0),"無")</f>
        <v>372</v>
      </c>
      <c r="D756" s="79">
        <f>IFERROR(VLOOKUP($G756,基本資料!$A:$J,6,0),"無")</f>
        <v>14</v>
      </c>
      <c r="E756" s="79">
        <f>IFERROR(VLOOKUP($G756,基本資料!$A:$J,7,0),"無")</f>
        <v>15</v>
      </c>
      <c r="F756" s="6">
        <f>IFERROR(VLOOKUP($G756,基本資料!$A:$J,8,0),"無")</f>
        <v>1.6</v>
      </c>
      <c r="G756" s="79">
        <v>3701</v>
      </c>
      <c r="H756" s="192" t="s">
        <v>1146</v>
      </c>
      <c r="I756" s="22" t="s">
        <v>4088</v>
      </c>
      <c r="J756" s="8">
        <f>IFERROR(VLOOKUP($G756,今日總結!$A:$AJ,35,0),"")</f>
        <v>0</v>
      </c>
      <c r="K756" s="5" t="str">
        <f>IFERROR(VLOOKUP($G756,今日總結!$A:$AJ,36,0),"")</f>
        <v>9自借</v>
      </c>
      <c r="L756" s="156">
        <f>IFERROR(VLOOKUP($G756,今日總結!$A:$AJ,33,0),"")</f>
        <v>0</v>
      </c>
      <c r="M756" s="340">
        <f>IFERROR(VLOOKUP($G756,今日總結!$A:$AJ,34,0),"")</f>
        <v>3</v>
      </c>
      <c r="N756" s="240">
        <f t="shared" si="157"/>
        <v>-3</v>
      </c>
      <c r="P756" s="365">
        <f>IFERROR(VLOOKUP($G756,融外自投!$A:$J,7,0),"無")</f>
        <v>426</v>
      </c>
      <c r="Q756" s="79" t="str">
        <f>IFERROR(VLOOKUP($G756,融外自投!$A:$J,9,0),"無")</f>
        <v>無</v>
      </c>
      <c r="R756" s="346">
        <f>IFERROR(VLOOKUP($G756,融外自投!$A:$J,8,0),"無")</f>
        <v>866</v>
      </c>
      <c r="S756" s="81">
        <f>IFERROR(VLOOKUP($G756,融外自投!$A:$J,10,0),"無")</f>
        <v>491</v>
      </c>
      <c r="T756" s="327">
        <f>IFERROR(VLOOKUP($G756,'321買'!$A:$E,5,0),"'沒有資料'")</f>
        <v>292</v>
      </c>
      <c r="U756" s="186">
        <f>IFERROR(VLOOKUP($G756,基本資料!$A:$J,9,0),"無")</f>
        <v>0</v>
      </c>
      <c r="V756" s="310">
        <f t="shared" si="152"/>
        <v>0</v>
      </c>
      <c r="W756" s="94">
        <f>IFERROR(VLOOKUP($G756,基本資料!$A:$J,10,0),"無")</f>
        <v>1.32</v>
      </c>
      <c r="X756" s="36">
        <f>RTD("money.excel",,"3701","Price")</f>
        <v>48.05</v>
      </c>
      <c r="Y756" s="66"/>
      <c r="Z756" s="15">
        <f t="shared" si="153"/>
        <v>48.05</v>
      </c>
      <c r="AA756" s="3" t="e">
        <f t="shared" si="154"/>
        <v>#DIV/0!</v>
      </c>
      <c r="AB756" s="344">
        <f>IFERROR(VLOOKUP($G756,基本資料!$A:$M,11,0),"無")</f>
        <v>-52.96</v>
      </c>
      <c r="AC756" s="397">
        <f>IFERROR(VLOOKUP($G756,基本資料!$A:$M,12,0),"無")</f>
        <v>11.4</v>
      </c>
      <c r="AD756" s="22" t="s">
        <v>4088</v>
      </c>
      <c r="AG756" s="33">
        <f t="shared" si="155"/>
        <v>0</v>
      </c>
      <c r="AH756" s="43" t="s">
        <v>1505</v>
      </c>
      <c r="AI756" s="63">
        <f t="shared" si="158"/>
        <v>8.988764044943821E-3</v>
      </c>
      <c r="AJ756" s="284">
        <f>RTD("money.excel",,$G756,"PredictVolume")</f>
        <v>1920</v>
      </c>
      <c r="AK756" s="399">
        <f>IFERROR(VLOOKUP($G756,基本資料!$A:$M,13,0),"無")</f>
        <v>18.2</v>
      </c>
    </row>
    <row r="757" spans="1:37">
      <c r="A757" s="347">
        <f>IFERROR(VLOOKUP($G757,基本資料!$A:$J,3,0),"無")</f>
        <v>120</v>
      </c>
      <c r="B757" s="79">
        <f>IFERROR(VLOOKUP($G757,基本資料!$A:$J,4,0),"無")</f>
        <v>319</v>
      </c>
      <c r="C757" s="79">
        <f>IFERROR(VLOOKUP($G757,基本資料!$A:$J,5,0),"無")</f>
        <v>-43</v>
      </c>
      <c r="D757" s="79">
        <f>IFERROR(VLOOKUP($G757,基本資料!$A:$J,6,0),"無")</f>
        <v>-28</v>
      </c>
      <c r="E757" s="79">
        <f>IFERROR(VLOOKUP($G757,基本資料!$A:$J,7,0),"無")</f>
        <v>-26</v>
      </c>
      <c r="F757" s="6">
        <f>IFERROR(VLOOKUP($G757,基本資料!$A:$J,8,0),"無")</f>
        <v>0.1</v>
      </c>
      <c r="G757" s="79">
        <v>3706</v>
      </c>
      <c r="H757" s="192" t="s">
        <v>1146</v>
      </c>
      <c r="I757" s="22" t="s">
        <v>50</v>
      </c>
      <c r="J757" s="8" t="str">
        <f>IFERROR(VLOOKUP($G757,今日總結!$A:$AJ,35,0),"")</f>
        <v/>
      </c>
      <c r="K757" s="5" t="str">
        <f>IFERROR(VLOOKUP($G757,今日總結!$A:$AJ,36,0),"")</f>
        <v/>
      </c>
      <c r="L757" s="156" t="str">
        <f>IFERROR(VLOOKUP($G757,今日總結!$A:$AJ,33,0),"")</f>
        <v/>
      </c>
      <c r="M757" s="340" t="str">
        <f>IFERROR(VLOOKUP($G757,今日總結!$A:$AJ,34,0),"")</f>
        <v/>
      </c>
      <c r="N757" s="240" t="str">
        <f t="shared" si="157"/>
        <v/>
      </c>
      <c r="P757" s="365">
        <f>IFERROR(VLOOKUP($G757,融外自投!$A:$J,7,0),"無")</f>
        <v>900</v>
      </c>
      <c r="Q757" s="79">
        <f>IFERROR(VLOOKUP($G757,融外自投!$A:$J,9,0),"無")</f>
        <v>165</v>
      </c>
      <c r="R757" s="346">
        <f>IFERROR(VLOOKUP($G757,融外自投!$A:$J,8,0),"無")</f>
        <v>426</v>
      </c>
      <c r="S757" s="81">
        <f>IFERROR(VLOOKUP($G757,融外自投!$A:$J,10,0),"無")</f>
        <v>437</v>
      </c>
      <c r="T757" s="327">
        <f>IFERROR(VLOOKUP($G757,'321買'!$A:$E,5,0),"'沒有資料'")</f>
        <v>224</v>
      </c>
      <c r="U757" s="186">
        <f>IFERROR(VLOOKUP($G757,基本資料!$A:$J,9,0),"無")</f>
        <v>2</v>
      </c>
      <c r="V757" s="310">
        <f t="shared" si="152"/>
        <v>7.5046904315197005E-2</v>
      </c>
      <c r="W757" s="94">
        <f>IFERROR(VLOOKUP($G757,基本資料!$A:$J,10,0),"無")</f>
        <v>10.01</v>
      </c>
      <c r="X757" s="36">
        <f>RTD("money.excel",,"3706","Price")</f>
        <v>26.65</v>
      </c>
      <c r="Y757" s="66"/>
      <c r="Z757" s="15">
        <f t="shared" si="153"/>
        <v>26.65</v>
      </c>
      <c r="AA757" s="3" t="e">
        <f t="shared" si="154"/>
        <v>#DIV/0!</v>
      </c>
      <c r="AB757" s="344">
        <f>IFERROR(VLOOKUP($G757,基本資料!$A:$M,11,0),"無")</f>
        <v>-22.54</v>
      </c>
      <c r="AC757" s="397">
        <f>IFERROR(VLOOKUP($G757,基本資料!$A:$M,12,0),"無")</f>
        <v>6.86</v>
      </c>
      <c r="AD757" s="22" t="s">
        <v>50</v>
      </c>
      <c r="AG757" s="33">
        <f t="shared" si="155"/>
        <v>0</v>
      </c>
      <c r="AH757" s="117" t="s">
        <v>2730</v>
      </c>
      <c r="AI757" s="63">
        <f t="shared" si="158"/>
        <v>3.4516666666666667E-3</v>
      </c>
      <c r="AJ757" s="284">
        <f>RTD("money.excel",,$G757,"PredictVolume")</f>
        <v>4142</v>
      </c>
      <c r="AK757" s="399">
        <f>IFERROR(VLOOKUP($G757,基本資料!$A:$M,13,0),"無")</f>
        <v>7.67</v>
      </c>
    </row>
    <row r="758" spans="1:37">
      <c r="A758" s="347">
        <f>IFERROR(VLOOKUP($G758,基本資料!$A:$J,3,0),"無")</f>
        <v>10.050000000000001</v>
      </c>
      <c r="B758" s="79">
        <f>IFERROR(VLOOKUP($G758,基本資料!$A:$J,4,0),"無")</f>
        <v>88</v>
      </c>
      <c r="C758" s="79">
        <f>IFERROR(VLOOKUP($G758,基本資料!$A:$J,5,0),"無")</f>
        <v>44</v>
      </c>
      <c r="D758" s="79">
        <f>IFERROR(VLOOKUP($G758,基本資料!$A:$J,6,0),"無")</f>
        <v>-24</v>
      </c>
      <c r="E758" s="79">
        <f>IFERROR(VLOOKUP($G758,基本資料!$A:$J,7,0),"無")</f>
        <v>-12</v>
      </c>
      <c r="F758" s="6">
        <f>IFERROR(VLOOKUP($G758,基本資料!$A:$J,8,0),"無")</f>
        <v>2.46</v>
      </c>
      <c r="G758" s="79">
        <v>3709</v>
      </c>
      <c r="H758" s="145" t="s">
        <v>1146</v>
      </c>
      <c r="I758" s="16" t="s">
        <v>2218</v>
      </c>
      <c r="J758" s="8">
        <f>IFERROR(VLOOKUP($G758,今日總結!$A:$AJ,35,0),"")</f>
        <v>0</v>
      </c>
      <c r="K758" s="5" t="str">
        <f>IFERROR(VLOOKUP($G758,今日總結!$A:$AJ,36,0),"")</f>
        <v>外</v>
      </c>
      <c r="L758" s="156">
        <f>IFERROR(VLOOKUP($G758,今日總結!$A:$AJ,33,0),"")</f>
        <v>0</v>
      </c>
      <c r="M758" s="340">
        <f>IFERROR(VLOOKUP($G758,今日總結!$A:$AJ,34,0),"")</f>
        <v>1</v>
      </c>
      <c r="N758" s="240">
        <f t="shared" si="157"/>
        <v>-1</v>
      </c>
      <c r="P758" s="365">
        <f>IFERROR(VLOOKUP($G758,融外自投!$A:$J,7,0),"無")</f>
        <v>1191</v>
      </c>
      <c r="Q758" s="79" t="str">
        <f>IFERROR(VLOOKUP($G758,融外自投!$A:$J,9,0),"無")</f>
        <v>無</v>
      </c>
      <c r="R758" s="346">
        <f>IFERROR(VLOOKUP($G758,融外自投!$A:$J,8,0),"無")</f>
        <v>981</v>
      </c>
      <c r="S758" s="81" t="str">
        <f>IFERROR(VLOOKUP($G758,融外自投!$A:$J,10,0),"無")</f>
        <v>無</v>
      </c>
      <c r="T758" s="327">
        <f>IFERROR(VLOOKUP($G758,'321買'!$A:$E,5,0),"'沒有資料'")</f>
        <v>1066</v>
      </c>
      <c r="U758" s="186">
        <f>IFERROR(VLOOKUP($G758,基本資料!$A:$J,9,0),"無")</f>
        <v>1.6</v>
      </c>
      <c r="V758" s="310">
        <f t="shared" si="152"/>
        <v>5.5749128919860634E-2</v>
      </c>
      <c r="W758" s="94">
        <f>IFERROR(VLOOKUP($G758,基本資料!$A:$J,10,0),"無")</f>
        <v>4.55</v>
      </c>
      <c r="X758" s="36">
        <f>RTD("money.excel",,"3709","Price")</f>
        <v>28.7</v>
      </c>
      <c r="Y758" s="66"/>
      <c r="Z758" s="15">
        <f t="shared" si="153"/>
        <v>28.7</v>
      </c>
      <c r="AA758" s="3" t="e">
        <f t="shared" si="154"/>
        <v>#DIV/0!</v>
      </c>
      <c r="AB758" s="344">
        <f>IFERROR(VLOOKUP($G758,基本資料!$A:$M,11,0),"無")</f>
        <v>-33.33</v>
      </c>
      <c r="AC758" s="397">
        <f>IFERROR(VLOOKUP($G758,基本資料!$A:$M,12,0),"無")</f>
        <v>28.35</v>
      </c>
      <c r="AD758" s="16" t="s">
        <v>2218</v>
      </c>
      <c r="AG758" s="33">
        <f t="shared" si="155"/>
        <v>0</v>
      </c>
      <c r="AH758" s="43" t="s">
        <v>2441</v>
      </c>
      <c r="AI758" s="63">
        <f t="shared" si="158"/>
        <v>3.4825870646766171E-4</v>
      </c>
      <c r="AJ758" s="284">
        <f>RTD("money.excel",,$G758,"PredictVolume")</f>
        <v>35</v>
      </c>
      <c r="AK758" s="399">
        <f>IFERROR(VLOOKUP($G758,基本資料!$A:$M,13,0),"無")</f>
        <v>7.21</v>
      </c>
    </row>
    <row r="759" spans="1:37">
      <c r="A759" s="347">
        <f>IFERROR(VLOOKUP($G759,基本資料!$A:$J,3,0),"無")</f>
        <v>24.62</v>
      </c>
      <c r="B759" s="79">
        <f>IFERROR(VLOOKUP($G759,基本資料!$A:$J,4,0),"無")</f>
        <v>248</v>
      </c>
      <c r="C759" s="79">
        <f>IFERROR(VLOOKUP($G759,基本資料!$A:$J,5,0),"無")</f>
        <v>384</v>
      </c>
      <c r="D759" s="79">
        <f>IFERROR(VLOOKUP($G759,基本資料!$A:$J,6,0),"無")</f>
        <v>21</v>
      </c>
      <c r="E759" s="79">
        <f>IFERROR(VLOOKUP($G759,基本資料!$A:$J,7,0),"無")</f>
        <v>140</v>
      </c>
      <c r="F759" s="6">
        <f>IFERROR(VLOOKUP($G759,基本資料!$A:$J,8,0),"無")</f>
        <v>5.58</v>
      </c>
      <c r="G759" s="79">
        <v>3712</v>
      </c>
      <c r="H759" s="192" t="s">
        <v>1146</v>
      </c>
      <c r="I759" s="22" t="s">
        <v>1070</v>
      </c>
      <c r="J759" s="8">
        <f>IFERROR(VLOOKUP($G759,今日總結!$A:$AJ,35,0),"")</f>
        <v>0</v>
      </c>
      <c r="K759" s="5">
        <f>IFERROR(VLOOKUP($G759,今日總結!$A:$AJ,36,0),"")</f>
        <v>0</v>
      </c>
      <c r="L759" s="156">
        <f>IFERROR(VLOOKUP($G759,今日總結!$A:$AJ,33,0),"")</f>
        <v>0</v>
      </c>
      <c r="M759" s="340">
        <f>IFERROR(VLOOKUP($G759,今日總結!$A:$AJ,34,0),"")</f>
        <v>1</v>
      </c>
      <c r="N759" s="240">
        <f t="shared" si="157"/>
        <v>-1</v>
      </c>
      <c r="P759" s="365">
        <f>IFERROR(VLOOKUP($G759,融外自投!$A:$J,7,0),"無")</f>
        <v>481</v>
      </c>
      <c r="Q759" s="79">
        <f>IFERROR(VLOOKUP($G759,融外自投!$A:$J,9,0),"無")</f>
        <v>635</v>
      </c>
      <c r="R759" s="346">
        <f>IFERROR(VLOOKUP($G759,融外自投!$A:$J,8,0),"無")</f>
        <v>1137</v>
      </c>
      <c r="S759" s="81" t="str">
        <f>IFERROR(VLOOKUP($G759,融外自投!$A:$J,10,0),"無")</f>
        <v>無</v>
      </c>
      <c r="T759" s="327">
        <f>IFERROR(VLOOKUP($G759,'321買'!$A:$E,5,0),"'沒有資料'")</f>
        <v>779</v>
      </c>
      <c r="U759" s="186">
        <f>IFERROR(VLOOKUP($G759,基本資料!$A:$J,9,0),"無")</f>
        <v>1.5</v>
      </c>
      <c r="V759" s="310">
        <f t="shared" si="152"/>
        <v>4.9833887043189369E-2</v>
      </c>
      <c r="W759" s="94">
        <f>IFERROR(VLOOKUP($G759,基本資料!$A:$J,10,0),"無")</f>
        <v>1.76</v>
      </c>
      <c r="X759" s="36">
        <f>RTD("money.excel",,"3712","Price")</f>
        <v>30.1</v>
      </c>
      <c r="Y759" s="66"/>
      <c r="Z759" s="15">
        <f t="shared" si="153"/>
        <v>30.1</v>
      </c>
      <c r="AA759" s="3" t="e">
        <f t="shared" si="154"/>
        <v>#DIV/0!</v>
      </c>
      <c r="AB759" s="344">
        <f>IFERROR(VLOOKUP($G759,基本資料!$A:$M,11,0),"無")</f>
        <v>-29.95</v>
      </c>
      <c r="AC759" s="397">
        <f>IFERROR(VLOOKUP($G759,基本資料!$A:$M,12,0),"無")</f>
        <v>33.840000000000003</v>
      </c>
      <c r="AD759" s="22" t="s">
        <v>1070</v>
      </c>
      <c r="AG759" s="33">
        <f t="shared" si="155"/>
        <v>0</v>
      </c>
      <c r="AH759" s="117" t="s">
        <v>2731</v>
      </c>
      <c r="AI759" s="63">
        <f t="shared" si="158"/>
        <v>3.4890333062550772E-3</v>
      </c>
      <c r="AJ759" s="284">
        <f>RTD("money.excel",,$G759,"PredictVolume")</f>
        <v>859</v>
      </c>
      <c r="AK759" s="399">
        <f>IFERROR(VLOOKUP($G759,基本資料!$A:$M,13,0),"無")</f>
        <v>7.35</v>
      </c>
    </row>
    <row r="760" spans="1:37">
      <c r="A760" s="347">
        <f>IFERROR(VLOOKUP($G760,基本資料!$A:$J,3,0),"無")</f>
        <v>8.33</v>
      </c>
      <c r="B760" s="79">
        <f>IFERROR(VLOOKUP($G760,基本資料!$A:$J,4,0),"無")</f>
        <v>158</v>
      </c>
      <c r="C760" s="79">
        <f>IFERROR(VLOOKUP($G760,基本資料!$A:$J,5,0),"無")</f>
        <v>72</v>
      </c>
      <c r="D760" s="79">
        <f>IFERROR(VLOOKUP($G760,基本資料!$A:$J,6,0),"無")</f>
        <v>48</v>
      </c>
      <c r="E760" s="79">
        <f>IFERROR(VLOOKUP($G760,基本資料!$A:$J,7,0),"無")</f>
        <v>26</v>
      </c>
      <c r="F760" s="6">
        <f>IFERROR(VLOOKUP($G760,基本資料!$A:$J,8,0),"無")</f>
        <v>-1.49</v>
      </c>
      <c r="G760" s="79">
        <v>4916</v>
      </c>
      <c r="H760" s="192" t="s">
        <v>1146</v>
      </c>
      <c r="I760" s="22" t="s">
        <v>467</v>
      </c>
      <c r="J760" s="8" t="str">
        <f>IFERROR(VLOOKUP($G760,今日總結!$A:$AJ,35,0),"")</f>
        <v/>
      </c>
      <c r="K760" s="5" t="str">
        <f>IFERROR(VLOOKUP($G760,今日總結!$A:$AJ,36,0),"")</f>
        <v/>
      </c>
      <c r="L760" s="156" t="str">
        <f>IFERROR(VLOOKUP($G760,今日總結!$A:$AJ,33,0),"")</f>
        <v/>
      </c>
      <c r="M760" s="340" t="str">
        <f>IFERROR(VLOOKUP($G760,今日總結!$A:$AJ,34,0),"")</f>
        <v/>
      </c>
      <c r="N760" s="240" t="str">
        <f t="shared" si="157"/>
        <v/>
      </c>
      <c r="P760" s="365">
        <f>IFERROR(VLOOKUP($G760,融外自投!$A:$J,7,0),"無")</f>
        <v>403</v>
      </c>
      <c r="Q760" s="79">
        <f>IFERROR(VLOOKUP($G760,融外自投!$A:$J,9,0),"無")</f>
        <v>978</v>
      </c>
      <c r="R760" s="346">
        <f>IFERROR(VLOOKUP($G760,融外自投!$A:$J,8,0),"無")</f>
        <v>1099</v>
      </c>
      <c r="S760" s="81" t="str">
        <f>IFERROR(VLOOKUP($G760,融外自投!$A:$J,10,0),"無")</f>
        <v>無</v>
      </c>
      <c r="T760" s="327">
        <f>IFERROR(VLOOKUP($G760,'321買'!$A:$E,5,0),"'沒有資料'")</f>
        <v>964</v>
      </c>
      <c r="U760" s="186">
        <f>IFERROR(VLOOKUP($G760,基本資料!$A:$J,9,0),"無")</f>
        <v>0.5</v>
      </c>
      <c r="V760" s="310">
        <f t="shared" si="152"/>
        <v>2.0746887966804978E-2</v>
      </c>
      <c r="W760" s="94">
        <f>IFERROR(VLOOKUP($G760,基本資料!$A:$J,10,0),"無")</f>
        <v>1.29</v>
      </c>
      <c r="X760" s="36">
        <f>RTD("money.excel",,"4916","Price")</f>
        <v>24.1</v>
      </c>
      <c r="Y760" s="66"/>
      <c r="Z760" s="15">
        <f t="shared" si="153"/>
        <v>24.1</v>
      </c>
      <c r="AA760" s="3" t="e">
        <f t="shared" si="154"/>
        <v>#DIV/0!</v>
      </c>
      <c r="AB760" s="344">
        <f>IFERROR(VLOOKUP($G760,基本資料!$A:$M,11,0),"無")</f>
        <v>-37.549999999999997</v>
      </c>
      <c r="AC760" s="397">
        <f>IFERROR(VLOOKUP($G760,基本資料!$A:$M,12,0),"無")</f>
        <v>18.86</v>
      </c>
      <c r="AD760" s="22" t="s">
        <v>467</v>
      </c>
      <c r="AG760" s="33">
        <f t="shared" si="155"/>
        <v>0</v>
      </c>
      <c r="AH760" s="43" t="s">
        <v>3560</v>
      </c>
      <c r="AI760" s="63">
        <f t="shared" si="158"/>
        <v>5.2941176470588233E-3</v>
      </c>
      <c r="AJ760" s="284">
        <f>RTD("money.excel",,$G760,"PredictVolume")</f>
        <v>441</v>
      </c>
      <c r="AK760" s="399">
        <f>IFERROR(VLOOKUP($G760,基本資料!$A:$M,13,0),"無")</f>
        <v>24.19</v>
      </c>
    </row>
    <row r="761" spans="1:37">
      <c r="A761" s="347">
        <f>IFERROR(VLOOKUP($G761,基本資料!$A:$J,3,0),"無")</f>
        <v>3.71</v>
      </c>
      <c r="B761" s="79">
        <f>IFERROR(VLOOKUP($G761,基本資料!$A:$J,4,0),"無")</f>
        <v>3</v>
      </c>
      <c r="C761" s="79">
        <f>IFERROR(VLOOKUP($G761,基本資料!$A:$J,5,0),"無")</f>
        <v>-22</v>
      </c>
      <c r="D761" s="79">
        <f>IFERROR(VLOOKUP($G761,基本資料!$A:$J,6,0),"無")</f>
        <v>142</v>
      </c>
      <c r="E761" s="79">
        <f>IFERROR(VLOOKUP($G761,基本資料!$A:$J,7,0),"無")</f>
        <v>64</v>
      </c>
      <c r="F761" s="6">
        <f>IFERROR(VLOOKUP($G761,基本資料!$A:$J,8,0),"無")</f>
        <v>4.57</v>
      </c>
      <c r="G761" s="79">
        <v>4924</v>
      </c>
      <c r="H761" s="145" t="s">
        <v>1146</v>
      </c>
      <c r="I761" s="16" t="s">
        <v>2219</v>
      </c>
      <c r="J761" s="8" t="str">
        <f>IFERROR(VLOOKUP($G761,今日總結!$A:$AJ,35,0),"")</f>
        <v/>
      </c>
      <c r="K761" s="5" t="str">
        <f>IFERROR(VLOOKUP($G761,今日總結!$A:$AJ,36,0),"")</f>
        <v/>
      </c>
      <c r="L761" s="156" t="str">
        <f>IFERROR(VLOOKUP($G761,今日總結!$A:$AJ,33,0),"")</f>
        <v/>
      </c>
      <c r="M761" s="340" t="str">
        <f>IFERROR(VLOOKUP($G761,今日總結!$A:$AJ,34,0),"")</f>
        <v/>
      </c>
      <c r="N761" s="240" t="str">
        <f t="shared" si="157"/>
        <v/>
      </c>
      <c r="P761" s="365" t="str">
        <f>IFERROR(VLOOKUP($G761,融外自投!$A:$J,7,0),"無")</f>
        <v>無</v>
      </c>
      <c r="Q761" s="79" t="str">
        <f>IFERROR(VLOOKUP($G761,融外自投!$A:$J,9,0),"無")</f>
        <v>無</v>
      </c>
      <c r="R761" s="346" t="str">
        <f>IFERROR(VLOOKUP($G761,融外自投!$A:$J,8,0),"無")</f>
        <v>無</v>
      </c>
      <c r="S761" s="81" t="str">
        <f>IFERROR(VLOOKUP($G761,融外自投!$A:$J,10,0),"無")</f>
        <v>無</v>
      </c>
      <c r="T761" s="327" t="str">
        <f>IFERROR(VLOOKUP($G761,'321買'!$A:$E,5,0),"'沒有資料'")</f>
        <v>'沒有資料'</v>
      </c>
      <c r="U761" s="186">
        <f>IFERROR(VLOOKUP($G761,基本資料!$A:$J,9,0),"無")</f>
        <v>0</v>
      </c>
      <c r="V761" s="310">
        <f t="shared" si="152"/>
        <v>0</v>
      </c>
      <c r="W761" s="94">
        <f>IFERROR(VLOOKUP($G761,基本資料!$A:$J,10,0),"無")</f>
        <v>0.98</v>
      </c>
      <c r="X761" s="36">
        <f>RTD("money.excel",,"4924","Price")</f>
        <v>12.05</v>
      </c>
      <c r="Y761" s="66"/>
      <c r="Z761" s="15">
        <f t="shared" si="153"/>
        <v>12.05</v>
      </c>
      <c r="AA761" s="3" t="e">
        <f t="shared" si="154"/>
        <v>#DIV/0!</v>
      </c>
      <c r="AB761" s="344">
        <f>IFERROR(VLOOKUP($G761,基本資料!$A:$M,11,0),"無")</f>
        <v>-29.62</v>
      </c>
      <c r="AC761" s="397">
        <f>IFERROR(VLOOKUP($G761,基本資料!$A:$M,12,0),"無")</f>
        <v>8.09</v>
      </c>
      <c r="AD761" s="16" t="s">
        <v>2219</v>
      </c>
      <c r="AG761" s="33">
        <f t="shared" si="155"/>
        <v>0</v>
      </c>
      <c r="AH761" s="43" t="s">
        <v>2432</v>
      </c>
      <c r="AI761" s="63">
        <f t="shared" si="158"/>
        <v>8.0862533692722374E-4</v>
      </c>
      <c r="AJ761" s="284">
        <f>RTD("money.excel",,$G761,"PredictVolume")</f>
        <v>30</v>
      </c>
      <c r="AK761" s="399">
        <f>IFERROR(VLOOKUP($G761,基本資料!$A:$M,13,0),"無")</f>
        <v>1.31</v>
      </c>
    </row>
    <row r="762" spans="1:37">
      <c r="A762" s="347">
        <f>IFERROR(VLOOKUP($G762,基本資料!$A:$J,3,0),"無")</f>
        <v>6.39</v>
      </c>
      <c r="B762" s="79">
        <f>IFERROR(VLOOKUP($G762,基本資料!$A:$J,4,0),"無")</f>
        <v>-162</v>
      </c>
      <c r="C762" s="79">
        <f>IFERROR(VLOOKUP($G762,基本資料!$A:$J,5,0),"無")</f>
        <v>-156</v>
      </c>
      <c r="D762" s="79">
        <f>IFERROR(VLOOKUP($G762,基本資料!$A:$J,6,0),"無")</f>
        <v>-18</v>
      </c>
      <c r="E762" s="79">
        <f>IFERROR(VLOOKUP($G762,基本資料!$A:$J,7,0),"無")</f>
        <v>90</v>
      </c>
      <c r="F762" s="6">
        <f>IFERROR(VLOOKUP($G762,基本資料!$A:$J,8,0),"無")</f>
        <v>-3.01</v>
      </c>
      <c r="G762" s="79">
        <v>4931</v>
      </c>
      <c r="H762" s="145" t="s">
        <v>1146</v>
      </c>
      <c r="I762" s="16" t="s">
        <v>2972</v>
      </c>
      <c r="J762" s="8">
        <f>IFERROR(VLOOKUP($G762,今日總結!$A:$AJ,35,0),"")</f>
        <v>49</v>
      </c>
      <c r="K762" s="5">
        <f>IFERROR(VLOOKUP($G762,今日總結!$A:$AJ,36,0),"")</f>
        <v>562</v>
      </c>
      <c r="L762" s="156">
        <f>IFERROR(VLOOKUP($G762,今日總結!$A:$AJ,33,0),"")</f>
        <v>2</v>
      </c>
      <c r="M762" s="340">
        <f>IFERROR(VLOOKUP($G762,今日總結!$A:$AJ,34,0),"")</f>
        <v>3</v>
      </c>
      <c r="N762" s="240">
        <f t="shared" si="157"/>
        <v>-1</v>
      </c>
      <c r="P762" s="365">
        <f>IFERROR(VLOOKUP($G762,融外自投!$A:$J,7,0),"無")</f>
        <v>3</v>
      </c>
      <c r="Q762" s="79">
        <f>IFERROR(VLOOKUP($G762,融外自投!$A:$J,9,0),"無")</f>
        <v>586</v>
      </c>
      <c r="R762" s="346">
        <f>IFERROR(VLOOKUP($G762,融外自投!$A:$J,8,0),"無")</f>
        <v>140</v>
      </c>
      <c r="S762" s="81">
        <f>IFERROR(VLOOKUP($G762,融外自投!$A:$J,10,0),"無")</f>
        <v>332</v>
      </c>
      <c r="T762" s="327">
        <f>IFERROR(VLOOKUP($G762,'321買'!$A:$E,5,0),"'沒有資料'")</f>
        <v>634</v>
      </c>
      <c r="U762" s="186">
        <f>IFERROR(VLOOKUP($G762,基本資料!$A:$J,9,0),"無")</f>
        <v>0</v>
      </c>
      <c r="V762" s="310">
        <f t="shared" si="152"/>
        <v>0</v>
      </c>
      <c r="W762" s="94">
        <f>IFERROR(VLOOKUP($G762,基本資料!$A:$J,10,0),"無")</f>
        <v>-0.63</v>
      </c>
      <c r="X762" s="36">
        <f>RTD("money.excel",,"4931","Price")</f>
        <v>33.25</v>
      </c>
      <c r="Y762" s="66"/>
      <c r="Z762" s="15">
        <f t="shared" si="153"/>
        <v>33.25</v>
      </c>
      <c r="AA762" s="3" t="e">
        <f t="shared" si="154"/>
        <v>#DIV/0!</v>
      </c>
      <c r="AB762" s="344">
        <f>IFERROR(VLOOKUP($G762,基本資料!$A:$M,11,0),"無")</f>
        <v>-12.17</v>
      </c>
      <c r="AC762" s="397">
        <f>IFERROR(VLOOKUP($G762,基本資料!$A:$M,12,0),"無")</f>
        <v>73.05</v>
      </c>
      <c r="AD762" s="16" t="s">
        <v>2972</v>
      </c>
      <c r="AG762" s="33">
        <f t="shared" si="155"/>
        <v>0</v>
      </c>
      <c r="AH762" s="43" t="s">
        <v>2973</v>
      </c>
      <c r="AI762" s="63">
        <f t="shared" si="158"/>
        <v>0.13608763693270737</v>
      </c>
      <c r="AJ762" s="284">
        <f>RTD("money.excel",,$G762,"PredictVolume")</f>
        <v>8696</v>
      </c>
      <c r="AK762" s="399">
        <f>IFERROR(VLOOKUP($G762,基本資料!$A:$M,13,0),"無")</f>
        <v>58.04</v>
      </c>
    </row>
    <row r="763" spans="1:37">
      <c r="A763" s="347">
        <f>IFERROR(VLOOKUP($G763,基本資料!$A:$J,3,0),"無")</f>
        <v>266</v>
      </c>
      <c r="B763" s="79">
        <f>IFERROR(VLOOKUP($G763,基本資料!$A:$J,4,0),"無")</f>
        <v>11</v>
      </c>
      <c r="C763" s="79">
        <f>IFERROR(VLOOKUP($G763,基本資料!$A:$J,5,0),"無")</f>
        <v>-11</v>
      </c>
      <c r="D763" s="79">
        <f>IFERROR(VLOOKUP($G763,基本資料!$A:$J,6,0),"無")</f>
        <v>35</v>
      </c>
      <c r="E763" s="79">
        <f>IFERROR(VLOOKUP($G763,基本資料!$A:$J,7,0),"無")</f>
        <v>43</v>
      </c>
      <c r="F763" s="6">
        <f>IFERROR(VLOOKUP($G763,基本資料!$A:$J,8,0),"無")</f>
        <v>1.33</v>
      </c>
      <c r="G763" s="79">
        <v>4938</v>
      </c>
      <c r="H763" s="192" t="s">
        <v>1146</v>
      </c>
      <c r="I763" s="22" t="s">
        <v>13</v>
      </c>
      <c r="J763" s="8" t="str">
        <f>IFERROR(VLOOKUP($G763,今日總結!$A:$AJ,35,0),"")</f>
        <v>自</v>
      </c>
      <c r="K763" s="5">
        <f>IFERROR(VLOOKUP($G763,今日總結!$A:$AJ,36,0),"")</f>
        <v>0</v>
      </c>
      <c r="L763" s="156">
        <f>IFERROR(VLOOKUP($G763,今日總結!$A:$AJ,33,0),"")</f>
        <v>1</v>
      </c>
      <c r="M763" s="340">
        <f>IFERROR(VLOOKUP($G763,今日總結!$A:$AJ,34,0),"")</f>
        <v>1</v>
      </c>
      <c r="N763" s="240">
        <f t="shared" si="157"/>
        <v>0</v>
      </c>
      <c r="P763" s="365">
        <f>IFERROR(VLOOKUP($G763,融外自投!$A:$J,7,0),"無")</f>
        <v>1237</v>
      </c>
      <c r="Q763" s="79">
        <f>IFERROR(VLOOKUP($G763,融外自投!$A:$J,9,0),"無")</f>
        <v>69</v>
      </c>
      <c r="R763" s="346">
        <f>IFERROR(VLOOKUP($G763,融外自投!$A:$J,8,0),"無")</f>
        <v>159</v>
      </c>
      <c r="S763" s="81">
        <f>IFERROR(VLOOKUP($G763,融外自投!$A:$J,10,0),"無")</f>
        <v>75</v>
      </c>
      <c r="T763" s="327">
        <f>IFERROR(VLOOKUP($G763,'321買'!$A:$E,5,0),"'沒有資料'")</f>
        <v>26</v>
      </c>
      <c r="U763" s="186">
        <f>IFERROR(VLOOKUP($G763,基本資料!$A:$J,9,0),"無")</f>
        <v>5</v>
      </c>
      <c r="V763" s="310">
        <f t="shared" ref="V763:V806" si="162">$U763/$X763</f>
        <v>7.2992700729927001E-2</v>
      </c>
      <c r="W763" s="94">
        <f>IFERROR(VLOOKUP($G763,基本資料!$A:$J,10,0),"無")</f>
        <v>7.71</v>
      </c>
      <c r="X763" s="36">
        <f>RTD("money.excel",,"4938","Price")</f>
        <v>68.5</v>
      </c>
      <c r="Y763" s="66"/>
      <c r="Z763" s="15">
        <f t="shared" si="153"/>
        <v>68.5</v>
      </c>
      <c r="AA763" s="3" t="e">
        <f t="shared" si="154"/>
        <v>#DIV/0!</v>
      </c>
      <c r="AB763" s="344">
        <f>IFERROR(VLOOKUP($G763,基本資料!$A:$M,11,0),"無")</f>
        <v>-7.47</v>
      </c>
      <c r="AC763" s="397">
        <f>IFERROR(VLOOKUP($G763,基本資料!$A:$M,12,0),"無")</f>
        <v>42.1</v>
      </c>
      <c r="AD763" s="22" t="s">
        <v>13</v>
      </c>
      <c r="AG763" s="33">
        <f t="shared" si="155"/>
        <v>0</v>
      </c>
      <c r="AH763" s="117" t="s">
        <v>2732</v>
      </c>
      <c r="AI763" s="63">
        <f t="shared" ref="AI763:AI794" si="163">AJ763/(A763*10000)</f>
        <v>1.7714285714285714E-3</v>
      </c>
      <c r="AJ763" s="284">
        <f>RTD("money.excel",,$G763,"PredictVolume")</f>
        <v>4712</v>
      </c>
      <c r="AK763" s="399">
        <f>IFERROR(VLOOKUP($G763,基本資料!$A:$M,13,0),"無")</f>
        <v>1.64</v>
      </c>
    </row>
    <row r="764" spans="1:37">
      <c r="A764" s="347">
        <f>IFERROR(VLOOKUP($G764,基本資料!$A:$J,3,0),"無")</f>
        <v>2.89</v>
      </c>
      <c r="B764" s="79">
        <f>IFERROR(VLOOKUP($G764,基本資料!$A:$J,4,0),"無")</f>
        <v>40</v>
      </c>
      <c r="C764" s="79">
        <f>IFERROR(VLOOKUP($G764,基本資料!$A:$J,5,0),"無")</f>
        <v>39</v>
      </c>
      <c r="D764" s="79">
        <f>IFERROR(VLOOKUP($G764,基本資料!$A:$J,6,0),"無")</f>
        <v>-26</v>
      </c>
      <c r="E764" s="79">
        <f>IFERROR(VLOOKUP($G764,基本資料!$A:$J,7,0),"無")</f>
        <v>-13</v>
      </c>
      <c r="F764" s="6">
        <f>IFERROR(VLOOKUP($G764,基本資料!$A:$J,8,0),"無")</f>
        <v>15.55</v>
      </c>
      <c r="G764" s="79">
        <v>4987</v>
      </c>
      <c r="H764" s="145" t="s">
        <v>1146</v>
      </c>
      <c r="I764" s="16" t="s">
        <v>2220</v>
      </c>
      <c r="J764" s="8" t="str">
        <f>IFERROR(VLOOKUP($G764,今日總結!$A:$AJ,35,0),"")</f>
        <v/>
      </c>
      <c r="K764" s="5" t="str">
        <f>IFERROR(VLOOKUP($G764,今日總結!$A:$AJ,36,0),"")</f>
        <v/>
      </c>
      <c r="L764" s="156" t="str">
        <f>IFERROR(VLOOKUP($G764,今日總結!$A:$AJ,33,0),"")</f>
        <v/>
      </c>
      <c r="M764" s="340" t="str">
        <f>IFERROR(VLOOKUP($G764,今日總結!$A:$AJ,34,0),"")</f>
        <v/>
      </c>
      <c r="N764" s="240" t="str">
        <f t="shared" ref="N764:N806" si="164">IFERROR(L764-M764,"")</f>
        <v/>
      </c>
      <c r="P764" s="365" t="str">
        <f>IFERROR(VLOOKUP($G764,融外自投!$A:$J,7,0),"無")</f>
        <v>無</v>
      </c>
      <c r="Q764" s="79" t="str">
        <f>IFERROR(VLOOKUP($G764,融外自投!$A:$J,9,0),"無")</f>
        <v>無</v>
      </c>
      <c r="R764" s="346" t="str">
        <f>IFERROR(VLOOKUP($G764,融外自投!$A:$J,8,0),"無")</f>
        <v>無</v>
      </c>
      <c r="S764" s="81" t="str">
        <f>IFERROR(VLOOKUP($G764,融外自投!$A:$J,10,0),"無")</f>
        <v>無</v>
      </c>
      <c r="T764" s="327" t="str">
        <f>IFERROR(VLOOKUP($G764,'321買'!$A:$E,5,0),"'沒有資料'")</f>
        <v>'沒有資料'</v>
      </c>
      <c r="U764" s="186">
        <f>IFERROR(VLOOKUP($G764,基本資料!$A:$J,9,0),"無")</f>
        <v>4</v>
      </c>
      <c r="V764" s="310">
        <f t="shared" si="162"/>
        <v>6.7226890756302518E-2</v>
      </c>
      <c r="W764" s="94">
        <f>IFERROR(VLOOKUP($G764,基本資料!$A:$J,10,0),"無")</f>
        <v>4.6100000000000003</v>
      </c>
      <c r="X764" s="36">
        <f>RTD("money.excel",,"4987","Price")</f>
        <v>59.5</v>
      </c>
      <c r="Y764" s="66"/>
      <c r="Z764" s="15">
        <f t="shared" ref="Z764:Z806" si="165">X764-Y764</f>
        <v>59.5</v>
      </c>
      <c r="AA764" s="3" t="e">
        <f t="shared" ref="AA764:AA806" si="166">Z764/Y764</f>
        <v>#DIV/0!</v>
      </c>
      <c r="AB764" s="344">
        <f>IFERROR(VLOOKUP($G764,基本資料!$A:$M,11,0),"無")</f>
        <v>-3.49</v>
      </c>
      <c r="AC764" s="397">
        <f>IFERROR(VLOOKUP($G764,基本資料!$A:$M,12,0),"無")</f>
        <v>82.54</v>
      </c>
      <c r="AD764" s="16" t="s">
        <v>2220</v>
      </c>
      <c r="AG764" s="33">
        <f t="shared" ref="AG764:AG806" si="167">AF764-AE764</f>
        <v>0</v>
      </c>
      <c r="AH764" s="43" t="s">
        <v>2442</v>
      </c>
      <c r="AI764" s="63">
        <f t="shared" si="163"/>
        <v>1.0380622837370243E-3</v>
      </c>
      <c r="AJ764" s="284">
        <f>RTD("money.excel",,$G764,"PredictVolume")</f>
        <v>30</v>
      </c>
      <c r="AK764" s="399">
        <f>IFERROR(VLOOKUP($G764,基本資料!$A:$M,13,0),"無")</f>
        <v>0.97</v>
      </c>
    </row>
    <row r="765" spans="1:37">
      <c r="A765" s="347">
        <f>IFERROR(VLOOKUP($G765,基本資料!$A:$J,3,0),"無")</f>
        <v>6.43</v>
      </c>
      <c r="B765" s="79">
        <f>IFERROR(VLOOKUP($G765,基本資料!$A:$J,4,0),"無")</f>
        <v>-26</v>
      </c>
      <c r="C765" s="79">
        <f>IFERROR(VLOOKUP($G765,基本資料!$A:$J,5,0),"無")</f>
        <v>-29</v>
      </c>
      <c r="D765" s="79">
        <f>IFERROR(VLOOKUP($G765,基本資料!$A:$J,6,0),"無")</f>
        <v>30</v>
      </c>
      <c r="E765" s="79">
        <f>IFERROR(VLOOKUP($G765,基本資料!$A:$J,7,0),"無")</f>
        <v>-37</v>
      </c>
      <c r="F765" s="6">
        <f>IFERROR(VLOOKUP($G765,基本資料!$A:$J,8,0),"無")</f>
        <v>20.62</v>
      </c>
      <c r="G765" s="79">
        <v>5215</v>
      </c>
      <c r="H765" s="192" t="s">
        <v>1146</v>
      </c>
      <c r="I765" s="22" t="s">
        <v>468</v>
      </c>
      <c r="J765" s="8" t="str">
        <f>IFERROR(VLOOKUP($G765,今日總結!$A:$AJ,35,0),"")</f>
        <v/>
      </c>
      <c r="K765" s="5" t="str">
        <f>IFERROR(VLOOKUP($G765,今日總結!$A:$AJ,36,0),"")</f>
        <v/>
      </c>
      <c r="L765" s="156" t="str">
        <f>IFERROR(VLOOKUP($G765,今日總結!$A:$AJ,33,0),"")</f>
        <v/>
      </c>
      <c r="M765" s="340" t="str">
        <f>IFERROR(VLOOKUP($G765,今日總結!$A:$AJ,34,0),"")</f>
        <v/>
      </c>
      <c r="N765" s="240" t="str">
        <f t="shared" si="164"/>
        <v/>
      </c>
      <c r="P765" s="365">
        <f>IFERROR(VLOOKUP($G765,融外自投!$A:$J,7,0),"無")</f>
        <v>483</v>
      </c>
      <c r="Q765" s="79">
        <f>IFERROR(VLOOKUP($G765,融外自投!$A:$J,9,0),"無")</f>
        <v>1110</v>
      </c>
      <c r="R765" s="346">
        <f>IFERROR(VLOOKUP($G765,融外自投!$A:$J,8,0),"無")</f>
        <v>215</v>
      </c>
      <c r="S765" s="81" t="str">
        <f>IFERROR(VLOOKUP($G765,融外自投!$A:$J,10,0),"無")</f>
        <v>無</v>
      </c>
      <c r="T765" s="327">
        <f>IFERROR(VLOOKUP($G765,'321買'!$A:$E,5,0),"'沒有資料'")</f>
        <v>1085</v>
      </c>
      <c r="U765" s="186">
        <f>IFERROR(VLOOKUP($G765,基本資料!$A:$J,9,0),"無")</f>
        <v>5</v>
      </c>
      <c r="V765" s="310">
        <f t="shared" si="162"/>
        <v>9.6339113680154145E-2</v>
      </c>
      <c r="W765" s="94">
        <f>IFERROR(VLOOKUP($G765,基本資料!$A:$J,10,0),"無")</f>
        <v>8.76</v>
      </c>
      <c r="X765" s="36">
        <f>RTD("money.excel",,"5215","Price")</f>
        <v>51.9</v>
      </c>
      <c r="Y765" s="66"/>
      <c r="Z765" s="15">
        <f t="shared" si="165"/>
        <v>51.9</v>
      </c>
      <c r="AA765" s="3" t="e">
        <f t="shared" si="166"/>
        <v>#DIV/0!</v>
      </c>
      <c r="AB765" s="344">
        <f>IFERROR(VLOOKUP($G765,基本資料!$A:$M,11,0),"無")</f>
        <v>-58.35</v>
      </c>
      <c r="AC765" s="397">
        <f>IFERROR(VLOOKUP($G765,基本資料!$A:$M,12,0),"無")</f>
        <v>19.41</v>
      </c>
      <c r="AD765" s="22" t="s">
        <v>468</v>
      </c>
      <c r="AG765" s="33">
        <f t="shared" si="167"/>
        <v>0</v>
      </c>
      <c r="AH765" s="43" t="s">
        <v>2283</v>
      </c>
      <c r="AI765" s="63">
        <f t="shared" si="163"/>
        <v>2.5505443234836705E-3</v>
      </c>
      <c r="AJ765" s="284">
        <f>RTD("money.excel",,$G765,"PredictVolume")</f>
        <v>164</v>
      </c>
      <c r="AK765" s="399">
        <f>IFERROR(VLOOKUP($G765,基本資料!$A:$M,13,0),"無")</f>
        <v>6.61</v>
      </c>
    </row>
    <row r="766" spans="1:37">
      <c r="A766" s="347">
        <f>IFERROR(VLOOKUP($G766,基本資料!$A:$J,3,0),"無")</f>
        <v>4.45</v>
      </c>
      <c r="B766" s="79">
        <f>IFERROR(VLOOKUP($G766,基本資料!$A:$J,4,0),"無")</f>
        <v>-18</v>
      </c>
      <c r="C766" s="79">
        <f>IFERROR(VLOOKUP($G766,基本資料!$A:$J,5,0),"無")</f>
        <v>-29</v>
      </c>
      <c r="D766" s="79">
        <f>IFERROR(VLOOKUP($G766,基本資料!$A:$J,6,0),"無")</f>
        <v>-73</v>
      </c>
      <c r="E766" s="79">
        <f>IFERROR(VLOOKUP($G766,基本資料!$A:$J,7,0),"無")</f>
        <v>-61</v>
      </c>
      <c r="F766" s="6">
        <f>IFERROR(VLOOKUP($G766,基本資料!$A:$J,8,0),"無")</f>
        <v>12.61</v>
      </c>
      <c r="G766" s="79">
        <v>5223</v>
      </c>
      <c r="H766" s="145" t="s">
        <v>1146</v>
      </c>
      <c r="I766" s="16" t="s">
        <v>2221</v>
      </c>
      <c r="J766" s="8" t="str">
        <f>IFERROR(VLOOKUP($G766,今日總結!$A:$AJ,35,0),"")</f>
        <v/>
      </c>
      <c r="K766" s="5" t="str">
        <f>IFERROR(VLOOKUP($G766,今日總結!$A:$AJ,36,0),"")</f>
        <v/>
      </c>
      <c r="L766" s="156" t="str">
        <f>IFERROR(VLOOKUP($G766,今日總結!$A:$AJ,33,0),"")</f>
        <v/>
      </c>
      <c r="M766" s="340" t="str">
        <f>IFERROR(VLOOKUP($G766,今日總結!$A:$AJ,34,0),"")</f>
        <v/>
      </c>
      <c r="N766" s="240" t="str">
        <f t="shared" si="164"/>
        <v/>
      </c>
      <c r="P766" s="365">
        <f>IFERROR(VLOOKUP($G766,融外自投!$A:$J,7,0),"無")</f>
        <v>298</v>
      </c>
      <c r="Q766" s="79" t="str">
        <f>IFERROR(VLOOKUP($G766,融外自投!$A:$J,9,0),"無")</f>
        <v>無</v>
      </c>
      <c r="R766" s="346">
        <f>IFERROR(VLOOKUP($G766,融外自投!$A:$J,8,0),"無")</f>
        <v>102</v>
      </c>
      <c r="S766" s="81" t="str">
        <f>IFERROR(VLOOKUP($G766,融外自投!$A:$J,10,0),"無")</f>
        <v>無</v>
      </c>
      <c r="T766" s="327">
        <f>IFERROR(VLOOKUP($G766,'321買'!$A:$E,5,0),"'沒有資料'")</f>
        <v>664</v>
      </c>
      <c r="U766" s="186">
        <f>IFERROR(VLOOKUP($G766,基本資料!$A:$J,9,0),"無")</f>
        <v>2.7</v>
      </c>
      <c r="V766" s="310">
        <f t="shared" si="162"/>
        <v>5.6962025316455701E-2</v>
      </c>
      <c r="W766" s="94">
        <f>IFERROR(VLOOKUP($G766,基本資料!$A:$J,10,0),"無")</f>
        <v>5.22</v>
      </c>
      <c r="X766" s="36">
        <f>RTD("money.excel",,"5223","Price")</f>
        <v>47.4</v>
      </c>
      <c r="Y766" s="66"/>
      <c r="Z766" s="15">
        <f t="shared" si="165"/>
        <v>47.4</v>
      </c>
      <c r="AA766" s="3" t="e">
        <f t="shared" si="166"/>
        <v>#DIV/0!</v>
      </c>
      <c r="AB766" s="344">
        <f>IFERROR(VLOOKUP($G766,基本資料!$A:$M,11,0),"無")</f>
        <v>-25.42</v>
      </c>
      <c r="AC766" s="397">
        <f>IFERROR(VLOOKUP($G766,基本資料!$A:$M,12,0),"無")</f>
        <v>25.89</v>
      </c>
      <c r="AD766" s="16" t="s">
        <v>2221</v>
      </c>
      <c r="AG766" s="33">
        <f t="shared" si="167"/>
        <v>0</v>
      </c>
      <c r="AH766" s="43" t="s">
        <v>2887</v>
      </c>
      <c r="AI766" s="63">
        <f t="shared" si="163"/>
        <v>7.415730337078652E-4</v>
      </c>
      <c r="AJ766" s="284">
        <f>RTD("money.excel",,$G766,"PredictVolume")</f>
        <v>33</v>
      </c>
      <c r="AK766" s="399">
        <f>IFERROR(VLOOKUP($G766,基本資料!$A:$M,13,0),"無")</f>
        <v>3.27</v>
      </c>
    </row>
    <row r="767" spans="1:37">
      <c r="A767" s="347">
        <f>IFERROR(VLOOKUP($G767,基本資料!$A:$J,3,0),"無")</f>
        <v>8.9499999999999993</v>
      </c>
      <c r="B767" s="79">
        <f>IFERROR(VLOOKUP($G767,基本資料!$A:$J,4,0),"無")</f>
        <v>13</v>
      </c>
      <c r="C767" s="79">
        <f>IFERROR(VLOOKUP($G767,基本資料!$A:$J,5,0),"無")</f>
        <v>46</v>
      </c>
      <c r="D767" s="79">
        <f>IFERROR(VLOOKUP($G767,基本資料!$A:$J,6,0),"無")</f>
        <v>26</v>
      </c>
      <c r="E767" s="79">
        <f>IFERROR(VLOOKUP($G767,基本資料!$A:$J,7,0),"無")</f>
        <v>39</v>
      </c>
      <c r="F767" s="6">
        <f>IFERROR(VLOOKUP($G767,基本資料!$A:$J,8,0),"無")</f>
        <v>7.36</v>
      </c>
      <c r="G767" s="79">
        <v>5258</v>
      </c>
      <c r="H767" s="192" t="s">
        <v>1146</v>
      </c>
      <c r="I767" s="22" t="s">
        <v>469</v>
      </c>
      <c r="J767" s="8">
        <f>IFERROR(VLOOKUP($G767,今日總結!$A:$AJ,35,0),"")</f>
        <v>0</v>
      </c>
      <c r="K767" s="5">
        <f>IFERROR(VLOOKUP($G767,今日總結!$A:$AJ,36,0),"")</f>
        <v>9</v>
      </c>
      <c r="L767" s="156">
        <f>IFERROR(VLOOKUP($G767,今日總結!$A:$AJ,33,0),"")</f>
        <v>0</v>
      </c>
      <c r="M767" s="340">
        <f>IFERROR(VLOOKUP($G767,今日總結!$A:$AJ,34,0),"")</f>
        <v>1</v>
      </c>
      <c r="N767" s="240">
        <f t="shared" si="164"/>
        <v>-1</v>
      </c>
      <c r="P767" s="365">
        <f>IFERROR(VLOOKUP($G767,融外自投!$A:$J,7,0),"無")</f>
        <v>89</v>
      </c>
      <c r="Q767" s="79">
        <f>IFERROR(VLOOKUP($G767,融外自投!$A:$J,9,0),"無")</f>
        <v>734</v>
      </c>
      <c r="R767" s="346">
        <f>IFERROR(VLOOKUP($G767,融外自投!$A:$J,8,0),"無")</f>
        <v>705</v>
      </c>
      <c r="S767" s="81" t="str">
        <f>IFERROR(VLOOKUP($G767,融外自投!$A:$J,10,0),"無")</f>
        <v>無</v>
      </c>
      <c r="T767" s="327">
        <f>IFERROR(VLOOKUP($G767,'321買'!$A:$E,5,0),"'沒有資料'")</f>
        <v>292</v>
      </c>
      <c r="U767" s="186">
        <f>IFERROR(VLOOKUP($G767,基本資料!$A:$J,9,0),"無")</f>
        <v>0</v>
      </c>
      <c r="V767" s="310">
        <f t="shared" si="162"/>
        <v>0</v>
      </c>
      <c r="W767" s="94">
        <f>IFERROR(VLOOKUP($G767,基本資料!$A:$J,10,0),"無")</f>
        <v>2.5099999999999998</v>
      </c>
      <c r="X767" s="36">
        <f>RTD("money.excel",,"5258","Price")</f>
        <v>36.700000000000003</v>
      </c>
      <c r="Y767" s="66"/>
      <c r="Z767" s="15">
        <f t="shared" si="165"/>
        <v>36.700000000000003</v>
      </c>
      <c r="AA767" s="3" t="e">
        <f t="shared" si="166"/>
        <v>#DIV/0!</v>
      </c>
      <c r="AB767" s="344">
        <f>IFERROR(VLOOKUP($G767,基本資料!$A:$M,11,0),"無")</f>
        <v>-24.53</v>
      </c>
      <c r="AC767" s="397">
        <f>IFERROR(VLOOKUP($G767,基本資料!$A:$M,12,0),"無")</f>
        <v>21.95</v>
      </c>
      <c r="AD767" s="22" t="s">
        <v>469</v>
      </c>
      <c r="AG767" s="33">
        <f t="shared" si="167"/>
        <v>0</v>
      </c>
      <c r="AH767" s="43" t="s">
        <v>3559</v>
      </c>
      <c r="AI767" s="63">
        <f t="shared" si="163"/>
        <v>3.9698324022346368E-2</v>
      </c>
      <c r="AJ767" s="284">
        <f>RTD("money.excel",,$G767,"PredictVolume")</f>
        <v>3553</v>
      </c>
      <c r="AK767" s="399">
        <f>IFERROR(VLOOKUP($G767,基本資料!$A:$M,13,0),"無")</f>
        <v>39.79</v>
      </c>
    </row>
    <row r="768" spans="1:37">
      <c r="A768" s="347">
        <f>IFERROR(VLOOKUP($G768,基本資料!$A:$J,3,0),"無")</f>
        <v>8.36</v>
      </c>
      <c r="B768" s="79">
        <f>IFERROR(VLOOKUP($G768,基本資料!$A:$J,4,0),"無")</f>
        <v>68</v>
      </c>
      <c r="C768" s="79">
        <f>IFERROR(VLOOKUP($G768,基本資料!$A:$J,5,0),"無")</f>
        <v>61</v>
      </c>
      <c r="D768" s="79">
        <f>IFERROR(VLOOKUP($G768,基本資料!$A:$J,6,0),"無")</f>
        <v>7</v>
      </c>
      <c r="E768" s="79">
        <f>IFERROR(VLOOKUP($G768,基本資料!$A:$J,7,0),"無")</f>
        <v>17</v>
      </c>
      <c r="F768" s="6">
        <f>IFERROR(VLOOKUP($G768,基本資料!$A:$J,8,0),"無")</f>
        <v>19.12</v>
      </c>
      <c r="G768" s="79">
        <v>5289</v>
      </c>
      <c r="H768" s="145" t="s">
        <v>1146</v>
      </c>
      <c r="I768" s="16" t="s">
        <v>4089</v>
      </c>
      <c r="J768" s="8">
        <f>IFERROR(VLOOKUP($G768,今日總結!$A:$AJ,35,0),"")</f>
        <v>0</v>
      </c>
      <c r="K768" s="5" t="str">
        <f>IFERROR(VLOOKUP($G768,今日總結!$A:$AJ,36,0),"")</f>
        <v>外</v>
      </c>
      <c r="L768" s="156">
        <f>IFERROR(VLOOKUP($G768,今日總結!$A:$AJ,33,0),"")</f>
        <v>0</v>
      </c>
      <c r="M768" s="340">
        <f>IFERROR(VLOOKUP($G768,今日總結!$A:$AJ,34,0),"")</f>
        <v>2</v>
      </c>
      <c r="N768" s="240">
        <f t="shared" si="164"/>
        <v>-2</v>
      </c>
      <c r="P768" s="365">
        <f>IFERROR(VLOOKUP($G768,融外自投!$A:$J,7,0),"無")</f>
        <v>836</v>
      </c>
      <c r="Q768" s="79">
        <f>IFERROR(VLOOKUP($G768,融外自投!$A:$J,9,0),"無")</f>
        <v>425</v>
      </c>
      <c r="R768" s="346">
        <f>IFERROR(VLOOKUP($G768,融外自投!$A:$J,8,0),"無")</f>
        <v>131</v>
      </c>
      <c r="S768" s="81">
        <f>IFERROR(VLOOKUP($G768,融外自投!$A:$J,10,0),"無")</f>
        <v>192</v>
      </c>
      <c r="T768" s="327">
        <f>IFERROR(VLOOKUP($G768,'321買'!$A:$E,5,0),"'沒有資料'")</f>
        <v>894</v>
      </c>
      <c r="U768" s="186">
        <f>IFERROR(VLOOKUP($G768,基本資料!$A:$J,9,0),"無")</f>
        <v>12</v>
      </c>
      <c r="V768" s="310">
        <f t="shared" si="162"/>
        <v>5.9850374064837904E-2</v>
      </c>
      <c r="W768" s="94">
        <f>IFERROR(VLOOKUP($G768,基本資料!$A:$J,10,0),"無")</f>
        <v>18.940000000000001</v>
      </c>
      <c r="X768" s="36">
        <f>RTD("money.excel",,"5289","Price")</f>
        <v>200.5</v>
      </c>
      <c r="Y768" s="66"/>
      <c r="Z768" s="15">
        <f t="shared" si="165"/>
        <v>200.5</v>
      </c>
      <c r="AA768" s="3" t="e">
        <f t="shared" si="166"/>
        <v>#DIV/0!</v>
      </c>
      <c r="AB768" s="344">
        <f>IFERROR(VLOOKUP($G768,基本資料!$A:$M,11,0),"無")</f>
        <v>-18.2</v>
      </c>
      <c r="AC768" s="397">
        <f>IFERROR(VLOOKUP($G768,基本資料!$A:$M,12,0),"無")</f>
        <v>38.07</v>
      </c>
      <c r="AD768" s="16" t="s">
        <v>4089</v>
      </c>
      <c r="AG768" s="33">
        <f t="shared" si="167"/>
        <v>0</v>
      </c>
      <c r="AH768" s="117" t="s">
        <v>1414</v>
      </c>
      <c r="AI768" s="63">
        <f t="shared" si="163"/>
        <v>3.5885167464114833E-3</v>
      </c>
      <c r="AJ768" s="284">
        <f>RTD("money.excel",,$G768,"PredictVolume")</f>
        <v>300</v>
      </c>
      <c r="AK768" s="399">
        <f>IFERROR(VLOOKUP($G768,基本資料!$A:$M,13,0),"無")</f>
        <v>2.72</v>
      </c>
    </row>
    <row r="769" spans="1:37">
      <c r="A769" s="347">
        <f>IFERROR(VLOOKUP($G769,基本資料!$A:$J,3,0),"無")</f>
        <v>10.3</v>
      </c>
      <c r="B769" s="79">
        <f>IFERROR(VLOOKUP($G769,基本資料!$A:$J,4,0),"無")</f>
        <v>-112</v>
      </c>
      <c r="C769" s="79">
        <f>IFERROR(VLOOKUP($G769,基本資料!$A:$J,5,0),"無")</f>
        <v>-249</v>
      </c>
      <c r="D769" s="79">
        <f>IFERROR(VLOOKUP($G769,基本資料!$A:$J,6,0),"無")</f>
        <v>-4</v>
      </c>
      <c r="E769" s="79">
        <f>IFERROR(VLOOKUP($G769,基本資料!$A:$J,7,0),"無")</f>
        <v>-2</v>
      </c>
      <c r="F769" s="6">
        <f>IFERROR(VLOOKUP($G769,基本資料!$A:$J,8,0),"無")</f>
        <v>-3.61</v>
      </c>
      <c r="G769" s="79">
        <v>5356</v>
      </c>
      <c r="H769" s="145" t="s">
        <v>1146</v>
      </c>
      <c r="I769" s="16" t="s">
        <v>2222</v>
      </c>
      <c r="J769" s="8" t="str">
        <f>IFERROR(VLOOKUP($G769,今日總結!$A:$AJ,35,0),"")</f>
        <v/>
      </c>
      <c r="K769" s="5" t="str">
        <f>IFERROR(VLOOKUP($G769,今日總結!$A:$AJ,36,0),"")</f>
        <v/>
      </c>
      <c r="L769" s="156" t="str">
        <f>IFERROR(VLOOKUP($G769,今日總結!$A:$AJ,33,0),"")</f>
        <v/>
      </c>
      <c r="M769" s="340" t="str">
        <f>IFERROR(VLOOKUP($G769,今日總結!$A:$AJ,34,0),"")</f>
        <v/>
      </c>
      <c r="N769" s="240" t="str">
        <f t="shared" si="164"/>
        <v/>
      </c>
      <c r="P769" s="365">
        <f>IFERROR(VLOOKUP($G769,融外自投!$A:$J,7,0),"無")</f>
        <v>583</v>
      </c>
      <c r="Q769" s="79">
        <f>IFERROR(VLOOKUP($G769,融外自投!$A:$J,9,0),"無")</f>
        <v>1051</v>
      </c>
      <c r="R769" s="346">
        <f>IFERROR(VLOOKUP($G769,融外自投!$A:$J,8,0),"無")</f>
        <v>927</v>
      </c>
      <c r="S769" s="81" t="str">
        <f>IFERROR(VLOOKUP($G769,融外自投!$A:$J,10,0),"無")</f>
        <v>無</v>
      </c>
      <c r="T769" s="327">
        <f>IFERROR(VLOOKUP($G769,'321買'!$A:$E,5,0),"'沒有資料'")</f>
        <v>1198</v>
      </c>
      <c r="U769" s="186">
        <f>IFERROR(VLOOKUP($G769,基本資料!$A:$J,9,0),"無")</f>
        <v>1.3</v>
      </c>
      <c r="V769" s="310">
        <f t="shared" si="162"/>
        <v>5.5084745762711863E-2</v>
      </c>
      <c r="W769" s="94">
        <f>IFERROR(VLOOKUP($G769,基本資料!$A:$J,10,0),"無")</f>
        <v>-0.28000000000000003</v>
      </c>
      <c r="X769" s="36">
        <f>RTD("money.excel",,"5356","Price")</f>
        <v>23.6</v>
      </c>
      <c r="Y769" s="66"/>
      <c r="Z769" s="15">
        <f t="shared" si="165"/>
        <v>23.6</v>
      </c>
      <c r="AA769" s="3" t="e">
        <f t="shared" si="166"/>
        <v>#DIV/0!</v>
      </c>
      <c r="AB769" s="344">
        <f>IFERROR(VLOOKUP($G769,基本資料!$A:$M,11,0),"無")</f>
        <v>-30.8</v>
      </c>
      <c r="AC769" s="397">
        <f>IFERROR(VLOOKUP($G769,基本資料!$A:$M,12,0),"無")</f>
        <v>31.08</v>
      </c>
      <c r="AD769" s="16" t="s">
        <v>2222</v>
      </c>
      <c r="AG769" s="33">
        <f t="shared" si="167"/>
        <v>0</v>
      </c>
      <c r="AH769" s="117" t="s">
        <v>2223</v>
      </c>
      <c r="AI769" s="63">
        <f t="shared" si="163"/>
        <v>1.0970873786407768E-3</v>
      </c>
      <c r="AJ769" s="284">
        <f>RTD("money.excel",,$G769,"PredictVolume")</f>
        <v>113</v>
      </c>
      <c r="AK769" s="399">
        <f>IFERROR(VLOOKUP($G769,基本資料!$A:$M,13,0),"無")</f>
        <v>14.12</v>
      </c>
    </row>
    <row r="770" spans="1:37">
      <c r="A770" s="347">
        <f>IFERROR(VLOOKUP($G770,基本資料!$A:$J,3,0),"無")</f>
        <v>2.4700000000000002</v>
      </c>
      <c r="B770" s="79">
        <f>IFERROR(VLOOKUP($G770,基本資料!$A:$J,4,0),"無")</f>
        <v>143</v>
      </c>
      <c r="C770" s="79">
        <f>IFERROR(VLOOKUP($G770,基本資料!$A:$J,5,0),"無")</f>
        <v>92</v>
      </c>
      <c r="D770" s="79">
        <f>IFERROR(VLOOKUP($G770,基本資料!$A:$J,6,0),"無")</f>
        <v>-23</v>
      </c>
      <c r="E770" s="79">
        <f>IFERROR(VLOOKUP($G770,基本資料!$A:$J,7,0),"無")</f>
        <v>66</v>
      </c>
      <c r="F770" s="6">
        <f>IFERROR(VLOOKUP($G770,基本資料!$A:$J,8,0),"無")</f>
        <v>2.08</v>
      </c>
      <c r="G770" s="79">
        <v>5386</v>
      </c>
      <c r="H770" s="145" t="s">
        <v>1146</v>
      </c>
      <c r="I770" s="16" t="s">
        <v>2224</v>
      </c>
      <c r="J770" s="8" t="str">
        <f>IFERROR(VLOOKUP($G770,今日總結!$A:$AJ,35,0),"")</f>
        <v/>
      </c>
      <c r="K770" s="5" t="str">
        <f>IFERROR(VLOOKUP($G770,今日總結!$A:$AJ,36,0),"")</f>
        <v/>
      </c>
      <c r="L770" s="156" t="str">
        <f>IFERROR(VLOOKUP($G770,今日總結!$A:$AJ,33,0),"")</f>
        <v/>
      </c>
      <c r="M770" s="340" t="str">
        <f>IFERROR(VLOOKUP($G770,今日總結!$A:$AJ,34,0),"")</f>
        <v/>
      </c>
      <c r="N770" s="240" t="str">
        <f t="shared" si="164"/>
        <v/>
      </c>
      <c r="P770" s="365">
        <f>IFERROR(VLOOKUP($G770,融外自投!$A:$J,7,0),"無")</f>
        <v>318</v>
      </c>
      <c r="Q770" s="79">
        <f>IFERROR(VLOOKUP($G770,融外自投!$A:$J,9,0),"無")</f>
        <v>19</v>
      </c>
      <c r="R770" s="346">
        <f>IFERROR(VLOOKUP($G770,融外自投!$A:$J,8,0),"無")</f>
        <v>1238</v>
      </c>
      <c r="S770" s="81" t="str">
        <f>IFERROR(VLOOKUP($G770,融外自投!$A:$J,10,0),"無")</f>
        <v>無</v>
      </c>
      <c r="T770" s="327">
        <f>IFERROR(VLOOKUP($G770,'321買'!$A:$E,5,0),"'沒有資料'")</f>
        <v>1126</v>
      </c>
      <c r="U770" s="186">
        <f>IFERROR(VLOOKUP($G770,基本資料!$A:$J,9,0),"無")</f>
        <v>1.2</v>
      </c>
      <c r="V770" s="310">
        <f t="shared" si="162"/>
        <v>2.9925187032418952E-2</v>
      </c>
      <c r="W770" s="94">
        <f>IFERROR(VLOOKUP($G770,基本資料!$A:$J,10,0),"無")</f>
        <v>2.36</v>
      </c>
      <c r="X770" s="36">
        <f>RTD("money.excel",,"5386","Price")</f>
        <v>40.1</v>
      </c>
      <c r="Y770" s="66"/>
      <c r="Z770" s="15">
        <f t="shared" si="165"/>
        <v>40.1</v>
      </c>
      <c r="AA770" s="3" t="e">
        <f t="shared" si="166"/>
        <v>#DIV/0!</v>
      </c>
      <c r="AB770" s="344">
        <f>IFERROR(VLOOKUP($G770,基本資料!$A:$M,11,0),"無")</f>
        <v>-33.11</v>
      </c>
      <c r="AC770" s="397">
        <f>IFERROR(VLOOKUP($G770,基本資料!$A:$M,12,0),"無")</f>
        <v>12.21</v>
      </c>
      <c r="AD770" s="16" t="s">
        <v>2224</v>
      </c>
      <c r="AG770" s="33">
        <f t="shared" si="167"/>
        <v>0</v>
      </c>
      <c r="AH770" s="43" t="s">
        <v>2718</v>
      </c>
      <c r="AI770" s="63">
        <f t="shared" si="163"/>
        <v>2.0242914979757081E-3</v>
      </c>
      <c r="AJ770" s="284">
        <f>RTD("money.excel",,$G770,"PredictVolume")</f>
        <v>50</v>
      </c>
      <c r="AK770" s="399">
        <f>IFERROR(VLOOKUP($G770,基本資料!$A:$M,13,0),"無")</f>
        <v>32.409999999999997</v>
      </c>
    </row>
    <row r="771" spans="1:37">
      <c r="A771" s="347">
        <f>IFERROR(VLOOKUP($G771,基本資料!$A:$J,3,0),"無")</f>
        <v>14.38</v>
      </c>
      <c r="B771" s="79">
        <f>IFERROR(VLOOKUP($G771,基本資料!$A:$J,4,0),"無")</f>
        <v>-131</v>
      </c>
      <c r="C771" s="79">
        <f>IFERROR(VLOOKUP($G771,基本資料!$A:$J,5,0),"無")</f>
        <v>-582</v>
      </c>
      <c r="D771" s="79">
        <f>IFERROR(VLOOKUP($G771,基本資料!$A:$J,6,0),"無")</f>
        <v>52</v>
      </c>
      <c r="E771" s="79">
        <f>IFERROR(VLOOKUP($G771,基本資料!$A:$J,7,0),"無")</f>
        <v>3</v>
      </c>
      <c r="F771" s="6">
        <f>IFERROR(VLOOKUP($G771,基本資料!$A:$J,8,0),"無")</f>
        <v>-5.82</v>
      </c>
      <c r="G771" s="79">
        <v>5426</v>
      </c>
      <c r="H771" s="145" t="s">
        <v>1146</v>
      </c>
      <c r="I771" s="16" t="s">
        <v>2225</v>
      </c>
      <c r="J771" s="8" t="str">
        <f>IFERROR(VLOOKUP($G771,今日總結!$A:$AJ,35,0),"")</f>
        <v>外</v>
      </c>
      <c r="K771" s="5">
        <f>IFERROR(VLOOKUP($G771,今日總結!$A:$AJ,36,0),"")</f>
        <v>0</v>
      </c>
      <c r="L771" s="156">
        <f>IFERROR(VLOOKUP($G771,今日總結!$A:$AJ,33,0),"")</f>
        <v>1</v>
      </c>
      <c r="M771" s="340">
        <f>IFERROR(VLOOKUP($G771,今日總結!$A:$AJ,34,0),"")</f>
        <v>1</v>
      </c>
      <c r="N771" s="240">
        <f t="shared" si="164"/>
        <v>0</v>
      </c>
      <c r="P771" s="365">
        <f>IFERROR(VLOOKUP($G771,融外自投!$A:$J,7,0),"無")</f>
        <v>1086</v>
      </c>
      <c r="Q771" s="79" t="str">
        <f>IFERROR(VLOOKUP($G771,融外自投!$A:$J,9,0),"無")</f>
        <v>無</v>
      </c>
      <c r="R771" s="346">
        <f>IFERROR(VLOOKUP($G771,融外自投!$A:$J,8,0),"無")</f>
        <v>1382</v>
      </c>
      <c r="S771" s="81" t="str">
        <f>IFERROR(VLOOKUP($G771,融外自投!$A:$J,10,0),"無")</f>
        <v>無</v>
      </c>
      <c r="T771" s="327">
        <f>IFERROR(VLOOKUP($G771,'321買'!$A:$E,5,0),"'沒有資料'")</f>
        <v>752</v>
      </c>
      <c r="U771" s="186">
        <f>IFERROR(VLOOKUP($G771,基本資料!$A:$J,9,0),"無")</f>
        <v>0</v>
      </c>
      <c r="V771" s="310">
        <f t="shared" si="162"/>
        <v>0</v>
      </c>
      <c r="W771" s="94">
        <f>IFERROR(VLOOKUP($G771,基本資料!$A:$J,10,0),"無")</f>
        <v>-0.62</v>
      </c>
      <c r="X771" s="36">
        <f>RTD("money.excel",,"5426","Price")</f>
        <v>10.3</v>
      </c>
      <c r="Y771" s="66"/>
      <c r="Z771" s="15">
        <f t="shared" si="165"/>
        <v>10.3</v>
      </c>
      <c r="AA771" s="3" t="e">
        <f t="shared" si="166"/>
        <v>#DIV/0!</v>
      </c>
      <c r="AB771" s="344">
        <f>IFERROR(VLOOKUP($G771,基本資料!$A:$M,11,0),"無")</f>
        <v>-31.21</v>
      </c>
      <c r="AC771" s="397">
        <f>IFERROR(VLOOKUP($G771,基本資料!$A:$M,12,0),"無")</f>
        <v>11.48</v>
      </c>
      <c r="AD771" s="16" t="s">
        <v>2225</v>
      </c>
      <c r="AG771" s="33">
        <f t="shared" si="167"/>
        <v>0</v>
      </c>
      <c r="AH771" s="43" t="s">
        <v>2443</v>
      </c>
      <c r="AI771" s="63">
        <f t="shared" si="163"/>
        <v>2.6425591098748263E-4</v>
      </c>
      <c r="AJ771" s="284">
        <f>RTD("money.excel",,$G771,"PredictVolume")</f>
        <v>38</v>
      </c>
      <c r="AK771" s="399">
        <f>IFERROR(VLOOKUP($G771,基本資料!$A:$M,13,0),"無")</f>
        <v>13.29</v>
      </c>
    </row>
    <row r="772" spans="1:37">
      <c r="A772" s="347">
        <f>IFERROR(VLOOKUP($G772,基本資料!$A:$J,3,0),"無")</f>
        <v>11.25</v>
      </c>
      <c r="B772" s="79">
        <f>IFERROR(VLOOKUP($G772,基本資料!$A:$J,4,0),"無")</f>
        <v>6386</v>
      </c>
      <c r="C772" s="79">
        <f>IFERROR(VLOOKUP($G772,基本資料!$A:$J,5,0),"無")</f>
        <v>69</v>
      </c>
      <c r="D772" s="79">
        <f>IFERROR(VLOOKUP($G772,基本資料!$A:$J,6,0),"無")</f>
        <v>20</v>
      </c>
      <c r="E772" s="79">
        <f>IFERROR(VLOOKUP($G772,基本資料!$A:$J,7,0),"無")</f>
        <v>-49</v>
      </c>
      <c r="F772" s="6">
        <f>IFERROR(VLOOKUP($G772,基本資料!$A:$J,8,0),"無")</f>
        <v>-1.35</v>
      </c>
      <c r="G772" s="79">
        <v>5438</v>
      </c>
      <c r="H772" s="145" t="s">
        <v>1146</v>
      </c>
      <c r="I772" s="16" t="s">
        <v>2226</v>
      </c>
      <c r="J772" s="8" t="str">
        <f>IFERROR(VLOOKUP($G772,今日總結!$A:$AJ,35,0),"")</f>
        <v/>
      </c>
      <c r="K772" s="5" t="str">
        <f>IFERROR(VLOOKUP($G772,今日總結!$A:$AJ,36,0),"")</f>
        <v/>
      </c>
      <c r="L772" s="156" t="str">
        <f>IFERROR(VLOOKUP($G772,今日總結!$A:$AJ,33,0),"")</f>
        <v/>
      </c>
      <c r="M772" s="340" t="str">
        <f>IFERROR(VLOOKUP($G772,今日總結!$A:$AJ,34,0),"")</f>
        <v/>
      </c>
      <c r="N772" s="240" t="str">
        <f t="shared" si="164"/>
        <v/>
      </c>
      <c r="P772" s="365">
        <f>IFERROR(VLOOKUP($G772,融外自投!$A:$J,7,0),"無")</f>
        <v>953</v>
      </c>
      <c r="Q772" s="79" t="str">
        <f>IFERROR(VLOOKUP($G772,融外自投!$A:$J,9,0),"無")</f>
        <v>無</v>
      </c>
      <c r="R772" s="346">
        <f>IFERROR(VLOOKUP($G772,融外自投!$A:$J,8,0),"無")</f>
        <v>1136</v>
      </c>
      <c r="S772" s="81" t="str">
        <f>IFERROR(VLOOKUP($G772,融外自投!$A:$J,10,0),"無")</f>
        <v>無</v>
      </c>
      <c r="T772" s="327">
        <f>IFERROR(VLOOKUP($G772,'321買'!$A:$E,5,0),"'沒有資料'")</f>
        <v>536</v>
      </c>
      <c r="U772" s="186">
        <f>IFERROR(VLOOKUP($G772,基本資料!$A:$J,9,0),"無")</f>
        <v>0.41</v>
      </c>
      <c r="V772" s="310">
        <f t="shared" si="162"/>
        <v>3.1297709923664124E-2</v>
      </c>
      <c r="W772" s="94">
        <f>IFERROR(VLOOKUP($G772,基本資料!$A:$J,10,0),"無")</f>
        <v>0.51</v>
      </c>
      <c r="X772" s="36">
        <f>RTD("money.excel",,"5438","Price")</f>
        <v>13.1</v>
      </c>
      <c r="Y772" s="66"/>
      <c r="Z772" s="15">
        <f t="shared" si="165"/>
        <v>13.1</v>
      </c>
      <c r="AA772" s="3" t="e">
        <f t="shared" si="166"/>
        <v>#DIV/0!</v>
      </c>
      <c r="AB772" s="344">
        <f>IFERROR(VLOOKUP($G772,基本資料!$A:$M,11,0),"無")</f>
        <v>-49.91</v>
      </c>
      <c r="AC772" s="397">
        <f>IFERROR(VLOOKUP($G772,基本資料!$A:$M,12,0),"無")</f>
        <v>21.6</v>
      </c>
      <c r="AD772" s="16" t="s">
        <v>2226</v>
      </c>
      <c r="AG772" s="33">
        <f t="shared" si="167"/>
        <v>0</v>
      </c>
      <c r="AH772" s="43" t="s">
        <v>2444</v>
      </c>
      <c r="AI772" s="63">
        <f t="shared" si="163"/>
        <v>7.1111111111111106E-5</v>
      </c>
      <c r="AJ772" s="284">
        <f>RTD("money.excel",,$G772,"PredictVolume")</f>
        <v>8</v>
      </c>
      <c r="AK772" s="399">
        <f>IFERROR(VLOOKUP($G772,基本資料!$A:$M,13,0),"無")</f>
        <v>9.1999999999999993</v>
      </c>
    </row>
    <row r="773" spans="1:37">
      <c r="A773" s="347">
        <f>IFERROR(VLOOKUP($G773,基本資料!$A:$J,3,0),"無")</f>
        <v>14.76</v>
      </c>
      <c r="B773" s="79">
        <f>IFERROR(VLOOKUP($G773,基本資料!$A:$J,4,0),"無")</f>
        <v>8</v>
      </c>
      <c r="C773" s="79">
        <f>IFERROR(VLOOKUP($G773,基本資料!$A:$J,5,0),"無")</f>
        <v>1</v>
      </c>
      <c r="D773" s="79">
        <f>IFERROR(VLOOKUP($G773,基本資料!$A:$J,6,0),"無")</f>
        <v>19</v>
      </c>
      <c r="E773" s="79">
        <f>IFERROR(VLOOKUP($G773,基本資料!$A:$J,7,0),"無")</f>
        <v>-33</v>
      </c>
      <c r="F773" s="6">
        <f>IFERROR(VLOOKUP($G773,基本資料!$A:$J,8,0),"無")</f>
        <v>5.1100000000000003</v>
      </c>
      <c r="G773" s="79">
        <v>5465</v>
      </c>
      <c r="H773" s="145" t="s">
        <v>1146</v>
      </c>
      <c r="I773" s="16" t="s">
        <v>2227</v>
      </c>
      <c r="J773" s="8" t="str">
        <f>IFERROR(VLOOKUP($G773,今日總結!$A:$AJ,35,0),"")</f>
        <v/>
      </c>
      <c r="K773" s="5" t="str">
        <f>IFERROR(VLOOKUP($G773,今日總結!$A:$AJ,36,0),"")</f>
        <v/>
      </c>
      <c r="L773" s="156" t="str">
        <f>IFERROR(VLOOKUP($G773,今日總結!$A:$AJ,33,0),"")</f>
        <v/>
      </c>
      <c r="M773" s="340" t="str">
        <f>IFERROR(VLOOKUP($G773,今日總結!$A:$AJ,34,0),"")</f>
        <v/>
      </c>
      <c r="N773" s="240" t="str">
        <f t="shared" si="164"/>
        <v/>
      </c>
      <c r="P773" s="365">
        <f>IFERROR(VLOOKUP($G773,融外自投!$A:$J,7,0),"無")</f>
        <v>405</v>
      </c>
      <c r="Q773" s="79" t="str">
        <f>IFERROR(VLOOKUP($G773,融外自投!$A:$J,9,0),"無")</f>
        <v>無</v>
      </c>
      <c r="R773" s="346">
        <f>IFERROR(VLOOKUP($G773,融外自投!$A:$J,8,0),"無")</f>
        <v>1417</v>
      </c>
      <c r="S773" s="81" t="str">
        <f>IFERROR(VLOOKUP($G773,融外自投!$A:$J,10,0),"無")</f>
        <v>無</v>
      </c>
      <c r="T773" s="327">
        <f>IFERROR(VLOOKUP($G773,'321買'!$A:$E,5,0),"'沒有資料'")</f>
        <v>1179</v>
      </c>
      <c r="U773" s="186">
        <f>IFERROR(VLOOKUP($G773,基本資料!$A:$J,9,0),"無")</f>
        <v>1</v>
      </c>
      <c r="V773" s="310">
        <f t="shared" si="162"/>
        <v>6.8259385665529013E-2</v>
      </c>
      <c r="W773" s="94">
        <f>IFERROR(VLOOKUP($G773,基本資料!$A:$J,10,0),"無")</f>
        <v>1.27</v>
      </c>
      <c r="X773" s="36">
        <f>RTD("money.excel",,"5465","Price")</f>
        <v>14.65</v>
      </c>
      <c r="Y773" s="66"/>
      <c r="Z773" s="15">
        <f t="shared" si="165"/>
        <v>14.65</v>
      </c>
      <c r="AA773" s="3" t="e">
        <f t="shared" si="166"/>
        <v>#DIV/0!</v>
      </c>
      <c r="AB773" s="344">
        <f>IFERROR(VLOOKUP($G773,基本資料!$A:$M,11,0),"無")</f>
        <v>-18.579999999999998</v>
      </c>
      <c r="AC773" s="397">
        <f>IFERROR(VLOOKUP($G773,基本資料!$A:$M,12,0),"無")</f>
        <v>31.61</v>
      </c>
      <c r="AD773" s="16" t="s">
        <v>2227</v>
      </c>
      <c r="AG773" s="33">
        <f t="shared" si="167"/>
        <v>0</v>
      </c>
      <c r="AH773" s="43" t="s">
        <v>2445</v>
      </c>
      <c r="AI773" s="63">
        <f t="shared" si="163"/>
        <v>6.5718157181571821E-4</v>
      </c>
      <c r="AJ773" s="284">
        <f>RTD("money.excel",,$G773,"PredictVolume")</f>
        <v>97</v>
      </c>
      <c r="AK773" s="399">
        <f>IFERROR(VLOOKUP($G773,基本資料!$A:$M,13,0),"無")</f>
        <v>0.8</v>
      </c>
    </row>
    <row r="774" spans="1:37">
      <c r="A774" s="347">
        <f>IFERROR(VLOOKUP($G774,基本資料!$A:$J,3,0),"無")</f>
        <v>4.03</v>
      </c>
      <c r="B774" s="79">
        <f>IFERROR(VLOOKUP($G774,基本資料!$A:$J,4,0),"無")</f>
        <v>-37</v>
      </c>
      <c r="C774" s="79">
        <f>IFERROR(VLOOKUP($G774,基本資料!$A:$J,5,0),"無")</f>
        <v>-38</v>
      </c>
      <c r="D774" s="79">
        <f>IFERROR(VLOOKUP($G774,基本資料!$A:$J,6,0),"無")</f>
        <v>86</v>
      </c>
      <c r="E774" s="79">
        <f>IFERROR(VLOOKUP($G774,基本資料!$A:$J,7,0),"無")</f>
        <v>38</v>
      </c>
      <c r="F774" s="6">
        <f>IFERROR(VLOOKUP($G774,基本資料!$A:$J,8,0),"無")</f>
        <v>27.02</v>
      </c>
      <c r="G774" s="79">
        <v>5474</v>
      </c>
      <c r="H774" s="145" t="s">
        <v>1146</v>
      </c>
      <c r="I774" s="16" t="s">
        <v>2228</v>
      </c>
      <c r="J774" s="8">
        <f>IFERROR(VLOOKUP($G774,今日總結!$A:$AJ,35,0),"")</f>
        <v>0</v>
      </c>
      <c r="K774" s="5" t="str">
        <f>IFERROR(VLOOKUP($G774,今日總結!$A:$AJ,36,0),"")</f>
        <v>融</v>
      </c>
      <c r="L774" s="156">
        <f>IFERROR(VLOOKUP($G774,今日總結!$A:$AJ,33,0),"")</f>
        <v>0</v>
      </c>
      <c r="M774" s="340">
        <f>IFERROR(VLOOKUP($G774,今日總結!$A:$AJ,34,0),"")</f>
        <v>1</v>
      </c>
      <c r="N774" s="240">
        <f t="shared" si="164"/>
        <v>-1</v>
      </c>
      <c r="P774" s="365">
        <f>IFERROR(VLOOKUP($G774,融外自投!$A:$J,7,0),"無")</f>
        <v>508</v>
      </c>
      <c r="Q774" s="79">
        <f>IFERROR(VLOOKUP($G774,融外自投!$A:$J,9,0),"無")</f>
        <v>598</v>
      </c>
      <c r="R774" s="346">
        <f>IFERROR(VLOOKUP($G774,融外自投!$A:$J,8,0),"無")</f>
        <v>908</v>
      </c>
      <c r="S774" s="81" t="str">
        <f>IFERROR(VLOOKUP($G774,融外自投!$A:$J,10,0),"無")</f>
        <v>無</v>
      </c>
      <c r="T774" s="327">
        <f>IFERROR(VLOOKUP($G774,'321買'!$A:$E,5,0),"'沒有資料'")</f>
        <v>984</v>
      </c>
      <c r="U774" s="186">
        <f>IFERROR(VLOOKUP($G774,基本資料!$A:$J,9,0),"無")</f>
        <v>5</v>
      </c>
      <c r="V774" s="310">
        <f t="shared" si="162"/>
        <v>5.2465897166841552E-2</v>
      </c>
      <c r="W774" s="94">
        <f>IFERROR(VLOOKUP($G774,基本資料!$A:$J,10,0),"無")</f>
        <v>9.66</v>
      </c>
      <c r="X774" s="36">
        <f>RTD("money.excel",,"5474","Price")</f>
        <v>95.3</v>
      </c>
      <c r="Y774" s="66"/>
      <c r="Z774" s="15">
        <f t="shared" si="165"/>
        <v>95.3</v>
      </c>
      <c r="AA774" s="3" t="e">
        <f t="shared" si="166"/>
        <v>#DIV/0!</v>
      </c>
      <c r="AB774" s="344">
        <f>IFERROR(VLOOKUP($G774,基本資料!$A:$M,11,0),"無")</f>
        <v>-47.43</v>
      </c>
      <c r="AC774" s="397">
        <f>IFERROR(VLOOKUP($G774,基本資料!$A:$M,12,0),"無")</f>
        <v>24</v>
      </c>
      <c r="AD774" s="16" t="s">
        <v>2228</v>
      </c>
      <c r="AG774" s="33">
        <f t="shared" si="167"/>
        <v>0</v>
      </c>
      <c r="AH774" s="43" t="s">
        <v>2435</v>
      </c>
      <c r="AI774" s="63">
        <f t="shared" si="163"/>
        <v>3.9205955334987597E-3</v>
      </c>
      <c r="AJ774" s="284">
        <f>RTD("money.excel",,$G774,"PredictVolume")</f>
        <v>158</v>
      </c>
      <c r="AK774" s="399">
        <f>IFERROR(VLOOKUP($G774,基本資料!$A:$M,13,0),"無")</f>
        <v>11.18</v>
      </c>
    </row>
    <row r="775" spans="1:37">
      <c r="A775" s="347">
        <f>IFERROR(VLOOKUP($G775,基本資料!$A:$J,3,0),"無")</f>
        <v>9.6199999999999992</v>
      </c>
      <c r="B775" s="79">
        <f>IFERROR(VLOOKUP($G775,基本資料!$A:$J,4,0),"無")</f>
        <v>-35</v>
      </c>
      <c r="C775" s="79">
        <f>IFERROR(VLOOKUP($G775,基本資料!$A:$J,5,0),"無")</f>
        <v>-35</v>
      </c>
      <c r="D775" s="79">
        <f>IFERROR(VLOOKUP($G775,基本資料!$A:$J,6,0),"無")</f>
        <v>-41</v>
      </c>
      <c r="E775" s="79">
        <f>IFERROR(VLOOKUP($G775,基本資料!$A:$J,7,0),"無")</f>
        <v>-1</v>
      </c>
      <c r="F775" s="6">
        <f>IFERROR(VLOOKUP($G775,基本資料!$A:$J,8,0),"無")</f>
        <v>10.74</v>
      </c>
      <c r="G775" s="79">
        <v>5490</v>
      </c>
      <c r="H775" s="145" t="s">
        <v>1146</v>
      </c>
      <c r="I775" s="16" t="s">
        <v>2229</v>
      </c>
      <c r="J775" s="8">
        <f>IFERROR(VLOOKUP($G775,今日總結!$A:$AJ,35,0),"")</f>
        <v>0</v>
      </c>
      <c r="K775" s="5">
        <f>IFERROR(VLOOKUP($G775,今日總結!$A:$AJ,36,0),"")</f>
        <v>0</v>
      </c>
      <c r="L775" s="156">
        <f>IFERROR(VLOOKUP($G775,今日總結!$A:$AJ,33,0),"")</f>
        <v>0</v>
      </c>
      <c r="M775" s="340">
        <f>IFERROR(VLOOKUP($G775,今日總結!$A:$AJ,34,0),"")</f>
        <v>1</v>
      </c>
      <c r="N775" s="240">
        <f t="shared" si="164"/>
        <v>-1</v>
      </c>
      <c r="P775" s="365">
        <f>IFERROR(VLOOKUP($G775,融外自投!$A:$J,7,0),"無")</f>
        <v>849</v>
      </c>
      <c r="Q775" s="79">
        <f>IFERROR(VLOOKUP($G775,融外自投!$A:$J,9,0),"無")</f>
        <v>558</v>
      </c>
      <c r="R775" s="346">
        <f>IFERROR(VLOOKUP($G775,融外自投!$A:$J,8,0),"無")</f>
        <v>861</v>
      </c>
      <c r="S775" s="81" t="str">
        <f>IFERROR(VLOOKUP($G775,融外自投!$A:$J,10,0),"無")</f>
        <v>無</v>
      </c>
      <c r="T775" s="327">
        <f>IFERROR(VLOOKUP($G775,'321買'!$A:$E,5,0),"'沒有資料'")</f>
        <v>894</v>
      </c>
      <c r="U775" s="186">
        <f>IFERROR(VLOOKUP($G775,基本資料!$A:$J,9,0),"無")</f>
        <v>1.25</v>
      </c>
      <c r="V775" s="310">
        <f t="shared" si="162"/>
        <v>4.9603174603174607E-2</v>
      </c>
      <c r="W775" s="94">
        <f>IFERROR(VLOOKUP($G775,基本資料!$A:$J,10,0),"無")</f>
        <v>1.41</v>
      </c>
      <c r="X775" s="36">
        <f>RTD("money.excel",,"5490","Price")</f>
        <v>25.2</v>
      </c>
      <c r="Y775" s="66"/>
      <c r="Z775" s="15">
        <f t="shared" si="165"/>
        <v>25.2</v>
      </c>
      <c r="AA775" s="3" t="e">
        <f t="shared" si="166"/>
        <v>#DIV/0!</v>
      </c>
      <c r="AB775" s="344">
        <f>IFERROR(VLOOKUP($G775,基本資料!$A:$M,11,0),"無")</f>
        <v>-16</v>
      </c>
      <c r="AC775" s="397">
        <f>IFERROR(VLOOKUP($G775,基本資料!$A:$M,12,0),"無")</f>
        <v>20.41</v>
      </c>
      <c r="AD775" s="16" t="s">
        <v>2229</v>
      </c>
      <c r="AG775" s="33">
        <f t="shared" si="167"/>
        <v>0</v>
      </c>
      <c r="AH775" s="117" t="s">
        <v>2974</v>
      </c>
      <c r="AI775" s="63">
        <f t="shared" si="163"/>
        <v>5.5093555093555099E-4</v>
      </c>
      <c r="AJ775" s="284">
        <f>RTD("money.excel",,$G775,"PredictVolume")</f>
        <v>53</v>
      </c>
      <c r="AK775" s="399">
        <f>IFERROR(VLOOKUP($G775,基本資料!$A:$M,13,0),"無")</f>
        <v>3.9</v>
      </c>
    </row>
    <row r="776" spans="1:37">
      <c r="A776" s="347">
        <f>IFERROR(VLOOKUP($G776,基本資料!$A:$J,3,0),"無")</f>
        <v>8.86</v>
      </c>
      <c r="B776" s="79">
        <f>IFERROR(VLOOKUP($G776,基本資料!$A:$J,4,0),"無")</f>
        <v>-9</v>
      </c>
      <c r="C776" s="79">
        <f>IFERROR(VLOOKUP($G776,基本資料!$A:$J,5,0),"無")</f>
        <v>-18</v>
      </c>
      <c r="D776" s="79">
        <f>IFERROR(VLOOKUP($G776,基本資料!$A:$J,6,0),"無")</f>
        <v>23</v>
      </c>
      <c r="E776" s="79">
        <f>IFERROR(VLOOKUP($G776,基本資料!$A:$J,7,0),"無")</f>
        <v>12</v>
      </c>
      <c r="F776" s="6">
        <f>IFERROR(VLOOKUP($G776,基本資料!$A:$J,8,0),"無")</f>
        <v>-3.6</v>
      </c>
      <c r="G776" s="79">
        <v>6117</v>
      </c>
      <c r="H776" s="192" t="s">
        <v>1146</v>
      </c>
      <c r="I776" s="22" t="s">
        <v>4090</v>
      </c>
      <c r="J776" s="8" t="str">
        <f>IFERROR(VLOOKUP($G776,今日總結!$A:$AJ,35,0),"")</f>
        <v/>
      </c>
      <c r="K776" s="5" t="str">
        <f>IFERROR(VLOOKUP($G776,今日總結!$A:$AJ,36,0),"")</f>
        <v/>
      </c>
      <c r="L776" s="156" t="str">
        <f>IFERROR(VLOOKUP($G776,今日總結!$A:$AJ,33,0),"")</f>
        <v/>
      </c>
      <c r="M776" s="340" t="str">
        <f>IFERROR(VLOOKUP($G776,今日總結!$A:$AJ,34,0),"")</f>
        <v/>
      </c>
      <c r="N776" s="240" t="str">
        <f t="shared" si="164"/>
        <v/>
      </c>
      <c r="P776" s="365">
        <f>IFERROR(VLOOKUP($G776,融外自投!$A:$J,7,0),"無")</f>
        <v>1188</v>
      </c>
      <c r="Q776" s="79">
        <f>IFERROR(VLOOKUP($G776,融外自投!$A:$J,9,0),"無")</f>
        <v>1051</v>
      </c>
      <c r="R776" s="346">
        <f>IFERROR(VLOOKUP($G776,融外自投!$A:$J,8,0),"無")</f>
        <v>928</v>
      </c>
      <c r="S776" s="81" t="str">
        <f>IFERROR(VLOOKUP($G776,融外自投!$A:$J,10,0),"無")</f>
        <v>無</v>
      </c>
      <c r="T776" s="327">
        <f>IFERROR(VLOOKUP($G776,'321買'!$A:$E,5,0),"'沒有資料'")</f>
        <v>1383</v>
      </c>
      <c r="U776" s="186">
        <f>IFERROR(VLOOKUP($G776,基本資料!$A:$J,9,0),"無")</f>
        <v>0</v>
      </c>
      <c r="V776" s="310">
        <f t="shared" si="162"/>
        <v>0</v>
      </c>
      <c r="W776" s="94">
        <f>IFERROR(VLOOKUP($G776,基本資料!$A:$J,10,0),"無")</f>
        <v>-0.98</v>
      </c>
      <c r="X776" s="36">
        <f>RTD("money.excel",,"6117","Price")</f>
        <v>15.2</v>
      </c>
      <c r="Y776" s="66"/>
      <c r="Z776" s="15">
        <f t="shared" si="165"/>
        <v>15.2</v>
      </c>
      <c r="AA776" s="3" t="e">
        <f t="shared" si="166"/>
        <v>#DIV/0!</v>
      </c>
      <c r="AB776" s="344">
        <f>IFERROR(VLOOKUP($G776,基本資料!$A:$M,11,0),"無")</f>
        <v>-26.81</v>
      </c>
      <c r="AC776" s="397">
        <f>IFERROR(VLOOKUP($G776,基本資料!$A:$M,12,0),"無")</f>
        <v>15.85</v>
      </c>
      <c r="AD776" s="22" t="s">
        <v>4090</v>
      </c>
      <c r="AG776" s="33">
        <f t="shared" si="167"/>
        <v>0</v>
      </c>
      <c r="AH776" s="43" t="s">
        <v>2394</v>
      </c>
      <c r="AI776" s="63">
        <f t="shared" si="163"/>
        <v>1.0158013544018058E-4</v>
      </c>
      <c r="AJ776" s="284">
        <f>RTD("money.excel",,$G776,"PredictVolume")</f>
        <v>9</v>
      </c>
      <c r="AK776" s="399">
        <f>IFERROR(VLOOKUP($G776,基本資料!$A:$M,13,0),"無")</f>
        <v>2.5299999999999998</v>
      </c>
    </row>
    <row r="777" spans="1:37">
      <c r="A777" s="347">
        <f>IFERROR(VLOOKUP($G777,基本資料!$A:$J,3,0),"無")</f>
        <v>18.489999999999998</v>
      </c>
      <c r="B777" s="79">
        <f>IFERROR(VLOOKUP($G777,基本資料!$A:$J,4,0),"無")</f>
        <v>39</v>
      </c>
      <c r="C777" s="79">
        <f>IFERROR(VLOOKUP($G777,基本資料!$A:$J,5,0),"無")</f>
        <v>39</v>
      </c>
      <c r="D777" s="79">
        <f>IFERROR(VLOOKUP($G777,基本資料!$A:$J,6,0),"無")</f>
        <v>-3</v>
      </c>
      <c r="E777" s="79">
        <f>IFERROR(VLOOKUP($G777,基本資料!$A:$J,7,0),"無")</f>
        <v>-1</v>
      </c>
      <c r="F777" s="6">
        <f>IFERROR(VLOOKUP($G777,基本資料!$A:$J,8,0),"無")</f>
        <v>9.7200000000000006</v>
      </c>
      <c r="G777" s="79">
        <v>6121</v>
      </c>
      <c r="H777" s="145" t="s">
        <v>1146</v>
      </c>
      <c r="I777" s="16" t="s">
        <v>4091</v>
      </c>
      <c r="J777" s="8">
        <f>IFERROR(VLOOKUP($G777,今日總結!$A:$AJ,35,0),"")</f>
        <v>0</v>
      </c>
      <c r="K777" s="5" t="str">
        <f>IFERROR(VLOOKUP($G777,今日總結!$A:$AJ,36,0),"")</f>
        <v>外</v>
      </c>
      <c r="L777" s="156">
        <f>IFERROR(VLOOKUP($G777,今日總結!$A:$AJ,33,0),"")</f>
        <v>0</v>
      </c>
      <c r="M777" s="340">
        <f>IFERROR(VLOOKUP($G777,今日總結!$A:$AJ,34,0),"")</f>
        <v>1</v>
      </c>
      <c r="N777" s="240">
        <f t="shared" si="164"/>
        <v>-1</v>
      </c>
      <c r="P777" s="365">
        <f>IFERROR(VLOOKUP($G777,融外自投!$A:$J,7,0),"無")</f>
        <v>1000</v>
      </c>
      <c r="Q777" s="79">
        <f>IFERROR(VLOOKUP($G777,融外自投!$A:$J,9,0),"無")</f>
        <v>95</v>
      </c>
      <c r="R777" s="346">
        <f>IFERROR(VLOOKUP($G777,融外自投!$A:$J,8,0),"無")</f>
        <v>84</v>
      </c>
      <c r="S777" s="81">
        <f>IFERROR(VLOOKUP($G777,融外自投!$A:$J,10,0),"無")</f>
        <v>121</v>
      </c>
      <c r="T777" s="327">
        <f>IFERROR(VLOOKUP($G777,'321買'!$A:$E,5,0),"'沒有資料'")</f>
        <v>318</v>
      </c>
      <c r="U777" s="186">
        <f>IFERROR(VLOOKUP($G777,基本資料!$A:$J,9,0),"無")</f>
        <v>26</v>
      </c>
      <c r="V777" s="310">
        <f t="shared" si="162"/>
        <v>8.9655172413793102E-2</v>
      </c>
      <c r="W777" s="94">
        <f>IFERROR(VLOOKUP($G777,基本資料!$A:$J,10,0),"無")</f>
        <v>34.5</v>
      </c>
      <c r="X777" s="36">
        <f>RTD("money.excel",,"6121","Price")</f>
        <v>290</v>
      </c>
      <c r="Y777" s="66"/>
      <c r="Z777" s="15">
        <f t="shared" si="165"/>
        <v>290</v>
      </c>
      <c r="AA777" s="3" t="e">
        <f t="shared" si="166"/>
        <v>#DIV/0!</v>
      </c>
      <c r="AB777" s="344">
        <f>IFERROR(VLOOKUP($G777,基本資料!$A:$M,11,0),"無")</f>
        <v>-23.82</v>
      </c>
      <c r="AC777" s="397">
        <f>IFERROR(VLOOKUP($G777,基本資料!$A:$M,12,0),"無")</f>
        <v>16.98</v>
      </c>
      <c r="AD777" s="16" t="s">
        <v>4091</v>
      </c>
      <c r="AG777" s="33">
        <f t="shared" si="167"/>
        <v>0</v>
      </c>
      <c r="AH777" s="117" t="s">
        <v>2554</v>
      </c>
      <c r="AI777" s="63">
        <f t="shared" si="163"/>
        <v>2.04434829637642E-3</v>
      </c>
      <c r="AJ777" s="284">
        <f>RTD("money.excel",,$G777,"PredictVolume")</f>
        <v>378</v>
      </c>
      <c r="AK777" s="399">
        <f>IFERROR(VLOOKUP($G777,基本資料!$A:$M,13,0),"無")</f>
        <v>2.2400000000000002</v>
      </c>
    </row>
    <row r="778" spans="1:37">
      <c r="A778" s="347">
        <f>IFERROR(VLOOKUP($G778,基本資料!$A:$J,3,0),"無")</f>
        <v>5.75</v>
      </c>
      <c r="B778" s="79">
        <f>IFERROR(VLOOKUP($G778,基本資料!$A:$J,4,0),"無")</f>
        <v>21</v>
      </c>
      <c r="C778" s="79">
        <f>IFERROR(VLOOKUP($G778,基本資料!$A:$J,5,0),"無")</f>
        <v>34</v>
      </c>
      <c r="D778" s="79">
        <f>IFERROR(VLOOKUP($G778,基本資料!$A:$J,6,0),"無")</f>
        <v>11</v>
      </c>
      <c r="E778" s="79">
        <f>IFERROR(VLOOKUP($G778,基本資料!$A:$J,7,0),"無")</f>
        <v>-17</v>
      </c>
      <c r="F778" s="6">
        <f>IFERROR(VLOOKUP($G778,基本資料!$A:$J,8,0),"無")</f>
        <v>8.36</v>
      </c>
      <c r="G778" s="79">
        <v>6123</v>
      </c>
      <c r="H778" s="145" t="s">
        <v>1146</v>
      </c>
      <c r="I778" s="16" t="s">
        <v>2230</v>
      </c>
      <c r="J778" s="8" t="str">
        <f>IFERROR(VLOOKUP($G778,今日總結!$A:$AJ,35,0),"")</f>
        <v/>
      </c>
      <c r="K778" s="5" t="str">
        <f>IFERROR(VLOOKUP($G778,今日總結!$A:$AJ,36,0),"")</f>
        <v/>
      </c>
      <c r="L778" s="156" t="str">
        <f>IFERROR(VLOOKUP($G778,今日總結!$A:$AJ,33,0),"")</f>
        <v/>
      </c>
      <c r="M778" s="340" t="str">
        <f>IFERROR(VLOOKUP($G778,今日總結!$A:$AJ,34,0),"")</f>
        <v/>
      </c>
      <c r="N778" s="240" t="str">
        <f t="shared" si="164"/>
        <v/>
      </c>
      <c r="P778" s="365">
        <f>IFERROR(VLOOKUP($G778,融外自投!$A:$J,7,0),"無")</f>
        <v>1026</v>
      </c>
      <c r="Q778" s="79">
        <f>IFERROR(VLOOKUP($G778,融外自投!$A:$J,9,0),"無")</f>
        <v>734</v>
      </c>
      <c r="R778" s="346">
        <f>IFERROR(VLOOKUP($G778,融外自投!$A:$J,8,0),"無")</f>
        <v>866</v>
      </c>
      <c r="S778" s="81" t="str">
        <f>IFERROR(VLOOKUP($G778,融外自投!$A:$J,10,0),"無")</f>
        <v>無</v>
      </c>
      <c r="T778" s="327">
        <f>IFERROR(VLOOKUP($G778,'321買'!$A:$E,5,0),"'沒有資料'")</f>
        <v>802</v>
      </c>
      <c r="U778" s="186">
        <f>IFERROR(VLOOKUP($G778,基本資料!$A:$J,9,0),"無")</f>
        <v>4.5</v>
      </c>
      <c r="V778" s="310">
        <f t="shared" si="162"/>
        <v>8.3955223880597007E-2</v>
      </c>
      <c r="W778" s="94">
        <f>IFERROR(VLOOKUP($G778,基本資料!$A:$J,10,0),"無")</f>
        <v>4.87</v>
      </c>
      <c r="X778" s="36">
        <f>RTD("money.excel",,"6123","Price")</f>
        <v>53.6</v>
      </c>
      <c r="Y778" s="66"/>
      <c r="Z778" s="15">
        <f t="shared" si="165"/>
        <v>53.6</v>
      </c>
      <c r="AA778" s="3" t="e">
        <f t="shared" si="166"/>
        <v>#DIV/0!</v>
      </c>
      <c r="AB778" s="344">
        <f>IFERROR(VLOOKUP($G778,基本資料!$A:$M,11,0),"無")</f>
        <v>-7.77</v>
      </c>
      <c r="AC778" s="397">
        <f>IFERROR(VLOOKUP($G778,基本資料!$A:$M,12,0),"無")</f>
        <v>42.06</v>
      </c>
      <c r="AD778" s="16" t="s">
        <v>2230</v>
      </c>
      <c r="AG778" s="33">
        <f t="shared" si="167"/>
        <v>0</v>
      </c>
      <c r="AH778" s="117" t="s">
        <v>2804</v>
      </c>
      <c r="AI778" s="63">
        <f t="shared" si="163"/>
        <v>4.8695652173913045E-4</v>
      </c>
      <c r="AJ778" s="284">
        <f>RTD("money.excel",,$G778,"PredictVolume")</f>
        <v>28</v>
      </c>
      <c r="AK778" s="399">
        <f>IFERROR(VLOOKUP($G778,基本資料!$A:$M,13,0),"無")</f>
        <v>1.4</v>
      </c>
    </row>
    <row r="779" spans="1:37">
      <c r="A779" s="347">
        <f>IFERROR(VLOOKUP($G779,基本資料!$A:$J,3,0),"無")</f>
        <v>12.75</v>
      </c>
      <c r="B779" s="79">
        <f>IFERROR(VLOOKUP($G779,基本資料!$A:$J,4,0),"無")</f>
        <v>126</v>
      </c>
      <c r="C779" s="79">
        <f>IFERROR(VLOOKUP($G779,基本資料!$A:$J,5,0),"無")</f>
        <v>582</v>
      </c>
      <c r="D779" s="79">
        <f>IFERROR(VLOOKUP($G779,基本資料!$A:$J,6,0),"無")</f>
        <v>-18</v>
      </c>
      <c r="E779" s="79">
        <f>IFERROR(VLOOKUP($G779,基本資料!$A:$J,7,0),"無")</f>
        <v>19</v>
      </c>
      <c r="F779" s="6">
        <f>IFERROR(VLOOKUP($G779,基本資料!$A:$J,8,0),"無")</f>
        <v>8.58</v>
      </c>
      <c r="G779" s="79">
        <v>6128</v>
      </c>
      <c r="H779" s="46" t="s">
        <v>1146</v>
      </c>
      <c r="I779" s="22" t="s">
        <v>252</v>
      </c>
      <c r="J779" s="8" t="str">
        <f>IFERROR(VLOOKUP($G779,今日總結!$A:$AJ,35,0),"")</f>
        <v/>
      </c>
      <c r="K779" s="5" t="str">
        <f>IFERROR(VLOOKUP($G779,今日總結!$A:$AJ,36,0),"")</f>
        <v/>
      </c>
      <c r="L779" s="156" t="str">
        <f>IFERROR(VLOOKUP($G779,今日總結!$A:$AJ,33,0),"")</f>
        <v/>
      </c>
      <c r="M779" s="340" t="str">
        <f>IFERROR(VLOOKUP($G779,今日總結!$A:$AJ,34,0),"")</f>
        <v/>
      </c>
      <c r="N779" s="240" t="str">
        <f t="shared" si="164"/>
        <v/>
      </c>
      <c r="P779" s="365">
        <f>IFERROR(VLOOKUP($G779,融外自投!$A:$J,7,0),"無")</f>
        <v>1169</v>
      </c>
      <c r="Q779" s="79">
        <f>IFERROR(VLOOKUP($G779,融外自投!$A:$J,9,0),"無")</f>
        <v>896</v>
      </c>
      <c r="R779" s="346">
        <f>IFERROR(VLOOKUP($G779,融外自投!$A:$J,8,0),"無")</f>
        <v>912</v>
      </c>
      <c r="S779" s="81" t="str">
        <f>IFERROR(VLOOKUP($G779,融外自投!$A:$J,10,0),"無")</f>
        <v>無</v>
      </c>
      <c r="T779" s="327">
        <f>IFERROR(VLOOKUP($G779,'321買'!$A:$E,5,0),"'沒有資料'")</f>
        <v>1259</v>
      </c>
      <c r="U779" s="186">
        <f>IFERROR(VLOOKUP($G779,基本資料!$A:$J,9,0),"無")</f>
        <v>2</v>
      </c>
      <c r="V779" s="310">
        <f t="shared" si="162"/>
        <v>6.8376068376068383E-2</v>
      </c>
      <c r="W779" s="94">
        <f>IFERROR(VLOOKUP($G779,基本資料!$A:$J,10,0),"無")</f>
        <v>2.64</v>
      </c>
      <c r="X779" s="36">
        <f>RTD("money.excel",,"6128","Price")</f>
        <v>29.25</v>
      </c>
      <c r="Y779" s="66"/>
      <c r="Z779" s="15">
        <f t="shared" si="165"/>
        <v>29.25</v>
      </c>
      <c r="AA779" s="3" t="e">
        <f t="shared" si="166"/>
        <v>#DIV/0!</v>
      </c>
      <c r="AB779" s="344">
        <f>IFERROR(VLOOKUP($G779,基本資料!$A:$M,11,0),"無")</f>
        <v>-3.62</v>
      </c>
      <c r="AC779" s="397">
        <f>IFERROR(VLOOKUP($G779,基本資料!$A:$M,12,0),"無")</f>
        <v>77.52</v>
      </c>
      <c r="AD779" s="22" t="s">
        <v>252</v>
      </c>
      <c r="AG779" s="33">
        <f t="shared" si="167"/>
        <v>0</v>
      </c>
      <c r="AH779" s="43" t="s">
        <v>2393</v>
      </c>
      <c r="AI779" s="63">
        <f t="shared" si="163"/>
        <v>2.6431372549019609E-3</v>
      </c>
      <c r="AJ779" s="284">
        <f>RTD("money.excel",,$G779,"PredictVolume")</f>
        <v>337</v>
      </c>
      <c r="AK779" s="399">
        <f>IFERROR(VLOOKUP($G779,基本資料!$A:$M,13,0),"無")</f>
        <v>0.83</v>
      </c>
    </row>
    <row r="780" spans="1:37">
      <c r="A780" s="347">
        <f>IFERROR(VLOOKUP($G780,基本資料!$A:$J,3,0),"無")</f>
        <v>4.83</v>
      </c>
      <c r="B780" s="79">
        <f>IFERROR(VLOOKUP($G780,基本資料!$A:$J,4,0),"無")</f>
        <v>3611</v>
      </c>
      <c r="C780" s="79">
        <f>IFERROR(VLOOKUP($G780,基本資料!$A:$J,5,0),"無")</f>
        <v>3370</v>
      </c>
      <c r="D780" s="79">
        <f>IFERROR(VLOOKUP($G780,基本資料!$A:$J,6,0),"無")</f>
        <v>-10</v>
      </c>
      <c r="E780" s="79">
        <f>IFERROR(VLOOKUP($G780,基本資料!$A:$J,7,0),"無")</f>
        <v>-8</v>
      </c>
      <c r="F780" s="6">
        <f>IFERROR(VLOOKUP($G780,基本資料!$A:$J,8,0),"無")</f>
        <v>15.49</v>
      </c>
      <c r="G780" s="79">
        <v>6150</v>
      </c>
      <c r="H780" s="8" t="s">
        <v>1146</v>
      </c>
      <c r="I780" s="16" t="s">
        <v>1788</v>
      </c>
      <c r="J780" s="8">
        <f>IFERROR(VLOOKUP($G780,今日總結!$A:$AJ,35,0),"")</f>
        <v>42</v>
      </c>
      <c r="K780" s="5">
        <f>IFERROR(VLOOKUP($G780,今日總結!$A:$AJ,36,0),"")</f>
        <v>0</v>
      </c>
      <c r="L780" s="156">
        <f>IFERROR(VLOOKUP($G780,今日總結!$A:$AJ,33,0),"")</f>
        <v>2</v>
      </c>
      <c r="M780" s="340">
        <f>IFERROR(VLOOKUP($G780,今日總結!$A:$AJ,34,0),"")</f>
        <v>0</v>
      </c>
      <c r="N780" s="240">
        <f t="shared" si="164"/>
        <v>2</v>
      </c>
      <c r="P780" s="365">
        <f>IFERROR(VLOOKUP($G780,融外自投!$A:$J,7,0),"無")</f>
        <v>28</v>
      </c>
      <c r="Q780" s="79">
        <f>IFERROR(VLOOKUP($G780,融外自投!$A:$J,9,0),"無")</f>
        <v>30</v>
      </c>
      <c r="R780" s="346">
        <f>IFERROR(VLOOKUP($G780,融外自投!$A:$J,8,0),"無")</f>
        <v>530</v>
      </c>
      <c r="S780" s="81" t="str">
        <f>IFERROR(VLOOKUP($G780,融外自投!$A:$J,10,0),"無")</f>
        <v>無</v>
      </c>
      <c r="T780" s="327">
        <f>IFERROR(VLOOKUP($G780,'321買'!$A:$E,5,0),"'沒有資料'")</f>
        <v>237</v>
      </c>
      <c r="U780" s="186">
        <f>IFERROR(VLOOKUP($G780,基本資料!$A:$J,9,0),"無")</f>
        <v>11</v>
      </c>
      <c r="V780" s="310">
        <f t="shared" si="162"/>
        <v>0.10891089108910891</v>
      </c>
      <c r="W780" s="94">
        <f>IFERROR(VLOOKUP($G780,基本資料!$A:$J,10,0),"無")</f>
        <v>24</v>
      </c>
      <c r="X780" s="36">
        <f>RTD("money.excel",,"6150","Price")</f>
        <v>101</v>
      </c>
      <c r="Y780" s="66"/>
      <c r="Z780" s="15">
        <f t="shared" si="165"/>
        <v>101</v>
      </c>
      <c r="AA780" s="3" t="e">
        <f t="shared" si="166"/>
        <v>#DIV/0!</v>
      </c>
      <c r="AB780" s="344">
        <f>IFERROR(VLOOKUP($G780,基本資料!$A:$M,11,0),"無")</f>
        <v>-47.64</v>
      </c>
      <c r="AC780" s="397">
        <f>IFERROR(VLOOKUP($G780,基本資料!$A:$M,12,0),"無")</f>
        <v>11.7</v>
      </c>
      <c r="AD780" s="16" t="s">
        <v>1788</v>
      </c>
      <c r="AG780" s="33">
        <f t="shared" si="167"/>
        <v>0</v>
      </c>
      <c r="AH780" s="43" t="s">
        <v>2718</v>
      </c>
      <c r="AI780" s="63">
        <f t="shared" si="163"/>
        <v>4.2422360248447206E-2</v>
      </c>
      <c r="AJ780" s="284">
        <f>RTD("money.excel",,$G780,"PredictVolume")</f>
        <v>2049</v>
      </c>
      <c r="AK780" s="399">
        <f>IFERROR(VLOOKUP($G780,基本資料!$A:$M,13,0),"無")</f>
        <v>38.700000000000003</v>
      </c>
    </row>
    <row r="781" spans="1:37">
      <c r="A781" s="347">
        <f>IFERROR(VLOOKUP($G781,基本資料!$A:$J,3,0),"無")</f>
        <v>6.84</v>
      </c>
      <c r="B781" s="79">
        <f>IFERROR(VLOOKUP($G781,基本資料!$A:$J,4,0),"無")</f>
        <v>158</v>
      </c>
      <c r="C781" s="79">
        <f>IFERROR(VLOOKUP($G781,基本資料!$A:$J,5,0),"無")</f>
        <v>141</v>
      </c>
      <c r="D781" s="79">
        <f>IFERROR(VLOOKUP($G781,基本資料!$A:$J,6,0),"無")</f>
        <v>35</v>
      </c>
      <c r="E781" s="79">
        <f>IFERROR(VLOOKUP($G781,基本資料!$A:$J,7,0),"無")</f>
        <v>-9</v>
      </c>
      <c r="F781" s="6">
        <f>IFERROR(VLOOKUP($G781,基本資料!$A:$J,8,0),"無")</f>
        <v>2.99</v>
      </c>
      <c r="G781" s="79">
        <v>6160</v>
      </c>
      <c r="H781" s="145" t="s">
        <v>1146</v>
      </c>
      <c r="I781" s="16" t="s">
        <v>2231</v>
      </c>
      <c r="J781" s="8" t="str">
        <f>IFERROR(VLOOKUP($G781,今日總結!$A:$AJ,35,0),"")</f>
        <v/>
      </c>
      <c r="K781" s="5" t="str">
        <f>IFERROR(VLOOKUP($G781,今日總結!$A:$AJ,36,0),"")</f>
        <v/>
      </c>
      <c r="L781" s="156" t="str">
        <f>IFERROR(VLOOKUP($G781,今日總結!$A:$AJ,33,0),"")</f>
        <v/>
      </c>
      <c r="M781" s="340" t="str">
        <f>IFERROR(VLOOKUP($G781,今日總結!$A:$AJ,34,0),"")</f>
        <v/>
      </c>
      <c r="N781" s="240" t="str">
        <f t="shared" si="164"/>
        <v/>
      </c>
      <c r="P781" s="365">
        <f>IFERROR(VLOOKUP($G781,融外自投!$A:$J,7,0),"無")</f>
        <v>817</v>
      </c>
      <c r="Q781" s="79">
        <f>IFERROR(VLOOKUP($G781,融外自投!$A:$J,9,0),"無")</f>
        <v>762</v>
      </c>
      <c r="R781" s="346">
        <f>IFERROR(VLOOKUP($G781,融外自投!$A:$J,8,0),"無")</f>
        <v>976</v>
      </c>
      <c r="S781" s="81" t="str">
        <f>IFERROR(VLOOKUP($G781,融外自投!$A:$J,10,0),"無")</f>
        <v>無</v>
      </c>
      <c r="T781" s="327" t="str">
        <f>IFERROR(VLOOKUP($G781,'321買'!$A:$E,5,0),"'沒有資料'")</f>
        <v>'沒有資料'</v>
      </c>
      <c r="U781" s="186">
        <f>IFERROR(VLOOKUP($G781,基本資料!$A:$J,9,0),"無")</f>
        <v>0.35</v>
      </c>
      <c r="V781" s="310">
        <f t="shared" si="162"/>
        <v>2.5454545454545452E-2</v>
      </c>
      <c r="W781" s="94">
        <f>IFERROR(VLOOKUP($G781,基本資料!$A:$J,10,0),"無")</f>
        <v>0.52</v>
      </c>
      <c r="X781" s="36">
        <f>RTD("money.excel",,"6160","Price")</f>
        <v>13.75</v>
      </c>
      <c r="Y781" s="66"/>
      <c r="Z781" s="15">
        <f t="shared" si="165"/>
        <v>13.75</v>
      </c>
      <c r="AA781" s="3" t="e">
        <f t="shared" si="166"/>
        <v>#DIV/0!</v>
      </c>
      <c r="AB781" s="344">
        <f>IFERROR(VLOOKUP($G781,基本資料!$A:$M,11,0),"無")</f>
        <v>-49.17</v>
      </c>
      <c r="AC781" s="397">
        <f>IFERROR(VLOOKUP($G781,基本資料!$A:$M,12,0),"無")</f>
        <v>11.57</v>
      </c>
      <c r="AD781" s="16" t="s">
        <v>2231</v>
      </c>
      <c r="AG781" s="33">
        <f t="shared" si="167"/>
        <v>0</v>
      </c>
      <c r="AH781" s="43" t="s">
        <v>2308</v>
      </c>
      <c r="AI781" s="63">
        <f t="shared" si="163"/>
        <v>3.0701754385964913E-4</v>
      </c>
      <c r="AJ781" s="284">
        <f>RTD("money.excel",,$G781,"PredictVolume")</f>
        <v>21</v>
      </c>
      <c r="AK781" s="399">
        <f>IFERROR(VLOOKUP($G781,基本資料!$A:$M,13,0),"無")</f>
        <v>22.76</v>
      </c>
    </row>
    <row r="782" spans="1:37">
      <c r="A782" s="347">
        <f>IFERROR(VLOOKUP($G782,基本資料!$A:$J,3,0),"無")</f>
        <v>7.49</v>
      </c>
      <c r="B782" s="79">
        <f>IFERROR(VLOOKUP($G782,基本資料!$A:$J,4,0),"無")</f>
        <v>99</v>
      </c>
      <c r="C782" s="79">
        <f>IFERROR(VLOOKUP($G782,基本資料!$A:$J,5,0),"無")</f>
        <v>142</v>
      </c>
      <c r="D782" s="79">
        <f>IFERROR(VLOOKUP($G782,基本資料!$A:$J,6,0),"無")</f>
        <v>-11</v>
      </c>
      <c r="E782" s="79">
        <f>IFERROR(VLOOKUP($G782,基本資料!$A:$J,7,0),"無")</f>
        <v>21</v>
      </c>
      <c r="F782" s="6">
        <f>IFERROR(VLOOKUP($G782,基本資料!$A:$J,8,0),"無")</f>
        <v>16.41</v>
      </c>
      <c r="G782" s="79">
        <v>6161</v>
      </c>
      <c r="H782" s="145" t="s">
        <v>1146</v>
      </c>
      <c r="I782" s="16" t="s">
        <v>2232</v>
      </c>
      <c r="J782" s="8">
        <f>IFERROR(VLOOKUP($G782,今日總結!$A:$AJ,35,0),"")</f>
        <v>0</v>
      </c>
      <c r="K782" s="5">
        <f>IFERROR(VLOOKUP($G782,今日總結!$A:$AJ,36,0),"")</f>
        <v>0</v>
      </c>
      <c r="L782" s="156">
        <f>IFERROR(VLOOKUP($G782,今日總結!$A:$AJ,33,0),"")</f>
        <v>0</v>
      </c>
      <c r="M782" s="340">
        <f>IFERROR(VLOOKUP($G782,今日總結!$A:$AJ,34,0),"")</f>
        <v>1</v>
      </c>
      <c r="N782" s="240">
        <f t="shared" si="164"/>
        <v>-1</v>
      </c>
      <c r="P782" s="365">
        <f>IFERROR(VLOOKUP($G782,融外自投!$A:$J,7,0),"無")</f>
        <v>372</v>
      </c>
      <c r="Q782" s="79" t="str">
        <f>IFERROR(VLOOKUP($G782,融外自投!$A:$J,9,0),"無")</f>
        <v>無</v>
      </c>
      <c r="R782" s="346">
        <f>IFERROR(VLOOKUP($G782,融外自投!$A:$J,8,0),"無")</f>
        <v>586</v>
      </c>
      <c r="S782" s="81" t="str">
        <f>IFERROR(VLOOKUP($G782,融外自投!$A:$J,10,0),"無")</f>
        <v>無</v>
      </c>
      <c r="T782" s="327">
        <f>IFERROR(VLOOKUP($G782,'321買'!$A:$E,5,0),"'沒有資料'")</f>
        <v>558</v>
      </c>
      <c r="U782" s="186">
        <f>IFERROR(VLOOKUP($G782,基本資料!$A:$J,9,0),"無")</f>
        <v>3</v>
      </c>
      <c r="V782" s="310">
        <f t="shared" si="162"/>
        <v>9.6153846153846159E-2</v>
      </c>
      <c r="W782" s="94">
        <f>IFERROR(VLOOKUP($G782,基本資料!$A:$J,10,0),"無")</f>
        <v>3.28</v>
      </c>
      <c r="X782" s="36">
        <f>RTD("money.excel",,"6161","Price")</f>
        <v>31.2</v>
      </c>
      <c r="Y782" s="66"/>
      <c r="Z782" s="15">
        <f t="shared" si="165"/>
        <v>31.2</v>
      </c>
      <c r="AA782" s="3" t="e">
        <f t="shared" si="166"/>
        <v>#DIV/0!</v>
      </c>
      <c r="AB782" s="344">
        <f>IFERROR(VLOOKUP($G782,基本資料!$A:$M,11,0),"無")</f>
        <v>-18.97</v>
      </c>
      <c r="AC782" s="397">
        <f>IFERROR(VLOOKUP($G782,基本資料!$A:$M,12,0),"無")</f>
        <v>21.15</v>
      </c>
      <c r="AD782" s="16" t="s">
        <v>2232</v>
      </c>
      <c r="AG782" s="33">
        <f t="shared" si="167"/>
        <v>0</v>
      </c>
      <c r="AH782" s="43" t="s">
        <v>2446</v>
      </c>
      <c r="AI782" s="63">
        <f t="shared" si="163"/>
        <v>4.1121495327102802E-3</v>
      </c>
      <c r="AJ782" s="284">
        <f>RTD("money.excel",,$G782,"PredictVolume")</f>
        <v>308</v>
      </c>
      <c r="AK782" s="399">
        <f>IFERROR(VLOOKUP($G782,基本資料!$A:$M,13,0),"無")</f>
        <v>16.059999999999999</v>
      </c>
    </row>
    <row r="783" spans="1:37">
      <c r="A783" s="347">
        <f>IFERROR(VLOOKUP($G783,基本資料!$A:$J,3,0),"無")</f>
        <v>21.74</v>
      </c>
      <c r="B783" s="79">
        <f>IFERROR(VLOOKUP($G783,基本資料!$A:$J,4,0),"無")</f>
        <v>-50</v>
      </c>
      <c r="C783" s="79">
        <f>IFERROR(VLOOKUP($G783,基本資料!$A:$J,5,0),"無")</f>
        <v>-70</v>
      </c>
      <c r="D783" s="79">
        <f>IFERROR(VLOOKUP($G783,基本資料!$A:$J,6,0),"無")</f>
        <v>49</v>
      </c>
      <c r="E783" s="79">
        <f>IFERROR(VLOOKUP($G783,基本資料!$A:$J,7,0),"無")</f>
        <v>19</v>
      </c>
      <c r="F783" s="6">
        <f>IFERROR(VLOOKUP($G783,基本資料!$A:$J,8,0),"無")</f>
        <v>1.43</v>
      </c>
      <c r="G783" s="79">
        <v>6166</v>
      </c>
      <c r="H783" s="46" t="s">
        <v>1146</v>
      </c>
      <c r="I783" s="22" t="s">
        <v>62</v>
      </c>
      <c r="J783" s="8" t="str">
        <f>IFERROR(VLOOKUP($G783,今日總結!$A:$AJ,35,0),"")</f>
        <v/>
      </c>
      <c r="K783" s="5" t="str">
        <f>IFERROR(VLOOKUP($G783,今日總結!$A:$AJ,36,0),"")</f>
        <v/>
      </c>
      <c r="L783" s="156" t="str">
        <f>IFERROR(VLOOKUP($G783,今日總結!$A:$AJ,33,0),"")</f>
        <v/>
      </c>
      <c r="M783" s="340" t="str">
        <f>IFERROR(VLOOKUP($G783,今日總結!$A:$AJ,34,0),"")</f>
        <v/>
      </c>
      <c r="N783" s="240" t="str">
        <f t="shared" si="164"/>
        <v/>
      </c>
      <c r="P783" s="365">
        <f>IFERROR(VLOOKUP($G783,融外自投!$A:$J,7,0),"無")</f>
        <v>822</v>
      </c>
      <c r="Q783" s="79">
        <f>IFERROR(VLOOKUP($G783,融外自投!$A:$J,9,0),"無")</f>
        <v>708</v>
      </c>
      <c r="R783" s="346">
        <f>IFERROR(VLOOKUP($G783,融外自投!$A:$J,8,0),"無")</f>
        <v>507</v>
      </c>
      <c r="S783" s="81" t="str">
        <f>IFERROR(VLOOKUP($G783,融外自投!$A:$J,10,0),"無")</f>
        <v>無</v>
      </c>
      <c r="T783" s="327">
        <f>IFERROR(VLOOKUP($G783,'321買'!$A:$E,5,0),"'沒有資料'")</f>
        <v>683</v>
      </c>
      <c r="U783" s="186">
        <f>IFERROR(VLOOKUP($G783,基本資料!$A:$J,9,0),"無")</f>
        <v>0.3</v>
      </c>
      <c r="V783" s="310">
        <f t="shared" si="162"/>
        <v>5.3191489361702126E-3</v>
      </c>
      <c r="W783" s="94">
        <f>IFERROR(VLOOKUP($G783,基本資料!$A:$J,10,0),"無")</f>
        <v>0.55000000000000004</v>
      </c>
      <c r="X783" s="36">
        <f>RTD("money.excel",,"6166","Price")</f>
        <v>56.4</v>
      </c>
      <c r="Y783" s="66"/>
      <c r="Z783" s="15">
        <f t="shared" si="165"/>
        <v>56.4</v>
      </c>
      <c r="AA783" s="3" t="e">
        <f t="shared" si="166"/>
        <v>#DIV/0!</v>
      </c>
      <c r="AB783" s="344">
        <f>IFERROR(VLOOKUP($G783,基本資料!$A:$M,11,0),"無")</f>
        <v>-19.010000000000002</v>
      </c>
      <c r="AC783" s="397">
        <f>IFERROR(VLOOKUP($G783,基本資料!$A:$M,12,0),"無")</f>
        <v>36.450000000000003</v>
      </c>
      <c r="AD783" s="22" t="s">
        <v>62</v>
      </c>
      <c r="AG783" s="33">
        <f t="shared" si="167"/>
        <v>0</v>
      </c>
      <c r="AH783" s="117" t="s">
        <v>2233</v>
      </c>
      <c r="AI783" s="63">
        <f t="shared" si="163"/>
        <v>3.1278748850046E-4</v>
      </c>
      <c r="AJ783" s="284">
        <f>RTD("money.excel",,$G783,"PredictVolume")</f>
        <v>68</v>
      </c>
      <c r="AK783" s="399">
        <f>IFERROR(VLOOKUP($G783,基本資料!$A:$M,13,0),"無")</f>
        <v>10.130000000000001</v>
      </c>
    </row>
    <row r="784" spans="1:37">
      <c r="A784" s="347">
        <f>IFERROR(VLOOKUP($G784,基本資料!$A:$J,3,0),"無")</f>
        <v>27.83</v>
      </c>
      <c r="B784" s="79">
        <f>IFERROR(VLOOKUP($G784,基本資料!$A:$J,4,0),"無")</f>
        <v>857</v>
      </c>
      <c r="C784" s="79">
        <f>IFERROR(VLOOKUP($G784,基本資料!$A:$J,5,0),"無")</f>
        <v>-5</v>
      </c>
      <c r="D784" s="79">
        <f>IFERROR(VLOOKUP($G784,基本資料!$A:$J,6,0),"無")</f>
        <v>-41</v>
      </c>
      <c r="E784" s="79">
        <f>IFERROR(VLOOKUP($G784,基本資料!$A:$J,7,0),"無")</f>
        <v>-33</v>
      </c>
      <c r="F784" s="6">
        <f>IFERROR(VLOOKUP($G784,基本資料!$A:$J,8,0),"無")</f>
        <v>8.86</v>
      </c>
      <c r="G784" s="79">
        <v>6188</v>
      </c>
      <c r="H784" s="145" t="s">
        <v>1146</v>
      </c>
      <c r="I784" s="16" t="s">
        <v>4092</v>
      </c>
      <c r="J784" s="8">
        <f>IFERROR(VLOOKUP($G784,今日總結!$A:$AJ,35,0),"")</f>
        <v>0</v>
      </c>
      <c r="K784" s="5" t="str">
        <f>IFERROR(VLOOKUP($G784,今日總結!$A:$AJ,36,0),"")</f>
        <v>外</v>
      </c>
      <c r="L784" s="156">
        <f>IFERROR(VLOOKUP($G784,今日總結!$A:$AJ,33,0),"")</f>
        <v>0</v>
      </c>
      <c r="M784" s="340">
        <f>IFERROR(VLOOKUP($G784,今日總結!$A:$AJ,34,0),"")</f>
        <v>1</v>
      </c>
      <c r="N784" s="240">
        <f t="shared" si="164"/>
        <v>-1</v>
      </c>
      <c r="P784" s="365">
        <f>IFERROR(VLOOKUP($G784,融外自投!$A:$J,7,0),"無")</f>
        <v>494</v>
      </c>
      <c r="Q784" s="79">
        <f>IFERROR(VLOOKUP($G784,融外自投!$A:$J,9,0),"無")</f>
        <v>263</v>
      </c>
      <c r="R784" s="346">
        <f>IFERROR(VLOOKUP($G784,融外自投!$A:$J,8,0),"無")</f>
        <v>656</v>
      </c>
      <c r="S784" s="81">
        <f>IFERROR(VLOOKUP($G784,融外自投!$A:$J,10,0),"無")</f>
        <v>491</v>
      </c>
      <c r="T784" s="327">
        <f>IFERROR(VLOOKUP($G784,'321買'!$A:$E,5,0),"'沒有資料'")</f>
        <v>480</v>
      </c>
      <c r="U784" s="186">
        <f>IFERROR(VLOOKUP($G784,基本資料!$A:$J,9,0),"無")</f>
        <v>2.8</v>
      </c>
      <c r="V784" s="310">
        <f t="shared" si="162"/>
        <v>7.3684210526315783E-2</v>
      </c>
      <c r="W784" s="94">
        <f>IFERROR(VLOOKUP($G784,基本資料!$A:$J,10,0),"無")</f>
        <v>3.57</v>
      </c>
      <c r="X784" s="36">
        <f>RTD("money.excel",,"6188","Price")</f>
        <v>38</v>
      </c>
      <c r="Y784" s="66"/>
      <c r="Z784" s="15">
        <f t="shared" si="165"/>
        <v>38</v>
      </c>
      <c r="AA784" s="3" t="e">
        <f t="shared" si="166"/>
        <v>#DIV/0!</v>
      </c>
      <c r="AB784" s="344">
        <f>IFERROR(VLOOKUP($G784,基本資料!$A:$M,11,0),"無")</f>
        <v>-24.31</v>
      </c>
      <c r="AC784" s="397">
        <f>IFERROR(VLOOKUP($G784,基本資料!$A:$M,12,0),"無")</f>
        <v>12.41</v>
      </c>
      <c r="AD784" s="16" t="s">
        <v>4092</v>
      </c>
      <c r="AG784" s="33">
        <f t="shared" si="167"/>
        <v>0</v>
      </c>
      <c r="AH784" s="117" t="s">
        <v>4093</v>
      </c>
      <c r="AI784" s="63">
        <f t="shared" si="163"/>
        <v>1.8325547969816744E-3</v>
      </c>
      <c r="AJ784" s="284">
        <f>RTD("money.excel",,$G784,"PredictVolume")</f>
        <v>510</v>
      </c>
      <c r="AK784" s="399">
        <f>IFERROR(VLOOKUP($G784,基本資料!$A:$M,13,0),"無")</f>
        <v>15.97</v>
      </c>
    </row>
    <row r="785" spans="1:37">
      <c r="A785" s="347">
        <f>IFERROR(VLOOKUP($G785,基本資料!$A:$J,3,0),"無")</f>
        <v>14.3</v>
      </c>
      <c r="B785" s="79">
        <f>IFERROR(VLOOKUP($G785,基本資料!$A:$J,4,0),"無")</f>
        <v>15</v>
      </c>
      <c r="C785" s="79">
        <f>IFERROR(VLOOKUP($G785,基本資料!$A:$J,5,0),"無")</f>
        <v>17</v>
      </c>
      <c r="D785" s="79">
        <f>IFERROR(VLOOKUP($G785,基本資料!$A:$J,6,0),"無")</f>
        <v>-4</v>
      </c>
      <c r="E785" s="79">
        <f>IFERROR(VLOOKUP($G785,基本資料!$A:$J,7,0),"無")</f>
        <v>19</v>
      </c>
      <c r="F785" s="6">
        <f>IFERROR(VLOOKUP($G785,基本資料!$A:$J,8,0),"無")</f>
        <v>15.85</v>
      </c>
      <c r="G785" s="79">
        <v>6206</v>
      </c>
      <c r="H785" s="46" t="s">
        <v>1146</v>
      </c>
      <c r="I785" s="22" t="s">
        <v>4094</v>
      </c>
      <c r="J785" s="8" t="str">
        <f>IFERROR(VLOOKUP($G785,今日總結!$A:$AJ,35,0),"")</f>
        <v/>
      </c>
      <c r="K785" s="5" t="str">
        <f>IFERROR(VLOOKUP($G785,今日總結!$A:$AJ,36,0),"")</f>
        <v/>
      </c>
      <c r="L785" s="156" t="str">
        <f>IFERROR(VLOOKUP($G785,今日總結!$A:$AJ,33,0),"")</f>
        <v/>
      </c>
      <c r="M785" s="340" t="str">
        <f>IFERROR(VLOOKUP($G785,今日總結!$A:$AJ,34,0),"")</f>
        <v/>
      </c>
      <c r="N785" s="240" t="str">
        <f t="shared" si="164"/>
        <v/>
      </c>
      <c r="P785" s="365">
        <f>IFERROR(VLOOKUP($G785,融外自投!$A:$J,7,0),"無")</f>
        <v>911</v>
      </c>
      <c r="Q785" s="79">
        <f>IFERROR(VLOOKUP($G785,融外自投!$A:$J,9,0),"無")</f>
        <v>514</v>
      </c>
      <c r="R785" s="346">
        <f>IFERROR(VLOOKUP($G785,融外自投!$A:$J,8,0),"無")</f>
        <v>407</v>
      </c>
      <c r="S785" s="81">
        <f>IFERROR(VLOOKUP($G785,融外自投!$A:$J,10,0),"無")</f>
        <v>253</v>
      </c>
      <c r="T785" s="327">
        <f>IFERROR(VLOOKUP($G785,'321買'!$A:$E,5,0),"'沒有資料'")</f>
        <v>939</v>
      </c>
      <c r="U785" s="186">
        <f>IFERROR(VLOOKUP($G785,基本資料!$A:$J,9,0),"無")</f>
        <v>4</v>
      </c>
      <c r="V785" s="310">
        <f t="shared" si="162"/>
        <v>5.3763440860215048E-2</v>
      </c>
      <c r="W785" s="94">
        <f>IFERROR(VLOOKUP($G785,基本資料!$A:$J,10,0),"無")</f>
        <v>4.7699999999999996</v>
      </c>
      <c r="X785" s="36">
        <f>RTD("money.excel",,"6206","Price")</f>
        <v>74.400000000000006</v>
      </c>
      <c r="Y785" s="66"/>
      <c r="Z785" s="15">
        <f t="shared" si="165"/>
        <v>74.400000000000006</v>
      </c>
      <c r="AA785" s="3" t="e">
        <f t="shared" si="166"/>
        <v>#DIV/0!</v>
      </c>
      <c r="AB785" s="344">
        <f>IFERROR(VLOOKUP($G785,基本資料!$A:$M,11,0),"無")</f>
        <v>-13.32</v>
      </c>
      <c r="AC785" s="397">
        <f>IFERROR(VLOOKUP($G785,基本資料!$A:$M,12,0),"無")</f>
        <v>37.159999999999997</v>
      </c>
      <c r="AD785" s="22" t="s">
        <v>4094</v>
      </c>
      <c r="AG785" s="33">
        <f t="shared" si="167"/>
        <v>0</v>
      </c>
      <c r="AH785" s="43" t="s">
        <v>4095</v>
      </c>
      <c r="AI785" s="63">
        <f t="shared" si="163"/>
        <v>8.8811188811188809E-4</v>
      </c>
      <c r="AJ785" s="284">
        <f>RTD("money.excel",,$G785,"PredictVolume")</f>
        <v>127</v>
      </c>
      <c r="AK785" s="399">
        <f>IFERROR(VLOOKUP($G785,基本資料!$A:$M,13,0),"無")</f>
        <v>4.12</v>
      </c>
    </row>
    <row r="786" spans="1:37">
      <c r="A786" s="347">
        <f>IFERROR(VLOOKUP($G786,基本資料!$A:$J,3,0),"無")</f>
        <v>4</v>
      </c>
      <c r="B786" s="79">
        <f>IFERROR(VLOOKUP($G786,基本資料!$A:$J,4,0),"無")</f>
        <v>81</v>
      </c>
      <c r="C786" s="79">
        <f>IFERROR(VLOOKUP($G786,基本資料!$A:$J,5,0),"無")</f>
        <v>97</v>
      </c>
      <c r="D786" s="79">
        <f>IFERROR(VLOOKUP($G786,基本資料!$A:$J,6,0),"無")</f>
        <v>-5</v>
      </c>
      <c r="E786" s="79">
        <f>IFERROR(VLOOKUP($G786,基本資料!$A:$J,7,0),"無")</f>
        <v>75</v>
      </c>
      <c r="F786" s="6">
        <f>IFERROR(VLOOKUP($G786,基本資料!$A:$J,8,0),"無")</f>
        <v>-0.28999999999999998</v>
      </c>
      <c r="G786" s="79">
        <v>6228</v>
      </c>
      <c r="H786" s="145" t="s">
        <v>1146</v>
      </c>
      <c r="I786" s="16" t="s">
        <v>4096</v>
      </c>
      <c r="J786" s="8" t="str">
        <f>IFERROR(VLOOKUP($G786,今日總結!$A:$AJ,35,0),"")</f>
        <v/>
      </c>
      <c r="K786" s="5" t="str">
        <f>IFERROR(VLOOKUP($G786,今日總結!$A:$AJ,36,0),"")</f>
        <v/>
      </c>
      <c r="L786" s="156" t="str">
        <f>IFERROR(VLOOKUP($G786,今日總結!$A:$AJ,33,0),"")</f>
        <v/>
      </c>
      <c r="M786" s="340" t="str">
        <f>IFERROR(VLOOKUP($G786,今日總結!$A:$AJ,34,0),"")</f>
        <v/>
      </c>
      <c r="N786" s="240" t="str">
        <f t="shared" si="164"/>
        <v/>
      </c>
      <c r="P786" s="365" t="str">
        <f>IFERROR(VLOOKUP($G786,融外自投!$A:$J,7,0),"無")</f>
        <v>無</v>
      </c>
      <c r="Q786" s="79" t="str">
        <f>IFERROR(VLOOKUP($G786,融外自投!$A:$J,9,0),"無")</f>
        <v>無</v>
      </c>
      <c r="R786" s="346" t="str">
        <f>IFERROR(VLOOKUP($G786,融外自投!$A:$J,8,0),"無")</f>
        <v>無</v>
      </c>
      <c r="S786" s="81" t="str">
        <f>IFERROR(VLOOKUP($G786,融外自投!$A:$J,10,0),"無")</f>
        <v>無</v>
      </c>
      <c r="T786" s="327" t="str">
        <f>IFERROR(VLOOKUP($G786,'321買'!$A:$E,5,0),"'沒有資料'")</f>
        <v>'沒有資料'</v>
      </c>
      <c r="U786" s="186">
        <f>IFERROR(VLOOKUP($G786,基本資料!$A:$J,9,0),"無")</f>
        <v>0</v>
      </c>
      <c r="V786" s="310">
        <f t="shared" si="162"/>
        <v>0</v>
      </c>
      <c r="W786" s="94">
        <f>IFERROR(VLOOKUP($G786,基本資料!$A:$J,10,0),"無")</f>
        <v>-0.13</v>
      </c>
      <c r="X786" s="36">
        <f>RTD("money.excel",,"6228","Price")</f>
        <v>22.15</v>
      </c>
      <c r="Y786" s="66"/>
      <c r="Z786" s="15">
        <f t="shared" si="165"/>
        <v>22.15</v>
      </c>
      <c r="AA786" s="3" t="e">
        <f t="shared" si="166"/>
        <v>#DIV/0!</v>
      </c>
      <c r="AB786" s="344">
        <f>IFERROR(VLOOKUP($G786,基本資料!$A:$M,11,0),"無")</f>
        <v>-34.340000000000003</v>
      </c>
      <c r="AC786" s="397">
        <f>IFERROR(VLOOKUP($G786,基本資料!$A:$M,12,0),"無")</f>
        <v>31.93</v>
      </c>
      <c r="AD786" s="16" t="s">
        <v>4096</v>
      </c>
      <c r="AG786" s="33">
        <f t="shared" si="167"/>
        <v>0</v>
      </c>
      <c r="AH786" s="43" t="s">
        <v>4097</v>
      </c>
      <c r="AI786" s="63">
        <f t="shared" si="163"/>
        <v>1.55E-2</v>
      </c>
      <c r="AJ786" s="284">
        <f>RTD("money.excel",,$G786,"PredictVolume")</f>
        <v>620</v>
      </c>
      <c r="AK786" s="399">
        <f>IFERROR(VLOOKUP($G786,基本資料!$A:$M,13,0),"無")</f>
        <v>4.18</v>
      </c>
    </row>
    <row r="787" spans="1:37">
      <c r="A787" s="347">
        <f>IFERROR(VLOOKUP($G787,基本資料!$A:$J,3,0),"無")</f>
        <v>8.6300000000000008</v>
      </c>
      <c r="B787" s="79">
        <f>IFERROR(VLOOKUP($G787,基本資料!$A:$J,4,0),"無")</f>
        <v>-55</v>
      </c>
      <c r="C787" s="79">
        <f>IFERROR(VLOOKUP($G787,基本資料!$A:$J,5,0),"無")</f>
        <v>-57</v>
      </c>
      <c r="D787" s="79">
        <f>IFERROR(VLOOKUP($G787,基本資料!$A:$J,6,0),"無")</f>
        <v>15</v>
      </c>
      <c r="E787" s="79">
        <f>IFERROR(VLOOKUP($G787,基本資料!$A:$J,7,0),"無")</f>
        <v>-14</v>
      </c>
      <c r="F787" s="6">
        <f>IFERROR(VLOOKUP($G787,基本資料!$A:$J,8,0),"無")</f>
        <v>4.2</v>
      </c>
      <c r="G787" s="79">
        <v>6230</v>
      </c>
      <c r="H787" s="46" t="s">
        <v>1146</v>
      </c>
      <c r="I787" s="22" t="s">
        <v>4098</v>
      </c>
      <c r="J787" s="8" t="str">
        <f>IFERROR(VLOOKUP($G787,今日總結!$A:$AJ,35,0),"")</f>
        <v/>
      </c>
      <c r="K787" s="5" t="str">
        <f>IFERROR(VLOOKUP($G787,今日總結!$A:$AJ,36,0),"")</f>
        <v/>
      </c>
      <c r="L787" s="156" t="str">
        <f>IFERROR(VLOOKUP($G787,今日總結!$A:$AJ,33,0),"")</f>
        <v/>
      </c>
      <c r="M787" s="340" t="str">
        <f>IFERROR(VLOOKUP($G787,今日總結!$A:$AJ,34,0),"")</f>
        <v/>
      </c>
      <c r="N787" s="240" t="str">
        <f t="shared" si="164"/>
        <v/>
      </c>
      <c r="P787" s="365">
        <f>IFERROR(VLOOKUP($G787,融外自投!$A:$J,7,0),"無")</f>
        <v>1209</v>
      </c>
      <c r="Q787" s="79">
        <f>IFERROR(VLOOKUP($G787,融外自投!$A:$J,9,0),"無")</f>
        <v>174</v>
      </c>
      <c r="R787" s="346">
        <f>IFERROR(VLOOKUP($G787,融外自投!$A:$J,8,0),"無")</f>
        <v>5</v>
      </c>
      <c r="S787" s="81" t="str">
        <f>IFERROR(VLOOKUP($G787,融外自投!$A:$J,10,0),"無")</f>
        <v>無</v>
      </c>
      <c r="T787" s="327">
        <f>IFERROR(VLOOKUP($G787,'321買'!$A:$E,5,0),"'沒有資料'")</f>
        <v>188</v>
      </c>
      <c r="U787" s="186">
        <f>IFERROR(VLOOKUP($G787,基本資料!$A:$J,9,0),"無")</f>
        <v>0.61</v>
      </c>
      <c r="V787" s="310">
        <f t="shared" si="162"/>
        <v>5.4954954954954957E-3</v>
      </c>
      <c r="W787" s="94">
        <f>IFERROR(VLOOKUP($G787,基本資料!$A:$J,10,0),"無")</f>
        <v>4.05</v>
      </c>
      <c r="X787" s="36">
        <f>RTD("money.excel",,"6230","Price")</f>
        <v>111</v>
      </c>
      <c r="Y787" s="66"/>
      <c r="Z787" s="15">
        <f t="shared" si="165"/>
        <v>111</v>
      </c>
      <c r="AA787" s="3" t="e">
        <f t="shared" si="166"/>
        <v>#DIV/0!</v>
      </c>
      <c r="AB787" s="344">
        <f>IFERROR(VLOOKUP($G787,基本資料!$A:$M,11,0),"無")</f>
        <v>-56.49</v>
      </c>
      <c r="AC787" s="397">
        <f>IFERROR(VLOOKUP($G787,基本資料!$A:$M,12,0),"無")</f>
        <v>24.18</v>
      </c>
      <c r="AD787" s="22" t="s">
        <v>4098</v>
      </c>
      <c r="AG787" s="33">
        <f t="shared" si="167"/>
        <v>0</v>
      </c>
      <c r="AH787" s="119" t="s">
        <v>4099</v>
      </c>
      <c r="AI787" s="63">
        <f t="shared" si="163"/>
        <v>1.6917728852838931E-3</v>
      </c>
      <c r="AJ787" s="284">
        <f>RTD("money.excel",,$G787,"PredictVolume")</f>
        <v>146</v>
      </c>
      <c r="AK787" s="399">
        <f>IFERROR(VLOOKUP($G787,基本資料!$A:$M,13,0),"無")</f>
        <v>1.62</v>
      </c>
    </row>
    <row r="788" spans="1:37">
      <c r="A788" s="347">
        <f>IFERROR(VLOOKUP($G788,基本資料!$A:$J,3,0),"無")</f>
        <v>17.32</v>
      </c>
      <c r="B788" s="79">
        <f>IFERROR(VLOOKUP($G788,基本資料!$A:$J,4,0),"無")</f>
        <v>-74</v>
      </c>
      <c r="C788" s="79">
        <f>IFERROR(VLOOKUP($G788,基本資料!$A:$J,5,0),"無")</f>
        <v>516</v>
      </c>
      <c r="D788" s="79">
        <f>IFERROR(VLOOKUP($G788,基本資料!$A:$J,6,0),"無")</f>
        <v>-21</v>
      </c>
      <c r="E788" s="79">
        <f>IFERROR(VLOOKUP($G788,基本資料!$A:$J,7,0),"無")</f>
        <v>27</v>
      </c>
      <c r="F788" s="6">
        <f>IFERROR(VLOOKUP($G788,基本資料!$A:$J,8,0),"無")</f>
        <v>4.3</v>
      </c>
      <c r="G788" s="79">
        <v>6235</v>
      </c>
      <c r="H788" s="46" t="s">
        <v>1146</v>
      </c>
      <c r="I788" s="22" t="s">
        <v>4100</v>
      </c>
      <c r="J788" s="8">
        <f>IFERROR(VLOOKUP($G788,今日總結!$A:$AJ,35,0),"")</f>
        <v>0</v>
      </c>
      <c r="K788" s="5">
        <f>IFERROR(VLOOKUP($G788,今日總結!$A:$AJ,36,0),"")</f>
        <v>492</v>
      </c>
      <c r="L788" s="156">
        <f>IFERROR(VLOOKUP($G788,今日總結!$A:$AJ,33,0),"")</f>
        <v>0</v>
      </c>
      <c r="M788" s="340">
        <f>IFERROR(VLOOKUP($G788,今日總結!$A:$AJ,34,0),"")</f>
        <v>3</v>
      </c>
      <c r="N788" s="240">
        <f t="shared" si="164"/>
        <v>-3</v>
      </c>
      <c r="P788" s="365">
        <f>IFERROR(VLOOKUP($G788,融外自投!$A:$J,7,0),"無")</f>
        <v>27</v>
      </c>
      <c r="Q788" s="79">
        <f>IFERROR(VLOOKUP($G788,融外自投!$A:$J,9,0),"無")</f>
        <v>334</v>
      </c>
      <c r="R788" s="346">
        <f>IFERROR(VLOOKUP($G788,融外自投!$A:$J,8,0),"無")</f>
        <v>755</v>
      </c>
      <c r="S788" s="81">
        <f>IFERROR(VLOOKUP($G788,融外自投!$A:$J,10,0),"無")</f>
        <v>395</v>
      </c>
      <c r="T788" s="327">
        <f>IFERROR(VLOOKUP($G788,'321買'!$A:$E,5,0),"'沒有資料'")</f>
        <v>255</v>
      </c>
      <c r="U788" s="186">
        <f>IFERROR(VLOOKUP($G788,基本資料!$A:$J,9,0),"無")</f>
        <v>0.3</v>
      </c>
      <c r="V788" s="310">
        <f t="shared" si="162"/>
        <v>8.3449235048678704E-3</v>
      </c>
      <c r="W788" s="94">
        <f>IFERROR(VLOOKUP($G788,基本資料!$A:$J,10,0),"無")</f>
        <v>0.96</v>
      </c>
      <c r="X788" s="36">
        <f>RTD("money.excel",,"6235","Price")</f>
        <v>35.950000000000003</v>
      </c>
      <c r="Y788" s="66"/>
      <c r="Z788" s="15">
        <f t="shared" si="165"/>
        <v>35.950000000000003</v>
      </c>
      <c r="AA788" s="3" t="e">
        <f t="shared" si="166"/>
        <v>#DIV/0!</v>
      </c>
      <c r="AB788" s="344">
        <f>IFERROR(VLOOKUP($G788,基本資料!$A:$M,11,0),"無")</f>
        <v>-10.58</v>
      </c>
      <c r="AC788" s="397">
        <f>IFERROR(VLOOKUP($G788,基本資料!$A:$M,12,0),"無")</f>
        <v>73.11</v>
      </c>
      <c r="AD788" s="22" t="s">
        <v>4100</v>
      </c>
      <c r="AG788" s="33">
        <f t="shared" si="167"/>
        <v>0</v>
      </c>
      <c r="AH788" s="60" t="s">
        <v>4101</v>
      </c>
      <c r="AI788" s="63">
        <f t="shared" si="163"/>
        <v>0.17443995381062355</v>
      </c>
      <c r="AJ788" s="284">
        <f>RTD("money.excel",,$G788,"PredictVolume")</f>
        <v>30213</v>
      </c>
      <c r="AK788" s="399">
        <f>IFERROR(VLOOKUP($G788,基本資料!$A:$M,13,0),"無")</f>
        <v>41.66</v>
      </c>
    </row>
    <row r="789" spans="1:37">
      <c r="A789" s="347">
        <f>IFERROR(VLOOKUP($G789,基本資料!$A:$J,3,0),"無")</f>
        <v>3.14</v>
      </c>
      <c r="B789" s="79">
        <f>IFERROR(VLOOKUP($G789,基本資料!$A:$J,4,0),"無")</f>
        <v>-68</v>
      </c>
      <c r="C789" s="79">
        <f>IFERROR(VLOOKUP($G789,基本資料!$A:$J,5,0),"無")</f>
        <v>-66</v>
      </c>
      <c r="D789" s="79">
        <f>IFERROR(VLOOKUP($G789,基本資料!$A:$J,6,0),"無")</f>
        <v>18</v>
      </c>
      <c r="E789" s="79">
        <f>IFERROR(VLOOKUP($G789,基本資料!$A:$J,7,0),"無")</f>
        <v>-20</v>
      </c>
      <c r="F789" s="6">
        <f>IFERROR(VLOOKUP($G789,基本資料!$A:$J,8,0),"無")</f>
        <v>2.75</v>
      </c>
      <c r="G789" s="79">
        <v>6276</v>
      </c>
      <c r="H789" s="145" t="s">
        <v>1146</v>
      </c>
      <c r="I789" s="16" t="s">
        <v>4102</v>
      </c>
      <c r="J789" s="8" t="str">
        <f>IFERROR(VLOOKUP($G789,今日總結!$A:$AJ,35,0),"")</f>
        <v/>
      </c>
      <c r="K789" s="5" t="str">
        <f>IFERROR(VLOOKUP($G789,今日總結!$A:$AJ,36,0),"")</f>
        <v/>
      </c>
      <c r="L789" s="156" t="str">
        <f>IFERROR(VLOOKUP($G789,今日總結!$A:$AJ,33,0),"")</f>
        <v/>
      </c>
      <c r="M789" s="340" t="str">
        <f>IFERROR(VLOOKUP($G789,今日總結!$A:$AJ,34,0),"")</f>
        <v/>
      </c>
      <c r="N789" s="240" t="str">
        <f t="shared" si="164"/>
        <v/>
      </c>
      <c r="P789" s="365">
        <f>IFERROR(VLOOKUP($G789,融外自投!$A:$J,7,0),"無")</f>
        <v>149</v>
      </c>
      <c r="Q789" s="79">
        <f>IFERROR(VLOOKUP($G789,融外自投!$A:$J,9,0),"無")</f>
        <v>978</v>
      </c>
      <c r="R789" s="346">
        <f>IFERROR(VLOOKUP($G789,融外自投!$A:$J,8,0),"無")</f>
        <v>899</v>
      </c>
      <c r="S789" s="81" t="str">
        <f>IFERROR(VLOOKUP($G789,融外自投!$A:$J,10,0),"無")</f>
        <v>無</v>
      </c>
      <c r="T789" s="327">
        <f>IFERROR(VLOOKUP($G789,'321買'!$A:$E,5,0),"'沒有資料'")</f>
        <v>964</v>
      </c>
      <c r="U789" s="186">
        <f>IFERROR(VLOOKUP($G789,基本資料!$A:$J,9,0),"無")</f>
        <v>1</v>
      </c>
      <c r="V789" s="310">
        <f t="shared" si="162"/>
        <v>6.0606060606060608E-2</v>
      </c>
      <c r="W789" s="94">
        <f>IFERROR(VLOOKUP($G789,基本資料!$A:$J,10,0),"無")</f>
        <v>1.0900000000000001</v>
      </c>
      <c r="X789" s="36">
        <f>RTD("money.excel",,"6276","Price")</f>
        <v>16.5</v>
      </c>
      <c r="Y789" s="66"/>
      <c r="Z789" s="15">
        <f t="shared" si="165"/>
        <v>16.5</v>
      </c>
      <c r="AA789" s="3" t="e">
        <f t="shared" si="166"/>
        <v>#DIV/0!</v>
      </c>
      <c r="AB789" s="344">
        <f>IFERROR(VLOOKUP($G789,基本資料!$A:$M,11,0),"無")</f>
        <v>-56.35</v>
      </c>
      <c r="AC789" s="397">
        <f>IFERROR(VLOOKUP($G789,基本資料!$A:$M,12,0),"無")</f>
        <v>10.73</v>
      </c>
      <c r="AD789" s="16" t="s">
        <v>4102</v>
      </c>
      <c r="AG789" s="33">
        <f t="shared" si="167"/>
        <v>0</v>
      </c>
      <c r="AH789" s="43" t="s">
        <v>2373</v>
      </c>
      <c r="AI789" s="63">
        <f t="shared" si="163"/>
        <v>3.5031847133757961E-4</v>
      </c>
      <c r="AJ789" s="284">
        <f>RTD("money.excel",,$G789,"PredictVolume")</f>
        <v>11</v>
      </c>
      <c r="AK789" s="399">
        <f>IFERROR(VLOOKUP($G789,基本資料!$A:$M,13,0),"無")</f>
        <v>3.97</v>
      </c>
    </row>
    <row r="790" spans="1:37">
      <c r="A790" s="347">
        <f>IFERROR(VLOOKUP($G790,基本資料!$A:$J,3,0),"無")</f>
        <v>11.94</v>
      </c>
      <c r="B790" s="79">
        <f>IFERROR(VLOOKUP($G790,基本資料!$A:$J,4,0),"無")</f>
        <v>-57</v>
      </c>
      <c r="C790" s="79">
        <f>IFERROR(VLOOKUP($G790,基本資料!$A:$J,5,0),"無")</f>
        <v>32</v>
      </c>
      <c r="D790" s="79">
        <f>IFERROR(VLOOKUP($G790,基本資料!$A:$J,6,0),"無")</f>
        <v>-19</v>
      </c>
      <c r="E790" s="79">
        <f>IFERROR(VLOOKUP($G790,基本資料!$A:$J,7,0),"無")</f>
        <v>-7</v>
      </c>
      <c r="F790" s="6">
        <f>IFERROR(VLOOKUP($G790,基本資料!$A:$J,8,0),"無")</f>
        <v>15.6</v>
      </c>
      <c r="G790" s="79">
        <v>6277</v>
      </c>
      <c r="H790" s="46" t="s">
        <v>1146</v>
      </c>
      <c r="I790" s="22" t="s">
        <v>4103</v>
      </c>
      <c r="J790" s="8" t="str">
        <f>IFERROR(VLOOKUP($G790,今日總結!$A:$AJ,35,0),"")</f>
        <v/>
      </c>
      <c r="K790" s="5" t="str">
        <f>IFERROR(VLOOKUP($G790,今日總結!$A:$AJ,36,0),"")</f>
        <v/>
      </c>
      <c r="L790" s="156" t="str">
        <f>IFERROR(VLOOKUP($G790,今日總結!$A:$AJ,33,0),"")</f>
        <v/>
      </c>
      <c r="M790" s="340" t="str">
        <f>IFERROR(VLOOKUP($G790,今日總結!$A:$AJ,34,0),"")</f>
        <v/>
      </c>
      <c r="N790" s="240" t="str">
        <f t="shared" si="164"/>
        <v/>
      </c>
      <c r="P790" s="365">
        <f>IFERROR(VLOOKUP($G790,融外自投!$A:$J,7,0),"無")</f>
        <v>1324</v>
      </c>
      <c r="Q790" s="79">
        <f>IFERROR(VLOOKUP($G790,融外自投!$A:$J,9,0),"無")</f>
        <v>355</v>
      </c>
      <c r="R790" s="346">
        <f>IFERROR(VLOOKUP($G790,融外自投!$A:$J,8,0),"無")</f>
        <v>403</v>
      </c>
      <c r="S790" s="81">
        <f>IFERROR(VLOOKUP($G790,融外自投!$A:$J,10,0),"無")</f>
        <v>491</v>
      </c>
      <c r="T790" s="327">
        <f>IFERROR(VLOOKUP($G790,'321買'!$A:$E,5,0),"'沒有資料'")</f>
        <v>1143</v>
      </c>
      <c r="U790" s="186">
        <f>IFERROR(VLOOKUP($G790,基本資料!$A:$J,9,0),"無")</f>
        <v>5.2</v>
      </c>
      <c r="V790" s="310">
        <f t="shared" si="162"/>
        <v>6.5000000000000002E-2</v>
      </c>
      <c r="W790" s="94">
        <f>IFERROR(VLOOKUP($G790,基本資料!$A:$J,10,0),"無")</f>
        <v>5.33</v>
      </c>
      <c r="X790" s="36">
        <f>RTD("money.excel",,"6277","Price")</f>
        <v>80</v>
      </c>
      <c r="Y790" s="66"/>
      <c r="Z790" s="15">
        <f t="shared" si="165"/>
        <v>80</v>
      </c>
      <c r="AA790" s="3" t="e">
        <f t="shared" si="166"/>
        <v>#DIV/0!</v>
      </c>
      <c r="AB790" s="344">
        <f>IFERROR(VLOOKUP($G790,基本資料!$A:$M,11,0),"無")</f>
        <v>-6.95</v>
      </c>
      <c r="AC790" s="397">
        <f>IFERROR(VLOOKUP($G790,基本資料!$A:$M,12,0),"無")</f>
        <v>28.01</v>
      </c>
      <c r="AD790" s="22" t="s">
        <v>4103</v>
      </c>
      <c r="AG790" s="33">
        <f t="shared" si="167"/>
        <v>0</v>
      </c>
      <c r="AH790" s="117" t="s">
        <v>4104</v>
      </c>
      <c r="AI790" s="63">
        <f t="shared" si="163"/>
        <v>3.7688442211055275E-4</v>
      </c>
      <c r="AJ790" s="284">
        <f>RTD("money.excel",,$G790,"PredictVolume")</f>
        <v>45</v>
      </c>
      <c r="AK790" s="399">
        <f>IFERROR(VLOOKUP($G790,基本資料!$A:$M,13,0),"無")</f>
        <v>1.18</v>
      </c>
    </row>
    <row r="791" spans="1:37">
      <c r="A791" s="347">
        <f>IFERROR(VLOOKUP($G791,基本資料!$A:$J,3,0),"無")</f>
        <v>10.6</v>
      </c>
      <c r="B791" s="79">
        <f>IFERROR(VLOOKUP($G791,基本資料!$A:$J,4,0),"無")</f>
        <v>6</v>
      </c>
      <c r="C791" s="79">
        <f>IFERROR(VLOOKUP($G791,基本資料!$A:$J,5,0),"無")</f>
        <v>-13</v>
      </c>
      <c r="D791" s="79">
        <f>IFERROR(VLOOKUP($G791,基本資料!$A:$J,6,0),"無")</f>
        <v>41</v>
      </c>
      <c r="E791" s="79">
        <f>IFERROR(VLOOKUP($G791,基本資料!$A:$J,7,0),"無")</f>
        <v>16</v>
      </c>
      <c r="F791" s="6">
        <f>IFERROR(VLOOKUP($G791,基本資料!$A:$J,8,0),"無")</f>
        <v>3.31</v>
      </c>
      <c r="G791" s="79">
        <v>6414</v>
      </c>
      <c r="H791" s="192" t="s">
        <v>1146</v>
      </c>
      <c r="I791" s="22" t="s">
        <v>213</v>
      </c>
      <c r="J791" s="8" t="str">
        <f>IFERROR(VLOOKUP($G791,今日總結!$A:$AJ,35,0),"")</f>
        <v/>
      </c>
      <c r="K791" s="5" t="str">
        <f>IFERROR(VLOOKUP($G791,今日總結!$A:$AJ,36,0),"")</f>
        <v/>
      </c>
      <c r="L791" s="156" t="str">
        <f>IFERROR(VLOOKUP($G791,今日總結!$A:$AJ,33,0),"")</f>
        <v/>
      </c>
      <c r="M791" s="340" t="str">
        <f>IFERROR(VLOOKUP($G791,今日總結!$A:$AJ,34,0),"")</f>
        <v/>
      </c>
      <c r="N791" s="240" t="str">
        <f t="shared" si="164"/>
        <v/>
      </c>
      <c r="P791" s="365">
        <f>IFERROR(VLOOKUP($G791,融外自投!$A:$J,7,0),"無")</f>
        <v>364</v>
      </c>
      <c r="Q791" s="79">
        <f>IFERROR(VLOOKUP($G791,融外自投!$A:$J,9,0),"無")</f>
        <v>571</v>
      </c>
      <c r="R791" s="346">
        <f>IFERROR(VLOOKUP($G791,融外自投!$A:$J,8,0),"無")</f>
        <v>474</v>
      </c>
      <c r="S791" s="81">
        <f>IFERROR(VLOOKUP($G791,融外自投!$A:$J,10,0),"無")</f>
        <v>253</v>
      </c>
      <c r="T791" s="327">
        <f>IFERROR(VLOOKUP($G791,'321買'!$A:$E,5,0),"'沒有資料'")</f>
        <v>131</v>
      </c>
      <c r="U791" s="186">
        <f>IFERROR(VLOOKUP($G791,基本資料!$A:$J,9,0),"無")</f>
        <v>7</v>
      </c>
      <c r="V791" s="310">
        <f t="shared" si="162"/>
        <v>3.6363636363636362E-2</v>
      </c>
      <c r="W791" s="94">
        <f>IFERROR(VLOOKUP($G791,基本資料!$A:$J,10,0),"無")</f>
        <v>13.91</v>
      </c>
      <c r="X791" s="36">
        <f>RTD("money.excel",,"6414","Price")</f>
        <v>192.5</v>
      </c>
      <c r="Y791" s="66"/>
      <c r="Z791" s="15">
        <f t="shared" si="165"/>
        <v>192.5</v>
      </c>
      <c r="AA791" s="3" t="e">
        <f t="shared" si="166"/>
        <v>#DIV/0!</v>
      </c>
      <c r="AB791" s="344">
        <f>IFERROR(VLOOKUP($G791,基本資料!$A:$M,11,0),"無")</f>
        <v>-31.16</v>
      </c>
      <c r="AC791" s="397">
        <f>IFERROR(VLOOKUP($G791,基本資料!$A:$M,12,0),"無")</f>
        <v>25.02</v>
      </c>
      <c r="AD791" s="22" t="s">
        <v>213</v>
      </c>
      <c r="AG791" s="33">
        <f t="shared" si="167"/>
        <v>0</v>
      </c>
      <c r="AH791" s="117" t="s">
        <v>1506</v>
      </c>
      <c r="AI791" s="63">
        <f t="shared" si="163"/>
        <v>1.9811320754716979E-3</v>
      </c>
      <c r="AJ791" s="284">
        <f>RTD("money.excel",,$G791,"PredictVolume")</f>
        <v>210</v>
      </c>
      <c r="AK791" s="399">
        <f>IFERROR(VLOOKUP($G791,基本資料!$A:$M,13,0),"無")</f>
        <v>16.12</v>
      </c>
    </row>
    <row r="792" spans="1:37">
      <c r="A792" s="347">
        <f>IFERROR(VLOOKUP($G792,基本資料!$A:$J,3,0),"無")</f>
        <v>4.33</v>
      </c>
      <c r="B792" s="79">
        <f>IFERROR(VLOOKUP($G792,基本資料!$A:$J,4,0),"無")</f>
        <v>-213</v>
      </c>
      <c r="C792" s="79">
        <f>IFERROR(VLOOKUP($G792,基本資料!$A:$J,5,0),"無")</f>
        <v>-151</v>
      </c>
      <c r="D792" s="79">
        <f>IFERROR(VLOOKUP($G792,基本資料!$A:$J,6,0),"無")</f>
        <v>-12</v>
      </c>
      <c r="E792" s="79">
        <f>IFERROR(VLOOKUP($G792,基本資料!$A:$J,7,0),"無")</f>
        <v>-86</v>
      </c>
      <c r="F792" s="6">
        <f>IFERROR(VLOOKUP($G792,基本資料!$A:$J,8,0),"無")</f>
        <v>-10.210000000000001</v>
      </c>
      <c r="G792" s="79">
        <v>6441</v>
      </c>
      <c r="H792" s="145" t="s">
        <v>1146</v>
      </c>
      <c r="I792" s="16" t="s">
        <v>4105</v>
      </c>
      <c r="J792" s="8" t="str">
        <f>IFERROR(VLOOKUP($G792,今日總結!$A:$AJ,35,0),"")</f>
        <v/>
      </c>
      <c r="K792" s="5" t="str">
        <f>IFERROR(VLOOKUP($G792,今日總結!$A:$AJ,36,0),"")</f>
        <v/>
      </c>
      <c r="L792" s="156" t="str">
        <f>IFERROR(VLOOKUP($G792,今日總結!$A:$AJ,33,0),"")</f>
        <v/>
      </c>
      <c r="M792" s="340" t="str">
        <f>IFERROR(VLOOKUP($G792,今日總結!$A:$AJ,34,0),"")</f>
        <v/>
      </c>
      <c r="N792" s="240" t="str">
        <f t="shared" si="164"/>
        <v/>
      </c>
      <c r="P792" s="365">
        <f>IFERROR(VLOOKUP($G792,融外自投!$A:$J,7,0),"無")</f>
        <v>122</v>
      </c>
      <c r="Q792" s="79">
        <f>IFERROR(VLOOKUP($G792,融外自投!$A:$J,9,0),"無")</f>
        <v>308</v>
      </c>
      <c r="R792" s="346">
        <f>IFERROR(VLOOKUP($G792,融外自投!$A:$J,8,0),"無")</f>
        <v>1348</v>
      </c>
      <c r="S792" s="81" t="str">
        <f>IFERROR(VLOOKUP($G792,融外自投!$A:$J,10,0),"無")</f>
        <v>無</v>
      </c>
      <c r="T792" s="327">
        <f>IFERROR(VLOOKUP($G792,'321買'!$A:$E,5,0),"'沒有資料'")</f>
        <v>1066</v>
      </c>
      <c r="U792" s="186">
        <f>IFERROR(VLOOKUP($G792,基本資料!$A:$J,9,0),"無")</f>
        <v>0</v>
      </c>
      <c r="V792" s="310">
        <f t="shared" si="162"/>
        <v>0</v>
      </c>
      <c r="W792" s="94">
        <f>IFERROR(VLOOKUP($G792,基本資料!$A:$J,10,0),"無")</f>
        <v>-2.88</v>
      </c>
      <c r="X792" s="36">
        <f>RTD("money.excel",,"6441","Price")</f>
        <v>44.9</v>
      </c>
      <c r="Y792" s="66"/>
      <c r="Z792" s="15">
        <f t="shared" si="165"/>
        <v>44.9</v>
      </c>
      <c r="AA792" s="3" t="e">
        <f t="shared" si="166"/>
        <v>#DIV/0!</v>
      </c>
      <c r="AB792" s="344">
        <f>IFERROR(VLOOKUP($G792,基本資料!$A:$M,11,0),"無")</f>
        <v>-53.45</v>
      </c>
      <c r="AC792" s="397">
        <f>IFERROR(VLOOKUP($G792,基本資料!$A:$M,12,0),"無")</f>
        <v>41.95</v>
      </c>
      <c r="AD792" s="16" t="s">
        <v>4105</v>
      </c>
      <c r="AG792" s="33">
        <f t="shared" si="167"/>
        <v>0</v>
      </c>
      <c r="AH792" s="43" t="s">
        <v>4106</v>
      </c>
      <c r="AI792" s="63">
        <f t="shared" si="163"/>
        <v>5.7505773672055427E-3</v>
      </c>
      <c r="AJ792" s="284">
        <f>RTD("money.excel",,$G792,"PredictVolume")</f>
        <v>249</v>
      </c>
      <c r="AK792" s="399">
        <f>IFERROR(VLOOKUP($G792,基本資料!$A:$M,13,0),"無")</f>
        <v>14.17</v>
      </c>
    </row>
    <row r="793" spans="1:37">
      <c r="A793" s="347">
        <f>IFERROR(VLOOKUP($G793,基本資料!$A:$J,3,0),"無")</f>
        <v>3</v>
      </c>
      <c r="B793" s="79">
        <f>IFERROR(VLOOKUP($G793,基本資料!$A:$J,4,0),"無")</f>
        <v>214</v>
      </c>
      <c r="C793" s="79">
        <f>IFERROR(VLOOKUP($G793,基本資料!$A:$J,5,0),"無")</f>
        <v>189</v>
      </c>
      <c r="D793" s="79">
        <f>IFERROR(VLOOKUP($G793,基本資料!$A:$J,6,0),"無")</f>
        <v>-4</v>
      </c>
      <c r="E793" s="79">
        <f>IFERROR(VLOOKUP($G793,基本資料!$A:$J,7,0),"無")</f>
        <v>4</v>
      </c>
      <c r="F793" s="6">
        <f>IFERROR(VLOOKUP($G793,基本資料!$A:$J,8,0),"無")</f>
        <v>13.89</v>
      </c>
      <c r="G793" s="79">
        <v>6570</v>
      </c>
      <c r="H793" s="145" t="s">
        <v>1146</v>
      </c>
      <c r="I793" s="16" t="s">
        <v>4107</v>
      </c>
      <c r="J793" s="8" t="str">
        <f>IFERROR(VLOOKUP($G793,今日總結!$A:$AJ,35,0),"")</f>
        <v/>
      </c>
      <c r="K793" s="5" t="str">
        <f>IFERROR(VLOOKUP($G793,今日總結!$A:$AJ,36,0),"")</f>
        <v/>
      </c>
      <c r="L793" s="156" t="str">
        <f>IFERROR(VLOOKUP($G793,今日總結!$A:$AJ,33,0),"")</f>
        <v/>
      </c>
      <c r="M793" s="340" t="str">
        <f>IFERROR(VLOOKUP($G793,今日總結!$A:$AJ,34,0),"")</f>
        <v/>
      </c>
      <c r="N793" s="240" t="str">
        <f t="shared" si="164"/>
        <v/>
      </c>
      <c r="P793" s="365">
        <f>IFERROR(VLOOKUP($G793,融外自投!$A:$J,7,0),"無")</f>
        <v>1162</v>
      </c>
      <c r="Q793" s="79" t="str">
        <f>IFERROR(VLOOKUP($G793,融外自投!$A:$J,9,0),"無")</f>
        <v>無</v>
      </c>
      <c r="R793" s="346">
        <f>IFERROR(VLOOKUP($G793,融外自投!$A:$J,8,0),"無")</f>
        <v>1266</v>
      </c>
      <c r="S793" s="81" t="str">
        <f>IFERROR(VLOOKUP($G793,融外自投!$A:$J,10,0),"無")</f>
        <v>無</v>
      </c>
      <c r="T793" s="327">
        <f>IFERROR(VLOOKUP($G793,'321買'!$A:$E,5,0),"'沒有資料'")</f>
        <v>1383</v>
      </c>
      <c r="U793" s="186">
        <f>IFERROR(VLOOKUP($G793,基本資料!$A:$J,9,0),"無")</f>
        <v>3</v>
      </c>
      <c r="V793" s="310">
        <f t="shared" si="162"/>
        <v>7.5471698113207544E-2</v>
      </c>
      <c r="W793" s="94">
        <f>IFERROR(VLOOKUP($G793,基本資料!$A:$J,10,0),"無")</f>
        <v>3.58</v>
      </c>
      <c r="X793" s="36">
        <f>RTD("money.excel",,"6570","Price")</f>
        <v>39.75</v>
      </c>
      <c r="Y793" s="66"/>
      <c r="Z793" s="15">
        <f t="shared" si="165"/>
        <v>39.75</v>
      </c>
      <c r="AA793" s="3" t="e">
        <f t="shared" si="166"/>
        <v>#DIV/0!</v>
      </c>
      <c r="AB793" s="344">
        <f>IFERROR(VLOOKUP($G793,基本資料!$A:$M,11,0),"無")</f>
        <v>-14.6</v>
      </c>
      <c r="AC793" s="397">
        <f>IFERROR(VLOOKUP($G793,基本資料!$A:$M,12,0),"無")</f>
        <v>24.87</v>
      </c>
      <c r="AD793" s="16" t="s">
        <v>4107</v>
      </c>
      <c r="AG793" s="33">
        <f t="shared" si="167"/>
        <v>0</v>
      </c>
      <c r="AH793" s="43" t="s">
        <v>2233</v>
      </c>
      <c r="AI793" s="63">
        <f t="shared" si="163"/>
        <v>1.3666666666666666E-3</v>
      </c>
      <c r="AJ793" s="284">
        <f>RTD("money.excel",,$G793,"PredictVolume")</f>
        <v>41</v>
      </c>
      <c r="AK793" s="399">
        <f>IFERROR(VLOOKUP($G793,基本資料!$A:$M,13,0),"無")</f>
        <v>3.25</v>
      </c>
    </row>
    <row r="794" spans="1:37">
      <c r="A794" s="347">
        <f>IFERROR(VLOOKUP($G794,基本資料!$A:$J,3,0),"無")</f>
        <v>3.82</v>
      </c>
      <c r="B794" s="79">
        <f>IFERROR(VLOOKUP($G794,基本資料!$A:$J,4,0),"無")</f>
        <v>-20</v>
      </c>
      <c r="C794" s="79">
        <f>IFERROR(VLOOKUP($G794,基本資料!$A:$J,5,0),"無")</f>
        <v>-24</v>
      </c>
      <c r="D794" s="79">
        <f>IFERROR(VLOOKUP($G794,基本資料!$A:$J,6,0),"無")</f>
        <v>-17</v>
      </c>
      <c r="E794" s="79">
        <f>IFERROR(VLOOKUP($G794,基本資料!$A:$J,7,0),"無")</f>
        <v>22</v>
      </c>
      <c r="F794" s="6">
        <f>IFERROR(VLOOKUP($G794,基本資料!$A:$J,8,0),"無")</f>
        <v>11.52</v>
      </c>
      <c r="G794" s="79">
        <v>6577</v>
      </c>
      <c r="H794" s="145" t="s">
        <v>1146</v>
      </c>
      <c r="I794" s="16" t="s">
        <v>4108</v>
      </c>
      <c r="J794" s="8" t="str">
        <f>IFERROR(VLOOKUP($G794,今日總結!$A:$AJ,35,0),"")</f>
        <v/>
      </c>
      <c r="K794" s="5" t="str">
        <f>IFERROR(VLOOKUP($G794,今日總結!$A:$AJ,36,0),"")</f>
        <v/>
      </c>
      <c r="L794" s="156" t="str">
        <f>IFERROR(VLOOKUP($G794,今日總結!$A:$AJ,33,0),"")</f>
        <v/>
      </c>
      <c r="M794" s="340" t="str">
        <f>IFERROR(VLOOKUP($G794,今日總結!$A:$AJ,34,0),"")</f>
        <v/>
      </c>
      <c r="N794" s="240" t="str">
        <f t="shared" si="164"/>
        <v/>
      </c>
      <c r="P794" s="365">
        <f>IFERROR(VLOOKUP($G794,融外自投!$A:$J,7,0),"無")</f>
        <v>1374</v>
      </c>
      <c r="Q794" s="79" t="str">
        <f>IFERROR(VLOOKUP($G794,融外自投!$A:$J,9,0),"無")</f>
        <v>無</v>
      </c>
      <c r="R794" s="346">
        <f>IFERROR(VLOOKUP($G794,融外自投!$A:$J,8,0),"無")</f>
        <v>1205</v>
      </c>
      <c r="S794" s="81">
        <f>IFERROR(VLOOKUP($G794,融外自投!$A:$J,10,0),"無")</f>
        <v>428</v>
      </c>
      <c r="T794" s="327" t="str">
        <f>IFERROR(VLOOKUP($G794,'321買'!$A:$E,5,0),"'沒有資料'")</f>
        <v>'沒有資料'</v>
      </c>
      <c r="U794" s="186">
        <f>IFERROR(VLOOKUP($G794,基本資料!$A:$J,9,0),"無")</f>
        <v>3.85</v>
      </c>
      <c r="V794" s="310">
        <f t="shared" si="162"/>
        <v>6.1111111111111109E-2</v>
      </c>
      <c r="W794" s="94">
        <f>IFERROR(VLOOKUP($G794,基本資料!$A:$J,10,0),"無")</f>
        <v>4.24</v>
      </c>
      <c r="X794" s="36">
        <f>RTD("money.excel",,"6577","Price")</f>
        <v>63</v>
      </c>
      <c r="Y794" s="66"/>
      <c r="Z794" s="15">
        <f t="shared" si="165"/>
        <v>63</v>
      </c>
      <c r="AA794" s="3" t="e">
        <f t="shared" si="166"/>
        <v>#DIV/0!</v>
      </c>
      <c r="AB794" s="344">
        <f>IFERROR(VLOOKUP($G794,基本資料!$A:$M,11,0),"無")</f>
        <v>-12.34</v>
      </c>
      <c r="AC794" s="397">
        <f>IFERROR(VLOOKUP($G794,基本資料!$A:$M,12,0),"無")</f>
        <v>38.76</v>
      </c>
      <c r="AD794" s="16" t="s">
        <v>4108</v>
      </c>
      <c r="AG794" s="33">
        <f t="shared" si="167"/>
        <v>0</v>
      </c>
      <c r="AH794" s="43" t="s">
        <v>4109</v>
      </c>
      <c r="AI794" s="63">
        <f t="shared" si="163"/>
        <v>1.0471204188481675E-4</v>
      </c>
      <c r="AJ794" s="284">
        <f>RTD("money.excel",,$G794,"PredictVolume")</f>
        <v>4</v>
      </c>
      <c r="AK794" s="399">
        <f>IFERROR(VLOOKUP($G794,基本資料!$A:$M,13,0),"無")</f>
        <v>2.2000000000000002</v>
      </c>
    </row>
    <row r="795" spans="1:37">
      <c r="A795" s="347">
        <f>IFERROR(VLOOKUP($G795,基本資料!$A:$J,3,0),"無")</f>
        <v>14.86</v>
      </c>
      <c r="B795" s="79">
        <f>IFERROR(VLOOKUP($G795,基本資料!$A:$J,4,0),"無")</f>
        <v>10</v>
      </c>
      <c r="C795" s="79">
        <f>IFERROR(VLOOKUP($G795,基本資料!$A:$J,5,0),"無")</f>
        <v>-11</v>
      </c>
      <c r="D795" s="79">
        <f>IFERROR(VLOOKUP($G795,基本資料!$A:$J,6,0),"無")</f>
        <v>-30</v>
      </c>
      <c r="E795" s="79">
        <f>IFERROR(VLOOKUP($G795,基本資料!$A:$J,7,0),"無")</f>
        <v>45</v>
      </c>
      <c r="F795" s="6">
        <f>IFERROR(VLOOKUP($G795,基本資料!$A:$J,8,0),"無")</f>
        <v>8.64</v>
      </c>
      <c r="G795" s="79">
        <v>6579</v>
      </c>
      <c r="H795" s="46" t="s">
        <v>1146</v>
      </c>
      <c r="I795" s="22" t="s">
        <v>4110</v>
      </c>
      <c r="J795" s="8" t="str">
        <f>IFERROR(VLOOKUP($G795,今日總結!$A:$AJ,35,0),"")</f>
        <v/>
      </c>
      <c r="K795" s="5" t="str">
        <f>IFERROR(VLOOKUP($G795,今日總結!$A:$AJ,36,0),"")</f>
        <v/>
      </c>
      <c r="L795" s="156" t="str">
        <f>IFERROR(VLOOKUP($G795,今日總結!$A:$AJ,33,0),"")</f>
        <v/>
      </c>
      <c r="M795" s="340" t="str">
        <f>IFERROR(VLOOKUP($G795,今日總結!$A:$AJ,34,0),"")</f>
        <v/>
      </c>
      <c r="N795" s="240" t="str">
        <f t="shared" si="164"/>
        <v/>
      </c>
      <c r="P795" s="365">
        <f>IFERROR(VLOOKUP($G795,融外自投!$A:$J,7,0),"無")</f>
        <v>1367</v>
      </c>
      <c r="Q795" s="79">
        <f>IFERROR(VLOOKUP($G795,融外自投!$A:$J,9,0),"無")</f>
        <v>978</v>
      </c>
      <c r="R795" s="346">
        <f>IFERROR(VLOOKUP($G795,融外自投!$A:$J,8,0),"無")</f>
        <v>914</v>
      </c>
      <c r="S795" s="81" t="str">
        <f>IFERROR(VLOOKUP($G795,融外自投!$A:$J,10,0),"無")</f>
        <v>無</v>
      </c>
      <c r="T795" s="327">
        <f>IFERROR(VLOOKUP($G795,'321買'!$A:$E,5,0),"'沒有資料'")</f>
        <v>1338</v>
      </c>
      <c r="U795" s="186">
        <f>IFERROR(VLOOKUP($G795,基本資料!$A:$J,9,0),"無")</f>
        <v>3.1</v>
      </c>
      <c r="V795" s="310">
        <f t="shared" si="162"/>
        <v>4.0103492884864166E-2</v>
      </c>
      <c r="W795" s="94">
        <f>IFERROR(VLOOKUP($G795,基本資料!$A:$J,10,0),"無")</f>
        <v>4.22</v>
      </c>
      <c r="X795" s="36">
        <f>RTD("money.excel",,"6579","Price")</f>
        <v>77.3</v>
      </c>
      <c r="Y795" s="66"/>
      <c r="Z795" s="15">
        <f t="shared" si="165"/>
        <v>77.3</v>
      </c>
      <c r="AA795" s="3" t="e">
        <f t="shared" si="166"/>
        <v>#DIV/0!</v>
      </c>
      <c r="AB795" s="344">
        <f>IFERROR(VLOOKUP($G795,基本資料!$A:$M,11,0),"無")</f>
        <v>-14.33</v>
      </c>
      <c r="AC795" s="397">
        <f>IFERROR(VLOOKUP($G795,基本資料!$A:$M,12,0),"無")</f>
        <v>62.75</v>
      </c>
      <c r="AD795" s="22" t="s">
        <v>4110</v>
      </c>
      <c r="AG795" s="33">
        <f t="shared" si="167"/>
        <v>0</v>
      </c>
      <c r="AH795" s="43" t="s">
        <v>1933</v>
      </c>
      <c r="AI795" s="63">
        <f t="shared" ref="AI795:AI806" si="168">AJ795/(A795*10000)</f>
        <v>5.5181695827725443E-4</v>
      </c>
      <c r="AJ795" s="284">
        <f>RTD("money.excel",,$G795,"PredictVolume")</f>
        <v>82</v>
      </c>
      <c r="AK795" s="399">
        <f>IFERROR(VLOOKUP($G795,基本資料!$A:$M,13,0),"無")</f>
        <v>0.35</v>
      </c>
    </row>
    <row r="796" spans="1:37">
      <c r="A796" s="347">
        <f>IFERROR(VLOOKUP($G796,基本資料!$A:$J,3,0),"無")</f>
        <v>3.2</v>
      </c>
      <c r="B796" s="79">
        <f>IFERROR(VLOOKUP($G796,基本資料!$A:$J,4,0),"無")</f>
        <v>33</v>
      </c>
      <c r="C796" s="79">
        <f>IFERROR(VLOOKUP($G796,基本資料!$A:$J,5,0),"無")</f>
        <v>11</v>
      </c>
      <c r="D796" s="79">
        <f>IFERROR(VLOOKUP($G796,基本資料!$A:$J,6,0),"無")</f>
        <v>-54</v>
      </c>
      <c r="E796" s="79">
        <f>IFERROR(VLOOKUP($G796,基本資料!$A:$J,7,0),"無")</f>
        <v>-31</v>
      </c>
      <c r="F796" s="6">
        <f>IFERROR(VLOOKUP($G796,基本資料!$A:$J,8,0),"無")</f>
        <v>18.12</v>
      </c>
      <c r="G796" s="79">
        <v>6591</v>
      </c>
      <c r="H796" s="46" t="s">
        <v>1146</v>
      </c>
      <c r="I796" s="22" t="s">
        <v>470</v>
      </c>
      <c r="J796" s="8">
        <f>IFERROR(VLOOKUP($G796,今日總結!$A:$AJ,35,0),"")</f>
        <v>6</v>
      </c>
      <c r="K796" s="5">
        <f>IFERROR(VLOOKUP($G796,今日總結!$A:$AJ,36,0),"")</f>
        <v>0</v>
      </c>
      <c r="L796" s="156">
        <f>IFERROR(VLOOKUP($G796,今日總結!$A:$AJ,33,0),"")</f>
        <v>1</v>
      </c>
      <c r="M796" s="340">
        <f>IFERROR(VLOOKUP($G796,今日總結!$A:$AJ,34,0),"")</f>
        <v>0</v>
      </c>
      <c r="N796" s="240">
        <f t="shared" si="164"/>
        <v>1</v>
      </c>
      <c r="P796" s="365">
        <f>IFERROR(VLOOKUP($G796,融外自投!$A:$J,7,0),"無")</f>
        <v>102</v>
      </c>
      <c r="Q796" s="79">
        <f>IFERROR(VLOOKUP($G796,融外自投!$A:$J,9,0),"無")</f>
        <v>115</v>
      </c>
      <c r="R796" s="346">
        <f>IFERROR(VLOOKUP($G796,融外自投!$A:$J,8,0),"無")</f>
        <v>248</v>
      </c>
      <c r="S796" s="81">
        <f>IFERROR(VLOOKUP($G796,融外自投!$A:$J,10,0),"無")</f>
        <v>240</v>
      </c>
      <c r="T796" s="327">
        <f>IFERROR(VLOOKUP($G796,'321買'!$A:$E,5,0),"'沒有資料'")</f>
        <v>710</v>
      </c>
      <c r="U796" s="186">
        <f>IFERROR(VLOOKUP($G796,基本資料!$A:$J,9,0),"無")</f>
        <v>4</v>
      </c>
      <c r="V796" s="310">
        <f t="shared" si="162"/>
        <v>6.7001675041876041E-2</v>
      </c>
      <c r="W796" s="94">
        <f>IFERROR(VLOOKUP($G796,基本資料!$A:$J,10,0),"無")</f>
        <v>6.83</v>
      </c>
      <c r="X796" s="36">
        <f>RTD("money.excel",,"6591","Price")</f>
        <v>59.7</v>
      </c>
      <c r="Y796" s="66"/>
      <c r="Z796" s="15">
        <f t="shared" si="165"/>
        <v>59.7</v>
      </c>
      <c r="AA796" s="3" t="e">
        <f t="shared" si="166"/>
        <v>#DIV/0!</v>
      </c>
      <c r="AB796" s="344">
        <f>IFERROR(VLOOKUP($G796,基本資料!$A:$M,11,0),"無")</f>
        <v>-15.74</v>
      </c>
      <c r="AC796" s="397">
        <f>IFERROR(VLOOKUP($G796,基本資料!$A:$M,12,0),"無")</f>
        <v>62.9</v>
      </c>
      <c r="AD796" s="22" t="s">
        <v>470</v>
      </c>
      <c r="AG796" s="33">
        <f t="shared" si="167"/>
        <v>0</v>
      </c>
      <c r="AH796" s="43" t="s">
        <v>2316</v>
      </c>
      <c r="AI796" s="63">
        <f t="shared" si="168"/>
        <v>1.2937499999999999E-2</v>
      </c>
      <c r="AJ796" s="284">
        <f>RTD("money.excel",,$G796,"PredictVolume")</f>
        <v>414</v>
      </c>
      <c r="AK796" s="399">
        <f>IFERROR(VLOOKUP($G796,基本資料!$A:$M,13,0),"無")</f>
        <v>7.18</v>
      </c>
    </row>
    <row r="797" spans="1:37">
      <c r="A797" s="347">
        <f>IFERROR(VLOOKUP($G797,基本資料!$A:$J,3,0),"無")</f>
        <v>17.48</v>
      </c>
      <c r="B797" s="79">
        <f>IFERROR(VLOOKUP($G797,基本資料!$A:$J,4,0),"無")</f>
        <v>0</v>
      </c>
      <c r="C797" s="79">
        <f>IFERROR(VLOOKUP($G797,基本資料!$A:$J,5,0),"無")</f>
        <v>1</v>
      </c>
      <c r="D797" s="79">
        <f>IFERROR(VLOOKUP($G797,基本資料!$A:$J,6,0),"無")</f>
        <v>-17</v>
      </c>
      <c r="E797" s="79">
        <f>IFERROR(VLOOKUP($G797,基本資料!$A:$J,7,0),"無")</f>
        <v>19</v>
      </c>
      <c r="F797" s="6">
        <f>IFERROR(VLOOKUP($G797,基本資料!$A:$J,8,0),"無")</f>
        <v>5.91</v>
      </c>
      <c r="G797" s="79">
        <v>6669</v>
      </c>
      <c r="H797" s="46" t="s">
        <v>1146</v>
      </c>
      <c r="I797" s="22" t="s">
        <v>4111</v>
      </c>
      <c r="J797" s="8" t="str">
        <f>IFERROR(VLOOKUP($G797,今日總結!$A:$AJ,35,0),"")</f>
        <v/>
      </c>
      <c r="K797" s="5" t="str">
        <f>IFERROR(VLOOKUP($G797,今日總結!$A:$AJ,36,0),"")</f>
        <v/>
      </c>
      <c r="L797" s="156" t="str">
        <f>IFERROR(VLOOKUP($G797,今日總結!$A:$AJ,33,0),"")</f>
        <v/>
      </c>
      <c r="M797" s="340" t="str">
        <f>IFERROR(VLOOKUP($G797,今日總結!$A:$AJ,34,0),"")</f>
        <v/>
      </c>
      <c r="N797" s="240" t="str">
        <f t="shared" si="164"/>
        <v/>
      </c>
      <c r="P797" s="365">
        <f>IFERROR(VLOOKUP($G797,融外自投!$A:$J,7,0),"無")</f>
        <v>1307</v>
      </c>
      <c r="Q797" s="79">
        <f>IFERROR(VLOOKUP($G797,融外自投!$A:$J,9,0),"無")</f>
        <v>824</v>
      </c>
      <c r="R797" s="346">
        <f>IFERROR(VLOOKUP($G797,融外自投!$A:$J,8,0),"無")</f>
        <v>143</v>
      </c>
      <c r="S797" s="81">
        <f>IFERROR(VLOOKUP($G797,融外自投!$A:$J,10,0),"無")</f>
        <v>132</v>
      </c>
      <c r="T797" s="327">
        <f>IFERROR(VLOOKUP($G797,'321買'!$A:$E,5,0),"'沒有資料'")</f>
        <v>164</v>
      </c>
      <c r="U797" s="186">
        <f>IFERROR(VLOOKUP($G797,基本資料!$A:$J,9,0),"無")</f>
        <v>25</v>
      </c>
      <c r="V797" s="310">
        <f t="shared" si="162"/>
        <v>2.7114967462039046E-2</v>
      </c>
      <c r="W797" s="94">
        <f>IFERROR(VLOOKUP($G797,基本資料!$A:$J,10,0),"無")</f>
        <v>49.46</v>
      </c>
      <c r="X797" s="36">
        <f>RTD("money.excel",,"6669","Price")</f>
        <v>922</v>
      </c>
      <c r="Y797" s="66"/>
      <c r="Z797" s="15">
        <f t="shared" si="165"/>
        <v>922</v>
      </c>
      <c r="AA797" s="3" t="e">
        <f t="shared" si="166"/>
        <v>#DIV/0!</v>
      </c>
      <c r="AB797" s="344">
        <f>IFERROR(VLOOKUP($G797,基本資料!$A:$M,11,0),"無")</f>
        <v>-16.260000000000002</v>
      </c>
      <c r="AC797" s="397">
        <f>IFERROR(VLOOKUP($G797,基本資料!$A:$M,12,0),"無")</f>
        <v>56.58</v>
      </c>
      <c r="AD797" s="22" t="s">
        <v>4111</v>
      </c>
      <c r="AG797" s="33">
        <f t="shared" si="167"/>
        <v>0</v>
      </c>
      <c r="AH797" s="43" t="s">
        <v>4112</v>
      </c>
      <c r="AI797" s="63">
        <f t="shared" si="168"/>
        <v>2.7116704805491992E-3</v>
      </c>
      <c r="AJ797" s="284">
        <f>RTD("money.excel",,$G797,"PredictVolume")</f>
        <v>474</v>
      </c>
      <c r="AK797" s="399">
        <f>IFERROR(VLOOKUP($G797,基本資料!$A:$M,13,0),"無")</f>
        <v>5.16</v>
      </c>
    </row>
    <row r="798" spans="1:37">
      <c r="A798" s="347">
        <f>IFERROR(VLOOKUP($G798,基本資料!$A:$J,3,0),"無")</f>
        <v>1.85</v>
      </c>
      <c r="B798" s="79">
        <f>IFERROR(VLOOKUP($G798,基本資料!$A:$J,4,0),"無")</f>
        <v>-17</v>
      </c>
      <c r="C798" s="79">
        <f>IFERROR(VLOOKUP($G798,基本資料!$A:$J,5,0),"無")</f>
        <v>-40</v>
      </c>
      <c r="D798" s="79">
        <f>IFERROR(VLOOKUP($G798,基本資料!$A:$J,6,0),"無")</f>
        <v>21</v>
      </c>
      <c r="E798" s="79">
        <f>IFERROR(VLOOKUP($G798,基本資料!$A:$J,7,0),"無")</f>
        <v>37</v>
      </c>
      <c r="F798" s="6">
        <f>IFERROR(VLOOKUP($G798,基本資料!$A:$J,8,0),"無")</f>
        <v>10.29</v>
      </c>
      <c r="G798" s="79">
        <v>6680</v>
      </c>
      <c r="H798" s="145" t="s">
        <v>1146</v>
      </c>
      <c r="I798" s="16" t="s">
        <v>4113</v>
      </c>
      <c r="J798" s="8" t="str">
        <f>IFERROR(VLOOKUP($G798,今日總結!$A:$AJ,35,0),"")</f>
        <v/>
      </c>
      <c r="K798" s="5" t="str">
        <f>IFERROR(VLOOKUP($G798,今日總結!$A:$AJ,36,0),"")</f>
        <v/>
      </c>
      <c r="L798" s="156" t="str">
        <f>IFERROR(VLOOKUP($G798,今日總結!$A:$AJ,33,0),"")</f>
        <v/>
      </c>
      <c r="M798" s="340" t="str">
        <f>IFERROR(VLOOKUP($G798,今日總結!$A:$AJ,34,0),"")</f>
        <v/>
      </c>
      <c r="N798" s="240" t="str">
        <f t="shared" si="164"/>
        <v/>
      </c>
      <c r="P798" s="365" t="str">
        <f>IFERROR(VLOOKUP($G798,融外自投!$A:$J,7,0),"無")</f>
        <v>無</v>
      </c>
      <c r="Q798" s="79" t="str">
        <f>IFERROR(VLOOKUP($G798,融外自投!$A:$J,9,0),"無")</f>
        <v>無</v>
      </c>
      <c r="R798" s="346" t="str">
        <f>IFERROR(VLOOKUP($G798,融外自投!$A:$J,8,0),"無")</f>
        <v>無</v>
      </c>
      <c r="S798" s="81" t="str">
        <f>IFERROR(VLOOKUP($G798,融外自投!$A:$J,10,0),"無")</f>
        <v>無</v>
      </c>
      <c r="T798" s="327" t="str">
        <f>IFERROR(VLOOKUP($G798,'321買'!$A:$E,5,0),"'沒有資料'")</f>
        <v>'沒有資料'</v>
      </c>
      <c r="U798" s="186">
        <f>IFERROR(VLOOKUP($G798,基本資料!$A:$J,9,0),"無")</f>
        <v>1.5</v>
      </c>
      <c r="V798" s="310">
        <f t="shared" si="162"/>
        <v>3.1847133757961783E-2</v>
      </c>
      <c r="W798" s="94">
        <f>IFERROR(VLOOKUP($G798,基本資料!$A:$J,10,0),"無")</f>
        <v>1.79</v>
      </c>
      <c r="X798" s="36">
        <f>RTD("money.excel",,"6680","Price")</f>
        <v>47.1</v>
      </c>
      <c r="Y798" s="66"/>
      <c r="Z798" s="15">
        <f t="shared" si="165"/>
        <v>47.1</v>
      </c>
      <c r="AA798" s="3" t="e">
        <f t="shared" si="166"/>
        <v>#DIV/0!</v>
      </c>
      <c r="AB798" s="344">
        <f>IFERROR(VLOOKUP($G798,基本資料!$A:$M,11,0),"無")</f>
        <v>-16.95</v>
      </c>
      <c r="AC798" s="397">
        <f>IFERROR(VLOOKUP($G798,基本資料!$A:$M,12,0),"無")</f>
        <v>77.5</v>
      </c>
      <c r="AD798" s="16" t="s">
        <v>4113</v>
      </c>
      <c r="AG798" s="33">
        <f t="shared" si="167"/>
        <v>0</v>
      </c>
      <c r="AH798" s="43" t="s">
        <v>4114</v>
      </c>
      <c r="AI798" s="63">
        <f t="shared" si="168"/>
        <v>1.0810810810810811E-4</v>
      </c>
      <c r="AJ798" s="284">
        <f>RTD("money.excel",,$G798,"PredictVolume")</f>
        <v>2</v>
      </c>
      <c r="AK798" s="399">
        <f>IFERROR(VLOOKUP($G798,基本資料!$A:$M,13,0),"無")</f>
        <v>0.17</v>
      </c>
    </row>
    <row r="799" spans="1:37">
      <c r="A799" s="347">
        <f>IFERROR(VLOOKUP($G799,基本資料!$A:$J,3,0),"無")</f>
        <v>17.7</v>
      </c>
      <c r="B799" s="79">
        <f>IFERROR(VLOOKUP($G799,基本資料!$A:$J,4,0),"無")</f>
        <v>265</v>
      </c>
      <c r="C799" s="79">
        <f>IFERROR(VLOOKUP($G799,基本資料!$A:$J,5,0),"無")</f>
        <v>493</v>
      </c>
      <c r="D799" s="79">
        <f>IFERROR(VLOOKUP($G799,基本資料!$A:$J,6,0),"無")</f>
        <v>83</v>
      </c>
      <c r="E799" s="79">
        <f>IFERROR(VLOOKUP($G799,基本資料!$A:$J,7,0),"無")</f>
        <v>69</v>
      </c>
      <c r="F799" s="6">
        <f>IFERROR(VLOOKUP($G799,基本資料!$A:$J,8,0),"無")</f>
        <v>2.74</v>
      </c>
      <c r="G799" s="79">
        <v>8050</v>
      </c>
      <c r="H799" s="145" t="s">
        <v>1146</v>
      </c>
      <c r="I799" s="16" t="s">
        <v>4115</v>
      </c>
      <c r="J799" s="8" t="str">
        <f>IFERROR(VLOOKUP($G799,今日總結!$A:$AJ,35,0),"")</f>
        <v/>
      </c>
      <c r="K799" s="5" t="str">
        <f>IFERROR(VLOOKUP($G799,今日總結!$A:$AJ,36,0),"")</f>
        <v/>
      </c>
      <c r="L799" s="156" t="str">
        <f>IFERROR(VLOOKUP($G799,今日總結!$A:$AJ,33,0),"")</f>
        <v/>
      </c>
      <c r="M799" s="340" t="str">
        <f>IFERROR(VLOOKUP($G799,今日總結!$A:$AJ,34,0),"")</f>
        <v/>
      </c>
      <c r="N799" s="240" t="str">
        <f t="shared" si="164"/>
        <v/>
      </c>
      <c r="P799" s="365">
        <f>IFERROR(VLOOKUP($G799,融外自投!$A:$J,7,0),"無")</f>
        <v>719</v>
      </c>
      <c r="Q799" s="79">
        <f>IFERROR(VLOOKUP($G799,融外自投!$A:$J,9,0),"無")</f>
        <v>896</v>
      </c>
      <c r="R799" s="346">
        <f>IFERROR(VLOOKUP($G799,融外自投!$A:$J,8,0),"無")</f>
        <v>777</v>
      </c>
      <c r="S799" s="81" t="str">
        <f>IFERROR(VLOOKUP($G799,融外自投!$A:$J,10,0),"無")</f>
        <v>無</v>
      </c>
      <c r="T799" s="327">
        <f>IFERROR(VLOOKUP($G799,'321買'!$A:$E,5,0),"'沒有資料'")</f>
        <v>606</v>
      </c>
      <c r="U799" s="186">
        <f>IFERROR(VLOOKUP($G799,基本資料!$A:$J,9,0),"無")</f>
        <v>2.1800000000000002</v>
      </c>
      <c r="V799" s="310">
        <f t="shared" si="162"/>
        <v>4.7237269772481043E-2</v>
      </c>
      <c r="W799" s="94">
        <f>IFERROR(VLOOKUP($G799,基本資料!$A:$J,10,0),"無")</f>
        <v>2.69</v>
      </c>
      <c r="X799" s="36">
        <f>RTD("money.excel",,"8050","Price")</f>
        <v>46.15</v>
      </c>
      <c r="Y799" s="66"/>
      <c r="Z799" s="15">
        <f t="shared" si="165"/>
        <v>46.15</v>
      </c>
      <c r="AA799" s="3" t="e">
        <f t="shared" si="166"/>
        <v>#DIV/0!</v>
      </c>
      <c r="AB799" s="344">
        <f>IFERROR(VLOOKUP($G799,基本資料!$A:$M,11,0),"無")</f>
        <v>-8.52</v>
      </c>
      <c r="AC799" s="397">
        <f>IFERROR(VLOOKUP($G799,基本資料!$A:$M,12,0),"無")</f>
        <v>75.45</v>
      </c>
      <c r="AD799" s="16" t="s">
        <v>4115</v>
      </c>
      <c r="AG799" s="33">
        <f t="shared" si="167"/>
        <v>0</v>
      </c>
      <c r="AH799" s="117" t="s">
        <v>2233</v>
      </c>
      <c r="AI799" s="63">
        <f t="shared" si="168"/>
        <v>1.1819209039548022E-2</v>
      </c>
      <c r="AJ799" s="284">
        <f>RTD("money.excel",,$G799,"PredictVolume")</f>
        <v>2092</v>
      </c>
      <c r="AK799" s="399">
        <f>IFERROR(VLOOKUP($G799,基本資料!$A:$M,13,0),"無")</f>
        <v>3.47</v>
      </c>
    </row>
    <row r="800" spans="1:37">
      <c r="A800" s="347">
        <f>IFERROR(VLOOKUP($G800,基本資料!$A:$J,3,0),"無")</f>
        <v>27.75</v>
      </c>
      <c r="B800" s="79">
        <f>IFERROR(VLOOKUP($G800,基本資料!$A:$J,4,0),"無")</f>
        <v>267</v>
      </c>
      <c r="C800" s="79">
        <f>IFERROR(VLOOKUP($G800,基本資料!$A:$J,5,0),"無")</f>
        <v>447</v>
      </c>
      <c r="D800" s="79">
        <f>IFERROR(VLOOKUP($G800,基本資料!$A:$J,6,0),"無")</f>
        <v>13</v>
      </c>
      <c r="E800" s="79">
        <f>IFERROR(VLOOKUP($G800,基本資料!$A:$J,7,0),"無")</f>
        <v>-5</v>
      </c>
      <c r="F800" s="6">
        <f>IFERROR(VLOOKUP($G800,基本資料!$A:$J,8,0),"無")</f>
        <v>5.38</v>
      </c>
      <c r="G800" s="79">
        <v>8076</v>
      </c>
      <c r="H800" s="145" t="s">
        <v>1146</v>
      </c>
      <c r="I800" s="16" t="s">
        <v>4116</v>
      </c>
      <c r="J800" s="8">
        <f>IFERROR(VLOOKUP($G800,今日總結!$A:$AJ,35,0),"")</f>
        <v>0</v>
      </c>
      <c r="K800" s="5">
        <f>IFERROR(VLOOKUP($G800,今日總結!$A:$AJ,36,0),"")</f>
        <v>0</v>
      </c>
      <c r="L800" s="156">
        <f>IFERROR(VLOOKUP($G800,今日總結!$A:$AJ,33,0),"")</f>
        <v>0</v>
      </c>
      <c r="M800" s="340">
        <f>IFERROR(VLOOKUP($G800,今日總結!$A:$AJ,34,0),"")</f>
        <v>1</v>
      </c>
      <c r="N800" s="240">
        <f t="shared" si="164"/>
        <v>-1</v>
      </c>
      <c r="P800" s="365">
        <f>IFERROR(VLOOKUP($G800,融外自投!$A:$J,7,0),"無")</f>
        <v>482</v>
      </c>
      <c r="Q800" s="79">
        <f>IFERROR(VLOOKUP($G800,融外自投!$A:$J,9,0),"無")</f>
        <v>266</v>
      </c>
      <c r="R800" s="346">
        <f>IFERROR(VLOOKUP($G800,融外自投!$A:$J,8,0),"無")</f>
        <v>882</v>
      </c>
      <c r="S800" s="81" t="str">
        <f>IFERROR(VLOOKUP($G800,融外自投!$A:$J,10,0),"無")</f>
        <v>無</v>
      </c>
      <c r="T800" s="327">
        <f>IFERROR(VLOOKUP($G800,'321買'!$A:$E,5,0),"'沒有資料'")</f>
        <v>1066</v>
      </c>
      <c r="U800" s="186">
        <f>IFERROR(VLOOKUP($G800,基本資料!$A:$J,9,0),"無")</f>
        <v>0</v>
      </c>
      <c r="V800" s="310">
        <f t="shared" si="162"/>
        <v>0</v>
      </c>
      <c r="W800" s="94">
        <f>IFERROR(VLOOKUP($G800,基本資料!$A:$J,10,0),"無")</f>
        <v>0.55000000000000004</v>
      </c>
      <c r="X800" s="36">
        <f>RTD("money.excel",,"8076","Price")</f>
        <v>27.15</v>
      </c>
      <c r="Y800" s="66"/>
      <c r="Z800" s="15">
        <f t="shared" si="165"/>
        <v>27.15</v>
      </c>
      <c r="AA800" s="3" t="e">
        <f t="shared" si="166"/>
        <v>#DIV/0!</v>
      </c>
      <c r="AB800" s="344">
        <f>IFERROR(VLOOKUP($G800,基本資料!$A:$M,11,0),"無")</f>
        <v>-36.020000000000003</v>
      </c>
      <c r="AC800" s="397">
        <f>IFERROR(VLOOKUP($G800,基本資料!$A:$M,12,0),"無")</f>
        <v>9.2799999999999994</v>
      </c>
      <c r="AD800" s="16" t="s">
        <v>4116</v>
      </c>
      <c r="AG800" s="33">
        <f t="shared" si="167"/>
        <v>0</v>
      </c>
      <c r="AH800" s="117" t="s">
        <v>4117</v>
      </c>
      <c r="AI800" s="63">
        <f t="shared" si="168"/>
        <v>2.3999999999999998E-3</v>
      </c>
      <c r="AJ800" s="284">
        <f>RTD("money.excel",,$G800,"PredictVolume")</f>
        <v>666</v>
      </c>
      <c r="AK800" s="399">
        <f>IFERROR(VLOOKUP($G800,基本資料!$A:$M,13,0),"無")</f>
        <v>8.66</v>
      </c>
    </row>
    <row r="801" spans="1:37">
      <c r="A801" s="347">
        <f>IFERROR(VLOOKUP($G801,基本資料!$A:$J,3,0),"無")</f>
        <v>7.51</v>
      </c>
      <c r="B801" s="79">
        <f>IFERROR(VLOOKUP($G801,基本資料!$A:$J,4,0),"無")</f>
        <v>438</v>
      </c>
      <c r="C801" s="79">
        <f>IFERROR(VLOOKUP($G801,基本資料!$A:$J,5,0),"無")</f>
        <v>126</v>
      </c>
      <c r="D801" s="79">
        <f>IFERROR(VLOOKUP($G801,基本資料!$A:$J,6,0),"無")</f>
        <v>-21</v>
      </c>
      <c r="E801" s="79">
        <f>IFERROR(VLOOKUP($G801,基本資料!$A:$J,7,0),"無")</f>
        <v>32</v>
      </c>
      <c r="F801" s="6">
        <f>IFERROR(VLOOKUP($G801,基本資料!$A:$J,8,0),"無")</f>
        <v>11.47</v>
      </c>
      <c r="G801" s="79">
        <v>8114</v>
      </c>
      <c r="H801" s="46" t="s">
        <v>1146</v>
      </c>
      <c r="I801" s="22" t="s">
        <v>4118</v>
      </c>
      <c r="J801" s="8" t="str">
        <f>IFERROR(VLOOKUP($G801,今日總結!$A:$AJ,35,0),"")</f>
        <v/>
      </c>
      <c r="K801" s="5" t="str">
        <f>IFERROR(VLOOKUP($G801,今日總結!$A:$AJ,36,0),"")</f>
        <v/>
      </c>
      <c r="L801" s="156" t="str">
        <f>IFERROR(VLOOKUP($G801,今日總結!$A:$AJ,33,0),"")</f>
        <v/>
      </c>
      <c r="M801" s="340" t="str">
        <f>IFERROR(VLOOKUP($G801,今日總結!$A:$AJ,34,0),"")</f>
        <v/>
      </c>
      <c r="N801" s="240" t="str">
        <f t="shared" si="164"/>
        <v/>
      </c>
      <c r="P801" s="365">
        <f>IFERROR(VLOOKUP($G801,融外自投!$A:$J,7,0),"無")</f>
        <v>893</v>
      </c>
      <c r="Q801" s="79">
        <f>IFERROR(VLOOKUP($G801,融外自投!$A:$J,9,0),"無")</f>
        <v>708</v>
      </c>
      <c r="R801" s="346">
        <f>IFERROR(VLOOKUP($G801,融外自投!$A:$J,8,0),"無")</f>
        <v>484</v>
      </c>
      <c r="S801" s="81">
        <f>IFERROR(VLOOKUP($G801,融外自投!$A:$J,10,0),"無")</f>
        <v>110</v>
      </c>
      <c r="T801" s="327">
        <f>IFERROR(VLOOKUP($G801,'321買'!$A:$E,5,0),"'沒有資料'")</f>
        <v>480</v>
      </c>
      <c r="U801" s="186">
        <f>IFERROR(VLOOKUP($G801,基本資料!$A:$J,9,0),"無")</f>
        <v>4.5</v>
      </c>
      <c r="V801" s="310">
        <f t="shared" si="162"/>
        <v>4.3269230769230768E-2</v>
      </c>
      <c r="W801" s="94">
        <f>IFERROR(VLOOKUP($G801,基本資料!$A:$J,10,0),"無")</f>
        <v>6.21</v>
      </c>
      <c r="X801" s="36">
        <f>RTD("money.excel",,"8114","Price")</f>
        <v>104</v>
      </c>
      <c r="Y801" s="66"/>
      <c r="Z801" s="15">
        <f t="shared" si="165"/>
        <v>104</v>
      </c>
      <c r="AA801" s="3" t="e">
        <f t="shared" si="166"/>
        <v>#DIV/0!</v>
      </c>
      <c r="AB801" s="344">
        <f>IFERROR(VLOOKUP($G801,基本資料!$A:$M,11,0),"無")</f>
        <v>-17.95</v>
      </c>
      <c r="AC801" s="397">
        <f>IFERROR(VLOOKUP($G801,基本資料!$A:$M,12,0),"無")</f>
        <v>63.58</v>
      </c>
      <c r="AD801" s="22" t="s">
        <v>4118</v>
      </c>
      <c r="AG801" s="33">
        <f t="shared" si="167"/>
        <v>0</v>
      </c>
      <c r="AH801" s="43" t="s">
        <v>4095</v>
      </c>
      <c r="AI801" s="63">
        <f t="shared" si="168"/>
        <v>1.5326231691078562E-2</v>
      </c>
      <c r="AJ801" s="284">
        <f>RTD("money.excel",,$G801,"PredictVolume")</f>
        <v>1151</v>
      </c>
      <c r="AK801" s="399">
        <f>IFERROR(VLOOKUP($G801,基本資料!$A:$M,13,0),"無")</f>
        <v>7.88</v>
      </c>
    </row>
    <row r="802" spans="1:37">
      <c r="A802" s="347">
        <f>IFERROR(VLOOKUP($G802,基本資料!$A:$J,3,0),"無")</f>
        <v>28</v>
      </c>
      <c r="B802" s="79">
        <f>IFERROR(VLOOKUP($G802,基本資料!$A:$J,4,0),"無")</f>
        <v>36</v>
      </c>
      <c r="C802" s="79">
        <f>IFERROR(VLOOKUP($G802,基本資料!$A:$J,5,0),"無")</f>
        <v>31</v>
      </c>
      <c r="D802" s="79">
        <f>IFERROR(VLOOKUP($G802,基本資料!$A:$J,6,0),"無")</f>
        <v>-9</v>
      </c>
      <c r="E802" s="79">
        <f>IFERROR(VLOOKUP($G802,基本資料!$A:$J,7,0),"無")</f>
        <v>-1</v>
      </c>
      <c r="F802" s="6">
        <f>IFERROR(VLOOKUP($G802,基本資料!$A:$J,8,0),"無")</f>
        <v>5.31</v>
      </c>
      <c r="G802" s="79">
        <v>8163</v>
      </c>
      <c r="H802" s="46" t="s">
        <v>1146</v>
      </c>
      <c r="I802" s="22" t="s">
        <v>4119</v>
      </c>
      <c r="J802" s="8">
        <f>IFERROR(VLOOKUP($G802,今日總結!$A:$AJ,35,0),"")</f>
        <v>0</v>
      </c>
      <c r="K802" s="5" t="str">
        <f>IFERROR(VLOOKUP($G802,今日總結!$A:$AJ,36,0),"")</f>
        <v>外</v>
      </c>
      <c r="L802" s="156">
        <f>IFERROR(VLOOKUP($G802,今日總結!$A:$AJ,33,0),"")</f>
        <v>0</v>
      </c>
      <c r="M802" s="340">
        <f>IFERROR(VLOOKUP($G802,今日總結!$A:$AJ,34,0),"")</f>
        <v>2</v>
      </c>
      <c r="N802" s="240">
        <f t="shared" si="164"/>
        <v>-2</v>
      </c>
      <c r="P802" s="365">
        <f>IFERROR(VLOOKUP($G802,融外自投!$A:$J,7,0),"無")</f>
        <v>705</v>
      </c>
      <c r="Q802" s="79">
        <f>IFERROR(VLOOKUP($G802,融外自投!$A:$J,9,0),"無")</f>
        <v>370</v>
      </c>
      <c r="R802" s="346">
        <f>IFERROR(VLOOKUP($G802,融外自投!$A:$J,8,0),"無")</f>
        <v>399</v>
      </c>
      <c r="S802" s="81">
        <f>IFERROR(VLOOKUP($G802,融外自投!$A:$J,10,0),"無")</f>
        <v>407</v>
      </c>
      <c r="T802" s="327">
        <f>IFERROR(VLOOKUP($G802,'321買'!$A:$E,5,0),"'沒有資料'")</f>
        <v>558</v>
      </c>
      <c r="U802" s="186">
        <f>IFERROR(VLOOKUP($G802,基本資料!$A:$J,9,0),"無")</f>
        <v>3</v>
      </c>
      <c r="V802" s="310">
        <f t="shared" si="162"/>
        <v>7.0588235294117646E-2</v>
      </c>
      <c r="W802" s="94">
        <f>IFERROR(VLOOKUP($G802,基本資料!$A:$J,10,0),"無")</f>
        <v>4.09</v>
      </c>
      <c r="X802" s="36">
        <f>RTD("money.excel",,"8163","Price")</f>
        <v>42.5</v>
      </c>
      <c r="Y802" s="66"/>
      <c r="Z802" s="15">
        <f t="shared" si="165"/>
        <v>42.5</v>
      </c>
      <c r="AA802" s="3" t="e">
        <f t="shared" si="166"/>
        <v>#DIV/0!</v>
      </c>
      <c r="AB802" s="344">
        <f>IFERROR(VLOOKUP($G802,基本資料!$A:$M,11,0),"無")</f>
        <v>-16.829999999999998</v>
      </c>
      <c r="AC802" s="397">
        <f>IFERROR(VLOOKUP($G802,基本資料!$A:$M,12,0),"無")</f>
        <v>31.49</v>
      </c>
      <c r="AD802" s="22" t="s">
        <v>4119</v>
      </c>
      <c r="AG802" s="33">
        <f t="shared" si="167"/>
        <v>0</v>
      </c>
      <c r="AH802" s="117" t="s">
        <v>4120</v>
      </c>
      <c r="AI802" s="63">
        <f t="shared" si="168"/>
        <v>6.3857142857142854E-3</v>
      </c>
      <c r="AJ802" s="284">
        <f>RTD("money.excel",,$G802,"PredictVolume")</f>
        <v>1788</v>
      </c>
      <c r="AK802" s="399">
        <f>IFERROR(VLOOKUP($G802,基本資料!$A:$M,13,0),"無")</f>
        <v>8.2200000000000006</v>
      </c>
    </row>
    <row r="803" spans="1:37">
      <c r="A803" s="347">
        <f>IFERROR(VLOOKUP($G803,基本資料!$A:$J,3,0),"無")</f>
        <v>12.07</v>
      </c>
      <c r="B803" s="79">
        <f>IFERROR(VLOOKUP($G803,基本資料!$A:$J,4,0),"無")</f>
        <v>-30</v>
      </c>
      <c r="C803" s="79">
        <f>IFERROR(VLOOKUP($G803,基本資料!$A:$J,5,0),"無")</f>
        <v>-8</v>
      </c>
      <c r="D803" s="79">
        <f>IFERROR(VLOOKUP($G803,基本資料!$A:$J,6,0),"無")</f>
        <v>51</v>
      </c>
      <c r="E803" s="79">
        <f>IFERROR(VLOOKUP($G803,基本資料!$A:$J,7,0),"無")</f>
        <v>1</v>
      </c>
      <c r="F803" s="6">
        <f>IFERROR(VLOOKUP($G803,基本資料!$A:$J,8,0),"無")</f>
        <v>9.36</v>
      </c>
      <c r="G803" s="79">
        <v>8210</v>
      </c>
      <c r="H803" s="192" t="s">
        <v>1146</v>
      </c>
      <c r="I803" s="22" t="s">
        <v>4121</v>
      </c>
      <c r="J803" s="8" t="str">
        <f>IFERROR(VLOOKUP($G803,今日總結!$A:$AJ,35,0),"")</f>
        <v/>
      </c>
      <c r="K803" s="5" t="str">
        <f>IFERROR(VLOOKUP($G803,今日總結!$A:$AJ,36,0),"")</f>
        <v/>
      </c>
      <c r="L803" s="156" t="str">
        <f>IFERROR(VLOOKUP($G803,今日總結!$A:$AJ,33,0),"")</f>
        <v/>
      </c>
      <c r="M803" s="340" t="str">
        <f>IFERROR(VLOOKUP($G803,今日總結!$A:$AJ,34,0),"")</f>
        <v/>
      </c>
      <c r="N803" s="240" t="str">
        <f t="shared" si="164"/>
        <v/>
      </c>
      <c r="P803" s="365">
        <f>IFERROR(VLOOKUP($G803,融外自投!$A:$J,7,0),"無")</f>
        <v>883</v>
      </c>
      <c r="Q803" s="79">
        <f>IFERROR(VLOOKUP($G803,融外自投!$A:$J,9,0),"無")</f>
        <v>514</v>
      </c>
      <c r="R803" s="346">
        <f>IFERROR(VLOOKUP($G803,融外自投!$A:$J,8,0),"無")</f>
        <v>639</v>
      </c>
      <c r="S803" s="81">
        <f>IFERROR(VLOOKUP($G803,融外自投!$A:$J,10,0),"無")</f>
        <v>416</v>
      </c>
      <c r="T803" s="327">
        <f>IFERROR(VLOOKUP($G803,'321買'!$A:$E,5,0),"'沒有資料'")</f>
        <v>150</v>
      </c>
      <c r="U803" s="186">
        <f>IFERROR(VLOOKUP($G803,基本資料!$A:$J,9,0),"無")</f>
        <v>3</v>
      </c>
      <c r="V803" s="310">
        <f t="shared" si="162"/>
        <v>4.6153846153846156E-2</v>
      </c>
      <c r="W803" s="94">
        <f>IFERROR(VLOOKUP($G803,基本資料!$A:$J,10,0),"無")</f>
        <v>5.62</v>
      </c>
      <c r="X803" s="36">
        <f>RTD("money.excel",,"8210","Price")</f>
        <v>65</v>
      </c>
      <c r="Y803" s="66"/>
      <c r="Z803" s="15">
        <f t="shared" si="165"/>
        <v>65</v>
      </c>
      <c r="AA803" s="3" t="e">
        <f t="shared" si="166"/>
        <v>#DIV/0!</v>
      </c>
      <c r="AB803" s="344">
        <f>IFERROR(VLOOKUP($G803,基本資料!$A:$M,11,0),"無")</f>
        <v>-29.44</v>
      </c>
      <c r="AC803" s="397">
        <f>IFERROR(VLOOKUP($G803,基本資料!$A:$M,12,0),"無")</f>
        <v>10.61</v>
      </c>
      <c r="AD803" s="22" t="s">
        <v>4121</v>
      </c>
      <c r="AG803" s="33">
        <f t="shared" si="167"/>
        <v>0</v>
      </c>
      <c r="AH803" s="43" t="s">
        <v>2217</v>
      </c>
      <c r="AI803" s="63">
        <f t="shared" si="168"/>
        <v>1.4664457332228666E-3</v>
      </c>
      <c r="AJ803" s="284">
        <f>RTD("money.excel",,$G803,"PredictVolume")</f>
        <v>177</v>
      </c>
      <c r="AK803" s="399">
        <f>IFERROR(VLOOKUP($G803,基本資料!$A:$M,13,0),"無")</f>
        <v>4.74</v>
      </c>
    </row>
    <row r="804" spans="1:37">
      <c r="A804" s="347">
        <f>IFERROR(VLOOKUP($G804,基本資料!$A:$J,3,0),"無")</f>
        <v>14.12</v>
      </c>
      <c r="B804" s="79">
        <f>IFERROR(VLOOKUP($G804,基本資料!$A:$J,4,0),"無")</f>
        <v>-3</v>
      </c>
      <c r="C804" s="79">
        <f>IFERROR(VLOOKUP($G804,基本資料!$A:$J,5,0),"無")</f>
        <v>-15</v>
      </c>
      <c r="D804" s="79">
        <f>IFERROR(VLOOKUP($G804,基本資料!$A:$J,6,0),"無")</f>
        <v>-10</v>
      </c>
      <c r="E804" s="79">
        <f>IFERROR(VLOOKUP($G804,基本資料!$A:$J,7,0),"無")</f>
        <v>49</v>
      </c>
      <c r="F804" s="6">
        <f>IFERROR(VLOOKUP($G804,基本資料!$A:$J,8,0),"無")</f>
        <v>2.6</v>
      </c>
      <c r="G804" s="79">
        <v>8234</v>
      </c>
      <c r="H804" s="145" t="s">
        <v>1146</v>
      </c>
      <c r="I804" s="16" t="s">
        <v>4122</v>
      </c>
      <c r="J804" s="8" t="str">
        <f>IFERROR(VLOOKUP($G804,今日總結!$A:$AJ,35,0),"")</f>
        <v/>
      </c>
      <c r="K804" s="5" t="str">
        <f>IFERROR(VLOOKUP($G804,今日總結!$A:$AJ,36,0),"")</f>
        <v/>
      </c>
      <c r="L804" s="156" t="str">
        <f>IFERROR(VLOOKUP($G804,今日總結!$A:$AJ,33,0),"")</f>
        <v/>
      </c>
      <c r="M804" s="340" t="str">
        <f>IFERROR(VLOOKUP($G804,今日總結!$A:$AJ,34,0),"")</f>
        <v/>
      </c>
      <c r="N804" s="240" t="str">
        <f t="shared" si="164"/>
        <v/>
      </c>
      <c r="P804" s="365">
        <f>IFERROR(VLOOKUP($G804,融外自投!$A:$J,7,0),"無")</f>
        <v>1022</v>
      </c>
      <c r="Q804" s="79">
        <f>IFERROR(VLOOKUP($G804,融外自投!$A:$J,9,0),"無")</f>
        <v>598</v>
      </c>
      <c r="R804" s="346">
        <f>IFERROR(VLOOKUP($G804,融外自投!$A:$J,8,0),"無")</f>
        <v>937</v>
      </c>
      <c r="S804" s="81" t="str">
        <f>IFERROR(VLOOKUP($G804,融外自投!$A:$J,10,0),"無")</f>
        <v>無</v>
      </c>
      <c r="T804" s="327">
        <f>IFERROR(VLOOKUP($G804,'321買'!$A:$E,5,0),"'沒有資料'")</f>
        <v>1214</v>
      </c>
      <c r="U804" s="186">
        <f>IFERROR(VLOOKUP($G804,基本資料!$A:$J,9,0),"無")</f>
        <v>1</v>
      </c>
      <c r="V804" s="310">
        <f t="shared" si="162"/>
        <v>4.2553191489361701E-2</v>
      </c>
      <c r="W804" s="94">
        <f>IFERROR(VLOOKUP($G804,基本資料!$A:$J,10,0),"無")</f>
        <v>1</v>
      </c>
      <c r="X804" s="36">
        <f>RTD("money.excel",,"8234","Price")</f>
        <v>23.5</v>
      </c>
      <c r="Y804" s="66"/>
      <c r="Z804" s="15">
        <f t="shared" si="165"/>
        <v>23.5</v>
      </c>
      <c r="AA804" s="3" t="e">
        <f t="shared" si="166"/>
        <v>#DIV/0!</v>
      </c>
      <c r="AB804" s="344">
        <f>IFERROR(VLOOKUP($G804,基本資料!$A:$M,11,0),"無")</f>
        <v>-17.440000000000001</v>
      </c>
      <c r="AC804" s="397">
        <f>IFERROR(VLOOKUP($G804,基本資料!$A:$M,12,0),"無")</f>
        <v>58.88</v>
      </c>
      <c r="AD804" s="16" t="s">
        <v>4122</v>
      </c>
      <c r="AG804" s="33">
        <f t="shared" si="167"/>
        <v>0</v>
      </c>
      <c r="AH804" s="117" t="s">
        <v>2233</v>
      </c>
      <c r="AI804" s="63">
        <f t="shared" si="168"/>
        <v>6.5155807365439096E-4</v>
      </c>
      <c r="AJ804" s="284">
        <f>RTD("money.excel",,$G804,"PredictVolume")</f>
        <v>92</v>
      </c>
      <c r="AK804" s="399">
        <f>IFERROR(VLOOKUP($G804,基本資料!$A:$M,13,0),"無")</f>
        <v>4.41</v>
      </c>
    </row>
    <row r="805" spans="1:37">
      <c r="A805" s="347">
        <f>IFERROR(VLOOKUP($G805,基本資料!$A:$J,3,0),"無")</f>
        <v>3.65</v>
      </c>
      <c r="B805" s="79">
        <f>IFERROR(VLOOKUP($G805,基本資料!$A:$J,4,0),"無")</f>
        <v>-74</v>
      </c>
      <c r="C805" s="79">
        <f>IFERROR(VLOOKUP($G805,基本資料!$A:$J,5,0),"無")</f>
        <v>-75</v>
      </c>
      <c r="D805" s="79">
        <f>IFERROR(VLOOKUP($G805,基本資料!$A:$J,6,0),"無")</f>
        <v>-24</v>
      </c>
      <c r="E805" s="79">
        <f>IFERROR(VLOOKUP($G805,基本資料!$A:$J,7,0),"無")</f>
        <v>-19</v>
      </c>
      <c r="F805" s="6">
        <f>IFERROR(VLOOKUP($G805,基本資料!$A:$J,8,0),"無")</f>
        <v>5.46</v>
      </c>
      <c r="G805" s="79">
        <v>8410</v>
      </c>
      <c r="H805" s="145" t="s">
        <v>1146</v>
      </c>
      <c r="I805" s="16" t="s">
        <v>4123</v>
      </c>
      <c r="J805" s="8" t="str">
        <f>IFERROR(VLOOKUP($G805,今日總結!$A:$AJ,35,0),"")</f>
        <v/>
      </c>
      <c r="K805" s="5" t="str">
        <f>IFERROR(VLOOKUP($G805,今日總結!$A:$AJ,36,0),"")</f>
        <v/>
      </c>
      <c r="L805" s="156" t="str">
        <f>IFERROR(VLOOKUP($G805,今日總結!$A:$AJ,33,0),"")</f>
        <v/>
      </c>
      <c r="M805" s="340" t="str">
        <f>IFERROR(VLOOKUP($G805,今日總結!$A:$AJ,34,0),"")</f>
        <v/>
      </c>
      <c r="N805" s="240" t="str">
        <f t="shared" si="164"/>
        <v/>
      </c>
      <c r="P805" s="365">
        <f>IFERROR(VLOOKUP($G805,融外自投!$A:$J,7,0),"無")</f>
        <v>993</v>
      </c>
      <c r="Q805" s="79" t="str">
        <f>IFERROR(VLOOKUP($G805,融外自投!$A:$J,9,0),"無")</f>
        <v>無</v>
      </c>
      <c r="R805" s="346">
        <f>IFERROR(VLOOKUP($G805,融外自投!$A:$J,8,0),"無")</f>
        <v>1266</v>
      </c>
      <c r="S805" s="81" t="str">
        <f>IFERROR(VLOOKUP($G805,融外自投!$A:$J,10,0),"無")</f>
        <v>無</v>
      </c>
      <c r="T805" s="327">
        <f>IFERROR(VLOOKUP($G805,'321買'!$A:$E,5,0),"'沒有資料'")</f>
        <v>1099</v>
      </c>
      <c r="U805" s="186">
        <f>IFERROR(VLOOKUP($G805,基本資料!$A:$J,9,0),"無")</f>
        <v>0.6</v>
      </c>
      <c r="V805" s="310">
        <f t="shared" si="162"/>
        <v>2.0833333333333332E-2</v>
      </c>
      <c r="W805" s="94">
        <f>IFERROR(VLOOKUP($G805,基本資料!$A:$J,10,0),"無")</f>
        <v>1.1399999999999999</v>
      </c>
      <c r="X805" s="36">
        <f>RTD("money.excel",,"8410","Price")</f>
        <v>28.8</v>
      </c>
      <c r="Y805" s="66"/>
      <c r="Z805" s="15">
        <f t="shared" si="165"/>
        <v>28.8</v>
      </c>
      <c r="AA805" s="3" t="e">
        <f t="shared" si="166"/>
        <v>#DIV/0!</v>
      </c>
      <c r="AB805" s="344">
        <f>IFERROR(VLOOKUP($G805,基本資料!$A:$M,11,0),"無")</f>
        <v>-33.79</v>
      </c>
      <c r="AC805" s="397">
        <f>IFERROR(VLOOKUP($G805,基本資料!$A:$M,12,0),"無")</f>
        <v>12.23</v>
      </c>
      <c r="AD805" s="16" t="s">
        <v>4123</v>
      </c>
      <c r="AG805" s="33">
        <f t="shared" si="167"/>
        <v>0</v>
      </c>
      <c r="AH805" s="43" t="s">
        <v>4124</v>
      </c>
      <c r="AI805" s="63">
        <f t="shared" si="168"/>
        <v>2.4657534246575342E-4</v>
      </c>
      <c r="AJ805" s="284">
        <f>RTD("money.excel",,$G805,"PredictVolume")</f>
        <v>9</v>
      </c>
      <c r="AK805" s="399">
        <f>IFERROR(VLOOKUP($G805,基本資料!$A:$M,13,0),"無")</f>
        <v>2.16</v>
      </c>
    </row>
    <row r="806" spans="1:37">
      <c r="A806" s="347">
        <f>IFERROR(VLOOKUP($G806,基本資料!$A:$J,3,0),"無")</f>
        <v>5.45</v>
      </c>
      <c r="B806" s="79">
        <f>IFERROR(VLOOKUP($G806,基本資料!$A:$J,4,0),"無")</f>
        <v>147</v>
      </c>
      <c r="C806" s="79">
        <f>IFERROR(VLOOKUP($G806,基本資料!$A:$J,5,0),"無")</f>
        <v>194</v>
      </c>
      <c r="D806" s="79">
        <f>IFERROR(VLOOKUP($G806,基本資料!$A:$J,6,0),"無")</f>
        <v>52</v>
      </c>
      <c r="E806" s="79">
        <f>IFERROR(VLOOKUP($G806,基本資料!$A:$J,7,0),"無")</f>
        <v>31</v>
      </c>
      <c r="F806" s="6">
        <f>IFERROR(VLOOKUP($G806,基本資料!$A:$J,8,0),"無")</f>
        <v>2.2000000000000002</v>
      </c>
      <c r="G806" s="79">
        <v>9912</v>
      </c>
      <c r="H806" s="192" t="s">
        <v>1146</v>
      </c>
      <c r="I806" s="22" t="s">
        <v>4125</v>
      </c>
      <c r="J806" s="8" t="str">
        <f>IFERROR(VLOOKUP($G806,今日總結!$A:$AJ,35,0),"")</f>
        <v/>
      </c>
      <c r="K806" s="5" t="str">
        <f>IFERROR(VLOOKUP($G806,今日總結!$A:$AJ,36,0),"")</f>
        <v/>
      </c>
      <c r="L806" s="156" t="str">
        <f>IFERROR(VLOOKUP($G806,今日總結!$A:$AJ,33,0),"")</f>
        <v/>
      </c>
      <c r="M806" s="340" t="str">
        <f>IFERROR(VLOOKUP($G806,今日總結!$A:$AJ,34,0),"")</f>
        <v/>
      </c>
      <c r="N806" s="240" t="str">
        <f t="shared" si="164"/>
        <v/>
      </c>
      <c r="P806" s="365" t="str">
        <f>IFERROR(VLOOKUP($G806,融外自投!$A:$J,7,0),"無")</f>
        <v>無</v>
      </c>
      <c r="Q806" s="79" t="str">
        <f>IFERROR(VLOOKUP($G806,融外自投!$A:$J,9,0),"無")</f>
        <v>無</v>
      </c>
      <c r="R806" s="346" t="str">
        <f>IFERROR(VLOOKUP($G806,融外自投!$A:$J,8,0),"無")</f>
        <v>無</v>
      </c>
      <c r="S806" s="81" t="str">
        <f>IFERROR(VLOOKUP($G806,融外自投!$A:$J,10,0),"無")</f>
        <v>無</v>
      </c>
      <c r="T806" s="327" t="str">
        <f>IFERROR(VLOOKUP($G806,'321買'!$A:$E,5,0),"'沒有資料'")</f>
        <v>'沒有資料'</v>
      </c>
      <c r="U806" s="186">
        <f>IFERROR(VLOOKUP($G806,基本資料!$A:$J,9,0),"無")</f>
        <v>0</v>
      </c>
      <c r="V806" s="310">
        <f t="shared" si="162"/>
        <v>0</v>
      </c>
      <c r="W806" s="94">
        <f>IFERROR(VLOOKUP($G806,基本資料!$A:$J,10,0),"無")</f>
        <v>0.37</v>
      </c>
      <c r="X806" s="36">
        <f>RTD("money.excel",,"9912","Price")</f>
        <v>9</v>
      </c>
      <c r="Y806" s="66"/>
      <c r="Z806" s="15">
        <f t="shared" si="165"/>
        <v>9</v>
      </c>
      <c r="AA806" s="3" t="e">
        <f t="shared" si="166"/>
        <v>#DIV/0!</v>
      </c>
      <c r="AB806" s="344">
        <f>IFERROR(VLOOKUP($G806,基本資料!$A:$M,11,0),"無")</f>
        <v>-15.4</v>
      </c>
      <c r="AC806" s="397">
        <f>IFERROR(VLOOKUP($G806,基本資料!$A:$M,12,0),"無")</f>
        <v>27.1</v>
      </c>
      <c r="AD806" s="22" t="s">
        <v>4125</v>
      </c>
      <c r="AG806" s="33">
        <f t="shared" si="167"/>
        <v>0</v>
      </c>
      <c r="AH806" s="43" t="s">
        <v>4126</v>
      </c>
      <c r="AI806" s="63">
        <f t="shared" si="168"/>
        <v>5.3211009174311931E-4</v>
      </c>
      <c r="AJ806" s="284">
        <f>RTD("money.excel",,$G806,"PredictVolume")</f>
        <v>29</v>
      </c>
      <c r="AK806" s="399">
        <f>IFERROR(VLOOKUP($G806,基本資料!$A:$M,13,0),"無")</f>
        <v>1.73</v>
      </c>
    </row>
    <row r="807" spans="1:37">
      <c r="A807" s="142"/>
      <c r="B807" s="90"/>
      <c r="C807" s="90"/>
      <c r="D807" s="90"/>
      <c r="E807" s="90"/>
      <c r="F807" s="6"/>
      <c r="G807" s="79"/>
      <c r="H807" s="192"/>
      <c r="I807" s="22"/>
      <c r="L807" s="2"/>
      <c r="S807" s="81"/>
      <c r="T807" s="327"/>
      <c r="U807" s="34"/>
      <c r="V807" s="310"/>
      <c r="W807" s="94"/>
      <c r="X807" s="36"/>
      <c r="Y807" s="66"/>
      <c r="Z807" s="15"/>
      <c r="AA807" s="3"/>
      <c r="AD807" s="22"/>
      <c r="AG807" s="33"/>
      <c r="AH807" s="43"/>
      <c r="AI807" s="63"/>
      <c r="AJ807" s="284"/>
    </row>
    <row r="808" spans="1:37">
      <c r="A808" s="127" t="s">
        <v>3876</v>
      </c>
      <c r="B808" s="90" t="s">
        <v>3877</v>
      </c>
      <c r="C808" s="90" t="s">
        <v>3878</v>
      </c>
      <c r="D808" s="90" t="s">
        <v>3879</v>
      </c>
      <c r="E808" s="90" t="s">
        <v>3880</v>
      </c>
      <c r="F808" s="8" t="s">
        <v>3881</v>
      </c>
      <c r="G808" s="27" t="s">
        <v>428</v>
      </c>
      <c r="H808" s="55" t="s">
        <v>320</v>
      </c>
      <c r="I808" s="8" t="s">
        <v>4127</v>
      </c>
      <c r="J808" s="8" t="s">
        <v>6221</v>
      </c>
      <c r="K808" s="5" t="s">
        <v>6222</v>
      </c>
      <c r="L808" s="337" t="s">
        <v>6206</v>
      </c>
      <c r="M808" s="338" t="s">
        <v>6207</v>
      </c>
      <c r="N808" s="339" t="s">
        <v>6208</v>
      </c>
      <c r="O808" s="4" t="s">
        <v>6713</v>
      </c>
      <c r="P808" s="89" t="s">
        <v>6285</v>
      </c>
      <c r="Q808" s="293" t="s">
        <v>6284</v>
      </c>
      <c r="R808" s="354" t="s">
        <v>6283</v>
      </c>
      <c r="S808" s="26" t="s">
        <v>6286</v>
      </c>
      <c r="T808" s="321" t="s">
        <v>4716</v>
      </c>
      <c r="U808" s="10" t="s">
        <v>3884</v>
      </c>
      <c r="V808" s="308" t="s">
        <v>4731</v>
      </c>
      <c r="W808" s="68" t="s">
        <v>3273</v>
      </c>
      <c r="X808" s="28" t="s">
        <v>2</v>
      </c>
      <c r="Y808" s="17" t="s">
        <v>3885</v>
      </c>
      <c r="Z808" s="14" t="s">
        <v>3886</v>
      </c>
      <c r="AA808" s="21" t="s">
        <v>3887</v>
      </c>
      <c r="AB808" s="96" t="s">
        <v>6174</v>
      </c>
      <c r="AC808" s="384" t="s">
        <v>6420</v>
      </c>
      <c r="AD808" s="8" t="s">
        <v>4127</v>
      </c>
      <c r="AE808" s="71" t="s">
        <v>3888</v>
      </c>
      <c r="AF808" s="72" t="s">
        <v>3889</v>
      </c>
      <c r="AG808" s="32" t="s">
        <v>3890</v>
      </c>
      <c r="AH808" s="25" t="s">
        <v>6209</v>
      </c>
      <c r="AI808" s="8" t="s">
        <v>6731</v>
      </c>
      <c r="AJ808" s="50" t="s">
        <v>3361</v>
      </c>
      <c r="AK808" s="44" t="s">
        <v>6730</v>
      </c>
    </row>
    <row r="809" spans="1:37">
      <c r="A809" s="347">
        <f>IFERROR(VLOOKUP($G809,基本資料!$A:$J,3,0),"無")</f>
        <v>115</v>
      </c>
      <c r="B809" s="79">
        <f>IFERROR(VLOOKUP($G809,基本資料!$A:$J,4,0),"無")</f>
        <v>5</v>
      </c>
      <c r="C809" s="79">
        <f>IFERROR(VLOOKUP($G809,基本資料!$A:$J,5,0),"無")</f>
        <v>44</v>
      </c>
      <c r="D809" s="79">
        <f>IFERROR(VLOOKUP($G809,基本資料!$A:$J,6,0),"無")</f>
        <v>6</v>
      </c>
      <c r="E809" s="79">
        <f>IFERROR(VLOOKUP($G809,基本資料!$A:$J,7,0),"無")</f>
        <v>-12</v>
      </c>
      <c r="F809" s="6">
        <f>IFERROR(VLOOKUP($G809,基本資料!$A:$J,8,0),"無")</f>
        <v>-1.49</v>
      </c>
      <c r="G809" s="79">
        <v>2323</v>
      </c>
      <c r="H809" s="8" t="s">
        <v>1878</v>
      </c>
      <c r="I809" s="22" t="s">
        <v>4128</v>
      </c>
      <c r="J809" s="8" t="str">
        <f>IFERROR(VLOOKUP($G809,今日總結!$A:$AJ,35,0),"")</f>
        <v/>
      </c>
      <c r="K809" s="5" t="str">
        <f>IFERROR(VLOOKUP($G809,今日總結!$A:$AJ,36,0),"")</f>
        <v/>
      </c>
      <c r="L809" s="156" t="str">
        <f>IFERROR(VLOOKUP($G809,今日總結!$A:$AJ,33,0),"")</f>
        <v/>
      </c>
      <c r="M809" s="340" t="str">
        <f>IFERROR(VLOOKUP($G809,今日總結!$A:$AJ,34,0),"")</f>
        <v/>
      </c>
      <c r="N809" s="240" t="str">
        <f t="shared" ref="N809" si="169">IFERROR(L809-M809,"")</f>
        <v/>
      </c>
      <c r="P809" s="365">
        <f>IFERROR(VLOOKUP($G809,融外自投!$A:$J,7,0),"無")</f>
        <v>327</v>
      </c>
      <c r="Q809" s="79">
        <f>IFERROR(VLOOKUP($G809,融外自投!$A:$J,9,0),"無")</f>
        <v>34</v>
      </c>
      <c r="R809" s="346">
        <f>IFERROR(VLOOKUP($G809,融外自投!$A:$J,8,0),"無")</f>
        <v>502</v>
      </c>
      <c r="S809" s="81">
        <f>IFERROR(VLOOKUP($G809,融外自投!$A:$J,10,0),"無")</f>
        <v>491</v>
      </c>
      <c r="T809" s="327">
        <f>IFERROR(VLOOKUP($G809,'321買'!$A:$E,5,0),"'沒有資料'")</f>
        <v>195</v>
      </c>
      <c r="U809" s="186">
        <f>IFERROR(VLOOKUP($G809,基本資料!$A:$J,9,0),"無")</f>
        <v>0.1</v>
      </c>
      <c r="V809" s="310">
        <f t="shared" ref="V809:V872" si="170">$U809/$X809</f>
        <v>1.1235955056179775E-2</v>
      </c>
      <c r="W809" s="94">
        <f>IFERROR(VLOOKUP($G809,基本資料!$A:$J,10,0),"無")</f>
        <v>0.14000000000000001</v>
      </c>
      <c r="X809" s="36">
        <f>RTD("money.excel",,"2323","Price")</f>
        <v>8.9</v>
      </c>
      <c r="Y809" s="66"/>
      <c r="Z809" s="15">
        <f t="shared" ref="Z809:Z872" si="171">X809-Y809</f>
        <v>8.9</v>
      </c>
      <c r="AA809" s="3" t="e">
        <f t="shared" ref="AA809:AA872" si="172">Z809/Y809</f>
        <v>#DIV/0!</v>
      </c>
      <c r="AB809" s="344">
        <f>IFERROR(VLOOKUP($G809,基本資料!$A:$M,11,0),"無")</f>
        <v>-36.090000000000003</v>
      </c>
      <c r="AC809" s="397">
        <f>IFERROR(VLOOKUP($G809,基本資料!$A:$M,12,0),"無")</f>
        <v>9.6999999999999993</v>
      </c>
      <c r="AD809" s="22" t="s">
        <v>4128</v>
      </c>
      <c r="AG809" s="33">
        <f t="shared" ref="AG809:AG872" si="173">AF809-AE809</f>
        <v>0</v>
      </c>
      <c r="AH809" s="43" t="s">
        <v>4129</v>
      </c>
      <c r="AI809" s="63">
        <f t="shared" ref="AI809:AI840" si="174">AJ809/(A809*10000)</f>
        <v>2.1956521739130434E-3</v>
      </c>
      <c r="AJ809" s="284">
        <f>RTD("money.excel",,$G809,"PredictVolume")</f>
        <v>2525</v>
      </c>
      <c r="AK809" s="399">
        <f>IFERROR(VLOOKUP($G809,基本資料!$A:$M,13,0),"無")</f>
        <v>51.43</v>
      </c>
    </row>
    <row r="810" spans="1:37">
      <c r="A810" s="347">
        <f>IFERROR(VLOOKUP($G810,基本資料!$A:$J,3,0),"無")</f>
        <v>43.86</v>
      </c>
      <c r="B810" s="79">
        <f>IFERROR(VLOOKUP($G810,基本資料!$A:$J,4,0),"無")</f>
        <v>44</v>
      </c>
      <c r="C810" s="79">
        <f>IFERROR(VLOOKUP($G810,基本資料!$A:$J,5,0),"無")</f>
        <v>46</v>
      </c>
      <c r="D810" s="79">
        <f>IFERROR(VLOOKUP($G810,基本資料!$A:$J,6,0),"無")</f>
        <v>48</v>
      </c>
      <c r="E810" s="79">
        <f>IFERROR(VLOOKUP($G810,基本資料!$A:$J,7,0),"無")</f>
        <v>-13</v>
      </c>
      <c r="F810" s="6">
        <f>IFERROR(VLOOKUP($G810,基本資料!$A:$J,8,0),"無")</f>
        <v>16.45</v>
      </c>
      <c r="G810" s="79">
        <v>2340</v>
      </c>
      <c r="H810" s="195" t="s">
        <v>1878</v>
      </c>
      <c r="I810" s="22" t="s">
        <v>4130</v>
      </c>
      <c r="J810" s="8" t="str">
        <f>IFERROR(VLOOKUP($G810,今日總結!$A:$AJ,35,0),"")</f>
        <v/>
      </c>
      <c r="K810" s="5" t="str">
        <f>IFERROR(VLOOKUP($G810,今日總結!$A:$AJ,36,0),"")</f>
        <v/>
      </c>
      <c r="L810" s="156" t="str">
        <f>IFERROR(VLOOKUP($G810,今日總結!$A:$AJ,33,0),"")</f>
        <v/>
      </c>
      <c r="M810" s="340" t="str">
        <f>IFERROR(VLOOKUP($G810,今日總結!$A:$AJ,34,0),"")</f>
        <v/>
      </c>
      <c r="N810" s="240" t="str">
        <f t="shared" ref="N810:N873" si="175">IFERROR(L810-M810,"")</f>
        <v/>
      </c>
      <c r="P810" s="365">
        <f>IFERROR(VLOOKUP($G810,融外自投!$A:$J,7,0),"無")</f>
        <v>237</v>
      </c>
      <c r="Q810" s="79">
        <f>IFERROR(VLOOKUP($G810,融外自投!$A:$J,9,0),"無")</f>
        <v>162</v>
      </c>
      <c r="R810" s="346">
        <f>IFERROR(VLOOKUP($G810,融外自投!$A:$J,8,0),"無")</f>
        <v>324</v>
      </c>
      <c r="S810" s="81">
        <f>IFERROR(VLOOKUP($G810,融外自投!$A:$J,10,0),"無")</f>
        <v>473</v>
      </c>
      <c r="T810" s="327">
        <f>IFERROR(VLOOKUP($G810,'321買'!$A:$E,5,0),"'沒有資料'")</f>
        <v>131</v>
      </c>
      <c r="U810" s="186">
        <f>IFERROR(VLOOKUP($G810,基本資料!$A:$J,9,0),"無")</f>
        <v>0</v>
      </c>
      <c r="V810" s="310">
        <f t="shared" si="170"/>
        <v>0</v>
      </c>
      <c r="W810" s="94">
        <f>IFERROR(VLOOKUP($G810,基本資料!$A:$J,10,0),"無")</f>
        <v>2.11</v>
      </c>
      <c r="X810" s="36">
        <f>RTD("money.excel",,"2340","Price")</f>
        <v>40.85</v>
      </c>
      <c r="Y810" s="66"/>
      <c r="Z810" s="15">
        <f t="shared" si="171"/>
        <v>40.85</v>
      </c>
      <c r="AA810" s="3" t="e">
        <f t="shared" si="172"/>
        <v>#DIV/0!</v>
      </c>
      <c r="AB810" s="344">
        <f>IFERROR(VLOOKUP($G810,基本資料!$A:$M,11,0),"無")</f>
        <v>-49.32</v>
      </c>
      <c r="AC810" s="397">
        <f>IFERROR(VLOOKUP($G810,基本資料!$A:$M,12,0),"無")</f>
        <v>8.77</v>
      </c>
      <c r="AD810" s="22" t="s">
        <v>4130</v>
      </c>
      <c r="AG810" s="33">
        <f t="shared" si="173"/>
        <v>0</v>
      </c>
      <c r="AH810" s="119" t="s">
        <v>4131</v>
      </c>
      <c r="AI810" s="63">
        <f t="shared" si="174"/>
        <v>4.5006839945280434E-3</v>
      </c>
      <c r="AJ810" s="284">
        <f>RTD("money.excel",,$G810,"PredictVolume")</f>
        <v>1974</v>
      </c>
      <c r="AK810" s="399">
        <f>IFERROR(VLOOKUP($G810,基本資料!$A:$M,13,0),"無")</f>
        <v>50.7</v>
      </c>
    </row>
    <row r="811" spans="1:37">
      <c r="A811" s="347">
        <f>IFERROR(VLOOKUP($G811,基本資料!$A:$J,3,0),"無")</f>
        <v>69.36</v>
      </c>
      <c r="B811" s="79">
        <f>IFERROR(VLOOKUP($G811,基本資料!$A:$J,4,0),"無")</f>
        <v>84</v>
      </c>
      <c r="C811" s="79">
        <f>IFERROR(VLOOKUP($G811,基本資料!$A:$J,5,0),"無")</f>
        <v>46</v>
      </c>
      <c r="D811" s="79">
        <f>IFERROR(VLOOKUP($G811,基本資料!$A:$J,6,0),"無")</f>
        <v>35</v>
      </c>
      <c r="E811" s="79">
        <f>IFERROR(VLOOKUP($G811,基本資料!$A:$J,7,0),"無")</f>
        <v>-4</v>
      </c>
      <c r="F811" s="6">
        <f>IFERROR(VLOOKUP($G811,基本資料!$A:$J,8,0),"無")</f>
        <v>-3.46</v>
      </c>
      <c r="G811" s="79">
        <v>2349</v>
      </c>
      <c r="H811" s="8" t="s">
        <v>1878</v>
      </c>
      <c r="I811" s="22" t="s">
        <v>4132</v>
      </c>
      <c r="J811" s="8" t="str">
        <f>IFERROR(VLOOKUP($G811,今日總結!$A:$AJ,35,0),"")</f>
        <v/>
      </c>
      <c r="K811" s="5" t="str">
        <f>IFERROR(VLOOKUP($G811,今日總結!$A:$AJ,36,0),"")</f>
        <v/>
      </c>
      <c r="L811" s="156" t="str">
        <f>IFERROR(VLOOKUP($G811,今日總結!$A:$AJ,33,0),"")</f>
        <v/>
      </c>
      <c r="M811" s="340" t="str">
        <f>IFERROR(VLOOKUP($G811,今日總結!$A:$AJ,34,0),"")</f>
        <v/>
      </c>
      <c r="N811" s="240" t="str">
        <f t="shared" si="175"/>
        <v/>
      </c>
      <c r="P811" s="365" t="str">
        <f>IFERROR(VLOOKUP($G811,融外自投!$A:$J,7,0),"無")</f>
        <v>無</v>
      </c>
      <c r="Q811" s="79" t="str">
        <f>IFERROR(VLOOKUP($G811,融外自投!$A:$J,9,0),"無")</f>
        <v>無</v>
      </c>
      <c r="R811" s="346" t="str">
        <f>IFERROR(VLOOKUP($G811,融外自投!$A:$J,8,0),"無")</f>
        <v>無</v>
      </c>
      <c r="S811" s="81" t="str">
        <f>IFERROR(VLOOKUP($G811,融外自投!$A:$J,10,0),"無")</f>
        <v>無</v>
      </c>
      <c r="T811" s="327" t="str">
        <f>IFERROR(VLOOKUP($G811,'321買'!$A:$E,5,0),"'沒有資料'")</f>
        <v>'沒有資料'</v>
      </c>
      <c r="U811" s="186">
        <f>IFERROR(VLOOKUP($G811,基本資料!$A:$J,9,0),"無")</f>
        <v>0</v>
      </c>
      <c r="V811" s="310">
        <f t="shared" si="170"/>
        <v>0</v>
      </c>
      <c r="W811" s="94">
        <f>IFERROR(VLOOKUP($G811,基本資料!$A:$J,10,0),"無")</f>
        <v>-0.49</v>
      </c>
      <c r="X811" s="36">
        <f>RTD("money.excel",,"2349","Price")</f>
        <v>8.77</v>
      </c>
      <c r="Y811" s="66"/>
      <c r="Z811" s="15">
        <f t="shared" si="171"/>
        <v>8.77</v>
      </c>
      <c r="AA811" s="3" t="e">
        <f t="shared" si="172"/>
        <v>#DIV/0!</v>
      </c>
      <c r="AB811" s="344">
        <f>IFERROR(VLOOKUP($G811,基本資料!$A:$M,11,0),"無")</f>
        <v>-28.94</v>
      </c>
      <c r="AC811" s="397">
        <f>IFERROR(VLOOKUP($G811,基本資料!$A:$M,12,0),"無")</f>
        <v>26.35</v>
      </c>
      <c r="AD811" s="22" t="s">
        <v>4132</v>
      </c>
      <c r="AG811" s="33">
        <f t="shared" si="173"/>
        <v>0</v>
      </c>
      <c r="AH811" s="43" t="s">
        <v>4129</v>
      </c>
      <c r="AI811" s="63">
        <f t="shared" si="174"/>
        <v>5.9832756632064593E-4</v>
      </c>
      <c r="AJ811" s="284">
        <f>RTD("money.excel",,$G811,"PredictVolume")</f>
        <v>415</v>
      </c>
      <c r="AK811" s="399">
        <f>IFERROR(VLOOKUP($G811,基本資料!$A:$M,13,0),"無")</f>
        <v>6.65</v>
      </c>
    </row>
    <row r="812" spans="1:37">
      <c r="A812" s="347">
        <f>IFERROR(VLOOKUP($G812,基本資料!$A:$J,3,0),"無")</f>
        <v>28.77</v>
      </c>
      <c r="B812" s="79">
        <f>IFERROR(VLOOKUP($G812,基本資料!$A:$J,4,0),"無")</f>
        <v>261</v>
      </c>
      <c r="C812" s="79">
        <f>IFERROR(VLOOKUP($G812,基本資料!$A:$J,5,0),"無")</f>
        <v>46</v>
      </c>
      <c r="D812" s="79">
        <f>IFERROR(VLOOKUP($G812,基本資料!$A:$J,6,0),"無")</f>
        <v>5</v>
      </c>
      <c r="E812" s="79">
        <f>IFERROR(VLOOKUP($G812,基本資料!$A:$J,7,0),"無")</f>
        <v>69</v>
      </c>
      <c r="F812" s="6">
        <f>IFERROR(VLOOKUP($G812,基本資料!$A:$J,8,0),"無")</f>
        <v>-9.27</v>
      </c>
      <c r="G812" s="79">
        <v>2374</v>
      </c>
      <c r="H812" s="8" t="s">
        <v>1878</v>
      </c>
      <c r="I812" s="22" t="s">
        <v>4133</v>
      </c>
      <c r="J812" s="8" t="str">
        <f>IFERROR(VLOOKUP($G812,今日總結!$A:$AJ,35,0),"")</f>
        <v/>
      </c>
      <c r="K812" s="5" t="str">
        <f>IFERROR(VLOOKUP($G812,今日總結!$A:$AJ,36,0),"")</f>
        <v/>
      </c>
      <c r="L812" s="156" t="str">
        <f>IFERROR(VLOOKUP($G812,今日總結!$A:$AJ,33,0),"")</f>
        <v/>
      </c>
      <c r="M812" s="340" t="str">
        <f>IFERROR(VLOOKUP($G812,今日總結!$A:$AJ,34,0),"")</f>
        <v/>
      </c>
      <c r="N812" s="240" t="str">
        <f t="shared" si="175"/>
        <v/>
      </c>
      <c r="P812" s="365">
        <f>IFERROR(VLOOKUP($G812,融外自投!$A:$J,7,0),"無")</f>
        <v>512</v>
      </c>
      <c r="Q812" s="79">
        <f>IFERROR(VLOOKUP($G812,融外自投!$A:$J,9,0),"無")</f>
        <v>169</v>
      </c>
      <c r="R812" s="346">
        <f>IFERROR(VLOOKUP($G812,融外自投!$A:$J,8,0),"無")</f>
        <v>675</v>
      </c>
      <c r="S812" s="81" t="str">
        <f>IFERROR(VLOOKUP($G812,融外自投!$A:$J,10,0),"無")</f>
        <v>無</v>
      </c>
      <c r="T812" s="327">
        <f>IFERROR(VLOOKUP($G812,'321買'!$A:$E,5,0),"'沒有資料'")</f>
        <v>207</v>
      </c>
      <c r="U812" s="186">
        <f>IFERROR(VLOOKUP($G812,基本資料!$A:$J,9,0),"無")</f>
        <v>1</v>
      </c>
      <c r="V812" s="310">
        <f t="shared" si="170"/>
        <v>4.3010752688172046E-2</v>
      </c>
      <c r="W812" s="94">
        <f>IFERROR(VLOOKUP($G812,基本資料!$A:$J,10,0),"無")</f>
        <v>2.42</v>
      </c>
      <c r="X812" s="36">
        <f>RTD("money.excel",,"2374","Price")</f>
        <v>23.25</v>
      </c>
      <c r="Y812" s="66"/>
      <c r="Z812" s="15">
        <f t="shared" si="171"/>
        <v>23.25</v>
      </c>
      <c r="AA812" s="3" t="e">
        <f t="shared" si="172"/>
        <v>#DIV/0!</v>
      </c>
      <c r="AB812" s="344">
        <f>IFERROR(VLOOKUP($G812,基本資料!$A:$M,11,0),"無")</f>
        <v>-33.97</v>
      </c>
      <c r="AC812" s="397">
        <f>IFERROR(VLOOKUP($G812,基本資料!$A:$M,12,0),"無")</f>
        <v>8.17</v>
      </c>
      <c r="AD812" s="22" t="s">
        <v>4133</v>
      </c>
      <c r="AG812" s="33">
        <f t="shared" si="173"/>
        <v>0</v>
      </c>
      <c r="AH812" s="117" t="s">
        <v>4134</v>
      </c>
      <c r="AI812" s="63">
        <f t="shared" si="174"/>
        <v>4.4838373305526591E-3</v>
      </c>
      <c r="AJ812" s="284">
        <f>RTD("money.excel",,$G812,"PredictVolume")</f>
        <v>1290</v>
      </c>
      <c r="AK812" s="399">
        <f>IFERROR(VLOOKUP($G812,基本資料!$A:$M,13,0),"無")</f>
        <v>41.29</v>
      </c>
    </row>
    <row r="813" spans="1:37">
      <c r="A813" s="347">
        <f>IFERROR(VLOOKUP($G813,基本資料!$A:$J,3,0),"無")</f>
        <v>44.34</v>
      </c>
      <c r="B813" s="79">
        <f>IFERROR(VLOOKUP($G813,基本資料!$A:$J,4,0),"無")</f>
        <v>59</v>
      </c>
      <c r="C813" s="79">
        <f>IFERROR(VLOOKUP($G813,基本資料!$A:$J,5,0),"無")</f>
        <v>78</v>
      </c>
      <c r="D813" s="79">
        <f>IFERROR(VLOOKUP($G813,基本資料!$A:$J,6,0),"無")</f>
        <v>-33</v>
      </c>
      <c r="E813" s="79">
        <f>IFERROR(VLOOKUP($G813,基本資料!$A:$J,7,0),"無")</f>
        <v>-34</v>
      </c>
      <c r="F813" s="6">
        <f>IFERROR(VLOOKUP($G813,基本資料!$A:$J,8,0),"無")</f>
        <v>9.65</v>
      </c>
      <c r="G813" s="79">
        <v>2393</v>
      </c>
      <c r="H813" s="8" t="s">
        <v>306</v>
      </c>
      <c r="I813" s="22" t="s">
        <v>4135</v>
      </c>
      <c r="J813" s="8" t="str">
        <f>IFERROR(VLOOKUP($G813,今日總結!$A:$AJ,35,0),"")</f>
        <v/>
      </c>
      <c r="K813" s="5" t="str">
        <f>IFERROR(VLOOKUP($G813,今日總結!$A:$AJ,36,0),"")</f>
        <v/>
      </c>
      <c r="L813" s="156" t="str">
        <f>IFERROR(VLOOKUP($G813,今日總結!$A:$AJ,33,0),"")</f>
        <v/>
      </c>
      <c r="M813" s="340" t="str">
        <f>IFERROR(VLOOKUP($G813,今日總結!$A:$AJ,34,0),"")</f>
        <v/>
      </c>
      <c r="N813" s="240" t="str">
        <f t="shared" si="175"/>
        <v/>
      </c>
      <c r="P813" s="365">
        <f>IFERROR(VLOOKUP($G813,融外自投!$A:$J,7,0),"無")</f>
        <v>868</v>
      </c>
      <c r="Q813" s="79">
        <f>IFERROR(VLOOKUP($G813,融外自投!$A:$J,9,0),"無")</f>
        <v>198</v>
      </c>
      <c r="R813" s="346">
        <f>IFERROR(VLOOKUP($G813,融外自投!$A:$J,8,0),"無")</f>
        <v>176</v>
      </c>
      <c r="S813" s="81">
        <f>IFERROR(VLOOKUP($G813,融外自投!$A:$J,10,0),"無")</f>
        <v>268</v>
      </c>
      <c r="T813" s="327">
        <f>IFERROR(VLOOKUP($G813,'321買'!$A:$E,5,0),"'沒有資料'")</f>
        <v>403</v>
      </c>
      <c r="U813" s="186">
        <f>IFERROR(VLOOKUP($G813,基本資料!$A:$J,9,0),"無")</f>
        <v>3.5</v>
      </c>
      <c r="V813" s="310">
        <f t="shared" si="170"/>
        <v>8.3036773428232499E-2</v>
      </c>
      <c r="W813" s="94">
        <f>IFERROR(VLOOKUP($G813,基本資料!$A:$J,10,0),"無")</f>
        <v>4.37</v>
      </c>
      <c r="X813" s="36">
        <f>RTD("money.excel",,"2393","Price")</f>
        <v>42.15</v>
      </c>
      <c r="Y813" s="66"/>
      <c r="Z813" s="15">
        <f t="shared" si="171"/>
        <v>42.15</v>
      </c>
      <c r="AA813" s="3" t="e">
        <f t="shared" si="172"/>
        <v>#DIV/0!</v>
      </c>
      <c r="AB813" s="344">
        <f>IFERROR(VLOOKUP($G813,基本資料!$A:$M,11,0),"無")</f>
        <v>-39.33</v>
      </c>
      <c r="AC813" s="397">
        <f>IFERROR(VLOOKUP($G813,基本資料!$A:$M,12,0),"無")</f>
        <v>6.52</v>
      </c>
      <c r="AD813" s="22" t="s">
        <v>4135</v>
      </c>
      <c r="AG813" s="33">
        <f t="shared" si="173"/>
        <v>0</v>
      </c>
      <c r="AH813" s="117" t="s">
        <v>4718</v>
      </c>
      <c r="AI813" s="63">
        <f t="shared" si="174"/>
        <v>2.9702300405953989E-3</v>
      </c>
      <c r="AJ813" s="284">
        <f>RTD("money.excel",,$G813,"PredictVolume")</f>
        <v>1317</v>
      </c>
      <c r="AK813" s="399">
        <f>IFERROR(VLOOKUP($G813,基本資料!$A:$M,13,0),"無")</f>
        <v>11</v>
      </c>
    </row>
    <row r="814" spans="1:37">
      <c r="A814" s="347">
        <f>IFERROR(VLOOKUP($G814,基本資料!$A:$J,3,0),"無")</f>
        <v>35.090000000000003</v>
      </c>
      <c r="B814" s="79">
        <f>IFERROR(VLOOKUP($G814,基本資料!$A:$J,4,0),"無")</f>
        <v>51</v>
      </c>
      <c r="C814" s="79">
        <f>IFERROR(VLOOKUP($G814,基本資料!$A:$J,5,0),"無")</f>
        <v>57</v>
      </c>
      <c r="D814" s="79">
        <f>IFERROR(VLOOKUP($G814,基本資料!$A:$J,6,0),"無")</f>
        <v>-1</v>
      </c>
      <c r="E814" s="79">
        <f>IFERROR(VLOOKUP($G814,基本資料!$A:$J,7,0),"無")</f>
        <v>-23</v>
      </c>
      <c r="F814" s="6">
        <f>IFERROR(VLOOKUP($G814,基本資料!$A:$J,8,0),"無")</f>
        <v>-1.23</v>
      </c>
      <c r="G814" s="79">
        <v>2406</v>
      </c>
      <c r="H814" s="8" t="s">
        <v>306</v>
      </c>
      <c r="I814" s="22" t="s">
        <v>444</v>
      </c>
      <c r="J814" s="8">
        <f>IFERROR(VLOOKUP($G814,今日總結!$A:$AJ,35,0),"")</f>
        <v>0</v>
      </c>
      <c r="K814" s="5" t="str">
        <f>IFERROR(VLOOKUP($G814,今日總結!$A:$AJ,36,0),"")</f>
        <v>借</v>
      </c>
      <c r="L814" s="156">
        <f>IFERROR(VLOOKUP($G814,今日總結!$A:$AJ,33,0),"")</f>
        <v>0</v>
      </c>
      <c r="M814" s="340">
        <f>IFERROR(VLOOKUP($G814,今日總結!$A:$AJ,34,0),"")</f>
        <v>1</v>
      </c>
      <c r="N814" s="240">
        <f t="shared" si="175"/>
        <v>-1</v>
      </c>
      <c r="P814" s="365">
        <f>IFERROR(VLOOKUP($G814,融外自投!$A:$J,7,0),"無")</f>
        <v>165</v>
      </c>
      <c r="Q814" s="79">
        <f>IFERROR(VLOOKUP($G814,融外自投!$A:$J,9,0),"無")</f>
        <v>355</v>
      </c>
      <c r="R814" s="346">
        <f>IFERROR(VLOOKUP($G814,融外自投!$A:$J,8,0),"無")</f>
        <v>775</v>
      </c>
      <c r="S814" s="81" t="str">
        <f>IFERROR(VLOOKUP($G814,融外自投!$A:$J,10,0),"無")</f>
        <v>無</v>
      </c>
      <c r="T814" s="327">
        <f>IFERROR(VLOOKUP($G814,'321買'!$A:$E,5,0),"'沒有資料'")</f>
        <v>445</v>
      </c>
      <c r="U814" s="186">
        <f>IFERROR(VLOOKUP($G814,基本資料!$A:$J,9,0),"無")</f>
        <v>0</v>
      </c>
      <c r="V814" s="310">
        <f t="shared" si="170"/>
        <v>0</v>
      </c>
      <c r="W814" s="94">
        <f>IFERROR(VLOOKUP($G814,基本資料!$A:$J,10,0),"無")</f>
        <v>0.09</v>
      </c>
      <c r="X814" s="36">
        <f>RTD("money.excel",,"2406","Price")</f>
        <v>20</v>
      </c>
      <c r="Y814" s="66"/>
      <c r="Z814" s="15">
        <f t="shared" si="171"/>
        <v>20</v>
      </c>
      <c r="AA814" s="3" t="e">
        <f t="shared" si="172"/>
        <v>#DIV/0!</v>
      </c>
      <c r="AB814" s="344">
        <f>IFERROR(VLOOKUP($G814,基本資料!$A:$M,11,0),"無")</f>
        <v>-46.82</v>
      </c>
      <c r="AC814" s="397">
        <f>IFERROR(VLOOKUP($G814,基本資料!$A:$M,12,0),"無")</f>
        <v>11.87</v>
      </c>
      <c r="AD814" s="22" t="s">
        <v>444</v>
      </c>
      <c r="AG814" s="33">
        <f t="shared" si="173"/>
        <v>0</v>
      </c>
      <c r="AH814" s="43" t="s">
        <v>4136</v>
      </c>
      <c r="AI814" s="63">
        <f t="shared" si="174"/>
        <v>7.8056426332288389E-3</v>
      </c>
      <c r="AJ814" s="284">
        <f>RTD("money.excel",,$G814,"PredictVolume")</f>
        <v>2739</v>
      </c>
      <c r="AK814" s="399">
        <f>IFERROR(VLOOKUP($G814,基本資料!$A:$M,13,0),"無")</f>
        <v>43.07</v>
      </c>
    </row>
    <row r="815" spans="1:37">
      <c r="A815" s="347">
        <f>IFERROR(VLOOKUP($G815,基本資料!$A:$J,3,0),"無")</f>
        <v>962</v>
      </c>
      <c r="B815" s="79">
        <f>IFERROR(VLOOKUP($G815,基本資料!$A:$J,4,0),"無")</f>
        <v>2082</v>
      </c>
      <c r="C815" s="79">
        <f>IFERROR(VLOOKUP($G815,基本資料!$A:$J,5,0),"無")</f>
        <v>2928</v>
      </c>
      <c r="D815" s="79">
        <f>IFERROR(VLOOKUP($G815,基本資料!$A:$J,6,0),"無")</f>
        <v>9</v>
      </c>
      <c r="E815" s="79">
        <f>IFERROR(VLOOKUP($G815,基本資料!$A:$J,7,0),"無")</f>
        <v>-8</v>
      </c>
      <c r="F815" s="6">
        <f>IFERROR(VLOOKUP($G815,基本資料!$A:$J,8,0),"無")</f>
        <v>17.02</v>
      </c>
      <c r="G815" s="79">
        <v>2409</v>
      </c>
      <c r="H815" s="8" t="s">
        <v>1878</v>
      </c>
      <c r="I815" s="22" t="s">
        <v>210</v>
      </c>
      <c r="J815" s="8" t="str">
        <f>IFERROR(VLOOKUP($G815,今日總結!$A:$AJ,35,0),"")</f>
        <v>外</v>
      </c>
      <c r="K815" s="5">
        <f>IFERROR(VLOOKUP($G815,今日總結!$A:$AJ,36,0),"")</f>
        <v>0</v>
      </c>
      <c r="L815" s="156">
        <f>IFERROR(VLOOKUP($G815,今日總結!$A:$AJ,33,0),"")</f>
        <v>1</v>
      </c>
      <c r="M815" s="340">
        <f>IFERROR(VLOOKUP($G815,今日總結!$A:$AJ,34,0),"")</f>
        <v>1</v>
      </c>
      <c r="N815" s="240">
        <f t="shared" si="175"/>
        <v>0</v>
      </c>
      <c r="P815" s="365">
        <f>IFERROR(VLOOKUP($G815,融外自投!$A:$J,7,0),"無")</f>
        <v>687</v>
      </c>
      <c r="Q815" s="79">
        <f>IFERROR(VLOOKUP($G815,融外自投!$A:$J,9,0),"無")</f>
        <v>74</v>
      </c>
      <c r="R815" s="346">
        <f>IFERROR(VLOOKUP($G815,融外自投!$A:$J,8,0),"無")</f>
        <v>238</v>
      </c>
      <c r="S815" s="81">
        <f>IFERROR(VLOOKUP($G815,融外自投!$A:$J,10,0),"無")</f>
        <v>58</v>
      </c>
      <c r="T815" s="327">
        <f>IFERROR(VLOOKUP($G815,'321買'!$A:$E,5,0),"'沒有資料'")</f>
        <v>93</v>
      </c>
      <c r="U815" s="186">
        <f>IFERROR(VLOOKUP($G815,基本資料!$A:$J,9,0),"無")</f>
        <v>1</v>
      </c>
      <c r="V815" s="310">
        <f t="shared" si="170"/>
        <v>5.8479532163742687E-2</v>
      </c>
      <c r="W815" s="94">
        <f>IFERROR(VLOOKUP($G815,基本資料!$A:$J,10,0),"無")</f>
        <v>6.44</v>
      </c>
      <c r="X815" s="36">
        <f>RTD("money.excel",,"2409","Price")</f>
        <v>17.100000000000001</v>
      </c>
      <c r="Y815" s="66"/>
      <c r="Z815" s="15">
        <f t="shared" si="171"/>
        <v>17.100000000000001</v>
      </c>
      <c r="AA815" s="3" t="e">
        <f t="shared" si="172"/>
        <v>#DIV/0!</v>
      </c>
      <c r="AB815" s="344">
        <f>IFERROR(VLOOKUP($G815,基本資料!$A:$M,11,0),"無")</f>
        <v>-33.46</v>
      </c>
      <c r="AC815" s="397">
        <f>IFERROR(VLOOKUP($G815,基本資料!$A:$M,12,0),"無")</f>
        <v>21.3</v>
      </c>
      <c r="AD815" s="22" t="s">
        <v>210</v>
      </c>
      <c r="AG815" s="33">
        <f t="shared" si="173"/>
        <v>0</v>
      </c>
      <c r="AH815" s="117" t="s">
        <v>2582</v>
      </c>
      <c r="AI815" s="63">
        <f t="shared" si="174"/>
        <v>3.5518711018711017E-3</v>
      </c>
      <c r="AJ815" s="284">
        <f>RTD("money.excel",,$G815,"PredictVolume")</f>
        <v>34169</v>
      </c>
      <c r="AK815" s="399">
        <f>IFERROR(VLOOKUP($G815,基本資料!$A:$M,13,0),"無")</f>
        <v>7.68</v>
      </c>
    </row>
    <row r="816" spans="1:37">
      <c r="A816" s="347">
        <f>IFERROR(VLOOKUP($G816,基本資料!$A:$J,3,0),"無")</f>
        <v>30.06</v>
      </c>
      <c r="B816" s="79">
        <f>IFERROR(VLOOKUP($G816,基本資料!$A:$J,4,0),"無")</f>
        <v>135</v>
      </c>
      <c r="C816" s="79">
        <f>IFERROR(VLOOKUP($G816,基本資料!$A:$J,5,0),"無")</f>
        <v>3628</v>
      </c>
      <c r="D816" s="79">
        <f>IFERROR(VLOOKUP($G816,基本資料!$A:$J,6,0),"無")</f>
        <v>-5</v>
      </c>
      <c r="E816" s="79">
        <f>IFERROR(VLOOKUP($G816,基本資料!$A:$J,7,0),"無")</f>
        <v>-20</v>
      </c>
      <c r="F816" s="6">
        <f>IFERROR(VLOOKUP($G816,基本資料!$A:$J,8,0),"無")</f>
        <v>9.82</v>
      </c>
      <c r="G816" s="79">
        <v>2426</v>
      </c>
      <c r="H816" s="195" t="s">
        <v>1878</v>
      </c>
      <c r="I816" s="22" t="s">
        <v>4137</v>
      </c>
      <c r="J816" s="8">
        <f>IFERROR(VLOOKUP($G816,今日總結!$A:$AJ,35,0),"")</f>
        <v>0</v>
      </c>
      <c r="K816" s="5" t="str">
        <f>IFERROR(VLOOKUP($G816,今日總結!$A:$AJ,36,0),"")</f>
        <v>融</v>
      </c>
      <c r="L816" s="156">
        <f>IFERROR(VLOOKUP($G816,今日總結!$A:$AJ,33,0),"")</f>
        <v>0</v>
      </c>
      <c r="M816" s="340">
        <f>IFERROR(VLOOKUP($G816,今日總結!$A:$AJ,34,0),"")</f>
        <v>1</v>
      </c>
      <c r="N816" s="240">
        <f t="shared" si="175"/>
        <v>-1</v>
      </c>
      <c r="P816" s="365">
        <f>IFERROR(VLOOKUP($G816,融外自投!$A:$J,7,0),"無")</f>
        <v>266</v>
      </c>
      <c r="Q816" s="79">
        <f>IFERROR(VLOOKUP($G816,融外自投!$A:$J,9,0),"無")</f>
        <v>502</v>
      </c>
      <c r="R816" s="346">
        <f>IFERROR(VLOOKUP($G816,融外自投!$A:$J,8,0),"無")</f>
        <v>588</v>
      </c>
      <c r="S816" s="81">
        <f>IFERROR(VLOOKUP($G816,融外自投!$A:$J,10,0),"無")</f>
        <v>473</v>
      </c>
      <c r="T816" s="327">
        <f>IFERROR(VLOOKUP($G816,'321買'!$A:$E,5,0),"'沒有資料'")</f>
        <v>336</v>
      </c>
      <c r="U816" s="186">
        <f>IFERROR(VLOOKUP($G816,基本資料!$A:$J,9,0),"無")</f>
        <v>1</v>
      </c>
      <c r="V816" s="310">
        <f t="shared" si="170"/>
        <v>4.7281323877068564E-2</v>
      </c>
      <c r="W816" s="94">
        <f>IFERROR(VLOOKUP($G816,基本資料!$A:$J,10,0),"無")</f>
        <v>2.41</v>
      </c>
      <c r="X816" s="36">
        <f>RTD("money.excel",,"2426","Price")</f>
        <v>21.15</v>
      </c>
      <c r="Y816" s="66"/>
      <c r="Z816" s="15">
        <f t="shared" si="171"/>
        <v>21.15</v>
      </c>
      <c r="AA816" s="3" t="e">
        <f t="shared" si="172"/>
        <v>#DIV/0!</v>
      </c>
      <c r="AB816" s="344">
        <f>IFERROR(VLOOKUP($G816,基本資料!$A:$M,11,0),"無")</f>
        <v>-35.51</v>
      </c>
      <c r="AC816" s="397">
        <f>IFERROR(VLOOKUP($G816,基本資料!$A:$M,12,0),"無")</f>
        <v>16.739999999999998</v>
      </c>
      <c r="AD816" s="22" t="s">
        <v>4137</v>
      </c>
      <c r="AG816" s="33">
        <f t="shared" si="173"/>
        <v>0</v>
      </c>
      <c r="AH816" s="119" t="s">
        <v>4138</v>
      </c>
      <c r="AI816" s="63">
        <f t="shared" si="174"/>
        <v>2.0192947438456422E-3</v>
      </c>
      <c r="AJ816" s="284">
        <f>RTD("money.excel",,$G816,"PredictVolume")</f>
        <v>607</v>
      </c>
      <c r="AK816" s="399">
        <f>IFERROR(VLOOKUP($G816,基本資料!$A:$M,13,0),"無")</f>
        <v>25.4</v>
      </c>
    </row>
    <row r="817" spans="1:37">
      <c r="A817" s="347">
        <f>IFERROR(VLOOKUP($G817,基本資料!$A:$J,3,0),"無")</f>
        <v>6.01</v>
      </c>
      <c r="B817" s="79">
        <f>IFERROR(VLOOKUP($G817,基本資料!$A:$J,4,0),"無")</f>
        <v>-17</v>
      </c>
      <c r="C817" s="79">
        <f>IFERROR(VLOOKUP($G817,基本資料!$A:$J,5,0),"無")</f>
        <v>373</v>
      </c>
      <c r="D817" s="79">
        <f>IFERROR(VLOOKUP($G817,基本資料!$A:$J,6,0),"無")</f>
        <v>49</v>
      </c>
      <c r="E817" s="79">
        <f>IFERROR(VLOOKUP($G817,基本資料!$A:$J,7,0),"無")</f>
        <v>-30</v>
      </c>
      <c r="F817" s="6">
        <f>IFERROR(VLOOKUP($G817,基本資料!$A:$J,8,0),"無")</f>
        <v>6.76</v>
      </c>
      <c r="G817" s="79">
        <v>2438</v>
      </c>
      <c r="H817" s="8" t="s">
        <v>1878</v>
      </c>
      <c r="I817" s="22" t="s">
        <v>4139</v>
      </c>
      <c r="J817" s="8" t="str">
        <f>IFERROR(VLOOKUP($G817,今日總結!$A:$AJ,35,0),"")</f>
        <v/>
      </c>
      <c r="K817" s="5" t="str">
        <f>IFERROR(VLOOKUP($G817,今日總結!$A:$AJ,36,0),"")</f>
        <v/>
      </c>
      <c r="L817" s="156" t="str">
        <f>IFERROR(VLOOKUP($G817,今日總結!$A:$AJ,33,0),"")</f>
        <v/>
      </c>
      <c r="M817" s="340" t="str">
        <f>IFERROR(VLOOKUP($G817,今日總結!$A:$AJ,34,0),"")</f>
        <v/>
      </c>
      <c r="N817" s="240" t="str">
        <f t="shared" si="175"/>
        <v/>
      </c>
      <c r="P817" s="365" t="str">
        <f>IFERROR(VLOOKUP($G817,融外自投!$A:$J,7,0),"無")</f>
        <v>無</v>
      </c>
      <c r="Q817" s="79" t="str">
        <f>IFERROR(VLOOKUP($G817,融外自投!$A:$J,9,0),"無")</f>
        <v>無</v>
      </c>
      <c r="R817" s="346" t="str">
        <f>IFERROR(VLOOKUP($G817,融外自投!$A:$J,8,0),"無")</f>
        <v>無</v>
      </c>
      <c r="S817" s="81" t="str">
        <f>IFERROR(VLOOKUP($G817,融外自投!$A:$J,10,0),"無")</f>
        <v>無</v>
      </c>
      <c r="T817" s="327" t="str">
        <f>IFERROR(VLOOKUP($G817,'321買'!$A:$E,5,0),"'沒有資料'")</f>
        <v>'沒有資料'</v>
      </c>
      <c r="U817" s="186">
        <f>IFERROR(VLOOKUP($G817,基本資料!$A:$J,9,0),"無")</f>
        <v>0</v>
      </c>
      <c r="V817" s="310">
        <f t="shared" si="170"/>
        <v>0</v>
      </c>
      <c r="W817" s="94">
        <f>IFERROR(VLOOKUP($G817,基本資料!$A:$J,10,0),"無")</f>
        <v>-7.0000000000000007E-2</v>
      </c>
      <c r="X817" s="36">
        <f>RTD("money.excel",,"2438","Price")</f>
        <v>11.8</v>
      </c>
      <c r="Y817" s="66"/>
      <c r="Z817" s="15">
        <f t="shared" si="171"/>
        <v>11.8</v>
      </c>
      <c r="AA817" s="3" t="e">
        <f t="shared" si="172"/>
        <v>#DIV/0!</v>
      </c>
      <c r="AB817" s="344">
        <f>IFERROR(VLOOKUP($G817,基本資料!$A:$M,11,0),"無")</f>
        <v>-31.59</v>
      </c>
      <c r="AC817" s="397">
        <f>IFERROR(VLOOKUP($G817,基本資料!$A:$M,12,0),"無")</f>
        <v>7.5</v>
      </c>
      <c r="AD817" s="22" t="s">
        <v>4139</v>
      </c>
      <c r="AG817" s="33">
        <f t="shared" si="173"/>
        <v>0</v>
      </c>
      <c r="AH817" s="43" t="s">
        <v>4140</v>
      </c>
      <c r="AI817" s="63">
        <f t="shared" si="174"/>
        <v>5.490848585690516E-4</v>
      </c>
      <c r="AJ817" s="284">
        <f>RTD("money.excel",,$G817,"PredictVolume")</f>
        <v>33</v>
      </c>
      <c r="AK817" s="399">
        <f>IFERROR(VLOOKUP($G817,基本資料!$A:$M,13,0),"無")</f>
        <v>2.79</v>
      </c>
    </row>
    <row r="818" spans="1:37">
      <c r="A818" s="347">
        <f>IFERROR(VLOOKUP($G818,基本資料!$A:$J,3,0),"無")</f>
        <v>16.16</v>
      </c>
      <c r="B818" s="79">
        <f>IFERROR(VLOOKUP($G818,基本資料!$A:$J,4,0),"無")</f>
        <v>762</v>
      </c>
      <c r="C818" s="79">
        <f>IFERROR(VLOOKUP($G818,基本資料!$A:$J,5,0),"無")</f>
        <v>100</v>
      </c>
      <c r="D818" s="79">
        <f>IFERROR(VLOOKUP($G818,基本資料!$A:$J,6,0),"無")</f>
        <v>-6</v>
      </c>
      <c r="E818" s="79">
        <f>IFERROR(VLOOKUP($G818,基本資料!$A:$J,7,0),"無")</f>
        <v>-27</v>
      </c>
      <c r="F818" s="6">
        <f>IFERROR(VLOOKUP($G818,基本資料!$A:$J,8,0),"無")</f>
        <v>0.05</v>
      </c>
      <c r="G818" s="79">
        <v>2466</v>
      </c>
      <c r="H818" s="8" t="s">
        <v>1878</v>
      </c>
      <c r="I818" s="22" t="s">
        <v>4141</v>
      </c>
      <c r="J818" s="8" t="str">
        <f>IFERROR(VLOOKUP($G818,今日總結!$A:$AJ,35,0),"")</f>
        <v/>
      </c>
      <c r="K818" s="5" t="str">
        <f>IFERROR(VLOOKUP($G818,今日總結!$A:$AJ,36,0),"")</f>
        <v/>
      </c>
      <c r="L818" s="156" t="str">
        <f>IFERROR(VLOOKUP($G818,今日總結!$A:$AJ,33,0),"")</f>
        <v/>
      </c>
      <c r="M818" s="340" t="str">
        <f>IFERROR(VLOOKUP($G818,今日總結!$A:$AJ,34,0),"")</f>
        <v/>
      </c>
      <c r="N818" s="240" t="str">
        <f t="shared" si="175"/>
        <v/>
      </c>
      <c r="P818" s="365">
        <f>IFERROR(VLOOKUP($G818,融外自投!$A:$J,7,0),"無")</f>
        <v>752</v>
      </c>
      <c r="Q818" s="79">
        <f>IFERROR(VLOOKUP($G818,融外自投!$A:$J,9,0),"無")</f>
        <v>1110</v>
      </c>
      <c r="R818" s="346">
        <f>IFERROR(VLOOKUP($G818,融外自投!$A:$J,8,0),"無")</f>
        <v>494</v>
      </c>
      <c r="S818" s="81" t="str">
        <f>IFERROR(VLOOKUP($G818,融外自投!$A:$J,10,0),"無")</f>
        <v>無</v>
      </c>
      <c r="T818" s="327">
        <f>IFERROR(VLOOKUP($G818,'321買'!$A:$E,5,0),"'沒有資料'")</f>
        <v>584</v>
      </c>
      <c r="U818" s="186">
        <f>IFERROR(VLOOKUP($G818,基本資料!$A:$J,9,0),"無")</f>
        <v>0</v>
      </c>
      <c r="V818" s="310">
        <f t="shared" si="170"/>
        <v>0</v>
      </c>
      <c r="W818" s="94">
        <f>IFERROR(VLOOKUP($G818,基本資料!$A:$J,10,0),"無")</f>
        <v>0.35</v>
      </c>
      <c r="X818" s="36">
        <f>RTD("money.excel",,"2466","Price")</f>
        <v>31.8</v>
      </c>
      <c r="Y818" s="66"/>
      <c r="Z818" s="15">
        <f t="shared" si="171"/>
        <v>31.8</v>
      </c>
      <c r="AA818" s="3" t="e">
        <f t="shared" si="172"/>
        <v>#DIV/0!</v>
      </c>
      <c r="AB818" s="344">
        <f>IFERROR(VLOOKUP($G818,基本資料!$A:$M,11,0),"無")</f>
        <v>-32.130000000000003</v>
      </c>
      <c r="AC818" s="397">
        <f>IFERROR(VLOOKUP($G818,基本資料!$A:$M,12,0),"無")</f>
        <v>21.73</v>
      </c>
      <c r="AD818" s="22" t="s">
        <v>4141</v>
      </c>
      <c r="AG818" s="33">
        <f t="shared" si="173"/>
        <v>0</v>
      </c>
      <c r="AH818" s="43" t="s">
        <v>4142</v>
      </c>
      <c r="AI818" s="63">
        <f t="shared" si="174"/>
        <v>4.4554455445544556E-4</v>
      </c>
      <c r="AJ818" s="284">
        <f>RTD("money.excel",,$G818,"PredictVolume")</f>
        <v>72</v>
      </c>
      <c r="AK818" s="399">
        <f>IFERROR(VLOOKUP($G818,基本資料!$A:$M,13,0),"無")</f>
        <v>0.14000000000000001</v>
      </c>
    </row>
    <row r="819" spans="1:37">
      <c r="A819" s="347">
        <f>IFERROR(VLOOKUP($G819,基本資料!$A:$J,3,0),"無")</f>
        <v>22.19</v>
      </c>
      <c r="B819" s="79">
        <f>IFERROR(VLOOKUP($G819,基本資料!$A:$J,4,0),"無")</f>
        <v>344</v>
      </c>
      <c r="C819" s="79">
        <f>IFERROR(VLOOKUP($G819,基本資料!$A:$J,5,0),"無")</f>
        <v>1235</v>
      </c>
      <c r="D819" s="79">
        <f>IFERROR(VLOOKUP($G819,基本資料!$A:$J,6,0),"無")</f>
        <v>-2</v>
      </c>
      <c r="E819" s="79">
        <f>IFERROR(VLOOKUP($G819,基本資料!$A:$J,7,0),"無")</f>
        <v>-1</v>
      </c>
      <c r="F819" s="6">
        <f>IFERROR(VLOOKUP($G819,基本資料!$A:$J,8,0),"無")</f>
        <v>8.92</v>
      </c>
      <c r="G819" s="79">
        <v>2486</v>
      </c>
      <c r="H819" s="8" t="s">
        <v>1878</v>
      </c>
      <c r="I819" s="22" t="s">
        <v>4143</v>
      </c>
      <c r="J819" s="8" t="str">
        <f>IFERROR(VLOOKUP($G819,今日總結!$A:$AJ,35,0),"")</f>
        <v/>
      </c>
      <c r="K819" s="5" t="str">
        <f>IFERROR(VLOOKUP($G819,今日總結!$A:$AJ,36,0),"")</f>
        <v/>
      </c>
      <c r="L819" s="156" t="str">
        <f>IFERROR(VLOOKUP($G819,今日總結!$A:$AJ,33,0),"")</f>
        <v/>
      </c>
      <c r="M819" s="340" t="str">
        <f>IFERROR(VLOOKUP($G819,今日總結!$A:$AJ,34,0),"")</f>
        <v/>
      </c>
      <c r="N819" s="240" t="str">
        <f t="shared" si="175"/>
        <v/>
      </c>
      <c r="P819" s="365">
        <f>IFERROR(VLOOKUP($G819,融外自投!$A:$J,7,0),"無")</f>
        <v>123</v>
      </c>
      <c r="Q819" s="79" t="str">
        <f>IFERROR(VLOOKUP($G819,融外自投!$A:$J,9,0),"無")</f>
        <v>無</v>
      </c>
      <c r="R819" s="346">
        <f>IFERROR(VLOOKUP($G819,融外自投!$A:$J,8,0),"無")</f>
        <v>1092</v>
      </c>
      <c r="S819" s="81" t="str">
        <f>IFERROR(VLOOKUP($G819,融外自投!$A:$J,10,0),"無")</f>
        <v>無</v>
      </c>
      <c r="T819" s="327">
        <f>IFERROR(VLOOKUP($G819,'321買'!$A:$E,5,0),"'沒有資料'")</f>
        <v>178</v>
      </c>
      <c r="U819" s="186">
        <f>IFERROR(VLOOKUP($G819,基本資料!$A:$J,9,0),"無")</f>
        <v>0.5</v>
      </c>
      <c r="V819" s="310">
        <f t="shared" si="170"/>
        <v>1.443001443001443E-2</v>
      </c>
      <c r="W819" s="94">
        <f>IFERROR(VLOOKUP($G819,基本資料!$A:$J,10,0),"無")</f>
        <v>1.79</v>
      </c>
      <c r="X819" s="36">
        <f>RTD("money.excel",,"2486","Price")</f>
        <v>34.65</v>
      </c>
      <c r="Y819" s="66"/>
      <c r="Z819" s="15">
        <f t="shared" si="171"/>
        <v>34.65</v>
      </c>
      <c r="AA819" s="3" t="e">
        <f t="shared" si="172"/>
        <v>#DIV/0!</v>
      </c>
      <c r="AB819" s="344">
        <f>IFERROR(VLOOKUP($G819,基本資料!$A:$M,11,0),"無")</f>
        <v>-48.37</v>
      </c>
      <c r="AC819" s="397">
        <f>IFERROR(VLOOKUP($G819,基本資料!$A:$M,12,0),"無")</f>
        <v>14.43</v>
      </c>
      <c r="AD819" s="22" t="s">
        <v>4143</v>
      </c>
      <c r="AG819" s="33">
        <f t="shared" si="173"/>
        <v>0</v>
      </c>
      <c r="AH819" s="43" t="s">
        <v>2583</v>
      </c>
      <c r="AI819" s="63">
        <f t="shared" si="174"/>
        <v>4.5876520955385313E-3</v>
      </c>
      <c r="AJ819" s="284">
        <f>RTD("money.excel",,$G819,"PredictVolume")</f>
        <v>1018</v>
      </c>
      <c r="AK819" s="399">
        <f>IFERROR(VLOOKUP($G819,基本資料!$A:$M,13,0),"無")</f>
        <v>43.75</v>
      </c>
    </row>
    <row r="820" spans="1:37">
      <c r="A820" s="347">
        <f>IFERROR(VLOOKUP($G820,基本資料!$A:$J,3,0),"無")</f>
        <v>76</v>
      </c>
      <c r="B820" s="79">
        <f>IFERROR(VLOOKUP($G820,基本資料!$A:$J,4,0),"無")</f>
        <v>781</v>
      </c>
      <c r="C820" s="79">
        <f>IFERROR(VLOOKUP($G820,基本資料!$A:$J,5,0),"無")</f>
        <v>40</v>
      </c>
      <c r="D820" s="79">
        <f>IFERROR(VLOOKUP($G820,基本資料!$A:$J,6,0),"無")</f>
        <v>-37</v>
      </c>
      <c r="E820" s="79">
        <f>IFERROR(VLOOKUP($G820,基本資料!$A:$J,7,0),"無")</f>
        <v>-29</v>
      </c>
      <c r="F820" s="6">
        <f>IFERROR(VLOOKUP($G820,基本資料!$A:$J,8,0),"無")</f>
        <v>-1.48</v>
      </c>
      <c r="G820" s="79">
        <v>2489</v>
      </c>
      <c r="H820" s="195" t="s">
        <v>1878</v>
      </c>
      <c r="I820" s="153" t="s">
        <v>4144</v>
      </c>
      <c r="J820" s="8">
        <f>IFERROR(VLOOKUP($G820,今日總結!$A:$AJ,35,0),"")</f>
        <v>0</v>
      </c>
      <c r="K820" s="5" t="str">
        <f>IFERROR(VLOOKUP($G820,今日總結!$A:$AJ,36,0),"")</f>
        <v>借</v>
      </c>
      <c r="L820" s="156">
        <f>IFERROR(VLOOKUP($G820,今日總結!$A:$AJ,33,0),"")</f>
        <v>0</v>
      </c>
      <c r="M820" s="340">
        <f>IFERROR(VLOOKUP($G820,今日總結!$A:$AJ,34,0),"")</f>
        <v>1</v>
      </c>
      <c r="N820" s="240">
        <f t="shared" si="175"/>
        <v>-1</v>
      </c>
      <c r="P820" s="365">
        <f>IFERROR(VLOOKUP($G820,融外自投!$A:$J,7,0),"無")</f>
        <v>804</v>
      </c>
      <c r="Q820" s="79">
        <f>IFERROR(VLOOKUP($G820,融外自投!$A:$J,9,0),"無")</f>
        <v>459</v>
      </c>
      <c r="R820" s="346">
        <f>IFERROR(VLOOKUP($G820,融外自投!$A:$J,8,0),"無")</f>
        <v>456</v>
      </c>
      <c r="S820" s="81" t="str">
        <f>IFERROR(VLOOKUP($G820,融外自投!$A:$J,10,0),"無")</f>
        <v>無</v>
      </c>
      <c r="T820" s="327">
        <f>IFERROR(VLOOKUP($G820,'321買'!$A:$E,5,0),"'沒有資料'")</f>
        <v>349</v>
      </c>
      <c r="U820" s="186">
        <f>IFERROR(VLOOKUP($G820,基本資料!$A:$J,9,0),"無")</f>
        <v>1.25</v>
      </c>
      <c r="V820" s="310">
        <f t="shared" si="170"/>
        <v>0.10040160642570281</v>
      </c>
      <c r="W820" s="94">
        <f>IFERROR(VLOOKUP($G820,基本資料!$A:$J,10,0),"無")</f>
        <v>6.3</v>
      </c>
      <c r="X820" s="36">
        <f>RTD("money.excel",,"2489","Price")</f>
        <v>12.45</v>
      </c>
      <c r="Y820" s="66"/>
      <c r="Z820" s="15">
        <f t="shared" si="171"/>
        <v>12.45</v>
      </c>
      <c r="AA820" s="3" t="e">
        <f t="shared" si="172"/>
        <v>#DIV/0!</v>
      </c>
      <c r="AB820" s="344">
        <f>IFERROR(VLOOKUP($G820,基本資料!$A:$M,11,0),"無")</f>
        <v>-38.86</v>
      </c>
      <c r="AC820" s="397">
        <f>IFERROR(VLOOKUP($G820,基本資料!$A:$M,12,0),"無")</f>
        <v>20.329999999999998</v>
      </c>
      <c r="AD820" s="22" t="s">
        <v>4144</v>
      </c>
      <c r="AG820" s="33">
        <f t="shared" si="173"/>
        <v>0</v>
      </c>
      <c r="AH820" s="117" t="s">
        <v>4145</v>
      </c>
      <c r="AI820" s="63">
        <f t="shared" si="174"/>
        <v>2.1473684210526318E-3</v>
      </c>
      <c r="AJ820" s="284">
        <f>RTD("money.excel",,$G820,"PredictVolume")</f>
        <v>1632</v>
      </c>
      <c r="AK820" s="399">
        <f>IFERROR(VLOOKUP($G820,基本資料!$A:$M,13,0),"無")</f>
        <v>19.02</v>
      </c>
    </row>
    <row r="821" spans="1:37">
      <c r="A821" s="347">
        <f>IFERROR(VLOOKUP($G821,基本資料!$A:$J,3,0),"無")</f>
        <v>8.1999999999999993</v>
      </c>
      <c r="B821" s="79">
        <f>IFERROR(VLOOKUP($G821,基本資料!$A:$J,4,0),"無")</f>
        <v>-41</v>
      </c>
      <c r="C821" s="79">
        <f>IFERROR(VLOOKUP($G821,基本資料!$A:$J,5,0),"無")</f>
        <v>-14</v>
      </c>
      <c r="D821" s="79">
        <f>IFERROR(VLOOKUP($G821,基本資料!$A:$J,6,0),"無")</f>
        <v>-121</v>
      </c>
      <c r="E821" s="79">
        <f>IFERROR(VLOOKUP($G821,基本資料!$A:$J,7,0),"無")</f>
        <v>-586</v>
      </c>
      <c r="F821" s="6">
        <f>IFERROR(VLOOKUP($G821,基本資料!$A:$J,8,0),"無")</f>
        <v>34.479999999999997</v>
      </c>
      <c r="G821" s="79">
        <v>2491</v>
      </c>
      <c r="H821" s="8" t="s">
        <v>1878</v>
      </c>
      <c r="I821" s="22" t="s">
        <v>4146</v>
      </c>
      <c r="J821" s="8">
        <f>IFERROR(VLOOKUP($G821,今日總結!$A:$AJ,35,0),"")</f>
        <v>0</v>
      </c>
      <c r="K821" s="5">
        <f>IFERROR(VLOOKUP($G821,今日總結!$A:$AJ,36,0),"")</f>
        <v>0</v>
      </c>
      <c r="L821" s="156">
        <f>IFERROR(VLOOKUP($G821,今日總結!$A:$AJ,33,0),"")</f>
        <v>0</v>
      </c>
      <c r="M821" s="340">
        <f>IFERROR(VLOOKUP($G821,今日總結!$A:$AJ,34,0),"")</f>
        <v>1</v>
      </c>
      <c r="N821" s="240">
        <f t="shared" si="175"/>
        <v>-1</v>
      </c>
      <c r="P821" s="365">
        <f>IFERROR(VLOOKUP($G821,融外自投!$A:$J,7,0),"無")</f>
        <v>852</v>
      </c>
      <c r="Q821" s="79">
        <f>IFERROR(VLOOKUP($G821,融外自投!$A:$J,9,0),"無")</f>
        <v>492</v>
      </c>
      <c r="R821" s="346">
        <f>IFERROR(VLOOKUP($G821,融外自投!$A:$J,8,0),"無")</f>
        <v>734</v>
      </c>
      <c r="S821" s="81">
        <f>IFERROR(VLOOKUP($G821,融外自投!$A:$J,10,0),"無")</f>
        <v>407</v>
      </c>
      <c r="T821" s="327">
        <f>IFERROR(VLOOKUP($G821,'321買'!$A:$E,5,0),"'沒有資料'")</f>
        <v>939</v>
      </c>
      <c r="U821" s="186">
        <f>IFERROR(VLOOKUP($G821,基本資料!$A:$J,9,0),"無")</f>
        <v>0.1</v>
      </c>
      <c r="V821" s="310">
        <f t="shared" si="170"/>
        <v>6.6889632107023419E-3</v>
      </c>
      <c r="W821" s="94">
        <f>IFERROR(VLOOKUP($G821,基本資料!$A:$J,10,0),"無")</f>
        <v>0.63</v>
      </c>
      <c r="X821" s="36">
        <f>RTD("money.excel",,"2491","Price")</f>
        <v>14.95</v>
      </c>
      <c r="Y821" s="66"/>
      <c r="Z821" s="15">
        <f t="shared" si="171"/>
        <v>14.95</v>
      </c>
      <c r="AA821" s="3" t="e">
        <f t="shared" si="172"/>
        <v>#DIV/0!</v>
      </c>
      <c r="AB821" s="344">
        <f>IFERROR(VLOOKUP($G821,基本資料!$A:$M,11,0),"無")</f>
        <v>-63.88</v>
      </c>
      <c r="AC821" s="397">
        <f>IFERROR(VLOOKUP($G821,基本資料!$A:$M,12,0),"無")</f>
        <v>7.91</v>
      </c>
      <c r="AD821" s="22" t="s">
        <v>4146</v>
      </c>
      <c r="AG821" s="33">
        <f t="shared" si="173"/>
        <v>0</v>
      </c>
      <c r="AH821" s="43" t="s">
        <v>4147</v>
      </c>
      <c r="AI821" s="63">
        <f t="shared" si="174"/>
        <v>5.1219512195121953E-4</v>
      </c>
      <c r="AJ821" s="284">
        <f>RTD("money.excel",,$G821,"PredictVolume")</f>
        <v>42</v>
      </c>
      <c r="AK821" s="399">
        <f>IFERROR(VLOOKUP($G821,基本資料!$A:$M,13,0),"無")</f>
        <v>18.36</v>
      </c>
    </row>
    <row r="822" spans="1:37">
      <c r="A822" s="347">
        <f>IFERROR(VLOOKUP($G822,基本資料!$A:$J,3,0),"無")</f>
        <v>13.34</v>
      </c>
      <c r="B822" s="79">
        <f>IFERROR(VLOOKUP($G822,基本資料!$A:$J,4,0),"無")</f>
        <v>-23</v>
      </c>
      <c r="C822" s="79">
        <f>IFERROR(VLOOKUP($G822,基本資料!$A:$J,5,0),"無")</f>
        <v>-27</v>
      </c>
      <c r="D822" s="79">
        <f>IFERROR(VLOOKUP($G822,基本資料!$A:$J,6,0),"無")</f>
        <v>-16</v>
      </c>
      <c r="E822" s="79">
        <f>IFERROR(VLOOKUP($G822,基本資料!$A:$J,7,0),"無")</f>
        <v>-7</v>
      </c>
      <c r="F822" s="6">
        <f>IFERROR(VLOOKUP($G822,基本資料!$A:$J,8,0),"無")</f>
        <v>49.29</v>
      </c>
      <c r="G822" s="79">
        <v>3008</v>
      </c>
      <c r="H822" s="17" t="s">
        <v>1878</v>
      </c>
      <c r="I822" s="22" t="s">
        <v>1840</v>
      </c>
      <c r="J822" s="8" t="str">
        <f>IFERROR(VLOOKUP($G822,今日總結!$A:$AJ,35,0),"")</f>
        <v/>
      </c>
      <c r="K822" s="5" t="str">
        <f>IFERROR(VLOOKUP($G822,今日總結!$A:$AJ,36,0),"")</f>
        <v/>
      </c>
      <c r="L822" s="156" t="str">
        <f>IFERROR(VLOOKUP($G822,今日總結!$A:$AJ,33,0),"")</f>
        <v/>
      </c>
      <c r="M822" s="340" t="str">
        <f>IFERROR(VLOOKUP($G822,今日總結!$A:$AJ,34,0),"")</f>
        <v/>
      </c>
      <c r="N822" s="240" t="str">
        <f t="shared" si="175"/>
        <v/>
      </c>
      <c r="P822" s="365">
        <f>IFERROR(VLOOKUP($G822,融外自投!$A:$J,7,0),"無")</f>
        <v>873</v>
      </c>
      <c r="Q822" s="79">
        <f>IFERROR(VLOOKUP($G822,融外自投!$A:$J,9,0),"無")</f>
        <v>60</v>
      </c>
      <c r="R822" s="346">
        <f>IFERROR(VLOOKUP($G822,融外自投!$A:$J,8,0),"無")</f>
        <v>139</v>
      </c>
      <c r="S822" s="81">
        <f>IFERROR(VLOOKUP($G822,融外自投!$A:$J,10,0),"無")</f>
        <v>184</v>
      </c>
      <c r="T822" s="327">
        <f>IFERROR(VLOOKUP($G822,'321買'!$A:$E,5,0),"'沒有資料'")</f>
        <v>503</v>
      </c>
      <c r="U822" s="186">
        <f>IFERROR(VLOOKUP($G822,基本資料!$A:$J,9,0),"無")</f>
        <v>70.16</v>
      </c>
      <c r="V822" s="310">
        <f t="shared" si="170"/>
        <v>4.3442724458204331E-2</v>
      </c>
      <c r="W822" s="94">
        <f>IFERROR(VLOOKUP($G822,基本資料!$A:$J,10,0),"無")</f>
        <v>139.28</v>
      </c>
      <c r="X822" s="360">
        <f>RTD("money.excel",,"3008","Price")</f>
        <v>1615</v>
      </c>
      <c r="Y822" s="65"/>
      <c r="Z822" s="137">
        <f t="shared" si="171"/>
        <v>1615</v>
      </c>
      <c r="AA822" s="3" t="e">
        <f t="shared" si="172"/>
        <v>#DIV/0!</v>
      </c>
      <c r="AB822" s="344">
        <f>IFERROR(VLOOKUP($G822,基本資料!$A:$M,11,0),"無")</f>
        <v>-51.55</v>
      </c>
      <c r="AC822" s="397">
        <f>IFERROR(VLOOKUP($G822,基本資料!$A:$M,12,0),"無")</f>
        <v>6.65</v>
      </c>
      <c r="AD822" s="22" t="s">
        <v>1840</v>
      </c>
      <c r="AG822" s="33">
        <f t="shared" si="173"/>
        <v>0</v>
      </c>
      <c r="AH822" s="43" t="s">
        <v>4148</v>
      </c>
      <c r="AI822" s="63">
        <f t="shared" si="174"/>
        <v>3.5682158920539728E-3</v>
      </c>
      <c r="AJ822" s="284">
        <f>RTD("money.excel",,$G822,"PredictVolume")</f>
        <v>476</v>
      </c>
      <c r="AK822" s="399">
        <f>IFERROR(VLOOKUP($G822,基本資料!$A:$M,13,0),"無")</f>
        <v>2.58</v>
      </c>
    </row>
    <row r="823" spans="1:37">
      <c r="A823" s="347">
        <f>IFERROR(VLOOKUP($G823,基本資料!$A:$J,3,0),"無")</f>
        <v>28.1</v>
      </c>
      <c r="B823" s="79">
        <f>IFERROR(VLOOKUP($G823,基本資料!$A:$J,4,0),"無")</f>
        <v>208</v>
      </c>
      <c r="C823" s="79">
        <f>IFERROR(VLOOKUP($G823,基本資料!$A:$J,5,0),"無")</f>
        <v>128</v>
      </c>
      <c r="D823" s="79">
        <f>IFERROR(VLOOKUP($G823,基本資料!$A:$J,6,0),"無")</f>
        <v>-13</v>
      </c>
      <c r="E823" s="79">
        <f>IFERROR(VLOOKUP($G823,基本資料!$A:$J,7,0),"無")</f>
        <v>-7</v>
      </c>
      <c r="F823" s="6">
        <f>IFERROR(VLOOKUP($G823,基本資料!$A:$J,8,0),"無")</f>
        <v>9.75</v>
      </c>
      <c r="G823" s="79">
        <v>3019</v>
      </c>
      <c r="H823" s="192" t="s">
        <v>1878</v>
      </c>
      <c r="I823" s="22" t="s">
        <v>4149</v>
      </c>
      <c r="J823" s="8">
        <f>IFERROR(VLOOKUP($G823,今日總結!$A:$AJ,35,0),"")</f>
        <v>0</v>
      </c>
      <c r="K823" s="5" t="str">
        <f>IFERROR(VLOOKUP($G823,今日總結!$A:$AJ,36,0),"")</f>
        <v>融</v>
      </c>
      <c r="L823" s="156">
        <f>IFERROR(VLOOKUP($G823,今日總結!$A:$AJ,33,0),"")</f>
        <v>0</v>
      </c>
      <c r="M823" s="340">
        <f>IFERROR(VLOOKUP($G823,今日總結!$A:$AJ,34,0),"")</f>
        <v>1</v>
      </c>
      <c r="N823" s="240">
        <f t="shared" si="175"/>
        <v>-1</v>
      </c>
      <c r="P823" s="365">
        <f>IFERROR(VLOOKUP($G823,融外自投!$A:$J,7,0),"無")</f>
        <v>201</v>
      </c>
      <c r="Q823" s="79">
        <f>IFERROR(VLOOKUP($G823,融外自投!$A:$J,9,0),"無")</f>
        <v>243</v>
      </c>
      <c r="R823" s="346">
        <f>IFERROR(VLOOKUP($G823,融外自投!$A:$J,8,0),"無")</f>
        <v>598</v>
      </c>
      <c r="S823" s="81">
        <f>IFERROR(VLOOKUP($G823,融外自投!$A:$J,10,0),"無")</f>
        <v>329</v>
      </c>
      <c r="T823" s="327">
        <f>IFERROR(VLOOKUP($G823,'321買'!$A:$E,5,0),"'沒有資料'")</f>
        <v>463</v>
      </c>
      <c r="U823" s="186">
        <f>IFERROR(VLOOKUP($G823,基本資料!$A:$J,9,0),"無")</f>
        <v>3.7</v>
      </c>
      <c r="V823" s="310">
        <f t="shared" si="170"/>
        <v>5.8544303797468354E-2</v>
      </c>
      <c r="W823" s="94">
        <f>IFERROR(VLOOKUP($G823,基本資料!$A:$J,10,0),"無")</f>
        <v>5.34</v>
      </c>
      <c r="X823" s="36">
        <f>RTD("money.excel",,"3019","Price")</f>
        <v>63.2</v>
      </c>
      <c r="Y823" s="66"/>
      <c r="Z823" s="15">
        <f t="shared" si="171"/>
        <v>63.2</v>
      </c>
      <c r="AA823" s="3" t="e">
        <f t="shared" si="172"/>
        <v>#DIV/0!</v>
      </c>
      <c r="AB823" s="344">
        <f>IFERROR(VLOOKUP($G823,基本資料!$A:$M,11,0),"無")</f>
        <v>-38.26</v>
      </c>
      <c r="AC823" s="397">
        <f>IFERROR(VLOOKUP($G823,基本資料!$A:$M,12,0),"無")</f>
        <v>11.26</v>
      </c>
      <c r="AD823" s="22" t="s">
        <v>4149</v>
      </c>
      <c r="AG823" s="33">
        <f t="shared" si="173"/>
        <v>0</v>
      </c>
      <c r="AH823" s="117" t="s">
        <v>2031</v>
      </c>
      <c r="AI823" s="63">
        <f t="shared" si="174"/>
        <v>3.715302491103203E-3</v>
      </c>
      <c r="AJ823" s="284">
        <f>RTD("money.excel",,$G823,"PredictVolume")</f>
        <v>1044</v>
      </c>
      <c r="AK823" s="399">
        <f>IFERROR(VLOOKUP($G823,基本資料!$A:$M,13,0),"無")</f>
        <v>16.899999999999999</v>
      </c>
    </row>
    <row r="824" spans="1:37">
      <c r="A824" s="347">
        <f>IFERROR(VLOOKUP($G824,基本資料!$A:$J,3,0),"無")</f>
        <v>27.71</v>
      </c>
      <c r="B824" s="79">
        <f>IFERROR(VLOOKUP($G824,基本資料!$A:$J,4,0),"無")</f>
        <v>381</v>
      </c>
      <c r="C824" s="79">
        <f>IFERROR(VLOOKUP($G824,基本資料!$A:$J,5,0),"無")</f>
        <v>-65</v>
      </c>
      <c r="D824" s="79">
        <f>IFERROR(VLOOKUP($G824,基本資料!$A:$J,6,0),"無")</f>
        <v>79</v>
      </c>
      <c r="E824" s="79">
        <f>IFERROR(VLOOKUP($G824,基本資料!$A:$J,7,0),"無")</f>
        <v>26</v>
      </c>
      <c r="F824" s="6">
        <f>IFERROR(VLOOKUP($G824,基本資料!$A:$J,8,0),"無")</f>
        <v>1</v>
      </c>
      <c r="G824" s="79">
        <v>3024</v>
      </c>
      <c r="H824" s="8" t="s">
        <v>1878</v>
      </c>
      <c r="I824" s="22" t="s">
        <v>4150</v>
      </c>
      <c r="J824" s="8">
        <f>IFERROR(VLOOKUP($G824,今日總結!$A:$AJ,35,0),"")</f>
        <v>0</v>
      </c>
      <c r="K824" s="5">
        <f>IFERROR(VLOOKUP($G824,今日總結!$A:$AJ,36,0),"")</f>
        <v>0</v>
      </c>
      <c r="L824" s="156">
        <f>IFERROR(VLOOKUP($G824,今日總結!$A:$AJ,33,0),"")</f>
        <v>0</v>
      </c>
      <c r="M824" s="340">
        <f>IFERROR(VLOOKUP($G824,今日總結!$A:$AJ,34,0),"")</f>
        <v>1</v>
      </c>
      <c r="N824" s="240">
        <f t="shared" si="175"/>
        <v>-1</v>
      </c>
      <c r="P824" s="365">
        <f>IFERROR(VLOOKUP($G824,融外自投!$A:$J,7,0),"無")</f>
        <v>1212</v>
      </c>
      <c r="Q824" s="79" t="str">
        <f>IFERROR(VLOOKUP($G824,融外自投!$A:$J,9,0),"無")</f>
        <v>無</v>
      </c>
      <c r="R824" s="346">
        <f>IFERROR(VLOOKUP($G824,融外自投!$A:$J,8,0),"無")</f>
        <v>1197</v>
      </c>
      <c r="S824" s="81" t="str">
        <f>IFERROR(VLOOKUP($G824,融外自投!$A:$J,10,0),"無")</f>
        <v>無</v>
      </c>
      <c r="T824" s="327">
        <f>IFERROR(VLOOKUP($G824,'321買'!$A:$E,5,0),"'沒有資料'")</f>
        <v>1214</v>
      </c>
      <c r="U824" s="186">
        <f>IFERROR(VLOOKUP($G824,基本資料!$A:$J,9,0),"無")</f>
        <v>0.3</v>
      </c>
      <c r="V824" s="310">
        <f t="shared" si="170"/>
        <v>2.4999999999999998E-2</v>
      </c>
      <c r="W824" s="94">
        <f>IFERROR(VLOOKUP($G824,基本資料!$A:$J,10,0),"無")</f>
        <v>0.75</v>
      </c>
      <c r="X824" s="36">
        <f>RTD("money.excel",,"3024","Price")</f>
        <v>12</v>
      </c>
      <c r="Y824" s="66"/>
      <c r="Z824" s="15">
        <f t="shared" si="171"/>
        <v>12</v>
      </c>
      <c r="AA824" s="3" t="e">
        <f t="shared" si="172"/>
        <v>#DIV/0!</v>
      </c>
      <c r="AB824" s="344">
        <f>IFERROR(VLOOKUP($G824,基本資料!$A:$M,11,0),"無")</f>
        <v>-22.22</v>
      </c>
      <c r="AC824" s="397">
        <f>IFERROR(VLOOKUP($G824,基本資料!$A:$M,12,0),"無")</f>
        <v>24.41</v>
      </c>
      <c r="AD824" s="22" t="s">
        <v>4150</v>
      </c>
      <c r="AG824" s="33">
        <f t="shared" si="173"/>
        <v>0</v>
      </c>
      <c r="AH824" s="43" t="s">
        <v>4151</v>
      </c>
      <c r="AI824" s="63">
        <f t="shared" si="174"/>
        <v>1.0826416456153013E-3</v>
      </c>
      <c r="AJ824" s="284">
        <f>RTD("money.excel",,$G824,"PredictVolume")</f>
        <v>300</v>
      </c>
      <c r="AK824" s="399">
        <f>IFERROR(VLOOKUP($G824,基本資料!$A:$M,13,0),"無")</f>
        <v>7.99</v>
      </c>
    </row>
    <row r="825" spans="1:37">
      <c r="A825" s="347">
        <f>IFERROR(VLOOKUP($G825,基本資料!$A:$J,3,0),"無")</f>
        <v>18.16</v>
      </c>
      <c r="B825" s="79">
        <f>IFERROR(VLOOKUP($G825,基本資料!$A:$J,4,0),"無")</f>
        <v>89</v>
      </c>
      <c r="C825" s="79">
        <f>IFERROR(VLOOKUP($G825,基本資料!$A:$J,5,0),"無")</f>
        <v>47</v>
      </c>
      <c r="D825" s="79">
        <f>IFERROR(VLOOKUP($G825,基本資料!$A:$J,6,0),"無")</f>
        <v>23</v>
      </c>
      <c r="E825" s="79">
        <f>IFERROR(VLOOKUP($G825,基本資料!$A:$J,7,0),"無")</f>
        <v>-2</v>
      </c>
      <c r="F825" s="6">
        <f>IFERROR(VLOOKUP($G825,基本資料!$A:$J,8,0),"無")</f>
        <v>10.35</v>
      </c>
      <c r="G825" s="79">
        <v>3031</v>
      </c>
      <c r="H825" s="8" t="s">
        <v>1878</v>
      </c>
      <c r="I825" s="22" t="s">
        <v>4152</v>
      </c>
      <c r="J825" s="8" t="str">
        <f>IFERROR(VLOOKUP($G825,今日總結!$A:$AJ,35,0),"")</f>
        <v/>
      </c>
      <c r="K825" s="5" t="str">
        <f>IFERROR(VLOOKUP($G825,今日總結!$A:$AJ,36,0),"")</f>
        <v/>
      </c>
      <c r="L825" s="156" t="str">
        <f>IFERROR(VLOOKUP($G825,今日總結!$A:$AJ,33,0),"")</f>
        <v/>
      </c>
      <c r="M825" s="340" t="str">
        <f>IFERROR(VLOOKUP($G825,今日總結!$A:$AJ,34,0),"")</f>
        <v/>
      </c>
      <c r="N825" s="240" t="str">
        <f t="shared" si="175"/>
        <v/>
      </c>
      <c r="P825" s="365">
        <f>IFERROR(VLOOKUP($G825,融外自投!$A:$J,7,0),"無")</f>
        <v>856</v>
      </c>
      <c r="Q825" s="79">
        <f>IFERROR(VLOOKUP($G825,融外自投!$A:$J,9,0),"無")</f>
        <v>978</v>
      </c>
      <c r="R825" s="346">
        <f>IFERROR(VLOOKUP($G825,融外自投!$A:$J,8,0),"無")</f>
        <v>1100</v>
      </c>
      <c r="S825" s="81" t="str">
        <f>IFERROR(VLOOKUP($G825,融外自投!$A:$J,10,0),"無")</f>
        <v>無</v>
      </c>
      <c r="T825" s="327">
        <f>IFERROR(VLOOKUP($G825,'321買'!$A:$E,5,0),"'沒有資料'")</f>
        <v>515</v>
      </c>
      <c r="U825" s="186">
        <f>IFERROR(VLOOKUP($G825,基本資料!$A:$J,9,0),"無")</f>
        <v>1</v>
      </c>
      <c r="V825" s="310">
        <f t="shared" si="170"/>
        <v>5.3475935828877004E-2</v>
      </c>
      <c r="W825" s="94">
        <f>IFERROR(VLOOKUP($G825,基本資料!$A:$J,10,0),"無")</f>
        <v>1.45</v>
      </c>
      <c r="X825" s="36">
        <f>RTD("money.excel",,"3031","Price")</f>
        <v>18.7</v>
      </c>
      <c r="Y825" s="66"/>
      <c r="Z825" s="15">
        <f t="shared" si="171"/>
        <v>18.7</v>
      </c>
      <c r="AA825" s="3" t="e">
        <f t="shared" si="172"/>
        <v>#DIV/0!</v>
      </c>
      <c r="AB825" s="344">
        <f>IFERROR(VLOOKUP($G825,基本資料!$A:$M,11,0),"無")</f>
        <v>-41.44</v>
      </c>
      <c r="AC825" s="397">
        <f>IFERROR(VLOOKUP($G825,基本資料!$A:$M,12,0),"無")</f>
        <v>16.239999999999998</v>
      </c>
      <c r="AD825" s="22" t="s">
        <v>4152</v>
      </c>
      <c r="AG825" s="33">
        <f t="shared" si="173"/>
        <v>0</v>
      </c>
      <c r="AH825" s="43" t="s">
        <v>4153</v>
      </c>
      <c r="AI825" s="63">
        <f t="shared" si="174"/>
        <v>3.0837004405286344E-4</v>
      </c>
      <c r="AJ825" s="284">
        <f>RTD("money.excel",,$G825,"PredictVolume")</f>
        <v>56</v>
      </c>
      <c r="AK825" s="399">
        <f>IFERROR(VLOOKUP($G825,基本資料!$A:$M,13,0),"無")</f>
        <v>18.68</v>
      </c>
    </row>
    <row r="826" spans="1:37">
      <c r="A826" s="347">
        <f>IFERROR(VLOOKUP($G826,基本資料!$A:$J,3,0),"無")</f>
        <v>15.74</v>
      </c>
      <c r="B826" s="79">
        <f>IFERROR(VLOOKUP($G826,基本資料!$A:$J,4,0),"無")</f>
        <v>1</v>
      </c>
      <c r="C826" s="79">
        <f>IFERROR(VLOOKUP($G826,基本資料!$A:$J,5,0),"無")</f>
        <v>-20</v>
      </c>
      <c r="D826" s="79">
        <f>IFERROR(VLOOKUP($G826,基本資料!$A:$J,6,0),"無")</f>
        <v>18</v>
      </c>
      <c r="E826" s="79">
        <f>IFERROR(VLOOKUP($G826,基本資料!$A:$J,7,0),"無")</f>
        <v>-4</v>
      </c>
      <c r="F826" s="6">
        <f>IFERROR(VLOOKUP($G826,基本資料!$A:$J,8,0),"無")</f>
        <v>6.38</v>
      </c>
      <c r="G826" s="79">
        <v>3038</v>
      </c>
      <c r="H826" s="8" t="s">
        <v>1878</v>
      </c>
      <c r="I826" s="22" t="s">
        <v>4154</v>
      </c>
      <c r="J826" s="8">
        <f>IFERROR(VLOOKUP($G826,今日總結!$A:$AJ,35,0),"")</f>
        <v>0</v>
      </c>
      <c r="K826" s="5">
        <f>IFERROR(VLOOKUP($G826,今日總結!$A:$AJ,36,0),"")</f>
        <v>0</v>
      </c>
      <c r="L826" s="156">
        <f>IFERROR(VLOOKUP($G826,今日總結!$A:$AJ,33,0),"")</f>
        <v>0</v>
      </c>
      <c r="M826" s="340">
        <f>IFERROR(VLOOKUP($G826,今日總結!$A:$AJ,34,0),"")</f>
        <v>1</v>
      </c>
      <c r="N826" s="240">
        <f t="shared" si="175"/>
        <v>-1</v>
      </c>
      <c r="P826" s="365">
        <f>IFERROR(VLOOKUP($G826,融外自投!$A:$J,7,0),"無")</f>
        <v>431</v>
      </c>
      <c r="Q826" s="79">
        <f>IFERROR(VLOOKUP($G826,融外自投!$A:$J,9,0),"無")</f>
        <v>789</v>
      </c>
      <c r="R826" s="346">
        <f>IFERROR(VLOOKUP($G826,融外自投!$A:$J,8,0),"無")</f>
        <v>1059</v>
      </c>
      <c r="S826" s="81" t="str">
        <f>IFERROR(VLOOKUP($G826,融外自投!$A:$J,10,0),"無")</f>
        <v>無</v>
      </c>
      <c r="T826" s="327">
        <f>IFERROR(VLOOKUP($G826,'321買'!$A:$E,5,0),"'沒有資料'")</f>
        <v>984</v>
      </c>
      <c r="U826" s="186">
        <f>IFERROR(VLOOKUP($G826,基本資料!$A:$J,9,0),"無")</f>
        <v>1.2</v>
      </c>
      <c r="V826" s="310">
        <f t="shared" si="170"/>
        <v>6.6666666666666666E-2</v>
      </c>
      <c r="W826" s="94">
        <f>IFERROR(VLOOKUP($G826,基本資料!$A:$J,10,0),"無")</f>
        <v>1.6</v>
      </c>
      <c r="X826" s="36">
        <f>RTD("money.excel",,"3038","Price")</f>
        <v>18</v>
      </c>
      <c r="Y826" s="66"/>
      <c r="Z826" s="15">
        <f t="shared" si="171"/>
        <v>18</v>
      </c>
      <c r="AA826" s="3" t="e">
        <f t="shared" si="172"/>
        <v>#DIV/0!</v>
      </c>
      <c r="AB826" s="344">
        <f>IFERROR(VLOOKUP($G826,基本資料!$A:$M,11,0),"無")</f>
        <v>-26.76</v>
      </c>
      <c r="AC826" s="397">
        <f>IFERROR(VLOOKUP($G826,基本資料!$A:$M,12,0),"無")</f>
        <v>16.66</v>
      </c>
      <c r="AD826" s="22" t="s">
        <v>4154</v>
      </c>
      <c r="AG826" s="33">
        <f t="shared" si="173"/>
        <v>0</v>
      </c>
      <c r="AH826" s="43" t="s">
        <v>4155</v>
      </c>
      <c r="AI826" s="63">
        <f t="shared" si="174"/>
        <v>1.0991105463786532E-3</v>
      </c>
      <c r="AJ826" s="284">
        <f>RTD("money.excel",,$G826,"PredictVolume")</f>
        <v>173</v>
      </c>
      <c r="AK826" s="399">
        <f>IFERROR(VLOOKUP($G826,基本資料!$A:$M,13,0),"無")</f>
        <v>28.65</v>
      </c>
    </row>
    <row r="827" spans="1:37">
      <c r="A827" s="347">
        <f>IFERROR(VLOOKUP($G827,基本資料!$A:$J,3,0),"無")</f>
        <v>80.69</v>
      </c>
      <c r="B827" s="79">
        <f>IFERROR(VLOOKUP($G827,基本資料!$A:$J,4,0),"無")</f>
        <v>191</v>
      </c>
      <c r="C827" s="79">
        <f>IFERROR(VLOOKUP($G827,基本資料!$A:$J,5,0),"無")</f>
        <v>139</v>
      </c>
      <c r="D827" s="79">
        <f>IFERROR(VLOOKUP($G827,基本資料!$A:$J,6,0),"無")</f>
        <v>-21</v>
      </c>
      <c r="E827" s="79">
        <f>IFERROR(VLOOKUP($G827,基本資料!$A:$J,7,0),"無")</f>
        <v>-24</v>
      </c>
      <c r="F827" s="6">
        <f>IFERROR(VLOOKUP($G827,基本資料!$A:$J,8,0),"無")</f>
        <v>26.57</v>
      </c>
      <c r="G827" s="79">
        <v>3049</v>
      </c>
      <c r="H827" s="8" t="s">
        <v>1878</v>
      </c>
      <c r="I827" s="22" t="s">
        <v>4156</v>
      </c>
      <c r="J827" s="8" t="str">
        <f>IFERROR(VLOOKUP($G827,今日總結!$A:$AJ,35,0),"")</f>
        <v/>
      </c>
      <c r="K827" s="5" t="str">
        <f>IFERROR(VLOOKUP($G827,今日總結!$A:$AJ,36,0),"")</f>
        <v/>
      </c>
      <c r="L827" s="156" t="str">
        <f>IFERROR(VLOOKUP($G827,今日總結!$A:$AJ,33,0),"")</f>
        <v/>
      </c>
      <c r="M827" s="340" t="str">
        <f>IFERROR(VLOOKUP($G827,今日總結!$A:$AJ,34,0),"")</f>
        <v/>
      </c>
      <c r="N827" s="240" t="str">
        <f t="shared" si="175"/>
        <v/>
      </c>
      <c r="P827" s="365">
        <f>IFERROR(VLOOKUP($G827,融外自投!$A:$J,7,0),"無")</f>
        <v>560</v>
      </c>
      <c r="Q827" s="79" t="str">
        <f>IFERROR(VLOOKUP($G827,融外自投!$A:$J,9,0),"無")</f>
        <v>無</v>
      </c>
      <c r="R827" s="346">
        <f>IFERROR(VLOOKUP($G827,融外自投!$A:$J,8,0),"無")</f>
        <v>685</v>
      </c>
      <c r="S827" s="81">
        <f>IFERROR(VLOOKUP($G827,融外自投!$A:$J,10,0),"無")</f>
        <v>491</v>
      </c>
      <c r="T827" s="327">
        <f>IFERROR(VLOOKUP($G827,'321買'!$A:$E,5,0),"'沒有資料'")</f>
        <v>515</v>
      </c>
      <c r="U827" s="186">
        <f>IFERROR(VLOOKUP($G827,基本資料!$A:$J,9,0),"無")</f>
        <v>0.35</v>
      </c>
      <c r="V827" s="310">
        <f t="shared" si="170"/>
        <v>3.1531531531531529E-2</v>
      </c>
      <c r="W827" s="94">
        <f>IFERROR(VLOOKUP($G827,基本資料!$A:$J,10,0),"無")</f>
        <v>1.24</v>
      </c>
      <c r="X827" s="36">
        <f>RTD("money.excel",,"3049","Price")</f>
        <v>11.1</v>
      </c>
      <c r="Y827" s="66"/>
      <c r="Z827" s="15">
        <f t="shared" si="171"/>
        <v>11.1</v>
      </c>
      <c r="AA827" s="3" t="e">
        <f t="shared" si="172"/>
        <v>#DIV/0!</v>
      </c>
      <c r="AB827" s="344">
        <f>IFERROR(VLOOKUP($G827,基本資料!$A:$M,11,0),"無")</f>
        <v>-42.71</v>
      </c>
      <c r="AC827" s="397">
        <f>IFERROR(VLOOKUP($G827,基本資料!$A:$M,12,0),"無")</f>
        <v>11.94</v>
      </c>
      <c r="AD827" s="22" t="s">
        <v>4156</v>
      </c>
      <c r="AG827" s="33">
        <f t="shared" si="173"/>
        <v>0</v>
      </c>
      <c r="AH827" s="117" t="s">
        <v>4157</v>
      </c>
      <c r="AI827" s="63">
        <f t="shared" si="174"/>
        <v>2.3237080183418019E-3</v>
      </c>
      <c r="AJ827" s="284">
        <f>RTD("money.excel",,$G827,"PredictVolume")</f>
        <v>1875</v>
      </c>
      <c r="AK827" s="399">
        <f>IFERROR(VLOOKUP($G827,基本資料!$A:$M,13,0),"無")</f>
        <v>21.46</v>
      </c>
    </row>
    <row r="828" spans="1:37">
      <c r="A828" s="347">
        <f>IFERROR(VLOOKUP($G828,基本資料!$A:$J,3,0),"無")</f>
        <v>14.59</v>
      </c>
      <c r="B828" s="79">
        <f>IFERROR(VLOOKUP($G828,基本資料!$A:$J,4,0),"無")</f>
        <v>10</v>
      </c>
      <c r="C828" s="79">
        <f>IFERROR(VLOOKUP($G828,基本資料!$A:$J,5,0),"無")</f>
        <v>-38</v>
      </c>
      <c r="D828" s="79">
        <f>IFERROR(VLOOKUP($G828,基本資料!$A:$J,6,0),"無")</f>
        <v>24</v>
      </c>
      <c r="E828" s="79">
        <f>IFERROR(VLOOKUP($G828,基本資料!$A:$J,7,0),"無")</f>
        <v>18</v>
      </c>
      <c r="F828" s="6">
        <f>IFERROR(VLOOKUP($G828,基本資料!$A:$J,8,0),"無")</f>
        <v>11.12</v>
      </c>
      <c r="G828" s="79">
        <v>3050</v>
      </c>
      <c r="H828" s="8" t="s">
        <v>1878</v>
      </c>
      <c r="I828" s="22" t="s">
        <v>4158</v>
      </c>
      <c r="J828" s="8" t="str">
        <f>IFERROR(VLOOKUP($G828,今日總結!$A:$AJ,35,0),"")</f>
        <v/>
      </c>
      <c r="K828" s="5" t="str">
        <f>IFERROR(VLOOKUP($G828,今日總結!$A:$AJ,36,0),"")</f>
        <v/>
      </c>
      <c r="L828" s="156" t="str">
        <f>IFERROR(VLOOKUP($G828,今日總結!$A:$AJ,33,0),"")</f>
        <v/>
      </c>
      <c r="M828" s="340" t="str">
        <f>IFERROR(VLOOKUP($G828,今日總結!$A:$AJ,34,0),"")</f>
        <v/>
      </c>
      <c r="N828" s="240" t="str">
        <f t="shared" si="175"/>
        <v/>
      </c>
      <c r="P828" s="365">
        <f>IFERROR(VLOOKUP($G828,融外自投!$A:$J,7,0),"無")</f>
        <v>152</v>
      </c>
      <c r="Q828" s="79">
        <f>IFERROR(VLOOKUP($G828,融外自投!$A:$J,9,0),"無")</f>
        <v>708</v>
      </c>
      <c r="R828" s="346">
        <f>IFERROR(VLOOKUP($G828,融外自投!$A:$J,8,0),"無")</f>
        <v>430</v>
      </c>
      <c r="S828" s="81" t="str">
        <f>IFERROR(VLOOKUP($G828,融外自投!$A:$J,10,0),"無")</f>
        <v>無</v>
      </c>
      <c r="T828" s="327">
        <f>IFERROR(VLOOKUP($G828,'321買'!$A:$E,5,0),"'沒有資料'")</f>
        <v>536</v>
      </c>
      <c r="U828" s="186">
        <f>IFERROR(VLOOKUP($G828,基本資料!$A:$J,9,0),"無")</f>
        <v>0.6</v>
      </c>
      <c r="V828" s="310">
        <f t="shared" si="170"/>
        <v>3.287671232876712E-2</v>
      </c>
      <c r="W828" s="94">
        <f>IFERROR(VLOOKUP($G828,基本資料!$A:$J,10,0),"無")</f>
        <v>0.9</v>
      </c>
      <c r="X828" s="36">
        <f>RTD("money.excel",,"3050","Price")</f>
        <v>18.25</v>
      </c>
      <c r="Y828" s="66"/>
      <c r="Z828" s="15">
        <f t="shared" si="171"/>
        <v>18.25</v>
      </c>
      <c r="AA828" s="3" t="e">
        <f t="shared" si="172"/>
        <v>#DIV/0!</v>
      </c>
      <c r="AB828" s="344">
        <f>IFERROR(VLOOKUP($G828,基本資料!$A:$M,11,0),"無")</f>
        <v>-6.57</v>
      </c>
      <c r="AC828" s="397">
        <f>IFERROR(VLOOKUP($G828,基本資料!$A:$M,12,0),"無")</f>
        <v>57.26</v>
      </c>
      <c r="AD828" s="22" t="s">
        <v>4158</v>
      </c>
      <c r="AG828" s="33">
        <f t="shared" si="173"/>
        <v>0</v>
      </c>
      <c r="AH828" s="43" t="s">
        <v>4159</v>
      </c>
      <c r="AI828" s="63">
        <f t="shared" si="174"/>
        <v>1.8142563399588758E-2</v>
      </c>
      <c r="AJ828" s="284">
        <f>RTD("money.excel",,$G828,"PredictVolume")</f>
        <v>2647</v>
      </c>
      <c r="AK828" s="399">
        <f>IFERROR(VLOOKUP($G828,基本資料!$A:$M,13,0),"無")</f>
        <v>11.54</v>
      </c>
    </row>
    <row r="829" spans="1:37">
      <c r="A829" s="347">
        <f>IFERROR(VLOOKUP($G829,基本資料!$A:$J,3,0),"無")</f>
        <v>17</v>
      </c>
      <c r="B829" s="79">
        <f>IFERROR(VLOOKUP($G829,基本資料!$A:$J,4,0),"無")</f>
        <v>4819</v>
      </c>
      <c r="C829" s="79">
        <f>IFERROR(VLOOKUP($G829,基本資料!$A:$J,5,0),"無")</f>
        <v>167</v>
      </c>
      <c r="D829" s="79">
        <f>IFERROR(VLOOKUP($G829,基本資料!$A:$J,6,0),"無")</f>
        <v>12</v>
      </c>
      <c r="E829" s="79">
        <f>IFERROR(VLOOKUP($G829,基本資料!$A:$J,7,0),"無")</f>
        <v>-4</v>
      </c>
      <c r="F829" s="6">
        <f>IFERROR(VLOOKUP($G829,基本資料!$A:$J,8,0),"無")</f>
        <v>9.93</v>
      </c>
      <c r="G829" s="79">
        <v>3051</v>
      </c>
      <c r="H829" s="8" t="s">
        <v>1878</v>
      </c>
      <c r="I829" s="22" t="s">
        <v>4160</v>
      </c>
      <c r="J829" s="8">
        <f>IFERROR(VLOOKUP($G829,今日總結!$A:$AJ,35,0),"")</f>
        <v>0</v>
      </c>
      <c r="K829" s="5" t="str">
        <f>IFERROR(VLOOKUP($G829,今日總結!$A:$AJ,36,0),"")</f>
        <v>借</v>
      </c>
      <c r="L829" s="156">
        <f>IFERROR(VLOOKUP($G829,今日總結!$A:$AJ,33,0),"")</f>
        <v>0</v>
      </c>
      <c r="M829" s="340">
        <f>IFERROR(VLOOKUP($G829,今日總結!$A:$AJ,34,0),"")</f>
        <v>1</v>
      </c>
      <c r="N829" s="240">
        <f t="shared" si="175"/>
        <v>-1</v>
      </c>
      <c r="P829" s="365">
        <f>IFERROR(VLOOKUP($G829,融外自投!$A:$J,7,0),"無")</f>
        <v>1177</v>
      </c>
      <c r="Q829" s="79">
        <f>IFERROR(VLOOKUP($G829,融外自投!$A:$J,9,0),"無")</f>
        <v>762</v>
      </c>
      <c r="R829" s="346">
        <f>IFERROR(VLOOKUP($G829,融外自投!$A:$J,8,0),"無")</f>
        <v>1286</v>
      </c>
      <c r="S829" s="81" t="str">
        <f>IFERROR(VLOOKUP($G829,融外自投!$A:$J,10,0),"無")</f>
        <v>無</v>
      </c>
      <c r="T829" s="327">
        <f>IFERROR(VLOOKUP($G829,'321買'!$A:$E,5,0),"'沒有資料'")</f>
        <v>1143</v>
      </c>
      <c r="U829" s="186">
        <f>IFERROR(VLOOKUP($G829,基本資料!$A:$J,9,0),"無")</f>
        <v>0</v>
      </c>
      <c r="V829" s="310">
        <f t="shared" si="170"/>
        <v>0</v>
      </c>
      <c r="W829" s="94">
        <f>IFERROR(VLOOKUP($G829,基本資料!$A:$J,10,0),"無")</f>
        <v>4.76</v>
      </c>
      <c r="X829" s="36">
        <f>RTD("money.excel",,"3051","Price")</f>
        <v>18.55</v>
      </c>
      <c r="Y829" s="66"/>
      <c r="Z829" s="15">
        <f t="shared" si="171"/>
        <v>18.55</v>
      </c>
      <c r="AA829" s="3" t="e">
        <f t="shared" si="172"/>
        <v>#DIV/0!</v>
      </c>
      <c r="AB829" s="344">
        <f>IFERROR(VLOOKUP($G829,基本資料!$A:$M,11,0),"無")</f>
        <v>-56.27</v>
      </c>
      <c r="AC829" s="397">
        <f>IFERROR(VLOOKUP($G829,基本資料!$A:$M,12,0),"無")</f>
        <v>12.71</v>
      </c>
      <c r="AD829" s="22" t="s">
        <v>4160</v>
      </c>
      <c r="AG829" s="33">
        <f t="shared" si="173"/>
        <v>0</v>
      </c>
      <c r="AH829" s="43" t="s">
        <v>4161</v>
      </c>
      <c r="AI829" s="63">
        <f t="shared" si="174"/>
        <v>5.0647058823529408E-3</v>
      </c>
      <c r="AJ829" s="284">
        <f>RTD("money.excel",,$G829,"PredictVolume")</f>
        <v>861</v>
      </c>
      <c r="AK829" s="399">
        <f>IFERROR(VLOOKUP($G829,基本資料!$A:$M,13,0),"無")</f>
        <v>27.34</v>
      </c>
    </row>
    <row r="830" spans="1:37">
      <c r="A830" s="347">
        <f>IFERROR(VLOOKUP($G830,基本資料!$A:$J,3,0),"無")</f>
        <v>27.89</v>
      </c>
      <c r="B830" s="79">
        <f>IFERROR(VLOOKUP($G830,基本資料!$A:$J,4,0),"無")</f>
        <v>73</v>
      </c>
      <c r="C830" s="79">
        <f>IFERROR(VLOOKUP($G830,基本資料!$A:$J,5,0),"無")</f>
        <v>172</v>
      </c>
      <c r="D830" s="79">
        <f>IFERROR(VLOOKUP($G830,基本資料!$A:$J,6,0),"無")</f>
        <v>25</v>
      </c>
      <c r="E830" s="79">
        <f>IFERROR(VLOOKUP($G830,基本資料!$A:$J,7,0),"無")</f>
        <v>58</v>
      </c>
      <c r="F830" s="6">
        <f>IFERROR(VLOOKUP($G830,基本資料!$A:$J,8,0),"無")</f>
        <v>2.56</v>
      </c>
      <c r="G830" s="79">
        <v>3059</v>
      </c>
      <c r="H830" s="195" t="s">
        <v>1878</v>
      </c>
      <c r="I830" s="22" t="s">
        <v>4162</v>
      </c>
      <c r="J830" s="8">
        <f>IFERROR(VLOOKUP($G830,今日總結!$A:$AJ,35,0),"")</f>
        <v>0</v>
      </c>
      <c r="K830" s="5">
        <f>IFERROR(VLOOKUP($G830,今日總結!$A:$AJ,36,0),"")</f>
        <v>0</v>
      </c>
      <c r="L830" s="156">
        <f>IFERROR(VLOOKUP($G830,今日總結!$A:$AJ,33,0),"")</f>
        <v>0</v>
      </c>
      <c r="M830" s="340">
        <f>IFERROR(VLOOKUP($G830,今日總結!$A:$AJ,34,0),"")</f>
        <v>1</v>
      </c>
      <c r="N830" s="240">
        <f t="shared" si="175"/>
        <v>-1</v>
      </c>
      <c r="P830" s="365">
        <f>IFERROR(VLOOKUP($G830,融外自投!$A:$J,7,0),"無")</f>
        <v>142</v>
      </c>
      <c r="Q830" s="79">
        <f>IFERROR(VLOOKUP($G830,融外自投!$A:$J,9,0),"無")</f>
        <v>226</v>
      </c>
      <c r="R830" s="346">
        <f>IFERROR(VLOOKUP($G830,融外自投!$A:$J,8,0),"無")</f>
        <v>512</v>
      </c>
      <c r="S830" s="81">
        <f>IFERROR(VLOOKUP($G830,融外自投!$A:$J,10,0),"無")</f>
        <v>113</v>
      </c>
      <c r="T830" s="327">
        <f>IFERROR(VLOOKUP($G830,'321買'!$A:$E,5,0),"'沒有資料'")</f>
        <v>138</v>
      </c>
      <c r="U830" s="186">
        <f>IFERROR(VLOOKUP($G830,基本資料!$A:$J,9,0),"無")</f>
        <v>0.7</v>
      </c>
      <c r="V830" s="310">
        <f t="shared" si="170"/>
        <v>2.1021021021021023E-2</v>
      </c>
      <c r="W830" s="94">
        <f>IFERROR(VLOOKUP($G830,基本資料!$A:$J,10,0),"無")</f>
        <v>0.85</v>
      </c>
      <c r="X830" s="36">
        <f>RTD("money.excel",,"3059","Price")</f>
        <v>33.299999999999997</v>
      </c>
      <c r="Y830" s="66"/>
      <c r="Z830" s="15">
        <f t="shared" si="171"/>
        <v>33.299999999999997</v>
      </c>
      <c r="AA830" s="3" t="e">
        <f t="shared" si="172"/>
        <v>#DIV/0!</v>
      </c>
      <c r="AB830" s="344">
        <f>IFERROR(VLOOKUP($G830,基本資料!$A:$M,11,0),"無")</f>
        <v>-33.4</v>
      </c>
      <c r="AC830" s="397">
        <f>IFERROR(VLOOKUP($G830,基本資料!$A:$M,12,0),"無")</f>
        <v>12.16</v>
      </c>
      <c r="AD830" s="22" t="s">
        <v>4162</v>
      </c>
      <c r="AG830" s="33">
        <f t="shared" si="173"/>
        <v>0</v>
      </c>
      <c r="AH830" s="117" t="s">
        <v>4163</v>
      </c>
      <c r="AI830" s="63">
        <f t="shared" si="174"/>
        <v>3.2696306920043029E-2</v>
      </c>
      <c r="AJ830" s="284">
        <f>RTD("money.excel",,$G830,"PredictVolume")</f>
        <v>9119</v>
      </c>
      <c r="AK830" s="399">
        <f>IFERROR(VLOOKUP($G830,基本資料!$A:$M,13,0),"無")</f>
        <v>26.92</v>
      </c>
    </row>
    <row r="831" spans="1:37">
      <c r="A831" s="347">
        <f>IFERROR(VLOOKUP($G831,基本資料!$A:$J,3,0),"無")</f>
        <v>8.3000000000000007</v>
      </c>
      <c r="B831" s="79">
        <f>IFERROR(VLOOKUP($G831,基本資料!$A:$J,4,0),"無")</f>
        <v>343</v>
      </c>
      <c r="C831" s="79">
        <f>IFERROR(VLOOKUP($G831,基本資料!$A:$J,5,0),"無")</f>
        <v>156</v>
      </c>
      <c r="D831" s="79">
        <f>IFERROR(VLOOKUP($G831,基本資料!$A:$J,6,0),"無")</f>
        <v>-28</v>
      </c>
      <c r="E831" s="79">
        <f>IFERROR(VLOOKUP($G831,基本資料!$A:$J,7,0),"無")</f>
        <v>-44</v>
      </c>
      <c r="F831" s="6">
        <f>IFERROR(VLOOKUP($G831,基本資料!$A:$J,8,0),"無")</f>
        <v>4.62</v>
      </c>
      <c r="G831" s="79">
        <v>3066</v>
      </c>
      <c r="H831" s="8" t="s">
        <v>1878</v>
      </c>
      <c r="I831" s="16" t="s">
        <v>4164</v>
      </c>
      <c r="J831" s="8" t="str">
        <f>IFERROR(VLOOKUP($G831,今日總結!$A:$AJ,35,0),"")</f>
        <v/>
      </c>
      <c r="K831" s="5" t="str">
        <f>IFERROR(VLOOKUP($G831,今日總結!$A:$AJ,36,0),"")</f>
        <v/>
      </c>
      <c r="L831" s="156" t="str">
        <f>IFERROR(VLOOKUP($G831,今日總結!$A:$AJ,33,0),"")</f>
        <v/>
      </c>
      <c r="M831" s="340" t="str">
        <f>IFERROR(VLOOKUP($G831,今日總結!$A:$AJ,34,0),"")</f>
        <v/>
      </c>
      <c r="N831" s="240" t="str">
        <f t="shared" si="175"/>
        <v/>
      </c>
      <c r="P831" s="365">
        <f>IFERROR(VLOOKUP($G831,融外自投!$A:$J,7,0),"無")</f>
        <v>1273</v>
      </c>
      <c r="Q831" s="79">
        <f>IFERROR(VLOOKUP($G831,融外自投!$A:$J,9,0),"無")</f>
        <v>1110</v>
      </c>
      <c r="R831" s="346">
        <f>IFERROR(VLOOKUP($G831,融外自投!$A:$J,8,0),"無")</f>
        <v>1445</v>
      </c>
      <c r="S831" s="81" t="str">
        <f>IFERROR(VLOOKUP($G831,融外自投!$A:$J,10,0),"無")</f>
        <v>無</v>
      </c>
      <c r="T831" s="327" t="str">
        <f>IFERROR(VLOOKUP($G831,'321買'!$A:$E,5,0),"'沒有資料'")</f>
        <v>'沒有資料'</v>
      </c>
      <c r="U831" s="186">
        <f>IFERROR(VLOOKUP($G831,基本資料!$A:$J,9,0),"無")</f>
        <v>0</v>
      </c>
      <c r="V831" s="310">
        <f t="shared" si="170"/>
        <v>0</v>
      </c>
      <c r="W831" s="94">
        <f>IFERROR(VLOOKUP($G831,基本資料!$A:$J,10,0),"無")</f>
        <v>2.08</v>
      </c>
      <c r="X831" s="36">
        <f>RTD("money.excel",,"3066","Price")</f>
        <v>30.15</v>
      </c>
      <c r="Y831" s="66"/>
      <c r="Z831" s="15">
        <f t="shared" si="171"/>
        <v>30.15</v>
      </c>
      <c r="AA831" s="3" t="e">
        <f t="shared" si="172"/>
        <v>#DIV/0!</v>
      </c>
      <c r="AB831" s="344">
        <f>IFERROR(VLOOKUP($G831,基本資料!$A:$M,11,0),"無")</f>
        <v>-39.520000000000003</v>
      </c>
      <c r="AC831" s="397">
        <f>IFERROR(VLOOKUP($G831,基本資料!$A:$M,12,0),"無")</f>
        <v>21.3</v>
      </c>
      <c r="AD831" s="16" t="s">
        <v>4164</v>
      </c>
      <c r="AG831" s="33">
        <f t="shared" si="173"/>
        <v>0</v>
      </c>
      <c r="AH831" s="43" t="s">
        <v>4153</v>
      </c>
      <c r="AI831" s="63">
        <f t="shared" si="174"/>
        <v>1.4819277108433736E-3</v>
      </c>
      <c r="AJ831" s="284">
        <f>RTD("money.excel",,$G831,"PredictVolume")</f>
        <v>123</v>
      </c>
      <c r="AK831" s="399">
        <f>IFERROR(VLOOKUP($G831,基本資料!$A:$M,13,0),"無")</f>
        <v>3.44</v>
      </c>
    </row>
    <row r="832" spans="1:37">
      <c r="A832" s="347">
        <f>IFERROR(VLOOKUP($G832,基本資料!$A:$J,3,0),"無")</f>
        <v>4.2</v>
      </c>
      <c r="B832" s="79">
        <f>IFERROR(VLOOKUP($G832,基本資料!$A:$J,4,0),"無")</f>
        <v>29</v>
      </c>
      <c r="C832" s="79">
        <f>IFERROR(VLOOKUP($G832,基本資料!$A:$J,5,0),"無")</f>
        <v>10</v>
      </c>
      <c r="D832" s="79">
        <f>IFERROR(VLOOKUP($G832,基本資料!$A:$J,6,0),"無")</f>
        <v>50</v>
      </c>
      <c r="E832" s="79">
        <f>IFERROR(VLOOKUP($G832,基本資料!$A:$J,7,0),"無")</f>
        <v>53</v>
      </c>
      <c r="F832" s="6">
        <f>IFERROR(VLOOKUP($G832,基本資料!$A:$J,8,0),"無")</f>
        <v>4.04</v>
      </c>
      <c r="G832" s="79">
        <v>3128</v>
      </c>
      <c r="H832" s="8" t="s">
        <v>1878</v>
      </c>
      <c r="I832" s="16" t="s">
        <v>4165</v>
      </c>
      <c r="J832" s="8">
        <f>IFERROR(VLOOKUP($G832,今日總結!$A:$AJ,35,0),"")</f>
        <v>0</v>
      </c>
      <c r="K832" s="5">
        <f>IFERROR(VLOOKUP($G832,今日總結!$A:$AJ,36,0),"")</f>
        <v>0</v>
      </c>
      <c r="L832" s="156">
        <f>IFERROR(VLOOKUP($G832,今日總結!$A:$AJ,33,0),"")</f>
        <v>0</v>
      </c>
      <c r="M832" s="340">
        <f>IFERROR(VLOOKUP($G832,今日總結!$A:$AJ,34,0),"")</f>
        <v>1</v>
      </c>
      <c r="N832" s="240">
        <f t="shared" si="175"/>
        <v>-1</v>
      </c>
      <c r="P832" s="365">
        <f>IFERROR(VLOOKUP($G832,融外自投!$A:$J,7,0),"無")</f>
        <v>171</v>
      </c>
      <c r="Q832" s="79">
        <f>IFERROR(VLOOKUP($G832,融外自投!$A:$J,9,0),"無")</f>
        <v>182</v>
      </c>
      <c r="R832" s="346">
        <f>IFERROR(VLOOKUP($G832,融外自投!$A:$J,8,0),"無")</f>
        <v>920</v>
      </c>
      <c r="S832" s="81" t="str">
        <f>IFERROR(VLOOKUP($G832,融外自投!$A:$J,10,0),"無")</f>
        <v>無</v>
      </c>
      <c r="T832" s="327">
        <f>IFERROR(VLOOKUP($G832,'321買'!$A:$E,5,0),"'沒有資料'")</f>
        <v>463</v>
      </c>
      <c r="U832" s="186">
        <f>IFERROR(VLOOKUP($G832,基本資料!$A:$J,9,0),"無")</f>
        <v>0</v>
      </c>
      <c r="V832" s="310">
        <f t="shared" si="170"/>
        <v>0</v>
      </c>
      <c r="W832" s="94">
        <f>IFERROR(VLOOKUP($G832,基本資料!$A:$J,10,0),"無")</f>
        <v>0.8</v>
      </c>
      <c r="X832" s="36">
        <f>RTD("money.excel",,"3128","Price")</f>
        <v>18.2</v>
      </c>
      <c r="Y832" s="66"/>
      <c r="Z832" s="15">
        <f t="shared" si="171"/>
        <v>18.2</v>
      </c>
      <c r="AA832" s="3" t="e">
        <f t="shared" si="172"/>
        <v>#DIV/0!</v>
      </c>
      <c r="AB832" s="344">
        <f>IFERROR(VLOOKUP($G832,基本資料!$A:$M,11,0),"無")</f>
        <v>-38.409999999999997</v>
      </c>
      <c r="AC832" s="397">
        <f>IFERROR(VLOOKUP($G832,基本資料!$A:$M,12,0),"無")</f>
        <v>21.7</v>
      </c>
      <c r="AD832" s="16" t="s">
        <v>4165</v>
      </c>
      <c r="AG832" s="33">
        <f t="shared" si="173"/>
        <v>0</v>
      </c>
      <c r="AH832" s="43" t="s">
        <v>4166</v>
      </c>
      <c r="AI832" s="63">
        <f t="shared" si="174"/>
        <v>7.8571428571428575E-4</v>
      </c>
      <c r="AJ832" s="284">
        <f>RTD("money.excel",,$G832,"PredictVolume")</f>
        <v>33</v>
      </c>
      <c r="AK832" s="399">
        <f>IFERROR(VLOOKUP($G832,基本資料!$A:$M,13,0),"無")</f>
        <v>29.33</v>
      </c>
    </row>
    <row r="833" spans="1:37">
      <c r="A833" s="347">
        <f>IFERROR(VLOOKUP($G833,基本資料!$A:$J,3,0),"無")</f>
        <v>22.33</v>
      </c>
      <c r="B833" s="79">
        <f>IFERROR(VLOOKUP($G833,基本資料!$A:$J,4,0),"無")</f>
        <v>58</v>
      </c>
      <c r="C833" s="79">
        <f>IFERROR(VLOOKUP($G833,基本資料!$A:$J,5,0),"無")</f>
        <v>54</v>
      </c>
      <c r="D833" s="79">
        <f>IFERROR(VLOOKUP($G833,基本資料!$A:$J,6,0),"無")</f>
        <v>37</v>
      </c>
      <c r="E833" s="79">
        <f>IFERROR(VLOOKUP($G833,基本資料!$A:$J,7,0),"無")</f>
        <v>13</v>
      </c>
      <c r="F833" s="6">
        <f>IFERROR(VLOOKUP($G833,基本資料!$A:$J,8,0),"無")</f>
        <v>-7.59</v>
      </c>
      <c r="G833" s="79">
        <v>3149</v>
      </c>
      <c r="H833" s="8" t="s">
        <v>1878</v>
      </c>
      <c r="I833" s="22" t="s">
        <v>4167</v>
      </c>
      <c r="J833" s="8" t="str">
        <f>IFERROR(VLOOKUP($G833,今日總結!$A:$AJ,35,0),"")</f>
        <v/>
      </c>
      <c r="K833" s="5" t="str">
        <f>IFERROR(VLOOKUP($G833,今日總結!$A:$AJ,36,0),"")</f>
        <v/>
      </c>
      <c r="L833" s="156" t="str">
        <f>IFERROR(VLOOKUP($G833,今日總結!$A:$AJ,33,0),"")</f>
        <v/>
      </c>
      <c r="M833" s="340" t="str">
        <f>IFERROR(VLOOKUP($G833,今日總結!$A:$AJ,34,0),"")</f>
        <v/>
      </c>
      <c r="N833" s="240" t="str">
        <f t="shared" si="175"/>
        <v/>
      </c>
      <c r="P833" s="365" t="str">
        <f>IFERROR(VLOOKUP($G833,融外自投!$A:$J,7,0),"無")</f>
        <v>無</v>
      </c>
      <c r="Q833" s="79" t="str">
        <f>IFERROR(VLOOKUP($G833,融外自投!$A:$J,9,0),"無")</f>
        <v>無</v>
      </c>
      <c r="R833" s="346" t="str">
        <f>IFERROR(VLOOKUP($G833,融外自投!$A:$J,8,0),"無")</f>
        <v>無</v>
      </c>
      <c r="S833" s="81" t="str">
        <f>IFERROR(VLOOKUP($G833,融外自投!$A:$J,10,0),"無")</f>
        <v>無</v>
      </c>
      <c r="T833" s="327" t="str">
        <f>IFERROR(VLOOKUP($G833,'321買'!$A:$E,5,0),"'沒有資料'")</f>
        <v>'沒有資料'</v>
      </c>
      <c r="U833" s="186">
        <f>IFERROR(VLOOKUP($G833,基本資料!$A:$J,9,0),"無")</f>
        <v>0</v>
      </c>
      <c r="V833" s="310">
        <f t="shared" si="170"/>
        <v>0</v>
      </c>
      <c r="W833" s="94">
        <f>IFERROR(VLOOKUP($G833,基本資料!$A:$J,10,0),"無")</f>
        <v>-0.59</v>
      </c>
      <c r="X833" s="36">
        <f>RTD("money.excel",,"3149","Price")</f>
        <v>22.45</v>
      </c>
      <c r="Y833" s="66"/>
      <c r="Z833" s="15">
        <f t="shared" si="171"/>
        <v>22.45</v>
      </c>
      <c r="AA833" s="3" t="e">
        <f t="shared" si="172"/>
        <v>#DIV/0!</v>
      </c>
      <c r="AB833" s="344">
        <f>IFERROR(VLOOKUP($G833,基本資料!$A:$M,11,0),"無")</f>
        <v>-52.71</v>
      </c>
      <c r="AC833" s="397">
        <f>IFERROR(VLOOKUP($G833,基本資料!$A:$M,12,0),"無")</f>
        <v>34.619999999999997</v>
      </c>
      <c r="AD833" s="22" t="s">
        <v>4167</v>
      </c>
      <c r="AG833" s="33">
        <f t="shared" si="173"/>
        <v>0</v>
      </c>
      <c r="AH833" s="117" t="s">
        <v>4168</v>
      </c>
      <c r="AI833" s="63">
        <f t="shared" si="174"/>
        <v>2.6556202418271386E-3</v>
      </c>
      <c r="AJ833" s="284">
        <f>RTD("money.excel",,$G833,"PredictVolume")</f>
        <v>593</v>
      </c>
      <c r="AK833" s="399">
        <f>IFERROR(VLOOKUP($G833,基本資料!$A:$M,13,0),"無")</f>
        <v>9.39</v>
      </c>
    </row>
    <row r="834" spans="1:37">
      <c r="A834" s="347">
        <f>IFERROR(VLOOKUP($G834,基本資料!$A:$J,3,0),"無")</f>
        <v>7.1</v>
      </c>
      <c r="B834" s="79">
        <f>IFERROR(VLOOKUP($G834,基本資料!$A:$J,4,0),"無")</f>
        <v>-362</v>
      </c>
      <c r="C834" s="79">
        <f>IFERROR(VLOOKUP($G834,基本資料!$A:$J,5,0),"無")</f>
        <v>-80</v>
      </c>
      <c r="D834" s="79">
        <f>IFERROR(VLOOKUP($G834,基本資料!$A:$J,6,0),"無")</f>
        <v>-15</v>
      </c>
      <c r="E834" s="79">
        <f>IFERROR(VLOOKUP($G834,基本資料!$A:$J,7,0),"無")</f>
        <v>-41</v>
      </c>
      <c r="F834" s="6">
        <f>IFERROR(VLOOKUP($G834,基本資料!$A:$J,8,0),"無")</f>
        <v>0.74</v>
      </c>
      <c r="G834" s="79">
        <v>3230</v>
      </c>
      <c r="H834" s="8" t="s">
        <v>1878</v>
      </c>
      <c r="I834" s="16" t="s">
        <v>4169</v>
      </c>
      <c r="J834" s="8" t="str">
        <f>IFERROR(VLOOKUP($G834,今日總結!$A:$AJ,35,0),"")</f>
        <v>融</v>
      </c>
      <c r="K834" s="5">
        <f>IFERROR(VLOOKUP($G834,今日總結!$A:$AJ,36,0),"")</f>
        <v>0</v>
      </c>
      <c r="L834" s="156">
        <f>IFERROR(VLOOKUP($G834,今日總結!$A:$AJ,33,0),"")</f>
        <v>1</v>
      </c>
      <c r="M834" s="340">
        <f>IFERROR(VLOOKUP($G834,今日總結!$A:$AJ,34,0),"")</f>
        <v>0</v>
      </c>
      <c r="N834" s="240">
        <f t="shared" si="175"/>
        <v>1</v>
      </c>
      <c r="P834" s="365">
        <f>IFERROR(VLOOKUP($G834,融外自投!$A:$J,7,0),"無")</f>
        <v>37</v>
      </c>
      <c r="Q834" s="79" t="str">
        <f>IFERROR(VLOOKUP($G834,融外自投!$A:$J,9,0),"無")</f>
        <v>無</v>
      </c>
      <c r="R834" s="346">
        <f>IFERROR(VLOOKUP($G834,融外自投!$A:$J,8,0),"無")</f>
        <v>1310</v>
      </c>
      <c r="S834" s="81" t="str">
        <f>IFERROR(VLOOKUP($G834,融外自投!$A:$J,10,0),"無")</f>
        <v>無</v>
      </c>
      <c r="T834" s="327">
        <f>IFERROR(VLOOKUP($G834,'321買'!$A:$E,5,0),"'沒有資料'")</f>
        <v>178</v>
      </c>
      <c r="U834" s="186">
        <f>IFERROR(VLOOKUP($G834,基本資料!$A:$J,9,0),"無")</f>
        <v>0</v>
      </c>
      <c r="V834" s="310">
        <f t="shared" si="170"/>
        <v>0</v>
      </c>
      <c r="W834" s="94">
        <f>IFERROR(VLOOKUP($G834,基本資料!$A:$J,10,0),"無")</f>
        <v>-0.51</v>
      </c>
      <c r="X834" s="36">
        <f>RTD("money.excel",,"3230","Price")</f>
        <v>17.600000000000001</v>
      </c>
      <c r="Y834" s="66"/>
      <c r="Z834" s="15">
        <f t="shared" si="171"/>
        <v>17.600000000000001</v>
      </c>
      <c r="AA834" s="3" t="e">
        <f t="shared" si="172"/>
        <v>#DIV/0!</v>
      </c>
      <c r="AB834" s="344">
        <f>IFERROR(VLOOKUP($G834,基本資料!$A:$M,11,0),"無")</f>
        <v>-25.48</v>
      </c>
      <c r="AC834" s="397">
        <f>IFERROR(VLOOKUP($G834,基本資料!$A:$M,12,0),"無")</f>
        <v>59.15</v>
      </c>
      <c r="AD834" s="16" t="s">
        <v>4169</v>
      </c>
      <c r="AG834" s="33">
        <f t="shared" si="173"/>
        <v>0</v>
      </c>
      <c r="AH834" s="43" t="s">
        <v>2432</v>
      </c>
      <c r="AI834" s="63">
        <f t="shared" si="174"/>
        <v>1.056338028169014E-3</v>
      </c>
      <c r="AJ834" s="284">
        <f>RTD("money.excel",,$G834,"PredictVolume")</f>
        <v>75</v>
      </c>
      <c r="AK834" s="399">
        <f>IFERROR(VLOOKUP($G834,基本資料!$A:$M,13,0),"無")</f>
        <v>9.51</v>
      </c>
    </row>
    <row r="835" spans="1:37">
      <c r="A835" s="347">
        <f>IFERROR(VLOOKUP($G835,基本資料!$A:$J,3,0),"無")</f>
        <v>3.6</v>
      </c>
      <c r="B835" s="79">
        <f>IFERROR(VLOOKUP($G835,基本資料!$A:$J,4,0),"無")</f>
        <v>77</v>
      </c>
      <c r="C835" s="79">
        <f>IFERROR(VLOOKUP($G835,基本資料!$A:$J,5,0),"無")</f>
        <v>103</v>
      </c>
      <c r="D835" s="79">
        <f>IFERROR(VLOOKUP($G835,基本資料!$A:$J,6,0),"無")</f>
        <v>16</v>
      </c>
      <c r="E835" s="79">
        <f>IFERROR(VLOOKUP($G835,基本資料!$A:$J,7,0),"無")</f>
        <v>22</v>
      </c>
      <c r="F835" s="6">
        <f>IFERROR(VLOOKUP($G835,基本資料!$A:$J,8,0),"無")</f>
        <v>0.63</v>
      </c>
      <c r="G835" s="79">
        <v>3297</v>
      </c>
      <c r="H835" s="8" t="s">
        <v>1878</v>
      </c>
      <c r="I835" s="16" t="s">
        <v>4170</v>
      </c>
      <c r="J835" s="8" t="str">
        <f>IFERROR(VLOOKUP($G835,今日總結!$A:$AJ,35,0),"")</f>
        <v/>
      </c>
      <c r="K835" s="5" t="str">
        <f>IFERROR(VLOOKUP($G835,今日總結!$A:$AJ,36,0),"")</f>
        <v/>
      </c>
      <c r="L835" s="156" t="str">
        <f>IFERROR(VLOOKUP($G835,今日總結!$A:$AJ,33,0),"")</f>
        <v/>
      </c>
      <c r="M835" s="340" t="str">
        <f>IFERROR(VLOOKUP($G835,今日總結!$A:$AJ,34,0),"")</f>
        <v/>
      </c>
      <c r="N835" s="240" t="str">
        <f t="shared" si="175"/>
        <v/>
      </c>
      <c r="P835" s="365">
        <f>IFERROR(VLOOKUP($G835,融外自投!$A:$J,7,0),"無")</f>
        <v>609</v>
      </c>
      <c r="Q835" s="79">
        <f>IFERROR(VLOOKUP($G835,融外自投!$A:$J,9,0),"無")</f>
        <v>526</v>
      </c>
      <c r="R835" s="346">
        <f>IFERROR(VLOOKUP($G835,融外自投!$A:$J,8,0),"無")</f>
        <v>1110</v>
      </c>
      <c r="S835" s="81" t="str">
        <f>IFERROR(VLOOKUP($G835,融外自投!$A:$J,10,0),"無")</f>
        <v>無</v>
      </c>
      <c r="T835" s="327">
        <f>IFERROR(VLOOKUP($G835,'321買'!$A:$E,5,0),"'沒有資料'")</f>
        <v>664</v>
      </c>
      <c r="U835" s="186">
        <f>IFERROR(VLOOKUP($G835,基本資料!$A:$J,9,0),"無")</f>
        <v>0</v>
      </c>
      <c r="V835" s="310">
        <f t="shared" si="170"/>
        <v>0</v>
      </c>
      <c r="W835" s="94">
        <f>IFERROR(VLOOKUP($G835,基本資料!$A:$J,10,0),"無")</f>
        <v>-0.42</v>
      </c>
      <c r="X835" s="36">
        <f>RTD("money.excel",,"3297","Price")</f>
        <v>15.5</v>
      </c>
      <c r="Y835" s="66"/>
      <c r="Z835" s="15">
        <f t="shared" si="171"/>
        <v>15.5</v>
      </c>
      <c r="AA835" s="3" t="e">
        <f t="shared" si="172"/>
        <v>#DIV/0!</v>
      </c>
      <c r="AB835" s="344">
        <f>IFERROR(VLOOKUP($G835,基本資料!$A:$M,11,0),"無")</f>
        <v>-38.96</v>
      </c>
      <c r="AC835" s="397">
        <f>IFERROR(VLOOKUP($G835,基本資料!$A:$M,12,0),"無")</f>
        <v>28.45</v>
      </c>
      <c r="AD835" s="16" t="s">
        <v>4170</v>
      </c>
      <c r="AG835" s="33">
        <f t="shared" si="173"/>
        <v>0</v>
      </c>
      <c r="AH835" s="43" t="s">
        <v>4171</v>
      </c>
      <c r="AI835" s="63">
        <f t="shared" si="174"/>
        <v>7.7777777777777773E-4</v>
      </c>
      <c r="AJ835" s="284">
        <f>RTD("money.excel",,$G835,"PredictVolume")</f>
        <v>28</v>
      </c>
      <c r="AK835" s="399">
        <f>IFERROR(VLOOKUP($G835,基本資料!$A:$M,13,0),"無")</f>
        <v>78.099999999999994</v>
      </c>
    </row>
    <row r="836" spans="1:37">
      <c r="A836" s="347">
        <f>IFERROR(VLOOKUP($G836,基本資料!$A:$J,3,0),"無")</f>
        <v>5.16</v>
      </c>
      <c r="B836" s="79">
        <f>IFERROR(VLOOKUP($G836,基本資料!$A:$J,4,0),"無")</f>
        <v>251</v>
      </c>
      <c r="C836" s="79">
        <f>IFERROR(VLOOKUP($G836,基本資料!$A:$J,5,0),"無")</f>
        <v>82</v>
      </c>
      <c r="D836" s="79">
        <f>IFERROR(VLOOKUP($G836,基本資料!$A:$J,6,0),"無")</f>
        <v>-12</v>
      </c>
      <c r="E836" s="79">
        <f>IFERROR(VLOOKUP($G836,基本資料!$A:$J,7,0),"無")</f>
        <v>-31</v>
      </c>
      <c r="F836" s="6">
        <f>IFERROR(VLOOKUP($G836,基本資料!$A:$J,8,0),"無")</f>
        <v>-1.1100000000000001</v>
      </c>
      <c r="G836" s="79">
        <v>3339</v>
      </c>
      <c r="H836" s="8" t="s">
        <v>1878</v>
      </c>
      <c r="I836" s="16" t="s">
        <v>4172</v>
      </c>
      <c r="J836" s="8" t="str">
        <f>IFERROR(VLOOKUP($G836,今日總結!$A:$AJ,35,0),"")</f>
        <v/>
      </c>
      <c r="K836" s="5" t="str">
        <f>IFERROR(VLOOKUP($G836,今日總結!$A:$AJ,36,0),"")</f>
        <v/>
      </c>
      <c r="L836" s="156" t="str">
        <f>IFERROR(VLOOKUP($G836,今日總結!$A:$AJ,33,0),"")</f>
        <v/>
      </c>
      <c r="M836" s="340" t="str">
        <f>IFERROR(VLOOKUP($G836,今日總結!$A:$AJ,34,0),"")</f>
        <v/>
      </c>
      <c r="N836" s="240" t="str">
        <f t="shared" si="175"/>
        <v/>
      </c>
      <c r="P836" s="365">
        <f>IFERROR(VLOOKUP($G836,融外自投!$A:$J,7,0),"無")</f>
        <v>223</v>
      </c>
      <c r="Q836" s="79">
        <f>IFERROR(VLOOKUP($G836,融外自投!$A:$J,9,0),"無")</f>
        <v>350</v>
      </c>
      <c r="R836" s="346">
        <f>IFERROR(VLOOKUP($G836,融外自投!$A:$J,8,0),"無")</f>
        <v>936</v>
      </c>
      <c r="S836" s="81" t="str">
        <f>IFERROR(VLOOKUP($G836,融外自投!$A:$J,10,0),"無")</f>
        <v>無</v>
      </c>
      <c r="T836" s="327">
        <f>IFERROR(VLOOKUP($G836,'321買'!$A:$E,5,0),"'沒有資料'")</f>
        <v>1143</v>
      </c>
      <c r="U836" s="186">
        <f>IFERROR(VLOOKUP($G836,基本資料!$A:$J,9,0),"無")</f>
        <v>0</v>
      </c>
      <c r="V836" s="310">
        <f t="shared" si="170"/>
        <v>0</v>
      </c>
      <c r="W836" s="94">
        <f>IFERROR(VLOOKUP($G836,基本資料!$A:$J,10,0),"無")</f>
        <v>1.77</v>
      </c>
      <c r="X836" s="36">
        <f>RTD("money.excel",,"3339","Price")</f>
        <v>15.25</v>
      </c>
      <c r="Y836" s="66"/>
      <c r="Z836" s="15">
        <f t="shared" si="171"/>
        <v>15.25</v>
      </c>
      <c r="AA836" s="3" t="e">
        <f t="shared" si="172"/>
        <v>#DIV/0!</v>
      </c>
      <c r="AB836" s="344">
        <f>IFERROR(VLOOKUP($G836,基本資料!$A:$M,11,0),"無")</f>
        <v>-53.7</v>
      </c>
      <c r="AC836" s="397">
        <f>IFERROR(VLOOKUP($G836,基本資料!$A:$M,12,0),"無")</f>
        <v>9.34</v>
      </c>
      <c r="AD836" s="16" t="s">
        <v>4172</v>
      </c>
      <c r="AG836" s="33">
        <f t="shared" si="173"/>
        <v>0</v>
      </c>
      <c r="AH836" s="43" t="s">
        <v>2433</v>
      </c>
      <c r="AI836" s="63">
        <f t="shared" si="174"/>
        <v>2.6937984496124032E-3</v>
      </c>
      <c r="AJ836" s="284">
        <f>RTD("money.excel",,$G836,"PredictVolume")</f>
        <v>139</v>
      </c>
      <c r="AK836" s="399">
        <f>IFERROR(VLOOKUP($G836,基本資料!$A:$M,13,0),"無")</f>
        <v>34.42</v>
      </c>
    </row>
    <row r="837" spans="1:37">
      <c r="A837" s="347">
        <f>IFERROR(VLOOKUP($G837,基本資料!$A:$J,3,0),"無")</f>
        <v>8.98</v>
      </c>
      <c r="B837" s="79">
        <f>IFERROR(VLOOKUP($G837,基本資料!$A:$J,4,0),"無")</f>
        <v>11</v>
      </c>
      <c r="C837" s="79">
        <f>IFERROR(VLOOKUP($G837,基本資料!$A:$J,5,0),"無")</f>
        <v>261</v>
      </c>
      <c r="D837" s="79">
        <f>IFERROR(VLOOKUP($G837,基本資料!$A:$J,6,0),"無")</f>
        <v>41</v>
      </c>
      <c r="E837" s="79">
        <f>IFERROR(VLOOKUP($G837,基本資料!$A:$J,7,0),"無")</f>
        <v>5</v>
      </c>
      <c r="F837" s="6">
        <f>IFERROR(VLOOKUP($G837,基本資料!$A:$J,8,0),"無")</f>
        <v>12.35</v>
      </c>
      <c r="G837" s="79">
        <v>3356</v>
      </c>
      <c r="H837" s="8" t="s">
        <v>1878</v>
      </c>
      <c r="I837" s="22" t="s">
        <v>4173</v>
      </c>
      <c r="J837" s="8">
        <f>IFERROR(VLOOKUP($G837,今日總結!$A:$AJ,35,0),"")</f>
        <v>0</v>
      </c>
      <c r="K837" s="5" t="str">
        <f>IFERROR(VLOOKUP($G837,今日總結!$A:$AJ,36,0),"")</f>
        <v>借</v>
      </c>
      <c r="L837" s="156">
        <f>IFERROR(VLOOKUP($G837,今日總結!$A:$AJ,33,0),"")</f>
        <v>0</v>
      </c>
      <c r="M837" s="340">
        <f>IFERROR(VLOOKUP($G837,今日總結!$A:$AJ,34,0),"")</f>
        <v>1</v>
      </c>
      <c r="N837" s="240">
        <f t="shared" si="175"/>
        <v>-1</v>
      </c>
      <c r="P837" s="365">
        <f>IFERROR(VLOOKUP($G837,融外自投!$A:$J,7,0),"無")</f>
        <v>451</v>
      </c>
      <c r="Q837" s="79">
        <f>IFERROR(VLOOKUP($G837,融外自投!$A:$J,9,0),"無")</f>
        <v>683</v>
      </c>
      <c r="R837" s="346">
        <f>IFERROR(VLOOKUP($G837,融外自投!$A:$J,8,0),"無")</f>
        <v>874</v>
      </c>
      <c r="S837" s="81" t="str">
        <f>IFERROR(VLOOKUP($G837,融外自投!$A:$J,10,0),"無")</f>
        <v>無</v>
      </c>
      <c r="T837" s="327">
        <f>IFERROR(VLOOKUP($G837,'321買'!$A:$E,5,0),"'沒有資料'")</f>
        <v>827</v>
      </c>
      <c r="U837" s="186">
        <f>IFERROR(VLOOKUP($G837,基本資料!$A:$J,9,0),"無")</f>
        <v>1.2</v>
      </c>
      <c r="V837" s="310">
        <f t="shared" si="170"/>
        <v>3.8834951456310683E-2</v>
      </c>
      <c r="W837" s="94">
        <f>IFERROR(VLOOKUP($G837,基本資料!$A:$J,10,0),"無")</f>
        <v>1.97</v>
      </c>
      <c r="X837" s="36">
        <f>RTD("money.excel",,"3356","Price")</f>
        <v>30.9</v>
      </c>
      <c r="Y837" s="66"/>
      <c r="Z837" s="15">
        <f t="shared" si="171"/>
        <v>30.9</v>
      </c>
      <c r="AA837" s="3" t="e">
        <f t="shared" si="172"/>
        <v>#DIV/0!</v>
      </c>
      <c r="AB837" s="344">
        <f>IFERROR(VLOOKUP($G837,基本資料!$A:$M,11,0),"無")</f>
        <v>-28.67</v>
      </c>
      <c r="AC837" s="397">
        <f>IFERROR(VLOOKUP($G837,基本資料!$A:$M,12,0),"無")</f>
        <v>64.38</v>
      </c>
      <c r="AD837" s="22" t="s">
        <v>4173</v>
      </c>
      <c r="AG837" s="33">
        <f t="shared" si="173"/>
        <v>0</v>
      </c>
      <c r="AH837" s="43" t="s">
        <v>4166</v>
      </c>
      <c r="AI837" s="63">
        <f t="shared" si="174"/>
        <v>1.9877505567928732E-2</v>
      </c>
      <c r="AJ837" s="284">
        <f>RTD("money.excel",,$G837,"PredictVolume")</f>
        <v>1785</v>
      </c>
      <c r="AK837" s="399">
        <f>IFERROR(VLOOKUP($G837,基本資料!$A:$M,13,0),"無")</f>
        <v>7.26</v>
      </c>
    </row>
    <row r="838" spans="1:37">
      <c r="A838" s="347">
        <f>IFERROR(VLOOKUP($G838,基本資料!$A:$J,3,0),"無")</f>
        <v>14.15</v>
      </c>
      <c r="B838" s="79">
        <f>IFERROR(VLOOKUP($G838,基本資料!$A:$J,4,0),"無")</f>
        <v>99</v>
      </c>
      <c r="C838" s="79">
        <f>IFERROR(VLOOKUP($G838,基本資料!$A:$J,5,0),"無")</f>
        <v>369</v>
      </c>
      <c r="D838" s="79">
        <f>IFERROR(VLOOKUP($G838,基本資料!$A:$J,6,0),"無")</f>
        <v>0</v>
      </c>
      <c r="E838" s="79">
        <f>IFERROR(VLOOKUP($G838,基本資料!$A:$J,7,0),"無")</f>
        <v>5</v>
      </c>
      <c r="F838" s="6">
        <f>IFERROR(VLOOKUP($G838,基本資料!$A:$J,8,0),"無")</f>
        <v>1.19</v>
      </c>
      <c r="G838" s="79">
        <v>3362</v>
      </c>
      <c r="H838" s="8" t="s">
        <v>1878</v>
      </c>
      <c r="I838" s="16" t="s">
        <v>4174</v>
      </c>
      <c r="J838" s="8" t="str">
        <f>IFERROR(VLOOKUP($G838,今日總結!$A:$AJ,35,0),"")</f>
        <v/>
      </c>
      <c r="K838" s="5" t="str">
        <f>IFERROR(VLOOKUP($G838,今日總結!$A:$AJ,36,0),"")</f>
        <v/>
      </c>
      <c r="L838" s="156" t="str">
        <f>IFERROR(VLOOKUP($G838,今日總結!$A:$AJ,33,0),"")</f>
        <v/>
      </c>
      <c r="M838" s="340" t="str">
        <f>IFERROR(VLOOKUP($G838,今日總結!$A:$AJ,34,0),"")</f>
        <v/>
      </c>
      <c r="N838" s="240" t="str">
        <f t="shared" si="175"/>
        <v/>
      </c>
      <c r="P838" s="365">
        <f>IFERROR(VLOOKUP($G838,融外自投!$A:$J,7,0),"無")</f>
        <v>365</v>
      </c>
      <c r="Q838" s="79">
        <f>IFERROR(VLOOKUP($G838,融外自投!$A:$J,9,0),"無")</f>
        <v>135</v>
      </c>
      <c r="R838" s="346">
        <f>IFERROR(VLOOKUP($G838,融外自投!$A:$J,8,0),"無")</f>
        <v>1213</v>
      </c>
      <c r="S838" s="81" t="str">
        <f>IFERROR(VLOOKUP($G838,融外自投!$A:$J,10,0),"無")</f>
        <v>無</v>
      </c>
      <c r="T838" s="327">
        <f>IFERROR(VLOOKUP($G838,'321買'!$A:$E,5,0),"'沒有資料'")</f>
        <v>752</v>
      </c>
      <c r="U838" s="186">
        <f>IFERROR(VLOOKUP($G838,基本資料!$A:$J,9,0),"無")</f>
        <v>0</v>
      </c>
      <c r="V838" s="310">
        <f t="shared" si="170"/>
        <v>0</v>
      </c>
      <c r="W838" s="94">
        <f>IFERROR(VLOOKUP($G838,基本資料!$A:$J,10,0),"無")</f>
        <v>0.03</v>
      </c>
      <c r="X838" s="36">
        <f>RTD("money.excel",,"3362","Price")</f>
        <v>55.1</v>
      </c>
      <c r="Y838" s="66"/>
      <c r="Z838" s="15">
        <f t="shared" si="171"/>
        <v>55.1</v>
      </c>
      <c r="AA838" s="3" t="e">
        <f t="shared" si="172"/>
        <v>#DIV/0!</v>
      </c>
      <c r="AB838" s="344">
        <f>IFERROR(VLOOKUP($G838,基本資料!$A:$M,11,0),"無")</f>
        <v>-45.97</v>
      </c>
      <c r="AC838" s="397">
        <f>IFERROR(VLOOKUP($G838,基本資料!$A:$M,12,0),"無")</f>
        <v>24.25</v>
      </c>
      <c r="AD838" s="16" t="s">
        <v>4174</v>
      </c>
      <c r="AG838" s="33">
        <f t="shared" si="173"/>
        <v>0</v>
      </c>
      <c r="AH838" s="119" t="s">
        <v>4175</v>
      </c>
      <c r="AI838" s="63">
        <f t="shared" si="174"/>
        <v>1.2014134275618374E-3</v>
      </c>
      <c r="AJ838" s="284">
        <f>RTD("money.excel",,$G838,"PredictVolume")</f>
        <v>170</v>
      </c>
      <c r="AK838" s="399">
        <f>IFERROR(VLOOKUP($G838,基本資料!$A:$M,13,0),"無")</f>
        <v>18.27</v>
      </c>
    </row>
    <row r="839" spans="1:37">
      <c r="A839" s="347">
        <f>IFERROR(VLOOKUP($G839,基本資料!$A:$J,3,0),"無")</f>
        <v>7.5</v>
      </c>
      <c r="B839" s="79">
        <f>IFERROR(VLOOKUP($G839,基本資料!$A:$J,4,0),"無")</f>
        <v>63</v>
      </c>
      <c r="C839" s="79">
        <f>IFERROR(VLOOKUP($G839,基本資料!$A:$J,5,0),"無")</f>
        <v>12</v>
      </c>
      <c r="D839" s="79">
        <f>IFERROR(VLOOKUP($G839,基本資料!$A:$J,6,0),"無")</f>
        <v>11</v>
      </c>
      <c r="E839" s="79">
        <f>IFERROR(VLOOKUP($G839,基本資料!$A:$J,7,0),"無")</f>
        <v>-25</v>
      </c>
      <c r="F839" s="6">
        <f>IFERROR(VLOOKUP($G839,基本資料!$A:$J,8,0),"無")</f>
        <v>-41.11</v>
      </c>
      <c r="G839" s="79">
        <v>3383</v>
      </c>
      <c r="H839" s="8" t="s">
        <v>1878</v>
      </c>
      <c r="I839" s="22" t="s">
        <v>4176</v>
      </c>
      <c r="J839" s="8" t="str">
        <f>IFERROR(VLOOKUP($G839,今日總結!$A:$AJ,35,0),"")</f>
        <v/>
      </c>
      <c r="K839" s="5" t="str">
        <f>IFERROR(VLOOKUP($G839,今日總結!$A:$AJ,36,0),"")</f>
        <v/>
      </c>
      <c r="L839" s="156" t="str">
        <f>IFERROR(VLOOKUP($G839,今日總結!$A:$AJ,33,0),"")</f>
        <v/>
      </c>
      <c r="M839" s="340" t="str">
        <f>IFERROR(VLOOKUP($G839,今日總結!$A:$AJ,34,0),"")</f>
        <v/>
      </c>
      <c r="N839" s="240" t="str">
        <f t="shared" si="175"/>
        <v/>
      </c>
      <c r="P839" s="365" t="str">
        <f>IFERROR(VLOOKUP($G839,融外自投!$A:$J,7,0),"無")</f>
        <v>無</v>
      </c>
      <c r="Q839" s="79" t="str">
        <f>IFERROR(VLOOKUP($G839,融外自投!$A:$J,9,0),"無")</f>
        <v>無</v>
      </c>
      <c r="R839" s="346" t="str">
        <f>IFERROR(VLOOKUP($G839,融外自投!$A:$J,8,0),"無")</f>
        <v>無</v>
      </c>
      <c r="S839" s="81" t="str">
        <f>IFERROR(VLOOKUP($G839,融外自投!$A:$J,10,0),"無")</f>
        <v>無</v>
      </c>
      <c r="T839" s="327" t="str">
        <f>IFERROR(VLOOKUP($G839,'321買'!$A:$E,5,0),"'沒有資料'")</f>
        <v>'沒有資料'</v>
      </c>
      <c r="U839" s="186">
        <f>IFERROR(VLOOKUP($G839,基本資料!$A:$J,9,0),"無")</f>
        <v>0</v>
      </c>
      <c r="V839" s="310">
        <f t="shared" si="170"/>
        <v>0</v>
      </c>
      <c r="W839" s="94">
        <f>IFERROR(VLOOKUP($G839,基本資料!$A:$J,10,0),"無")</f>
        <v>-1.48</v>
      </c>
      <c r="X839" s="36">
        <f>RTD("money.excel",,"3383","Price")</f>
        <v>6.46</v>
      </c>
      <c r="Y839" s="66"/>
      <c r="Z839" s="15">
        <f t="shared" si="171"/>
        <v>6.46</v>
      </c>
      <c r="AA839" s="3" t="e">
        <f t="shared" si="172"/>
        <v>#DIV/0!</v>
      </c>
      <c r="AB839" s="344">
        <f>IFERROR(VLOOKUP($G839,基本資料!$A:$M,11,0),"無")</f>
        <v>-47.87</v>
      </c>
      <c r="AC839" s="397">
        <f>IFERROR(VLOOKUP($G839,基本資料!$A:$M,12,0),"無")</f>
        <v>16.05</v>
      </c>
      <c r="AD839" s="22" t="s">
        <v>4176</v>
      </c>
      <c r="AG839" s="33">
        <f t="shared" si="173"/>
        <v>0</v>
      </c>
      <c r="AH839" s="43" t="s">
        <v>4177</v>
      </c>
      <c r="AI839" s="63">
        <f t="shared" si="174"/>
        <v>7.4666666666666664E-4</v>
      </c>
      <c r="AJ839" s="284">
        <f>RTD("money.excel",,$G839,"PredictVolume")</f>
        <v>56</v>
      </c>
      <c r="AK839" s="399">
        <f>IFERROR(VLOOKUP($G839,基本資料!$A:$M,13,0),"無")</f>
        <v>3.85</v>
      </c>
    </row>
    <row r="840" spans="1:37">
      <c r="A840" s="347">
        <f>IFERROR(VLOOKUP($G840,基本資料!$A:$J,3,0),"無")</f>
        <v>11.26</v>
      </c>
      <c r="B840" s="79">
        <f>IFERROR(VLOOKUP($G840,基本資料!$A:$J,4,0),"無")</f>
        <v>-24</v>
      </c>
      <c r="C840" s="79">
        <f>IFERROR(VLOOKUP($G840,基本資料!$A:$J,5,0),"無")</f>
        <v>-33</v>
      </c>
      <c r="D840" s="79">
        <f>IFERROR(VLOOKUP($G840,基本資料!$A:$J,6,0),"無")</f>
        <v>-26</v>
      </c>
      <c r="E840" s="79">
        <f>IFERROR(VLOOKUP($G840,基本資料!$A:$J,7,0),"無")</f>
        <v>35</v>
      </c>
      <c r="F840" s="6">
        <f>IFERROR(VLOOKUP($G840,基本資料!$A:$J,8,0),"無")</f>
        <v>18.02</v>
      </c>
      <c r="G840" s="79">
        <v>3406</v>
      </c>
      <c r="H840" s="8" t="s">
        <v>1878</v>
      </c>
      <c r="I840" s="22" t="s">
        <v>4178</v>
      </c>
      <c r="J840" s="8">
        <f>IFERROR(VLOOKUP($G840,今日總結!$A:$AJ,35,0),"")</f>
        <v>0</v>
      </c>
      <c r="K840" s="5" t="str">
        <f>IFERROR(VLOOKUP($G840,今日總結!$A:$AJ,36,0),"")</f>
        <v>外投</v>
      </c>
      <c r="L840" s="156">
        <f>IFERROR(VLOOKUP($G840,今日總結!$A:$AJ,33,0),"")</f>
        <v>0</v>
      </c>
      <c r="M840" s="340">
        <f>IFERROR(VLOOKUP($G840,今日總結!$A:$AJ,34,0),"")</f>
        <v>3</v>
      </c>
      <c r="N840" s="240">
        <f t="shared" si="175"/>
        <v>-3</v>
      </c>
      <c r="P840" s="365">
        <f>IFERROR(VLOOKUP($G840,融外自投!$A:$J,7,0),"無")</f>
        <v>259</v>
      </c>
      <c r="Q840" s="79">
        <f>IFERROR(VLOOKUP($G840,融外自投!$A:$J,9,0),"無")</f>
        <v>15</v>
      </c>
      <c r="R840" s="346">
        <f>IFERROR(VLOOKUP($G840,融外自投!$A:$J,8,0),"無")</f>
        <v>199</v>
      </c>
      <c r="S840" s="81">
        <f>IFERROR(VLOOKUP($G840,融外自投!$A:$J,10,0),"無")</f>
        <v>126</v>
      </c>
      <c r="T840" s="327">
        <f>IFERROR(VLOOKUP($G840,'321買'!$A:$E,5,0),"'沒有資料'")</f>
        <v>255</v>
      </c>
      <c r="U840" s="186">
        <f>IFERROR(VLOOKUP($G840,基本資料!$A:$J,9,0),"無")</f>
        <v>8</v>
      </c>
      <c r="V840" s="310">
        <f t="shared" si="170"/>
        <v>2.2727272727272728E-2</v>
      </c>
      <c r="W840" s="94">
        <f>IFERROR(VLOOKUP($G840,基本資料!$A:$J,10,0),"無")</f>
        <v>20.52</v>
      </c>
      <c r="X840" s="36">
        <f>RTD("money.excel",,"3406","Price")</f>
        <v>352</v>
      </c>
      <c r="Y840" s="66"/>
      <c r="Z840" s="15">
        <f t="shared" si="171"/>
        <v>352</v>
      </c>
      <c r="AA840" s="3" t="e">
        <f t="shared" si="172"/>
        <v>#DIV/0!</v>
      </c>
      <c r="AB840" s="344">
        <f>IFERROR(VLOOKUP($G840,基本資料!$A:$M,11,0),"無")</f>
        <v>-45.07</v>
      </c>
      <c r="AC840" s="397">
        <f>IFERROR(VLOOKUP($G840,基本資料!$A:$M,12,0),"無")</f>
        <v>7.15</v>
      </c>
      <c r="AD840" s="22" t="s">
        <v>4178</v>
      </c>
      <c r="AG840" s="33">
        <f t="shared" si="173"/>
        <v>0</v>
      </c>
      <c r="AH840" s="117" t="s">
        <v>4179</v>
      </c>
      <c r="AI840" s="63">
        <f t="shared" si="174"/>
        <v>9.9200710479573715E-3</v>
      </c>
      <c r="AJ840" s="284">
        <f>RTD("money.excel",,$G840,"PredictVolume")</f>
        <v>1117</v>
      </c>
      <c r="AK840" s="399">
        <f>IFERROR(VLOOKUP($G840,基本資料!$A:$M,13,0),"無")</f>
        <v>12.23</v>
      </c>
    </row>
    <row r="841" spans="1:37">
      <c r="A841" s="347">
        <f>IFERROR(VLOOKUP($G841,基本資料!$A:$J,3,0),"無")</f>
        <v>2.27</v>
      </c>
      <c r="B841" s="79">
        <f>IFERROR(VLOOKUP($G841,基本資料!$A:$J,4,0),"無")</f>
        <v>283</v>
      </c>
      <c r="C841" s="79">
        <f>IFERROR(VLOOKUP($G841,基本資料!$A:$J,5,0),"無")</f>
        <v>323</v>
      </c>
      <c r="D841" s="79">
        <f>IFERROR(VLOOKUP($G841,基本資料!$A:$J,6,0),"無")</f>
        <v>135</v>
      </c>
      <c r="E841" s="79">
        <f>IFERROR(VLOOKUP($G841,基本資料!$A:$J,7,0),"無")</f>
        <v>66</v>
      </c>
      <c r="F841" s="6">
        <f>IFERROR(VLOOKUP($G841,基本資料!$A:$J,8,0),"無")</f>
        <v>3.4</v>
      </c>
      <c r="G841" s="79">
        <v>3434</v>
      </c>
      <c r="H841" s="8" t="s">
        <v>1878</v>
      </c>
      <c r="I841" s="16" t="s">
        <v>4180</v>
      </c>
      <c r="J841" s="8">
        <f>IFERROR(VLOOKUP($G841,今日總結!$A:$AJ,35,0),"")</f>
        <v>0</v>
      </c>
      <c r="K841" s="5">
        <f>IFERROR(VLOOKUP($G841,今日總結!$A:$AJ,36,0),"")</f>
        <v>0</v>
      </c>
      <c r="L841" s="156">
        <f>IFERROR(VLOOKUP($G841,今日總結!$A:$AJ,33,0),"")</f>
        <v>0</v>
      </c>
      <c r="M841" s="340">
        <f>IFERROR(VLOOKUP($G841,今日總結!$A:$AJ,34,0),"")</f>
        <v>1</v>
      </c>
      <c r="N841" s="240">
        <f t="shared" si="175"/>
        <v>-1</v>
      </c>
      <c r="P841" s="365">
        <f>IFERROR(VLOOKUP($G841,融外自投!$A:$J,7,0),"無")</f>
        <v>437</v>
      </c>
      <c r="Q841" s="79">
        <f>IFERROR(VLOOKUP($G841,融外自投!$A:$J,9,0),"無")</f>
        <v>214</v>
      </c>
      <c r="R841" s="346">
        <f>IFERROR(VLOOKUP($G841,融外自投!$A:$J,8,0),"無")</f>
        <v>673</v>
      </c>
      <c r="S841" s="81" t="str">
        <f>IFERROR(VLOOKUP($G841,融外自投!$A:$J,10,0),"無")</f>
        <v>無</v>
      </c>
      <c r="T841" s="327">
        <f>IFERROR(VLOOKUP($G841,'321買'!$A:$E,5,0),"'沒有資料'")</f>
        <v>416</v>
      </c>
      <c r="U841" s="186">
        <f>IFERROR(VLOOKUP($G841,基本資料!$A:$J,9,0),"無")</f>
        <v>0.8</v>
      </c>
      <c r="V841" s="310">
        <f t="shared" si="170"/>
        <v>2.3460410557184751E-2</v>
      </c>
      <c r="W841" s="94">
        <f>IFERROR(VLOOKUP($G841,基本資料!$A:$J,10,0),"無")</f>
        <v>0.82</v>
      </c>
      <c r="X841" s="36">
        <f>RTD("money.excel",,"3434","Price")</f>
        <v>34.1</v>
      </c>
      <c r="Y841" s="66"/>
      <c r="Z841" s="15">
        <f t="shared" si="171"/>
        <v>34.1</v>
      </c>
      <c r="AA841" s="3" t="e">
        <f t="shared" si="172"/>
        <v>#DIV/0!</v>
      </c>
      <c r="AB841" s="344">
        <f>IFERROR(VLOOKUP($G841,基本資料!$A:$M,11,0),"無")</f>
        <v>-18.190000000000001</v>
      </c>
      <c r="AC841" s="397">
        <f>IFERROR(VLOOKUP($G841,基本資料!$A:$M,12,0),"無")</f>
        <v>77.72</v>
      </c>
      <c r="AD841" s="16" t="s">
        <v>4180</v>
      </c>
      <c r="AG841" s="33">
        <f t="shared" si="173"/>
        <v>0</v>
      </c>
      <c r="AH841" s="43" t="s">
        <v>4171</v>
      </c>
      <c r="AI841" s="63">
        <f t="shared" ref="AI841:AI872" si="176">AJ841/(A841*10000)</f>
        <v>1.3436123348017621E-2</v>
      </c>
      <c r="AJ841" s="284">
        <f>RTD("money.excel",,$G841,"PredictVolume")</f>
        <v>305</v>
      </c>
      <c r="AK841" s="399">
        <f>IFERROR(VLOOKUP($G841,基本資料!$A:$M,13,0),"無")</f>
        <v>37.090000000000003</v>
      </c>
    </row>
    <row r="842" spans="1:37">
      <c r="A842" s="347">
        <f>IFERROR(VLOOKUP($G842,基本資料!$A:$J,3,0),"無")</f>
        <v>14.45</v>
      </c>
      <c r="B842" s="79">
        <f>IFERROR(VLOOKUP($G842,基本資料!$A:$J,4,0),"無")</f>
        <v>179</v>
      </c>
      <c r="C842" s="79">
        <f>IFERROR(VLOOKUP($G842,基本資料!$A:$J,5,0),"無")</f>
        <v>157</v>
      </c>
      <c r="D842" s="79">
        <f>IFERROR(VLOOKUP($G842,基本資料!$A:$J,6,0),"無")</f>
        <v>-24</v>
      </c>
      <c r="E842" s="79">
        <f>IFERROR(VLOOKUP($G842,基本資料!$A:$J,7,0),"無")</f>
        <v>-30</v>
      </c>
      <c r="F842" s="6">
        <f>IFERROR(VLOOKUP($G842,基本資料!$A:$J,8,0),"無")</f>
        <v>1.39</v>
      </c>
      <c r="G842" s="79">
        <v>3437</v>
      </c>
      <c r="H842" s="8" t="s">
        <v>1878</v>
      </c>
      <c r="I842" s="22" t="s">
        <v>4181</v>
      </c>
      <c r="J842" s="8" t="str">
        <f>IFERROR(VLOOKUP($G842,今日總結!$A:$AJ,35,0),"")</f>
        <v/>
      </c>
      <c r="K842" s="5" t="str">
        <f>IFERROR(VLOOKUP($G842,今日總結!$A:$AJ,36,0),"")</f>
        <v/>
      </c>
      <c r="L842" s="156" t="str">
        <f>IFERROR(VLOOKUP($G842,今日總結!$A:$AJ,33,0),"")</f>
        <v/>
      </c>
      <c r="M842" s="340" t="str">
        <f>IFERROR(VLOOKUP($G842,今日總結!$A:$AJ,34,0),"")</f>
        <v/>
      </c>
      <c r="N842" s="240" t="str">
        <f t="shared" si="175"/>
        <v/>
      </c>
      <c r="P842" s="365">
        <f>IFERROR(VLOOKUP($G842,融外自投!$A:$J,7,0),"無")</f>
        <v>297</v>
      </c>
      <c r="Q842" s="79">
        <f>IFERROR(VLOOKUP($G842,融外自投!$A:$J,9,0),"無")</f>
        <v>492</v>
      </c>
      <c r="R842" s="346">
        <f>IFERROR(VLOOKUP($G842,融外自投!$A:$J,8,0),"無")</f>
        <v>853</v>
      </c>
      <c r="S842" s="81" t="str">
        <f>IFERROR(VLOOKUP($G842,融外自投!$A:$J,10,0),"無")</f>
        <v>無</v>
      </c>
      <c r="T842" s="327">
        <f>IFERROR(VLOOKUP($G842,'321買'!$A:$E,5,0),"'沒有資料'")</f>
        <v>664</v>
      </c>
      <c r="U842" s="186">
        <f>IFERROR(VLOOKUP($G842,基本資料!$A:$J,9,0),"無")</f>
        <v>0</v>
      </c>
      <c r="V842" s="310">
        <f t="shared" si="170"/>
        <v>0</v>
      </c>
      <c r="W842" s="94">
        <f>IFERROR(VLOOKUP($G842,基本資料!$A:$J,10,0),"無")</f>
        <v>0.61</v>
      </c>
      <c r="X842" s="36">
        <f>RTD("money.excel",,"3437","Price")</f>
        <v>20.75</v>
      </c>
      <c r="Y842" s="66"/>
      <c r="Z842" s="15">
        <f t="shared" si="171"/>
        <v>20.75</v>
      </c>
      <c r="AA842" s="3" t="e">
        <f t="shared" si="172"/>
        <v>#DIV/0!</v>
      </c>
      <c r="AB842" s="344">
        <f>IFERROR(VLOOKUP($G842,基本資料!$A:$M,11,0),"無")</f>
        <v>-40.630000000000003</v>
      </c>
      <c r="AC842" s="397">
        <f>IFERROR(VLOOKUP($G842,基本資料!$A:$M,12,0),"無")</f>
        <v>15.59</v>
      </c>
      <c r="AD842" s="22" t="s">
        <v>4181</v>
      </c>
      <c r="AG842" s="33">
        <f t="shared" si="173"/>
        <v>0</v>
      </c>
      <c r="AH842" s="117" t="s">
        <v>4182</v>
      </c>
      <c r="AI842" s="63">
        <f t="shared" si="176"/>
        <v>3.0726643598615916E-3</v>
      </c>
      <c r="AJ842" s="284">
        <f>RTD("money.excel",,$G842,"PredictVolume")</f>
        <v>444</v>
      </c>
      <c r="AK842" s="399">
        <f>IFERROR(VLOOKUP($G842,基本資料!$A:$M,13,0),"無")</f>
        <v>27.03</v>
      </c>
    </row>
    <row r="843" spans="1:37">
      <c r="A843" s="347">
        <f>IFERROR(VLOOKUP($G843,基本資料!$A:$J,3,0),"無")</f>
        <v>4</v>
      </c>
      <c r="B843" s="79">
        <f>IFERROR(VLOOKUP($G843,基本資料!$A:$J,4,0),"無")</f>
        <v>273</v>
      </c>
      <c r="C843" s="79">
        <f>IFERROR(VLOOKUP($G843,基本資料!$A:$J,5,0),"無")</f>
        <v>324</v>
      </c>
      <c r="D843" s="79">
        <f>IFERROR(VLOOKUP($G843,基本資料!$A:$J,6,0),"無")</f>
        <v>65</v>
      </c>
      <c r="E843" s="79">
        <f>IFERROR(VLOOKUP($G843,基本資料!$A:$J,7,0),"無")</f>
        <v>49</v>
      </c>
      <c r="F843" s="6">
        <f>IFERROR(VLOOKUP($G843,基本資料!$A:$J,8,0),"無")</f>
        <v>7.08</v>
      </c>
      <c r="G843" s="79">
        <v>3441</v>
      </c>
      <c r="H843" s="8" t="s">
        <v>1878</v>
      </c>
      <c r="I843" s="16" t="s">
        <v>4183</v>
      </c>
      <c r="J843" s="8" t="str">
        <f>IFERROR(VLOOKUP($G843,今日總結!$A:$AJ,35,0),"")</f>
        <v/>
      </c>
      <c r="K843" s="5" t="str">
        <f>IFERROR(VLOOKUP($G843,今日總結!$A:$AJ,36,0),"")</f>
        <v/>
      </c>
      <c r="L843" s="156" t="str">
        <f>IFERROR(VLOOKUP($G843,今日總結!$A:$AJ,33,0),"")</f>
        <v/>
      </c>
      <c r="M843" s="340" t="str">
        <f>IFERROR(VLOOKUP($G843,今日總結!$A:$AJ,34,0),"")</f>
        <v/>
      </c>
      <c r="N843" s="240" t="str">
        <f t="shared" si="175"/>
        <v/>
      </c>
      <c r="P843" s="365">
        <f>IFERROR(VLOOKUP($G843,融外自投!$A:$J,7,0),"無")</f>
        <v>221</v>
      </c>
      <c r="Q843" s="79">
        <f>IFERROR(VLOOKUP($G843,融外自投!$A:$J,9,0),"無")</f>
        <v>231</v>
      </c>
      <c r="R843" s="346">
        <f>IFERROR(VLOOKUP($G843,融外自投!$A:$J,8,0),"無")</f>
        <v>1276</v>
      </c>
      <c r="S843" s="81" t="str">
        <f>IFERROR(VLOOKUP($G843,融外自投!$A:$J,10,0),"無")</f>
        <v>無</v>
      </c>
      <c r="T843" s="327">
        <f>IFERROR(VLOOKUP($G843,'321買'!$A:$E,5,0),"'沒有資料'")</f>
        <v>939</v>
      </c>
      <c r="U843" s="186">
        <f>IFERROR(VLOOKUP($G843,基本資料!$A:$J,9,0),"無")</f>
        <v>0.5</v>
      </c>
      <c r="V843" s="310">
        <f t="shared" si="170"/>
        <v>1.7182130584192438E-2</v>
      </c>
      <c r="W843" s="94">
        <f>IFERROR(VLOOKUP($G843,基本資料!$A:$J,10,0),"無")</f>
        <v>0.63</v>
      </c>
      <c r="X843" s="36">
        <f>RTD("money.excel",,"3441","Price")</f>
        <v>29.1</v>
      </c>
      <c r="Y843" s="66"/>
      <c r="Z843" s="15">
        <f t="shared" si="171"/>
        <v>29.1</v>
      </c>
      <c r="AA843" s="3" t="e">
        <f t="shared" si="172"/>
        <v>#DIV/0!</v>
      </c>
      <c r="AB843" s="344">
        <f>IFERROR(VLOOKUP($G843,基本資料!$A:$M,11,0),"無")</f>
        <v>-38.96</v>
      </c>
      <c r="AC843" s="397">
        <f>IFERROR(VLOOKUP($G843,基本資料!$A:$M,12,0),"無")</f>
        <v>13.84</v>
      </c>
      <c r="AD843" s="16" t="s">
        <v>4183</v>
      </c>
      <c r="AG843" s="33">
        <f t="shared" si="173"/>
        <v>0</v>
      </c>
      <c r="AH843" s="43" t="s">
        <v>4184</v>
      </c>
      <c r="AI843" s="63">
        <f t="shared" si="176"/>
        <v>4.15E-3</v>
      </c>
      <c r="AJ843" s="284">
        <f>RTD("money.excel",,$G843,"PredictVolume")</f>
        <v>166</v>
      </c>
      <c r="AK843" s="399">
        <f>IFERROR(VLOOKUP($G843,基本資料!$A:$M,13,0),"無")</f>
        <v>16.84</v>
      </c>
    </row>
    <row r="844" spans="1:37">
      <c r="A844" s="347">
        <f>IFERROR(VLOOKUP($G844,基本資料!$A:$J,3,0),"無")</f>
        <v>8.65</v>
      </c>
      <c r="B844" s="79">
        <f>IFERROR(VLOOKUP($G844,基本資料!$A:$J,4,0),"無")</f>
        <v>-7</v>
      </c>
      <c r="C844" s="79">
        <f>IFERROR(VLOOKUP($G844,基本資料!$A:$J,5,0),"無")</f>
        <v>-65</v>
      </c>
      <c r="D844" s="79">
        <f>IFERROR(VLOOKUP($G844,基本資料!$A:$J,6,0),"無")</f>
        <v>0</v>
      </c>
      <c r="E844" s="79">
        <f>IFERROR(VLOOKUP($G844,基本資料!$A:$J,7,0),"無")</f>
        <v>51</v>
      </c>
      <c r="F844" s="6">
        <f>IFERROR(VLOOKUP($G844,基本資料!$A:$J,8,0),"無")</f>
        <v>1.67</v>
      </c>
      <c r="G844" s="79">
        <v>3454</v>
      </c>
      <c r="H844" s="8" t="s">
        <v>1878</v>
      </c>
      <c r="I844" s="22" t="s">
        <v>4185</v>
      </c>
      <c r="J844" s="8" t="str">
        <f>IFERROR(VLOOKUP($G844,今日總結!$A:$AJ,35,0),"")</f>
        <v/>
      </c>
      <c r="K844" s="5" t="str">
        <f>IFERROR(VLOOKUP($G844,今日總結!$A:$AJ,36,0),"")</f>
        <v/>
      </c>
      <c r="L844" s="156" t="str">
        <f>IFERROR(VLOOKUP($G844,今日總結!$A:$AJ,33,0),"")</f>
        <v/>
      </c>
      <c r="M844" s="340" t="str">
        <f>IFERROR(VLOOKUP($G844,今日總結!$A:$AJ,34,0),"")</f>
        <v/>
      </c>
      <c r="N844" s="240" t="str">
        <f t="shared" si="175"/>
        <v/>
      </c>
      <c r="P844" s="365">
        <f>IFERROR(VLOOKUP($G844,融外自投!$A:$J,7,0),"無")</f>
        <v>841</v>
      </c>
      <c r="Q844" s="79">
        <f>IFERROR(VLOOKUP($G844,融外自投!$A:$J,9,0),"無")</f>
        <v>425</v>
      </c>
      <c r="R844" s="346">
        <f>IFERROR(VLOOKUP($G844,融外自投!$A:$J,8,0),"無")</f>
        <v>893</v>
      </c>
      <c r="S844" s="81" t="str">
        <f>IFERROR(VLOOKUP($G844,融外自投!$A:$J,10,0),"無")</f>
        <v>無</v>
      </c>
      <c r="T844" s="327">
        <f>IFERROR(VLOOKUP($G844,'321買'!$A:$E,5,0),"'沒有資料'")</f>
        <v>869</v>
      </c>
      <c r="U844" s="186">
        <f>IFERROR(VLOOKUP($G844,基本資料!$A:$J,9,0),"無")</f>
        <v>1.4</v>
      </c>
      <c r="V844" s="310">
        <f t="shared" si="170"/>
        <v>1.7834394904458598E-2</v>
      </c>
      <c r="W844" s="94">
        <f>IFERROR(VLOOKUP($G844,基本資料!$A:$J,10,0),"無")</f>
        <v>2.17</v>
      </c>
      <c r="X844" s="36">
        <f>RTD("money.excel",,"3454","Price")</f>
        <v>78.5</v>
      </c>
      <c r="Y844" s="66"/>
      <c r="Z844" s="15">
        <f t="shared" si="171"/>
        <v>78.5</v>
      </c>
      <c r="AA844" s="3" t="e">
        <f t="shared" si="172"/>
        <v>#DIV/0!</v>
      </c>
      <c r="AB844" s="344">
        <f>IFERROR(VLOOKUP($G844,基本資料!$A:$M,11,0),"無")</f>
        <v>-4.5</v>
      </c>
      <c r="AC844" s="397">
        <f>IFERROR(VLOOKUP($G844,基本資料!$A:$M,12,0),"無")</f>
        <v>75.17</v>
      </c>
      <c r="AD844" s="22" t="s">
        <v>4185</v>
      </c>
      <c r="AG844" s="33">
        <f t="shared" si="173"/>
        <v>0</v>
      </c>
      <c r="AH844" s="117" t="s">
        <v>4186</v>
      </c>
      <c r="AI844" s="63">
        <f t="shared" si="176"/>
        <v>3.0289017341040463E-3</v>
      </c>
      <c r="AJ844" s="284">
        <f>RTD("money.excel",,$G844,"PredictVolume")</f>
        <v>262</v>
      </c>
      <c r="AK844" s="399">
        <f>IFERROR(VLOOKUP($G844,基本資料!$A:$M,13,0),"無")</f>
        <v>1.68</v>
      </c>
    </row>
    <row r="845" spans="1:37">
      <c r="A845" s="347">
        <f>IFERROR(VLOOKUP($G845,基本資料!$A:$J,3,0),"無")</f>
        <v>5.98</v>
      </c>
      <c r="B845" s="79">
        <f>IFERROR(VLOOKUP($G845,基本資料!$A:$J,4,0),"無")</f>
        <v>86</v>
      </c>
      <c r="C845" s="79">
        <f>IFERROR(VLOOKUP($G845,基本資料!$A:$J,5,0),"無")</f>
        <v>66</v>
      </c>
      <c r="D845" s="79">
        <f>IFERROR(VLOOKUP($G845,基本資料!$A:$J,6,0),"無")</f>
        <v>4</v>
      </c>
      <c r="E845" s="79">
        <f>IFERROR(VLOOKUP($G845,基本資料!$A:$J,7,0),"無")</f>
        <v>-14</v>
      </c>
      <c r="F845" s="6">
        <f>IFERROR(VLOOKUP($G845,基本資料!$A:$J,8,0),"無")</f>
        <v>19.93</v>
      </c>
      <c r="G845" s="79">
        <v>3455</v>
      </c>
      <c r="H845" s="8" t="s">
        <v>306</v>
      </c>
      <c r="I845" s="16" t="s">
        <v>4187</v>
      </c>
      <c r="J845" s="8" t="str">
        <f>IFERROR(VLOOKUP($G845,今日總結!$A:$AJ,35,0),"")</f>
        <v/>
      </c>
      <c r="K845" s="5" t="str">
        <f>IFERROR(VLOOKUP($G845,今日總結!$A:$AJ,36,0),"")</f>
        <v/>
      </c>
      <c r="L845" s="156" t="str">
        <f>IFERROR(VLOOKUP($G845,今日總結!$A:$AJ,33,0),"")</f>
        <v/>
      </c>
      <c r="M845" s="340" t="str">
        <f>IFERROR(VLOOKUP($G845,今日總結!$A:$AJ,34,0),"")</f>
        <v/>
      </c>
      <c r="N845" s="240" t="str">
        <f t="shared" si="175"/>
        <v/>
      </c>
      <c r="P845" s="365">
        <f>IFERROR(VLOOKUP($G845,融外自投!$A:$J,7,0),"無")</f>
        <v>105</v>
      </c>
      <c r="Q845" s="79">
        <f>IFERROR(VLOOKUP($G845,融外自投!$A:$J,9,0),"無")</f>
        <v>329</v>
      </c>
      <c r="R845" s="346">
        <f>IFERROR(VLOOKUP($G845,融外自投!$A:$J,8,0),"無")</f>
        <v>880</v>
      </c>
      <c r="S845" s="81">
        <f>IFERROR(VLOOKUP($G845,融外自投!$A:$J,10,0),"無")</f>
        <v>130</v>
      </c>
      <c r="T845" s="327">
        <f>IFERROR(VLOOKUP($G845,'321買'!$A:$E,5,0),"'沒有資料'")</f>
        <v>145</v>
      </c>
      <c r="U845" s="186">
        <f>IFERROR(VLOOKUP($G845,基本資料!$A:$J,9,0),"無")</f>
        <v>5.5</v>
      </c>
      <c r="V845" s="310">
        <f t="shared" si="170"/>
        <v>6.6265060240963861E-2</v>
      </c>
      <c r="W845" s="94">
        <f>IFERROR(VLOOKUP($G845,基本資料!$A:$J,10,0),"無")</f>
        <v>7.5</v>
      </c>
      <c r="X845" s="36">
        <f>RTD("money.excel",,"3455","Price")</f>
        <v>83</v>
      </c>
      <c r="Y845" s="66"/>
      <c r="Z845" s="15">
        <f>X845-Y845</f>
        <v>83</v>
      </c>
      <c r="AA845" s="3" t="e">
        <f>Z845/Y845</f>
        <v>#DIV/0!</v>
      </c>
      <c r="AB845" s="344">
        <f>IFERROR(VLOOKUP($G845,基本資料!$A:$M,11,0),"無")</f>
        <v>-32.17</v>
      </c>
      <c r="AC845" s="397">
        <f>IFERROR(VLOOKUP($G845,基本資料!$A:$M,12,0),"無")</f>
        <v>12.08</v>
      </c>
      <c r="AD845" s="16" t="s">
        <v>4187</v>
      </c>
      <c r="AG845" s="33">
        <f>AF845-AE845</f>
        <v>0</v>
      </c>
      <c r="AH845" s="43" t="s">
        <v>2434</v>
      </c>
      <c r="AI845" s="63">
        <f t="shared" si="176"/>
        <v>1.20066889632107E-2</v>
      </c>
      <c r="AJ845" s="284">
        <f>RTD("money.excel",,$G845,"PredictVolume")</f>
        <v>718</v>
      </c>
      <c r="AK845" s="399">
        <f>IFERROR(VLOOKUP($G845,基本資料!$A:$M,13,0),"無")</f>
        <v>54.47</v>
      </c>
    </row>
    <row r="846" spans="1:37">
      <c r="A846" s="347">
        <f>IFERROR(VLOOKUP($G846,基本資料!$A:$J,3,0),"無")</f>
        <v>1055</v>
      </c>
      <c r="B846" s="79">
        <f>IFERROR(VLOOKUP($G846,基本資料!$A:$J,4,0),"無")</f>
        <v>3409</v>
      </c>
      <c r="C846" s="79">
        <f>IFERROR(VLOOKUP($G846,基本資料!$A:$J,5,0),"無")</f>
        <v>3361</v>
      </c>
      <c r="D846" s="79">
        <f>IFERROR(VLOOKUP($G846,基本資料!$A:$J,6,0),"無")</f>
        <v>-13</v>
      </c>
      <c r="E846" s="79">
        <f>IFERROR(VLOOKUP($G846,基本資料!$A:$J,7,0),"無")</f>
        <v>-32</v>
      </c>
      <c r="F846" s="6">
        <f>IFERROR(VLOOKUP($G846,基本資料!$A:$J,8,0),"無")</f>
        <v>17.91</v>
      </c>
      <c r="G846" s="79">
        <v>3481</v>
      </c>
      <c r="H846" s="8" t="s">
        <v>1878</v>
      </c>
      <c r="I846" s="22" t="s">
        <v>212</v>
      </c>
      <c r="J846" s="8" t="str">
        <f>IFERROR(VLOOKUP($G846,今日總結!$A:$AJ,35,0),"")</f>
        <v>外</v>
      </c>
      <c r="K846" s="5">
        <f>IFERROR(VLOOKUP($G846,今日總結!$A:$AJ,36,0),"")</f>
        <v>0</v>
      </c>
      <c r="L846" s="156">
        <f>IFERROR(VLOOKUP($G846,今日總結!$A:$AJ,33,0),"")</f>
        <v>1</v>
      </c>
      <c r="M846" s="340">
        <f>IFERROR(VLOOKUP($G846,今日總結!$A:$AJ,34,0),"")</f>
        <v>0</v>
      </c>
      <c r="N846" s="240">
        <f t="shared" si="175"/>
        <v>1</v>
      </c>
      <c r="P846" s="365">
        <f>IFERROR(VLOOKUP($G846,融外自投!$A:$J,7,0),"無")</f>
        <v>451</v>
      </c>
      <c r="Q846" s="79">
        <f>IFERROR(VLOOKUP($G846,融外自投!$A:$J,9,0),"無")</f>
        <v>152</v>
      </c>
      <c r="R846" s="346">
        <f>IFERROR(VLOOKUP($G846,融外自投!$A:$J,8,0),"無")</f>
        <v>244</v>
      </c>
      <c r="S846" s="81">
        <f>IFERROR(VLOOKUP($G846,融外自投!$A:$J,10,0),"無")</f>
        <v>95</v>
      </c>
      <c r="T846" s="327">
        <f>IFERROR(VLOOKUP($G846,'321買'!$A:$E,5,0),"'沒有資料'")</f>
        <v>89</v>
      </c>
      <c r="U846" s="186">
        <f>IFERROR(VLOOKUP($G846,基本資料!$A:$J,9,0),"無")</f>
        <v>0</v>
      </c>
      <c r="V846" s="310">
        <f t="shared" si="170"/>
        <v>0</v>
      </c>
      <c r="W846" s="94">
        <f>IFERROR(VLOOKUP($G846,基本資料!$A:$J,10,0),"無")</f>
        <v>5.53</v>
      </c>
      <c r="X846" s="36">
        <f>RTD("money.excel",,"3481","Price")</f>
        <v>13.4</v>
      </c>
      <c r="Y846" s="66"/>
      <c r="Z846" s="15">
        <f t="shared" si="171"/>
        <v>13.4</v>
      </c>
      <c r="AA846" s="3" t="e">
        <f t="shared" si="172"/>
        <v>#DIV/0!</v>
      </c>
      <c r="AB846" s="344">
        <f>IFERROR(VLOOKUP($G846,基本資料!$A:$M,11,0),"無")</f>
        <v>-43.94</v>
      </c>
      <c r="AC846" s="397">
        <f>IFERROR(VLOOKUP($G846,基本資料!$A:$M,12,0),"無")</f>
        <v>17.32</v>
      </c>
      <c r="AD846" s="22" t="s">
        <v>212</v>
      </c>
      <c r="AG846" s="33">
        <f t="shared" si="173"/>
        <v>0</v>
      </c>
      <c r="AH846" s="117" t="s">
        <v>4188</v>
      </c>
      <c r="AI846" s="63">
        <f t="shared" si="176"/>
        <v>6.7987677725118486E-3</v>
      </c>
      <c r="AJ846" s="317">
        <f>RTD("money.excel",,$G846,"PredictVolume")</f>
        <v>71727</v>
      </c>
      <c r="AK846" s="399">
        <f>IFERROR(VLOOKUP($G846,基本資料!$A:$M,13,0),"無")</f>
        <v>9.69</v>
      </c>
    </row>
    <row r="847" spans="1:37">
      <c r="A847" s="347">
        <f>IFERROR(VLOOKUP($G847,基本資料!$A:$J,3,0),"無")</f>
        <v>5.7</v>
      </c>
      <c r="B847" s="79">
        <f>IFERROR(VLOOKUP($G847,基本資料!$A:$J,4,0),"無")</f>
        <v>119</v>
      </c>
      <c r="C847" s="79">
        <f>IFERROR(VLOOKUP($G847,基本資料!$A:$J,5,0),"無")</f>
        <v>259</v>
      </c>
      <c r="D847" s="79">
        <f>IFERROR(VLOOKUP($G847,基本資料!$A:$J,6,0),"無")</f>
        <v>-41</v>
      </c>
      <c r="E847" s="79">
        <f>IFERROR(VLOOKUP($G847,基本資料!$A:$J,7,0),"無")</f>
        <v>-19</v>
      </c>
      <c r="F847" s="6">
        <f>IFERROR(VLOOKUP($G847,基本資料!$A:$J,8,0),"無")</f>
        <v>20.98</v>
      </c>
      <c r="G847" s="79">
        <v>3490</v>
      </c>
      <c r="H847" s="8" t="s">
        <v>1878</v>
      </c>
      <c r="I847" s="16" t="s">
        <v>4189</v>
      </c>
      <c r="J847" s="8" t="str">
        <f>IFERROR(VLOOKUP($G847,今日總結!$A:$AJ,35,0),"")</f>
        <v/>
      </c>
      <c r="K847" s="5" t="str">
        <f>IFERROR(VLOOKUP($G847,今日總結!$A:$AJ,36,0),"")</f>
        <v/>
      </c>
      <c r="L847" s="156" t="str">
        <f>IFERROR(VLOOKUP($G847,今日總結!$A:$AJ,33,0),"")</f>
        <v/>
      </c>
      <c r="M847" s="340" t="str">
        <f>IFERROR(VLOOKUP($G847,今日總結!$A:$AJ,34,0),"")</f>
        <v/>
      </c>
      <c r="N847" s="240" t="str">
        <f t="shared" si="175"/>
        <v/>
      </c>
      <c r="P847" s="365">
        <f>IFERROR(VLOOKUP($G847,融外自投!$A:$J,7,0),"無")</f>
        <v>167</v>
      </c>
      <c r="Q847" s="79">
        <f>IFERROR(VLOOKUP($G847,融外自投!$A:$J,9,0),"無")</f>
        <v>286</v>
      </c>
      <c r="R847" s="346">
        <f>IFERROR(VLOOKUP($G847,融外自投!$A:$J,8,0),"無")</f>
        <v>826</v>
      </c>
      <c r="S847" s="81" t="str">
        <f>IFERROR(VLOOKUP($G847,融外自投!$A:$J,10,0),"無")</f>
        <v>無</v>
      </c>
      <c r="T847" s="327">
        <f>IFERROR(VLOOKUP($G847,'321買'!$A:$E,5,0),"'沒有資料'")</f>
        <v>515</v>
      </c>
      <c r="U847" s="186">
        <f>IFERROR(VLOOKUP($G847,基本資料!$A:$J,9,0),"無")</f>
        <v>1.2</v>
      </c>
      <c r="V847" s="310">
        <f t="shared" si="170"/>
        <v>4.5283018867924525E-2</v>
      </c>
      <c r="W847" s="94">
        <f>IFERROR(VLOOKUP($G847,基本資料!$A:$J,10,0),"無")</f>
        <v>2.19</v>
      </c>
      <c r="X847" s="36">
        <f>RTD("money.excel",,"3490","Price")</f>
        <v>26.5</v>
      </c>
      <c r="Y847" s="66"/>
      <c r="Z847" s="15">
        <f t="shared" si="171"/>
        <v>26.5</v>
      </c>
      <c r="AA847" s="3" t="e">
        <f t="shared" si="172"/>
        <v>#DIV/0!</v>
      </c>
      <c r="AB847" s="344">
        <f>IFERROR(VLOOKUP($G847,基本資料!$A:$M,11,0),"無")</f>
        <v>-25.4</v>
      </c>
      <c r="AC847" s="397">
        <f>IFERROR(VLOOKUP($G847,基本資料!$A:$M,12,0),"無")</f>
        <v>22.18</v>
      </c>
      <c r="AD847" s="16" t="s">
        <v>4189</v>
      </c>
      <c r="AG847" s="33">
        <f t="shared" si="173"/>
        <v>0</v>
      </c>
      <c r="AH847" s="43" t="s">
        <v>4190</v>
      </c>
      <c r="AI847" s="63">
        <f t="shared" si="176"/>
        <v>2.8771929824561405E-3</v>
      </c>
      <c r="AJ847" s="284">
        <f>RTD("money.excel",,$G847,"PredictVolume")</f>
        <v>164</v>
      </c>
      <c r="AK847" s="399">
        <f>IFERROR(VLOOKUP($G847,基本資料!$A:$M,13,0),"無")</f>
        <v>20.68</v>
      </c>
    </row>
    <row r="848" spans="1:37">
      <c r="A848" s="347">
        <f>IFERROR(VLOOKUP($G848,基本資料!$A:$J,3,0),"無")</f>
        <v>11.4</v>
      </c>
      <c r="B848" s="79">
        <f>IFERROR(VLOOKUP($G848,基本資料!$A:$J,4,0),"無")</f>
        <v>111</v>
      </c>
      <c r="C848" s="79">
        <f>IFERROR(VLOOKUP($G848,基本資料!$A:$J,5,0),"無")</f>
        <v>111</v>
      </c>
      <c r="D848" s="79">
        <f>IFERROR(VLOOKUP($G848,基本資料!$A:$J,6,0),"無")</f>
        <v>43</v>
      </c>
      <c r="E848" s="79">
        <f>IFERROR(VLOOKUP($G848,基本資料!$A:$J,7,0),"無")</f>
        <v>-1</v>
      </c>
      <c r="F848" s="6">
        <f>IFERROR(VLOOKUP($G848,基本資料!$A:$J,8,0),"無")</f>
        <v>0.6</v>
      </c>
      <c r="G848" s="79">
        <v>3504</v>
      </c>
      <c r="H848" s="8" t="s">
        <v>1878</v>
      </c>
      <c r="I848" s="22" t="s">
        <v>4191</v>
      </c>
      <c r="J848" s="8" t="str">
        <f>IFERROR(VLOOKUP($G848,今日總結!$A:$AJ,35,0),"")</f>
        <v/>
      </c>
      <c r="K848" s="5" t="str">
        <f>IFERROR(VLOOKUP($G848,今日總結!$A:$AJ,36,0),"")</f>
        <v/>
      </c>
      <c r="L848" s="156" t="str">
        <f>IFERROR(VLOOKUP($G848,今日總結!$A:$AJ,33,0),"")</f>
        <v/>
      </c>
      <c r="M848" s="340" t="str">
        <f>IFERROR(VLOOKUP($G848,今日總結!$A:$AJ,34,0),"")</f>
        <v/>
      </c>
      <c r="N848" s="240" t="str">
        <f t="shared" si="175"/>
        <v/>
      </c>
      <c r="P848" s="365">
        <f>IFERROR(VLOOKUP($G848,融外自投!$A:$J,7,0),"無")</f>
        <v>380</v>
      </c>
      <c r="Q848" s="79">
        <f>IFERROR(VLOOKUP($G848,融外自投!$A:$J,9,0),"無")</f>
        <v>95</v>
      </c>
      <c r="R848" s="346">
        <f>IFERROR(VLOOKUP($G848,融外自投!$A:$J,8,0),"無")</f>
        <v>762</v>
      </c>
      <c r="S848" s="81">
        <f>IFERROR(VLOOKUP($G848,融外自投!$A:$J,10,0),"無")</f>
        <v>437</v>
      </c>
      <c r="T848" s="327">
        <f>IFERROR(VLOOKUP($G848,'321買'!$A:$E,5,0),"'沒有資料'")</f>
        <v>271</v>
      </c>
      <c r="U848" s="186">
        <f>IFERROR(VLOOKUP($G848,基本資料!$A:$J,9,0),"無")</f>
        <v>0</v>
      </c>
      <c r="V848" s="310">
        <f t="shared" si="170"/>
        <v>0</v>
      </c>
      <c r="W848" s="94">
        <f>IFERROR(VLOOKUP($G848,基本資料!$A:$J,10,0),"無")</f>
        <v>0.23</v>
      </c>
      <c r="X848" s="36">
        <f>RTD("money.excel",,"3504","Price")</f>
        <v>62</v>
      </c>
      <c r="Y848" s="66"/>
      <c r="Z848" s="15">
        <f t="shared" si="171"/>
        <v>62</v>
      </c>
      <c r="AA848" s="3" t="e">
        <f t="shared" si="172"/>
        <v>#DIV/0!</v>
      </c>
      <c r="AB848" s="344">
        <f>IFERROR(VLOOKUP($G848,基本資料!$A:$M,11,0),"無")</f>
        <v>-60.58</v>
      </c>
      <c r="AC848" s="397">
        <f>IFERROR(VLOOKUP($G848,基本資料!$A:$M,12,0),"無")</f>
        <v>3.78</v>
      </c>
      <c r="AD848" s="22" t="s">
        <v>4191</v>
      </c>
      <c r="AG848" s="33">
        <f t="shared" si="173"/>
        <v>0</v>
      </c>
      <c r="AH848" s="43" t="s">
        <v>4192</v>
      </c>
      <c r="AI848" s="63">
        <f t="shared" si="176"/>
        <v>5.1052631578947369E-3</v>
      </c>
      <c r="AJ848" s="284">
        <f>RTD("money.excel",,$G848,"PredictVolume")</f>
        <v>582</v>
      </c>
      <c r="AK848" s="399">
        <f>IFERROR(VLOOKUP($G848,基本資料!$A:$M,13,0),"無")</f>
        <v>32.409999999999997</v>
      </c>
    </row>
    <row r="849" spans="1:37">
      <c r="A849" s="347">
        <f>IFERROR(VLOOKUP($G849,基本資料!$A:$J,3,0),"無")</f>
        <v>5.05</v>
      </c>
      <c r="B849" s="79">
        <f>IFERROR(VLOOKUP($G849,基本資料!$A:$J,4,0),"無")</f>
        <v>143</v>
      </c>
      <c r="C849" s="79">
        <f>IFERROR(VLOOKUP($G849,基本資料!$A:$J,5,0),"無")</f>
        <v>128</v>
      </c>
      <c r="D849" s="79">
        <f>IFERROR(VLOOKUP($G849,基本資料!$A:$J,6,0),"無")</f>
        <v>0</v>
      </c>
      <c r="E849" s="79">
        <f>IFERROR(VLOOKUP($G849,基本資料!$A:$J,7,0),"無")</f>
        <v>52</v>
      </c>
      <c r="F849" s="6">
        <f>IFERROR(VLOOKUP($G849,基本資料!$A:$J,8,0),"無")</f>
        <v>0.35</v>
      </c>
      <c r="G849" s="79">
        <v>3516</v>
      </c>
      <c r="H849" s="8" t="s">
        <v>1878</v>
      </c>
      <c r="I849" s="16" t="s">
        <v>4193</v>
      </c>
      <c r="J849" s="8" t="str">
        <f>IFERROR(VLOOKUP($G849,今日總結!$A:$AJ,35,0),"")</f>
        <v/>
      </c>
      <c r="K849" s="5" t="str">
        <f>IFERROR(VLOOKUP($G849,今日總結!$A:$AJ,36,0),"")</f>
        <v/>
      </c>
      <c r="L849" s="156" t="str">
        <f>IFERROR(VLOOKUP($G849,今日總結!$A:$AJ,33,0),"")</f>
        <v/>
      </c>
      <c r="M849" s="340" t="str">
        <f>IFERROR(VLOOKUP($G849,今日總結!$A:$AJ,34,0),"")</f>
        <v/>
      </c>
      <c r="N849" s="240" t="str">
        <f t="shared" si="175"/>
        <v/>
      </c>
      <c r="P849" s="365">
        <f>IFERROR(VLOOKUP($G849,融外自投!$A:$J,7,0),"無")</f>
        <v>4</v>
      </c>
      <c r="Q849" s="79" t="str">
        <f>IFERROR(VLOOKUP($G849,融外自投!$A:$J,9,0),"無")</f>
        <v>無</v>
      </c>
      <c r="R849" s="346">
        <f>IFERROR(VLOOKUP($G849,融外自投!$A:$J,8,0),"無")</f>
        <v>1351</v>
      </c>
      <c r="S849" s="81" t="str">
        <f>IFERROR(VLOOKUP($G849,融外自投!$A:$J,10,0),"無")</f>
        <v>無</v>
      </c>
      <c r="T849" s="327">
        <f>IFERROR(VLOOKUP($G849,'321買'!$A:$E,5,0),"'沒有資料'")</f>
        <v>1367</v>
      </c>
      <c r="U849" s="186">
        <f>IFERROR(VLOOKUP($G849,基本資料!$A:$J,9,0),"無")</f>
        <v>0.2</v>
      </c>
      <c r="V849" s="310">
        <f t="shared" si="170"/>
        <v>1.2658227848101266E-2</v>
      </c>
      <c r="W849" s="94">
        <f>IFERROR(VLOOKUP($G849,基本資料!$A:$J,10,0),"無")</f>
        <v>0.86</v>
      </c>
      <c r="X849" s="36">
        <f>RTD("money.excel",,"3516","Price")</f>
        <v>15.8</v>
      </c>
      <c r="Y849" s="66"/>
      <c r="Z849" s="15">
        <f t="shared" si="171"/>
        <v>15.8</v>
      </c>
      <c r="AA849" s="3" t="e">
        <f t="shared" si="172"/>
        <v>#DIV/0!</v>
      </c>
      <c r="AB849" s="344">
        <f>IFERROR(VLOOKUP($G849,基本資料!$A:$M,11,0),"無")</f>
        <v>-18.23</v>
      </c>
      <c r="AC849" s="397">
        <f>IFERROR(VLOOKUP($G849,基本資料!$A:$M,12,0),"無")</f>
        <v>45.41</v>
      </c>
      <c r="AD849" s="16" t="s">
        <v>4193</v>
      </c>
      <c r="AG849" s="33">
        <f t="shared" si="173"/>
        <v>0</v>
      </c>
      <c r="AH849" s="43" t="s">
        <v>4147</v>
      </c>
      <c r="AI849" s="63">
        <f t="shared" si="176"/>
        <v>2.1782178217821783E-4</v>
      </c>
      <c r="AJ849" s="284">
        <f>RTD("money.excel",,$G849,"PredictVolume")</f>
        <v>11</v>
      </c>
      <c r="AK849" s="399">
        <f>IFERROR(VLOOKUP($G849,基本資料!$A:$M,13,0),"無")</f>
        <v>4.13</v>
      </c>
    </row>
    <row r="850" spans="1:37">
      <c r="A850" s="347">
        <f>IFERROR(VLOOKUP($G850,基本資料!$A:$J,3,0),"無")</f>
        <v>6.11</v>
      </c>
      <c r="B850" s="79">
        <f>IFERROR(VLOOKUP($G850,基本資料!$A:$J,4,0),"無")</f>
        <v>83</v>
      </c>
      <c r="C850" s="79">
        <f>IFERROR(VLOOKUP($G850,基本資料!$A:$J,5,0),"無")</f>
        <v>9</v>
      </c>
      <c r="D850" s="79">
        <f>IFERROR(VLOOKUP($G850,基本資料!$A:$J,6,0),"無")</f>
        <v>44</v>
      </c>
      <c r="E850" s="79">
        <f>IFERROR(VLOOKUP($G850,基本資料!$A:$J,7,0),"無")</f>
        <v>32</v>
      </c>
      <c r="F850" s="6">
        <f>IFERROR(VLOOKUP($G850,基本資料!$A:$J,8,0),"無")</f>
        <v>4.17</v>
      </c>
      <c r="G850" s="79">
        <v>3531</v>
      </c>
      <c r="H850" s="8" t="s">
        <v>1878</v>
      </c>
      <c r="I850" s="16" t="s">
        <v>4194</v>
      </c>
      <c r="J850" s="8" t="str">
        <f>IFERROR(VLOOKUP($G850,今日總結!$A:$AJ,35,0),"")</f>
        <v/>
      </c>
      <c r="K850" s="5" t="str">
        <f>IFERROR(VLOOKUP($G850,今日總結!$A:$AJ,36,0),"")</f>
        <v/>
      </c>
      <c r="L850" s="156" t="str">
        <f>IFERROR(VLOOKUP($G850,今日總結!$A:$AJ,33,0),"")</f>
        <v/>
      </c>
      <c r="M850" s="340" t="str">
        <f>IFERROR(VLOOKUP($G850,今日總結!$A:$AJ,34,0),"")</f>
        <v/>
      </c>
      <c r="N850" s="240" t="str">
        <f t="shared" si="175"/>
        <v/>
      </c>
      <c r="P850" s="365">
        <f>IFERROR(VLOOKUP($G850,融外自投!$A:$J,7,0),"無")</f>
        <v>1404</v>
      </c>
      <c r="Q850" s="79" t="str">
        <f>IFERROR(VLOOKUP($G850,融外自投!$A:$J,9,0),"無")</f>
        <v>無</v>
      </c>
      <c r="R850" s="346">
        <f>IFERROR(VLOOKUP($G850,融外自投!$A:$J,8,0),"無")</f>
        <v>285</v>
      </c>
      <c r="S850" s="81" t="str">
        <f>IFERROR(VLOOKUP($G850,融外自投!$A:$J,10,0),"無")</f>
        <v>無</v>
      </c>
      <c r="T850" s="327" t="str">
        <f>IFERROR(VLOOKUP($G850,'321買'!$A:$E,5,0),"'沒有資料'")</f>
        <v>'沒有資料'</v>
      </c>
      <c r="U850" s="186">
        <f>IFERROR(VLOOKUP($G850,基本資料!$A:$J,9,0),"無")</f>
        <v>1.2</v>
      </c>
      <c r="V850" s="310" t="e">
        <f t="shared" si="170"/>
        <v>#VALUE!</v>
      </c>
      <c r="W850" s="94">
        <f>IFERROR(VLOOKUP($G850,基本資料!$A:$J,10,0),"無")</f>
        <v>1.38</v>
      </c>
      <c r="X850" s="36" t="str">
        <f>RTD("money.excel",,"3531","Price")</f>
        <v>無資料</v>
      </c>
      <c r="Y850" s="66"/>
      <c r="Z850" s="15" t="e">
        <f t="shared" si="171"/>
        <v>#VALUE!</v>
      </c>
      <c r="AA850" s="3" t="e">
        <f t="shared" si="172"/>
        <v>#VALUE!</v>
      </c>
      <c r="AB850" s="344">
        <f>IFERROR(VLOOKUP($G850,基本資料!$A:$M,11,0),"無")</f>
        <v>-8.42</v>
      </c>
      <c r="AC850" s="397">
        <f>IFERROR(VLOOKUP($G850,基本資料!$A:$M,12,0),"無")</f>
        <v>59.96</v>
      </c>
      <c r="AD850" s="16" t="s">
        <v>4194</v>
      </c>
      <c r="AG850" s="33">
        <f t="shared" si="173"/>
        <v>0</v>
      </c>
      <c r="AH850" s="43" t="s">
        <v>4195</v>
      </c>
      <c r="AI850" s="63">
        <f t="shared" si="176"/>
        <v>0</v>
      </c>
      <c r="AJ850" s="284">
        <f>RTD("money.excel",,$G850,"PredictVolume")</f>
        <v>0</v>
      </c>
      <c r="AK850" s="399">
        <f>IFERROR(VLOOKUP($G850,基本資料!$A:$M,13,0),"無")</f>
        <v>1.59</v>
      </c>
    </row>
    <row r="851" spans="1:37">
      <c r="A851" s="347">
        <f>IFERROR(VLOOKUP($G851,基本資料!$A:$J,3,0),"無")</f>
        <v>7.9</v>
      </c>
      <c r="B851" s="79">
        <f>IFERROR(VLOOKUP($G851,基本資料!$A:$J,4,0),"無")</f>
        <v>195</v>
      </c>
      <c r="C851" s="79">
        <f>IFERROR(VLOOKUP($G851,基本資料!$A:$J,5,0),"無")</f>
        <v>455</v>
      </c>
      <c r="D851" s="79">
        <f>IFERROR(VLOOKUP($G851,基本資料!$A:$J,6,0),"無")</f>
        <v>-16</v>
      </c>
      <c r="E851" s="79">
        <f>IFERROR(VLOOKUP($G851,基本資料!$A:$J,7,0),"無")</f>
        <v>132</v>
      </c>
      <c r="F851" s="6">
        <f>IFERROR(VLOOKUP($G851,基本資料!$A:$J,8,0),"無")</f>
        <v>9.0299999999999994</v>
      </c>
      <c r="G851" s="79">
        <v>3535</v>
      </c>
      <c r="H851" s="8" t="s">
        <v>1878</v>
      </c>
      <c r="I851" s="22" t="s">
        <v>4196</v>
      </c>
      <c r="J851" s="8">
        <f>IFERROR(VLOOKUP($G851,今日總結!$A:$AJ,35,0),"")</f>
        <v>3</v>
      </c>
      <c r="K851" s="5" t="str">
        <f>IFERROR(VLOOKUP($G851,今日總結!$A:$AJ,36,0),"")</f>
        <v>45外</v>
      </c>
      <c r="L851" s="156">
        <f>IFERROR(VLOOKUP($G851,今日總結!$A:$AJ,33,0),"")</f>
        <v>1</v>
      </c>
      <c r="M851" s="340">
        <f>IFERROR(VLOOKUP($G851,今日總結!$A:$AJ,34,0),"")</f>
        <v>4</v>
      </c>
      <c r="N851" s="240">
        <f t="shared" si="175"/>
        <v>-3</v>
      </c>
      <c r="P851" s="365">
        <f>IFERROR(VLOOKUP($G851,融外自投!$A:$J,7,0),"無")</f>
        <v>399</v>
      </c>
      <c r="Q851" s="79">
        <f>IFERROR(VLOOKUP($G851,融外自投!$A:$J,9,0),"無")</f>
        <v>82</v>
      </c>
      <c r="R851" s="346">
        <f>IFERROR(VLOOKUP($G851,融外自投!$A:$J,8,0),"無")</f>
        <v>585</v>
      </c>
      <c r="S851" s="81" t="str">
        <f>IFERROR(VLOOKUP($G851,融外自投!$A:$J,10,0),"無")</f>
        <v>無</v>
      </c>
      <c r="T851" s="327">
        <f>IFERROR(VLOOKUP($G851,'321買'!$A:$E,5,0),"'沒有資料'")</f>
        <v>606</v>
      </c>
      <c r="U851" s="186">
        <f>IFERROR(VLOOKUP($G851,基本資料!$A:$J,9,0),"無")</f>
        <v>0.5</v>
      </c>
      <c r="V851" s="310">
        <f t="shared" si="170"/>
        <v>2.0833333333333332E-2</v>
      </c>
      <c r="W851" s="94">
        <f>IFERROR(VLOOKUP($G851,基本資料!$A:$J,10,0),"無")</f>
        <v>1.22</v>
      </c>
      <c r="X851" s="36">
        <f>RTD("money.excel",,"3535","Price")</f>
        <v>24</v>
      </c>
      <c r="Y851" s="66"/>
      <c r="Z851" s="15">
        <f t="shared" si="171"/>
        <v>24</v>
      </c>
      <c r="AA851" s="3" t="e">
        <f t="shared" si="172"/>
        <v>#DIV/0!</v>
      </c>
      <c r="AB851" s="344">
        <f>IFERROR(VLOOKUP($G851,基本資料!$A:$M,11,0),"無")</f>
        <v>-18.559999999999999</v>
      </c>
      <c r="AC851" s="397">
        <f>IFERROR(VLOOKUP($G851,基本資料!$A:$M,12,0),"無")</f>
        <v>32.9</v>
      </c>
      <c r="AD851" s="22" t="s">
        <v>4196</v>
      </c>
      <c r="AG851" s="33">
        <f t="shared" si="173"/>
        <v>0</v>
      </c>
      <c r="AH851" s="43" t="s">
        <v>4197</v>
      </c>
      <c r="AI851" s="63">
        <f t="shared" si="176"/>
        <v>0.24575949367088606</v>
      </c>
      <c r="AJ851" s="284">
        <f>RTD("money.excel",,$G851,"PredictVolume")</f>
        <v>19415</v>
      </c>
      <c r="AK851" s="399">
        <f>IFERROR(VLOOKUP($G851,基本資料!$A:$M,13,0),"無")</f>
        <v>16.489999999999998</v>
      </c>
    </row>
    <row r="852" spans="1:37">
      <c r="A852" s="347">
        <f>IFERROR(VLOOKUP($G852,基本資料!$A:$J,3,0),"無")</f>
        <v>8.92</v>
      </c>
      <c r="B852" s="79">
        <f>IFERROR(VLOOKUP($G852,基本資料!$A:$J,4,0),"無")</f>
        <v>145</v>
      </c>
      <c r="C852" s="79">
        <f>IFERROR(VLOOKUP($G852,基本資料!$A:$J,5,0),"無")</f>
        <v>-92</v>
      </c>
      <c r="D852" s="79">
        <f>IFERROR(VLOOKUP($G852,基本資料!$A:$J,6,0),"無")</f>
        <v>37</v>
      </c>
      <c r="E852" s="79">
        <f>IFERROR(VLOOKUP($G852,基本資料!$A:$J,7,0),"無")</f>
        <v>1</v>
      </c>
      <c r="F852" s="6">
        <f>IFERROR(VLOOKUP($G852,基本資料!$A:$J,8,0),"無")</f>
        <v>7.0000000000000007E-2</v>
      </c>
      <c r="G852" s="79">
        <v>3543</v>
      </c>
      <c r="H852" s="8" t="s">
        <v>1878</v>
      </c>
      <c r="I852" s="22" t="s">
        <v>4198</v>
      </c>
      <c r="J852" s="8" t="str">
        <f>IFERROR(VLOOKUP($G852,今日總結!$A:$AJ,35,0),"")</f>
        <v/>
      </c>
      <c r="K852" s="5" t="str">
        <f>IFERROR(VLOOKUP($G852,今日總結!$A:$AJ,36,0),"")</f>
        <v/>
      </c>
      <c r="L852" s="156" t="str">
        <f>IFERROR(VLOOKUP($G852,今日總結!$A:$AJ,33,0),"")</f>
        <v/>
      </c>
      <c r="M852" s="340" t="str">
        <f>IFERROR(VLOOKUP($G852,今日總結!$A:$AJ,34,0),"")</f>
        <v/>
      </c>
      <c r="N852" s="240" t="str">
        <f t="shared" si="175"/>
        <v/>
      </c>
      <c r="P852" s="365">
        <f>IFERROR(VLOOKUP($G852,融外自投!$A:$J,7,0),"無")</f>
        <v>797</v>
      </c>
      <c r="Q852" s="79">
        <f>IFERROR(VLOOKUP($G852,融外自投!$A:$J,9,0),"無")</f>
        <v>936</v>
      </c>
      <c r="R852" s="346">
        <f>IFERROR(VLOOKUP($G852,融外自投!$A:$J,8,0),"無")</f>
        <v>1378</v>
      </c>
      <c r="S852" s="81" t="str">
        <f>IFERROR(VLOOKUP($G852,融外自投!$A:$J,10,0),"無")</f>
        <v>無</v>
      </c>
      <c r="T852" s="327">
        <f>IFERROR(VLOOKUP($G852,'321買'!$A:$E,5,0),"'沒有資料'")</f>
        <v>1214</v>
      </c>
      <c r="U852" s="186">
        <f>IFERROR(VLOOKUP($G852,基本資料!$A:$J,9,0),"無")</f>
        <v>1.2</v>
      </c>
      <c r="V852" s="310">
        <f t="shared" si="170"/>
        <v>5.2980132450331126E-2</v>
      </c>
      <c r="W852" s="94">
        <f>IFERROR(VLOOKUP($G852,基本資料!$A:$J,10,0),"無")</f>
        <v>1.99</v>
      </c>
      <c r="X852" s="36">
        <f>RTD("money.excel",,"3543","Price")</f>
        <v>22.65</v>
      </c>
      <c r="Y852" s="66"/>
      <c r="Z852" s="15">
        <f t="shared" si="171"/>
        <v>22.65</v>
      </c>
      <c r="AA852" s="3" t="e">
        <f t="shared" si="172"/>
        <v>#DIV/0!</v>
      </c>
      <c r="AB852" s="344">
        <f>IFERROR(VLOOKUP($G852,基本資料!$A:$M,11,0),"無")</f>
        <v>-24.14</v>
      </c>
      <c r="AC852" s="397">
        <f>IFERROR(VLOOKUP($G852,基本資料!$A:$M,12,0),"無")</f>
        <v>31.53</v>
      </c>
      <c r="AD852" s="22" t="s">
        <v>4198</v>
      </c>
      <c r="AG852" s="33">
        <f t="shared" si="173"/>
        <v>0</v>
      </c>
      <c r="AH852" s="43" t="s">
        <v>1879</v>
      </c>
      <c r="AI852" s="63">
        <f t="shared" si="176"/>
        <v>1.1210762331838565E-4</v>
      </c>
      <c r="AJ852" s="284">
        <f>RTD("money.excel",,$G852,"PredictVolume")</f>
        <v>10</v>
      </c>
      <c r="AK852" s="399">
        <f>IFERROR(VLOOKUP($G852,基本資料!$A:$M,13,0),"無")</f>
        <v>3.41</v>
      </c>
    </row>
    <row r="853" spans="1:37">
      <c r="A853" s="347">
        <f>IFERROR(VLOOKUP($G853,基本資料!$A:$J,3,0),"無")</f>
        <v>4.47</v>
      </c>
      <c r="B853" s="79">
        <f>IFERROR(VLOOKUP($G853,基本資料!$A:$J,4,0),"無")</f>
        <v>26</v>
      </c>
      <c r="C853" s="79">
        <f>IFERROR(VLOOKUP($G853,基本資料!$A:$J,5,0),"無")</f>
        <v>22</v>
      </c>
      <c r="D853" s="79">
        <f>IFERROR(VLOOKUP($G853,基本資料!$A:$J,6,0),"無")</f>
        <v>-6</v>
      </c>
      <c r="E853" s="79">
        <f>IFERROR(VLOOKUP($G853,基本資料!$A:$J,7,0),"無")</f>
        <v>-17</v>
      </c>
      <c r="F853" s="6">
        <f>IFERROR(VLOOKUP($G853,基本資料!$A:$J,8,0),"無")</f>
        <v>38.86</v>
      </c>
      <c r="G853" s="79">
        <v>3563</v>
      </c>
      <c r="H853" s="8" t="s">
        <v>1878</v>
      </c>
      <c r="I853" s="22" t="s">
        <v>179</v>
      </c>
      <c r="J853" s="8" t="str">
        <f>IFERROR(VLOOKUP($G853,今日總結!$A:$AJ,35,0),"")</f>
        <v>融</v>
      </c>
      <c r="K853" s="5">
        <f>IFERROR(VLOOKUP($G853,今日總結!$A:$AJ,36,0),"")</f>
        <v>0</v>
      </c>
      <c r="L853" s="156">
        <f>IFERROR(VLOOKUP($G853,今日總結!$A:$AJ,33,0),"")</f>
        <v>1</v>
      </c>
      <c r="M853" s="340">
        <f>IFERROR(VLOOKUP($G853,今日總結!$A:$AJ,34,0),"")</f>
        <v>1</v>
      </c>
      <c r="N853" s="240">
        <f t="shared" si="175"/>
        <v>0</v>
      </c>
      <c r="P853" s="365">
        <f>IFERROR(VLOOKUP($G853,融外自投!$A:$J,7,0),"無")</f>
        <v>434</v>
      </c>
      <c r="Q853" s="79">
        <f>IFERROR(VLOOKUP($G853,融外自投!$A:$J,9,0),"無")</f>
        <v>86</v>
      </c>
      <c r="R853" s="346">
        <f>IFERROR(VLOOKUP($G853,融外自投!$A:$J,8,0),"無")</f>
        <v>540</v>
      </c>
      <c r="S853" s="81" t="str">
        <f>IFERROR(VLOOKUP($G853,融外自投!$A:$J,10,0),"無")</f>
        <v>無</v>
      </c>
      <c r="T853" s="327">
        <f>IFERROR(VLOOKUP($G853,'321買'!$A:$E,5,0),"'沒有資料'")</f>
        <v>430</v>
      </c>
      <c r="U853" s="186">
        <f>IFERROR(VLOOKUP($G853,基本資料!$A:$J,9,0),"無")</f>
        <v>12</v>
      </c>
      <c r="V853" s="310">
        <f t="shared" si="170"/>
        <v>6.7796610169491525E-2</v>
      </c>
      <c r="W853" s="94">
        <f>IFERROR(VLOOKUP($G853,基本資料!$A:$J,10,0),"無")</f>
        <v>18.510000000000002</v>
      </c>
      <c r="X853" s="36">
        <f>RTD("money.excel",,"3563","Price")</f>
        <v>177</v>
      </c>
      <c r="Y853" s="66"/>
      <c r="Z853" s="15">
        <f t="shared" si="171"/>
        <v>177</v>
      </c>
      <c r="AA853" s="3" t="e">
        <f t="shared" si="172"/>
        <v>#DIV/0!</v>
      </c>
      <c r="AB853" s="344">
        <f>IFERROR(VLOOKUP($G853,基本資料!$A:$M,11,0),"無")</f>
        <v>-39.590000000000003</v>
      </c>
      <c r="AC853" s="397">
        <f>IFERROR(VLOOKUP($G853,基本資料!$A:$M,12,0),"無")</f>
        <v>5.19</v>
      </c>
      <c r="AD853" s="22" t="s">
        <v>179</v>
      </c>
      <c r="AG853" s="33">
        <f t="shared" si="173"/>
        <v>0</v>
      </c>
      <c r="AH853" s="119" t="s">
        <v>4200</v>
      </c>
      <c r="AI853" s="63">
        <f t="shared" si="176"/>
        <v>6.4876957494407162E-4</v>
      </c>
      <c r="AJ853" s="284">
        <f>RTD("money.excel",,$G853,"PredictVolume")</f>
        <v>29</v>
      </c>
      <c r="AK853" s="399">
        <f>IFERROR(VLOOKUP($G853,基本資料!$A:$M,13,0),"無")</f>
        <v>6.01</v>
      </c>
    </row>
    <row r="854" spans="1:37">
      <c r="A854" s="347">
        <f>IFERROR(VLOOKUP($G854,基本資料!$A:$J,3,0),"無")</f>
        <v>162</v>
      </c>
      <c r="B854" s="79">
        <f>IFERROR(VLOOKUP($G854,基本資料!$A:$J,4,0),"無")</f>
        <v>78</v>
      </c>
      <c r="C854" s="79">
        <f>IFERROR(VLOOKUP($G854,基本資料!$A:$J,5,0),"無")</f>
        <v>82</v>
      </c>
      <c r="D854" s="79">
        <f>IFERROR(VLOOKUP($G854,基本資料!$A:$J,6,0),"無")</f>
        <v>-35</v>
      </c>
      <c r="E854" s="79">
        <f>IFERROR(VLOOKUP($G854,基本資料!$A:$J,7,0),"無")</f>
        <v>5</v>
      </c>
      <c r="F854" s="6">
        <f>IFERROR(VLOOKUP($G854,基本資料!$A:$J,8,0),"無")</f>
        <v>-5.74</v>
      </c>
      <c r="G854" s="79">
        <v>3576</v>
      </c>
      <c r="H854" s="8" t="s">
        <v>1878</v>
      </c>
      <c r="I854" s="22" t="s">
        <v>4201</v>
      </c>
      <c r="J854" s="8" t="str">
        <f>IFERROR(VLOOKUP($G854,今日總結!$A:$AJ,35,0),"")</f>
        <v/>
      </c>
      <c r="K854" s="5" t="str">
        <f>IFERROR(VLOOKUP($G854,今日總結!$A:$AJ,36,0),"")</f>
        <v/>
      </c>
      <c r="L854" s="156" t="str">
        <f>IFERROR(VLOOKUP($G854,今日總結!$A:$AJ,33,0),"")</f>
        <v/>
      </c>
      <c r="M854" s="340" t="str">
        <f>IFERROR(VLOOKUP($G854,今日總結!$A:$AJ,34,0),"")</f>
        <v/>
      </c>
      <c r="N854" s="240" t="str">
        <f t="shared" si="175"/>
        <v/>
      </c>
      <c r="P854" s="365" t="str">
        <f>IFERROR(VLOOKUP($G854,融外自投!$A:$J,7,0),"無")</f>
        <v>無</v>
      </c>
      <c r="Q854" s="79" t="str">
        <f>IFERROR(VLOOKUP($G854,融外自投!$A:$J,9,0),"無")</f>
        <v>無</v>
      </c>
      <c r="R854" s="346" t="str">
        <f>IFERROR(VLOOKUP($G854,融外自投!$A:$J,8,0),"無")</f>
        <v>無</v>
      </c>
      <c r="S854" s="81" t="str">
        <f>IFERROR(VLOOKUP($G854,融外自投!$A:$J,10,0),"無")</f>
        <v>無</v>
      </c>
      <c r="T854" s="327" t="str">
        <f>IFERROR(VLOOKUP($G854,'321買'!$A:$E,5,0),"'沒有資料'")</f>
        <v>'沒有資料'</v>
      </c>
      <c r="U854" s="186">
        <f>IFERROR(VLOOKUP($G854,基本資料!$A:$J,9,0),"無")</f>
        <v>0</v>
      </c>
      <c r="V854" s="310">
        <f t="shared" si="170"/>
        <v>0</v>
      </c>
      <c r="W854" s="94">
        <f>IFERROR(VLOOKUP($G854,基本資料!$A:$J,10,0),"無")</f>
        <v>-0.84</v>
      </c>
      <c r="X854" s="36">
        <f>RTD("money.excel",,"3576","Price")</f>
        <v>20.6</v>
      </c>
      <c r="Y854" s="66"/>
      <c r="Z854" s="15">
        <f t="shared" si="171"/>
        <v>20.6</v>
      </c>
      <c r="AA854" s="3" t="e">
        <f t="shared" si="172"/>
        <v>#DIV/0!</v>
      </c>
      <c r="AB854" s="344">
        <f>IFERROR(VLOOKUP($G854,基本資料!$A:$M,11,0),"無")</f>
        <v>-24.57</v>
      </c>
      <c r="AC854" s="397">
        <f>IFERROR(VLOOKUP($G854,基本資料!$A:$M,12,0),"無")</f>
        <v>26.77</v>
      </c>
      <c r="AD854" s="22" t="s">
        <v>4201</v>
      </c>
      <c r="AG854" s="33">
        <f t="shared" si="173"/>
        <v>0</v>
      </c>
      <c r="AH854" s="117" t="s">
        <v>4202</v>
      </c>
      <c r="AI854" s="63">
        <f t="shared" si="176"/>
        <v>5.6592592592592588E-3</v>
      </c>
      <c r="AJ854" s="284">
        <f>RTD("money.excel",,$G854,"PredictVolume")</f>
        <v>9168</v>
      </c>
      <c r="AK854" s="399">
        <f>IFERROR(VLOOKUP($G854,基本資料!$A:$M,13,0),"無")</f>
        <v>9.7100000000000009</v>
      </c>
    </row>
    <row r="855" spans="1:37">
      <c r="A855" s="347">
        <f>IFERROR(VLOOKUP($G855,基本資料!$A:$J,3,0),"無")</f>
        <v>12.88</v>
      </c>
      <c r="B855" s="79">
        <f>IFERROR(VLOOKUP($G855,基本資料!$A:$J,4,0),"無")</f>
        <v>289</v>
      </c>
      <c r="C855" s="79">
        <f>IFERROR(VLOOKUP($G855,基本資料!$A:$J,5,0),"無")</f>
        <v>3804</v>
      </c>
      <c r="D855" s="79">
        <f>IFERROR(VLOOKUP($G855,基本資料!$A:$J,6,0),"無")</f>
        <v>-5</v>
      </c>
      <c r="E855" s="79">
        <f>IFERROR(VLOOKUP($G855,基本資料!$A:$J,7,0),"無")</f>
        <v>-24</v>
      </c>
      <c r="F855" s="6">
        <f>IFERROR(VLOOKUP($G855,基本資料!$A:$J,8,0),"無")</f>
        <v>7.13</v>
      </c>
      <c r="G855" s="79">
        <v>3591</v>
      </c>
      <c r="H855" s="8" t="s">
        <v>1878</v>
      </c>
      <c r="I855" s="22" t="s">
        <v>4203</v>
      </c>
      <c r="J855" s="8" t="str">
        <f>IFERROR(VLOOKUP($G855,今日總結!$A:$AJ,35,0),"")</f>
        <v/>
      </c>
      <c r="K855" s="5" t="str">
        <f>IFERROR(VLOOKUP($G855,今日總結!$A:$AJ,36,0),"")</f>
        <v/>
      </c>
      <c r="L855" s="156" t="str">
        <f>IFERROR(VLOOKUP($G855,今日總結!$A:$AJ,33,0),"")</f>
        <v/>
      </c>
      <c r="M855" s="340" t="str">
        <f>IFERROR(VLOOKUP($G855,今日總結!$A:$AJ,34,0),"")</f>
        <v/>
      </c>
      <c r="N855" s="240" t="str">
        <f t="shared" si="175"/>
        <v/>
      </c>
      <c r="P855" s="365">
        <f>IFERROR(VLOOKUP($G855,融外自投!$A:$J,7,0),"無")</f>
        <v>98</v>
      </c>
      <c r="Q855" s="79">
        <f>IFERROR(VLOOKUP($G855,融外自投!$A:$J,9,0),"無")</f>
        <v>789</v>
      </c>
      <c r="R855" s="346">
        <f>IFERROR(VLOOKUP($G855,融外自投!$A:$J,8,0),"無")</f>
        <v>961</v>
      </c>
      <c r="S855" s="81" t="str">
        <f>IFERROR(VLOOKUP($G855,融外自投!$A:$J,10,0),"無")</f>
        <v>無</v>
      </c>
      <c r="T855" s="327">
        <f>IFERROR(VLOOKUP($G855,'321買'!$A:$E,5,0),"'沒有資料'")</f>
        <v>255</v>
      </c>
      <c r="U855" s="186">
        <f>IFERROR(VLOOKUP($G855,基本資料!$A:$J,9,0),"無")</f>
        <v>0.79</v>
      </c>
      <c r="V855" s="310">
        <f t="shared" si="170"/>
        <v>5.0641025641025642E-2</v>
      </c>
      <c r="W855" s="94">
        <f>IFERROR(VLOOKUP($G855,基本資料!$A:$J,10,0),"無")</f>
        <v>1</v>
      </c>
      <c r="X855" s="36">
        <f>RTD("money.excel",,"3591","Price")</f>
        <v>15.6</v>
      </c>
      <c r="Y855" s="66"/>
      <c r="Z855" s="15">
        <f t="shared" si="171"/>
        <v>15.6</v>
      </c>
      <c r="AA855" s="3" t="e">
        <f t="shared" si="172"/>
        <v>#DIV/0!</v>
      </c>
      <c r="AB855" s="344">
        <f>IFERROR(VLOOKUP($G855,基本資料!$A:$M,11,0),"無")</f>
        <v>-50.48</v>
      </c>
      <c r="AC855" s="397">
        <f>IFERROR(VLOOKUP($G855,基本資料!$A:$M,12,0),"無")</f>
        <v>5.24</v>
      </c>
      <c r="AD855" s="22" t="s">
        <v>4203</v>
      </c>
      <c r="AG855" s="33">
        <f t="shared" si="173"/>
        <v>0</v>
      </c>
      <c r="AH855" s="43" t="s">
        <v>4204</v>
      </c>
      <c r="AI855" s="63">
        <f t="shared" si="176"/>
        <v>1.4130434782608694E-3</v>
      </c>
      <c r="AJ855" s="284">
        <f>RTD("money.excel",,$G855,"PredictVolume")</f>
        <v>182</v>
      </c>
      <c r="AK855" s="399">
        <f>IFERROR(VLOOKUP($G855,基本資料!$A:$M,13,0),"無")</f>
        <v>19.829999999999998</v>
      </c>
    </row>
    <row r="856" spans="1:37">
      <c r="A856" s="347">
        <f>IFERROR(VLOOKUP($G856,基本資料!$A:$J,3,0),"無")</f>
        <v>6.84</v>
      </c>
      <c r="B856" s="79">
        <f>IFERROR(VLOOKUP($G856,基本資料!$A:$J,4,0),"無")</f>
        <v>373</v>
      </c>
      <c r="C856" s="79">
        <f>IFERROR(VLOOKUP($G856,基本資料!$A:$J,5,0),"無")</f>
        <v>398</v>
      </c>
      <c r="D856" s="79">
        <f>IFERROR(VLOOKUP($G856,基本資料!$A:$J,6,0),"無")</f>
        <v>79</v>
      </c>
      <c r="E856" s="79">
        <f>IFERROR(VLOOKUP($G856,基本資料!$A:$J,7,0),"無")</f>
        <v>19</v>
      </c>
      <c r="F856" s="6">
        <f>IFERROR(VLOOKUP($G856,基本資料!$A:$J,8,0),"無")</f>
        <v>8.2100000000000009</v>
      </c>
      <c r="G856" s="79">
        <v>3615</v>
      </c>
      <c r="H856" s="8" t="s">
        <v>306</v>
      </c>
      <c r="I856" s="16" t="s">
        <v>4205</v>
      </c>
      <c r="J856" s="8" t="str">
        <f>IFERROR(VLOOKUP($G856,今日總結!$A:$AJ,35,0),"")</f>
        <v/>
      </c>
      <c r="K856" s="5" t="str">
        <f>IFERROR(VLOOKUP($G856,今日總結!$A:$AJ,36,0),"")</f>
        <v/>
      </c>
      <c r="L856" s="156" t="str">
        <f>IFERROR(VLOOKUP($G856,今日總結!$A:$AJ,33,0),"")</f>
        <v/>
      </c>
      <c r="M856" s="340" t="str">
        <f>IFERROR(VLOOKUP($G856,今日總結!$A:$AJ,34,0),"")</f>
        <v/>
      </c>
      <c r="N856" s="240" t="str">
        <f t="shared" si="175"/>
        <v/>
      </c>
      <c r="P856" s="365">
        <f>IFERROR(VLOOKUP($G856,融外自投!$A:$J,7,0),"無")</f>
        <v>178</v>
      </c>
      <c r="Q856" s="79">
        <f>IFERROR(VLOOKUP($G856,融外自投!$A:$J,9,0),"無")</f>
        <v>683</v>
      </c>
      <c r="R856" s="346">
        <f>IFERROR(VLOOKUP($G856,融外自投!$A:$J,8,0),"無")</f>
        <v>1286</v>
      </c>
      <c r="S856" s="81" t="str">
        <f>IFERROR(VLOOKUP($G856,融外自投!$A:$J,10,0),"無")</f>
        <v>無</v>
      </c>
      <c r="T856" s="327">
        <f>IFERROR(VLOOKUP($G856,'321買'!$A:$E,5,0),"'沒有資料'")</f>
        <v>558</v>
      </c>
      <c r="U856" s="186">
        <f>IFERROR(VLOOKUP($G856,基本資料!$A:$J,9,0),"無")</f>
        <v>0.37</v>
      </c>
      <c r="V856" s="310">
        <f t="shared" si="170"/>
        <v>1.9839142091152815E-2</v>
      </c>
      <c r="W856" s="94">
        <f>IFERROR(VLOOKUP($G856,基本資料!$A:$J,10,0),"無")</f>
        <v>1.43</v>
      </c>
      <c r="X856" s="36">
        <f>RTD("money.excel",,"3615","Price")</f>
        <v>18.649999999999999</v>
      </c>
      <c r="Y856" s="66"/>
      <c r="Z856" s="15">
        <f t="shared" si="171"/>
        <v>18.649999999999999</v>
      </c>
      <c r="AA856" s="3" t="e">
        <f t="shared" si="172"/>
        <v>#DIV/0!</v>
      </c>
      <c r="AB856" s="344">
        <f>IFERROR(VLOOKUP($G856,基本資料!$A:$M,11,0),"無")</f>
        <v>-37</v>
      </c>
      <c r="AC856" s="397">
        <f>IFERROR(VLOOKUP($G856,基本資料!$A:$M,12,0),"無")</f>
        <v>16.18</v>
      </c>
      <c r="AD856" s="16" t="s">
        <v>4205</v>
      </c>
      <c r="AG856" s="33">
        <f t="shared" si="173"/>
        <v>0</v>
      </c>
      <c r="AH856" s="43" t="s">
        <v>4206</v>
      </c>
      <c r="AI856" s="63">
        <f t="shared" si="176"/>
        <v>1.5643274853801169E-3</v>
      </c>
      <c r="AJ856" s="284">
        <f>RTD("money.excel",,$G856,"PredictVolume")</f>
        <v>107</v>
      </c>
      <c r="AK856" s="399">
        <f>IFERROR(VLOOKUP($G856,基本資料!$A:$M,13,0),"無")</f>
        <v>40.89</v>
      </c>
    </row>
    <row r="857" spans="1:37">
      <c r="A857" s="347">
        <f>IFERROR(VLOOKUP($G857,基本資料!$A:$J,3,0),"無")</f>
        <v>15.13</v>
      </c>
      <c r="B857" s="79">
        <f>IFERROR(VLOOKUP($G857,基本資料!$A:$J,4,0),"無")</f>
        <v>47</v>
      </c>
      <c r="C857" s="79">
        <f>IFERROR(VLOOKUP($G857,基本資料!$A:$J,5,0),"無")</f>
        <v>622</v>
      </c>
      <c r="D857" s="79">
        <f>IFERROR(VLOOKUP($G857,基本資料!$A:$J,6,0),"無")</f>
        <v>-15</v>
      </c>
      <c r="E857" s="79">
        <f>IFERROR(VLOOKUP($G857,基本資料!$A:$J,7,0),"無")</f>
        <v>32</v>
      </c>
      <c r="F857" s="6">
        <f>IFERROR(VLOOKUP($G857,基本資料!$A:$J,8,0),"無")</f>
        <v>3.73</v>
      </c>
      <c r="G857" s="79">
        <v>3622</v>
      </c>
      <c r="H857" s="8" t="s">
        <v>1878</v>
      </c>
      <c r="I857" s="22" t="s">
        <v>4207</v>
      </c>
      <c r="J857" s="8" t="str">
        <f>IFERROR(VLOOKUP($G857,今日總結!$A:$AJ,35,0),"")</f>
        <v/>
      </c>
      <c r="K857" s="5" t="str">
        <f>IFERROR(VLOOKUP($G857,今日總結!$A:$AJ,36,0),"")</f>
        <v/>
      </c>
      <c r="L857" s="156" t="str">
        <f>IFERROR(VLOOKUP($G857,今日總結!$A:$AJ,33,0),"")</f>
        <v/>
      </c>
      <c r="M857" s="340" t="str">
        <f>IFERROR(VLOOKUP($G857,今日總結!$A:$AJ,34,0),"")</f>
        <v/>
      </c>
      <c r="N857" s="240" t="str">
        <f t="shared" si="175"/>
        <v/>
      </c>
      <c r="P857" s="365">
        <f>IFERROR(VLOOKUP($G857,融外自投!$A:$J,7,0),"無")</f>
        <v>763</v>
      </c>
      <c r="Q857" s="79">
        <f>IFERROR(VLOOKUP($G857,融外自投!$A:$J,9,0),"無")</f>
        <v>238</v>
      </c>
      <c r="R857" s="346">
        <f>IFERROR(VLOOKUP($G857,融外自投!$A:$J,8,0),"無")</f>
        <v>1063</v>
      </c>
      <c r="S857" s="81" t="str">
        <f>IFERROR(VLOOKUP($G857,融外自投!$A:$J,10,0),"無")</f>
        <v>無</v>
      </c>
      <c r="T857" s="327">
        <f>IFERROR(VLOOKUP($G857,'321買'!$A:$E,5,0),"'沒有資料'")</f>
        <v>1239</v>
      </c>
      <c r="U857" s="186">
        <f>IFERROR(VLOOKUP($G857,基本資料!$A:$J,9,0),"無")</f>
        <v>0</v>
      </c>
      <c r="V857" s="310">
        <f t="shared" si="170"/>
        <v>0</v>
      </c>
      <c r="W857" s="94">
        <f>IFERROR(VLOOKUP($G857,基本資料!$A:$J,10,0),"無")</f>
        <v>1.85</v>
      </c>
      <c r="X857" s="36">
        <f>RTD("money.excel",,"3622","Price")</f>
        <v>30.9</v>
      </c>
      <c r="Y857" s="66"/>
      <c r="Z857" s="15">
        <f t="shared" si="171"/>
        <v>30.9</v>
      </c>
      <c r="AA857" s="3" t="e">
        <f t="shared" si="172"/>
        <v>#DIV/0!</v>
      </c>
      <c r="AB857" s="344">
        <f>IFERROR(VLOOKUP($G857,基本資料!$A:$M,11,0),"無")</f>
        <v>-7.46</v>
      </c>
      <c r="AC857" s="397">
        <f>IFERROR(VLOOKUP($G857,基本資料!$A:$M,12,0),"無")</f>
        <v>77.25</v>
      </c>
      <c r="AD857" s="22" t="s">
        <v>4207</v>
      </c>
      <c r="AG857" s="33">
        <f t="shared" si="173"/>
        <v>0</v>
      </c>
      <c r="AH857" s="43" t="s">
        <v>4208</v>
      </c>
      <c r="AI857" s="63">
        <f t="shared" si="176"/>
        <v>1.3615333773959021E-3</v>
      </c>
      <c r="AJ857" s="284">
        <f>RTD("money.excel",,$G857,"PredictVolume")</f>
        <v>206</v>
      </c>
      <c r="AK857" s="399">
        <f>IFERROR(VLOOKUP($G857,基本資料!$A:$M,13,0),"無")</f>
        <v>4.01</v>
      </c>
    </row>
    <row r="858" spans="1:37">
      <c r="A858" s="347">
        <f>IFERROR(VLOOKUP($G858,基本資料!$A:$J,3,0),"無")</f>
        <v>2.91</v>
      </c>
      <c r="B858" s="79">
        <f>IFERROR(VLOOKUP($G858,基本資料!$A:$J,4,0),"無")</f>
        <v>-11</v>
      </c>
      <c r="C858" s="79">
        <f>IFERROR(VLOOKUP($G858,基本資料!$A:$J,5,0),"無")</f>
        <v>9</v>
      </c>
      <c r="D858" s="79">
        <f>IFERROR(VLOOKUP($G858,基本資料!$A:$J,6,0),"無")</f>
        <v>1</v>
      </c>
      <c r="E858" s="79">
        <f>IFERROR(VLOOKUP($G858,基本資料!$A:$J,7,0),"無")</f>
        <v>45</v>
      </c>
      <c r="F858" s="6">
        <f>IFERROR(VLOOKUP($G858,基本資料!$A:$J,8,0),"無")</f>
        <v>-10.84</v>
      </c>
      <c r="G858" s="79">
        <v>3623</v>
      </c>
      <c r="H858" s="8" t="s">
        <v>1878</v>
      </c>
      <c r="I858" s="16" t="s">
        <v>4209</v>
      </c>
      <c r="J858" s="8" t="str">
        <f>IFERROR(VLOOKUP($G858,今日總結!$A:$AJ,35,0),"")</f>
        <v/>
      </c>
      <c r="K858" s="5" t="str">
        <f>IFERROR(VLOOKUP($G858,今日總結!$A:$AJ,36,0),"")</f>
        <v/>
      </c>
      <c r="L858" s="156" t="str">
        <f>IFERROR(VLOOKUP($G858,今日總結!$A:$AJ,33,0),"")</f>
        <v/>
      </c>
      <c r="M858" s="340" t="str">
        <f>IFERROR(VLOOKUP($G858,今日總結!$A:$AJ,34,0),"")</f>
        <v/>
      </c>
      <c r="N858" s="240" t="str">
        <f t="shared" si="175"/>
        <v/>
      </c>
      <c r="P858" s="365">
        <f>IFERROR(VLOOKUP($G858,融外自投!$A:$J,7,0),"無")</f>
        <v>204</v>
      </c>
      <c r="Q858" s="79">
        <f>IFERROR(VLOOKUP($G858,融外自投!$A:$J,9,0),"無")</f>
        <v>395</v>
      </c>
      <c r="R858" s="346">
        <f>IFERROR(VLOOKUP($G858,融外自投!$A:$J,8,0),"無")</f>
        <v>1373</v>
      </c>
      <c r="S858" s="81" t="str">
        <f>IFERROR(VLOOKUP($G858,融外自投!$A:$J,10,0),"無")</f>
        <v>無</v>
      </c>
      <c r="T858" s="327">
        <f>IFERROR(VLOOKUP($G858,'321買'!$A:$E,5,0),"'沒有資料'")</f>
        <v>1007</v>
      </c>
      <c r="U858" s="186">
        <f>IFERROR(VLOOKUP($G858,基本資料!$A:$J,9,0),"無")</f>
        <v>0</v>
      </c>
      <c r="V858" s="310">
        <f t="shared" si="170"/>
        <v>0</v>
      </c>
      <c r="W858" s="94">
        <f>IFERROR(VLOOKUP($G858,基本資料!$A:$J,10,0),"無")</f>
        <v>-1.24</v>
      </c>
      <c r="X858" s="36">
        <f>RTD("money.excel",,"3623","Price")</f>
        <v>18.05</v>
      </c>
      <c r="Y858" s="66"/>
      <c r="Z858" s="15">
        <f t="shared" si="171"/>
        <v>18.05</v>
      </c>
      <c r="AA858" s="3" t="e">
        <f t="shared" si="172"/>
        <v>#DIV/0!</v>
      </c>
      <c r="AB858" s="344">
        <f>IFERROR(VLOOKUP($G858,基本資料!$A:$M,11,0),"無")</f>
        <v>-23.25</v>
      </c>
      <c r="AC858" s="397">
        <f>IFERROR(VLOOKUP($G858,基本資料!$A:$M,12,0),"無")</f>
        <v>34.56</v>
      </c>
      <c r="AD858" s="16" t="s">
        <v>4209</v>
      </c>
      <c r="AG858" s="33">
        <f t="shared" si="173"/>
        <v>0</v>
      </c>
      <c r="AH858" s="43" t="s">
        <v>4210</v>
      </c>
      <c r="AI858" s="63">
        <f t="shared" si="176"/>
        <v>2.5773195876288659E-3</v>
      </c>
      <c r="AJ858" s="284">
        <f>RTD("money.excel",,$G858,"PredictVolume")</f>
        <v>75</v>
      </c>
      <c r="AK858" s="399">
        <f>IFERROR(VLOOKUP($G858,基本資料!$A:$M,13,0),"無")</f>
        <v>21.03</v>
      </c>
    </row>
    <row r="859" spans="1:37">
      <c r="A859" s="347">
        <f>IFERROR(VLOOKUP($G859,基本資料!$A:$J,3,0),"無")</f>
        <v>18.41</v>
      </c>
      <c r="B859" s="79">
        <f>IFERROR(VLOOKUP($G859,基本資料!$A:$J,4,0),"無")</f>
        <v>-128</v>
      </c>
      <c r="C859" s="79">
        <f>IFERROR(VLOOKUP($G859,基本資料!$A:$J,5,0),"無")</f>
        <v>-88</v>
      </c>
      <c r="D859" s="79">
        <f>IFERROR(VLOOKUP($G859,基本資料!$A:$J,6,0),"無")</f>
        <v>-11</v>
      </c>
      <c r="E859" s="79">
        <f>IFERROR(VLOOKUP($G859,基本資料!$A:$J,7,0),"無")</f>
        <v>-23</v>
      </c>
      <c r="F859" s="6">
        <f>IFERROR(VLOOKUP($G859,基本資料!$A:$J,8,0),"無")</f>
        <v>-27.46</v>
      </c>
      <c r="G859" s="79">
        <v>3630</v>
      </c>
      <c r="H859" s="195" t="s">
        <v>1878</v>
      </c>
      <c r="I859" s="24" t="s">
        <v>4211</v>
      </c>
      <c r="J859" s="8" t="str">
        <f>IFERROR(VLOOKUP($G859,今日總結!$A:$AJ,35,0),"")</f>
        <v/>
      </c>
      <c r="K859" s="5" t="str">
        <f>IFERROR(VLOOKUP($G859,今日總結!$A:$AJ,36,0),"")</f>
        <v/>
      </c>
      <c r="L859" s="156" t="str">
        <f>IFERROR(VLOOKUP($G859,今日總結!$A:$AJ,33,0),"")</f>
        <v/>
      </c>
      <c r="M859" s="340" t="str">
        <f>IFERROR(VLOOKUP($G859,今日總結!$A:$AJ,34,0),"")</f>
        <v/>
      </c>
      <c r="N859" s="240" t="str">
        <f t="shared" si="175"/>
        <v/>
      </c>
      <c r="P859" s="365">
        <f>IFERROR(VLOOKUP($G859,融外自投!$A:$J,7,0),"無")</f>
        <v>553</v>
      </c>
      <c r="Q859" s="79">
        <f>IFERROR(VLOOKUP($G859,融外自投!$A:$J,9,0),"無")</f>
        <v>414</v>
      </c>
      <c r="R859" s="346">
        <f>IFERROR(VLOOKUP($G859,融外自投!$A:$J,8,0),"無")</f>
        <v>141</v>
      </c>
      <c r="S859" s="81" t="str">
        <f>IFERROR(VLOOKUP($G859,融外自投!$A:$J,10,0),"無")</f>
        <v>無</v>
      </c>
      <c r="T859" s="327">
        <f>IFERROR(VLOOKUP($G859,'321買'!$A:$E,5,0),"'沒有資料'")</f>
        <v>779</v>
      </c>
      <c r="U859" s="186">
        <f>IFERROR(VLOOKUP($G859,基本資料!$A:$J,9,0),"無")</f>
        <v>0</v>
      </c>
      <c r="V859" s="310">
        <f t="shared" si="170"/>
        <v>0</v>
      </c>
      <c r="W859" s="94">
        <f>IFERROR(VLOOKUP($G859,基本資料!$A:$J,10,0),"無")</f>
        <v>-3.43</v>
      </c>
      <c r="X859" s="36">
        <f>RTD("money.excel",,"3630","Price")</f>
        <v>27.9</v>
      </c>
      <c r="Y859" s="66"/>
      <c r="Z859" s="15">
        <f t="shared" si="171"/>
        <v>27.9</v>
      </c>
      <c r="AA859" s="3" t="e">
        <f t="shared" si="172"/>
        <v>#DIV/0!</v>
      </c>
      <c r="AB859" s="344">
        <f>IFERROR(VLOOKUP($G859,基本資料!$A:$M,11,0),"無")</f>
        <v>-49.15</v>
      </c>
      <c r="AC859" s="397">
        <f>IFERROR(VLOOKUP($G859,基本資料!$A:$M,12,0),"無")</f>
        <v>11.22</v>
      </c>
      <c r="AD859" s="24" t="s">
        <v>4211</v>
      </c>
      <c r="AG859" s="33">
        <f t="shared" si="173"/>
        <v>0</v>
      </c>
      <c r="AH859" s="119" t="s">
        <v>4212</v>
      </c>
      <c r="AI859" s="63">
        <f t="shared" si="176"/>
        <v>8.1477457903313415E-4</v>
      </c>
      <c r="AJ859" s="284">
        <f>RTD("money.excel",,$G859,"PredictVolume")</f>
        <v>150</v>
      </c>
      <c r="AK859" s="399">
        <f>IFERROR(VLOOKUP($G859,基本資料!$A:$M,13,0),"無")</f>
        <v>3.84</v>
      </c>
    </row>
    <row r="860" spans="1:37">
      <c r="A860" s="347">
        <f>IFERROR(VLOOKUP($G860,基本資料!$A:$J,3,0),"無")</f>
        <v>5.86</v>
      </c>
      <c r="B860" s="79">
        <f>IFERROR(VLOOKUP($G860,基本資料!$A:$J,4,0),"無")</f>
        <v>-124</v>
      </c>
      <c r="C860" s="79">
        <f>IFERROR(VLOOKUP($G860,基本資料!$A:$J,5,0),"無")</f>
        <v>-148</v>
      </c>
      <c r="D860" s="79">
        <f>IFERROR(VLOOKUP($G860,基本資料!$A:$J,6,0),"無")</f>
        <v>-27</v>
      </c>
      <c r="E860" s="79">
        <f>IFERROR(VLOOKUP($G860,基本資料!$A:$J,7,0),"無")</f>
        <v>-46</v>
      </c>
      <c r="F860" s="6">
        <f>IFERROR(VLOOKUP($G860,基本資料!$A:$J,8,0),"無")</f>
        <v>-3.38</v>
      </c>
      <c r="G860" s="79">
        <v>3666</v>
      </c>
      <c r="H860" s="8" t="s">
        <v>1878</v>
      </c>
      <c r="I860" s="16" t="s">
        <v>454</v>
      </c>
      <c r="J860" s="8" t="str">
        <f>IFERROR(VLOOKUP($G860,今日總結!$A:$AJ,35,0),"")</f>
        <v/>
      </c>
      <c r="K860" s="5" t="str">
        <f>IFERROR(VLOOKUP($G860,今日總結!$A:$AJ,36,0),"")</f>
        <v/>
      </c>
      <c r="L860" s="156" t="str">
        <f>IFERROR(VLOOKUP($G860,今日總結!$A:$AJ,33,0),"")</f>
        <v/>
      </c>
      <c r="M860" s="340" t="str">
        <f>IFERROR(VLOOKUP($G860,今日總結!$A:$AJ,34,0),"")</f>
        <v/>
      </c>
      <c r="N860" s="240" t="str">
        <f t="shared" si="175"/>
        <v/>
      </c>
      <c r="P860" s="365">
        <f>IFERROR(VLOOKUP($G860,融外自投!$A:$J,7,0),"無")</f>
        <v>509</v>
      </c>
      <c r="Q860" s="79">
        <f>IFERROR(VLOOKUP($G860,融外自投!$A:$J,9,0),"無")</f>
        <v>447</v>
      </c>
      <c r="R860" s="346">
        <f>IFERROR(VLOOKUP($G860,融外自投!$A:$J,8,0),"無")</f>
        <v>782</v>
      </c>
      <c r="S860" s="81" t="str">
        <f>IFERROR(VLOOKUP($G860,融外自投!$A:$J,10,0),"無")</f>
        <v>無</v>
      </c>
      <c r="T860" s="327">
        <f>IFERROR(VLOOKUP($G860,'321買'!$A:$E,5,0),"'沒有資料'")</f>
        <v>1007</v>
      </c>
      <c r="U860" s="186">
        <f>IFERROR(VLOOKUP($G860,基本資料!$A:$J,9,0),"無")</f>
        <v>0</v>
      </c>
      <c r="V860" s="310">
        <f t="shared" si="170"/>
        <v>0</v>
      </c>
      <c r="W860" s="94">
        <f>IFERROR(VLOOKUP($G860,基本資料!$A:$J,10,0),"無")</f>
        <v>-0.55000000000000004</v>
      </c>
      <c r="X860" s="36">
        <f>RTD("money.excel",,"3666","Price")</f>
        <v>24.85</v>
      </c>
      <c r="Y860" s="66"/>
      <c r="Z860" s="15">
        <f t="shared" si="171"/>
        <v>24.85</v>
      </c>
      <c r="AA860" s="3" t="e">
        <f t="shared" si="172"/>
        <v>#DIV/0!</v>
      </c>
      <c r="AB860" s="344">
        <f>IFERROR(VLOOKUP($G860,基本資料!$A:$M,11,0),"無")</f>
        <v>-49.47</v>
      </c>
      <c r="AC860" s="397">
        <f>IFERROR(VLOOKUP($G860,基本資料!$A:$M,12,0),"無")</f>
        <v>20.7</v>
      </c>
      <c r="AD860" s="16" t="s">
        <v>454</v>
      </c>
      <c r="AG860" s="33">
        <f t="shared" si="173"/>
        <v>0</v>
      </c>
      <c r="AH860" s="43" t="s">
        <v>4213</v>
      </c>
      <c r="AI860" s="63">
        <f t="shared" si="176"/>
        <v>4.8634812286689416E-3</v>
      </c>
      <c r="AJ860" s="284">
        <f>RTD("money.excel",,$G860,"PredictVolume")</f>
        <v>285</v>
      </c>
      <c r="AK860" s="399">
        <f>IFERROR(VLOOKUP($G860,基本資料!$A:$M,13,0),"無")</f>
        <v>11.87</v>
      </c>
    </row>
    <row r="861" spans="1:37">
      <c r="A861" s="347">
        <f>IFERROR(VLOOKUP($G861,基本資料!$A:$J,3,0),"無")</f>
        <v>9.2899999999999991</v>
      </c>
      <c r="B861" s="79">
        <f>IFERROR(VLOOKUP($G861,基本資料!$A:$J,4,0),"無")</f>
        <v>-17</v>
      </c>
      <c r="C861" s="79">
        <f>IFERROR(VLOOKUP($G861,基本資料!$A:$J,5,0),"無")</f>
        <v>-22</v>
      </c>
      <c r="D861" s="79">
        <f>IFERROR(VLOOKUP($G861,基本資料!$A:$J,6,0),"無")</f>
        <v>0</v>
      </c>
      <c r="E861" s="79">
        <f>IFERROR(VLOOKUP($G861,基本資料!$A:$J,7,0),"無")</f>
        <v>-32</v>
      </c>
      <c r="F861" s="6">
        <f>IFERROR(VLOOKUP($G861,基本資料!$A:$J,8,0),"無")</f>
        <v>20.09</v>
      </c>
      <c r="G861" s="79">
        <v>3669</v>
      </c>
      <c r="H861" s="8" t="s">
        <v>1878</v>
      </c>
      <c r="I861" s="22" t="s">
        <v>4214</v>
      </c>
      <c r="J861" s="8" t="str">
        <f>IFERROR(VLOOKUP($G861,今日總結!$A:$AJ,35,0),"")</f>
        <v>券</v>
      </c>
      <c r="K861" s="5" t="str">
        <f>IFERROR(VLOOKUP($G861,今日總結!$A:$AJ,36,0),"")</f>
        <v>融借</v>
      </c>
      <c r="L861" s="156">
        <f>IFERROR(VLOOKUP($G861,今日總結!$A:$AJ,33,0),"")</f>
        <v>1</v>
      </c>
      <c r="M861" s="340">
        <f>IFERROR(VLOOKUP($G861,今日總結!$A:$AJ,34,0),"")</f>
        <v>2</v>
      </c>
      <c r="N861" s="240">
        <f t="shared" si="175"/>
        <v>-1</v>
      </c>
      <c r="P861" s="365">
        <f>IFERROR(VLOOKUP($G861,融外自投!$A:$J,7,0),"無")</f>
        <v>516</v>
      </c>
      <c r="Q861" s="79">
        <f>IFERROR(VLOOKUP($G861,融外自投!$A:$J,9,0),"無")</f>
        <v>459</v>
      </c>
      <c r="R861" s="346">
        <f>IFERROR(VLOOKUP($G861,融外自投!$A:$J,8,0),"無")</f>
        <v>1276</v>
      </c>
      <c r="S861" s="81">
        <f>IFERROR(VLOOKUP($G861,融外自投!$A:$J,10,0),"無")</f>
        <v>262</v>
      </c>
      <c r="T861" s="327">
        <f>IFERROR(VLOOKUP($G861,'321買'!$A:$E,5,0),"'沒有資料'")</f>
        <v>623</v>
      </c>
      <c r="U861" s="186">
        <f>IFERROR(VLOOKUP($G861,基本資料!$A:$J,9,0),"無")</f>
        <v>3.8</v>
      </c>
      <c r="V861" s="310">
        <f t="shared" si="170"/>
        <v>7.5848303393213565E-2</v>
      </c>
      <c r="W861" s="94">
        <f>IFERROR(VLOOKUP($G861,基本資料!$A:$J,10,0),"無")</f>
        <v>7.02</v>
      </c>
      <c r="X861" s="36">
        <f>RTD("money.excel",,"3669","Price")</f>
        <v>50.1</v>
      </c>
      <c r="Y861" s="66"/>
      <c r="Z861" s="15">
        <f t="shared" si="171"/>
        <v>50.1</v>
      </c>
      <c r="AA861" s="3" t="e">
        <f t="shared" si="172"/>
        <v>#DIV/0!</v>
      </c>
      <c r="AB861" s="344">
        <f>IFERROR(VLOOKUP($G861,基本資料!$A:$M,11,0),"無")</f>
        <v>-41.64</v>
      </c>
      <c r="AC861" s="397">
        <f>IFERROR(VLOOKUP($G861,基本資料!$A:$M,12,0),"無")</f>
        <v>27.04</v>
      </c>
      <c r="AD861" s="22" t="s">
        <v>4214</v>
      </c>
      <c r="AG861" s="33">
        <f t="shared" si="173"/>
        <v>0</v>
      </c>
      <c r="AH861" s="117" t="s">
        <v>4215</v>
      </c>
      <c r="AI861" s="63">
        <f t="shared" si="176"/>
        <v>4.2088266953713678E-3</v>
      </c>
      <c r="AJ861" s="284">
        <f>RTD("money.excel",,$G861,"PredictVolume")</f>
        <v>391</v>
      </c>
      <c r="AK861" s="399">
        <f>IFERROR(VLOOKUP($G861,基本資料!$A:$M,13,0),"無")</f>
        <v>20.48</v>
      </c>
    </row>
    <row r="862" spans="1:37">
      <c r="A862" s="347">
        <f>IFERROR(VLOOKUP($G862,基本資料!$A:$J,3,0),"無")</f>
        <v>40.659999999999997</v>
      </c>
      <c r="B862" s="79">
        <f>IFERROR(VLOOKUP($G862,基本資料!$A:$J,4,0),"無")</f>
        <v>6</v>
      </c>
      <c r="C862" s="79">
        <f>IFERROR(VLOOKUP($G862,基本資料!$A:$J,5,0),"無")</f>
        <v>-66</v>
      </c>
      <c r="D862" s="79">
        <f>IFERROR(VLOOKUP($G862,基本資料!$A:$J,6,0),"無")</f>
        <v>-35</v>
      </c>
      <c r="E862" s="79">
        <f>IFERROR(VLOOKUP($G862,基本資料!$A:$J,7,0),"無")</f>
        <v>-25</v>
      </c>
      <c r="F862" s="6">
        <f>IFERROR(VLOOKUP($G862,基本資料!$A:$J,8,0),"無")</f>
        <v>0.3</v>
      </c>
      <c r="G862" s="79">
        <v>3673</v>
      </c>
      <c r="H862" s="8" t="s">
        <v>1878</v>
      </c>
      <c r="I862" s="22" t="s">
        <v>4216</v>
      </c>
      <c r="J862" s="8" t="str">
        <f>IFERROR(VLOOKUP($G862,今日總結!$A:$AJ,35,0),"")</f>
        <v/>
      </c>
      <c r="K862" s="5" t="str">
        <f>IFERROR(VLOOKUP($G862,今日總結!$A:$AJ,36,0),"")</f>
        <v/>
      </c>
      <c r="L862" s="156" t="str">
        <f>IFERROR(VLOOKUP($G862,今日總結!$A:$AJ,33,0),"")</f>
        <v/>
      </c>
      <c r="M862" s="340" t="str">
        <f>IFERROR(VLOOKUP($G862,今日總結!$A:$AJ,34,0),"")</f>
        <v/>
      </c>
      <c r="N862" s="240" t="str">
        <f t="shared" si="175"/>
        <v/>
      </c>
      <c r="P862" s="365">
        <f>IFERROR(VLOOKUP($G862,融外自投!$A:$J,7,0),"無")</f>
        <v>361</v>
      </c>
      <c r="Q862" s="79">
        <f>IFERROR(VLOOKUP($G862,融外自投!$A:$J,9,0),"無")</f>
        <v>64</v>
      </c>
      <c r="R862" s="346">
        <f>IFERROR(VLOOKUP($G862,融外自投!$A:$J,8,0),"無")</f>
        <v>157</v>
      </c>
      <c r="S862" s="81" t="str">
        <f>IFERROR(VLOOKUP($G862,融外自投!$A:$J,10,0),"無")</f>
        <v>無</v>
      </c>
      <c r="T862" s="327">
        <f>IFERROR(VLOOKUP($G862,'321買'!$A:$E,5,0),"'沒有資料'")</f>
        <v>606</v>
      </c>
      <c r="U862" s="186">
        <f>IFERROR(VLOOKUP($G862,基本資料!$A:$J,9,0),"無")</f>
        <v>0</v>
      </c>
      <c r="V862" s="310">
        <f t="shared" si="170"/>
        <v>0</v>
      </c>
      <c r="W862" s="94">
        <f>IFERROR(VLOOKUP($G862,基本資料!$A:$J,10,0),"無")</f>
        <v>2.63</v>
      </c>
      <c r="X862" s="36">
        <f>RTD("money.excel",,"3673","Price")</f>
        <v>31.75</v>
      </c>
      <c r="Y862" s="66"/>
      <c r="Z862" s="15">
        <f t="shared" si="171"/>
        <v>31.75</v>
      </c>
      <c r="AA862" s="3" t="e">
        <f t="shared" si="172"/>
        <v>#DIV/0!</v>
      </c>
      <c r="AB862" s="344">
        <f>IFERROR(VLOOKUP($G862,基本資料!$A:$M,11,0),"無")</f>
        <v>-34.799999999999997</v>
      </c>
      <c r="AC862" s="397">
        <f>IFERROR(VLOOKUP($G862,基本資料!$A:$M,12,0),"無")</f>
        <v>8.9499999999999993</v>
      </c>
      <c r="AD862" s="22" t="s">
        <v>4216</v>
      </c>
      <c r="AG862" s="33">
        <f t="shared" si="173"/>
        <v>0</v>
      </c>
      <c r="AH862" s="117" t="s">
        <v>4217</v>
      </c>
      <c r="AI862" s="63">
        <f t="shared" si="176"/>
        <v>2.4766355140186918E-3</v>
      </c>
      <c r="AJ862" s="284">
        <f>RTD("money.excel",,$G862,"PredictVolume")</f>
        <v>1007</v>
      </c>
      <c r="AK862" s="399">
        <f>IFERROR(VLOOKUP($G862,基本資料!$A:$M,13,0),"無")</f>
        <v>8.6300000000000008</v>
      </c>
    </row>
    <row r="863" spans="1:37">
      <c r="A863" s="347">
        <f>IFERROR(VLOOKUP($G863,基本資料!$A:$J,3,0),"無")</f>
        <v>7.95</v>
      </c>
      <c r="B863" s="79">
        <f>IFERROR(VLOOKUP($G863,基本資料!$A:$J,4,0),"無")</f>
        <v>-54</v>
      </c>
      <c r="C863" s="79">
        <f>IFERROR(VLOOKUP($G863,基本資料!$A:$J,5,0),"無")</f>
        <v>56</v>
      </c>
      <c r="D863" s="79">
        <f>IFERROR(VLOOKUP($G863,基本資料!$A:$J,6,0),"無")</f>
        <v>-44</v>
      </c>
      <c r="E863" s="79">
        <f>IFERROR(VLOOKUP($G863,基本資料!$A:$J,7,0),"無")</f>
        <v>-25</v>
      </c>
      <c r="F863" s="6">
        <f>IFERROR(VLOOKUP($G863,基本資料!$A:$J,8,0),"無")</f>
        <v>-0.45</v>
      </c>
      <c r="G863" s="79">
        <v>3685</v>
      </c>
      <c r="H863" s="8" t="s">
        <v>1878</v>
      </c>
      <c r="I863" s="16" t="s">
        <v>4218</v>
      </c>
      <c r="J863" s="8" t="str">
        <f>IFERROR(VLOOKUP($G863,今日總結!$A:$AJ,35,0),"")</f>
        <v/>
      </c>
      <c r="K863" s="5" t="str">
        <f>IFERROR(VLOOKUP($G863,今日總結!$A:$AJ,36,0),"")</f>
        <v/>
      </c>
      <c r="L863" s="156" t="str">
        <f>IFERROR(VLOOKUP($G863,今日總結!$A:$AJ,33,0),"")</f>
        <v/>
      </c>
      <c r="M863" s="340" t="str">
        <f>IFERROR(VLOOKUP($G863,今日總結!$A:$AJ,34,0),"")</f>
        <v/>
      </c>
      <c r="N863" s="240" t="str">
        <f t="shared" si="175"/>
        <v/>
      </c>
      <c r="P863" s="365">
        <f>IFERROR(VLOOKUP($G863,融外自投!$A:$J,7,0),"無")</f>
        <v>845</v>
      </c>
      <c r="Q863" s="79">
        <f>IFERROR(VLOOKUP($G863,融外自投!$A:$J,9,0),"無")</f>
        <v>459</v>
      </c>
      <c r="R863" s="346">
        <f>IFERROR(VLOOKUP($G863,融外自投!$A:$J,8,0),"無")</f>
        <v>986</v>
      </c>
      <c r="S863" s="81" t="str">
        <f>IFERROR(VLOOKUP($G863,融外自投!$A:$J,10,0),"無")</f>
        <v>無</v>
      </c>
      <c r="T863" s="327">
        <f>IFERROR(VLOOKUP($G863,'321買'!$A:$E,5,0),"'沒有資料'")</f>
        <v>1161</v>
      </c>
      <c r="U863" s="186">
        <f>IFERROR(VLOOKUP($G863,基本資料!$A:$J,9,0),"無")</f>
        <v>0</v>
      </c>
      <c r="V863" s="310">
        <f t="shared" si="170"/>
        <v>0</v>
      </c>
      <c r="W863" s="94">
        <f>IFERROR(VLOOKUP($G863,基本資料!$A:$J,10,0),"無")</f>
        <v>0.05</v>
      </c>
      <c r="X863" s="36">
        <f>RTD("money.excel",,"3685","Price")</f>
        <v>26.4</v>
      </c>
      <c r="Y863" s="66"/>
      <c r="Z863" s="15">
        <f t="shared" si="171"/>
        <v>26.4</v>
      </c>
      <c r="AA863" s="3" t="e">
        <f t="shared" si="172"/>
        <v>#DIV/0!</v>
      </c>
      <c r="AB863" s="344">
        <f>IFERROR(VLOOKUP($G863,基本資料!$A:$M,11,0),"無")</f>
        <v>-45.26</v>
      </c>
      <c r="AC863" s="397">
        <f>IFERROR(VLOOKUP($G863,基本資料!$A:$M,12,0),"無")</f>
        <v>19.309999999999999</v>
      </c>
      <c r="AD863" s="16" t="s">
        <v>4218</v>
      </c>
      <c r="AG863" s="33">
        <f t="shared" si="173"/>
        <v>0</v>
      </c>
      <c r="AH863" s="43" t="s">
        <v>4219</v>
      </c>
      <c r="AI863" s="63">
        <f t="shared" si="176"/>
        <v>3.5345911949685536E-3</v>
      </c>
      <c r="AJ863" s="284">
        <f>RTD("money.excel",,$G863,"PredictVolume")</f>
        <v>281</v>
      </c>
      <c r="AK863" s="399">
        <f>IFERROR(VLOOKUP($G863,基本資料!$A:$M,13,0),"無")</f>
        <v>6.73</v>
      </c>
    </row>
    <row r="864" spans="1:37">
      <c r="A864" s="347">
        <f>IFERROR(VLOOKUP($G864,基本資料!$A:$J,3,0),"無")</f>
        <v>7.58</v>
      </c>
      <c r="B864" s="79">
        <f>IFERROR(VLOOKUP($G864,基本資料!$A:$J,4,0),"無")</f>
        <v>-754</v>
      </c>
      <c r="C864" s="79">
        <f>IFERROR(VLOOKUP($G864,基本資料!$A:$J,5,0),"無")</f>
        <v>-215</v>
      </c>
      <c r="D864" s="79">
        <f>IFERROR(VLOOKUP($G864,基本資料!$A:$J,6,0),"無")</f>
        <v>1</v>
      </c>
      <c r="E864" s="79">
        <f>IFERROR(VLOOKUP($G864,基本資料!$A:$J,7,0),"無")</f>
        <v>-24</v>
      </c>
      <c r="F864" s="6">
        <f>IFERROR(VLOOKUP($G864,基本資料!$A:$J,8,0),"無")</f>
        <v>-3.44</v>
      </c>
      <c r="G864" s="79">
        <v>3691</v>
      </c>
      <c r="H864" s="145" t="s">
        <v>1878</v>
      </c>
      <c r="I864" s="16" t="s">
        <v>4220</v>
      </c>
      <c r="J864" s="8" t="str">
        <f>IFERROR(VLOOKUP($G864,今日總結!$A:$AJ,35,0),"")</f>
        <v/>
      </c>
      <c r="K864" s="5" t="str">
        <f>IFERROR(VLOOKUP($G864,今日總結!$A:$AJ,36,0),"")</f>
        <v/>
      </c>
      <c r="L864" s="156" t="str">
        <f>IFERROR(VLOOKUP($G864,今日總結!$A:$AJ,33,0),"")</f>
        <v/>
      </c>
      <c r="M864" s="340" t="str">
        <f>IFERROR(VLOOKUP($G864,今日總結!$A:$AJ,34,0),"")</f>
        <v/>
      </c>
      <c r="N864" s="240" t="str">
        <f t="shared" si="175"/>
        <v/>
      </c>
      <c r="P864" s="365">
        <f>IFERROR(VLOOKUP($G864,融外自投!$A:$J,7,0),"無")</f>
        <v>414</v>
      </c>
      <c r="Q864" s="79">
        <f>IFERROR(VLOOKUP($G864,融外自投!$A:$J,9,0),"無")</f>
        <v>22</v>
      </c>
      <c r="R864" s="346">
        <f>IFERROR(VLOOKUP($G864,融外自投!$A:$J,8,0),"無")</f>
        <v>680</v>
      </c>
      <c r="S864" s="81" t="str">
        <f>IFERROR(VLOOKUP($G864,融外自投!$A:$J,10,0),"無")</f>
        <v>無</v>
      </c>
      <c r="T864" s="327">
        <f>IFERROR(VLOOKUP($G864,'321買'!$A:$E,5,0),"'沒有資料'")</f>
        <v>634</v>
      </c>
      <c r="U864" s="186">
        <f>IFERROR(VLOOKUP($G864,基本資料!$A:$J,9,0),"無")</f>
        <v>0</v>
      </c>
      <c r="V864" s="310">
        <f t="shared" si="170"/>
        <v>0</v>
      </c>
      <c r="W864" s="94">
        <f>IFERROR(VLOOKUP($G864,基本資料!$A:$J,10,0),"無")</f>
        <v>-5.34</v>
      </c>
      <c r="X864" s="36">
        <f>RTD("money.excel",,"3691","Price")</f>
        <v>137</v>
      </c>
      <c r="Y864" s="66"/>
      <c r="Z864" s="15">
        <f t="shared" si="171"/>
        <v>137</v>
      </c>
      <c r="AA864" s="3" t="e">
        <f t="shared" si="172"/>
        <v>#DIV/0!</v>
      </c>
      <c r="AB864" s="344">
        <f>IFERROR(VLOOKUP($G864,基本資料!$A:$M,11,0),"無")</f>
        <v>-46.67</v>
      </c>
      <c r="AC864" s="397">
        <f>IFERROR(VLOOKUP($G864,基本資料!$A:$M,12,0),"無")</f>
        <v>9.49</v>
      </c>
      <c r="AD864" s="16" t="s">
        <v>4220</v>
      </c>
      <c r="AG864" s="33">
        <f t="shared" si="173"/>
        <v>0</v>
      </c>
      <c r="AH864" s="117" t="s">
        <v>4221</v>
      </c>
      <c r="AI864" s="63">
        <f t="shared" si="176"/>
        <v>2.0448548812664908E-3</v>
      </c>
      <c r="AJ864" s="284">
        <f>RTD("money.excel",,$G864,"PredictVolume")</f>
        <v>155</v>
      </c>
      <c r="AK864" s="399">
        <f>IFERROR(VLOOKUP($G864,基本資料!$A:$M,13,0),"無")</f>
        <v>16.25</v>
      </c>
    </row>
    <row r="865" spans="1:37">
      <c r="A865" s="347">
        <f>IFERROR(VLOOKUP($G865,基本資料!$A:$J,3,0),"無")</f>
        <v>7.8</v>
      </c>
      <c r="B865" s="79">
        <f>IFERROR(VLOOKUP($G865,基本資料!$A:$J,4,0),"無")</f>
        <v>771</v>
      </c>
      <c r="C865" s="79">
        <f>IFERROR(VLOOKUP($G865,基本資料!$A:$J,5,0),"無")</f>
        <v>1228</v>
      </c>
      <c r="D865" s="79">
        <f>IFERROR(VLOOKUP($G865,基本資料!$A:$J,6,0),"無")</f>
        <v>-38</v>
      </c>
      <c r="E865" s="79">
        <f>IFERROR(VLOOKUP($G865,基本資料!$A:$J,7,0),"無")</f>
        <v>62</v>
      </c>
      <c r="F865" s="6">
        <f>IFERROR(VLOOKUP($G865,基本資料!$A:$J,8,0),"無")</f>
        <v>6.41</v>
      </c>
      <c r="G865" s="79">
        <v>3713</v>
      </c>
      <c r="H865" s="8" t="s">
        <v>1878</v>
      </c>
      <c r="I865" s="16" t="s">
        <v>4222</v>
      </c>
      <c r="J865" s="8" t="str">
        <f>IFERROR(VLOOKUP($G865,今日總結!$A:$AJ,35,0),"")</f>
        <v/>
      </c>
      <c r="K865" s="5" t="str">
        <f>IFERROR(VLOOKUP($G865,今日總結!$A:$AJ,36,0),"")</f>
        <v/>
      </c>
      <c r="L865" s="156" t="str">
        <f>IFERROR(VLOOKUP($G865,今日總結!$A:$AJ,33,0),"")</f>
        <v/>
      </c>
      <c r="M865" s="340" t="str">
        <f>IFERROR(VLOOKUP($G865,今日總結!$A:$AJ,34,0),"")</f>
        <v/>
      </c>
      <c r="N865" s="240" t="str">
        <f t="shared" si="175"/>
        <v/>
      </c>
      <c r="P865" s="365" t="str">
        <f>IFERROR(VLOOKUP($G865,融外自投!$A:$J,7,0),"無")</f>
        <v>無</v>
      </c>
      <c r="Q865" s="79" t="str">
        <f>IFERROR(VLOOKUP($G865,融外自投!$A:$J,9,0),"無")</f>
        <v>無</v>
      </c>
      <c r="R865" s="346" t="str">
        <f>IFERROR(VLOOKUP($G865,融外自投!$A:$J,8,0),"無")</f>
        <v>無</v>
      </c>
      <c r="S865" s="81" t="str">
        <f>IFERROR(VLOOKUP($G865,融外自投!$A:$J,10,0),"無")</f>
        <v>無</v>
      </c>
      <c r="T865" s="327" t="str">
        <f>IFERROR(VLOOKUP($G865,'321買'!$A:$E,5,0),"'沒有資料'")</f>
        <v>'沒有資料'</v>
      </c>
      <c r="U865" s="186">
        <f>IFERROR(VLOOKUP($G865,基本資料!$A:$J,9,0),"無")</f>
        <v>0</v>
      </c>
      <c r="V865" s="310">
        <f t="shared" si="170"/>
        <v>0</v>
      </c>
      <c r="W865" s="94">
        <f>IFERROR(VLOOKUP($G865,基本資料!$A:$J,10,0),"無")</f>
        <v>0.43</v>
      </c>
      <c r="X865" s="36">
        <f>RTD("money.excel",,"3713","Price")</f>
        <v>32.5</v>
      </c>
      <c r="Y865" s="66"/>
      <c r="Z865" s="15">
        <f t="shared" si="171"/>
        <v>32.5</v>
      </c>
      <c r="AA865" s="3" t="e">
        <f t="shared" si="172"/>
        <v>#DIV/0!</v>
      </c>
      <c r="AB865" s="344">
        <f>IFERROR(VLOOKUP($G865,基本資料!$A:$M,11,0),"無")</f>
        <v>-31.51</v>
      </c>
      <c r="AC865" s="397">
        <f>IFERROR(VLOOKUP($G865,基本資料!$A:$M,12,0),"無")</f>
        <v>22.64</v>
      </c>
      <c r="AD865" s="16" t="s">
        <v>4222</v>
      </c>
      <c r="AG865" s="33">
        <f t="shared" si="173"/>
        <v>0</v>
      </c>
      <c r="AH865" s="43" t="s">
        <v>4223</v>
      </c>
      <c r="AI865" s="63">
        <f t="shared" si="176"/>
        <v>6.7948717948717945E-4</v>
      </c>
      <c r="AJ865" s="284">
        <f>RTD("money.excel",,$G865,"PredictVolume")</f>
        <v>53</v>
      </c>
      <c r="AK865" s="399">
        <f>IFERROR(VLOOKUP($G865,基本資料!$A:$M,13,0),"無")</f>
        <v>2.37</v>
      </c>
    </row>
    <row r="866" spans="1:37">
      <c r="A866" s="347">
        <f>IFERROR(VLOOKUP($G866,基本資料!$A:$J,3,0),"無")</f>
        <v>68.47</v>
      </c>
      <c r="B866" s="79">
        <f>IFERROR(VLOOKUP($G866,基本資料!$A:$J,4,0),"無")</f>
        <v>122</v>
      </c>
      <c r="C866" s="79">
        <f>IFERROR(VLOOKUP($G866,基本資料!$A:$J,5,0),"無")</f>
        <v>147</v>
      </c>
      <c r="D866" s="79">
        <f>IFERROR(VLOOKUP($G866,基本資料!$A:$J,6,0),"無")</f>
        <v>0</v>
      </c>
      <c r="E866" s="79">
        <f>IFERROR(VLOOKUP($G866,基本資料!$A:$J,7,0),"無")</f>
        <v>1</v>
      </c>
      <c r="F866" s="6">
        <f>IFERROR(VLOOKUP($G866,基本資料!$A:$J,8,0),"無")</f>
        <v>5.79</v>
      </c>
      <c r="G866" s="79">
        <v>3714</v>
      </c>
      <c r="H866" s="8" t="s">
        <v>1878</v>
      </c>
      <c r="I866" s="22" t="s">
        <v>4224</v>
      </c>
      <c r="J866" s="8" t="str">
        <f>IFERROR(VLOOKUP($G866,今日總結!$A:$AJ,35,0),"")</f>
        <v/>
      </c>
      <c r="K866" s="5" t="str">
        <f>IFERROR(VLOOKUP($G866,今日總結!$A:$AJ,36,0),"")</f>
        <v/>
      </c>
      <c r="L866" s="156" t="str">
        <f>IFERROR(VLOOKUP($G866,今日總結!$A:$AJ,33,0),"")</f>
        <v/>
      </c>
      <c r="M866" s="340" t="str">
        <f>IFERROR(VLOOKUP($G866,今日總結!$A:$AJ,34,0),"")</f>
        <v/>
      </c>
      <c r="N866" s="240" t="str">
        <f t="shared" si="175"/>
        <v/>
      </c>
      <c r="P866" s="365">
        <f>IFERROR(VLOOKUP($G866,融外自投!$A:$J,7,0),"無")</f>
        <v>158</v>
      </c>
      <c r="Q866" s="79" t="str">
        <f>IFERROR(VLOOKUP($G866,融外自投!$A:$J,9,0),"無")</f>
        <v>無</v>
      </c>
      <c r="R866" s="346">
        <f>IFERROR(VLOOKUP($G866,融外自投!$A:$J,8,0),"無")</f>
        <v>392</v>
      </c>
      <c r="S866" s="81">
        <f>IFERROR(VLOOKUP($G866,融外自投!$A:$J,10,0),"無")</f>
        <v>299</v>
      </c>
      <c r="T866" s="327">
        <f>IFERROR(VLOOKUP($G866,'321買'!$A:$E,5,0),"'沒有資料'")</f>
        <v>200</v>
      </c>
      <c r="U866" s="186">
        <f>IFERROR(VLOOKUP($G866,基本資料!$A:$J,9,0),"無")</f>
        <v>2</v>
      </c>
      <c r="V866" s="310">
        <f t="shared" si="170"/>
        <v>3.4482758620689655E-2</v>
      </c>
      <c r="W866" s="94">
        <f>IFERROR(VLOOKUP($G866,基本資料!$A:$J,10,0),"無")</f>
        <v>3.21</v>
      </c>
      <c r="X866" s="36">
        <f>RTD("money.excel",,"3714","Price")</f>
        <v>58</v>
      </c>
      <c r="Y866" s="66"/>
      <c r="Z866" s="15">
        <f t="shared" si="171"/>
        <v>58</v>
      </c>
      <c r="AA866" s="3" t="e">
        <f t="shared" si="172"/>
        <v>#DIV/0!</v>
      </c>
      <c r="AB866" s="344">
        <f>IFERROR(VLOOKUP($G866,基本資料!$A:$M,11,0),"無")</f>
        <v>-45.1</v>
      </c>
      <c r="AC866" s="397">
        <f>IFERROR(VLOOKUP($G866,基本資料!$A:$M,12,0),"無")</f>
        <v>10.029999999999999</v>
      </c>
      <c r="AD866" s="22" t="s">
        <v>4224</v>
      </c>
      <c r="AG866" s="33">
        <f t="shared" si="173"/>
        <v>0</v>
      </c>
      <c r="AH866" s="117" t="s">
        <v>4718</v>
      </c>
      <c r="AI866" s="63">
        <f t="shared" si="176"/>
        <v>5.9296042062217027E-3</v>
      </c>
      <c r="AJ866" s="284">
        <f>RTD("money.excel",,$G866,"PredictVolume")</f>
        <v>4060</v>
      </c>
      <c r="AK866" s="399">
        <f>IFERROR(VLOOKUP($G866,基本資料!$A:$M,13,0),"無")</f>
        <v>13.8</v>
      </c>
    </row>
    <row r="867" spans="1:37">
      <c r="A867" s="347">
        <f>IFERROR(VLOOKUP($G867,基本資料!$A:$J,3,0),"無")</f>
        <v>10.220000000000001</v>
      </c>
      <c r="B867" s="79">
        <f>IFERROR(VLOOKUP($G867,基本資料!$A:$J,4,0),"無")</f>
        <v>-41</v>
      </c>
      <c r="C867" s="79">
        <f>IFERROR(VLOOKUP($G867,基本資料!$A:$J,5,0),"無")</f>
        <v>34</v>
      </c>
      <c r="D867" s="79">
        <f>IFERROR(VLOOKUP($G867,基本資料!$A:$J,6,0),"無")</f>
        <v>-4</v>
      </c>
      <c r="E867" s="79">
        <f>IFERROR(VLOOKUP($G867,基本資料!$A:$J,7,0),"無")</f>
        <v>25</v>
      </c>
      <c r="F867" s="6">
        <f>IFERROR(VLOOKUP($G867,基本資料!$A:$J,8,0),"無")</f>
        <v>-8.0399999999999991</v>
      </c>
      <c r="G867" s="79">
        <v>4729</v>
      </c>
      <c r="H867" s="8" t="s">
        <v>1878</v>
      </c>
      <c r="I867" s="16" t="s">
        <v>4225</v>
      </c>
      <c r="J867" s="8" t="str">
        <f>IFERROR(VLOOKUP($G867,今日總結!$A:$AJ,35,0),"")</f>
        <v/>
      </c>
      <c r="K867" s="5" t="str">
        <f>IFERROR(VLOOKUP($G867,今日總結!$A:$AJ,36,0),"")</f>
        <v/>
      </c>
      <c r="L867" s="156" t="str">
        <f>IFERROR(VLOOKUP($G867,今日總結!$A:$AJ,33,0),"")</f>
        <v/>
      </c>
      <c r="M867" s="340" t="str">
        <f>IFERROR(VLOOKUP($G867,今日總結!$A:$AJ,34,0),"")</f>
        <v/>
      </c>
      <c r="N867" s="240" t="str">
        <f t="shared" si="175"/>
        <v/>
      </c>
      <c r="P867" s="365" t="str">
        <f>IFERROR(VLOOKUP($G867,融外自投!$A:$J,7,0),"無")</f>
        <v>無</v>
      </c>
      <c r="Q867" s="79" t="str">
        <f>IFERROR(VLOOKUP($G867,融外自投!$A:$J,9,0),"無")</f>
        <v>無</v>
      </c>
      <c r="R867" s="346" t="str">
        <f>IFERROR(VLOOKUP($G867,融外自投!$A:$J,8,0),"無")</f>
        <v>無</v>
      </c>
      <c r="S867" s="81" t="str">
        <f>IFERROR(VLOOKUP($G867,融外自投!$A:$J,10,0),"無")</f>
        <v>無</v>
      </c>
      <c r="T867" s="327" t="str">
        <f>IFERROR(VLOOKUP($G867,'321買'!$A:$E,5,0),"'沒有資料'")</f>
        <v>'沒有資料'</v>
      </c>
      <c r="U867" s="186">
        <f>IFERROR(VLOOKUP($G867,基本資料!$A:$J,9,0),"無")</f>
        <v>0</v>
      </c>
      <c r="V867" s="310">
        <f t="shared" si="170"/>
        <v>0</v>
      </c>
      <c r="W867" s="94">
        <f>IFERROR(VLOOKUP($G867,基本資料!$A:$J,10,0),"無")</f>
        <v>-1.26</v>
      </c>
      <c r="X867" s="36">
        <f>RTD("money.excel",,"4729","Price")</f>
        <v>10.85</v>
      </c>
      <c r="Y867" s="66"/>
      <c r="Z867" s="15">
        <f t="shared" si="171"/>
        <v>10.85</v>
      </c>
      <c r="AA867" s="3" t="e">
        <f t="shared" si="172"/>
        <v>#DIV/0!</v>
      </c>
      <c r="AB867" s="344">
        <f>IFERROR(VLOOKUP($G867,基本資料!$A:$M,11,0),"無")</f>
        <v>-25.85</v>
      </c>
      <c r="AC867" s="397">
        <f>IFERROR(VLOOKUP($G867,基本資料!$A:$M,12,0),"無")</f>
        <v>10.4</v>
      </c>
      <c r="AD867" s="16" t="s">
        <v>4225</v>
      </c>
      <c r="AG867" s="33">
        <f t="shared" si="173"/>
        <v>0</v>
      </c>
      <c r="AH867" s="43" t="s">
        <v>4226</v>
      </c>
      <c r="AI867" s="63">
        <f t="shared" si="176"/>
        <v>1.36986301369863E-4</v>
      </c>
      <c r="AJ867" s="284">
        <f>RTD("money.excel",,$G867,"PredictVolume")</f>
        <v>14</v>
      </c>
      <c r="AK867" s="399">
        <f>IFERROR(VLOOKUP($G867,基本資料!$A:$M,13,0),"無")</f>
        <v>1.35</v>
      </c>
    </row>
    <row r="868" spans="1:37">
      <c r="A868" s="347">
        <f>IFERROR(VLOOKUP($G868,基本資料!$A:$J,3,0),"無")</f>
        <v>8</v>
      </c>
      <c r="B868" s="79">
        <f>IFERROR(VLOOKUP($G868,基本資料!$A:$J,4,0),"無")</f>
        <v>46</v>
      </c>
      <c r="C868" s="79">
        <f>IFERROR(VLOOKUP($G868,基本資料!$A:$J,5,0),"無")</f>
        <v>36</v>
      </c>
      <c r="D868" s="79">
        <f>IFERROR(VLOOKUP($G868,基本資料!$A:$J,6,0),"無")</f>
        <v>-4</v>
      </c>
      <c r="E868" s="79">
        <f>IFERROR(VLOOKUP($G868,基本資料!$A:$J,7,0),"無")</f>
        <v>0</v>
      </c>
      <c r="F868" s="6">
        <f>IFERROR(VLOOKUP($G868,基本資料!$A:$J,8,0),"無")</f>
        <v>12.27</v>
      </c>
      <c r="G868" s="79">
        <v>4933</v>
      </c>
      <c r="H868" s="8" t="s">
        <v>306</v>
      </c>
      <c r="I868" s="16" t="s">
        <v>4227</v>
      </c>
      <c r="J868" s="8" t="str">
        <f>IFERROR(VLOOKUP($G868,今日總結!$A:$AJ,35,0),"")</f>
        <v/>
      </c>
      <c r="K868" s="5" t="str">
        <f>IFERROR(VLOOKUP($G868,今日總結!$A:$AJ,36,0),"")</f>
        <v/>
      </c>
      <c r="L868" s="156" t="str">
        <f>IFERROR(VLOOKUP($G868,今日總結!$A:$AJ,33,0),"")</f>
        <v/>
      </c>
      <c r="M868" s="340" t="str">
        <f>IFERROR(VLOOKUP($G868,今日總結!$A:$AJ,34,0),"")</f>
        <v/>
      </c>
      <c r="N868" s="240" t="str">
        <f t="shared" si="175"/>
        <v/>
      </c>
      <c r="P868" s="365">
        <f>IFERROR(VLOOKUP($G868,融外自投!$A:$J,7,0),"無")</f>
        <v>795</v>
      </c>
      <c r="Q868" s="79">
        <f>IFERROR(VLOOKUP($G868,融外自投!$A:$J,9,0),"無")</f>
        <v>852</v>
      </c>
      <c r="R868" s="346">
        <f>IFERROR(VLOOKUP($G868,融外自投!$A:$J,8,0),"無")</f>
        <v>940</v>
      </c>
      <c r="S868" s="81" t="str">
        <f>IFERROR(VLOOKUP($G868,融外自投!$A:$J,10,0),"無")</f>
        <v>無</v>
      </c>
      <c r="T868" s="327">
        <f>IFERROR(VLOOKUP($G868,'321買'!$A:$E,5,0),"'沒有資料'")</f>
        <v>1179</v>
      </c>
      <c r="U868" s="186">
        <f>IFERROR(VLOOKUP($G868,基本資料!$A:$J,9,0),"無")</f>
        <v>3.32</v>
      </c>
      <c r="V868" s="310">
        <f t="shared" si="170"/>
        <v>8.5899094437257434E-2</v>
      </c>
      <c r="W868" s="94">
        <f>IFERROR(VLOOKUP($G868,基本資料!$A:$J,10,0),"無")</f>
        <v>3.66</v>
      </c>
      <c r="X868" s="36">
        <f>RTD("money.excel",,"4933","Price")</f>
        <v>38.65</v>
      </c>
      <c r="Y868" s="66"/>
      <c r="Z868" s="15">
        <f t="shared" si="171"/>
        <v>38.65</v>
      </c>
      <c r="AA868" s="3" t="e">
        <f t="shared" si="172"/>
        <v>#DIV/0!</v>
      </c>
      <c r="AB868" s="344">
        <f>IFERROR(VLOOKUP($G868,基本資料!$A:$M,11,0),"無")</f>
        <v>-14.14</v>
      </c>
      <c r="AC868" s="397">
        <f>IFERROR(VLOOKUP($G868,基本資料!$A:$M,12,0),"無")</f>
        <v>51.42</v>
      </c>
      <c r="AD868" s="16" t="s">
        <v>4227</v>
      </c>
      <c r="AG868" s="33">
        <f t="shared" si="173"/>
        <v>0</v>
      </c>
      <c r="AH868" s="117" t="s">
        <v>4228</v>
      </c>
      <c r="AI868" s="63">
        <f t="shared" si="176"/>
        <v>8.25E-4</v>
      </c>
      <c r="AJ868" s="284">
        <f>RTD("money.excel",,$G868,"PredictVolume")</f>
        <v>66</v>
      </c>
      <c r="AK868" s="399">
        <f>IFERROR(VLOOKUP($G868,基本資料!$A:$M,13,0),"無")</f>
        <v>2.64</v>
      </c>
    </row>
    <row r="869" spans="1:37">
      <c r="A869" s="347">
        <f>IFERROR(VLOOKUP($G869,基本資料!$A:$J,3,0),"無")</f>
        <v>22.5</v>
      </c>
      <c r="B869" s="79">
        <f>IFERROR(VLOOKUP($G869,基本資料!$A:$J,4,0),"無")</f>
        <v>-17251</v>
      </c>
      <c r="C869" s="79">
        <f>IFERROR(VLOOKUP($G869,基本資料!$A:$J,5,0),"無")</f>
        <v>-10351</v>
      </c>
      <c r="D869" s="79">
        <f>IFERROR(VLOOKUP($G869,基本資料!$A:$J,6,0),"無")</f>
        <v>45</v>
      </c>
      <c r="E869" s="79">
        <f>IFERROR(VLOOKUP($G869,基本資料!$A:$J,7,0),"無")</f>
        <v>-21</v>
      </c>
      <c r="F869" s="6">
        <f>IFERROR(VLOOKUP($G869,基本資料!$A:$J,8,0),"無")</f>
        <v>-33.979999999999997</v>
      </c>
      <c r="G869" s="79">
        <v>4934</v>
      </c>
      <c r="H869" s="8" t="s">
        <v>1878</v>
      </c>
      <c r="I869" s="22" t="s">
        <v>4229</v>
      </c>
      <c r="J869" s="8" t="str">
        <f>IFERROR(VLOOKUP($G869,今日總結!$A:$AJ,35,0),"")</f>
        <v/>
      </c>
      <c r="K869" s="5" t="str">
        <f>IFERROR(VLOOKUP($G869,今日總結!$A:$AJ,36,0),"")</f>
        <v/>
      </c>
      <c r="L869" s="156" t="str">
        <f>IFERROR(VLOOKUP($G869,今日總結!$A:$AJ,33,0),"")</f>
        <v/>
      </c>
      <c r="M869" s="340" t="str">
        <f>IFERROR(VLOOKUP($G869,今日總結!$A:$AJ,34,0),"")</f>
        <v/>
      </c>
      <c r="N869" s="240" t="str">
        <f t="shared" si="175"/>
        <v/>
      </c>
      <c r="P869" s="365" t="str">
        <f>IFERROR(VLOOKUP($G869,融外自投!$A:$J,7,0),"無")</f>
        <v>無</v>
      </c>
      <c r="Q869" s="79" t="str">
        <f>IFERROR(VLOOKUP($G869,融外自投!$A:$J,9,0),"無")</f>
        <v>無</v>
      </c>
      <c r="R869" s="346" t="str">
        <f>IFERROR(VLOOKUP($G869,融外自投!$A:$J,8,0),"無")</f>
        <v>無</v>
      </c>
      <c r="S869" s="81" t="str">
        <f>IFERROR(VLOOKUP($G869,融外自投!$A:$J,10,0),"無")</f>
        <v>無</v>
      </c>
      <c r="T869" s="327" t="str">
        <f>IFERROR(VLOOKUP($G869,'321買'!$A:$E,5,0),"'沒有資料'")</f>
        <v>'沒有資料'</v>
      </c>
      <c r="U869" s="186">
        <f>IFERROR(VLOOKUP($G869,基本資料!$A:$J,9,0),"無")</f>
        <v>0</v>
      </c>
      <c r="V869" s="310">
        <f t="shared" si="170"/>
        <v>0</v>
      </c>
      <c r="W869" s="94">
        <f>IFERROR(VLOOKUP($G869,基本資料!$A:$J,10,0),"無")</f>
        <v>-4.1900000000000004</v>
      </c>
      <c r="X869" s="36">
        <f>RTD("money.excel",,"4934","Price")</f>
        <v>22.1</v>
      </c>
      <c r="Y869" s="66"/>
      <c r="Z869" s="15">
        <f t="shared" si="171"/>
        <v>22.1</v>
      </c>
      <c r="AA869" s="3" t="e">
        <f t="shared" si="172"/>
        <v>#DIV/0!</v>
      </c>
      <c r="AB869" s="344">
        <f>IFERROR(VLOOKUP($G869,基本資料!$A:$M,11,0),"無")</f>
        <v>-48.1</v>
      </c>
      <c r="AC869" s="397">
        <f>IFERROR(VLOOKUP($G869,基本資料!$A:$M,12,0),"無")</f>
        <v>4.2300000000000004</v>
      </c>
      <c r="AD869" s="22" t="s">
        <v>4229</v>
      </c>
      <c r="AG869" s="33">
        <f t="shared" si="173"/>
        <v>0</v>
      </c>
      <c r="AH869" s="43" t="s">
        <v>2020</v>
      </c>
      <c r="AI869" s="63">
        <f t="shared" si="176"/>
        <v>1.7244444444444445E-3</v>
      </c>
      <c r="AJ869" s="284">
        <f>RTD("money.excel",,$G869,"PredictVolume")</f>
        <v>388</v>
      </c>
      <c r="AK869" s="399">
        <f>IFERROR(VLOOKUP($G869,基本資料!$A:$M,13,0),"無")</f>
        <v>11</v>
      </c>
    </row>
    <row r="870" spans="1:37">
      <c r="A870" s="347">
        <f>IFERROR(VLOOKUP($G870,基本資料!$A:$J,3,0),"無")</f>
        <v>12.88</v>
      </c>
      <c r="B870" s="79">
        <f>IFERROR(VLOOKUP($G870,基本資料!$A:$J,4,0),"無")</f>
        <v>-5</v>
      </c>
      <c r="C870" s="79">
        <f>IFERROR(VLOOKUP($G870,基本資料!$A:$J,5,0),"無")</f>
        <v>-15</v>
      </c>
      <c r="D870" s="79">
        <f>IFERROR(VLOOKUP($G870,基本資料!$A:$J,6,0),"無")</f>
        <v>-54</v>
      </c>
      <c r="E870" s="79">
        <f>IFERROR(VLOOKUP($G870,基本資料!$A:$J,7,0),"無")</f>
        <v>-55</v>
      </c>
      <c r="F870" s="6">
        <f>IFERROR(VLOOKUP($G870,基本資料!$A:$J,8,0),"無")</f>
        <v>12.21</v>
      </c>
      <c r="G870" s="79">
        <v>4935</v>
      </c>
      <c r="H870" s="8" t="s">
        <v>1878</v>
      </c>
      <c r="I870" s="22" t="s">
        <v>4230</v>
      </c>
      <c r="J870" s="8" t="str">
        <f>IFERROR(VLOOKUP($G870,今日總結!$A:$AJ,35,0),"")</f>
        <v/>
      </c>
      <c r="K870" s="5" t="str">
        <f>IFERROR(VLOOKUP($G870,今日總結!$A:$AJ,36,0),"")</f>
        <v/>
      </c>
      <c r="L870" s="156" t="str">
        <f>IFERROR(VLOOKUP($G870,今日總結!$A:$AJ,33,0),"")</f>
        <v/>
      </c>
      <c r="M870" s="340" t="str">
        <f>IFERROR(VLOOKUP($G870,今日總結!$A:$AJ,34,0),"")</f>
        <v/>
      </c>
      <c r="N870" s="240" t="str">
        <f t="shared" si="175"/>
        <v/>
      </c>
      <c r="P870" s="365">
        <f>IFERROR(VLOOKUP($G870,融外自投!$A:$J,7,0),"無")</f>
        <v>574</v>
      </c>
      <c r="Q870" s="79">
        <f>IFERROR(VLOOKUP($G870,融外自投!$A:$J,9,0),"無")</f>
        <v>550</v>
      </c>
      <c r="R870" s="346">
        <f>IFERROR(VLOOKUP($G870,融外自投!$A:$J,8,0),"無")</f>
        <v>217</v>
      </c>
      <c r="S870" s="81" t="str">
        <f>IFERROR(VLOOKUP($G870,融外自投!$A:$J,10,0),"無")</f>
        <v>無</v>
      </c>
      <c r="T870" s="327">
        <f>IFERROR(VLOOKUP($G870,'321買'!$A:$E,5,0),"'沒有資料'")</f>
        <v>515</v>
      </c>
      <c r="U870" s="186">
        <f>IFERROR(VLOOKUP($G870,基本資料!$A:$J,9,0),"無")</f>
        <v>5</v>
      </c>
      <c r="V870" s="310">
        <f t="shared" si="170"/>
        <v>8.8652482269503549E-2</v>
      </c>
      <c r="W870" s="94">
        <f>IFERROR(VLOOKUP($G870,基本資料!$A:$J,10,0),"無")</f>
        <v>9.74</v>
      </c>
      <c r="X870" s="36">
        <f>RTD("money.excel",,"4935","Price")</f>
        <v>56.4</v>
      </c>
      <c r="Y870" s="66"/>
      <c r="Z870" s="15">
        <f t="shared" si="171"/>
        <v>56.4</v>
      </c>
      <c r="AA870" s="3" t="e">
        <f t="shared" si="172"/>
        <v>#DIV/0!</v>
      </c>
      <c r="AB870" s="344">
        <f>IFERROR(VLOOKUP($G870,基本資料!$A:$M,11,0),"無")</f>
        <v>-46.73</v>
      </c>
      <c r="AC870" s="397">
        <f>IFERROR(VLOOKUP($G870,基本資料!$A:$M,12,0),"無")</f>
        <v>12.84</v>
      </c>
      <c r="AD870" s="22" t="s">
        <v>4230</v>
      </c>
      <c r="AG870" s="33">
        <f t="shared" si="173"/>
        <v>0</v>
      </c>
      <c r="AH870" s="43" t="s">
        <v>2283</v>
      </c>
      <c r="AI870" s="63">
        <f t="shared" si="176"/>
        <v>1.0636645962732918E-3</v>
      </c>
      <c r="AJ870" s="284">
        <f>RTD("money.excel",,$G870,"PredictVolume")</f>
        <v>137</v>
      </c>
      <c r="AK870" s="399">
        <f>IFERROR(VLOOKUP($G870,基本資料!$A:$M,13,0),"無")</f>
        <v>3.16</v>
      </c>
    </row>
    <row r="871" spans="1:37">
      <c r="A871" s="347">
        <f>IFERROR(VLOOKUP($G871,基本資料!$A:$J,3,0),"無")</f>
        <v>14.23</v>
      </c>
      <c r="B871" s="79">
        <f>IFERROR(VLOOKUP($G871,基本資料!$A:$J,4,0),"無")</f>
        <v>34</v>
      </c>
      <c r="C871" s="79">
        <f>IFERROR(VLOOKUP($G871,基本資料!$A:$J,5,0),"無")</f>
        <v>30</v>
      </c>
      <c r="D871" s="79">
        <f>IFERROR(VLOOKUP($G871,基本資料!$A:$J,6,0),"無")</f>
        <v>-4</v>
      </c>
      <c r="E871" s="79">
        <f>IFERROR(VLOOKUP($G871,基本資料!$A:$J,7,0),"無")</f>
        <v>6</v>
      </c>
      <c r="F871" s="6">
        <f>IFERROR(VLOOKUP($G871,基本資料!$A:$J,8,0),"無")</f>
        <v>13.48</v>
      </c>
      <c r="G871" s="79">
        <v>4942</v>
      </c>
      <c r="H871" s="8" t="s">
        <v>1878</v>
      </c>
      <c r="I871" s="22" t="s">
        <v>4231</v>
      </c>
      <c r="J871" s="8" t="str">
        <f>IFERROR(VLOOKUP($G871,今日總結!$A:$AJ,35,0),"")</f>
        <v/>
      </c>
      <c r="K871" s="5" t="str">
        <f>IFERROR(VLOOKUP($G871,今日總結!$A:$AJ,36,0),"")</f>
        <v/>
      </c>
      <c r="L871" s="156" t="str">
        <f>IFERROR(VLOOKUP($G871,今日總結!$A:$AJ,33,0),"")</f>
        <v/>
      </c>
      <c r="M871" s="340" t="str">
        <f>IFERROR(VLOOKUP($G871,今日總結!$A:$AJ,34,0),"")</f>
        <v/>
      </c>
      <c r="N871" s="240" t="str">
        <f t="shared" si="175"/>
        <v/>
      </c>
      <c r="P871" s="365">
        <f>IFERROR(VLOOKUP($G871,融外自投!$A:$J,7,0),"無")</f>
        <v>848</v>
      </c>
      <c r="Q871" s="79">
        <f>IFERROR(VLOOKUP($G871,融外自投!$A:$J,9,0),"無")</f>
        <v>571</v>
      </c>
      <c r="R871" s="346">
        <f>IFERROR(VLOOKUP($G871,融外自投!$A:$J,8,0),"無")</f>
        <v>372</v>
      </c>
      <c r="S871" s="81">
        <f>IFERROR(VLOOKUP($G871,融外自投!$A:$J,10,0),"無")</f>
        <v>491</v>
      </c>
      <c r="T871" s="327">
        <f>IFERROR(VLOOKUP($G871,'321買'!$A:$E,5,0),"'沒有資料'")</f>
        <v>515</v>
      </c>
      <c r="U871" s="186">
        <f>IFERROR(VLOOKUP($G871,基本資料!$A:$J,9,0),"無")</f>
        <v>3</v>
      </c>
      <c r="V871" s="310">
        <f t="shared" si="170"/>
        <v>6.9124423963133647E-2</v>
      </c>
      <c r="W871" s="94">
        <f>IFERROR(VLOOKUP($G871,基本資料!$A:$J,10,0),"無")</f>
        <v>6.38</v>
      </c>
      <c r="X871" s="36">
        <f>RTD("money.excel",,"4942","Price")</f>
        <v>43.4</v>
      </c>
      <c r="Y871" s="66"/>
      <c r="Z871" s="15">
        <f t="shared" si="171"/>
        <v>43.4</v>
      </c>
      <c r="AA871" s="3" t="e">
        <f t="shared" si="172"/>
        <v>#DIV/0!</v>
      </c>
      <c r="AB871" s="344">
        <f>IFERROR(VLOOKUP($G871,基本資料!$A:$M,11,0),"無")</f>
        <v>-20.97</v>
      </c>
      <c r="AC871" s="397">
        <f>IFERROR(VLOOKUP($G871,基本資料!$A:$M,12,0),"無")</f>
        <v>17.78</v>
      </c>
      <c r="AD871" s="22" t="s">
        <v>4231</v>
      </c>
      <c r="AG871" s="33">
        <f t="shared" si="173"/>
        <v>0</v>
      </c>
      <c r="AH871" s="43" t="s">
        <v>2584</v>
      </c>
      <c r="AI871" s="63">
        <f t="shared" si="176"/>
        <v>2.5509486999297261E-3</v>
      </c>
      <c r="AJ871" s="284">
        <f>RTD("money.excel",,$G871,"PredictVolume")</f>
        <v>363</v>
      </c>
      <c r="AK871" s="399">
        <f>IFERROR(VLOOKUP($G871,基本資料!$A:$M,13,0),"無")</f>
        <v>5.33</v>
      </c>
    </row>
    <row r="872" spans="1:37">
      <c r="A872" s="347">
        <f>IFERROR(VLOOKUP($G872,基本資料!$A:$J,3,0),"無")</f>
        <v>8.7899999999999991</v>
      </c>
      <c r="B872" s="79">
        <f>IFERROR(VLOOKUP($G872,基本資料!$A:$J,4,0),"無")</f>
        <v>-137</v>
      </c>
      <c r="C872" s="79">
        <f>IFERROR(VLOOKUP($G872,基本資料!$A:$J,5,0),"無")</f>
        <v>36</v>
      </c>
      <c r="D872" s="79">
        <f>IFERROR(VLOOKUP($G872,基本資料!$A:$J,6,0),"無")</f>
        <v>-8</v>
      </c>
      <c r="E872" s="79">
        <f>IFERROR(VLOOKUP($G872,基本資料!$A:$J,7,0),"無")</f>
        <v>-19</v>
      </c>
      <c r="F872" s="6">
        <f>IFERROR(VLOOKUP($G872,基本資料!$A:$J,8,0),"無")</f>
        <v>-29.69</v>
      </c>
      <c r="G872" s="79">
        <v>4944</v>
      </c>
      <c r="H872" s="8" t="s">
        <v>1878</v>
      </c>
      <c r="I872" s="16" t="s">
        <v>4232</v>
      </c>
      <c r="J872" s="8" t="str">
        <f>IFERROR(VLOOKUP($G872,今日總結!$A:$AJ,35,0),"")</f>
        <v/>
      </c>
      <c r="K872" s="5" t="str">
        <f>IFERROR(VLOOKUP($G872,今日總結!$A:$AJ,36,0),"")</f>
        <v/>
      </c>
      <c r="L872" s="156" t="str">
        <f>IFERROR(VLOOKUP($G872,今日總結!$A:$AJ,33,0),"")</f>
        <v/>
      </c>
      <c r="M872" s="340" t="str">
        <f>IFERROR(VLOOKUP($G872,今日總結!$A:$AJ,34,0),"")</f>
        <v/>
      </c>
      <c r="N872" s="240" t="str">
        <f t="shared" si="175"/>
        <v/>
      </c>
      <c r="P872" s="365" t="str">
        <f>IFERROR(VLOOKUP($G872,融外自投!$A:$J,7,0),"無")</f>
        <v>無</v>
      </c>
      <c r="Q872" s="79" t="str">
        <f>IFERROR(VLOOKUP($G872,融外自投!$A:$J,9,0),"無")</f>
        <v>無</v>
      </c>
      <c r="R872" s="346" t="str">
        <f>IFERROR(VLOOKUP($G872,融外自投!$A:$J,8,0),"無")</f>
        <v>無</v>
      </c>
      <c r="S872" s="81" t="str">
        <f>IFERROR(VLOOKUP($G872,融外自投!$A:$J,10,0),"無")</f>
        <v>無</v>
      </c>
      <c r="T872" s="327" t="str">
        <f>IFERROR(VLOOKUP($G872,'321買'!$A:$E,5,0),"'沒有資料'")</f>
        <v>'沒有資料'</v>
      </c>
      <c r="U872" s="186">
        <f>IFERROR(VLOOKUP($G872,基本資料!$A:$J,9,0),"無")</f>
        <v>0</v>
      </c>
      <c r="V872" s="310">
        <f t="shared" si="170"/>
        <v>0</v>
      </c>
      <c r="W872" s="94">
        <f>IFERROR(VLOOKUP($G872,基本資料!$A:$J,10,0),"無")</f>
        <v>-3.57</v>
      </c>
      <c r="X872" s="36">
        <f>RTD("money.excel",,"4944","Price")</f>
        <v>9.1999999999999993</v>
      </c>
      <c r="Y872" s="66"/>
      <c r="Z872" s="15">
        <f t="shared" si="171"/>
        <v>9.1999999999999993</v>
      </c>
      <c r="AA872" s="3" t="e">
        <f t="shared" si="172"/>
        <v>#DIV/0!</v>
      </c>
      <c r="AB872" s="344">
        <f>IFERROR(VLOOKUP($G872,基本資料!$A:$M,11,0),"無")</f>
        <v>-68.92</v>
      </c>
      <c r="AC872" s="397">
        <f>IFERROR(VLOOKUP($G872,基本資料!$A:$M,12,0),"無")</f>
        <v>5.72</v>
      </c>
      <c r="AD872" s="16" t="s">
        <v>4232</v>
      </c>
      <c r="AG872" s="33">
        <f t="shared" si="173"/>
        <v>0</v>
      </c>
      <c r="AH872" s="43" t="s">
        <v>4233</v>
      </c>
      <c r="AI872" s="63">
        <f t="shared" si="176"/>
        <v>2.059158134243459E-3</v>
      </c>
      <c r="AJ872" s="284">
        <f>RTD("money.excel",,$G872,"PredictVolume")</f>
        <v>181</v>
      </c>
      <c r="AK872" s="399">
        <f>IFERROR(VLOOKUP($G872,基本資料!$A:$M,13,0),"無")</f>
        <v>1.36</v>
      </c>
    </row>
    <row r="873" spans="1:37">
      <c r="A873" s="347">
        <f>IFERROR(VLOOKUP($G873,基本資料!$A:$J,3,0),"無")</f>
        <v>10.039999999999999</v>
      </c>
      <c r="B873" s="79">
        <f>IFERROR(VLOOKUP($G873,基本資料!$A:$J,4,0),"無")</f>
        <v>791</v>
      </c>
      <c r="C873" s="79">
        <f>IFERROR(VLOOKUP($G873,基本資料!$A:$J,5,0),"無")</f>
        <v>988</v>
      </c>
      <c r="D873" s="79">
        <f>IFERROR(VLOOKUP($G873,基本資料!$A:$J,6,0),"無")</f>
        <v>-13</v>
      </c>
      <c r="E873" s="79">
        <f>IFERROR(VLOOKUP($G873,基本資料!$A:$J,7,0),"無")</f>
        <v>-29</v>
      </c>
      <c r="F873" s="6">
        <f>IFERROR(VLOOKUP($G873,基本資料!$A:$J,8,0),"無")</f>
        <v>8.8000000000000007</v>
      </c>
      <c r="G873" s="79">
        <v>4956</v>
      </c>
      <c r="H873" s="8" t="s">
        <v>1878</v>
      </c>
      <c r="I873" s="22" t="s">
        <v>4234</v>
      </c>
      <c r="J873" s="8" t="str">
        <f>IFERROR(VLOOKUP($G873,今日總結!$A:$AJ,35,0),"")</f>
        <v/>
      </c>
      <c r="K873" s="5" t="str">
        <f>IFERROR(VLOOKUP($G873,今日總結!$A:$AJ,36,0),"")</f>
        <v/>
      </c>
      <c r="L873" s="156" t="str">
        <f>IFERROR(VLOOKUP($G873,今日總結!$A:$AJ,33,0),"")</f>
        <v/>
      </c>
      <c r="M873" s="340" t="str">
        <f>IFERROR(VLOOKUP($G873,今日總結!$A:$AJ,34,0),"")</f>
        <v/>
      </c>
      <c r="N873" s="240" t="str">
        <f t="shared" si="175"/>
        <v/>
      </c>
      <c r="P873" s="365">
        <f>IFERROR(VLOOKUP($G873,融外自投!$A:$J,7,0),"無")</f>
        <v>288</v>
      </c>
      <c r="Q873" s="79">
        <f>IFERROR(VLOOKUP($G873,融外自投!$A:$J,9,0),"無")</f>
        <v>435</v>
      </c>
      <c r="R873" s="346">
        <f>IFERROR(VLOOKUP($G873,融外自投!$A:$J,8,0),"無")</f>
        <v>654</v>
      </c>
      <c r="S873" s="81" t="str">
        <f>IFERROR(VLOOKUP($G873,融外自投!$A:$J,10,0),"無")</f>
        <v>無</v>
      </c>
      <c r="T873" s="327">
        <f>IFERROR(VLOOKUP($G873,'321買'!$A:$E,5,0),"'沒有資料'")</f>
        <v>188</v>
      </c>
      <c r="U873" s="186">
        <f>IFERROR(VLOOKUP($G873,基本資料!$A:$J,9,0),"無")</f>
        <v>0.4</v>
      </c>
      <c r="V873" s="310">
        <f t="shared" ref="V873:V927" si="177">$U873/$X873</f>
        <v>2.1276595744680851E-2</v>
      </c>
      <c r="W873" s="94">
        <f>IFERROR(VLOOKUP($G873,基本資料!$A:$J,10,0),"無")</f>
        <v>1.44</v>
      </c>
      <c r="X873" s="36">
        <f>RTD("money.excel",,"4956","Price")</f>
        <v>18.8</v>
      </c>
      <c r="Y873" s="66"/>
      <c r="Z873" s="15">
        <f t="shared" ref="Z873:Z927" si="178">X873-Y873</f>
        <v>18.8</v>
      </c>
      <c r="AA873" s="3" t="e">
        <f t="shared" ref="AA873:AA927" si="179">Z873/Y873</f>
        <v>#DIV/0!</v>
      </c>
      <c r="AB873" s="344">
        <f>IFERROR(VLOOKUP($G873,基本資料!$A:$M,11,0),"無")</f>
        <v>-43.05</v>
      </c>
      <c r="AC873" s="397">
        <f>IFERROR(VLOOKUP($G873,基本資料!$A:$M,12,0),"無")</f>
        <v>14.76</v>
      </c>
      <c r="AD873" s="22" t="s">
        <v>4234</v>
      </c>
      <c r="AG873" s="33">
        <f t="shared" ref="AG873:AG927" si="180">AF873-AE873</f>
        <v>0</v>
      </c>
      <c r="AH873" s="43" t="s">
        <v>4235</v>
      </c>
      <c r="AI873" s="63">
        <f t="shared" ref="AI873:AI904" si="181">AJ873/(A873*10000)</f>
        <v>3.1573705179282871E-3</v>
      </c>
      <c r="AJ873" s="284">
        <f>RTD("money.excel",,$G873,"PredictVolume")</f>
        <v>317</v>
      </c>
      <c r="AK873" s="399">
        <f>IFERROR(VLOOKUP($G873,基本資料!$A:$M,13,0),"無")</f>
        <v>63.74</v>
      </c>
    </row>
    <row r="874" spans="1:37">
      <c r="A874" s="347">
        <f>IFERROR(VLOOKUP($G874,基本資料!$A:$J,3,0),"無")</f>
        <v>67.52</v>
      </c>
      <c r="B874" s="79">
        <f>IFERROR(VLOOKUP($G874,基本資料!$A:$J,4,0),"無")</f>
        <v>934</v>
      </c>
      <c r="C874" s="79">
        <f>IFERROR(VLOOKUP($G874,基本資料!$A:$J,5,0),"無")</f>
        <v>173</v>
      </c>
      <c r="D874" s="79">
        <f>IFERROR(VLOOKUP($G874,基本資料!$A:$J,6,0),"無")</f>
        <v>13</v>
      </c>
      <c r="E874" s="79">
        <f>IFERROR(VLOOKUP($G874,基本資料!$A:$J,7,0),"無")</f>
        <v>-7</v>
      </c>
      <c r="F874" s="6">
        <f>IFERROR(VLOOKUP($G874,基本資料!$A:$J,8,0),"無")</f>
        <v>1.78</v>
      </c>
      <c r="G874" s="79">
        <v>4960</v>
      </c>
      <c r="H874" s="8" t="s">
        <v>1878</v>
      </c>
      <c r="I874" s="22" t="s">
        <v>4236</v>
      </c>
      <c r="J874" s="8" t="str">
        <f>IFERROR(VLOOKUP($G874,今日總結!$A:$AJ,35,0),"")</f>
        <v/>
      </c>
      <c r="K874" s="5" t="str">
        <f>IFERROR(VLOOKUP($G874,今日總結!$A:$AJ,36,0),"")</f>
        <v/>
      </c>
      <c r="L874" s="156" t="str">
        <f>IFERROR(VLOOKUP($G874,今日總結!$A:$AJ,33,0),"")</f>
        <v/>
      </c>
      <c r="M874" s="340" t="str">
        <f>IFERROR(VLOOKUP($G874,今日總結!$A:$AJ,34,0),"")</f>
        <v/>
      </c>
      <c r="N874" s="240" t="str">
        <f t="shared" ref="N874:N927" si="182">IFERROR(L874-M874,"")</f>
        <v/>
      </c>
      <c r="P874" s="365">
        <f>IFERROR(VLOOKUP($G874,融外自投!$A:$J,7,0),"無")</f>
        <v>216</v>
      </c>
      <c r="Q874" s="79">
        <f>IFERROR(VLOOKUP($G874,融外自投!$A:$J,9,0),"無")</f>
        <v>558</v>
      </c>
      <c r="R874" s="346">
        <f>IFERROR(VLOOKUP($G874,融外自投!$A:$J,8,0),"無")</f>
        <v>871</v>
      </c>
      <c r="S874" s="81" t="str">
        <f>IFERROR(VLOOKUP($G874,融外自投!$A:$J,10,0),"無")</f>
        <v>無</v>
      </c>
      <c r="T874" s="327">
        <f>IFERROR(VLOOKUP($G874,'321買'!$A:$E,5,0),"'沒有資料'")</f>
        <v>416</v>
      </c>
      <c r="U874" s="186">
        <f>IFERROR(VLOOKUP($G874,基本資料!$A:$J,9,0),"無")</f>
        <v>0.5</v>
      </c>
      <c r="V874" s="310">
        <f t="shared" si="177"/>
        <v>4.4843049327354258E-2</v>
      </c>
      <c r="W874" s="94">
        <f>IFERROR(VLOOKUP($G874,基本資料!$A:$J,10,0),"無")</f>
        <v>1.1499999999999999</v>
      </c>
      <c r="X874" s="36">
        <f>RTD("money.excel",,"4960","Price")</f>
        <v>11.15</v>
      </c>
      <c r="Y874" s="66"/>
      <c r="Z874" s="15">
        <f t="shared" si="178"/>
        <v>11.15</v>
      </c>
      <c r="AA874" s="3" t="e">
        <f t="shared" si="179"/>
        <v>#DIV/0!</v>
      </c>
      <c r="AB874" s="344">
        <f>IFERROR(VLOOKUP($G874,基本資料!$A:$M,11,0),"無")</f>
        <v>-20.350000000000001</v>
      </c>
      <c r="AC874" s="397">
        <f>IFERROR(VLOOKUP($G874,基本資料!$A:$M,12,0),"無")</f>
        <v>25.5</v>
      </c>
      <c r="AD874" s="22" t="s">
        <v>4236</v>
      </c>
      <c r="AG874" s="33">
        <f t="shared" si="180"/>
        <v>0</v>
      </c>
      <c r="AH874" s="43" t="s">
        <v>4161</v>
      </c>
      <c r="AI874" s="63">
        <f t="shared" si="181"/>
        <v>9.3142772511848344E-3</v>
      </c>
      <c r="AJ874" s="284">
        <f>RTD("money.excel",,$G874,"PredictVolume")</f>
        <v>6289</v>
      </c>
      <c r="AK874" s="399">
        <f>IFERROR(VLOOKUP($G874,基本資料!$A:$M,13,0),"無")</f>
        <v>27.73</v>
      </c>
    </row>
    <row r="875" spans="1:37">
      <c r="A875" s="347">
        <f>IFERROR(VLOOKUP($G875,基本資料!$A:$J,3,0),"無")</f>
        <v>3.94</v>
      </c>
      <c r="B875" s="79">
        <f>IFERROR(VLOOKUP($G875,基本資料!$A:$J,4,0),"無")</f>
        <v>21</v>
      </c>
      <c r="C875" s="79">
        <f>IFERROR(VLOOKUP($G875,基本資料!$A:$J,5,0),"無")</f>
        <v>64</v>
      </c>
      <c r="D875" s="79">
        <f>IFERROR(VLOOKUP($G875,基本資料!$A:$J,6,0),"無")</f>
        <v>1</v>
      </c>
      <c r="E875" s="79">
        <f>IFERROR(VLOOKUP($G875,基本資料!$A:$J,7,0),"無")</f>
        <v>25</v>
      </c>
      <c r="F875" s="6">
        <f>IFERROR(VLOOKUP($G875,基本資料!$A:$J,8,0),"無")</f>
        <v>13.57</v>
      </c>
      <c r="G875" s="79">
        <v>4972</v>
      </c>
      <c r="H875" s="8" t="s">
        <v>1878</v>
      </c>
      <c r="I875" s="16" t="s">
        <v>4237</v>
      </c>
      <c r="J875" s="8" t="str">
        <f>IFERROR(VLOOKUP($G875,今日總結!$A:$AJ,35,0),"")</f>
        <v/>
      </c>
      <c r="K875" s="5" t="str">
        <f>IFERROR(VLOOKUP($G875,今日總結!$A:$AJ,36,0),"")</f>
        <v/>
      </c>
      <c r="L875" s="156" t="str">
        <f>IFERROR(VLOOKUP($G875,今日總結!$A:$AJ,33,0),"")</f>
        <v/>
      </c>
      <c r="M875" s="340" t="str">
        <f>IFERROR(VLOOKUP($G875,今日總結!$A:$AJ,34,0),"")</f>
        <v/>
      </c>
      <c r="N875" s="240" t="str">
        <f t="shared" si="182"/>
        <v/>
      </c>
      <c r="P875" s="365">
        <f>IFERROR(VLOOKUP($G875,融外自投!$A:$J,7,0),"無")</f>
        <v>937</v>
      </c>
      <c r="Q875" s="79" t="str">
        <f>IFERROR(VLOOKUP($G875,融外自投!$A:$J,9,0),"無")</f>
        <v>無</v>
      </c>
      <c r="R875" s="346">
        <f>IFERROR(VLOOKUP($G875,融外自投!$A:$J,8,0),"無")</f>
        <v>1208</v>
      </c>
      <c r="S875" s="81" t="str">
        <f>IFERROR(VLOOKUP($G875,融外自投!$A:$J,10,0),"無")</f>
        <v>無</v>
      </c>
      <c r="T875" s="327">
        <f>IFERROR(VLOOKUP($G875,'321買'!$A:$E,5,0),"'沒有資料'")</f>
        <v>1327</v>
      </c>
      <c r="U875" s="186">
        <f>IFERROR(VLOOKUP($G875,基本資料!$A:$J,9,0),"無")</f>
        <v>2.1</v>
      </c>
      <c r="V875" s="310">
        <f t="shared" si="177"/>
        <v>6.5420560747663545E-2</v>
      </c>
      <c r="W875" s="94">
        <f>IFERROR(VLOOKUP($G875,基本資料!$A:$J,10,0),"無")</f>
        <v>2.5099999999999998</v>
      </c>
      <c r="X875" s="36">
        <f>RTD("money.excel",,"4972","Price")</f>
        <v>32.1</v>
      </c>
      <c r="Y875" s="66"/>
      <c r="Z875" s="15">
        <f t="shared" si="178"/>
        <v>32.1</v>
      </c>
      <c r="AA875" s="3" t="e">
        <f t="shared" si="179"/>
        <v>#DIV/0!</v>
      </c>
      <c r="AB875" s="344">
        <f>IFERROR(VLOOKUP($G875,基本資料!$A:$M,11,0),"無")</f>
        <v>-8.51</v>
      </c>
      <c r="AC875" s="397">
        <f>IFERROR(VLOOKUP($G875,基本資料!$A:$M,12,0),"無")</f>
        <v>35.5</v>
      </c>
      <c r="AD875" s="16" t="s">
        <v>4237</v>
      </c>
      <c r="AG875" s="33">
        <f t="shared" si="180"/>
        <v>0</v>
      </c>
      <c r="AH875" s="117" t="s">
        <v>4238</v>
      </c>
      <c r="AI875" s="63">
        <f t="shared" si="181"/>
        <v>3.299492385786802E-4</v>
      </c>
      <c r="AJ875" s="284">
        <f>RTD("money.excel",,$G875,"PredictVolume")</f>
        <v>13</v>
      </c>
      <c r="AK875" s="399">
        <f>IFERROR(VLOOKUP($G875,基本資料!$A:$M,13,0),"無")</f>
        <v>1.37</v>
      </c>
    </row>
    <row r="876" spans="1:37">
      <c r="A876" s="347">
        <f>IFERROR(VLOOKUP($G876,基本資料!$A:$J,3,0),"無")</f>
        <v>13.87</v>
      </c>
      <c r="B876" s="79">
        <f>IFERROR(VLOOKUP($G876,基本資料!$A:$J,4,0),"無")</f>
        <v>110</v>
      </c>
      <c r="C876" s="79">
        <f>IFERROR(VLOOKUP($G876,基本資料!$A:$J,5,0),"無")</f>
        <v>119</v>
      </c>
      <c r="D876" s="79">
        <f>IFERROR(VLOOKUP($G876,基本資料!$A:$J,6,0),"無")</f>
        <v>16</v>
      </c>
      <c r="E876" s="79">
        <f>IFERROR(VLOOKUP($G876,基本資料!$A:$J,7,0),"無")</f>
        <v>-28</v>
      </c>
      <c r="F876" s="6">
        <f>IFERROR(VLOOKUP($G876,基本資料!$A:$J,8,0),"無")</f>
        <v>0.85</v>
      </c>
      <c r="G876" s="79">
        <v>4976</v>
      </c>
      <c r="H876" s="8" t="s">
        <v>1878</v>
      </c>
      <c r="I876" s="22" t="s">
        <v>4239</v>
      </c>
      <c r="J876" s="8" t="str">
        <f>IFERROR(VLOOKUP($G876,今日總結!$A:$AJ,35,0),"")</f>
        <v/>
      </c>
      <c r="K876" s="5" t="str">
        <f>IFERROR(VLOOKUP($G876,今日總結!$A:$AJ,36,0),"")</f>
        <v/>
      </c>
      <c r="L876" s="156" t="str">
        <f>IFERROR(VLOOKUP($G876,今日總結!$A:$AJ,33,0),"")</f>
        <v/>
      </c>
      <c r="M876" s="340" t="str">
        <f>IFERROR(VLOOKUP($G876,今日總結!$A:$AJ,34,0),"")</f>
        <v/>
      </c>
      <c r="N876" s="240" t="str">
        <f t="shared" si="182"/>
        <v/>
      </c>
      <c r="P876" s="365">
        <f>IFERROR(VLOOKUP($G876,融外自投!$A:$J,7,0),"無")</f>
        <v>199</v>
      </c>
      <c r="Q876" s="79">
        <f>IFERROR(VLOOKUP($G876,融外自投!$A:$J,9,0),"無")</f>
        <v>598</v>
      </c>
      <c r="R876" s="346">
        <f>IFERROR(VLOOKUP($G876,融外自投!$A:$J,8,0),"無")</f>
        <v>1260</v>
      </c>
      <c r="S876" s="81" t="str">
        <f>IFERROR(VLOOKUP($G876,融外自投!$A:$J,10,0),"無")</f>
        <v>無</v>
      </c>
      <c r="T876" s="327">
        <f>IFERROR(VLOOKUP($G876,'321買'!$A:$E,5,0),"'沒有資料'")</f>
        <v>357</v>
      </c>
      <c r="U876" s="186">
        <f>IFERROR(VLOOKUP($G876,基本資料!$A:$J,9,0),"無")</f>
        <v>0</v>
      </c>
      <c r="V876" s="310">
        <f t="shared" si="177"/>
        <v>0</v>
      </c>
      <c r="W876" s="94">
        <f>IFERROR(VLOOKUP($G876,基本資料!$A:$J,10,0),"無")</f>
        <v>0.05</v>
      </c>
      <c r="X876" s="36">
        <f>RTD("money.excel",,"4976","Price")</f>
        <v>44.6</v>
      </c>
      <c r="Y876" s="66"/>
      <c r="Z876" s="15">
        <f t="shared" si="178"/>
        <v>44.6</v>
      </c>
      <c r="AA876" s="3" t="e">
        <f t="shared" si="179"/>
        <v>#DIV/0!</v>
      </c>
      <c r="AB876" s="344">
        <f>IFERROR(VLOOKUP($G876,基本資料!$A:$M,11,0),"無")</f>
        <v>-59.91</v>
      </c>
      <c r="AC876" s="397">
        <f>IFERROR(VLOOKUP($G876,基本資料!$A:$M,12,0),"無")</f>
        <v>22.9</v>
      </c>
      <c r="AD876" s="22" t="s">
        <v>4239</v>
      </c>
      <c r="AG876" s="33">
        <f t="shared" si="180"/>
        <v>0</v>
      </c>
      <c r="AH876" s="43" t="s">
        <v>2123</v>
      </c>
      <c r="AI876" s="63">
        <f t="shared" si="181"/>
        <v>6.4455659697188177E-3</v>
      </c>
      <c r="AJ876" s="284">
        <f>RTD("money.excel",,$G876,"PredictVolume")</f>
        <v>894</v>
      </c>
      <c r="AK876" s="399">
        <f>IFERROR(VLOOKUP($G876,基本資料!$A:$M,13,0),"無")</f>
        <v>35.11</v>
      </c>
    </row>
    <row r="877" spans="1:37">
      <c r="A877" s="347">
        <f>IFERROR(VLOOKUP($G877,基本資料!$A:$J,3,0),"無")</f>
        <v>4.18</v>
      </c>
      <c r="B877" s="79">
        <f>IFERROR(VLOOKUP($G877,基本資料!$A:$J,4,0),"無")</f>
        <v>62</v>
      </c>
      <c r="C877" s="79">
        <f>IFERROR(VLOOKUP($G877,基本資料!$A:$J,5,0),"無")</f>
        <v>65</v>
      </c>
      <c r="D877" s="79">
        <f>IFERROR(VLOOKUP($G877,基本資料!$A:$J,6,0),"無")</f>
        <v>-2</v>
      </c>
      <c r="E877" s="79">
        <f>IFERROR(VLOOKUP($G877,基本資料!$A:$J,7,0),"無")</f>
        <v>79</v>
      </c>
      <c r="F877" s="6">
        <f>IFERROR(VLOOKUP($G877,基本資料!$A:$J,8,0),"無")</f>
        <v>10.87</v>
      </c>
      <c r="G877" s="79">
        <v>4995</v>
      </c>
      <c r="H877" s="8" t="s">
        <v>1878</v>
      </c>
      <c r="I877" s="16" t="s">
        <v>4240</v>
      </c>
      <c r="J877" s="8" t="str">
        <f>IFERROR(VLOOKUP($G877,今日總結!$A:$AJ,35,0),"")</f>
        <v/>
      </c>
      <c r="K877" s="5" t="str">
        <f>IFERROR(VLOOKUP($G877,今日總結!$A:$AJ,36,0),"")</f>
        <v/>
      </c>
      <c r="L877" s="156" t="str">
        <f>IFERROR(VLOOKUP($G877,今日總結!$A:$AJ,33,0),"")</f>
        <v/>
      </c>
      <c r="M877" s="340" t="str">
        <f>IFERROR(VLOOKUP($G877,今日總結!$A:$AJ,34,0),"")</f>
        <v/>
      </c>
      <c r="N877" s="240" t="str">
        <f t="shared" si="182"/>
        <v/>
      </c>
      <c r="P877" s="365">
        <f>IFERROR(VLOOKUP($G877,融外自投!$A:$J,7,0),"無")</f>
        <v>32</v>
      </c>
      <c r="Q877" s="79" t="str">
        <f>IFERROR(VLOOKUP($G877,融外自投!$A:$J,9,0),"無")</f>
        <v>無</v>
      </c>
      <c r="R877" s="346">
        <f>IFERROR(VLOOKUP($G877,融外自投!$A:$J,8,0),"無")</f>
        <v>921</v>
      </c>
      <c r="S877" s="81" t="str">
        <f>IFERROR(VLOOKUP($G877,融外自投!$A:$J,10,0),"無")</f>
        <v>無</v>
      </c>
      <c r="T877" s="327">
        <f>IFERROR(VLOOKUP($G877,'321買'!$A:$E,5,0),"'沒有資料'")</f>
        <v>1397</v>
      </c>
      <c r="U877" s="186">
        <f>IFERROR(VLOOKUP($G877,基本資料!$A:$J,9,0),"無")</f>
        <v>2.5</v>
      </c>
      <c r="V877" s="310">
        <f t="shared" si="177"/>
        <v>6.142506142506142E-2</v>
      </c>
      <c r="W877" s="94">
        <f>IFERROR(VLOOKUP($G877,基本資料!$A:$J,10,0),"無")</f>
        <v>2.68</v>
      </c>
      <c r="X877" s="36">
        <f>RTD("money.excel",,"4995","Price")</f>
        <v>40.700000000000003</v>
      </c>
      <c r="Y877" s="66"/>
      <c r="Z877" s="15">
        <f t="shared" si="178"/>
        <v>40.700000000000003</v>
      </c>
      <c r="AA877" s="3" t="e">
        <f t="shared" si="179"/>
        <v>#DIV/0!</v>
      </c>
      <c r="AB877" s="344">
        <f>IFERROR(VLOOKUP($G877,基本資料!$A:$M,11,0),"無")</f>
        <v>-7.88</v>
      </c>
      <c r="AC877" s="397">
        <f>IFERROR(VLOOKUP($G877,基本資料!$A:$M,12,0),"無")</f>
        <v>45.21</v>
      </c>
      <c r="AD877" s="16" t="s">
        <v>4240</v>
      </c>
      <c r="AG877" s="33">
        <f t="shared" si="180"/>
        <v>0</v>
      </c>
      <c r="AH877" s="43" t="s">
        <v>4241</v>
      </c>
      <c r="AI877" s="63">
        <f t="shared" si="181"/>
        <v>7.1770334928229664E-4</v>
      </c>
      <c r="AJ877" s="284">
        <f>RTD("money.excel",,$G877,"PredictVolume")</f>
        <v>30</v>
      </c>
      <c r="AK877" s="399">
        <f>IFERROR(VLOOKUP($G877,基本資料!$A:$M,13,0),"無")</f>
        <v>7.84</v>
      </c>
    </row>
    <row r="878" spans="1:37">
      <c r="A878" s="347">
        <f>IFERROR(VLOOKUP($G878,基本資料!$A:$J,3,0),"無")</f>
        <v>3.96</v>
      </c>
      <c r="B878" s="79">
        <f>IFERROR(VLOOKUP($G878,基本資料!$A:$J,4,0),"無")</f>
        <v>-27</v>
      </c>
      <c r="C878" s="79">
        <f>IFERROR(VLOOKUP($G878,基本資料!$A:$J,5,0),"無")</f>
        <v>-35</v>
      </c>
      <c r="D878" s="79">
        <f>IFERROR(VLOOKUP($G878,基本資料!$A:$J,6,0),"無")</f>
        <v>-18</v>
      </c>
      <c r="E878" s="79">
        <f>IFERROR(VLOOKUP($G878,基本資料!$A:$J,7,0),"無")</f>
        <v>16</v>
      </c>
      <c r="F878" s="6">
        <f>IFERROR(VLOOKUP($G878,基本資料!$A:$J,8,0),"無")</f>
        <v>16.11</v>
      </c>
      <c r="G878" s="79">
        <v>5220</v>
      </c>
      <c r="H878" s="8" t="s">
        <v>1878</v>
      </c>
      <c r="I878" s="16" t="s">
        <v>4242</v>
      </c>
      <c r="J878" s="8" t="str">
        <f>IFERROR(VLOOKUP($G878,今日總結!$A:$AJ,35,0),"")</f>
        <v/>
      </c>
      <c r="K878" s="5" t="str">
        <f>IFERROR(VLOOKUP($G878,今日總結!$A:$AJ,36,0),"")</f>
        <v/>
      </c>
      <c r="L878" s="156" t="str">
        <f>IFERROR(VLOOKUP($G878,今日總結!$A:$AJ,33,0),"")</f>
        <v/>
      </c>
      <c r="M878" s="340" t="str">
        <f>IFERROR(VLOOKUP($G878,今日總結!$A:$AJ,34,0),"")</f>
        <v/>
      </c>
      <c r="N878" s="240" t="str">
        <f t="shared" si="182"/>
        <v/>
      </c>
      <c r="P878" s="365">
        <f>IFERROR(VLOOKUP($G878,融外自投!$A:$J,7,0),"無")</f>
        <v>847</v>
      </c>
      <c r="Q878" s="79" t="str">
        <f>IFERROR(VLOOKUP($G878,融外自投!$A:$J,9,0),"無")</f>
        <v>無</v>
      </c>
      <c r="R878" s="346">
        <f>IFERROR(VLOOKUP($G878,融外自投!$A:$J,8,0),"無")</f>
        <v>1234</v>
      </c>
      <c r="S878" s="81">
        <f>IFERROR(VLOOKUP($G878,融外自投!$A:$J,10,0),"無")</f>
        <v>147</v>
      </c>
      <c r="T878" s="327" t="str">
        <f>IFERROR(VLOOKUP($G878,'321買'!$A:$E,5,0),"'沒有資料'")</f>
        <v>'沒有資料'</v>
      </c>
      <c r="U878" s="186">
        <f>IFERROR(VLOOKUP($G878,基本資料!$A:$J,9,0),"無")</f>
        <v>2.2000000000000002</v>
      </c>
      <c r="V878" s="310">
        <f t="shared" si="177"/>
        <v>6.276747503566335E-2</v>
      </c>
      <c r="W878" s="94">
        <f>IFERROR(VLOOKUP($G878,基本資料!$A:$J,10,0),"無")</f>
        <v>3.43</v>
      </c>
      <c r="X878" s="36">
        <f>RTD("money.excel",,"5220","Price")</f>
        <v>35.049999999999997</v>
      </c>
      <c r="Y878" s="66"/>
      <c r="Z878" s="15">
        <f t="shared" si="178"/>
        <v>35.049999999999997</v>
      </c>
      <c r="AA878" s="3" t="e">
        <f t="shared" si="179"/>
        <v>#DIV/0!</v>
      </c>
      <c r="AB878" s="344">
        <f>IFERROR(VLOOKUP($G878,基本資料!$A:$M,11,0),"無")</f>
        <v>-18.57</v>
      </c>
      <c r="AC878" s="397">
        <f>IFERROR(VLOOKUP($G878,基本資料!$A:$M,12,0),"無")</f>
        <v>51.2</v>
      </c>
      <c r="AD878" s="16" t="s">
        <v>4243</v>
      </c>
      <c r="AG878" s="33">
        <f t="shared" si="180"/>
        <v>0</v>
      </c>
      <c r="AH878" s="43" t="s">
        <v>4244</v>
      </c>
      <c r="AI878" s="63">
        <f t="shared" si="181"/>
        <v>4.0404040404040404E-4</v>
      </c>
      <c r="AJ878" s="284">
        <f>RTD("money.excel",,$G878,"PredictVolume")</f>
        <v>16</v>
      </c>
      <c r="AK878" s="399">
        <f>IFERROR(VLOOKUP($G878,基本資料!$A:$M,13,0),"無")</f>
        <v>2.0299999999999998</v>
      </c>
    </row>
    <row r="879" spans="1:37">
      <c r="A879" s="347">
        <f>IFERROR(VLOOKUP($G879,基本資料!$A:$J,3,0),"無")</f>
        <v>4.6900000000000004</v>
      </c>
      <c r="B879" s="79">
        <f>IFERROR(VLOOKUP($G879,基本資料!$A:$J,4,0),"無")</f>
        <v>2071</v>
      </c>
      <c r="C879" s="79">
        <f>IFERROR(VLOOKUP($G879,基本資料!$A:$J,5,0),"無")</f>
        <v>864</v>
      </c>
      <c r="D879" s="79">
        <f>IFERROR(VLOOKUP($G879,基本資料!$A:$J,6,0),"無")</f>
        <v>-4</v>
      </c>
      <c r="E879" s="79">
        <f>IFERROR(VLOOKUP($G879,基本資料!$A:$J,7,0),"無")</f>
        <v>0</v>
      </c>
      <c r="F879" s="6">
        <f>IFERROR(VLOOKUP($G879,基本資料!$A:$J,8,0),"無")</f>
        <v>5.95</v>
      </c>
      <c r="G879" s="79">
        <v>5230</v>
      </c>
      <c r="H879" s="8" t="s">
        <v>1878</v>
      </c>
      <c r="I879" s="16" t="s">
        <v>4245</v>
      </c>
      <c r="J879" s="8" t="str">
        <f>IFERROR(VLOOKUP($G879,今日總結!$A:$AJ,35,0),"")</f>
        <v/>
      </c>
      <c r="K879" s="5" t="str">
        <f>IFERROR(VLOOKUP($G879,今日總結!$A:$AJ,36,0),"")</f>
        <v/>
      </c>
      <c r="L879" s="156" t="str">
        <f>IFERROR(VLOOKUP($G879,今日總結!$A:$AJ,33,0),"")</f>
        <v/>
      </c>
      <c r="M879" s="340" t="str">
        <f>IFERROR(VLOOKUP($G879,今日總結!$A:$AJ,34,0),"")</f>
        <v/>
      </c>
      <c r="N879" s="240" t="str">
        <f t="shared" si="182"/>
        <v/>
      </c>
      <c r="P879" s="365">
        <f>IFERROR(VLOOKUP($G879,融外自投!$A:$J,7,0),"無")</f>
        <v>502</v>
      </c>
      <c r="Q879" s="79">
        <f>IFERROR(VLOOKUP($G879,融外自投!$A:$J,9,0),"無")</f>
        <v>466</v>
      </c>
      <c r="R879" s="346">
        <f>IFERROR(VLOOKUP($G879,融外自投!$A:$J,8,0),"無")</f>
        <v>961</v>
      </c>
      <c r="S879" s="81">
        <f>IFERROR(VLOOKUP($G879,融外自投!$A:$J,10,0),"無")</f>
        <v>229</v>
      </c>
      <c r="T879" s="327">
        <f>IFERROR(VLOOKUP($G879,'321買'!$A:$E,5,0),"'沒有資料'")</f>
        <v>1007</v>
      </c>
      <c r="U879" s="186">
        <f>IFERROR(VLOOKUP($G879,基本資料!$A:$J,9,0),"無")</f>
        <v>0.8</v>
      </c>
      <c r="V879" s="310">
        <f t="shared" si="177"/>
        <v>3.1683168316831684E-2</v>
      </c>
      <c r="W879" s="94">
        <f>IFERROR(VLOOKUP($G879,基本資料!$A:$J,10,0),"無")</f>
        <v>1.28</v>
      </c>
      <c r="X879" s="36">
        <f>RTD("money.excel",,"5230","Price")</f>
        <v>25.25</v>
      </c>
      <c r="Y879" s="66"/>
      <c r="Z879" s="15">
        <f t="shared" si="178"/>
        <v>25.25</v>
      </c>
      <c r="AA879" s="3" t="e">
        <f t="shared" si="179"/>
        <v>#DIV/0!</v>
      </c>
      <c r="AB879" s="344">
        <f>IFERROR(VLOOKUP($G879,基本資料!$A:$M,11,0),"無")</f>
        <v>-33.72</v>
      </c>
      <c r="AC879" s="397">
        <f>IFERROR(VLOOKUP($G879,基本資料!$A:$M,12,0),"無")</f>
        <v>11.95</v>
      </c>
      <c r="AD879" s="16" t="s">
        <v>4245</v>
      </c>
      <c r="AG879" s="33">
        <f t="shared" si="180"/>
        <v>0</v>
      </c>
      <c r="AH879" s="43" t="s">
        <v>4246</v>
      </c>
      <c r="AI879" s="63">
        <f t="shared" si="181"/>
        <v>7.4626865671641781E-4</v>
      </c>
      <c r="AJ879" s="284">
        <f>RTD("money.excel",,$G879,"PredictVolume")</f>
        <v>35</v>
      </c>
      <c r="AK879" s="399">
        <f>IFERROR(VLOOKUP($G879,基本資料!$A:$M,13,0),"無")</f>
        <v>16.93</v>
      </c>
    </row>
    <row r="880" spans="1:37">
      <c r="A880" s="347">
        <f>IFERROR(VLOOKUP($G880,基本資料!$A:$J,3,0),"無")</f>
        <v>10.27</v>
      </c>
      <c r="B880" s="79">
        <f>IFERROR(VLOOKUP($G880,基本資料!$A:$J,4,0),"無")</f>
        <v>7</v>
      </c>
      <c r="C880" s="79">
        <f>IFERROR(VLOOKUP($G880,基本資料!$A:$J,5,0),"無")</f>
        <v>4</v>
      </c>
      <c r="D880" s="79">
        <f>IFERROR(VLOOKUP($G880,基本資料!$A:$J,6,0),"無")</f>
        <v>-8</v>
      </c>
      <c r="E880" s="79">
        <f>IFERROR(VLOOKUP($G880,基本資料!$A:$J,7,0),"無")</f>
        <v>3</v>
      </c>
      <c r="F880" s="6">
        <f>IFERROR(VLOOKUP($G880,基本資料!$A:$J,8,0),"無")</f>
        <v>17.010000000000002</v>
      </c>
      <c r="G880" s="79">
        <v>5234</v>
      </c>
      <c r="H880" s="8" t="s">
        <v>1878</v>
      </c>
      <c r="I880" s="22" t="s">
        <v>4247</v>
      </c>
      <c r="J880" s="8">
        <f>IFERROR(VLOOKUP($G880,今日總結!$A:$AJ,35,0),"")</f>
        <v>0</v>
      </c>
      <c r="K880" s="5">
        <f>IFERROR(VLOOKUP($G880,今日總結!$A:$AJ,36,0),"")</f>
        <v>0</v>
      </c>
      <c r="L880" s="156">
        <f>IFERROR(VLOOKUP($G880,今日總結!$A:$AJ,33,0),"")</f>
        <v>0</v>
      </c>
      <c r="M880" s="340">
        <f>IFERROR(VLOOKUP($G880,今日總結!$A:$AJ,34,0),"")</f>
        <v>1</v>
      </c>
      <c r="N880" s="240">
        <f t="shared" si="182"/>
        <v>-1</v>
      </c>
      <c r="P880" s="365">
        <f>IFERROR(VLOOKUP($G880,融外自投!$A:$J,7,0),"無")</f>
        <v>838</v>
      </c>
      <c r="Q880" s="79">
        <f>IFERROR(VLOOKUP($G880,融外自投!$A:$J,9,0),"無")</f>
        <v>526</v>
      </c>
      <c r="R880" s="346">
        <f>IFERROR(VLOOKUP($G880,融外自投!$A:$J,8,0),"無")</f>
        <v>476</v>
      </c>
      <c r="S880" s="81">
        <f>IFERROR(VLOOKUP($G880,融外自投!$A:$J,10,0),"無")</f>
        <v>183</v>
      </c>
      <c r="T880" s="327">
        <f>IFERROR(VLOOKUP($G880,'321買'!$A:$E,5,0),"'沒有資料'")</f>
        <v>392</v>
      </c>
      <c r="U880" s="186">
        <f>IFERROR(VLOOKUP($G880,基本資料!$A:$J,9,0),"無")</f>
        <v>5.3</v>
      </c>
      <c r="V880" s="310">
        <f t="shared" si="177"/>
        <v>5.5150884495317382E-2</v>
      </c>
      <c r="W880" s="94">
        <f>IFERROR(VLOOKUP($G880,基本資料!$A:$J,10,0),"無")</f>
        <v>6.62</v>
      </c>
      <c r="X880" s="36">
        <f>RTD("money.excel",,"5234","Price")</f>
        <v>96.1</v>
      </c>
      <c r="Y880" s="66"/>
      <c r="Z880" s="15">
        <f t="shared" si="178"/>
        <v>96.1</v>
      </c>
      <c r="AA880" s="3" t="e">
        <f t="shared" si="179"/>
        <v>#DIV/0!</v>
      </c>
      <c r="AB880" s="344">
        <f>IFERROR(VLOOKUP($G880,基本資料!$A:$M,11,0),"無")</f>
        <v>-41.1</v>
      </c>
      <c r="AC880" s="397">
        <f>IFERROR(VLOOKUP($G880,基本資料!$A:$M,12,0),"無")</f>
        <v>8.8800000000000008</v>
      </c>
      <c r="AD880" s="22" t="s">
        <v>4247</v>
      </c>
      <c r="AG880" s="33">
        <f t="shared" si="180"/>
        <v>0</v>
      </c>
      <c r="AH880" s="43" t="s">
        <v>4248</v>
      </c>
      <c r="AI880" s="63">
        <f t="shared" si="181"/>
        <v>7.9844206426484909E-4</v>
      </c>
      <c r="AJ880" s="284">
        <f>RTD("money.excel",,$G880,"PredictVolume")</f>
        <v>82</v>
      </c>
      <c r="AK880" s="399">
        <f>IFERROR(VLOOKUP($G880,基本資料!$A:$M,13,0),"無")</f>
        <v>9.93</v>
      </c>
    </row>
    <row r="881" spans="1:37">
      <c r="A881" s="347">
        <f>IFERROR(VLOOKUP($G881,基本資料!$A:$J,3,0),"無")</f>
        <v>16.850000000000001</v>
      </c>
      <c r="B881" s="79">
        <f>IFERROR(VLOOKUP($G881,基本資料!$A:$J,4,0),"無")</f>
        <v>0</v>
      </c>
      <c r="C881" s="79">
        <f>IFERROR(VLOOKUP($G881,基本資料!$A:$J,5,0),"無")</f>
        <v>-4</v>
      </c>
      <c r="D881" s="79">
        <f>IFERROR(VLOOKUP($G881,基本資料!$A:$J,6,0),"無")</f>
        <v>-29</v>
      </c>
      <c r="E881" s="79">
        <f>IFERROR(VLOOKUP($G881,基本資料!$A:$J,7,0),"無")</f>
        <v>-22</v>
      </c>
      <c r="F881" s="6">
        <f>IFERROR(VLOOKUP($G881,基本資料!$A:$J,8,0),"無")</f>
        <v>5.34</v>
      </c>
      <c r="G881" s="79">
        <v>5243</v>
      </c>
      <c r="H881" s="195" t="s">
        <v>1878</v>
      </c>
      <c r="I881" s="22" t="s">
        <v>4249</v>
      </c>
      <c r="J881" s="8" t="str">
        <f>IFERROR(VLOOKUP($G881,今日總結!$A:$AJ,35,0),"")</f>
        <v/>
      </c>
      <c r="K881" s="5" t="str">
        <f>IFERROR(VLOOKUP($G881,今日總結!$A:$AJ,36,0),"")</f>
        <v/>
      </c>
      <c r="L881" s="156" t="str">
        <f>IFERROR(VLOOKUP($G881,今日總結!$A:$AJ,33,0),"")</f>
        <v/>
      </c>
      <c r="M881" s="340" t="str">
        <f>IFERROR(VLOOKUP($G881,今日總結!$A:$AJ,34,0),"")</f>
        <v/>
      </c>
      <c r="N881" s="240" t="str">
        <f t="shared" si="182"/>
        <v/>
      </c>
      <c r="P881" s="365">
        <f>IFERROR(VLOOKUP($G881,融外自投!$A:$J,7,0),"無")</f>
        <v>316</v>
      </c>
      <c r="Q881" s="79">
        <f>IFERROR(VLOOKUP($G881,融外自投!$A:$J,9,0),"無")</f>
        <v>789</v>
      </c>
      <c r="R881" s="346">
        <f>IFERROR(VLOOKUP($G881,融外自投!$A:$J,8,0),"無")</f>
        <v>68</v>
      </c>
      <c r="S881" s="81" t="str">
        <f>IFERROR(VLOOKUP($G881,融外自投!$A:$J,10,0),"無")</f>
        <v>無</v>
      </c>
      <c r="T881" s="327">
        <f>IFERROR(VLOOKUP($G881,'321買'!$A:$E,5,0),"'沒有資料'")</f>
        <v>964</v>
      </c>
      <c r="U881" s="186">
        <f>IFERROR(VLOOKUP($G881,基本資料!$A:$J,9,0),"無")</f>
        <v>1.4</v>
      </c>
      <c r="V881" s="310">
        <f t="shared" si="177"/>
        <v>2.4179620034542312E-2</v>
      </c>
      <c r="W881" s="94">
        <f>IFERROR(VLOOKUP($G881,基本資料!$A:$J,10,0),"無")</f>
        <v>2.75</v>
      </c>
      <c r="X881" s="36">
        <f>RTD("money.excel",,"5243","Price")</f>
        <v>57.9</v>
      </c>
      <c r="Y881" s="66"/>
      <c r="Z881" s="15">
        <f t="shared" si="178"/>
        <v>57.9</v>
      </c>
      <c r="AA881" s="3" t="e">
        <f t="shared" si="179"/>
        <v>#DIV/0!</v>
      </c>
      <c r="AB881" s="344">
        <f>IFERROR(VLOOKUP($G881,基本資料!$A:$M,11,0),"無")</f>
        <v>-24.08</v>
      </c>
      <c r="AC881" s="397">
        <f>IFERROR(VLOOKUP($G881,基本資料!$A:$M,12,0),"無")</f>
        <v>33.67</v>
      </c>
      <c r="AD881" s="22" t="s">
        <v>4249</v>
      </c>
      <c r="AG881" s="33">
        <f t="shared" si="180"/>
        <v>0</v>
      </c>
      <c r="AH881" s="117" t="s">
        <v>4250</v>
      </c>
      <c r="AI881" s="63">
        <f t="shared" si="181"/>
        <v>2.718100890207715E-3</v>
      </c>
      <c r="AJ881" s="284">
        <f>RTD("money.excel",,$G881,"PredictVolume")</f>
        <v>458</v>
      </c>
      <c r="AK881" s="399">
        <f>IFERROR(VLOOKUP($G881,基本資料!$A:$M,13,0),"無")</f>
        <v>19.489999999999998</v>
      </c>
    </row>
    <row r="882" spans="1:37">
      <c r="A882" s="347" t="str">
        <f>IFERROR(VLOOKUP($G882,基本資料!$A:$J,3,0),"無")</f>
        <v>無</v>
      </c>
      <c r="B882" s="79" t="str">
        <f>IFERROR(VLOOKUP($G882,基本資料!$A:$J,4,0),"無")</f>
        <v>無</v>
      </c>
      <c r="C882" s="79" t="str">
        <f>IFERROR(VLOOKUP($G882,基本資料!$A:$J,5,0),"無")</f>
        <v>無</v>
      </c>
      <c r="D882" s="79" t="str">
        <f>IFERROR(VLOOKUP($G882,基本資料!$A:$J,6,0),"無")</f>
        <v>無</v>
      </c>
      <c r="E882" s="79" t="str">
        <f>IFERROR(VLOOKUP($G882,基本資料!$A:$J,7,0),"無")</f>
        <v>無</v>
      </c>
      <c r="F882" s="6" t="str">
        <f>IFERROR(VLOOKUP($G882,基本資料!$A:$J,8,0),"無")</f>
        <v>無</v>
      </c>
      <c r="G882" s="79">
        <v>5244</v>
      </c>
      <c r="H882" s="8" t="s">
        <v>306</v>
      </c>
      <c r="I882" s="22" t="s">
        <v>4709</v>
      </c>
      <c r="J882" s="8" t="str">
        <f>IFERROR(VLOOKUP($G882,今日總結!$A:$AJ,35,0),"")</f>
        <v/>
      </c>
      <c r="K882" s="5" t="str">
        <f>IFERROR(VLOOKUP($G882,今日總結!$A:$AJ,36,0),"")</f>
        <v/>
      </c>
      <c r="L882" s="156" t="str">
        <f>IFERROR(VLOOKUP($G882,今日總結!$A:$AJ,33,0),"")</f>
        <v/>
      </c>
      <c r="M882" s="340" t="str">
        <f>IFERROR(VLOOKUP($G882,今日總結!$A:$AJ,34,0),"")</f>
        <v/>
      </c>
      <c r="N882" s="240" t="str">
        <f t="shared" si="182"/>
        <v/>
      </c>
      <c r="P882" s="365" t="str">
        <f>IFERROR(VLOOKUP($G882,融外自投!$A:$J,7,0),"無")</f>
        <v>無</v>
      </c>
      <c r="Q882" s="79" t="str">
        <f>IFERROR(VLOOKUP($G882,融外自投!$A:$J,9,0),"無")</f>
        <v>無</v>
      </c>
      <c r="R882" s="346" t="str">
        <f>IFERROR(VLOOKUP($G882,融外自投!$A:$J,8,0),"無")</f>
        <v>無</v>
      </c>
      <c r="S882" s="81" t="str">
        <f>IFERROR(VLOOKUP($G882,融外自投!$A:$J,10,0),"無")</f>
        <v>無</v>
      </c>
      <c r="T882" s="327" t="str">
        <f>IFERROR(VLOOKUP($G882,'321買'!$A:$E,5,0),"'沒有資料'")</f>
        <v>'沒有資料'</v>
      </c>
      <c r="U882" s="186" t="str">
        <f>IFERROR(VLOOKUP($G882,基本資料!$A:$J,9,0),"無")</f>
        <v>無</v>
      </c>
      <c r="V882" s="310" t="e">
        <f t="shared" si="177"/>
        <v>#VALUE!</v>
      </c>
      <c r="W882" s="94" t="str">
        <f>IFERROR(VLOOKUP($G882,基本資料!$A:$J,10,0),"無")</f>
        <v>無</v>
      </c>
      <c r="X882" s="36">
        <f>RTD("money.excel",,"5244","Price")</f>
        <v>35.799999999999997</v>
      </c>
      <c r="Y882" s="66"/>
      <c r="Z882" s="15">
        <f>X882-Y882</f>
        <v>35.799999999999997</v>
      </c>
      <c r="AA882" s="3" t="e">
        <f>Z882/Y882</f>
        <v>#DIV/0!</v>
      </c>
      <c r="AB882" s="344" t="str">
        <f>IFERROR(VLOOKUP($G882,基本資料!$A:$M,11,0),"無")</f>
        <v>無</v>
      </c>
      <c r="AC882" s="397" t="str">
        <f>IFERROR(VLOOKUP($G882,基本資料!$A:$M,12,0),"無")</f>
        <v>無</v>
      </c>
      <c r="AD882" s="22" t="s">
        <v>4709</v>
      </c>
      <c r="AG882" s="33">
        <f>AF882-AE882</f>
        <v>0</v>
      </c>
      <c r="AH882" s="43" t="s">
        <v>2510</v>
      </c>
      <c r="AI882" s="63" t="e">
        <f t="shared" si="181"/>
        <v>#VALUE!</v>
      </c>
      <c r="AJ882" s="284">
        <f>RTD("money.excel",,$G882,"PredictVolume")</f>
        <v>23</v>
      </c>
      <c r="AK882" s="399" t="str">
        <f>IFERROR(VLOOKUP($G882,基本資料!$A:$M,13,0),"無")</f>
        <v>無</v>
      </c>
    </row>
    <row r="883" spans="1:37">
      <c r="A883" s="347">
        <f>IFERROR(VLOOKUP($G883,基本資料!$A:$J,3,0),"無")</f>
        <v>4.49</v>
      </c>
      <c r="B883" s="79">
        <f>IFERROR(VLOOKUP($G883,基本資料!$A:$J,4,0),"無")</f>
        <v>120</v>
      </c>
      <c r="C883" s="79">
        <f>IFERROR(VLOOKUP($G883,基本資料!$A:$J,5,0),"無")</f>
        <v>142</v>
      </c>
      <c r="D883" s="79">
        <f>IFERROR(VLOOKUP($G883,基本資料!$A:$J,6,0),"無")</f>
        <v>19</v>
      </c>
      <c r="E883" s="79">
        <f>IFERROR(VLOOKUP($G883,基本資料!$A:$J,7,0),"無")</f>
        <v>-2</v>
      </c>
      <c r="F883" s="6">
        <f>IFERROR(VLOOKUP($G883,基本資料!$A:$J,8,0),"無")</f>
        <v>16.13</v>
      </c>
      <c r="G883" s="79">
        <v>5245</v>
      </c>
      <c r="H883" s="8" t="s">
        <v>306</v>
      </c>
      <c r="I883" s="16" t="s">
        <v>4251</v>
      </c>
      <c r="J883" s="8" t="str">
        <f>IFERROR(VLOOKUP($G883,今日總結!$A:$AJ,35,0),"")</f>
        <v/>
      </c>
      <c r="K883" s="5" t="str">
        <f>IFERROR(VLOOKUP($G883,今日總結!$A:$AJ,36,0),"")</f>
        <v/>
      </c>
      <c r="L883" s="156" t="str">
        <f>IFERROR(VLOOKUP($G883,今日總結!$A:$AJ,33,0),"")</f>
        <v/>
      </c>
      <c r="M883" s="340" t="str">
        <f>IFERROR(VLOOKUP($G883,今日總結!$A:$AJ,34,0),"")</f>
        <v/>
      </c>
      <c r="N883" s="240" t="str">
        <f t="shared" si="182"/>
        <v/>
      </c>
      <c r="P883" s="365">
        <f>IFERROR(VLOOKUP($G883,融外自投!$A:$J,7,0),"無")</f>
        <v>127</v>
      </c>
      <c r="Q883" s="79">
        <f>IFERROR(VLOOKUP($G883,融外自投!$A:$J,9,0),"無")</f>
        <v>200</v>
      </c>
      <c r="R883" s="346">
        <f>IFERROR(VLOOKUP($G883,融外自投!$A:$J,8,0),"無")</f>
        <v>398</v>
      </c>
      <c r="S883" s="81">
        <f>IFERROR(VLOOKUP($G883,融外自投!$A:$J,10,0),"無")</f>
        <v>334</v>
      </c>
      <c r="T883" s="327">
        <f>IFERROR(VLOOKUP($G883,'321買'!$A:$E,5,0),"'沒有資料'")</f>
        <v>463</v>
      </c>
      <c r="U883" s="186">
        <f>IFERROR(VLOOKUP($G883,基本資料!$A:$J,9,0),"無")</f>
        <v>4.5</v>
      </c>
      <c r="V883" s="310">
        <f t="shared" si="177"/>
        <v>7.0532915360501575E-2</v>
      </c>
      <c r="W883" s="94">
        <f>IFERROR(VLOOKUP($G883,基本資料!$A:$J,10,0),"無")</f>
        <v>4.47</v>
      </c>
      <c r="X883" s="36">
        <f>RTD("money.excel",,"5245","Price")</f>
        <v>63.8</v>
      </c>
      <c r="Y883" s="66"/>
      <c r="Z883" s="15">
        <f>X883-Y883</f>
        <v>63.8</v>
      </c>
      <c r="AA883" s="3" t="e">
        <f>Z883/Y883</f>
        <v>#DIV/0!</v>
      </c>
      <c r="AB883" s="344">
        <f>IFERROR(VLOOKUP($G883,基本資料!$A:$M,11,0),"無")</f>
        <v>-44.29</v>
      </c>
      <c r="AC883" s="397">
        <f>IFERROR(VLOOKUP($G883,基本資料!$A:$M,12,0),"無")</f>
        <v>16.239999999999998</v>
      </c>
      <c r="AD883" s="16" t="s">
        <v>4251</v>
      </c>
      <c r="AG883" s="33">
        <f>AF883-AE883</f>
        <v>0</v>
      </c>
      <c r="AH883" s="160" t="s">
        <v>4252</v>
      </c>
      <c r="AI883" s="63">
        <f t="shared" si="181"/>
        <v>2.3608017817371937E-3</v>
      </c>
      <c r="AJ883" s="284">
        <f>RTD("money.excel",,$G883,"PredictVolume")</f>
        <v>106</v>
      </c>
      <c r="AK883" s="399">
        <f>IFERROR(VLOOKUP($G883,基本資料!$A:$M,13,0),"無")</f>
        <v>26.52</v>
      </c>
    </row>
    <row r="884" spans="1:37">
      <c r="A884" s="347">
        <f>IFERROR(VLOOKUP($G884,基本資料!$A:$J,3,0),"無")</f>
        <v>3.57</v>
      </c>
      <c r="B884" s="79">
        <f>IFERROR(VLOOKUP($G884,基本資料!$A:$J,4,0),"無")</f>
        <v>-40</v>
      </c>
      <c r="C884" s="79">
        <f>IFERROR(VLOOKUP($G884,基本資料!$A:$J,5,0),"無")</f>
        <v>-4</v>
      </c>
      <c r="D884" s="79">
        <f>IFERROR(VLOOKUP($G884,基本資料!$A:$J,6,0),"無")</f>
        <v>165</v>
      </c>
      <c r="E884" s="79">
        <f>IFERROR(VLOOKUP($G884,基本資料!$A:$J,7,0),"無")</f>
        <v>-28</v>
      </c>
      <c r="F884" s="6">
        <f>IFERROR(VLOOKUP($G884,基本資料!$A:$J,8,0),"無")</f>
        <v>-39.520000000000003</v>
      </c>
      <c r="G884" s="79">
        <v>5251</v>
      </c>
      <c r="H884" s="8" t="s">
        <v>1878</v>
      </c>
      <c r="I884" s="16" t="s">
        <v>4253</v>
      </c>
      <c r="J884" s="8" t="str">
        <f>IFERROR(VLOOKUP($G884,今日總結!$A:$AJ,35,0),"")</f>
        <v/>
      </c>
      <c r="K884" s="5" t="str">
        <f>IFERROR(VLOOKUP($G884,今日總結!$A:$AJ,36,0),"")</f>
        <v/>
      </c>
      <c r="L884" s="156" t="str">
        <f>IFERROR(VLOOKUP($G884,今日總結!$A:$AJ,33,0),"")</f>
        <v/>
      </c>
      <c r="M884" s="340" t="str">
        <f>IFERROR(VLOOKUP($G884,今日總結!$A:$AJ,34,0),"")</f>
        <v/>
      </c>
      <c r="N884" s="240" t="str">
        <f t="shared" si="182"/>
        <v/>
      </c>
      <c r="P884" s="365">
        <f>IFERROR(VLOOKUP($G884,融外自投!$A:$J,7,0),"無")</f>
        <v>374</v>
      </c>
      <c r="Q884" s="79">
        <f>IFERROR(VLOOKUP($G884,融外自投!$A:$J,9,0),"無")</f>
        <v>789</v>
      </c>
      <c r="R884" s="346">
        <f>IFERROR(VLOOKUP($G884,融外自投!$A:$J,8,0),"無")</f>
        <v>253</v>
      </c>
      <c r="S884" s="81" t="str">
        <f>IFERROR(VLOOKUP($G884,融外自投!$A:$J,10,0),"無")</f>
        <v>無</v>
      </c>
      <c r="T884" s="327">
        <f>IFERROR(VLOOKUP($G884,'321買'!$A:$E,5,0),"'沒有資料'")</f>
        <v>1338</v>
      </c>
      <c r="U884" s="186">
        <f>IFERROR(VLOOKUP($G884,基本資料!$A:$J,9,0),"無")</f>
        <v>0</v>
      </c>
      <c r="V884" s="310">
        <f t="shared" si="177"/>
        <v>0</v>
      </c>
      <c r="W884" s="94">
        <f>IFERROR(VLOOKUP($G884,基本資料!$A:$J,10,0),"無")</f>
        <v>-2.3199999999999998</v>
      </c>
      <c r="X884" s="36">
        <f>RTD("money.excel",,"5251","Price")</f>
        <v>16.850000000000001</v>
      </c>
      <c r="Y884" s="66"/>
      <c r="Z884" s="15">
        <f t="shared" si="178"/>
        <v>16.850000000000001</v>
      </c>
      <c r="AA884" s="3" t="e">
        <f t="shared" si="179"/>
        <v>#DIV/0!</v>
      </c>
      <c r="AB884" s="344">
        <f>IFERROR(VLOOKUP($G884,基本資料!$A:$M,11,0),"無")</f>
        <v>-25.87</v>
      </c>
      <c r="AC884" s="397">
        <f>IFERROR(VLOOKUP($G884,基本資料!$A:$M,12,0),"無")</f>
        <v>43.91</v>
      </c>
      <c r="AD884" s="16" t="s">
        <v>4253</v>
      </c>
      <c r="AG884" s="33">
        <f t="shared" si="180"/>
        <v>0</v>
      </c>
      <c r="AH884" s="43" t="s">
        <v>4166</v>
      </c>
      <c r="AI884" s="63">
        <f t="shared" si="181"/>
        <v>1.030812324929972E-2</v>
      </c>
      <c r="AJ884" s="284">
        <f>RTD("money.excel",,$G884,"PredictVolume")</f>
        <v>368</v>
      </c>
      <c r="AK884" s="399">
        <f>IFERROR(VLOOKUP($G884,基本資料!$A:$M,13,0),"無")</f>
        <v>10.93</v>
      </c>
    </row>
    <row r="885" spans="1:37">
      <c r="A885" s="347">
        <f>IFERROR(VLOOKUP($G885,基本資料!$A:$J,3,0),"無")</f>
        <v>3.7</v>
      </c>
      <c r="B885" s="79">
        <f>IFERROR(VLOOKUP($G885,基本資料!$A:$J,4,0),"無")</f>
        <v>-144</v>
      </c>
      <c r="C885" s="79">
        <f>IFERROR(VLOOKUP($G885,基本資料!$A:$J,5,0),"無")</f>
        <v>-176</v>
      </c>
      <c r="D885" s="79">
        <f>IFERROR(VLOOKUP($G885,基本資料!$A:$J,6,0),"無")</f>
        <v>192</v>
      </c>
      <c r="E885" s="79">
        <f>IFERROR(VLOOKUP($G885,基本資料!$A:$J,7,0),"無")</f>
        <v>5</v>
      </c>
      <c r="F885" s="6">
        <f>IFERROR(VLOOKUP($G885,基本資料!$A:$J,8,0),"無")</f>
        <v>-4.28</v>
      </c>
      <c r="G885" s="79">
        <v>5281</v>
      </c>
      <c r="H885" s="8" t="s">
        <v>1878</v>
      </c>
      <c r="I885" s="16" t="s">
        <v>4254</v>
      </c>
      <c r="J885" s="8" t="str">
        <f>IFERROR(VLOOKUP($G885,今日總結!$A:$AJ,35,0),"")</f>
        <v/>
      </c>
      <c r="K885" s="5" t="str">
        <f>IFERROR(VLOOKUP($G885,今日總結!$A:$AJ,36,0),"")</f>
        <v/>
      </c>
      <c r="L885" s="156" t="str">
        <f>IFERROR(VLOOKUP($G885,今日總結!$A:$AJ,33,0),"")</f>
        <v/>
      </c>
      <c r="M885" s="340" t="str">
        <f>IFERROR(VLOOKUP($G885,今日總結!$A:$AJ,34,0),"")</f>
        <v/>
      </c>
      <c r="N885" s="240" t="str">
        <f t="shared" si="182"/>
        <v/>
      </c>
      <c r="P885" s="365">
        <f>IFERROR(VLOOKUP($G885,融外自投!$A:$J,7,0),"無")</f>
        <v>898</v>
      </c>
      <c r="Q885" s="79">
        <f>IFERROR(VLOOKUP($G885,融外自投!$A:$J,9,0),"無")</f>
        <v>978</v>
      </c>
      <c r="R885" s="346">
        <f>IFERROR(VLOOKUP($G885,融外自投!$A:$J,8,0),"無")</f>
        <v>113</v>
      </c>
      <c r="S885" s="81" t="str">
        <f>IFERROR(VLOOKUP($G885,融外自投!$A:$J,10,0),"無")</f>
        <v>無</v>
      </c>
      <c r="T885" s="327" t="str">
        <f>IFERROR(VLOOKUP($G885,'321買'!$A:$E,5,0),"'沒有資料'")</f>
        <v>'沒有資料'</v>
      </c>
      <c r="U885" s="186">
        <f>IFERROR(VLOOKUP($G885,基本資料!$A:$J,9,0),"無")</f>
        <v>0</v>
      </c>
      <c r="V885" s="310" t="e">
        <f t="shared" si="177"/>
        <v>#VALUE!</v>
      </c>
      <c r="W885" s="94">
        <f>IFERROR(VLOOKUP($G885,基本資料!$A:$J,10,0),"無")</f>
        <v>-0.63</v>
      </c>
      <c r="X885" s="36" t="str">
        <f>RTD("money.excel",,"5281","Price")</f>
        <v>無資料</v>
      </c>
      <c r="Y885" s="66"/>
      <c r="Z885" s="15" t="e">
        <f t="shared" si="178"/>
        <v>#VALUE!</v>
      </c>
      <c r="AA885" s="3" t="e">
        <f t="shared" si="179"/>
        <v>#VALUE!</v>
      </c>
      <c r="AB885" s="344">
        <f>IFERROR(VLOOKUP($G885,基本資料!$A:$M,11,0),"無")</f>
        <v>-22</v>
      </c>
      <c r="AC885" s="397">
        <f>IFERROR(VLOOKUP($G885,基本資料!$A:$M,12,0),"無")</f>
        <v>10.65</v>
      </c>
      <c r="AD885" s="16" t="s">
        <v>4254</v>
      </c>
      <c r="AG885" s="33">
        <f t="shared" si="180"/>
        <v>0</v>
      </c>
      <c r="AH885" s="43" t="s">
        <v>4147</v>
      </c>
      <c r="AI885" s="63">
        <f t="shared" si="181"/>
        <v>0</v>
      </c>
      <c r="AJ885" s="284">
        <f>RTD("money.excel",,$G885,"PredictVolume")</f>
        <v>0</v>
      </c>
      <c r="AK885" s="399">
        <f>IFERROR(VLOOKUP($G885,基本資料!$A:$M,13,0),"無")</f>
        <v>1.73</v>
      </c>
    </row>
    <row r="886" spans="1:37">
      <c r="A886" s="347">
        <f>IFERROR(VLOOKUP($G886,基本資料!$A:$J,3,0),"無")</f>
        <v>10.63</v>
      </c>
      <c r="B886" s="79">
        <f>IFERROR(VLOOKUP($G886,基本資料!$A:$J,4,0),"無")</f>
        <v>97</v>
      </c>
      <c r="C886" s="79">
        <f>IFERROR(VLOOKUP($G886,基本資料!$A:$J,5,0),"無")</f>
        <v>55</v>
      </c>
      <c r="D886" s="79">
        <f>IFERROR(VLOOKUP($G886,基本資料!$A:$J,6,0),"無")</f>
        <v>8</v>
      </c>
      <c r="E886" s="79">
        <f>IFERROR(VLOOKUP($G886,基本資料!$A:$J,7,0),"無")</f>
        <v>-7</v>
      </c>
      <c r="F886" s="6">
        <f>IFERROR(VLOOKUP($G886,基本資料!$A:$J,8,0),"無")</f>
        <v>7.08</v>
      </c>
      <c r="G886" s="79">
        <v>5315</v>
      </c>
      <c r="H886" s="8" t="s">
        <v>1878</v>
      </c>
      <c r="I886" s="16" t="s">
        <v>4255</v>
      </c>
      <c r="J886" s="8" t="str">
        <f>IFERROR(VLOOKUP($G886,今日總結!$A:$AJ,35,0),"")</f>
        <v>主</v>
      </c>
      <c r="K886" s="5" t="str">
        <f>IFERROR(VLOOKUP($G886,今日總結!$A:$AJ,36,0),"")</f>
        <v>外</v>
      </c>
      <c r="L886" s="156">
        <f>IFERROR(VLOOKUP($G886,今日總結!$A:$AJ,33,0),"")</f>
        <v>1</v>
      </c>
      <c r="M886" s="340">
        <f>IFERROR(VLOOKUP($G886,今日總結!$A:$AJ,34,0),"")</f>
        <v>1</v>
      </c>
      <c r="N886" s="240">
        <f t="shared" si="182"/>
        <v>0</v>
      </c>
      <c r="P886" s="365">
        <f>IFERROR(VLOOKUP($G886,融外自投!$A:$J,7,0),"無")</f>
        <v>602</v>
      </c>
      <c r="Q886" s="79">
        <f>IFERROR(VLOOKUP($G886,融外自投!$A:$J,9,0),"無")</f>
        <v>667</v>
      </c>
      <c r="R886" s="346">
        <f>IFERROR(VLOOKUP($G886,融外自投!$A:$J,8,0),"無")</f>
        <v>741</v>
      </c>
      <c r="S886" s="81" t="str">
        <f>IFERROR(VLOOKUP($G886,融外自投!$A:$J,10,0),"無")</f>
        <v>無</v>
      </c>
      <c r="T886" s="327">
        <f>IFERROR(VLOOKUP($G886,'321買'!$A:$E,5,0),"'沒有資料'")</f>
        <v>1099</v>
      </c>
      <c r="U886" s="186">
        <f>IFERROR(VLOOKUP($G886,基本資料!$A:$J,9,0),"無")</f>
        <v>1.3</v>
      </c>
      <c r="V886" s="310">
        <f t="shared" si="177"/>
        <v>7.3654390934844202E-2</v>
      </c>
      <c r="W886" s="94">
        <f>IFERROR(VLOOKUP($G886,基本資料!$A:$J,10,0),"無")</f>
        <v>1.74</v>
      </c>
      <c r="X886" s="36">
        <f>RTD("money.excel",,"5315","Price")</f>
        <v>17.649999999999999</v>
      </c>
      <c r="Y886" s="66"/>
      <c r="Z886" s="15">
        <f t="shared" si="178"/>
        <v>17.649999999999999</v>
      </c>
      <c r="AA886" s="3" t="e">
        <f t="shared" si="179"/>
        <v>#DIV/0!</v>
      </c>
      <c r="AB886" s="344">
        <f>IFERROR(VLOOKUP($G886,基本資料!$A:$M,11,0),"無")</f>
        <v>-16.39</v>
      </c>
      <c r="AC886" s="397">
        <f>IFERROR(VLOOKUP($G886,基本資料!$A:$M,12,0),"無")</f>
        <v>39.61</v>
      </c>
      <c r="AD886" s="16" t="s">
        <v>4255</v>
      </c>
      <c r="AG886" s="33">
        <f t="shared" si="180"/>
        <v>0</v>
      </c>
      <c r="AH886" s="117" t="s">
        <v>2277</v>
      </c>
      <c r="AI886" s="63">
        <f t="shared" si="181"/>
        <v>2.539981185324553E-4</v>
      </c>
      <c r="AJ886" s="284">
        <f>RTD("money.excel",,$G886,"PredictVolume")</f>
        <v>27</v>
      </c>
      <c r="AK886" s="399">
        <f>IFERROR(VLOOKUP($G886,基本資料!$A:$M,13,0),"無")</f>
        <v>19.96</v>
      </c>
    </row>
    <row r="887" spans="1:37">
      <c r="A887" s="347">
        <f>IFERROR(VLOOKUP($G887,基本資料!$A:$J,3,0),"無")</f>
        <v>39.090000000000003</v>
      </c>
      <c r="B887" s="79">
        <f>IFERROR(VLOOKUP($G887,基本資料!$A:$J,4,0),"無")</f>
        <v>46</v>
      </c>
      <c r="C887" s="79">
        <f>IFERROR(VLOOKUP($G887,基本資料!$A:$J,5,0),"無")</f>
        <v>137</v>
      </c>
      <c r="D887" s="79">
        <f>IFERROR(VLOOKUP($G887,基本資料!$A:$J,6,0),"無")</f>
        <v>16</v>
      </c>
      <c r="E887" s="79">
        <f>IFERROR(VLOOKUP($G887,基本資料!$A:$J,7,0),"無")</f>
        <v>21</v>
      </c>
      <c r="F887" s="6">
        <f>IFERROR(VLOOKUP($G887,基本資料!$A:$J,8,0),"無")</f>
        <v>3.3</v>
      </c>
      <c r="G887" s="79">
        <v>5371</v>
      </c>
      <c r="H887" s="8" t="s">
        <v>1878</v>
      </c>
      <c r="I887" s="16" t="s">
        <v>4256</v>
      </c>
      <c r="J887" s="8">
        <f>IFERROR(VLOOKUP($G887,今日總結!$A:$AJ,35,0),"")</f>
        <v>0</v>
      </c>
      <c r="K887" s="5" t="str">
        <f>IFERROR(VLOOKUP($G887,今日總結!$A:$AJ,36,0),"")</f>
        <v>外</v>
      </c>
      <c r="L887" s="156">
        <f>IFERROR(VLOOKUP($G887,今日總結!$A:$AJ,33,0),"")</f>
        <v>0</v>
      </c>
      <c r="M887" s="340">
        <f>IFERROR(VLOOKUP($G887,今日總結!$A:$AJ,34,0),"")</f>
        <v>2</v>
      </c>
      <c r="N887" s="240">
        <f t="shared" si="182"/>
        <v>-2</v>
      </c>
      <c r="P887" s="365">
        <f>IFERROR(VLOOKUP($G887,融外自投!$A:$J,7,0),"無")</f>
        <v>949</v>
      </c>
      <c r="Q887" s="79">
        <f>IFERROR(VLOOKUP($G887,融外自投!$A:$J,9,0),"無")</f>
        <v>127</v>
      </c>
      <c r="R887" s="346">
        <f>IFERROR(VLOOKUP($G887,融外自投!$A:$J,8,0),"無")</f>
        <v>220</v>
      </c>
      <c r="S887" s="81" t="str">
        <f>IFERROR(VLOOKUP($G887,融外自投!$A:$J,10,0),"無")</f>
        <v>無</v>
      </c>
      <c r="T887" s="327">
        <f>IFERROR(VLOOKUP($G887,'321買'!$A:$E,5,0),"'沒有資料'")</f>
        <v>558</v>
      </c>
      <c r="U887" s="186">
        <f>IFERROR(VLOOKUP($G887,基本資料!$A:$J,9,0),"無")</f>
        <v>4</v>
      </c>
      <c r="V887" s="310">
        <f t="shared" si="177"/>
        <v>7.3260073260073263E-2</v>
      </c>
      <c r="W887" s="94">
        <f>IFERROR(VLOOKUP($G887,基本資料!$A:$J,10,0),"無")</f>
        <v>5.12</v>
      </c>
      <c r="X887" s="36">
        <f>RTD("money.excel",,"5371","Price")</f>
        <v>54.6</v>
      </c>
      <c r="Y887" s="66"/>
      <c r="Z887" s="15">
        <f t="shared" si="178"/>
        <v>54.6</v>
      </c>
      <c r="AA887" s="3" t="e">
        <f t="shared" si="179"/>
        <v>#DIV/0!</v>
      </c>
      <c r="AB887" s="344">
        <f>IFERROR(VLOOKUP($G887,基本資料!$A:$M,11,0),"無")</f>
        <v>-42.6</v>
      </c>
      <c r="AC887" s="397">
        <f>IFERROR(VLOOKUP($G887,基本資料!$A:$M,12,0),"無")</f>
        <v>4.3</v>
      </c>
      <c r="AD887" s="16" t="s">
        <v>4256</v>
      </c>
      <c r="AG887" s="33">
        <f t="shared" si="180"/>
        <v>0</v>
      </c>
      <c r="AH887" s="117" t="s">
        <v>4195</v>
      </c>
      <c r="AI887" s="63">
        <f t="shared" si="181"/>
        <v>4.25684318239959E-3</v>
      </c>
      <c r="AJ887" s="284">
        <f>RTD("money.excel",,$G887,"PredictVolume")</f>
        <v>1664</v>
      </c>
      <c r="AK887" s="399">
        <f>IFERROR(VLOOKUP($G887,基本資料!$A:$M,13,0),"無")</f>
        <v>12.46</v>
      </c>
    </row>
    <row r="888" spans="1:37">
      <c r="A888" s="347">
        <f>IFERROR(VLOOKUP($G888,基本資料!$A:$J,3,0),"無")</f>
        <v>16.989999999999998</v>
      </c>
      <c r="B888" s="79">
        <f>IFERROR(VLOOKUP($G888,基本資料!$A:$J,4,0),"無")</f>
        <v>375</v>
      </c>
      <c r="C888" s="79">
        <f>IFERROR(VLOOKUP($G888,基本資料!$A:$J,5,0),"無")</f>
        <v>119</v>
      </c>
      <c r="D888" s="79">
        <f>IFERROR(VLOOKUP($G888,基本資料!$A:$J,6,0),"無")</f>
        <v>16</v>
      </c>
      <c r="E888" s="79">
        <f>IFERROR(VLOOKUP($G888,基本資料!$A:$J,7,0),"無")</f>
        <v>-5</v>
      </c>
      <c r="F888" s="6">
        <f>IFERROR(VLOOKUP($G888,基本資料!$A:$J,8,0),"無")</f>
        <v>2.19</v>
      </c>
      <c r="G888" s="79">
        <v>5392</v>
      </c>
      <c r="H888" s="8" t="s">
        <v>1878</v>
      </c>
      <c r="I888" s="16" t="s">
        <v>4257</v>
      </c>
      <c r="J888" s="8">
        <f>IFERROR(VLOOKUP($G888,今日總結!$A:$AJ,35,0),"")</f>
        <v>0</v>
      </c>
      <c r="K888" s="5">
        <f>IFERROR(VLOOKUP($G888,今日總結!$A:$AJ,36,0),"")</f>
        <v>0</v>
      </c>
      <c r="L888" s="156">
        <f>IFERROR(VLOOKUP($G888,今日總結!$A:$AJ,33,0),"")</f>
        <v>0</v>
      </c>
      <c r="M888" s="340">
        <f>IFERROR(VLOOKUP($G888,今日總結!$A:$AJ,34,0),"")</f>
        <v>1</v>
      </c>
      <c r="N888" s="240">
        <f t="shared" si="182"/>
        <v>-1</v>
      </c>
      <c r="P888" s="365">
        <f>IFERROR(VLOOKUP($G888,融外自投!$A:$J,7,0),"無")</f>
        <v>585</v>
      </c>
      <c r="Q888" s="79">
        <f>IFERROR(VLOOKUP($G888,融外自投!$A:$J,9,0),"無")</f>
        <v>296</v>
      </c>
      <c r="R888" s="346">
        <f>IFERROR(VLOOKUP($G888,融外自投!$A:$J,8,0),"無")</f>
        <v>827</v>
      </c>
      <c r="S888" s="81" t="str">
        <f>IFERROR(VLOOKUP($G888,融外自投!$A:$J,10,0),"無")</f>
        <v>無</v>
      </c>
      <c r="T888" s="327">
        <f>IFERROR(VLOOKUP($G888,'321買'!$A:$E,5,0),"'沒有資料'")</f>
        <v>939</v>
      </c>
      <c r="U888" s="186">
        <f>IFERROR(VLOOKUP($G888,基本資料!$A:$J,9,0),"無")</f>
        <v>0.3</v>
      </c>
      <c r="V888" s="310">
        <f t="shared" si="177"/>
        <v>1.4319809069212411E-2</v>
      </c>
      <c r="W888" s="94">
        <f>IFERROR(VLOOKUP($G888,基本資料!$A:$J,10,0),"無")</f>
        <v>0.35</v>
      </c>
      <c r="X888" s="36">
        <f>RTD("money.excel",,"5392","Price")</f>
        <v>20.95</v>
      </c>
      <c r="Y888" s="66"/>
      <c r="Z888" s="15">
        <f t="shared" si="178"/>
        <v>20.95</v>
      </c>
      <c r="AA888" s="3" t="e">
        <f t="shared" si="179"/>
        <v>#DIV/0!</v>
      </c>
      <c r="AB888" s="344">
        <f>IFERROR(VLOOKUP($G888,基本資料!$A:$M,11,0),"無")</f>
        <v>-30.44</v>
      </c>
      <c r="AC888" s="397">
        <f>IFERROR(VLOOKUP($G888,基本資料!$A:$M,12,0),"無")</f>
        <v>8.68</v>
      </c>
      <c r="AD888" s="16" t="s">
        <v>4257</v>
      </c>
      <c r="AG888" s="33">
        <f t="shared" si="180"/>
        <v>0</v>
      </c>
      <c r="AH888" s="119" t="s">
        <v>4258</v>
      </c>
      <c r="AI888" s="63">
        <f t="shared" si="181"/>
        <v>5.4738081224249568E-4</v>
      </c>
      <c r="AJ888" s="284">
        <f>RTD("money.excel",,$G888,"PredictVolume")</f>
        <v>93</v>
      </c>
      <c r="AK888" s="399">
        <f>IFERROR(VLOOKUP($G888,基本資料!$A:$M,13,0),"無")</f>
        <v>3.32</v>
      </c>
    </row>
    <row r="889" spans="1:37">
      <c r="A889" s="347">
        <f>IFERROR(VLOOKUP($G889,基本資料!$A:$J,3,0),"無")</f>
        <v>2.06</v>
      </c>
      <c r="B889" s="79">
        <f>IFERROR(VLOOKUP($G889,基本資料!$A:$J,4,0),"無")</f>
        <v>215</v>
      </c>
      <c r="C889" s="79">
        <f>IFERROR(VLOOKUP($G889,基本資料!$A:$J,5,0),"無")</f>
        <v>1300</v>
      </c>
      <c r="D889" s="79">
        <f>IFERROR(VLOOKUP($G889,基本資料!$A:$J,6,0),"無")</f>
        <v>25</v>
      </c>
      <c r="E889" s="79">
        <f>IFERROR(VLOOKUP($G889,基本資料!$A:$J,7,0),"無")</f>
        <v>560</v>
      </c>
      <c r="F889" s="6">
        <f>IFERROR(VLOOKUP($G889,基本資料!$A:$J,8,0),"無")</f>
        <v>7.23</v>
      </c>
      <c r="G889" s="79">
        <v>5432</v>
      </c>
      <c r="H889" s="8" t="s">
        <v>1878</v>
      </c>
      <c r="I889" s="16" t="s">
        <v>4259</v>
      </c>
      <c r="J889" s="8" t="str">
        <f>IFERROR(VLOOKUP($G889,今日總結!$A:$AJ,35,0),"")</f>
        <v/>
      </c>
      <c r="K889" s="5" t="str">
        <f>IFERROR(VLOOKUP($G889,今日總結!$A:$AJ,36,0),"")</f>
        <v/>
      </c>
      <c r="L889" s="156" t="str">
        <f>IFERROR(VLOOKUP($G889,今日總結!$A:$AJ,33,0),"")</f>
        <v/>
      </c>
      <c r="M889" s="340" t="str">
        <f>IFERROR(VLOOKUP($G889,今日總結!$A:$AJ,34,0),"")</f>
        <v/>
      </c>
      <c r="N889" s="240" t="str">
        <f t="shared" si="182"/>
        <v/>
      </c>
      <c r="P889" s="365">
        <f>IFERROR(VLOOKUP($G889,融外自投!$A:$J,7,0),"無")</f>
        <v>213</v>
      </c>
      <c r="Q889" s="79" t="str">
        <f>IFERROR(VLOOKUP($G889,融外自投!$A:$J,9,0),"無")</f>
        <v>無</v>
      </c>
      <c r="R889" s="346">
        <f>IFERROR(VLOOKUP($G889,融外自投!$A:$J,8,0),"無")</f>
        <v>1453</v>
      </c>
      <c r="S889" s="81" t="str">
        <f>IFERROR(VLOOKUP($G889,融外自投!$A:$J,10,0),"無")</f>
        <v>無</v>
      </c>
      <c r="T889" s="327">
        <f>IFERROR(VLOOKUP($G889,'321買'!$A:$E,5,0),"'沒有資料'")</f>
        <v>1367</v>
      </c>
      <c r="U889" s="186">
        <f>IFERROR(VLOOKUP($G889,基本資料!$A:$J,9,0),"無")</f>
        <v>0</v>
      </c>
      <c r="V889" s="310">
        <f t="shared" si="177"/>
        <v>0</v>
      </c>
      <c r="W889" s="94">
        <f>IFERROR(VLOOKUP($G889,基本資料!$A:$J,10,0),"無")</f>
        <v>0.32</v>
      </c>
      <c r="X889" s="36">
        <f>RTD("money.excel",,"5432","Price")</f>
        <v>39.35</v>
      </c>
      <c r="Y889" s="66"/>
      <c r="Z889" s="15">
        <f t="shared" si="178"/>
        <v>39.35</v>
      </c>
      <c r="AA889" s="3" t="e">
        <f t="shared" si="179"/>
        <v>#DIV/0!</v>
      </c>
      <c r="AB889" s="344">
        <f>IFERROR(VLOOKUP($G889,基本資料!$A:$M,11,0),"無")</f>
        <v>-11.28</v>
      </c>
      <c r="AC889" s="397">
        <f>IFERROR(VLOOKUP($G889,基本資料!$A:$M,12,0),"無")</f>
        <v>45.81</v>
      </c>
      <c r="AD889" s="16" t="s">
        <v>4259</v>
      </c>
      <c r="AG889" s="33">
        <f t="shared" si="180"/>
        <v>0</v>
      </c>
      <c r="AH889" s="43" t="s">
        <v>2277</v>
      </c>
      <c r="AI889" s="63">
        <f t="shared" si="181"/>
        <v>3.3980582524271844E-4</v>
      </c>
      <c r="AJ889" s="284">
        <f>RTD("money.excel",,$G889,"PredictVolume")</f>
        <v>7</v>
      </c>
      <c r="AK889" s="399">
        <f>IFERROR(VLOOKUP($G889,基本資料!$A:$M,13,0),"無")</f>
        <v>1.88</v>
      </c>
    </row>
    <row r="890" spans="1:37">
      <c r="A890" s="347">
        <f>IFERROR(VLOOKUP($G890,基本資料!$A:$J,3,0),"無")</f>
        <v>16.510000000000002</v>
      </c>
      <c r="B890" s="79">
        <f>IFERROR(VLOOKUP($G890,基本資料!$A:$J,4,0),"無")</f>
        <v>100</v>
      </c>
      <c r="C890" s="79">
        <f>IFERROR(VLOOKUP($G890,基本資料!$A:$J,5,0),"無")</f>
        <v>308</v>
      </c>
      <c r="D890" s="79">
        <f>IFERROR(VLOOKUP($G890,基本資料!$A:$J,6,0),"無")</f>
        <v>67</v>
      </c>
      <c r="E890" s="79">
        <f>IFERROR(VLOOKUP($G890,基本資料!$A:$J,7,0),"無")</f>
        <v>8</v>
      </c>
      <c r="F890" s="6">
        <f>IFERROR(VLOOKUP($G890,基本資料!$A:$J,8,0),"無")</f>
        <v>6.59</v>
      </c>
      <c r="G890" s="79">
        <v>5443</v>
      </c>
      <c r="H890" s="8" t="s">
        <v>1878</v>
      </c>
      <c r="I890" s="16" t="s">
        <v>4260</v>
      </c>
      <c r="J890" s="8" t="str">
        <f>IFERROR(VLOOKUP($G890,今日總結!$A:$AJ,35,0),"")</f>
        <v>外</v>
      </c>
      <c r="K890" s="5">
        <f>IFERROR(VLOOKUP($G890,今日總結!$A:$AJ,36,0),"")</f>
        <v>0</v>
      </c>
      <c r="L890" s="156">
        <f>IFERROR(VLOOKUP($G890,今日總結!$A:$AJ,33,0),"")</f>
        <v>1</v>
      </c>
      <c r="M890" s="340">
        <f>IFERROR(VLOOKUP($G890,今日總結!$A:$AJ,34,0),"")</f>
        <v>0</v>
      </c>
      <c r="N890" s="240">
        <f t="shared" si="182"/>
        <v>1</v>
      </c>
      <c r="P890" s="365">
        <f>IFERROR(VLOOKUP($G890,融外自投!$A:$J,7,0),"無")</f>
        <v>408</v>
      </c>
      <c r="Q890" s="79">
        <f>IFERROR(VLOOKUP($G890,融外自投!$A:$J,9,0),"無")</f>
        <v>667</v>
      </c>
      <c r="R890" s="346">
        <f>IFERROR(VLOOKUP($G890,融外自投!$A:$J,8,0),"無")</f>
        <v>961</v>
      </c>
      <c r="S890" s="81" t="str">
        <f>IFERROR(VLOOKUP($G890,融外自投!$A:$J,10,0),"無")</f>
        <v>無</v>
      </c>
      <c r="T890" s="327">
        <f>IFERROR(VLOOKUP($G890,'321買'!$A:$E,5,0),"'沒有資料'")</f>
        <v>964</v>
      </c>
      <c r="U890" s="186">
        <f>IFERROR(VLOOKUP($G890,基本資料!$A:$J,9,0),"無")</f>
        <v>1.5</v>
      </c>
      <c r="V890" s="310">
        <f t="shared" si="177"/>
        <v>5.2631578947368418E-2</v>
      </c>
      <c r="W890" s="94">
        <f>IFERROR(VLOOKUP($G890,基本資料!$A:$J,10,0),"無")</f>
        <v>1.54</v>
      </c>
      <c r="X890" s="36">
        <f>RTD("money.excel",,"5443","Price")</f>
        <v>28.5</v>
      </c>
      <c r="Y890" s="66"/>
      <c r="Z890" s="15">
        <f t="shared" si="178"/>
        <v>28.5</v>
      </c>
      <c r="AA890" s="3" t="e">
        <f t="shared" si="179"/>
        <v>#DIV/0!</v>
      </c>
      <c r="AB890" s="344">
        <f>IFERROR(VLOOKUP($G890,基本資料!$A:$M,11,0),"無")</f>
        <v>-41.31</v>
      </c>
      <c r="AC890" s="397">
        <f>IFERROR(VLOOKUP($G890,基本資料!$A:$M,12,0),"無")</f>
        <v>19.14</v>
      </c>
      <c r="AD890" s="16" t="s">
        <v>4260</v>
      </c>
      <c r="AG890" s="33">
        <f t="shared" si="180"/>
        <v>0</v>
      </c>
      <c r="AH890" s="43" t="s">
        <v>2309</v>
      </c>
      <c r="AI890" s="63">
        <f t="shared" si="181"/>
        <v>6.35978195033313E-4</v>
      </c>
      <c r="AJ890" s="284">
        <f>RTD("money.excel",,$G890,"PredictVolume")</f>
        <v>105</v>
      </c>
      <c r="AK890" s="399">
        <f>IFERROR(VLOOKUP($G890,基本資料!$A:$M,13,0),"無")</f>
        <v>18.38</v>
      </c>
    </row>
    <row r="891" spans="1:37">
      <c r="A891" s="347">
        <f>IFERROR(VLOOKUP($G891,基本資料!$A:$J,3,0),"無")</f>
        <v>6.68</v>
      </c>
      <c r="B891" s="79">
        <f>IFERROR(VLOOKUP($G891,基本資料!$A:$J,4,0),"無")</f>
        <v>30</v>
      </c>
      <c r="C891" s="79">
        <f>IFERROR(VLOOKUP($G891,基本資料!$A:$J,5,0),"無")</f>
        <v>56</v>
      </c>
      <c r="D891" s="79">
        <f>IFERROR(VLOOKUP($G891,基本資料!$A:$J,6,0),"無")</f>
        <v>-4</v>
      </c>
      <c r="E891" s="79">
        <f>IFERROR(VLOOKUP($G891,基本資料!$A:$J,7,0),"無")</f>
        <v>-60</v>
      </c>
      <c r="F891" s="6">
        <f>IFERROR(VLOOKUP($G891,基本資料!$A:$J,8,0),"無")</f>
        <v>-8</v>
      </c>
      <c r="G891" s="79">
        <v>5484</v>
      </c>
      <c r="H891" s="8" t="s">
        <v>306</v>
      </c>
      <c r="I891" s="22" t="s">
        <v>4261</v>
      </c>
      <c r="J891" s="8" t="str">
        <f>IFERROR(VLOOKUP($G891,今日總結!$A:$AJ,35,0),"")</f>
        <v/>
      </c>
      <c r="K891" s="5" t="str">
        <f>IFERROR(VLOOKUP($G891,今日總結!$A:$AJ,36,0),"")</f>
        <v/>
      </c>
      <c r="L891" s="156" t="str">
        <f>IFERROR(VLOOKUP($G891,今日總結!$A:$AJ,33,0),"")</f>
        <v/>
      </c>
      <c r="M891" s="340" t="str">
        <f>IFERROR(VLOOKUP($G891,今日總結!$A:$AJ,34,0),"")</f>
        <v/>
      </c>
      <c r="N891" s="240" t="str">
        <f t="shared" si="182"/>
        <v/>
      </c>
      <c r="P891" s="365" t="str">
        <f>IFERROR(VLOOKUP($G891,融外自投!$A:$J,7,0),"無")</f>
        <v>無</v>
      </c>
      <c r="Q891" s="79" t="str">
        <f>IFERROR(VLOOKUP($G891,融外自投!$A:$J,9,0),"無")</f>
        <v>無</v>
      </c>
      <c r="R891" s="346" t="str">
        <f>IFERROR(VLOOKUP($G891,融外自投!$A:$J,8,0),"無")</f>
        <v>無</v>
      </c>
      <c r="S891" s="81" t="str">
        <f>IFERROR(VLOOKUP($G891,融外自投!$A:$J,10,0),"無")</f>
        <v>無</v>
      </c>
      <c r="T891" s="327" t="str">
        <f>IFERROR(VLOOKUP($G891,'321買'!$A:$E,5,0),"'沒有資料'")</f>
        <v>'沒有資料'</v>
      </c>
      <c r="U891" s="186">
        <f>IFERROR(VLOOKUP($G891,基本資料!$A:$J,9,0),"無")</f>
        <v>0</v>
      </c>
      <c r="V891" s="310">
        <f t="shared" si="177"/>
        <v>0</v>
      </c>
      <c r="W891" s="94">
        <f>IFERROR(VLOOKUP($G891,基本資料!$A:$J,10,0),"無")</f>
        <v>-0.63</v>
      </c>
      <c r="X891" s="36">
        <f>RTD("money.excel",,"5484","Price")</f>
        <v>12.2</v>
      </c>
      <c r="Y891" s="66"/>
      <c r="Z891" s="15">
        <f t="shared" si="178"/>
        <v>12.2</v>
      </c>
      <c r="AA891" s="3" t="e">
        <f t="shared" si="179"/>
        <v>#DIV/0!</v>
      </c>
      <c r="AB891" s="344">
        <f>IFERROR(VLOOKUP($G891,基本資料!$A:$M,11,0),"無")</f>
        <v>-32.64</v>
      </c>
      <c r="AC891" s="397">
        <f>IFERROR(VLOOKUP($G891,基本資料!$A:$M,12,0),"無")</f>
        <v>8.19</v>
      </c>
      <c r="AD891" s="22" t="s">
        <v>4261</v>
      </c>
      <c r="AG891" s="33">
        <f t="shared" si="180"/>
        <v>0</v>
      </c>
      <c r="AH891" s="43" t="s">
        <v>4262</v>
      </c>
      <c r="AI891" s="63">
        <f t="shared" si="181"/>
        <v>9.4311377245508978E-4</v>
      </c>
      <c r="AJ891" s="284">
        <f>RTD("money.excel",,$G891,"PredictVolume")</f>
        <v>63</v>
      </c>
      <c r="AK891" s="399">
        <f>IFERROR(VLOOKUP($G891,基本資料!$A:$M,13,0),"無")</f>
        <v>3.42</v>
      </c>
    </row>
    <row r="892" spans="1:37">
      <c r="A892" s="347">
        <f>IFERROR(VLOOKUP($G892,基本資料!$A:$J,3,0),"無")</f>
        <v>302</v>
      </c>
      <c r="B892" s="79">
        <f>IFERROR(VLOOKUP($G892,基本資料!$A:$J,4,0),"無")</f>
        <v>116</v>
      </c>
      <c r="C892" s="79">
        <f>IFERROR(VLOOKUP($G892,基本資料!$A:$J,5,0),"無")</f>
        <v>153</v>
      </c>
      <c r="D892" s="79">
        <f>IFERROR(VLOOKUP($G892,基本資料!$A:$J,6,0),"無")</f>
        <v>17</v>
      </c>
      <c r="E892" s="79">
        <f>IFERROR(VLOOKUP($G892,基本資料!$A:$J,7,0),"無")</f>
        <v>-42</v>
      </c>
      <c r="F892" s="6">
        <f>IFERROR(VLOOKUP($G892,基本資料!$A:$J,8,0),"無")</f>
        <v>25.11</v>
      </c>
      <c r="G892" s="79">
        <v>6116</v>
      </c>
      <c r="H892" s="192" t="s">
        <v>1878</v>
      </c>
      <c r="I892" s="22" t="s">
        <v>4263</v>
      </c>
      <c r="J892" s="8" t="str">
        <f>IFERROR(VLOOKUP($G892,今日總結!$A:$AJ,35,0),"")</f>
        <v/>
      </c>
      <c r="K892" s="5" t="str">
        <f>IFERROR(VLOOKUP($G892,今日總結!$A:$AJ,36,0),"")</f>
        <v/>
      </c>
      <c r="L892" s="156" t="str">
        <f>IFERROR(VLOOKUP($G892,今日總結!$A:$AJ,33,0),"")</f>
        <v/>
      </c>
      <c r="M892" s="340" t="str">
        <f>IFERROR(VLOOKUP($G892,今日總結!$A:$AJ,34,0),"")</f>
        <v/>
      </c>
      <c r="N892" s="240" t="str">
        <f t="shared" si="182"/>
        <v/>
      </c>
      <c r="P892" s="365">
        <f>IFERROR(VLOOKUP($G892,融外自投!$A:$J,7,0),"無")</f>
        <v>552</v>
      </c>
      <c r="Q892" s="79">
        <f>IFERROR(VLOOKUP($G892,融外自投!$A:$J,9,0),"無")</f>
        <v>62</v>
      </c>
      <c r="R892" s="346">
        <f>IFERROR(VLOOKUP($G892,融外自投!$A:$J,8,0),"無")</f>
        <v>627</v>
      </c>
      <c r="S892" s="81">
        <f>IFERROR(VLOOKUP($G892,融外自投!$A:$J,10,0),"無")</f>
        <v>458</v>
      </c>
      <c r="T892" s="327">
        <f>IFERROR(VLOOKUP($G892,'321買'!$A:$E,5,0),"'沒有資料'")</f>
        <v>318</v>
      </c>
      <c r="U892" s="186">
        <f>IFERROR(VLOOKUP($G892,基本資料!$A:$J,9,0),"無")</f>
        <v>1</v>
      </c>
      <c r="V892" s="310">
        <f t="shared" si="177"/>
        <v>8.1632653061224483E-2</v>
      </c>
      <c r="W892" s="94">
        <f>IFERROR(VLOOKUP($G892,基本資料!$A:$J,10,0),"無")</f>
        <v>2.75</v>
      </c>
      <c r="X892" s="36">
        <f>RTD("money.excel",,"6116","Price")</f>
        <v>12.25</v>
      </c>
      <c r="Y892" s="66"/>
      <c r="Z892" s="15">
        <f t="shared" si="178"/>
        <v>12.25</v>
      </c>
      <c r="AA892" s="3" t="e">
        <f t="shared" si="179"/>
        <v>#DIV/0!</v>
      </c>
      <c r="AB892" s="344">
        <f>IFERROR(VLOOKUP($G892,基本資料!$A:$M,11,0),"無")</f>
        <v>-52.12</v>
      </c>
      <c r="AC892" s="397">
        <f>IFERROR(VLOOKUP($G892,基本資料!$A:$M,12,0),"無")</f>
        <v>9.1300000000000008</v>
      </c>
      <c r="AD892" s="22" t="s">
        <v>4263</v>
      </c>
      <c r="AG892" s="33">
        <f t="shared" si="180"/>
        <v>0</v>
      </c>
      <c r="AH892" s="117" t="s">
        <v>4264</v>
      </c>
      <c r="AI892" s="63">
        <f t="shared" si="181"/>
        <v>3.2516556291390729E-3</v>
      </c>
      <c r="AJ892" s="284">
        <f>RTD("money.excel",,$G892,"PredictVolume")</f>
        <v>9820</v>
      </c>
      <c r="AK892" s="399">
        <f>IFERROR(VLOOKUP($G892,基本資料!$A:$M,13,0),"無")</f>
        <v>20.29</v>
      </c>
    </row>
    <row r="893" spans="1:37">
      <c r="A893" s="347">
        <f>IFERROR(VLOOKUP($G893,基本資料!$A:$J,3,0),"無")</f>
        <v>66.55</v>
      </c>
      <c r="B893" s="79">
        <f>IFERROR(VLOOKUP($G893,基本資料!$A:$J,4,0),"無")</f>
        <v>47</v>
      </c>
      <c r="C893" s="79">
        <f>IFERROR(VLOOKUP($G893,基本資料!$A:$J,5,0),"無")</f>
        <v>19</v>
      </c>
      <c r="D893" s="79">
        <f>IFERROR(VLOOKUP($G893,基本資料!$A:$J,6,0),"無")</f>
        <v>-13</v>
      </c>
      <c r="E893" s="79">
        <f>IFERROR(VLOOKUP($G893,基本資料!$A:$J,7,0),"無")</f>
        <v>-11</v>
      </c>
      <c r="F893" s="6">
        <f>IFERROR(VLOOKUP($G893,基本資料!$A:$J,8,0),"無")</f>
        <v>-6.29</v>
      </c>
      <c r="G893" s="79">
        <v>6120</v>
      </c>
      <c r="H893" s="8" t="s">
        <v>1878</v>
      </c>
      <c r="I893" s="22" t="s">
        <v>4265</v>
      </c>
      <c r="J893" s="8">
        <f>IFERROR(VLOOKUP($G893,今日總結!$A:$AJ,35,0),"")</f>
        <v>0</v>
      </c>
      <c r="K893" s="5" t="str">
        <f>IFERROR(VLOOKUP($G893,今日總結!$A:$AJ,36,0),"")</f>
        <v>借</v>
      </c>
      <c r="L893" s="156">
        <f>IFERROR(VLOOKUP($G893,今日總結!$A:$AJ,33,0),"")</f>
        <v>0</v>
      </c>
      <c r="M893" s="340">
        <f>IFERROR(VLOOKUP($G893,今日總結!$A:$AJ,34,0),"")</f>
        <v>1</v>
      </c>
      <c r="N893" s="240">
        <f t="shared" si="182"/>
        <v>-1</v>
      </c>
      <c r="P893" s="365">
        <f>IFERROR(VLOOKUP($G893,融外自投!$A:$J,7,0),"無")</f>
        <v>748</v>
      </c>
      <c r="Q893" s="79">
        <f>IFERROR(VLOOKUP($G893,融外自投!$A:$J,9,0),"無")</f>
        <v>852</v>
      </c>
      <c r="R893" s="346">
        <f>IFERROR(VLOOKUP($G893,融外自投!$A:$J,8,0),"無")</f>
        <v>644</v>
      </c>
      <c r="S893" s="81" t="str">
        <f>IFERROR(VLOOKUP($G893,融外自投!$A:$J,10,0),"無")</f>
        <v>無</v>
      </c>
      <c r="T893" s="327">
        <f>IFERROR(VLOOKUP($G893,'321買'!$A:$E,5,0),"'沒有資料'")</f>
        <v>634</v>
      </c>
      <c r="U893" s="186">
        <f>IFERROR(VLOOKUP($G893,基本資料!$A:$J,9,0),"無")</f>
        <v>0</v>
      </c>
      <c r="V893" s="310">
        <f t="shared" si="177"/>
        <v>0</v>
      </c>
      <c r="W893" s="94">
        <f>IFERROR(VLOOKUP($G893,基本資料!$A:$J,10,0),"無")</f>
        <v>-0.98</v>
      </c>
      <c r="X893" s="36">
        <f>RTD("money.excel",,"6120","Price")</f>
        <v>10.15</v>
      </c>
      <c r="Y893" s="66"/>
      <c r="Z893" s="15">
        <f t="shared" si="178"/>
        <v>10.15</v>
      </c>
      <c r="AA893" s="3" t="e">
        <f t="shared" si="179"/>
        <v>#DIV/0!</v>
      </c>
      <c r="AB893" s="344">
        <f>IFERROR(VLOOKUP($G893,基本資料!$A:$M,11,0),"無")</f>
        <v>-38.32</v>
      </c>
      <c r="AC893" s="397">
        <f>IFERROR(VLOOKUP($G893,基本資料!$A:$M,12,0),"無")</f>
        <v>8.9</v>
      </c>
      <c r="AD893" s="22" t="s">
        <v>4265</v>
      </c>
      <c r="AG893" s="33">
        <f t="shared" si="180"/>
        <v>0</v>
      </c>
      <c r="AH893" s="43" t="s">
        <v>4266</v>
      </c>
      <c r="AI893" s="63">
        <f t="shared" si="181"/>
        <v>1.3132982719759579E-3</v>
      </c>
      <c r="AJ893" s="284">
        <f>RTD("money.excel",,$G893,"PredictVolume")</f>
        <v>874</v>
      </c>
      <c r="AK893" s="399">
        <f>IFERROR(VLOOKUP($G893,基本資料!$A:$M,13,0),"無")</f>
        <v>11.6</v>
      </c>
    </row>
    <row r="894" spans="1:37">
      <c r="A894" s="347">
        <f>IFERROR(VLOOKUP($G894,基本資料!$A:$J,3,0),"無")</f>
        <v>24.9</v>
      </c>
      <c r="B894" s="79">
        <f>IFERROR(VLOOKUP($G894,基本資料!$A:$J,4,0),"無")</f>
        <v>-858</v>
      </c>
      <c r="C894" s="79">
        <f>IFERROR(VLOOKUP($G894,基本資料!$A:$J,5,0),"無")</f>
        <v>-375</v>
      </c>
      <c r="D894" s="79">
        <f>IFERROR(VLOOKUP($G894,基本資料!$A:$J,6,0),"無")</f>
        <v>-1</v>
      </c>
      <c r="E894" s="79">
        <f>IFERROR(VLOOKUP($G894,基本資料!$A:$J,7,0),"無")</f>
        <v>15</v>
      </c>
      <c r="F894" s="6">
        <f>IFERROR(VLOOKUP($G894,基本資料!$A:$J,8,0),"無")</f>
        <v>-18.04</v>
      </c>
      <c r="G894" s="79">
        <v>6125</v>
      </c>
      <c r="H894" s="8" t="s">
        <v>1878</v>
      </c>
      <c r="I894" s="16" t="s">
        <v>4267</v>
      </c>
      <c r="J894" s="8" t="str">
        <f>IFERROR(VLOOKUP($G894,今日總結!$A:$AJ,35,0),"")</f>
        <v/>
      </c>
      <c r="K894" s="5" t="str">
        <f>IFERROR(VLOOKUP($G894,今日總結!$A:$AJ,36,0),"")</f>
        <v/>
      </c>
      <c r="L894" s="156" t="str">
        <f>IFERROR(VLOOKUP($G894,今日總結!$A:$AJ,33,0),"")</f>
        <v/>
      </c>
      <c r="M894" s="340" t="str">
        <f>IFERROR(VLOOKUP($G894,今日總結!$A:$AJ,34,0),"")</f>
        <v/>
      </c>
      <c r="N894" s="240" t="str">
        <f t="shared" si="182"/>
        <v/>
      </c>
      <c r="P894" s="365">
        <f>IFERROR(VLOOKUP($G894,融外自投!$A:$J,7,0),"無")</f>
        <v>388</v>
      </c>
      <c r="Q894" s="79">
        <f>IFERROR(VLOOKUP($G894,融外自投!$A:$J,9,0),"無")</f>
        <v>514</v>
      </c>
      <c r="R894" s="346">
        <f>IFERROR(VLOOKUP($G894,融外自投!$A:$J,8,0),"無")</f>
        <v>1049</v>
      </c>
      <c r="S894" s="81">
        <f>IFERROR(VLOOKUP($G894,融外自投!$A:$J,10,0),"無")</f>
        <v>491</v>
      </c>
      <c r="T894" s="327">
        <f>IFERROR(VLOOKUP($G894,'321買'!$A:$E,5,0),"'沒有資料'")</f>
        <v>336</v>
      </c>
      <c r="U894" s="186">
        <f>IFERROR(VLOOKUP($G894,基本資料!$A:$J,9,0),"無")</f>
        <v>1.6</v>
      </c>
      <c r="V894" s="310">
        <f t="shared" si="177"/>
        <v>6.8669527896995708E-2</v>
      </c>
      <c r="W894" s="94">
        <f>IFERROR(VLOOKUP($G894,基本資料!$A:$J,10,0),"無")</f>
        <v>-1.1399999999999999</v>
      </c>
      <c r="X894" s="36">
        <f>RTD("money.excel",,"6125","Price")</f>
        <v>23.3</v>
      </c>
      <c r="Y894" s="66"/>
      <c r="Z894" s="15">
        <f t="shared" si="178"/>
        <v>23.3</v>
      </c>
      <c r="AA894" s="3" t="e">
        <f t="shared" si="179"/>
        <v>#DIV/0!</v>
      </c>
      <c r="AB894" s="344">
        <f>IFERROR(VLOOKUP($G894,基本資料!$A:$M,11,0),"無")</f>
        <v>-26.77</v>
      </c>
      <c r="AC894" s="397">
        <f>IFERROR(VLOOKUP($G894,基本資料!$A:$M,12,0),"無")</f>
        <v>20.32</v>
      </c>
      <c r="AD894" s="16" t="s">
        <v>4267</v>
      </c>
      <c r="AG894" s="33">
        <f t="shared" si="180"/>
        <v>0</v>
      </c>
      <c r="AH894" s="43" t="s">
        <v>1437</v>
      </c>
      <c r="AI894" s="63">
        <f t="shared" si="181"/>
        <v>2.1204819277108435E-3</v>
      </c>
      <c r="AJ894" s="284">
        <f>RTD("money.excel",,$G894,"PredictVolume")</f>
        <v>528</v>
      </c>
      <c r="AK894" s="399">
        <f>IFERROR(VLOOKUP($G894,基本資料!$A:$M,13,0),"無")</f>
        <v>11.52</v>
      </c>
    </row>
    <row r="895" spans="1:37">
      <c r="A895" s="347">
        <f>IFERROR(VLOOKUP($G895,基本資料!$A:$J,3,0),"無")</f>
        <v>10</v>
      </c>
      <c r="B895" s="79">
        <f>IFERROR(VLOOKUP($G895,基本資料!$A:$J,4,0),"無")</f>
        <v>148</v>
      </c>
      <c r="C895" s="79">
        <f>IFERROR(VLOOKUP($G895,基本資料!$A:$J,5,0),"無")</f>
        <v>123</v>
      </c>
      <c r="D895" s="79">
        <f>IFERROR(VLOOKUP($G895,基本資料!$A:$J,6,0),"無")</f>
        <v>8</v>
      </c>
      <c r="E895" s="79">
        <f>IFERROR(VLOOKUP($G895,基本資料!$A:$J,7,0),"無")</f>
        <v>18</v>
      </c>
      <c r="F895" s="6">
        <f>IFERROR(VLOOKUP($G895,基本資料!$A:$J,8,0),"無")</f>
        <v>1.44</v>
      </c>
      <c r="G895" s="79">
        <v>6164</v>
      </c>
      <c r="H895" s="8" t="s">
        <v>1878</v>
      </c>
      <c r="I895" s="22" t="s">
        <v>4268</v>
      </c>
      <c r="J895" s="8" t="str">
        <f>IFERROR(VLOOKUP($G895,今日總結!$A:$AJ,35,0),"")</f>
        <v/>
      </c>
      <c r="K895" s="5" t="str">
        <f>IFERROR(VLOOKUP($G895,今日總結!$A:$AJ,36,0),"")</f>
        <v/>
      </c>
      <c r="L895" s="156" t="str">
        <f>IFERROR(VLOOKUP($G895,今日總結!$A:$AJ,33,0),"")</f>
        <v/>
      </c>
      <c r="M895" s="340" t="str">
        <f>IFERROR(VLOOKUP($G895,今日總結!$A:$AJ,34,0),"")</f>
        <v/>
      </c>
      <c r="N895" s="240" t="str">
        <f t="shared" si="182"/>
        <v/>
      </c>
      <c r="P895" s="365">
        <f>IFERROR(VLOOKUP($G895,融外自投!$A:$J,7,0),"無")</f>
        <v>200</v>
      </c>
      <c r="Q895" s="79">
        <f>IFERROR(VLOOKUP($G895,融外自投!$A:$J,9,0),"無")</f>
        <v>762</v>
      </c>
      <c r="R895" s="346">
        <f>IFERROR(VLOOKUP($G895,融外自投!$A:$J,8,0),"無")</f>
        <v>1253</v>
      </c>
      <c r="S895" s="81" t="str">
        <f>IFERROR(VLOOKUP($G895,融外自投!$A:$J,10,0),"無")</f>
        <v>無</v>
      </c>
      <c r="T895" s="327">
        <f>IFERROR(VLOOKUP($G895,'321買'!$A:$E,5,0),"'沒有資料'")</f>
        <v>336</v>
      </c>
      <c r="U895" s="186">
        <f>IFERROR(VLOOKUP($G895,基本資料!$A:$J,9,0),"無")</f>
        <v>0</v>
      </c>
      <c r="V895" s="310">
        <f t="shared" si="177"/>
        <v>0</v>
      </c>
      <c r="W895" s="94">
        <f>IFERROR(VLOOKUP($G895,基本資料!$A:$J,10,0),"無")</f>
        <v>0.06</v>
      </c>
      <c r="X895" s="36">
        <f>RTD("money.excel",,"6164","Price")</f>
        <v>12.4</v>
      </c>
      <c r="Y895" s="66"/>
      <c r="Z895" s="15">
        <f t="shared" si="178"/>
        <v>12.4</v>
      </c>
      <c r="AA895" s="3" t="e">
        <f t="shared" si="179"/>
        <v>#DIV/0!</v>
      </c>
      <c r="AB895" s="344">
        <f>IFERROR(VLOOKUP($G895,基本資料!$A:$M,11,0),"無")</f>
        <v>-40.19</v>
      </c>
      <c r="AC895" s="397">
        <f>IFERROR(VLOOKUP($G895,基本資料!$A:$M,12,0),"無")</f>
        <v>24.55</v>
      </c>
      <c r="AD895" s="22" t="s">
        <v>4268</v>
      </c>
      <c r="AG895" s="33">
        <f t="shared" si="180"/>
        <v>0</v>
      </c>
      <c r="AH895" s="43" t="s">
        <v>4269</v>
      </c>
      <c r="AI895" s="63">
        <f t="shared" si="181"/>
        <v>2.99E-3</v>
      </c>
      <c r="AJ895" s="284">
        <f>RTD("money.excel",,$G895,"PredictVolume")</f>
        <v>299</v>
      </c>
      <c r="AK895" s="399">
        <f>IFERROR(VLOOKUP($G895,基本資料!$A:$M,13,0),"無")</f>
        <v>58.7</v>
      </c>
    </row>
    <row r="896" spans="1:37">
      <c r="A896" s="347">
        <f>IFERROR(VLOOKUP($G896,基本資料!$A:$J,3,0),"無")</f>
        <v>16.21</v>
      </c>
      <c r="B896" s="79">
        <f>IFERROR(VLOOKUP($G896,基本資料!$A:$J,4,0),"無")</f>
        <v>97</v>
      </c>
      <c r="C896" s="79">
        <f>IFERROR(VLOOKUP($G896,基本資料!$A:$J,5,0),"無")</f>
        <v>104</v>
      </c>
      <c r="D896" s="79">
        <f>IFERROR(VLOOKUP($G896,基本資料!$A:$J,6,0),"無")</f>
        <v>21</v>
      </c>
      <c r="E896" s="79">
        <f>IFERROR(VLOOKUP($G896,基本資料!$A:$J,7,0),"無")</f>
        <v>42</v>
      </c>
      <c r="F896" s="6">
        <f>IFERROR(VLOOKUP($G896,基本資料!$A:$J,8,0),"無")</f>
        <v>2.04</v>
      </c>
      <c r="G896" s="79">
        <v>6167</v>
      </c>
      <c r="H896" s="8" t="s">
        <v>1878</v>
      </c>
      <c r="I896" s="16" t="s">
        <v>4270</v>
      </c>
      <c r="J896" s="8" t="str">
        <f>IFERROR(VLOOKUP($G896,今日總結!$A:$AJ,35,0),"")</f>
        <v/>
      </c>
      <c r="K896" s="5" t="str">
        <f>IFERROR(VLOOKUP($G896,今日總結!$A:$AJ,36,0),"")</f>
        <v/>
      </c>
      <c r="L896" s="156" t="str">
        <f>IFERROR(VLOOKUP($G896,今日總結!$A:$AJ,33,0),"")</f>
        <v/>
      </c>
      <c r="M896" s="340" t="str">
        <f>IFERROR(VLOOKUP($G896,今日總結!$A:$AJ,34,0),"")</f>
        <v/>
      </c>
      <c r="N896" s="240" t="str">
        <f t="shared" si="182"/>
        <v/>
      </c>
      <c r="P896" s="365" t="str">
        <f>IFERROR(VLOOKUP($G896,融外自投!$A:$J,7,0),"無")</f>
        <v>無</v>
      </c>
      <c r="Q896" s="79" t="str">
        <f>IFERROR(VLOOKUP($G896,融外自投!$A:$J,9,0),"無")</f>
        <v>無</v>
      </c>
      <c r="R896" s="346" t="str">
        <f>IFERROR(VLOOKUP($G896,融外自投!$A:$J,8,0),"無")</f>
        <v>無</v>
      </c>
      <c r="S896" s="81" t="str">
        <f>IFERROR(VLOOKUP($G896,融外自投!$A:$J,10,0),"無")</f>
        <v>無</v>
      </c>
      <c r="T896" s="327" t="str">
        <f>IFERROR(VLOOKUP($G896,'321買'!$A:$E,5,0),"'沒有資料'")</f>
        <v>'沒有資料'</v>
      </c>
      <c r="U896" s="186">
        <f>IFERROR(VLOOKUP($G896,基本資料!$A:$J,9,0),"無")</f>
        <v>0.19</v>
      </c>
      <c r="V896" s="310">
        <f t="shared" si="177"/>
        <v>1.7511520737327188E-2</v>
      </c>
      <c r="W896" s="94">
        <f>IFERROR(VLOOKUP($G896,基本資料!$A:$J,10,0),"無")</f>
        <v>0.5</v>
      </c>
      <c r="X896" s="36">
        <f>RTD("money.excel",,"6167","Price")</f>
        <v>10.85</v>
      </c>
      <c r="Y896" s="66"/>
      <c r="Z896" s="15">
        <f t="shared" si="178"/>
        <v>10.85</v>
      </c>
      <c r="AA896" s="3" t="e">
        <f t="shared" si="179"/>
        <v>#DIV/0!</v>
      </c>
      <c r="AB896" s="344">
        <f>IFERROR(VLOOKUP($G896,基本資料!$A:$M,11,0),"無")</f>
        <v>-39.26</v>
      </c>
      <c r="AC896" s="397">
        <f>IFERROR(VLOOKUP($G896,基本資料!$A:$M,12,0),"無")</f>
        <v>17.98</v>
      </c>
      <c r="AD896" s="16" t="s">
        <v>4270</v>
      </c>
      <c r="AG896" s="33">
        <f t="shared" si="180"/>
        <v>0</v>
      </c>
      <c r="AH896" s="43" t="s">
        <v>4155</v>
      </c>
      <c r="AI896" s="63">
        <f t="shared" si="181"/>
        <v>1.8877236273904996E-3</v>
      </c>
      <c r="AJ896" s="284">
        <f>RTD("money.excel",,$G896,"PredictVolume")</f>
        <v>306</v>
      </c>
      <c r="AK896" s="399">
        <f>IFERROR(VLOOKUP($G896,基本資料!$A:$M,13,0),"無")</f>
        <v>13.34</v>
      </c>
    </row>
    <row r="897" spans="1:37">
      <c r="A897" s="347">
        <f>IFERROR(VLOOKUP($G897,基本資料!$A:$J,3,0),"無")</f>
        <v>20.6</v>
      </c>
      <c r="B897" s="79">
        <f>IFERROR(VLOOKUP($G897,基本資料!$A:$J,4,0),"無")</f>
        <v>170</v>
      </c>
      <c r="C897" s="79">
        <f>IFERROR(VLOOKUP($G897,基本資料!$A:$J,5,0),"無")</f>
        <v>78</v>
      </c>
      <c r="D897" s="79">
        <f>IFERROR(VLOOKUP($G897,基本資料!$A:$J,6,0),"無")</f>
        <v>19</v>
      </c>
      <c r="E897" s="79">
        <f>IFERROR(VLOOKUP($G897,基本資料!$A:$J,7,0),"無")</f>
        <v>1</v>
      </c>
      <c r="F897" s="6">
        <f>IFERROR(VLOOKUP($G897,基本資料!$A:$J,8,0),"無")</f>
        <v>13.3</v>
      </c>
      <c r="G897" s="79">
        <v>6168</v>
      </c>
      <c r="H897" s="8" t="s">
        <v>1878</v>
      </c>
      <c r="I897" s="22" t="s">
        <v>4271</v>
      </c>
      <c r="J897" s="8">
        <f>IFERROR(VLOOKUP($G897,今日總結!$A:$AJ,35,0),"")</f>
        <v>0</v>
      </c>
      <c r="K897" s="5" t="str">
        <f>IFERROR(VLOOKUP($G897,今日總結!$A:$AJ,36,0),"")</f>
        <v>融借</v>
      </c>
      <c r="L897" s="156">
        <f>IFERROR(VLOOKUP($G897,今日總結!$A:$AJ,33,0),"")</f>
        <v>0</v>
      </c>
      <c r="M897" s="340">
        <f>IFERROR(VLOOKUP($G897,今日總結!$A:$AJ,34,0),"")</f>
        <v>2</v>
      </c>
      <c r="N897" s="240">
        <f t="shared" si="182"/>
        <v>-2</v>
      </c>
      <c r="P897" s="365">
        <f>IFERROR(VLOOKUP($G897,融外自投!$A:$J,7,0),"無")</f>
        <v>473</v>
      </c>
      <c r="Q897" s="79">
        <f>IFERROR(VLOOKUP($G897,融外自投!$A:$J,9,0),"無")</f>
        <v>233</v>
      </c>
      <c r="R897" s="346">
        <f>IFERROR(VLOOKUP($G897,融外自投!$A:$J,8,0),"無")</f>
        <v>1015</v>
      </c>
      <c r="S897" s="81">
        <f>IFERROR(VLOOKUP($G897,融外自投!$A:$J,10,0),"無")</f>
        <v>491</v>
      </c>
      <c r="T897" s="327">
        <f>IFERROR(VLOOKUP($G897,'321買'!$A:$E,5,0),"'沒有資料'")</f>
        <v>379</v>
      </c>
      <c r="U897" s="186">
        <f>IFERROR(VLOOKUP($G897,基本資料!$A:$J,9,0),"無")</f>
        <v>1.5</v>
      </c>
      <c r="V897" s="310">
        <f t="shared" si="177"/>
        <v>7.1942446043165464E-2</v>
      </c>
      <c r="W897" s="94">
        <f>IFERROR(VLOOKUP($G897,基本資料!$A:$J,10,0),"無")</f>
        <v>1.8</v>
      </c>
      <c r="X897" s="36">
        <f>RTD("money.excel",,"6168","Price")</f>
        <v>20.85</v>
      </c>
      <c r="Y897" s="66"/>
      <c r="Z897" s="15">
        <f t="shared" si="178"/>
        <v>20.85</v>
      </c>
      <c r="AA897" s="3" t="e">
        <f t="shared" si="179"/>
        <v>#DIV/0!</v>
      </c>
      <c r="AB897" s="344">
        <f>IFERROR(VLOOKUP($G897,基本資料!$A:$M,11,0),"無")</f>
        <v>-43.4</v>
      </c>
      <c r="AC897" s="397">
        <f>IFERROR(VLOOKUP($G897,基本資料!$A:$M,12,0),"無")</f>
        <v>26.59</v>
      </c>
      <c r="AD897" s="22" t="s">
        <v>4271</v>
      </c>
      <c r="AG897" s="33">
        <f t="shared" si="180"/>
        <v>0</v>
      </c>
      <c r="AH897" s="117" t="s">
        <v>4153</v>
      </c>
      <c r="AI897" s="63">
        <f t="shared" si="181"/>
        <v>1.8640776699029127E-3</v>
      </c>
      <c r="AJ897" s="284">
        <f>RTD("money.excel",,$G897,"PredictVolume")</f>
        <v>384</v>
      </c>
      <c r="AK897" s="399">
        <f>IFERROR(VLOOKUP($G897,基本資料!$A:$M,13,0),"無")</f>
        <v>27.91</v>
      </c>
    </row>
    <row r="898" spans="1:37">
      <c r="A898" s="347">
        <f>IFERROR(VLOOKUP($G898,基本資料!$A:$J,3,0),"無")</f>
        <v>46.5</v>
      </c>
      <c r="B898" s="79">
        <f>IFERROR(VLOOKUP($G898,基本資料!$A:$J,4,0),"無")</f>
        <v>0</v>
      </c>
      <c r="C898" s="79">
        <f>IFERROR(VLOOKUP($G898,基本資料!$A:$J,5,0),"無")</f>
        <v>-5</v>
      </c>
      <c r="D898" s="79">
        <f>IFERROR(VLOOKUP($G898,基本資料!$A:$J,6,0),"無")</f>
        <v>-51</v>
      </c>
      <c r="E898" s="79">
        <f>IFERROR(VLOOKUP($G898,基本資料!$A:$J,7,0),"無")</f>
        <v>-43</v>
      </c>
      <c r="F898" s="6">
        <f>IFERROR(VLOOKUP($G898,基本資料!$A:$J,8,0),"無")</f>
        <v>13.29</v>
      </c>
      <c r="G898" s="79">
        <v>6176</v>
      </c>
      <c r="H898" s="192" t="s">
        <v>1878</v>
      </c>
      <c r="I898" s="22" t="s">
        <v>4272</v>
      </c>
      <c r="J898" s="8" t="str">
        <f>IFERROR(VLOOKUP($G898,今日總結!$A:$AJ,35,0),"")</f>
        <v>自</v>
      </c>
      <c r="K898" s="5">
        <f>IFERROR(VLOOKUP($G898,今日總結!$A:$AJ,36,0),"")</f>
        <v>0</v>
      </c>
      <c r="L898" s="156">
        <f>IFERROR(VLOOKUP($G898,今日總結!$A:$AJ,33,0),"")</f>
        <v>1</v>
      </c>
      <c r="M898" s="340">
        <f>IFERROR(VLOOKUP($G898,今日總結!$A:$AJ,34,0),"")</f>
        <v>0</v>
      </c>
      <c r="N898" s="240">
        <f t="shared" si="182"/>
        <v>1</v>
      </c>
      <c r="P898" s="365">
        <f>IFERROR(VLOOKUP($G898,融外自投!$A:$J,7,0),"無")</f>
        <v>1070</v>
      </c>
      <c r="Q898" s="79">
        <f>IFERROR(VLOOKUP($G898,融外自投!$A:$J,9,0),"無")</f>
        <v>4</v>
      </c>
      <c r="R898" s="346">
        <f>IFERROR(VLOOKUP($G898,融外自投!$A:$J,8,0),"無")</f>
        <v>175</v>
      </c>
      <c r="S898" s="81">
        <f>IFERROR(VLOOKUP($G898,融外自投!$A:$J,10,0),"無")</f>
        <v>32</v>
      </c>
      <c r="T898" s="327">
        <f>IFERROR(VLOOKUP($G898,'321買'!$A:$E,5,0),"'沒有資料'")</f>
        <v>59</v>
      </c>
      <c r="U898" s="186">
        <f>IFERROR(VLOOKUP($G898,基本資料!$A:$J,9,0),"無")</f>
        <v>8</v>
      </c>
      <c r="V898" s="310">
        <f t="shared" si="177"/>
        <v>0.08</v>
      </c>
      <c r="W898" s="94">
        <f>IFERROR(VLOOKUP($G898,基本資料!$A:$J,10,0),"無")</f>
        <v>11.16</v>
      </c>
      <c r="X898" s="36">
        <f>RTD("money.excel",,"6176","Price")</f>
        <v>100</v>
      </c>
      <c r="Y898" s="66"/>
      <c r="Z898" s="15">
        <f t="shared" si="178"/>
        <v>100</v>
      </c>
      <c r="AA898" s="3" t="e">
        <f t="shared" si="179"/>
        <v>#DIV/0!</v>
      </c>
      <c r="AB898" s="344">
        <f>IFERROR(VLOOKUP($G898,基本資料!$A:$M,11,0),"無")</f>
        <v>-21.84</v>
      </c>
      <c r="AC898" s="397">
        <f>IFERROR(VLOOKUP($G898,基本資料!$A:$M,12,0),"無")</f>
        <v>46.85</v>
      </c>
      <c r="AD898" s="22" t="s">
        <v>4272</v>
      </c>
      <c r="AG898" s="33">
        <f t="shared" si="180"/>
        <v>0</v>
      </c>
      <c r="AH898" s="117" t="s">
        <v>4195</v>
      </c>
      <c r="AI898" s="63">
        <f t="shared" si="181"/>
        <v>3.7655913978494626E-3</v>
      </c>
      <c r="AJ898" s="284">
        <f>RTD("money.excel",,$G898,"PredictVolume")</f>
        <v>1751</v>
      </c>
      <c r="AK898" s="399">
        <f>IFERROR(VLOOKUP($G898,基本資料!$A:$M,13,0),"無")</f>
        <v>3.84</v>
      </c>
    </row>
    <row r="899" spans="1:37">
      <c r="A899" s="347">
        <f>IFERROR(VLOOKUP($G899,基本資料!$A:$J,3,0),"無")</f>
        <v>17.420000000000002</v>
      </c>
      <c r="B899" s="79">
        <f>IFERROR(VLOOKUP($G899,基本資料!$A:$J,4,0),"無")</f>
        <v>30</v>
      </c>
      <c r="C899" s="79">
        <f>IFERROR(VLOOKUP($G899,基本資料!$A:$J,5,0),"無")</f>
        <v>-3</v>
      </c>
      <c r="D899" s="79">
        <f>IFERROR(VLOOKUP($G899,基本資料!$A:$J,6,0),"無")</f>
        <v>-19</v>
      </c>
      <c r="E899" s="79">
        <f>IFERROR(VLOOKUP($G899,基本資料!$A:$J,7,0),"無")</f>
        <v>10</v>
      </c>
      <c r="F899" s="6">
        <f>IFERROR(VLOOKUP($G899,基本資料!$A:$J,8,0),"無")</f>
        <v>-6.13</v>
      </c>
      <c r="G899" s="79">
        <v>6209</v>
      </c>
      <c r="H899" s="195" t="s">
        <v>1878</v>
      </c>
      <c r="I899" s="22" t="s">
        <v>4273</v>
      </c>
      <c r="J899" s="8">
        <f>IFERROR(VLOOKUP($G899,今日總結!$A:$AJ,35,0),"")</f>
        <v>0</v>
      </c>
      <c r="K899" s="5" t="str">
        <f>IFERROR(VLOOKUP($G899,今日總結!$A:$AJ,36,0),"")</f>
        <v>融</v>
      </c>
      <c r="L899" s="156">
        <f>IFERROR(VLOOKUP($G899,今日總結!$A:$AJ,33,0),"")</f>
        <v>0</v>
      </c>
      <c r="M899" s="340">
        <f>IFERROR(VLOOKUP($G899,今日總結!$A:$AJ,34,0),"")</f>
        <v>1</v>
      </c>
      <c r="N899" s="240">
        <f t="shared" si="182"/>
        <v>-1</v>
      </c>
      <c r="P899" s="365">
        <f>IFERROR(VLOOKUP($G899,融外自投!$A:$J,7,0),"無")</f>
        <v>225</v>
      </c>
      <c r="Q899" s="79">
        <f>IFERROR(VLOOKUP($G899,融外自投!$A:$J,9,0),"無")</f>
        <v>537</v>
      </c>
      <c r="R899" s="346">
        <f>IFERROR(VLOOKUP($G899,融外自投!$A:$J,8,0),"無")</f>
        <v>1188</v>
      </c>
      <c r="S899" s="81" t="str">
        <f>IFERROR(VLOOKUP($G899,融外自投!$A:$J,10,0),"無")</f>
        <v>無</v>
      </c>
      <c r="T899" s="327">
        <f>IFERROR(VLOOKUP($G899,'321買'!$A:$E,5,0),"'沒有資料'")</f>
        <v>683</v>
      </c>
      <c r="U899" s="186">
        <f>IFERROR(VLOOKUP($G899,基本資料!$A:$J,9,0),"無")</f>
        <v>0.5</v>
      </c>
      <c r="V899" s="310">
        <f t="shared" si="177"/>
        <v>1.834862385321101E-2</v>
      </c>
      <c r="W899" s="94">
        <f>IFERROR(VLOOKUP($G899,基本資料!$A:$J,10,0),"無")</f>
        <v>-0.91</v>
      </c>
      <c r="X899" s="36">
        <f>RTD("money.excel",,"6209","Price")</f>
        <v>27.25</v>
      </c>
      <c r="Y899" s="66"/>
      <c r="Z899" s="15">
        <f t="shared" si="178"/>
        <v>27.25</v>
      </c>
      <c r="AA899" s="3" t="e">
        <f t="shared" si="179"/>
        <v>#DIV/0!</v>
      </c>
      <c r="AB899" s="344">
        <f>IFERROR(VLOOKUP($G899,基本資料!$A:$M,11,0),"無")</f>
        <v>-30.34</v>
      </c>
      <c r="AC899" s="397">
        <f>IFERROR(VLOOKUP($G899,基本資料!$A:$M,12,0),"無")</f>
        <v>23.99</v>
      </c>
      <c r="AD899" s="22" t="s">
        <v>4273</v>
      </c>
      <c r="AG899" s="33">
        <f t="shared" si="180"/>
        <v>0</v>
      </c>
      <c r="AH899" s="119" t="s">
        <v>2031</v>
      </c>
      <c r="AI899" s="63">
        <f t="shared" si="181"/>
        <v>1.8082663605051661E-3</v>
      </c>
      <c r="AJ899" s="284">
        <f>RTD("money.excel",,$G899,"PredictVolume")</f>
        <v>315</v>
      </c>
      <c r="AK899" s="399">
        <f>IFERROR(VLOOKUP($G899,基本資料!$A:$M,13,0),"無")</f>
        <v>13.53</v>
      </c>
    </row>
    <row r="900" spans="1:37">
      <c r="A900" s="347">
        <f>IFERROR(VLOOKUP($G900,基本資料!$A:$J,3,0),"無")</f>
        <v>4.05</v>
      </c>
      <c r="B900" s="79">
        <f>IFERROR(VLOOKUP($G900,基本資料!$A:$J,4,0),"無")</f>
        <v>-326</v>
      </c>
      <c r="C900" s="79">
        <f>IFERROR(VLOOKUP($G900,基本資料!$A:$J,5,0),"無")</f>
        <v>-146</v>
      </c>
      <c r="D900" s="79">
        <f>IFERROR(VLOOKUP($G900,基本資料!$A:$J,6,0),"無")</f>
        <v>51</v>
      </c>
      <c r="E900" s="79">
        <f>IFERROR(VLOOKUP($G900,基本資料!$A:$J,7,0),"無")</f>
        <v>-93</v>
      </c>
      <c r="F900" s="6">
        <f>IFERROR(VLOOKUP($G900,基本資料!$A:$J,8,0),"無")</f>
        <v>-2.16</v>
      </c>
      <c r="G900" s="79">
        <v>6222</v>
      </c>
      <c r="H900" s="8" t="s">
        <v>1878</v>
      </c>
      <c r="I900" s="16" t="s">
        <v>4274</v>
      </c>
      <c r="J900" s="8" t="str">
        <f>IFERROR(VLOOKUP($G900,今日總結!$A:$AJ,35,0),"")</f>
        <v/>
      </c>
      <c r="K900" s="5" t="str">
        <f>IFERROR(VLOOKUP($G900,今日總結!$A:$AJ,36,0),"")</f>
        <v/>
      </c>
      <c r="L900" s="156" t="str">
        <f>IFERROR(VLOOKUP($G900,今日總結!$A:$AJ,33,0),"")</f>
        <v/>
      </c>
      <c r="M900" s="340" t="str">
        <f>IFERROR(VLOOKUP($G900,今日總結!$A:$AJ,34,0),"")</f>
        <v/>
      </c>
      <c r="N900" s="240" t="str">
        <f t="shared" si="182"/>
        <v/>
      </c>
      <c r="P900" s="365" t="str">
        <f>IFERROR(VLOOKUP($G900,融外自投!$A:$J,7,0),"無")</f>
        <v>無</v>
      </c>
      <c r="Q900" s="79" t="str">
        <f>IFERROR(VLOOKUP($G900,融外自投!$A:$J,9,0),"無")</f>
        <v>無</v>
      </c>
      <c r="R900" s="346" t="str">
        <f>IFERROR(VLOOKUP($G900,融外自投!$A:$J,8,0),"無")</f>
        <v>無</v>
      </c>
      <c r="S900" s="81" t="str">
        <f>IFERROR(VLOOKUP($G900,融外自投!$A:$J,10,0),"無")</f>
        <v>無</v>
      </c>
      <c r="T900" s="327" t="str">
        <f>IFERROR(VLOOKUP($G900,'321買'!$A:$E,5,0),"'沒有資料'")</f>
        <v>'沒有資料'</v>
      </c>
      <c r="U900" s="186">
        <f>IFERROR(VLOOKUP($G900,基本資料!$A:$J,9,0),"無")</f>
        <v>0</v>
      </c>
      <c r="V900" s="310">
        <f t="shared" si="177"/>
        <v>0</v>
      </c>
      <c r="W900" s="94">
        <f>IFERROR(VLOOKUP($G900,基本資料!$A:$J,10,0),"無")</f>
        <v>-0.38</v>
      </c>
      <c r="X900" s="36">
        <f>RTD("money.excel",,"6246","Price")</f>
        <v>13.8</v>
      </c>
      <c r="Y900" s="66"/>
      <c r="Z900" s="15">
        <f t="shared" si="178"/>
        <v>13.8</v>
      </c>
      <c r="AA900" s="3" t="e">
        <f t="shared" si="179"/>
        <v>#DIV/0!</v>
      </c>
      <c r="AB900" s="344">
        <f>IFERROR(VLOOKUP($G900,基本資料!$A:$M,11,0),"無")</f>
        <v>-10.37</v>
      </c>
      <c r="AC900" s="397">
        <f>IFERROR(VLOOKUP($G900,基本資料!$A:$M,12,0),"無")</f>
        <v>80.14</v>
      </c>
      <c r="AD900" s="16" t="s">
        <v>4274</v>
      </c>
      <c r="AG900" s="33">
        <f t="shared" si="180"/>
        <v>0</v>
      </c>
      <c r="AH900" s="43" t="s">
        <v>4147</v>
      </c>
      <c r="AI900" s="63">
        <f t="shared" si="181"/>
        <v>1.3086419753086419E-3</v>
      </c>
      <c r="AJ900" s="284">
        <f>RTD("money.excel",,$G900,"PredictVolume")</f>
        <v>53</v>
      </c>
      <c r="AK900" s="399">
        <f>IFERROR(VLOOKUP($G900,基本資料!$A:$M,13,0),"無")</f>
        <v>1.34</v>
      </c>
    </row>
    <row r="901" spans="1:37">
      <c r="A901" s="347">
        <f>IFERROR(VLOOKUP($G901,基本資料!$A:$J,3,0),"無")</f>
        <v>4.37</v>
      </c>
      <c r="B901" s="79">
        <f>IFERROR(VLOOKUP($G901,基本資料!$A:$J,4,0),"無")</f>
        <v>44</v>
      </c>
      <c r="C901" s="79">
        <f>IFERROR(VLOOKUP($G901,基本資料!$A:$J,5,0),"無")</f>
        <v>41</v>
      </c>
      <c r="D901" s="79">
        <f>IFERROR(VLOOKUP($G901,基本資料!$A:$J,6,0),"無")</f>
        <v>-56</v>
      </c>
      <c r="E901" s="79">
        <f>IFERROR(VLOOKUP($G901,基本資料!$A:$J,7,0),"無")</f>
        <v>-34</v>
      </c>
      <c r="F901" s="6">
        <f>IFERROR(VLOOKUP($G901,基本資料!$A:$J,8,0),"無")</f>
        <v>-12.42</v>
      </c>
      <c r="G901" s="79">
        <v>6225</v>
      </c>
      <c r="H901" s="8" t="s">
        <v>1878</v>
      </c>
      <c r="I901" s="22" t="s">
        <v>4275</v>
      </c>
      <c r="J901" s="8" t="str">
        <f>IFERROR(VLOOKUP($G901,今日總結!$A:$AJ,35,0),"")</f>
        <v/>
      </c>
      <c r="K901" s="5" t="str">
        <f>IFERROR(VLOOKUP($G901,今日總結!$A:$AJ,36,0),"")</f>
        <v/>
      </c>
      <c r="L901" s="156" t="str">
        <f>IFERROR(VLOOKUP($G901,今日總結!$A:$AJ,33,0),"")</f>
        <v/>
      </c>
      <c r="M901" s="340" t="str">
        <f>IFERROR(VLOOKUP($G901,今日總結!$A:$AJ,34,0),"")</f>
        <v/>
      </c>
      <c r="N901" s="240" t="str">
        <f t="shared" si="182"/>
        <v/>
      </c>
      <c r="P901" s="365" t="str">
        <f>IFERROR(VLOOKUP($G901,融外自投!$A:$J,7,0),"無")</f>
        <v>無</v>
      </c>
      <c r="Q901" s="79" t="str">
        <f>IFERROR(VLOOKUP($G901,融外自投!$A:$J,9,0),"無")</f>
        <v>無</v>
      </c>
      <c r="R901" s="346" t="str">
        <f>IFERROR(VLOOKUP($G901,融外自投!$A:$J,8,0),"無")</f>
        <v>無</v>
      </c>
      <c r="S901" s="81" t="str">
        <f>IFERROR(VLOOKUP($G901,融外自投!$A:$J,10,0),"無")</f>
        <v>無</v>
      </c>
      <c r="T901" s="327" t="str">
        <f>IFERROR(VLOOKUP($G901,'321買'!$A:$E,5,0),"'沒有資料'")</f>
        <v>'沒有資料'</v>
      </c>
      <c r="U901" s="186">
        <f>IFERROR(VLOOKUP($G901,基本資料!$A:$J,9,0),"無")</f>
        <v>0</v>
      </c>
      <c r="V901" s="310">
        <f t="shared" si="177"/>
        <v>0</v>
      </c>
      <c r="W901" s="94">
        <f>IFERROR(VLOOKUP($G901,基本資料!$A:$J,10,0),"無")</f>
        <v>-0.09</v>
      </c>
      <c r="X901" s="36">
        <f>RTD("money.excel",,"6225","Price")</f>
        <v>11.6</v>
      </c>
      <c r="Y901" s="66"/>
      <c r="Z901" s="15">
        <f t="shared" si="178"/>
        <v>11.6</v>
      </c>
      <c r="AA901" s="3" t="e">
        <f t="shared" si="179"/>
        <v>#DIV/0!</v>
      </c>
      <c r="AB901" s="344">
        <f>IFERROR(VLOOKUP($G901,基本資料!$A:$M,11,0),"無")</f>
        <v>-16.79</v>
      </c>
      <c r="AC901" s="397">
        <f>IFERROR(VLOOKUP($G901,基本資料!$A:$M,12,0),"無")</f>
        <v>56.7</v>
      </c>
      <c r="AD901" s="22" t="s">
        <v>4275</v>
      </c>
      <c r="AG901" s="33">
        <f t="shared" si="180"/>
        <v>0</v>
      </c>
      <c r="AH901" s="43" t="s">
        <v>4276</v>
      </c>
      <c r="AI901" s="63">
        <f t="shared" si="181"/>
        <v>3.8901601830663616E-4</v>
      </c>
      <c r="AJ901" s="284">
        <f>RTD("money.excel",,$G901,"PredictVolume")</f>
        <v>17</v>
      </c>
      <c r="AK901" s="399">
        <f>IFERROR(VLOOKUP($G901,基本資料!$A:$M,13,0),"無")</f>
        <v>2.44</v>
      </c>
    </row>
    <row r="902" spans="1:37">
      <c r="A902" s="347">
        <f>IFERROR(VLOOKUP($G902,基本資料!$A:$J,3,0),"無")</f>
        <v>11.65</v>
      </c>
      <c r="B902" s="79">
        <f>IFERROR(VLOOKUP($G902,基本資料!$A:$J,4,0),"無")</f>
        <v>85</v>
      </c>
      <c r="C902" s="79">
        <f>IFERROR(VLOOKUP($G902,基本資料!$A:$J,5,0),"無")</f>
        <v>142</v>
      </c>
      <c r="D902" s="79">
        <f>IFERROR(VLOOKUP($G902,基本資料!$A:$J,6,0),"無")</f>
        <v>177</v>
      </c>
      <c r="E902" s="79">
        <f>IFERROR(VLOOKUP($G902,基本資料!$A:$J,7,0),"無")</f>
        <v>88</v>
      </c>
      <c r="F902" s="6">
        <f>IFERROR(VLOOKUP($G902,基本資料!$A:$J,8,0),"無")</f>
        <v>0.55000000000000004</v>
      </c>
      <c r="G902" s="79">
        <v>6226</v>
      </c>
      <c r="H902" s="8" t="s">
        <v>1878</v>
      </c>
      <c r="I902" s="22" t="s">
        <v>4277</v>
      </c>
      <c r="J902" s="8">
        <f>IFERROR(VLOOKUP($G902,今日總結!$A:$AJ,35,0),"")</f>
        <v>0</v>
      </c>
      <c r="K902" s="5" t="str">
        <f>IFERROR(VLOOKUP($G902,今日總結!$A:$AJ,36,0),"")</f>
        <v>融</v>
      </c>
      <c r="L902" s="156">
        <f>IFERROR(VLOOKUP($G902,今日總結!$A:$AJ,33,0),"")</f>
        <v>0</v>
      </c>
      <c r="M902" s="340">
        <f>IFERROR(VLOOKUP($G902,今日總結!$A:$AJ,34,0),"")</f>
        <v>1</v>
      </c>
      <c r="N902" s="240">
        <f t="shared" si="182"/>
        <v>-1</v>
      </c>
      <c r="P902" s="365">
        <f>IFERROR(VLOOKUP($G902,融外自投!$A:$J,7,0),"無")</f>
        <v>360</v>
      </c>
      <c r="Q902" s="79">
        <f>IFERROR(VLOOKUP($G902,融外自投!$A:$J,9,0),"無")</f>
        <v>447</v>
      </c>
      <c r="R902" s="346">
        <f>IFERROR(VLOOKUP($G902,融外自投!$A:$J,8,0),"無")</f>
        <v>925</v>
      </c>
      <c r="S902" s="81" t="str">
        <f>IFERROR(VLOOKUP($G902,融外自投!$A:$J,10,0),"無")</f>
        <v>無</v>
      </c>
      <c r="T902" s="327">
        <f>IFERROR(VLOOKUP($G902,'321買'!$A:$E,5,0),"'沒有資料'")</f>
        <v>430</v>
      </c>
      <c r="U902" s="186">
        <f>IFERROR(VLOOKUP($G902,基本資料!$A:$J,9,0),"無")</f>
        <v>0.12</v>
      </c>
      <c r="V902" s="310">
        <f t="shared" si="177"/>
        <v>1.0810810810810811E-2</v>
      </c>
      <c r="W902" s="94">
        <f>IFERROR(VLOOKUP($G902,基本資料!$A:$J,10,0),"無")</f>
        <v>0.01</v>
      </c>
      <c r="X902" s="36">
        <f>RTD("money.excel",,"6226","Price")</f>
        <v>11.1</v>
      </c>
      <c r="Y902" s="66"/>
      <c r="Z902" s="15">
        <f t="shared" si="178"/>
        <v>11.1</v>
      </c>
      <c r="AA902" s="3" t="e">
        <f t="shared" si="179"/>
        <v>#DIV/0!</v>
      </c>
      <c r="AB902" s="344">
        <f>IFERROR(VLOOKUP($G902,基本資料!$A:$M,11,0),"無")</f>
        <v>-43.6</v>
      </c>
      <c r="AC902" s="397">
        <f>IFERROR(VLOOKUP($G902,基本資料!$A:$M,12,0),"無")</f>
        <v>26.35</v>
      </c>
      <c r="AD902" s="22" t="s">
        <v>4277</v>
      </c>
      <c r="AG902" s="33">
        <f t="shared" si="180"/>
        <v>0</v>
      </c>
      <c r="AH902" s="43" t="s">
        <v>4153</v>
      </c>
      <c r="AI902" s="63">
        <f t="shared" si="181"/>
        <v>4.763948497854077E-3</v>
      </c>
      <c r="AJ902" s="284">
        <f>RTD("money.excel",,$G902,"PredictVolume")</f>
        <v>555</v>
      </c>
      <c r="AK902" s="399">
        <f>IFERROR(VLOOKUP($G902,基本資料!$A:$M,13,0),"無")</f>
        <v>55.63</v>
      </c>
    </row>
    <row r="903" spans="1:37">
      <c r="A903" s="347">
        <f>IFERROR(VLOOKUP($G903,基本資料!$A:$J,3,0),"無")</f>
        <v>10.029999999999999</v>
      </c>
      <c r="B903" s="79">
        <f>IFERROR(VLOOKUP($G903,基本資料!$A:$J,4,0),"無")</f>
        <v>12</v>
      </c>
      <c r="C903" s="79">
        <f>IFERROR(VLOOKUP($G903,基本資料!$A:$J,5,0),"無")</f>
        <v>14</v>
      </c>
      <c r="D903" s="79">
        <f>IFERROR(VLOOKUP($G903,基本資料!$A:$J,6,0),"無")</f>
        <v>1214</v>
      </c>
      <c r="E903" s="79">
        <f>IFERROR(VLOOKUP($G903,基本資料!$A:$J,7,0),"無")</f>
        <v>789</v>
      </c>
      <c r="F903" s="6">
        <f>IFERROR(VLOOKUP($G903,基本資料!$A:$J,8,0),"無")</f>
        <v>12.73</v>
      </c>
      <c r="G903" s="79">
        <v>6234</v>
      </c>
      <c r="H903" s="8" t="s">
        <v>1878</v>
      </c>
      <c r="I903" s="16" t="s">
        <v>4278</v>
      </c>
      <c r="J903" s="8" t="str">
        <f>IFERROR(VLOOKUP($G903,今日總結!$A:$AJ,35,0),"")</f>
        <v/>
      </c>
      <c r="K903" s="5" t="str">
        <f>IFERROR(VLOOKUP($G903,今日總結!$A:$AJ,36,0),"")</f>
        <v/>
      </c>
      <c r="L903" s="156" t="str">
        <f>IFERROR(VLOOKUP($G903,今日總結!$A:$AJ,33,0),"")</f>
        <v/>
      </c>
      <c r="M903" s="340" t="str">
        <f>IFERROR(VLOOKUP($G903,今日總結!$A:$AJ,34,0),"")</f>
        <v/>
      </c>
      <c r="N903" s="240" t="str">
        <f t="shared" si="182"/>
        <v/>
      </c>
      <c r="P903" s="365">
        <f>IFERROR(VLOOKUP($G903,融外自投!$A:$J,7,0),"無")</f>
        <v>778</v>
      </c>
      <c r="Q903" s="79" t="str">
        <f>IFERROR(VLOOKUP($G903,融外自投!$A:$J,9,0),"無")</f>
        <v>無</v>
      </c>
      <c r="R903" s="346">
        <f>IFERROR(VLOOKUP($G903,融外自投!$A:$J,8,0),"無")</f>
        <v>465</v>
      </c>
      <c r="S903" s="81" t="str">
        <f>IFERROR(VLOOKUP($G903,融外自投!$A:$J,10,0),"無")</f>
        <v>無</v>
      </c>
      <c r="T903" s="327">
        <f>IFERROR(VLOOKUP($G903,'321買'!$A:$E,5,0),"'沒有資料'")</f>
        <v>939</v>
      </c>
      <c r="U903" s="186">
        <f>IFERROR(VLOOKUP($G903,基本資料!$A:$J,9,0),"無")</f>
        <v>0.75</v>
      </c>
      <c r="V903" s="310">
        <f t="shared" si="177"/>
        <v>3.7499999999999999E-2</v>
      </c>
      <c r="W903" s="94">
        <f>IFERROR(VLOOKUP($G903,基本資料!$A:$J,10,0),"無")</f>
        <v>1.24</v>
      </c>
      <c r="X903" s="36">
        <f>RTD("money.excel",,"6234","Price")</f>
        <v>20</v>
      </c>
      <c r="Y903" s="66"/>
      <c r="Z903" s="15">
        <f t="shared" si="178"/>
        <v>20</v>
      </c>
      <c r="AA903" s="3" t="e">
        <f t="shared" si="179"/>
        <v>#DIV/0!</v>
      </c>
      <c r="AB903" s="344">
        <f>IFERROR(VLOOKUP($G903,基本資料!$A:$M,11,0),"無")</f>
        <v>-26.47</v>
      </c>
      <c r="AC903" s="397">
        <f>IFERROR(VLOOKUP($G903,基本資料!$A:$M,12,0),"無")</f>
        <v>42.23</v>
      </c>
      <c r="AD903" s="16" t="s">
        <v>4278</v>
      </c>
      <c r="AG903" s="33">
        <f t="shared" si="180"/>
        <v>0</v>
      </c>
      <c r="AH903" s="43" t="s">
        <v>423</v>
      </c>
      <c r="AI903" s="63">
        <f t="shared" si="181"/>
        <v>1.4656031904287138E-3</v>
      </c>
      <c r="AJ903" s="284">
        <f>RTD("money.excel",,$G903,"PredictVolume")</f>
        <v>147</v>
      </c>
      <c r="AK903" s="399">
        <f>IFERROR(VLOOKUP($G903,基本資料!$A:$M,13,0),"無")</f>
        <v>10.210000000000001</v>
      </c>
    </row>
    <row r="904" spans="1:37">
      <c r="A904" s="347">
        <f>IFERROR(VLOOKUP($G904,基本資料!$A:$J,3,0),"無")</f>
        <v>35.5</v>
      </c>
      <c r="B904" s="79">
        <f>IFERROR(VLOOKUP($G904,基本資料!$A:$J,4,0),"無")</f>
        <v>-4</v>
      </c>
      <c r="C904" s="79">
        <f>IFERROR(VLOOKUP($G904,基本資料!$A:$J,5,0),"無")</f>
        <v>1789</v>
      </c>
      <c r="D904" s="79">
        <f>IFERROR(VLOOKUP($G904,基本資料!$A:$J,6,0),"無")</f>
        <v>6</v>
      </c>
      <c r="E904" s="79">
        <f>IFERROR(VLOOKUP($G904,基本資料!$A:$J,7,0),"無")</f>
        <v>-16</v>
      </c>
      <c r="F904" s="6">
        <f>IFERROR(VLOOKUP($G904,基本資料!$A:$J,8,0),"無")</f>
        <v>2.87</v>
      </c>
      <c r="G904" s="79">
        <v>6244</v>
      </c>
      <c r="H904" s="8" t="s">
        <v>1878</v>
      </c>
      <c r="I904" s="16" t="s">
        <v>4279</v>
      </c>
      <c r="J904" s="8" t="str">
        <f>IFERROR(VLOOKUP($G904,今日總結!$A:$AJ,35,0),"")</f>
        <v/>
      </c>
      <c r="K904" s="5" t="str">
        <f>IFERROR(VLOOKUP($G904,今日總結!$A:$AJ,36,0),"")</f>
        <v/>
      </c>
      <c r="L904" s="156" t="str">
        <f>IFERROR(VLOOKUP($G904,今日總結!$A:$AJ,33,0),"")</f>
        <v/>
      </c>
      <c r="M904" s="340" t="str">
        <f>IFERROR(VLOOKUP($G904,今日總結!$A:$AJ,34,0),"")</f>
        <v/>
      </c>
      <c r="N904" s="240" t="str">
        <f t="shared" si="182"/>
        <v/>
      </c>
      <c r="P904" s="365" t="str">
        <f>IFERROR(VLOOKUP($G904,融外自投!$A:$J,7,0),"無")</f>
        <v>無</v>
      </c>
      <c r="Q904" s="79" t="str">
        <f>IFERROR(VLOOKUP($G904,融外自投!$A:$J,9,0),"無")</f>
        <v>無</v>
      </c>
      <c r="R904" s="346" t="str">
        <f>IFERROR(VLOOKUP($G904,融外自投!$A:$J,8,0),"無")</f>
        <v>無</v>
      </c>
      <c r="S904" s="81" t="str">
        <f>IFERROR(VLOOKUP($G904,融外自投!$A:$J,10,0),"無")</f>
        <v>無</v>
      </c>
      <c r="T904" s="327" t="str">
        <f>IFERROR(VLOOKUP($G904,'321買'!$A:$E,5,0),"'沒有資料'")</f>
        <v>'沒有資料'</v>
      </c>
      <c r="U904" s="186">
        <f>IFERROR(VLOOKUP($G904,基本資料!$A:$J,9,0),"無")</f>
        <v>0.2</v>
      </c>
      <c r="V904" s="310">
        <f t="shared" si="177"/>
        <v>6.9204152249134959E-3</v>
      </c>
      <c r="W904" s="94">
        <f>IFERROR(VLOOKUP($G904,基本資料!$A:$J,10,0),"無")</f>
        <v>0.3</v>
      </c>
      <c r="X904" s="36">
        <f>RTD("money.excel",,"6244","Price")</f>
        <v>28.9</v>
      </c>
      <c r="Y904" s="66"/>
      <c r="Z904" s="15">
        <f t="shared" si="178"/>
        <v>28.9</v>
      </c>
      <c r="AA904" s="3" t="e">
        <f t="shared" si="179"/>
        <v>#DIV/0!</v>
      </c>
      <c r="AB904" s="344">
        <f>IFERROR(VLOOKUP($G904,基本資料!$A:$M,11,0),"無")</f>
        <v>-26.81</v>
      </c>
      <c r="AC904" s="397">
        <f>IFERROR(VLOOKUP($G904,基本資料!$A:$M,12,0),"無")</f>
        <v>21.92</v>
      </c>
      <c r="AD904" s="16" t="s">
        <v>4279</v>
      </c>
      <c r="AG904" s="33">
        <f t="shared" si="180"/>
        <v>0</v>
      </c>
      <c r="AH904" s="43" t="s">
        <v>3509</v>
      </c>
      <c r="AI904" s="63">
        <f t="shared" si="181"/>
        <v>4.2957746478873241E-3</v>
      </c>
      <c r="AJ904" s="284">
        <f>RTD("money.excel",,$G904,"PredictVolume")</f>
        <v>1525</v>
      </c>
      <c r="AK904" s="399">
        <f>IFERROR(VLOOKUP($G904,基本資料!$A:$M,13,0),"無")</f>
        <v>11.28</v>
      </c>
    </row>
    <row r="905" spans="1:37">
      <c r="A905" s="347">
        <f>IFERROR(VLOOKUP($G905,基本資料!$A:$J,3,0),"無")</f>
        <v>3.71</v>
      </c>
      <c r="B905" s="79">
        <f>IFERROR(VLOOKUP($G905,基本資料!$A:$J,4,0),"無")</f>
        <v>144</v>
      </c>
      <c r="C905" s="79">
        <f>IFERROR(VLOOKUP($G905,基本資料!$A:$J,5,0),"無")</f>
        <v>21</v>
      </c>
      <c r="D905" s="79">
        <f>IFERROR(VLOOKUP($G905,基本資料!$A:$J,6,0),"無")</f>
        <v>3</v>
      </c>
      <c r="E905" s="79">
        <f>IFERROR(VLOOKUP($G905,基本資料!$A:$J,7,0),"無")</f>
        <v>2</v>
      </c>
      <c r="F905" s="6">
        <f>IFERROR(VLOOKUP($G905,基本資料!$A:$J,8,0),"無")</f>
        <v>2.2799999999999998</v>
      </c>
      <c r="G905" s="79">
        <v>6246</v>
      </c>
      <c r="H905" s="8" t="s">
        <v>1878</v>
      </c>
      <c r="I905" s="16" t="s">
        <v>4280</v>
      </c>
      <c r="J905" s="8" t="str">
        <f>IFERROR(VLOOKUP($G905,今日總結!$A:$AJ,35,0),"")</f>
        <v/>
      </c>
      <c r="K905" s="5" t="str">
        <f>IFERROR(VLOOKUP($G905,今日總結!$A:$AJ,36,0),"")</f>
        <v/>
      </c>
      <c r="L905" s="156" t="str">
        <f>IFERROR(VLOOKUP($G905,今日總結!$A:$AJ,33,0),"")</f>
        <v/>
      </c>
      <c r="M905" s="340" t="str">
        <f>IFERROR(VLOOKUP($G905,今日總結!$A:$AJ,34,0),"")</f>
        <v/>
      </c>
      <c r="N905" s="240" t="str">
        <f t="shared" si="182"/>
        <v/>
      </c>
      <c r="P905" s="365">
        <f>IFERROR(VLOOKUP($G905,融外自投!$A:$J,7,0),"無")</f>
        <v>70</v>
      </c>
      <c r="Q905" s="79" t="str">
        <f>IFERROR(VLOOKUP($G905,融外自投!$A:$J,9,0),"無")</f>
        <v>無</v>
      </c>
      <c r="R905" s="346">
        <f>IFERROR(VLOOKUP($G905,融外自投!$A:$J,8,0),"無")</f>
        <v>1382</v>
      </c>
      <c r="S905" s="81" t="str">
        <f>IFERROR(VLOOKUP($G905,融外自投!$A:$J,10,0),"無")</f>
        <v>無</v>
      </c>
      <c r="T905" s="327">
        <f>IFERROR(VLOOKUP($G905,'321買'!$A:$E,5,0),"'沒有資料'")</f>
        <v>1198</v>
      </c>
      <c r="U905" s="186">
        <f>IFERROR(VLOOKUP($G905,基本資料!$A:$J,9,0),"無")</f>
        <v>0</v>
      </c>
      <c r="V905" s="310">
        <f t="shared" si="177"/>
        <v>0</v>
      </c>
      <c r="W905" s="94">
        <f>IFERROR(VLOOKUP($G905,基本資料!$A:$J,10,0),"無")</f>
        <v>0.91</v>
      </c>
      <c r="X905" s="36">
        <f>RTD("money.excel",,"6246","Price")</f>
        <v>13.8</v>
      </c>
      <c r="Y905" s="66"/>
      <c r="Z905" s="15">
        <f t="shared" si="178"/>
        <v>13.8</v>
      </c>
      <c r="AA905" s="3" t="e">
        <f t="shared" si="179"/>
        <v>#DIV/0!</v>
      </c>
      <c r="AB905" s="344">
        <f>IFERROR(VLOOKUP($G905,基本資料!$A:$M,11,0),"無")</f>
        <v>-44.27</v>
      </c>
      <c r="AC905" s="397">
        <f>IFERROR(VLOOKUP($G905,基本資料!$A:$M,12,0),"無")</f>
        <v>11.18</v>
      </c>
      <c r="AD905" s="16" t="s">
        <v>4280</v>
      </c>
      <c r="AG905" s="33">
        <f t="shared" si="180"/>
        <v>0</v>
      </c>
      <c r="AH905" s="43" t="s">
        <v>4217</v>
      </c>
      <c r="AI905" s="63">
        <f t="shared" ref="AI905:AI927" si="183">AJ905/(A905*10000)</f>
        <v>5.9299191374663073E-4</v>
      </c>
      <c r="AJ905" s="284">
        <f>RTD("money.excel",,$G905,"PredictVolume")</f>
        <v>22</v>
      </c>
      <c r="AK905" s="399">
        <f>IFERROR(VLOOKUP($G905,基本資料!$A:$M,13,0),"無")</f>
        <v>13.33</v>
      </c>
    </row>
    <row r="906" spans="1:37">
      <c r="A906" s="347">
        <f>IFERROR(VLOOKUP($G906,基本資料!$A:$J,3,0),"無")</f>
        <v>29.23</v>
      </c>
      <c r="B906" s="79">
        <f>IFERROR(VLOOKUP($G906,基本資料!$A:$J,4,0),"無")</f>
        <v>69</v>
      </c>
      <c r="C906" s="79">
        <f>IFERROR(VLOOKUP($G906,基本資料!$A:$J,5,0),"無")</f>
        <v>88</v>
      </c>
      <c r="D906" s="79">
        <f>IFERROR(VLOOKUP($G906,基本資料!$A:$J,6,0),"無")</f>
        <v>-24</v>
      </c>
      <c r="E906" s="79">
        <f>IFERROR(VLOOKUP($G906,基本資料!$A:$J,7,0),"無")</f>
        <v>-7</v>
      </c>
      <c r="F906" s="6">
        <f>IFERROR(VLOOKUP($G906,基本資料!$A:$J,8,0),"無")</f>
        <v>7.15</v>
      </c>
      <c r="G906" s="79">
        <v>6278</v>
      </c>
      <c r="H906" s="8" t="s">
        <v>306</v>
      </c>
      <c r="I906" s="22" t="s">
        <v>4281</v>
      </c>
      <c r="J906" s="8" t="str">
        <f>IFERROR(VLOOKUP($G906,今日總結!$A:$AJ,35,0),"")</f>
        <v/>
      </c>
      <c r="K906" s="5" t="str">
        <f>IFERROR(VLOOKUP($G906,今日總結!$A:$AJ,36,0),"")</f>
        <v/>
      </c>
      <c r="L906" s="156" t="str">
        <f>IFERROR(VLOOKUP($G906,今日總結!$A:$AJ,33,0),"")</f>
        <v/>
      </c>
      <c r="M906" s="340" t="str">
        <f>IFERROR(VLOOKUP($G906,今日總結!$A:$AJ,34,0),"")</f>
        <v/>
      </c>
      <c r="N906" s="240" t="str">
        <f t="shared" si="182"/>
        <v/>
      </c>
      <c r="P906" s="365">
        <f>IFERROR(VLOOKUP($G906,融外自投!$A:$J,7,0),"無")</f>
        <v>383</v>
      </c>
      <c r="Q906" s="79">
        <f>IFERROR(VLOOKUP($G906,融外自投!$A:$J,9,0),"無")</f>
        <v>304</v>
      </c>
      <c r="R906" s="346">
        <f>IFERROR(VLOOKUP($G906,融外自投!$A:$J,8,0),"無")</f>
        <v>367</v>
      </c>
      <c r="S906" s="81">
        <f>IFERROR(VLOOKUP($G906,融外自投!$A:$J,10,0),"無")</f>
        <v>141</v>
      </c>
      <c r="T906" s="327">
        <f>IFERROR(VLOOKUP($G906,'321買'!$A:$E,5,0),"'沒有資料'")</f>
        <v>100</v>
      </c>
      <c r="U906" s="186">
        <f>IFERROR(VLOOKUP($G906,基本資料!$A:$J,9,0),"無")</f>
        <v>6</v>
      </c>
      <c r="V906" s="310">
        <f t="shared" si="177"/>
        <v>5.8823529411764705E-2</v>
      </c>
      <c r="W906" s="94">
        <f>IFERROR(VLOOKUP($G906,基本資料!$A:$J,10,0),"無")</f>
        <v>12.7</v>
      </c>
      <c r="X906" s="36">
        <f>RTD("money.excel",,"6278","Price")</f>
        <v>102</v>
      </c>
      <c r="Y906" s="66"/>
      <c r="Z906" s="15">
        <f t="shared" si="178"/>
        <v>102</v>
      </c>
      <c r="AA906" s="3" t="e">
        <f t="shared" si="179"/>
        <v>#DIV/0!</v>
      </c>
      <c r="AB906" s="344">
        <f>IFERROR(VLOOKUP($G906,基本資料!$A:$M,11,0),"無")</f>
        <v>-29.51</v>
      </c>
      <c r="AC906" s="397">
        <f>IFERROR(VLOOKUP($G906,基本資料!$A:$M,12,0),"無")</f>
        <v>24</v>
      </c>
      <c r="AD906" s="22" t="s">
        <v>4281</v>
      </c>
      <c r="AG906" s="33">
        <f t="shared" si="180"/>
        <v>0</v>
      </c>
      <c r="AH906" s="43" t="s">
        <v>4282</v>
      </c>
      <c r="AI906" s="63">
        <f t="shared" si="183"/>
        <v>7.8549435511460833E-3</v>
      </c>
      <c r="AJ906" s="284">
        <f>RTD("money.excel",,$G906,"PredictVolume")</f>
        <v>2296</v>
      </c>
      <c r="AK906" s="399">
        <f>IFERROR(VLOOKUP($G906,基本資料!$A:$M,13,0),"無")</f>
        <v>11.08</v>
      </c>
    </row>
    <row r="907" spans="1:37">
      <c r="A907" s="347">
        <f>IFERROR(VLOOKUP($G907,基本資料!$A:$J,3,0),"無")</f>
        <v>10.47</v>
      </c>
      <c r="B907" s="79">
        <f>IFERROR(VLOOKUP($G907,基本資料!$A:$J,4,0),"無")</f>
        <v>96</v>
      </c>
      <c r="C907" s="79">
        <f>IFERROR(VLOOKUP($G907,基本資料!$A:$J,5,0),"無")</f>
        <v>17</v>
      </c>
      <c r="D907" s="79">
        <f>IFERROR(VLOOKUP($G907,基本資料!$A:$J,6,0),"無")</f>
        <v>-53</v>
      </c>
      <c r="E907" s="79">
        <f>IFERROR(VLOOKUP($G907,基本資料!$A:$J,7,0),"無")</f>
        <v>-55</v>
      </c>
      <c r="F907" s="6">
        <f>IFERROR(VLOOKUP($G907,基本資料!$A:$J,8,0),"無")</f>
        <v>-181.44</v>
      </c>
      <c r="G907" s="79">
        <v>6289</v>
      </c>
      <c r="H907" s="8" t="s">
        <v>1878</v>
      </c>
      <c r="I907" s="22" t="s">
        <v>4283</v>
      </c>
      <c r="J907" s="8" t="str">
        <f>IFERROR(VLOOKUP($G907,今日總結!$A:$AJ,35,0),"")</f>
        <v/>
      </c>
      <c r="K907" s="5" t="str">
        <f>IFERROR(VLOOKUP($G907,今日總結!$A:$AJ,36,0),"")</f>
        <v/>
      </c>
      <c r="L907" s="156" t="str">
        <f>IFERROR(VLOOKUP($G907,今日總結!$A:$AJ,33,0),"")</f>
        <v/>
      </c>
      <c r="M907" s="340" t="str">
        <f>IFERROR(VLOOKUP($G907,今日總結!$A:$AJ,34,0),"")</f>
        <v/>
      </c>
      <c r="N907" s="240" t="str">
        <f t="shared" si="182"/>
        <v/>
      </c>
      <c r="P907" s="365" t="str">
        <f>IFERROR(VLOOKUP($G907,融外自投!$A:$J,7,0),"無")</f>
        <v>無</v>
      </c>
      <c r="Q907" s="79" t="str">
        <f>IFERROR(VLOOKUP($G907,融外自投!$A:$J,9,0),"無")</f>
        <v>無</v>
      </c>
      <c r="R907" s="346" t="str">
        <f>IFERROR(VLOOKUP($G907,融外自投!$A:$J,8,0),"無")</f>
        <v>無</v>
      </c>
      <c r="S907" s="81" t="str">
        <f>IFERROR(VLOOKUP($G907,融外自投!$A:$J,10,0),"無")</f>
        <v>無</v>
      </c>
      <c r="T907" s="327" t="str">
        <f>IFERROR(VLOOKUP($G907,'321買'!$A:$E,5,0),"'沒有資料'")</f>
        <v>'沒有資料'</v>
      </c>
      <c r="U907" s="186">
        <f>IFERROR(VLOOKUP($G907,基本資料!$A:$J,9,0),"無")</f>
        <v>0</v>
      </c>
      <c r="V907" s="310">
        <f t="shared" si="177"/>
        <v>0</v>
      </c>
      <c r="W907" s="94">
        <f>IFERROR(VLOOKUP($G907,基本資料!$A:$J,10,0),"無")</f>
        <v>-0.02</v>
      </c>
      <c r="X907" s="36">
        <f>RTD("money.excel",,"6289","Price")</f>
        <v>2.63</v>
      </c>
      <c r="Y907" s="66"/>
      <c r="Z907" s="15">
        <f t="shared" si="178"/>
        <v>2.63</v>
      </c>
      <c r="AA907" s="3" t="e">
        <f t="shared" si="179"/>
        <v>#DIV/0!</v>
      </c>
      <c r="AB907" s="344">
        <f>IFERROR(VLOOKUP($G907,基本資料!$A:$M,11,0),"無")</f>
        <v>-35.31</v>
      </c>
      <c r="AC907" s="397">
        <f>IFERROR(VLOOKUP($G907,基本資料!$A:$M,12,0),"無")</f>
        <v>9.5500000000000007</v>
      </c>
      <c r="AD907" s="22" t="s">
        <v>4283</v>
      </c>
      <c r="AG907" s="33">
        <f t="shared" si="180"/>
        <v>0</v>
      </c>
      <c r="AH907" s="43" t="s">
        <v>4284</v>
      </c>
      <c r="AI907" s="63">
        <f t="shared" si="183"/>
        <v>1.5281757402101241E-4</v>
      </c>
      <c r="AJ907" s="284">
        <f>RTD("money.excel",,$G907,"PredictVolume")</f>
        <v>16</v>
      </c>
      <c r="AK907" s="399">
        <f>IFERROR(VLOOKUP($G907,基本資料!$A:$M,13,0),"無")</f>
        <v>2.9</v>
      </c>
    </row>
    <row r="908" spans="1:37">
      <c r="A908" s="347">
        <f>IFERROR(VLOOKUP($G908,基本資料!$A:$J,3,0),"無")</f>
        <v>6.58</v>
      </c>
      <c r="B908" s="79">
        <f>IFERROR(VLOOKUP($G908,基本資料!$A:$J,4,0),"無")</f>
        <v>14</v>
      </c>
      <c r="C908" s="79">
        <f>IFERROR(VLOOKUP($G908,基本資料!$A:$J,5,0),"無")</f>
        <v>128</v>
      </c>
      <c r="D908" s="79">
        <f>IFERROR(VLOOKUP($G908,基本資料!$A:$J,6,0),"無")</f>
        <v>21</v>
      </c>
      <c r="E908" s="79">
        <f>IFERROR(VLOOKUP($G908,基本資料!$A:$J,7,0),"無")</f>
        <v>8</v>
      </c>
      <c r="F908" s="6">
        <f>IFERROR(VLOOKUP($G908,基本資料!$A:$J,8,0),"無")</f>
        <v>4.38</v>
      </c>
      <c r="G908" s="79">
        <v>6405</v>
      </c>
      <c r="H908" s="8" t="s">
        <v>1878</v>
      </c>
      <c r="I908" s="22" t="s">
        <v>4285</v>
      </c>
      <c r="J908" s="8">
        <f>IFERROR(VLOOKUP($G908,今日總結!$A:$AJ,35,0),"")</f>
        <v>0</v>
      </c>
      <c r="K908" s="5">
        <f>IFERROR(VLOOKUP($G908,今日總結!$A:$AJ,36,0),"")</f>
        <v>0</v>
      </c>
      <c r="L908" s="156">
        <f>IFERROR(VLOOKUP($G908,今日總結!$A:$AJ,33,0),"")</f>
        <v>0</v>
      </c>
      <c r="M908" s="340">
        <f>IFERROR(VLOOKUP($G908,今日總結!$A:$AJ,34,0),"")</f>
        <v>1</v>
      </c>
      <c r="N908" s="240">
        <f t="shared" si="182"/>
        <v>-1</v>
      </c>
      <c r="P908" s="365">
        <f>IFERROR(VLOOKUP($G908,融外自投!$A:$J,7,0),"無")</f>
        <v>197</v>
      </c>
      <c r="Q908" s="79">
        <f>IFERROR(VLOOKUP($G908,融外自投!$A:$J,9,0),"無")</f>
        <v>978</v>
      </c>
      <c r="R908" s="346">
        <f>IFERROR(VLOOKUP($G908,融外自投!$A:$J,8,0),"無")</f>
        <v>1318</v>
      </c>
      <c r="S908" s="81" t="str">
        <f>IFERROR(VLOOKUP($G908,融外自投!$A:$J,10,0),"無")</f>
        <v>無</v>
      </c>
      <c r="T908" s="327">
        <f>IFERROR(VLOOKUP($G908,'321買'!$A:$E,5,0),"'沒有資料'")</f>
        <v>217</v>
      </c>
      <c r="U908" s="186">
        <f>IFERROR(VLOOKUP($G908,基本資料!$A:$J,9,0),"無")</f>
        <v>2</v>
      </c>
      <c r="V908" s="310">
        <f t="shared" si="177"/>
        <v>8.0971659919028341E-2</v>
      </c>
      <c r="W908" s="94">
        <f>IFERROR(VLOOKUP($G908,基本資料!$A:$J,10,0),"無")</f>
        <v>1.51</v>
      </c>
      <c r="X908" s="36">
        <f>RTD("money.excel",,"6405","Price")</f>
        <v>24.7</v>
      </c>
      <c r="Y908" s="66"/>
      <c r="Z908" s="15">
        <f t="shared" si="178"/>
        <v>24.7</v>
      </c>
      <c r="AA908" s="3" t="e">
        <f t="shared" si="179"/>
        <v>#DIV/0!</v>
      </c>
      <c r="AB908" s="344">
        <f>IFERROR(VLOOKUP($G908,基本資料!$A:$M,11,0),"無")</f>
        <v>-52.03</v>
      </c>
      <c r="AC908" s="397">
        <f>IFERROR(VLOOKUP($G908,基本資料!$A:$M,12,0),"無")</f>
        <v>11.83</v>
      </c>
      <c r="AD908" s="22" t="s">
        <v>4285</v>
      </c>
      <c r="AG908" s="33">
        <f t="shared" si="180"/>
        <v>0</v>
      </c>
      <c r="AH908" s="43" t="s">
        <v>2031</v>
      </c>
      <c r="AI908" s="63">
        <f t="shared" si="183"/>
        <v>5.7750759878419454E-4</v>
      </c>
      <c r="AJ908" s="284">
        <f>RTD("money.excel",,$G908,"PredictVolume")</f>
        <v>38</v>
      </c>
      <c r="AK908" s="399">
        <f>IFERROR(VLOOKUP($G908,基本資料!$A:$M,13,0),"無")</f>
        <v>9.1</v>
      </c>
    </row>
    <row r="909" spans="1:37">
      <c r="A909" s="347">
        <f>IFERROR(VLOOKUP($G909,基本資料!$A:$J,3,0),"無")</f>
        <v>1.31</v>
      </c>
      <c r="B909" s="79">
        <f>IFERROR(VLOOKUP($G909,基本資料!$A:$J,4,0),"無")</f>
        <v>186</v>
      </c>
      <c r="C909" s="79">
        <f>IFERROR(VLOOKUP($G909,基本資料!$A:$J,5,0),"無")</f>
        <v>73</v>
      </c>
      <c r="D909" s="79">
        <f>IFERROR(VLOOKUP($G909,基本資料!$A:$J,6,0),"無")</f>
        <v>101</v>
      </c>
      <c r="E909" s="79">
        <f>IFERROR(VLOOKUP($G909,基本資料!$A:$J,7,0),"無")</f>
        <v>-5</v>
      </c>
      <c r="F909" s="6">
        <f>IFERROR(VLOOKUP($G909,基本資料!$A:$J,8,0),"無")</f>
        <v>-5.13</v>
      </c>
      <c r="G909" s="79">
        <v>6419</v>
      </c>
      <c r="H909" s="8" t="s">
        <v>1878</v>
      </c>
      <c r="I909" s="16" t="s">
        <v>4286</v>
      </c>
      <c r="J909" s="8" t="str">
        <f>IFERROR(VLOOKUP($G909,今日總結!$A:$AJ,35,0),"")</f>
        <v/>
      </c>
      <c r="K909" s="5" t="str">
        <f>IFERROR(VLOOKUP($G909,今日總結!$A:$AJ,36,0),"")</f>
        <v/>
      </c>
      <c r="L909" s="156" t="str">
        <f>IFERROR(VLOOKUP($G909,今日總結!$A:$AJ,33,0),"")</f>
        <v/>
      </c>
      <c r="M909" s="340" t="str">
        <f>IFERROR(VLOOKUP($G909,今日總結!$A:$AJ,34,0),"")</f>
        <v/>
      </c>
      <c r="N909" s="240" t="str">
        <f t="shared" si="182"/>
        <v/>
      </c>
      <c r="P909" s="365" t="str">
        <f>IFERROR(VLOOKUP($G909,融外自投!$A:$J,7,0),"無")</f>
        <v>無</v>
      </c>
      <c r="Q909" s="79" t="str">
        <f>IFERROR(VLOOKUP($G909,融外自投!$A:$J,9,0),"無")</f>
        <v>無</v>
      </c>
      <c r="R909" s="346" t="str">
        <f>IFERROR(VLOOKUP($G909,融外自投!$A:$J,8,0),"無")</f>
        <v>無</v>
      </c>
      <c r="S909" s="81" t="str">
        <f>IFERROR(VLOOKUP($G909,融外自投!$A:$J,10,0),"無")</f>
        <v>無</v>
      </c>
      <c r="T909" s="327" t="str">
        <f>IFERROR(VLOOKUP($G909,'321買'!$A:$E,5,0),"'沒有資料'")</f>
        <v>'沒有資料'</v>
      </c>
      <c r="U909" s="186">
        <f>IFERROR(VLOOKUP($G909,基本資料!$A:$J,9,0),"無")</f>
        <v>0</v>
      </c>
      <c r="V909" s="310">
        <f t="shared" si="177"/>
        <v>0</v>
      </c>
      <c r="W909" s="94">
        <f>IFERROR(VLOOKUP($G909,基本資料!$A:$J,10,0),"無")</f>
        <v>4.87</v>
      </c>
      <c r="X909" s="36">
        <f>RTD("money.excel",,"6419","Price")</f>
        <v>26</v>
      </c>
      <c r="Y909" s="66"/>
      <c r="Z909" s="15">
        <f t="shared" si="178"/>
        <v>26</v>
      </c>
      <c r="AA909" s="3" t="e">
        <f t="shared" si="179"/>
        <v>#DIV/0!</v>
      </c>
      <c r="AB909" s="344">
        <f>IFERROR(VLOOKUP($G909,基本資料!$A:$M,11,0),"無")</f>
        <v>-51.3</v>
      </c>
      <c r="AC909" s="397">
        <f>IFERROR(VLOOKUP($G909,基本資料!$A:$M,12,0),"無")</f>
        <v>14.56</v>
      </c>
      <c r="AD909" s="16" t="s">
        <v>4286</v>
      </c>
      <c r="AG909" s="33">
        <f t="shared" si="180"/>
        <v>0</v>
      </c>
      <c r="AH909" s="43" t="s">
        <v>2435</v>
      </c>
      <c r="AI909" s="63">
        <f t="shared" si="183"/>
        <v>1.9083969465648854E-3</v>
      </c>
      <c r="AJ909" s="284">
        <f>RTD("money.excel",,$G909,"PredictVolume")</f>
        <v>25</v>
      </c>
      <c r="AK909" s="399">
        <f>IFERROR(VLOOKUP($G909,基本資料!$A:$M,13,0),"無")</f>
        <v>9.33</v>
      </c>
    </row>
    <row r="910" spans="1:37">
      <c r="A910" s="347">
        <f>IFERROR(VLOOKUP($G910,基本資料!$A:$J,3,0),"無")</f>
        <v>5.72</v>
      </c>
      <c r="B910" s="79">
        <f>IFERROR(VLOOKUP($G910,基本資料!$A:$J,4,0),"無")</f>
        <v>157</v>
      </c>
      <c r="C910" s="79">
        <f>IFERROR(VLOOKUP($G910,基本資料!$A:$J,5,0),"無")</f>
        <v>84</v>
      </c>
      <c r="D910" s="79">
        <f>IFERROR(VLOOKUP($G910,基本資料!$A:$J,6,0),"無")</f>
        <v>39</v>
      </c>
      <c r="E910" s="79">
        <f>IFERROR(VLOOKUP($G910,基本資料!$A:$J,7,0),"無")</f>
        <v>228</v>
      </c>
      <c r="F910" s="6">
        <f>IFERROR(VLOOKUP($G910,基本資料!$A:$J,8,0),"無")</f>
        <v>-2.82</v>
      </c>
      <c r="G910" s="79">
        <v>6431</v>
      </c>
      <c r="H910" s="8" t="s">
        <v>1878</v>
      </c>
      <c r="I910" s="22" t="s">
        <v>4287</v>
      </c>
      <c r="J910" s="8" t="str">
        <f>IFERROR(VLOOKUP($G910,今日總結!$A:$AJ,35,0),"")</f>
        <v/>
      </c>
      <c r="K910" s="5" t="str">
        <f>IFERROR(VLOOKUP($G910,今日總結!$A:$AJ,36,0),"")</f>
        <v/>
      </c>
      <c r="L910" s="156" t="str">
        <f>IFERROR(VLOOKUP($G910,今日總結!$A:$AJ,33,0),"")</f>
        <v/>
      </c>
      <c r="M910" s="340" t="str">
        <f>IFERROR(VLOOKUP($G910,今日總結!$A:$AJ,34,0),"")</f>
        <v/>
      </c>
      <c r="N910" s="240" t="str">
        <f t="shared" si="182"/>
        <v/>
      </c>
      <c r="P910" s="365" t="str">
        <f>IFERROR(VLOOKUP($G910,融外自投!$A:$J,7,0),"無")</f>
        <v>無</v>
      </c>
      <c r="Q910" s="79" t="str">
        <f>IFERROR(VLOOKUP($G910,融外自投!$A:$J,9,0),"無")</f>
        <v>無</v>
      </c>
      <c r="R910" s="346" t="str">
        <f>IFERROR(VLOOKUP($G910,融外自投!$A:$J,8,0),"無")</f>
        <v>無</v>
      </c>
      <c r="S910" s="81" t="str">
        <f>IFERROR(VLOOKUP($G910,融外自投!$A:$J,10,0),"無")</f>
        <v>無</v>
      </c>
      <c r="T910" s="327" t="str">
        <f>IFERROR(VLOOKUP($G910,'321買'!$A:$E,5,0),"'沒有資料'")</f>
        <v>'沒有資料'</v>
      </c>
      <c r="U910" s="186">
        <f>IFERROR(VLOOKUP($G910,基本資料!$A:$J,9,0),"無")</f>
        <v>0</v>
      </c>
      <c r="V910" s="310" t="e">
        <f t="shared" si="177"/>
        <v>#VALUE!</v>
      </c>
      <c r="W910" s="94">
        <f>IFERROR(VLOOKUP($G910,基本資料!$A:$J,10,0),"無")</f>
        <v>0.51</v>
      </c>
      <c r="X910" s="36" t="str">
        <f>RTD("money.excel",,"6431","Price")</f>
        <v>無資料</v>
      </c>
      <c r="Y910" s="66"/>
      <c r="Z910" s="15" t="e">
        <f t="shared" si="178"/>
        <v>#VALUE!</v>
      </c>
      <c r="AA910" s="3" t="e">
        <f t="shared" si="179"/>
        <v>#VALUE!</v>
      </c>
      <c r="AB910" s="344">
        <f>IFERROR(VLOOKUP($G910,基本資料!$A:$M,11,0),"無")</f>
        <v>-29.59</v>
      </c>
      <c r="AC910" s="397">
        <f>IFERROR(VLOOKUP($G910,基本資料!$A:$M,12,0),"無")</f>
        <v>42.57</v>
      </c>
      <c r="AD910" s="22" t="s">
        <v>4287</v>
      </c>
      <c r="AG910" s="33">
        <f t="shared" si="180"/>
        <v>0</v>
      </c>
      <c r="AH910" s="43" t="s">
        <v>2189</v>
      </c>
      <c r="AI910" s="63">
        <f t="shared" si="183"/>
        <v>0</v>
      </c>
      <c r="AJ910" s="284">
        <f>RTD("money.excel",,$G910,"PredictVolume")</f>
        <v>0</v>
      </c>
      <c r="AK910" s="399">
        <f>IFERROR(VLOOKUP($G910,基本資料!$A:$M,13,0),"無")</f>
        <v>1.75</v>
      </c>
    </row>
    <row r="911" spans="1:37">
      <c r="A911" s="347">
        <f>IFERROR(VLOOKUP($G911,基本資料!$A:$J,3,0),"無")</f>
        <v>44.57</v>
      </c>
      <c r="B911" s="79">
        <f>IFERROR(VLOOKUP($G911,基本資料!$A:$J,4,0),"無")</f>
        <v>116</v>
      </c>
      <c r="C911" s="79">
        <f>IFERROR(VLOOKUP($G911,基本資料!$A:$J,5,0),"無")</f>
        <v>119</v>
      </c>
      <c r="D911" s="79">
        <f>IFERROR(VLOOKUP($G911,基本資料!$A:$J,6,0),"無")</f>
        <v>1</v>
      </c>
      <c r="E911" s="79">
        <f>IFERROR(VLOOKUP($G911,基本資料!$A:$J,7,0),"無")</f>
        <v>54</v>
      </c>
      <c r="F911" s="6">
        <f>IFERROR(VLOOKUP($G911,基本資料!$A:$J,8,0),"無")</f>
        <v>0.92</v>
      </c>
      <c r="G911" s="79">
        <v>6443</v>
      </c>
      <c r="H911" s="8" t="s">
        <v>1878</v>
      </c>
      <c r="I911" s="22" t="s">
        <v>4288</v>
      </c>
      <c r="J911" s="8">
        <f>IFERROR(VLOOKUP($G911,今日總結!$A:$AJ,35,0),"")</f>
        <v>0</v>
      </c>
      <c r="K911" s="5">
        <f>IFERROR(VLOOKUP($G911,今日總結!$A:$AJ,36,0),"")</f>
        <v>462</v>
      </c>
      <c r="L911" s="156">
        <f>IFERROR(VLOOKUP($G911,今日總結!$A:$AJ,33,0),"")</f>
        <v>0</v>
      </c>
      <c r="M911" s="340">
        <f>IFERROR(VLOOKUP($G911,今日總結!$A:$AJ,34,0),"")</f>
        <v>3</v>
      </c>
      <c r="N911" s="240">
        <f t="shared" si="182"/>
        <v>-3</v>
      </c>
      <c r="P911" s="365">
        <f>IFERROR(VLOOKUP($G911,融外自投!$A:$J,7,0),"無")</f>
        <v>113</v>
      </c>
      <c r="Q911" s="79">
        <f>IFERROR(VLOOKUP($G911,融外自投!$A:$J,9,0),"無")</f>
        <v>308</v>
      </c>
      <c r="R911" s="346">
        <f>IFERROR(VLOOKUP($G911,融外自投!$A:$J,8,0),"無")</f>
        <v>274</v>
      </c>
      <c r="S911" s="81">
        <f>IFERROR(VLOOKUP($G911,融外自投!$A:$J,10,0),"無")</f>
        <v>18</v>
      </c>
      <c r="T911" s="327">
        <f>IFERROR(VLOOKUP($G911,'321買'!$A:$E,5,0),"'沒有資料'")</f>
        <v>138</v>
      </c>
      <c r="U911" s="186">
        <f>IFERROR(VLOOKUP($G911,基本資料!$A:$J,9,0),"無")</f>
        <v>0</v>
      </c>
      <c r="V911" s="310">
        <f t="shared" si="177"/>
        <v>0</v>
      </c>
      <c r="W911" s="94">
        <f>IFERROR(VLOOKUP($G911,基本資料!$A:$J,10,0),"無")</f>
        <v>0.1</v>
      </c>
      <c r="X911" s="36">
        <f>RTD("money.excel",,"6443","Price")</f>
        <v>37</v>
      </c>
      <c r="Y911" s="66"/>
      <c r="Z911" s="15">
        <f t="shared" si="178"/>
        <v>37</v>
      </c>
      <c r="AA911" s="3" t="e">
        <f t="shared" si="179"/>
        <v>#DIV/0!</v>
      </c>
      <c r="AB911" s="344">
        <f>IFERROR(VLOOKUP($G911,基本資料!$A:$M,11,0),"無")</f>
        <v>-22.82</v>
      </c>
      <c r="AC911" s="397">
        <f>IFERROR(VLOOKUP($G911,基本資料!$A:$M,12,0),"無")</f>
        <v>39.86</v>
      </c>
      <c r="AD911" s="22" t="s">
        <v>4288</v>
      </c>
      <c r="AG911" s="33">
        <f t="shared" si="180"/>
        <v>0</v>
      </c>
      <c r="AH911" s="43" t="s">
        <v>4289</v>
      </c>
      <c r="AI911" s="63">
        <f t="shared" si="183"/>
        <v>7.4188916311420244E-2</v>
      </c>
      <c r="AJ911" s="317">
        <f>RTD("money.excel",,$G911,"PredictVolume")</f>
        <v>33066</v>
      </c>
      <c r="AK911" s="399">
        <f>IFERROR(VLOOKUP($G911,基本資料!$A:$M,13,0),"無")</f>
        <v>44.71</v>
      </c>
    </row>
    <row r="912" spans="1:37">
      <c r="A912" s="347">
        <f>IFERROR(VLOOKUP($G912,基本資料!$A:$J,3,0),"無")</f>
        <v>33.79</v>
      </c>
      <c r="B912" s="79">
        <f>IFERROR(VLOOKUP($G912,基本資料!$A:$J,4,0),"無")</f>
        <v>16</v>
      </c>
      <c r="C912" s="79">
        <f>IFERROR(VLOOKUP($G912,基本資料!$A:$J,5,0),"無")</f>
        <v>47</v>
      </c>
      <c r="D912" s="79">
        <f>IFERROR(VLOOKUP($G912,基本資料!$A:$J,6,0),"無")</f>
        <v>-36</v>
      </c>
      <c r="E912" s="79">
        <f>IFERROR(VLOOKUP($G912,基本資料!$A:$J,7,0),"無")</f>
        <v>-23</v>
      </c>
      <c r="F912" s="6">
        <f>IFERROR(VLOOKUP($G912,基本資料!$A:$J,8,0),"無")</f>
        <v>2.83</v>
      </c>
      <c r="G912" s="79">
        <v>6456</v>
      </c>
      <c r="H912" s="192" t="s">
        <v>1878</v>
      </c>
      <c r="I912" s="22" t="s">
        <v>4290</v>
      </c>
      <c r="J912" s="8">
        <f>IFERROR(VLOOKUP($G912,今日總結!$A:$AJ,35,0),"")</f>
        <v>0</v>
      </c>
      <c r="K912" s="5">
        <f>IFERROR(VLOOKUP($G912,今日總結!$A:$AJ,36,0),"")</f>
        <v>0</v>
      </c>
      <c r="L912" s="156">
        <f>IFERROR(VLOOKUP($G912,今日總結!$A:$AJ,33,0),"")</f>
        <v>0</v>
      </c>
      <c r="M912" s="340">
        <f>IFERROR(VLOOKUP($G912,今日總結!$A:$AJ,34,0),"")</f>
        <v>1</v>
      </c>
      <c r="N912" s="240">
        <f t="shared" si="182"/>
        <v>-1</v>
      </c>
      <c r="P912" s="365">
        <f>IFERROR(VLOOKUP($G912,融外自投!$A:$J,7,0),"無")</f>
        <v>640</v>
      </c>
      <c r="Q912" s="79">
        <f>IFERROR(VLOOKUP($G912,融外自投!$A:$J,9,0),"無")</f>
        <v>329</v>
      </c>
      <c r="R912" s="346">
        <f>IFERROR(VLOOKUP($G912,融外自投!$A:$J,8,0),"無")</f>
        <v>56</v>
      </c>
      <c r="S912" s="81">
        <f>IFERROR(VLOOKUP($G912,融外自投!$A:$J,10,0),"無")</f>
        <v>311</v>
      </c>
      <c r="T912" s="327">
        <f>IFERROR(VLOOKUP($G912,'321買'!$A:$E,5,0),"'沒有資料'")</f>
        <v>802</v>
      </c>
      <c r="U912" s="186">
        <f>IFERROR(VLOOKUP($G912,基本資料!$A:$J,9,0),"無")</f>
        <v>5</v>
      </c>
      <c r="V912" s="310">
        <f t="shared" si="177"/>
        <v>5.9952038369304551E-2</v>
      </c>
      <c r="W912" s="94">
        <f>IFERROR(VLOOKUP($G912,基本資料!$A:$J,10,0),"無")</f>
        <v>12.97</v>
      </c>
      <c r="X912" s="36">
        <f>RTD("money.excel",,"6456","Price")</f>
        <v>83.4</v>
      </c>
      <c r="Y912" s="66"/>
      <c r="Z912" s="15">
        <f t="shared" si="178"/>
        <v>83.4</v>
      </c>
      <c r="AA912" s="3" t="e">
        <f t="shared" si="179"/>
        <v>#DIV/0!</v>
      </c>
      <c r="AB912" s="344">
        <f>IFERROR(VLOOKUP($G912,基本資料!$A:$M,11,0),"無")</f>
        <v>-31.11</v>
      </c>
      <c r="AC912" s="397">
        <f>IFERROR(VLOOKUP($G912,基本資料!$A:$M,12,0),"無")</f>
        <v>27.99</v>
      </c>
      <c r="AD912" s="22" t="s">
        <v>4290</v>
      </c>
      <c r="AG912" s="33">
        <f t="shared" si="180"/>
        <v>0</v>
      </c>
      <c r="AH912" s="117" t="s">
        <v>4291</v>
      </c>
      <c r="AI912" s="63">
        <f t="shared" si="183"/>
        <v>5.9337081976916246E-3</v>
      </c>
      <c r="AJ912" s="284">
        <f>RTD("money.excel",,$G912,"PredictVolume")</f>
        <v>2005</v>
      </c>
      <c r="AK912" s="399">
        <f>IFERROR(VLOOKUP($G912,基本資料!$A:$M,13,0),"無")</f>
        <v>6.02</v>
      </c>
    </row>
    <row r="913" spans="1:37">
      <c r="A913" s="347">
        <f>IFERROR(VLOOKUP($G913,基本資料!$A:$J,3,0),"無")</f>
        <v>11.75</v>
      </c>
      <c r="B913" s="79">
        <f>IFERROR(VLOOKUP($G913,基本資料!$A:$J,4,0),"無")</f>
        <v>-49</v>
      </c>
      <c r="C913" s="79">
        <f>IFERROR(VLOOKUP($G913,基本資料!$A:$J,5,0),"無")</f>
        <v>-45</v>
      </c>
      <c r="D913" s="79">
        <f>IFERROR(VLOOKUP($G913,基本資料!$A:$J,6,0),"無")</f>
        <v>27</v>
      </c>
      <c r="E913" s="79">
        <f>IFERROR(VLOOKUP($G913,基本資料!$A:$J,7,0),"無")</f>
        <v>212</v>
      </c>
      <c r="F913" s="6">
        <f>IFERROR(VLOOKUP($G913,基本資料!$A:$J,8,0),"無")</f>
        <v>11.76</v>
      </c>
      <c r="G913" s="79">
        <v>6477</v>
      </c>
      <c r="H913" s="8" t="s">
        <v>1878</v>
      </c>
      <c r="I913" s="22" t="s">
        <v>451</v>
      </c>
      <c r="J913" s="8" t="str">
        <f>IFERROR(VLOOKUP($G913,今日總結!$A:$AJ,35,0),"")</f>
        <v/>
      </c>
      <c r="K913" s="5" t="str">
        <f>IFERROR(VLOOKUP($G913,今日總結!$A:$AJ,36,0),"")</f>
        <v/>
      </c>
      <c r="L913" s="156" t="str">
        <f>IFERROR(VLOOKUP($G913,今日總結!$A:$AJ,33,0),"")</f>
        <v/>
      </c>
      <c r="M913" s="340" t="str">
        <f>IFERROR(VLOOKUP($G913,今日總結!$A:$AJ,34,0),"")</f>
        <v/>
      </c>
      <c r="N913" s="240" t="str">
        <f t="shared" si="182"/>
        <v/>
      </c>
      <c r="P913" s="365">
        <f>IFERROR(VLOOKUP($G913,融外自投!$A:$J,7,0),"無")</f>
        <v>195</v>
      </c>
      <c r="Q913" s="79">
        <f>IFERROR(VLOOKUP($G913,融外自投!$A:$J,9,0),"無")</f>
        <v>256</v>
      </c>
      <c r="R913" s="346">
        <f>IFERROR(VLOOKUP($G913,融外自投!$A:$J,8,0),"無")</f>
        <v>956</v>
      </c>
      <c r="S913" s="81">
        <f>IFERROR(VLOOKUP($G913,融外自投!$A:$J,10,0),"無")</f>
        <v>27</v>
      </c>
      <c r="T913" s="327">
        <f>IFERROR(VLOOKUP($G913,'321買'!$A:$E,5,0),"'沒有資料'")</f>
        <v>164</v>
      </c>
      <c r="U913" s="186">
        <f>IFERROR(VLOOKUP($G913,基本資料!$A:$J,9,0),"無")</f>
        <v>0.52</v>
      </c>
      <c r="V913" s="310">
        <f t="shared" si="177"/>
        <v>9.4890510948905122E-3</v>
      </c>
      <c r="W913" s="94">
        <f>IFERROR(VLOOKUP($G913,基本資料!$A:$J,10,0),"無")</f>
        <v>1.1599999999999999</v>
      </c>
      <c r="X913" s="36">
        <f>RTD("money.excel",,"6477","Price")</f>
        <v>54.8</v>
      </c>
      <c r="Y913" s="66"/>
      <c r="Z913" s="15">
        <f t="shared" si="178"/>
        <v>54.8</v>
      </c>
      <c r="AA913" s="3" t="e">
        <f t="shared" si="179"/>
        <v>#DIV/0!</v>
      </c>
      <c r="AB913" s="344">
        <f>IFERROR(VLOOKUP($G913,基本資料!$A:$M,11,0),"無")</f>
        <v>-17.14</v>
      </c>
      <c r="AC913" s="397">
        <f>IFERROR(VLOOKUP($G913,基本資料!$A:$M,12,0),"無")</f>
        <v>44.05</v>
      </c>
      <c r="AD913" s="22" t="s">
        <v>451</v>
      </c>
      <c r="AG913" s="33">
        <f t="shared" si="180"/>
        <v>0</v>
      </c>
      <c r="AH913" s="43" t="s">
        <v>3509</v>
      </c>
      <c r="AI913" s="63">
        <f t="shared" si="183"/>
        <v>4.0885106382978723E-2</v>
      </c>
      <c r="AJ913" s="284">
        <f>RTD("money.excel",,$G913,"PredictVolume")</f>
        <v>4804</v>
      </c>
      <c r="AK913" s="399">
        <f>IFERROR(VLOOKUP($G913,基本資料!$A:$M,13,0),"無")</f>
        <v>55.72</v>
      </c>
    </row>
    <row r="914" spans="1:37">
      <c r="A914" s="347">
        <f>IFERROR(VLOOKUP($G914,基本資料!$A:$J,3,0),"無")</f>
        <v>2.87</v>
      </c>
      <c r="B914" s="79">
        <f>IFERROR(VLOOKUP($G914,基本資料!$A:$J,4,0),"無")</f>
        <v>107</v>
      </c>
      <c r="C914" s="79">
        <f>IFERROR(VLOOKUP($G914,基本資料!$A:$J,5,0),"無")</f>
        <v>90</v>
      </c>
      <c r="D914" s="79">
        <f>IFERROR(VLOOKUP($G914,基本資料!$A:$J,6,0),"無")</f>
        <v>-19</v>
      </c>
      <c r="E914" s="79">
        <f>IFERROR(VLOOKUP($G914,基本資料!$A:$J,7,0),"無")</f>
        <v>17</v>
      </c>
      <c r="F914" s="6">
        <f>IFERROR(VLOOKUP($G914,基本資料!$A:$J,8,0),"無")</f>
        <v>8.16</v>
      </c>
      <c r="G914" s="79">
        <v>6556</v>
      </c>
      <c r="H914" s="8" t="s">
        <v>1878</v>
      </c>
      <c r="I914" s="16" t="s">
        <v>4292</v>
      </c>
      <c r="J914" s="8" t="str">
        <f>IFERROR(VLOOKUP($G914,今日總結!$A:$AJ,35,0),"")</f>
        <v/>
      </c>
      <c r="K914" s="5" t="str">
        <f>IFERROR(VLOOKUP($G914,今日總結!$A:$AJ,36,0),"")</f>
        <v/>
      </c>
      <c r="L914" s="156" t="str">
        <f>IFERROR(VLOOKUP($G914,今日總結!$A:$AJ,33,0),"")</f>
        <v/>
      </c>
      <c r="M914" s="340" t="str">
        <f>IFERROR(VLOOKUP($G914,今日總結!$A:$AJ,34,0),"")</f>
        <v/>
      </c>
      <c r="N914" s="240" t="str">
        <f t="shared" si="182"/>
        <v/>
      </c>
      <c r="P914" s="365" t="str">
        <f>IFERROR(VLOOKUP($G914,融外自投!$A:$J,7,0),"無")</f>
        <v>無</v>
      </c>
      <c r="Q914" s="79" t="str">
        <f>IFERROR(VLOOKUP($G914,融外自投!$A:$J,9,0),"無")</f>
        <v>無</v>
      </c>
      <c r="R914" s="346" t="str">
        <f>IFERROR(VLOOKUP($G914,融外自投!$A:$J,8,0),"無")</f>
        <v>無</v>
      </c>
      <c r="S914" s="81" t="str">
        <f>IFERROR(VLOOKUP($G914,融外自投!$A:$J,10,0),"無")</f>
        <v>無</v>
      </c>
      <c r="T914" s="327" t="str">
        <f>IFERROR(VLOOKUP($G914,'321買'!$A:$E,5,0),"'沒有資料'")</f>
        <v>'沒有資料'</v>
      </c>
      <c r="U914" s="186">
        <f>IFERROR(VLOOKUP($G914,基本資料!$A:$J,9,0),"無")</f>
        <v>3.2</v>
      </c>
      <c r="V914" s="310">
        <f t="shared" si="177"/>
        <v>5.2202283849918436E-2</v>
      </c>
      <c r="W914" s="94">
        <f>IFERROR(VLOOKUP($G914,基本資料!$A:$J,10,0),"無")</f>
        <v>4.46</v>
      </c>
      <c r="X914" s="36">
        <f>RTD("money.excel",,"6556","Price")</f>
        <v>61.3</v>
      </c>
      <c r="Y914" s="66"/>
      <c r="Z914" s="15">
        <f t="shared" si="178"/>
        <v>61.3</v>
      </c>
      <c r="AA914" s="3" t="e">
        <f t="shared" si="179"/>
        <v>#DIV/0!</v>
      </c>
      <c r="AB914" s="344">
        <f>IFERROR(VLOOKUP($G914,基本資料!$A:$M,11,0),"無")</f>
        <v>-24.16</v>
      </c>
      <c r="AC914" s="397">
        <f>IFERROR(VLOOKUP($G914,基本資料!$A:$M,12,0),"無")</f>
        <v>30.1</v>
      </c>
      <c r="AD914" s="16" t="s">
        <v>4292</v>
      </c>
      <c r="AG914" s="33">
        <f t="shared" si="180"/>
        <v>0</v>
      </c>
      <c r="AH914" s="43" t="s">
        <v>4293</v>
      </c>
      <c r="AI914" s="63">
        <f t="shared" si="183"/>
        <v>3.4843205574912892E-5</v>
      </c>
      <c r="AJ914" s="284">
        <f>RTD("money.excel",,$G914,"PredictVolume")</f>
        <v>1</v>
      </c>
      <c r="AK914" s="399">
        <f>IFERROR(VLOOKUP($G914,基本資料!$A:$M,13,0),"無")</f>
        <v>1.38</v>
      </c>
    </row>
    <row r="915" spans="1:37">
      <c r="A915" s="347">
        <f>IFERROR(VLOOKUP($G915,基本資料!$A:$J,3,0),"無")</f>
        <v>2.06</v>
      </c>
      <c r="B915" s="79">
        <f>IFERROR(VLOOKUP($G915,基本資料!$A:$J,4,0),"無")</f>
        <v>76</v>
      </c>
      <c r="C915" s="79">
        <f>IFERROR(VLOOKUP($G915,基本資料!$A:$J,5,0),"無")</f>
        <v>67</v>
      </c>
      <c r="D915" s="79">
        <f>IFERROR(VLOOKUP($G915,基本資料!$A:$J,6,0),"無")</f>
        <v>-21</v>
      </c>
      <c r="E915" s="79">
        <f>IFERROR(VLOOKUP($G915,基本資料!$A:$J,7,0),"無")</f>
        <v>-57</v>
      </c>
      <c r="F915" s="6">
        <f>IFERROR(VLOOKUP($G915,基本資料!$A:$J,8,0),"無")</f>
        <v>19.850000000000001</v>
      </c>
      <c r="G915" s="79">
        <v>6560</v>
      </c>
      <c r="H915" s="8" t="s">
        <v>1878</v>
      </c>
      <c r="I915" s="16" t="s">
        <v>4294</v>
      </c>
      <c r="J915" s="8" t="str">
        <f>IFERROR(VLOOKUP($G915,今日總結!$A:$AJ,35,0),"")</f>
        <v/>
      </c>
      <c r="K915" s="5" t="str">
        <f>IFERROR(VLOOKUP($G915,今日總結!$A:$AJ,36,0),"")</f>
        <v/>
      </c>
      <c r="L915" s="156" t="str">
        <f>IFERROR(VLOOKUP($G915,今日總結!$A:$AJ,33,0),"")</f>
        <v/>
      </c>
      <c r="M915" s="340" t="str">
        <f>IFERROR(VLOOKUP($G915,今日總結!$A:$AJ,34,0),"")</f>
        <v/>
      </c>
      <c r="N915" s="240" t="str">
        <f t="shared" si="182"/>
        <v/>
      </c>
      <c r="P915" s="365" t="str">
        <f>IFERROR(VLOOKUP($G915,融外自投!$A:$J,7,0),"無")</f>
        <v>無</v>
      </c>
      <c r="Q915" s="79" t="str">
        <f>IFERROR(VLOOKUP($G915,融外自投!$A:$J,9,0),"無")</f>
        <v>無</v>
      </c>
      <c r="R915" s="346" t="str">
        <f>IFERROR(VLOOKUP($G915,融外自投!$A:$J,8,0),"無")</f>
        <v>無</v>
      </c>
      <c r="S915" s="81" t="str">
        <f>IFERROR(VLOOKUP($G915,融外自投!$A:$J,10,0),"無")</f>
        <v>無</v>
      </c>
      <c r="T915" s="327" t="str">
        <f>IFERROR(VLOOKUP($G915,'321買'!$A:$E,5,0),"'沒有資料'")</f>
        <v>'沒有資料'</v>
      </c>
      <c r="U915" s="186">
        <f>IFERROR(VLOOKUP($G915,基本資料!$A:$J,9,0),"無")</f>
        <v>7.5</v>
      </c>
      <c r="V915" s="310">
        <f t="shared" si="177"/>
        <v>0.11904761904761904</v>
      </c>
      <c r="W915" s="94">
        <f>IFERROR(VLOOKUP($G915,基本資料!$A:$J,10,0),"無")</f>
        <v>9.43</v>
      </c>
      <c r="X915" s="36">
        <f>RTD("money.excel",,"6560","Price")</f>
        <v>63</v>
      </c>
      <c r="Y915" s="66"/>
      <c r="Z915" s="15">
        <f t="shared" si="178"/>
        <v>63</v>
      </c>
      <c r="AA915" s="3" t="e">
        <f t="shared" si="179"/>
        <v>#DIV/0!</v>
      </c>
      <c r="AB915" s="344">
        <f>IFERROR(VLOOKUP($G915,基本資料!$A:$M,11,0),"無")</f>
        <v>-44.89</v>
      </c>
      <c r="AC915" s="397">
        <f>IFERROR(VLOOKUP($G915,基本資料!$A:$M,12,0),"無")</f>
        <v>15.66</v>
      </c>
      <c r="AD915" s="16" t="s">
        <v>4294</v>
      </c>
      <c r="AG915" s="33">
        <f t="shared" si="180"/>
        <v>0</v>
      </c>
      <c r="AH915" s="43" t="s">
        <v>2048</v>
      </c>
      <c r="AI915" s="63">
        <f t="shared" si="183"/>
        <v>4.8058252427184466E-3</v>
      </c>
      <c r="AJ915" s="284">
        <f>RTD("money.excel",,$G915,"PredictVolume")</f>
        <v>99</v>
      </c>
      <c r="AK915" s="399">
        <f>IFERROR(VLOOKUP($G915,基本資料!$A:$M,13,0),"無")</f>
        <v>6.31</v>
      </c>
    </row>
    <row r="916" spans="1:37">
      <c r="A916" s="347">
        <f>IFERROR(VLOOKUP($G916,基本資料!$A:$J,3,0),"無")</f>
        <v>7.82</v>
      </c>
      <c r="B916" s="79">
        <f>IFERROR(VLOOKUP($G916,基本資料!$A:$J,4,0),"無")</f>
        <v>-341</v>
      </c>
      <c r="C916" s="79">
        <f>IFERROR(VLOOKUP($G916,基本資料!$A:$J,5,0),"無")</f>
        <v>-214</v>
      </c>
      <c r="D916" s="79">
        <f>IFERROR(VLOOKUP($G916,基本資料!$A:$J,6,0),"無")</f>
        <v>51</v>
      </c>
      <c r="E916" s="79">
        <f>IFERROR(VLOOKUP($G916,基本資料!$A:$J,7,0),"無")</f>
        <v>-27</v>
      </c>
      <c r="F916" s="6">
        <f>IFERROR(VLOOKUP($G916,基本資料!$A:$J,8,0),"無")</f>
        <v>-18.920000000000002</v>
      </c>
      <c r="G916" s="79">
        <v>6668</v>
      </c>
      <c r="H916" s="192" t="s">
        <v>1878</v>
      </c>
      <c r="I916" s="22" t="s">
        <v>4295</v>
      </c>
      <c r="J916" s="8" t="str">
        <f>IFERROR(VLOOKUP($G916,今日總結!$A:$AJ,35,0),"")</f>
        <v/>
      </c>
      <c r="K916" s="5" t="str">
        <f>IFERROR(VLOOKUP($G916,今日總結!$A:$AJ,36,0),"")</f>
        <v/>
      </c>
      <c r="L916" s="156" t="str">
        <f>IFERROR(VLOOKUP($G916,今日總結!$A:$AJ,33,0),"")</f>
        <v/>
      </c>
      <c r="M916" s="340" t="str">
        <f>IFERROR(VLOOKUP($G916,今日總結!$A:$AJ,34,0),"")</f>
        <v/>
      </c>
      <c r="N916" s="240" t="str">
        <f t="shared" si="182"/>
        <v/>
      </c>
      <c r="P916" s="365">
        <f>IFERROR(VLOOKUP($G916,融外自投!$A:$J,7,0),"無")</f>
        <v>460</v>
      </c>
      <c r="Q916" s="79">
        <f>IFERROR(VLOOKUP($G916,融外自投!$A:$J,9,0),"無")</f>
        <v>243</v>
      </c>
      <c r="R916" s="346">
        <f>IFERROR(VLOOKUP($G916,融外自投!$A:$J,8,0),"無")</f>
        <v>260</v>
      </c>
      <c r="S916" s="81" t="str">
        <f>IFERROR(VLOOKUP($G916,融外自投!$A:$J,10,0),"無")</f>
        <v>無</v>
      </c>
      <c r="T916" s="327">
        <f>IFERROR(VLOOKUP($G916,'321買'!$A:$E,5,0),"'沒有資料'")</f>
        <v>827</v>
      </c>
      <c r="U916" s="186">
        <f>IFERROR(VLOOKUP($G916,基本資料!$A:$J,9,0),"無")</f>
        <v>0</v>
      </c>
      <c r="V916" s="310">
        <f t="shared" si="177"/>
        <v>0</v>
      </c>
      <c r="W916" s="94">
        <f>IFERROR(VLOOKUP($G916,基本資料!$A:$J,10,0),"無")</f>
        <v>-4.0199999999999996</v>
      </c>
      <c r="X916" s="36">
        <f>RTD("money.excel",,"6668","Price")</f>
        <v>37.5</v>
      </c>
      <c r="Y916" s="66"/>
      <c r="Z916" s="15">
        <f t="shared" si="178"/>
        <v>37.5</v>
      </c>
      <c r="AA916" s="3" t="e">
        <f t="shared" si="179"/>
        <v>#DIV/0!</v>
      </c>
      <c r="AB916" s="344">
        <f>IFERROR(VLOOKUP($G916,基本資料!$A:$M,11,0),"無")</f>
        <v>-54.17</v>
      </c>
      <c r="AC916" s="397">
        <f>IFERROR(VLOOKUP($G916,基本資料!$A:$M,12,0),"無")</f>
        <v>8.16</v>
      </c>
      <c r="AD916" s="22" t="s">
        <v>4295</v>
      </c>
      <c r="AG916" s="33">
        <f t="shared" si="180"/>
        <v>0</v>
      </c>
      <c r="AH916" s="117" t="s">
        <v>2707</v>
      </c>
      <c r="AI916" s="63">
        <f t="shared" si="183"/>
        <v>2.237851662404092E-3</v>
      </c>
      <c r="AJ916" s="284">
        <f>RTD("money.excel",,$G916,"PredictVolume")</f>
        <v>175</v>
      </c>
      <c r="AK916" s="399">
        <f>IFERROR(VLOOKUP($G916,基本資料!$A:$M,13,0),"無")</f>
        <v>8.9</v>
      </c>
    </row>
    <row r="917" spans="1:37">
      <c r="A917" s="347">
        <f>IFERROR(VLOOKUP($G917,基本資料!$A:$J,3,0),"無")</f>
        <v>7.35</v>
      </c>
      <c r="B917" s="79">
        <f>IFERROR(VLOOKUP($G917,基本資料!$A:$J,4,0),"無")</f>
        <v>191</v>
      </c>
      <c r="C917" s="79">
        <f>IFERROR(VLOOKUP($G917,基本資料!$A:$J,5,0),"無")</f>
        <v>178</v>
      </c>
      <c r="D917" s="79">
        <f>IFERROR(VLOOKUP($G917,基本資料!$A:$J,6,0),"無")</f>
        <v>0</v>
      </c>
      <c r="E917" s="79">
        <f>IFERROR(VLOOKUP($G917,基本資料!$A:$J,7,0),"無")</f>
        <v>49</v>
      </c>
      <c r="F917" s="6">
        <f>IFERROR(VLOOKUP($G917,基本資料!$A:$J,8,0),"無")</f>
        <v>21.45</v>
      </c>
      <c r="G917" s="79">
        <v>6706</v>
      </c>
      <c r="H917" s="8" t="s">
        <v>306</v>
      </c>
      <c r="I917" s="22" t="s">
        <v>1742</v>
      </c>
      <c r="J917" s="8">
        <f>IFERROR(VLOOKUP($G917,今日總結!$A:$AJ,35,0),"")</f>
        <v>0</v>
      </c>
      <c r="K917" s="5">
        <f>IFERROR(VLOOKUP($G917,今日總結!$A:$AJ,36,0),"")</f>
        <v>0</v>
      </c>
      <c r="L917" s="156">
        <f>IFERROR(VLOOKUP($G917,今日總結!$A:$AJ,33,0),"")</f>
        <v>0</v>
      </c>
      <c r="M917" s="340">
        <f>IFERROR(VLOOKUP($G917,今日總結!$A:$AJ,34,0),"")</f>
        <v>1</v>
      </c>
      <c r="N917" s="240">
        <f t="shared" si="182"/>
        <v>-1</v>
      </c>
      <c r="P917" s="365">
        <f>IFERROR(VLOOKUP($G917,融外自投!$A:$J,7,0),"無")</f>
        <v>105</v>
      </c>
      <c r="Q917" s="79">
        <f>IFERROR(VLOOKUP($G917,融外自投!$A:$J,9,0),"無")</f>
        <v>550</v>
      </c>
      <c r="R917" s="346">
        <f>IFERROR(VLOOKUP($G917,融外自投!$A:$J,8,0),"無")</f>
        <v>461</v>
      </c>
      <c r="S917" s="81" t="str">
        <f>IFERROR(VLOOKUP($G917,融外自投!$A:$J,10,0),"無")</f>
        <v>無</v>
      </c>
      <c r="T917" s="327">
        <f>IFERROR(VLOOKUP($G917,'321買'!$A:$E,5,0),"'沒有資料'")</f>
        <v>52</v>
      </c>
      <c r="U917" s="186">
        <f>IFERROR(VLOOKUP($G917,基本資料!$A:$J,9,0),"無")</f>
        <v>10</v>
      </c>
      <c r="V917" s="310">
        <f t="shared" si="177"/>
        <v>6.5573770491803282E-2</v>
      </c>
      <c r="W917" s="94">
        <f>IFERROR(VLOOKUP($G917,基本資料!$A:$J,10,0),"無")</f>
        <v>13.98</v>
      </c>
      <c r="X917" s="36">
        <f>RTD("money.excel",,"6706","Price")</f>
        <v>152.5</v>
      </c>
      <c r="Y917" s="66"/>
      <c r="Z917" s="15">
        <f t="shared" si="178"/>
        <v>152.5</v>
      </c>
      <c r="AA917" s="35" t="e">
        <f t="shared" si="179"/>
        <v>#DIV/0!</v>
      </c>
      <c r="AB917" s="344">
        <f>IFERROR(VLOOKUP($G917,基本資料!$A:$M,11,0),"無")</f>
        <v>-37.840000000000003</v>
      </c>
      <c r="AC917" s="397">
        <f>IFERROR(VLOOKUP($G917,基本資料!$A:$M,12,0),"無")</f>
        <v>16.41</v>
      </c>
      <c r="AD917" s="22" t="s">
        <v>1742</v>
      </c>
      <c r="AG917" s="33">
        <f t="shared" si="180"/>
        <v>0</v>
      </c>
      <c r="AH917" s="119" t="s">
        <v>1865</v>
      </c>
      <c r="AI917" s="63">
        <f t="shared" si="183"/>
        <v>2.2299319727891155E-2</v>
      </c>
      <c r="AJ917" s="284">
        <f>RTD("money.excel",,$G917,"PredictVolume")</f>
        <v>1639</v>
      </c>
      <c r="AK917" s="399">
        <f>IFERROR(VLOOKUP($G917,基本資料!$A:$M,13,0),"無")</f>
        <v>34.590000000000003</v>
      </c>
    </row>
    <row r="918" spans="1:37">
      <c r="A918" s="347">
        <f>IFERROR(VLOOKUP($G918,基本資料!$A:$J,3,0),"無")</f>
        <v>2.48</v>
      </c>
      <c r="B918" s="79">
        <f>IFERROR(VLOOKUP($G918,基本資料!$A:$J,4,0),"無")</f>
        <v>54</v>
      </c>
      <c r="C918" s="79">
        <f>IFERROR(VLOOKUP($G918,基本資料!$A:$J,5,0),"無")</f>
        <v>93</v>
      </c>
      <c r="D918" s="79">
        <f>IFERROR(VLOOKUP($G918,基本資料!$A:$J,6,0),"無")</f>
        <v>28</v>
      </c>
      <c r="E918" s="79">
        <f>IFERROR(VLOOKUP($G918,基本資料!$A:$J,7,0),"無")</f>
        <v>49</v>
      </c>
      <c r="F918" s="6">
        <f>IFERROR(VLOOKUP($G918,基本資料!$A:$J,8,0),"無")</f>
        <v>10.01</v>
      </c>
      <c r="G918" s="79">
        <v>7402</v>
      </c>
      <c r="H918" s="8" t="s">
        <v>1878</v>
      </c>
      <c r="I918" s="16" t="s">
        <v>4296</v>
      </c>
      <c r="J918" s="8" t="str">
        <f>IFERROR(VLOOKUP($G918,今日總結!$A:$AJ,35,0),"")</f>
        <v/>
      </c>
      <c r="K918" s="5" t="str">
        <f>IFERROR(VLOOKUP($G918,今日總結!$A:$AJ,36,0),"")</f>
        <v/>
      </c>
      <c r="L918" s="156" t="str">
        <f>IFERROR(VLOOKUP($G918,今日總結!$A:$AJ,33,0),"")</f>
        <v/>
      </c>
      <c r="M918" s="340" t="str">
        <f>IFERROR(VLOOKUP($G918,今日總結!$A:$AJ,34,0),"")</f>
        <v/>
      </c>
      <c r="N918" s="240" t="str">
        <f t="shared" si="182"/>
        <v/>
      </c>
      <c r="P918" s="365" t="str">
        <f>IFERROR(VLOOKUP($G918,融外自投!$A:$J,7,0),"無")</f>
        <v>無</v>
      </c>
      <c r="Q918" s="79" t="str">
        <f>IFERROR(VLOOKUP($G918,融外自投!$A:$J,9,0),"無")</f>
        <v>無</v>
      </c>
      <c r="R918" s="346" t="str">
        <f>IFERROR(VLOOKUP($G918,融外自投!$A:$J,8,0),"無")</f>
        <v>無</v>
      </c>
      <c r="S918" s="81" t="str">
        <f>IFERROR(VLOOKUP($G918,融外自投!$A:$J,10,0),"無")</f>
        <v>無</v>
      </c>
      <c r="T918" s="327" t="str">
        <f>IFERROR(VLOOKUP($G918,'321買'!$A:$E,5,0),"'沒有資料'")</f>
        <v>'沒有資料'</v>
      </c>
      <c r="U918" s="186">
        <f>IFERROR(VLOOKUP($G918,基本資料!$A:$J,9,0),"無")</f>
        <v>1.5</v>
      </c>
      <c r="V918" s="310">
        <f t="shared" si="177"/>
        <v>3.125E-2</v>
      </c>
      <c r="W918" s="94">
        <f>IFERROR(VLOOKUP($G918,基本資料!$A:$J,10,0),"無")</f>
        <v>1.56</v>
      </c>
      <c r="X918" s="36">
        <f>RTD("money.excel",,"7402","Price")</f>
        <v>48</v>
      </c>
      <c r="Y918" s="66"/>
      <c r="Z918" s="15">
        <f t="shared" si="178"/>
        <v>48</v>
      </c>
      <c r="AA918" s="3" t="e">
        <f t="shared" si="179"/>
        <v>#DIV/0!</v>
      </c>
      <c r="AB918" s="344">
        <f>IFERROR(VLOOKUP($G918,基本資料!$A:$M,11,0),"無")</f>
        <v>-10.46</v>
      </c>
      <c r="AC918" s="397">
        <f>IFERROR(VLOOKUP($G918,基本資料!$A:$M,12,0),"無")</f>
        <v>75.400000000000006</v>
      </c>
      <c r="AD918" s="16" t="s">
        <v>4296</v>
      </c>
      <c r="AG918" s="33">
        <f t="shared" si="180"/>
        <v>0</v>
      </c>
      <c r="AH918" s="43" t="s">
        <v>4297</v>
      </c>
      <c r="AI918" s="63">
        <f t="shared" si="183"/>
        <v>2.8225806451612906E-4</v>
      </c>
      <c r="AJ918" s="284">
        <f>RTD("money.excel",,$G918,"PredictVolume")</f>
        <v>7</v>
      </c>
      <c r="AK918" s="399">
        <f>IFERROR(VLOOKUP($G918,基本資料!$A:$M,13,0),"無")</f>
        <v>1.33</v>
      </c>
    </row>
    <row r="919" spans="1:37">
      <c r="A919" s="347">
        <f>IFERROR(VLOOKUP($G919,基本資料!$A:$J,3,0),"無")</f>
        <v>11.82</v>
      </c>
      <c r="B919" s="79">
        <f>IFERROR(VLOOKUP($G919,基本資料!$A:$J,4,0),"無")</f>
        <v>26</v>
      </c>
      <c r="C919" s="79">
        <f>IFERROR(VLOOKUP($G919,基本資料!$A:$J,5,0),"無")</f>
        <v>11</v>
      </c>
      <c r="D919" s="79">
        <f>IFERROR(VLOOKUP($G919,基本資料!$A:$J,6,0),"無")</f>
        <v>-16</v>
      </c>
      <c r="E919" s="79">
        <f>IFERROR(VLOOKUP($G919,基本資料!$A:$J,7,0),"無")</f>
        <v>7</v>
      </c>
      <c r="F919" s="6">
        <f>IFERROR(VLOOKUP($G919,基本資料!$A:$J,8,0),"無")</f>
        <v>16.72</v>
      </c>
      <c r="G919" s="79">
        <v>8049</v>
      </c>
      <c r="H919" s="8" t="s">
        <v>1878</v>
      </c>
      <c r="I919" s="16" t="s">
        <v>4298</v>
      </c>
      <c r="J919" s="8">
        <f>IFERROR(VLOOKUP($G919,今日總結!$A:$AJ,35,0),"")</f>
        <v>0</v>
      </c>
      <c r="K919" s="5">
        <f>IFERROR(VLOOKUP($G919,今日總結!$A:$AJ,36,0),"")</f>
        <v>0</v>
      </c>
      <c r="L919" s="156">
        <f>IFERROR(VLOOKUP($G919,今日總結!$A:$AJ,33,0),"")</f>
        <v>0</v>
      </c>
      <c r="M919" s="340">
        <f>IFERROR(VLOOKUP($G919,今日總結!$A:$AJ,34,0),"")</f>
        <v>1</v>
      </c>
      <c r="N919" s="240">
        <f t="shared" si="182"/>
        <v>-1</v>
      </c>
      <c r="P919" s="365">
        <f>IFERROR(VLOOKUP($G919,融外自投!$A:$J,7,0),"無")</f>
        <v>1083</v>
      </c>
      <c r="Q919" s="79">
        <f>IFERROR(VLOOKUP($G919,融外自投!$A:$J,9,0),"無")</f>
        <v>653</v>
      </c>
      <c r="R919" s="346">
        <f>IFERROR(VLOOKUP($G919,融外自投!$A:$J,8,0),"無")</f>
        <v>822</v>
      </c>
      <c r="S919" s="81" t="str">
        <f>IFERROR(VLOOKUP($G919,融外自投!$A:$J,10,0),"無")</f>
        <v>無</v>
      </c>
      <c r="T919" s="327">
        <f>IFERROR(VLOOKUP($G919,'321買'!$A:$E,5,0),"'沒有資料'")</f>
        <v>445</v>
      </c>
      <c r="U919" s="186">
        <f>IFERROR(VLOOKUP($G919,基本資料!$A:$J,9,0),"無")</f>
        <v>2.1</v>
      </c>
      <c r="V919" s="310">
        <f t="shared" si="177"/>
        <v>8.5020242914979768E-2</v>
      </c>
      <c r="W919" s="94">
        <f>IFERROR(VLOOKUP($G919,基本資料!$A:$J,10,0),"無")</f>
        <v>2.61</v>
      </c>
      <c r="X919" s="36">
        <f>RTD("money.excel",,"8049","Price")</f>
        <v>24.7</v>
      </c>
      <c r="Y919" s="66"/>
      <c r="Z919" s="15">
        <f t="shared" si="178"/>
        <v>24.7</v>
      </c>
      <c r="AA919" s="3" t="e">
        <f t="shared" si="179"/>
        <v>#DIV/0!</v>
      </c>
      <c r="AB919" s="344">
        <f>IFERROR(VLOOKUP($G919,基本資料!$A:$M,11,0),"無")</f>
        <v>-10.81</v>
      </c>
      <c r="AC919" s="397">
        <f>IFERROR(VLOOKUP($G919,基本資料!$A:$M,12,0),"無")</f>
        <v>24.97</v>
      </c>
      <c r="AD919" s="16" t="s">
        <v>4298</v>
      </c>
      <c r="AG919" s="33">
        <f t="shared" si="180"/>
        <v>0</v>
      </c>
      <c r="AH919" s="43" t="s">
        <v>4299</v>
      </c>
      <c r="AI919" s="63">
        <f t="shared" si="183"/>
        <v>1.1759729272419629E-3</v>
      </c>
      <c r="AJ919" s="284">
        <f>RTD("money.excel",,$G919,"PredictVolume")</f>
        <v>139</v>
      </c>
      <c r="AK919" s="399">
        <f>IFERROR(VLOOKUP($G919,基本資料!$A:$M,13,0),"無")</f>
        <v>13.28</v>
      </c>
    </row>
    <row r="920" spans="1:37">
      <c r="A920" s="347">
        <f>IFERROR(VLOOKUP($G920,基本資料!$A:$J,3,0),"無")</f>
        <v>16.48</v>
      </c>
      <c r="B920" s="79">
        <f>IFERROR(VLOOKUP($G920,基本資料!$A:$J,4,0),"無")</f>
        <v>462</v>
      </c>
      <c r="C920" s="79">
        <f>IFERROR(VLOOKUP($G920,基本資料!$A:$J,5,0),"無")</f>
        <v>214</v>
      </c>
      <c r="D920" s="79">
        <f>IFERROR(VLOOKUP($G920,基本資料!$A:$J,6,0),"無")</f>
        <v>82</v>
      </c>
      <c r="E920" s="79">
        <f>IFERROR(VLOOKUP($G920,基本資料!$A:$J,7,0),"無")</f>
        <v>-8</v>
      </c>
      <c r="F920" s="6">
        <f>IFERROR(VLOOKUP($G920,基本資料!$A:$J,8,0),"無")</f>
        <v>13.8</v>
      </c>
      <c r="G920" s="79">
        <v>8064</v>
      </c>
      <c r="H920" s="8" t="s">
        <v>1878</v>
      </c>
      <c r="I920" s="16" t="s">
        <v>4300</v>
      </c>
      <c r="J920" s="8" t="str">
        <f>IFERROR(VLOOKUP($G920,今日總結!$A:$AJ,35,0),"")</f>
        <v/>
      </c>
      <c r="K920" s="5" t="str">
        <f>IFERROR(VLOOKUP($G920,今日總結!$A:$AJ,36,0),"")</f>
        <v/>
      </c>
      <c r="L920" s="156" t="str">
        <f>IFERROR(VLOOKUP($G920,今日總結!$A:$AJ,33,0),"")</f>
        <v/>
      </c>
      <c r="M920" s="340" t="str">
        <f>IFERROR(VLOOKUP($G920,今日總結!$A:$AJ,34,0),"")</f>
        <v/>
      </c>
      <c r="N920" s="240" t="str">
        <f t="shared" si="182"/>
        <v/>
      </c>
      <c r="P920" s="365">
        <f>IFERROR(VLOOKUP($G920,融外自投!$A:$J,7,0),"無")</f>
        <v>366</v>
      </c>
      <c r="Q920" s="79">
        <f>IFERROR(VLOOKUP($G920,融外自投!$A:$J,9,0),"無")</f>
        <v>425</v>
      </c>
      <c r="R920" s="346">
        <f>IFERROR(VLOOKUP($G920,融外自投!$A:$J,8,0),"無")</f>
        <v>558</v>
      </c>
      <c r="S920" s="81" t="str">
        <f>IFERROR(VLOOKUP($G920,融外自投!$A:$J,10,0),"無")</f>
        <v>無</v>
      </c>
      <c r="T920" s="327">
        <f>IFERROR(VLOOKUP($G920,'321買'!$A:$E,5,0),"'沒有資料'")</f>
        <v>463</v>
      </c>
      <c r="U920" s="186">
        <f>IFERROR(VLOOKUP($G920,基本資料!$A:$J,9,0),"無")</f>
        <v>1.25</v>
      </c>
      <c r="V920" s="310">
        <f t="shared" si="177"/>
        <v>6.9637883008356549E-2</v>
      </c>
      <c r="W920" s="94">
        <f>IFERROR(VLOOKUP($G920,基本資料!$A:$J,10,0),"無")</f>
        <v>2.12</v>
      </c>
      <c r="X920" s="36">
        <f>RTD("money.excel",,"8064","Price")</f>
        <v>17.95</v>
      </c>
      <c r="Y920" s="66"/>
      <c r="Z920" s="15">
        <f t="shared" si="178"/>
        <v>17.95</v>
      </c>
      <c r="AA920" s="3" t="e">
        <f t="shared" si="179"/>
        <v>#DIV/0!</v>
      </c>
      <c r="AB920" s="344">
        <f>IFERROR(VLOOKUP($G920,基本資料!$A:$M,11,0),"無")</f>
        <v>-27.42</v>
      </c>
      <c r="AC920" s="397">
        <f>IFERROR(VLOOKUP($G920,基本資料!$A:$M,12,0),"無")</f>
        <v>23.09</v>
      </c>
      <c r="AD920" s="16" t="s">
        <v>4300</v>
      </c>
      <c r="AG920" s="33">
        <f t="shared" si="180"/>
        <v>0</v>
      </c>
      <c r="AH920" s="117" t="s">
        <v>4301</v>
      </c>
      <c r="AI920" s="63">
        <f t="shared" si="183"/>
        <v>2.0509708737864079E-3</v>
      </c>
      <c r="AJ920" s="284">
        <f>RTD("money.excel",,$G920,"PredictVolume")</f>
        <v>338</v>
      </c>
      <c r="AK920" s="399">
        <f>IFERROR(VLOOKUP($G920,基本資料!$A:$M,13,0),"無")</f>
        <v>20.28</v>
      </c>
    </row>
    <row r="921" spans="1:37">
      <c r="A921" s="347">
        <f>IFERROR(VLOOKUP($G921,基本資料!$A:$J,3,0),"無")</f>
        <v>114</v>
      </c>
      <c r="B921" s="79">
        <f>IFERROR(VLOOKUP($G921,基本資料!$A:$J,4,0),"無")</f>
        <v>41</v>
      </c>
      <c r="C921" s="79">
        <f>IFERROR(VLOOKUP($G921,基本資料!$A:$J,5,0),"無")</f>
        <v>63</v>
      </c>
      <c r="D921" s="79">
        <f>IFERROR(VLOOKUP($G921,基本資料!$A:$J,6,0),"無")</f>
        <v>1</v>
      </c>
      <c r="E921" s="79">
        <f>IFERROR(VLOOKUP($G921,基本資料!$A:$J,7,0),"無")</f>
        <v>66</v>
      </c>
      <c r="F921" s="6">
        <f>IFERROR(VLOOKUP($G921,基本資料!$A:$J,8,0),"無")</f>
        <v>15.39</v>
      </c>
      <c r="G921" s="79">
        <v>8069</v>
      </c>
      <c r="H921" s="145" t="s">
        <v>1878</v>
      </c>
      <c r="I921" s="16" t="s">
        <v>4302</v>
      </c>
      <c r="J921" s="8" t="str">
        <f>IFERROR(VLOOKUP($G921,今日總結!$A:$AJ,35,0),"")</f>
        <v/>
      </c>
      <c r="K921" s="5" t="str">
        <f>IFERROR(VLOOKUP($G921,今日總結!$A:$AJ,36,0),"")</f>
        <v/>
      </c>
      <c r="L921" s="156" t="str">
        <f>IFERROR(VLOOKUP($G921,今日總結!$A:$AJ,33,0),"")</f>
        <v/>
      </c>
      <c r="M921" s="340" t="str">
        <f>IFERROR(VLOOKUP($G921,今日總結!$A:$AJ,34,0),"")</f>
        <v/>
      </c>
      <c r="N921" s="240" t="str">
        <f t="shared" si="182"/>
        <v/>
      </c>
      <c r="P921" s="365">
        <f>IFERROR(VLOOKUP($G921,融外自投!$A:$J,7,0),"無")</f>
        <v>843</v>
      </c>
      <c r="Q921" s="79">
        <f>IFERROR(VLOOKUP($G921,融外自投!$A:$J,9,0),"無")</f>
        <v>152</v>
      </c>
      <c r="R921" s="346">
        <f>IFERROR(VLOOKUP($G921,融外自投!$A:$J,8,0),"無")</f>
        <v>137</v>
      </c>
      <c r="S921" s="81">
        <f>IFERROR(VLOOKUP($G921,融外自投!$A:$J,10,0),"無")</f>
        <v>58</v>
      </c>
      <c r="T921" s="327">
        <f>IFERROR(VLOOKUP($G921,'321買'!$A:$E,5,0),"'沒有資料'")</f>
        <v>87</v>
      </c>
      <c r="U921" s="186">
        <f>IFERROR(VLOOKUP($G921,基本資料!$A:$J,9,0),"無")</f>
        <v>3.2</v>
      </c>
      <c r="V921" s="310">
        <f t="shared" si="177"/>
        <v>1.8497109826589597E-2</v>
      </c>
      <c r="W921" s="94">
        <f>IFERROR(VLOOKUP($G921,基本資料!$A:$J,10,0),"無")</f>
        <v>4.53</v>
      </c>
      <c r="X921" s="36">
        <f>RTD("money.excel",,"8069","Price")</f>
        <v>173</v>
      </c>
      <c r="Y921" s="66"/>
      <c r="Z921" s="15">
        <f t="shared" si="178"/>
        <v>173</v>
      </c>
      <c r="AA921" s="3" t="e">
        <f t="shared" si="179"/>
        <v>#DIV/0!</v>
      </c>
      <c r="AB921" s="344">
        <f>IFERROR(VLOOKUP($G921,基本資料!$A:$M,11,0),"無")</f>
        <v>-13.27</v>
      </c>
      <c r="AC921" s="397">
        <f>IFERROR(VLOOKUP($G921,基本資料!$A:$M,12,0),"無")</f>
        <v>66.34</v>
      </c>
      <c r="AD921" s="16" t="s">
        <v>4302</v>
      </c>
      <c r="AG921" s="33">
        <f t="shared" si="180"/>
        <v>0</v>
      </c>
      <c r="AH921" s="117" t="s">
        <v>4303</v>
      </c>
      <c r="AI921" s="63">
        <f t="shared" si="183"/>
        <v>3.4035964912280704E-2</v>
      </c>
      <c r="AJ921" s="284">
        <f>RTD("money.excel",,$G921,"PredictVolume")</f>
        <v>38801</v>
      </c>
      <c r="AK921" s="399">
        <f>IFERROR(VLOOKUP($G921,基本資料!$A:$M,13,0),"無")</f>
        <v>9.06</v>
      </c>
    </row>
    <row r="922" spans="1:37">
      <c r="A922" s="347">
        <f>IFERROR(VLOOKUP($G922,基本資料!$A:$J,3,0),"無")</f>
        <v>2.9</v>
      </c>
      <c r="B922" s="79">
        <f>IFERROR(VLOOKUP($G922,基本資料!$A:$J,4,0),"無")</f>
        <v>-324</v>
      </c>
      <c r="C922" s="79">
        <f>IFERROR(VLOOKUP($G922,基本資料!$A:$J,5,0),"無")</f>
        <v>-251</v>
      </c>
      <c r="D922" s="79">
        <f>IFERROR(VLOOKUP($G922,基本資料!$A:$J,6,0),"無")</f>
        <v>-3</v>
      </c>
      <c r="E922" s="79">
        <f>IFERROR(VLOOKUP($G922,基本資料!$A:$J,7,0),"無")</f>
        <v>769</v>
      </c>
      <c r="F922" s="6">
        <f>IFERROR(VLOOKUP($G922,基本資料!$A:$J,8,0),"無")</f>
        <v>-63.11</v>
      </c>
      <c r="G922" s="79">
        <v>8087</v>
      </c>
      <c r="H922" s="8" t="s">
        <v>1878</v>
      </c>
      <c r="I922" s="16" t="s">
        <v>4304</v>
      </c>
      <c r="J922" s="8" t="str">
        <f>IFERROR(VLOOKUP($G922,今日總結!$A:$AJ,35,0),"")</f>
        <v/>
      </c>
      <c r="K922" s="5" t="str">
        <f>IFERROR(VLOOKUP($G922,今日總結!$A:$AJ,36,0),"")</f>
        <v/>
      </c>
      <c r="L922" s="156" t="str">
        <f>IFERROR(VLOOKUP($G922,今日總結!$A:$AJ,33,0),"")</f>
        <v/>
      </c>
      <c r="M922" s="340" t="str">
        <f>IFERROR(VLOOKUP($G922,今日總結!$A:$AJ,34,0),"")</f>
        <v/>
      </c>
      <c r="N922" s="240" t="str">
        <f t="shared" si="182"/>
        <v/>
      </c>
      <c r="P922" s="365" t="str">
        <f>IFERROR(VLOOKUP($G922,融外自投!$A:$J,7,0),"無")</f>
        <v>無</v>
      </c>
      <c r="Q922" s="79" t="str">
        <f>IFERROR(VLOOKUP($G922,融外自投!$A:$J,9,0),"無")</f>
        <v>無</v>
      </c>
      <c r="R922" s="346" t="str">
        <f>IFERROR(VLOOKUP($G922,融外自投!$A:$J,8,0),"無")</f>
        <v>無</v>
      </c>
      <c r="S922" s="81" t="str">
        <f>IFERROR(VLOOKUP($G922,融外自投!$A:$J,10,0),"無")</f>
        <v>無</v>
      </c>
      <c r="T922" s="327" t="str">
        <f>IFERROR(VLOOKUP($G922,'321買'!$A:$E,5,0),"'沒有資料'")</f>
        <v>'沒有資料'</v>
      </c>
      <c r="U922" s="186">
        <f>IFERROR(VLOOKUP($G922,基本資料!$A:$J,9,0),"無")</f>
        <v>0</v>
      </c>
      <c r="V922" s="310">
        <f t="shared" si="177"/>
        <v>0</v>
      </c>
      <c r="W922" s="94">
        <f>IFERROR(VLOOKUP($G922,基本資料!$A:$J,10,0),"無")</f>
        <v>-0.84</v>
      </c>
      <c r="X922" s="36">
        <f>RTD("money.excel",,"8087","Price")</f>
        <v>51.9</v>
      </c>
      <c r="Y922" s="66"/>
      <c r="Z922" s="15">
        <f t="shared" si="178"/>
        <v>51.9</v>
      </c>
      <c r="AA922" s="3" t="e">
        <f t="shared" si="179"/>
        <v>#DIV/0!</v>
      </c>
      <c r="AB922" s="344">
        <f>IFERROR(VLOOKUP($G922,基本資料!$A:$M,11,0),"無")</f>
        <v>-2.5099999999999998</v>
      </c>
      <c r="AC922" s="397">
        <f>IFERROR(VLOOKUP($G922,基本資料!$A:$M,12,0),"無")</f>
        <v>81.41</v>
      </c>
      <c r="AD922" s="16" t="s">
        <v>4304</v>
      </c>
      <c r="AG922" s="33">
        <f t="shared" si="180"/>
        <v>0</v>
      </c>
      <c r="AH922" s="43" t="s">
        <v>4305</v>
      </c>
      <c r="AI922" s="63">
        <f t="shared" si="183"/>
        <v>2.886206896551724E-2</v>
      </c>
      <c r="AJ922" s="284">
        <f>RTD("money.excel",,$G922,"PredictVolume")</f>
        <v>837</v>
      </c>
      <c r="AK922" s="399">
        <f>IFERROR(VLOOKUP($G922,基本資料!$A:$M,13,0),"無")</f>
        <v>12.86</v>
      </c>
    </row>
    <row r="923" spans="1:37">
      <c r="A923" s="347">
        <f>IFERROR(VLOOKUP($G923,基本資料!$A:$J,3,0),"無")</f>
        <v>7.46</v>
      </c>
      <c r="B923" s="79">
        <f>IFERROR(VLOOKUP($G923,基本資料!$A:$J,4,0),"無")</f>
        <v>1</v>
      </c>
      <c r="C923" s="79">
        <f>IFERROR(VLOOKUP($G923,基本資料!$A:$J,5,0),"無")</f>
        <v>-14</v>
      </c>
      <c r="D923" s="79">
        <f>IFERROR(VLOOKUP($G923,基本資料!$A:$J,6,0),"無")</f>
        <v>3</v>
      </c>
      <c r="E923" s="79">
        <f>IFERROR(VLOOKUP($G923,基本資料!$A:$J,7,0),"無")</f>
        <v>-26</v>
      </c>
      <c r="F923" s="6">
        <f>IFERROR(VLOOKUP($G923,基本資料!$A:$J,8,0),"無")</f>
        <v>6.7</v>
      </c>
      <c r="G923" s="79">
        <v>8104</v>
      </c>
      <c r="H923" s="8" t="s">
        <v>1878</v>
      </c>
      <c r="I923" s="22" t="s">
        <v>4306</v>
      </c>
      <c r="J923" s="8">
        <f>IFERROR(VLOOKUP($G923,今日總結!$A:$AJ,35,0),"")</f>
        <v>0</v>
      </c>
      <c r="K923" s="5" t="str">
        <f>IFERROR(VLOOKUP($G923,今日總結!$A:$AJ,36,0),"")</f>
        <v>9融</v>
      </c>
      <c r="L923" s="156">
        <f>IFERROR(VLOOKUP($G923,今日總結!$A:$AJ,33,0),"")</f>
        <v>0</v>
      </c>
      <c r="M923" s="340">
        <f>IFERROR(VLOOKUP($G923,今日總結!$A:$AJ,34,0),"")</f>
        <v>2</v>
      </c>
      <c r="N923" s="240">
        <f t="shared" si="182"/>
        <v>-2</v>
      </c>
      <c r="P923" s="365">
        <f>IFERROR(VLOOKUP($G923,融外自投!$A:$J,7,0),"無")</f>
        <v>238</v>
      </c>
      <c r="Q923" s="79">
        <f>IFERROR(VLOOKUP($G923,融外自投!$A:$J,9,0),"無")</f>
        <v>683</v>
      </c>
      <c r="R923" s="346">
        <f>IFERROR(VLOOKUP($G923,融外自投!$A:$J,8,0),"無")</f>
        <v>765</v>
      </c>
      <c r="S923" s="81">
        <f>IFERROR(VLOOKUP($G923,融外自投!$A:$J,10,0),"無")</f>
        <v>64</v>
      </c>
      <c r="T923" s="327">
        <f>IFERROR(VLOOKUP($G923,'321買'!$A:$E,5,0),"'沒有資料'")</f>
        <v>271</v>
      </c>
      <c r="U923" s="186">
        <f>IFERROR(VLOOKUP($G923,基本資料!$A:$J,9,0),"無")</f>
        <v>2</v>
      </c>
      <c r="V923" s="310">
        <f t="shared" si="177"/>
        <v>4.1279669762641899E-2</v>
      </c>
      <c r="W923" s="94">
        <f>IFERROR(VLOOKUP($G923,基本資料!$A:$J,10,0),"無")</f>
        <v>2.86</v>
      </c>
      <c r="X923" s="36">
        <f>RTD("money.excel",,"8104","Price")</f>
        <v>48.45</v>
      </c>
      <c r="Y923" s="66"/>
      <c r="Z923" s="15">
        <f t="shared" si="178"/>
        <v>48.45</v>
      </c>
      <c r="AA923" s="3" t="e">
        <f t="shared" si="179"/>
        <v>#DIV/0!</v>
      </c>
      <c r="AB923" s="344">
        <f>IFERROR(VLOOKUP($G923,基本資料!$A:$M,11,0),"無")</f>
        <v>-49.79</v>
      </c>
      <c r="AC923" s="397">
        <f>IFERROR(VLOOKUP($G923,基本資料!$A:$M,12,0),"無")</f>
        <v>5.9</v>
      </c>
      <c r="AD923" s="22" t="s">
        <v>4306</v>
      </c>
      <c r="AG923" s="33">
        <f t="shared" si="180"/>
        <v>0</v>
      </c>
      <c r="AH923" s="117" t="s">
        <v>4307</v>
      </c>
      <c r="AI923" s="63">
        <f t="shared" si="183"/>
        <v>4.2091152815013407E-3</v>
      </c>
      <c r="AJ923" s="284">
        <f>RTD("money.excel",,$G923,"PredictVolume")</f>
        <v>314</v>
      </c>
      <c r="AK923" s="399">
        <f>IFERROR(VLOOKUP($G923,基本資料!$A:$M,13,0),"無")</f>
        <v>64.97</v>
      </c>
    </row>
    <row r="924" spans="1:37">
      <c r="A924" s="347">
        <f>IFERROR(VLOOKUP($G924,基本資料!$A:$J,3,0),"無")</f>
        <v>44.15</v>
      </c>
      <c r="B924" s="79">
        <f>IFERROR(VLOOKUP($G924,基本資料!$A:$J,4,0),"無")</f>
        <v>108</v>
      </c>
      <c r="C924" s="79">
        <f>IFERROR(VLOOKUP($G924,基本資料!$A:$J,5,0),"無")</f>
        <v>116</v>
      </c>
      <c r="D924" s="79">
        <f>IFERROR(VLOOKUP($G924,基本資料!$A:$J,6,0),"無")</f>
        <v>-18</v>
      </c>
      <c r="E924" s="79">
        <f>IFERROR(VLOOKUP($G924,基本資料!$A:$J,7,0),"無")</f>
        <v>-17</v>
      </c>
      <c r="F924" s="6">
        <f>IFERROR(VLOOKUP($G924,基本資料!$A:$J,8,0),"無")</f>
        <v>1.23</v>
      </c>
      <c r="G924" s="79">
        <v>8105</v>
      </c>
      <c r="H924" s="8" t="s">
        <v>1878</v>
      </c>
      <c r="I924" s="22" t="s">
        <v>4308</v>
      </c>
      <c r="J924" s="8" t="str">
        <f>IFERROR(VLOOKUP($G924,今日總結!$A:$AJ,35,0),"")</f>
        <v/>
      </c>
      <c r="K924" s="5" t="str">
        <f>IFERROR(VLOOKUP($G924,今日總結!$A:$AJ,36,0),"")</f>
        <v/>
      </c>
      <c r="L924" s="156" t="str">
        <f>IFERROR(VLOOKUP($G924,今日總結!$A:$AJ,33,0),"")</f>
        <v/>
      </c>
      <c r="M924" s="340" t="str">
        <f>IFERROR(VLOOKUP($G924,今日總結!$A:$AJ,34,0),"")</f>
        <v/>
      </c>
      <c r="N924" s="240" t="str">
        <f t="shared" si="182"/>
        <v/>
      </c>
      <c r="P924" s="365">
        <f>IFERROR(VLOOKUP($G924,融外自投!$A:$J,7,0),"無")</f>
        <v>621</v>
      </c>
      <c r="Q924" s="79">
        <f>IFERROR(VLOOKUP($G924,融外自投!$A:$J,9,0),"無")</f>
        <v>224</v>
      </c>
      <c r="R924" s="346">
        <f>IFERROR(VLOOKUP($G924,融外自投!$A:$J,8,0),"無")</f>
        <v>54</v>
      </c>
      <c r="S924" s="81" t="str">
        <f>IFERROR(VLOOKUP($G924,融外自投!$A:$J,10,0),"無")</f>
        <v>無</v>
      </c>
      <c r="T924" s="327">
        <f>IFERROR(VLOOKUP($G924,'321買'!$A:$E,5,0),"'沒有資料'")</f>
        <v>827</v>
      </c>
      <c r="U924" s="186">
        <f>IFERROR(VLOOKUP($G924,基本資料!$A:$J,9,0),"無")</f>
        <v>0</v>
      </c>
      <c r="V924" s="310">
        <f t="shared" si="177"/>
        <v>0</v>
      </c>
      <c r="W924" s="94">
        <f>IFERROR(VLOOKUP($G924,基本資料!$A:$J,10,0),"無")</f>
        <v>0.21</v>
      </c>
      <c r="X924" s="36">
        <f>RTD("money.excel",,"8105","Price")</f>
        <v>10.25</v>
      </c>
      <c r="Y924" s="66"/>
      <c r="Z924" s="15">
        <f t="shared" si="178"/>
        <v>10.25</v>
      </c>
      <c r="AA924" s="3" t="e">
        <f t="shared" si="179"/>
        <v>#DIV/0!</v>
      </c>
      <c r="AB924" s="344">
        <f>IFERROR(VLOOKUP($G924,基本資料!$A:$M,11,0),"無")</f>
        <v>-30.34</v>
      </c>
      <c r="AC924" s="397">
        <f>IFERROR(VLOOKUP($G924,基本資料!$A:$M,12,0),"無")</f>
        <v>12.88</v>
      </c>
      <c r="AD924" s="22" t="s">
        <v>4308</v>
      </c>
      <c r="AG924" s="33">
        <f t="shared" si="180"/>
        <v>0</v>
      </c>
      <c r="AH924" s="117" t="s">
        <v>4309</v>
      </c>
      <c r="AI924" s="63">
        <f t="shared" si="183"/>
        <v>3.2502831257078145E-3</v>
      </c>
      <c r="AJ924" s="284">
        <f>RTD("money.excel",,$G924,"PredictVolume")</f>
        <v>1435</v>
      </c>
      <c r="AK924" s="399">
        <f>IFERROR(VLOOKUP($G924,基本資料!$A:$M,13,0),"無")</f>
        <v>10.31</v>
      </c>
    </row>
    <row r="925" spans="1:37">
      <c r="A925" s="347">
        <f>IFERROR(VLOOKUP($G925,基本資料!$A:$J,3,0),"無")</f>
        <v>10.91</v>
      </c>
      <c r="B925" s="79">
        <f>IFERROR(VLOOKUP($G925,基本資料!$A:$J,4,0),"無")</f>
        <v>191</v>
      </c>
      <c r="C925" s="79">
        <f>IFERROR(VLOOKUP($G925,基本資料!$A:$J,5,0),"無")</f>
        <v>10</v>
      </c>
      <c r="D925" s="79">
        <f>IFERROR(VLOOKUP($G925,基本資料!$A:$J,6,0),"無")</f>
        <v>1</v>
      </c>
      <c r="E925" s="79">
        <f>IFERROR(VLOOKUP($G925,基本資料!$A:$J,7,0),"無")</f>
        <v>-32</v>
      </c>
      <c r="F925" s="6">
        <f>IFERROR(VLOOKUP($G925,基本資料!$A:$J,8,0),"無")</f>
        <v>13.97</v>
      </c>
      <c r="G925" s="79">
        <v>8111</v>
      </c>
      <c r="H925" s="8" t="s">
        <v>1878</v>
      </c>
      <c r="I925" s="16" t="s">
        <v>4310</v>
      </c>
      <c r="J925" s="8">
        <f>IFERROR(VLOOKUP($G925,今日總結!$A:$AJ,35,0),"")</f>
        <v>0</v>
      </c>
      <c r="K925" s="5" t="str">
        <f>IFERROR(VLOOKUP($G925,今日總結!$A:$AJ,36,0),"")</f>
        <v>融</v>
      </c>
      <c r="L925" s="156">
        <f>IFERROR(VLOOKUP($G925,今日總結!$A:$AJ,33,0),"")</f>
        <v>0</v>
      </c>
      <c r="M925" s="340">
        <f>IFERROR(VLOOKUP($G925,今日總結!$A:$AJ,34,0),"")</f>
        <v>1</v>
      </c>
      <c r="N925" s="240">
        <f t="shared" si="182"/>
        <v>-1</v>
      </c>
      <c r="P925" s="365">
        <f>IFERROR(VLOOKUP($G925,融外自投!$A:$J,7,0),"無")</f>
        <v>305</v>
      </c>
      <c r="Q925" s="79">
        <f>IFERROR(VLOOKUP($G925,融外自投!$A:$J,9,0),"無")</f>
        <v>183</v>
      </c>
      <c r="R925" s="346">
        <f>IFERROR(VLOOKUP($G925,融外自投!$A:$J,8,0),"無")</f>
        <v>1009</v>
      </c>
      <c r="S925" s="81" t="str">
        <f>IFERROR(VLOOKUP($G925,融外自投!$A:$J,10,0),"無")</f>
        <v>無</v>
      </c>
      <c r="T925" s="327">
        <f>IFERROR(VLOOKUP($G925,'321買'!$A:$E,5,0),"'沒有資料'")</f>
        <v>710</v>
      </c>
      <c r="U925" s="186">
        <f>IFERROR(VLOOKUP($G925,基本資料!$A:$J,9,0),"無")</f>
        <v>2.1</v>
      </c>
      <c r="V925" s="310">
        <f t="shared" si="177"/>
        <v>9.6774193548387108E-2</v>
      </c>
      <c r="W925" s="94">
        <f>IFERROR(VLOOKUP($G925,基本資料!$A:$J,10,0),"無")</f>
        <v>3.61</v>
      </c>
      <c r="X925" s="36">
        <f>RTD("money.excel",,"8111","Price")</f>
        <v>21.7</v>
      </c>
      <c r="Y925" s="66"/>
      <c r="Z925" s="15">
        <f t="shared" si="178"/>
        <v>21.7</v>
      </c>
      <c r="AA925" s="3" t="e">
        <f t="shared" si="179"/>
        <v>#DIV/0!</v>
      </c>
      <c r="AB925" s="344">
        <f>IFERROR(VLOOKUP($G925,基本資料!$A:$M,11,0),"無")</f>
        <v>-34.03</v>
      </c>
      <c r="AC925" s="397">
        <f>IFERROR(VLOOKUP($G925,基本資料!$A:$M,12,0),"無")</f>
        <v>17.37</v>
      </c>
      <c r="AD925" s="16" t="s">
        <v>4310</v>
      </c>
      <c r="AG925" s="33">
        <f t="shared" si="180"/>
        <v>0</v>
      </c>
      <c r="AH925" s="43" t="s">
        <v>4311</v>
      </c>
      <c r="AI925" s="63">
        <f t="shared" si="183"/>
        <v>3.1164069660861594E-3</v>
      </c>
      <c r="AJ925" s="284">
        <f>RTD("money.excel",,$G925,"PredictVolume")</f>
        <v>340</v>
      </c>
      <c r="AK925" s="399">
        <f>IFERROR(VLOOKUP($G925,基本資料!$A:$M,13,0),"無")</f>
        <v>36.92</v>
      </c>
    </row>
    <row r="926" spans="1:37">
      <c r="A926" s="347">
        <f>IFERROR(VLOOKUP($G926,基本資料!$A:$J,3,0),"無")</f>
        <v>32.06</v>
      </c>
      <c r="B926" s="79">
        <f>IFERROR(VLOOKUP($G926,基本資料!$A:$J,4,0),"無")</f>
        <v>144</v>
      </c>
      <c r="C926" s="79">
        <f>IFERROR(VLOOKUP($G926,基本資料!$A:$J,5,0),"無")</f>
        <v>78</v>
      </c>
      <c r="D926" s="79">
        <f>IFERROR(VLOOKUP($G926,基本資料!$A:$J,6,0),"無")</f>
        <v>1</v>
      </c>
      <c r="E926" s="79">
        <f>IFERROR(VLOOKUP($G926,基本資料!$A:$J,7,0),"無")</f>
        <v>3</v>
      </c>
      <c r="F926" s="6">
        <f>IFERROR(VLOOKUP($G926,基本資料!$A:$J,8,0),"無")</f>
        <v>5.93</v>
      </c>
      <c r="G926" s="79">
        <v>8215</v>
      </c>
      <c r="H926" s="8" t="s">
        <v>1878</v>
      </c>
      <c r="I926" s="22" t="s">
        <v>4312</v>
      </c>
      <c r="J926" s="8" t="str">
        <f>IFERROR(VLOOKUP($G926,今日總結!$A:$AJ,35,0),"")</f>
        <v/>
      </c>
      <c r="K926" s="5" t="str">
        <f>IFERROR(VLOOKUP($G926,今日總結!$A:$AJ,36,0),"")</f>
        <v/>
      </c>
      <c r="L926" s="156" t="str">
        <f>IFERROR(VLOOKUP($G926,今日總結!$A:$AJ,33,0),"")</f>
        <v/>
      </c>
      <c r="M926" s="340" t="str">
        <f>IFERROR(VLOOKUP($G926,今日總結!$A:$AJ,34,0),"")</f>
        <v/>
      </c>
      <c r="N926" s="240" t="str">
        <f t="shared" si="182"/>
        <v/>
      </c>
      <c r="P926" s="365">
        <f>IFERROR(VLOOKUP($G926,融外自投!$A:$J,7,0),"無")</f>
        <v>441</v>
      </c>
      <c r="Q926" s="79">
        <f>IFERROR(VLOOKUP($G926,融外自投!$A:$J,9,0),"無")</f>
        <v>571</v>
      </c>
      <c r="R926" s="346">
        <f>IFERROR(VLOOKUP($G926,融外自投!$A:$J,8,0),"無")</f>
        <v>866</v>
      </c>
      <c r="S926" s="81">
        <f>IFERROR(VLOOKUP($G926,融外自投!$A:$J,10,0),"無")</f>
        <v>416</v>
      </c>
      <c r="T926" s="327">
        <f>IFERROR(VLOOKUP($G926,'321買'!$A:$E,5,0),"'沒有資料'")</f>
        <v>306</v>
      </c>
      <c r="U926" s="186">
        <f>IFERROR(VLOOKUP($G926,基本資料!$A:$J,9,0),"無")</f>
        <v>1.5</v>
      </c>
      <c r="V926" s="310">
        <f t="shared" si="177"/>
        <v>4.5180722891566258E-2</v>
      </c>
      <c r="W926" s="94">
        <f>IFERROR(VLOOKUP($G926,基本資料!$A:$J,10,0),"無")</f>
        <v>3.03</v>
      </c>
      <c r="X926" s="36">
        <f>RTD("money.excel",,"8215","Price")</f>
        <v>33.200000000000003</v>
      </c>
      <c r="Y926" s="66"/>
      <c r="Z926" s="15">
        <f t="shared" si="178"/>
        <v>33.200000000000003</v>
      </c>
      <c r="AA926" s="3" t="e">
        <f t="shared" si="179"/>
        <v>#DIV/0!</v>
      </c>
      <c r="AB926" s="344">
        <f>IFERROR(VLOOKUP($G926,基本資料!$A:$M,11,0),"無")</f>
        <v>-24.64</v>
      </c>
      <c r="AC926" s="397">
        <f>IFERROR(VLOOKUP($G926,基本資料!$A:$M,12,0),"無")</f>
        <v>41.18</v>
      </c>
      <c r="AD926" s="22" t="s">
        <v>4312</v>
      </c>
      <c r="AG926" s="33">
        <f t="shared" si="180"/>
        <v>0</v>
      </c>
      <c r="AH926" s="43" t="s">
        <v>4161</v>
      </c>
      <c r="AI926" s="63">
        <f t="shared" si="183"/>
        <v>4.5352464129756707E-3</v>
      </c>
      <c r="AJ926" s="284">
        <f>RTD("money.excel",,$G926,"PredictVolume")</f>
        <v>1454</v>
      </c>
      <c r="AK926" s="399">
        <f>IFERROR(VLOOKUP($G926,基本資料!$A:$M,13,0),"無")</f>
        <v>23.36</v>
      </c>
    </row>
    <row r="927" spans="1:37">
      <c r="A927" s="347">
        <f>IFERROR(VLOOKUP($G927,基本資料!$A:$J,3,0),"無")</f>
        <v>10</v>
      </c>
      <c r="B927" s="79">
        <f>IFERROR(VLOOKUP($G927,基本資料!$A:$J,4,0),"無")</f>
        <v>88</v>
      </c>
      <c r="C927" s="79">
        <f>IFERROR(VLOOKUP($G927,基本資料!$A:$J,5,0),"無")</f>
        <v>38</v>
      </c>
      <c r="D927" s="79">
        <f>IFERROR(VLOOKUP($G927,基本資料!$A:$J,6,0),"無")</f>
        <v>-13</v>
      </c>
      <c r="E927" s="79">
        <f>IFERROR(VLOOKUP($G927,基本資料!$A:$J,7,0),"無")</f>
        <v>-4</v>
      </c>
      <c r="F927" s="6">
        <f>IFERROR(VLOOKUP($G927,基本資料!$A:$J,8,0),"無")</f>
        <v>3.37</v>
      </c>
      <c r="G927" s="79">
        <v>8240</v>
      </c>
      <c r="H927" s="8" t="s">
        <v>1878</v>
      </c>
      <c r="I927" s="16" t="s">
        <v>4313</v>
      </c>
      <c r="J927" s="8" t="str">
        <f>IFERROR(VLOOKUP($G927,今日總結!$A:$AJ,35,0),"")</f>
        <v/>
      </c>
      <c r="K927" s="5" t="str">
        <f>IFERROR(VLOOKUP($G927,今日總結!$A:$AJ,36,0),"")</f>
        <v/>
      </c>
      <c r="L927" s="156" t="str">
        <f>IFERROR(VLOOKUP($G927,今日總結!$A:$AJ,33,0),"")</f>
        <v/>
      </c>
      <c r="M927" s="340" t="str">
        <f>IFERROR(VLOOKUP($G927,今日總結!$A:$AJ,34,0),"")</f>
        <v/>
      </c>
      <c r="N927" s="240" t="str">
        <f t="shared" si="182"/>
        <v/>
      </c>
      <c r="P927" s="365">
        <f>IFERROR(VLOOKUP($G927,融外自投!$A:$J,7,0),"無")</f>
        <v>832</v>
      </c>
      <c r="Q927" s="79" t="str">
        <f>IFERROR(VLOOKUP($G927,融外自投!$A:$J,9,0),"無")</f>
        <v>無</v>
      </c>
      <c r="R927" s="346">
        <f>IFERROR(VLOOKUP($G927,融外自投!$A:$J,8,0),"無")</f>
        <v>699</v>
      </c>
      <c r="S927" s="81" t="str">
        <f>IFERROR(VLOOKUP($G927,融外自投!$A:$J,10,0),"無")</f>
        <v>無</v>
      </c>
      <c r="T927" s="327">
        <f>IFERROR(VLOOKUP($G927,'321買'!$A:$E,5,0),"'沒有資料'")</f>
        <v>1066</v>
      </c>
      <c r="U927" s="186">
        <f>IFERROR(VLOOKUP($G927,基本資料!$A:$J,9,0),"無")</f>
        <v>2.5</v>
      </c>
      <c r="V927" s="310">
        <f t="shared" si="177"/>
        <v>8.0385852090032156E-2</v>
      </c>
      <c r="W927" s="94">
        <f>IFERROR(VLOOKUP($G927,基本資料!$A:$J,10,0),"無")</f>
        <v>4.3899999999999997</v>
      </c>
      <c r="X927" s="36">
        <f>RTD("money.excel",,"8240","Price")</f>
        <v>31.1</v>
      </c>
      <c r="Y927" s="66"/>
      <c r="Z927" s="15">
        <f t="shared" si="178"/>
        <v>31.1</v>
      </c>
      <c r="AA927" s="3" t="e">
        <f t="shared" si="179"/>
        <v>#DIV/0!</v>
      </c>
      <c r="AB927" s="344">
        <f>IFERROR(VLOOKUP($G927,基本資料!$A:$M,11,0),"無")</f>
        <v>-14.48</v>
      </c>
      <c r="AC927" s="397">
        <f>IFERROR(VLOOKUP($G927,基本資料!$A:$M,12,0),"無")</f>
        <v>42.58</v>
      </c>
      <c r="AD927" s="16" t="s">
        <v>4313</v>
      </c>
      <c r="AG927" s="33">
        <f t="shared" si="180"/>
        <v>0</v>
      </c>
      <c r="AH927" s="43" t="s">
        <v>4314</v>
      </c>
      <c r="AI927" s="63">
        <f t="shared" si="183"/>
        <v>3.5E-4</v>
      </c>
      <c r="AJ927" s="284">
        <f>RTD("money.excel",,$G927,"PredictVolume")</f>
        <v>35</v>
      </c>
      <c r="AK927" s="399">
        <f>IFERROR(VLOOKUP($G927,基本資料!$A:$M,13,0),"無")</f>
        <v>2.37</v>
      </c>
    </row>
    <row r="928" spans="1:37">
      <c r="A928" s="142"/>
      <c r="B928" s="80"/>
      <c r="C928" s="80"/>
      <c r="D928" s="79"/>
      <c r="E928" s="79"/>
      <c r="F928" s="6"/>
      <c r="G928" s="79"/>
      <c r="H928" s="8"/>
      <c r="I928" s="16"/>
      <c r="L928" s="2"/>
      <c r="S928" s="26"/>
      <c r="U928" s="34"/>
      <c r="W928" s="94"/>
      <c r="X928" s="36"/>
      <c r="Y928" s="66"/>
      <c r="Z928" s="15"/>
      <c r="AA928" s="3"/>
      <c r="AD928" s="16"/>
      <c r="AG928" s="33"/>
      <c r="AH928" s="43"/>
      <c r="AI928" s="63"/>
      <c r="AJ928" s="284"/>
    </row>
    <row r="929" spans="1:37">
      <c r="A929" s="127" t="s">
        <v>3876</v>
      </c>
      <c r="B929" s="90" t="s">
        <v>3877</v>
      </c>
      <c r="C929" s="90" t="s">
        <v>3878</v>
      </c>
      <c r="D929" s="90" t="s">
        <v>3879</v>
      </c>
      <c r="E929" s="90" t="s">
        <v>3880</v>
      </c>
      <c r="F929" s="8" t="s">
        <v>3881</v>
      </c>
      <c r="G929" s="27" t="s">
        <v>514</v>
      </c>
      <c r="H929" s="55" t="s">
        <v>320</v>
      </c>
      <c r="I929" s="8" t="s">
        <v>4315</v>
      </c>
      <c r="J929" s="8" t="s">
        <v>6221</v>
      </c>
      <c r="K929" s="5" t="s">
        <v>6222</v>
      </c>
      <c r="L929" s="337" t="s">
        <v>6206</v>
      </c>
      <c r="M929" s="338" t="s">
        <v>6207</v>
      </c>
      <c r="N929" s="339" t="s">
        <v>6208</v>
      </c>
      <c r="O929" s="4" t="s">
        <v>6713</v>
      </c>
      <c r="P929" s="89" t="s">
        <v>6285</v>
      </c>
      <c r="Q929" s="293" t="s">
        <v>6284</v>
      </c>
      <c r="R929" s="354" t="s">
        <v>6283</v>
      </c>
      <c r="S929" s="26" t="s">
        <v>6286</v>
      </c>
      <c r="T929" s="321" t="s">
        <v>4716</v>
      </c>
      <c r="U929" s="10" t="s">
        <v>3884</v>
      </c>
      <c r="V929" s="308" t="s">
        <v>4731</v>
      </c>
      <c r="W929" s="68" t="s">
        <v>3273</v>
      </c>
      <c r="X929" s="28" t="s">
        <v>2</v>
      </c>
      <c r="Y929" s="17" t="s">
        <v>3885</v>
      </c>
      <c r="Z929" s="14" t="s">
        <v>3886</v>
      </c>
      <c r="AA929" s="21" t="s">
        <v>3887</v>
      </c>
      <c r="AB929" s="96" t="s">
        <v>6174</v>
      </c>
      <c r="AC929" s="384" t="s">
        <v>6420</v>
      </c>
      <c r="AD929" s="8" t="s">
        <v>4315</v>
      </c>
      <c r="AE929" s="71" t="s">
        <v>3888</v>
      </c>
      <c r="AF929" s="72" t="s">
        <v>3889</v>
      </c>
      <c r="AG929" s="32" t="s">
        <v>3890</v>
      </c>
      <c r="AH929" s="25" t="s">
        <v>6209</v>
      </c>
      <c r="AI929" s="8" t="s">
        <v>6731</v>
      </c>
      <c r="AJ929" s="50" t="s">
        <v>3361</v>
      </c>
      <c r="AK929" s="44" t="s">
        <v>6730</v>
      </c>
    </row>
    <row r="930" spans="1:37">
      <c r="A930" s="347">
        <f>IFERROR(VLOOKUP($G930,基本資料!$A:$J,3,0),"無")</f>
        <v>23.8</v>
      </c>
      <c r="B930" s="79">
        <f>IFERROR(VLOOKUP($G930,基本資料!$A:$J,4,0),"無")</f>
        <v>-371</v>
      </c>
      <c r="C930" s="79">
        <f>IFERROR(VLOOKUP($G930,基本資料!$A:$J,5,0),"無")</f>
        <v>-246</v>
      </c>
      <c r="D930" s="79">
        <f>IFERROR(VLOOKUP($G930,基本資料!$A:$J,6,0),"無")</f>
        <v>-13</v>
      </c>
      <c r="E930" s="79">
        <f>IFERROR(VLOOKUP($G930,基本資料!$A:$J,7,0),"無")</f>
        <v>8</v>
      </c>
      <c r="F930" s="6">
        <f>IFERROR(VLOOKUP($G930,基本資料!$A:$J,8,0),"無")</f>
        <v>-12.09</v>
      </c>
      <c r="G930" s="79">
        <v>2314</v>
      </c>
      <c r="H930" s="8" t="s">
        <v>311</v>
      </c>
      <c r="I930" s="22" t="s">
        <v>4316</v>
      </c>
      <c r="J930" s="8" t="str">
        <f>IFERROR(VLOOKUP($G930,今日總結!$A:$AJ,35,0),"")</f>
        <v/>
      </c>
      <c r="K930" s="5" t="str">
        <f>IFERROR(VLOOKUP($G930,今日總結!$A:$AJ,36,0),"")</f>
        <v/>
      </c>
      <c r="L930" s="156" t="str">
        <f>IFERROR(VLOOKUP($G930,今日總結!$A:$AJ,33,0),"")</f>
        <v/>
      </c>
      <c r="M930" s="340" t="str">
        <f>IFERROR(VLOOKUP($G930,今日總結!$A:$AJ,34,0),"")</f>
        <v/>
      </c>
      <c r="N930" s="240" t="str">
        <f t="shared" ref="N930" si="184">IFERROR(L930-M930,"")</f>
        <v/>
      </c>
      <c r="P930" s="365" t="str">
        <f>IFERROR(VLOOKUP($G930,融外自投!$A:$J,7,0),"無")</f>
        <v>無</v>
      </c>
      <c r="Q930" s="79" t="str">
        <f>IFERROR(VLOOKUP($G930,融外自投!$A:$J,9,0),"無")</f>
        <v>無</v>
      </c>
      <c r="R930" s="346" t="str">
        <f>IFERROR(VLOOKUP($G930,融外自投!$A:$J,8,0),"無")</f>
        <v>無</v>
      </c>
      <c r="S930" s="81" t="str">
        <f>IFERROR(VLOOKUP($G930,融外自投!$A:$J,10,0),"無")</f>
        <v>無</v>
      </c>
      <c r="T930" s="327" t="str">
        <f>IFERROR(VLOOKUP($G930,'321買'!$A:$E,5,0),"'沒有資料'")</f>
        <v>'沒有資料'</v>
      </c>
      <c r="U930" s="186">
        <f>IFERROR(VLOOKUP($G930,基本資料!$A:$J,9,0),"無")</f>
        <v>0</v>
      </c>
      <c r="V930" s="310">
        <f t="shared" ref="V930:V993" si="185">$U930/$X930</f>
        <v>0</v>
      </c>
      <c r="W930" s="94">
        <f>IFERROR(VLOOKUP($G930,基本資料!$A:$J,10,0),"無")</f>
        <v>-1.97</v>
      </c>
      <c r="X930" s="36">
        <f>RTD("money.excel",,"2314","Price")</f>
        <v>54</v>
      </c>
      <c r="Y930" s="66"/>
      <c r="Z930" s="15">
        <f>X930-Y930</f>
        <v>54</v>
      </c>
      <c r="AA930" s="3" t="e">
        <f>Z930/Y930</f>
        <v>#DIV/0!</v>
      </c>
      <c r="AB930" s="344">
        <f>IFERROR(VLOOKUP($G930,基本資料!$A:$M,11,0),"無")</f>
        <v>-42.38</v>
      </c>
      <c r="AC930" s="397">
        <f>IFERROR(VLOOKUP($G930,基本資料!$A:$M,12,0),"無")</f>
        <v>30.36</v>
      </c>
      <c r="AD930" s="22" t="s">
        <v>4316</v>
      </c>
      <c r="AG930" s="33">
        <f>AF930-AE930</f>
        <v>0</v>
      </c>
      <c r="AH930" s="119" t="s">
        <v>4317</v>
      </c>
      <c r="AI930" s="63">
        <f t="shared" ref="AI930:AI961" si="186">AJ930/(A930*10000)</f>
        <v>4.3991596638655464E-3</v>
      </c>
      <c r="AJ930" s="284">
        <f>RTD("money.excel",,$G930,"PredictVolume")</f>
        <v>1047</v>
      </c>
      <c r="AK930" s="399">
        <f>IFERROR(VLOOKUP($G930,基本資料!$A:$M,13,0),"無")</f>
        <v>27.16</v>
      </c>
    </row>
    <row r="931" spans="1:37">
      <c r="A931" s="347">
        <f>IFERROR(VLOOKUP($G931,基本資料!$A:$J,3,0),"無")</f>
        <v>4.45</v>
      </c>
      <c r="B931" s="79">
        <f>IFERROR(VLOOKUP($G931,基本資料!$A:$J,4,0),"無")</f>
        <v>151</v>
      </c>
      <c r="C931" s="79">
        <f>IFERROR(VLOOKUP($G931,基本資料!$A:$J,5,0),"無")</f>
        <v>113</v>
      </c>
      <c r="D931" s="79">
        <f>IFERROR(VLOOKUP($G931,基本資料!$A:$J,6,0),"無")</f>
        <v>17</v>
      </c>
      <c r="E931" s="79">
        <f>IFERROR(VLOOKUP($G931,基本資料!$A:$J,7,0),"無")</f>
        <v>0</v>
      </c>
      <c r="F931" s="6">
        <f>IFERROR(VLOOKUP($G931,基本資料!$A:$J,8,0),"無")</f>
        <v>0.68</v>
      </c>
      <c r="G931" s="79">
        <v>2321</v>
      </c>
      <c r="H931" s="8" t="s">
        <v>311</v>
      </c>
      <c r="I931" s="22" t="s">
        <v>4318</v>
      </c>
      <c r="J931" s="8" t="str">
        <f>IFERROR(VLOOKUP($G931,今日總結!$A:$AJ,35,0),"")</f>
        <v/>
      </c>
      <c r="K931" s="5" t="str">
        <f>IFERROR(VLOOKUP($G931,今日總結!$A:$AJ,36,0),"")</f>
        <v/>
      </c>
      <c r="L931" s="156" t="str">
        <f>IFERROR(VLOOKUP($G931,今日總結!$A:$AJ,33,0),"")</f>
        <v/>
      </c>
      <c r="M931" s="340" t="str">
        <f>IFERROR(VLOOKUP($G931,今日總結!$A:$AJ,34,0),"")</f>
        <v/>
      </c>
      <c r="N931" s="240" t="str">
        <f t="shared" ref="N931:N994" si="187">IFERROR(L931-M931,"")</f>
        <v/>
      </c>
      <c r="P931" s="365" t="str">
        <f>IFERROR(VLOOKUP($G931,融外自投!$A:$J,7,0),"無")</f>
        <v>無</v>
      </c>
      <c r="Q931" s="79" t="str">
        <f>IFERROR(VLOOKUP($G931,融外自投!$A:$J,9,0),"無")</f>
        <v>無</v>
      </c>
      <c r="R931" s="346" t="str">
        <f>IFERROR(VLOOKUP($G931,融外自投!$A:$J,8,0),"無")</f>
        <v>無</v>
      </c>
      <c r="S931" s="81" t="str">
        <f>IFERROR(VLOOKUP($G931,融外自投!$A:$J,10,0),"無")</f>
        <v>無</v>
      </c>
      <c r="T931" s="327" t="str">
        <f>IFERROR(VLOOKUP($G931,'321買'!$A:$E,5,0),"'沒有資料'")</f>
        <v>'沒有資料'</v>
      </c>
      <c r="U931" s="186">
        <f>IFERROR(VLOOKUP($G931,基本資料!$A:$J,9,0),"無")</f>
        <v>0</v>
      </c>
      <c r="V931" s="310">
        <f t="shared" si="185"/>
        <v>0</v>
      </c>
      <c r="W931" s="94">
        <f>IFERROR(VLOOKUP($G931,基本資料!$A:$J,10,0),"無")</f>
        <v>0.12</v>
      </c>
      <c r="X931" s="36">
        <f>RTD("money.excel",,"2321","Price")</f>
        <v>5.8</v>
      </c>
      <c r="Y931" s="66"/>
      <c r="Z931" s="15">
        <f t="shared" ref="Z931:Z993" si="188">X931-Y931</f>
        <v>5.8</v>
      </c>
      <c r="AA931" s="3" t="e">
        <f t="shared" ref="AA931:AA993" si="189">Z931/Y931</f>
        <v>#DIV/0!</v>
      </c>
      <c r="AB931" s="344">
        <f>IFERROR(VLOOKUP($G931,基本資料!$A:$M,11,0),"無")</f>
        <v>-28.54</v>
      </c>
      <c r="AC931" s="397">
        <f>IFERROR(VLOOKUP($G931,基本資料!$A:$M,12,0),"無")</f>
        <v>13.11</v>
      </c>
      <c r="AD931" s="22" t="s">
        <v>4318</v>
      </c>
      <c r="AG931" s="33">
        <f t="shared" ref="AG931:AG993" si="190">AF931-AE931</f>
        <v>0</v>
      </c>
      <c r="AH931" s="43" t="s">
        <v>4319</v>
      </c>
      <c r="AI931" s="63">
        <f t="shared" si="186"/>
        <v>2.2471910112359552E-5</v>
      </c>
      <c r="AJ931" s="284">
        <f>RTD("money.excel",,$G931,"PredictVolume")</f>
        <v>1</v>
      </c>
      <c r="AK931" s="399">
        <f>IFERROR(VLOOKUP($G931,基本資料!$A:$M,13,0),"無")</f>
        <v>1.17</v>
      </c>
    </row>
    <row r="932" spans="1:37">
      <c r="A932" s="347">
        <f>IFERROR(VLOOKUP($G932,基本資料!$A:$J,3,0),"無")</f>
        <v>59.98</v>
      </c>
      <c r="B932" s="79">
        <f>IFERROR(VLOOKUP($G932,基本資料!$A:$J,4,0),"無")</f>
        <v>-75</v>
      </c>
      <c r="C932" s="79">
        <f>IFERROR(VLOOKUP($G932,基本資料!$A:$J,5,0),"無")</f>
        <v>111</v>
      </c>
      <c r="D932" s="79">
        <f>IFERROR(VLOOKUP($G932,基本資料!$A:$J,6,0),"無")</f>
        <v>20</v>
      </c>
      <c r="E932" s="79">
        <f>IFERROR(VLOOKUP($G932,基本資料!$A:$J,7,0),"無")</f>
        <v>12</v>
      </c>
      <c r="F932" s="6">
        <f>IFERROR(VLOOKUP($G932,基本資料!$A:$J,8,0),"無")</f>
        <v>1.0900000000000001</v>
      </c>
      <c r="G932" s="79">
        <v>2332</v>
      </c>
      <c r="H932" s="195" t="s">
        <v>311</v>
      </c>
      <c r="I932" s="22" t="s">
        <v>4320</v>
      </c>
      <c r="J932" s="8" t="str">
        <f>IFERROR(VLOOKUP($G932,今日總結!$A:$AJ,35,0),"")</f>
        <v/>
      </c>
      <c r="K932" s="5" t="str">
        <f>IFERROR(VLOOKUP($G932,今日總結!$A:$AJ,36,0),"")</f>
        <v/>
      </c>
      <c r="L932" s="156" t="str">
        <f>IFERROR(VLOOKUP($G932,今日總結!$A:$AJ,33,0),"")</f>
        <v/>
      </c>
      <c r="M932" s="340" t="str">
        <f>IFERROR(VLOOKUP($G932,今日總結!$A:$AJ,34,0),"")</f>
        <v/>
      </c>
      <c r="N932" s="240" t="str">
        <f t="shared" si="187"/>
        <v/>
      </c>
      <c r="P932" s="365">
        <f>IFERROR(VLOOKUP($G932,融外自投!$A:$J,7,0),"無")</f>
        <v>553</v>
      </c>
      <c r="Q932" s="79">
        <f>IFERROR(VLOOKUP($G932,融外自投!$A:$J,9,0),"無")</f>
        <v>824</v>
      </c>
      <c r="R932" s="346">
        <f>IFERROR(VLOOKUP($G932,融外自投!$A:$J,8,0),"無")</f>
        <v>604</v>
      </c>
      <c r="S932" s="81" t="str">
        <f>IFERROR(VLOOKUP($G932,融外自投!$A:$J,10,0),"無")</f>
        <v>無</v>
      </c>
      <c r="T932" s="327">
        <f>IFERROR(VLOOKUP($G932,'321買'!$A:$E,5,0),"'沒有資料'")</f>
        <v>503</v>
      </c>
      <c r="U932" s="186">
        <f>IFERROR(VLOOKUP($G932,基本資料!$A:$J,9,0),"無")</f>
        <v>0.3</v>
      </c>
      <c r="V932" s="310">
        <f t="shared" si="185"/>
        <v>1.935483870967742E-2</v>
      </c>
      <c r="W932" s="94">
        <f>IFERROR(VLOOKUP($G932,基本資料!$A:$J,10,0),"無")</f>
        <v>0.38</v>
      </c>
      <c r="X932" s="36">
        <f>RTD("money.excel",,"2332","Price")</f>
        <v>15.5</v>
      </c>
      <c r="Y932" s="66"/>
      <c r="Z932" s="15">
        <f t="shared" si="188"/>
        <v>15.5</v>
      </c>
      <c r="AA932" s="3" t="e">
        <f t="shared" si="189"/>
        <v>#DIV/0!</v>
      </c>
      <c r="AB932" s="344">
        <f>IFERROR(VLOOKUP($G932,基本資料!$A:$M,11,0),"無")</f>
        <v>-30.79</v>
      </c>
      <c r="AC932" s="397">
        <f>IFERROR(VLOOKUP($G932,基本資料!$A:$M,12,0),"無")</f>
        <v>36.67</v>
      </c>
      <c r="AD932" s="22" t="s">
        <v>4320</v>
      </c>
      <c r="AG932" s="33">
        <f t="shared" si="190"/>
        <v>0</v>
      </c>
      <c r="AH932" s="119" t="s">
        <v>4321</v>
      </c>
      <c r="AI932" s="63">
        <f t="shared" si="186"/>
        <v>1.3587862620873625E-3</v>
      </c>
      <c r="AJ932" s="284">
        <f>RTD("money.excel",,$G932,"PredictVolume")</f>
        <v>815</v>
      </c>
      <c r="AK932" s="399">
        <f>IFERROR(VLOOKUP($G932,基本資料!$A:$M,13,0),"無")</f>
        <v>5.95</v>
      </c>
    </row>
    <row r="933" spans="1:37">
      <c r="A933" s="347">
        <f>IFERROR(VLOOKUP($G933,基本資料!$A:$J,3,0),"無")</f>
        <v>56</v>
      </c>
      <c r="B933" s="79">
        <f>IFERROR(VLOOKUP($G933,基本資料!$A:$J,4,0),"無")</f>
        <v>-6</v>
      </c>
      <c r="C933" s="79">
        <f>IFERROR(VLOOKUP($G933,基本資料!$A:$J,5,0),"無")</f>
        <v>-15</v>
      </c>
      <c r="D933" s="79">
        <f>IFERROR(VLOOKUP($G933,基本資料!$A:$J,6,0),"無")</f>
        <v>-16</v>
      </c>
      <c r="E933" s="79">
        <f>IFERROR(VLOOKUP($G933,基本資料!$A:$J,7,0),"無")</f>
        <v>21</v>
      </c>
      <c r="F933" s="6">
        <f>IFERROR(VLOOKUP($G933,基本資料!$A:$J,8,0),"無")</f>
        <v>9.1300000000000008</v>
      </c>
      <c r="G933" s="79">
        <v>2345</v>
      </c>
      <c r="H933" s="195" t="s">
        <v>311</v>
      </c>
      <c r="I933" s="22" t="s">
        <v>4322</v>
      </c>
      <c r="J933" s="8">
        <f>IFERROR(VLOOKUP($G933,今日總結!$A:$AJ,35,0),"")</f>
        <v>0</v>
      </c>
      <c r="K933" s="5" t="str">
        <f>IFERROR(VLOOKUP($G933,今日總結!$A:$AJ,36,0),"")</f>
        <v>外借</v>
      </c>
      <c r="L933" s="156">
        <f>IFERROR(VLOOKUP($G933,今日總結!$A:$AJ,33,0),"")</f>
        <v>0</v>
      </c>
      <c r="M933" s="340">
        <f>IFERROR(VLOOKUP($G933,今日總結!$A:$AJ,34,0),"")</f>
        <v>3</v>
      </c>
      <c r="N933" s="240">
        <f t="shared" si="187"/>
        <v>-3</v>
      </c>
      <c r="P933" s="365">
        <f>IFERROR(VLOOKUP($G933,融外自投!$A:$J,7,0),"無")</f>
        <v>1215</v>
      </c>
      <c r="Q933" s="79">
        <f>IFERROR(VLOOKUP($G933,融外自投!$A:$J,9,0),"無")</f>
        <v>108</v>
      </c>
      <c r="R933" s="346">
        <f>IFERROR(VLOOKUP($G933,融外自投!$A:$J,8,0),"無")</f>
        <v>30</v>
      </c>
      <c r="S933" s="81">
        <f>IFERROR(VLOOKUP($G933,融外自投!$A:$J,10,0),"無")</f>
        <v>166</v>
      </c>
      <c r="T933" s="327">
        <f>IFERROR(VLOOKUP($G933,'321買'!$A:$E,5,0),"'沒有資料'")</f>
        <v>195</v>
      </c>
      <c r="U933" s="186">
        <f>IFERROR(VLOOKUP($G933,基本資料!$A:$J,9,0),"無")</f>
        <v>6</v>
      </c>
      <c r="V933" s="310">
        <f t="shared" si="185"/>
        <v>2.7397260273972601E-2</v>
      </c>
      <c r="W933" s="94">
        <f>IFERROR(VLOOKUP($G933,基本資料!$A:$J,10,0),"無")</f>
        <v>8.44</v>
      </c>
      <c r="X933" s="36">
        <f>RTD("money.excel",,"2345","Price")</f>
        <v>219</v>
      </c>
      <c r="Y933" s="66"/>
      <c r="Z933" s="15">
        <f t="shared" si="188"/>
        <v>219</v>
      </c>
      <c r="AA933" s="3" t="e">
        <f t="shared" si="189"/>
        <v>#DIV/0!</v>
      </c>
      <c r="AB933" s="344">
        <f>IFERROR(VLOOKUP($G933,基本資料!$A:$M,11,0),"無")</f>
        <v>-38.28</v>
      </c>
      <c r="AC933" s="397">
        <f>IFERROR(VLOOKUP($G933,基本資料!$A:$M,12,0),"無")</f>
        <v>45.92</v>
      </c>
      <c r="AD933" s="22" t="s">
        <v>4322</v>
      </c>
      <c r="AG933" s="33">
        <f t="shared" si="190"/>
        <v>0</v>
      </c>
      <c r="AH933" s="117" t="s">
        <v>4323</v>
      </c>
      <c r="AI933" s="63">
        <f t="shared" si="186"/>
        <v>1.0169642857142858E-2</v>
      </c>
      <c r="AJ933" s="284">
        <f>RTD("money.excel",,$G933,"PredictVolume")</f>
        <v>5695</v>
      </c>
      <c r="AK933" s="399">
        <f>IFERROR(VLOOKUP($G933,基本資料!$A:$M,13,0),"無")</f>
        <v>1.66</v>
      </c>
    </row>
    <row r="934" spans="1:37">
      <c r="A934" s="347">
        <f>IFERROR(VLOOKUP($G934,基本資料!$A:$J,3,0),"無")</f>
        <v>775</v>
      </c>
      <c r="B934" s="79">
        <f>IFERROR(VLOOKUP($G934,基本資料!$A:$J,4,0),"無")</f>
        <v>7</v>
      </c>
      <c r="C934" s="79">
        <f>IFERROR(VLOOKUP($G934,基本資料!$A:$J,5,0),"無")</f>
        <v>6</v>
      </c>
      <c r="D934" s="79">
        <f>IFERROR(VLOOKUP($G934,基本資料!$A:$J,6,0),"無")</f>
        <v>4</v>
      </c>
      <c r="E934" s="79">
        <f>IFERROR(VLOOKUP($G934,基本資料!$A:$J,7,0),"無")</f>
        <v>6</v>
      </c>
      <c r="F934" s="6">
        <f>IFERROR(VLOOKUP($G934,基本資料!$A:$J,8,0),"無")</f>
        <v>21.35</v>
      </c>
      <c r="G934" s="79">
        <v>2412</v>
      </c>
      <c r="H934" s="17" t="s">
        <v>311</v>
      </c>
      <c r="I934" s="22" t="s">
        <v>4324</v>
      </c>
      <c r="J934" s="8" t="str">
        <f>IFERROR(VLOOKUP($G934,今日總結!$A:$AJ,35,0),"")</f>
        <v/>
      </c>
      <c r="K934" s="5" t="str">
        <f>IFERROR(VLOOKUP($G934,今日總結!$A:$AJ,36,0),"")</f>
        <v/>
      </c>
      <c r="L934" s="156" t="str">
        <f>IFERROR(VLOOKUP($G934,今日總結!$A:$AJ,33,0),"")</f>
        <v/>
      </c>
      <c r="M934" s="340" t="str">
        <f>IFERROR(VLOOKUP($G934,今日總結!$A:$AJ,34,0),"")</f>
        <v/>
      </c>
      <c r="N934" s="240" t="str">
        <f t="shared" si="187"/>
        <v/>
      </c>
      <c r="P934" s="365">
        <f>IFERROR(VLOOKUP($G934,融外自投!$A:$J,7,0),"無")</f>
        <v>1374</v>
      </c>
      <c r="Q934" s="79">
        <f>IFERROR(VLOOKUP($G934,融外自投!$A:$J,9,0),"無")</f>
        <v>251</v>
      </c>
      <c r="R934" s="346">
        <f>IFERROR(VLOOKUP($G934,融外自投!$A:$J,8,0),"無")</f>
        <v>323</v>
      </c>
      <c r="S934" s="81">
        <f>IFERROR(VLOOKUP($G934,融外自投!$A:$J,10,0),"無")</f>
        <v>197</v>
      </c>
      <c r="T934" s="327">
        <f>IFERROR(VLOOKUP($G934,'321買'!$A:$E,5,0),"'沒有資料'")</f>
        <v>3</v>
      </c>
      <c r="U934" s="186">
        <f>IFERROR(VLOOKUP($G934,基本資料!$A:$J,9,0),"無")</f>
        <v>4.6100000000000003</v>
      </c>
      <c r="V934" s="310">
        <f t="shared" si="185"/>
        <v>3.6880000000000003E-2</v>
      </c>
      <c r="W934" s="94">
        <f>IFERROR(VLOOKUP($G934,基本資料!$A:$J,10,0),"無")</f>
        <v>4.6100000000000003</v>
      </c>
      <c r="X934" s="36">
        <f>RTD("money.excel",,"2412","Price")</f>
        <v>125</v>
      </c>
      <c r="Y934" s="65"/>
      <c r="Z934" s="15">
        <f t="shared" si="188"/>
        <v>125</v>
      </c>
      <c r="AA934" s="3" t="e">
        <f t="shared" si="189"/>
        <v>#DIV/0!</v>
      </c>
      <c r="AB934" s="344">
        <f>IFERROR(VLOOKUP($G934,基本資料!$A:$M,11,0),"無")</f>
        <v>-5.66</v>
      </c>
      <c r="AC934" s="397">
        <f>IFERROR(VLOOKUP($G934,基本資料!$A:$M,12,0),"無")</f>
        <v>62.57</v>
      </c>
      <c r="AD934" s="22" t="s">
        <v>4324</v>
      </c>
      <c r="AG934" s="33">
        <f t="shared" si="190"/>
        <v>0</v>
      </c>
      <c r="AH934" s="117" t="s">
        <v>4325</v>
      </c>
      <c r="AI934" s="63">
        <f t="shared" si="186"/>
        <v>9.4141935483870972E-4</v>
      </c>
      <c r="AJ934" s="284">
        <f>RTD("money.excel",,$G934,"PredictVolume")</f>
        <v>7296</v>
      </c>
      <c r="AK934" s="399">
        <f>IFERROR(VLOOKUP($G934,基本資料!$A:$M,13,0),"無")</f>
        <v>0.49</v>
      </c>
    </row>
    <row r="935" spans="1:37">
      <c r="A935" s="347">
        <f>IFERROR(VLOOKUP($G935,基本資料!$A:$J,3,0),"無")</f>
        <v>32.130000000000003</v>
      </c>
      <c r="B935" s="79">
        <f>IFERROR(VLOOKUP($G935,基本資料!$A:$J,4,0),"無")</f>
        <v>-45</v>
      </c>
      <c r="C935" s="79">
        <f>IFERROR(VLOOKUP($G935,基本資料!$A:$J,5,0),"無")</f>
        <v>-33</v>
      </c>
      <c r="D935" s="79">
        <f>IFERROR(VLOOKUP($G935,基本資料!$A:$J,6,0),"無")</f>
        <v>-14</v>
      </c>
      <c r="E935" s="79">
        <f>IFERROR(VLOOKUP($G935,基本資料!$A:$J,7,0),"無")</f>
        <v>3</v>
      </c>
      <c r="F935" s="6">
        <f>IFERROR(VLOOKUP($G935,基本資料!$A:$J,8,0),"無")</f>
        <v>3.06</v>
      </c>
      <c r="G935" s="79">
        <v>2419</v>
      </c>
      <c r="H935" s="195" t="s">
        <v>311</v>
      </c>
      <c r="I935" s="22" t="s">
        <v>4326</v>
      </c>
      <c r="J935" s="8" t="str">
        <f>IFERROR(VLOOKUP($G935,今日總結!$A:$AJ,35,0),"")</f>
        <v>券</v>
      </c>
      <c r="K935" s="5" t="str">
        <f>IFERROR(VLOOKUP($G935,今日總結!$A:$AJ,36,0),"")</f>
        <v>融借</v>
      </c>
      <c r="L935" s="156">
        <f>IFERROR(VLOOKUP($G935,今日總結!$A:$AJ,33,0),"")</f>
        <v>1</v>
      </c>
      <c r="M935" s="340">
        <f>IFERROR(VLOOKUP($G935,今日總結!$A:$AJ,34,0),"")</f>
        <v>2</v>
      </c>
      <c r="N935" s="240">
        <f t="shared" si="187"/>
        <v>-1</v>
      </c>
      <c r="P935" s="365">
        <f>IFERROR(VLOOKUP($G935,融外自投!$A:$J,7,0),"無")</f>
        <v>641</v>
      </c>
      <c r="Q935" s="79">
        <f>IFERROR(VLOOKUP($G935,融外自投!$A:$J,9,0),"無")</f>
        <v>635</v>
      </c>
      <c r="R935" s="346">
        <f>IFERROR(VLOOKUP($G935,融外自投!$A:$J,8,0),"無")</f>
        <v>1193</v>
      </c>
      <c r="S935" s="81" t="str">
        <f>IFERROR(VLOOKUP($G935,融外自投!$A:$J,10,0),"無")</f>
        <v>無</v>
      </c>
      <c r="T935" s="327">
        <f>IFERROR(VLOOKUP($G935,'321買'!$A:$E,5,0),"'沒有資料'")</f>
        <v>445</v>
      </c>
      <c r="U935" s="186">
        <f>IFERROR(VLOOKUP($G935,基本資料!$A:$J,9,0),"無")</f>
        <v>0.5</v>
      </c>
      <c r="V935" s="310">
        <f t="shared" si="185"/>
        <v>2.6385224274406333E-2</v>
      </c>
      <c r="W935" s="94">
        <f>IFERROR(VLOOKUP($G935,基本資料!$A:$J,10,0),"無")</f>
        <v>0.22</v>
      </c>
      <c r="X935" s="36">
        <f>RTD("money.excel",,"2419","Price")</f>
        <v>18.95</v>
      </c>
      <c r="Y935" s="66"/>
      <c r="Z935" s="15">
        <f t="shared" si="188"/>
        <v>18.95</v>
      </c>
      <c r="AA935" s="3" t="e">
        <f t="shared" si="189"/>
        <v>#DIV/0!</v>
      </c>
      <c r="AB935" s="344">
        <f>IFERROR(VLOOKUP($G935,基本資料!$A:$M,11,0),"無")</f>
        <v>-31.64</v>
      </c>
      <c r="AC935" s="397">
        <f>IFERROR(VLOOKUP($G935,基本資料!$A:$M,12,0),"無")</f>
        <v>26.89</v>
      </c>
      <c r="AD935" s="22" t="s">
        <v>4326</v>
      </c>
      <c r="AG935" s="33">
        <f t="shared" si="190"/>
        <v>0</v>
      </c>
      <c r="AH935" s="43" t="s">
        <v>4327</v>
      </c>
      <c r="AI935" s="63">
        <f t="shared" si="186"/>
        <v>1.5406162464985994E-3</v>
      </c>
      <c r="AJ935" s="284">
        <f>RTD("money.excel",,$G935,"PredictVolume")</f>
        <v>495</v>
      </c>
      <c r="AK935" s="399">
        <f>IFERROR(VLOOKUP($G935,基本資料!$A:$M,13,0),"無")</f>
        <v>9.23</v>
      </c>
    </row>
    <row r="936" spans="1:37">
      <c r="A936" s="347">
        <f>IFERROR(VLOOKUP($G936,基本資料!$A:$J,3,0),"無")</f>
        <v>21.64</v>
      </c>
      <c r="B936" s="79">
        <f>IFERROR(VLOOKUP($G936,基本資料!$A:$J,4,0),"無")</f>
        <v>-2</v>
      </c>
      <c r="C936" s="79">
        <f>IFERROR(VLOOKUP($G936,基本資料!$A:$J,5,0),"無")</f>
        <v>-3</v>
      </c>
      <c r="D936" s="79">
        <f>IFERROR(VLOOKUP($G936,基本資料!$A:$J,6,0),"無")</f>
        <v>-3</v>
      </c>
      <c r="E936" s="79">
        <f>IFERROR(VLOOKUP($G936,基本資料!$A:$J,7,0),"無")</f>
        <v>-25</v>
      </c>
      <c r="F936" s="6">
        <f>IFERROR(VLOOKUP($G936,基本資料!$A:$J,8,0),"無")</f>
        <v>3.04</v>
      </c>
      <c r="G936" s="79">
        <v>2439</v>
      </c>
      <c r="H936" s="195" t="s">
        <v>311</v>
      </c>
      <c r="I936" s="22" t="s">
        <v>211</v>
      </c>
      <c r="J936" s="8" t="str">
        <f>IFERROR(VLOOKUP($G936,今日總結!$A:$AJ,35,0),"")</f>
        <v/>
      </c>
      <c r="K936" s="5" t="str">
        <f>IFERROR(VLOOKUP($G936,今日總結!$A:$AJ,36,0),"")</f>
        <v/>
      </c>
      <c r="L936" s="156" t="str">
        <f>IFERROR(VLOOKUP($G936,今日總結!$A:$AJ,33,0),"")</f>
        <v/>
      </c>
      <c r="M936" s="340" t="str">
        <f>IFERROR(VLOOKUP($G936,今日總結!$A:$AJ,34,0),"")</f>
        <v/>
      </c>
      <c r="N936" s="240" t="str">
        <f t="shared" si="187"/>
        <v/>
      </c>
      <c r="P936" s="365">
        <f>IFERROR(VLOOKUP($G936,融外自投!$A:$J,7,0),"無")</f>
        <v>550</v>
      </c>
      <c r="Q936" s="79">
        <f>IFERROR(VLOOKUP($G936,融外自投!$A:$J,9,0),"無")</f>
        <v>17</v>
      </c>
      <c r="R936" s="346">
        <f>IFERROR(VLOOKUP($G936,融外自投!$A:$J,8,0),"無")</f>
        <v>481</v>
      </c>
      <c r="S936" s="81">
        <f>IFERROR(VLOOKUP($G936,融外自投!$A:$J,10,0),"無")</f>
        <v>491</v>
      </c>
      <c r="T936" s="327">
        <f>IFERROR(VLOOKUP($G936,'321買'!$A:$E,5,0),"'沒有資料'")</f>
        <v>634</v>
      </c>
      <c r="U936" s="186">
        <f>IFERROR(VLOOKUP($G936,基本資料!$A:$J,9,0),"無")</f>
        <v>4</v>
      </c>
      <c r="V936" s="310">
        <f t="shared" si="185"/>
        <v>4.9937578027465672E-2</v>
      </c>
      <c r="W936" s="94">
        <f>IFERROR(VLOOKUP($G936,基本資料!$A:$J,10,0),"無")</f>
        <v>5.4</v>
      </c>
      <c r="X936" s="36">
        <f>RTD("money.excel",,"2439","Price")</f>
        <v>80.099999999999994</v>
      </c>
      <c r="Y936" s="66"/>
      <c r="Z936" s="15">
        <f t="shared" si="188"/>
        <v>80.099999999999994</v>
      </c>
      <c r="AA936" s="3" t="e">
        <f t="shared" si="189"/>
        <v>#DIV/0!</v>
      </c>
      <c r="AB936" s="344">
        <f>IFERROR(VLOOKUP($G936,基本資料!$A:$M,11,0),"無")</f>
        <v>-33.25</v>
      </c>
      <c r="AC936" s="397">
        <f>IFERROR(VLOOKUP($G936,基本資料!$A:$M,12,0),"無")</f>
        <v>33.200000000000003</v>
      </c>
      <c r="AD936" s="22" t="s">
        <v>211</v>
      </c>
      <c r="AG936" s="33">
        <f t="shared" si="190"/>
        <v>0</v>
      </c>
      <c r="AH936" s="117" t="s">
        <v>2375</v>
      </c>
      <c r="AI936" s="63">
        <f t="shared" si="186"/>
        <v>1.3170055452865065E-3</v>
      </c>
      <c r="AJ936" s="284">
        <f>RTD("money.excel",,$G936,"PredictVolume")</f>
        <v>285</v>
      </c>
      <c r="AK936" s="399">
        <f>IFERROR(VLOOKUP($G936,基本資料!$A:$M,13,0),"無")</f>
        <v>5.28</v>
      </c>
    </row>
    <row r="937" spans="1:37">
      <c r="A937" s="347">
        <f>IFERROR(VLOOKUP($G937,基本資料!$A:$J,3,0),"無")</f>
        <v>10.55</v>
      </c>
      <c r="B937" s="79">
        <f>IFERROR(VLOOKUP($G937,基本資料!$A:$J,4,0),"無")</f>
        <v>112</v>
      </c>
      <c r="C937" s="79">
        <f>IFERROR(VLOOKUP($G937,基本資料!$A:$J,5,0),"無")</f>
        <v>132</v>
      </c>
      <c r="D937" s="79">
        <f>IFERROR(VLOOKUP($G937,基本資料!$A:$J,6,0),"無")</f>
        <v>-14</v>
      </c>
      <c r="E937" s="79">
        <f>IFERROR(VLOOKUP($G937,基本資料!$A:$J,7,0),"無")</f>
        <v>52</v>
      </c>
      <c r="F937" s="6">
        <f>IFERROR(VLOOKUP($G937,基本資料!$A:$J,8,0),"無")</f>
        <v>1.45</v>
      </c>
      <c r="G937" s="79">
        <v>2444</v>
      </c>
      <c r="H937" s="195" t="s">
        <v>311</v>
      </c>
      <c r="I937" s="22" t="s">
        <v>4329</v>
      </c>
      <c r="J937" s="8" t="str">
        <f>IFERROR(VLOOKUP($G937,今日總結!$A:$AJ,35,0),"")</f>
        <v/>
      </c>
      <c r="K937" s="5" t="str">
        <f>IFERROR(VLOOKUP($G937,今日總結!$A:$AJ,36,0),"")</f>
        <v/>
      </c>
      <c r="L937" s="156" t="str">
        <f>IFERROR(VLOOKUP($G937,今日總結!$A:$AJ,33,0),"")</f>
        <v/>
      </c>
      <c r="M937" s="340" t="str">
        <f>IFERROR(VLOOKUP($G937,今日總結!$A:$AJ,34,0),"")</f>
        <v/>
      </c>
      <c r="N937" s="240" t="str">
        <f t="shared" si="187"/>
        <v/>
      </c>
      <c r="P937" s="365" t="str">
        <f>IFERROR(VLOOKUP($G937,融外自投!$A:$J,7,0),"無")</f>
        <v>無</v>
      </c>
      <c r="Q937" s="79" t="str">
        <f>IFERROR(VLOOKUP($G937,融外自投!$A:$J,9,0),"無")</f>
        <v>無</v>
      </c>
      <c r="R937" s="346" t="str">
        <f>IFERROR(VLOOKUP($G937,融外自投!$A:$J,8,0),"無")</f>
        <v>無</v>
      </c>
      <c r="S937" s="81" t="str">
        <f>IFERROR(VLOOKUP($G937,融外自投!$A:$J,10,0),"無")</f>
        <v>無</v>
      </c>
      <c r="T937" s="327" t="str">
        <f>IFERROR(VLOOKUP($G937,'321買'!$A:$E,5,0),"'沒有資料'")</f>
        <v>'沒有資料'</v>
      </c>
      <c r="U937" s="186">
        <f>IFERROR(VLOOKUP($G937,基本資料!$A:$J,9,0),"無")</f>
        <v>0</v>
      </c>
      <c r="V937" s="310">
        <f t="shared" si="185"/>
        <v>0</v>
      </c>
      <c r="W937" s="94">
        <f>IFERROR(VLOOKUP($G937,基本資料!$A:$J,10,0),"無")</f>
        <v>0.12</v>
      </c>
      <c r="X937" s="36">
        <f>RTD("money.excel",,"2444","Price")</f>
        <v>11</v>
      </c>
      <c r="Y937" s="66"/>
      <c r="Z937" s="15">
        <f t="shared" si="188"/>
        <v>11</v>
      </c>
      <c r="AA937" s="3" t="e">
        <f t="shared" si="189"/>
        <v>#DIV/0!</v>
      </c>
      <c r="AB937" s="344">
        <f>IFERROR(VLOOKUP($G937,基本資料!$A:$M,11,0),"無")</f>
        <v>-29.52</v>
      </c>
      <c r="AC937" s="397">
        <f>IFERROR(VLOOKUP($G937,基本資料!$A:$M,12,0),"無")</f>
        <v>22.33</v>
      </c>
      <c r="AD937" s="22" t="s">
        <v>4329</v>
      </c>
      <c r="AG937" s="33">
        <f t="shared" si="190"/>
        <v>0</v>
      </c>
      <c r="AH937" s="43" t="s">
        <v>4330</v>
      </c>
      <c r="AI937" s="63">
        <f t="shared" si="186"/>
        <v>9.857819905213271E-4</v>
      </c>
      <c r="AJ937" s="284">
        <f>RTD("money.excel",,$G937,"PredictVolume")</f>
        <v>104</v>
      </c>
      <c r="AK937" s="399">
        <f>IFERROR(VLOOKUP($G937,基本資料!$A:$M,13,0),"無")</f>
        <v>4.4000000000000004</v>
      </c>
    </row>
    <row r="938" spans="1:37">
      <c r="A938" s="347">
        <f>IFERROR(VLOOKUP($G938,基本資料!$A:$J,3,0),"無")</f>
        <v>25.82</v>
      </c>
      <c r="B938" s="79">
        <f>IFERROR(VLOOKUP($G938,基本資料!$A:$J,4,0),"無")</f>
        <v>36</v>
      </c>
      <c r="C938" s="79">
        <f>IFERROR(VLOOKUP($G938,基本資料!$A:$J,5,0),"無")</f>
        <v>56</v>
      </c>
      <c r="D938" s="79">
        <f>IFERROR(VLOOKUP($G938,基本資料!$A:$J,6,0),"無")</f>
        <v>-16</v>
      </c>
      <c r="E938" s="79">
        <f>IFERROR(VLOOKUP($G938,基本資料!$A:$J,7,0),"無")</f>
        <v>9</v>
      </c>
      <c r="F938" s="6">
        <f>IFERROR(VLOOKUP($G938,基本資料!$A:$J,8,0),"無")</f>
        <v>1.56</v>
      </c>
      <c r="G938" s="79">
        <v>2450</v>
      </c>
      <c r="H938" s="195" t="s">
        <v>311</v>
      </c>
      <c r="I938" s="22" t="s">
        <v>4331</v>
      </c>
      <c r="J938" s="8">
        <f>IFERROR(VLOOKUP($G938,今日總結!$A:$AJ,35,0),"")</f>
        <v>0</v>
      </c>
      <c r="K938" s="5" t="str">
        <f>IFERROR(VLOOKUP($G938,今日總結!$A:$AJ,36,0),"")</f>
        <v>融</v>
      </c>
      <c r="L938" s="156">
        <f>IFERROR(VLOOKUP($G938,今日總結!$A:$AJ,33,0),"")</f>
        <v>0</v>
      </c>
      <c r="M938" s="340">
        <f>IFERROR(VLOOKUP($G938,今日總結!$A:$AJ,34,0),"")</f>
        <v>1</v>
      </c>
      <c r="N938" s="240">
        <f t="shared" si="187"/>
        <v>-1</v>
      </c>
      <c r="P938" s="365">
        <f>IFERROR(VLOOKUP($G938,融外自投!$A:$J,7,0),"無")</f>
        <v>1253</v>
      </c>
      <c r="Q938" s="79">
        <f>IFERROR(VLOOKUP($G938,融外自投!$A:$J,9,0),"無")</f>
        <v>653</v>
      </c>
      <c r="R938" s="346">
        <f>IFERROR(VLOOKUP($G938,融外自投!$A:$J,8,0),"無")</f>
        <v>881</v>
      </c>
      <c r="S938" s="81" t="str">
        <f>IFERROR(VLOOKUP($G938,融外自投!$A:$J,10,0),"無")</f>
        <v>無</v>
      </c>
      <c r="T938" s="327">
        <f>IFERROR(VLOOKUP($G938,'321買'!$A:$E,5,0),"'沒有資料'")</f>
        <v>1161</v>
      </c>
      <c r="U938" s="186">
        <f>IFERROR(VLOOKUP($G938,基本資料!$A:$J,9,0),"無")</f>
        <v>2</v>
      </c>
      <c r="V938" s="310">
        <f t="shared" si="185"/>
        <v>6.1068702290076333E-2</v>
      </c>
      <c r="W938" s="94">
        <f>IFERROR(VLOOKUP($G938,基本資料!$A:$J,10,0),"無")</f>
        <v>2.31</v>
      </c>
      <c r="X938" s="36">
        <f>RTD("money.excel",,"2450","Price")</f>
        <v>32.75</v>
      </c>
      <c r="Y938" s="66"/>
      <c r="Z938" s="15">
        <f t="shared" si="188"/>
        <v>32.75</v>
      </c>
      <c r="AA938" s="3" t="e">
        <f t="shared" si="189"/>
        <v>#DIV/0!</v>
      </c>
      <c r="AB938" s="344">
        <f>IFERROR(VLOOKUP($G938,基本資料!$A:$M,11,0),"無")</f>
        <v>-7.33</v>
      </c>
      <c r="AC938" s="397">
        <f>IFERROR(VLOOKUP($G938,基本資料!$A:$M,12,0),"無")</f>
        <v>35.61</v>
      </c>
      <c r="AD938" s="22" t="s">
        <v>4331</v>
      </c>
      <c r="AG938" s="33">
        <f t="shared" si="190"/>
        <v>0</v>
      </c>
      <c r="AH938" s="117" t="s">
        <v>4332</v>
      </c>
      <c r="AI938" s="63">
        <f t="shared" si="186"/>
        <v>5.2285050348566998E-4</v>
      </c>
      <c r="AJ938" s="284">
        <f>RTD("money.excel",,$G938,"PredictVolume")</f>
        <v>135</v>
      </c>
      <c r="AK938" s="399">
        <f>IFERROR(VLOOKUP($G938,基本資料!$A:$M,13,0),"無")</f>
        <v>0.32</v>
      </c>
    </row>
    <row r="939" spans="1:37">
      <c r="A939" s="347">
        <f>IFERROR(VLOOKUP($G939,基本資料!$A:$J,3,0),"無")</f>
        <v>18.489999999999998</v>
      </c>
      <c r="B939" s="79">
        <f>IFERROR(VLOOKUP($G939,基本資料!$A:$J,4,0),"無")</f>
        <v>60</v>
      </c>
      <c r="C939" s="79">
        <f>IFERROR(VLOOKUP($G939,基本資料!$A:$J,5,0),"無")</f>
        <v>53</v>
      </c>
      <c r="D939" s="79">
        <f>IFERROR(VLOOKUP($G939,基本資料!$A:$J,6,0),"無")</f>
        <v>-10</v>
      </c>
      <c r="E939" s="79">
        <f>IFERROR(VLOOKUP($G939,基本資料!$A:$J,7,0),"無")</f>
        <v>-11</v>
      </c>
      <c r="F939" s="6">
        <f>IFERROR(VLOOKUP($G939,基本資料!$A:$J,8,0),"無")</f>
        <v>29.28</v>
      </c>
      <c r="G939" s="79">
        <v>2455</v>
      </c>
      <c r="H939" s="195" t="s">
        <v>311</v>
      </c>
      <c r="I939" s="22" t="s">
        <v>4333</v>
      </c>
      <c r="J939" s="8" t="str">
        <f>IFERROR(VLOOKUP($G939,今日總結!$A:$AJ,35,0),"")</f>
        <v/>
      </c>
      <c r="K939" s="5" t="str">
        <f>IFERROR(VLOOKUP($G939,今日總結!$A:$AJ,36,0),"")</f>
        <v/>
      </c>
      <c r="L939" s="156" t="str">
        <f>IFERROR(VLOOKUP($G939,今日總結!$A:$AJ,33,0),"")</f>
        <v/>
      </c>
      <c r="M939" s="340" t="str">
        <f>IFERROR(VLOOKUP($G939,今日總結!$A:$AJ,34,0),"")</f>
        <v/>
      </c>
      <c r="N939" s="240" t="str">
        <f t="shared" si="187"/>
        <v/>
      </c>
      <c r="P939" s="365">
        <f>IFERROR(VLOOKUP($G939,融外自投!$A:$J,7,0),"無")</f>
        <v>179</v>
      </c>
      <c r="Q939" s="79">
        <f>IFERROR(VLOOKUP($G939,融外自投!$A:$J,9,0),"無")</f>
        <v>82</v>
      </c>
      <c r="R939" s="346">
        <f>IFERROR(VLOOKUP($G939,融外自投!$A:$J,8,0),"無")</f>
        <v>191</v>
      </c>
      <c r="S939" s="81">
        <f>IFERROR(VLOOKUP($G939,融外自投!$A:$J,10,0),"無")</f>
        <v>209</v>
      </c>
      <c r="T939" s="327">
        <f>IFERROR(VLOOKUP($G939,'321買'!$A:$E,5,0),"'沒有資料'")</f>
        <v>78</v>
      </c>
      <c r="U939" s="186">
        <f>IFERROR(VLOOKUP($G939,基本資料!$A:$J,9,0),"無")</f>
        <v>4</v>
      </c>
      <c r="V939" s="310">
        <f t="shared" si="185"/>
        <v>4.5146726862302484E-2</v>
      </c>
      <c r="W939" s="94">
        <f>IFERROR(VLOOKUP($G939,基本資料!$A:$J,10,0),"無")</f>
        <v>4.62</v>
      </c>
      <c r="X939" s="36">
        <f>RTD("money.excel",,"2455","Price")</f>
        <v>88.6</v>
      </c>
      <c r="Y939" s="66"/>
      <c r="Z939" s="15">
        <f t="shared" si="188"/>
        <v>88.6</v>
      </c>
      <c r="AA939" s="3" t="e">
        <f t="shared" si="189"/>
        <v>#DIV/0!</v>
      </c>
      <c r="AB939" s="344">
        <f>IFERROR(VLOOKUP($G939,基本資料!$A:$M,11,0),"無")</f>
        <v>-46.34</v>
      </c>
      <c r="AC939" s="397">
        <f>IFERROR(VLOOKUP($G939,基本資料!$A:$M,12,0),"無")</f>
        <v>12.94</v>
      </c>
      <c r="AD939" s="22" t="s">
        <v>4333</v>
      </c>
      <c r="AG939" s="33">
        <f t="shared" si="190"/>
        <v>0</v>
      </c>
      <c r="AH939" s="117" t="s">
        <v>2325</v>
      </c>
      <c r="AI939" s="63">
        <f t="shared" si="186"/>
        <v>7.25797728501893E-3</v>
      </c>
      <c r="AJ939" s="284">
        <f>RTD("money.excel",,$G939,"PredictVolume")</f>
        <v>1342</v>
      </c>
      <c r="AK939" s="399">
        <f>IFERROR(VLOOKUP($G939,基本資料!$A:$M,13,0),"無")</f>
        <v>10.119999999999999</v>
      </c>
    </row>
    <row r="940" spans="1:37">
      <c r="A940" s="347">
        <f>IFERROR(VLOOKUP($G940,基本資料!$A:$J,3,0),"無")</f>
        <v>31.76</v>
      </c>
      <c r="B940" s="79">
        <f>IFERROR(VLOOKUP($G940,基本資料!$A:$J,4,0),"無")</f>
        <v>-137</v>
      </c>
      <c r="C940" s="79">
        <f>IFERROR(VLOOKUP($G940,基本資料!$A:$J,5,0),"無")</f>
        <v>-90</v>
      </c>
      <c r="D940" s="79">
        <f>IFERROR(VLOOKUP($G940,基本資料!$A:$J,6,0),"無")</f>
        <v>-22</v>
      </c>
      <c r="E940" s="79">
        <f>IFERROR(VLOOKUP($G940,基本資料!$A:$J,7,0),"無")</f>
        <v>-21</v>
      </c>
      <c r="F940" s="6">
        <f>IFERROR(VLOOKUP($G940,基本資料!$A:$J,8,0),"無")</f>
        <v>-7.85</v>
      </c>
      <c r="G940" s="79">
        <v>2485</v>
      </c>
      <c r="H940" s="8" t="s">
        <v>311</v>
      </c>
      <c r="I940" s="22" t="s">
        <v>4334</v>
      </c>
      <c r="J940" s="8">
        <f>IFERROR(VLOOKUP($G940,今日總結!$A:$AJ,35,0),"")</f>
        <v>0</v>
      </c>
      <c r="K940" s="5" t="str">
        <f>IFERROR(VLOOKUP($G940,今日總結!$A:$AJ,36,0),"")</f>
        <v>融</v>
      </c>
      <c r="L940" s="156">
        <f>IFERROR(VLOOKUP($G940,今日總結!$A:$AJ,33,0),"")</f>
        <v>0</v>
      </c>
      <c r="M940" s="340">
        <f>IFERROR(VLOOKUP($G940,今日總結!$A:$AJ,34,0),"")</f>
        <v>1</v>
      </c>
      <c r="N940" s="240">
        <f t="shared" si="187"/>
        <v>-1</v>
      </c>
      <c r="P940" s="365">
        <f>IFERROR(VLOOKUP($G940,融外自投!$A:$J,7,0),"無")</f>
        <v>271</v>
      </c>
      <c r="Q940" s="79">
        <f>IFERROR(VLOOKUP($G940,融外自投!$A:$J,9,0),"無")</f>
        <v>614</v>
      </c>
      <c r="R940" s="346">
        <f>IFERROR(VLOOKUP($G940,融外自投!$A:$J,8,0),"無")</f>
        <v>782</v>
      </c>
      <c r="S940" s="81" t="str">
        <f>IFERROR(VLOOKUP($G940,融外自投!$A:$J,10,0),"無")</f>
        <v>無</v>
      </c>
      <c r="T940" s="327">
        <f>IFERROR(VLOOKUP($G940,'321買'!$A:$E,5,0),"'沒有資料'")</f>
        <v>827</v>
      </c>
      <c r="U940" s="186">
        <f>IFERROR(VLOOKUP($G940,基本資料!$A:$J,9,0),"無")</f>
        <v>0</v>
      </c>
      <c r="V940" s="310">
        <f t="shared" si="185"/>
        <v>0</v>
      </c>
      <c r="W940" s="94">
        <f>IFERROR(VLOOKUP($G940,基本資料!$A:$J,10,0),"無")</f>
        <v>-1.1100000000000001</v>
      </c>
      <c r="X940" s="36">
        <f>RTD("money.excel",,"2485","Price")</f>
        <v>16.399999999999999</v>
      </c>
      <c r="Y940" s="66"/>
      <c r="Z940" s="15">
        <f t="shared" si="188"/>
        <v>16.399999999999999</v>
      </c>
      <c r="AA940" s="3" t="e">
        <f t="shared" si="189"/>
        <v>#DIV/0!</v>
      </c>
      <c r="AB940" s="344">
        <f>IFERROR(VLOOKUP($G940,基本資料!$A:$M,11,0),"無")</f>
        <v>-31.63</v>
      </c>
      <c r="AC940" s="397">
        <f>IFERROR(VLOOKUP($G940,基本資料!$A:$M,12,0),"無")</f>
        <v>13.08</v>
      </c>
      <c r="AD940" s="22" t="s">
        <v>4334</v>
      </c>
      <c r="AG940" s="33">
        <f t="shared" si="190"/>
        <v>0</v>
      </c>
      <c r="AH940" s="43" t="s">
        <v>4335</v>
      </c>
      <c r="AI940" s="63">
        <f t="shared" si="186"/>
        <v>2.5220403022670024E-3</v>
      </c>
      <c r="AJ940" s="284">
        <f>RTD("money.excel",,$G940,"PredictVolume")</f>
        <v>801</v>
      </c>
      <c r="AK940" s="399">
        <f>IFERROR(VLOOKUP($G940,基本資料!$A:$M,13,0),"無")</f>
        <v>13.74</v>
      </c>
    </row>
    <row r="941" spans="1:37">
      <c r="A941" s="347">
        <f>IFERROR(VLOOKUP($G941,基本資料!$A:$J,3,0),"無")</f>
        <v>82.49</v>
      </c>
      <c r="B941" s="79">
        <f>IFERROR(VLOOKUP($G941,基本資料!$A:$J,4,0),"無")</f>
        <v>48</v>
      </c>
      <c r="C941" s="79">
        <f>IFERROR(VLOOKUP($G941,基本資料!$A:$J,5,0),"無")</f>
        <v>35</v>
      </c>
      <c r="D941" s="79">
        <f>IFERROR(VLOOKUP($G941,基本資料!$A:$J,6,0),"無")</f>
        <v>-50</v>
      </c>
      <c r="E941" s="79">
        <f>IFERROR(VLOOKUP($G941,基本資料!$A:$J,7,0),"無")</f>
        <v>-44</v>
      </c>
      <c r="F941" s="6">
        <f>IFERROR(VLOOKUP($G941,基本資料!$A:$J,8,0),"無")</f>
        <v>-78.36</v>
      </c>
      <c r="G941" s="79">
        <v>2498</v>
      </c>
      <c r="H941" s="8" t="s">
        <v>311</v>
      </c>
      <c r="I941" s="22" t="s">
        <v>1841</v>
      </c>
      <c r="J941" s="8" t="str">
        <f>IFERROR(VLOOKUP($G941,今日總結!$A:$AJ,35,0),"")</f>
        <v/>
      </c>
      <c r="K941" s="5" t="str">
        <f>IFERROR(VLOOKUP($G941,今日總結!$A:$AJ,36,0),"")</f>
        <v/>
      </c>
      <c r="L941" s="156" t="str">
        <f>IFERROR(VLOOKUP($G941,今日總結!$A:$AJ,33,0),"")</f>
        <v/>
      </c>
      <c r="M941" s="340" t="str">
        <f>IFERROR(VLOOKUP($G941,今日總結!$A:$AJ,34,0),"")</f>
        <v/>
      </c>
      <c r="N941" s="240" t="str">
        <f t="shared" si="187"/>
        <v/>
      </c>
      <c r="P941" s="365">
        <f>IFERROR(VLOOKUP($G941,融外自投!$A:$J,7,0),"無")</f>
        <v>220</v>
      </c>
      <c r="Q941" s="79">
        <f>IFERROR(VLOOKUP($G941,融外自投!$A:$J,9,0),"無")</f>
        <v>33</v>
      </c>
      <c r="R941" s="346">
        <f>IFERROR(VLOOKUP($G941,融外自投!$A:$J,8,0),"無")</f>
        <v>354</v>
      </c>
      <c r="S941" s="81">
        <f>IFERROR(VLOOKUP($G941,融外自投!$A:$J,10,0),"無")</f>
        <v>351</v>
      </c>
      <c r="T941" s="327">
        <f>IFERROR(VLOOKUP($G941,'321買'!$A:$E,5,0),"'沒有資料'")</f>
        <v>188</v>
      </c>
      <c r="U941" s="186">
        <f>IFERROR(VLOOKUP($G941,基本資料!$A:$J,9,0),"無")</f>
        <v>0</v>
      </c>
      <c r="V941" s="310">
        <f t="shared" si="185"/>
        <v>0</v>
      </c>
      <c r="W941" s="94">
        <f>IFERROR(VLOOKUP($G941,基本資料!$A:$J,10,0),"無")</f>
        <v>-3.75</v>
      </c>
      <c r="X941" s="36">
        <f>RTD("money.excel",,"2498","Price")</f>
        <v>46.15</v>
      </c>
      <c r="Y941" s="66"/>
      <c r="Z941" s="15">
        <f t="shared" si="188"/>
        <v>46.15</v>
      </c>
      <c r="AA941" s="3" t="e">
        <f t="shared" si="189"/>
        <v>#DIV/0!</v>
      </c>
      <c r="AB941" s="344">
        <f>IFERROR(VLOOKUP($G941,基本資料!$A:$M,11,0),"無")</f>
        <v>-53.08</v>
      </c>
      <c r="AC941" s="397">
        <f>IFERROR(VLOOKUP($G941,基本資料!$A:$M,12,0),"無")</f>
        <v>7.5</v>
      </c>
      <c r="AD941" s="22" t="s">
        <v>1841</v>
      </c>
      <c r="AG941" s="33">
        <f t="shared" si="190"/>
        <v>0</v>
      </c>
      <c r="AH941" s="117" t="s">
        <v>4336</v>
      </c>
      <c r="AI941" s="63">
        <f t="shared" si="186"/>
        <v>1.8744090192750636E-2</v>
      </c>
      <c r="AJ941" s="284">
        <f>RTD("money.excel",,$G941,"PredictVolume")</f>
        <v>15462</v>
      </c>
      <c r="AK941" s="399">
        <f>IFERROR(VLOOKUP($G941,基本資料!$A:$M,13,0),"無")</f>
        <v>30.76</v>
      </c>
    </row>
    <row r="942" spans="1:37">
      <c r="A942" s="347">
        <f>IFERROR(VLOOKUP($G942,基本資料!$A:$J,3,0),"無")</f>
        <v>7.09</v>
      </c>
      <c r="B942" s="79">
        <f>IFERROR(VLOOKUP($G942,基本資料!$A:$J,4,0),"無")</f>
        <v>-58</v>
      </c>
      <c r="C942" s="79">
        <f>IFERROR(VLOOKUP($G942,基本資料!$A:$J,5,0),"無")</f>
        <v>-57</v>
      </c>
      <c r="D942" s="79">
        <f>IFERROR(VLOOKUP($G942,基本資料!$A:$J,6,0),"無")</f>
        <v>18</v>
      </c>
      <c r="E942" s="79">
        <f>IFERROR(VLOOKUP($G942,基本資料!$A:$J,7,0),"無")</f>
        <v>49</v>
      </c>
      <c r="F942" s="6">
        <f>IFERROR(VLOOKUP($G942,基本資料!$A:$J,8,0),"無")</f>
        <v>7.76</v>
      </c>
      <c r="G942" s="79">
        <v>3025</v>
      </c>
      <c r="H942" s="8" t="s">
        <v>311</v>
      </c>
      <c r="I942" s="22" t="s">
        <v>4337</v>
      </c>
      <c r="J942" s="8">
        <f>IFERROR(VLOOKUP($G942,今日總結!$A:$AJ,35,0),"")</f>
        <v>0</v>
      </c>
      <c r="K942" s="5" t="str">
        <f>IFERROR(VLOOKUP($G942,今日總結!$A:$AJ,36,0),"")</f>
        <v>融</v>
      </c>
      <c r="L942" s="156">
        <f>IFERROR(VLOOKUP($G942,今日總結!$A:$AJ,33,0),"")</f>
        <v>0</v>
      </c>
      <c r="M942" s="340">
        <f>IFERROR(VLOOKUP($G942,今日總結!$A:$AJ,34,0),"")</f>
        <v>1</v>
      </c>
      <c r="N942" s="240">
        <f t="shared" si="187"/>
        <v>-1</v>
      </c>
      <c r="P942" s="365">
        <f>IFERROR(VLOOKUP($G942,融外自投!$A:$J,7,0),"無")</f>
        <v>175</v>
      </c>
      <c r="Q942" s="79">
        <f>IFERROR(VLOOKUP($G942,融外自投!$A:$J,9,0),"無")</f>
        <v>406</v>
      </c>
      <c r="R942" s="346">
        <f>IFERROR(VLOOKUP($G942,融外自投!$A:$J,8,0),"無")</f>
        <v>1153</v>
      </c>
      <c r="S942" s="81" t="str">
        <f>IFERROR(VLOOKUP($G942,融外自投!$A:$J,10,0),"無")</f>
        <v>無</v>
      </c>
      <c r="T942" s="327">
        <f>IFERROR(VLOOKUP($G942,'321買'!$A:$E,5,0),"'沒有資料'")</f>
        <v>1126</v>
      </c>
      <c r="U942" s="186">
        <f>IFERROR(VLOOKUP($G942,基本資料!$A:$J,9,0),"無")</f>
        <v>0.4</v>
      </c>
      <c r="V942" s="310">
        <f t="shared" si="185"/>
        <v>2.0942408376963352E-2</v>
      </c>
      <c r="W942" s="94">
        <f>IFERROR(VLOOKUP($G942,基本資料!$A:$J,10,0),"無")</f>
        <v>0.47</v>
      </c>
      <c r="X942" s="36">
        <f>RTD("money.excel",,"3025","Price")</f>
        <v>19.100000000000001</v>
      </c>
      <c r="Y942" s="66"/>
      <c r="Z942" s="15">
        <f t="shared" si="188"/>
        <v>19.100000000000001</v>
      </c>
      <c r="AA942" s="3" t="e">
        <f t="shared" si="189"/>
        <v>#DIV/0!</v>
      </c>
      <c r="AB942" s="344">
        <f>IFERROR(VLOOKUP($G942,基本資料!$A:$M,11,0),"無")</f>
        <v>-33.97</v>
      </c>
      <c r="AC942" s="397">
        <f>IFERROR(VLOOKUP($G942,基本資料!$A:$M,12,0),"無")</f>
        <v>33.82</v>
      </c>
      <c r="AD942" s="22" t="s">
        <v>4337</v>
      </c>
      <c r="AG942" s="33">
        <f t="shared" si="190"/>
        <v>0</v>
      </c>
      <c r="AH942" s="43" t="s">
        <v>4338</v>
      </c>
      <c r="AI942" s="63">
        <f t="shared" si="186"/>
        <v>2.2708039492242596E-3</v>
      </c>
      <c r="AJ942" s="284">
        <f>RTD("money.excel",,$G942,"PredictVolume")</f>
        <v>161</v>
      </c>
      <c r="AK942" s="399">
        <f>IFERROR(VLOOKUP($G942,基本資料!$A:$M,13,0),"無")</f>
        <v>16.41</v>
      </c>
    </row>
    <row r="943" spans="1:37">
      <c r="A943" s="347">
        <f>IFERROR(VLOOKUP($G943,基本資料!$A:$J,3,0),"無")</f>
        <v>9.8800000000000008</v>
      </c>
      <c r="B943" s="79">
        <f>IFERROR(VLOOKUP($G943,基本資料!$A:$J,4,0),"無")</f>
        <v>1</v>
      </c>
      <c r="C943" s="79">
        <f>IFERROR(VLOOKUP($G943,基本資料!$A:$J,5,0),"無")</f>
        <v>-85</v>
      </c>
      <c r="D943" s="79">
        <f>IFERROR(VLOOKUP($G943,基本資料!$A:$J,6,0),"無")</f>
        <v>0</v>
      </c>
      <c r="E943" s="79">
        <f>IFERROR(VLOOKUP($G943,基本資料!$A:$J,7,0),"無")</f>
        <v>-5</v>
      </c>
      <c r="F943" s="6">
        <f>IFERROR(VLOOKUP($G943,基本資料!$A:$J,8,0),"無")</f>
        <v>0.53</v>
      </c>
      <c r="G943" s="79">
        <v>3027</v>
      </c>
      <c r="H943" s="8" t="s">
        <v>311</v>
      </c>
      <c r="I943" s="22" t="s">
        <v>4339</v>
      </c>
      <c r="J943" s="8">
        <f>IFERROR(VLOOKUP($G943,今日總結!$A:$AJ,35,0),"")</f>
        <v>0</v>
      </c>
      <c r="K943" s="5" t="str">
        <f>IFERROR(VLOOKUP($G943,今日總結!$A:$AJ,36,0),"")</f>
        <v>融</v>
      </c>
      <c r="L943" s="156">
        <f>IFERROR(VLOOKUP($G943,今日總結!$A:$AJ,33,0),"")</f>
        <v>0</v>
      </c>
      <c r="M943" s="340">
        <f>IFERROR(VLOOKUP($G943,今日總結!$A:$AJ,34,0),"")</f>
        <v>1</v>
      </c>
      <c r="N943" s="240">
        <f t="shared" si="187"/>
        <v>-1</v>
      </c>
      <c r="P943" s="365">
        <f>IFERROR(VLOOKUP($G943,融外自投!$A:$J,7,0),"無")</f>
        <v>119</v>
      </c>
      <c r="Q943" s="79">
        <f>IFERROR(VLOOKUP($G943,融外自投!$A:$J,9,0),"無")</f>
        <v>1051</v>
      </c>
      <c r="R943" s="346">
        <f>IFERROR(VLOOKUP($G943,融外自投!$A:$J,8,0),"無")</f>
        <v>1177</v>
      </c>
      <c r="S943" s="81" t="str">
        <f>IFERROR(VLOOKUP($G943,融外自投!$A:$J,10,0),"無")</f>
        <v>無</v>
      </c>
      <c r="T943" s="327">
        <f>IFERROR(VLOOKUP($G943,'321買'!$A:$E,5,0),"'沒有資料'")</f>
        <v>445</v>
      </c>
      <c r="U943" s="186">
        <f>IFERROR(VLOOKUP($G943,基本資料!$A:$J,9,0),"無")</f>
        <v>0</v>
      </c>
      <c r="V943" s="310">
        <f t="shared" si="185"/>
        <v>0</v>
      </c>
      <c r="W943" s="94">
        <f>IFERROR(VLOOKUP($G943,基本資料!$A:$J,10,0),"無")</f>
        <v>0.28000000000000003</v>
      </c>
      <c r="X943" s="36">
        <f>RTD("money.excel",,"3027","Price")</f>
        <v>17.149999999999999</v>
      </c>
      <c r="Y943" s="66"/>
      <c r="Z943" s="15">
        <f t="shared" si="188"/>
        <v>17.149999999999999</v>
      </c>
      <c r="AA943" s="3" t="e">
        <f t="shared" si="189"/>
        <v>#DIV/0!</v>
      </c>
      <c r="AB943" s="344">
        <f>IFERROR(VLOOKUP($G943,基本資料!$A:$M,11,0),"無")</f>
        <v>-38.82</v>
      </c>
      <c r="AC943" s="397">
        <f>IFERROR(VLOOKUP($G943,基本資料!$A:$M,12,0),"無")</f>
        <v>6.2</v>
      </c>
      <c r="AD943" s="22" t="s">
        <v>4339</v>
      </c>
      <c r="AG943" s="33">
        <f t="shared" si="190"/>
        <v>0</v>
      </c>
      <c r="AH943" s="43" t="s">
        <v>4340</v>
      </c>
      <c r="AI943" s="63">
        <f t="shared" si="186"/>
        <v>2.4291497975708499E-3</v>
      </c>
      <c r="AJ943" s="284">
        <f>RTD("money.excel",,$G943,"PredictVolume")</f>
        <v>240</v>
      </c>
      <c r="AK943" s="399">
        <f>IFERROR(VLOOKUP($G943,基本資料!$A:$M,13,0),"無")</f>
        <v>11.27</v>
      </c>
    </row>
    <row r="944" spans="1:37">
      <c r="A944" s="347">
        <f>IFERROR(VLOOKUP($G944,基本資料!$A:$J,3,0),"無")</f>
        <v>351</v>
      </c>
      <c r="B944" s="79">
        <f>IFERROR(VLOOKUP($G944,基本資料!$A:$J,4,0),"無")</f>
        <v>3</v>
      </c>
      <c r="C944" s="79">
        <f>IFERROR(VLOOKUP($G944,基本資料!$A:$J,5,0),"無")</f>
        <v>0</v>
      </c>
      <c r="D944" s="79">
        <f>IFERROR(VLOOKUP($G944,基本資料!$A:$J,6,0),"無")</f>
        <v>8</v>
      </c>
      <c r="E944" s="79">
        <f>IFERROR(VLOOKUP($G944,基本資料!$A:$J,7,0),"無")</f>
        <v>14</v>
      </c>
      <c r="F944" s="6">
        <f>IFERROR(VLOOKUP($G944,基本資料!$A:$J,8,0),"無")</f>
        <v>10.28</v>
      </c>
      <c r="G944" s="79">
        <v>3045</v>
      </c>
      <c r="H944" s="8" t="s">
        <v>311</v>
      </c>
      <c r="I944" s="22" t="s">
        <v>4341</v>
      </c>
      <c r="J944" s="8" t="str">
        <f>IFERROR(VLOOKUP($G944,今日總結!$A:$AJ,35,0),"")</f>
        <v>投</v>
      </c>
      <c r="K944" s="5" t="str">
        <f>IFERROR(VLOOKUP($G944,今日總結!$A:$AJ,36,0),"")</f>
        <v>自</v>
      </c>
      <c r="L944" s="156">
        <f>IFERROR(VLOOKUP($G944,今日總結!$A:$AJ,33,0),"")</f>
        <v>1</v>
      </c>
      <c r="M944" s="340">
        <f>IFERROR(VLOOKUP($G944,今日總結!$A:$AJ,34,0),"")</f>
        <v>1</v>
      </c>
      <c r="N944" s="240">
        <f t="shared" si="187"/>
        <v>0</v>
      </c>
      <c r="P944" s="365">
        <f>IFERROR(VLOOKUP($G944,融外自投!$A:$J,7,0),"無")</f>
        <v>1454</v>
      </c>
      <c r="Q944" s="79">
        <f>IFERROR(VLOOKUP($G944,融外自投!$A:$J,9,0),"無")</f>
        <v>270</v>
      </c>
      <c r="R944" s="346">
        <f>IFERROR(VLOOKUP($G944,融外自投!$A:$J,8,0),"無")</f>
        <v>340</v>
      </c>
      <c r="S944" s="81">
        <f>IFERROR(VLOOKUP($G944,融外自投!$A:$J,10,0),"無")</f>
        <v>148</v>
      </c>
      <c r="T944" s="327">
        <f>IFERROR(VLOOKUP($G944,'321買'!$A:$E,5,0),"'沒有資料'")</f>
        <v>59</v>
      </c>
      <c r="U944" s="186">
        <f>IFERROR(VLOOKUP($G944,基本資料!$A:$J,9,0),"無")</f>
        <v>0</v>
      </c>
      <c r="V944" s="310">
        <f t="shared" si="185"/>
        <v>0</v>
      </c>
      <c r="W944" s="94">
        <f>IFERROR(VLOOKUP($G944,基本資料!$A:$J,10,0),"無")</f>
        <v>3.9</v>
      </c>
      <c r="X944" s="36">
        <f>RTD("money.excel",,"3045","Price")</f>
        <v>107.5</v>
      </c>
      <c r="Y944" s="66"/>
      <c r="Z944" s="15">
        <f t="shared" si="188"/>
        <v>107.5</v>
      </c>
      <c r="AA944" s="3" t="e">
        <f t="shared" si="189"/>
        <v>#DIV/0!</v>
      </c>
      <c r="AB944" s="344">
        <f>IFERROR(VLOOKUP($G944,基本資料!$A:$M,11,0),"無")</f>
        <v>-3.65</v>
      </c>
      <c r="AC944" s="397">
        <f>IFERROR(VLOOKUP($G944,基本資料!$A:$M,12,0),"無")</f>
        <v>56.5</v>
      </c>
      <c r="AD944" s="22" t="s">
        <v>4341</v>
      </c>
      <c r="AG944" s="33">
        <f t="shared" si="190"/>
        <v>0</v>
      </c>
      <c r="AH944" s="117" t="s">
        <v>4342</v>
      </c>
      <c r="AI944" s="63">
        <f t="shared" si="186"/>
        <v>9.4700854700854702E-4</v>
      </c>
      <c r="AJ944" s="284">
        <f>RTD("money.excel",,$G944,"PredictVolume")</f>
        <v>3324</v>
      </c>
      <c r="AK944" s="399">
        <f>IFERROR(VLOOKUP($G944,基本資料!$A:$M,13,0),"無")</f>
        <v>0.52</v>
      </c>
    </row>
    <row r="945" spans="1:37">
      <c r="A945" s="347">
        <f>IFERROR(VLOOKUP($G945,基本資料!$A:$J,3,0),"無")</f>
        <v>19.07</v>
      </c>
      <c r="B945" s="79">
        <f>IFERROR(VLOOKUP($G945,基本資料!$A:$J,4,0),"無")</f>
        <v>-131</v>
      </c>
      <c r="C945" s="79">
        <f>IFERROR(VLOOKUP($G945,基本資料!$A:$J,5,0),"無")</f>
        <v>-110</v>
      </c>
      <c r="D945" s="79">
        <f>IFERROR(VLOOKUP($G945,基本資料!$A:$J,6,0),"無")</f>
        <v>-5</v>
      </c>
      <c r="E945" s="79">
        <f>IFERROR(VLOOKUP($G945,基本資料!$A:$J,7,0),"無")</f>
        <v>10</v>
      </c>
      <c r="F945" s="6">
        <f>IFERROR(VLOOKUP($G945,基本資料!$A:$J,8,0),"無")</f>
        <v>-0.72</v>
      </c>
      <c r="G945" s="79">
        <v>3047</v>
      </c>
      <c r="H945" s="8" t="s">
        <v>311</v>
      </c>
      <c r="I945" s="22" t="s">
        <v>4343</v>
      </c>
      <c r="J945" s="8" t="str">
        <f>IFERROR(VLOOKUP($G945,今日總結!$A:$AJ,35,0),"")</f>
        <v/>
      </c>
      <c r="K945" s="5" t="str">
        <f>IFERROR(VLOOKUP($G945,今日總結!$A:$AJ,36,0),"")</f>
        <v/>
      </c>
      <c r="L945" s="156" t="str">
        <f>IFERROR(VLOOKUP($G945,今日總結!$A:$AJ,33,0),"")</f>
        <v/>
      </c>
      <c r="M945" s="340" t="str">
        <f>IFERROR(VLOOKUP($G945,今日總結!$A:$AJ,34,0),"")</f>
        <v/>
      </c>
      <c r="N945" s="240" t="str">
        <f t="shared" si="187"/>
        <v/>
      </c>
      <c r="P945" s="365">
        <f>IFERROR(VLOOKUP($G945,融外自投!$A:$J,7,0),"無")</f>
        <v>429</v>
      </c>
      <c r="Q945" s="79">
        <f>IFERROR(VLOOKUP($G945,融外自投!$A:$J,9,0),"無")</f>
        <v>377</v>
      </c>
      <c r="R945" s="346">
        <f>IFERROR(VLOOKUP($G945,融外自投!$A:$J,8,0),"無")</f>
        <v>856</v>
      </c>
      <c r="S945" s="81" t="str">
        <f>IFERROR(VLOOKUP($G945,融外自投!$A:$J,10,0),"無")</f>
        <v>無</v>
      </c>
      <c r="T945" s="327">
        <f>IFERROR(VLOOKUP($G945,'321買'!$A:$E,5,0),"'沒有資料'")</f>
        <v>584</v>
      </c>
      <c r="U945" s="186">
        <f>IFERROR(VLOOKUP($G945,基本資料!$A:$J,9,0),"無")</f>
        <v>0</v>
      </c>
      <c r="V945" s="310">
        <f t="shared" si="185"/>
        <v>0</v>
      </c>
      <c r="W945" s="94">
        <f>IFERROR(VLOOKUP($G945,基本資料!$A:$J,10,0),"無")</f>
        <v>-0.28999999999999998</v>
      </c>
      <c r="X945" s="36">
        <f>RTD("money.excel",,"3047","Price")</f>
        <v>10.65</v>
      </c>
      <c r="Y945" s="66"/>
      <c r="Z945" s="15">
        <f t="shared" si="188"/>
        <v>10.65</v>
      </c>
      <c r="AA945" s="3" t="e">
        <f t="shared" si="189"/>
        <v>#DIV/0!</v>
      </c>
      <c r="AB945" s="344">
        <f>IFERROR(VLOOKUP($G945,基本資料!$A:$M,11,0),"無")</f>
        <v>-29.53</v>
      </c>
      <c r="AC945" s="397">
        <f>IFERROR(VLOOKUP($G945,基本資料!$A:$M,12,0),"無")</f>
        <v>14.88</v>
      </c>
      <c r="AD945" s="22" t="s">
        <v>4343</v>
      </c>
      <c r="AG945" s="33">
        <f t="shared" si="190"/>
        <v>0</v>
      </c>
      <c r="AH945" s="43" t="s">
        <v>4321</v>
      </c>
      <c r="AI945" s="63">
        <f t="shared" si="186"/>
        <v>2.4488725747246983E-3</v>
      </c>
      <c r="AJ945" s="284">
        <f>RTD("money.excel",,$G945,"PredictVolume")</f>
        <v>467</v>
      </c>
      <c r="AK945" s="399">
        <f>IFERROR(VLOOKUP($G945,基本資料!$A:$M,13,0),"無")</f>
        <v>27.13</v>
      </c>
    </row>
    <row r="946" spans="1:37">
      <c r="A946" s="347">
        <f>IFERROR(VLOOKUP($G946,基本資料!$A:$J,3,0),"無")</f>
        <v>32.86</v>
      </c>
      <c r="B946" s="79">
        <f>IFERROR(VLOOKUP($G946,基本資料!$A:$J,4,0),"無")</f>
        <v>3</v>
      </c>
      <c r="C946" s="79">
        <f>IFERROR(VLOOKUP($G946,基本資料!$A:$J,5,0),"無")</f>
        <v>-1000</v>
      </c>
      <c r="D946" s="79">
        <f>IFERROR(VLOOKUP($G946,基本資料!$A:$J,6,0),"無")</f>
        <v>10</v>
      </c>
      <c r="E946" s="79">
        <f>IFERROR(VLOOKUP($G946,基本資料!$A:$J,7,0),"無")</f>
        <v>-29</v>
      </c>
      <c r="F946" s="6">
        <f>IFERROR(VLOOKUP($G946,基本資料!$A:$J,8,0),"無")</f>
        <v>-7.11</v>
      </c>
      <c r="G946" s="79">
        <v>3062</v>
      </c>
      <c r="H946" s="8" t="s">
        <v>311</v>
      </c>
      <c r="I946" s="22" t="s">
        <v>4344</v>
      </c>
      <c r="J946" s="8">
        <f>IFERROR(VLOOKUP($G946,今日總結!$A:$AJ,35,0),"")</f>
        <v>0</v>
      </c>
      <c r="K946" s="5" t="str">
        <f>IFERROR(VLOOKUP($G946,今日總結!$A:$AJ,36,0),"")</f>
        <v>借</v>
      </c>
      <c r="L946" s="156">
        <f>IFERROR(VLOOKUP($G946,今日總結!$A:$AJ,33,0),"")</f>
        <v>0</v>
      </c>
      <c r="M946" s="340">
        <f>IFERROR(VLOOKUP($G946,今日總結!$A:$AJ,34,0),"")</f>
        <v>1</v>
      </c>
      <c r="N946" s="240">
        <f t="shared" si="187"/>
        <v>-1</v>
      </c>
      <c r="P946" s="365">
        <f>IFERROR(VLOOKUP($G946,融外自投!$A:$J,7,0),"無")</f>
        <v>170</v>
      </c>
      <c r="Q946" s="79">
        <f>IFERROR(VLOOKUP($G946,融外自投!$A:$J,9,0),"無")</f>
        <v>507</v>
      </c>
      <c r="R946" s="346">
        <f>IFERROR(VLOOKUP($G946,融外自投!$A:$J,8,0),"無")</f>
        <v>466</v>
      </c>
      <c r="S946" s="81" t="str">
        <f>IFERROR(VLOOKUP($G946,融外自投!$A:$J,10,0),"無")</f>
        <v>無</v>
      </c>
      <c r="T946" s="327">
        <f>IFERROR(VLOOKUP($G946,'321買'!$A:$E,5,0),"'沒有資料'")</f>
        <v>145</v>
      </c>
      <c r="U946" s="186">
        <f>IFERROR(VLOOKUP($G946,基本資料!$A:$J,9,0),"無")</f>
        <v>0</v>
      </c>
      <c r="V946" s="310">
        <f t="shared" si="185"/>
        <v>0</v>
      </c>
      <c r="W946" s="94">
        <f>IFERROR(VLOOKUP($G946,基本資料!$A:$J,10,0),"無")</f>
        <v>7.0000000000000007E-2</v>
      </c>
      <c r="X946" s="36">
        <f>RTD("money.excel",,"3062","Price")</f>
        <v>21.35</v>
      </c>
      <c r="Y946" s="66"/>
      <c r="Z946" s="15">
        <f t="shared" si="188"/>
        <v>21.35</v>
      </c>
      <c r="AA946" s="3" t="e">
        <f t="shared" si="189"/>
        <v>#DIV/0!</v>
      </c>
      <c r="AB946" s="344">
        <f>IFERROR(VLOOKUP($G946,基本資料!$A:$M,11,0),"無")</f>
        <v>-42.76</v>
      </c>
      <c r="AC946" s="397">
        <f>IFERROR(VLOOKUP($G946,基本資料!$A:$M,12,0),"無")</f>
        <v>16.96</v>
      </c>
      <c r="AD946" s="22" t="s">
        <v>4344</v>
      </c>
      <c r="AG946" s="33">
        <f t="shared" si="190"/>
        <v>0</v>
      </c>
      <c r="AH946" s="117" t="s">
        <v>4345</v>
      </c>
      <c r="AI946" s="63">
        <f t="shared" si="186"/>
        <v>6.7741935483870966E-3</v>
      </c>
      <c r="AJ946" s="284">
        <f>RTD("money.excel",,$G946,"PredictVolume")</f>
        <v>2226</v>
      </c>
      <c r="AK946" s="399">
        <f>IFERROR(VLOOKUP($G946,基本資料!$A:$M,13,0),"無")</f>
        <v>37.99</v>
      </c>
    </row>
    <row r="947" spans="1:37">
      <c r="A947" s="347">
        <f>IFERROR(VLOOKUP($G947,基本資料!$A:$J,3,0),"無")</f>
        <v>9.1300000000000008</v>
      </c>
      <c r="B947" s="79">
        <f>IFERROR(VLOOKUP($G947,基本資料!$A:$J,4,0),"無")</f>
        <v>-42</v>
      </c>
      <c r="C947" s="79">
        <f>IFERROR(VLOOKUP($G947,基本資料!$A:$J,5,0),"無")</f>
        <v>-41</v>
      </c>
      <c r="D947" s="79">
        <f>IFERROR(VLOOKUP($G947,基本資料!$A:$J,6,0),"無")</f>
        <v>8</v>
      </c>
      <c r="E947" s="79">
        <f>IFERROR(VLOOKUP($G947,基本資料!$A:$J,7,0),"無")</f>
        <v>-7</v>
      </c>
      <c r="F947" s="6">
        <f>IFERROR(VLOOKUP($G947,基本資料!$A:$J,8,0),"無")</f>
        <v>22</v>
      </c>
      <c r="G947" s="79">
        <v>3081</v>
      </c>
      <c r="H947" s="145" t="s">
        <v>311</v>
      </c>
      <c r="I947" s="16" t="s">
        <v>4346</v>
      </c>
      <c r="J947" s="8" t="str">
        <f>IFERROR(VLOOKUP($G947,今日總結!$A:$AJ,35,0),"")</f>
        <v/>
      </c>
      <c r="K947" s="5" t="str">
        <f>IFERROR(VLOOKUP($G947,今日總結!$A:$AJ,36,0),"")</f>
        <v/>
      </c>
      <c r="L947" s="156" t="str">
        <f>IFERROR(VLOOKUP($G947,今日總結!$A:$AJ,33,0),"")</f>
        <v/>
      </c>
      <c r="M947" s="340" t="str">
        <f>IFERROR(VLOOKUP($G947,今日總結!$A:$AJ,34,0),"")</f>
        <v/>
      </c>
      <c r="N947" s="240" t="str">
        <f t="shared" si="187"/>
        <v/>
      </c>
      <c r="P947" s="365">
        <f>IFERROR(VLOOKUP($G947,融外自投!$A:$J,7,0),"無")</f>
        <v>655</v>
      </c>
      <c r="Q947" s="79">
        <f>IFERROR(VLOOKUP($G947,融外自投!$A:$J,9,0),"無")</f>
        <v>194</v>
      </c>
      <c r="R947" s="346">
        <f>IFERROR(VLOOKUP($G947,融外自投!$A:$J,8,0),"無")</f>
        <v>77</v>
      </c>
      <c r="S947" s="81">
        <f>IFERROR(VLOOKUP($G947,融外自投!$A:$J,10,0),"無")</f>
        <v>351</v>
      </c>
      <c r="T947" s="327">
        <f>IFERROR(VLOOKUP($G947,'321買'!$A:$E,5,0),"'沒有資料'")</f>
        <v>292</v>
      </c>
      <c r="U947" s="186">
        <f>IFERROR(VLOOKUP($G947,基本資料!$A:$J,9,0),"無")</f>
        <v>3.5</v>
      </c>
      <c r="V947" s="310">
        <f t="shared" si="185"/>
        <v>2.5179856115107913E-2</v>
      </c>
      <c r="W947" s="94">
        <f>IFERROR(VLOOKUP($G947,基本資料!$A:$J,10,0),"無")</f>
        <v>3.71</v>
      </c>
      <c r="X947" s="36">
        <f>RTD("money.excel",,"3081","Price")</f>
        <v>139</v>
      </c>
      <c r="Y947" s="66"/>
      <c r="Z947" s="15">
        <f t="shared" si="188"/>
        <v>139</v>
      </c>
      <c r="AA947" s="3" t="e">
        <f t="shared" si="189"/>
        <v>#DIV/0!</v>
      </c>
      <c r="AB947" s="344">
        <f>IFERROR(VLOOKUP($G947,基本資料!$A:$M,11,0),"無")</f>
        <v>-52.43</v>
      </c>
      <c r="AC947" s="397">
        <f>IFERROR(VLOOKUP($G947,基本資料!$A:$M,12,0),"無")</f>
        <v>10.96</v>
      </c>
      <c r="AD947" s="16" t="s">
        <v>4346</v>
      </c>
      <c r="AG947" s="33">
        <f t="shared" si="190"/>
        <v>0</v>
      </c>
      <c r="AH947" s="117" t="s">
        <v>4347</v>
      </c>
      <c r="AI947" s="63">
        <f t="shared" si="186"/>
        <v>9.7480832420591436E-4</v>
      </c>
      <c r="AJ947" s="284">
        <f>RTD("money.excel",,$G947,"PredictVolume")</f>
        <v>89</v>
      </c>
      <c r="AK947" s="399">
        <f>IFERROR(VLOOKUP($G947,基本資料!$A:$M,13,0),"無")</f>
        <v>5.0199999999999996</v>
      </c>
    </row>
    <row r="948" spans="1:37">
      <c r="A948" s="347">
        <f>IFERROR(VLOOKUP($G948,基本資料!$A:$J,3,0),"無")</f>
        <v>10.92</v>
      </c>
      <c r="B948" s="79">
        <f>IFERROR(VLOOKUP($G948,基本資料!$A:$J,4,0),"無")</f>
        <v>52</v>
      </c>
      <c r="C948" s="79">
        <f>IFERROR(VLOOKUP($G948,基本資料!$A:$J,5,0),"無")</f>
        <v>44</v>
      </c>
      <c r="D948" s="79">
        <f>IFERROR(VLOOKUP($G948,基本資料!$A:$J,6,0),"無")</f>
        <v>-11</v>
      </c>
      <c r="E948" s="79">
        <f>IFERROR(VLOOKUP($G948,基本資料!$A:$J,7,0),"無")</f>
        <v>-2</v>
      </c>
      <c r="F948" s="6">
        <f>IFERROR(VLOOKUP($G948,基本資料!$A:$J,8,0),"無")</f>
        <v>-5.98</v>
      </c>
      <c r="G948" s="79">
        <v>3095</v>
      </c>
      <c r="H948" s="8" t="s">
        <v>311</v>
      </c>
      <c r="I948" s="16" t="s">
        <v>4348</v>
      </c>
      <c r="J948" s="8" t="str">
        <f>IFERROR(VLOOKUP($G948,今日總結!$A:$AJ,35,0),"")</f>
        <v/>
      </c>
      <c r="K948" s="5" t="str">
        <f>IFERROR(VLOOKUP($G948,今日總結!$A:$AJ,36,0),"")</f>
        <v/>
      </c>
      <c r="L948" s="156" t="str">
        <f>IFERROR(VLOOKUP($G948,今日總結!$A:$AJ,33,0),"")</f>
        <v/>
      </c>
      <c r="M948" s="340" t="str">
        <f>IFERROR(VLOOKUP($G948,今日總結!$A:$AJ,34,0),"")</f>
        <v/>
      </c>
      <c r="N948" s="240" t="str">
        <f t="shared" si="187"/>
        <v/>
      </c>
      <c r="P948" s="365" t="str">
        <f>IFERROR(VLOOKUP($G948,融外自投!$A:$J,7,0),"無")</f>
        <v>無</v>
      </c>
      <c r="Q948" s="79" t="str">
        <f>IFERROR(VLOOKUP($G948,融外自投!$A:$J,9,0),"無")</f>
        <v>無</v>
      </c>
      <c r="R948" s="346" t="str">
        <f>IFERROR(VLOOKUP($G948,融外自投!$A:$J,8,0),"無")</f>
        <v>無</v>
      </c>
      <c r="S948" s="81" t="str">
        <f>IFERROR(VLOOKUP($G948,融外自投!$A:$J,10,0),"無")</f>
        <v>無</v>
      </c>
      <c r="T948" s="327" t="str">
        <f>IFERROR(VLOOKUP($G948,'321買'!$A:$E,5,0),"'沒有資料'")</f>
        <v>'沒有資料'</v>
      </c>
      <c r="U948" s="186">
        <f>IFERROR(VLOOKUP($G948,基本資料!$A:$J,9,0),"無")</f>
        <v>0</v>
      </c>
      <c r="V948" s="310">
        <f t="shared" si="185"/>
        <v>0</v>
      </c>
      <c r="W948" s="94">
        <f>IFERROR(VLOOKUP($G948,基本資料!$A:$J,10,0),"無")</f>
        <v>-0.28000000000000003</v>
      </c>
      <c r="X948" s="36">
        <f>RTD("money.excel",,"3095","Price")</f>
        <v>2.76</v>
      </c>
      <c r="Y948" s="66"/>
      <c r="Z948" s="15">
        <f t="shared" si="188"/>
        <v>2.76</v>
      </c>
      <c r="AA948" s="3" t="e">
        <f t="shared" si="189"/>
        <v>#DIV/0!</v>
      </c>
      <c r="AB948" s="344">
        <f>IFERROR(VLOOKUP($G948,基本資料!$A:$M,11,0),"無")</f>
        <v>-42.71</v>
      </c>
      <c r="AC948" s="397">
        <f>IFERROR(VLOOKUP($G948,基本資料!$A:$M,12,0),"無")</f>
        <v>3.5</v>
      </c>
      <c r="AD948" s="16" t="s">
        <v>4348</v>
      </c>
      <c r="AG948" s="33">
        <f t="shared" si="190"/>
        <v>0</v>
      </c>
      <c r="AH948" s="43" t="s">
        <v>2584</v>
      </c>
      <c r="AI948" s="63">
        <f t="shared" si="186"/>
        <v>3.663003663003663E-4</v>
      </c>
      <c r="AJ948" s="284">
        <f>RTD("money.excel",,$G948,"PredictVolume")</f>
        <v>40</v>
      </c>
      <c r="AK948" s="399">
        <f>IFERROR(VLOOKUP($G948,基本資料!$A:$M,13,0),"無")</f>
        <v>3.1</v>
      </c>
    </row>
    <row r="949" spans="1:37">
      <c r="A949" s="347">
        <f>IFERROR(VLOOKUP($G949,基本資料!$A:$J,3,0),"無")</f>
        <v>4.87</v>
      </c>
      <c r="B949" s="79">
        <f>IFERROR(VLOOKUP($G949,基本資料!$A:$J,4,0),"無")</f>
        <v>155</v>
      </c>
      <c r="C949" s="79">
        <f>IFERROR(VLOOKUP($G949,基本資料!$A:$J,5,0),"無")</f>
        <v>55</v>
      </c>
      <c r="D949" s="79">
        <f>IFERROR(VLOOKUP($G949,基本資料!$A:$J,6,0),"無")</f>
        <v>29</v>
      </c>
      <c r="E949" s="79">
        <f>IFERROR(VLOOKUP($G949,基本資料!$A:$J,7,0),"無")</f>
        <v>0</v>
      </c>
      <c r="F949" s="6">
        <f>IFERROR(VLOOKUP($G949,基本資料!$A:$J,8,0),"無")</f>
        <v>10.83</v>
      </c>
      <c r="G949" s="79">
        <v>3138</v>
      </c>
      <c r="H949" s="8" t="s">
        <v>311</v>
      </c>
      <c r="I949" s="22" t="s">
        <v>2111</v>
      </c>
      <c r="J949" s="8" t="str">
        <f>IFERROR(VLOOKUP($G949,今日總結!$A:$AJ,35,0),"")</f>
        <v/>
      </c>
      <c r="K949" s="5" t="str">
        <f>IFERROR(VLOOKUP($G949,今日總結!$A:$AJ,36,0),"")</f>
        <v/>
      </c>
      <c r="L949" s="156" t="str">
        <f>IFERROR(VLOOKUP($G949,今日總結!$A:$AJ,33,0),"")</f>
        <v/>
      </c>
      <c r="M949" s="340" t="str">
        <f>IFERROR(VLOOKUP($G949,今日總結!$A:$AJ,34,0),"")</f>
        <v/>
      </c>
      <c r="N949" s="240" t="str">
        <f t="shared" si="187"/>
        <v/>
      </c>
      <c r="P949" s="365">
        <f>IFERROR(VLOOKUP($G949,融外自投!$A:$J,7,0),"無")</f>
        <v>436</v>
      </c>
      <c r="Q949" s="79">
        <f>IFERROR(VLOOKUP($G949,融外自投!$A:$J,9,0),"無")</f>
        <v>635</v>
      </c>
      <c r="R949" s="346">
        <f>IFERROR(VLOOKUP($G949,融外自投!$A:$J,8,0),"無")</f>
        <v>1311</v>
      </c>
      <c r="S949" s="81" t="str">
        <f>IFERROR(VLOOKUP($G949,融外自投!$A:$J,10,0),"無")</f>
        <v>無</v>
      </c>
      <c r="T949" s="327">
        <f>IFERROR(VLOOKUP($G949,'321買'!$A:$E,5,0),"'沒有資料'")</f>
        <v>894</v>
      </c>
      <c r="U949" s="186">
        <f>IFERROR(VLOOKUP($G949,基本資料!$A:$J,9,0),"無")</f>
        <v>3</v>
      </c>
      <c r="V949" s="310">
        <f t="shared" si="185"/>
        <v>0.02</v>
      </c>
      <c r="W949" s="94">
        <f>IFERROR(VLOOKUP($G949,基本資料!$A:$J,10,0),"無")</f>
        <v>5.96</v>
      </c>
      <c r="X949" s="36">
        <f>RTD("money.excel",,"3138","Price")</f>
        <v>150</v>
      </c>
      <c r="Y949" s="66"/>
      <c r="Z949" s="15">
        <f>X949-Y949</f>
        <v>150</v>
      </c>
      <c r="AA949" s="3" t="e">
        <f>Z949/Y949</f>
        <v>#DIV/0!</v>
      </c>
      <c r="AB949" s="344">
        <f>IFERROR(VLOOKUP($G949,基本資料!$A:$M,11,0),"無")</f>
        <v>-47</v>
      </c>
      <c r="AC949" s="397">
        <f>IFERROR(VLOOKUP($G949,基本資料!$A:$M,12,0),"無")</f>
        <v>14.28</v>
      </c>
      <c r="AD949" s="22" t="s">
        <v>2111</v>
      </c>
      <c r="AG949" s="33">
        <f>AF949-AE949</f>
        <v>0</v>
      </c>
      <c r="AH949" s="117" t="s">
        <v>4349</v>
      </c>
      <c r="AI949" s="63">
        <f t="shared" si="186"/>
        <v>2.8747433264887062E-3</v>
      </c>
      <c r="AJ949" s="284">
        <f>RTD("money.excel",,$G949,"PredictVolume")</f>
        <v>140</v>
      </c>
      <c r="AK949" s="399">
        <f>IFERROR(VLOOKUP($G949,基本資料!$A:$M,13,0),"無")</f>
        <v>14</v>
      </c>
    </row>
    <row r="950" spans="1:37">
      <c r="A950" s="347">
        <f>IFERROR(VLOOKUP($G950,基本資料!$A:$J,3,0),"無")</f>
        <v>6.9</v>
      </c>
      <c r="B950" s="79">
        <f>IFERROR(VLOOKUP($G950,基本資料!$A:$J,4,0),"無")</f>
        <v>23</v>
      </c>
      <c r="C950" s="79">
        <f>IFERROR(VLOOKUP($G950,基本資料!$A:$J,5,0),"無")</f>
        <v>24</v>
      </c>
      <c r="D950" s="79">
        <f>IFERROR(VLOOKUP($G950,基本資料!$A:$J,6,0),"無")</f>
        <v>-4</v>
      </c>
      <c r="E950" s="79">
        <f>IFERROR(VLOOKUP($G950,基本資料!$A:$J,7,0),"無")</f>
        <v>-52</v>
      </c>
      <c r="F950" s="6">
        <f>IFERROR(VLOOKUP($G950,基本資料!$A:$J,8,0),"無")</f>
        <v>45.67</v>
      </c>
      <c r="G950" s="79">
        <v>3152</v>
      </c>
      <c r="H950" s="145" t="s">
        <v>311</v>
      </c>
      <c r="I950" s="16" t="s">
        <v>4350</v>
      </c>
      <c r="J950" s="8" t="str">
        <f>IFERROR(VLOOKUP($G950,今日總結!$A:$AJ,35,0),"")</f>
        <v/>
      </c>
      <c r="K950" s="5" t="str">
        <f>IFERROR(VLOOKUP($G950,今日總結!$A:$AJ,36,0),"")</f>
        <v/>
      </c>
      <c r="L950" s="156" t="str">
        <f>IFERROR(VLOOKUP($G950,今日總結!$A:$AJ,33,0),"")</f>
        <v/>
      </c>
      <c r="M950" s="340" t="str">
        <f>IFERROR(VLOOKUP($G950,今日總結!$A:$AJ,34,0),"")</f>
        <v/>
      </c>
      <c r="N950" s="240" t="str">
        <f t="shared" si="187"/>
        <v/>
      </c>
      <c r="P950" s="365">
        <f>IFERROR(VLOOKUP($G950,融外自投!$A:$J,7,0),"無")</f>
        <v>743</v>
      </c>
      <c r="Q950" s="79">
        <f>IFERROR(VLOOKUP($G950,融外自投!$A:$J,9,0),"無")</f>
        <v>219</v>
      </c>
      <c r="R950" s="346">
        <f>IFERROR(VLOOKUP($G950,融外自投!$A:$J,8,0),"無")</f>
        <v>317</v>
      </c>
      <c r="S950" s="81">
        <f>IFERROR(VLOOKUP($G950,融外自投!$A:$J,10,0),"無")</f>
        <v>295</v>
      </c>
      <c r="T950" s="327">
        <f>IFERROR(VLOOKUP($G950,'321買'!$A:$E,5,0),"'沒有資料'")</f>
        <v>802</v>
      </c>
      <c r="U950" s="186">
        <f>IFERROR(VLOOKUP($G950,基本資料!$A:$J,9,0),"無")</f>
        <v>8</v>
      </c>
      <c r="V950" s="310">
        <f t="shared" si="185"/>
        <v>3.5398230088495575E-2</v>
      </c>
      <c r="W950" s="94">
        <f>IFERROR(VLOOKUP($G950,基本資料!$A:$J,10,0),"無")</f>
        <v>14.88</v>
      </c>
      <c r="X950" s="36">
        <f>RTD("money.excel",,"3152","Price")</f>
        <v>226</v>
      </c>
      <c r="Y950" s="66"/>
      <c r="Z950" s="15">
        <f t="shared" ref="Z950" si="191">X950-Y950</f>
        <v>226</v>
      </c>
      <c r="AA950" s="3" t="e">
        <f t="shared" ref="AA950" si="192">Z950/Y950</f>
        <v>#DIV/0!</v>
      </c>
      <c r="AB950" s="344">
        <f>IFERROR(VLOOKUP($G950,基本資料!$A:$M,11,0),"無")</f>
        <v>-58.99</v>
      </c>
      <c r="AC950" s="397">
        <f>IFERROR(VLOOKUP($G950,基本資料!$A:$M,12,0),"無")</f>
        <v>14.01</v>
      </c>
      <c r="AD950" s="16" t="s">
        <v>4350</v>
      </c>
      <c r="AG950" s="33">
        <f t="shared" ref="AG950" si="193">AF950-AE950</f>
        <v>0</v>
      </c>
      <c r="AH950" s="117" t="s">
        <v>4351</v>
      </c>
      <c r="AI950" s="63">
        <f t="shared" si="186"/>
        <v>1E-3</v>
      </c>
      <c r="AJ950" s="284">
        <f>RTD("money.excel",,$G950,"PredictVolume")</f>
        <v>69</v>
      </c>
      <c r="AK950" s="399">
        <f>IFERROR(VLOOKUP($G950,基本資料!$A:$M,13,0),"無")</f>
        <v>3.71</v>
      </c>
    </row>
    <row r="951" spans="1:37">
      <c r="A951" s="347">
        <f>IFERROR(VLOOKUP($G951,基本資料!$A:$J,3,0),"無")</f>
        <v>7.52</v>
      </c>
      <c r="B951" s="79">
        <f>IFERROR(VLOOKUP($G951,基本資料!$A:$J,4,0),"無")</f>
        <v>-64</v>
      </c>
      <c r="C951" s="79">
        <f>IFERROR(VLOOKUP($G951,基本資料!$A:$J,5,0),"無")</f>
        <v>-75</v>
      </c>
      <c r="D951" s="79">
        <f>IFERROR(VLOOKUP($G951,基本資料!$A:$J,6,0),"無")</f>
        <v>8</v>
      </c>
      <c r="E951" s="79">
        <f>IFERROR(VLOOKUP($G951,基本資料!$A:$J,7,0),"無")</f>
        <v>56</v>
      </c>
      <c r="F951" s="6">
        <f>IFERROR(VLOOKUP($G951,基本資料!$A:$J,8,0),"無")</f>
        <v>4.6900000000000004</v>
      </c>
      <c r="G951" s="79">
        <v>3163</v>
      </c>
      <c r="H951" s="8" t="s">
        <v>311</v>
      </c>
      <c r="I951" s="16" t="s">
        <v>4352</v>
      </c>
      <c r="J951" s="8" t="str">
        <f>IFERROR(VLOOKUP($G951,今日總結!$A:$AJ,35,0),"")</f>
        <v>4主</v>
      </c>
      <c r="K951" s="5">
        <f>IFERROR(VLOOKUP($G951,今日總結!$A:$AJ,36,0),"")</f>
        <v>0</v>
      </c>
      <c r="L951" s="156">
        <f>IFERROR(VLOOKUP($G951,今日總結!$A:$AJ,33,0),"")</f>
        <v>2</v>
      </c>
      <c r="M951" s="340">
        <f>IFERROR(VLOOKUP($G951,今日總結!$A:$AJ,34,0),"")</f>
        <v>0</v>
      </c>
      <c r="N951" s="240">
        <f t="shared" si="187"/>
        <v>2</v>
      </c>
      <c r="P951" s="365">
        <f>IFERROR(VLOOKUP($G951,融外自投!$A:$J,7,0),"無")</f>
        <v>188</v>
      </c>
      <c r="Q951" s="79">
        <f>IFERROR(VLOOKUP($G951,融外自投!$A:$J,9,0),"無")</f>
        <v>363</v>
      </c>
      <c r="R951" s="346">
        <f>IFERROR(VLOOKUP($G951,融外自投!$A:$J,8,0),"無")</f>
        <v>697</v>
      </c>
      <c r="S951" s="81" t="str">
        <f>IFERROR(VLOOKUP($G951,融外自投!$A:$J,10,0),"無")</f>
        <v>無</v>
      </c>
      <c r="T951" s="327">
        <f>IFERROR(VLOOKUP($G951,'321買'!$A:$E,5,0),"'沒有資料'")</f>
        <v>634</v>
      </c>
      <c r="U951" s="186">
        <f>IFERROR(VLOOKUP($G951,基本資料!$A:$J,9,0),"無")</f>
        <v>1</v>
      </c>
      <c r="V951" s="310">
        <f t="shared" si="185"/>
        <v>2.0855057351407715E-2</v>
      </c>
      <c r="W951" s="94">
        <f>IFERROR(VLOOKUP($G951,基本資料!$A:$J,10,0),"無")</f>
        <v>1.0900000000000001</v>
      </c>
      <c r="X951" s="36">
        <f>RTD("money.excel",,"3163","Price")</f>
        <v>47.95</v>
      </c>
      <c r="Y951" s="66"/>
      <c r="Z951" s="15">
        <f t="shared" si="188"/>
        <v>47.95</v>
      </c>
      <c r="AA951" s="3" t="e">
        <f t="shared" si="189"/>
        <v>#DIV/0!</v>
      </c>
      <c r="AB951" s="344">
        <f>IFERROR(VLOOKUP($G951,基本資料!$A:$M,11,0),"無")</f>
        <v>-6.53</v>
      </c>
      <c r="AC951" s="397">
        <f>IFERROR(VLOOKUP($G951,基本資料!$A:$M,12,0),"無")</f>
        <v>66.180000000000007</v>
      </c>
      <c r="AD951" s="16" t="s">
        <v>4352</v>
      </c>
      <c r="AG951" s="33">
        <f t="shared" si="190"/>
        <v>0</v>
      </c>
      <c r="AH951" s="43" t="s">
        <v>4353</v>
      </c>
      <c r="AI951" s="63">
        <f t="shared" si="186"/>
        <v>2.7779255319148936E-2</v>
      </c>
      <c r="AJ951" s="284">
        <f>RTD("money.excel",,$G951,"PredictVolume")</f>
        <v>2089</v>
      </c>
      <c r="AK951" s="399">
        <f>IFERROR(VLOOKUP($G951,基本資料!$A:$M,13,0),"無")</f>
        <v>6.48</v>
      </c>
    </row>
    <row r="952" spans="1:37">
      <c r="A952" s="347">
        <f>IFERROR(VLOOKUP($G952,基本資料!$A:$J,3,0),"無")</f>
        <v>10.28</v>
      </c>
      <c r="B952" s="79">
        <f>IFERROR(VLOOKUP($G952,基本資料!$A:$J,4,0),"無")</f>
        <v>851</v>
      </c>
      <c r="C952" s="79">
        <f>IFERROR(VLOOKUP($G952,基本資料!$A:$J,5,0),"無")</f>
        <v>1692</v>
      </c>
      <c r="D952" s="79">
        <f>IFERROR(VLOOKUP($G952,基本資料!$A:$J,6,0),"無")</f>
        <v>2</v>
      </c>
      <c r="E952" s="79">
        <f>IFERROR(VLOOKUP($G952,基本資料!$A:$J,7,0),"無")</f>
        <v>11</v>
      </c>
      <c r="F952" s="6">
        <f>IFERROR(VLOOKUP($G952,基本資料!$A:$J,8,0),"無")</f>
        <v>7.82</v>
      </c>
      <c r="G952" s="79">
        <v>3221</v>
      </c>
      <c r="H952" s="8" t="s">
        <v>311</v>
      </c>
      <c r="I952" s="16" t="s">
        <v>4354</v>
      </c>
      <c r="J952" s="8">
        <f>IFERROR(VLOOKUP($G952,今日總結!$A:$AJ,35,0),"")</f>
        <v>0</v>
      </c>
      <c r="K952" s="5" t="str">
        <f>IFERROR(VLOOKUP($G952,今日總結!$A:$AJ,36,0),"")</f>
        <v>2借</v>
      </c>
      <c r="L952" s="156">
        <f>IFERROR(VLOOKUP($G952,今日總結!$A:$AJ,33,0),"")</f>
        <v>0</v>
      </c>
      <c r="M952" s="340">
        <f>IFERROR(VLOOKUP($G952,今日總結!$A:$AJ,34,0),"")</f>
        <v>2</v>
      </c>
      <c r="N952" s="240">
        <f t="shared" si="187"/>
        <v>-2</v>
      </c>
      <c r="P952" s="365">
        <f>IFERROR(VLOOKUP($G952,融外自投!$A:$J,7,0),"無")</f>
        <v>117</v>
      </c>
      <c r="Q952" s="79">
        <f>IFERROR(VLOOKUP($G952,融外自投!$A:$J,9,0),"無")</f>
        <v>550</v>
      </c>
      <c r="R952" s="346">
        <f>IFERROR(VLOOKUP($G952,融外自投!$A:$J,8,0),"無")</f>
        <v>796</v>
      </c>
      <c r="S952" s="81" t="str">
        <f>IFERROR(VLOOKUP($G952,融外自投!$A:$J,10,0),"無")</f>
        <v>無</v>
      </c>
      <c r="T952" s="327">
        <f>IFERROR(VLOOKUP($G952,'321買'!$A:$E,5,0),"'沒有資料'")</f>
        <v>281</v>
      </c>
      <c r="U952" s="186">
        <f>IFERROR(VLOOKUP($G952,基本資料!$A:$J,9,0),"無")</f>
        <v>2.1</v>
      </c>
      <c r="V952" s="310">
        <f t="shared" si="185"/>
        <v>6.0171919770773644E-2</v>
      </c>
      <c r="W952" s="94">
        <f>IFERROR(VLOOKUP($G952,基本資料!$A:$J,10,0),"無")</f>
        <v>5.28</v>
      </c>
      <c r="X952" s="36">
        <f>RTD("money.excel",,"3221","Price")</f>
        <v>34.9</v>
      </c>
      <c r="Y952" s="66"/>
      <c r="Z952" s="15">
        <f t="shared" si="188"/>
        <v>34.9</v>
      </c>
      <c r="AA952" s="3" t="e">
        <f t="shared" si="189"/>
        <v>#DIV/0!</v>
      </c>
      <c r="AB952" s="344">
        <f>IFERROR(VLOOKUP($G952,基本資料!$A:$M,11,0),"無")</f>
        <v>-24.16</v>
      </c>
      <c r="AC952" s="397">
        <f>IFERROR(VLOOKUP($G952,基本資料!$A:$M,12,0),"無")</f>
        <v>60.58</v>
      </c>
      <c r="AD952" s="16" t="s">
        <v>4354</v>
      </c>
      <c r="AG952" s="33">
        <f t="shared" si="190"/>
        <v>0</v>
      </c>
      <c r="AH952" s="43" t="s">
        <v>4355</v>
      </c>
      <c r="AI952" s="63">
        <f t="shared" si="186"/>
        <v>2.2607003891050585E-2</v>
      </c>
      <c r="AJ952" s="284">
        <f>RTD("money.excel",,$G952,"PredictVolume")</f>
        <v>2324</v>
      </c>
      <c r="AK952" s="399">
        <f>IFERROR(VLOOKUP($G952,基本資料!$A:$M,13,0),"無")</f>
        <v>40.51</v>
      </c>
    </row>
    <row r="953" spans="1:37">
      <c r="A953" s="347">
        <f>IFERROR(VLOOKUP($G953,基本資料!$A:$J,3,0),"無")</f>
        <v>7.64</v>
      </c>
      <c r="B953" s="79">
        <f>IFERROR(VLOOKUP($G953,基本資料!$A:$J,4,0),"無")</f>
        <v>-8612</v>
      </c>
      <c r="C953" s="79">
        <f>IFERROR(VLOOKUP($G953,基本資料!$A:$J,5,0),"無")</f>
        <v>-385</v>
      </c>
      <c r="D953" s="79">
        <f>IFERROR(VLOOKUP($G953,基本資料!$A:$J,6,0),"無")</f>
        <v>-9</v>
      </c>
      <c r="E953" s="79">
        <f>IFERROR(VLOOKUP($G953,基本資料!$A:$J,7,0),"無")</f>
        <v>-25</v>
      </c>
      <c r="F953" s="6">
        <f>IFERROR(VLOOKUP($G953,基本資料!$A:$J,8,0),"無")</f>
        <v>-9.18</v>
      </c>
      <c r="G953" s="79">
        <v>3234</v>
      </c>
      <c r="H953" s="8" t="s">
        <v>311</v>
      </c>
      <c r="I953" s="16" t="s">
        <v>4356</v>
      </c>
      <c r="J953" s="8" t="str">
        <f>IFERROR(VLOOKUP($G953,今日總結!$A:$AJ,35,0),"")</f>
        <v/>
      </c>
      <c r="K953" s="5" t="str">
        <f>IFERROR(VLOOKUP($G953,今日總結!$A:$AJ,36,0),"")</f>
        <v/>
      </c>
      <c r="L953" s="156" t="str">
        <f>IFERROR(VLOOKUP($G953,今日總結!$A:$AJ,33,0),"")</f>
        <v/>
      </c>
      <c r="M953" s="340" t="str">
        <f>IFERROR(VLOOKUP($G953,今日總結!$A:$AJ,34,0),"")</f>
        <v/>
      </c>
      <c r="N953" s="240" t="str">
        <f t="shared" si="187"/>
        <v/>
      </c>
      <c r="P953" s="365">
        <f>IFERROR(VLOOKUP($G953,融外自投!$A:$J,7,0),"無")</f>
        <v>242</v>
      </c>
      <c r="Q953" s="79">
        <f>IFERROR(VLOOKUP($G953,融外自投!$A:$J,9,0),"無")</f>
        <v>40</v>
      </c>
      <c r="R953" s="346">
        <f>IFERROR(VLOOKUP($G953,融外自投!$A:$J,8,0),"無")</f>
        <v>1041</v>
      </c>
      <c r="S953" s="81" t="str">
        <f>IFERROR(VLOOKUP($G953,融外自投!$A:$J,10,0),"無")</f>
        <v>無</v>
      </c>
      <c r="T953" s="327">
        <f>IFERROR(VLOOKUP($G953,'321買'!$A:$E,5,0),"'沒有資料'")</f>
        <v>623</v>
      </c>
      <c r="U953" s="186">
        <f>IFERROR(VLOOKUP($G953,基本資料!$A:$J,9,0),"無")</f>
        <v>0</v>
      </c>
      <c r="V953" s="310">
        <f t="shared" si="185"/>
        <v>0</v>
      </c>
      <c r="W953" s="94">
        <f>IFERROR(VLOOKUP($G953,基本資料!$A:$J,10,0),"無")</f>
        <v>-1.74</v>
      </c>
      <c r="X953" s="36">
        <f>RTD("money.excel",,"3234","Price")</f>
        <v>19.649999999999999</v>
      </c>
      <c r="Y953" s="66"/>
      <c r="Z953" s="15">
        <f t="shared" si="188"/>
        <v>19.649999999999999</v>
      </c>
      <c r="AA953" s="3" t="e">
        <f t="shared" si="189"/>
        <v>#DIV/0!</v>
      </c>
      <c r="AB953" s="344">
        <f>IFERROR(VLOOKUP($G953,基本資料!$A:$M,11,0),"無")</f>
        <v>-44.59</v>
      </c>
      <c r="AC953" s="397">
        <f>IFERROR(VLOOKUP($G953,基本資料!$A:$M,12,0),"無")</f>
        <v>9.84</v>
      </c>
      <c r="AD953" s="16" t="s">
        <v>4356</v>
      </c>
      <c r="AG953" s="33">
        <f t="shared" si="190"/>
        <v>0</v>
      </c>
      <c r="AH953" s="117" t="s">
        <v>4357</v>
      </c>
      <c r="AI953" s="63">
        <f t="shared" si="186"/>
        <v>1.3743455497382199E-3</v>
      </c>
      <c r="AJ953" s="284">
        <f>RTD("money.excel",,$G953,"PredictVolume")</f>
        <v>105</v>
      </c>
      <c r="AK953" s="399">
        <f>IFERROR(VLOOKUP($G953,基本資料!$A:$M,13,0),"無")</f>
        <v>24.89</v>
      </c>
    </row>
    <row r="954" spans="1:37">
      <c r="A954" s="347">
        <f>IFERROR(VLOOKUP($G954,基本資料!$A:$J,3,0),"無")</f>
        <v>5.0599999999999996</v>
      </c>
      <c r="B954" s="79">
        <f>IFERROR(VLOOKUP($G954,基本資料!$A:$J,4,0),"無")</f>
        <v>197</v>
      </c>
      <c r="C954" s="79">
        <f>IFERROR(VLOOKUP($G954,基本資料!$A:$J,5,0),"無")</f>
        <v>115</v>
      </c>
      <c r="D954" s="79">
        <f>IFERROR(VLOOKUP($G954,基本資料!$A:$J,6,0),"無")</f>
        <v>-50</v>
      </c>
      <c r="E954" s="79">
        <f>IFERROR(VLOOKUP($G954,基本資料!$A:$J,7,0),"無")</f>
        <v>-48</v>
      </c>
      <c r="F954" s="6">
        <f>IFERROR(VLOOKUP($G954,基本資料!$A:$J,8,0),"無")</f>
        <v>0.28000000000000003</v>
      </c>
      <c r="G954" s="79">
        <v>3306</v>
      </c>
      <c r="H954" s="8" t="s">
        <v>311</v>
      </c>
      <c r="I954" s="16" t="s">
        <v>4358</v>
      </c>
      <c r="J954" s="8" t="str">
        <f>IFERROR(VLOOKUP($G954,今日總結!$A:$AJ,35,0),"")</f>
        <v/>
      </c>
      <c r="K954" s="5" t="str">
        <f>IFERROR(VLOOKUP($G954,今日總結!$A:$AJ,36,0),"")</f>
        <v/>
      </c>
      <c r="L954" s="156" t="str">
        <f>IFERROR(VLOOKUP($G954,今日總結!$A:$AJ,33,0),"")</f>
        <v/>
      </c>
      <c r="M954" s="340" t="str">
        <f>IFERROR(VLOOKUP($G954,今日總結!$A:$AJ,34,0),"")</f>
        <v/>
      </c>
      <c r="N954" s="240" t="str">
        <f t="shared" si="187"/>
        <v/>
      </c>
      <c r="P954" s="365">
        <f>IFERROR(VLOOKUP($G954,融外自投!$A:$J,7,0),"無")</f>
        <v>447</v>
      </c>
      <c r="Q954" s="79">
        <f>IFERROR(VLOOKUP($G954,融外自投!$A:$J,9,0),"無")</f>
        <v>507</v>
      </c>
      <c r="R954" s="346">
        <f>IFERROR(VLOOKUP($G954,融外自投!$A:$J,8,0),"無")</f>
        <v>985</v>
      </c>
      <c r="S954" s="81" t="str">
        <f>IFERROR(VLOOKUP($G954,融外自投!$A:$J,10,0),"無")</f>
        <v>無</v>
      </c>
      <c r="T954" s="327">
        <f>IFERROR(VLOOKUP($G954,'321買'!$A:$E,5,0),"'沒有資料'")</f>
        <v>558</v>
      </c>
      <c r="U954" s="186">
        <f>IFERROR(VLOOKUP($G954,基本資料!$A:$J,9,0),"無")</f>
        <v>0.8</v>
      </c>
      <c r="V954" s="310">
        <f t="shared" si="185"/>
        <v>3.5955056179775284E-2</v>
      </c>
      <c r="W954" s="94">
        <f>IFERROR(VLOOKUP($G954,基本資料!$A:$J,10,0),"無")</f>
        <v>1.05</v>
      </c>
      <c r="X954" s="36">
        <f>RTD("money.excel",,"3306","Price")</f>
        <v>22.25</v>
      </c>
      <c r="Y954" s="66"/>
      <c r="Z954" s="15">
        <f t="shared" si="188"/>
        <v>22.25</v>
      </c>
      <c r="AA954" s="3" t="e">
        <f t="shared" si="189"/>
        <v>#DIV/0!</v>
      </c>
      <c r="AB954" s="344">
        <f>IFERROR(VLOOKUP($G954,基本資料!$A:$M,11,0),"無")</f>
        <v>-48.3</v>
      </c>
      <c r="AC954" s="397">
        <f>IFERROR(VLOOKUP($G954,基本資料!$A:$M,12,0),"無")</f>
        <v>12.24</v>
      </c>
      <c r="AD954" s="16" t="s">
        <v>4358</v>
      </c>
      <c r="AG954" s="33">
        <f t="shared" si="190"/>
        <v>0</v>
      </c>
      <c r="AH954" s="43" t="s">
        <v>4359</v>
      </c>
      <c r="AI954" s="63">
        <f t="shared" si="186"/>
        <v>7.7075098814229255E-4</v>
      </c>
      <c r="AJ954" s="284">
        <f>RTD("money.excel",,$G954,"PredictVolume")</f>
        <v>39</v>
      </c>
      <c r="AK954" s="399">
        <f>IFERROR(VLOOKUP($G954,基本資料!$A:$M,13,0),"無")</f>
        <v>35.549999999999997</v>
      </c>
    </row>
    <row r="955" spans="1:37">
      <c r="A955" s="347">
        <f>IFERROR(VLOOKUP($G955,基本資料!$A:$J,3,0),"無")</f>
        <v>6.8</v>
      </c>
      <c r="B955" s="79">
        <f>IFERROR(VLOOKUP($G955,基本資料!$A:$J,4,0),"無")</f>
        <v>116</v>
      </c>
      <c r="C955" s="79">
        <f>IFERROR(VLOOKUP($G955,基本資料!$A:$J,5,0),"無")</f>
        <v>131</v>
      </c>
      <c r="D955" s="79">
        <f>IFERROR(VLOOKUP($G955,基本資料!$A:$J,6,0),"無")</f>
        <v>4</v>
      </c>
      <c r="E955" s="79">
        <f>IFERROR(VLOOKUP($G955,基本資料!$A:$J,7,0),"無")</f>
        <v>18</v>
      </c>
      <c r="F955" s="6">
        <f>IFERROR(VLOOKUP($G955,基本資料!$A:$J,8,0),"無")</f>
        <v>3.16</v>
      </c>
      <c r="G955" s="79">
        <v>3311</v>
      </c>
      <c r="H955" s="8" t="s">
        <v>311</v>
      </c>
      <c r="I955" s="22" t="s">
        <v>4360</v>
      </c>
      <c r="J955" s="8" t="str">
        <f>IFERROR(VLOOKUP($G955,今日總結!$A:$AJ,35,0),"")</f>
        <v/>
      </c>
      <c r="K955" s="5" t="str">
        <f>IFERROR(VLOOKUP($G955,今日總結!$A:$AJ,36,0),"")</f>
        <v/>
      </c>
      <c r="L955" s="156" t="str">
        <f>IFERROR(VLOOKUP($G955,今日總結!$A:$AJ,33,0),"")</f>
        <v/>
      </c>
      <c r="M955" s="340" t="str">
        <f>IFERROR(VLOOKUP($G955,今日總結!$A:$AJ,34,0),"")</f>
        <v/>
      </c>
      <c r="N955" s="240" t="str">
        <f t="shared" si="187"/>
        <v/>
      </c>
      <c r="P955" s="365">
        <f>IFERROR(VLOOKUP($G955,融外自投!$A:$J,7,0),"無")</f>
        <v>547</v>
      </c>
      <c r="Q955" s="79">
        <f>IFERROR(VLOOKUP($G955,融外自投!$A:$J,9,0),"無")</f>
        <v>683</v>
      </c>
      <c r="R955" s="346">
        <f>IFERROR(VLOOKUP($G955,融外自投!$A:$J,8,0),"無")</f>
        <v>1308</v>
      </c>
      <c r="S955" s="81" t="str">
        <f>IFERROR(VLOOKUP($G955,融外自投!$A:$J,10,0),"無")</f>
        <v>無</v>
      </c>
      <c r="T955" s="327">
        <f>IFERROR(VLOOKUP($G955,'321買'!$A:$E,5,0),"'沒有資料'")</f>
        <v>349</v>
      </c>
      <c r="U955" s="186">
        <f>IFERROR(VLOOKUP($G955,基本資料!$A:$J,9,0),"無")</f>
        <v>0.47</v>
      </c>
      <c r="V955" s="310">
        <f t="shared" si="185"/>
        <v>1.4596273291925463E-2</v>
      </c>
      <c r="W955" s="94">
        <f>IFERROR(VLOOKUP($G955,基本資料!$A:$J,10,0),"無")</f>
        <v>0.94</v>
      </c>
      <c r="X955" s="36">
        <f>RTD("money.excel",,"3311","Price")</f>
        <v>32.200000000000003</v>
      </c>
      <c r="Y955" s="66"/>
      <c r="Z955" s="15">
        <f t="shared" si="188"/>
        <v>32.200000000000003</v>
      </c>
      <c r="AA955" s="3" t="e">
        <f t="shared" si="189"/>
        <v>#DIV/0!</v>
      </c>
      <c r="AB955" s="344">
        <f>IFERROR(VLOOKUP($G955,基本資料!$A:$M,11,0),"無")</f>
        <v>-19.579999999999998</v>
      </c>
      <c r="AC955" s="397">
        <f>IFERROR(VLOOKUP($G955,基本資料!$A:$M,12,0),"無")</f>
        <v>36.74</v>
      </c>
      <c r="AD955" s="22" t="s">
        <v>4360</v>
      </c>
      <c r="AG955" s="33">
        <f t="shared" si="190"/>
        <v>0</v>
      </c>
      <c r="AH955" s="43" t="s">
        <v>4361</v>
      </c>
      <c r="AI955" s="63">
        <f t="shared" si="186"/>
        <v>6.4705882352941182E-4</v>
      </c>
      <c r="AJ955" s="284">
        <f>RTD("money.excel",,$G955,"PredictVolume")</f>
        <v>44</v>
      </c>
      <c r="AK955" s="399">
        <f>IFERROR(VLOOKUP($G955,基本資料!$A:$M,13,0),"無")</f>
        <v>2.91</v>
      </c>
    </row>
    <row r="956" spans="1:37">
      <c r="A956" s="347">
        <f>IFERROR(VLOOKUP($G956,基本資料!$A:$J,3,0),"無")</f>
        <v>8.83</v>
      </c>
      <c r="B956" s="79">
        <f>IFERROR(VLOOKUP($G956,基本資料!$A:$J,4,0),"無")</f>
        <v>112</v>
      </c>
      <c r="C956" s="79">
        <f>IFERROR(VLOOKUP($G956,基本資料!$A:$J,5,0),"無")</f>
        <v>189</v>
      </c>
      <c r="D956" s="79">
        <f>IFERROR(VLOOKUP($G956,基本資料!$A:$J,6,0),"無")</f>
        <v>33</v>
      </c>
      <c r="E956" s="79">
        <f>IFERROR(VLOOKUP($G956,基本資料!$A:$J,7,0),"無")</f>
        <v>13</v>
      </c>
      <c r="F956" s="6">
        <f>IFERROR(VLOOKUP($G956,基本資料!$A:$J,8,0),"無")</f>
        <v>12.13</v>
      </c>
      <c r="G956" s="79">
        <v>3363</v>
      </c>
      <c r="H956" s="8" t="s">
        <v>311</v>
      </c>
      <c r="I956" s="16" t="s">
        <v>4362</v>
      </c>
      <c r="J956" s="8" t="str">
        <f>IFERROR(VLOOKUP($G956,今日總結!$A:$AJ,35,0),"")</f>
        <v/>
      </c>
      <c r="K956" s="5" t="str">
        <f>IFERROR(VLOOKUP($G956,今日總結!$A:$AJ,36,0),"")</f>
        <v/>
      </c>
      <c r="L956" s="156" t="str">
        <f>IFERROR(VLOOKUP($G956,今日總結!$A:$AJ,33,0),"")</f>
        <v/>
      </c>
      <c r="M956" s="340" t="str">
        <f>IFERROR(VLOOKUP($G956,今日總結!$A:$AJ,34,0),"")</f>
        <v/>
      </c>
      <c r="N956" s="240" t="str">
        <f t="shared" si="187"/>
        <v/>
      </c>
      <c r="P956" s="365">
        <f>IFERROR(VLOOKUP($G956,融外自投!$A:$J,7,0),"無")</f>
        <v>207</v>
      </c>
      <c r="Q956" s="79" t="str">
        <f>IFERROR(VLOOKUP($G956,融外自投!$A:$J,9,0),"無")</f>
        <v>無</v>
      </c>
      <c r="R956" s="346">
        <f>IFERROR(VLOOKUP($G956,融外自投!$A:$J,8,0),"無")</f>
        <v>700</v>
      </c>
      <c r="S956" s="81" t="str">
        <f>IFERROR(VLOOKUP($G956,融外自投!$A:$J,10,0),"無")</f>
        <v>無</v>
      </c>
      <c r="T956" s="327">
        <f>IFERROR(VLOOKUP($G956,'321買'!$A:$E,5,0),"'沒有資料'")</f>
        <v>606</v>
      </c>
      <c r="U956" s="186">
        <f>IFERROR(VLOOKUP($G956,基本資料!$A:$J,9,0),"無")</f>
        <v>1.6</v>
      </c>
      <c r="V956" s="310">
        <f t="shared" si="185"/>
        <v>6.2256809338521409E-2</v>
      </c>
      <c r="W956" s="94">
        <f>IFERROR(VLOOKUP($G956,基本資料!$A:$J,10,0),"無")</f>
        <v>2.31</v>
      </c>
      <c r="X956" s="36">
        <f>RTD("money.excel",,"3363","Price")</f>
        <v>25.7</v>
      </c>
      <c r="Y956" s="66"/>
      <c r="Z956" s="15">
        <f t="shared" si="188"/>
        <v>25.7</v>
      </c>
      <c r="AA956" s="3" t="e">
        <f t="shared" si="189"/>
        <v>#DIV/0!</v>
      </c>
      <c r="AB956" s="344">
        <f>IFERROR(VLOOKUP($G956,基本資料!$A:$M,11,0),"無")</f>
        <v>-35.01</v>
      </c>
      <c r="AC956" s="397">
        <f>IFERROR(VLOOKUP($G956,基本資料!$A:$M,12,0),"無")</f>
        <v>15.11</v>
      </c>
      <c r="AD956" s="16" t="s">
        <v>4362</v>
      </c>
      <c r="AG956" s="33">
        <f t="shared" si="190"/>
        <v>0</v>
      </c>
      <c r="AH956" s="43" t="s">
        <v>4363</v>
      </c>
      <c r="AI956" s="63">
        <f t="shared" si="186"/>
        <v>1.1551528878822198E-3</v>
      </c>
      <c r="AJ956" s="284">
        <f>RTD("money.excel",,$G956,"PredictVolume")</f>
        <v>102</v>
      </c>
      <c r="AK956" s="399">
        <f>IFERROR(VLOOKUP($G956,基本資料!$A:$M,13,0),"無")</f>
        <v>24.8</v>
      </c>
    </row>
    <row r="957" spans="1:37">
      <c r="A957" s="347">
        <f>IFERROR(VLOOKUP($G957,基本資料!$A:$J,3,0),"無")</f>
        <v>54.17</v>
      </c>
      <c r="B957" s="79">
        <f>IFERROR(VLOOKUP($G957,基本資料!$A:$J,4,0),"無")</f>
        <v>-25</v>
      </c>
      <c r="C957" s="79">
        <f>IFERROR(VLOOKUP($G957,基本資料!$A:$J,5,0),"無")</f>
        <v>-20</v>
      </c>
      <c r="D957" s="79">
        <f>IFERROR(VLOOKUP($G957,基本資料!$A:$J,6,0),"無")</f>
        <v>-27</v>
      </c>
      <c r="E957" s="79">
        <f>IFERROR(VLOOKUP($G957,基本資料!$A:$J,7,0),"無")</f>
        <v>-2</v>
      </c>
      <c r="F957" s="6">
        <f>IFERROR(VLOOKUP($G957,基本資料!$A:$J,8,0),"無")</f>
        <v>2.5499999999999998</v>
      </c>
      <c r="G957" s="79">
        <v>3380</v>
      </c>
      <c r="H957" s="8" t="s">
        <v>311</v>
      </c>
      <c r="I957" s="22" t="s">
        <v>4364</v>
      </c>
      <c r="J957" s="8">
        <f>IFERROR(VLOOKUP($G957,今日總結!$A:$AJ,35,0),"")</f>
        <v>0</v>
      </c>
      <c r="K957" s="5" t="str">
        <f>IFERROR(VLOOKUP($G957,今日總結!$A:$AJ,36,0),"")</f>
        <v>自</v>
      </c>
      <c r="L957" s="156">
        <f>IFERROR(VLOOKUP($G957,今日總結!$A:$AJ,33,0),"")</f>
        <v>0</v>
      </c>
      <c r="M957" s="340">
        <f>IFERROR(VLOOKUP($G957,今日總結!$A:$AJ,34,0),"")</f>
        <v>1</v>
      </c>
      <c r="N957" s="240">
        <f t="shared" si="187"/>
        <v>-1</v>
      </c>
      <c r="P957" s="365">
        <f>IFERROR(VLOOKUP($G957,融外自投!$A:$J,7,0),"無")</f>
        <v>844</v>
      </c>
      <c r="Q957" s="79" t="str">
        <f>IFERROR(VLOOKUP($G957,融外自投!$A:$J,9,0),"無")</f>
        <v>無</v>
      </c>
      <c r="R957" s="346">
        <f>IFERROR(VLOOKUP($G957,融外自投!$A:$J,8,0),"無")</f>
        <v>755</v>
      </c>
      <c r="S957" s="81" t="str">
        <f>IFERROR(VLOOKUP($G957,融外自投!$A:$J,10,0),"無")</f>
        <v>無</v>
      </c>
      <c r="T957" s="327">
        <f>IFERROR(VLOOKUP($G957,'321買'!$A:$E,5,0),"'沒有資料'")</f>
        <v>558</v>
      </c>
      <c r="U957" s="186">
        <f>IFERROR(VLOOKUP($G957,基本資料!$A:$J,9,0),"無")</f>
        <v>0.8</v>
      </c>
      <c r="V957" s="310">
        <f t="shared" si="185"/>
        <v>3.0303030303030307E-2</v>
      </c>
      <c r="W957" s="94">
        <f>IFERROR(VLOOKUP($G957,基本資料!$A:$J,10,0),"無")</f>
        <v>0.8</v>
      </c>
      <c r="X957" s="36">
        <f>RTD("money.excel",,"3380","Price")</f>
        <v>26.4</v>
      </c>
      <c r="Y957" s="66"/>
      <c r="Z957" s="15">
        <f t="shared" si="188"/>
        <v>26.4</v>
      </c>
      <c r="AA957" s="3" t="e">
        <f t="shared" si="189"/>
        <v>#DIV/0!</v>
      </c>
      <c r="AB957" s="344">
        <f>IFERROR(VLOOKUP($G957,基本資料!$A:$M,11,0),"無")</f>
        <v>-27</v>
      </c>
      <c r="AC957" s="397">
        <f>IFERROR(VLOOKUP($G957,基本資料!$A:$M,12,0),"無")</f>
        <v>18.22</v>
      </c>
      <c r="AD957" s="22" t="s">
        <v>4364</v>
      </c>
      <c r="AG957" s="33">
        <f t="shared" si="190"/>
        <v>0</v>
      </c>
      <c r="AH957" s="117" t="s">
        <v>4321</v>
      </c>
      <c r="AI957" s="63">
        <f t="shared" si="186"/>
        <v>1.6060550119992615E-3</v>
      </c>
      <c r="AJ957" s="284">
        <f>RTD("money.excel",,$G957,"PredictVolume")</f>
        <v>870</v>
      </c>
      <c r="AK957" s="399">
        <f>IFERROR(VLOOKUP($G957,基本資料!$A:$M,13,0),"無")</f>
        <v>7.36</v>
      </c>
    </row>
    <row r="958" spans="1:37">
      <c r="A958" s="347">
        <f>IFERROR(VLOOKUP($G958,基本資料!$A:$J,3,0),"無")</f>
        <v>12.04</v>
      </c>
      <c r="B958" s="79">
        <f>IFERROR(VLOOKUP($G958,基本資料!$A:$J,4,0),"無")</f>
        <v>-155</v>
      </c>
      <c r="C958" s="79">
        <f>IFERROR(VLOOKUP($G958,基本資料!$A:$J,5,0),"無")</f>
        <v>-15</v>
      </c>
      <c r="D958" s="79">
        <f>IFERROR(VLOOKUP($G958,基本資料!$A:$J,6,0),"無")</f>
        <v>54</v>
      </c>
      <c r="E958" s="79">
        <f>IFERROR(VLOOKUP($G958,基本資料!$A:$J,7,0),"無")</f>
        <v>10</v>
      </c>
      <c r="F958" s="6">
        <f>IFERROR(VLOOKUP($G958,基本資料!$A:$J,8,0),"無")</f>
        <v>-3.45</v>
      </c>
      <c r="G958" s="79">
        <v>3419</v>
      </c>
      <c r="H958" s="8" t="s">
        <v>311</v>
      </c>
      <c r="I958" s="22" t="s">
        <v>4365</v>
      </c>
      <c r="J958" s="8">
        <f>IFERROR(VLOOKUP($G958,今日總結!$A:$AJ,35,0),"")</f>
        <v>0</v>
      </c>
      <c r="K958" s="5" t="str">
        <f>IFERROR(VLOOKUP($G958,今日總結!$A:$AJ,36,0),"")</f>
        <v>融</v>
      </c>
      <c r="L958" s="156">
        <f>IFERROR(VLOOKUP($G958,今日總結!$A:$AJ,33,0),"")</f>
        <v>0</v>
      </c>
      <c r="M958" s="340">
        <f>IFERROR(VLOOKUP($G958,今日總結!$A:$AJ,34,0),"")</f>
        <v>1</v>
      </c>
      <c r="N958" s="240">
        <f t="shared" si="187"/>
        <v>-1</v>
      </c>
      <c r="P958" s="365">
        <f>IFERROR(VLOOKUP($G958,融外自投!$A:$J,7,0),"無")</f>
        <v>231</v>
      </c>
      <c r="Q958" s="79">
        <f>IFERROR(VLOOKUP($G958,融外自投!$A:$J,9,0),"無")</f>
        <v>435</v>
      </c>
      <c r="R958" s="346">
        <f>IFERROR(VLOOKUP($G958,融外自投!$A:$J,8,0),"無")</f>
        <v>648</v>
      </c>
      <c r="S958" s="81" t="str">
        <f>IFERROR(VLOOKUP($G958,融外自投!$A:$J,10,0),"無")</f>
        <v>無</v>
      </c>
      <c r="T958" s="327">
        <f>IFERROR(VLOOKUP($G958,'321買'!$A:$E,5,0),"'沒有資料'")</f>
        <v>536</v>
      </c>
      <c r="U958" s="186">
        <f>IFERROR(VLOOKUP($G958,基本資料!$A:$J,9,0),"無")</f>
        <v>0</v>
      </c>
      <c r="V958" s="310">
        <f t="shared" si="185"/>
        <v>0</v>
      </c>
      <c r="W958" s="94">
        <f>IFERROR(VLOOKUP($G958,基本資料!$A:$J,10,0),"無")</f>
        <v>-0.33</v>
      </c>
      <c r="X958" s="36">
        <f>RTD("money.excel",,"3419","Price")</f>
        <v>16.8</v>
      </c>
      <c r="Y958" s="66"/>
      <c r="Z958" s="15">
        <f t="shared" si="188"/>
        <v>16.8</v>
      </c>
      <c r="AA958" s="3" t="e">
        <f t="shared" si="189"/>
        <v>#DIV/0!</v>
      </c>
      <c r="AB958" s="344">
        <f>IFERROR(VLOOKUP($G958,基本資料!$A:$M,11,0),"無")</f>
        <v>-48.15</v>
      </c>
      <c r="AC958" s="397">
        <f>IFERROR(VLOOKUP($G958,基本資料!$A:$M,12,0),"無")</f>
        <v>14.95</v>
      </c>
      <c r="AD958" s="22" t="s">
        <v>4365</v>
      </c>
      <c r="AG958" s="33">
        <f t="shared" si="190"/>
        <v>0</v>
      </c>
      <c r="AH958" s="119" t="s">
        <v>4349</v>
      </c>
      <c r="AI958" s="63">
        <f t="shared" si="186"/>
        <v>3.7624584717607977E-3</v>
      </c>
      <c r="AJ958" s="284">
        <f>RTD("money.excel",,$G958,"PredictVolume")</f>
        <v>453</v>
      </c>
      <c r="AK958" s="399">
        <f>IFERROR(VLOOKUP($G958,基本資料!$A:$M,13,0),"無")</f>
        <v>41.97</v>
      </c>
    </row>
    <row r="959" spans="1:37">
      <c r="A959" s="347">
        <f>IFERROR(VLOOKUP($G959,基本資料!$A:$J,3,0),"無")</f>
        <v>6.08</v>
      </c>
      <c r="B959" s="79">
        <f>IFERROR(VLOOKUP($G959,基本資料!$A:$J,4,0),"無")</f>
        <v>47</v>
      </c>
      <c r="C959" s="79">
        <f>IFERROR(VLOOKUP($G959,基本資料!$A:$J,5,0),"無")</f>
        <v>-32</v>
      </c>
      <c r="D959" s="79">
        <f>IFERROR(VLOOKUP($G959,基本資料!$A:$J,6,0),"無")</f>
        <v>99</v>
      </c>
      <c r="E959" s="79">
        <f>IFERROR(VLOOKUP($G959,基本資料!$A:$J,7,0),"無")</f>
        <v>-81</v>
      </c>
      <c r="F959" s="6">
        <f>IFERROR(VLOOKUP($G959,基本資料!$A:$J,8,0),"無")</f>
        <v>-7.77</v>
      </c>
      <c r="G959" s="79">
        <v>3466</v>
      </c>
      <c r="H959" s="8" t="s">
        <v>311</v>
      </c>
      <c r="I959" s="16" t="s">
        <v>4366</v>
      </c>
      <c r="J959" s="8" t="str">
        <f>IFERROR(VLOOKUP($G959,今日總結!$A:$AJ,35,0),"")</f>
        <v/>
      </c>
      <c r="K959" s="5" t="str">
        <f>IFERROR(VLOOKUP($G959,今日總結!$A:$AJ,36,0),"")</f>
        <v/>
      </c>
      <c r="L959" s="156" t="str">
        <f>IFERROR(VLOOKUP($G959,今日總結!$A:$AJ,33,0),"")</f>
        <v/>
      </c>
      <c r="M959" s="340" t="str">
        <f>IFERROR(VLOOKUP($G959,今日總結!$A:$AJ,34,0),"")</f>
        <v/>
      </c>
      <c r="N959" s="240" t="str">
        <f t="shared" si="187"/>
        <v/>
      </c>
      <c r="P959" s="365">
        <f>IFERROR(VLOOKUP($G959,融外自投!$A:$J,7,0),"無")</f>
        <v>483</v>
      </c>
      <c r="Q959" s="79" t="str">
        <f>IFERROR(VLOOKUP($G959,融外自投!$A:$J,9,0),"無")</f>
        <v>無</v>
      </c>
      <c r="R959" s="346">
        <f>IFERROR(VLOOKUP($G959,融外自投!$A:$J,8,0),"無")</f>
        <v>609</v>
      </c>
      <c r="S959" s="81" t="str">
        <f>IFERROR(VLOOKUP($G959,融外自投!$A:$J,10,0),"無")</f>
        <v>無</v>
      </c>
      <c r="T959" s="327">
        <f>IFERROR(VLOOKUP($G959,'321買'!$A:$E,5,0),"'沒有資料'")</f>
        <v>894</v>
      </c>
      <c r="U959" s="186">
        <f>IFERROR(VLOOKUP($G959,基本資料!$A:$J,9,0),"無")</f>
        <v>0</v>
      </c>
      <c r="V959" s="310">
        <f t="shared" si="185"/>
        <v>0</v>
      </c>
      <c r="W959" s="94">
        <f>IFERROR(VLOOKUP($G959,基本資料!$A:$J,10,0),"無")</f>
        <v>-1.31</v>
      </c>
      <c r="X959" s="36">
        <f>RTD("money.excel",,"3466","Price")</f>
        <v>18.25</v>
      </c>
      <c r="Y959" s="66"/>
      <c r="Z959" s="15">
        <f t="shared" si="188"/>
        <v>18.25</v>
      </c>
      <c r="AA959" s="3" t="e">
        <f t="shared" si="189"/>
        <v>#DIV/0!</v>
      </c>
      <c r="AB959" s="344">
        <f>IFERROR(VLOOKUP($G959,基本資料!$A:$M,11,0),"無")</f>
        <v>-21.87</v>
      </c>
      <c r="AC959" s="397">
        <f>IFERROR(VLOOKUP($G959,基本資料!$A:$M,12,0),"無")</f>
        <v>67.06</v>
      </c>
      <c r="AD959" s="16" t="s">
        <v>4366</v>
      </c>
      <c r="AG959" s="33">
        <f t="shared" si="190"/>
        <v>0</v>
      </c>
      <c r="AH959" s="43" t="s">
        <v>4367</v>
      </c>
      <c r="AI959" s="63">
        <f t="shared" si="186"/>
        <v>2.2253289473684209E-2</v>
      </c>
      <c r="AJ959" s="284">
        <f>RTD("money.excel",,$G959,"PredictVolume")</f>
        <v>1353</v>
      </c>
      <c r="AK959" s="399">
        <f>IFERROR(VLOOKUP($G959,基本資料!$A:$M,13,0),"無")</f>
        <v>51.37</v>
      </c>
    </row>
    <row r="960" spans="1:37">
      <c r="A960" s="347">
        <f>IFERROR(VLOOKUP($G960,基本資料!$A:$J,3,0),"無")</f>
        <v>6.21</v>
      </c>
      <c r="B960" s="79">
        <f>IFERROR(VLOOKUP($G960,基本資料!$A:$J,4,0),"無")</f>
        <v>80</v>
      </c>
      <c r="C960" s="79">
        <f>IFERROR(VLOOKUP($G960,基本資料!$A:$J,5,0),"無")</f>
        <v>24</v>
      </c>
      <c r="D960" s="79">
        <f>IFERROR(VLOOKUP($G960,基本資料!$A:$J,6,0),"無")</f>
        <v>-48</v>
      </c>
      <c r="E960" s="79">
        <f>IFERROR(VLOOKUP($G960,基本資料!$A:$J,7,0),"無")</f>
        <v>-29</v>
      </c>
      <c r="F960" s="6">
        <f>IFERROR(VLOOKUP($G960,基本資料!$A:$J,8,0),"無")</f>
        <v>12.59</v>
      </c>
      <c r="G960" s="79">
        <v>3491</v>
      </c>
      <c r="H960" s="8" t="s">
        <v>311</v>
      </c>
      <c r="I960" s="16" t="s">
        <v>4368</v>
      </c>
      <c r="J960" s="8">
        <f>IFERROR(VLOOKUP($G960,今日總結!$A:$AJ,35,0),"")</f>
        <v>0</v>
      </c>
      <c r="K960" s="5" t="str">
        <f>IFERROR(VLOOKUP($G960,今日總結!$A:$AJ,36,0),"")</f>
        <v>6投</v>
      </c>
      <c r="L960" s="156">
        <f>IFERROR(VLOOKUP($G960,今日總結!$A:$AJ,33,0),"")</f>
        <v>0</v>
      </c>
      <c r="M960" s="340">
        <f>IFERROR(VLOOKUP($G960,今日總結!$A:$AJ,34,0),"")</f>
        <v>2</v>
      </c>
      <c r="N960" s="240">
        <f t="shared" si="187"/>
        <v>-2</v>
      </c>
      <c r="P960" s="365">
        <f>IFERROR(VLOOKUP($G960,融外自投!$A:$J,7,0),"無")</f>
        <v>135</v>
      </c>
      <c r="Q960" s="79">
        <f>IFERROR(VLOOKUP($G960,融外自投!$A:$J,9,0),"無")</f>
        <v>222</v>
      </c>
      <c r="R960" s="346">
        <f>IFERROR(VLOOKUP($G960,融外自投!$A:$J,8,0),"無")</f>
        <v>405</v>
      </c>
      <c r="S960" s="81">
        <f>IFERROR(VLOOKUP($G960,融外自投!$A:$J,10,0),"無")</f>
        <v>123</v>
      </c>
      <c r="T960" s="327">
        <f>IFERROR(VLOOKUP($G960,'321買'!$A:$E,5,0),"'沒有資料'")</f>
        <v>52</v>
      </c>
      <c r="U960" s="186">
        <f>IFERROR(VLOOKUP($G960,基本資料!$A:$J,9,0),"無")</f>
        <v>4</v>
      </c>
      <c r="V960" s="310">
        <f t="shared" si="185"/>
        <v>2.9629629629629631E-2</v>
      </c>
      <c r="W960" s="94">
        <f>IFERROR(VLOOKUP($G960,基本資料!$A:$J,10,0),"無")</f>
        <v>3.81</v>
      </c>
      <c r="X960" s="36">
        <f>RTD("money.excel",,"3491","Price")</f>
        <v>135</v>
      </c>
      <c r="Y960" s="66"/>
      <c r="Z960" s="15">
        <f t="shared" si="188"/>
        <v>135</v>
      </c>
      <c r="AA960" s="3" t="e">
        <f t="shared" si="189"/>
        <v>#DIV/0!</v>
      </c>
      <c r="AB960" s="344">
        <f>IFERROR(VLOOKUP($G960,基本資料!$A:$M,11,0),"無")</f>
        <v>-40.61</v>
      </c>
      <c r="AC960" s="397">
        <f>IFERROR(VLOOKUP($G960,基本資料!$A:$M,12,0),"無")</f>
        <v>22.5</v>
      </c>
      <c r="AD960" s="16" t="s">
        <v>4368</v>
      </c>
      <c r="AG960" s="33">
        <f t="shared" si="190"/>
        <v>0</v>
      </c>
      <c r="AH960" s="117" t="s">
        <v>4369</v>
      </c>
      <c r="AI960" s="63">
        <f t="shared" si="186"/>
        <v>2.6586151368760063E-2</v>
      </c>
      <c r="AJ960" s="284">
        <f>RTD("money.excel",,$G960,"PredictVolume")</f>
        <v>1651</v>
      </c>
      <c r="AK960" s="399">
        <f>IFERROR(VLOOKUP($G960,基本資料!$A:$M,13,0),"無")</f>
        <v>37.909999999999997</v>
      </c>
    </row>
    <row r="961" spans="1:37">
      <c r="A961" s="347">
        <f>IFERROR(VLOOKUP($G961,基本資料!$A:$J,3,0),"無")</f>
        <v>5.49</v>
      </c>
      <c r="B961" s="79">
        <f>IFERROR(VLOOKUP($G961,基本資料!$A:$J,4,0),"無")</f>
        <v>62</v>
      </c>
      <c r="C961" s="79">
        <f>IFERROR(VLOOKUP($G961,基本資料!$A:$J,5,0),"無")</f>
        <v>16</v>
      </c>
      <c r="D961" s="79">
        <f>IFERROR(VLOOKUP($G961,基本資料!$A:$J,6,0),"無")</f>
        <v>69</v>
      </c>
      <c r="E961" s="79">
        <f>IFERROR(VLOOKUP($G961,基本資料!$A:$J,7,0),"無")</f>
        <v>-11</v>
      </c>
      <c r="F961" s="6">
        <f>IFERROR(VLOOKUP($G961,基本資料!$A:$J,8,0),"無")</f>
        <v>-10.9</v>
      </c>
      <c r="G961" s="79">
        <v>3499</v>
      </c>
      <c r="H961" s="8" t="s">
        <v>311</v>
      </c>
      <c r="I961" s="16" t="s">
        <v>4370</v>
      </c>
      <c r="J961" s="8" t="str">
        <f>IFERROR(VLOOKUP($G961,今日總結!$A:$AJ,35,0),"")</f>
        <v/>
      </c>
      <c r="K961" s="5" t="str">
        <f>IFERROR(VLOOKUP($G961,今日總結!$A:$AJ,36,0),"")</f>
        <v/>
      </c>
      <c r="L961" s="156" t="str">
        <f>IFERROR(VLOOKUP($G961,今日總結!$A:$AJ,33,0),"")</f>
        <v/>
      </c>
      <c r="M961" s="340" t="str">
        <f>IFERROR(VLOOKUP($G961,今日總結!$A:$AJ,34,0),"")</f>
        <v/>
      </c>
      <c r="N961" s="240" t="str">
        <f t="shared" si="187"/>
        <v/>
      </c>
      <c r="P961" s="365">
        <f>IFERROR(VLOOKUP($G961,融外自投!$A:$J,7,0),"無")</f>
        <v>371</v>
      </c>
      <c r="Q961" s="79">
        <f>IFERROR(VLOOKUP($G961,融外自投!$A:$J,9,0),"無")</f>
        <v>586</v>
      </c>
      <c r="R961" s="346">
        <f>IFERROR(VLOOKUP($G961,融外自投!$A:$J,8,0),"無")</f>
        <v>929</v>
      </c>
      <c r="S961" s="81" t="str">
        <f>IFERROR(VLOOKUP($G961,融外自投!$A:$J,10,0),"無")</f>
        <v>無</v>
      </c>
      <c r="T961" s="327">
        <f>IFERROR(VLOOKUP($G961,'321買'!$A:$E,5,0),"'沒有資料'")</f>
        <v>584</v>
      </c>
      <c r="U961" s="186">
        <f>IFERROR(VLOOKUP($G961,基本資料!$A:$J,9,0),"無")</f>
        <v>0</v>
      </c>
      <c r="V961" s="310">
        <f t="shared" si="185"/>
        <v>0</v>
      </c>
      <c r="W961" s="94">
        <f>IFERROR(VLOOKUP($G961,基本資料!$A:$J,10,0),"無")</f>
        <v>-0.18</v>
      </c>
      <c r="X961" s="36">
        <f>RTD("money.excel",,"3499","Price")</f>
        <v>17.100000000000001</v>
      </c>
      <c r="Y961" s="66"/>
      <c r="Z961" s="15">
        <f t="shared" si="188"/>
        <v>17.100000000000001</v>
      </c>
      <c r="AA961" s="3" t="e">
        <f t="shared" si="189"/>
        <v>#DIV/0!</v>
      </c>
      <c r="AB961" s="344">
        <f>IFERROR(VLOOKUP($G961,基本資料!$A:$M,11,0),"無")</f>
        <v>-44.5</v>
      </c>
      <c r="AC961" s="397">
        <f>IFERROR(VLOOKUP($G961,基本資料!$A:$M,12,0),"無")</f>
        <v>18.05</v>
      </c>
      <c r="AD961" s="16" t="s">
        <v>4370</v>
      </c>
      <c r="AG961" s="33">
        <f t="shared" si="190"/>
        <v>0</v>
      </c>
      <c r="AH961" s="43" t="s">
        <v>4371</v>
      </c>
      <c r="AI961" s="63">
        <f t="shared" si="186"/>
        <v>3.4972677595628415E-3</v>
      </c>
      <c r="AJ961" s="284">
        <f>RTD("money.excel",,$G961,"PredictVolume")</f>
        <v>192</v>
      </c>
      <c r="AK961" s="399">
        <f>IFERROR(VLOOKUP($G961,基本資料!$A:$M,13,0),"無")</f>
        <v>69.86</v>
      </c>
    </row>
    <row r="962" spans="1:37">
      <c r="A962" s="347">
        <f>IFERROR(VLOOKUP($G962,基本資料!$A:$J,3,0),"無")</f>
        <v>4.9000000000000004</v>
      </c>
      <c r="B962" s="79">
        <f>IFERROR(VLOOKUP($G962,基本資料!$A:$J,4,0),"無")</f>
        <v>18</v>
      </c>
      <c r="C962" s="79">
        <f>IFERROR(VLOOKUP($G962,基本資料!$A:$J,5,0),"無")</f>
        <v>-5</v>
      </c>
      <c r="D962" s="79">
        <f>IFERROR(VLOOKUP($G962,基本資料!$A:$J,6,0),"無")</f>
        <v>-24</v>
      </c>
      <c r="E962" s="79">
        <f>IFERROR(VLOOKUP($G962,基本資料!$A:$J,7,0),"無")</f>
        <v>25</v>
      </c>
      <c r="F962" s="6">
        <f>IFERROR(VLOOKUP($G962,基本資料!$A:$J,8,0),"無")</f>
        <v>5.71</v>
      </c>
      <c r="G962" s="79">
        <v>3558</v>
      </c>
      <c r="H962" s="8" t="s">
        <v>311</v>
      </c>
      <c r="I962" s="16" t="s">
        <v>4372</v>
      </c>
      <c r="J962" s="8">
        <f>IFERROR(VLOOKUP($G962,今日總結!$A:$AJ,35,0),"")</f>
        <v>3462</v>
      </c>
      <c r="K962" s="5">
        <f>IFERROR(VLOOKUP($G962,今日總結!$A:$AJ,36,0),"")</f>
        <v>0</v>
      </c>
      <c r="L962" s="156">
        <f>IFERROR(VLOOKUP($G962,今日總結!$A:$AJ,33,0),"")</f>
        <v>4</v>
      </c>
      <c r="M962" s="340">
        <f>IFERROR(VLOOKUP($G962,今日總結!$A:$AJ,34,0),"")</f>
        <v>0</v>
      </c>
      <c r="N962" s="240">
        <f t="shared" si="187"/>
        <v>4</v>
      </c>
      <c r="P962" s="365">
        <f>IFERROR(VLOOKUP($G962,融外自投!$A:$J,7,0),"無")</f>
        <v>154</v>
      </c>
      <c r="Q962" s="79">
        <f>IFERROR(VLOOKUP($G962,融外自投!$A:$J,9,0),"無")</f>
        <v>162</v>
      </c>
      <c r="R962" s="346">
        <f>IFERROR(VLOOKUP($G962,融外自投!$A:$J,8,0),"無")</f>
        <v>905</v>
      </c>
      <c r="S962" s="81">
        <f>IFERROR(VLOOKUP($G962,融外自投!$A:$J,10,0),"無")</f>
        <v>13</v>
      </c>
      <c r="T962" s="327">
        <f>IFERROR(VLOOKUP($G962,'321買'!$A:$E,5,0),"'沒有資料'")</f>
        <v>634</v>
      </c>
      <c r="U962" s="186">
        <f>IFERROR(VLOOKUP($G962,基本資料!$A:$J,9,0),"無")</f>
        <v>0</v>
      </c>
      <c r="V962" s="310">
        <f t="shared" si="185"/>
        <v>0</v>
      </c>
      <c r="W962" s="94">
        <f>IFERROR(VLOOKUP($G962,基本資料!$A:$J,10,0),"無")</f>
        <v>9.16</v>
      </c>
      <c r="X962" s="36">
        <f>RTD("money.excel",,"3558","Price")</f>
        <v>183.5</v>
      </c>
      <c r="Y962" s="66"/>
      <c r="Z962" s="15">
        <f t="shared" si="188"/>
        <v>183.5</v>
      </c>
      <c r="AA962" s="3" t="e">
        <f t="shared" si="189"/>
        <v>#DIV/0!</v>
      </c>
      <c r="AB962" s="344">
        <f>IFERROR(VLOOKUP($G962,基本資料!$A:$M,11,0),"無")</f>
        <v>-24.94</v>
      </c>
      <c r="AC962" s="397">
        <f>IFERROR(VLOOKUP($G962,基本資料!$A:$M,12,0),"無")</f>
        <v>67.790000000000006</v>
      </c>
      <c r="AD962" s="16" t="s">
        <v>4372</v>
      </c>
      <c r="AG962" s="33">
        <f t="shared" si="190"/>
        <v>0</v>
      </c>
      <c r="AH962" s="117" t="s">
        <v>4373</v>
      </c>
      <c r="AI962" s="63">
        <f t="shared" ref="AI962:AI993" si="194">AJ962/(A962*10000)</f>
        <v>0.29914285714285715</v>
      </c>
      <c r="AJ962" s="284">
        <f>RTD("money.excel",,$G962,"PredictVolume")</f>
        <v>14658</v>
      </c>
      <c r="AK962" s="399">
        <f>IFERROR(VLOOKUP($G962,基本資料!$A:$M,13,0),"無")</f>
        <v>49.41</v>
      </c>
    </row>
    <row r="963" spans="1:37">
      <c r="A963" s="347">
        <f>IFERROR(VLOOKUP($G963,基本資料!$A:$J,3,0),"無")</f>
        <v>5.91</v>
      </c>
      <c r="B963" s="79">
        <f>IFERROR(VLOOKUP($G963,基本資料!$A:$J,4,0),"無")</f>
        <v>-16</v>
      </c>
      <c r="C963" s="79">
        <f>IFERROR(VLOOKUP($G963,基本資料!$A:$J,5,0),"無")</f>
        <v>-2</v>
      </c>
      <c r="D963" s="79">
        <f>IFERROR(VLOOKUP($G963,基本資料!$A:$J,6,0),"無")</f>
        <v>32</v>
      </c>
      <c r="E963" s="79">
        <f>IFERROR(VLOOKUP($G963,基本資料!$A:$J,7,0),"無")</f>
        <v>109</v>
      </c>
      <c r="F963" s="6">
        <f>IFERROR(VLOOKUP($G963,基本資料!$A:$J,8,0),"無")</f>
        <v>3.94</v>
      </c>
      <c r="G963" s="79">
        <v>3564</v>
      </c>
      <c r="H963" s="8" t="s">
        <v>311</v>
      </c>
      <c r="I963" s="16" t="s">
        <v>4374</v>
      </c>
      <c r="J963" s="8" t="str">
        <f>IFERROR(VLOOKUP($G963,今日總結!$A:$AJ,35,0),"")</f>
        <v/>
      </c>
      <c r="K963" s="5" t="str">
        <f>IFERROR(VLOOKUP($G963,今日總結!$A:$AJ,36,0),"")</f>
        <v/>
      </c>
      <c r="L963" s="156" t="str">
        <f>IFERROR(VLOOKUP($G963,今日總結!$A:$AJ,33,0),"")</f>
        <v/>
      </c>
      <c r="M963" s="340" t="str">
        <f>IFERROR(VLOOKUP($G963,今日總結!$A:$AJ,34,0),"")</f>
        <v/>
      </c>
      <c r="N963" s="240" t="str">
        <f t="shared" si="187"/>
        <v/>
      </c>
      <c r="P963" s="365" t="str">
        <f>IFERROR(VLOOKUP($G963,融外自投!$A:$J,7,0),"無")</f>
        <v>無</v>
      </c>
      <c r="Q963" s="79" t="str">
        <f>IFERROR(VLOOKUP($G963,融外自投!$A:$J,9,0),"無")</f>
        <v>無</v>
      </c>
      <c r="R963" s="346" t="str">
        <f>IFERROR(VLOOKUP($G963,融外自投!$A:$J,8,0),"無")</f>
        <v>無</v>
      </c>
      <c r="S963" s="81" t="str">
        <f>IFERROR(VLOOKUP($G963,融外自投!$A:$J,10,0),"無")</f>
        <v>無</v>
      </c>
      <c r="T963" s="327" t="str">
        <f>IFERROR(VLOOKUP($G963,'321買'!$A:$E,5,0),"'沒有資料'")</f>
        <v>'沒有資料'</v>
      </c>
      <c r="U963" s="186">
        <f>IFERROR(VLOOKUP($G963,基本資料!$A:$J,9,0),"無")</f>
        <v>0.6</v>
      </c>
      <c r="V963" s="310">
        <f t="shared" si="185"/>
        <v>2.2222222222222223E-2</v>
      </c>
      <c r="W963" s="94">
        <f>IFERROR(VLOOKUP($G963,基本資料!$A:$J,10,0),"無")</f>
        <v>0.75</v>
      </c>
      <c r="X963" s="36">
        <f>RTD("money.excel",,"3564","Price")</f>
        <v>27</v>
      </c>
      <c r="Y963" s="66"/>
      <c r="Z963" s="15">
        <f t="shared" si="188"/>
        <v>27</v>
      </c>
      <c r="AA963" s="3" t="e">
        <f t="shared" si="189"/>
        <v>#DIV/0!</v>
      </c>
      <c r="AB963" s="344">
        <f>IFERROR(VLOOKUP($G963,基本資料!$A:$M,11,0),"無")</f>
        <v>-25.77</v>
      </c>
      <c r="AC963" s="397">
        <f>IFERROR(VLOOKUP($G963,基本資料!$A:$M,12,0),"無")</f>
        <v>44.58</v>
      </c>
      <c r="AD963" s="16" t="s">
        <v>4374</v>
      </c>
      <c r="AG963" s="33">
        <f t="shared" si="190"/>
        <v>0</v>
      </c>
      <c r="AH963" s="43" t="s">
        <v>2233</v>
      </c>
      <c r="AI963" s="63">
        <f t="shared" si="194"/>
        <v>2.2673434856175971E-3</v>
      </c>
      <c r="AJ963" s="284">
        <f>RTD("money.excel",,$G963,"PredictVolume")</f>
        <v>134</v>
      </c>
      <c r="AK963" s="399">
        <f>IFERROR(VLOOKUP($G963,基本資料!$A:$M,13,0),"無")</f>
        <v>4.34</v>
      </c>
    </row>
    <row r="964" spans="1:37">
      <c r="A964" s="347">
        <f>IFERROR(VLOOKUP($G964,基本資料!$A:$J,3,0),"無")</f>
        <v>22.79</v>
      </c>
      <c r="B964" s="79">
        <f>IFERROR(VLOOKUP($G964,基本資料!$A:$J,4,0),"無")</f>
        <v>4</v>
      </c>
      <c r="C964" s="79">
        <f>IFERROR(VLOOKUP($G964,基本資料!$A:$J,5,0),"無")</f>
        <v>-3</v>
      </c>
      <c r="D964" s="79">
        <f>IFERROR(VLOOKUP($G964,基本資料!$A:$J,6,0),"無")</f>
        <v>-26</v>
      </c>
      <c r="E964" s="79">
        <f>IFERROR(VLOOKUP($G964,基本資料!$A:$J,7,0),"無")</f>
        <v>-18</v>
      </c>
      <c r="F964" s="6">
        <f>IFERROR(VLOOKUP($G964,基本資料!$A:$J,8,0),"無")</f>
        <v>5.75</v>
      </c>
      <c r="G964" s="79">
        <v>3596</v>
      </c>
      <c r="H964" s="195" t="s">
        <v>311</v>
      </c>
      <c r="I964" s="22" t="s">
        <v>4375</v>
      </c>
      <c r="J964" s="8">
        <f>IFERROR(VLOOKUP($G964,今日總結!$A:$AJ,35,0),"")</f>
        <v>6</v>
      </c>
      <c r="K964" s="5" t="str">
        <f>IFERROR(VLOOKUP($G964,今日總結!$A:$AJ,36,0),"")</f>
        <v>自</v>
      </c>
      <c r="L964" s="156">
        <f>IFERROR(VLOOKUP($G964,今日總結!$A:$AJ,33,0),"")</f>
        <v>1</v>
      </c>
      <c r="M964" s="340">
        <f>IFERROR(VLOOKUP($G964,今日總結!$A:$AJ,34,0),"")</f>
        <v>1</v>
      </c>
      <c r="N964" s="240">
        <f t="shared" si="187"/>
        <v>0</v>
      </c>
      <c r="P964" s="365">
        <f>IFERROR(VLOOKUP($G964,融外自投!$A:$J,7,0),"無")</f>
        <v>467</v>
      </c>
      <c r="Q964" s="79">
        <f>IFERROR(VLOOKUP($G964,融外自投!$A:$J,9,0),"無")</f>
        <v>824</v>
      </c>
      <c r="R964" s="346">
        <f>IFERROR(VLOOKUP($G964,融外自投!$A:$J,8,0),"無")</f>
        <v>421</v>
      </c>
      <c r="S964" s="81">
        <f>IFERROR(VLOOKUP($G964,融外自投!$A:$J,10,0),"無")</f>
        <v>20</v>
      </c>
      <c r="T964" s="327">
        <f>IFERROR(VLOOKUP($G964,'321買'!$A:$E,5,0),"'沒有資料'")</f>
        <v>104</v>
      </c>
      <c r="U964" s="186">
        <f>IFERROR(VLOOKUP($G964,基本資料!$A:$J,9,0),"無")</f>
        <v>6.71</v>
      </c>
      <c r="V964" s="310">
        <f t="shared" si="185"/>
        <v>6.0450450450450451E-2</v>
      </c>
      <c r="W964" s="94">
        <f>IFERROR(VLOOKUP($G964,基本資料!$A:$J,10,0),"無")</f>
        <v>8.6</v>
      </c>
      <c r="X964" s="36">
        <f>RTD("money.excel",,"3596","Price")</f>
        <v>111</v>
      </c>
      <c r="Y964" s="66"/>
      <c r="Z964" s="15">
        <f t="shared" si="188"/>
        <v>111</v>
      </c>
      <c r="AA964" s="3" t="e">
        <f t="shared" si="189"/>
        <v>#DIV/0!</v>
      </c>
      <c r="AB964" s="344">
        <f>IFERROR(VLOOKUP($G964,基本資料!$A:$M,11,0),"無")</f>
        <v>-21.58</v>
      </c>
      <c r="AC964" s="397">
        <f>IFERROR(VLOOKUP($G964,基本資料!$A:$M,12,0),"無")</f>
        <v>35.25</v>
      </c>
      <c r="AD964" s="22" t="s">
        <v>4375</v>
      </c>
      <c r="AG964" s="33">
        <f t="shared" si="190"/>
        <v>0</v>
      </c>
      <c r="AH964" s="117" t="s">
        <v>4376</v>
      </c>
      <c r="AI964" s="63">
        <f t="shared" si="194"/>
        <v>1.701623519087319E-2</v>
      </c>
      <c r="AJ964" s="284">
        <f>RTD("money.excel",,$G964,"PredictVolume")</f>
        <v>3878</v>
      </c>
      <c r="AK964" s="399">
        <f>IFERROR(VLOOKUP($G964,基本資料!$A:$M,13,0),"無")</f>
        <v>18.53</v>
      </c>
    </row>
    <row r="965" spans="1:37">
      <c r="A965" s="347">
        <f>IFERROR(VLOOKUP($G965,基本資料!$A:$J,3,0),"無")</f>
        <v>4.08</v>
      </c>
      <c r="B965" s="79">
        <f>IFERROR(VLOOKUP($G965,基本資料!$A:$J,4,0),"無")</f>
        <v>80</v>
      </c>
      <c r="C965" s="79">
        <f>IFERROR(VLOOKUP($G965,基本資料!$A:$J,5,0),"無")</f>
        <v>-8</v>
      </c>
      <c r="D965" s="79">
        <f>IFERROR(VLOOKUP($G965,基本資料!$A:$J,6,0),"無")</f>
        <v>5</v>
      </c>
      <c r="E965" s="79">
        <f>IFERROR(VLOOKUP($G965,基本資料!$A:$J,7,0),"無")</f>
        <v>-39</v>
      </c>
      <c r="F965" s="6">
        <f>IFERROR(VLOOKUP($G965,基本資料!$A:$J,8,0),"無")</f>
        <v>-43.29</v>
      </c>
      <c r="G965" s="79">
        <v>3632</v>
      </c>
      <c r="H965" s="8" t="s">
        <v>311</v>
      </c>
      <c r="I965" s="16" t="s">
        <v>4377</v>
      </c>
      <c r="J965" s="8" t="str">
        <f>IFERROR(VLOOKUP($G965,今日總結!$A:$AJ,35,0),"")</f>
        <v/>
      </c>
      <c r="K965" s="5" t="str">
        <f>IFERROR(VLOOKUP($G965,今日總結!$A:$AJ,36,0),"")</f>
        <v/>
      </c>
      <c r="L965" s="156" t="str">
        <f>IFERROR(VLOOKUP($G965,今日總結!$A:$AJ,33,0),"")</f>
        <v/>
      </c>
      <c r="M965" s="340" t="str">
        <f>IFERROR(VLOOKUP($G965,今日總結!$A:$AJ,34,0),"")</f>
        <v/>
      </c>
      <c r="N965" s="240" t="str">
        <f t="shared" si="187"/>
        <v/>
      </c>
      <c r="P965" s="365" t="str">
        <f>IFERROR(VLOOKUP($G965,融外自投!$A:$J,7,0),"無")</f>
        <v>無</v>
      </c>
      <c r="Q965" s="79" t="str">
        <f>IFERROR(VLOOKUP($G965,融外自投!$A:$J,9,0),"無")</f>
        <v>無</v>
      </c>
      <c r="R965" s="346" t="str">
        <f>IFERROR(VLOOKUP($G965,融外自投!$A:$J,8,0),"無")</f>
        <v>無</v>
      </c>
      <c r="S965" s="81" t="str">
        <f>IFERROR(VLOOKUP($G965,融外自投!$A:$J,10,0),"無")</f>
        <v>無</v>
      </c>
      <c r="T965" s="327" t="str">
        <f>IFERROR(VLOOKUP($G965,'321買'!$A:$E,5,0),"'沒有資料'")</f>
        <v>'沒有資料'</v>
      </c>
      <c r="U965" s="186">
        <f>IFERROR(VLOOKUP($G965,基本資料!$A:$J,9,0),"無")</f>
        <v>0</v>
      </c>
      <c r="V965" s="310" t="e">
        <f t="shared" si="185"/>
        <v>#VALUE!</v>
      </c>
      <c r="W965" s="94">
        <f>IFERROR(VLOOKUP($G965,基本資料!$A:$J,10,0),"無")</f>
        <v>-0.71</v>
      </c>
      <c r="X965" s="36" t="str">
        <f>RTD("money.excel",,"3632","Price")</f>
        <v>無資料</v>
      </c>
      <c r="Y965" s="66"/>
      <c r="Z965" s="15" t="e">
        <f t="shared" si="188"/>
        <v>#VALUE!</v>
      </c>
      <c r="AA965" s="3" t="e">
        <f t="shared" si="189"/>
        <v>#VALUE!</v>
      </c>
      <c r="AB965" s="344">
        <f>IFERROR(VLOOKUP($G965,基本資料!$A:$M,11,0),"無")</f>
        <v>-16.5</v>
      </c>
      <c r="AC965" s="397">
        <f>IFERROR(VLOOKUP($G965,基本資料!$A:$M,12,0),"無")</f>
        <v>19.62</v>
      </c>
      <c r="AD965" s="16" t="s">
        <v>4377</v>
      </c>
      <c r="AG965" s="33">
        <f t="shared" si="190"/>
        <v>0</v>
      </c>
      <c r="AH965" s="43" t="s">
        <v>4378</v>
      </c>
      <c r="AI965" s="63">
        <f t="shared" si="194"/>
        <v>0</v>
      </c>
      <c r="AJ965" s="284">
        <f>RTD("money.excel",,$G965,"PredictVolume")</f>
        <v>0</v>
      </c>
      <c r="AK965" s="399">
        <f>IFERROR(VLOOKUP($G965,基本資料!$A:$M,13,0),"無")</f>
        <v>0.63</v>
      </c>
    </row>
    <row r="966" spans="1:37">
      <c r="A966" s="347">
        <f>IFERROR(VLOOKUP($G966,基本資料!$A:$J,3,0),"無")</f>
        <v>5.1100000000000003</v>
      </c>
      <c r="B966" s="79">
        <f>IFERROR(VLOOKUP($G966,基本資料!$A:$J,4,0),"無")</f>
        <v>7</v>
      </c>
      <c r="C966" s="79">
        <f>IFERROR(VLOOKUP($G966,基本資料!$A:$J,5,0),"無")</f>
        <v>-41</v>
      </c>
      <c r="D966" s="79">
        <f>IFERROR(VLOOKUP($G966,基本資料!$A:$J,6,0),"無")</f>
        <v>-11</v>
      </c>
      <c r="E966" s="79">
        <f>IFERROR(VLOOKUP($G966,基本資料!$A:$J,7,0),"無")</f>
        <v>-3</v>
      </c>
      <c r="F966" s="6">
        <f>IFERROR(VLOOKUP($G966,基本資料!$A:$J,8,0),"無")</f>
        <v>-24.69</v>
      </c>
      <c r="G966" s="79">
        <v>3664</v>
      </c>
      <c r="H966" s="8" t="s">
        <v>311</v>
      </c>
      <c r="I966" s="16" t="s">
        <v>4379</v>
      </c>
      <c r="J966" s="8" t="str">
        <f>IFERROR(VLOOKUP($G966,今日總結!$A:$AJ,35,0),"")</f>
        <v/>
      </c>
      <c r="K966" s="5" t="str">
        <f>IFERROR(VLOOKUP($G966,今日總結!$A:$AJ,36,0),"")</f>
        <v/>
      </c>
      <c r="L966" s="156" t="str">
        <f>IFERROR(VLOOKUP($G966,今日總結!$A:$AJ,33,0),"")</f>
        <v/>
      </c>
      <c r="M966" s="340" t="str">
        <f>IFERROR(VLOOKUP($G966,今日總結!$A:$AJ,34,0),"")</f>
        <v/>
      </c>
      <c r="N966" s="240" t="str">
        <f t="shared" si="187"/>
        <v/>
      </c>
      <c r="P966" s="365" t="str">
        <f>IFERROR(VLOOKUP($G966,融外自投!$A:$J,7,0),"無")</f>
        <v>無</v>
      </c>
      <c r="Q966" s="79" t="str">
        <f>IFERROR(VLOOKUP($G966,融外自投!$A:$J,9,0),"無")</f>
        <v>無</v>
      </c>
      <c r="R966" s="346" t="str">
        <f>IFERROR(VLOOKUP($G966,融外自投!$A:$J,8,0),"無")</f>
        <v>無</v>
      </c>
      <c r="S966" s="81" t="str">
        <f>IFERROR(VLOOKUP($G966,融外自投!$A:$J,10,0),"無")</f>
        <v>無</v>
      </c>
      <c r="T966" s="327" t="str">
        <f>IFERROR(VLOOKUP($G966,'321買'!$A:$E,5,0),"'沒有資料'")</f>
        <v>'沒有資料'</v>
      </c>
      <c r="U966" s="186">
        <f>IFERROR(VLOOKUP($G966,基本資料!$A:$J,9,0),"無")</f>
        <v>0</v>
      </c>
      <c r="V966" s="310">
        <f t="shared" si="185"/>
        <v>0</v>
      </c>
      <c r="W966" s="94">
        <f>IFERROR(VLOOKUP($G966,基本資料!$A:$J,10,0),"無")</f>
        <v>-1.94</v>
      </c>
      <c r="X966" s="36">
        <f>RTD("money.excel",,"3664","Price")</f>
        <v>8.18</v>
      </c>
      <c r="Y966" s="66"/>
      <c r="Z966" s="15">
        <f t="shared" si="188"/>
        <v>8.18</v>
      </c>
      <c r="AA966" s="3" t="e">
        <f t="shared" si="189"/>
        <v>#DIV/0!</v>
      </c>
      <c r="AB966" s="344">
        <f>IFERROR(VLOOKUP($G966,基本資料!$A:$M,11,0),"無")</f>
        <v>-33.770000000000003</v>
      </c>
      <c r="AC966" s="397">
        <f>IFERROR(VLOOKUP($G966,基本資料!$A:$M,12,0),"無")</f>
        <v>33.75</v>
      </c>
      <c r="AD966" s="16" t="s">
        <v>4379</v>
      </c>
      <c r="AG966" s="33">
        <f t="shared" si="190"/>
        <v>0</v>
      </c>
      <c r="AH966" s="43" t="s">
        <v>4380</v>
      </c>
      <c r="AI966" s="63">
        <f t="shared" si="194"/>
        <v>7.8277886497064581E-4</v>
      </c>
      <c r="AJ966" s="284">
        <f>RTD("money.excel",,$G966,"PredictVolume")</f>
        <v>40</v>
      </c>
      <c r="AK966" s="399">
        <f>IFERROR(VLOOKUP($G966,基本資料!$A:$M,13,0),"無")</f>
        <v>2.87</v>
      </c>
    </row>
    <row r="967" spans="1:37">
      <c r="A967" s="347">
        <f>IFERROR(VLOOKUP($G967,基本資料!$A:$J,3,0),"無")</f>
        <v>3.17</v>
      </c>
      <c r="B967" s="79">
        <f>IFERROR(VLOOKUP($G967,基本資料!$A:$J,4,0),"無")</f>
        <v>-63</v>
      </c>
      <c r="C967" s="79">
        <f>IFERROR(VLOOKUP($G967,基本資料!$A:$J,5,0),"無")</f>
        <v>9</v>
      </c>
      <c r="D967" s="79">
        <f>IFERROR(VLOOKUP($G967,基本資料!$A:$J,6,0),"無")</f>
        <v>94</v>
      </c>
      <c r="E967" s="79">
        <f>IFERROR(VLOOKUP($G967,基本資料!$A:$J,7,0),"無")</f>
        <v>43</v>
      </c>
      <c r="F967" s="6">
        <f>IFERROR(VLOOKUP($G967,基本資料!$A:$J,8,0),"無")</f>
        <v>3.35</v>
      </c>
      <c r="G967" s="79">
        <v>3672</v>
      </c>
      <c r="H967" s="8" t="s">
        <v>311</v>
      </c>
      <c r="I967" s="16" t="s">
        <v>4381</v>
      </c>
      <c r="J967" s="8">
        <f>IFERROR(VLOOKUP($G967,今日總結!$A:$AJ,35,0),"")</f>
        <v>0</v>
      </c>
      <c r="K967" s="5" t="str">
        <f>IFERROR(VLOOKUP($G967,今日總結!$A:$AJ,36,0),"")</f>
        <v>9借</v>
      </c>
      <c r="L967" s="156">
        <f>IFERROR(VLOOKUP($G967,今日總結!$A:$AJ,33,0),"")</f>
        <v>0</v>
      </c>
      <c r="M967" s="340">
        <f>IFERROR(VLOOKUP($G967,今日總結!$A:$AJ,34,0),"")</f>
        <v>2</v>
      </c>
      <c r="N967" s="240">
        <f t="shared" si="187"/>
        <v>-2</v>
      </c>
      <c r="P967" s="365">
        <f>IFERROR(VLOOKUP($G967,融外自投!$A:$J,7,0),"無")</f>
        <v>26</v>
      </c>
      <c r="Q967" s="79">
        <f>IFERROR(VLOOKUP($G967,融外自投!$A:$J,9,0),"無")</f>
        <v>978</v>
      </c>
      <c r="R967" s="346">
        <f>IFERROR(VLOOKUP($G967,融外自投!$A:$J,8,0),"無")</f>
        <v>1412</v>
      </c>
      <c r="S967" s="81" t="str">
        <f>IFERROR(VLOOKUP($G967,融外自投!$A:$J,10,0),"無")</f>
        <v>無</v>
      </c>
      <c r="T967" s="327">
        <f>IFERROR(VLOOKUP($G967,'321買'!$A:$E,5,0),"'沒有資料'")</f>
        <v>292</v>
      </c>
      <c r="U967" s="186">
        <f>IFERROR(VLOOKUP($G967,基本資料!$A:$J,9,0),"無")</f>
        <v>0.1</v>
      </c>
      <c r="V967" s="310">
        <f t="shared" si="185"/>
        <v>2.9027576197387518E-3</v>
      </c>
      <c r="W967" s="94">
        <f>IFERROR(VLOOKUP($G967,基本資料!$A:$J,10,0),"無")</f>
        <v>0.24</v>
      </c>
      <c r="X967" s="36">
        <f>RTD("money.excel",,"3672","Price")</f>
        <v>34.450000000000003</v>
      </c>
      <c r="Y967" s="66"/>
      <c r="Z967" s="15">
        <f t="shared" si="188"/>
        <v>34.450000000000003</v>
      </c>
      <c r="AA967" s="3" t="e">
        <f t="shared" si="189"/>
        <v>#DIV/0!</v>
      </c>
      <c r="AB967" s="344">
        <f>IFERROR(VLOOKUP($G967,基本資料!$A:$M,11,0),"無")</f>
        <v>-34.99</v>
      </c>
      <c r="AC967" s="397">
        <f>IFERROR(VLOOKUP($G967,基本資料!$A:$M,12,0),"無")</f>
        <v>33.130000000000003</v>
      </c>
      <c r="AD967" s="16" t="s">
        <v>4381</v>
      </c>
      <c r="AG967" s="33">
        <f t="shared" si="190"/>
        <v>0</v>
      </c>
      <c r="AH967" s="43" t="s">
        <v>4382</v>
      </c>
      <c r="AI967" s="63">
        <f t="shared" si="194"/>
        <v>5.9305993690851738E-3</v>
      </c>
      <c r="AJ967" s="284">
        <f>RTD("money.excel",,$G967,"PredictVolume")</f>
        <v>188</v>
      </c>
      <c r="AK967" s="399">
        <f>IFERROR(VLOOKUP($G967,基本資料!$A:$M,13,0),"無")</f>
        <v>29.48</v>
      </c>
    </row>
    <row r="968" spans="1:37">
      <c r="A968" s="347">
        <f>IFERROR(VLOOKUP($G968,基本資料!$A:$J,3,0),"無")</f>
        <v>431</v>
      </c>
      <c r="B968" s="79">
        <f>IFERROR(VLOOKUP($G968,基本資料!$A:$J,4,0),"無")</f>
        <v>7</v>
      </c>
      <c r="C968" s="79">
        <f>IFERROR(VLOOKUP($G968,基本資料!$A:$J,5,0),"無")</f>
        <v>9</v>
      </c>
      <c r="D968" s="79">
        <f>IFERROR(VLOOKUP($G968,基本資料!$A:$J,6,0),"無")</f>
        <v>8</v>
      </c>
      <c r="E968" s="79">
        <f>IFERROR(VLOOKUP($G968,基本資料!$A:$J,7,0),"無")</f>
        <v>11</v>
      </c>
      <c r="F968" s="6">
        <f>IFERROR(VLOOKUP($G968,基本資料!$A:$J,8,0),"無")</f>
        <v>-39.479999999999997</v>
      </c>
      <c r="G968" s="79">
        <v>3682</v>
      </c>
      <c r="H968" s="8" t="s">
        <v>311</v>
      </c>
      <c r="I968" s="22" t="s">
        <v>4383</v>
      </c>
      <c r="J968" s="8" t="str">
        <f>IFERROR(VLOOKUP($G968,今日總結!$A:$AJ,35,0),"")</f>
        <v/>
      </c>
      <c r="K968" s="5" t="str">
        <f>IFERROR(VLOOKUP($G968,今日總結!$A:$AJ,36,0),"")</f>
        <v/>
      </c>
      <c r="L968" s="156" t="str">
        <f>IFERROR(VLOOKUP($G968,今日總結!$A:$AJ,33,0),"")</f>
        <v/>
      </c>
      <c r="M968" s="340" t="str">
        <f>IFERROR(VLOOKUP($G968,今日總結!$A:$AJ,34,0),"")</f>
        <v/>
      </c>
      <c r="N968" s="240" t="str">
        <f t="shared" si="187"/>
        <v/>
      </c>
      <c r="P968" s="365" t="str">
        <f>IFERROR(VLOOKUP($G968,融外自投!$A:$J,7,0),"無")</f>
        <v>無</v>
      </c>
      <c r="Q968" s="79" t="str">
        <f>IFERROR(VLOOKUP($G968,融外自投!$A:$J,9,0),"無")</f>
        <v>無</v>
      </c>
      <c r="R968" s="346" t="str">
        <f>IFERROR(VLOOKUP($G968,融外自投!$A:$J,8,0),"無")</f>
        <v>無</v>
      </c>
      <c r="S968" s="81" t="str">
        <f>IFERROR(VLOOKUP($G968,融外自投!$A:$J,10,0),"無")</f>
        <v>無</v>
      </c>
      <c r="T968" s="327" t="str">
        <f>IFERROR(VLOOKUP($G968,'321買'!$A:$E,5,0),"'沒有資料'")</f>
        <v>'沒有資料'</v>
      </c>
      <c r="U968" s="186">
        <f>IFERROR(VLOOKUP($G968,基本資料!$A:$J,9,0),"無")</f>
        <v>0</v>
      </c>
      <c r="V968" s="310">
        <f t="shared" si="185"/>
        <v>0</v>
      </c>
      <c r="W968" s="94">
        <f>IFERROR(VLOOKUP($G968,基本資料!$A:$J,10,0),"無")</f>
        <v>-1.35</v>
      </c>
      <c r="X968" s="36">
        <f>RTD("money.excel",,"3682","Price")</f>
        <v>7.24</v>
      </c>
      <c r="Y968" s="66"/>
      <c r="Z968" s="15">
        <f t="shared" si="188"/>
        <v>7.24</v>
      </c>
      <c r="AA968" s="3" t="e">
        <f t="shared" si="189"/>
        <v>#DIV/0!</v>
      </c>
      <c r="AB968" s="344">
        <f>IFERROR(VLOOKUP($G968,基本資料!$A:$M,11,0),"無")</f>
        <v>-25.29</v>
      </c>
      <c r="AC968" s="397">
        <f>IFERROR(VLOOKUP($G968,基本資料!$A:$M,12,0),"無")</f>
        <v>54.53</v>
      </c>
      <c r="AD968" s="22" t="s">
        <v>4383</v>
      </c>
      <c r="AG968" s="33">
        <f t="shared" si="190"/>
        <v>0</v>
      </c>
      <c r="AH968" s="117" t="s">
        <v>4384</v>
      </c>
      <c r="AI968" s="63">
        <f t="shared" si="194"/>
        <v>9.048723897911833E-4</v>
      </c>
      <c r="AJ968" s="284">
        <f>RTD("money.excel",,$G968,"PredictVolume")</f>
        <v>3900</v>
      </c>
      <c r="AK968" s="399">
        <f>IFERROR(VLOOKUP($G968,基本資料!$A:$M,13,0),"無")</f>
        <v>1.07</v>
      </c>
    </row>
    <row r="969" spans="1:37">
      <c r="A969" s="347">
        <f>IFERROR(VLOOKUP($G969,基本資料!$A:$J,3,0),"無")</f>
        <v>2.4500000000000002</v>
      </c>
      <c r="B969" s="79">
        <f>IFERROR(VLOOKUP($G969,基本資料!$A:$J,4,0),"無")</f>
        <v>75</v>
      </c>
      <c r="C969" s="79">
        <f>IFERROR(VLOOKUP($G969,基本資料!$A:$J,5,0),"無")</f>
        <v>55</v>
      </c>
      <c r="D969" s="79">
        <f>IFERROR(VLOOKUP($G969,基本資料!$A:$J,6,0),"無")</f>
        <v>7</v>
      </c>
      <c r="E969" s="79">
        <f>IFERROR(VLOOKUP($G969,基本資料!$A:$J,7,0),"無")</f>
        <v>48</v>
      </c>
      <c r="F969" s="6">
        <f>IFERROR(VLOOKUP($G969,基本資料!$A:$J,8,0),"無")</f>
        <v>12.32</v>
      </c>
      <c r="G969" s="79">
        <v>3684</v>
      </c>
      <c r="H969" s="8" t="s">
        <v>311</v>
      </c>
      <c r="I969" s="16" t="s">
        <v>4385</v>
      </c>
      <c r="J969" s="8" t="str">
        <f>IFERROR(VLOOKUP($G969,今日總結!$A:$AJ,35,0),"")</f>
        <v/>
      </c>
      <c r="K969" s="5" t="str">
        <f>IFERROR(VLOOKUP($G969,今日總結!$A:$AJ,36,0),"")</f>
        <v/>
      </c>
      <c r="L969" s="156" t="str">
        <f>IFERROR(VLOOKUP($G969,今日總結!$A:$AJ,33,0),"")</f>
        <v/>
      </c>
      <c r="M969" s="340" t="str">
        <f>IFERROR(VLOOKUP($G969,今日總結!$A:$AJ,34,0),"")</f>
        <v/>
      </c>
      <c r="N969" s="240" t="str">
        <f t="shared" si="187"/>
        <v/>
      </c>
      <c r="P969" s="365" t="str">
        <f>IFERROR(VLOOKUP($G969,融外自投!$A:$J,7,0),"無")</f>
        <v>無</v>
      </c>
      <c r="Q969" s="79" t="str">
        <f>IFERROR(VLOOKUP($G969,融外自投!$A:$J,9,0),"無")</f>
        <v>無</v>
      </c>
      <c r="R969" s="346" t="str">
        <f>IFERROR(VLOOKUP($G969,融外自投!$A:$J,8,0),"無")</f>
        <v>無</v>
      </c>
      <c r="S969" s="81" t="str">
        <f>IFERROR(VLOOKUP($G969,融外自投!$A:$J,10,0),"無")</f>
        <v>無</v>
      </c>
      <c r="T969" s="327" t="str">
        <f>IFERROR(VLOOKUP($G969,'321買'!$A:$E,5,0),"'沒有資料'")</f>
        <v>'沒有資料'</v>
      </c>
      <c r="U969" s="186">
        <f>IFERROR(VLOOKUP($G969,基本資料!$A:$J,9,0),"無")</f>
        <v>3</v>
      </c>
      <c r="V969" s="310">
        <f t="shared" si="185"/>
        <v>6.1601642710472276E-2</v>
      </c>
      <c r="W969" s="94">
        <f>IFERROR(VLOOKUP($G969,基本資料!$A:$J,10,0),"無")</f>
        <v>3.5</v>
      </c>
      <c r="X969" s="36">
        <f>RTD("money.excel",,"3684","Price")</f>
        <v>48.7</v>
      </c>
      <c r="Y969" s="66"/>
      <c r="Z969" s="15">
        <f t="shared" si="188"/>
        <v>48.7</v>
      </c>
      <c r="AA969" s="3" t="e">
        <f t="shared" si="189"/>
        <v>#DIV/0!</v>
      </c>
      <c r="AB969" s="344">
        <f>IFERROR(VLOOKUP($G969,基本資料!$A:$M,11,0),"無")</f>
        <v>-30.36</v>
      </c>
      <c r="AC969" s="397">
        <f>IFERROR(VLOOKUP($G969,基本資料!$A:$M,12,0),"無")</f>
        <v>21.73</v>
      </c>
      <c r="AD969" s="16" t="s">
        <v>4385</v>
      </c>
      <c r="AG969" s="33">
        <f t="shared" si="190"/>
        <v>0</v>
      </c>
      <c r="AH969" s="43" t="s">
        <v>4382</v>
      </c>
      <c r="AI969" s="63">
        <f t="shared" si="194"/>
        <v>1.6326530612244898E-4</v>
      </c>
      <c r="AJ969" s="284">
        <f>RTD("money.excel",,$G969,"PredictVolume")</f>
        <v>4</v>
      </c>
      <c r="AK969" s="399">
        <f>IFERROR(VLOOKUP($G969,基本資料!$A:$M,13,0),"無")</f>
        <v>4.84</v>
      </c>
    </row>
    <row r="970" spans="1:37">
      <c r="A970" s="347">
        <f>IFERROR(VLOOKUP($G970,基本資料!$A:$J,3,0),"無")</f>
        <v>15.33</v>
      </c>
      <c r="B970" s="79">
        <f>IFERROR(VLOOKUP($G970,基本資料!$A:$J,4,0),"無")</f>
        <v>1</v>
      </c>
      <c r="C970" s="79">
        <f>IFERROR(VLOOKUP($G970,基本資料!$A:$J,5,0),"無")</f>
        <v>-17</v>
      </c>
      <c r="D970" s="79">
        <f>IFERROR(VLOOKUP($G970,基本資料!$A:$J,6,0),"無")</f>
        <v>37</v>
      </c>
      <c r="E970" s="79">
        <f>IFERROR(VLOOKUP($G970,基本資料!$A:$J,7,0),"無")</f>
        <v>-11</v>
      </c>
      <c r="F970" s="6">
        <f>IFERROR(VLOOKUP($G970,基本資料!$A:$J,8,0),"無")</f>
        <v>2.31</v>
      </c>
      <c r="G970" s="79">
        <v>3694</v>
      </c>
      <c r="H970" s="8" t="s">
        <v>311</v>
      </c>
      <c r="I970" s="22" t="s">
        <v>4386</v>
      </c>
      <c r="J970" s="8" t="str">
        <f>IFERROR(VLOOKUP($G970,今日總結!$A:$AJ,35,0),"")</f>
        <v/>
      </c>
      <c r="K970" s="5" t="str">
        <f>IFERROR(VLOOKUP($G970,今日總結!$A:$AJ,36,0),"")</f>
        <v/>
      </c>
      <c r="L970" s="156" t="str">
        <f>IFERROR(VLOOKUP($G970,今日總結!$A:$AJ,33,0),"")</f>
        <v/>
      </c>
      <c r="M970" s="340" t="str">
        <f>IFERROR(VLOOKUP($G970,今日總結!$A:$AJ,34,0),"")</f>
        <v/>
      </c>
      <c r="N970" s="240" t="str">
        <f t="shared" si="187"/>
        <v/>
      </c>
      <c r="P970" s="365">
        <f>IFERROR(VLOOKUP($G970,融外自投!$A:$J,7,0),"無")</f>
        <v>499</v>
      </c>
      <c r="Q970" s="79">
        <f>IFERROR(VLOOKUP($G970,融外自投!$A:$J,9,0),"無")</f>
        <v>789</v>
      </c>
      <c r="R970" s="346">
        <f>IFERROR(VLOOKUP($G970,融外自投!$A:$J,8,0),"無")</f>
        <v>1107</v>
      </c>
      <c r="S970" s="81" t="str">
        <f>IFERROR(VLOOKUP($G970,融外自投!$A:$J,10,0),"無")</f>
        <v>無</v>
      </c>
      <c r="T970" s="327">
        <f>IFERROR(VLOOKUP($G970,'321買'!$A:$E,5,0),"'沒有資料'")</f>
        <v>664</v>
      </c>
      <c r="U970" s="186">
        <f>IFERROR(VLOOKUP($G970,基本資料!$A:$J,9,0),"無")</f>
        <v>0</v>
      </c>
      <c r="V970" s="310">
        <f t="shared" si="185"/>
        <v>0</v>
      </c>
      <c r="W970" s="94">
        <f>IFERROR(VLOOKUP($G970,基本資料!$A:$J,10,0),"無")</f>
        <v>2.0499999999999998</v>
      </c>
      <c r="X970" s="36">
        <f>RTD("money.excel",,"3694","Price")</f>
        <v>19.149999999999999</v>
      </c>
      <c r="Y970" s="66"/>
      <c r="Z970" s="15">
        <f t="shared" si="188"/>
        <v>19.149999999999999</v>
      </c>
      <c r="AA970" s="3" t="e">
        <f t="shared" si="189"/>
        <v>#DIV/0!</v>
      </c>
      <c r="AB970" s="344">
        <f>IFERROR(VLOOKUP($G970,基本資料!$A:$M,11,0),"無")</f>
        <v>-33.67</v>
      </c>
      <c r="AC970" s="397">
        <f>IFERROR(VLOOKUP($G970,基本資料!$A:$M,12,0),"無")</f>
        <v>26.37</v>
      </c>
      <c r="AD970" s="22" t="s">
        <v>4386</v>
      </c>
      <c r="AG970" s="33">
        <f t="shared" si="190"/>
        <v>0</v>
      </c>
      <c r="AH970" s="43" t="s">
        <v>4387</v>
      </c>
      <c r="AI970" s="63">
        <f t="shared" si="194"/>
        <v>6.0013046314416174E-4</v>
      </c>
      <c r="AJ970" s="284">
        <f>RTD("money.excel",,$G970,"PredictVolume")</f>
        <v>92</v>
      </c>
      <c r="AK970" s="399">
        <f>IFERROR(VLOOKUP($G970,基本資料!$A:$M,13,0),"無")</f>
        <v>17.46</v>
      </c>
    </row>
    <row r="971" spans="1:37">
      <c r="A971" s="347">
        <f>IFERROR(VLOOKUP($G971,基本資料!$A:$J,3,0),"無")</f>
        <v>44.23</v>
      </c>
      <c r="B971" s="79">
        <f>IFERROR(VLOOKUP($G971,基本資料!$A:$J,4,0),"無")</f>
        <v>31</v>
      </c>
      <c r="C971" s="79">
        <f>IFERROR(VLOOKUP($G971,基本資料!$A:$J,5,0),"無")</f>
        <v>10</v>
      </c>
      <c r="D971" s="79">
        <f>IFERROR(VLOOKUP($G971,基本資料!$A:$J,6,0),"無")</f>
        <v>27</v>
      </c>
      <c r="E971" s="79">
        <f>IFERROR(VLOOKUP($G971,基本資料!$A:$J,7,0),"無")</f>
        <v>1</v>
      </c>
      <c r="F971" s="6">
        <f>IFERROR(VLOOKUP($G971,基本資料!$A:$J,8,0),"無")</f>
        <v>5.55</v>
      </c>
      <c r="G971" s="79">
        <v>3704</v>
      </c>
      <c r="H971" s="8" t="s">
        <v>311</v>
      </c>
      <c r="I971" s="22" t="s">
        <v>4388</v>
      </c>
      <c r="J971" s="8" t="str">
        <f>IFERROR(VLOOKUP($G971,今日總結!$A:$AJ,35,0),"")</f>
        <v/>
      </c>
      <c r="K971" s="5" t="str">
        <f>IFERROR(VLOOKUP($G971,今日總結!$A:$AJ,36,0),"")</f>
        <v/>
      </c>
      <c r="L971" s="156" t="str">
        <f>IFERROR(VLOOKUP($G971,今日總結!$A:$AJ,33,0),"")</f>
        <v/>
      </c>
      <c r="M971" s="340" t="str">
        <f>IFERROR(VLOOKUP($G971,今日總結!$A:$AJ,34,0),"")</f>
        <v/>
      </c>
      <c r="N971" s="240" t="str">
        <f t="shared" si="187"/>
        <v/>
      </c>
      <c r="P971" s="365">
        <f>IFERROR(VLOOKUP($G971,融外自投!$A:$J,7,0),"無")</f>
        <v>455</v>
      </c>
      <c r="Q971" s="79">
        <f>IFERROR(VLOOKUP($G971,融外自投!$A:$J,9,0),"無")</f>
        <v>586</v>
      </c>
      <c r="R971" s="346">
        <f>IFERROR(VLOOKUP($G971,融外自投!$A:$J,8,0),"無")</f>
        <v>607</v>
      </c>
      <c r="S971" s="81" t="str">
        <f>IFERROR(VLOOKUP($G971,融外自投!$A:$J,10,0),"無")</f>
        <v>無</v>
      </c>
      <c r="T971" s="327">
        <f>IFERROR(VLOOKUP($G971,'321買'!$A:$E,5,0),"'沒有資料'")</f>
        <v>349</v>
      </c>
      <c r="U971" s="186">
        <f>IFERROR(VLOOKUP($G971,基本資料!$A:$J,9,0),"無")</f>
        <v>0.5</v>
      </c>
      <c r="V971" s="310">
        <f t="shared" si="185"/>
        <v>1.8867924528301886E-2</v>
      </c>
      <c r="W971" s="94">
        <f>IFERROR(VLOOKUP($G971,基本資料!$A:$J,10,0),"無")</f>
        <v>2.4900000000000002</v>
      </c>
      <c r="X971" s="36">
        <f>RTD("money.excel",,"3704","Price")</f>
        <v>26.5</v>
      </c>
      <c r="Y971" s="66"/>
      <c r="Z971" s="15">
        <f t="shared" si="188"/>
        <v>26.5</v>
      </c>
      <c r="AA971" s="3" t="e">
        <f t="shared" si="189"/>
        <v>#DIV/0!</v>
      </c>
      <c r="AB971" s="344">
        <f>IFERROR(VLOOKUP($G971,基本資料!$A:$M,11,0),"無")</f>
        <v>-25.03</v>
      </c>
      <c r="AC971" s="397">
        <f>IFERROR(VLOOKUP($G971,基本資料!$A:$M,12,0),"無")</f>
        <v>37.409999999999997</v>
      </c>
      <c r="AD971" s="22" t="s">
        <v>4388</v>
      </c>
      <c r="AG971" s="33">
        <f t="shared" si="190"/>
        <v>0</v>
      </c>
      <c r="AH971" s="117" t="s">
        <v>4321</v>
      </c>
      <c r="AI971" s="63">
        <f t="shared" si="194"/>
        <v>1.2113949807822747E-2</v>
      </c>
      <c r="AJ971" s="284">
        <f>RTD("money.excel",,$G971,"PredictVolume")</f>
        <v>5358</v>
      </c>
      <c r="AK971" s="399">
        <f>IFERROR(VLOOKUP($G971,基本資料!$A:$M,13,0),"無")</f>
        <v>11.74</v>
      </c>
    </row>
    <row r="972" spans="1:37">
      <c r="A972" s="347">
        <f>IFERROR(VLOOKUP($G972,基本資料!$A:$J,3,0),"無")</f>
        <v>9.02</v>
      </c>
      <c r="B972" s="79">
        <f>IFERROR(VLOOKUP($G972,基本資料!$A:$J,4,0),"無")</f>
        <v>74</v>
      </c>
      <c r="C972" s="79">
        <f>IFERROR(VLOOKUP($G972,基本資料!$A:$J,5,0),"無")</f>
        <v>79</v>
      </c>
      <c r="D972" s="79">
        <f>IFERROR(VLOOKUP($G972,基本資料!$A:$J,6,0),"無")</f>
        <v>23</v>
      </c>
      <c r="E972" s="79">
        <f>IFERROR(VLOOKUP($G972,基本資料!$A:$J,7,0),"無")</f>
        <v>-34</v>
      </c>
      <c r="F972" s="6">
        <f>IFERROR(VLOOKUP($G972,基本資料!$A:$J,8,0),"無")</f>
        <v>-4.1900000000000004</v>
      </c>
      <c r="G972" s="79">
        <v>4903</v>
      </c>
      <c r="H972" s="8" t="s">
        <v>311</v>
      </c>
      <c r="I972" s="16" t="s">
        <v>4389</v>
      </c>
      <c r="J972" s="8" t="str">
        <f>IFERROR(VLOOKUP($G972,今日總結!$A:$AJ,35,0),"")</f>
        <v/>
      </c>
      <c r="K972" s="5" t="str">
        <f>IFERROR(VLOOKUP($G972,今日總結!$A:$AJ,36,0),"")</f>
        <v/>
      </c>
      <c r="L972" s="156" t="str">
        <f>IFERROR(VLOOKUP($G972,今日總結!$A:$AJ,33,0),"")</f>
        <v/>
      </c>
      <c r="M972" s="340" t="str">
        <f>IFERROR(VLOOKUP($G972,今日總結!$A:$AJ,34,0),"")</f>
        <v/>
      </c>
      <c r="N972" s="240" t="str">
        <f t="shared" si="187"/>
        <v/>
      </c>
      <c r="P972" s="365" t="str">
        <f>IFERROR(VLOOKUP($G972,融外自投!$A:$J,7,0),"無")</f>
        <v>無</v>
      </c>
      <c r="Q972" s="79" t="str">
        <f>IFERROR(VLOOKUP($G972,融外自投!$A:$J,9,0),"無")</f>
        <v>無</v>
      </c>
      <c r="R972" s="346" t="str">
        <f>IFERROR(VLOOKUP($G972,融外自投!$A:$J,8,0),"無")</f>
        <v>無</v>
      </c>
      <c r="S972" s="81" t="str">
        <f>IFERROR(VLOOKUP($G972,融外自投!$A:$J,10,0),"無")</f>
        <v>無</v>
      </c>
      <c r="T972" s="327" t="str">
        <f>IFERROR(VLOOKUP($G972,'321買'!$A:$E,5,0),"'沒有資料'")</f>
        <v>'沒有資料'</v>
      </c>
      <c r="U972" s="186">
        <f>IFERROR(VLOOKUP($G972,基本資料!$A:$J,9,0),"無")</f>
        <v>0</v>
      </c>
      <c r="V972" s="310">
        <f t="shared" si="185"/>
        <v>0</v>
      </c>
      <c r="W972" s="94">
        <f>IFERROR(VLOOKUP($G972,基本資料!$A:$J,10,0),"無")</f>
        <v>-0.35</v>
      </c>
      <c r="X972" s="36">
        <f>RTD("money.excel",,"4903","Price")</f>
        <v>10.35</v>
      </c>
      <c r="Y972" s="66"/>
      <c r="Z972" s="15">
        <f t="shared" si="188"/>
        <v>10.35</v>
      </c>
      <c r="AA972" s="3" t="e">
        <f t="shared" si="189"/>
        <v>#DIV/0!</v>
      </c>
      <c r="AB972" s="344">
        <f>IFERROR(VLOOKUP($G972,基本資料!$A:$M,11,0),"無")</f>
        <v>-33.75</v>
      </c>
      <c r="AC972" s="397">
        <f>IFERROR(VLOOKUP($G972,基本資料!$A:$M,12,0),"無")</f>
        <v>28.5</v>
      </c>
      <c r="AD972" s="16" t="s">
        <v>4389</v>
      </c>
      <c r="AG972" s="33">
        <f t="shared" si="190"/>
        <v>0</v>
      </c>
      <c r="AH972" s="43" t="s">
        <v>4390</v>
      </c>
      <c r="AI972" s="63">
        <f t="shared" si="194"/>
        <v>8.0931263858093126E-4</v>
      </c>
      <c r="AJ972" s="284">
        <f>RTD("money.excel",,$G972,"PredictVolume")</f>
        <v>73</v>
      </c>
      <c r="AK972" s="399">
        <f>IFERROR(VLOOKUP($G972,基本資料!$A:$M,13,0),"無")</f>
        <v>5.01</v>
      </c>
    </row>
    <row r="973" spans="1:37">
      <c r="A973" s="347">
        <f>IFERROR(VLOOKUP($G973,基本資料!$A:$J,3,0),"無")</f>
        <v>325</v>
      </c>
      <c r="B973" s="79">
        <f>IFERROR(VLOOKUP($G973,基本資料!$A:$J,4,0),"無")</f>
        <v>9</v>
      </c>
      <c r="C973" s="79">
        <f>IFERROR(VLOOKUP($G973,基本資料!$A:$J,5,0),"無")</f>
        <v>-6</v>
      </c>
      <c r="D973" s="79">
        <f>IFERROR(VLOOKUP($G973,基本資料!$A:$J,6,0),"無")</f>
        <v>5</v>
      </c>
      <c r="E973" s="79">
        <f>IFERROR(VLOOKUP($G973,基本資料!$A:$J,7,0),"無")</f>
        <v>8</v>
      </c>
      <c r="F973" s="6">
        <f>IFERROR(VLOOKUP($G973,基本資料!$A:$J,8,0),"無")</f>
        <v>12.14</v>
      </c>
      <c r="G973" s="79">
        <v>4904</v>
      </c>
      <c r="H973" s="8" t="s">
        <v>311</v>
      </c>
      <c r="I973" s="22" t="s">
        <v>4391</v>
      </c>
      <c r="J973" s="8" t="str">
        <f>IFERROR(VLOOKUP($G973,今日總結!$A:$AJ,35,0),"")</f>
        <v>外主</v>
      </c>
      <c r="K973" s="5" t="str">
        <f>IFERROR(VLOOKUP($G973,今日總結!$A:$AJ,36,0),"")</f>
        <v>自</v>
      </c>
      <c r="L973" s="156">
        <f>IFERROR(VLOOKUP($G973,今日總結!$A:$AJ,33,0),"")</f>
        <v>2</v>
      </c>
      <c r="M973" s="340">
        <f>IFERROR(VLOOKUP($G973,今日總結!$A:$AJ,34,0),"")</f>
        <v>1</v>
      </c>
      <c r="N973" s="240">
        <f t="shared" si="187"/>
        <v>1</v>
      </c>
      <c r="P973" s="365">
        <f>IFERROR(VLOOKUP($G973,融外自投!$A:$J,7,0),"無")</f>
        <v>1439</v>
      </c>
      <c r="Q973" s="79">
        <f>IFERROR(VLOOKUP($G973,融外自投!$A:$J,9,0),"無")</f>
        <v>316</v>
      </c>
      <c r="R973" s="346">
        <f>IFERROR(VLOOKUP($G973,融外自投!$A:$J,8,0),"無")</f>
        <v>233</v>
      </c>
      <c r="S973" s="81">
        <f>IFERROR(VLOOKUP($G973,融外自投!$A:$J,10,0),"無")</f>
        <v>113</v>
      </c>
      <c r="T973" s="327">
        <f>IFERROR(VLOOKUP($G973,'321買'!$A:$E,5,0),"'沒有資料'")</f>
        <v>14</v>
      </c>
      <c r="U973" s="186">
        <f>IFERROR(VLOOKUP($G973,基本資料!$A:$J,9,0),"無")</f>
        <v>3.25</v>
      </c>
      <c r="V973" s="310">
        <f t="shared" si="185"/>
        <v>3.9585870889159568E-2</v>
      </c>
      <c r="W973" s="94">
        <f>IFERROR(VLOOKUP($G973,基本資料!$A:$J,10,0),"無")</f>
        <v>2.8</v>
      </c>
      <c r="X973" s="36">
        <f>RTD("money.excel",,"4904","Price")</f>
        <v>82.1</v>
      </c>
      <c r="Y973" s="66"/>
      <c r="Z973" s="15">
        <f t="shared" si="188"/>
        <v>82.1</v>
      </c>
      <c r="AA973" s="3" t="e">
        <f t="shared" si="189"/>
        <v>#DIV/0!</v>
      </c>
      <c r="AB973" s="344">
        <f>IFERROR(VLOOKUP($G973,基本資料!$A:$M,11,0),"無")</f>
        <v>-4.34</v>
      </c>
      <c r="AC973" s="397">
        <f>IFERROR(VLOOKUP($G973,基本資料!$A:$M,12,0),"無")</f>
        <v>80.25</v>
      </c>
      <c r="AD973" s="22" t="s">
        <v>4391</v>
      </c>
      <c r="AG973" s="33">
        <f t="shared" si="190"/>
        <v>0</v>
      </c>
      <c r="AH973" s="117" t="s">
        <v>4392</v>
      </c>
      <c r="AI973" s="63">
        <f t="shared" si="194"/>
        <v>2.3483076923076925E-3</v>
      </c>
      <c r="AJ973" s="284">
        <f>RTD("money.excel",,$G973,"PredictVolume")</f>
        <v>7632</v>
      </c>
      <c r="AK973" s="399">
        <f>IFERROR(VLOOKUP($G973,基本資料!$A:$M,13,0),"無")</f>
        <v>0.47</v>
      </c>
    </row>
    <row r="974" spans="1:37">
      <c r="A974" s="347">
        <f>IFERROR(VLOOKUP($G974,基本資料!$A:$J,3,0),"無")</f>
        <v>40.51</v>
      </c>
      <c r="B974" s="79">
        <f>IFERROR(VLOOKUP($G974,基本資料!$A:$J,4,0),"無")</f>
        <v>-51</v>
      </c>
      <c r="C974" s="79">
        <f>IFERROR(VLOOKUP($G974,基本資料!$A:$J,5,0),"無")</f>
        <v>-23</v>
      </c>
      <c r="D974" s="79">
        <f>IFERROR(VLOOKUP($G974,基本資料!$A:$J,6,0),"無")</f>
        <v>-15</v>
      </c>
      <c r="E974" s="79">
        <f>IFERROR(VLOOKUP($G974,基本資料!$A:$J,7,0),"無")</f>
        <v>-25</v>
      </c>
      <c r="F974" s="6">
        <f>IFERROR(VLOOKUP($G974,基本資料!$A:$J,8,0),"無")</f>
        <v>1.55</v>
      </c>
      <c r="G974" s="79">
        <v>4906</v>
      </c>
      <c r="H974" s="8" t="s">
        <v>311</v>
      </c>
      <c r="I974" s="22" t="s">
        <v>4393</v>
      </c>
      <c r="J974" s="8" t="str">
        <f>IFERROR(VLOOKUP($G974,今日總結!$A:$AJ,35,0),"")</f>
        <v/>
      </c>
      <c r="K974" s="5" t="str">
        <f>IFERROR(VLOOKUP($G974,今日總結!$A:$AJ,36,0),"")</f>
        <v/>
      </c>
      <c r="L974" s="156" t="str">
        <f>IFERROR(VLOOKUP($G974,今日總結!$A:$AJ,33,0),"")</f>
        <v/>
      </c>
      <c r="M974" s="340" t="str">
        <f>IFERROR(VLOOKUP($G974,今日總結!$A:$AJ,34,0),"")</f>
        <v/>
      </c>
      <c r="N974" s="240" t="str">
        <f t="shared" si="187"/>
        <v/>
      </c>
      <c r="P974" s="365">
        <f>IFERROR(VLOOKUP($G974,融外自投!$A:$J,7,0),"無")</f>
        <v>343</v>
      </c>
      <c r="Q974" s="79">
        <f>IFERROR(VLOOKUP($G974,融外自投!$A:$J,9,0),"無")</f>
        <v>1110</v>
      </c>
      <c r="R974" s="346">
        <f>IFERROR(VLOOKUP($G974,融外自投!$A:$J,8,0),"無")</f>
        <v>487</v>
      </c>
      <c r="S974" s="81" t="str">
        <f>IFERROR(VLOOKUP($G974,融外自投!$A:$J,10,0),"無")</f>
        <v>無</v>
      </c>
      <c r="T974" s="327">
        <f>IFERROR(VLOOKUP($G974,'321買'!$A:$E,5,0),"'沒有資料'")</f>
        <v>318</v>
      </c>
      <c r="U974" s="186">
        <f>IFERROR(VLOOKUP($G974,基本資料!$A:$J,9,0),"無")</f>
        <v>1.5</v>
      </c>
      <c r="V974" s="310">
        <f t="shared" si="185"/>
        <v>5.1903114186851215E-2</v>
      </c>
      <c r="W974" s="94">
        <f>IFERROR(VLOOKUP($G974,基本資料!$A:$J,10,0),"無")</f>
        <v>1.89</v>
      </c>
      <c r="X974" s="36">
        <f>RTD("money.excel",,"4906","Price")</f>
        <v>28.9</v>
      </c>
      <c r="Y974" s="66"/>
      <c r="Z974" s="15">
        <f t="shared" si="188"/>
        <v>28.9</v>
      </c>
      <c r="AA974" s="3" t="e">
        <f t="shared" si="189"/>
        <v>#DIV/0!</v>
      </c>
      <c r="AB974" s="344">
        <f>IFERROR(VLOOKUP($G974,基本資料!$A:$M,11,0),"無")</f>
        <v>-19.89</v>
      </c>
      <c r="AC974" s="397">
        <f>IFERROR(VLOOKUP($G974,基本資料!$A:$M,12,0),"無")</f>
        <v>25.8</v>
      </c>
      <c r="AD974" s="22" t="s">
        <v>4393</v>
      </c>
      <c r="AG974" s="33">
        <f t="shared" si="190"/>
        <v>0</v>
      </c>
      <c r="AH974" s="119" t="s">
        <v>4394</v>
      </c>
      <c r="AI974" s="63">
        <f t="shared" si="194"/>
        <v>5.2604295235744265E-3</v>
      </c>
      <c r="AJ974" s="284">
        <f>RTD("money.excel",,$G974,"PredictVolume")</f>
        <v>2131</v>
      </c>
      <c r="AK974" s="399">
        <f>IFERROR(VLOOKUP($G974,基本資料!$A:$M,13,0),"無")</f>
        <v>9.25</v>
      </c>
    </row>
    <row r="975" spans="1:37">
      <c r="A975" s="347">
        <f>IFERROR(VLOOKUP($G975,基本資料!$A:$J,3,0),"無")</f>
        <v>7.82</v>
      </c>
      <c r="B975" s="79">
        <f>IFERROR(VLOOKUP($G975,基本資料!$A:$J,4,0),"無")</f>
        <v>19</v>
      </c>
      <c r="C975" s="79">
        <f>IFERROR(VLOOKUP($G975,基本資料!$A:$J,5,0),"無")</f>
        <v>11</v>
      </c>
      <c r="D975" s="79">
        <f>IFERROR(VLOOKUP($G975,基本資料!$A:$J,6,0),"無")</f>
        <v>18</v>
      </c>
      <c r="E975" s="79">
        <f>IFERROR(VLOOKUP($G975,基本資料!$A:$J,7,0),"無")</f>
        <v>46</v>
      </c>
      <c r="F975" s="6">
        <f>IFERROR(VLOOKUP($G975,基本資料!$A:$J,8,0),"無")</f>
        <v>22.77</v>
      </c>
      <c r="G975" s="79">
        <v>4908</v>
      </c>
      <c r="H975" s="8" t="s">
        <v>311</v>
      </c>
      <c r="I975" s="16" t="s">
        <v>4395</v>
      </c>
      <c r="J975" s="8" t="str">
        <f>IFERROR(VLOOKUP($G975,今日總結!$A:$AJ,35,0),"")</f>
        <v/>
      </c>
      <c r="K975" s="5" t="str">
        <f>IFERROR(VLOOKUP($G975,今日總結!$A:$AJ,36,0),"")</f>
        <v/>
      </c>
      <c r="L975" s="156" t="str">
        <f>IFERROR(VLOOKUP($G975,今日總結!$A:$AJ,33,0),"")</f>
        <v/>
      </c>
      <c r="M975" s="340" t="str">
        <f>IFERROR(VLOOKUP($G975,今日總結!$A:$AJ,34,0),"")</f>
        <v/>
      </c>
      <c r="N975" s="240" t="str">
        <f t="shared" si="187"/>
        <v/>
      </c>
      <c r="P975" s="365">
        <f>IFERROR(VLOOKUP($G975,融外自投!$A:$J,7,0),"無")</f>
        <v>449</v>
      </c>
      <c r="Q975" s="79">
        <f>IFERROR(VLOOKUP($G975,融外自投!$A:$J,9,0),"無")</f>
        <v>337</v>
      </c>
      <c r="R975" s="346">
        <f>IFERROR(VLOOKUP($G975,融外自投!$A:$J,8,0),"無")</f>
        <v>786</v>
      </c>
      <c r="S975" s="81" t="str">
        <f>IFERROR(VLOOKUP($G975,融外自投!$A:$J,10,0),"無")</f>
        <v>無</v>
      </c>
      <c r="T975" s="327">
        <f>IFERROR(VLOOKUP($G975,'321買'!$A:$E,5,0),"'沒有資料'")</f>
        <v>584</v>
      </c>
      <c r="U975" s="186">
        <f>IFERROR(VLOOKUP($G975,基本資料!$A:$J,9,0),"無")</f>
        <v>1.8</v>
      </c>
      <c r="V975" s="310">
        <f t="shared" si="185"/>
        <v>5.2023121387283239E-2</v>
      </c>
      <c r="W975" s="94">
        <f>IFERROR(VLOOKUP($G975,基本資料!$A:$J,10,0),"無")</f>
        <v>1.86</v>
      </c>
      <c r="X975" s="36">
        <f>RTD("money.excel",,"4908","Price")</f>
        <v>34.6</v>
      </c>
      <c r="Y975" s="66"/>
      <c r="Z975" s="15">
        <f t="shared" si="188"/>
        <v>34.6</v>
      </c>
      <c r="AA975" s="3" t="e">
        <f t="shared" si="189"/>
        <v>#DIV/0!</v>
      </c>
      <c r="AB975" s="344">
        <f>IFERROR(VLOOKUP($G975,基本資料!$A:$M,11,0),"無")</f>
        <v>-5.93</v>
      </c>
      <c r="AC975" s="397">
        <f>IFERROR(VLOOKUP($G975,基本資料!$A:$M,12,0),"無")</f>
        <v>75.08</v>
      </c>
      <c r="AD975" s="16" t="s">
        <v>4395</v>
      </c>
      <c r="AG975" s="33">
        <f t="shared" si="190"/>
        <v>0</v>
      </c>
      <c r="AH975" s="43" t="s">
        <v>4357</v>
      </c>
      <c r="AI975" s="63">
        <f t="shared" si="194"/>
        <v>1.9769820971867007E-2</v>
      </c>
      <c r="AJ975" s="284">
        <f>RTD("money.excel",,$G975,"PredictVolume")</f>
        <v>1546</v>
      </c>
      <c r="AK975" s="399">
        <f>IFERROR(VLOOKUP($G975,基本資料!$A:$M,13,0),"無")</f>
        <v>11.74</v>
      </c>
    </row>
    <row r="976" spans="1:37">
      <c r="A976" s="347">
        <f>IFERROR(VLOOKUP($G976,基本資料!$A:$J,3,0),"無")</f>
        <v>9.33</v>
      </c>
      <c r="B976" s="79">
        <f>IFERROR(VLOOKUP($G976,基本資料!$A:$J,4,0),"無")</f>
        <v>-892</v>
      </c>
      <c r="C976" s="79">
        <f>IFERROR(VLOOKUP($G976,基本資料!$A:$J,5,0),"無")</f>
        <v>-201</v>
      </c>
      <c r="D976" s="79">
        <f>IFERROR(VLOOKUP($G976,基本資料!$A:$J,6,0),"無")</f>
        <v>62</v>
      </c>
      <c r="E976" s="79">
        <f>IFERROR(VLOOKUP($G976,基本資料!$A:$J,7,0),"無")</f>
        <v>-32</v>
      </c>
      <c r="F976" s="6">
        <f>IFERROR(VLOOKUP($G976,基本資料!$A:$J,8,0),"無")</f>
        <v>-17.27</v>
      </c>
      <c r="G976" s="79">
        <v>4909</v>
      </c>
      <c r="H976" s="8" t="s">
        <v>311</v>
      </c>
      <c r="I976" s="16" t="s">
        <v>4396</v>
      </c>
      <c r="J976" s="8" t="str">
        <f>IFERROR(VLOOKUP($G976,今日總結!$A:$AJ,35,0),"")</f>
        <v/>
      </c>
      <c r="K976" s="5" t="str">
        <f>IFERROR(VLOOKUP($G976,今日總結!$A:$AJ,36,0),"")</f>
        <v/>
      </c>
      <c r="L976" s="156" t="str">
        <f>IFERROR(VLOOKUP($G976,今日總結!$A:$AJ,33,0),"")</f>
        <v/>
      </c>
      <c r="M976" s="340" t="str">
        <f>IFERROR(VLOOKUP($G976,今日總結!$A:$AJ,34,0),"")</f>
        <v/>
      </c>
      <c r="N976" s="240" t="str">
        <f t="shared" si="187"/>
        <v/>
      </c>
      <c r="P976" s="365">
        <f>IFERROR(VLOOKUP($G976,融外自投!$A:$J,7,0),"無")</f>
        <v>296</v>
      </c>
      <c r="Q976" s="79">
        <f>IFERROR(VLOOKUP($G976,融外自投!$A:$J,9,0),"無")</f>
        <v>474</v>
      </c>
      <c r="R976" s="346">
        <f>IFERROR(VLOOKUP($G976,融外自投!$A:$J,8,0),"無")</f>
        <v>831</v>
      </c>
      <c r="S976" s="81">
        <f>IFERROR(VLOOKUP($G976,融外自投!$A:$J,10,0),"無")</f>
        <v>437</v>
      </c>
      <c r="T976" s="327">
        <f>IFERROR(VLOOKUP($G976,'321買'!$A:$E,5,0),"'沒有資料'")</f>
        <v>1179</v>
      </c>
      <c r="U976" s="186">
        <f>IFERROR(VLOOKUP($G976,基本資料!$A:$J,9,0),"無")</f>
        <v>0</v>
      </c>
      <c r="V976" s="310">
        <f t="shared" si="185"/>
        <v>0</v>
      </c>
      <c r="W976" s="94">
        <f>IFERROR(VLOOKUP($G976,基本資料!$A:$J,10,0),"無")</f>
        <v>-1.26</v>
      </c>
      <c r="X976" s="36">
        <f>RTD("money.excel",,"4909","Price")</f>
        <v>17.149999999999999</v>
      </c>
      <c r="Y976" s="66"/>
      <c r="Z976" s="15">
        <f t="shared" si="188"/>
        <v>17.149999999999999</v>
      </c>
      <c r="AA976" s="3" t="e">
        <f t="shared" si="189"/>
        <v>#DIV/0!</v>
      </c>
      <c r="AB976" s="344">
        <f>IFERROR(VLOOKUP($G976,基本資料!$A:$M,11,0),"無")</f>
        <v>-43.62</v>
      </c>
      <c r="AC976" s="397">
        <f>IFERROR(VLOOKUP($G976,基本資料!$A:$M,12,0),"無")</f>
        <v>24.39</v>
      </c>
      <c r="AD976" s="16" t="s">
        <v>4396</v>
      </c>
      <c r="AG976" s="33">
        <f t="shared" si="190"/>
        <v>0</v>
      </c>
      <c r="AH976" s="43" t="s">
        <v>4397</v>
      </c>
      <c r="AI976" s="63">
        <f t="shared" si="194"/>
        <v>3.2047159699892819E-3</v>
      </c>
      <c r="AJ976" s="284">
        <f>RTD("money.excel",,$G976,"PredictVolume")</f>
        <v>299</v>
      </c>
      <c r="AK976" s="399">
        <f>IFERROR(VLOOKUP($G976,基本資料!$A:$M,13,0),"無")</f>
        <v>11.5</v>
      </c>
    </row>
    <row r="977" spans="1:37">
      <c r="A977" s="347">
        <f>IFERROR(VLOOKUP($G977,基本資料!$A:$J,3,0),"無")</f>
        <v>6.86</v>
      </c>
      <c r="B977" s="79">
        <f>IFERROR(VLOOKUP($G977,基本資料!$A:$J,4,0),"無")</f>
        <v>-51</v>
      </c>
      <c r="C977" s="79">
        <f>IFERROR(VLOOKUP($G977,基本資料!$A:$J,5,0),"無")</f>
        <v>-54</v>
      </c>
      <c r="D977" s="79">
        <f>IFERROR(VLOOKUP($G977,基本資料!$A:$J,6,0),"無")</f>
        <v>-3</v>
      </c>
      <c r="E977" s="79">
        <f>IFERROR(VLOOKUP($G977,基本資料!$A:$J,7,0),"無")</f>
        <v>-14</v>
      </c>
      <c r="F977" s="6">
        <f>IFERROR(VLOOKUP($G977,基本資料!$A:$J,8,0),"無")</f>
        <v>8.2100000000000009</v>
      </c>
      <c r="G977" s="79">
        <v>4977</v>
      </c>
      <c r="H977" s="8" t="s">
        <v>311</v>
      </c>
      <c r="I977" s="22" t="s">
        <v>4398</v>
      </c>
      <c r="J977" s="8" t="str">
        <f>IFERROR(VLOOKUP($G977,今日總結!$A:$AJ,35,0),"")</f>
        <v/>
      </c>
      <c r="K977" s="5" t="str">
        <f>IFERROR(VLOOKUP($G977,今日總結!$A:$AJ,36,0),"")</f>
        <v/>
      </c>
      <c r="L977" s="156" t="str">
        <f>IFERROR(VLOOKUP($G977,今日總結!$A:$AJ,33,0),"")</f>
        <v/>
      </c>
      <c r="M977" s="340" t="str">
        <f>IFERROR(VLOOKUP($G977,今日總結!$A:$AJ,34,0),"")</f>
        <v/>
      </c>
      <c r="N977" s="240" t="str">
        <f t="shared" si="187"/>
        <v/>
      </c>
      <c r="P977" s="365">
        <f>IFERROR(VLOOKUP($G977,融外自投!$A:$J,7,0),"無")</f>
        <v>611</v>
      </c>
      <c r="Q977" s="79">
        <f>IFERROR(VLOOKUP($G977,融外自投!$A:$J,9,0),"無")</f>
        <v>514</v>
      </c>
      <c r="R977" s="346">
        <f>IFERROR(VLOOKUP($G977,融外自投!$A:$J,8,0),"無")</f>
        <v>124</v>
      </c>
      <c r="S977" s="81" t="str">
        <f>IFERROR(VLOOKUP($G977,融外自投!$A:$J,10,0),"無")</f>
        <v>無</v>
      </c>
      <c r="T977" s="327">
        <f>IFERROR(VLOOKUP($G977,'321買'!$A:$E,5,0),"'沒有資料'")</f>
        <v>445</v>
      </c>
      <c r="U977" s="186">
        <f>IFERROR(VLOOKUP($G977,基本資料!$A:$J,9,0),"無")</f>
        <v>3.2</v>
      </c>
      <c r="V977" s="310">
        <f t="shared" si="185"/>
        <v>4.1290322580645161E-2</v>
      </c>
      <c r="W977" s="94">
        <f>IFERROR(VLOOKUP($G977,基本資料!$A:$J,10,0),"無")</f>
        <v>3.88</v>
      </c>
      <c r="X977" s="36">
        <f>RTD("money.excel",,"4977","Price")</f>
        <v>77.5</v>
      </c>
      <c r="Y977" s="66"/>
      <c r="Z977" s="15">
        <f t="shared" si="188"/>
        <v>77.5</v>
      </c>
      <c r="AA977" s="3" t="e">
        <f t="shared" si="189"/>
        <v>#DIV/0!</v>
      </c>
      <c r="AB977" s="344">
        <f>IFERROR(VLOOKUP($G977,基本資料!$A:$M,11,0),"無")</f>
        <v>-22.38</v>
      </c>
      <c r="AC977" s="397">
        <f>IFERROR(VLOOKUP($G977,基本資料!$A:$M,12,0),"無")</f>
        <v>49.46</v>
      </c>
      <c r="AD977" s="22" t="s">
        <v>4398</v>
      </c>
      <c r="AG977" s="33">
        <f t="shared" si="190"/>
        <v>0</v>
      </c>
      <c r="AH977" s="119" t="s">
        <v>4357</v>
      </c>
      <c r="AI977" s="63">
        <f t="shared" si="194"/>
        <v>7.5801749271137023E-4</v>
      </c>
      <c r="AJ977" s="284">
        <f>RTD("money.excel",,$G977,"PredictVolume")</f>
        <v>52</v>
      </c>
      <c r="AK977" s="399">
        <f>IFERROR(VLOOKUP($G977,基本資料!$A:$M,13,0),"無")</f>
        <v>3.71</v>
      </c>
    </row>
    <row r="978" spans="1:37">
      <c r="A978" s="347">
        <f>IFERROR(VLOOKUP($G978,基本資料!$A:$J,3,0),"無")</f>
        <v>13.23</v>
      </c>
      <c r="B978" s="79">
        <f>IFERROR(VLOOKUP($G978,基本資料!$A:$J,4,0),"無")</f>
        <v>-223</v>
      </c>
      <c r="C978" s="79">
        <f>IFERROR(VLOOKUP($G978,基本資料!$A:$J,5,0),"無")</f>
        <v>-21</v>
      </c>
      <c r="D978" s="79">
        <f>IFERROR(VLOOKUP($G978,基本資料!$A:$J,6,0),"無")</f>
        <v>3</v>
      </c>
      <c r="E978" s="79">
        <f>IFERROR(VLOOKUP($G978,基本資料!$A:$J,7,0),"無")</f>
        <v>-1</v>
      </c>
      <c r="F978" s="6">
        <f>IFERROR(VLOOKUP($G978,基本資料!$A:$J,8,0),"無")</f>
        <v>-23.74</v>
      </c>
      <c r="G978" s="79">
        <v>4979</v>
      </c>
      <c r="H978" s="8" t="s">
        <v>311</v>
      </c>
      <c r="I978" s="16" t="s">
        <v>4399</v>
      </c>
      <c r="J978" s="8" t="str">
        <f>IFERROR(VLOOKUP($G978,今日總結!$A:$AJ,35,0),"")</f>
        <v/>
      </c>
      <c r="K978" s="5" t="str">
        <f>IFERROR(VLOOKUP($G978,今日總結!$A:$AJ,36,0),"")</f>
        <v/>
      </c>
      <c r="L978" s="156" t="str">
        <f>IFERROR(VLOOKUP($G978,今日總結!$A:$AJ,33,0),"")</f>
        <v/>
      </c>
      <c r="M978" s="340" t="str">
        <f>IFERROR(VLOOKUP($G978,今日總結!$A:$AJ,34,0),"")</f>
        <v/>
      </c>
      <c r="N978" s="240" t="str">
        <f t="shared" si="187"/>
        <v/>
      </c>
      <c r="P978" s="365">
        <f>IFERROR(VLOOKUP($G978,融外自投!$A:$J,7,0),"無")</f>
        <v>331</v>
      </c>
      <c r="Q978" s="79">
        <f>IFERROR(VLOOKUP($G978,融外自投!$A:$J,9,0),"無")</f>
        <v>526</v>
      </c>
      <c r="R978" s="346">
        <f>IFERROR(VLOOKUP($G978,融外自投!$A:$J,8,0),"無")</f>
        <v>838</v>
      </c>
      <c r="S978" s="81" t="str">
        <f>IFERROR(VLOOKUP($G978,融外自投!$A:$J,10,0),"無")</f>
        <v>無</v>
      </c>
      <c r="T978" s="327">
        <f>IFERROR(VLOOKUP($G978,'321買'!$A:$E,5,0),"'沒有資料'")</f>
        <v>224</v>
      </c>
      <c r="U978" s="186">
        <f>IFERROR(VLOOKUP($G978,基本資料!$A:$J,9,0),"無")</f>
        <v>0</v>
      </c>
      <c r="V978" s="310">
        <f t="shared" si="185"/>
        <v>0</v>
      </c>
      <c r="W978" s="94">
        <f>IFERROR(VLOOKUP($G978,基本資料!$A:$J,10,0),"無")</f>
        <v>-2.2200000000000002</v>
      </c>
      <c r="X978" s="36">
        <f>RTD("money.excel",,"4979","Price")</f>
        <v>19</v>
      </c>
      <c r="Y978" s="66"/>
      <c r="Z978" s="15">
        <f t="shared" si="188"/>
        <v>19</v>
      </c>
      <c r="AA978" s="3" t="e">
        <f t="shared" si="189"/>
        <v>#DIV/0!</v>
      </c>
      <c r="AB978" s="344">
        <f>IFERROR(VLOOKUP($G978,基本資料!$A:$M,11,0),"無")</f>
        <v>-12.59</v>
      </c>
      <c r="AC978" s="397">
        <f>IFERROR(VLOOKUP($G978,基本資料!$A:$M,12,0),"無")</f>
        <v>67.349999999999994</v>
      </c>
      <c r="AD978" s="16" t="s">
        <v>4399</v>
      </c>
      <c r="AG978" s="33">
        <f t="shared" si="190"/>
        <v>0</v>
      </c>
      <c r="AH978" s="117" t="s">
        <v>4390</v>
      </c>
      <c r="AI978" s="63">
        <f t="shared" si="194"/>
        <v>1.8140589569160999E-3</v>
      </c>
      <c r="AJ978" s="284">
        <f>RTD("money.excel",,$G978,"PredictVolume")</f>
        <v>240</v>
      </c>
      <c r="AK978" s="399">
        <f>IFERROR(VLOOKUP($G978,基本資料!$A:$M,13,0),"無")</f>
        <v>6.64</v>
      </c>
    </row>
    <row r="979" spans="1:37">
      <c r="A979" s="347">
        <f>IFERROR(VLOOKUP($G979,基本資料!$A:$J,3,0),"無")</f>
        <v>2.89</v>
      </c>
      <c r="B979" s="79">
        <f>IFERROR(VLOOKUP($G979,基本資料!$A:$J,4,0),"無")</f>
        <v>19</v>
      </c>
      <c r="C979" s="79">
        <f>IFERROR(VLOOKUP($G979,基本資料!$A:$J,5,0),"無")</f>
        <v>18</v>
      </c>
      <c r="D979" s="79">
        <f>IFERROR(VLOOKUP($G979,基本資料!$A:$J,6,0),"無")</f>
        <v>0</v>
      </c>
      <c r="E979" s="79">
        <f>IFERROR(VLOOKUP($G979,基本資料!$A:$J,7,0),"無")</f>
        <v>8</v>
      </c>
      <c r="F979" s="6">
        <f>IFERROR(VLOOKUP($G979,基本資料!$A:$J,8,0),"無")</f>
        <v>-13.09</v>
      </c>
      <c r="G979" s="79">
        <v>5348</v>
      </c>
      <c r="H979" s="8" t="s">
        <v>311</v>
      </c>
      <c r="I979" s="16" t="s">
        <v>4400</v>
      </c>
      <c r="J979" s="8" t="str">
        <f>IFERROR(VLOOKUP($G979,今日總結!$A:$AJ,35,0),"")</f>
        <v/>
      </c>
      <c r="K979" s="5" t="str">
        <f>IFERROR(VLOOKUP($G979,今日總結!$A:$AJ,36,0),"")</f>
        <v/>
      </c>
      <c r="L979" s="156" t="str">
        <f>IFERROR(VLOOKUP($G979,今日總結!$A:$AJ,33,0),"")</f>
        <v/>
      </c>
      <c r="M979" s="340" t="str">
        <f>IFERROR(VLOOKUP($G979,今日總結!$A:$AJ,34,0),"")</f>
        <v/>
      </c>
      <c r="N979" s="240" t="str">
        <f t="shared" si="187"/>
        <v/>
      </c>
      <c r="P979" s="365" t="str">
        <f>IFERROR(VLOOKUP($G979,融外自投!$A:$J,7,0),"無")</f>
        <v>無</v>
      </c>
      <c r="Q979" s="79" t="str">
        <f>IFERROR(VLOOKUP($G979,融外自投!$A:$J,9,0),"無")</f>
        <v>無</v>
      </c>
      <c r="R979" s="346" t="str">
        <f>IFERROR(VLOOKUP($G979,融外自投!$A:$J,8,0),"無")</f>
        <v>無</v>
      </c>
      <c r="S979" s="81" t="str">
        <f>IFERROR(VLOOKUP($G979,融外自投!$A:$J,10,0),"無")</f>
        <v>無</v>
      </c>
      <c r="T979" s="327" t="str">
        <f>IFERROR(VLOOKUP($G979,'321買'!$A:$E,5,0),"'沒有資料'")</f>
        <v>'沒有資料'</v>
      </c>
      <c r="U979" s="186">
        <f>IFERROR(VLOOKUP($G979,基本資料!$A:$J,9,0),"無")</f>
        <v>0</v>
      </c>
      <c r="V979" s="310">
        <f t="shared" si="185"/>
        <v>0</v>
      </c>
      <c r="W979" s="94">
        <f>IFERROR(VLOOKUP($G979,基本資料!$A:$J,10,0),"無")</f>
        <v>-0.53</v>
      </c>
      <c r="X979" s="36">
        <f>RTD("money.excel",,"5348","Price")</f>
        <v>9.15</v>
      </c>
      <c r="Y979" s="66"/>
      <c r="Z979" s="15">
        <f t="shared" si="188"/>
        <v>9.15</v>
      </c>
      <c r="AA979" s="3" t="e">
        <f t="shared" si="189"/>
        <v>#DIV/0!</v>
      </c>
      <c r="AB979" s="344">
        <f>IFERROR(VLOOKUP($G979,基本資料!$A:$M,11,0),"無")</f>
        <v>-8.94</v>
      </c>
      <c r="AC979" s="397">
        <f>IFERROR(VLOOKUP($G979,基本資料!$A:$M,12,0),"無")</f>
        <v>75.27</v>
      </c>
      <c r="AD979" s="16" t="s">
        <v>4400</v>
      </c>
      <c r="AG979" s="33">
        <f t="shared" si="190"/>
        <v>0</v>
      </c>
      <c r="AH979" s="43" t="s">
        <v>4371</v>
      </c>
      <c r="AI979" s="63">
        <f t="shared" si="194"/>
        <v>3.1141868512110725E-4</v>
      </c>
      <c r="AJ979" s="284">
        <f>RTD("money.excel",,$G979,"PredictVolume")</f>
        <v>9</v>
      </c>
      <c r="AK979" s="399">
        <f>IFERROR(VLOOKUP($G979,基本資料!$A:$M,13,0),"無")</f>
        <v>0.76</v>
      </c>
    </row>
    <row r="980" spans="1:37">
      <c r="A980" s="347">
        <f>IFERROR(VLOOKUP($G980,基本資料!$A:$J,3,0),"無")</f>
        <v>7.5</v>
      </c>
      <c r="B980" s="79">
        <f>IFERROR(VLOOKUP($G980,基本資料!$A:$J,4,0),"無")</f>
        <v>14</v>
      </c>
      <c r="C980" s="79">
        <f>IFERROR(VLOOKUP($G980,基本資料!$A:$J,5,0),"無")</f>
        <v>23</v>
      </c>
      <c r="D980" s="79">
        <f>IFERROR(VLOOKUP($G980,基本資料!$A:$J,6,0),"無")</f>
        <v>23</v>
      </c>
      <c r="E980" s="79">
        <f>IFERROR(VLOOKUP($G980,基本資料!$A:$J,7,0),"無")</f>
        <v>51</v>
      </c>
      <c r="F980" s="6">
        <f>IFERROR(VLOOKUP($G980,基本資料!$A:$J,8,0),"無")</f>
        <v>4.68</v>
      </c>
      <c r="G980" s="79">
        <v>5353</v>
      </c>
      <c r="H980" s="8" t="s">
        <v>311</v>
      </c>
      <c r="I980" s="16" t="s">
        <v>4401</v>
      </c>
      <c r="J980" s="8" t="str">
        <f>IFERROR(VLOOKUP($G980,今日總結!$A:$AJ,35,0),"")</f>
        <v/>
      </c>
      <c r="K980" s="5" t="str">
        <f>IFERROR(VLOOKUP($G980,今日總結!$A:$AJ,36,0),"")</f>
        <v/>
      </c>
      <c r="L980" s="156" t="str">
        <f>IFERROR(VLOOKUP($G980,今日總結!$A:$AJ,33,0),"")</f>
        <v/>
      </c>
      <c r="M980" s="340" t="str">
        <f>IFERROR(VLOOKUP($G980,今日總結!$A:$AJ,34,0),"")</f>
        <v/>
      </c>
      <c r="N980" s="240" t="str">
        <f t="shared" si="187"/>
        <v/>
      </c>
      <c r="P980" s="365">
        <f>IFERROR(VLOOKUP($G980,融外自投!$A:$J,7,0),"無")</f>
        <v>957</v>
      </c>
      <c r="Q980" s="79" t="str">
        <f>IFERROR(VLOOKUP($G980,融外自投!$A:$J,9,0),"無")</f>
        <v>無</v>
      </c>
      <c r="R980" s="346">
        <f>IFERROR(VLOOKUP($G980,融外自投!$A:$J,8,0),"無")</f>
        <v>1412</v>
      </c>
      <c r="S980" s="81" t="str">
        <f>IFERROR(VLOOKUP($G980,融外自投!$A:$J,10,0),"無")</f>
        <v>無</v>
      </c>
      <c r="T980" s="327">
        <f>IFERROR(VLOOKUP($G980,'321買'!$A:$E,5,0),"'沒有資料'")</f>
        <v>1214</v>
      </c>
      <c r="U980" s="186">
        <f>IFERROR(VLOOKUP($G980,基本資料!$A:$J,9,0),"無")</f>
        <v>0.9</v>
      </c>
      <c r="V980" s="310">
        <f t="shared" si="185"/>
        <v>4.6632124352331605E-2</v>
      </c>
      <c r="W980" s="94">
        <f>IFERROR(VLOOKUP($G980,基本資料!$A:$J,10,0),"無")</f>
        <v>1.01</v>
      </c>
      <c r="X980" s="36">
        <f>RTD("money.excel",,"5353","Price")</f>
        <v>19.3</v>
      </c>
      <c r="Y980" s="66"/>
      <c r="Z980" s="15">
        <f t="shared" si="188"/>
        <v>19.3</v>
      </c>
      <c r="AA980" s="3" t="e">
        <f t="shared" si="189"/>
        <v>#DIV/0!</v>
      </c>
      <c r="AB980" s="344">
        <f>IFERROR(VLOOKUP($G980,基本資料!$A:$M,11,0),"無")</f>
        <v>-16.23</v>
      </c>
      <c r="AC980" s="397">
        <f>IFERROR(VLOOKUP($G980,基本資料!$A:$M,12,0),"無")</f>
        <v>35.799999999999997</v>
      </c>
      <c r="AD980" s="16" t="s">
        <v>4401</v>
      </c>
      <c r="AG980" s="33">
        <f t="shared" si="190"/>
        <v>0</v>
      </c>
      <c r="AH980" s="43" t="s">
        <v>2233</v>
      </c>
      <c r="AI980" s="63">
        <f t="shared" si="194"/>
        <v>1.8666666666666666E-4</v>
      </c>
      <c r="AJ980" s="284">
        <f>RTD("money.excel",,$G980,"PredictVolume")</f>
        <v>14</v>
      </c>
      <c r="AK980" s="399">
        <f>IFERROR(VLOOKUP($G980,基本資料!$A:$M,13,0),"無")</f>
        <v>4.83</v>
      </c>
    </row>
    <row r="981" spans="1:37">
      <c r="A981" s="347">
        <f>IFERROR(VLOOKUP($G981,基本資料!$A:$J,3,0),"無")</f>
        <v>25.23</v>
      </c>
      <c r="B981" s="79">
        <f>IFERROR(VLOOKUP($G981,基本資料!$A:$J,4,0),"無")</f>
        <v>-4</v>
      </c>
      <c r="C981" s="79">
        <f>IFERROR(VLOOKUP($G981,基本資料!$A:$J,5,0),"無")</f>
        <v>-7</v>
      </c>
      <c r="D981" s="79">
        <f>IFERROR(VLOOKUP($G981,基本資料!$A:$J,6,0),"無")</f>
        <v>1</v>
      </c>
      <c r="E981" s="79">
        <f>IFERROR(VLOOKUP($G981,基本資料!$A:$J,7,0),"無")</f>
        <v>49</v>
      </c>
      <c r="F981" s="6">
        <f>IFERROR(VLOOKUP($G981,基本資料!$A:$J,8,0),"無")</f>
        <v>2.4</v>
      </c>
      <c r="G981" s="79">
        <v>5388</v>
      </c>
      <c r="H981" s="8" t="s">
        <v>311</v>
      </c>
      <c r="I981" s="22" t="s">
        <v>4402</v>
      </c>
      <c r="J981" s="8" t="str">
        <f>IFERROR(VLOOKUP($G981,今日總結!$A:$AJ,35,0),"")</f>
        <v>4券</v>
      </c>
      <c r="K981" s="5">
        <f>IFERROR(VLOOKUP($G981,今日總結!$A:$AJ,36,0),"")</f>
        <v>6</v>
      </c>
      <c r="L981" s="156">
        <f>IFERROR(VLOOKUP($G981,今日總結!$A:$AJ,33,0),"")</f>
        <v>2</v>
      </c>
      <c r="M981" s="340">
        <f>IFERROR(VLOOKUP($G981,今日總結!$A:$AJ,34,0),"")</f>
        <v>1</v>
      </c>
      <c r="N981" s="240">
        <f t="shared" si="187"/>
        <v>1</v>
      </c>
      <c r="P981" s="365">
        <f>IFERROR(VLOOKUP($G981,融外自投!$A:$J,7,0),"無")</f>
        <v>744</v>
      </c>
      <c r="Q981" s="79">
        <f>IFERROR(VLOOKUP($G981,融外自投!$A:$J,9,0),"無")</f>
        <v>219</v>
      </c>
      <c r="R981" s="346">
        <f>IFERROR(VLOOKUP($G981,融外自投!$A:$J,8,0),"無")</f>
        <v>161</v>
      </c>
      <c r="S981" s="81">
        <f>IFERROR(VLOOKUP($G981,融外自投!$A:$J,10,0),"無")</f>
        <v>134</v>
      </c>
      <c r="T981" s="327">
        <f>IFERROR(VLOOKUP($G981,'321買'!$A:$E,5,0),"'沒有資料'")</f>
        <v>255</v>
      </c>
      <c r="U981" s="186">
        <f>IFERROR(VLOOKUP($G981,基本資料!$A:$J,9,0),"無")</f>
        <v>2.4</v>
      </c>
      <c r="V981" s="310">
        <f t="shared" si="185"/>
        <v>3.2653061224489792E-2</v>
      </c>
      <c r="W981" s="94">
        <f>IFERROR(VLOOKUP($G981,基本資料!$A:$J,10,0),"無")</f>
        <v>3.44</v>
      </c>
      <c r="X981" s="36">
        <f>RTD("money.excel",,"5388","Price")</f>
        <v>73.5</v>
      </c>
      <c r="Y981" s="66"/>
      <c r="Z981" s="15">
        <f t="shared" si="188"/>
        <v>73.5</v>
      </c>
      <c r="AA981" s="3" t="e">
        <f t="shared" si="189"/>
        <v>#DIV/0!</v>
      </c>
      <c r="AB981" s="344">
        <f>IFERROR(VLOOKUP($G981,基本資料!$A:$M,11,0),"無")</f>
        <v>-16.63</v>
      </c>
      <c r="AC981" s="397">
        <f>IFERROR(VLOOKUP($G981,基本資料!$A:$M,12,0),"無")</f>
        <v>41.14</v>
      </c>
      <c r="AD981" s="22" t="s">
        <v>4402</v>
      </c>
      <c r="AG981" s="33">
        <f t="shared" si="190"/>
        <v>0</v>
      </c>
      <c r="AH981" s="117" t="s">
        <v>4321</v>
      </c>
      <c r="AI981" s="63">
        <f t="shared" si="194"/>
        <v>1.3995243757431629E-2</v>
      </c>
      <c r="AJ981" s="284">
        <f>RTD("money.excel",,$G981,"PredictVolume")</f>
        <v>3531</v>
      </c>
      <c r="AK981" s="399">
        <f>IFERROR(VLOOKUP($G981,基本資料!$A:$M,13,0),"無")</f>
        <v>9.58</v>
      </c>
    </row>
    <row r="982" spans="1:37">
      <c r="A982" s="347">
        <f>IFERROR(VLOOKUP($G982,基本資料!$A:$J,3,0),"無")</f>
        <v>5.94</v>
      </c>
      <c r="B982" s="79">
        <f>IFERROR(VLOOKUP($G982,基本資料!$A:$J,4,0),"無")</f>
        <v>-840</v>
      </c>
      <c r="C982" s="79">
        <f>IFERROR(VLOOKUP($G982,基本資料!$A:$J,5,0),"無")</f>
        <v>-307</v>
      </c>
      <c r="D982" s="79">
        <f>IFERROR(VLOOKUP($G982,基本資料!$A:$J,6,0),"無")</f>
        <v>-24</v>
      </c>
      <c r="E982" s="79">
        <f>IFERROR(VLOOKUP($G982,基本資料!$A:$J,7,0),"無")</f>
        <v>-8</v>
      </c>
      <c r="F982" s="6">
        <f>IFERROR(VLOOKUP($G982,基本資料!$A:$J,8,0),"無")</f>
        <v>-5.03</v>
      </c>
      <c r="G982" s="79">
        <v>6109</v>
      </c>
      <c r="H982" s="8" t="s">
        <v>311</v>
      </c>
      <c r="I982" s="16" t="s">
        <v>4403</v>
      </c>
      <c r="J982" s="8" t="str">
        <f>IFERROR(VLOOKUP($G982,今日總結!$A:$AJ,35,0),"")</f>
        <v/>
      </c>
      <c r="K982" s="5" t="str">
        <f>IFERROR(VLOOKUP($G982,今日總結!$A:$AJ,36,0),"")</f>
        <v/>
      </c>
      <c r="L982" s="156" t="str">
        <f>IFERROR(VLOOKUP($G982,今日總結!$A:$AJ,33,0),"")</f>
        <v/>
      </c>
      <c r="M982" s="340" t="str">
        <f>IFERROR(VLOOKUP($G982,今日總結!$A:$AJ,34,0),"")</f>
        <v/>
      </c>
      <c r="N982" s="240" t="str">
        <f t="shared" si="187"/>
        <v/>
      </c>
      <c r="P982" s="365" t="str">
        <f>IFERROR(VLOOKUP($G982,融外自投!$A:$J,7,0),"無")</f>
        <v>無</v>
      </c>
      <c r="Q982" s="79" t="str">
        <f>IFERROR(VLOOKUP($G982,融外自投!$A:$J,9,0),"無")</f>
        <v>無</v>
      </c>
      <c r="R982" s="346" t="str">
        <f>IFERROR(VLOOKUP($G982,融外自投!$A:$J,8,0),"無")</f>
        <v>無</v>
      </c>
      <c r="S982" s="81" t="str">
        <f>IFERROR(VLOOKUP($G982,融外自投!$A:$J,10,0),"無")</f>
        <v>無</v>
      </c>
      <c r="T982" s="327" t="str">
        <f>IFERROR(VLOOKUP($G982,'321買'!$A:$E,5,0),"'沒有資料'")</f>
        <v>'沒有資料'</v>
      </c>
      <c r="U982" s="186">
        <f>IFERROR(VLOOKUP($G982,基本資料!$A:$J,9,0),"無")</f>
        <v>0</v>
      </c>
      <c r="V982" s="310">
        <f t="shared" si="185"/>
        <v>0</v>
      </c>
      <c r="W982" s="94">
        <f>IFERROR(VLOOKUP($G982,基本資料!$A:$J,10,0),"無")</f>
        <v>-1.39</v>
      </c>
      <c r="X982" s="36">
        <f>RTD("money.excel",,"6109","Price")</f>
        <v>10.199999999999999</v>
      </c>
      <c r="Y982" s="66"/>
      <c r="Z982" s="15">
        <f t="shared" si="188"/>
        <v>10.199999999999999</v>
      </c>
      <c r="AA982" s="3" t="e">
        <f t="shared" si="189"/>
        <v>#DIV/0!</v>
      </c>
      <c r="AB982" s="344">
        <f>IFERROR(VLOOKUP($G982,基本資料!$A:$M,11,0),"無")</f>
        <v>-30.6</v>
      </c>
      <c r="AC982" s="397">
        <f>IFERROR(VLOOKUP($G982,基本資料!$A:$M,12,0),"無")</f>
        <v>55.75</v>
      </c>
      <c r="AD982" s="16" t="s">
        <v>4403</v>
      </c>
      <c r="AG982" s="33">
        <f t="shared" si="190"/>
        <v>0</v>
      </c>
      <c r="AH982" s="43" t="s">
        <v>2373</v>
      </c>
      <c r="AI982" s="63">
        <f t="shared" si="194"/>
        <v>1.3468013468013467E-3</v>
      </c>
      <c r="AJ982" s="284">
        <f>RTD("money.excel",,$G982,"PredictVolume")</f>
        <v>80</v>
      </c>
      <c r="AK982" s="399">
        <f>IFERROR(VLOOKUP($G982,基本資料!$A:$M,13,0),"無")</f>
        <v>2.81</v>
      </c>
    </row>
    <row r="983" spans="1:37">
      <c r="A983" s="347">
        <f>IFERROR(VLOOKUP($G983,基本資料!$A:$J,3,0),"無")</f>
        <v>11.55</v>
      </c>
      <c r="B983" s="79">
        <f>IFERROR(VLOOKUP($G983,基本資料!$A:$J,4,0),"無")</f>
        <v>153</v>
      </c>
      <c r="C983" s="79">
        <f>IFERROR(VLOOKUP($G983,基本資料!$A:$J,5,0),"無")</f>
        <v>-31</v>
      </c>
      <c r="D983" s="79">
        <f>IFERROR(VLOOKUP($G983,基本資料!$A:$J,6,0),"無")</f>
        <v>25</v>
      </c>
      <c r="E983" s="79">
        <f>IFERROR(VLOOKUP($G983,基本資料!$A:$J,7,0),"無")</f>
        <v>4</v>
      </c>
      <c r="F983" s="6">
        <f>IFERROR(VLOOKUP($G983,基本資料!$A:$J,8,0),"無")</f>
        <v>-7.41</v>
      </c>
      <c r="G983" s="79">
        <v>6136</v>
      </c>
      <c r="H983" s="8" t="s">
        <v>311</v>
      </c>
      <c r="I983" s="22" t="s">
        <v>4404</v>
      </c>
      <c r="J983" s="8" t="str">
        <f>IFERROR(VLOOKUP($G983,今日總結!$A:$AJ,35,0),"")</f>
        <v/>
      </c>
      <c r="K983" s="5" t="str">
        <f>IFERROR(VLOOKUP($G983,今日總結!$A:$AJ,36,0),"")</f>
        <v/>
      </c>
      <c r="L983" s="156" t="str">
        <f>IFERROR(VLOOKUP($G983,今日總結!$A:$AJ,33,0),"")</f>
        <v/>
      </c>
      <c r="M983" s="340" t="str">
        <f>IFERROR(VLOOKUP($G983,今日總結!$A:$AJ,34,0),"")</f>
        <v/>
      </c>
      <c r="N983" s="240" t="str">
        <f t="shared" si="187"/>
        <v/>
      </c>
      <c r="P983" s="365">
        <f>IFERROR(VLOOKUP($G983,融外自投!$A:$J,7,0),"無")</f>
        <v>328</v>
      </c>
      <c r="Q983" s="79">
        <f>IFERROR(VLOOKUP($G983,融外自投!$A:$J,9,0),"無")</f>
        <v>936</v>
      </c>
      <c r="R983" s="346">
        <f>IFERROR(VLOOKUP($G983,融外自投!$A:$J,8,0),"無")</f>
        <v>806</v>
      </c>
      <c r="S983" s="81" t="str">
        <f>IFERROR(VLOOKUP($G983,融外自投!$A:$J,10,0),"無")</f>
        <v>無</v>
      </c>
      <c r="T983" s="327">
        <f>IFERROR(VLOOKUP($G983,'321買'!$A:$E,5,0),"'沒有資料'")</f>
        <v>1143</v>
      </c>
      <c r="U983" s="186">
        <f>IFERROR(VLOOKUP($G983,基本資料!$A:$J,9,0),"無")</f>
        <v>1.25</v>
      </c>
      <c r="V983" s="310">
        <f t="shared" si="185"/>
        <v>6.7750677506775075E-2</v>
      </c>
      <c r="W983" s="94">
        <f>IFERROR(VLOOKUP($G983,基本資料!$A:$J,10,0),"無")</f>
        <v>1.23</v>
      </c>
      <c r="X983" s="36">
        <f>RTD("money.excel",,"6136","Price")</f>
        <v>18.45</v>
      </c>
      <c r="Y983" s="66"/>
      <c r="Z983" s="15">
        <f t="shared" si="188"/>
        <v>18.45</v>
      </c>
      <c r="AA983" s="3" t="e">
        <f t="shared" si="189"/>
        <v>#DIV/0!</v>
      </c>
      <c r="AB983" s="344">
        <f>IFERROR(VLOOKUP($G983,基本資料!$A:$M,11,0),"無")</f>
        <v>-18.38</v>
      </c>
      <c r="AC983" s="397">
        <f>IFERROR(VLOOKUP($G983,基本資料!$A:$M,12,0),"無")</f>
        <v>45.79</v>
      </c>
      <c r="AD983" s="22" t="s">
        <v>4404</v>
      </c>
      <c r="AG983" s="33">
        <f t="shared" si="190"/>
        <v>0</v>
      </c>
      <c r="AH983" s="43" t="s">
        <v>4405</v>
      </c>
      <c r="AI983" s="63">
        <f t="shared" si="194"/>
        <v>5.7142857142857147E-4</v>
      </c>
      <c r="AJ983" s="284">
        <f>RTD("money.excel",,$G983,"PredictVolume")</f>
        <v>66</v>
      </c>
      <c r="AK983" s="399">
        <f>IFERROR(VLOOKUP($G983,基本資料!$A:$M,13,0),"無")</f>
        <v>11.9</v>
      </c>
    </row>
    <row r="984" spans="1:37">
      <c r="A984" s="347">
        <f>IFERROR(VLOOKUP($G984,基本資料!$A:$J,3,0),"無")</f>
        <v>33.07</v>
      </c>
      <c r="B984" s="79">
        <f>IFERROR(VLOOKUP($G984,基本資料!$A:$J,4,0),"無")</f>
        <v>189</v>
      </c>
      <c r="C984" s="79">
        <f>IFERROR(VLOOKUP($G984,基本資料!$A:$J,5,0),"無")</f>
        <v>-25</v>
      </c>
      <c r="D984" s="79">
        <f>IFERROR(VLOOKUP($G984,基本資料!$A:$J,6,0),"無")</f>
        <v>40</v>
      </c>
      <c r="E984" s="79">
        <f>IFERROR(VLOOKUP($G984,基本資料!$A:$J,7,0),"無")</f>
        <v>-20</v>
      </c>
      <c r="F984" s="6">
        <f>IFERROR(VLOOKUP($G984,基本資料!$A:$J,8,0),"無")</f>
        <v>-25.34</v>
      </c>
      <c r="G984" s="79">
        <v>6142</v>
      </c>
      <c r="H984" s="8" t="s">
        <v>311</v>
      </c>
      <c r="I984" s="22" t="s">
        <v>4406</v>
      </c>
      <c r="J984" s="8" t="str">
        <f>IFERROR(VLOOKUP($G984,今日總結!$A:$AJ,35,0),"")</f>
        <v/>
      </c>
      <c r="K984" s="5" t="str">
        <f>IFERROR(VLOOKUP($G984,今日總結!$A:$AJ,36,0),"")</f>
        <v/>
      </c>
      <c r="L984" s="156" t="str">
        <f>IFERROR(VLOOKUP($G984,今日總結!$A:$AJ,33,0),"")</f>
        <v/>
      </c>
      <c r="M984" s="340" t="str">
        <f>IFERROR(VLOOKUP($G984,今日總結!$A:$AJ,34,0),"")</f>
        <v/>
      </c>
      <c r="N984" s="240" t="str">
        <f t="shared" si="187"/>
        <v/>
      </c>
      <c r="P984" s="365" t="str">
        <f>IFERROR(VLOOKUP($G984,融外自投!$A:$J,7,0),"無")</f>
        <v>無</v>
      </c>
      <c r="Q984" s="79" t="str">
        <f>IFERROR(VLOOKUP($G984,融外自投!$A:$J,9,0),"無")</f>
        <v>無</v>
      </c>
      <c r="R984" s="346" t="str">
        <f>IFERROR(VLOOKUP($G984,融外自投!$A:$J,8,0),"無")</f>
        <v>無</v>
      </c>
      <c r="S984" s="81" t="str">
        <f>IFERROR(VLOOKUP($G984,融外自投!$A:$J,10,0),"無")</f>
        <v>無</v>
      </c>
      <c r="T984" s="327" t="str">
        <f>IFERROR(VLOOKUP($G984,'321買'!$A:$E,5,0),"'沒有資料'")</f>
        <v>'沒有資料'</v>
      </c>
      <c r="U984" s="186">
        <f>IFERROR(VLOOKUP($G984,基本資料!$A:$J,9,0),"無")</f>
        <v>0</v>
      </c>
      <c r="V984" s="310">
        <f t="shared" si="185"/>
        <v>0</v>
      </c>
      <c r="W984" s="94">
        <f>IFERROR(VLOOKUP($G984,基本資料!$A:$J,10,0),"無")</f>
        <v>1.23</v>
      </c>
      <c r="X984" s="36">
        <f>RTD("money.excel",,"6142","Price")</f>
        <v>8.92</v>
      </c>
      <c r="Y984" s="66"/>
      <c r="Z984" s="15">
        <f t="shared" si="188"/>
        <v>8.92</v>
      </c>
      <c r="AA984" s="3" t="e">
        <f t="shared" si="189"/>
        <v>#DIV/0!</v>
      </c>
      <c r="AB984" s="344">
        <f>IFERROR(VLOOKUP($G984,基本資料!$A:$M,11,0),"無")</f>
        <v>-42.73</v>
      </c>
      <c r="AC984" s="397">
        <f>IFERROR(VLOOKUP($G984,基本資料!$A:$M,12,0),"無")</f>
        <v>42.99</v>
      </c>
      <c r="AD984" s="22" t="s">
        <v>4406</v>
      </c>
      <c r="AG984" s="33">
        <f t="shared" si="190"/>
        <v>0</v>
      </c>
      <c r="AH984" s="43" t="s">
        <v>4407</v>
      </c>
      <c r="AI984" s="63">
        <f t="shared" si="194"/>
        <v>3.7798609011188391E-4</v>
      </c>
      <c r="AJ984" s="284">
        <f>RTD("money.excel",,$G984,"PredictVolume")</f>
        <v>125</v>
      </c>
      <c r="AK984" s="399">
        <f>IFERROR(VLOOKUP($G984,基本資料!$A:$M,13,0),"無")</f>
        <v>6.73</v>
      </c>
    </row>
    <row r="985" spans="1:37">
      <c r="A985" s="347">
        <f>IFERROR(VLOOKUP($G985,基本資料!$A:$J,3,0),"無")</f>
        <v>8.3000000000000007</v>
      </c>
      <c r="B985" s="79">
        <f>IFERROR(VLOOKUP($G985,基本資料!$A:$J,4,0),"無")</f>
        <v>11</v>
      </c>
      <c r="C985" s="79">
        <f>IFERROR(VLOOKUP($G985,基本資料!$A:$J,5,0),"無")</f>
        <v>12</v>
      </c>
      <c r="D985" s="79">
        <f>IFERROR(VLOOKUP($G985,基本資料!$A:$J,6,0),"無")</f>
        <v>17</v>
      </c>
      <c r="E985" s="79">
        <f>IFERROR(VLOOKUP($G985,基本資料!$A:$J,7,0),"無")</f>
        <v>-15</v>
      </c>
      <c r="F985" s="6">
        <f>IFERROR(VLOOKUP($G985,基本資料!$A:$J,8,0),"無")</f>
        <v>6.54</v>
      </c>
      <c r="G985" s="79">
        <v>6143</v>
      </c>
      <c r="H985" s="8" t="s">
        <v>311</v>
      </c>
      <c r="I985" s="16" t="s">
        <v>4408</v>
      </c>
      <c r="J985" s="8" t="str">
        <f>IFERROR(VLOOKUP($G985,今日總結!$A:$AJ,35,0),"")</f>
        <v>主</v>
      </c>
      <c r="K985" s="5">
        <f>IFERROR(VLOOKUP($G985,今日總結!$A:$AJ,36,0),"")</f>
        <v>0</v>
      </c>
      <c r="L985" s="156">
        <f>IFERROR(VLOOKUP($G985,今日總結!$A:$AJ,33,0),"")</f>
        <v>1</v>
      </c>
      <c r="M985" s="340">
        <f>IFERROR(VLOOKUP($G985,今日總結!$A:$AJ,34,0),"")</f>
        <v>0</v>
      </c>
      <c r="N985" s="240">
        <f t="shared" si="187"/>
        <v>1</v>
      </c>
      <c r="P985" s="365">
        <f>IFERROR(VLOOKUP($G985,融外自投!$A:$J,7,0),"無")</f>
        <v>95</v>
      </c>
      <c r="Q985" s="79">
        <f>IFERROR(VLOOKUP($G985,融外自投!$A:$J,9,0),"無")</f>
        <v>155</v>
      </c>
      <c r="R985" s="346">
        <f>IFERROR(VLOOKUP($G985,融外自投!$A:$J,8,0),"無")</f>
        <v>848</v>
      </c>
      <c r="S985" s="81">
        <f>IFERROR(VLOOKUP($G985,融外自投!$A:$J,10,0),"無")</f>
        <v>136</v>
      </c>
      <c r="T985" s="327">
        <f>IFERROR(VLOOKUP($G985,'321買'!$A:$E,5,0),"'沒有資料'")</f>
        <v>357</v>
      </c>
      <c r="U985" s="186">
        <f>IFERROR(VLOOKUP($G985,基本資料!$A:$J,9,0),"無")</f>
        <v>2.5</v>
      </c>
      <c r="V985" s="310">
        <f t="shared" si="185"/>
        <v>5.0454086781029264E-2</v>
      </c>
      <c r="W985" s="94">
        <f>IFERROR(VLOOKUP($G985,基本資料!$A:$J,10,0),"無")</f>
        <v>3.33</v>
      </c>
      <c r="X985" s="36">
        <f>RTD("money.excel",,"6143","Price")</f>
        <v>49.55</v>
      </c>
      <c r="Y985" s="66"/>
      <c r="Z985" s="15">
        <f t="shared" si="188"/>
        <v>49.55</v>
      </c>
      <c r="AA985" s="3" t="e">
        <f t="shared" si="189"/>
        <v>#DIV/0!</v>
      </c>
      <c r="AB985" s="344">
        <f>IFERROR(VLOOKUP($G985,基本資料!$A:$M,11,0),"無")</f>
        <v>-24.28</v>
      </c>
      <c r="AC985" s="397">
        <f>IFERROR(VLOOKUP($G985,基本資料!$A:$M,12,0),"無")</f>
        <v>61.56</v>
      </c>
      <c r="AD985" s="16" t="s">
        <v>4408</v>
      </c>
      <c r="AG985" s="33">
        <f t="shared" si="190"/>
        <v>0</v>
      </c>
      <c r="AH985" s="117" t="s">
        <v>4409</v>
      </c>
      <c r="AI985" s="63">
        <f t="shared" si="194"/>
        <v>2.6144578313253013E-3</v>
      </c>
      <c r="AJ985" s="284">
        <f>RTD("money.excel",,$G985,"PredictVolume")</f>
        <v>217</v>
      </c>
      <c r="AK985" s="399">
        <f>IFERROR(VLOOKUP($G985,基本資料!$A:$M,13,0),"無")</f>
        <v>19.79</v>
      </c>
    </row>
    <row r="986" spans="1:37">
      <c r="A986" s="347">
        <f>IFERROR(VLOOKUP($G986,基本資料!$A:$J,3,0),"無")</f>
        <v>16.77</v>
      </c>
      <c r="B986" s="79">
        <f>IFERROR(VLOOKUP($G986,基本資料!$A:$J,4,0),"無")</f>
        <v>-52</v>
      </c>
      <c r="C986" s="79">
        <f>IFERROR(VLOOKUP($G986,基本資料!$A:$J,5,0),"無")</f>
        <v>16</v>
      </c>
      <c r="D986" s="79">
        <f>IFERROR(VLOOKUP($G986,基本資料!$A:$J,6,0),"無")</f>
        <v>75</v>
      </c>
      <c r="E986" s="79">
        <f>IFERROR(VLOOKUP($G986,基本資料!$A:$J,7,0),"無")</f>
        <v>9</v>
      </c>
      <c r="F986" s="6">
        <f>IFERROR(VLOOKUP($G986,基本資料!$A:$J,8,0),"無")</f>
        <v>-1.19</v>
      </c>
      <c r="G986" s="79">
        <v>6152</v>
      </c>
      <c r="H986" s="8" t="s">
        <v>311</v>
      </c>
      <c r="I986" s="22" t="s">
        <v>4410</v>
      </c>
      <c r="J986" s="8" t="str">
        <f>IFERROR(VLOOKUP($G986,今日總結!$A:$AJ,35,0),"")</f>
        <v/>
      </c>
      <c r="K986" s="5" t="str">
        <f>IFERROR(VLOOKUP($G986,今日總結!$A:$AJ,36,0),"")</f>
        <v/>
      </c>
      <c r="L986" s="156" t="str">
        <f>IFERROR(VLOOKUP($G986,今日總結!$A:$AJ,33,0),"")</f>
        <v/>
      </c>
      <c r="M986" s="340" t="str">
        <f>IFERROR(VLOOKUP($G986,今日總結!$A:$AJ,34,0),"")</f>
        <v/>
      </c>
      <c r="N986" s="240" t="str">
        <f t="shared" si="187"/>
        <v/>
      </c>
      <c r="P986" s="365" t="str">
        <f>IFERROR(VLOOKUP($G986,融外自投!$A:$J,7,0),"無")</f>
        <v>無</v>
      </c>
      <c r="Q986" s="79" t="str">
        <f>IFERROR(VLOOKUP($G986,融外自投!$A:$J,9,0),"無")</f>
        <v>無</v>
      </c>
      <c r="R986" s="346" t="str">
        <f>IFERROR(VLOOKUP($G986,融外自投!$A:$J,8,0),"無")</f>
        <v>無</v>
      </c>
      <c r="S986" s="81" t="str">
        <f>IFERROR(VLOOKUP($G986,融外自投!$A:$J,10,0),"無")</f>
        <v>無</v>
      </c>
      <c r="T986" s="327" t="str">
        <f>IFERROR(VLOOKUP($G986,'321買'!$A:$E,5,0),"'沒有資料'")</f>
        <v>'沒有資料'</v>
      </c>
      <c r="U986" s="186">
        <f>IFERROR(VLOOKUP($G986,基本資料!$A:$J,9,0),"無")</f>
        <v>0</v>
      </c>
      <c r="V986" s="310">
        <f t="shared" si="185"/>
        <v>0</v>
      </c>
      <c r="W986" s="94">
        <f>IFERROR(VLOOKUP($G986,基本資料!$A:$J,10,0),"無")</f>
        <v>0.05</v>
      </c>
      <c r="X986" s="36">
        <f>RTD("money.excel",,"6152","Price")</f>
        <v>8.66</v>
      </c>
      <c r="Y986" s="66"/>
      <c r="Z986" s="15">
        <f t="shared" si="188"/>
        <v>8.66</v>
      </c>
      <c r="AA986" s="3" t="e">
        <f t="shared" si="189"/>
        <v>#DIV/0!</v>
      </c>
      <c r="AB986" s="344">
        <f>IFERROR(VLOOKUP($G986,基本資料!$A:$M,11,0),"無")</f>
        <v>-35.83</v>
      </c>
      <c r="AC986" s="397">
        <f>IFERROR(VLOOKUP($G986,基本資料!$A:$M,12,0),"無")</f>
        <v>11.11</v>
      </c>
      <c r="AD986" s="22" t="s">
        <v>4410</v>
      </c>
      <c r="AG986" s="33">
        <f t="shared" si="190"/>
        <v>0</v>
      </c>
      <c r="AH986" s="43" t="s">
        <v>4411</v>
      </c>
      <c r="AI986" s="63">
        <f t="shared" si="194"/>
        <v>1.0852713178294573E-3</v>
      </c>
      <c r="AJ986" s="284">
        <f>RTD("money.excel",,$G986,"PredictVolume")</f>
        <v>182</v>
      </c>
      <c r="AK986" s="399">
        <f>IFERROR(VLOOKUP($G986,基本資料!$A:$M,13,0),"無")</f>
        <v>8.5500000000000007</v>
      </c>
    </row>
    <row r="987" spans="1:37">
      <c r="A987" s="347">
        <f>IFERROR(VLOOKUP($G987,基本資料!$A:$J,3,0),"無")</f>
        <v>13.36</v>
      </c>
      <c r="B987" s="79">
        <f>IFERROR(VLOOKUP($G987,基本資料!$A:$J,4,0),"無")</f>
        <v>6623</v>
      </c>
      <c r="C987" s="79">
        <f>IFERROR(VLOOKUP($G987,基本資料!$A:$J,5,0),"無")</f>
        <v>13177</v>
      </c>
      <c r="D987" s="79">
        <f>IFERROR(VLOOKUP($G987,基本資料!$A:$J,6,0),"無")</f>
        <v>61</v>
      </c>
      <c r="E987" s="79">
        <f>IFERROR(VLOOKUP($G987,基本資料!$A:$J,7,0),"無")</f>
        <v>54</v>
      </c>
      <c r="F987" s="6">
        <f>IFERROR(VLOOKUP($G987,基本資料!$A:$J,8,0),"無")</f>
        <v>3.41</v>
      </c>
      <c r="G987" s="79">
        <v>6163</v>
      </c>
      <c r="H987" s="8" t="s">
        <v>311</v>
      </c>
      <c r="I987" s="16" t="s">
        <v>4412</v>
      </c>
      <c r="J987" s="8" t="str">
        <f>IFERROR(VLOOKUP($G987,今日總結!$A:$AJ,35,0),"")</f>
        <v/>
      </c>
      <c r="K987" s="5" t="str">
        <f>IFERROR(VLOOKUP($G987,今日總結!$A:$AJ,36,0),"")</f>
        <v/>
      </c>
      <c r="L987" s="156" t="str">
        <f>IFERROR(VLOOKUP($G987,今日總結!$A:$AJ,33,0),"")</f>
        <v/>
      </c>
      <c r="M987" s="340" t="str">
        <f>IFERROR(VLOOKUP($G987,今日總結!$A:$AJ,34,0),"")</f>
        <v/>
      </c>
      <c r="N987" s="240" t="str">
        <f t="shared" si="187"/>
        <v/>
      </c>
      <c r="P987" s="365">
        <f>IFERROR(VLOOKUP($G987,融外自投!$A:$J,7,0),"無")</f>
        <v>280</v>
      </c>
      <c r="Q987" s="79">
        <f>IFERROR(VLOOKUP($G987,融外自投!$A:$J,9,0),"無")</f>
        <v>852</v>
      </c>
      <c r="R987" s="346">
        <f>IFERROR(VLOOKUP($G987,融外自投!$A:$J,8,0),"無")</f>
        <v>994</v>
      </c>
      <c r="S987" s="81" t="str">
        <f>IFERROR(VLOOKUP($G987,融外自投!$A:$J,10,0),"無")</f>
        <v>無</v>
      </c>
      <c r="T987" s="327">
        <f>IFERROR(VLOOKUP($G987,'321買'!$A:$E,5,0),"'沒有資料'")</f>
        <v>463</v>
      </c>
      <c r="U987" s="186">
        <f>IFERROR(VLOOKUP($G987,基本資料!$A:$J,9,0),"無")</f>
        <v>0</v>
      </c>
      <c r="V987" s="310">
        <f t="shared" si="185"/>
        <v>0</v>
      </c>
      <c r="W987" s="94">
        <f>IFERROR(VLOOKUP($G987,基本資料!$A:$J,10,0),"無")</f>
        <v>1.43</v>
      </c>
      <c r="X987" s="36">
        <f>RTD("money.excel",,"6163","Price")</f>
        <v>16</v>
      </c>
      <c r="Y987" s="66"/>
      <c r="Z987" s="15">
        <f t="shared" si="188"/>
        <v>16</v>
      </c>
      <c r="AA987" s="3" t="e">
        <f t="shared" si="189"/>
        <v>#DIV/0!</v>
      </c>
      <c r="AB987" s="344">
        <f>IFERROR(VLOOKUP($G987,基本資料!$A:$M,11,0),"無")</f>
        <v>-28.45</v>
      </c>
      <c r="AC987" s="397">
        <f>IFERROR(VLOOKUP($G987,基本資料!$A:$M,12,0),"無")</f>
        <v>16.52</v>
      </c>
      <c r="AD987" s="16" t="s">
        <v>4412</v>
      </c>
      <c r="AG987" s="33">
        <f t="shared" si="190"/>
        <v>0</v>
      </c>
      <c r="AH987" s="43" t="s">
        <v>4413</v>
      </c>
      <c r="AI987" s="63">
        <f t="shared" si="194"/>
        <v>3.9745508982035925E-3</v>
      </c>
      <c r="AJ987" s="284">
        <f>RTD("money.excel",,$G987,"PredictVolume")</f>
        <v>531</v>
      </c>
      <c r="AK987" s="399">
        <f>IFERROR(VLOOKUP($G987,基本資料!$A:$M,13,0),"無")</f>
        <v>14.68</v>
      </c>
    </row>
    <row r="988" spans="1:37">
      <c r="A988" s="347">
        <f>IFERROR(VLOOKUP($G988,基本資料!$A:$J,3,0),"無")</f>
        <v>8.9600000000000009</v>
      </c>
      <c r="B988" s="79">
        <f>IFERROR(VLOOKUP($G988,基本資料!$A:$J,4,0),"無")</f>
        <v>13</v>
      </c>
      <c r="C988" s="79">
        <f>IFERROR(VLOOKUP($G988,基本資料!$A:$J,5,0),"無")</f>
        <v>-14</v>
      </c>
      <c r="D988" s="79">
        <f>IFERROR(VLOOKUP($G988,基本資料!$A:$J,6,0),"無")</f>
        <v>-29</v>
      </c>
      <c r="E988" s="79">
        <f>IFERROR(VLOOKUP($G988,基本資料!$A:$J,7,0),"無")</f>
        <v>-28</v>
      </c>
      <c r="F988" s="6">
        <f>IFERROR(VLOOKUP($G988,基本資料!$A:$J,8,0),"無")</f>
        <v>4.82</v>
      </c>
      <c r="G988" s="79">
        <v>6170</v>
      </c>
      <c r="H988" s="8" t="s">
        <v>311</v>
      </c>
      <c r="I988" s="16" t="s">
        <v>4414</v>
      </c>
      <c r="J988" s="8" t="str">
        <f>IFERROR(VLOOKUP($G988,今日總結!$A:$AJ,35,0),"")</f>
        <v/>
      </c>
      <c r="K988" s="5" t="str">
        <f>IFERROR(VLOOKUP($G988,今日總結!$A:$AJ,36,0),"")</f>
        <v/>
      </c>
      <c r="L988" s="156" t="str">
        <f>IFERROR(VLOOKUP($G988,今日總結!$A:$AJ,33,0),"")</f>
        <v/>
      </c>
      <c r="M988" s="340" t="str">
        <f>IFERROR(VLOOKUP($G988,今日總結!$A:$AJ,34,0),"")</f>
        <v/>
      </c>
      <c r="N988" s="240" t="str">
        <f t="shared" si="187"/>
        <v/>
      </c>
      <c r="P988" s="365">
        <f>IFERROR(VLOOKUP($G988,融外自投!$A:$J,7,0),"無")</f>
        <v>206</v>
      </c>
      <c r="Q988" s="79">
        <f>IFERROR(VLOOKUP($G988,融外自投!$A:$J,9,0),"無")</f>
        <v>150</v>
      </c>
      <c r="R988" s="346">
        <f>IFERROR(VLOOKUP($G988,融外自投!$A:$J,8,0),"無")</f>
        <v>1146</v>
      </c>
      <c r="S988" s="81" t="str">
        <f>IFERROR(VLOOKUP($G988,融外自投!$A:$J,10,0),"無")</f>
        <v>無</v>
      </c>
      <c r="T988" s="327">
        <f>IFERROR(VLOOKUP($G988,'321買'!$A:$E,5,0),"'沒有資料'")</f>
        <v>558</v>
      </c>
      <c r="U988" s="186">
        <f>IFERROR(VLOOKUP($G988,基本資料!$A:$J,9,0),"無")</f>
        <v>1.6</v>
      </c>
      <c r="V988" s="310">
        <f t="shared" si="185"/>
        <v>4.7548291233283808E-2</v>
      </c>
      <c r="W988" s="94">
        <f>IFERROR(VLOOKUP($G988,基本資料!$A:$J,10,0),"無")</f>
        <v>1.86</v>
      </c>
      <c r="X988" s="36">
        <f>RTD("money.excel",,"6170","Price")</f>
        <v>33.65</v>
      </c>
      <c r="Y988" s="66"/>
      <c r="Z988" s="15">
        <f t="shared" si="188"/>
        <v>33.65</v>
      </c>
      <c r="AA988" s="3" t="e">
        <f t="shared" si="189"/>
        <v>#DIV/0!</v>
      </c>
      <c r="AB988" s="344">
        <f>IFERROR(VLOOKUP($G988,基本資料!$A:$M,11,0),"無")</f>
        <v>-39.979999999999997</v>
      </c>
      <c r="AC988" s="397">
        <f>IFERROR(VLOOKUP($G988,基本資料!$A:$M,12,0),"無")</f>
        <v>61.02</v>
      </c>
      <c r="AD988" s="16" t="s">
        <v>4414</v>
      </c>
      <c r="AG988" s="33">
        <f t="shared" si="190"/>
        <v>0</v>
      </c>
      <c r="AH988" s="43" t="s">
        <v>4415</v>
      </c>
      <c r="AI988" s="63">
        <f t="shared" si="194"/>
        <v>3.180803571428571E-3</v>
      </c>
      <c r="AJ988" s="284">
        <f>RTD("money.excel",,$G988,"PredictVolume")</f>
        <v>285</v>
      </c>
      <c r="AK988" s="399">
        <f>IFERROR(VLOOKUP($G988,基本資料!$A:$M,13,0),"無")</f>
        <v>22.42</v>
      </c>
    </row>
    <row r="989" spans="1:37">
      <c r="A989" s="347">
        <f>IFERROR(VLOOKUP($G989,基本資料!$A:$J,3,0),"無")</f>
        <v>16.11</v>
      </c>
      <c r="B989" s="79">
        <f>IFERROR(VLOOKUP($G989,基本資料!$A:$J,4,0),"無")</f>
        <v>52</v>
      </c>
      <c r="C989" s="79">
        <f>IFERROR(VLOOKUP($G989,基本資料!$A:$J,5,0),"無")</f>
        <v>46</v>
      </c>
      <c r="D989" s="79">
        <f>IFERROR(VLOOKUP($G989,基本資料!$A:$J,6,0),"無")</f>
        <v>7</v>
      </c>
      <c r="E989" s="79">
        <f>IFERROR(VLOOKUP($G989,基本資料!$A:$J,7,0),"無")</f>
        <v>49</v>
      </c>
      <c r="F989" s="6">
        <f>IFERROR(VLOOKUP($G989,基本資料!$A:$J,8,0),"無")</f>
        <v>4.7699999999999996</v>
      </c>
      <c r="G989" s="79">
        <v>6190</v>
      </c>
      <c r="H989" s="8" t="s">
        <v>311</v>
      </c>
      <c r="I989" s="16" t="s">
        <v>4416</v>
      </c>
      <c r="J989" s="8" t="str">
        <f>IFERROR(VLOOKUP($G989,今日總結!$A:$AJ,35,0),"")</f>
        <v/>
      </c>
      <c r="K989" s="5" t="str">
        <f>IFERROR(VLOOKUP($G989,今日總結!$A:$AJ,36,0),"")</f>
        <v/>
      </c>
      <c r="L989" s="156" t="str">
        <f>IFERROR(VLOOKUP($G989,今日總結!$A:$AJ,33,0),"")</f>
        <v/>
      </c>
      <c r="M989" s="340" t="str">
        <f>IFERROR(VLOOKUP($G989,今日總結!$A:$AJ,34,0),"")</f>
        <v/>
      </c>
      <c r="N989" s="240" t="str">
        <f t="shared" si="187"/>
        <v/>
      </c>
      <c r="P989" s="365">
        <f>IFERROR(VLOOKUP($G989,融外自投!$A:$J,7,0),"無")</f>
        <v>161</v>
      </c>
      <c r="Q989" s="79">
        <f>IFERROR(VLOOKUP($G989,融外自投!$A:$J,9,0),"無")</f>
        <v>852</v>
      </c>
      <c r="R989" s="346">
        <f>IFERROR(VLOOKUP($G989,融外自投!$A:$J,8,0),"無")</f>
        <v>1224</v>
      </c>
      <c r="S989" s="81" t="str">
        <f>IFERROR(VLOOKUP($G989,融外自投!$A:$J,10,0),"無")</f>
        <v>無</v>
      </c>
      <c r="T989" s="327">
        <f>IFERROR(VLOOKUP($G989,'321買'!$A:$E,5,0),"'沒有資料'")</f>
        <v>430</v>
      </c>
      <c r="U989" s="186">
        <f>IFERROR(VLOOKUP($G989,基本資料!$A:$J,9,0),"無")</f>
        <v>1.4</v>
      </c>
      <c r="V989" s="310">
        <f t="shared" si="185"/>
        <v>3.8147138964577651E-2</v>
      </c>
      <c r="W989" s="94">
        <f>IFERROR(VLOOKUP($G989,基本資料!$A:$J,10,0),"無")</f>
        <v>1.68</v>
      </c>
      <c r="X989" s="36">
        <f>RTD("money.excel",,"6190","Price")</f>
        <v>36.700000000000003</v>
      </c>
      <c r="Y989" s="66"/>
      <c r="Z989" s="15">
        <f t="shared" si="188"/>
        <v>36.700000000000003</v>
      </c>
      <c r="AA989" s="3" t="e">
        <f t="shared" si="189"/>
        <v>#DIV/0!</v>
      </c>
      <c r="AB989" s="344">
        <f>IFERROR(VLOOKUP($G989,基本資料!$A:$M,11,0),"無")</f>
        <v>-25.05</v>
      </c>
      <c r="AC989" s="397">
        <f>IFERROR(VLOOKUP($G989,基本資料!$A:$M,12,0),"無")</f>
        <v>42.94</v>
      </c>
      <c r="AD989" s="16" t="s">
        <v>4416</v>
      </c>
      <c r="AG989" s="33">
        <f t="shared" si="190"/>
        <v>0</v>
      </c>
      <c r="AH989" s="43" t="s">
        <v>2939</v>
      </c>
      <c r="AI989" s="63">
        <f t="shared" si="194"/>
        <v>2.3854748603351954E-2</v>
      </c>
      <c r="AJ989" s="284">
        <f>RTD("money.excel",,$G989,"PredictVolume")</f>
        <v>3843</v>
      </c>
      <c r="AK989" s="399">
        <f>IFERROR(VLOOKUP($G989,基本資料!$A:$M,13,0),"無")</f>
        <v>52.49</v>
      </c>
    </row>
    <row r="990" spans="1:37">
      <c r="A990" s="347">
        <f>IFERROR(VLOOKUP($G990,基本資料!$A:$J,3,0),"無")</f>
        <v>8.7899999999999991</v>
      </c>
      <c r="B990" s="79">
        <f>IFERROR(VLOOKUP($G990,基本資料!$A:$J,4,0),"無")</f>
        <v>48</v>
      </c>
      <c r="C990" s="79">
        <f>IFERROR(VLOOKUP($G990,基本資料!$A:$J,5,0),"無")</f>
        <v>31</v>
      </c>
      <c r="D990" s="79">
        <f>IFERROR(VLOOKUP($G990,基本資料!$A:$J,6,0),"無")</f>
        <v>82</v>
      </c>
      <c r="E990" s="79">
        <f>IFERROR(VLOOKUP($G990,基本資料!$A:$J,7,0),"無")</f>
        <v>69</v>
      </c>
      <c r="F990" s="6">
        <f>IFERROR(VLOOKUP($G990,基本資料!$A:$J,8,0),"無")</f>
        <v>20.47</v>
      </c>
      <c r="G990" s="79">
        <v>6216</v>
      </c>
      <c r="H990" s="8" t="s">
        <v>311</v>
      </c>
      <c r="I990" s="22" t="s">
        <v>4417</v>
      </c>
      <c r="J990" s="8">
        <f>IFERROR(VLOOKUP($G990,今日總結!$A:$AJ,35,0),"")</f>
        <v>42</v>
      </c>
      <c r="K990" s="5">
        <f>IFERROR(VLOOKUP($G990,今日總結!$A:$AJ,36,0),"")</f>
        <v>0</v>
      </c>
      <c r="L990" s="156">
        <f>IFERROR(VLOOKUP($G990,今日總結!$A:$AJ,33,0),"")</f>
        <v>2</v>
      </c>
      <c r="M990" s="340">
        <f>IFERROR(VLOOKUP($G990,今日總結!$A:$AJ,34,0),"")</f>
        <v>0</v>
      </c>
      <c r="N990" s="240">
        <f t="shared" si="187"/>
        <v>2</v>
      </c>
      <c r="P990" s="365">
        <f>IFERROR(VLOOKUP($G990,融外自投!$A:$J,7,0),"無")</f>
        <v>571</v>
      </c>
      <c r="Q990" s="79">
        <f>IFERROR(VLOOKUP($G990,融外自投!$A:$J,9,0),"無")</f>
        <v>324</v>
      </c>
      <c r="R990" s="346">
        <f>IFERROR(VLOOKUP($G990,融外自投!$A:$J,8,0),"無")</f>
        <v>1118</v>
      </c>
      <c r="S990" s="81" t="str">
        <f>IFERROR(VLOOKUP($G990,融外自投!$A:$J,10,0),"無")</f>
        <v>無</v>
      </c>
      <c r="T990" s="327">
        <f>IFERROR(VLOOKUP($G990,'321買'!$A:$E,5,0),"'沒有資料'")</f>
        <v>1066</v>
      </c>
      <c r="U990" s="186">
        <f>IFERROR(VLOOKUP($G990,基本資料!$A:$J,9,0),"無")</f>
        <v>1.72</v>
      </c>
      <c r="V990" s="310">
        <f t="shared" si="185"/>
        <v>6.0456942003514938E-2</v>
      </c>
      <c r="W990" s="94">
        <f>IFERROR(VLOOKUP($G990,基本資料!$A:$J,10,0),"無")</f>
        <v>1.85</v>
      </c>
      <c r="X990" s="36">
        <f>RTD("money.excel",,"6216","Price")</f>
        <v>28.45</v>
      </c>
      <c r="Y990" s="66"/>
      <c r="Z990" s="15">
        <f t="shared" si="188"/>
        <v>28.45</v>
      </c>
      <c r="AA990" s="3" t="e">
        <f t="shared" si="189"/>
        <v>#DIV/0!</v>
      </c>
      <c r="AB990" s="344">
        <f>IFERROR(VLOOKUP($G990,基本資料!$A:$M,11,0),"無")</f>
        <v>-11.18</v>
      </c>
      <c r="AC990" s="397">
        <f>IFERROR(VLOOKUP($G990,基本資料!$A:$M,12,0),"無")</f>
        <v>66.23</v>
      </c>
      <c r="AD990" s="22" t="s">
        <v>4417</v>
      </c>
      <c r="AG990" s="33">
        <f t="shared" si="190"/>
        <v>0</v>
      </c>
      <c r="AH990" s="43" t="s">
        <v>4321</v>
      </c>
      <c r="AI990" s="63">
        <f t="shared" si="194"/>
        <v>4.5688282138794091E-2</v>
      </c>
      <c r="AJ990" s="284">
        <f>RTD("money.excel",,$G990,"PredictVolume")</f>
        <v>4016</v>
      </c>
      <c r="AK990" s="399">
        <f>IFERROR(VLOOKUP($G990,基本資料!$A:$M,13,0),"無")</f>
        <v>14.43</v>
      </c>
    </row>
    <row r="991" spans="1:37">
      <c r="A991" s="347">
        <f>IFERROR(VLOOKUP($G991,基本資料!$A:$J,3,0),"無")</f>
        <v>6.42</v>
      </c>
      <c r="B991" s="79">
        <f>IFERROR(VLOOKUP($G991,基本資料!$A:$J,4,0),"無")</f>
        <v>-12</v>
      </c>
      <c r="C991" s="79">
        <f>IFERROR(VLOOKUP($G991,基本資料!$A:$J,5,0),"無")</f>
        <v>-51</v>
      </c>
      <c r="D991" s="79">
        <f>IFERROR(VLOOKUP($G991,基本資料!$A:$J,6,0),"無")</f>
        <v>-38</v>
      </c>
      <c r="E991" s="79">
        <f>IFERROR(VLOOKUP($G991,基本資料!$A:$J,7,0),"無")</f>
        <v>-16</v>
      </c>
      <c r="F991" s="6">
        <f>IFERROR(VLOOKUP($G991,基本資料!$A:$J,8,0),"無")</f>
        <v>2.39</v>
      </c>
      <c r="G991" s="79">
        <v>6218</v>
      </c>
      <c r="H991" s="8" t="s">
        <v>311</v>
      </c>
      <c r="I991" s="16" t="s">
        <v>4418</v>
      </c>
      <c r="J991" s="8" t="str">
        <f>IFERROR(VLOOKUP($G991,今日總結!$A:$AJ,35,0),"")</f>
        <v/>
      </c>
      <c r="K991" s="5" t="str">
        <f>IFERROR(VLOOKUP($G991,今日總結!$A:$AJ,36,0),"")</f>
        <v/>
      </c>
      <c r="L991" s="156" t="str">
        <f>IFERROR(VLOOKUP($G991,今日總結!$A:$AJ,33,0),"")</f>
        <v/>
      </c>
      <c r="M991" s="340" t="str">
        <f>IFERROR(VLOOKUP($G991,今日總結!$A:$AJ,34,0),"")</f>
        <v/>
      </c>
      <c r="N991" s="240" t="str">
        <f t="shared" si="187"/>
        <v/>
      </c>
      <c r="P991" s="365">
        <f>IFERROR(VLOOKUP($G991,融外自投!$A:$J,7,0),"無")</f>
        <v>1025</v>
      </c>
      <c r="Q991" s="79" t="str">
        <f>IFERROR(VLOOKUP($G991,融外自投!$A:$J,9,0),"無")</f>
        <v>無</v>
      </c>
      <c r="R991" s="346">
        <f>IFERROR(VLOOKUP($G991,融外自投!$A:$J,8,0),"無")</f>
        <v>1318</v>
      </c>
      <c r="S991" s="81" t="str">
        <f>IFERROR(VLOOKUP($G991,融外自投!$A:$J,10,0),"無")</f>
        <v>無</v>
      </c>
      <c r="T991" s="327">
        <f>IFERROR(VLOOKUP($G991,'321買'!$A:$E,5,0),"'沒有資料'")</f>
        <v>1198</v>
      </c>
      <c r="U991" s="186">
        <f>IFERROR(VLOOKUP($G991,基本資料!$A:$J,9,0),"無")</f>
        <v>1</v>
      </c>
      <c r="V991" s="310">
        <f t="shared" si="185"/>
        <v>4.9504950495049507E-2</v>
      </c>
      <c r="W991" s="94">
        <f>IFERROR(VLOOKUP($G991,基本資料!$A:$J,10,0),"無")</f>
        <v>0.7</v>
      </c>
      <c r="X991" s="36">
        <f>RTD("money.excel",,"6218","Price")</f>
        <v>20.2</v>
      </c>
      <c r="Y991" s="66"/>
      <c r="Z991" s="15">
        <f t="shared" si="188"/>
        <v>20.2</v>
      </c>
      <c r="AA991" s="3" t="e">
        <f t="shared" si="189"/>
        <v>#DIV/0!</v>
      </c>
      <c r="AB991" s="344">
        <f>IFERROR(VLOOKUP($G991,基本資料!$A:$M,11,0),"無")</f>
        <v>-21.5</v>
      </c>
      <c r="AC991" s="397">
        <f>IFERROR(VLOOKUP($G991,基本資料!$A:$M,12,0),"無")</f>
        <v>18.54</v>
      </c>
      <c r="AD991" s="16" t="s">
        <v>4418</v>
      </c>
      <c r="AG991" s="33">
        <f t="shared" si="190"/>
        <v>0</v>
      </c>
      <c r="AH991" s="43" t="s">
        <v>4419</v>
      </c>
      <c r="AI991" s="63">
        <f t="shared" si="194"/>
        <v>5.4517133956386292E-4</v>
      </c>
      <c r="AJ991" s="284">
        <f>RTD("money.excel",,$G991,"PredictVolume")</f>
        <v>35</v>
      </c>
      <c r="AK991" s="399">
        <f>IFERROR(VLOOKUP($G991,基本資料!$A:$M,13,0),"無")</f>
        <v>12.96</v>
      </c>
    </row>
    <row r="992" spans="1:37">
      <c r="A992" s="347">
        <f>IFERROR(VLOOKUP($G992,基本資料!$A:$J,3,0),"無")</f>
        <v>3.37</v>
      </c>
      <c r="B992" s="79">
        <f>IFERROR(VLOOKUP($G992,基本資料!$A:$J,4,0),"無")</f>
        <v>-764</v>
      </c>
      <c r="C992" s="79">
        <f>IFERROR(VLOOKUP($G992,基本資料!$A:$J,5,0),"無")</f>
        <v>-2471</v>
      </c>
      <c r="D992" s="79">
        <f>IFERROR(VLOOKUP($G992,基本資料!$A:$J,6,0),"無")</f>
        <v>205</v>
      </c>
      <c r="E992" s="79">
        <f>IFERROR(VLOOKUP($G992,基本資料!$A:$J,7,0),"無")</f>
        <v>856</v>
      </c>
      <c r="F992" s="6">
        <f>IFERROR(VLOOKUP($G992,基本資料!$A:$J,8,0),"無")</f>
        <v>-32.799999999999997</v>
      </c>
      <c r="G992" s="79">
        <v>6241</v>
      </c>
      <c r="H992" s="8" t="s">
        <v>311</v>
      </c>
      <c r="I992" s="16" t="s">
        <v>4420</v>
      </c>
      <c r="J992" s="8" t="str">
        <f>IFERROR(VLOOKUP($G992,今日總結!$A:$AJ,35,0),"")</f>
        <v/>
      </c>
      <c r="K992" s="5" t="str">
        <f>IFERROR(VLOOKUP($G992,今日總結!$A:$AJ,36,0),"")</f>
        <v/>
      </c>
      <c r="L992" s="156" t="str">
        <f>IFERROR(VLOOKUP($G992,今日總結!$A:$AJ,33,0),"")</f>
        <v/>
      </c>
      <c r="M992" s="340" t="str">
        <f>IFERROR(VLOOKUP($G992,今日總結!$A:$AJ,34,0),"")</f>
        <v/>
      </c>
      <c r="N992" s="240" t="str">
        <f t="shared" si="187"/>
        <v/>
      </c>
      <c r="P992" s="365" t="str">
        <f>IFERROR(VLOOKUP($G992,融外自投!$A:$J,7,0),"無")</f>
        <v>無</v>
      </c>
      <c r="Q992" s="79" t="str">
        <f>IFERROR(VLOOKUP($G992,融外自投!$A:$J,9,0),"無")</f>
        <v>無</v>
      </c>
      <c r="R992" s="346" t="str">
        <f>IFERROR(VLOOKUP($G992,融外自投!$A:$J,8,0),"無")</f>
        <v>無</v>
      </c>
      <c r="S992" s="81" t="str">
        <f>IFERROR(VLOOKUP($G992,融外自投!$A:$J,10,0),"無")</f>
        <v>無</v>
      </c>
      <c r="T992" s="327" t="str">
        <f>IFERROR(VLOOKUP($G992,'321買'!$A:$E,5,0),"'沒有資料'")</f>
        <v>'沒有資料'</v>
      </c>
      <c r="U992" s="186">
        <f>IFERROR(VLOOKUP($G992,基本資料!$A:$J,9,0),"無")</f>
        <v>0</v>
      </c>
      <c r="V992" s="310">
        <f t="shared" si="185"/>
        <v>0</v>
      </c>
      <c r="W992" s="94">
        <f>IFERROR(VLOOKUP($G992,基本資料!$A:$J,10,0),"無")</f>
        <v>-3.15</v>
      </c>
      <c r="X992" s="36">
        <f>RTD("money.excel",,"6241","Price")</f>
        <v>37.549999999999997</v>
      </c>
      <c r="Y992" s="66"/>
      <c r="Z992" s="15">
        <f t="shared" si="188"/>
        <v>37.549999999999997</v>
      </c>
      <c r="AA992" s="3" t="e">
        <f t="shared" si="189"/>
        <v>#DIV/0!</v>
      </c>
      <c r="AB992" s="344">
        <f>IFERROR(VLOOKUP($G992,基本資料!$A:$M,11,0),"無")</f>
        <v>-6.14</v>
      </c>
      <c r="AC992" s="397">
        <f>IFERROR(VLOOKUP($G992,基本資料!$A:$M,12,0),"無")</f>
        <v>85.5</v>
      </c>
      <c r="AD992" s="16" t="s">
        <v>4420</v>
      </c>
      <c r="AG992" s="33">
        <f t="shared" si="190"/>
        <v>0</v>
      </c>
      <c r="AH992" s="43" t="s">
        <v>2623</v>
      </c>
      <c r="AI992" s="63">
        <f t="shared" si="194"/>
        <v>1.2106824925816023E-2</v>
      </c>
      <c r="AJ992" s="284">
        <f>RTD("money.excel",,$G992,"PredictVolume")</f>
        <v>408</v>
      </c>
      <c r="AK992" s="399">
        <f>IFERROR(VLOOKUP($G992,基本資料!$A:$M,13,0),"無")</f>
        <v>12.08</v>
      </c>
    </row>
    <row r="993" spans="1:37">
      <c r="A993" s="347">
        <f>IFERROR(VLOOKUP($G993,基本資料!$A:$J,3,0),"無")</f>
        <v>11.8</v>
      </c>
      <c r="B993" s="79">
        <f>IFERROR(VLOOKUP($G993,基本資料!$A:$J,4,0),"無")</f>
        <v>-13</v>
      </c>
      <c r="C993" s="79">
        <f>IFERROR(VLOOKUP($G993,基本資料!$A:$J,5,0),"無")</f>
        <v>-5</v>
      </c>
      <c r="D993" s="79">
        <f>IFERROR(VLOOKUP($G993,基本資料!$A:$J,6,0),"無")</f>
        <v>49</v>
      </c>
      <c r="E993" s="79">
        <f>IFERROR(VLOOKUP($G993,基本資料!$A:$J,7,0),"無")</f>
        <v>12</v>
      </c>
      <c r="F993" s="6">
        <f>IFERROR(VLOOKUP($G993,基本資料!$A:$J,8,0),"無")</f>
        <v>8.14</v>
      </c>
      <c r="G993" s="79">
        <v>6245</v>
      </c>
      <c r="H993" s="8" t="s">
        <v>311</v>
      </c>
      <c r="I993" s="16" t="s">
        <v>4421</v>
      </c>
      <c r="J993" s="8">
        <f>IFERROR(VLOOKUP($G993,今日總結!$A:$AJ,35,0),"")</f>
        <v>0</v>
      </c>
      <c r="K993" s="5">
        <f>IFERROR(VLOOKUP($G993,今日總結!$A:$AJ,36,0),"")</f>
        <v>6</v>
      </c>
      <c r="L993" s="156">
        <f>IFERROR(VLOOKUP($G993,今日總結!$A:$AJ,33,0),"")</f>
        <v>0</v>
      </c>
      <c r="M993" s="340">
        <f>IFERROR(VLOOKUP($G993,今日總結!$A:$AJ,34,0),"")</f>
        <v>2</v>
      </c>
      <c r="N993" s="240">
        <f t="shared" si="187"/>
        <v>-2</v>
      </c>
      <c r="P993" s="365">
        <f>IFERROR(VLOOKUP($G993,融外自投!$A:$J,7,0),"無")</f>
        <v>354</v>
      </c>
      <c r="Q993" s="79">
        <f>IFERROR(VLOOKUP($G993,融外自投!$A:$J,9,0),"無")</f>
        <v>447</v>
      </c>
      <c r="R993" s="346">
        <f>IFERROR(VLOOKUP($G993,融外自投!$A:$J,8,0),"無")</f>
        <v>402</v>
      </c>
      <c r="S993" s="81">
        <f>IFERROR(VLOOKUP($G993,融外自投!$A:$J,10,0),"無")</f>
        <v>234</v>
      </c>
      <c r="T993" s="327">
        <f>IFERROR(VLOOKUP($G993,'321買'!$A:$E,5,0),"'沒有資料'")</f>
        <v>634</v>
      </c>
      <c r="U993" s="186">
        <f>IFERROR(VLOOKUP($G993,基本資料!$A:$J,9,0),"無")</f>
        <v>3</v>
      </c>
      <c r="V993" s="310">
        <f t="shared" si="185"/>
        <v>5.8027079303675046E-2</v>
      </c>
      <c r="W993" s="94">
        <f>IFERROR(VLOOKUP($G993,基本資料!$A:$J,10,0),"無")</f>
        <v>4.6500000000000004</v>
      </c>
      <c r="X993" s="36">
        <f>RTD("money.excel",,"6245","Price")</f>
        <v>51.7</v>
      </c>
      <c r="Y993" s="66"/>
      <c r="Z993" s="15">
        <f t="shared" si="188"/>
        <v>51.7</v>
      </c>
      <c r="AA993" s="3" t="e">
        <f t="shared" si="189"/>
        <v>#DIV/0!</v>
      </c>
      <c r="AB993" s="344">
        <f>IFERROR(VLOOKUP($G993,基本資料!$A:$M,11,0),"無")</f>
        <v>-13.02</v>
      </c>
      <c r="AC993" s="397">
        <f>IFERROR(VLOOKUP($G993,基本資料!$A:$M,12,0),"無")</f>
        <v>50.62</v>
      </c>
      <c r="AD993" s="16" t="s">
        <v>4421</v>
      </c>
      <c r="AG993" s="33">
        <f t="shared" si="190"/>
        <v>0</v>
      </c>
      <c r="AH993" s="117" t="s">
        <v>4422</v>
      </c>
      <c r="AI993" s="63">
        <f t="shared" si="194"/>
        <v>7.3050847457627119E-3</v>
      </c>
      <c r="AJ993" s="284">
        <f>RTD("money.excel",,$G993,"PredictVolume")</f>
        <v>862</v>
      </c>
      <c r="AK993" s="399">
        <f>IFERROR(VLOOKUP($G993,基本資料!$A:$M,13,0),"無")</f>
        <v>4.22</v>
      </c>
    </row>
    <row r="994" spans="1:37">
      <c r="A994" s="347">
        <f>IFERROR(VLOOKUP($G994,基本資料!$A:$J,3,0),"無")</f>
        <v>6.25</v>
      </c>
      <c r="B994" s="79">
        <f>IFERROR(VLOOKUP($G994,基本資料!$A:$J,4,0),"無")</f>
        <v>18</v>
      </c>
      <c r="C994" s="79">
        <f>IFERROR(VLOOKUP($G994,基本資料!$A:$J,5,0),"無")</f>
        <v>18</v>
      </c>
      <c r="D994" s="79">
        <f>IFERROR(VLOOKUP($G994,基本資料!$A:$J,6,0),"無")</f>
        <v>1</v>
      </c>
      <c r="E994" s="79">
        <f>IFERROR(VLOOKUP($G994,基本資料!$A:$J,7,0),"無")</f>
        <v>9</v>
      </c>
      <c r="F994" s="6">
        <f>IFERROR(VLOOKUP($G994,基本資料!$A:$J,8,0),"無")</f>
        <v>26.82</v>
      </c>
      <c r="G994" s="79">
        <v>6263</v>
      </c>
      <c r="H994" s="8" t="s">
        <v>311</v>
      </c>
      <c r="I994" s="16" t="s">
        <v>4423</v>
      </c>
      <c r="J994" s="8" t="str">
        <f>IFERROR(VLOOKUP($G994,今日總結!$A:$AJ,35,0),"")</f>
        <v/>
      </c>
      <c r="K994" s="5" t="str">
        <f>IFERROR(VLOOKUP($G994,今日總結!$A:$AJ,36,0),"")</f>
        <v/>
      </c>
      <c r="L994" s="156" t="str">
        <f>IFERROR(VLOOKUP($G994,今日總結!$A:$AJ,33,0),"")</f>
        <v/>
      </c>
      <c r="M994" s="340" t="str">
        <f>IFERROR(VLOOKUP($G994,今日總結!$A:$AJ,34,0),"")</f>
        <v/>
      </c>
      <c r="N994" s="240" t="str">
        <f t="shared" si="187"/>
        <v/>
      </c>
      <c r="P994" s="365">
        <f>IFERROR(VLOOKUP($G994,融外自投!$A:$J,7,0),"無")</f>
        <v>1298</v>
      </c>
      <c r="Q994" s="79">
        <f>IFERROR(VLOOKUP($G994,融外自投!$A:$J,9,0),"無")</f>
        <v>614</v>
      </c>
      <c r="R994" s="346">
        <f>IFERROR(VLOOKUP($G994,融外自投!$A:$J,8,0),"無")</f>
        <v>978</v>
      </c>
      <c r="S994" s="81" t="str">
        <f>IFERROR(VLOOKUP($G994,融外自投!$A:$J,10,0),"無")</f>
        <v>無</v>
      </c>
      <c r="T994" s="327">
        <f>IFERROR(VLOOKUP($G994,'321買'!$A:$E,5,0),"'沒有資料'")</f>
        <v>1038</v>
      </c>
      <c r="U994" s="186">
        <f>IFERROR(VLOOKUP($G994,基本資料!$A:$J,9,0),"無")</f>
        <v>4.7</v>
      </c>
      <c r="V994" s="310">
        <f t="shared" ref="V994:V1016" si="195">$U994/$X994</f>
        <v>6.2251655629139077E-2</v>
      </c>
      <c r="W994" s="94">
        <f>IFERROR(VLOOKUP($G994,基本資料!$A:$J,10,0),"無")</f>
        <v>5.14</v>
      </c>
      <c r="X994" s="36">
        <f>RTD("money.excel",,"6263","Price")</f>
        <v>75.5</v>
      </c>
      <c r="Y994" s="66"/>
      <c r="Z994" s="15">
        <f t="shared" ref="Z994:Z1016" si="196">X994-Y994</f>
        <v>75.5</v>
      </c>
      <c r="AA994" s="3" t="e">
        <f t="shared" ref="AA994:AA1016" si="197">Z994/Y994</f>
        <v>#DIV/0!</v>
      </c>
      <c r="AB994" s="344">
        <f>IFERROR(VLOOKUP($G994,基本資料!$A:$M,11,0),"無")</f>
        <v>-2.58</v>
      </c>
      <c r="AC994" s="397">
        <f>IFERROR(VLOOKUP($G994,基本資料!$A:$M,12,0),"無")</f>
        <v>70.94</v>
      </c>
      <c r="AD994" s="16" t="s">
        <v>4423</v>
      </c>
      <c r="AG994" s="33">
        <f t="shared" ref="AG994:AG1016" si="198">AF994-AE994</f>
        <v>0</v>
      </c>
      <c r="AH994" s="117" t="s">
        <v>4321</v>
      </c>
      <c r="AI994" s="63">
        <f t="shared" ref="AI994:AI1016" si="199">AJ994/(A994*10000)</f>
        <v>2.4000000000000001E-4</v>
      </c>
      <c r="AJ994" s="284">
        <f>RTD("money.excel",,$G994,"PredictVolume")</f>
        <v>15</v>
      </c>
      <c r="AK994" s="399">
        <f>IFERROR(VLOOKUP($G994,基本資料!$A:$M,13,0),"無")</f>
        <v>0.6</v>
      </c>
    </row>
    <row r="995" spans="1:37">
      <c r="A995" s="347">
        <f>IFERROR(VLOOKUP($G995,基本資料!$A:$J,3,0),"無")</f>
        <v>39.64</v>
      </c>
      <c r="B995" s="79">
        <f>IFERROR(VLOOKUP($G995,基本資料!$A:$J,4,0),"無")</f>
        <v>-16</v>
      </c>
      <c r="C995" s="79">
        <f>IFERROR(VLOOKUP($G995,基本資料!$A:$J,5,0),"無")</f>
        <v>-40</v>
      </c>
      <c r="D995" s="79">
        <f>IFERROR(VLOOKUP($G995,基本資料!$A:$J,6,0),"無")</f>
        <v>-30</v>
      </c>
      <c r="E995" s="79">
        <f>IFERROR(VLOOKUP($G995,基本資料!$A:$J,7,0),"無")</f>
        <v>-2</v>
      </c>
      <c r="F995" s="6">
        <f>IFERROR(VLOOKUP($G995,基本資料!$A:$J,8,0),"無")</f>
        <v>1.31</v>
      </c>
      <c r="G995" s="79">
        <v>6285</v>
      </c>
      <c r="H995" s="8" t="s">
        <v>311</v>
      </c>
      <c r="I995" s="22" t="s">
        <v>4424</v>
      </c>
      <c r="J995" s="8">
        <f>IFERROR(VLOOKUP($G995,今日總結!$A:$AJ,35,0),"")</f>
        <v>0</v>
      </c>
      <c r="K995" s="5" t="str">
        <f>IFERROR(VLOOKUP($G995,今日總結!$A:$AJ,36,0),"")</f>
        <v>6自</v>
      </c>
      <c r="L995" s="156">
        <f>IFERROR(VLOOKUP($G995,今日總結!$A:$AJ,33,0),"")</f>
        <v>0</v>
      </c>
      <c r="M995" s="340">
        <f>IFERROR(VLOOKUP($G995,今日總結!$A:$AJ,34,0),"")</f>
        <v>4</v>
      </c>
      <c r="N995" s="240">
        <f t="shared" ref="N995:N1016" si="200">IFERROR(L995-M995,"")</f>
        <v>-4</v>
      </c>
      <c r="P995" s="365">
        <f>IFERROR(VLOOKUP($G995,融外自投!$A:$J,7,0),"無")</f>
        <v>771</v>
      </c>
      <c r="Q995" s="79">
        <f>IFERROR(VLOOKUP($G995,融外自投!$A:$J,9,0),"無")</f>
        <v>526</v>
      </c>
      <c r="R995" s="346">
        <f>IFERROR(VLOOKUP($G995,融外自投!$A:$J,8,0),"無")</f>
        <v>479</v>
      </c>
      <c r="S995" s="81">
        <f>IFERROR(VLOOKUP($G995,融外自投!$A:$J,10,0),"無")</f>
        <v>126</v>
      </c>
      <c r="T995" s="327">
        <f>IFERROR(VLOOKUP($G995,'321買'!$A:$E,5,0),"'沒有資料'")</f>
        <v>248</v>
      </c>
      <c r="U995" s="186">
        <f>IFERROR(VLOOKUP($G995,基本資料!$A:$J,9,0),"無")</f>
        <v>2.1</v>
      </c>
      <c r="V995" s="310">
        <f t="shared" si="195"/>
        <v>3.3439490445859872E-2</v>
      </c>
      <c r="W995" s="94">
        <f>IFERROR(VLOOKUP($G995,基本資料!$A:$J,10,0),"無")</f>
        <v>3.15</v>
      </c>
      <c r="X995" s="36">
        <f>RTD("money.excel",,"6285","Price")</f>
        <v>62.8</v>
      </c>
      <c r="Y995" s="66"/>
      <c r="Z995" s="15">
        <f t="shared" si="196"/>
        <v>62.8</v>
      </c>
      <c r="AA995" s="3" t="e">
        <f t="shared" si="197"/>
        <v>#DIV/0!</v>
      </c>
      <c r="AB995" s="344">
        <f>IFERROR(VLOOKUP($G995,基本資料!$A:$M,11,0),"無")</f>
        <v>-22.22</v>
      </c>
      <c r="AC995" s="397">
        <f>IFERROR(VLOOKUP($G995,基本資料!$A:$M,12,0),"無")</f>
        <v>34.01</v>
      </c>
      <c r="AD995" s="22" t="s">
        <v>4424</v>
      </c>
      <c r="AG995" s="33">
        <f t="shared" si="198"/>
        <v>0</v>
      </c>
      <c r="AH995" s="117" t="s">
        <v>4425</v>
      </c>
      <c r="AI995" s="63">
        <f t="shared" si="199"/>
        <v>1.0358224016145308E-2</v>
      </c>
      <c r="AJ995" s="284">
        <f>RTD("money.excel",,$G995,"PredictVolume")</f>
        <v>4106</v>
      </c>
      <c r="AK995" s="399">
        <f>IFERROR(VLOOKUP($G995,基本資料!$A:$M,13,0),"無")</f>
        <v>5.08</v>
      </c>
    </row>
    <row r="996" spans="1:37">
      <c r="A996" s="347">
        <f>IFERROR(VLOOKUP($G996,基本資料!$A:$J,3,0),"無")</f>
        <v>7.31</v>
      </c>
      <c r="B996" s="79">
        <f>IFERROR(VLOOKUP($G996,基本資料!$A:$J,4,0),"無")</f>
        <v>-42</v>
      </c>
      <c r="C996" s="79">
        <f>IFERROR(VLOOKUP($G996,基本資料!$A:$J,5,0),"無")</f>
        <v>-44</v>
      </c>
      <c r="D996" s="79">
        <f>IFERROR(VLOOKUP($G996,基本資料!$A:$J,6,0),"無")</f>
        <v>33</v>
      </c>
      <c r="E996" s="79">
        <f>IFERROR(VLOOKUP($G996,基本資料!$A:$J,7,0),"無")</f>
        <v>0</v>
      </c>
      <c r="F996" s="6">
        <f>IFERROR(VLOOKUP($G996,基本資料!$A:$J,8,0),"無")</f>
        <v>6.54</v>
      </c>
      <c r="G996" s="79">
        <v>6416</v>
      </c>
      <c r="H996" s="8" t="s">
        <v>311</v>
      </c>
      <c r="I996" s="22" t="s">
        <v>4426</v>
      </c>
      <c r="J996" s="8">
        <f>IFERROR(VLOOKUP($G996,今日總結!$A:$AJ,35,0),"")</f>
        <v>0</v>
      </c>
      <c r="K996" s="5" t="str">
        <f>IFERROR(VLOOKUP($G996,今日總結!$A:$AJ,36,0),"")</f>
        <v>融</v>
      </c>
      <c r="L996" s="156">
        <f>IFERROR(VLOOKUP($G996,今日總結!$A:$AJ,33,0),"")</f>
        <v>0</v>
      </c>
      <c r="M996" s="340">
        <f>IFERROR(VLOOKUP($G996,今日總結!$A:$AJ,34,0),"")</f>
        <v>1</v>
      </c>
      <c r="N996" s="240">
        <f t="shared" si="200"/>
        <v>-1</v>
      </c>
      <c r="P996" s="365">
        <f>IFERROR(VLOOKUP($G996,融外自投!$A:$J,7,0),"無")</f>
        <v>246</v>
      </c>
      <c r="Q996" s="79">
        <f>IFERROR(VLOOKUP($G996,融外自投!$A:$J,9,0),"無")</f>
        <v>936</v>
      </c>
      <c r="R996" s="346">
        <f>IFERROR(VLOOKUP($G996,融外自投!$A:$J,8,0),"無")</f>
        <v>1270</v>
      </c>
      <c r="S996" s="81" t="str">
        <f>IFERROR(VLOOKUP($G996,融外自投!$A:$J,10,0),"無")</f>
        <v>無</v>
      </c>
      <c r="T996" s="327">
        <f>IFERROR(VLOOKUP($G996,'321買'!$A:$E,5,0),"'沒有資料'")</f>
        <v>869</v>
      </c>
      <c r="U996" s="186">
        <f>IFERROR(VLOOKUP($G996,基本資料!$A:$J,9,0),"無")</f>
        <v>2</v>
      </c>
      <c r="V996" s="310">
        <f t="shared" si="195"/>
        <v>2.5252525252525252E-2</v>
      </c>
      <c r="W996" s="94">
        <f>IFERROR(VLOOKUP($G996,基本資料!$A:$J,10,0),"無")</f>
        <v>3</v>
      </c>
      <c r="X996" s="36">
        <f>RTD("money.excel",,"6416","Price")</f>
        <v>79.2</v>
      </c>
      <c r="Y996" s="66"/>
      <c r="Z996" s="15">
        <f t="shared" si="196"/>
        <v>79.2</v>
      </c>
      <c r="AA996" s="3" t="e">
        <f t="shared" si="197"/>
        <v>#DIV/0!</v>
      </c>
      <c r="AB996" s="344">
        <f>IFERROR(VLOOKUP($G996,基本資料!$A:$M,11,0),"無")</f>
        <v>-38.07</v>
      </c>
      <c r="AC996" s="397">
        <f>IFERROR(VLOOKUP($G996,基本資料!$A:$M,12,0),"無")</f>
        <v>18.760000000000002</v>
      </c>
      <c r="AD996" s="22" t="s">
        <v>4426</v>
      </c>
      <c r="AG996" s="33">
        <f t="shared" si="198"/>
        <v>0</v>
      </c>
      <c r="AH996" s="43" t="s">
        <v>4427</v>
      </c>
      <c r="AI996" s="63">
        <f t="shared" si="199"/>
        <v>7.9343365253077981E-4</v>
      </c>
      <c r="AJ996" s="284">
        <f>RTD("money.excel",,$G996,"PredictVolume")</f>
        <v>58</v>
      </c>
      <c r="AK996" s="399">
        <f>IFERROR(VLOOKUP($G996,基本資料!$A:$M,13,0),"無")</f>
        <v>17.78</v>
      </c>
    </row>
    <row r="997" spans="1:37">
      <c r="A997" s="347">
        <f>IFERROR(VLOOKUP($G997,基本資料!$A:$J,3,0),"無")</f>
        <v>4.22</v>
      </c>
      <c r="B997" s="79">
        <f>IFERROR(VLOOKUP($G997,基本資料!$A:$J,4,0),"無")</f>
        <v>17</v>
      </c>
      <c r="C997" s="79">
        <f>IFERROR(VLOOKUP($G997,基本資料!$A:$J,5,0),"無")</f>
        <v>10</v>
      </c>
      <c r="D997" s="79">
        <f>IFERROR(VLOOKUP($G997,基本資料!$A:$J,6,0),"無")</f>
        <v>12</v>
      </c>
      <c r="E997" s="79">
        <f>IFERROR(VLOOKUP($G997,基本資料!$A:$J,7,0),"無")</f>
        <v>22</v>
      </c>
      <c r="F997" s="6">
        <f>IFERROR(VLOOKUP($G997,基本資料!$A:$J,8,0),"無")</f>
        <v>12.09</v>
      </c>
      <c r="G997" s="79">
        <v>6417</v>
      </c>
      <c r="H997" s="8" t="s">
        <v>311</v>
      </c>
      <c r="I997" s="16" t="s">
        <v>4428</v>
      </c>
      <c r="J997" s="8" t="str">
        <f>IFERROR(VLOOKUP($G997,今日總結!$A:$AJ,35,0),"")</f>
        <v/>
      </c>
      <c r="K997" s="5" t="str">
        <f>IFERROR(VLOOKUP($G997,今日總結!$A:$AJ,36,0),"")</f>
        <v/>
      </c>
      <c r="L997" s="156" t="str">
        <f>IFERROR(VLOOKUP($G997,今日總結!$A:$AJ,33,0),"")</f>
        <v/>
      </c>
      <c r="M997" s="340" t="str">
        <f>IFERROR(VLOOKUP($G997,今日總結!$A:$AJ,34,0),"")</f>
        <v/>
      </c>
      <c r="N997" s="240" t="str">
        <f t="shared" si="200"/>
        <v/>
      </c>
      <c r="P997" s="365">
        <f>IFERROR(VLOOKUP($G997,融外自投!$A:$J,7,0),"無")</f>
        <v>145</v>
      </c>
      <c r="Q997" s="79" t="str">
        <f>IFERROR(VLOOKUP($G997,融外自投!$A:$J,9,0),"無")</f>
        <v>無</v>
      </c>
      <c r="R997" s="346">
        <f>IFERROR(VLOOKUP($G997,融外自投!$A:$J,8,0),"無")</f>
        <v>438</v>
      </c>
      <c r="S997" s="81" t="str">
        <f>IFERROR(VLOOKUP($G997,融外自投!$A:$J,10,0),"無")</f>
        <v>無</v>
      </c>
      <c r="T997" s="327" t="str">
        <f>IFERROR(VLOOKUP($G997,'321買'!$A:$E,5,0),"'沒有資料'")</f>
        <v>'沒有資料'</v>
      </c>
      <c r="U997" s="186">
        <f>IFERROR(VLOOKUP($G997,基本資料!$A:$J,9,0),"無")</f>
        <v>1.5</v>
      </c>
      <c r="V997" s="310">
        <f t="shared" si="195"/>
        <v>2.0026702269692921E-2</v>
      </c>
      <c r="W997" s="94">
        <f>IFERROR(VLOOKUP($G997,基本資料!$A:$J,10,0),"無")</f>
        <v>3.02</v>
      </c>
      <c r="X997" s="36">
        <f>RTD("money.excel",,"6417","Price")</f>
        <v>74.900000000000006</v>
      </c>
      <c r="Y997" s="66"/>
      <c r="Z997" s="15">
        <f t="shared" si="196"/>
        <v>74.900000000000006</v>
      </c>
      <c r="AA997" s="3" t="e">
        <f t="shared" si="197"/>
        <v>#DIV/0!</v>
      </c>
      <c r="AB997" s="344">
        <f>IFERROR(VLOOKUP($G997,基本資料!$A:$M,11,0),"無")</f>
        <v>-9.94</v>
      </c>
      <c r="AC997" s="397">
        <f>IFERROR(VLOOKUP($G997,基本資料!$A:$M,12,0),"無")</f>
        <v>20.39</v>
      </c>
      <c r="AD997" s="16" t="s">
        <v>4428</v>
      </c>
      <c r="AG997" s="33">
        <f t="shared" si="198"/>
        <v>0</v>
      </c>
      <c r="AH997" s="43" t="s">
        <v>2624</v>
      </c>
      <c r="AI997" s="63">
        <f t="shared" si="199"/>
        <v>4.7393364928909951E-5</v>
      </c>
      <c r="AJ997" s="284">
        <f>RTD("money.excel",,$G997,"PredictVolume")</f>
        <v>2</v>
      </c>
      <c r="AK997" s="399">
        <f>IFERROR(VLOOKUP($G997,基本資料!$A:$M,13,0),"無")</f>
        <v>1.36</v>
      </c>
    </row>
    <row r="998" spans="1:37">
      <c r="A998" s="347">
        <f>IFERROR(VLOOKUP($G998,基本資料!$A:$J,3,0),"無")</f>
        <v>3.85</v>
      </c>
      <c r="B998" s="79">
        <f>IFERROR(VLOOKUP($G998,基本資料!$A:$J,4,0),"無")</f>
        <v>-91</v>
      </c>
      <c r="C998" s="79">
        <f>IFERROR(VLOOKUP($G998,基本資料!$A:$J,5,0),"無")</f>
        <v>-93</v>
      </c>
      <c r="D998" s="79">
        <f>IFERROR(VLOOKUP($G998,基本資料!$A:$J,6,0),"無")</f>
        <v>11</v>
      </c>
      <c r="E998" s="79">
        <f>IFERROR(VLOOKUP($G998,基本資料!$A:$J,7,0),"無")</f>
        <v>11</v>
      </c>
      <c r="F998" s="6">
        <f>IFERROR(VLOOKUP($G998,基本資料!$A:$J,8,0),"無")</f>
        <v>2.31</v>
      </c>
      <c r="G998" s="79">
        <v>6426</v>
      </c>
      <c r="H998" s="195" t="s">
        <v>311</v>
      </c>
      <c r="I998" s="22" t="s">
        <v>4429</v>
      </c>
      <c r="J998" s="8" t="str">
        <f>IFERROR(VLOOKUP($G998,今日總結!$A:$AJ,35,0),"")</f>
        <v/>
      </c>
      <c r="K998" s="5" t="str">
        <f>IFERROR(VLOOKUP($G998,今日總結!$A:$AJ,36,0),"")</f>
        <v/>
      </c>
      <c r="L998" s="156" t="str">
        <f>IFERROR(VLOOKUP($G998,今日總結!$A:$AJ,33,0),"")</f>
        <v/>
      </c>
      <c r="M998" s="340" t="str">
        <f>IFERROR(VLOOKUP($G998,今日總結!$A:$AJ,34,0),"")</f>
        <v/>
      </c>
      <c r="N998" s="240" t="str">
        <f t="shared" si="200"/>
        <v/>
      </c>
      <c r="P998" s="365">
        <f>IFERROR(VLOOKUP($G998,融外自投!$A:$J,7,0),"無")</f>
        <v>239</v>
      </c>
      <c r="Q998" s="79">
        <f>IFERROR(VLOOKUP($G998,融外自投!$A:$J,9,0),"無")</f>
        <v>571</v>
      </c>
      <c r="R998" s="346">
        <f>IFERROR(VLOOKUP($G998,融外自投!$A:$J,8,0),"無")</f>
        <v>714</v>
      </c>
      <c r="S998" s="81" t="str">
        <f>IFERROR(VLOOKUP($G998,融外自投!$A:$J,10,0),"無")</f>
        <v>無</v>
      </c>
      <c r="T998" s="327">
        <f>IFERROR(VLOOKUP($G998,'321買'!$A:$E,5,0),"'沒有資料'")</f>
        <v>1161</v>
      </c>
      <c r="U998" s="186">
        <f>IFERROR(VLOOKUP($G998,基本資料!$A:$J,9,0),"無")</f>
        <v>2</v>
      </c>
      <c r="V998" s="310">
        <f t="shared" si="195"/>
        <v>3.110419906687403E-2</v>
      </c>
      <c r="W998" s="94">
        <f>IFERROR(VLOOKUP($G998,基本資料!$A:$J,10,0),"無")</f>
        <v>0.3</v>
      </c>
      <c r="X998" s="36">
        <f>RTD("money.excel",,"6426","Price")</f>
        <v>64.3</v>
      </c>
      <c r="Y998" s="66"/>
      <c r="Z998" s="15">
        <f t="shared" si="196"/>
        <v>64.3</v>
      </c>
      <c r="AA998" s="3" t="e">
        <f t="shared" si="197"/>
        <v>#DIV/0!</v>
      </c>
      <c r="AB998" s="344">
        <f>IFERROR(VLOOKUP($G998,基本資料!$A:$M,11,0),"無")</f>
        <v>-25.17</v>
      </c>
      <c r="AC998" s="397">
        <f>IFERROR(VLOOKUP($G998,基本資料!$A:$M,12,0),"無")</f>
        <v>25.44</v>
      </c>
      <c r="AD998" s="22" t="s">
        <v>4429</v>
      </c>
      <c r="AG998" s="33">
        <f t="shared" si="198"/>
        <v>0</v>
      </c>
      <c r="AH998" s="119" t="s">
        <v>4430</v>
      </c>
      <c r="AI998" s="63">
        <f t="shared" si="199"/>
        <v>6.7532467532467535E-4</v>
      </c>
      <c r="AJ998" s="284">
        <f>RTD("money.excel",,$G998,"PredictVolume")</f>
        <v>26</v>
      </c>
      <c r="AK998" s="399">
        <f>IFERROR(VLOOKUP($G998,基本資料!$A:$M,13,0),"無")</f>
        <v>4.2</v>
      </c>
    </row>
    <row r="999" spans="1:37">
      <c r="A999" s="347">
        <f>IFERROR(VLOOKUP($G999,基本資料!$A:$J,3,0),"無")</f>
        <v>6.93</v>
      </c>
      <c r="B999" s="79">
        <f>IFERROR(VLOOKUP($G999,基本資料!$A:$J,4,0),"無")</f>
        <v>371</v>
      </c>
      <c r="C999" s="79">
        <f>IFERROR(VLOOKUP($G999,基本資料!$A:$J,5,0),"無")</f>
        <v>562</v>
      </c>
      <c r="D999" s="79">
        <f>IFERROR(VLOOKUP($G999,基本資料!$A:$J,6,0),"無")</f>
        <v>39</v>
      </c>
      <c r="E999" s="79">
        <f>IFERROR(VLOOKUP($G999,基本資料!$A:$J,7,0),"無")</f>
        <v>11</v>
      </c>
      <c r="F999" s="6">
        <f>IFERROR(VLOOKUP($G999,基本資料!$A:$J,8,0),"無")</f>
        <v>6.43</v>
      </c>
      <c r="G999" s="79">
        <v>6442</v>
      </c>
      <c r="H999" s="8" t="s">
        <v>311</v>
      </c>
      <c r="I999" s="22" t="s">
        <v>4431</v>
      </c>
      <c r="J999" s="8" t="str">
        <f>IFERROR(VLOOKUP($G999,今日總結!$A:$AJ,35,0),"")</f>
        <v/>
      </c>
      <c r="K999" s="5" t="str">
        <f>IFERROR(VLOOKUP($G999,今日總結!$A:$AJ,36,0),"")</f>
        <v/>
      </c>
      <c r="L999" s="156" t="str">
        <f>IFERROR(VLOOKUP($G999,今日總結!$A:$AJ,33,0),"")</f>
        <v/>
      </c>
      <c r="M999" s="340" t="str">
        <f>IFERROR(VLOOKUP($G999,今日總結!$A:$AJ,34,0),"")</f>
        <v/>
      </c>
      <c r="N999" s="240" t="str">
        <f t="shared" si="200"/>
        <v/>
      </c>
      <c r="P999" s="365">
        <f>IFERROR(VLOOKUP($G999,融外自投!$A:$J,7,0),"無")</f>
        <v>521</v>
      </c>
      <c r="Q999" s="79">
        <f>IFERROR(VLOOKUP($G999,融外自投!$A:$J,9,0),"無")</f>
        <v>1051</v>
      </c>
      <c r="R999" s="346">
        <f>IFERROR(VLOOKUP($G999,融外自投!$A:$J,8,0),"無")</f>
        <v>154</v>
      </c>
      <c r="S999" s="81" t="str">
        <f>IFERROR(VLOOKUP($G999,融外自投!$A:$J,10,0),"無")</f>
        <v>無</v>
      </c>
      <c r="T999" s="327">
        <f>IFERROR(VLOOKUP($G999,'321買'!$A:$E,5,0),"'沒有資料'")</f>
        <v>1214</v>
      </c>
      <c r="U999" s="186">
        <f>IFERROR(VLOOKUP($G999,基本資料!$A:$J,9,0),"無")</f>
        <v>1.2</v>
      </c>
      <c r="V999" s="310">
        <f t="shared" si="195"/>
        <v>3.2967032967032968E-2</v>
      </c>
      <c r="W999" s="94">
        <f>IFERROR(VLOOKUP($G999,基本資料!$A:$J,10,0),"無")</f>
        <v>1.56</v>
      </c>
      <c r="X999" s="36">
        <f>RTD("money.excel",,"6442","Price")</f>
        <v>36.4</v>
      </c>
      <c r="Y999" s="66"/>
      <c r="Z999" s="15">
        <f t="shared" si="196"/>
        <v>36.4</v>
      </c>
      <c r="AA999" s="3" t="e">
        <f t="shared" si="197"/>
        <v>#DIV/0!</v>
      </c>
      <c r="AB999" s="344">
        <f>IFERROR(VLOOKUP($G999,基本資料!$A:$M,11,0),"無")</f>
        <v>-18.670000000000002</v>
      </c>
      <c r="AC999" s="397">
        <f>IFERROR(VLOOKUP($G999,基本資料!$A:$M,12,0),"無")</f>
        <v>36.53</v>
      </c>
      <c r="AD999" s="22" t="s">
        <v>4431</v>
      </c>
      <c r="AG999" s="33">
        <f t="shared" si="198"/>
        <v>0</v>
      </c>
      <c r="AH999" s="43" t="s">
        <v>1903</v>
      </c>
      <c r="AI999" s="63">
        <f t="shared" si="199"/>
        <v>4.4733044733044733E-4</v>
      </c>
      <c r="AJ999" s="284">
        <f>RTD("money.excel",,$G999,"PredictVolume")</f>
        <v>31</v>
      </c>
      <c r="AK999" s="399">
        <f>IFERROR(VLOOKUP($G999,基本資料!$A:$M,13,0),"無")</f>
        <v>1.17</v>
      </c>
    </row>
    <row r="1000" spans="1:37">
      <c r="A1000" s="347">
        <f>IFERROR(VLOOKUP($G1000,基本資料!$A:$J,3,0),"無")</f>
        <v>3.26</v>
      </c>
      <c r="B1000" s="79">
        <f>IFERROR(VLOOKUP($G1000,基本資料!$A:$J,4,0),"無")</f>
        <v>-28</v>
      </c>
      <c r="C1000" s="79">
        <f>IFERROR(VLOOKUP($G1000,基本資料!$A:$J,5,0),"無")</f>
        <v>-43</v>
      </c>
      <c r="D1000" s="79">
        <f>IFERROR(VLOOKUP($G1000,基本資料!$A:$J,6,0),"無")</f>
        <v>23</v>
      </c>
      <c r="E1000" s="79">
        <f>IFERROR(VLOOKUP($G1000,基本資料!$A:$J,7,0),"無")</f>
        <v>96</v>
      </c>
      <c r="F1000" s="6">
        <f>IFERROR(VLOOKUP($G1000,基本資料!$A:$J,8,0),"無")</f>
        <v>7.96</v>
      </c>
      <c r="G1000" s="79">
        <v>6470</v>
      </c>
      <c r="H1000" s="8" t="s">
        <v>311</v>
      </c>
      <c r="I1000" s="16" t="s">
        <v>4432</v>
      </c>
      <c r="J1000" s="8">
        <f>IFERROR(VLOOKUP($G1000,今日總結!$A:$AJ,35,0),"")</f>
        <v>0</v>
      </c>
      <c r="K1000" s="5">
        <f>IFERROR(VLOOKUP($G1000,今日總結!$A:$AJ,36,0),"")</f>
        <v>9</v>
      </c>
      <c r="L1000" s="156">
        <f>IFERROR(VLOOKUP($G1000,今日總結!$A:$AJ,33,0),"")</f>
        <v>0</v>
      </c>
      <c r="M1000" s="340">
        <f>IFERROR(VLOOKUP($G1000,今日總結!$A:$AJ,34,0),"")</f>
        <v>1</v>
      </c>
      <c r="N1000" s="240">
        <f t="shared" si="200"/>
        <v>-1</v>
      </c>
      <c r="P1000" s="365">
        <f>IFERROR(VLOOKUP($G1000,融外自投!$A:$J,7,0),"無")</f>
        <v>6</v>
      </c>
      <c r="Q1000" s="79">
        <f>IFERROR(VLOOKUP($G1000,融外自投!$A:$J,9,0),"無")</f>
        <v>978</v>
      </c>
      <c r="R1000" s="346">
        <f>IFERROR(VLOOKUP($G1000,融外自投!$A:$J,8,0),"無")</f>
        <v>577</v>
      </c>
      <c r="S1000" s="81">
        <f>IFERROR(VLOOKUP($G1000,融外自投!$A:$J,10,0),"無")</f>
        <v>130</v>
      </c>
      <c r="T1000" s="327">
        <f>IFERROR(VLOOKUP($G1000,'321買'!$A:$E,5,0),"'沒有資料'")</f>
        <v>984</v>
      </c>
      <c r="U1000" s="186">
        <f>IFERROR(VLOOKUP($G1000,基本資料!$A:$J,9,0),"無")</f>
        <v>2.7</v>
      </c>
      <c r="V1000" s="310">
        <f t="shared" si="195"/>
        <v>4.1221374045801527E-2</v>
      </c>
      <c r="W1000" s="94">
        <f>IFERROR(VLOOKUP($G1000,基本資料!$A:$J,10,0),"無")</f>
        <v>3.42</v>
      </c>
      <c r="X1000" s="36">
        <f>RTD("money.excel",,"6470","Price")</f>
        <v>65.5</v>
      </c>
      <c r="Y1000" s="66"/>
      <c r="Z1000" s="15">
        <f t="shared" si="196"/>
        <v>65.5</v>
      </c>
      <c r="AA1000" s="3" t="e">
        <f t="shared" si="197"/>
        <v>#DIV/0!</v>
      </c>
      <c r="AB1000" s="344">
        <f>IFERROR(VLOOKUP($G1000,基本資料!$A:$M,11,0),"無")</f>
        <v>-8.4</v>
      </c>
      <c r="AC1000" s="397">
        <f>IFERROR(VLOOKUP($G1000,基本資料!$A:$M,12,0),"無")</f>
        <v>74.92</v>
      </c>
      <c r="AD1000" s="16" t="s">
        <v>4432</v>
      </c>
      <c r="AG1000" s="33">
        <f t="shared" si="198"/>
        <v>0</v>
      </c>
      <c r="AH1000" s="43" t="s">
        <v>4433</v>
      </c>
      <c r="AI1000" s="63">
        <f t="shared" si="199"/>
        <v>0.34472392638036814</v>
      </c>
      <c r="AJ1000" s="284">
        <f>RTD("money.excel",,$G1000,"PredictVolume")</f>
        <v>11238</v>
      </c>
      <c r="AK1000" s="399">
        <f>IFERROR(VLOOKUP($G1000,基本資料!$A:$M,13,0),"無")</f>
        <v>39.24</v>
      </c>
    </row>
    <row r="1001" spans="1:37">
      <c r="A1001" s="347">
        <f>IFERROR(VLOOKUP($G1001,基本資料!$A:$J,3,0),"無")</f>
        <v>3.93</v>
      </c>
      <c r="B1001" s="79">
        <f>IFERROR(VLOOKUP($G1001,基本資料!$A:$J,4,0),"無")</f>
        <v>11</v>
      </c>
      <c r="C1001" s="79">
        <f>IFERROR(VLOOKUP($G1001,基本資料!$A:$J,5,0),"無")</f>
        <v>9</v>
      </c>
      <c r="D1001" s="79">
        <f>IFERROR(VLOOKUP($G1001,基本資料!$A:$J,6,0),"無")</f>
        <v>-26</v>
      </c>
      <c r="E1001" s="79">
        <f>IFERROR(VLOOKUP($G1001,基本資料!$A:$J,7,0),"無")</f>
        <v>-20</v>
      </c>
      <c r="F1001" s="6">
        <f>IFERROR(VLOOKUP($G1001,基本資料!$A:$J,8,0),"無")</f>
        <v>16.03</v>
      </c>
      <c r="G1001" s="79">
        <v>6486</v>
      </c>
      <c r="H1001" s="8" t="s">
        <v>311</v>
      </c>
      <c r="I1001" s="16" t="s">
        <v>4434</v>
      </c>
      <c r="J1001" s="8">
        <f>IFERROR(VLOOKUP($G1001,今日總結!$A:$AJ,35,0),"")</f>
        <v>0</v>
      </c>
      <c r="K1001" s="5" t="str">
        <f>IFERROR(VLOOKUP($G1001,今日總結!$A:$AJ,36,0),"")</f>
        <v>外</v>
      </c>
      <c r="L1001" s="156">
        <f>IFERROR(VLOOKUP($G1001,今日總結!$A:$AJ,33,0),"")</f>
        <v>0</v>
      </c>
      <c r="M1001" s="340">
        <f>IFERROR(VLOOKUP($G1001,今日總結!$A:$AJ,34,0),"")</f>
        <v>1</v>
      </c>
      <c r="N1001" s="240">
        <f t="shared" si="200"/>
        <v>-1</v>
      </c>
      <c r="P1001" s="365">
        <f>IFERROR(VLOOKUP($G1001,融外自投!$A:$J,7,0),"無")</f>
        <v>921</v>
      </c>
      <c r="Q1001" s="79" t="str">
        <f>IFERROR(VLOOKUP($G1001,融外自投!$A:$J,9,0),"無")</f>
        <v>無</v>
      </c>
      <c r="R1001" s="346">
        <f>IFERROR(VLOOKUP($G1001,融外自投!$A:$J,8,0),"無")</f>
        <v>1229</v>
      </c>
      <c r="S1001" s="81" t="str">
        <f>IFERROR(VLOOKUP($G1001,融外自投!$A:$J,10,0),"無")</f>
        <v>無</v>
      </c>
      <c r="T1001" s="327">
        <f>IFERROR(VLOOKUP($G1001,'321買'!$A:$E,5,0),"'沒有資料'")</f>
        <v>869</v>
      </c>
      <c r="U1001" s="186">
        <f>IFERROR(VLOOKUP($G1001,基本資料!$A:$J,9,0),"無")</f>
        <v>6.5</v>
      </c>
      <c r="V1001" s="310">
        <f t="shared" si="195"/>
        <v>8.9903181189488243E-2</v>
      </c>
      <c r="W1001" s="94">
        <f>IFERROR(VLOOKUP($G1001,基本資料!$A:$J,10,0),"無")</f>
        <v>6.73</v>
      </c>
      <c r="X1001" s="36">
        <f>RTD("money.excel",,"6486","Price")</f>
        <v>72.3</v>
      </c>
      <c r="Y1001" s="66"/>
      <c r="Z1001" s="15">
        <f t="shared" si="196"/>
        <v>72.3</v>
      </c>
      <c r="AA1001" s="3" t="e">
        <f t="shared" si="197"/>
        <v>#DIV/0!</v>
      </c>
      <c r="AB1001" s="344">
        <f>IFERROR(VLOOKUP($G1001,基本資料!$A:$M,11,0),"無")</f>
        <v>-10.07</v>
      </c>
      <c r="AC1001" s="397">
        <f>IFERROR(VLOOKUP($G1001,基本資料!$A:$M,12,0),"無")</f>
        <v>25.61</v>
      </c>
      <c r="AD1001" s="16" t="s">
        <v>4434</v>
      </c>
      <c r="AG1001" s="33">
        <f t="shared" si="198"/>
        <v>0</v>
      </c>
      <c r="AH1001" s="43" t="s">
        <v>4435</v>
      </c>
      <c r="AI1001" s="63">
        <f t="shared" si="199"/>
        <v>9.6692111959287535E-4</v>
      </c>
      <c r="AJ1001" s="284">
        <f>RTD("money.excel",,$G1001,"PredictVolume")</f>
        <v>38</v>
      </c>
      <c r="AK1001" s="399">
        <f>IFERROR(VLOOKUP($G1001,基本資料!$A:$M,13,0),"無")</f>
        <v>2.36</v>
      </c>
    </row>
    <row r="1002" spans="1:37">
      <c r="A1002" s="347">
        <f>IFERROR(VLOOKUP($G1002,基本資料!$A:$J,3,0),"無")</f>
        <v>3</v>
      </c>
      <c r="B1002" s="79">
        <f>IFERROR(VLOOKUP($G1002,基本資料!$A:$J,4,0),"無")</f>
        <v>48</v>
      </c>
      <c r="C1002" s="79">
        <f>IFERROR(VLOOKUP($G1002,基本資料!$A:$J,5,0),"無")</f>
        <v>30</v>
      </c>
      <c r="D1002" s="79">
        <f>IFERROR(VLOOKUP($G1002,基本資料!$A:$J,6,0),"無")</f>
        <v>-91</v>
      </c>
      <c r="E1002" s="79">
        <f>IFERROR(VLOOKUP($G1002,基本資料!$A:$J,7,0),"無")</f>
        <v>-91</v>
      </c>
      <c r="F1002" s="6">
        <f>IFERROR(VLOOKUP($G1002,基本資料!$A:$J,8,0),"無")</f>
        <v>14.05</v>
      </c>
      <c r="G1002" s="79">
        <v>6514</v>
      </c>
      <c r="H1002" s="8" t="s">
        <v>311</v>
      </c>
      <c r="I1002" s="16" t="s">
        <v>4436</v>
      </c>
      <c r="J1002" s="8">
        <f>IFERROR(VLOOKUP($G1002,今日總結!$A:$AJ,35,0),"")</f>
        <v>0</v>
      </c>
      <c r="K1002" s="5" t="str">
        <f>IFERROR(VLOOKUP($G1002,今日總結!$A:$AJ,36,0),"")</f>
        <v>融</v>
      </c>
      <c r="L1002" s="156">
        <f>IFERROR(VLOOKUP($G1002,今日總結!$A:$AJ,33,0),"")</f>
        <v>0</v>
      </c>
      <c r="M1002" s="340">
        <f>IFERROR(VLOOKUP($G1002,今日總結!$A:$AJ,34,0),"")</f>
        <v>1</v>
      </c>
      <c r="N1002" s="240">
        <f t="shared" si="200"/>
        <v>-1</v>
      </c>
      <c r="P1002" s="365">
        <f>IFERROR(VLOOKUP($G1002,融外自投!$A:$J,7,0),"無")</f>
        <v>353</v>
      </c>
      <c r="Q1002" s="79" t="str">
        <f>IFERROR(VLOOKUP($G1002,融外自投!$A:$J,9,0),"無")</f>
        <v>無</v>
      </c>
      <c r="R1002" s="346">
        <f>IFERROR(VLOOKUP($G1002,融外自投!$A:$J,8,0),"無")</f>
        <v>57</v>
      </c>
      <c r="S1002" s="81" t="str">
        <f>IFERROR(VLOOKUP($G1002,融外自投!$A:$J,10,0),"無")</f>
        <v>無</v>
      </c>
      <c r="T1002" s="327">
        <f>IFERROR(VLOOKUP($G1002,'321買'!$A:$E,5,0),"'沒有資料'")</f>
        <v>894</v>
      </c>
      <c r="U1002" s="186">
        <f>IFERROR(VLOOKUP($G1002,基本資料!$A:$J,9,0),"無")</f>
        <v>3.2</v>
      </c>
      <c r="V1002" s="310">
        <f t="shared" si="195"/>
        <v>5.1612903225806452E-2</v>
      </c>
      <c r="W1002" s="94">
        <f>IFERROR(VLOOKUP($G1002,基本資料!$A:$J,10,0),"無")</f>
        <v>3.1</v>
      </c>
      <c r="X1002" s="36">
        <f>RTD("money.excel",,"6514","Price")</f>
        <v>62</v>
      </c>
      <c r="Y1002" s="66"/>
      <c r="Z1002" s="15">
        <f t="shared" si="196"/>
        <v>62</v>
      </c>
      <c r="AA1002" s="3" t="e">
        <f t="shared" si="197"/>
        <v>#DIV/0!</v>
      </c>
      <c r="AB1002" s="344">
        <f>IFERROR(VLOOKUP($G1002,基本資料!$A:$M,11,0),"無")</f>
        <v>-37.5</v>
      </c>
      <c r="AC1002" s="397">
        <f>IFERROR(VLOOKUP($G1002,基本資料!$A:$M,12,0),"無")</f>
        <v>31</v>
      </c>
      <c r="AD1002" s="16" t="s">
        <v>4436</v>
      </c>
      <c r="AG1002" s="33">
        <f t="shared" si="198"/>
        <v>0</v>
      </c>
      <c r="AH1002" s="43" t="s">
        <v>4437</v>
      </c>
      <c r="AI1002" s="63">
        <f t="shared" si="199"/>
        <v>5.933333333333333E-3</v>
      </c>
      <c r="AJ1002" s="284">
        <f>RTD("money.excel",,$G1002,"PredictVolume")</f>
        <v>178</v>
      </c>
      <c r="AK1002" s="399">
        <f>IFERROR(VLOOKUP($G1002,基本資料!$A:$M,13,0),"無")</f>
        <v>22.77</v>
      </c>
    </row>
    <row r="1003" spans="1:37">
      <c r="A1003" s="347">
        <f>IFERROR(VLOOKUP($G1003,基本資料!$A:$J,3,0),"無")</f>
        <v>3.37</v>
      </c>
      <c r="B1003" s="79">
        <f>IFERROR(VLOOKUP($G1003,基本資料!$A:$J,4,0),"無")</f>
        <v>42</v>
      </c>
      <c r="C1003" s="79">
        <f>IFERROR(VLOOKUP($G1003,基本資料!$A:$J,5,0),"無")</f>
        <v>40</v>
      </c>
      <c r="D1003" s="79">
        <f>IFERROR(VLOOKUP($G1003,基本資料!$A:$J,6,0),"無")</f>
        <v>52</v>
      </c>
      <c r="E1003" s="79">
        <f>IFERROR(VLOOKUP($G1003,基本資料!$A:$J,7,0),"無")</f>
        <v>19</v>
      </c>
      <c r="F1003" s="6">
        <f>IFERROR(VLOOKUP($G1003,基本資料!$A:$J,8,0),"無")</f>
        <v>17.010000000000002</v>
      </c>
      <c r="G1003" s="79">
        <v>6530</v>
      </c>
      <c r="H1003" s="8" t="s">
        <v>311</v>
      </c>
      <c r="I1003" s="16" t="s">
        <v>4438</v>
      </c>
      <c r="J1003" s="8" t="str">
        <f>IFERROR(VLOOKUP($G1003,今日總結!$A:$AJ,35,0),"")</f>
        <v/>
      </c>
      <c r="K1003" s="5" t="str">
        <f>IFERROR(VLOOKUP($G1003,今日總結!$A:$AJ,36,0),"")</f>
        <v/>
      </c>
      <c r="L1003" s="156" t="str">
        <f>IFERROR(VLOOKUP($G1003,今日總結!$A:$AJ,33,0),"")</f>
        <v/>
      </c>
      <c r="M1003" s="340" t="str">
        <f>IFERROR(VLOOKUP($G1003,今日總結!$A:$AJ,34,0),"")</f>
        <v/>
      </c>
      <c r="N1003" s="240" t="str">
        <f t="shared" si="200"/>
        <v/>
      </c>
      <c r="P1003" s="365">
        <f>IFERROR(VLOOKUP($G1003,融外自投!$A:$J,7,0),"無")</f>
        <v>531</v>
      </c>
      <c r="Q1003" s="79">
        <f>IFERROR(VLOOKUP($G1003,融外自投!$A:$J,9,0),"無")</f>
        <v>936</v>
      </c>
      <c r="R1003" s="346">
        <f>IFERROR(VLOOKUP($G1003,融外自投!$A:$J,8,0),"無")</f>
        <v>1213</v>
      </c>
      <c r="S1003" s="81" t="str">
        <f>IFERROR(VLOOKUP($G1003,融外自投!$A:$J,10,0),"無")</f>
        <v>無</v>
      </c>
      <c r="T1003" s="327">
        <f>IFERROR(VLOOKUP($G1003,'321買'!$A:$E,5,0),"'沒有資料'")</f>
        <v>1126</v>
      </c>
      <c r="U1003" s="186">
        <f>IFERROR(VLOOKUP($G1003,基本資料!$A:$J,9,0),"無")</f>
        <v>1.1000000000000001</v>
      </c>
      <c r="V1003" s="310">
        <f t="shared" si="195"/>
        <v>5.2009456264775419E-2</v>
      </c>
      <c r="W1003" s="94">
        <f>IFERROR(VLOOKUP($G1003,基本資料!$A:$J,10,0),"無")</f>
        <v>1.0900000000000001</v>
      </c>
      <c r="X1003" s="36">
        <f>RTD("money.excel",,"6530","Price")</f>
        <v>21.15</v>
      </c>
      <c r="Y1003" s="66"/>
      <c r="Z1003" s="15">
        <f t="shared" si="196"/>
        <v>21.15</v>
      </c>
      <c r="AA1003" s="3" t="e">
        <f t="shared" si="197"/>
        <v>#DIV/0!</v>
      </c>
      <c r="AB1003" s="344">
        <f>IFERROR(VLOOKUP($G1003,基本資料!$A:$M,11,0),"無")</f>
        <v>-34.11</v>
      </c>
      <c r="AC1003" s="397">
        <f>IFERROR(VLOOKUP($G1003,基本資料!$A:$M,12,0),"無")</f>
        <v>45.15</v>
      </c>
      <c r="AD1003" s="16" t="s">
        <v>4438</v>
      </c>
      <c r="AG1003" s="33">
        <f t="shared" si="198"/>
        <v>0</v>
      </c>
      <c r="AH1003" s="43" t="s">
        <v>4357</v>
      </c>
      <c r="AI1003" s="63">
        <f t="shared" si="199"/>
        <v>3.6201780415430268E-3</v>
      </c>
      <c r="AJ1003" s="284">
        <f>RTD("money.excel",,$G1003,"PredictVolume")</f>
        <v>122</v>
      </c>
      <c r="AK1003" s="399">
        <f>IFERROR(VLOOKUP($G1003,基本資料!$A:$M,13,0),"無")</f>
        <v>23.79</v>
      </c>
    </row>
    <row r="1004" spans="1:37">
      <c r="A1004" s="347">
        <f>IFERROR(VLOOKUP($G1004,基本資料!$A:$J,3,0),"無")</f>
        <v>7.06</v>
      </c>
      <c r="B1004" s="79">
        <f>IFERROR(VLOOKUP($G1004,基本資料!$A:$J,4,0),"無")</f>
        <v>12</v>
      </c>
      <c r="C1004" s="79">
        <f>IFERROR(VLOOKUP($G1004,基本資料!$A:$J,5,0),"無")</f>
        <v>12</v>
      </c>
      <c r="D1004" s="79">
        <f>IFERROR(VLOOKUP($G1004,基本資料!$A:$J,6,0),"無")</f>
        <v>-6</v>
      </c>
      <c r="E1004" s="79">
        <f>IFERROR(VLOOKUP($G1004,基本資料!$A:$J,7,0),"無")</f>
        <v>6</v>
      </c>
      <c r="F1004" s="6">
        <f>IFERROR(VLOOKUP($G1004,基本資料!$A:$J,8,0),"無")</f>
        <v>31.09</v>
      </c>
      <c r="G1004" s="79">
        <v>6561</v>
      </c>
      <c r="H1004" s="8" t="s">
        <v>311</v>
      </c>
      <c r="I1004" s="16" t="s">
        <v>4439</v>
      </c>
      <c r="J1004" s="8" t="str">
        <f>IFERROR(VLOOKUP($G1004,今日總結!$A:$AJ,35,0),"")</f>
        <v/>
      </c>
      <c r="K1004" s="5" t="str">
        <f>IFERROR(VLOOKUP($G1004,今日總結!$A:$AJ,36,0),"")</f>
        <v/>
      </c>
      <c r="L1004" s="156" t="str">
        <f>IFERROR(VLOOKUP($G1004,今日總結!$A:$AJ,33,0),"")</f>
        <v/>
      </c>
      <c r="M1004" s="340" t="str">
        <f>IFERROR(VLOOKUP($G1004,今日總結!$A:$AJ,34,0),"")</f>
        <v/>
      </c>
      <c r="N1004" s="240" t="str">
        <f t="shared" si="200"/>
        <v/>
      </c>
      <c r="P1004" s="365">
        <f>IFERROR(VLOOKUP($G1004,融外自投!$A:$J,7,0),"無")</f>
        <v>1231</v>
      </c>
      <c r="Q1004" s="79">
        <f>IFERROR(VLOOKUP($G1004,融外自投!$A:$J,9,0),"無")</f>
        <v>978</v>
      </c>
      <c r="R1004" s="346">
        <f>IFERROR(VLOOKUP($G1004,融外自投!$A:$J,8,0),"無")</f>
        <v>397</v>
      </c>
      <c r="S1004" s="81">
        <f>IFERROR(VLOOKUP($G1004,融外自投!$A:$J,10,0),"無")</f>
        <v>416</v>
      </c>
      <c r="T1004" s="327">
        <f>IFERROR(VLOOKUP($G1004,'321買'!$A:$E,5,0),"'沒有資料'")</f>
        <v>1143</v>
      </c>
      <c r="U1004" s="186">
        <f>IFERROR(VLOOKUP($G1004,基本資料!$A:$J,9,0),"無")</f>
        <v>9.3000000000000007</v>
      </c>
      <c r="V1004" s="310">
        <f t="shared" si="195"/>
        <v>3.2631578947368421E-2</v>
      </c>
      <c r="W1004" s="94">
        <f>IFERROR(VLOOKUP($G1004,基本資料!$A:$J,10,0),"無")</f>
        <v>9.75</v>
      </c>
      <c r="X1004" s="36">
        <f>RTD("money.excel",,"6561","Price")</f>
        <v>285</v>
      </c>
      <c r="Y1004" s="66"/>
      <c r="Z1004" s="15">
        <f t="shared" si="196"/>
        <v>285</v>
      </c>
      <c r="AA1004" s="3" t="e">
        <f t="shared" si="197"/>
        <v>#DIV/0!</v>
      </c>
      <c r="AB1004" s="344">
        <f>IFERROR(VLOOKUP($G1004,基本資料!$A:$M,11,0),"無")</f>
        <v>-9.27</v>
      </c>
      <c r="AC1004" s="397">
        <f>IFERROR(VLOOKUP($G1004,基本資料!$A:$M,12,0),"無")</f>
        <v>67.95</v>
      </c>
      <c r="AD1004" s="16" t="s">
        <v>4439</v>
      </c>
      <c r="AG1004" s="33">
        <f t="shared" si="198"/>
        <v>0</v>
      </c>
      <c r="AH1004" s="43" t="s">
        <v>4440</v>
      </c>
      <c r="AI1004" s="63">
        <f t="shared" si="199"/>
        <v>3.1161473087818695E-4</v>
      </c>
      <c r="AJ1004" s="284">
        <f>RTD("money.excel",,$G1004,"PredictVolume")</f>
        <v>22</v>
      </c>
      <c r="AK1004" s="399">
        <f>IFERROR(VLOOKUP($G1004,基本資料!$A:$M,13,0),"無")</f>
        <v>0.32</v>
      </c>
    </row>
    <row r="1005" spans="1:37">
      <c r="A1005" s="347">
        <f>IFERROR(VLOOKUP($G1005,基本資料!$A:$J,3,0),"無")</f>
        <v>2.67</v>
      </c>
      <c r="B1005" s="79">
        <f>IFERROR(VLOOKUP($G1005,基本資料!$A:$J,4,0),"無")</f>
        <v>-76</v>
      </c>
      <c r="C1005" s="79">
        <f>IFERROR(VLOOKUP($G1005,基本資料!$A:$J,5,0),"無")</f>
        <v>-79</v>
      </c>
      <c r="D1005" s="79">
        <f>IFERROR(VLOOKUP($G1005,基本資料!$A:$J,6,0),"無")</f>
        <v>-8</v>
      </c>
      <c r="E1005" s="79">
        <f>IFERROR(VLOOKUP($G1005,基本資料!$A:$J,7,0),"無")</f>
        <v>28</v>
      </c>
      <c r="F1005" s="6">
        <f>IFERROR(VLOOKUP($G1005,基本資料!$A:$J,8,0),"無")</f>
        <v>8.11</v>
      </c>
      <c r="G1005" s="79">
        <v>6588</v>
      </c>
      <c r="H1005" s="8" t="s">
        <v>311</v>
      </c>
      <c r="I1005" s="16" t="s">
        <v>4441</v>
      </c>
      <c r="J1005" s="8" t="str">
        <f>IFERROR(VLOOKUP($G1005,今日總結!$A:$AJ,35,0),"")</f>
        <v/>
      </c>
      <c r="K1005" s="5" t="str">
        <f>IFERROR(VLOOKUP($G1005,今日總結!$A:$AJ,36,0),"")</f>
        <v/>
      </c>
      <c r="L1005" s="156" t="str">
        <f>IFERROR(VLOOKUP($G1005,今日總結!$A:$AJ,33,0),"")</f>
        <v/>
      </c>
      <c r="M1005" s="340" t="str">
        <f>IFERROR(VLOOKUP($G1005,今日總結!$A:$AJ,34,0),"")</f>
        <v/>
      </c>
      <c r="N1005" s="240" t="str">
        <f t="shared" si="200"/>
        <v/>
      </c>
      <c r="P1005" s="365" t="str">
        <f>IFERROR(VLOOKUP($G1005,融外自投!$A:$J,7,0),"無")</f>
        <v>無</v>
      </c>
      <c r="Q1005" s="79" t="str">
        <f>IFERROR(VLOOKUP($G1005,融外自投!$A:$J,9,0),"無")</f>
        <v>無</v>
      </c>
      <c r="R1005" s="346" t="str">
        <f>IFERROR(VLOOKUP($G1005,融外自投!$A:$J,8,0),"無")</f>
        <v>無</v>
      </c>
      <c r="S1005" s="81" t="str">
        <f>IFERROR(VLOOKUP($G1005,融外自投!$A:$J,10,0),"無")</f>
        <v>無</v>
      </c>
      <c r="T1005" s="327" t="str">
        <f>IFERROR(VLOOKUP($G1005,'321買'!$A:$E,5,0),"'沒有資料'")</f>
        <v>'沒有資料'</v>
      </c>
      <c r="U1005" s="186">
        <f>IFERROR(VLOOKUP($G1005,基本資料!$A:$J,9,0),"無")</f>
        <v>0.75</v>
      </c>
      <c r="V1005" s="310">
        <f t="shared" si="195"/>
        <v>1.8564356435643563E-2</v>
      </c>
      <c r="W1005" s="94">
        <f>IFERROR(VLOOKUP($G1005,基本資料!$A:$J,10,0),"無")</f>
        <v>0.48</v>
      </c>
      <c r="X1005" s="36">
        <f>RTD("money.excel",,"6588","Price")</f>
        <v>40.4</v>
      </c>
      <c r="Y1005" s="66"/>
      <c r="Z1005" s="15">
        <f t="shared" si="196"/>
        <v>40.4</v>
      </c>
      <c r="AA1005" s="3" t="e">
        <f t="shared" si="197"/>
        <v>#DIV/0!</v>
      </c>
      <c r="AB1005" s="344">
        <f>IFERROR(VLOOKUP($G1005,基本資料!$A:$M,11,0),"無")</f>
        <v>-32.14</v>
      </c>
      <c r="AC1005" s="397">
        <f>IFERROR(VLOOKUP($G1005,基本資料!$A:$M,12,0),"無")</f>
        <v>25.75</v>
      </c>
      <c r="AD1005" s="16" t="s">
        <v>4442</v>
      </c>
      <c r="AG1005" s="33">
        <f t="shared" si="198"/>
        <v>0</v>
      </c>
      <c r="AH1005" s="43" t="s">
        <v>1936</v>
      </c>
      <c r="AI1005" s="63">
        <f t="shared" si="199"/>
        <v>1.4981273408239701E-4</v>
      </c>
      <c r="AJ1005" s="284">
        <f>RTD("money.excel",,$G1005,"PredictVolume")</f>
        <v>4</v>
      </c>
      <c r="AK1005" s="399">
        <f>IFERROR(VLOOKUP($G1005,基本資料!$A:$M,13,0),"無")</f>
        <v>1.28</v>
      </c>
    </row>
    <row r="1006" spans="1:37">
      <c r="A1006" s="347">
        <f>IFERROR(VLOOKUP($G1006,基本資料!$A:$J,3,0),"無")</f>
        <v>6.84</v>
      </c>
      <c r="B1006" s="79">
        <f>IFERROR(VLOOKUP($G1006,基本資料!$A:$J,4,0),"無")</f>
        <v>-29</v>
      </c>
      <c r="C1006" s="79">
        <f>IFERROR(VLOOKUP($G1006,基本資料!$A:$J,5,0),"無")</f>
        <v>263</v>
      </c>
      <c r="D1006" s="79">
        <f>IFERROR(VLOOKUP($G1006,基本資料!$A:$J,6,0),"無")</f>
        <v>-11</v>
      </c>
      <c r="E1006" s="79">
        <f>IFERROR(VLOOKUP($G1006,基本資料!$A:$J,7,0),"無")</f>
        <v>-6</v>
      </c>
      <c r="F1006" s="6">
        <f>IFERROR(VLOOKUP($G1006,基本資料!$A:$J,8,0),"無")</f>
        <v>2.88</v>
      </c>
      <c r="G1006" s="79">
        <v>6674</v>
      </c>
      <c r="H1006" s="8" t="s">
        <v>311</v>
      </c>
      <c r="I1006" s="22" t="s">
        <v>4443</v>
      </c>
      <c r="J1006" s="8" t="str">
        <f>IFERROR(VLOOKUP($G1006,今日總結!$A:$AJ,35,0),"")</f>
        <v/>
      </c>
      <c r="K1006" s="5" t="str">
        <f>IFERROR(VLOOKUP($G1006,今日總結!$A:$AJ,36,0),"")</f>
        <v/>
      </c>
      <c r="L1006" s="156" t="str">
        <f>IFERROR(VLOOKUP($G1006,今日總結!$A:$AJ,33,0),"")</f>
        <v/>
      </c>
      <c r="M1006" s="340" t="str">
        <f>IFERROR(VLOOKUP($G1006,今日總結!$A:$AJ,34,0),"")</f>
        <v/>
      </c>
      <c r="N1006" s="240" t="str">
        <f t="shared" si="200"/>
        <v/>
      </c>
      <c r="P1006" s="365">
        <f>IFERROR(VLOOKUP($G1006,融外自投!$A:$J,7,0),"無")</f>
        <v>1264</v>
      </c>
      <c r="Q1006" s="79">
        <f>IFERROR(VLOOKUP($G1006,融外自投!$A:$J,9,0),"無")</f>
        <v>1110</v>
      </c>
      <c r="R1006" s="346">
        <f>IFERROR(VLOOKUP($G1006,融外自投!$A:$J,8,0),"無")</f>
        <v>1339</v>
      </c>
      <c r="S1006" s="81" t="str">
        <f>IFERROR(VLOOKUP($G1006,融外自投!$A:$J,10,0),"無")</f>
        <v>無</v>
      </c>
      <c r="T1006" s="327">
        <f>IFERROR(VLOOKUP($G1006,'321買'!$A:$E,5,0),"'沒有資料'")</f>
        <v>1397</v>
      </c>
      <c r="U1006" s="186">
        <f>IFERROR(VLOOKUP($G1006,基本資料!$A:$J,9,0),"無")</f>
        <v>1</v>
      </c>
      <c r="V1006" s="310">
        <f t="shared" si="195"/>
        <v>3.5398230088495575E-2</v>
      </c>
      <c r="W1006" s="94">
        <f>IFERROR(VLOOKUP($G1006,基本資料!$A:$J,10,0),"無")</f>
        <v>0.49</v>
      </c>
      <c r="X1006" s="36">
        <f>RTD("money.excel",,"6674","Price")</f>
        <v>28.25</v>
      </c>
      <c r="Y1006" s="66"/>
      <c r="Z1006" s="15">
        <f t="shared" si="196"/>
        <v>28.25</v>
      </c>
      <c r="AA1006" s="3" t="e">
        <f t="shared" si="197"/>
        <v>#DIV/0!</v>
      </c>
      <c r="AB1006" s="344">
        <f>IFERROR(VLOOKUP($G1006,基本資料!$A:$M,11,0),"無")</f>
        <v>-15.84</v>
      </c>
      <c r="AC1006" s="397">
        <f>IFERROR(VLOOKUP($G1006,基本資料!$A:$M,12,0),"無")</f>
        <v>45.94</v>
      </c>
      <c r="AD1006" s="22" t="s">
        <v>4443</v>
      </c>
      <c r="AG1006" s="33">
        <f t="shared" si="198"/>
        <v>0</v>
      </c>
      <c r="AH1006" s="43" t="s">
        <v>4444</v>
      </c>
      <c r="AI1006" s="63">
        <f t="shared" si="199"/>
        <v>1.4619883040935673E-5</v>
      </c>
      <c r="AJ1006" s="284">
        <f>RTD("money.excel",,$G1006,"PredictVolume")</f>
        <v>1</v>
      </c>
      <c r="AK1006" s="399">
        <f>IFERROR(VLOOKUP($G1006,基本資料!$A:$M,13,0),"無")</f>
        <v>1.3</v>
      </c>
    </row>
    <row r="1007" spans="1:37">
      <c r="A1007" s="347">
        <f>IFERROR(VLOOKUP($G1007,基本資料!$A:$J,3,0),"無")</f>
        <v>4.78</v>
      </c>
      <c r="B1007" s="79">
        <f>IFERROR(VLOOKUP($G1007,基本資料!$A:$J,4,0),"無")</f>
        <v>67</v>
      </c>
      <c r="C1007" s="79">
        <f>IFERROR(VLOOKUP($G1007,基本資料!$A:$J,5,0),"無")</f>
        <v>92</v>
      </c>
      <c r="D1007" s="79">
        <f>IFERROR(VLOOKUP($G1007,基本資料!$A:$J,6,0),"無")</f>
        <v>19</v>
      </c>
      <c r="E1007" s="79">
        <f>IFERROR(VLOOKUP($G1007,基本資料!$A:$J,7,0),"無")</f>
        <v>9</v>
      </c>
      <c r="F1007" s="6">
        <f>IFERROR(VLOOKUP($G1007,基本資料!$A:$J,8,0),"無")</f>
        <v>20.38</v>
      </c>
      <c r="G1007" s="79">
        <v>6792</v>
      </c>
      <c r="H1007" s="8" t="s">
        <v>311</v>
      </c>
      <c r="I1007" s="22" t="s">
        <v>4445</v>
      </c>
      <c r="J1007" s="8" t="str">
        <f>IFERROR(VLOOKUP($G1007,今日總結!$A:$AJ,35,0),"")</f>
        <v/>
      </c>
      <c r="K1007" s="5" t="str">
        <f>IFERROR(VLOOKUP($G1007,今日總結!$A:$AJ,36,0),"")</f>
        <v/>
      </c>
      <c r="L1007" s="156" t="str">
        <f>IFERROR(VLOOKUP($G1007,今日總結!$A:$AJ,33,0),"")</f>
        <v/>
      </c>
      <c r="M1007" s="340" t="str">
        <f>IFERROR(VLOOKUP($G1007,今日總結!$A:$AJ,34,0),"")</f>
        <v/>
      </c>
      <c r="N1007" s="240" t="str">
        <f t="shared" si="200"/>
        <v/>
      </c>
      <c r="P1007" s="365" t="str">
        <f>IFERROR(VLOOKUP($G1007,融外自投!$A:$J,7,0),"無")</f>
        <v>無</v>
      </c>
      <c r="Q1007" s="79" t="str">
        <f>IFERROR(VLOOKUP($G1007,融外自投!$A:$J,9,0),"無")</f>
        <v>無</v>
      </c>
      <c r="R1007" s="346" t="str">
        <f>IFERROR(VLOOKUP($G1007,融外自投!$A:$J,8,0),"無")</f>
        <v>無</v>
      </c>
      <c r="S1007" s="81" t="str">
        <f>IFERROR(VLOOKUP($G1007,融外自投!$A:$J,10,0),"無")</f>
        <v>無</v>
      </c>
      <c r="T1007" s="327" t="str">
        <f>IFERROR(VLOOKUP($G1007,'321買'!$A:$E,5,0),"'沒有資料'")</f>
        <v>'沒有資料'</v>
      </c>
      <c r="U1007" s="186">
        <f>IFERROR(VLOOKUP($G1007,基本資料!$A:$J,9,0),"無")</f>
        <v>5.5</v>
      </c>
      <c r="V1007" s="310">
        <f t="shared" si="195"/>
        <v>5.4187192118226604E-2</v>
      </c>
      <c r="W1007" s="94">
        <f>IFERROR(VLOOKUP($G1007,基本資料!$A:$J,10,0),"無")</f>
        <v>6.6</v>
      </c>
      <c r="X1007" s="36">
        <f>RTD("money.excel",,"6792","Price")</f>
        <v>101.5</v>
      </c>
      <c r="Y1007" s="66"/>
      <c r="Z1007" s="15">
        <f t="shared" si="196"/>
        <v>101.5</v>
      </c>
      <c r="AA1007" s="3" t="e">
        <f t="shared" si="197"/>
        <v>#DIV/0!</v>
      </c>
      <c r="AB1007" s="344" t="str">
        <f>IFERROR(VLOOKUP($G1007,基本資料!$A:$M,11,0),"無")</f>
        <v>無</v>
      </c>
      <c r="AC1007" s="397" t="str">
        <f>IFERROR(VLOOKUP($G1007,基本資料!$A:$M,12,0),"無")</f>
        <v>無</v>
      </c>
      <c r="AD1007" s="22" t="s">
        <v>4445</v>
      </c>
      <c r="AG1007" s="33">
        <f t="shared" si="198"/>
        <v>0</v>
      </c>
      <c r="AH1007" s="43" t="s">
        <v>3529</v>
      </c>
      <c r="AI1007" s="63">
        <f t="shared" si="199"/>
        <v>3.5774058577405857E-3</v>
      </c>
      <c r="AJ1007" s="284">
        <f>RTD("money.excel",,$G1007,"PredictVolume")</f>
        <v>171</v>
      </c>
      <c r="AK1007" s="399" t="str">
        <f>IFERROR(VLOOKUP($G1007,基本資料!$A:$M,13,0),"無")</f>
        <v>無</v>
      </c>
    </row>
    <row r="1008" spans="1:37">
      <c r="A1008" s="347">
        <f>IFERROR(VLOOKUP($G1008,基本資料!$A:$J,3,0),"無")</f>
        <v>14.9</v>
      </c>
      <c r="B1008" s="79">
        <f>IFERROR(VLOOKUP($G1008,基本資料!$A:$J,4,0),"無")</f>
        <v>-283</v>
      </c>
      <c r="C1008" s="79">
        <f>IFERROR(VLOOKUP($G1008,基本資料!$A:$J,5,0),"無")</f>
        <v>-474</v>
      </c>
      <c r="D1008" s="79">
        <f>IFERROR(VLOOKUP($G1008,基本資料!$A:$J,6,0),"無")</f>
        <v>4</v>
      </c>
      <c r="E1008" s="79">
        <f>IFERROR(VLOOKUP($G1008,基本資料!$A:$J,7,0),"無")</f>
        <v>27</v>
      </c>
      <c r="F1008" s="6">
        <f>IFERROR(VLOOKUP($G1008,基本資料!$A:$J,8,0),"無")</f>
        <v>-10.59</v>
      </c>
      <c r="G1008" s="79">
        <v>8011</v>
      </c>
      <c r="H1008" s="8" t="s">
        <v>311</v>
      </c>
      <c r="I1008" s="22" t="s">
        <v>4446</v>
      </c>
      <c r="J1008" s="8">
        <f>IFERROR(VLOOKUP($G1008,今日總結!$A:$AJ,35,0),"")</f>
        <v>0</v>
      </c>
      <c r="K1008" s="5" t="str">
        <f>IFERROR(VLOOKUP($G1008,今日總結!$A:$AJ,36,0),"")</f>
        <v>融</v>
      </c>
      <c r="L1008" s="156">
        <f>IFERROR(VLOOKUP($G1008,今日總結!$A:$AJ,33,0),"")</f>
        <v>0</v>
      </c>
      <c r="M1008" s="340">
        <f>IFERROR(VLOOKUP($G1008,今日總結!$A:$AJ,34,0),"")</f>
        <v>1</v>
      </c>
      <c r="N1008" s="240">
        <f t="shared" si="200"/>
        <v>-1</v>
      </c>
      <c r="P1008" s="365">
        <f>IFERROR(VLOOKUP($G1008,融外自投!$A:$J,7,0),"無")</f>
        <v>423</v>
      </c>
      <c r="Q1008" s="79" t="str">
        <f>IFERROR(VLOOKUP($G1008,融外自投!$A:$J,9,0),"無")</f>
        <v>無</v>
      </c>
      <c r="R1008" s="346">
        <f>IFERROR(VLOOKUP($G1008,融外自投!$A:$J,8,0),"無")</f>
        <v>1003</v>
      </c>
      <c r="S1008" s="81" t="str">
        <f>IFERROR(VLOOKUP($G1008,融外自投!$A:$J,10,0),"無")</f>
        <v>無</v>
      </c>
      <c r="T1008" s="327">
        <f>IFERROR(VLOOKUP($G1008,'321買'!$A:$E,5,0),"'沒有資料'")</f>
        <v>729</v>
      </c>
      <c r="U1008" s="186">
        <f>IFERROR(VLOOKUP($G1008,基本資料!$A:$J,9,0),"無")</f>
        <v>0</v>
      </c>
      <c r="V1008" s="310">
        <f t="shared" si="195"/>
        <v>0</v>
      </c>
      <c r="W1008" s="94">
        <f>IFERROR(VLOOKUP($G1008,基本資料!$A:$J,10,0),"無")</f>
        <v>-1.36</v>
      </c>
      <c r="X1008" s="36">
        <f>RTD("money.excel",,"8011","Price")</f>
        <v>15.2</v>
      </c>
      <c r="Y1008" s="66"/>
      <c r="Z1008" s="15">
        <f t="shared" si="196"/>
        <v>15.2</v>
      </c>
      <c r="AA1008" s="3" t="e">
        <f t="shared" si="197"/>
        <v>#DIV/0!</v>
      </c>
      <c r="AB1008" s="344">
        <f>IFERROR(VLOOKUP($G1008,基本資料!$A:$M,11,0),"無")</f>
        <v>-32.369999999999997</v>
      </c>
      <c r="AC1008" s="397">
        <f>IFERROR(VLOOKUP($G1008,基本資料!$A:$M,12,0),"無")</f>
        <v>13.97</v>
      </c>
      <c r="AD1008" s="22" t="s">
        <v>4446</v>
      </c>
      <c r="AG1008" s="33">
        <f t="shared" si="198"/>
        <v>0</v>
      </c>
      <c r="AH1008" s="117" t="s">
        <v>4447</v>
      </c>
      <c r="AI1008" s="63">
        <f t="shared" si="199"/>
        <v>1.5100671140939597E-3</v>
      </c>
      <c r="AJ1008" s="284">
        <f>RTD("money.excel",,$G1008,"PredictVolume")</f>
        <v>225</v>
      </c>
      <c r="AK1008" s="399">
        <f>IFERROR(VLOOKUP($G1008,基本資料!$A:$M,13,0),"無")</f>
        <v>16.350000000000001</v>
      </c>
    </row>
    <row r="1009" spans="1:37">
      <c r="A1009" s="347">
        <f>IFERROR(VLOOKUP($G1009,基本資料!$A:$J,3,0),"無")</f>
        <v>6.28</v>
      </c>
      <c r="B1009" s="79">
        <f>IFERROR(VLOOKUP($G1009,基本資料!$A:$J,4,0),"無")</f>
        <v>569</v>
      </c>
      <c r="C1009" s="79">
        <f>IFERROR(VLOOKUP($G1009,基本資料!$A:$J,5,0),"無")</f>
        <v>1619</v>
      </c>
      <c r="D1009" s="79">
        <f>IFERROR(VLOOKUP($G1009,基本資料!$A:$J,6,0),"無")</f>
        <v>11</v>
      </c>
      <c r="E1009" s="79">
        <f>IFERROR(VLOOKUP($G1009,基本資料!$A:$J,7,0),"無")</f>
        <v>-75</v>
      </c>
      <c r="F1009" s="6">
        <f>IFERROR(VLOOKUP($G1009,基本資料!$A:$J,8,0),"無")</f>
        <v>15.83</v>
      </c>
      <c r="G1009" s="79">
        <v>8034</v>
      </c>
      <c r="H1009" s="8" t="s">
        <v>311</v>
      </c>
      <c r="I1009" s="16" t="s">
        <v>4448</v>
      </c>
      <c r="J1009" s="8" t="str">
        <f>IFERROR(VLOOKUP($G1009,今日總結!$A:$AJ,35,0),"")</f>
        <v/>
      </c>
      <c r="K1009" s="5" t="str">
        <f>IFERROR(VLOOKUP($G1009,今日總結!$A:$AJ,36,0),"")</f>
        <v/>
      </c>
      <c r="L1009" s="156" t="str">
        <f>IFERROR(VLOOKUP($G1009,今日總結!$A:$AJ,33,0),"")</f>
        <v/>
      </c>
      <c r="M1009" s="340" t="str">
        <f>IFERROR(VLOOKUP($G1009,今日總結!$A:$AJ,34,0),"")</f>
        <v/>
      </c>
      <c r="N1009" s="240" t="str">
        <f t="shared" si="200"/>
        <v/>
      </c>
      <c r="P1009" s="365">
        <f>IFERROR(VLOOKUP($G1009,融外自投!$A:$J,7,0),"無")</f>
        <v>262</v>
      </c>
      <c r="Q1009" s="79">
        <f>IFERROR(VLOOKUP($G1009,融外自投!$A:$J,9,0),"無")</f>
        <v>90</v>
      </c>
      <c r="R1009" s="346">
        <f>IFERROR(VLOOKUP($G1009,融外自投!$A:$J,8,0),"無")</f>
        <v>896</v>
      </c>
      <c r="S1009" s="81" t="str">
        <f>IFERROR(VLOOKUP($G1009,融外自投!$A:$J,10,0),"無")</f>
        <v>無</v>
      </c>
      <c r="T1009" s="327">
        <f>IFERROR(VLOOKUP($G1009,'321買'!$A:$E,5,0),"'沒有資料'")</f>
        <v>634</v>
      </c>
      <c r="U1009" s="186">
        <f>IFERROR(VLOOKUP($G1009,基本資料!$A:$J,9,0),"無")</f>
        <v>1</v>
      </c>
      <c r="V1009" s="310">
        <f t="shared" si="195"/>
        <v>5.9171597633136098E-2</v>
      </c>
      <c r="W1009" s="94">
        <f>IFERROR(VLOOKUP($G1009,基本資料!$A:$J,10,0),"無")</f>
        <v>1.28</v>
      </c>
      <c r="X1009" s="36">
        <f>RTD("money.excel",,"8034","Price")</f>
        <v>16.899999999999999</v>
      </c>
      <c r="Y1009" s="66"/>
      <c r="Z1009" s="15">
        <f t="shared" si="196"/>
        <v>16.899999999999999</v>
      </c>
      <c r="AA1009" s="3" t="e">
        <f t="shared" si="197"/>
        <v>#DIV/0!</v>
      </c>
      <c r="AB1009" s="344">
        <f>IFERROR(VLOOKUP($G1009,基本資料!$A:$M,11,0),"無")</f>
        <v>-32.42</v>
      </c>
      <c r="AC1009" s="397">
        <f>IFERROR(VLOOKUP($G1009,基本資料!$A:$M,12,0),"無")</f>
        <v>21.49</v>
      </c>
      <c r="AD1009" s="16" t="s">
        <v>4448</v>
      </c>
      <c r="AG1009" s="33">
        <f t="shared" si="198"/>
        <v>0</v>
      </c>
      <c r="AH1009" s="43" t="s">
        <v>4449</v>
      </c>
      <c r="AI1009" s="63">
        <f t="shared" si="199"/>
        <v>1.4219745222929936E-2</v>
      </c>
      <c r="AJ1009" s="284">
        <f>RTD("money.excel",,$G1009,"PredictVolume")</f>
        <v>893</v>
      </c>
      <c r="AK1009" s="399">
        <f>IFERROR(VLOOKUP($G1009,基本資料!$A:$M,13,0),"無")</f>
        <v>26.6</v>
      </c>
    </row>
    <row r="1010" spans="1:37">
      <c r="A1010" s="347">
        <f>IFERROR(VLOOKUP($G1010,基本資料!$A:$J,3,0),"無")</f>
        <v>5.44</v>
      </c>
      <c r="B1010" s="79">
        <f>IFERROR(VLOOKUP($G1010,基本資料!$A:$J,4,0),"無")</f>
        <v>12</v>
      </c>
      <c r="C1010" s="79">
        <f>IFERROR(VLOOKUP($G1010,基本資料!$A:$J,5,0),"無")</f>
        <v>14</v>
      </c>
      <c r="D1010" s="79">
        <f>IFERROR(VLOOKUP($G1010,基本資料!$A:$J,6,0),"無")</f>
        <v>-4</v>
      </c>
      <c r="E1010" s="79">
        <f>IFERROR(VLOOKUP($G1010,基本資料!$A:$J,7,0),"無")</f>
        <v>26</v>
      </c>
      <c r="F1010" s="6">
        <f>IFERROR(VLOOKUP($G1010,基本資料!$A:$J,8,0),"無")</f>
        <v>10.96</v>
      </c>
      <c r="G1010" s="79">
        <v>8048</v>
      </c>
      <c r="H1010" s="8" t="s">
        <v>311</v>
      </c>
      <c r="I1010" s="16" t="s">
        <v>4450</v>
      </c>
      <c r="J1010" s="8" t="str">
        <f>IFERROR(VLOOKUP($G1010,今日總結!$A:$AJ,35,0),"")</f>
        <v/>
      </c>
      <c r="K1010" s="5" t="str">
        <f>IFERROR(VLOOKUP($G1010,今日總結!$A:$AJ,36,0),"")</f>
        <v/>
      </c>
      <c r="L1010" s="156" t="str">
        <f>IFERROR(VLOOKUP($G1010,今日總結!$A:$AJ,33,0),"")</f>
        <v/>
      </c>
      <c r="M1010" s="340" t="str">
        <f>IFERROR(VLOOKUP($G1010,今日總結!$A:$AJ,34,0),"")</f>
        <v/>
      </c>
      <c r="N1010" s="240" t="str">
        <f t="shared" si="200"/>
        <v/>
      </c>
      <c r="P1010" s="365">
        <f>IFERROR(VLOOKUP($G1010,融外自投!$A:$J,7,0),"無")</f>
        <v>610</v>
      </c>
      <c r="Q1010" s="79">
        <f>IFERROR(VLOOKUP($G1010,融外自投!$A:$J,9,0),"無")</f>
        <v>1110</v>
      </c>
      <c r="R1010" s="346">
        <f>IFERROR(VLOOKUP($G1010,融外自投!$A:$J,8,0),"無")</f>
        <v>1251</v>
      </c>
      <c r="S1010" s="81" t="str">
        <f>IFERROR(VLOOKUP($G1010,融外自投!$A:$J,10,0),"無")</f>
        <v>無</v>
      </c>
      <c r="T1010" s="327">
        <f>IFERROR(VLOOKUP($G1010,'321買'!$A:$E,5,0),"'沒有資料'")</f>
        <v>1214</v>
      </c>
      <c r="U1010" s="186">
        <f>IFERROR(VLOOKUP($G1010,基本資料!$A:$J,9,0),"無")</f>
        <v>2.2000000000000002</v>
      </c>
      <c r="V1010" s="310">
        <f t="shared" si="195"/>
        <v>6.7175572519083973E-2</v>
      </c>
      <c r="W1010" s="94">
        <f>IFERROR(VLOOKUP($G1010,基本資料!$A:$J,10,0),"無")</f>
        <v>2.94</v>
      </c>
      <c r="X1010" s="36">
        <f>RTD("money.excel",,"8048","Price")</f>
        <v>32.75</v>
      </c>
      <c r="Y1010" s="66"/>
      <c r="Z1010" s="15">
        <f t="shared" si="196"/>
        <v>32.75</v>
      </c>
      <c r="AA1010" s="3" t="e">
        <f t="shared" si="197"/>
        <v>#DIV/0!</v>
      </c>
      <c r="AB1010" s="344">
        <f>IFERROR(VLOOKUP($G1010,基本資料!$A:$M,11,0),"無")</f>
        <v>-17.32</v>
      </c>
      <c r="AC1010" s="397">
        <f>IFERROR(VLOOKUP($G1010,基本資料!$A:$M,12,0),"無")</f>
        <v>40.049999999999997</v>
      </c>
      <c r="AD1010" s="16" t="s">
        <v>4450</v>
      </c>
      <c r="AG1010" s="33">
        <f t="shared" si="198"/>
        <v>0</v>
      </c>
      <c r="AH1010" s="117" t="s">
        <v>4451</v>
      </c>
      <c r="AI1010" s="63">
        <f t="shared" si="199"/>
        <v>5.147058823529411E-4</v>
      </c>
      <c r="AJ1010" s="284">
        <f>RTD("money.excel",,$G1010,"PredictVolume")</f>
        <v>28</v>
      </c>
      <c r="AK1010" s="399">
        <f>IFERROR(VLOOKUP($G1010,基本資料!$A:$M,13,0),"無")</f>
        <v>2.94</v>
      </c>
    </row>
    <row r="1011" spans="1:37">
      <c r="A1011" s="347">
        <f>IFERROR(VLOOKUP($G1011,基本資料!$A:$J,3,0),"無")</f>
        <v>18.86</v>
      </c>
      <c r="B1011" s="79">
        <f>IFERROR(VLOOKUP($G1011,基本資料!$A:$J,4,0),"無")</f>
        <v>-1905</v>
      </c>
      <c r="C1011" s="79">
        <f>IFERROR(VLOOKUP($G1011,基本資料!$A:$J,5,0),"無")</f>
        <v>-137</v>
      </c>
      <c r="D1011" s="79">
        <f>IFERROR(VLOOKUP($G1011,基本資料!$A:$J,6,0),"無")</f>
        <v>-7</v>
      </c>
      <c r="E1011" s="79">
        <f>IFERROR(VLOOKUP($G1011,基本資料!$A:$J,7,0),"無")</f>
        <v>3</v>
      </c>
      <c r="F1011" s="6">
        <f>IFERROR(VLOOKUP($G1011,基本資料!$A:$J,8,0),"無")</f>
        <v>-9.19</v>
      </c>
      <c r="G1011" s="79">
        <v>8059</v>
      </c>
      <c r="H1011" s="8" t="s">
        <v>311</v>
      </c>
      <c r="I1011" s="16" t="s">
        <v>4452</v>
      </c>
      <c r="J1011" s="8" t="str">
        <f>IFERROR(VLOOKUP($G1011,今日總結!$A:$AJ,35,0),"")</f>
        <v/>
      </c>
      <c r="K1011" s="5" t="str">
        <f>IFERROR(VLOOKUP($G1011,今日總結!$A:$AJ,36,0),"")</f>
        <v/>
      </c>
      <c r="L1011" s="156" t="str">
        <f>IFERROR(VLOOKUP($G1011,今日總結!$A:$AJ,33,0),"")</f>
        <v/>
      </c>
      <c r="M1011" s="340" t="str">
        <f>IFERROR(VLOOKUP($G1011,今日總結!$A:$AJ,34,0),"")</f>
        <v/>
      </c>
      <c r="N1011" s="240" t="str">
        <f t="shared" si="200"/>
        <v/>
      </c>
      <c r="P1011" s="365" t="str">
        <f>IFERROR(VLOOKUP($G1011,融外自投!$A:$J,7,0),"無")</f>
        <v>無</v>
      </c>
      <c r="Q1011" s="79" t="str">
        <f>IFERROR(VLOOKUP($G1011,融外自投!$A:$J,9,0),"無")</f>
        <v>無</v>
      </c>
      <c r="R1011" s="346" t="str">
        <f>IFERROR(VLOOKUP($G1011,融外自投!$A:$J,8,0),"無")</f>
        <v>無</v>
      </c>
      <c r="S1011" s="81" t="str">
        <f>IFERROR(VLOOKUP($G1011,融外自投!$A:$J,10,0),"無")</f>
        <v>無</v>
      </c>
      <c r="T1011" s="327" t="str">
        <f>IFERROR(VLOOKUP($G1011,'321買'!$A:$E,5,0),"'沒有資料'")</f>
        <v>'沒有資料'</v>
      </c>
      <c r="U1011" s="186">
        <f>IFERROR(VLOOKUP($G1011,基本資料!$A:$J,9,0),"無")</f>
        <v>0</v>
      </c>
      <c r="V1011" s="310">
        <f t="shared" si="195"/>
        <v>0</v>
      </c>
      <c r="W1011" s="94">
        <f>IFERROR(VLOOKUP($G1011,基本資料!$A:$J,10,0),"無")</f>
        <v>-0.8</v>
      </c>
      <c r="X1011" s="36">
        <f>RTD("money.excel",,"8059","Price")</f>
        <v>9.23</v>
      </c>
      <c r="Y1011" s="66"/>
      <c r="Z1011" s="15">
        <f t="shared" si="196"/>
        <v>9.23</v>
      </c>
      <c r="AA1011" s="3" t="e">
        <f t="shared" si="197"/>
        <v>#DIV/0!</v>
      </c>
      <c r="AB1011" s="344">
        <f>IFERROR(VLOOKUP($G1011,基本資料!$A:$M,11,0),"無")</f>
        <v>-27.91</v>
      </c>
      <c r="AC1011" s="397">
        <f>IFERROR(VLOOKUP($G1011,基本資料!$A:$M,12,0),"無")</f>
        <v>20.46</v>
      </c>
      <c r="AD1011" s="16" t="s">
        <v>4452</v>
      </c>
      <c r="AG1011" s="33">
        <f t="shared" si="198"/>
        <v>0</v>
      </c>
      <c r="AH1011" s="43" t="s">
        <v>4453</v>
      </c>
      <c r="AI1011" s="63">
        <f t="shared" si="199"/>
        <v>4.6659597030752914E-4</v>
      </c>
      <c r="AJ1011" s="284">
        <f>RTD("money.excel",,$G1011,"PredictVolume")</f>
        <v>88</v>
      </c>
      <c r="AK1011" s="399">
        <f>IFERROR(VLOOKUP($G1011,基本資料!$A:$M,13,0),"無")</f>
        <v>3.29</v>
      </c>
    </row>
    <row r="1012" spans="1:37">
      <c r="A1012" s="347">
        <f>IFERROR(VLOOKUP($G1012,基本資料!$A:$J,3,0),"無")</f>
        <v>5.79</v>
      </c>
      <c r="B1012" s="79">
        <f>IFERROR(VLOOKUP($G1012,基本資料!$A:$J,4,0),"無")</f>
        <v>-112</v>
      </c>
      <c r="C1012" s="79">
        <f>IFERROR(VLOOKUP($G1012,基本資料!$A:$J,5,0),"無")</f>
        <v>-107</v>
      </c>
      <c r="D1012" s="79">
        <f>IFERROR(VLOOKUP($G1012,基本資料!$A:$J,6,0),"無")</f>
        <v>-14</v>
      </c>
      <c r="E1012" s="79">
        <f>IFERROR(VLOOKUP($G1012,基本資料!$A:$J,7,0),"無")</f>
        <v>-3</v>
      </c>
      <c r="F1012" s="6">
        <f>IFERROR(VLOOKUP($G1012,基本資料!$A:$J,8,0),"無")</f>
        <v>-1.22</v>
      </c>
      <c r="G1012" s="79">
        <v>8089</v>
      </c>
      <c r="H1012" s="8" t="s">
        <v>311</v>
      </c>
      <c r="I1012" s="16" t="s">
        <v>4454</v>
      </c>
      <c r="J1012" s="8" t="str">
        <f>IFERROR(VLOOKUP($G1012,今日總結!$A:$AJ,35,0),"")</f>
        <v/>
      </c>
      <c r="K1012" s="5" t="str">
        <f>IFERROR(VLOOKUP($G1012,今日總結!$A:$AJ,36,0),"")</f>
        <v/>
      </c>
      <c r="L1012" s="156" t="str">
        <f>IFERROR(VLOOKUP($G1012,今日總結!$A:$AJ,33,0),"")</f>
        <v/>
      </c>
      <c r="M1012" s="340" t="str">
        <f>IFERROR(VLOOKUP($G1012,今日總結!$A:$AJ,34,0),"")</f>
        <v/>
      </c>
      <c r="N1012" s="240" t="str">
        <f t="shared" si="200"/>
        <v/>
      </c>
      <c r="P1012" s="365">
        <f>IFERROR(VLOOKUP($G1012,融外自投!$A:$J,7,0),"無")</f>
        <v>923</v>
      </c>
      <c r="Q1012" s="79" t="str">
        <f>IFERROR(VLOOKUP($G1012,融外自投!$A:$J,9,0),"無")</f>
        <v>無</v>
      </c>
      <c r="R1012" s="346">
        <f>IFERROR(VLOOKUP($G1012,融外自投!$A:$J,8,0),"無")</f>
        <v>791</v>
      </c>
      <c r="S1012" s="81" t="str">
        <f>IFERROR(VLOOKUP($G1012,融外自投!$A:$J,10,0),"無")</f>
        <v>無</v>
      </c>
      <c r="T1012" s="327">
        <f>IFERROR(VLOOKUP($G1012,'321買'!$A:$E,5,0),"'沒有資料'")</f>
        <v>827</v>
      </c>
      <c r="U1012" s="186">
        <f>IFERROR(VLOOKUP($G1012,基本資料!$A:$J,9,0),"無")</f>
        <v>1</v>
      </c>
      <c r="V1012" s="310">
        <f t="shared" si="195"/>
        <v>4.2553191489361701E-2</v>
      </c>
      <c r="W1012" s="94">
        <f>IFERROR(VLOOKUP($G1012,基本資料!$A:$J,10,0),"無")</f>
        <v>-0.46</v>
      </c>
      <c r="X1012" s="36">
        <f>RTD("money.excel",,"8089","Price")</f>
        <v>23.5</v>
      </c>
      <c r="Y1012" s="66"/>
      <c r="Z1012" s="15">
        <f t="shared" si="196"/>
        <v>23.5</v>
      </c>
      <c r="AA1012" s="159" t="e">
        <f t="shared" si="197"/>
        <v>#DIV/0!</v>
      </c>
      <c r="AB1012" s="344">
        <f>IFERROR(VLOOKUP($G1012,基本資料!$A:$M,11,0),"無")</f>
        <v>-38.58</v>
      </c>
      <c r="AC1012" s="397">
        <f>IFERROR(VLOOKUP($G1012,基本資料!$A:$M,12,0),"無")</f>
        <v>21.84</v>
      </c>
      <c r="AD1012" s="16" t="s">
        <v>4454</v>
      </c>
      <c r="AG1012" s="33">
        <f t="shared" si="198"/>
        <v>0</v>
      </c>
      <c r="AH1012" s="43" t="s">
        <v>2007</v>
      </c>
      <c r="AI1012" s="63">
        <f t="shared" si="199"/>
        <v>2.9360967184801381E-4</v>
      </c>
      <c r="AJ1012" s="284">
        <f>RTD("money.excel",,$G1012,"PredictVolume")</f>
        <v>17</v>
      </c>
      <c r="AK1012" s="399">
        <f>IFERROR(VLOOKUP($G1012,基本資料!$A:$M,13,0),"無")</f>
        <v>6.48</v>
      </c>
    </row>
    <row r="1013" spans="1:37">
      <c r="A1013" s="347">
        <f>IFERROR(VLOOKUP($G1013,基本資料!$A:$J,3,0),"無")</f>
        <v>4.3099999999999996</v>
      </c>
      <c r="B1013" s="79">
        <f>IFERROR(VLOOKUP($G1013,基本資料!$A:$J,4,0),"無")</f>
        <v>-7</v>
      </c>
      <c r="C1013" s="79">
        <f>IFERROR(VLOOKUP($G1013,基本資料!$A:$J,5,0),"無")</f>
        <v>16</v>
      </c>
      <c r="D1013" s="79">
        <f>IFERROR(VLOOKUP($G1013,基本資料!$A:$J,6,0),"無")</f>
        <v>173</v>
      </c>
      <c r="E1013" s="79">
        <f>IFERROR(VLOOKUP($G1013,基本資料!$A:$J,7,0),"無")</f>
        <v>178</v>
      </c>
      <c r="F1013" s="6">
        <f>IFERROR(VLOOKUP($G1013,基本資料!$A:$J,8,0),"無")</f>
        <v>-3.24</v>
      </c>
      <c r="G1013" s="79">
        <v>8097</v>
      </c>
      <c r="H1013" s="8" t="s">
        <v>311</v>
      </c>
      <c r="I1013" s="16" t="s">
        <v>4455</v>
      </c>
      <c r="J1013" s="8">
        <f>IFERROR(VLOOKUP($G1013,今日總結!$A:$AJ,35,0),"")</f>
        <v>0</v>
      </c>
      <c r="K1013" s="5">
        <f>IFERROR(VLOOKUP($G1013,今日總結!$A:$AJ,36,0),"")</f>
        <v>0</v>
      </c>
      <c r="L1013" s="156">
        <f>IFERROR(VLOOKUP($G1013,今日總結!$A:$AJ,33,0),"")</f>
        <v>0</v>
      </c>
      <c r="M1013" s="340">
        <f>IFERROR(VLOOKUP($G1013,今日總結!$A:$AJ,34,0),"")</f>
        <v>1</v>
      </c>
      <c r="N1013" s="240">
        <f t="shared" si="200"/>
        <v>-1</v>
      </c>
      <c r="P1013" s="365">
        <f>IFERROR(VLOOKUP($G1013,融外自投!$A:$J,7,0),"無")</f>
        <v>2</v>
      </c>
      <c r="Q1013" s="79">
        <f>IFERROR(VLOOKUP($G1013,融外自投!$A:$J,9,0),"無")</f>
        <v>824</v>
      </c>
      <c r="R1013" s="346">
        <f>IFERROR(VLOOKUP($G1013,融外自投!$A:$J,8,0),"無")</f>
        <v>711</v>
      </c>
      <c r="S1013" s="81" t="str">
        <f>IFERROR(VLOOKUP($G1013,融外自投!$A:$J,10,0),"無")</f>
        <v>無</v>
      </c>
      <c r="T1013" s="327">
        <f>IFERROR(VLOOKUP($G1013,'321買'!$A:$E,5,0),"'沒有資料'")</f>
        <v>255</v>
      </c>
      <c r="U1013" s="186">
        <f>IFERROR(VLOOKUP($G1013,基本資料!$A:$J,9,0),"無")</f>
        <v>0</v>
      </c>
      <c r="V1013" s="310">
        <f t="shared" si="195"/>
        <v>0</v>
      </c>
      <c r="W1013" s="94">
        <f>IFERROR(VLOOKUP($G1013,基本資料!$A:$J,10,0),"無")</f>
        <v>-0.31</v>
      </c>
      <c r="X1013" s="36">
        <f>RTD("money.excel",,"8097","Price")</f>
        <v>49.15</v>
      </c>
      <c r="Y1013" s="66"/>
      <c r="Z1013" s="15">
        <f t="shared" si="196"/>
        <v>49.15</v>
      </c>
      <c r="AA1013" s="3" t="e">
        <f t="shared" si="197"/>
        <v>#DIV/0!</v>
      </c>
      <c r="AB1013" s="344">
        <f>IFERROR(VLOOKUP($G1013,基本資料!$A:$M,11,0),"無")</f>
        <v>-3.78</v>
      </c>
      <c r="AC1013" s="397">
        <f>IFERROR(VLOOKUP($G1013,基本資料!$A:$M,12,0),"無")</f>
        <v>83.55</v>
      </c>
      <c r="AD1013" s="16" t="s">
        <v>4455</v>
      </c>
      <c r="AG1013" s="33">
        <f t="shared" si="198"/>
        <v>0</v>
      </c>
      <c r="AH1013" s="43" t="s">
        <v>2625</v>
      </c>
      <c r="AI1013" s="63">
        <f t="shared" si="199"/>
        <v>3.4361948955916481E-2</v>
      </c>
      <c r="AJ1013" s="284">
        <f>RTD("money.excel",,$G1013,"PredictVolume")</f>
        <v>1481</v>
      </c>
      <c r="AK1013" s="399">
        <f>IFERROR(VLOOKUP($G1013,基本資料!$A:$M,13,0),"無")</f>
        <v>27.91</v>
      </c>
    </row>
    <row r="1014" spans="1:37">
      <c r="A1014" s="347">
        <f>IFERROR(VLOOKUP($G1014,基本資料!$A:$J,3,0),"無")</f>
        <v>20.8</v>
      </c>
      <c r="B1014" s="79">
        <f>IFERROR(VLOOKUP($G1014,基本資料!$A:$J,4,0),"無")</f>
        <v>100</v>
      </c>
      <c r="C1014" s="79">
        <f>IFERROR(VLOOKUP($G1014,基本資料!$A:$J,5,0),"無")</f>
        <v>22</v>
      </c>
      <c r="D1014" s="79">
        <f>IFERROR(VLOOKUP($G1014,基本資料!$A:$J,6,0),"無")</f>
        <v>45</v>
      </c>
      <c r="E1014" s="79">
        <f>IFERROR(VLOOKUP($G1014,基本資料!$A:$J,7,0),"無")</f>
        <v>-38</v>
      </c>
      <c r="F1014" s="6">
        <f>IFERROR(VLOOKUP($G1014,基本資料!$A:$J,8,0),"無")</f>
        <v>-73.19</v>
      </c>
      <c r="G1014" s="79">
        <v>8101</v>
      </c>
      <c r="H1014" s="8" t="s">
        <v>311</v>
      </c>
      <c r="I1014" s="22" t="s">
        <v>4456</v>
      </c>
      <c r="J1014" s="8" t="str">
        <f>IFERROR(VLOOKUP($G1014,今日總結!$A:$AJ,35,0),"")</f>
        <v/>
      </c>
      <c r="K1014" s="5" t="str">
        <f>IFERROR(VLOOKUP($G1014,今日總結!$A:$AJ,36,0),"")</f>
        <v/>
      </c>
      <c r="L1014" s="156" t="str">
        <f>IFERROR(VLOOKUP($G1014,今日總結!$A:$AJ,33,0),"")</f>
        <v/>
      </c>
      <c r="M1014" s="340" t="str">
        <f>IFERROR(VLOOKUP($G1014,今日總結!$A:$AJ,34,0),"")</f>
        <v/>
      </c>
      <c r="N1014" s="240" t="str">
        <f t="shared" si="200"/>
        <v/>
      </c>
      <c r="P1014" s="365" t="str">
        <f>IFERROR(VLOOKUP($G1014,融外自投!$A:$J,7,0),"無")</f>
        <v>無</v>
      </c>
      <c r="Q1014" s="79" t="str">
        <f>IFERROR(VLOOKUP($G1014,融外自投!$A:$J,9,0),"無")</f>
        <v>無</v>
      </c>
      <c r="R1014" s="346" t="str">
        <f>IFERROR(VLOOKUP($G1014,融外自投!$A:$J,8,0),"無")</f>
        <v>無</v>
      </c>
      <c r="S1014" s="81" t="str">
        <f>IFERROR(VLOOKUP($G1014,融外自投!$A:$J,10,0),"無")</f>
        <v>無</v>
      </c>
      <c r="T1014" s="327" t="str">
        <f>IFERROR(VLOOKUP($G1014,'321買'!$A:$E,5,0),"'沒有資料'")</f>
        <v>'沒有資料'</v>
      </c>
      <c r="U1014" s="186">
        <f>IFERROR(VLOOKUP($G1014,基本資料!$A:$J,9,0),"無")</f>
        <v>0</v>
      </c>
      <c r="V1014" s="310">
        <f t="shared" si="195"/>
        <v>0</v>
      </c>
      <c r="W1014" s="94">
        <f>IFERROR(VLOOKUP($G1014,基本資料!$A:$J,10,0),"無")</f>
        <v>0.03</v>
      </c>
      <c r="X1014" s="36">
        <f>RTD("money.excel",,"8101","Price")</f>
        <v>2.33</v>
      </c>
      <c r="Y1014" s="66"/>
      <c r="Z1014" s="15">
        <f t="shared" si="196"/>
        <v>2.33</v>
      </c>
      <c r="AA1014" s="3" t="e">
        <f t="shared" si="197"/>
        <v>#DIV/0!</v>
      </c>
      <c r="AB1014" s="344">
        <f>IFERROR(VLOOKUP($G1014,基本資料!$A:$M,11,0),"無")</f>
        <v>-32.869999999999997</v>
      </c>
      <c r="AC1014" s="397">
        <f>IFERROR(VLOOKUP($G1014,基本資料!$A:$M,12,0),"無")</f>
        <v>13.43</v>
      </c>
      <c r="AD1014" s="22" t="s">
        <v>4456</v>
      </c>
      <c r="AG1014" s="33">
        <f t="shared" si="198"/>
        <v>0</v>
      </c>
      <c r="AH1014" s="43" t="s">
        <v>4457</v>
      </c>
      <c r="AI1014" s="63">
        <f t="shared" si="199"/>
        <v>8.461538461538462E-4</v>
      </c>
      <c r="AJ1014" s="284">
        <f>RTD("money.excel",,$G1014,"PredictVolume")</f>
        <v>176</v>
      </c>
      <c r="AK1014" s="399">
        <f>IFERROR(VLOOKUP($G1014,基本資料!$A:$M,13,0),"無")</f>
        <v>1.32</v>
      </c>
    </row>
    <row r="1015" spans="1:37">
      <c r="A1015" s="347">
        <f>IFERROR(VLOOKUP($G1015,基本資料!$A:$J,3,0),"無")</f>
        <v>5.87</v>
      </c>
      <c r="B1015" s="79">
        <f>IFERROR(VLOOKUP($G1015,基本資料!$A:$J,4,0),"無")</f>
        <v>2</v>
      </c>
      <c r="C1015" s="79">
        <f>IFERROR(VLOOKUP($G1015,基本資料!$A:$J,5,0),"無")</f>
        <v>0</v>
      </c>
      <c r="D1015" s="79">
        <f>IFERROR(VLOOKUP($G1015,基本資料!$A:$J,6,0),"無")</f>
        <v>-30</v>
      </c>
      <c r="E1015" s="79">
        <f>IFERROR(VLOOKUP($G1015,基本資料!$A:$J,7,0),"無")</f>
        <v>93</v>
      </c>
      <c r="F1015" s="6">
        <f>IFERROR(VLOOKUP($G1015,基本資料!$A:$J,8,0),"無")</f>
        <v>-6.81</v>
      </c>
      <c r="G1015" s="79">
        <v>8171</v>
      </c>
      <c r="H1015" s="8" t="s">
        <v>311</v>
      </c>
      <c r="I1015" s="16" t="s">
        <v>4458</v>
      </c>
      <c r="J1015" s="8">
        <f>IFERROR(VLOOKUP($G1015,今日總結!$A:$AJ,35,0),"")</f>
        <v>0</v>
      </c>
      <c r="K1015" s="5">
        <f>IFERROR(VLOOKUP($G1015,今日總結!$A:$AJ,36,0),"")</f>
        <v>0</v>
      </c>
      <c r="L1015" s="156">
        <f>IFERROR(VLOOKUP($G1015,今日總結!$A:$AJ,33,0),"")</f>
        <v>0</v>
      </c>
      <c r="M1015" s="340">
        <f>IFERROR(VLOOKUP($G1015,今日總結!$A:$AJ,34,0),"")</f>
        <v>1</v>
      </c>
      <c r="N1015" s="240">
        <f t="shared" si="200"/>
        <v>-1</v>
      </c>
      <c r="P1015" s="365">
        <f>IFERROR(VLOOKUP($G1015,融外自投!$A:$J,7,0),"無")</f>
        <v>9</v>
      </c>
      <c r="Q1015" s="79" t="str">
        <f>IFERROR(VLOOKUP($G1015,融外自投!$A:$J,9,0),"無")</f>
        <v>無</v>
      </c>
      <c r="R1015" s="346">
        <f>IFERROR(VLOOKUP($G1015,融外自投!$A:$J,8,0),"無")</f>
        <v>1311</v>
      </c>
      <c r="S1015" s="81">
        <f>IFERROR(VLOOKUP($G1015,融外自投!$A:$J,10,0),"無")</f>
        <v>198</v>
      </c>
      <c r="T1015" s="327">
        <f>IFERROR(VLOOKUP($G1015,'321買'!$A:$E,5,0),"'沒有資料'")</f>
        <v>503</v>
      </c>
      <c r="U1015" s="186">
        <f>IFERROR(VLOOKUP($G1015,基本資料!$A:$J,9,0),"無")</f>
        <v>0</v>
      </c>
      <c r="V1015" s="310">
        <f t="shared" si="195"/>
        <v>0</v>
      </c>
      <c r="W1015" s="94">
        <f>IFERROR(VLOOKUP($G1015,基本資料!$A:$J,10,0),"無")</f>
        <v>-1.22</v>
      </c>
      <c r="X1015" s="36">
        <f>RTD("money.excel",,"8171","Price")</f>
        <v>49.35</v>
      </c>
      <c r="Y1015" s="66"/>
      <c r="Z1015" s="15">
        <f t="shared" si="196"/>
        <v>49.35</v>
      </c>
      <c r="AA1015" s="3" t="e">
        <f t="shared" si="197"/>
        <v>#DIV/0!</v>
      </c>
      <c r="AB1015" s="344">
        <f>IFERROR(VLOOKUP($G1015,基本資料!$A:$M,11,0),"無")</f>
        <v>-32.21</v>
      </c>
      <c r="AC1015" s="397">
        <f>IFERROR(VLOOKUP($G1015,基本資料!$A:$M,12,0),"無")</f>
        <v>47.77</v>
      </c>
      <c r="AD1015" s="16" t="s">
        <v>4458</v>
      </c>
      <c r="AG1015" s="33">
        <f t="shared" si="198"/>
        <v>0</v>
      </c>
      <c r="AH1015" s="43" t="s">
        <v>2552</v>
      </c>
      <c r="AI1015" s="63">
        <f t="shared" si="199"/>
        <v>5.7069846678023846E-3</v>
      </c>
      <c r="AJ1015" s="284">
        <f>RTD("money.excel",,$G1015,"PredictVolume")</f>
        <v>335</v>
      </c>
      <c r="AK1015" s="399">
        <f>IFERROR(VLOOKUP($G1015,基本資料!$A:$M,13,0),"無")</f>
        <v>23.12</v>
      </c>
    </row>
    <row r="1016" spans="1:37">
      <c r="A1016" s="347">
        <f>IFERROR(VLOOKUP($G1016,基本資料!$A:$J,3,0),"無")</f>
        <v>7.17</v>
      </c>
      <c r="B1016" s="79">
        <f>IFERROR(VLOOKUP($G1016,基本資料!$A:$J,4,0),"無")</f>
        <v>96</v>
      </c>
      <c r="C1016" s="79">
        <f>IFERROR(VLOOKUP($G1016,基本資料!$A:$J,5,0),"無")</f>
        <v>7</v>
      </c>
      <c r="D1016" s="79">
        <f>IFERROR(VLOOKUP($G1016,基本資料!$A:$J,6,0),"無")</f>
        <v>11</v>
      </c>
      <c r="E1016" s="79">
        <f>IFERROR(VLOOKUP($G1016,基本資料!$A:$J,7,0),"無")</f>
        <v>221</v>
      </c>
      <c r="F1016" s="6">
        <f>IFERROR(VLOOKUP($G1016,基本資料!$A:$J,8,0),"無")</f>
        <v>-50.26</v>
      </c>
      <c r="G1016" s="79">
        <v>8176</v>
      </c>
      <c r="H1016" s="8" t="s">
        <v>311</v>
      </c>
      <c r="I1016" s="16" t="s">
        <v>4459</v>
      </c>
      <c r="J1016" s="8" t="str">
        <f>IFERROR(VLOOKUP($G1016,今日總結!$A:$AJ,35,0),"")</f>
        <v/>
      </c>
      <c r="K1016" s="5" t="str">
        <f>IFERROR(VLOOKUP($G1016,今日總結!$A:$AJ,36,0),"")</f>
        <v/>
      </c>
      <c r="L1016" s="156" t="str">
        <f>IFERROR(VLOOKUP($G1016,今日總結!$A:$AJ,33,0),"")</f>
        <v/>
      </c>
      <c r="M1016" s="340" t="str">
        <f>IFERROR(VLOOKUP($G1016,今日總結!$A:$AJ,34,0),"")</f>
        <v/>
      </c>
      <c r="N1016" s="240" t="str">
        <f t="shared" si="200"/>
        <v/>
      </c>
      <c r="P1016" s="365" t="str">
        <f>IFERROR(VLOOKUP($G1016,融外自投!$A:$J,7,0),"無")</f>
        <v>無</v>
      </c>
      <c r="Q1016" s="79" t="str">
        <f>IFERROR(VLOOKUP($G1016,融外自投!$A:$J,9,0),"無")</f>
        <v>無</v>
      </c>
      <c r="R1016" s="346" t="str">
        <f>IFERROR(VLOOKUP($G1016,融外自投!$A:$J,8,0),"無")</f>
        <v>無</v>
      </c>
      <c r="S1016" s="81" t="str">
        <f>IFERROR(VLOOKUP($G1016,融外自投!$A:$J,10,0),"無")</f>
        <v>無</v>
      </c>
      <c r="T1016" s="327" t="str">
        <f>IFERROR(VLOOKUP($G1016,'321買'!$A:$E,5,0),"'沒有資料'")</f>
        <v>'沒有資料'</v>
      </c>
      <c r="U1016" s="186">
        <f>IFERROR(VLOOKUP($G1016,基本資料!$A:$J,9,0),"無")</f>
        <v>0</v>
      </c>
      <c r="V1016" s="310">
        <f t="shared" si="195"/>
        <v>0</v>
      </c>
      <c r="W1016" s="94">
        <f>IFERROR(VLOOKUP($G1016,基本資料!$A:$J,10,0),"無")</f>
        <v>-0.88</v>
      </c>
      <c r="X1016" s="36">
        <f>RTD("money.excel",,"8176","Price")</f>
        <v>10.050000000000001</v>
      </c>
      <c r="Y1016" s="66"/>
      <c r="Z1016" s="15">
        <f t="shared" si="196"/>
        <v>10.050000000000001</v>
      </c>
      <c r="AA1016" s="3" t="e">
        <f t="shared" si="197"/>
        <v>#DIV/0!</v>
      </c>
      <c r="AB1016" s="344">
        <f>IFERROR(VLOOKUP($G1016,基本資料!$A:$M,11,0),"無")</f>
        <v>-20.45</v>
      </c>
      <c r="AC1016" s="397">
        <f>IFERROR(VLOOKUP($G1016,基本資料!$A:$M,12,0),"無")</f>
        <v>55.4</v>
      </c>
      <c r="AD1016" s="16" t="s">
        <v>4459</v>
      </c>
      <c r="AG1016" s="33">
        <f t="shared" si="198"/>
        <v>0</v>
      </c>
      <c r="AH1016" s="43" t="s">
        <v>4449</v>
      </c>
      <c r="AI1016" s="63">
        <f t="shared" si="199"/>
        <v>6.3737796373779633E-3</v>
      </c>
      <c r="AJ1016" s="284">
        <f>RTD("money.excel",,$G1016,"PredictVolume")</f>
        <v>457</v>
      </c>
      <c r="AK1016" s="399">
        <f>IFERROR(VLOOKUP($G1016,基本資料!$A:$M,13,0),"無")</f>
        <v>5.93</v>
      </c>
    </row>
    <row r="1017" spans="1:37">
      <c r="A1017" s="142"/>
      <c r="B1017" s="194"/>
      <c r="C1017" s="194"/>
      <c r="D1017" s="90"/>
      <c r="E1017" s="90"/>
      <c r="F1017" s="6"/>
      <c r="G1017" s="79"/>
      <c r="H1017" s="8"/>
      <c r="I1017" s="16"/>
      <c r="L1017" s="2"/>
      <c r="S1017" s="26"/>
      <c r="U1017" s="34"/>
      <c r="W1017" s="94"/>
      <c r="X1017" s="36"/>
      <c r="Y1017" s="66"/>
      <c r="Z1017" s="15"/>
      <c r="AA1017" s="3"/>
      <c r="AD1017" s="16"/>
      <c r="AG1017" s="33"/>
      <c r="AH1017" s="43"/>
      <c r="AI1017" s="63"/>
      <c r="AJ1017" s="284"/>
    </row>
    <row r="1018" spans="1:37">
      <c r="A1018" s="127" t="s">
        <v>3876</v>
      </c>
      <c r="B1018" s="90" t="s">
        <v>3877</v>
      </c>
      <c r="C1018" s="90" t="s">
        <v>3878</v>
      </c>
      <c r="D1018" s="90" t="s">
        <v>3879</v>
      </c>
      <c r="E1018" s="90" t="s">
        <v>3880</v>
      </c>
      <c r="F1018" s="8" t="s">
        <v>3881</v>
      </c>
      <c r="G1018" s="27" t="s">
        <v>427</v>
      </c>
      <c r="H1018" s="55" t="s">
        <v>320</v>
      </c>
      <c r="I1018" s="8" t="s">
        <v>4460</v>
      </c>
      <c r="J1018" s="8" t="s">
        <v>6221</v>
      </c>
      <c r="K1018" s="5" t="s">
        <v>6222</v>
      </c>
      <c r="L1018" s="337" t="s">
        <v>6206</v>
      </c>
      <c r="M1018" s="338" t="s">
        <v>6207</v>
      </c>
      <c r="N1018" s="339" t="s">
        <v>6208</v>
      </c>
      <c r="O1018" s="4" t="s">
        <v>6713</v>
      </c>
      <c r="P1018" s="89" t="s">
        <v>6285</v>
      </c>
      <c r="Q1018" s="293" t="s">
        <v>6284</v>
      </c>
      <c r="R1018" s="354" t="s">
        <v>6283</v>
      </c>
      <c r="S1018" s="26" t="s">
        <v>6286</v>
      </c>
      <c r="T1018" s="321" t="s">
        <v>4716</v>
      </c>
      <c r="U1018" s="10" t="s">
        <v>3884</v>
      </c>
      <c r="V1018" s="308" t="s">
        <v>4731</v>
      </c>
      <c r="W1018" s="68" t="s">
        <v>3273</v>
      </c>
      <c r="X1018" s="28" t="s">
        <v>2</v>
      </c>
      <c r="Y1018" s="17" t="s">
        <v>3885</v>
      </c>
      <c r="Z1018" s="14" t="s">
        <v>3886</v>
      </c>
      <c r="AA1018" s="21" t="s">
        <v>3887</v>
      </c>
      <c r="AB1018" s="96" t="s">
        <v>6174</v>
      </c>
      <c r="AC1018" s="384" t="s">
        <v>6420</v>
      </c>
      <c r="AD1018" s="8" t="s">
        <v>4460</v>
      </c>
      <c r="AE1018" s="71" t="s">
        <v>3888</v>
      </c>
      <c r="AF1018" s="72" t="s">
        <v>3889</v>
      </c>
      <c r="AG1018" s="32" t="s">
        <v>3890</v>
      </c>
      <c r="AH1018" s="25" t="s">
        <v>6209</v>
      </c>
      <c r="AI1018" s="8" t="s">
        <v>6731</v>
      </c>
      <c r="AJ1018" s="50" t="s">
        <v>3361</v>
      </c>
      <c r="AK1018" s="44" t="s">
        <v>6730</v>
      </c>
    </row>
    <row r="1019" spans="1:37">
      <c r="A1019" s="347">
        <f>IFERROR(VLOOKUP($G1019,基本資料!$A:$J,3,0),"無")</f>
        <v>7.7</v>
      </c>
      <c r="B1019" s="79">
        <f>IFERROR(VLOOKUP($G1019,基本資料!$A:$J,4,0),"無")</f>
        <v>-60</v>
      </c>
      <c r="C1019" s="79">
        <f>IFERROR(VLOOKUP($G1019,基本資料!$A:$J,5,0),"無")</f>
        <v>102</v>
      </c>
      <c r="D1019" s="79">
        <f>IFERROR(VLOOKUP($G1019,基本資料!$A:$J,6,0),"無")</f>
        <v>2</v>
      </c>
      <c r="E1019" s="79">
        <f>IFERROR(VLOOKUP($G1019,基本資料!$A:$J,7,0),"無")</f>
        <v>7</v>
      </c>
      <c r="F1019" s="6">
        <f>IFERROR(VLOOKUP($G1019,基本資料!$A:$J,8,0),"無")</f>
        <v>6.75</v>
      </c>
      <c r="G1019" s="79">
        <v>1336</v>
      </c>
      <c r="H1019" s="8" t="s">
        <v>308</v>
      </c>
      <c r="I1019" s="16" t="s">
        <v>4461</v>
      </c>
      <c r="J1019" s="8">
        <f>IFERROR(VLOOKUP($G1019,今日總結!$A:$AJ,35,0),"")</f>
        <v>9</v>
      </c>
      <c r="K1019" s="5">
        <f>IFERROR(VLOOKUP($G1019,今日總結!$A:$AJ,36,0),"")</f>
        <v>0</v>
      </c>
      <c r="L1019" s="156">
        <f>IFERROR(VLOOKUP($G1019,今日總結!$A:$AJ,33,0),"")</f>
        <v>1</v>
      </c>
      <c r="M1019" s="340">
        <f>IFERROR(VLOOKUP($G1019,今日總結!$A:$AJ,34,0),"")</f>
        <v>0</v>
      </c>
      <c r="N1019" s="240">
        <f t="shared" ref="N1019" si="201">IFERROR(L1019-M1019,"")</f>
        <v>1</v>
      </c>
      <c r="P1019" s="365">
        <f>IFERROR(VLOOKUP($G1019,融外自投!$A:$J,7,0),"無")</f>
        <v>635</v>
      </c>
      <c r="Q1019" s="79" t="str">
        <f>IFERROR(VLOOKUP($G1019,融外自投!$A:$J,9,0),"無")</f>
        <v>無</v>
      </c>
      <c r="R1019" s="346">
        <f>IFERROR(VLOOKUP($G1019,融外自投!$A:$J,8,0),"無")</f>
        <v>1140</v>
      </c>
      <c r="S1019" s="81" t="str">
        <f>IFERROR(VLOOKUP($G1019,融外自投!$A:$J,10,0),"無")</f>
        <v>無</v>
      </c>
      <c r="T1019" s="327">
        <f>IFERROR(VLOOKUP($G1019,'321買'!$A:$E,5,0),"'沒有資料'")</f>
        <v>1161</v>
      </c>
      <c r="U1019" s="186">
        <f>IFERROR(VLOOKUP($G1019,基本資料!$A:$J,9,0),"無")</f>
        <v>0.4</v>
      </c>
      <c r="V1019" s="310">
        <f t="shared" ref="V1019:V1082" si="202">$U1019/$X1019</f>
        <v>2.1447721179624669E-2</v>
      </c>
      <c r="W1019" s="94">
        <f>IFERROR(VLOOKUP($G1019,基本資料!$A:$J,10,0),"無")</f>
        <v>1</v>
      </c>
      <c r="X1019" s="36">
        <f>RTD("money.excel",,"1336","Price")</f>
        <v>18.649999999999999</v>
      </c>
      <c r="Y1019" s="66"/>
      <c r="Z1019" s="15">
        <f t="shared" ref="Z1019:Z1080" si="203">X1019-Y1019</f>
        <v>18.649999999999999</v>
      </c>
      <c r="AA1019" s="3" t="e">
        <f t="shared" ref="AA1019:AA1080" si="204">Z1019/Y1019</f>
        <v>#DIV/0!</v>
      </c>
      <c r="AB1019" s="344">
        <f>IFERROR(VLOOKUP($G1019,基本資料!$A:$M,11,0),"無")</f>
        <v>-24.3</v>
      </c>
      <c r="AC1019" s="397">
        <f>IFERROR(VLOOKUP($G1019,基本資料!$A:$M,12,0),"無")</f>
        <v>36.020000000000003</v>
      </c>
      <c r="AD1019" s="16" t="s">
        <v>4461</v>
      </c>
      <c r="AG1019" s="33">
        <f t="shared" ref="AG1019:AG1080" si="205">AF1019-AE1019</f>
        <v>0</v>
      </c>
      <c r="AH1019" s="43" t="s">
        <v>4462</v>
      </c>
      <c r="AI1019" s="63">
        <f t="shared" ref="AI1019:AI1082" si="206">AJ1019/(A1019*10000)</f>
        <v>9.0909090909090904E-5</v>
      </c>
      <c r="AJ1019" s="284">
        <f>RTD("money.excel",,$G1019,"PredictVolume")</f>
        <v>7</v>
      </c>
      <c r="AK1019" s="399">
        <f>IFERROR(VLOOKUP($G1019,基本資料!$A:$M,13,0),"無")</f>
        <v>4.72</v>
      </c>
    </row>
    <row r="1020" spans="1:37">
      <c r="A1020" s="347">
        <f>IFERROR(VLOOKUP($G1020,基本資料!$A:$J,3,0),"無")</f>
        <v>15.04</v>
      </c>
      <c r="B1020" s="79">
        <f>IFERROR(VLOOKUP($G1020,基本資料!$A:$J,4,0),"無")</f>
        <v>-104</v>
      </c>
      <c r="C1020" s="79">
        <f>IFERROR(VLOOKUP($G1020,基本資料!$A:$J,5,0),"無")</f>
        <v>-34</v>
      </c>
      <c r="D1020" s="79">
        <f>IFERROR(VLOOKUP($G1020,基本資料!$A:$J,6,0),"無")</f>
        <v>70</v>
      </c>
      <c r="E1020" s="79">
        <f>IFERROR(VLOOKUP($G1020,基本資料!$A:$J,7,0),"無")</f>
        <v>-60</v>
      </c>
      <c r="F1020" s="6">
        <f>IFERROR(VLOOKUP($G1020,基本資料!$A:$J,8,0),"無")</f>
        <v>-39.67</v>
      </c>
      <c r="G1020" s="79">
        <v>1471</v>
      </c>
      <c r="H1020" s="8" t="s">
        <v>308</v>
      </c>
      <c r="I1020" s="22" t="s">
        <v>4463</v>
      </c>
      <c r="J1020" s="8" t="str">
        <f>IFERROR(VLOOKUP($G1020,今日總結!$A:$AJ,35,0),"")</f>
        <v/>
      </c>
      <c r="K1020" s="5" t="str">
        <f>IFERROR(VLOOKUP($G1020,今日總結!$A:$AJ,36,0),"")</f>
        <v/>
      </c>
      <c r="L1020" s="156" t="str">
        <f>IFERROR(VLOOKUP($G1020,今日總結!$A:$AJ,33,0),"")</f>
        <v/>
      </c>
      <c r="M1020" s="340" t="str">
        <f>IFERROR(VLOOKUP($G1020,今日總結!$A:$AJ,34,0),"")</f>
        <v/>
      </c>
      <c r="N1020" s="240" t="str">
        <f t="shared" ref="N1020:N1083" si="207">IFERROR(L1020-M1020,"")</f>
        <v/>
      </c>
      <c r="P1020" s="365" t="str">
        <f>IFERROR(VLOOKUP($G1020,融外自投!$A:$J,7,0),"無")</f>
        <v>無</v>
      </c>
      <c r="Q1020" s="79" t="str">
        <f>IFERROR(VLOOKUP($G1020,融外自投!$A:$J,9,0),"無")</f>
        <v>無</v>
      </c>
      <c r="R1020" s="346" t="str">
        <f>IFERROR(VLOOKUP($G1020,融外自投!$A:$J,8,0),"無")</f>
        <v>無</v>
      </c>
      <c r="S1020" s="81" t="str">
        <f>IFERROR(VLOOKUP($G1020,融外自投!$A:$J,10,0),"無")</f>
        <v>無</v>
      </c>
      <c r="T1020" s="327" t="str">
        <f>IFERROR(VLOOKUP($G1020,'321買'!$A:$E,5,0),"'沒有資料'")</f>
        <v>'沒有資料'</v>
      </c>
      <c r="U1020" s="186">
        <f>IFERROR(VLOOKUP($G1020,基本資料!$A:$J,9,0),"無")</f>
        <v>0</v>
      </c>
      <c r="V1020" s="310">
        <f t="shared" si="202"/>
        <v>0</v>
      </c>
      <c r="W1020" s="94">
        <f>IFERROR(VLOOKUP($G1020,基本資料!$A:$J,10,0),"無")</f>
        <v>-0.12</v>
      </c>
      <c r="X1020" s="36">
        <f>RTD("money.excel",,"1471","Price")</f>
        <v>6.54</v>
      </c>
      <c r="Y1020" s="66"/>
      <c r="Z1020" s="15">
        <f t="shared" si="203"/>
        <v>6.54</v>
      </c>
      <c r="AA1020" s="3" t="e">
        <f t="shared" si="204"/>
        <v>#DIV/0!</v>
      </c>
      <c r="AB1020" s="344">
        <f>IFERROR(VLOOKUP($G1020,基本資料!$A:$M,11,0),"無")</f>
        <v>-47.98</v>
      </c>
      <c r="AC1020" s="397">
        <f>IFERROR(VLOOKUP($G1020,基本資料!$A:$M,12,0),"無")</f>
        <v>15.1</v>
      </c>
      <c r="AD1020" s="22" t="s">
        <v>4463</v>
      </c>
      <c r="AG1020" s="33">
        <f t="shared" si="205"/>
        <v>0</v>
      </c>
      <c r="AH1020" s="43" t="s">
        <v>2373</v>
      </c>
      <c r="AI1020" s="63">
        <f t="shared" si="206"/>
        <v>7.4468085106382982E-4</v>
      </c>
      <c r="AJ1020" s="284">
        <f>RTD("money.excel",,$G1020,"PredictVolume")</f>
        <v>112</v>
      </c>
      <c r="AK1020" s="399">
        <f>IFERROR(VLOOKUP($G1020,基本資料!$A:$M,13,0),"無")</f>
        <v>10.3</v>
      </c>
    </row>
    <row r="1021" spans="1:37">
      <c r="A1021" s="347">
        <f>IFERROR(VLOOKUP($G1021,基本資料!$A:$J,3,0),"無")</f>
        <v>12.37</v>
      </c>
      <c r="B1021" s="79">
        <f>IFERROR(VLOOKUP($G1021,基本資料!$A:$J,4,0),"無")</f>
        <v>-75</v>
      </c>
      <c r="C1021" s="79">
        <f>IFERROR(VLOOKUP($G1021,基本資料!$A:$J,5,0),"無")</f>
        <v>-74</v>
      </c>
      <c r="D1021" s="79">
        <f>IFERROR(VLOOKUP($G1021,基本資料!$A:$J,6,0),"無")</f>
        <v>-29</v>
      </c>
      <c r="E1021" s="79">
        <f>IFERROR(VLOOKUP($G1021,基本資料!$A:$J,7,0),"無")</f>
        <v>-12</v>
      </c>
      <c r="F1021" s="6">
        <f>IFERROR(VLOOKUP($G1021,基本資料!$A:$J,8,0),"無")</f>
        <v>3.87</v>
      </c>
      <c r="G1021" s="79">
        <v>1582</v>
      </c>
      <c r="H1021" s="8" t="s">
        <v>308</v>
      </c>
      <c r="I1021" s="22" t="s">
        <v>4464</v>
      </c>
      <c r="J1021" s="8" t="str">
        <f>IFERROR(VLOOKUP($G1021,今日總結!$A:$AJ,35,0),"")</f>
        <v/>
      </c>
      <c r="K1021" s="5" t="str">
        <f>IFERROR(VLOOKUP($G1021,今日總結!$A:$AJ,36,0),"")</f>
        <v/>
      </c>
      <c r="L1021" s="156" t="str">
        <f>IFERROR(VLOOKUP($G1021,今日總結!$A:$AJ,33,0),"")</f>
        <v/>
      </c>
      <c r="M1021" s="340" t="str">
        <f>IFERROR(VLOOKUP($G1021,今日總結!$A:$AJ,34,0),"")</f>
        <v/>
      </c>
      <c r="N1021" s="240" t="str">
        <f t="shared" si="207"/>
        <v/>
      </c>
      <c r="P1021" s="365">
        <f>IFERROR(VLOOKUP($G1021,融外自投!$A:$J,7,0),"無")</f>
        <v>896</v>
      </c>
      <c r="Q1021" s="79">
        <f>IFERROR(VLOOKUP($G1021,融外自投!$A:$J,9,0),"無")</f>
        <v>852</v>
      </c>
      <c r="R1021" s="346">
        <f>IFERROR(VLOOKUP($G1021,融外自投!$A:$J,8,0),"無")</f>
        <v>433</v>
      </c>
      <c r="S1021" s="81" t="str">
        <f>IFERROR(VLOOKUP($G1021,融外自投!$A:$J,10,0),"無")</f>
        <v>無</v>
      </c>
      <c r="T1021" s="327">
        <f>IFERROR(VLOOKUP($G1021,'321買'!$A:$E,5,0),"'沒有資料'")</f>
        <v>964</v>
      </c>
      <c r="U1021" s="186">
        <f>IFERROR(VLOOKUP($G1021,基本資料!$A:$J,9,0),"無")</f>
        <v>5.3</v>
      </c>
      <c r="V1021" s="310">
        <f t="shared" si="202"/>
        <v>7.7372262773722625E-2</v>
      </c>
      <c r="W1021" s="94">
        <f>IFERROR(VLOOKUP($G1021,基本資料!$A:$J,10,0),"無")</f>
        <v>2.0299999999999998</v>
      </c>
      <c r="X1021" s="36">
        <f>RTD("money.excel",,"1582","Price")</f>
        <v>68.5</v>
      </c>
      <c r="Y1021" s="66"/>
      <c r="Z1021" s="15">
        <f t="shared" si="203"/>
        <v>68.5</v>
      </c>
      <c r="AA1021" s="3" t="e">
        <f t="shared" si="204"/>
        <v>#DIV/0!</v>
      </c>
      <c r="AB1021" s="344">
        <f>IFERROR(VLOOKUP($G1021,基本資料!$A:$M,11,0),"無")</f>
        <v>-17.88</v>
      </c>
      <c r="AC1021" s="397">
        <f>IFERROR(VLOOKUP($G1021,基本資料!$A:$M,12,0),"無")</f>
        <v>51.13</v>
      </c>
      <c r="AD1021" s="22" t="s">
        <v>4464</v>
      </c>
      <c r="AG1021" s="33">
        <f t="shared" si="205"/>
        <v>0</v>
      </c>
      <c r="AH1021" s="43" t="s">
        <v>4465</v>
      </c>
      <c r="AI1021" s="63">
        <f t="shared" si="206"/>
        <v>1.3742926434923202E-3</v>
      </c>
      <c r="AJ1021" s="284">
        <f>RTD("money.excel",,$G1021,"PredictVolume")</f>
        <v>170</v>
      </c>
      <c r="AK1021" s="399">
        <f>IFERROR(VLOOKUP($G1021,基本資料!$A:$M,13,0),"無")</f>
        <v>2.89</v>
      </c>
    </row>
    <row r="1022" spans="1:37">
      <c r="A1022" s="347">
        <f>IFERROR(VLOOKUP($G1022,基本資料!$A:$J,3,0),"無")</f>
        <v>4.6900000000000004</v>
      </c>
      <c r="B1022" s="79">
        <f>IFERROR(VLOOKUP($G1022,基本資料!$A:$J,4,0),"無")</f>
        <v>2014</v>
      </c>
      <c r="C1022" s="79">
        <f>IFERROR(VLOOKUP($G1022,基本資料!$A:$J,5,0),"無")</f>
        <v>235</v>
      </c>
      <c r="D1022" s="79">
        <f>IFERROR(VLOOKUP($G1022,基本資料!$A:$J,6,0),"無")</f>
        <v>3</v>
      </c>
      <c r="E1022" s="79">
        <f>IFERROR(VLOOKUP($G1022,基本資料!$A:$J,7,0),"無")</f>
        <v>-12</v>
      </c>
      <c r="F1022" s="6">
        <f>IFERROR(VLOOKUP($G1022,基本資料!$A:$J,8,0),"無")</f>
        <v>10.37</v>
      </c>
      <c r="G1022" s="79">
        <v>1595</v>
      </c>
      <c r="H1022" s="8" t="s">
        <v>308</v>
      </c>
      <c r="I1022" s="16" t="s">
        <v>4466</v>
      </c>
      <c r="J1022" s="8">
        <f>IFERROR(VLOOKUP($G1022,今日總結!$A:$AJ,35,0),"")</f>
        <v>0</v>
      </c>
      <c r="K1022" s="5" t="str">
        <f>IFERROR(VLOOKUP($G1022,今日總結!$A:$AJ,36,0),"")</f>
        <v>外</v>
      </c>
      <c r="L1022" s="156">
        <f>IFERROR(VLOOKUP($G1022,今日總結!$A:$AJ,33,0),"")</f>
        <v>0</v>
      </c>
      <c r="M1022" s="340">
        <f>IFERROR(VLOOKUP($G1022,今日總結!$A:$AJ,34,0),"")</f>
        <v>1</v>
      </c>
      <c r="N1022" s="240">
        <f t="shared" si="207"/>
        <v>-1</v>
      </c>
      <c r="P1022" s="365">
        <f>IFERROR(VLOOKUP($G1022,融外自投!$A:$J,7,0),"無")</f>
        <v>1063</v>
      </c>
      <c r="Q1022" s="79" t="str">
        <f>IFERROR(VLOOKUP($G1022,融外自投!$A:$J,9,0),"無")</f>
        <v>無</v>
      </c>
      <c r="R1022" s="346">
        <f>IFERROR(VLOOKUP($G1022,融外自投!$A:$J,8,0),"無")</f>
        <v>1069</v>
      </c>
      <c r="S1022" s="81" t="str">
        <f>IFERROR(VLOOKUP($G1022,融外自投!$A:$J,10,0),"無")</f>
        <v>無</v>
      </c>
      <c r="T1022" s="327">
        <f>IFERROR(VLOOKUP($G1022,'321買'!$A:$E,5,0),"'沒有資料'")</f>
        <v>1296</v>
      </c>
      <c r="U1022" s="186">
        <f>IFERROR(VLOOKUP($G1022,基本資料!$A:$J,9,0),"無")</f>
        <v>2</v>
      </c>
      <c r="V1022" s="310">
        <f t="shared" si="202"/>
        <v>5.2631578947368418E-2</v>
      </c>
      <c r="W1022" s="94">
        <f>IFERROR(VLOOKUP($G1022,基本資料!$A:$J,10,0),"無")</f>
        <v>3.93</v>
      </c>
      <c r="X1022" s="36">
        <f>RTD("money.excel",,"1595","Price")</f>
        <v>38</v>
      </c>
      <c r="Y1022" s="66"/>
      <c r="Z1022" s="15">
        <f t="shared" si="203"/>
        <v>38</v>
      </c>
      <c r="AA1022" s="3" t="e">
        <f t="shared" si="204"/>
        <v>#DIV/0!</v>
      </c>
      <c r="AB1022" s="344">
        <f>IFERROR(VLOOKUP($G1022,基本資料!$A:$M,11,0),"無")</f>
        <v>-29.55</v>
      </c>
      <c r="AC1022" s="397">
        <f>IFERROR(VLOOKUP($G1022,基本資料!$A:$M,12,0),"無")</f>
        <v>23.11</v>
      </c>
      <c r="AD1022" s="16" t="s">
        <v>4466</v>
      </c>
      <c r="AG1022" s="33">
        <f t="shared" si="205"/>
        <v>0</v>
      </c>
      <c r="AH1022" s="43" t="s">
        <v>4467</v>
      </c>
      <c r="AI1022" s="63">
        <f t="shared" si="206"/>
        <v>4.477611940298507E-4</v>
      </c>
      <c r="AJ1022" s="284">
        <f>RTD("money.excel",,$G1022,"PredictVolume")</f>
        <v>21</v>
      </c>
      <c r="AK1022" s="399">
        <f>IFERROR(VLOOKUP($G1022,基本資料!$A:$M,13,0),"無")</f>
        <v>6.45</v>
      </c>
    </row>
    <row r="1023" spans="1:37">
      <c r="A1023" s="347">
        <f>IFERROR(VLOOKUP($G1023,基本資料!$A:$J,3,0),"無")</f>
        <v>42.84</v>
      </c>
      <c r="B1023" s="79">
        <f>IFERROR(VLOOKUP($G1023,基本資料!$A:$J,4,0),"無")</f>
        <v>225</v>
      </c>
      <c r="C1023" s="79">
        <f>IFERROR(VLOOKUP($G1023,基本資料!$A:$J,5,0),"無")</f>
        <v>214</v>
      </c>
      <c r="D1023" s="79">
        <f>IFERROR(VLOOKUP($G1023,基本資料!$A:$J,6,0),"無")</f>
        <v>56</v>
      </c>
      <c r="E1023" s="79">
        <f>IFERROR(VLOOKUP($G1023,基本資料!$A:$J,7,0),"無")</f>
        <v>14</v>
      </c>
      <c r="F1023" s="6">
        <f>IFERROR(VLOOKUP($G1023,基本資料!$A:$J,8,0),"無")</f>
        <v>13.4</v>
      </c>
      <c r="G1023" s="79">
        <v>1815</v>
      </c>
      <c r="H1023" s="8" t="s">
        <v>308</v>
      </c>
      <c r="I1023" s="16" t="s">
        <v>4468</v>
      </c>
      <c r="J1023" s="8" t="str">
        <f>IFERROR(VLOOKUP($G1023,今日總結!$A:$AJ,35,0),"")</f>
        <v/>
      </c>
      <c r="K1023" s="5" t="str">
        <f>IFERROR(VLOOKUP($G1023,今日總結!$A:$AJ,36,0),"")</f>
        <v/>
      </c>
      <c r="L1023" s="156" t="str">
        <f>IFERROR(VLOOKUP($G1023,今日總結!$A:$AJ,33,0),"")</f>
        <v/>
      </c>
      <c r="M1023" s="340" t="str">
        <f>IFERROR(VLOOKUP($G1023,今日總結!$A:$AJ,34,0),"")</f>
        <v/>
      </c>
      <c r="N1023" s="240" t="str">
        <f t="shared" si="207"/>
        <v/>
      </c>
      <c r="P1023" s="365">
        <f>IFERROR(VLOOKUP($G1023,融外自投!$A:$J,7,0),"無")</f>
        <v>370</v>
      </c>
      <c r="Q1023" s="79">
        <f>IFERROR(VLOOKUP($G1023,融外自投!$A:$J,9,0),"無")</f>
        <v>1051</v>
      </c>
      <c r="R1023" s="346">
        <f>IFERROR(VLOOKUP($G1023,融外自投!$A:$J,8,0),"無")</f>
        <v>955</v>
      </c>
      <c r="S1023" s="81" t="str">
        <f>IFERROR(VLOOKUP($G1023,融外自投!$A:$J,10,0),"無")</f>
        <v>無</v>
      </c>
      <c r="T1023" s="327">
        <f>IFERROR(VLOOKUP($G1023,'321買'!$A:$E,5,0),"'沒有資料'")</f>
        <v>207</v>
      </c>
      <c r="U1023" s="186">
        <f>IFERROR(VLOOKUP($G1023,基本資料!$A:$J,9,0),"無")</f>
        <v>0</v>
      </c>
      <c r="V1023" s="310">
        <f t="shared" si="202"/>
        <v>0</v>
      </c>
      <c r="W1023" s="94">
        <f>IFERROR(VLOOKUP($G1023,基本資料!$A:$J,10,0),"無")</f>
        <v>1.43</v>
      </c>
      <c r="X1023" s="36">
        <f>RTD("money.excel",,"1815","Price")</f>
        <v>13.95</v>
      </c>
      <c r="Y1023" s="66"/>
      <c r="Z1023" s="15">
        <f t="shared" si="203"/>
        <v>13.95</v>
      </c>
      <c r="AA1023" s="3" t="e">
        <f t="shared" si="204"/>
        <v>#DIV/0!</v>
      </c>
      <c r="AB1023" s="344">
        <f>IFERROR(VLOOKUP($G1023,基本資料!$A:$M,11,0),"無")</f>
        <v>-44.3</v>
      </c>
      <c r="AC1023" s="397">
        <f>IFERROR(VLOOKUP($G1023,基本資料!$A:$M,12,0),"無")</f>
        <v>16.559999999999999</v>
      </c>
      <c r="AD1023" s="16" t="s">
        <v>4468</v>
      </c>
      <c r="AG1023" s="33">
        <f t="shared" si="205"/>
        <v>0</v>
      </c>
      <c r="AH1023" s="117" t="s">
        <v>1053</v>
      </c>
      <c r="AI1023" s="63">
        <f t="shared" si="206"/>
        <v>8.7535014005602225E-3</v>
      </c>
      <c r="AJ1023" s="284">
        <f>RTD("money.excel",,$G1023,"PredictVolume")</f>
        <v>3750</v>
      </c>
      <c r="AK1023" s="399">
        <f>IFERROR(VLOOKUP($G1023,基本資料!$A:$M,13,0),"無")</f>
        <v>26.04</v>
      </c>
    </row>
    <row r="1024" spans="1:37">
      <c r="A1024" s="347">
        <f>IFERROR(VLOOKUP($G1024,基本資料!$A:$J,3,0),"無")</f>
        <v>9.52</v>
      </c>
      <c r="B1024" s="79">
        <f>IFERROR(VLOOKUP($G1024,基本資料!$A:$J,4,0),"無")</f>
        <v>77</v>
      </c>
      <c r="C1024" s="79">
        <f>IFERROR(VLOOKUP($G1024,基本資料!$A:$J,5,0),"無")</f>
        <v>38</v>
      </c>
      <c r="D1024" s="79">
        <f>IFERROR(VLOOKUP($G1024,基本資料!$A:$J,6,0),"無")</f>
        <v>-5</v>
      </c>
      <c r="E1024" s="79">
        <f>IFERROR(VLOOKUP($G1024,基本資料!$A:$J,7,0),"無")</f>
        <v>21</v>
      </c>
      <c r="F1024" s="6">
        <f>IFERROR(VLOOKUP($G1024,基本資料!$A:$J,8,0),"無")</f>
        <v>42.88</v>
      </c>
      <c r="G1024" s="79">
        <v>2059</v>
      </c>
      <c r="H1024" s="192" t="s">
        <v>308</v>
      </c>
      <c r="I1024" s="22" t="s">
        <v>4469</v>
      </c>
      <c r="J1024" s="8" t="str">
        <f>IFERROR(VLOOKUP($G1024,今日總結!$A:$AJ,35,0),"")</f>
        <v/>
      </c>
      <c r="K1024" s="5" t="str">
        <f>IFERROR(VLOOKUP($G1024,今日總結!$A:$AJ,36,0),"")</f>
        <v/>
      </c>
      <c r="L1024" s="156" t="str">
        <f>IFERROR(VLOOKUP($G1024,今日總結!$A:$AJ,33,0),"")</f>
        <v/>
      </c>
      <c r="M1024" s="340" t="str">
        <f>IFERROR(VLOOKUP($G1024,今日總結!$A:$AJ,34,0),"")</f>
        <v/>
      </c>
      <c r="N1024" s="240" t="str">
        <f t="shared" si="207"/>
        <v/>
      </c>
      <c r="P1024" s="365">
        <f>IFERROR(VLOOKUP($G1024,融外自投!$A:$J,7,0),"無")</f>
        <v>1144</v>
      </c>
      <c r="Q1024" s="79">
        <f>IFERROR(VLOOKUP($G1024,融外自投!$A:$J,9,0),"無")</f>
        <v>312</v>
      </c>
      <c r="R1024" s="346">
        <f>IFERROR(VLOOKUP($G1024,融外自投!$A:$J,8,0),"無")</f>
        <v>311</v>
      </c>
      <c r="S1024" s="81">
        <f>IFERROR(VLOOKUP($G1024,融外自投!$A:$J,10,0),"無")</f>
        <v>222</v>
      </c>
      <c r="T1024" s="327">
        <f>IFERROR(VLOOKUP($G1024,'321買'!$A:$E,5,0),"'沒有資料'")</f>
        <v>664</v>
      </c>
      <c r="U1024" s="186">
        <f>IFERROR(VLOOKUP($G1024,基本資料!$A:$J,9,0),"無")</f>
        <v>10.88</v>
      </c>
      <c r="V1024" s="310">
        <f t="shared" si="202"/>
        <v>2.663402692778458E-2</v>
      </c>
      <c r="W1024" s="94">
        <f>IFERROR(VLOOKUP($G1024,基本資料!$A:$J,10,0),"無")</f>
        <v>21.75</v>
      </c>
      <c r="X1024" s="36">
        <f>RTD("money.excel",,"2059","Price")</f>
        <v>408.5</v>
      </c>
      <c r="Y1024" s="66"/>
      <c r="Z1024" s="15">
        <f t="shared" si="203"/>
        <v>408.5</v>
      </c>
      <c r="AA1024" s="3" t="e">
        <f t="shared" si="204"/>
        <v>#DIV/0!</v>
      </c>
      <c r="AB1024" s="344">
        <f>IFERROR(VLOOKUP($G1024,基本資料!$A:$M,11,0),"無")</f>
        <v>-23.01</v>
      </c>
      <c r="AC1024" s="397">
        <f>IFERROR(VLOOKUP($G1024,基本資料!$A:$M,12,0),"無")</f>
        <v>39.01</v>
      </c>
      <c r="AD1024" s="22" t="s">
        <v>4469</v>
      </c>
      <c r="AG1024" s="33">
        <f t="shared" si="205"/>
        <v>0</v>
      </c>
      <c r="AH1024" s="117" t="s">
        <v>4470</v>
      </c>
      <c r="AI1024" s="63">
        <f t="shared" si="206"/>
        <v>1.7436974789915966E-3</v>
      </c>
      <c r="AJ1024" s="284">
        <f>RTD("money.excel",,$G1024,"PredictVolume")</f>
        <v>166</v>
      </c>
      <c r="AK1024" s="399">
        <f>IFERROR(VLOOKUP($G1024,基本資料!$A:$M,13,0),"無")</f>
        <v>1.04</v>
      </c>
    </row>
    <row r="1025" spans="1:37">
      <c r="A1025" s="347">
        <f>IFERROR(VLOOKUP($G1025,基本資料!$A:$J,3,0),"無")</f>
        <v>259</v>
      </c>
      <c r="B1025" s="79">
        <f>IFERROR(VLOOKUP($G1025,基本資料!$A:$J,4,0),"無")</f>
        <v>4</v>
      </c>
      <c r="C1025" s="79">
        <f>IFERROR(VLOOKUP($G1025,基本資料!$A:$J,5,0),"無")</f>
        <v>0</v>
      </c>
      <c r="D1025" s="79">
        <f>IFERROR(VLOOKUP($G1025,基本資料!$A:$J,6,0),"無")</f>
        <v>-11</v>
      </c>
      <c r="E1025" s="79">
        <f>IFERROR(VLOOKUP($G1025,基本資料!$A:$J,7,0),"無")</f>
        <v>3</v>
      </c>
      <c r="F1025" s="6">
        <f>IFERROR(VLOOKUP($G1025,基本資料!$A:$J,8,0),"無")</f>
        <v>9.9700000000000006</v>
      </c>
      <c r="G1025" s="79">
        <v>2308</v>
      </c>
      <c r="H1025" s="8" t="s">
        <v>308</v>
      </c>
      <c r="I1025" s="22" t="s">
        <v>4471</v>
      </c>
      <c r="J1025" s="8">
        <f>IFERROR(VLOOKUP($G1025,今日總結!$A:$AJ,35,0),"")</f>
        <v>0</v>
      </c>
      <c r="K1025" s="5" t="str">
        <f>IFERROR(VLOOKUP($G1025,今日總結!$A:$AJ,36,0),"")</f>
        <v>外</v>
      </c>
      <c r="L1025" s="156">
        <f>IFERROR(VLOOKUP($G1025,今日總結!$A:$AJ,33,0),"")</f>
        <v>0</v>
      </c>
      <c r="M1025" s="340">
        <f>IFERROR(VLOOKUP($G1025,今日總結!$A:$AJ,34,0),"")</f>
        <v>2</v>
      </c>
      <c r="N1025" s="240">
        <f t="shared" si="207"/>
        <v>-2</v>
      </c>
      <c r="P1025" s="365">
        <f>IFERROR(VLOOKUP($G1025,融外自投!$A:$J,7,0),"無")</f>
        <v>1323</v>
      </c>
      <c r="Q1025" s="79">
        <f>IFERROR(VLOOKUP($G1025,融外自投!$A:$J,9,0),"無")</f>
        <v>466</v>
      </c>
      <c r="R1025" s="346">
        <f>IFERROR(VLOOKUP($G1025,融外自投!$A:$J,8,0),"無")</f>
        <v>34</v>
      </c>
      <c r="S1025" s="81">
        <f>IFERROR(VLOOKUP($G1025,融外自投!$A:$J,10,0),"無")</f>
        <v>142</v>
      </c>
      <c r="T1025" s="327">
        <f>IFERROR(VLOOKUP($G1025,'321買'!$A:$E,5,0),"'沒有資料'")</f>
        <v>138</v>
      </c>
      <c r="U1025" s="186">
        <f>IFERROR(VLOOKUP($G1025,基本資料!$A:$J,9,0),"無")</f>
        <v>5.5</v>
      </c>
      <c r="V1025" s="310">
        <f t="shared" si="202"/>
        <v>2.4608501118568233E-2</v>
      </c>
      <c r="W1025" s="94">
        <f>IFERROR(VLOOKUP($G1025,基本資料!$A:$J,10,0),"無")</f>
        <v>10.32</v>
      </c>
      <c r="X1025" s="36">
        <f>RTD("money.excel",,"2308","Price")</f>
        <v>223.5</v>
      </c>
      <c r="Y1025" s="66"/>
      <c r="Z1025" s="15">
        <f t="shared" si="203"/>
        <v>223.5</v>
      </c>
      <c r="AA1025" s="3" t="e">
        <f t="shared" si="204"/>
        <v>#DIV/0!</v>
      </c>
      <c r="AB1025" s="344">
        <f>IFERROR(VLOOKUP($G1025,基本資料!$A:$M,11,0),"無")</f>
        <v>-31.34</v>
      </c>
      <c r="AC1025" s="397">
        <f>IFERROR(VLOOKUP($G1025,基本資料!$A:$M,12,0),"無")</f>
        <v>23.51</v>
      </c>
      <c r="AD1025" s="22" t="s">
        <v>4471</v>
      </c>
      <c r="AG1025" s="33">
        <f t="shared" si="205"/>
        <v>0</v>
      </c>
      <c r="AH1025" s="119" t="s">
        <v>4472</v>
      </c>
      <c r="AI1025" s="63">
        <f t="shared" si="206"/>
        <v>1.5953667953667954E-3</v>
      </c>
      <c r="AJ1025" s="284">
        <f>RTD("money.excel",,$G1025,"PredictVolume")</f>
        <v>4132</v>
      </c>
      <c r="AK1025" s="399">
        <f>IFERROR(VLOOKUP($G1025,基本資料!$A:$M,13,0),"無")</f>
        <v>0.91</v>
      </c>
    </row>
    <row r="1026" spans="1:37">
      <c r="A1026" s="347">
        <f>IFERROR(VLOOKUP($G1026,基本資料!$A:$J,3,0),"無")</f>
        <v>119</v>
      </c>
      <c r="B1026" s="79">
        <f>IFERROR(VLOOKUP($G1026,基本資料!$A:$J,4,0),"無")</f>
        <v>10</v>
      </c>
      <c r="C1026" s="79">
        <f>IFERROR(VLOOKUP($G1026,基本資料!$A:$J,5,0),"無")</f>
        <v>2</v>
      </c>
      <c r="D1026" s="79">
        <f>IFERROR(VLOOKUP($G1026,基本資料!$A:$J,6,0),"無")</f>
        <v>-14</v>
      </c>
      <c r="E1026" s="79">
        <f>IFERROR(VLOOKUP($G1026,基本資料!$A:$J,7,0),"無")</f>
        <v>15</v>
      </c>
      <c r="F1026" s="6">
        <f>IFERROR(VLOOKUP($G1026,基本資料!$A:$J,8,0),"無")</f>
        <v>10.81</v>
      </c>
      <c r="G1026" s="79">
        <v>2313</v>
      </c>
      <c r="H1026" s="192" t="s">
        <v>308</v>
      </c>
      <c r="I1026" s="22" t="s">
        <v>4473</v>
      </c>
      <c r="J1026" s="8" t="str">
        <f>IFERROR(VLOOKUP($G1026,今日總結!$A:$AJ,35,0),"")</f>
        <v/>
      </c>
      <c r="K1026" s="5" t="str">
        <f>IFERROR(VLOOKUP($G1026,今日總結!$A:$AJ,36,0),"")</f>
        <v/>
      </c>
      <c r="L1026" s="156" t="str">
        <f>IFERROR(VLOOKUP($G1026,今日總結!$A:$AJ,33,0),"")</f>
        <v/>
      </c>
      <c r="M1026" s="340" t="str">
        <f>IFERROR(VLOOKUP($G1026,今日總結!$A:$AJ,34,0),"")</f>
        <v/>
      </c>
      <c r="N1026" s="240" t="str">
        <f t="shared" si="207"/>
        <v/>
      </c>
      <c r="P1026" s="365">
        <f>IFERROR(VLOOKUP($G1026,融外自投!$A:$J,7,0),"無")</f>
        <v>534</v>
      </c>
      <c r="Q1026" s="79">
        <f>IFERROR(VLOOKUP($G1026,融外自投!$A:$J,9,0),"無")</f>
        <v>131</v>
      </c>
      <c r="R1026" s="346">
        <f>IFERROR(VLOOKUP($G1026,融外自投!$A:$J,8,0),"無")</f>
        <v>208</v>
      </c>
      <c r="S1026" s="81">
        <f>IFERROR(VLOOKUP($G1026,融外自投!$A:$J,10,0),"無")</f>
        <v>86</v>
      </c>
      <c r="T1026" s="327">
        <f>IFERROR(VLOOKUP($G1026,'321買'!$A:$E,5,0),"'沒有資料'")</f>
        <v>150</v>
      </c>
      <c r="U1026" s="186">
        <f>IFERROR(VLOOKUP($G1026,基本資料!$A:$J,9,0),"無")</f>
        <v>1.8</v>
      </c>
      <c r="V1026" s="310">
        <f t="shared" si="202"/>
        <v>4.2502951593860687E-2</v>
      </c>
      <c r="W1026" s="94">
        <f>IFERROR(VLOOKUP($G1026,基本資料!$A:$J,10,0),"無")</f>
        <v>4.3099999999999996</v>
      </c>
      <c r="X1026" s="36">
        <f>RTD("money.excel",,"2313","Price")</f>
        <v>42.35</v>
      </c>
      <c r="Y1026" s="66"/>
      <c r="Z1026" s="15">
        <f t="shared" si="203"/>
        <v>42.35</v>
      </c>
      <c r="AA1026" s="3" t="e">
        <f t="shared" si="204"/>
        <v>#DIV/0!</v>
      </c>
      <c r="AB1026" s="344">
        <f>IFERROR(VLOOKUP($G1026,基本資料!$A:$M,11,0),"無")</f>
        <v>-22.06</v>
      </c>
      <c r="AC1026" s="397">
        <f>IFERROR(VLOOKUP($G1026,基本資料!$A:$M,12,0),"無")</f>
        <v>19.45</v>
      </c>
      <c r="AD1026" s="22" t="s">
        <v>4473</v>
      </c>
      <c r="AG1026" s="33">
        <f t="shared" si="205"/>
        <v>0</v>
      </c>
      <c r="AH1026" s="117" t="s">
        <v>4474</v>
      </c>
      <c r="AI1026" s="63">
        <f t="shared" si="206"/>
        <v>1.3853781512605043E-2</v>
      </c>
      <c r="AJ1026" s="284">
        <f>RTD("money.excel",,$G1026,"PredictVolume")</f>
        <v>16486</v>
      </c>
      <c r="AK1026" s="399">
        <f>IFERROR(VLOOKUP($G1026,基本資料!$A:$M,13,0),"無")</f>
        <v>12.86</v>
      </c>
    </row>
    <row r="1027" spans="1:37">
      <c r="A1027" s="347">
        <f>IFERROR(VLOOKUP($G1027,基本資料!$A:$J,3,0),"無")</f>
        <v>18.27</v>
      </c>
      <c r="B1027" s="79">
        <f>IFERROR(VLOOKUP($G1027,基本資料!$A:$J,4,0),"無")</f>
        <v>28</v>
      </c>
      <c r="C1027" s="79">
        <f>IFERROR(VLOOKUP($G1027,基本資料!$A:$J,5,0),"無")</f>
        <v>104</v>
      </c>
      <c r="D1027" s="79">
        <f>IFERROR(VLOOKUP($G1027,基本資料!$A:$J,6,0),"無")</f>
        <v>45</v>
      </c>
      <c r="E1027" s="79">
        <f>IFERROR(VLOOKUP($G1027,基本資料!$A:$J,7,0),"無")</f>
        <v>22</v>
      </c>
      <c r="F1027" s="6">
        <f>IFERROR(VLOOKUP($G1027,基本資料!$A:$J,8,0),"無")</f>
        <v>0.18</v>
      </c>
      <c r="G1027" s="79">
        <v>2316</v>
      </c>
      <c r="H1027" s="8" t="s">
        <v>308</v>
      </c>
      <c r="I1027" s="22" t="s">
        <v>4475</v>
      </c>
      <c r="J1027" s="8" t="str">
        <f>IFERROR(VLOOKUP($G1027,今日總結!$A:$AJ,35,0),"")</f>
        <v/>
      </c>
      <c r="K1027" s="5" t="str">
        <f>IFERROR(VLOOKUP($G1027,今日總結!$A:$AJ,36,0),"")</f>
        <v/>
      </c>
      <c r="L1027" s="156" t="str">
        <f>IFERROR(VLOOKUP($G1027,今日總結!$A:$AJ,33,0),"")</f>
        <v/>
      </c>
      <c r="M1027" s="340" t="str">
        <f>IFERROR(VLOOKUP($G1027,今日總結!$A:$AJ,34,0),"")</f>
        <v/>
      </c>
      <c r="N1027" s="240" t="str">
        <f t="shared" si="207"/>
        <v/>
      </c>
      <c r="P1027" s="365">
        <f>IFERROR(VLOOKUP($G1027,融外自投!$A:$J,7,0),"無")</f>
        <v>716</v>
      </c>
      <c r="Q1027" s="79">
        <f>IFERROR(VLOOKUP($G1027,融外自投!$A:$J,9,0),"無")</f>
        <v>598</v>
      </c>
      <c r="R1027" s="346">
        <f>IFERROR(VLOOKUP($G1027,融外自投!$A:$J,8,0),"無")</f>
        <v>202</v>
      </c>
      <c r="S1027" s="81" t="str">
        <f>IFERROR(VLOOKUP($G1027,融外自投!$A:$J,10,0),"無")</f>
        <v>無</v>
      </c>
      <c r="T1027" s="327">
        <f>IFERROR(VLOOKUP($G1027,'321買'!$A:$E,5,0),"'沒有資料'")</f>
        <v>430</v>
      </c>
      <c r="U1027" s="186">
        <f>IFERROR(VLOOKUP($G1027,基本資料!$A:$J,9,0),"無")</f>
        <v>1</v>
      </c>
      <c r="V1027" s="310">
        <f t="shared" si="202"/>
        <v>3.5906642728904849E-2</v>
      </c>
      <c r="W1027" s="94">
        <f>IFERROR(VLOOKUP($G1027,基本資料!$A:$J,10,0),"無")</f>
        <v>2.94</v>
      </c>
      <c r="X1027" s="36">
        <f>RTD("money.excel",,"2316","Price")</f>
        <v>27.85</v>
      </c>
      <c r="Y1027" s="66"/>
      <c r="Z1027" s="15">
        <f t="shared" si="203"/>
        <v>27.85</v>
      </c>
      <c r="AA1027" s="3" t="e">
        <f t="shared" si="204"/>
        <v>#DIV/0!</v>
      </c>
      <c r="AB1027" s="344">
        <f>IFERROR(VLOOKUP($G1027,基本資料!$A:$M,11,0),"無")</f>
        <v>-29.07</v>
      </c>
      <c r="AC1027" s="397">
        <f>IFERROR(VLOOKUP($G1027,基本資料!$A:$M,12,0),"無")</f>
        <v>10.07</v>
      </c>
      <c r="AD1027" s="22" t="s">
        <v>4475</v>
      </c>
      <c r="AG1027" s="33">
        <f t="shared" si="205"/>
        <v>0</v>
      </c>
      <c r="AH1027" s="43" t="s">
        <v>4476</v>
      </c>
      <c r="AI1027" s="63">
        <f t="shared" si="206"/>
        <v>9.5785440613026815E-4</v>
      </c>
      <c r="AJ1027" s="284">
        <f>RTD("money.excel",,$G1027,"PredictVolume")</f>
        <v>175</v>
      </c>
      <c r="AK1027" s="399">
        <f>IFERROR(VLOOKUP($G1027,基本資料!$A:$M,13,0),"無")</f>
        <v>19.59</v>
      </c>
    </row>
    <row r="1028" spans="1:37">
      <c r="A1028" s="347">
        <f>IFERROR(VLOOKUP($G1028,基本資料!$A:$J,3,0),"無")</f>
        <v>54.4</v>
      </c>
      <c r="B1028" s="79">
        <f>IFERROR(VLOOKUP($G1028,基本資料!$A:$J,4,0),"無")</f>
        <v>90</v>
      </c>
      <c r="C1028" s="79">
        <f>IFERROR(VLOOKUP($G1028,基本資料!$A:$J,5,0),"無")</f>
        <v>79</v>
      </c>
      <c r="D1028" s="79">
        <f>IFERROR(VLOOKUP($G1028,基本資料!$A:$J,6,0),"無")</f>
        <v>-4</v>
      </c>
      <c r="E1028" s="79">
        <f>IFERROR(VLOOKUP($G1028,基本資料!$A:$J,7,0),"無")</f>
        <v>12</v>
      </c>
      <c r="F1028" s="6">
        <f>IFERROR(VLOOKUP($G1028,基本資料!$A:$J,8,0),"無")</f>
        <v>27.29</v>
      </c>
      <c r="G1028" s="79">
        <v>2327</v>
      </c>
      <c r="H1028" s="192" t="s">
        <v>308</v>
      </c>
      <c r="I1028" s="22" t="s">
        <v>4477</v>
      </c>
      <c r="J1028" s="8" t="str">
        <f>IFERROR(VLOOKUP($G1028,今日總結!$A:$AJ,35,0),"")</f>
        <v>投借</v>
      </c>
      <c r="K1028" s="5">
        <f>IFERROR(VLOOKUP($G1028,今日總結!$A:$AJ,36,0),"")</f>
        <v>0</v>
      </c>
      <c r="L1028" s="156">
        <f>IFERROR(VLOOKUP($G1028,今日總結!$A:$AJ,33,0),"")</f>
        <v>2</v>
      </c>
      <c r="M1028" s="340">
        <f>IFERROR(VLOOKUP($G1028,今日總結!$A:$AJ,34,0),"")</f>
        <v>0</v>
      </c>
      <c r="N1028" s="240">
        <f t="shared" si="207"/>
        <v>2</v>
      </c>
      <c r="P1028" s="365">
        <f>IFERROR(VLOOKUP($G1028,融外自投!$A:$J,7,0),"無")</f>
        <v>651</v>
      </c>
      <c r="Q1028" s="79">
        <f>IFERROR(VLOOKUP($G1028,融外自投!$A:$J,9,0),"無")</f>
        <v>27</v>
      </c>
      <c r="R1028" s="346">
        <f>IFERROR(VLOOKUP($G1028,融外自投!$A:$J,8,0),"無")</f>
        <v>109</v>
      </c>
      <c r="S1028" s="81">
        <f>IFERROR(VLOOKUP($G1028,融外自投!$A:$J,10,0),"無")</f>
        <v>124</v>
      </c>
      <c r="T1028" s="327">
        <f>IFERROR(VLOOKUP($G1028,'321買'!$A:$E,5,0),"'沒有資料'")</f>
        <v>403</v>
      </c>
      <c r="U1028" s="186">
        <f>IFERROR(VLOOKUP($G1028,基本資料!$A:$J,9,0),"無")</f>
        <v>10</v>
      </c>
      <c r="V1028" s="310">
        <f t="shared" si="202"/>
        <v>2.5510204081632654E-2</v>
      </c>
      <c r="W1028" s="94">
        <f>IFERROR(VLOOKUP($G1028,基本資料!$A:$J,10,0),"無")</f>
        <v>46.46</v>
      </c>
      <c r="X1028" s="36">
        <f>RTD("money.excel",,"2327","Price")</f>
        <v>392</v>
      </c>
      <c r="Y1028" s="66"/>
      <c r="Z1028" s="15">
        <f t="shared" si="203"/>
        <v>392</v>
      </c>
      <c r="AA1028" s="3" t="e">
        <f t="shared" si="204"/>
        <v>#DIV/0!</v>
      </c>
      <c r="AB1028" s="344">
        <f>IFERROR(VLOOKUP($G1028,基本資料!$A:$M,11,0),"無")</f>
        <v>-35.200000000000003</v>
      </c>
      <c r="AC1028" s="397">
        <f>IFERROR(VLOOKUP($G1028,基本資料!$A:$M,12,0),"無")</f>
        <v>23.02</v>
      </c>
      <c r="AD1028" s="22" t="s">
        <v>4477</v>
      </c>
      <c r="AG1028" s="33">
        <f t="shared" si="205"/>
        <v>0</v>
      </c>
      <c r="AH1028" s="117" t="s">
        <v>4478</v>
      </c>
      <c r="AI1028" s="63">
        <f t="shared" si="206"/>
        <v>4.0294117647058821E-3</v>
      </c>
      <c r="AJ1028" s="284">
        <f>RTD("money.excel",,$G1028,"PredictVolume")</f>
        <v>2192</v>
      </c>
      <c r="AK1028" s="399">
        <f>IFERROR(VLOOKUP($G1028,基本資料!$A:$M,13,0),"無")</f>
        <v>4.0999999999999996</v>
      </c>
    </row>
    <row r="1029" spans="1:37">
      <c r="A1029" s="347">
        <f>IFERROR(VLOOKUP($G1029,基本資料!$A:$J,3,0),"無")</f>
        <v>51.83</v>
      </c>
      <c r="B1029" s="79">
        <f>IFERROR(VLOOKUP($G1029,基本資料!$A:$J,4,0),"無")</f>
        <v>47</v>
      </c>
      <c r="C1029" s="79">
        <f>IFERROR(VLOOKUP($G1029,基本資料!$A:$J,5,0),"無")</f>
        <v>49</v>
      </c>
      <c r="D1029" s="79">
        <f>IFERROR(VLOOKUP($G1029,基本資料!$A:$J,6,0),"無")</f>
        <v>-8</v>
      </c>
      <c r="E1029" s="79">
        <f>IFERROR(VLOOKUP($G1029,基本資料!$A:$J,7,0),"無")</f>
        <v>15</v>
      </c>
      <c r="F1029" s="6">
        <f>IFERROR(VLOOKUP($G1029,基本資料!$A:$J,8,0),"無")</f>
        <v>5.71</v>
      </c>
      <c r="G1029" s="79">
        <v>2328</v>
      </c>
      <c r="H1029" s="8" t="s">
        <v>308</v>
      </c>
      <c r="I1029" s="22" t="s">
        <v>4479</v>
      </c>
      <c r="J1029" s="8">
        <f>IFERROR(VLOOKUP($G1029,今日總結!$A:$AJ,35,0),"")</f>
        <v>0</v>
      </c>
      <c r="K1029" s="5" t="str">
        <f>IFERROR(VLOOKUP($G1029,今日總結!$A:$AJ,36,0),"")</f>
        <v>借</v>
      </c>
      <c r="L1029" s="156">
        <f>IFERROR(VLOOKUP($G1029,今日總結!$A:$AJ,33,0),"")</f>
        <v>0</v>
      </c>
      <c r="M1029" s="340">
        <f>IFERROR(VLOOKUP($G1029,今日總結!$A:$AJ,34,0),"")</f>
        <v>1</v>
      </c>
      <c r="N1029" s="240">
        <f t="shared" si="207"/>
        <v>-1</v>
      </c>
      <c r="P1029" s="365">
        <f>IFERROR(VLOOKUP($G1029,融外自投!$A:$J,7,0),"無")</f>
        <v>426</v>
      </c>
      <c r="Q1029" s="79">
        <f>IFERROR(VLOOKUP($G1029,融外自投!$A:$J,9,0),"無")</f>
        <v>614</v>
      </c>
      <c r="R1029" s="346">
        <f>IFERROR(VLOOKUP($G1029,融外自投!$A:$J,8,0),"無")</f>
        <v>520</v>
      </c>
      <c r="S1029" s="81" t="str">
        <f>IFERROR(VLOOKUP($G1029,融外自投!$A:$J,10,0),"無")</f>
        <v>無</v>
      </c>
      <c r="T1029" s="327">
        <f>IFERROR(VLOOKUP($G1029,'321買'!$A:$E,5,0),"'沒有資料'")</f>
        <v>403</v>
      </c>
      <c r="U1029" s="186">
        <f>IFERROR(VLOOKUP($G1029,基本資料!$A:$J,9,0),"無")</f>
        <v>1</v>
      </c>
      <c r="V1029" s="310">
        <f t="shared" si="202"/>
        <v>2.9498525073746312E-2</v>
      </c>
      <c r="W1029" s="94">
        <f>IFERROR(VLOOKUP($G1029,基本資料!$A:$J,10,0),"無")</f>
        <v>1.87</v>
      </c>
      <c r="X1029" s="36">
        <f>RTD("money.excel",,"2328","Price")</f>
        <v>33.9</v>
      </c>
      <c r="Y1029" s="66"/>
      <c r="Z1029" s="15">
        <f t="shared" si="203"/>
        <v>33.9</v>
      </c>
      <c r="AA1029" s="3" t="e">
        <f t="shared" si="204"/>
        <v>#DIV/0!</v>
      </c>
      <c r="AB1029" s="344">
        <f>IFERROR(VLOOKUP($G1029,基本資料!$A:$M,11,0),"無")</f>
        <v>-26.67</v>
      </c>
      <c r="AC1029" s="397">
        <f>IFERROR(VLOOKUP($G1029,基本資料!$A:$M,12,0),"無")</f>
        <v>22.64</v>
      </c>
      <c r="AD1029" s="22" t="s">
        <v>4479</v>
      </c>
      <c r="AG1029" s="33">
        <f t="shared" si="205"/>
        <v>0</v>
      </c>
      <c r="AH1029" s="117" t="s">
        <v>4480</v>
      </c>
      <c r="AI1029" s="63">
        <f t="shared" si="206"/>
        <v>1.9081612965464016E-3</v>
      </c>
      <c r="AJ1029" s="284">
        <f>RTD("money.excel",,$G1029,"PredictVolume")</f>
        <v>989</v>
      </c>
      <c r="AK1029" s="399">
        <f>IFERROR(VLOOKUP($G1029,基本資料!$A:$M,13,0),"無")</f>
        <v>16.71</v>
      </c>
    </row>
    <row r="1030" spans="1:37">
      <c r="A1030" s="347">
        <f>IFERROR(VLOOKUP($G1030,基本資料!$A:$J,3,0),"無")</f>
        <v>39.74</v>
      </c>
      <c r="B1030" s="79">
        <f>IFERROR(VLOOKUP($G1030,基本資料!$A:$J,4,0),"無")</f>
        <v>638</v>
      </c>
      <c r="C1030" s="79">
        <f>IFERROR(VLOOKUP($G1030,基本資料!$A:$J,5,0),"無")</f>
        <v>-50</v>
      </c>
      <c r="D1030" s="79">
        <f>IFERROR(VLOOKUP($G1030,基本資料!$A:$J,6,0),"無")</f>
        <v>20</v>
      </c>
      <c r="E1030" s="79">
        <f>IFERROR(VLOOKUP($G1030,基本資料!$A:$J,7,0),"無")</f>
        <v>-6</v>
      </c>
      <c r="F1030" s="6">
        <f>IFERROR(VLOOKUP($G1030,基本資料!$A:$J,8,0),"無")</f>
        <v>-1.02</v>
      </c>
      <c r="G1030" s="79">
        <v>2355</v>
      </c>
      <c r="H1030" s="8" t="s">
        <v>308</v>
      </c>
      <c r="I1030" s="22" t="s">
        <v>4481</v>
      </c>
      <c r="J1030" s="8" t="str">
        <f>IFERROR(VLOOKUP($G1030,今日總結!$A:$AJ,35,0),"")</f>
        <v>外主</v>
      </c>
      <c r="K1030" s="5">
        <f>IFERROR(VLOOKUP($G1030,今日總結!$A:$AJ,36,0),"")</f>
        <v>0</v>
      </c>
      <c r="L1030" s="156">
        <f>IFERROR(VLOOKUP($G1030,今日總結!$A:$AJ,33,0),"")</f>
        <v>2</v>
      </c>
      <c r="M1030" s="340">
        <f>IFERROR(VLOOKUP($G1030,今日總結!$A:$AJ,34,0),"")</f>
        <v>0</v>
      </c>
      <c r="N1030" s="240">
        <f t="shared" si="207"/>
        <v>2</v>
      </c>
      <c r="P1030" s="365">
        <f>IFERROR(VLOOKUP($G1030,融外自投!$A:$J,7,0),"無")</f>
        <v>826</v>
      </c>
      <c r="Q1030" s="79">
        <f>IFERROR(VLOOKUP($G1030,融外自投!$A:$J,9,0),"無")</f>
        <v>852</v>
      </c>
      <c r="R1030" s="346">
        <f>IFERROR(VLOOKUP($G1030,融外自投!$A:$J,8,0),"無")</f>
        <v>381</v>
      </c>
      <c r="S1030" s="81" t="str">
        <f>IFERROR(VLOOKUP($G1030,融外自投!$A:$J,10,0),"無")</f>
        <v>無</v>
      </c>
      <c r="T1030" s="327">
        <f>IFERROR(VLOOKUP($G1030,'321買'!$A:$E,5,0),"'沒有資料'")</f>
        <v>752</v>
      </c>
      <c r="U1030" s="186">
        <f>IFERROR(VLOOKUP($G1030,基本資料!$A:$J,9,0),"無")</f>
        <v>0.5</v>
      </c>
      <c r="V1030" s="310">
        <f t="shared" si="202"/>
        <v>1.6778523489932886E-2</v>
      </c>
      <c r="W1030" s="94">
        <f>IFERROR(VLOOKUP($G1030,基本資料!$A:$J,10,0),"無")</f>
        <v>0.85</v>
      </c>
      <c r="X1030" s="36">
        <f>RTD("money.excel",,"2355","Price")</f>
        <v>29.8</v>
      </c>
      <c r="Y1030" s="66"/>
      <c r="Z1030" s="15">
        <f t="shared" si="203"/>
        <v>29.8</v>
      </c>
      <c r="AA1030" s="3" t="e">
        <f t="shared" si="204"/>
        <v>#DIV/0!</v>
      </c>
      <c r="AB1030" s="344">
        <f>IFERROR(VLOOKUP($G1030,基本資料!$A:$M,11,0),"無")</f>
        <v>-32.43</v>
      </c>
      <c r="AC1030" s="397">
        <f>IFERROR(VLOOKUP($G1030,基本資料!$A:$M,12,0),"無")</f>
        <v>19.32</v>
      </c>
      <c r="AD1030" s="22" t="s">
        <v>4481</v>
      </c>
      <c r="AG1030" s="33">
        <f t="shared" si="205"/>
        <v>0</v>
      </c>
      <c r="AH1030" s="117" t="s">
        <v>4482</v>
      </c>
      <c r="AI1030" s="63">
        <f t="shared" si="206"/>
        <v>2.1615500754906896E-3</v>
      </c>
      <c r="AJ1030" s="284">
        <f>RTD("money.excel",,$G1030,"PredictVolume")</f>
        <v>859</v>
      </c>
      <c r="AK1030" s="399">
        <f>IFERROR(VLOOKUP($G1030,基本資料!$A:$M,13,0),"無")</f>
        <v>21.28</v>
      </c>
    </row>
    <row r="1031" spans="1:37">
      <c r="A1031" s="347">
        <f>IFERROR(VLOOKUP($G1031,基本資料!$A:$J,3,0),"無")</f>
        <v>61.94</v>
      </c>
      <c r="B1031" s="79">
        <f>IFERROR(VLOOKUP($G1031,基本資料!$A:$J,4,0),"無")</f>
        <v>83</v>
      </c>
      <c r="C1031" s="79">
        <f>IFERROR(VLOOKUP($G1031,基本資料!$A:$J,5,0),"無")</f>
        <v>13</v>
      </c>
      <c r="D1031" s="79">
        <f>IFERROR(VLOOKUP($G1031,基本資料!$A:$J,6,0),"無")</f>
        <v>-9</v>
      </c>
      <c r="E1031" s="79">
        <f>IFERROR(VLOOKUP($G1031,基本資料!$A:$J,7,0),"無")</f>
        <v>26</v>
      </c>
      <c r="F1031" s="6">
        <f>IFERROR(VLOOKUP($G1031,基本資料!$A:$J,8,0),"無")</f>
        <v>-14.79</v>
      </c>
      <c r="G1031" s="79">
        <v>2367</v>
      </c>
      <c r="H1031" s="8" t="s">
        <v>308</v>
      </c>
      <c r="I1031" s="22" t="s">
        <v>4483</v>
      </c>
      <c r="J1031" s="8" t="str">
        <f>IFERROR(VLOOKUP($G1031,今日總結!$A:$AJ,35,0),"")</f>
        <v/>
      </c>
      <c r="K1031" s="5" t="str">
        <f>IFERROR(VLOOKUP($G1031,今日總結!$A:$AJ,36,0),"")</f>
        <v/>
      </c>
      <c r="L1031" s="156" t="str">
        <f>IFERROR(VLOOKUP($G1031,今日總結!$A:$AJ,33,0),"")</f>
        <v/>
      </c>
      <c r="M1031" s="340" t="str">
        <f>IFERROR(VLOOKUP($G1031,今日總結!$A:$AJ,34,0),"")</f>
        <v/>
      </c>
      <c r="N1031" s="240" t="str">
        <f t="shared" si="207"/>
        <v/>
      </c>
      <c r="P1031" s="365">
        <f>IFERROR(VLOOKUP($G1031,融外自投!$A:$J,7,0),"無")</f>
        <v>475</v>
      </c>
      <c r="Q1031" s="79">
        <f>IFERROR(VLOOKUP($G1031,融外自投!$A:$J,9,0),"無")</f>
        <v>414</v>
      </c>
      <c r="R1031" s="346">
        <f>IFERROR(VLOOKUP($G1031,融外自投!$A:$J,8,0),"無")</f>
        <v>689</v>
      </c>
      <c r="S1031" s="81">
        <f>IFERROR(VLOOKUP($G1031,融外自投!$A:$J,10,0),"無")</f>
        <v>458</v>
      </c>
      <c r="T1031" s="327">
        <f>IFERROR(VLOOKUP($G1031,'321買'!$A:$E,5,0),"'沒有資料'")</f>
        <v>606</v>
      </c>
      <c r="U1031" s="186">
        <f>IFERROR(VLOOKUP($G1031,基本資料!$A:$J,9,0),"無")</f>
        <v>0</v>
      </c>
      <c r="V1031" s="310">
        <f t="shared" si="202"/>
        <v>0</v>
      </c>
      <c r="W1031" s="94">
        <f>IFERROR(VLOOKUP($G1031,基本資料!$A:$J,10,0),"無")</f>
        <v>-0.39</v>
      </c>
      <c r="X1031" s="36">
        <f>RTD("money.excel",,"2367","Price")</f>
        <v>16.05</v>
      </c>
      <c r="Y1031" s="66"/>
      <c r="Z1031" s="15">
        <f t="shared" si="203"/>
        <v>16.05</v>
      </c>
      <c r="AA1031" s="3" t="e">
        <f t="shared" si="204"/>
        <v>#DIV/0!</v>
      </c>
      <c r="AB1031" s="344">
        <f>IFERROR(VLOOKUP($G1031,基本資料!$A:$M,11,0),"無")</f>
        <v>-35.15</v>
      </c>
      <c r="AC1031" s="397">
        <f>IFERROR(VLOOKUP($G1031,基本資料!$A:$M,12,0),"無")</f>
        <v>18.809999999999999</v>
      </c>
      <c r="AD1031" s="22" t="s">
        <v>4483</v>
      </c>
      <c r="AG1031" s="33">
        <f t="shared" si="205"/>
        <v>0</v>
      </c>
      <c r="AH1031" s="117" t="s">
        <v>1044</v>
      </c>
      <c r="AI1031" s="63">
        <f t="shared" si="206"/>
        <v>9.7998062641265751E-4</v>
      </c>
      <c r="AJ1031" s="284">
        <f>RTD("money.excel",,$G1031,"PredictVolume")</f>
        <v>607</v>
      </c>
      <c r="AK1031" s="399">
        <f>IFERROR(VLOOKUP($G1031,基本資料!$A:$M,13,0),"無")</f>
        <v>11.79</v>
      </c>
    </row>
    <row r="1032" spans="1:37">
      <c r="A1032" s="347">
        <f>IFERROR(VLOOKUP($G1032,基本資料!$A:$J,3,0),"無")</f>
        <v>54.64</v>
      </c>
      <c r="B1032" s="79">
        <f>IFERROR(VLOOKUP($G1032,基本資料!$A:$J,4,0),"無")</f>
        <v>41</v>
      </c>
      <c r="C1032" s="79">
        <f>IFERROR(VLOOKUP($G1032,基本資料!$A:$J,5,0),"無")</f>
        <v>34</v>
      </c>
      <c r="D1032" s="79">
        <f>IFERROR(VLOOKUP($G1032,基本資料!$A:$J,6,0),"無")</f>
        <v>-3</v>
      </c>
      <c r="E1032" s="79">
        <f>IFERROR(VLOOKUP($G1032,基本資料!$A:$J,7,0),"無")</f>
        <v>19</v>
      </c>
      <c r="F1032" s="6">
        <f>IFERROR(VLOOKUP($G1032,基本資料!$A:$J,8,0),"無")</f>
        <v>15.49</v>
      </c>
      <c r="G1032" s="79">
        <v>2368</v>
      </c>
      <c r="H1032" s="8" t="s">
        <v>308</v>
      </c>
      <c r="I1032" s="22" t="s">
        <v>4484</v>
      </c>
      <c r="J1032" s="8">
        <f>IFERROR(VLOOKUP($G1032,今日總結!$A:$AJ,35,0),"")</f>
        <v>0</v>
      </c>
      <c r="K1032" s="5">
        <f>IFERROR(VLOOKUP($G1032,今日總結!$A:$AJ,36,0),"")</f>
        <v>2</v>
      </c>
      <c r="L1032" s="156">
        <f>IFERROR(VLOOKUP($G1032,今日總結!$A:$AJ,33,0),"")</f>
        <v>0</v>
      </c>
      <c r="M1032" s="340">
        <f>IFERROR(VLOOKUP($G1032,今日總結!$A:$AJ,34,0),"")</f>
        <v>1</v>
      </c>
      <c r="N1032" s="240">
        <f t="shared" si="207"/>
        <v>-1</v>
      </c>
      <c r="P1032" s="365">
        <f>IFERROR(VLOOKUP($G1032,融外自投!$A:$J,7,0),"無")</f>
        <v>647</v>
      </c>
      <c r="Q1032" s="79">
        <f>IFERROR(VLOOKUP($G1032,融外自投!$A:$J,9,0),"無")</f>
        <v>226</v>
      </c>
      <c r="R1032" s="346">
        <f>IFERROR(VLOOKUP($G1032,融外自投!$A:$J,8,0),"無")</f>
        <v>320</v>
      </c>
      <c r="S1032" s="81">
        <f>IFERROR(VLOOKUP($G1032,融外自投!$A:$J,10,0),"無")</f>
        <v>8</v>
      </c>
      <c r="T1032" s="327">
        <f>IFERROR(VLOOKUP($G1032,'321買'!$A:$E,5,0),"'沒有資料'")</f>
        <v>38</v>
      </c>
      <c r="U1032" s="186">
        <f>IFERROR(VLOOKUP($G1032,基本資料!$A:$J,9,0),"無")</f>
        <v>2.2000000000000002</v>
      </c>
      <c r="V1032" s="310">
        <f t="shared" si="202"/>
        <v>2.6763990267639905E-2</v>
      </c>
      <c r="W1032" s="94">
        <f>IFERROR(VLOOKUP($G1032,基本資料!$A:$J,10,0),"無")</f>
        <v>5.41</v>
      </c>
      <c r="X1032" s="36">
        <f>RTD("money.excel",,"2368","Price")</f>
        <v>82.2</v>
      </c>
      <c r="Y1032" s="66"/>
      <c r="Z1032" s="15">
        <f t="shared" si="203"/>
        <v>82.2</v>
      </c>
      <c r="AA1032" s="3" t="e">
        <f t="shared" si="204"/>
        <v>#DIV/0!</v>
      </c>
      <c r="AB1032" s="344">
        <f>IFERROR(VLOOKUP($G1032,基本資料!$A:$M,11,0),"無")</f>
        <v>-8.34</v>
      </c>
      <c r="AC1032" s="397">
        <f>IFERROR(VLOOKUP($G1032,基本資料!$A:$M,12,0),"無")</f>
        <v>58.59</v>
      </c>
      <c r="AD1032" s="22" t="s">
        <v>4484</v>
      </c>
      <c r="AG1032" s="33">
        <f t="shared" si="205"/>
        <v>0</v>
      </c>
      <c r="AH1032" s="43" t="s">
        <v>1044</v>
      </c>
      <c r="AI1032" s="63">
        <f t="shared" si="206"/>
        <v>2.305453879941435E-2</v>
      </c>
      <c r="AJ1032" s="284">
        <f>RTD("money.excel",,$G1032,"PredictVolume")</f>
        <v>12597</v>
      </c>
      <c r="AK1032" s="399">
        <f>IFERROR(VLOOKUP($G1032,基本資料!$A:$M,13,0),"無")</f>
        <v>19.7</v>
      </c>
    </row>
    <row r="1033" spans="1:37">
      <c r="A1033" s="347">
        <f>IFERROR(VLOOKUP($G1033,基本資料!$A:$J,3,0),"無")</f>
        <v>13.58</v>
      </c>
      <c r="B1033" s="79">
        <f>IFERROR(VLOOKUP($G1033,基本資料!$A:$J,4,0),"無")</f>
        <v>36</v>
      </c>
      <c r="C1033" s="79">
        <f>IFERROR(VLOOKUP($G1033,基本資料!$A:$J,5,0),"無")</f>
        <v>29</v>
      </c>
      <c r="D1033" s="79">
        <f>IFERROR(VLOOKUP($G1033,基本資料!$A:$J,6,0),"無")</f>
        <v>-16</v>
      </c>
      <c r="E1033" s="79">
        <f>IFERROR(VLOOKUP($G1033,基本資料!$A:$J,7,0),"無")</f>
        <v>-32</v>
      </c>
      <c r="F1033" s="6">
        <f>IFERROR(VLOOKUP($G1033,基本資料!$A:$J,8,0),"無")</f>
        <v>12.2</v>
      </c>
      <c r="G1033" s="79">
        <v>2375</v>
      </c>
      <c r="H1033" s="195" t="s">
        <v>308</v>
      </c>
      <c r="I1033" s="23" t="s">
        <v>4485</v>
      </c>
      <c r="J1033" s="8" t="str">
        <f>IFERROR(VLOOKUP($G1033,今日總結!$A:$AJ,35,0),"")</f>
        <v/>
      </c>
      <c r="K1033" s="5" t="str">
        <f>IFERROR(VLOOKUP($G1033,今日總結!$A:$AJ,36,0),"")</f>
        <v/>
      </c>
      <c r="L1033" s="156" t="str">
        <f>IFERROR(VLOOKUP($G1033,今日總結!$A:$AJ,33,0),"")</f>
        <v/>
      </c>
      <c r="M1033" s="340" t="str">
        <f>IFERROR(VLOOKUP($G1033,今日總結!$A:$AJ,34,0),"")</f>
        <v/>
      </c>
      <c r="N1033" s="240" t="str">
        <f t="shared" si="207"/>
        <v/>
      </c>
      <c r="P1033" s="365">
        <f>IFERROR(VLOOKUP($G1033,融外自投!$A:$J,7,0),"無")</f>
        <v>140</v>
      </c>
      <c r="Q1033" s="79">
        <f>IFERROR(VLOOKUP($G1033,融外自投!$A:$J,9,0),"無")</f>
        <v>1110</v>
      </c>
      <c r="R1033" s="346">
        <f>IFERROR(VLOOKUP($G1033,融外自投!$A:$J,8,0),"無")</f>
        <v>754</v>
      </c>
      <c r="S1033" s="81" t="str">
        <f>IFERROR(VLOOKUP($G1033,融外自投!$A:$J,10,0),"無")</f>
        <v>無</v>
      </c>
      <c r="T1033" s="327">
        <f>IFERROR(VLOOKUP($G1033,'321買'!$A:$E,5,0),"'沒有資料'")</f>
        <v>480</v>
      </c>
      <c r="U1033" s="186">
        <f>IFERROR(VLOOKUP($G1033,基本資料!$A:$J,9,0),"無")</f>
        <v>2</v>
      </c>
      <c r="V1033" s="310">
        <f t="shared" si="202"/>
        <v>3.2467532467532464E-2</v>
      </c>
      <c r="W1033" s="94">
        <f>IFERROR(VLOOKUP($G1033,基本資料!$A:$J,10,0),"無")</f>
        <v>8.6199999999999992</v>
      </c>
      <c r="X1033" s="36">
        <f>RTD("money.excel",,"2375","Price")</f>
        <v>61.6</v>
      </c>
      <c r="Y1033" s="66"/>
      <c r="Z1033" s="15">
        <f t="shared" si="203"/>
        <v>61.6</v>
      </c>
      <c r="AA1033" s="3" t="e">
        <f t="shared" si="204"/>
        <v>#DIV/0!</v>
      </c>
      <c r="AB1033" s="344">
        <f>IFERROR(VLOOKUP($G1033,基本資料!$A:$M,11,0),"無")</f>
        <v>-50.36</v>
      </c>
      <c r="AC1033" s="397">
        <f>IFERROR(VLOOKUP($G1033,基本資料!$A:$M,12,0),"無")</f>
        <v>9.9700000000000006</v>
      </c>
      <c r="AD1033" s="23" t="s">
        <v>4485</v>
      </c>
      <c r="AG1033" s="33">
        <f t="shared" si="205"/>
        <v>0</v>
      </c>
      <c r="AH1033" s="119" t="s">
        <v>4486</v>
      </c>
      <c r="AI1033" s="63">
        <f t="shared" si="206"/>
        <v>2.650957290132548E-3</v>
      </c>
      <c r="AJ1033" s="284">
        <f>RTD("money.excel",,$G1033,"PredictVolume")</f>
        <v>360</v>
      </c>
      <c r="AK1033" s="399">
        <f>IFERROR(VLOOKUP($G1033,基本資料!$A:$M,13,0),"無")</f>
        <v>34.21</v>
      </c>
    </row>
    <row r="1034" spans="1:37">
      <c r="A1034" s="347">
        <f>IFERROR(VLOOKUP($G1034,基本資料!$A:$J,3,0),"無")</f>
        <v>33.29</v>
      </c>
      <c r="B1034" s="79">
        <f>IFERROR(VLOOKUP($G1034,基本資料!$A:$J,4,0),"無")</f>
        <v>48</v>
      </c>
      <c r="C1034" s="79">
        <f>IFERROR(VLOOKUP($G1034,基本資料!$A:$J,5,0),"無")</f>
        <v>47</v>
      </c>
      <c r="D1034" s="79">
        <f>IFERROR(VLOOKUP($G1034,基本資料!$A:$J,6,0),"無")</f>
        <v>-10</v>
      </c>
      <c r="E1034" s="79">
        <f>IFERROR(VLOOKUP($G1034,基本資料!$A:$J,7,0),"無")</f>
        <v>4</v>
      </c>
      <c r="F1034" s="6">
        <f>IFERROR(VLOOKUP($G1034,基本資料!$A:$J,8,0),"無")</f>
        <v>17.98</v>
      </c>
      <c r="G1034" s="79">
        <v>2383</v>
      </c>
      <c r="H1034" s="8" t="s">
        <v>308</v>
      </c>
      <c r="I1034" s="22" t="s">
        <v>4487</v>
      </c>
      <c r="J1034" s="8" t="str">
        <f>IFERROR(VLOOKUP($G1034,今日總結!$A:$AJ,35,0),"")</f>
        <v/>
      </c>
      <c r="K1034" s="5" t="str">
        <f>IFERROR(VLOOKUP($G1034,今日總結!$A:$AJ,36,0),"")</f>
        <v/>
      </c>
      <c r="L1034" s="156" t="str">
        <f>IFERROR(VLOOKUP($G1034,今日總結!$A:$AJ,33,0),"")</f>
        <v/>
      </c>
      <c r="M1034" s="340" t="str">
        <f>IFERROR(VLOOKUP($G1034,今日總結!$A:$AJ,34,0),"")</f>
        <v/>
      </c>
      <c r="N1034" s="240" t="str">
        <f t="shared" si="207"/>
        <v/>
      </c>
      <c r="P1034" s="365">
        <f>IFERROR(VLOOKUP($G1034,融外自投!$A:$J,7,0),"無")</f>
        <v>1126</v>
      </c>
      <c r="Q1034" s="79" t="str">
        <f>IFERROR(VLOOKUP($G1034,融外自投!$A:$J,9,0),"無")</f>
        <v>無</v>
      </c>
      <c r="R1034" s="346">
        <f>IFERROR(VLOOKUP($G1034,融外自投!$A:$J,8,0),"無")</f>
        <v>107</v>
      </c>
      <c r="S1034" s="81">
        <f>IFERROR(VLOOKUP($G1034,融外自投!$A:$J,10,0),"無")</f>
        <v>84</v>
      </c>
      <c r="T1034" s="327">
        <f>IFERROR(VLOOKUP($G1034,'321買'!$A:$E,5,0),"'沒有資料'")</f>
        <v>131</v>
      </c>
      <c r="U1034" s="186">
        <f>IFERROR(VLOOKUP($G1034,基本資料!$A:$J,9,0),"無")</f>
        <v>10</v>
      </c>
      <c r="V1034" s="310">
        <f t="shared" si="202"/>
        <v>4.7505938242280284E-2</v>
      </c>
      <c r="W1034" s="94">
        <f>IFERROR(VLOOKUP($G1034,基本資料!$A:$J,10,0),"無")</f>
        <v>16.5</v>
      </c>
      <c r="X1034" s="36">
        <f>RTD("money.excel",,"2383","Price")</f>
        <v>210.5</v>
      </c>
      <c r="Y1034" s="66"/>
      <c r="Z1034" s="15">
        <f t="shared" si="203"/>
        <v>210.5</v>
      </c>
      <c r="AA1034" s="3" t="e">
        <f t="shared" si="204"/>
        <v>#DIV/0!</v>
      </c>
      <c r="AB1034" s="344">
        <f>IFERROR(VLOOKUP($G1034,基本資料!$A:$M,11,0),"無")</f>
        <v>-29.36</v>
      </c>
      <c r="AC1034" s="397">
        <f>IFERROR(VLOOKUP($G1034,基本資料!$A:$M,12,0),"無")</f>
        <v>10.93</v>
      </c>
      <c r="AD1034" s="22" t="s">
        <v>4487</v>
      </c>
      <c r="AG1034" s="33">
        <f t="shared" si="205"/>
        <v>0</v>
      </c>
      <c r="AH1034" s="117" t="s">
        <v>3278</v>
      </c>
      <c r="AI1034" s="63">
        <f t="shared" si="206"/>
        <v>5.1516972063682786E-3</v>
      </c>
      <c r="AJ1034" s="284">
        <f>RTD("money.excel",,$G1034,"PredictVolume")</f>
        <v>1715</v>
      </c>
      <c r="AK1034" s="399">
        <f>IFERROR(VLOOKUP($G1034,基本資料!$A:$M,13,0),"無")</f>
        <v>10.39</v>
      </c>
    </row>
    <row r="1035" spans="1:37">
      <c r="A1035" s="347">
        <f>IFERROR(VLOOKUP($G1035,基本資料!$A:$J,3,0),"無")</f>
        <v>75.180000000000007</v>
      </c>
      <c r="B1035" s="79">
        <f>IFERROR(VLOOKUP($G1035,基本資料!$A:$J,4,0),"無")</f>
        <v>15</v>
      </c>
      <c r="C1035" s="79">
        <f>IFERROR(VLOOKUP($G1035,基本資料!$A:$J,5,0),"無")</f>
        <v>12</v>
      </c>
      <c r="D1035" s="79">
        <f>IFERROR(VLOOKUP($G1035,基本資料!$A:$J,6,0),"無")</f>
        <v>-23</v>
      </c>
      <c r="E1035" s="79">
        <f>IFERROR(VLOOKUP($G1035,基本資料!$A:$J,7,0),"無")</f>
        <v>0</v>
      </c>
      <c r="F1035" s="6">
        <f>IFERROR(VLOOKUP($G1035,基本資料!$A:$J,8,0),"無")</f>
        <v>8.01</v>
      </c>
      <c r="G1035" s="79">
        <v>2385</v>
      </c>
      <c r="H1035" s="8" t="s">
        <v>308</v>
      </c>
      <c r="I1035" s="22" t="s">
        <v>4488</v>
      </c>
      <c r="J1035" s="8">
        <f>IFERROR(VLOOKUP($G1035,今日總結!$A:$AJ,35,0),"")</f>
        <v>0</v>
      </c>
      <c r="K1035" s="5" t="str">
        <f>IFERROR(VLOOKUP($G1035,今日總結!$A:$AJ,36,0),"")</f>
        <v>外</v>
      </c>
      <c r="L1035" s="156">
        <f>IFERROR(VLOOKUP($G1035,今日總結!$A:$AJ,33,0),"")</f>
        <v>0</v>
      </c>
      <c r="M1035" s="340">
        <f>IFERROR(VLOOKUP($G1035,今日總結!$A:$AJ,34,0),"")</f>
        <v>2</v>
      </c>
      <c r="N1035" s="240">
        <f t="shared" si="207"/>
        <v>-2</v>
      </c>
      <c r="P1035" s="365">
        <f>IFERROR(VLOOKUP($G1035,融外自投!$A:$J,7,0),"無")</f>
        <v>1243</v>
      </c>
      <c r="Q1035" s="79">
        <f>IFERROR(VLOOKUP($G1035,融外自投!$A:$J,9,0),"無")</f>
        <v>11</v>
      </c>
      <c r="R1035" s="346">
        <f>IFERROR(VLOOKUP($G1035,融外自投!$A:$J,8,0),"無")</f>
        <v>146</v>
      </c>
      <c r="S1035" s="81">
        <f>IFERROR(VLOOKUP($G1035,融外自投!$A:$J,10,0),"無")</f>
        <v>48</v>
      </c>
      <c r="T1035" s="327">
        <f>IFERROR(VLOOKUP($G1035,'321買'!$A:$E,5,0),"'沒有資料'")</f>
        <v>24</v>
      </c>
      <c r="U1035" s="186">
        <f>IFERROR(VLOOKUP($G1035,基本資料!$A:$J,9,0),"無")</f>
        <v>6.1</v>
      </c>
      <c r="V1035" s="310">
        <f t="shared" si="202"/>
        <v>7.5308641975308635E-2</v>
      </c>
      <c r="W1035" s="94">
        <f>IFERROR(VLOOKUP($G1035,基本資料!$A:$J,10,0),"無")</f>
        <v>8.7100000000000009</v>
      </c>
      <c r="X1035" s="36">
        <f>RTD("money.excel",,"2385","Price")</f>
        <v>81</v>
      </c>
      <c r="Y1035" s="66"/>
      <c r="Z1035" s="15">
        <f t="shared" si="203"/>
        <v>81</v>
      </c>
      <c r="AA1035" s="3" t="e">
        <f t="shared" si="204"/>
        <v>#DIV/0!</v>
      </c>
      <c r="AB1035" s="344">
        <f>IFERROR(VLOOKUP($G1035,基本資料!$A:$M,11,0),"無")</f>
        <v>-11.06</v>
      </c>
      <c r="AC1035" s="397">
        <f>IFERROR(VLOOKUP($G1035,基本資料!$A:$M,12,0),"無")</f>
        <v>10.69</v>
      </c>
      <c r="AD1035" s="22" t="s">
        <v>4488</v>
      </c>
      <c r="AG1035" s="33">
        <f t="shared" si="205"/>
        <v>0</v>
      </c>
      <c r="AH1035" s="117" t="s">
        <v>4489</v>
      </c>
      <c r="AI1035" s="63">
        <f t="shared" si="206"/>
        <v>2.3743016759776533E-3</v>
      </c>
      <c r="AJ1035" s="284">
        <f>RTD("money.excel",,$G1035,"PredictVolume")</f>
        <v>1785</v>
      </c>
      <c r="AK1035" s="399">
        <f>IFERROR(VLOOKUP($G1035,基本資料!$A:$M,13,0),"無")</f>
        <v>10.26</v>
      </c>
    </row>
    <row r="1036" spans="1:37">
      <c r="A1036" s="347">
        <f>IFERROR(VLOOKUP($G1036,基本資料!$A:$J,3,0),"無")</f>
        <v>51.23</v>
      </c>
      <c r="B1036" s="79">
        <f>IFERROR(VLOOKUP($G1036,基本資料!$A:$J,4,0),"無")</f>
        <v>-28</v>
      </c>
      <c r="C1036" s="79">
        <f>IFERROR(VLOOKUP($G1036,基本資料!$A:$J,5,0),"無")</f>
        <v>-20</v>
      </c>
      <c r="D1036" s="79">
        <f>IFERROR(VLOOKUP($G1036,基本資料!$A:$J,6,0),"無")</f>
        <v>28</v>
      </c>
      <c r="E1036" s="79">
        <f>IFERROR(VLOOKUP($G1036,基本資料!$A:$J,7,0),"無")</f>
        <v>9</v>
      </c>
      <c r="F1036" s="6">
        <f>IFERROR(VLOOKUP($G1036,基本資料!$A:$J,8,0),"無")</f>
        <v>2.2000000000000002</v>
      </c>
      <c r="G1036" s="79">
        <v>2392</v>
      </c>
      <c r="H1036" s="8" t="s">
        <v>308</v>
      </c>
      <c r="I1036" s="22" t="s">
        <v>4490</v>
      </c>
      <c r="J1036" s="8">
        <f>IFERROR(VLOOKUP($G1036,今日總結!$A:$AJ,35,0),"")</f>
        <v>0</v>
      </c>
      <c r="K1036" s="5" t="str">
        <f>IFERROR(VLOOKUP($G1036,今日總結!$A:$AJ,36,0),"")</f>
        <v>融</v>
      </c>
      <c r="L1036" s="156">
        <f>IFERROR(VLOOKUP($G1036,今日總結!$A:$AJ,33,0),"")</f>
        <v>0</v>
      </c>
      <c r="M1036" s="340">
        <f>IFERROR(VLOOKUP($G1036,今日總結!$A:$AJ,34,0),"")</f>
        <v>1</v>
      </c>
      <c r="N1036" s="240">
        <f t="shared" si="207"/>
        <v>-1</v>
      </c>
      <c r="P1036" s="365">
        <f>IFERROR(VLOOKUP($G1036,融外自投!$A:$J,7,0),"無")</f>
        <v>962</v>
      </c>
      <c r="Q1036" s="79">
        <f>IFERROR(VLOOKUP($G1036,融外自投!$A:$J,9,0),"無")</f>
        <v>324</v>
      </c>
      <c r="R1036" s="346">
        <f>IFERROR(VLOOKUP($G1036,融外自投!$A:$J,8,0),"無")</f>
        <v>508</v>
      </c>
      <c r="S1036" s="81">
        <f>IFERROR(VLOOKUP($G1036,融外自投!$A:$J,10,0),"無")</f>
        <v>473</v>
      </c>
      <c r="T1036" s="327">
        <f>IFERROR(VLOOKUP($G1036,'321買'!$A:$E,5,0),"'沒有資料'")</f>
        <v>869</v>
      </c>
      <c r="U1036" s="186">
        <f>IFERROR(VLOOKUP($G1036,基本資料!$A:$J,9,0),"無")</f>
        <v>1.5</v>
      </c>
      <c r="V1036" s="310">
        <f t="shared" si="202"/>
        <v>4.504504504504505E-2</v>
      </c>
      <c r="W1036" s="94">
        <f>IFERROR(VLOOKUP($G1036,基本資料!$A:$J,10,0),"無")</f>
        <v>1.9</v>
      </c>
      <c r="X1036" s="36">
        <f>RTD("money.excel",,"2392","Price")</f>
        <v>33.299999999999997</v>
      </c>
      <c r="Y1036" s="66"/>
      <c r="Z1036" s="15">
        <f t="shared" si="203"/>
        <v>33.299999999999997</v>
      </c>
      <c r="AA1036" s="3" t="e">
        <f t="shared" si="204"/>
        <v>#DIV/0!</v>
      </c>
      <c r="AB1036" s="344">
        <f>IFERROR(VLOOKUP($G1036,基本資料!$A:$M,11,0),"無")</f>
        <v>-30.66</v>
      </c>
      <c r="AC1036" s="397">
        <f>IFERROR(VLOOKUP($G1036,基本資料!$A:$M,12,0),"無")</f>
        <v>7.6</v>
      </c>
      <c r="AD1036" s="22" t="s">
        <v>4490</v>
      </c>
      <c r="AG1036" s="33">
        <f t="shared" si="205"/>
        <v>0</v>
      </c>
      <c r="AH1036" s="117" t="s">
        <v>4491</v>
      </c>
      <c r="AI1036" s="63">
        <f t="shared" si="206"/>
        <v>6.0511419090376742E-4</v>
      </c>
      <c r="AJ1036" s="284">
        <f>RTD("money.excel",,$G1036,"PredictVolume")</f>
        <v>310</v>
      </c>
      <c r="AK1036" s="399">
        <f>IFERROR(VLOOKUP($G1036,基本資料!$A:$M,13,0),"無")</f>
        <v>5.0999999999999996</v>
      </c>
    </row>
    <row r="1037" spans="1:37">
      <c r="A1037" s="347">
        <f>IFERROR(VLOOKUP($G1037,基本資料!$A:$J,3,0),"無")</f>
        <v>30.75</v>
      </c>
      <c r="B1037" s="79">
        <f>IFERROR(VLOOKUP($G1037,基本資料!$A:$J,4,0),"無")</f>
        <v>85</v>
      </c>
      <c r="C1037" s="79">
        <f>IFERROR(VLOOKUP($G1037,基本資料!$A:$J,5,0),"無")</f>
        <v>6</v>
      </c>
      <c r="D1037" s="79">
        <f>IFERROR(VLOOKUP($G1037,基本資料!$A:$J,6,0),"無")</f>
        <v>-13</v>
      </c>
      <c r="E1037" s="79">
        <f>IFERROR(VLOOKUP($G1037,基本資料!$A:$J,7,0),"無")</f>
        <v>1</v>
      </c>
      <c r="F1037" s="6">
        <f>IFERROR(VLOOKUP($G1037,基本資料!$A:$J,8,0),"無")</f>
        <v>3.21</v>
      </c>
      <c r="G1037" s="79">
        <v>2402</v>
      </c>
      <c r="H1037" s="8" t="s">
        <v>308</v>
      </c>
      <c r="I1037" s="22" t="s">
        <v>4492</v>
      </c>
      <c r="J1037" s="8">
        <f>IFERROR(VLOOKUP($G1037,今日總結!$A:$AJ,35,0),"")</f>
        <v>0</v>
      </c>
      <c r="K1037" s="5">
        <f>IFERROR(VLOOKUP($G1037,今日總結!$A:$AJ,36,0),"")</f>
        <v>0</v>
      </c>
      <c r="L1037" s="156">
        <f>IFERROR(VLOOKUP($G1037,今日總結!$A:$AJ,33,0),"")</f>
        <v>0</v>
      </c>
      <c r="M1037" s="340">
        <f>IFERROR(VLOOKUP($G1037,今日總結!$A:$AJ,34,0),"")</f>
        <v>1</v>
      </c>
      <c r="N1037" s="240">
        <f t="shared" si="207"/>
        <v>-1</v>
      </c>
      <c r="P1037" s="365">
        <f>IFERROR(VLOOKUP($G1037,融外自投!$A:$J,7,0),"無")</f>
        <v>632</v>
      </c>
      <c r="Q1037" s="79">
        <f>IFERROR(VLOOKUP($G1037,融外自投!$A:$J,9,0),"無")</f>
        <v>259</v>
      </c>
      <c r="R1037" s="346">
        <f>IFERROR(VLOOKUP($G1037,融外自投!$A:$J,8,0),"無")</f>
        <v>492</v>
      </c>
      <c r="S1037" s="81">
        <f>IFERROR(VLOOKUP($G1037,融外自投!$A:$J,10,0),"無")</f>
        <v>491</v>
      </c>
      <c r="T1037" s="327">
        <f>IFERROR(VLOOKUP($G1037,'321買'!$A:$E,5,0),"'沒有資料'")</f>
        <v>1099</v>
      </c>
      <c r="U1037" s="186">
        <f>IFERROR(VLOOKUP($G1037,基本資料!$A:$J,9,0),"無")</f>
        <v>0.5</v>
      </c>
      <c r="V1037" s="310">
        <f t="shared" si="202"/>
        <v>3.3112582781456956E-2</v>
      </c>
      <c r="W1037" s="94">
        <f>IFERROR(VLOOKUP($G1037,基本資料!$A:$J,10,0),"無")</f>
        <v>0.75</v>
      </c>
      <c r="X1037" s="36">
        <f>RTD("money.excel",,"2402","Price")</f>
        <v>15.1</v>
      </c>
      <c r="Y1037" s="66"/>
      <c r="Z1037" s="15">
        <f t="shared" si="203"/>
        <v>15.1</v>
      </c>
      <c r="AA1037" s="3" t="e">
        <f t="shared" si="204"/>
        <v>#DIV/0!</v>
      </c>
      <c r="AB1037" s="344">
        <f>IFERROR(VLOOKUP($G1037,基本資料!$A:$M,11,0),"無")</f>
        <v>-28.37</v>
      </c>
      <c r="AC1037" s="397">
        <f>IFERROR(VLOOKUP($G1037,基本資料!$A:$M,12,0),"無")</f>
        <v>16.350000000000001</v>
      </c>
      <c r="AD1037" s="22" t="s">
        <v>4492</v>
      </c>
      <c r="AG1037" s="33">
        <f t="shared" si="205"/>
        <v>0</v>
      </c>
      <c r="AH1037" s="43" t="s">
        <v>4493</v>
      </c>
      <c r="AI1037" s="63">
        <f t="shared" si="206"/>
        <v>1.3300813008130081E-3</v>
      </c>
      <c r="AJ1037" s="284">
        <f>RTD("money.excel",,$G1037,"PredictVolume")</f>
        <v>409</v>
      </c>
      <c r="AK1037" s="399">
        <f>IFERROR(VLOOKUP($G1037,基本資料!$A:$M,13,0),"無")</f>
        <v>7.74</v>
      </c>
    </row>
    <row r="1038" spans="1:37">
      <c r="A1038" s="347">
        <f>IFERROR(VLOOKUP($G1038,基本資料!$A:$J,3,0),"無")</f>
        <v>12.73</v>
      </c>
      <c r="B1038" s="79">
        <f>IFERROR(VLOOKUP($G1038,基本資料!$A:$J,4,0),"無")</f>
        <v>419</v>
      </c>
      <c r="C1038" s="79">
        <f>IFERROR(VLOOKUP($G1038,基本資料!$A:$J,5,0),"無")</f>
        <v>254</v>
      </c>
      <c r="D1038" s="79">
        <f>IFERROR(VLOOKUP($G1038,基本資料!$A:$J,6,0),"無")</f>
        <v>84</v>
      </c>
      <c r="E1038" s="79">
        <f>IFERROR(VLOOKUP($G1038,基本資料!$A:$J,7,0),"無")</f>
        <v>-4</v>
      </c>
      <c r="F1038" s="6">
        <f>IFERROR(VLOOKUP($G1038,基本資料!$A:$J,8,0),"無")</f>
        <v>1.41</v>
      </c>
      <c r="G1038" s="79">
        <v>2413</v>
      </c>
      <c r="H1038" s="8" t="s">
        <v>308</v>
      </c>
      <c r="I1038" s="22" t="s">
        <v>4494</v>
      </c>
      <c r="J1038" s="8" t="str">
        <f>IFERROR(VLOOKUP($G1038,今日總結!$A:$AJ,35,0),"")</f>
        <v/>
      </c>
      <c r="K1038" s="5" t="str">
        <f>IFERROR(VLOOKUP($G1038,今日總結!$A:$AJ,36,0),"")</f>
        <v/>
      </c>
      <c r="L1038" s="156" t="str">
        <f>IFERROR(VLOOKUP($G1038,今日總結!$A:$AJ,33,0),"")</f>
        <v/>
      </c>
      <c r="M1038" s="340" t="str">
        <f>IFERROR(VLOOKUP($G1038,今日總結!$A:$AJ,34,0),"")</f>
        <v/>
      </c>
      <c r="N1038" s="240" t="str">
        <f t="shared" si="207"/>
        <v/>
      </c>
      <c r="P1038" s="365">
        <f>IFERROR(VLOOKUP($G1038,融外自投!$A:$J,7,0),"無")</f>
        <v>503</v>
      </c>
      <c r="Q1038" s="79">
        <f>IFERROR(VLOOKUP($G1038,融外自投!$A:$J,9,0),"無")</f>
        <v>363</v>
      </c>
      <c r="R1038" s="346">
        <f>IFERROR(VLOOKUP($G1038,融外自投!$A:$J,8,0),"無")</f>
        <v>1360</v>
      </c>
      <c r="S1038" s="81" t="str">
        <f>IFERROR(VLOOKUP($G1038,融外自投!$A:$J,10,0),"無")</f>
        <v>無</v>
      </c>
      <c r="T1038" s="327">
        <f>IFERROR(VLOOKUP($G1038,'321買'!$A:$E,5,0),"'沒有資料'")</f>
        <v>894</v>
      </c>
      <c r="U1038" s="186">
        <f>IFERROR(VLOOKUP($G1038,基本資料!$A:$J,9,0),"無")</f>
        <v>0</v>
      </c>
      <c r="V1038" s="310">
        <f t="shared" si="202"/>
        <v>0</v>
      </c>
      <c r="W1038" s="94">
        <f>IFERROR(VLOOKUP($G1038,基本資料!$A:$J,10,0),"無")</f>
        <v>0.35</v>
      </c>
      <c r="X1038" s="36">
        <f>RTD("money.excel",,"2413","Price")</f>
        <v>18.95</v>
      </c>
      <c r="Y1038" s="66"/>
      <c r="Z1038" s="15">
        <f t="shared" si="203"/>
        <v>18.95</v>
      </c>
      <c r="AA1038" s="3" t="e">
        <f t="shared" si="204"/>
        <v>#DIV/0!</v>
      </c>
      <c r="AB1038" s="344">
        <f>IFERROR(VLOOKUP($G1038,基本資料!$A:$M,11,0),"無")</f>
        <v>-25.94</v>
      </c>
      <c r="AC1038" s="397">
        <f>IFERROR(VLOOKUP($G1038,基本資料!$A:$M,12,0),"無")</f>
        <v>26.51</v>
      </c>
      <c r="AD1038" s="22" t="s">
        <v>4494</v>
      </c>
      <c r="AG1038" s="33">
        <f t="shared" si="205"/>
        <v>0</v>
      </c>
      <c r="AH1038" s="43" t="s">
        <v>2373</v>
      </c>
      <c r="AI1038" s="63">
        <f t="shared" si="206"/>
        <v>1.2490180675569522E-3</v>
      </c>
      <c r="AJ1038" s="284">
        <f>RTD("money.excel",,$G1038,"PredictVolume")</f>
        <v>159</v>
      </c>
      <c r="AK1038" s="399">
        <f>IFERROR(VLOOKUP($G1038,基本資料!$A:$M,13,0),"無")</f>
        <v>10.17</v>
      </c>
    </row>
    <row r="1039" spans="1:37">
      <c r="A1039" s="347">
        <f>IFERROR(VLOOKUP($G1039,基本資料!$A:$J,3,0),"無")</f>
        <v>8</v>
      </c>
      <c r="B1039" s="79">
        <f>IFERROR(VLOOKUP($G1039,基本資料!$A:$J,4,0),"無")</f>
        <v>253</v>
      </c>
      <c r="C1039" s="79">
        <f>IFERROR(VLOOKUP($G1039,基本資料!$A:$J,5,0),"無")</f>
        <v>89</v>
      </c>
      <c r="D1039" s="79">
        <f>IFERROR(VLOOKUP($G1039,基本資料!$A:$J,6,0),"無")</f>
        <v>-18</v>
      </c>
      <c r="E1039" s="79">
        <f>IFERROR(VLOOKUP($G1039,基本資料!$A:$J,7,0),"無")</f>
        <v>-9</v>
      </c>
      <c r="F1039" s="6">
        <f>IFERROR(VLOOKUP($G1039,基本資料!$A:$J,8,0),"無")</f>
        <v>17.8</v>
      </c>
      <c r="G1039" s="79">
        <v>2415</v>
      </c>
      <c r="H1039" s="8" t="s">
        <v>308</v>
      </c>
      <c r="I1039" s="22" t="s">
        <v>4495</v>
      </c>
      <c r="J1039" s="8" t="str">
        <f>IFERROR(VLOOKUP($G1039,今日總結!$A:$AJ,35,0),"")</f>
        <v/>
      </c>
      <c r="K1039" s="5" t="str">
        <f>IFERROR(VLOOKUP($G1039,今日總結!$A:$AJ,36,0),"")</f>
        <v/>
      </c>
      <c r="L1039" s="156" t="str">
        <f>IFERROR(VLOOKUP($G1039,今日總結!$A:$AJ,33,0),"")</f>
        <v/>
      </c>
      <c r="M1039" s="340" t="str">
        <f>IFERROR(VLOOKUP($G1039,今日總結!$A:$AJ,34,0),"")</f>
        <v/>
      </c>
      <c r="N1039" s="240" t="str">
        <f t="shared" si="207"/>
        <v/>
      </c>
      <c r="P1039" s="365">
        <f>IFERROR(VLOOKUP($G1039,融外自投!$A:$J,7,0),"無")</f>
        <v>320</v>
      </c>
      <c r="Q1039" s="79">
        <f>IFERROR(VLOOKUP($G1039,融外自投!$A:$J,9,0),"無")</f>
        <v>635</v>
      </c>
      <c r="R1039" s="346">
        <f>IFERROR(VLOOKUP($G1039,融外自投!$A:$J,8,0),"無")</f>
        <v>1088</v>
      </c>
      <c r="S1039" s="81" t="str">
        <f>IFERROR(VLOOKUP($G1039,融外自投!$A:$J,10,0),"無")</f>
        <v>無</v>
      </c>
      <c r="T1039" s="327">
        <f>IFERROR(VLOOKUP($G1039,'321買'!$A:$E,5,0),"'沒有資料'")</f>
        <v>634</v>
      </c>
      <c r="U1039" s="186">
        <f>IFERROR(VLOOKUP($G1039,基本資料!$A:$J,9,0),"無")</f>
        <v>2.1</v>
      </c>
      <c r="V1039" s="310">
        <f t="shared" si="202"/>
        <v>5.9405940594059403E-2</v>
      </c>
      <c r="W1039" s="94">
        <f>IFERROR(VLOOKUP($G1039,基本資料!$A:$J,10,0),"無")</f>
        <v>2.73</v>
      </c>
      <c r="X1039" s="36">
        <f>RTD("money.excel",,"2415","Price")</f>
        <v>35.35</v>
      </c>
      <c r="Y1039" s="66"/>
      <c r="Z1039" s="15">
        <f t="shared" si="203"/>
        <v>35.35</v>
      </c>
      <c r="AA1039" s="3" t="e">
        <f t="shared" si="204"/>
        <v>#DIV/0!</v>
      </c>
      <c r="AB1039" s="344">
        <f>IFERROR(VLOOKUP($G1039,基本資料!$A:$M,11,0),"無")</f>
        <v>-43.99</v>
      </c>
      <c r="AC1039" s="397">
        <f>IFERROR(VLOOKUP($G1039,基本資料!$A:$M,12,0),"無")</f>
        <v>23.07</v>
      </c>
      <c r="AD1039" s="22" t="s">
        <v>4495</v>
      </c>
      <c r="AG1039" s="33">
        <f t="shared" si="205"/>
        <v>0</v>
      </c>
      <c r="AH1039" s="43" t="s">
        <v>4496</v>
      </c>
      <c r="AI1039" s="63">
        <f t="shared" si="206"/>
        <v>2.4499999999999999E-3</v>
      </c>
      <c r="AJ1039" s="284">
        <f>RTD("money.excel",,$G1039,"PredictVolume")</f>
        <v>196</v>
      </c>
      <c r="AK1039" s="399">
        <f>IFERROR(VLOOKUP($G1039,基本資料!$A:$M,13,0),"無")</f>
        <v>32.68</v>
      </c>
    </row>
    <row r="1040" spans="1:37">
      <c r="A1040" s="347">
        <f>IFERROR(VLOOKUP($G1040,基本資料!$A:$J,3,0),"無")</f>
        <v>15.26</v>
      </c>
      <c r="B1040" s="79">
        <f>IFERROR(VLOOKUP($G1040,基本資料!$A:$J,4,0),"無")</f>
        <v>31</v>
      </c>
      <c r="C1040" s="79">
        <f>IFERROR(VLOOKUP($G1040,基本資料!$A:$J,5,0),"無")</f>
        <v>22</v>
      </c>
      <c r="D1040" s="79">
        <f>IFERROR(VLOOKUP($G1040,基本資料!$A:$J,6,0),"無")</f>
        <v>52</v>
      </c>
      <c r="E1040" s="79">
        <f>IFERROR(VLOOKUP($G1040,基本資料!$A:$J,7,0),"無")</f>
        <v>29</v>
      </c>
      <c r="F1040" s="6">
        <f>IFERROR(VLOOKUP($G1040,基本資料!$A:$J,8,0),"無")</f>
        <v>23.65</v>
      </c>
      <c r="G1040" s="79">
        <v>2420</v>
      </c>
      <c r="H1040" s="8" t="s">
        <v>308</v>
      </c>
      <c r="I1040" s="22" t="s">
        <v>4497</v>
      </c>
      <c r="J1040" s="8" t="str">
        <f>IFERROR(VLOOKUP($G1040,今日總結!$A:$AJ,35,0),"")</f>
        <v/>
      </c>
      <c r="K1040" s="5" t="str">
        <f>IFERROR(VLOOKUP($G1040,今日總結!$A:$AJ,36,0),"")</f>
        <v/>
      </c>
      <c r="L1040" s="156" t="str">
        <f>IFERROR(VLOOKUP($G1040,今日總結!$A:$AJ,33,0),"")</f>
        <v/>
      </c>
      <c r="M1040" s="340" t="str">
        <f>IFERROR(VLOOKUP($G1040,今日總結!$A:$AJ,34,0),"")</f>
        <v/>
      </c>
      <c r="N1040" s="240" t="str">
        <f t="shared" si="207"/>
        <v/>
      </c>
      <c r="P1040" s="365">
        <f>IFERROR(VLOOKUP($G1040,融外自投!$A:$J,7,0),"無")</f>
        <v>1073</v>
      </c>
      <c r="Q1040" s="79">
        <f>IFERROR(VLOOKUP($G1040,融外自投!$A:$J,9,0),"無")</f>
        <v>571</v>
      </c>
      <c r="R1040" s="346">
        <f>IFERROR(VLOOKUP($G1040,融外自投!$A:$J,8,0),"無")</f>
        <v>665</v>
      </c>
      <c r="S1040" s="81" t="str">
        <f>IFERROR(VLOOKUP($G1040,融外自投!$A:$J,10,0),"無")</f>
        <v>無</v>
      </c>
      <c r="T1040" s="327">
        <f>IFERROR(VLOOKUP($G1040,'321買'!$A:$E,5,0),"'沒有資料'")</f>
        <v>869</v>
      </c>
      <c r="U1040" s="186">
        <f>IFERROR(VLOOKUP($G1040,基本資料!$A:$J,9,0),"無")</f>
        <v>3</v>
      </c>
      <c r="V1040" s="310">
        <f t="shared" si="202"/>
        <v>7.0838252656434467E-2</v>
      </c>
      <c r="W1040" s="94">
        <f>IFERROR(VLOOKUP($G1040,基本資料!$A:$J,10,0),"無")</f>
        <v>3.82</v>
      </c>
      <c r="X1040" s="36">
        <f>RTD("money.excel",,"2420","Price")</f>
        <v>42.35</v>
      </c>
      <c r="Y1040" s="66"/>
      <c r="Z1040" s="15">
        <f t="shared" si="203"/>
        <v>42.35</v>
      </c>
      <c r="AA1040" s="3" t="e">
        <f t="shared" si="204"/>
        <v>#DIV/0!</v>
      </c>
      <c r="AB1040" s="344">
        <f>IFERROR(VLOOKUP($G1040,基本資料!$A:$M,11,0),"無")</f>
        <v>-13.05</v>
      </c>
      <c r="AC1040" s="397">
        <f>IFERROR(VLOOKUP($G1040,基本資料!$A:$M,12,0),"無")</f>
        <v>39.5</v>
      </c>
      <c r="AD1040" s="22" t="s">
        <v>4497</v>
      </c>
      <c r="AG1040" s="33">
        <f t="shared" si="205"/>
        <v>0</v>
      </c>
      <c r="AH1040" s="43" t="s">
        <v>2373</v>
      </c>
      <c r="AI1040" s="63">
        <f t="shared" si="206"/>
        <v>5.5045871559633033E-4</v>
      </c>
      <c r="AJ1040" s="284">
        <f>RTD("money.excel",,$G1040,"PredictVolume")</f>
        <v>84</v>
      </c>
      <c r="AK1040" s="399">
        <f>IFERROR(VLOOKUP($G1040,基本資料!$A:$M,13,0),"無")</f>
        <v>2.93</v>
      </c>
    </row>
    <row r="1041" spans="1:37">
      <c r="A1041" s="347">
        <f>IFERROR(VLOOKUP($G1041,基本資料!$A:$J,3,0),"無")</f>
        <v>25.09</v>
      </c>
      <c r="B1041" s="79">
        <f>IFERROR(VLOOKUP($G1041,基本資料!$A:$J,4,0),"無")</f>
        <v>-49</v>
      </c>
      <c r="C1041" s="79">
        <f>IFERROR(VLOOKUP($G1041,基本資料!$A:$J,5,0),"無")</f>
        <v>-58</v>
      </c>
      <c r="D1041" s="79">
        <f>IFERROR(VLOOKUP($G1041,基本資料!$A:$J,6,0),"無")</f>
        <v>-18</v>
      </c>
      <c r="E1041" s="79">
        <f>IFERROR(VLOOKUP($G1041,基本資料!$A:$J,7,0),"無")</f>
        <v>-21</v>
      </c>
      <c r="F1041" s="6">
        <f>IFERROR(VLOOKUP($G1041,基本資料!$A:$J,8,0),"無")</f>
        <v>3.42</v>
      </c>
      <c r="G1041" s="79">
        <v>2421</v>
      </c>
      <c r="H1041" s="8" t="s">
        <v>308</v>
      </c>
      <c r="I1041" s="22" t="s">
        <v>4498</v>
      </c>
      <c r="J1041" s="8" t="str">
        <f>IFERROR(VLOOKUP($G1041,今日總結!$A:$AJ,35,0),"")</f>
        <v/>
      </c>
      <c r="K1041" s="5" t="str">
        <f>IFERROR(VLOOKUP($G1041,今日總結!$A:$AJ,36,0),"")</f>
        <v/>
      </c>
      <c r="L1041" s="156" t="str">
        <f>IFERROR(VLOOKUP($G1041,今日總結!$A:$AJ,33,0),"")</f>
        <v/>
      </c>
      <c r="M1041" s="340" t="str">
        <f>IFERROR(VLOOKUP($G1041,今日總結!$A:$AJ,34,0),"")</f>
        <v/>
      </c>
      <c r="N1041" s="240" t="str">
        <f t="shared" si="207"/>
        <v/>
      </c>
      <c r="P1041" s="365">
        <f>IFERROR(VLOOKUP($G1041,融外自投!$A:$J,7,0),"無")</f>
        <v>800</v>
      </c>
      <c r="Q1041" s="79">
        <f>IFERROR(VLOOKUP($G1041,融外自投!$A:$J,9,0),"無")</f>
        <v>635</v>
      </c>
      <c r="R1041" s="346">
        <f>IFERROR(VLOOKUP($G1041,融外自投!$A:$J,8,0),"無")</f>
        <v>305</v>
      </c>
      <c r="S1041" s="81" t="str">
        <f>IFERROR(VLOOKUP($G1041,融外自投!$A:$J,10,0),"無")</f>
        <v>無</v>
      </c>
      <c r="T1041" s="327">
        <f>IFERROR(VLOOKUP($G1041,'321買'!$A:$E,5,0),"'沒有資料'")</f>
        <v>536</v>
      </c>
      <c r="U1041" s="186">
        <f>IFERROR(VLOOKUP($G1041,基本資料!$A:$J,9,0),"無")</f>
        <v>1.2</v>
      </c>
      <c r="V1041" s="310">
        <f t="shared" si="202"/>
        <v>3.2653061224489792E-2</v>
      </c>
      <c r="W1041" s="94">
        <f>IFERROR(VLOOKUP($G1041,基本資料!$A:$J,10,0),"無")</f>
        <v>1.71</v>
      </c>
      <c r="X1041" s="36">
        <f>RTD("money.excel",,"2421","Price")</f>
        <v>36.75</v>
      </c>
      <c r="Y1041" s="66"/>
      <c r="Z1041" s="15">
        <f t="shared" si="203"/>
        <v>36.75</v>
      </c>
      <c r="AA1041" s="3" t="e">
        <f t="shared" si="204"/>
        <v>#DIV/0!</v>
      </c>
      <c r="AB1041" s="344">
        <f>IFERROR(VLOOKUP($G1041,基本資料!$A:$M,11,0),"無")</f>
        <v>-27.68</v>
      </c>
      <c r="AC1041" s="397">
        <f>IFERROR(VLOOKUP($G1041,基本資料!$A:$M,12,0),"無")</f>
        <v>10.35</v>
      </c>
      <c r="AD1041" s="22" t="s">
        <v>4498</v>
      </c>
      <c r="AG1041" s="33">
        <f t="shared" si="205"/>
        <v>0</v>
      </c>
      <c r="AH1041" s="117" t="s">
        <v>2275</v>
      </c>
      <c r="AI1041" s="63">
        <f t="shared" si="206"/>
        <v>3.7026703866082106E-3</v>
      </c>
      <c r="AJ1041" s="284">
        <f>RTD("money.excel",,$G1041,"PredictVolume")</f>
        <v>929</v>
      </c>
      <c r="AK1041" s="399">
        <f>IFERROR(VLOOKUP($G1041,基本資料!$A:$M,13,0),"無")</f>
        <v>8.09</v>
      </c>
    </row>
    <row r="1042" spans="1:37">
      <c r="A1042" s="347">
        <f>IFERROR(VLOOKUP($G1042,基本資料!$A:$J,3,0),"無")</f>
        <v>12.81</v>
      </c>
      <c r="B1042" s="79">
        <f>IFERROR(VLOOKUP($G1042,基本資料!$A:$J,4,0),"無")</f>
        <v>15</v>
      </c>
      <c r="C1042" s="79">
        <f>IFERROR(VLOOKUP($G1042,基本資料!$A:$J,5,0),"無")</f>
        <v>15</v>
      </c>
      <c r="D1042" s="79">
        <f>IFERROR(VLOOKUP($G1042,基本資料!$A:$J,6,0),"無")</f>
        <v>11</v>
      </c>
      <c r="E1042" s="79">
        <f>IFERROR(VLOOKUP($G1042,基本資料!$A:$J,7,0),"無")</f>
        <v>1</v>
      </c>
      <c r="F1042" s="6">
        <f>IFERROR(VLOOKUP($G1042,基本資料!$A:$J,8,0),"無")</f>
        <v>28.33</v>
      </c>
      <c r="G1042" s="79">
        <v>2428</v>
      </c>
      <c r="H1042" s="195" t="s">
        <v>308</v>
      </c>
      <c r="I1042" s="22" t="s">
        <v>4499</v>
      </c>
      <c r="J1042" s="8">
        <f>IFERROR(VLOOKUP($G1042,今日總結!$A:$AJ,35,0),"")</f>
        <v>0</v>
      </c>
      <c r="K1042" s="5">
        <f>IFERROR(VLOOKUP($G1042,今日總結!$A:$AJ,36,0),"")</f>
        <v>0</v>
      </c>
      <c r="L1042" s="156">
        <f>IFERROR(VLOOKUP($G1042,今日總結!$A:$AJ,33,0),"")</f>
        <v>0</v>
      </c>
      <c r="M1042" s="340">
        <f>IFERROR(VLOOKUP($G1042,今日總結!$A:$AJ,34,0),"")</f>
        <v>1</v>
      </c>
      <c r="N1042" s="240">
        <f t="shared" si="207"/>
        <v>-1</v>
      </c>
      <c r="P1042" s="365">
        <f>IFERROR(VLOOKUP($G1042,融外自投!$A:$J,7,0),"無")</f>
        <v>719</v>
      </c>
      <c r="Q1042" s="79">
        <f>IFERROR(VLOOKUP($G1042,融外自投!$A:$J,9,0),"無")</f>
        <v>936</v>
      </c>
      <c r="R1042" s="346">
        <f>IFERROR(VLOOKUP($G1042,融外自投!$A:$J,8,0),"無")</f>
        <v>370</v>
      </c>
      <c r="S1042" s="81">
        <f>IFERROR(VLOOKUP($G1042,融外自投!$A:$J,10,0),"無")</f>
        <v>491</v>
      </c>
      <c r="T1042" s="327">
        <f>IFERROR(VLOOKUP($G1042,'321買'!$A:$E,5,0),"'沒有資料'")</f>
        <v>915</v>
      </c>
      <c r="U1042" s="186">
        <f>IFERROR(VLOOKUP($G1042,基本資料!$A:$J,9,0),"無")</f>
        <v>6.3</v>
      </c>
      <c r="V1042" s="310">
        <f t="shared" si="202"/>
        <v>4.8648648648648644E-2</v>
      </c>
      <c r="W1042" s="94">
        <f>IFERROR(VLOOKUP($G1042,基本資料!$A:$J,10,0),"無")</f>
        <v>12.31</v>
      </c>
      <c r="X1042" s="36">
        <f>RTD("money.excel",,"2428","Price")</f>
        <v>129.5</v>
      </c>
      <c r="Y1042" s="66"/>
      <c r="Z1042" s="15">
        <f t="shared" si="203"/>
        <v>129.5</v>
      </c>
      <c r="AA1042" s="3" t="e">
        <f t="shared" si="204"/>
        <v>#DIV/0!</v>
      </c>
      <c r="AB1042" s="344">
        <f>IFERROR(VLOOKUP($G1042,基本資料!$A:$M,11,0),"無")</f>
        <v>-52.53</v>
      </c>
      <c r="AC1042" s="397">
        <f>IFERROR(VLOOKUP($G1042,基本資料!$A:$M,12,0),"無")</f>
        <v>23.09</v>
      </c>
      <c r="AD1042" s="22" t="s">
        <v>4499</v>
      </c>
      <c r="AG1042" s="33">
        <f t="shared" si="205"/>
        <v>0</v>
      </c>
      <c r="AH1042" s="43" t="s">
        <v>4500</v>
      </c>
      <c r="AI1042" s="63">
        <f t="shared" si="206"/>
        <v>1.7642466822794692E-2</v>
      </c>
      <c r="AJ1042" s="284">
        <f>RTD("money.excel",,$G1042,"PredictVolume")</f>
        <v>2260</v>
      </c>
      <c r="AK1042" s="399">
        <f>IFERROR(VLOOKUP($G1042,基本資料!$A:$M,13,0),"無")</f>
        <v>3.42</v>
      </c>
    </row>
    <row r="1043" spans="1:37">
      <c r="A1043" s="347">
        <f>IFERROR(VLOOKUP($G1043,基本資料!$A:$J,3,0),"無")</f>
        <v>3.97</v>
      </c>
      <c r="B1043" s="79">
        <f>IFERROR(VLOOKUP($G1043,基本資料!$A:$J,4,0),"無")</f>
        <v>86</v>
      </c>
      <c r="C1043" s="79">
        <f>IFERROR(VLOOKUP($G1043,基本資料!$A:$J,5,0),"無")</f>
        <v>86</v>
      </c>
      <c r="D1043" s="79">
        <f>IFERROR(VLOOKUP($G1043,基本資料!$A:$J,6,0),"無")</f>
        <v>-18</v>
      </c>
      <c r="E1043" s="79">
        <f>IFERROR(VLOOKUP($G1043,基本資料!$A:$J,7,0),"無")</f>
        <v>-51</v>
      </c>
      <c r="F1043" s="6">
        <f>IFERROR(VLOOKUP($G1043,基本資料!$A:$J,8,0),"無")</f>
        <v>-0.83</v>
      </c>
      <c r="G1043" s="79">
        <v>2429</v>
      </c>
      <c r="H1043" s="8" t="s">
        <v>308</v>
      </c>
      <c r="I1043" s="22" t="s">
        <v>4501</v>
      </c>
      <c r="J1043" s="8" t="str">
        <f>IFERROR(VLOOKUP($G1043,今日總結!$A:$AJ,35,0),"")</f>
        <v/>
      </c>
      <c r="K1043" s="5" t="str">
        <f>IFERROR(VLOOKUP($G1043,今日總結!$A:$AJ,36,0),"")</f>
        <v/>
      </c>
      <c r="L1043" s="156" t="str">
        <f>IFERROR(VLOOKUP($G1043,今日總結!$A:$AJ,33,0),"")</f>
        <v/>
      </c>
      <c r="M1043" s="340" t="str">
        <f>IFERROR(VLOOKUP($G1043,今日總結!$A:$AJ,34,0),"")</f>
        <v/>
      </c>
      <c r="N1043" s="240" t="str">
        <f t="shared" si="207"/>
        <v/>
      </c>
      <c r="P1043" s="365" t="str">
        <f>IFERROR(VLOOKUP($G1043,融外自投!$A:$J,7,0),"無")</f>
        <v>無</v>
      </c>
      <c r="Q1043" s="79" t="str">
        <f>IFERROR(VLOOKUP($G1043,融外自投!$A:$J,9,0),"無")</f>
        <v>無</v>
      </c>
      <c r="R1043" s="346" t="str">
        <f>IFERROR(VLOOKUP($G1043,融外自投!$A:$J,8,0),"無")</f>
        <v>無</v>
      </c>
      <c r="S1043" s="81" t="str">
        <f>IFERROR(VLOOKUP($G1043,融外自投!$A:$J,10,0),"無")</f>
        <v>無</v>
      </c>
      <c r="T1043" s="327" t="str">
        <f>IFERROR(VLOOKUP($G1043,'321買'!$A:$E,5,0),"'沒有資料'")</f>
        <v>'沒有資料'</v>
      </c>
      <c r="U1043" s="186">
        <f>IFERROR(VLOOKUP($G1043,基本資料!$A:$J,9,0),"無")</f>
        <v>0</v>
      </c>
      <c r="V1043" s="310">
        <f t="shared" si="202"/>
        <v>0</v>
      </c>
      <c r="W1043" s="94">
        <f>IFERROR(VLOOKUP($G1043,基本資料!$A:$J,10,0),"無")</f>
        <v>0.05</v>
      </c>
      <c r="X1043" s="36">
        <f>RTD("money.excel",,"2429","Price")</f>
        <v>15.95</v>
      </c>
      <c r="Y1043" s="66"/>
      <c r="Z1043" s="15">
        <f t="shared" si="203"/>
        <v>15.95</v>
      </c>
      <c r="AA1043" s="3" t="e">
        <f t="shared" si="204"/>
        <v>#DIV/0!</v>
      </c>
      <c r="AB1043" s="344">
        <f>IFERROR(VLOOKUP($G1043,基本資料!$A:$M,11,0),"無")</f>
        <v>-40.75</v>
      </c>
      <c r="AC1043" s="397">
        <f>IFERROR(VLOOKUP($G1043,基本資料!$A:$M,12,0),"無")</f>
        <v>33.200000000000003</v>
      </c>
      <c r="AD1043" s="22" t="s">
        <v>4501</v>
      </c>
      <c r="AG1043" s="33">
        <f t="shared" si="205"/>
        <v>0</v>
      </c>
      <c r="AH1043" s="43" t="s">
        <v>1044</v>
      </c>
      <c r="AI1043" s="63">
        <f t="shared" si="206"/>
        <v>1.7632241813602016E-4</v>
      </c>
      <c r="AJ1043" s="284">
        <f>RTD("money.excel",,$G1043,"PredictVolume")</f>
        <v>7</v>
      </c>
      <c r="AK1043" s="399">
        <f>IFERROR(VLOOKUP($G1043,基本資料!$A:$M,13,0),"無")</f>
        <v>2.56</v>
      </c>
    </row>
    <row r="1044" spans="1:37">
      <c r="A1044" s="347">
        <f>IFERROR(VLOOKUP($G1044,基本資料!$A:$J,3,0),"無")</f>
        <v>11.09</v>
      </c>
      <c r="B1044" s="79">
        <f>IFERROR(VLOOKUP($G1044,基本資料!$A:$J,4,0),"無")</f>
        <v>145</v>
      </c>
      <c r="C1044" s="79">
        <f>IFERROR(VLOOKUP($G1044,基本資料!$A:$J,5,0),"無")</f>
        <v>-406</v>
      </c>
      <c r="D1044" s="79">
        <f>IFERROR(VLOOKUP($G1044,基本資料!$A:$J,6,0),"無")</f>
        <v>35</v>
      </c>
      <c r="E1044" s="79">
        <f>IFERROR(VLOOKUP($G1044,基本資料!$A:$J,7,0),"無")</f>
        <v>-34</v>
      </c>
      <c r="F1044" s="6">
        <f>IFERROR(VLOOKUP($G1044,基本資料!$A:$J,8,0),"無")</f>
        <v>-6.72</v>
      </c>
      <c r="G1044" s="79">
        <v>2431</v>
      </c>
      <c r="H1044" s="8" t="s">
        <v>308</v>
      </c>
      <c r="I1044" s="22" t="s">
        <v>4502</v>
      </c>
      <c r="J1044" s="8" t="str">
        <f>IFERROR(VLOOKUP($G1044,今日總結!$A:$AJ,35,0),"")</f>
        <v/>
      </c>
      <c r="K1044" s="5" t="str">
        <f>IFERROR(VLOOKUP($G1044,今日總結!$A:$AJ,36,0),"")</f>
        <v/>
      </c>
      <c r="L1044" s="156" t="str">
        <f>IFERROR(VLOOKUP($G1044,今日總結!$A:$AJ,33,0),"")</f>
        <v/>
      </c>
      <c r="M1044" s="340" t="str">
        <f>IFERROR(VLOOKUP($G1044,今日總結!$A:$AJ,34,0),"")</f>
        <v/>
      </c>
      <c r="N1044" s="240" t="str">
        <f t="shared" si="207"/>
        <v/>
      </c>
      <c r="P1044" s="365">
        <f>IFERROR(VLOOKUP($G1044,融外自投!$A:$J,7,0),"無")</f>
        <v>306</v>
      </c>
      <c r="Q1044" s="79">
        <f>IFERROR(VLOOKUP($G1044,融外自投!$A:$J,9,0),"無")</f>
        <v>466</v>
      </c>
      <c r="R1044" s="346">
        <f>IFERROR(VLOOKUP($G1044,融外自投!$A:$J,8,0),"無")</f>
        <v>1273</v>
      </c>
      <c r="S1044" s="81" t="str">
        <f>IFERROR(VLOOKUP($G1044,融外自投!$A:$J,10,0),"無")</f>
        <v>無</v>
      </c>
      <c r="T1044" s="327">
        <f>IFERROR(VLOOKUP($G1044,'321買'!$A:$E,5,0),"'沒有資料'")</f>
        <v>852</v>
      </c>
      <c r="U1044" s="186">
        <f>IFERROR(VLOOKUP($G1044,基本資料!$A:$J,9,0),"無")</f>
        <v>0.45</v>
      </c>
      <c r="V1044" s="310">
        <f t="shared" si="202"/>
        <v>4.0178571428571432E-2</v>
      </c>
      <c r="W1044" s="94">
        <f>IFERROR(VLOOKUP($G1044,基本資料!$A:$J,10,0),"無")</f>
        <v>1.03</v>
      </c>
      <c r="X1044" s="36">
        <f>RTD("money.excel",,"2431","Price")</f>
        <v>11.2</v>
      </c>
      <c r="Y1044" s="66"/>
      <c r="Z1044" s="15">
        <f t="shared" si="203"/>
        <v>11.2</v>
      </c>
      <c r="AA1044" s="3" t="e">
        <f t="shared" si="204"/>
        <v>#DIV/0!</v>
      </c>
      <c r="AB1044" s="344">
        <f>IFERROR(VLOOKUP($G1044,基本資料!$A:$M,11,0),"無")</f>
        <v>-31.11</v>
      </c>
      <c r="AC1044" s="397">
        <f>IFERROR(VLOOKUP($G1044,基本資料!$A:$M,12,0),"無")</f>
        <v>23.02</v>
      </c>
      <c r="AD1044" s="22" t="s">
        <v>4502</v>
      </c>
      <c r="AG1044" s="33">
        <f t="shared" si="205"/>
        <v>0</v>
      </c>
      <c r="AH1044" s="43" t="s">
        <v>4503</v>
      </c>
      <c r="AI1044" s="63">
        <f t="shared" si="206"/>
        <v>9.3778178539224522E-4</v>
      </c>
      <c r="AJ1044" s="284">
        <f>RTD("money.excel",,$G1044,"PredictVolume")</f>
        <v>104</v>
      </c>
      <c r="AK1044" s="399">
        <f>IFERROR(VLOOKUP($G1044,基本資料!$A:$M,13,0),"無")</f>
        <v>27.59</v>
      </c>
    </row>
    <row r="1045" spans="1:37">
      <c r="A1045" s="347">
        <f>IFERROR(VLOOKUP($G1045,基本資料!$A:$J,3,0),"無")</f>
        <v>13.91</v>
      </c>
      <c r="B1045" s="79">
        <f>IFERROR(VLOOKUP($G1045,基本資料!$A:$J,4,0),"無")</f>
        <v>-52</v>
      </c>
      <c r="C1045" s="79">
        <f>IFERROR(VLOOKUP($G1045,基本資料!$A:$J,5,0),"無")</f>
        <v>24</v>
      </c>
      <c r="D1045" s="79">
        <f>IFERROR(VLOOKUP($G1045,基本資料!$A:$J,6,0),"無")</f>
        <v>7</v>
      </c>
      <c r="E1045" s="79">
        <f>IFERROR(VLOOKUP($G1045,基本資料!$A:$J,7,0),"無")</f>
        <v>-17</v>
      </c>
      <c r="F1045" s="6">
        <f>IFERROR(VLOOKUP($G1045,基本資料!$A:$J,8,0),"無")</f>
        <v>3.75</v>
      </c>
      <c r="G1045" s="79">
        <v>2440</v>
      </c>
      <c r="H1045" s="8" t="s">
        <v>308</v>
      </c>
      <c r="I1045" s="22" t="s">
        <v>4504</v>
      </c>
      <c r="J1045" s="8">
        <f>IFERROR(VLOOKUP($G1045,今日總結!$A:$AJ,35,0),"")</f>
        <v>0</v>
      </c>
      <c r="K1045" s="5">
        <f>IFERROR(VLOOKUP($G1045,今日總結!$A:$AJ,36,0),"")</f>
        <v>0</v>
      </c>
      <c r="L1045" s="156">
        <f>IFERROR(VLOOKUP($G1045,今日總結!$A:$AJ,33,0),"")</f>
        <v>0</v>
      </c>
      <c r="M1045" s="340">
        <f>IFERROR(VLOOKUP($G1045,今日總結!$A:$AJ,34,0),"")</f>
        <v>1</v>
      </c>
      <c r="N1045" s="240">
        <f t="shared" si="207"/>
        <v>-1</v>
      </c>
      <c r="P1045" s="365">
        <f>IFERROR(VLOOKUP($G1045,融外自投!$A:$J,7,0),"無")</f>
        <v>1248</v>
      </c>
      <c r="Q1045" s="79" t="str">
        <f>IFERROR(VLOOKUP($G1045,融外自投!$A:$J,9,0),"無")</f>
        <v>無</v>
      </c>
      <c r="R1045" s="346">
        <f>IFERROR(VLOOKUP($G1045,融外自投!$A:$J,8,0),"無")</f>
        <v>1433</v>
      </c>
      <c r="S1045" s="81" t="str">
        <f>IFERROR(VLOOKUP($G1045,融外自投!$A:$J,10,0),"無")</f>
        <v>無</v>
      </c>
      <c r="T1045" s="327">
        <f>IFERROR(VLOOKUP($G1045,'321買'!$A:$E,5,0),"'沒有資料'")</f>
        <v>1397</v>
      </c>
      <c r="U1045" s="186">
        <f>IFERROR(VLOOKUP($G1045,基本資料!$A:$J,9,0),"無")</f>
        <v>0</v>
      </c>
      <c r="V1045" s="310">
        <f t="shared" si="202"/>
        <v>0</v>
      </c>
      <c r="W1045" s="94">
        <f>IFERROR(VLOOKUP($G1045,基本資料!$A:$J,10,0),"無")</f>
        <v>0.75</v>
      </c>
      <c r="X1045" s="36">
        <f>RTD("money.excel",,"2440","Price")</f>
        <v>13.1</v>
      </c>
      <c r="Y1045" s="66"/>
      <c r="Z1045" s="15">
        <f t="shared" si="203"/>
        <v>13.1</v>
      </c>
      <c r="AA1045" s="3" t="e">
        <f t="shared" si="204"/>
        <v>#DIV/0!</v>
      </c>
      <c r="AB1045" s="344">
        <f>IFERROR(VLOOKUP($G1045,基本資料!$A:$M,11,0),"無")</f>
        <v>-49.43</v>
      </c>
      <c r="AC1045" s="397">
        <f>IFERROR(VLOOKUP($G1045,基本資料!$A:$M,12,0),"無")</f>
        <v>9.6300000000000008</v>
      </c>
      <c r="AD1045" s="22" t="s">
        <v>4504</v>
      </c>
      <c r="AG1045" s="33">
        <f t="shared" si="205"/>
        <v>0</v>
      </c>
      <c r="AH1045" s="43" t="s">
        <v>4505</v>
      </c>
      <c r="AI1045" s="63">
        <f t="shared" si="206"/>
        <v>7.6204169662113586E-4</v>
      </c>
      <c r="AJ1045" s="284">
        <f>RTD("money.excel",,$G1045,"PredictVolume")</f>
        <v>106</v>
      </c>
      <c r="AK1045" s="399">
        <f>IFERROR(VLOOKUP($G1045,基本資料!$A:$M,13,0),"無")</f>
        <v>6.74</v>
      </c>
    </row>
    <row r="1046" spans="1:37">
      <c r="A1046" s="347">
        <f>IFERROR(VLOOKUP($G1046,基本資料!$A:$J,3,0),"無")</f>
        <v>37.520000000000003</v>
      </c>
      <c r="B1046" s="79">
        <f>IFERROR(VLOOKUP($G1046,基本資料!$A:$J,4,0),"無")</f>
        <v>-102</v>
      </c>
      <c r="C1046" s="79">
        <f>IFERROR(VLOOKUP($G1046,基本資料!$A:$J,5,0),"無")</f>
        <v>8</v>
      </c>
      <c r="D1046" s="79">
        <f>IFERROR(VLOOKUP($G1046,基本資料!$A:$J,6,0),"無")</f>
        <v>-11</v>
      </c>
      <c r="E1046" s="79">
        <f>IFERROR(VLOOKUP($G1046,基本資料!$A:$J,7,0),"無")</f>
        <v>0</v>
      </c>
      <c r="F1046" s="6">
        <f>IFERROR(VLOOKUP($G1046,基本資料!$A:$J,8,0),"無")</f>
        <v>-2.76</v>
      </c>
      <c r="G1046" s="79">
        <v>2457</v>
      </c>
      <c r="H1046" s="8" t="s">
        <v>308</v>
      </c>
      <c r="I1046" s="22" t="s">
        <v>4506</v>
      </c>
      <c r="J1046" s="8" t="str">
        <f>IFERROR(VLOOKUP($G1046,今日總結!$A:$AJ,35,0),"")</f>
        <v/>
      </c>
      <c r="K1046" s="5" t="str">
        <f>IFERROR(VLOOKUP($G1046,今日總結!$A:$AJ,36,0),"")</f>
        <v/>
      </c>
      <c r="L1046" s="156" t="str">
        <f>IFERROR(VLOOKUP($G1046,今日總結!$A:$AJ,33,0),"")</f>
        <v/>
      </c>
      <c r="M1046" s="340" t="str">
        <f>IFERROR(VLOOKUP($G1046,今日總結!$A:$AJ,34,0),"")</f>
        <v/>
      </c>
      <c r="N1046" s="240" t="str">
        <f t="shared" si="207"/>
        <v/>
      </c>
      <c r="P1046" s="365">
        <f>IFERROR(VLOOKUP($G1046,融外自投!$A:$J,7,0),"無")</f>
        <v>88</v>
      </c>
      <c r="Q1046" s="79">
        <f>IFERROR(VLOOKUP($G1046,融外自投!$A:$J,9,0),"無")</f>
        <v>117</v>
      </c>
      <c r="R1046" s="346">
        <f>IFERROR(VLOOKUP($G1046,融外自投!$A:$J,8,0),"無")</f>
        <v>820</v>
      </c>
      <c r="S1046" s="81" t="str">
        <f>IFERROR(VLOOKUP($G1046,融外自投!$A:$J,10,0),"無")</f>
        <v>無</v>
      </c>
      <c r="T1046" s="327">
        <f>IFERROR(VLOOKUP($G1046,'321買'!$A:$E,5,0),"'沒有資料'")</f>
        <v>634</v>
      </c>
      <c r="U1046" s="186">
        <f>IFERROR(VLOOKUP($G1046,基本資料!$A:$J,9,0),"無")</f>
        <v>0</v>
      </c>
      <c r="V1046" s="310">
        <f t="shared" si="202"/>
        <v>0</v>
      </c>
      <c r="W1046" s="94">
        <f>IFERROR(VLOOKUP($G1046,基本資料!$A:$J,10,0),"無")</f>
        <v>-0.92</v>
      </c>
      <c r="X1046" s="36">
        <f>RTD("money.excel",,"2457","Price")</f>
        <v>37.299999999999997</v>
      </c>
      <c r="Y1046" s="66"/>
      <c r="Z1046" s="15">
        <f t="shared" si="203"/>
        <v>37.299999999999997</v>
      </c>
      <c r="AA1046" s="3" t="e">
        <f t="shared" si="204"/>
        <v>#DIV/0!</v>
      </c>
      <c r="AB1046" s="344">
        <f>IFERROR(VLOOKUP($G1046,基本資料!$A:$M,11,0),"無")</f>
        <v>-27.31</v>
      </c>
      <c r="AC1046" s="397">
        <f>IFERROR(VLOOKUP($G1046,基本資料!$A:$M,12,0),"無")</f>
        <v>23.05</v>
      </c>
      <c r="AD1046" s="22" t="s">
        <v>4506</v>
      </c>
      <c r="AG1046" s="33">
        <f t="shared" si="205"/>
        <v>0</v>
      </c>
      <c r="AH1046" s="43" t="s">
        <v>2373</v>
      </c>
      <c r="AI1046" s="63">
        <f t="shared" si="206"/>
        <v>8.8326226012793163E-3</v>
      </c>
      <c r="AJ1046" s="284">
        <f>RTD("money.excel",,$G1046,"PredictVolume")</f>
        <v>3314</v>
      </c>
      <c r="AK1046" s="399">
        <f>IFERROR(VLOOKUP($G1046,基本資料!$A:$M,13,0),"無")</f>
        <v>55.92</v>
      </c>
    </row>
    <row r="1047" spans="1:37">
      <c r="A1047" s="347">
        <f>IFERROR(VLOOKUP($G1047,基本資料!$A:$J,3,0),"無")</f>
        <v>16.920000000000002</v>
      </c>
      <c r="B1047" s="79">
        <f>IFERROR(VLOOKUP($G1047,基本資料!$A:$J,4,0),"無")</f>
        <v>672</v>
      </c>
      <c r="C1047" s="79">
        <f>IFERROR(VLOOKUP($G1047,基本資料!$A:$J,5,0),"無")</f>
        <v>1217</v>
      </c>
      <c r="D1047" s="79">
        <f>IFERROR(VLOOKUP($G1047,基本資料!$A:$J,6,0),"無")</f>
        <v>-19</v>
      </c>
      <c r="E1047" s="79">
        <f>IFERROR(VLOOKUP($G1047,基本資料!$A:$J,7,0),"無")</f>
        <v>-32</v>
      </c>
      <c r="F1047" s="6">
        <f>IFERROR(VLOOKUP($G1047,基本資料!$A:$J,8,0),"無")</f>
        <v>10.29</v>
      </c>
      <c r="G1047" s="79">
        <v>2460</v>
      </c>
      <c r="H1047" s="8" t="s">
        <v>308</v>
      </c>
      <c r="I1047" s="22" t="s">
        <v>4507</v>
      </c>
      <c r="J1047" s="8" t="str">
        <f>IFERROR(VLOOKUP($G1047,今日總結!$A:$AJ,35,0),"")</f>
        <v/>
      </c>
      <c r="K1047" s="5" t="str">
        <f>IFERROR(VLOOKUP($G1047,今日總結!$A:$AJ,36,0),"")</f>
        <v/>
      </c>
      <c r="L1047" s="156" t="str">
        <f>IFERROR(VLOOKUP($G1047,今日總結!$A:$AJ,33,0),"")</f>
        <v/>
      </c>
      <c r="M1047" s="340" t="str">
        <f>IFERROR(VLOOKUP($G1047,今日總結!$A:$AJ,34,0),"")</f>
        <v/>
      </c>
      <c r="N1047" s="240" t="str">
        <f t="shared" si="207"/>
        <v/>
      </c>
      <c r="P1047" s="365">
        <f>IFERROR(VLOOKUP($G1047,融外自投!$A:$J,7,0),"無")</f>
        <v>636</v>
      </c>
      <c r="Q1047" s="79">
        <f>IFERROR(VLOOKUP($G1047,融外自投!$A:$J,9,0),"無")</f>
        <v>734</v>
      </c>
      <c r="R1047" s="346">
        <f>IFERROR(VLOOKUP($G1047,融外自投!$A:$J,8,0),"無")</f>
        <v>1341</v>
      </c>
      <c r="S1047" s="81" t="str">
        <f>IFERROR(VLOOKUP($G1047,融外自投!$A:$J,10,0),"無")</f>
        <v>無</v>
      </c>
      <c r="T1047" s="327">
        <f>IFERROR(VLOOKUP($G1047,'321買'!$A:$E,5,0),"'沒有資料'")</f>
        <v>964</v>
      </c>
      <c r="U1047" s="186">
        <f>IFERROR(VLOOKUP($G1047,基本資料!$A:$J,9,0),"無")</f>
        <v>0.3</v>
      </c>
      <c r="V1047" s="310">
        <f t="shared" si="202"/>
        <v>1.4018691588785047E-2</v>
      </c>
      <c r="W1047" s="94">
        <f>IFERROR(VLOOKUP($G1047,基本資料!$A:$J,10,0),"無")</f>
        <v>1.47</v>
      </c>
      <c r="X1047" s="36">
        <f>RTD("money.excel",,"2460","Price")</f>
        <v>21.4</v>
      </c>
      <c r="Y1047" s="66"/>
      <c r="Z1047" s="15">
        <f t="shared" si="203"/>
        <v>21.4</v>
      </c>
      <c r="AA1047" s="3" t="e">
        <f t="shared" si="204"/>
        <v>#DIV/0!</v>
      </c>
      <c r="AB1047" s="344">
        <f>IFERROR(VLOOKUP($G1047,基本資料!$A:$M,11,0),"無")</f>
        <v>-41.99</v>
      </c>
      <c r="AC1047" s="397">
        <f>IFERROR(VLOOKUP($G1047,基本資料!$A:$M,12,0),"無")</f>
        <v>22.41</v>
      </c>
      <c r="AD1047" s="22" t="s">
        <v>4507</v>
      </c>
      <c r="AG1047" s="33">
        <f t="shared" si="205"/>
        <v>0</v>
      </c>
      <c r="AH1047" s="43" t="s">
        <v>1903</v>
      </c>
      <c r="AI1047" s="63">
        <f t="shared" si="206"/>
        <v>1.3888888888888887E-3</v>
      </c>
      <c r="AJ1047" s="284">
        <f>RTD("money.excel",,$G1047,"PredictVolume")</f>
        <v>235</v>
      </c>
      <c r="AK1047" s="399">
        <f>IFERROR(VLOOKUP($G1047,基本資料!$A:$M,13,0),"無")</f>
        <v>6.11</v>
      </c>
    </row>
    <row r="1048" spans="1:37">
      <c r="A1048" s="347">
        <f>IFERROR(VLOOKUP($G1048,基本資料!$A:$J,3,0),"無")</f>
        <v>14.19</v>
      </c>
      <c r="B1048" s="79">
        <f>IFERROR(VLOOKUP($G1048,基本資料!$A:$J,4,0),"無")</f>
        <v>-5</v>
      </c>
      <c r="C1048" s="79">
        <f>IFERROR(VLOOKUP($G1048,基本資料!$A:$J,5,0),"無")</f>
        <v>-229</v>
      </c>
      <c r="D1048" s="79">
        <f>IFERROR(VLOOKUP($G1048,基本資料!$A:$J,6,0),"無")</f>
        <v>44</v>
      </c>
      <c r="E1048" s="79">
        <f>IFERROR(VLOOKUP($G1048,基本資料!$A:$J,7,0),"無")</f>
        <v>16</v>
      </c>
      <c r="F1048" s="6">
        <f>IFERROR(VLOOKUP($G1048,基本資料!$A:$J,8,0),"無")</f>
        <v>-2.95</v>
      </c>
      <c r="G1048" s="79">
        <v>2462</v>
      </c>
      <c r="H1048" s="8" t="s">
        <v>308</v>
      </c>
      <c r="I1048" s="22" t="s">
        <v>4508</v>
      </c>
      <c r="J1048" s="8" t="str">
        <f>IFERROR(VLOOKUP($G1048,今日總結!$A:$AJ,35,0),"")</f>
        <v/>
      </c>
      <c r="K1048" s="5" t="str">
        <f>IFERROR(VLOOKUP($G1048,今日總結!$A:$AJ,36,0),"")</f>
        <v/>
      </c>
      <c r="L1048" s="156" t="str">
        <f>IFERROR(VLOOKUP($G1048,今日總結!$A:$AJ,33,0),"")</f>
        <v/>
      </c>
      <c r="M1048" s="340" t="str">
        <f>IFERROR(VLOOKUP($G1048,今日總結!$A:$AJ,34,0),"")</f>
        <v/>
      </c>
      <c r="N1048" s="240" t="str">
        <f t="shared" si="207"/>
        <v/>
      </c>
      <c r="P1048" s="365">
        <f>IFERROR(VLOOKUP($G1048,融外自投!$A:$J,7,0),"無")</f>
        <v>130</v>
      </c>
      <c r="Q1048" s="79">
        <f>IFERROR(VLOOKUP($G1048,融外自投!$A:$J,9,0),"無")</f>
        <v>395</v>
      </c>
      <c r="R1048" s="346">
        <f>IFERROR(VLOOKUP($G1048,融外自投!$A:$J,8,0),"無")</f>
        <v>1219</v>
      </c>
      <c r="S1048" s="81" t="str">
        <f>IFERROR(VLOOKUP($G1048,融外自投!$A:$J,10,0),"無")</f>
        <v>無</v>
      </c>
      <c r="T1048" s="327">
        <f>IFERROR(VLOOKUP($G1048,'321買'!$A:$E,5,0),"'沒有資料'")</f>
        <v>558</v>
      </c>
      <c r="U1048" s="186">
        <f>IFERROR(VLOOKUP($G1048,基本資料!$A:$J,9,0),"無")</f>
        <v>0.6</v>
      </c>
      <c r="V1048" s="310">
        <f t="shared" si="202"/>
        <v>2.2641509433962263E-2</v>
      </c>
      <c r="W1048" s="94">
        <f>IFERROR(VLOOKUP($G1048,基本資料!$A:$J,10,0),"無")</f>
        <v>0.83</v>
      </c>
      <c r="X1048" s="36">
        <f>RTD("money.excel",,"2462","Price")</f>
        <v>26.5</v>
      </c>
      <c r="Y1048" s="66"/>
      <c r="Z1048" s="15">
        <f t="shared" si="203"/>
        <v>26.5</v>
      </c>
      <c r="AA1048" s="3" t="e">
        <f t="shared" si="204"/>
        <v>#DIV/0!</v>
      </c>
      <c r="AB1048" s="344">
        <f>IFERROR(VLOOKUP($G1048,基本資料!$A:$M,11,0),"無")</f>
        <v>-33.96</v>
      </c>
      <c r="AC1048" s="397">
        <f>IFERROR(VLOOKUP($G1048,基本資料!$A:$M,12,0),"無")</f>
        <v>10.69</v>
      </c>
      <c r="AD1048" s="22" t="s">
        <v>4508</v>
      </c>
      <c r="AG1048" s="33">
        <f t="shared" si="205"/>
        <v>0</v>
      </c>
      <c r="AH1048" s="43" t="s">
        <v>4509</v>
      </c>
      <c r="AI1048" s="63">
        <f t="shared" si="206"/>
        <v>3.2487667371388302E-3</v>
      </c>
      <c r="AJ1048" s="284">
        <f>RTD("money.excel",,$G1048,"PredictVolume")</f>
        <v>461</v>
      </c>
      <c r="AK1048" s="399">
        <f>IFERROR(VLOOKUP($G1048,基本資料!$A:$M,13,0),"無")</f>
        <v>28.13</v>
      </c>
    </row>
    <row r="1049" spans="1:37">
      <c r="A1049" s="347">
        <f>IFERROR(VLOOKUP($G1049,基本資料!$A:$J,3,0),"無")</f>
        <v>15.21</v>
      </c>
      <c r="B1049" s="79">
        <f>IFERROR(VLOOKUP($G1049,基本資料!$A:$J,4,0),"無")</f>
        <v>50</v>
      </c>
      <c r="C1049" s="79">
        <f>IFERROR(VLOOKUP($G1049,基本資料!$A:$J,5,0),"無")</f>
        <v>39</v>
      </c>
      <c r="D1049" s="79">
        <f>IFERROR(VLOOKUP($G1049,基本資料!$A:$J,6,0),"無")</f>
        <v>-4</v>
      </c>
      <c r="E1049" s="79">
        <f>IFERROR(VLOOKUP($G1049,基本資料!$A:$J,7,0),"無")</f>
        <v>-31</v>
      </c>
      <c r="F1049" s="6">
        <f>IFERROR(VLOOKUP($G1049,基本資料!$A:$J,8,0),"無")</f>
        <v>12.93</v>
      </c>
      <c r="G1049" s="79">
        <v>2467</v>
      </c>
      <c r="H1049" s="8" t="s">
        <v>308</v>
      </c>
      <c r="I1049" s="22" t="s">
        <v>4510</v>
      </c>
      <c r="J1049" s="8" t="str">
        <f>IFERROR(VLOOKUP($G1049,今日總結!$A:$AJ,35,0),"")</f>
        <v/>
      </c>
      <c r="K1049" s="5" t="str">
        <f>IFERROR(VLOOKUP($G1049,今日總結!$A:$AJ,36,0),"")</f>
        <v/>
      </c>
      <c r="L1049" s="156" t="str">
        <f>IFERROR(VLOOKUP($G1049,今日總結!$A:$AJ,33,0),"")</f>
        <v/>
      </c>
      <c r="M1049" s="340" t="str">
        <f>IFERROR(VLOOKUP($G1049,今日總結!$A:$AJ,34,0),"")</f>
        <v/>
      </c>
      <c r="N1049" s="240" t="str">
        <f t="shared" si="207"/>
        <v/>
      </c>
      <c r="P1049" s="365">
        <f>IFERROR(VLOOKUP($G1049,融外自投!$A:$J,7,0),"無")</f>
        <v>938</v>
      </c>
      <c r="Q1049" s="79">
        <f>IFERROR(VLOOKUP($G1049,融外自投!$A:$J,9,0),"無")</f>
        <v>1110</v>
      </c>
      <c r="R1049" s="346">
        <f>IFERROR(VLOOKUP($G1049,融外自投!$A:$J,8,0),"無")</f>
        <v>578</v>
      </c>
      <c r="S1049" s="81" t="str">
        <f>IFERROR(VLOOKUP($G1049,融外自投!$A:$J,10,0),"無")</f>
        <v>無</v>
      </c>
      <c r="T1049" s="327">
        <f>IFERROR(VLOOKUP($G1049,'321買'!$A:$E,5,0),"'沒有資料'")</f>
        <v>1085</v>
      </c>
      <c r="U1049" s="186">
        <f>IFERROR(VLOOKUP($G1049,基本資料!$A:$J,9,0),"無")</f>
        <v>3.32</v>
      </c>
      <c r="V1049" s="310">
        <f t="shared" si="202"/>
        <v>7.8209658421672545E-2</v>
      </c>
      <c r="W1049" s="94">
        <f>IFERROR(VLOOKUP($G1049,基本資料!$A:$J,10,0),"無")</f>
        <v>4.3499999999999996</v>
      </c>
      <c r="X1049" s="36">
        <f>RTD("money.excel",,"2467","Price")</f>
        <v>42.45</v>
      </c>
      <c r="Y1049" s="66"/>
      <c r="Z1049" s="15">
        <f t="shared" si="203"/>
        <v>42.45</v>
      </c>
      <c r="AA1049" s="3" t="e">
        <f t="shared" si="204"/>
        <v>#DIV/0!</v>
      </c>
      <c r="AB1049" s="344">
        <f>IFERROR(VLOOKUP($G1049,基本資料!$A:$M,11,0),"無")</f>
        <v>-34.979999999999997</v>
      </c>
      <c r="AC1049" s="397">
        <f>IFERROR(VLOOKUP($G1049,基本資料!$A:$M,12,0),"無")</f>
        <v>10.28</v>
      </c>
      <c r="AD1049" s="22" t="s">
        <v>4510</v>
      </c>
      <c r="AG1049" s="33">
        <f t="shared" si="205"/>
        <v>0</v>
      </c>
      <c r="AH1049" s="43" t="s">
        <v>4511</v>
      </c>
      <c r="AI1049" s="63">
        <f t="shared" si="206"/>
        <v>6.6403681788297175E-4</v>
      </c>
      <c r="AJ1049" s="284">
        <f>RTD("money.excel",,$G1049,"PredictVolume")</f>
        <v>101</v>
      </c>
      <c r="AK1049" s="399">
        <f>IFERROR(VLOOKUP($G1049,基本資料!$A:$M,13,0),"無")</f>
        <v>3.18</v>
      </c>
    </row>
    <row r="1050" spans="1:37">
      <c r="A1050" s="347">
        <f>IFERROR(VLOOKUP($G1050,基本資料!$A:$J,3,0),"無")</f>
        <v>16.34</v>
      </c>
      <c r="B1050" s="79">
        <f>IFERROR(VLOOKUP($G1050,基本資料!$A:$J,4,0),"無")</f>
        <v>51</v>
      </c>
      <c r="C1050" s="79">
        <f>IFERROR(VLOOKUP($G1050,基本資料!$A:$J,5,0),"無")</f>
        <v>39</v>
      </c>
      <c r="D1050" s="79">
        <f>IFERROR(VLOOKUP($G1050,基本資料!$A:$J,6,0),"無")</f>
        <v>0</v>
      </c>
      <c r="E1050" s="79">
        <f>IFERROR(VLOOKUP($G1050,基本資料!$A:$J,7,0),"無")</f>
        <v>17</v>
      </c>
      <c r="F1050" s="6">
        <f>IFERROR(VLOOKUP($G1050,基本資料!$A:$J,8,0),"無")</f>
        <v>18.03</v>
      </c>
      <c r="G1050" s="79">
        <v>2472</v>
      </c>
      <c r="H1050" s="195" t="s">
        <v>308</v>
      </c>
      <c r="I1050" s="22" t="s">
        <v>4512</v>
      </c>
      <c r="J1050" s="8">
        <f>IFERROR(VLOOKUP($G1050,今日總結!$A:$AJ,35,0),"")</f>
        <v>0</v>
      </c>
      <c r="K1050" s="5">
        <f>IFERROR(VLOOKUP($G1050,今日總結!$A:$AJ,36,0),"")</f>
        <v>0</v>
      </c>
      <c r="L1050" s="156">
        <f>IFERROR(VLOOKUP($G1050,今日總結!$A:$AJ,33,0),"")</f>
        <v>0</v>
      </c>
      <c r="M1050" s="340">
        <f>IFERROR(VLOOKUP($G1050,今日總結!$A:$AJ,34,0),"")</f>
        <v>1</v>
      </c>
      <c r="N1050" s="240">
        <f t="shared" si="207"/>
        <v>-1</v>
      </c>
      <c r="P1050" s="365">
        <f>IFERROR(VLOOKUP($G1050,融外自投!$A:$J,7,0),"無")</f>
        <v>287</v>
      </c>
      <c r="Q1050" s="79">
        <f>IFERROR(VLOOKUP($G1050,融外自投!$A:$J,9,0),"無")</f>
        <v>734</v>
      </c>
      <c r="R1050" s="346">
        <f>IFERROR(VLOOKUP($G1050,融外自投!$A:$J,8,0),"無")</f>
        <v>1166</v>
      </c>
      <c r="S1050" s="81">
        <f>IFERROR(VLOOKUP($G1050,融外自投!$A:$J,10,0),"無")</f>
        <v>491</v>
      </c>
      <c r="T1050" s="327">
        <f>IFERROR(VLOOKUP($G1050,'321買'!$A:$E,5,0),"'沒有資料'")</f>
        <v>779</v>
      </c>
      <c r="U1050" s="186">
        <f>IFERROR(VLOOKUP($G1050,基本資料!$A:$J,9,0),"無")</f>
        <v>3.2</v>
      </c>
      <c r="V1050" s="310">
        <f t="shared" si="202"/>
        <v>5.378151260504202E-2</v>
      </c>
      <c r="W1050" s="94">
        <f>IFERROR(VLOOKUP($G1050,基本資料!$A:$J,10,0),"無")</f>
        <v>6.12</v>
      </c>
      <c r="X1050" s="36">
        <f>RTD("money.excel",,"2472","Price")</f>
        <v>59.5</v>
      </c>
      <c r="Y1050" s="66"/>
      <c r="Z1050" s="15">
        <f t="shared" si="203"/>
        <v>59.5</v>
      </c>
      <c r="AA1050" s="3" t="e">
        <f t="shared" si="204"/>
        <v>#DIV/0!</v>
      </c>
      <c r="AB1050" s="344">
        <f>IFERROR(VLOOKUP($G1050,基本資料!$A:$M,11,0),"無")</f>
        <v>-28.5</v>
      </c>
      <c r="AC1050" s="397">
        <f>IFERROR(VLOOKUP($G1050,基本資料!$A:$M,12,0),"無")</f>
        <v>16.829999999999998</v>
      </c>
      <c r="AD1050" s="22" t="s">
        <v>4512</v>
      </c>
      <c r="AG1050" s="33">
        <f t="shared" si="205"/>
        <v>0</v>
      </c>
      <c r="AH1050" s="119" t="s">
        <v>2330</v>
      </c>
      <c r="AI1050" s="63">
        <f t="shared" si="206"/>
        <v>3.1946144430844551E-3</v>
      </c>
      <c r="AJ1050" s="284">
        <f>RTD("money.excel",,$G1050,"PredictVolume")</f>
        <v>522</v>
      </c>
      <c r="AK1050" s="399">
        <f>IFERROR(VLOOKUP($G1050,基本資料!$A:$M,13,0),"無")</f>
        <v>9.58</v>
      </c>
    </row>
    <row r="1051" spans="1:37">
      <c r="A1051" s="347">
        <f>IFERROR(VLOOKUP($G1051,基本資料!$A:$J,3,0),"無")</f>
        <v>18.97</v>
      </c>
      <c r="B1051" s="79">
        <f>IFERROR(VLOOKUP($G1051,基本資料!$A:$J,4,0),"無")</f>
        <v>110</v>
      </c>
      <c r="C1051" s="79">
        <f>IFERROR(VLOOKUP($G1051,基本資料!$A:$J,5,0),"無")</f>
        <v>86</v>
      </c>
      <c r="D1051" s="79">
        <f>IFERROR(VLOOKUP($G1051,基本資料!$A:$J,6,0),"無")</f>
        <v>-8</v>
      </c>
      <c r="E1051" s="79">
        <f>IFERROR(VLOOKUP($G1051,基本資料!$A:$J,7,0),"無")</f>
        <v>-10</v>
      </c>
      <c r="F1051" s="6">
        <f>IFERROR(VLOOKUP($G1051,基本資料!$A:$J,8,0),"無")</f>
        <v>15.62</v>
      </c>
      <c r="G1051" s="79">
        <v>2476</v>
      </c>
      <c r="H1051" s="8" t="s">
        <v>308</v>
      </c>
      <c r="I1051" s="22" t="s">
        <v>4513</v>
      </c>
      <c r="J1051" s="8">
        <f>IFERROR(VLOOKUP($G1051,今日總結!$A:$AJ,35,0),"")</f>
        <v>0</v>
      </c>
      <c r="K1051" s="5">
        <f>IFERROR(VLOOKUP($G1051,今日總結!$A:$AJ,36,0),"")</f>
        <v>9</v>
      </c>
      <c r="L1051" s="156">
        <f>IFERROR(VLOOKUP($G1051,今日總結!$A:$AJ,33,0),"")</f>
        <v>0</v>
      </c>
      <c r="M1051" s="340">
        <f>IFERROR(VLOOKUP($G1051,今日總結!$A:$AJ,34,0),"")</f>
        <v>1</v>
      </c>
      <c r="N1051" s="240">
        <f t="shared" si="207"/>
        <v>-1</v>
      </c>
      <c r="P1051" s="365">
        <f>IFERROR(VLOOKUP($G1051,融外自投!$A:$J,7,0),"無")</f>
        <v>269</v>
      </c>
      <c r="Q1051" s="79">
        <f>IFERROR(VLOOKUP($G1051,融外自投!$A:$J,9,0),"無")</f>
        <v>852</v>
      </c>
      <c r="R1051" s="346">
        <f>IFERROR(VLOOKUP($G1051,融外自投!$A:$J,8,0),"無")</f>
        <v>839</v>
      </c>
      <c r="S1051" s="81" t="str">
        <f>IFERROR(VLOOKUP($G1051,融外自投!$A:$J,10,0),"無")</f>
        <v>無</v>
      </c>
      <c r="T1051" s="327">
        <f>IFERROR(VLOOKUP($G1051,'321買'!$A:$E,5,0),"'沒有資料'")</f>
        <v>153</v>
      </c>
      <c r="U1051" s="186">
        <f>IFERROR(VLOOKUP($G1051,基本資料!$A:$J,9,0),"無")</f>
        <v>2.1</v>
      </c>
      <c r="V1051" s="310">
        <f t="shared" si="202"/>
        <v>4.4776119402985079E-2</v>
      </c>
      <c r="W1051" s="94">
        <f>IFERROR(VLOOKUP($G1051,基本資料!$A:$J,10,0),"無")</f>
        <v>3.49</v>
      </c>
      <c r="X1051" s="36">
        <f>RTD("money.excel",,"2476","Price")</f>
        <v>46.9</v>
      </c>
      <c r="Y1051" s="66"/>
      <c r="Z1051" s="15">
        <f t="shared" si="203"/>
        <v>46.9</v>
      </c>
      <c r="AA1051" s="3" t="e">
        <f t="shared" si="204"/>
        <v>#DIV/0!</v>
      </c>
      <c r="AB1051" s="344">
        <f>IFERROR(VLOOKUP($G1051,基本資料!$A:$M,11,0),"無")</f>
        <v>-44.68</v>
      </c>
      <c r="AC1051" s="397">
        <f>IFERROR(VLOOKUP($G1051,基本資料!$A:$M,12,0),"無")</f>
        <v>12.63</v>
      </c>
      <c r="AD1051" s="22" t="s">
        <v>4513</v>
      </c>
      <c r="AG1051" s="33">
        <f t="shared" si="205"/>
        <v>0</v>
      </c>
      <c r="AH1051" s="43" t="s">
        <v>2584</v>
      </c>
      <c r="AI1051" s="63">
        <f t="shared" si="206"/>
        <v>3.4264628360569319E-3</v>
      </c>
      <c r="AJ1051" s="284">
        <f>RTD("money.excel",,$G1051,"PredictVolume")</f>
        <v>650</v>
      </c>
      <c r="AK1051" s="399">
        <f>IFERROR(VLOOKUP($G1051,基本資料!$A:$M,13,0),"無")</f>
        <v>32.07</v>
      </c>
    </row>
    <row r="1052" spans="1:37">
      <c r="A1052" s="347">
        <f>IFERROR(VLOOKUP($G1052,基本資料!$A:$J,3,0),"無")</f>
        <v>14.47</v>
      </c>
      <c r="B1052" s="79">
        <f>IFERROR(VLOOKUP($G1052,基本資料!$A:$J,4,0),"無")</f>
        <v>42</v>
      </c>
      <c r="C1052" s="79">
        <f>IFERROR(VLOOKUP($G1052,基本資料!$A:$J,5,0),"無")</f>
        <v>53</v>
      </c>
      <c r="D1052" s="79">
        <f>IFERROR(VLOOKUP($G1052,基本資料!$A:$J,6,0),"無")</f>
        <v>22</v>
      </c>
      <c r="E1052" s="79">
        <f>IFERROR(VLOOKUP($G1052,基本資料!$A:$J,7,0),"無")</f>
        <v>-13</v>
      </c>
      <c r="F1052" s="6">
        <f>IFERROR(VLOOKUP($G1052,基本資料!$A:$J,8,0),"無")</f>
        <v>18.66</v>
      </c>
      <c r="G1052" s="79">
        <v>2478</v>
      </c>
      <c r="H1052" s="8" t="s">
        <v>308</v>
      </c>
      <c r="I1052" s="22" t="s">
        <v>4514</v>
      </c>
      <c r="J1052" s="8" t="str">
        <f>IFERROR(VLOOKUP($G1052,今日總結!$A:$AJ,35,0),"")</f>
        <v/>
      </c>
      <c r="K1052" s="5" t="str">
        <f>IFERROR(VLOOKUP($G1052,今日總結!$A:$AJ,36,0),"")</f>
        <v/>
      </c>
      <c r="L1052" s="156" t="str">
        <f>IFERROR(VLOOKUP($G1052,今日總結!$A:$AJ,33,0),"")</f>
        <v/>
      </c>
      <c r="M1052" s="340" t="str">
        <f>IFERROR(VLOOKUP($G1052,今日總結!$A:$AJ,34,0),"")</f>
        <v/>
      </c>
      <c r="N1052" s="240" t="str">
        <f t="shared" si="207"/>
        <v/>
      </c>
      <c r="P1052" s="365">
        <f>IFERROR(VLOOKUP($G1052,融外自投!$A:$J,7,0),"無")</f>
        <v>450</v>
      </c>
      <c r="Q1052" s="79">
        <f>IFERROR(VLOOKUP($G1052,融外自投!$A:$J,9,0),"無")</f>
        <v>507</v>
      </c>
      <c r="R1052" s="346">
        <f>IFERROR(VLOOKUP($G1052,融外自投!$A:$J,8,0),"無")</f>
        <v>775</v>
      </c>
      <c r="S1052" s="81" t="str">
        <f>IFERROR(VLOOKUP($G1052,融外自投!$A:$J,10,0),"無")</f>
        <v>無</v>
      </c>
      <c r="T1052" s="327">
        <f>IFERROR(VLOOKUP($G1052,'321買'!$A:$E,5,0),"'沒有資料'")</f>
        <v>869</v>
      </c>
      <c r="U1052" s="186">
        <f>IFERROR(VLOOKUP($G1052,基本資料!$A:$J,9,0),"無")</f>
        <v>4</v>
      </c>
      <c r="V1052" s="310">
        <f t="shared" si="202"/>
        <v>7.3664825046040522E-2</v>
      </c>
      <c r="W1052" s="94">
        <f>IFERROR(VLOOKUP($G1052,基本資料!$A:$J,10,0),"無")</f>
        <v>6.6</v>
      </c>
      <c r="X1052" s="36">
        <f>RTD("money.excel",,"2478","Price")</f>
        <v>54.3</v>
      </c>
      <c r="Y1052" s="66"/>
      <c r="Z1052" s="15">
        <f t="shared" si="203"/>
        <v>54.3</v>
      </c>
      <c r="AA1052" s="3" t="e">
        <f t="shared" si="204"/>
        <v>#DIV/0!</v>
      </c>
      <c r="AB1052" s="344">
        <f>IFERROR(VLOOKUP($G1052,基本資料!$A:$M,11,0),"無")</f>
        <v>-33.25</v>
      </c>
      <c r="AC1052" s="397">
        <f>IFERROR(VLOOKUP($G1052,基本資料!$A:$M,12,0),"無")</f>
        <v>19</v>
      </c>
      <c r="AD1052" s="22" t="s">
        <v>4514</v>
      </c>
      <c r="AG1052" s="33">
        <f t="shared" si="205"/>
        <v>0</v>
      </c>
      <c r="AH1052" s="43" t="s">
        <v>4515</v>
      </c>
      <c r="AI1052" s="63">
        <f t="shared" si="206"/>
        <v>1.4720110573600554E-3</v>
      </c>
      <c r="AJ1052" s="284">
        <f>RTD("money.excel",,$G1052,"PredictVolume")</f>
        <v>213</v>
      </c>
      <c r="AK1052" s="399">
        <f>IFERROR(VLOOKUP($G1052,基本資料!$A:$M,13,0),"無")</f>
        <v>6.78</v>
      </c>
    </row>
    <row r="1053" spans="1:37">
      <c r="A1053" s="347">
        <f>IFERROR(VLOOKUP($G1053,基本資料!$A:$J,3,0),"無")</f>
        <v>10.9</v>
      </c>
      <c r="B1053" s="79">
        <f>IFERROR(VLOOKUP($G1053,基本資料!$A:$J,4,0),"無")</f>
        <v>83</v>
      </c>
      <c r="C1053" s="79">
        <f>IFERROR(VLOOKUP($G1053,基本資料!$A:$J,5,0),"無")</f>
        <v>-49</v>
      </c>
      <c r="D1053" s="79">
        <f>IFERROR(VLOOKUP($G1053,基本資料!$A:$J,6,0),"無")</f>
        <v>8</v>
      </c>
      <c r="E1053" s="79">
        <f>IFERROR(VLOOKUP($G1053,基本資料!$A:$J,7,0),"無")</f>
        <v>29</v>
      </c>
      <c r="F1053" s="6">
        <f>IFERROR(VLOOKUP($G1053,基本資料!$A:$J,8,0),"無")</f>
        <v>0.54</v>
      </c>
      <c r="G1053" s="79">
        <v>2483</v>
      </c>
      <c r="H1053" s="8" t="s">
        <v>308</v>
      </c>
      <c r="I1053" s="22" t="s">
        <v>4516</v>
      </c>
      <c r="J1053" s="8" t="str">
        <f>IFERROR(VLOOKUP($G1053,今日總結!$A:$AJ,35,0),"")</f>
        <v/>
      </c>
      <c r="K1053" s="5" t="str">
        <f>IFERROR(VLOOKUP($G1053,今日總結!$A:$AJ,36,0),"")</f>
        <v/>
      </c>
      <c r="L1053" s="156" t="str">
        <f>IFERROR(VLOOKUP($G1053,今日總結!$A:$AJ,33,0),"")</f>
        <v/>
      </c>
      <c r="M1053" s="340" t="str">
        <f>IFERROR(VLOOKUP($G1053,今日總結!$A:$AJ,34,0),"")</f>
        <v/>
      </c>
      <c r="N1053" s="240" t="str">
        <f t="shared" si="207"/>
        <v/>
      </c>
      <c r="P1053" s="365">
        <f>IFERROR(VLOOKUP($G1053,融外自投!$A:$J,7,0),"無")</f>
        <v>746</v>
      </c>
      <c r="Q1053" s="79">
        <f>IFERROR(VLOOKUP($G1053,融外自投!$A:$J,9,0),"無")</f>
        <v>1051</v>
      </c>
      <c r="R1053" s="346">
        <f>IFERROR(VLOOKUP($G1053,融外自投!$A:$J,8,0),"無")</f>
        <v>1284</v>
      </c>
      <c r="S1053" s="81" t="str">
        <f>IFERROR(VLOOKUP($G1053,融外自投!$A:$J,10,0),"無")</f>
        <v>無</v>
      </c>
      <c r="T1053" s="327">
        <f>IFERROR(VLOOKUP($G1053,'321買'!$A:$E,5,0),"'沒有資料'")</f>
        <v>1099</v>
      </c>
      <c r="U1053" s="186">
        <f>IFERROR(VLOOKUP($G1053,基本資料!$A:$J,9,0),"無")</f>
        <v>1</v>
      </c>
      <c r="V1053" s="310">
        <f t="shared" si="202"/>
        <v>4.3478260869565216E-2</v>
      </c>
      <c r="W1053" s="94">
        <f>IFERROR(VLOOKUP($G1053,基本資料!$A:$J,10,0),"無")</f>
        <v>1.4</v>
      </c>
      <c r="X1053" s="36">
        <f>RTD("money.excel",,"2483","Price")</f>
        <v>23</v>
      </c>
      <c r="Y1053" s="66"/>
      <c r="Z1053" s="15">
        <f t="shared" si="203"/>
        <v>23</v>
      </c>
      <c r="AA1053" s="3" t="e">
        <f t="shared" si="204"/>
        <v>#DIV/0!</v>
      </c>
      <c r="AB1053" s="344">
        <f>IFERROR(VLOOKUP($G1053,基本資料!$A:$M,11,0),"無")</f>
        <v>-26.39</v>
      </c>
      <c r="AC1053" s="397">
        <f>IFERROR(VLOOKUP($G1053,基本資料!$A:$M,12,0),"無")</f>
        <v>39.69</v>
      </c>
      <c r="AD1053" s="22" t="s">
        <v>4516</v>
      </c>
      <c r="AG1053" s="33">
        <f t="shared" si="205"/>
        <v>0</v>
      </c>
      <c r="AH1053" s="43" t="s">
        <v>4517</v>
      </c>
      <c r="AI1053" s="63">
        <f t="shared" si="206"/>
        <v>1.4036697247706421E-3</v>
      </c>
      <c r="AJ1053" s="284">
        <f>RTD("money.excel",,$G1053,"PredictVolume")</f>
        <v>153</v>
      </c>
      <c r="AK1053" s="399">
        <f>IFERROR(VLOOKUP($G1053,基本資料!$A:$M,13,0),"無")</f>
        <v>10.039999999999999</v>
      </c>
    </row>
    <row r="1054" spans="1:37">
      <c r="A1054" s="347">
        <f>IFERROR(VLOOKUP($G1054,基本資料!$A:$J,3,0),"無")</f>
        <v>15.94</v>
      </c>
      <c r="B1054" s="79">
        <f>IFERROR(VLOOKUP($G1054,基本資料!$A:$J,4,0),"無")</f>
        <v>150</v>
      </c>
      <c r="C1054" s="79">
        <f>IFERROR(VLOOKUP($G1054,基本資料!$A:$J,5,0),"無")</f>
        <v>155</v>
      </c>
      <c r="D1054" s="79">
        <f>IFERROR(VLOOKUP($G1054,基本資料!$A:$J,6,0),"無")</f>
        <v>5</v>
      </c>
      <c r="E1054" s="79">
        <f>IFERROR(VLOOKUP($G1054,基本資料!$A:$J,7,0),"無")</f>
        <v>16</v>
      </c>
      <c r="F1054" s="6">
        <f>IFERROR(VLOOKUP($G1054,基本資料!$A:$J,8,0),"無")</f>
        <v>15.95</v>
      </c>
      <c r="G1054" s="79">
        <v>2484</v>
      </c>
      <c r="H1054" s="8" t="s">
        <v>308</v>
      </c>
      <c r="I1054" s="22" t="s">
        <v>4518</v>
      </c>
      <c r="J1054" s="8">
        <f>IFERROR(VLOOKUP($G1054,今日總結!$A:$AJ,35,0),"")</f>
        <v>42</v>
      </c>
      <c r="K1054" s="5">
        <f>IFERROR(VLOOKUP($G1054,今日總結!$A:$AJ,36,0),"")</f>
        <v>3</v>
      </c>
      <c r="L1054" s="156">
        <f>IFERROR(VLOOKUP($G1054,今日總結!$A:$AJ,33,0),"")</f>
        <v>2</v>
      </c>
      <c r="M1054" s="340">
        <f>IFERROR(VLOOKUP($G1054,今日總結!$A:$AJ,34,0),"")</f>
        <v>1</v>
      </c>
      <c r="N1054" s="240">
        <f t="shared" si="207"/>
        <v>1</v>
      </c>
      <c r="P1054" s="365">
        <f>IFERROR(VLOOKUP($G1054,融外自投!$A:$J,7,0),"無")</f>
        <v>143</v>
      </c>
      <c r="Q1054" s="79">
        <f>IFERROR(VLOOKUP($G1054,融外自投!$A:$J,9,0),"無")</f>
        <v>978</v>
      </c>
      <c r="R1054" s="346">
        <f>IFERROR(VLOOKUP($G1054,融外自投!$A:$J,8,0),"無")</f>
        <v>796</v>
      </c>
      <c r="S1054" s="81" t="str">
        <f>IFERROR(VLOOKUP($G1054,融外自投!$A:$J,10,0),"無")</f>
        <v>無</v>
      </c>
      <c r="T1054" s="327">
        <f>IFERROR(VLOOKUP($G1054,'321買'!$A:$E,5,0),"'沒有資料'")</f>
        <v>357</v>
      </c>
      <c r="U1054" s="186">
        <f>IFERROR(VLOOKUP($G1054,基本資料!$A:$J,9,0),"無")</f>
        <v>1.5</v>
      </c>
      <c r="V1054" s="310">
        <f t="shared" si="202"/>
        <v>4.1608876560332873E-2</v>
      </c>
      <c r="W1054" s="94">
        <f>IFERROR(VLOOKUP($G1054,基本資料!$A:$J,10,0),"無")</f>
        <v>2.54</v>
      </c>
      <c r="X1054" s="36">
        <f>RTD("money.excel",,"2484","Price")</f>
        <v>36.049999999999997</v>
      </c>
      <c r="Y1054" s="66"/>
      <c r="Z1054" s="15">
        <f t="shared" si="203"/>
        <v>36.049999999999997</v>
      </c>
      <c r="AA1054" s="3" t="e">
        <f t="shared" si="204"/>
        <v>#DIV/0!</v>
      </c>
      <c r="AB1054" s="344">
        <f>IFERROR(VLOOKUP($G1054,基本資料!$A:$M,11,0),"無")</f>
        <v>-24.51</v>
      </c>
      <c r="AC1054" s="397">
        <f>IFERROR(VLOOKUP($G1054,基本資料!$A:$M,12,0),"無")</f>
        <v>77.27</v>
      </c>
      <c r="AD1054" s="22" t="s">
        <v>4518</v>
      </c>
      <c r="AG1054" s="33">
        <f t="shared" si="205"/>
        <v>0</v>
      </c>
      <c r="AH1054" s="43" t="s">
        <v>1728</v>
      </c>
      <c r="AI1054" s="63">
        <f t="shared" si="206"/>
        <v>0.10520702634880803</v>
      </c>
      <c r="AJ1054" s="284">
        <f>RTD("money.excel",,$G1054,"PredictVolume")</f>
        <v>16770</v>
      </c>
      <c r="AK1054" s="399">
        <f>IFERROR(VLOOKUP($G1054,基本資料!$A:$M,13,0),"無")</f>
        <v>27.08</v>
      </c>
    </row>
    <row r="1055" spans="1:37">
      <c r="A1055" s="347">
        <f>IFERROR(VLOOKUP($G1055,基本資料!$A:$J,3,0),"無")</f>
        <v>48.58</v>
      </c>
      <c r="B1055" s="79">
        <f>IFERROR(VLOOKUP($G1055,基本資料!$A:$J,4,0),"無")</f>
        <v>24</v>
      </c>
      <c r="C1055" s="79">
        <f>IFERROR(VLOOKUP($G1055,基本資料!$A:$J,5,0),"無")</f>
        <v>6</v>
      </c>
      <c r="D1055" s="79">
        <f>IFERROR(VLOOKUP($G1055,基本資料!$A:$J,6,0),"無")</f>
        <v>23</v>
      </c>
      <c r="E1055" s="79">
        <f>IFERROR(VLOOKUP($G1055,基本資料!$A:$J,7,0),"無")</f>
        <v>-6</v>
      </c>
      <c r="F1055" s="6">
        <f>IFERROR(VLOOKUP($G1055,基本資料!$A:$J,8,0),"無")</f>
        <v>19.95</v>
      </c>
      <c r="G1055" s="79">
        <v>2492</v>
      </c>
      <c r="H1055" s="195" t="s">
        <v>308</v>
      </c>
      <c r="I1055" s="22" t="s">
        <v>4519</v>
      </c>
      <c r="J1055" s="8" t="str">
        <f>IFERROR(VLOOKUP($G1055,今日總結!$A:$AJ,35,0),"")</f>
        <v/>
      </c>
      <c r="K1055" s="5" t="str">
        <f>IFERROR(VLOOKUP($G1055,今日總結!$A:$AJ,36,0),"")</f>
        <v/>
      </c>
      <c r="L1055" s="156" t="str">
        <f>IFERROR(VLOOKUP($G1055,今日總結!$A:$AJ,33,0),"")</f>
        <v/>
      </c>
      <c r="M1055" s="340" t="str">
        <f>IFERROR(VLOOKUP($G1055,今日總結!$A:$AJ,34,0),"")</f>
        <v/>
      </c>
      <c r="N1055" s="240" t="str">
        <f t="shared" si="207"/>
        <v/>
      </c>
      <c r="P1055" s="365">
        <f>IFERROR(VLOOKUP($G1055,融外自投!$A:$J,7,0),"無")</f>
        <v>570</v>
      </c>
      <c r="Q1055" s="79">
        <f>IFERROR(VLOOKUP($G1055,融外自投!$A:$J,9,0),"無")</f>
        <v>46</v>
      </c>
      <c r="R1055" s="346">
        <f>IFERROR(VLOOKUP($G1055,融外自投!$A:$J,8,0),"無")</f>
        <v>375</v>
      </c>
      <c r="S1055" s="81">
        <f>IFERROR(VLOOKUP($G1055,融外自投!$A:$J,10,0),"無")</f>
        <v>357</v>
      </c>
      <c r="T1055" s="327">
        <f>IFERROR(VLOOKUP($G1055,'321買'!$A:$E,5,0),"'沒有資料'")</f>
        <v>392</v>
      </c>
      <c r="U1055" s="186">
        <f>IFERROR(VLOOKUP($G1055,基本資料!$A:$J,9,0),"無")</f>
        <v>4.5</v>
      </c>
      <c r="V1055" s="310">
        <f t="shared" si="202"/>
        <v>4.2056074766355138E-2</v>
      </c>
      <c r="W1055" s="94">
        <f>IFERROR(VLOOKUP($G1055,基本資料!$A:$J,10,0),"無")</f>
        <v>16.350000000000001</v>
      </c>
      <c r="X1055" s="36">
        <f>RTD("money.excel",,"2492","Price")</f>
        <v>107</v>
      </c>
      <c r="Y1055" s="66"/>
      <c r="Z1055" s="15">
        <f t="shared" si="203"/>
        <v>107</v>
      </c>
      <c r="AA1055" s="3" t="e">
        <f t="shared" si="204"/>
        <v>#DIV/0!</v>
      </c>
      <c r="AB1055" s="344">
        <f>IFERROR(VLOOKUP($G1055,基本資料!$A:$M,11,0),"無")</f>
        <v>-52.31</v>
      </c>
      <c r="AC1055" s="397">
        <f>IFERROR(VLOOKUP($G1055,基本資料!$A:$M,12,0),"無")</f>
        <v>7.11</v>
      </c>
      <c r="AD1055" s="22" t="s">
        <v>4519</v>
      </c>
      <c r="AG1055" s="33">
        <f t="shared" si="205"/>
        <v>0</v>
      </c>
      <c r="AH1055" s="119" t="s">
        <v>4520</v>
      </c>
      <c r="AI1055" s="63">
        <f t="shared" si="206"/>
        <v>6.5294359818855495E-3</v>
      </c>
      <c r="AJ1055" s="284">
        <f>RTD("money.excel",,$G1055,"PredictVolume")</f>
        <v>3172</v>
      </c>
      <c r="AK1055" s="399">
        <f>IFERROR(VLOOKUP($G1055,基本資料!$A:$M,13,0),"無")</f>
        <v>6.81</v>
      </c>
    </row>
    <row r="1056" spans="1:37">
      <c r="A1056" s="347">
        <f>IFERROR(VLOOKUP($G1056,基本資料!$A:$J,3,0),"無")</f>
        <v>11.44</v>
      </c>
      <c r="B1056" s="79">
        <f>IFERROR(VLOOKUP($G1056,基本資料!$A:$J,4,0),"無")</f>
        <v>11</v>
      </c>
      <c r="C1056" s="79">
        <f>IFERROR(VLOOKUP($G1056,基本資料!$A:$J,5,0),"無")</f>
        <v>14</v>
      </c>
      <c r="D1056" s="79">
        <f>IFERROR(VLOOKUP($G1056,基本資料!$A:$J,6,0),"無")</f>
        <v>7</v>
      </c>
      <c r="E1056" s="79">
        <f>IFERROR(VLOOKUP($G1056,基本資料!$A:$J,7,0),"無")</f>
        <v>19</v>
      </c>
      <c r="F1056" s="6">
        <f>IFERROR(VLOOKUP($G1056,基本資料!$A:$J,8,0),"無")</f>
        <v>15.43</v>
      </c>
      <c r="G1056" s="79">
        <v>2493</v>
      </c>
      <c r="H1056" s="8" t="s">
        <v>308</v>
      </c>
      <c r="I1056" s="22" t="s">
        <v>4521</v>
      </c>
      <c r="J1056" s="8" t="str">
        <f>IFERROR(VLOOKUP($G1056,今日總結!$A:$AJ,35,0),"")</f>
        <v/>
      </c>
      <c r="K1056" s="5" t="str">
        <f>IFERROR(VLOOKUP($G1056,今日總結!$A:$AJ,36,0),"")</f>
        <v/>
      </c>
      <c r="L1056" s="156" t="str">
        <f>IFERROR(VLOOKUP($G1056,今日總結!$A:$AJ,33,0),"")</f>
        <v/>
      </c>
      <c r="M1056" s="340" t="str">
        <f>IFERROR(VLOOKUP($G1056,今日總結!$A:$AJ,34,0),"")</f>
        <v/>
      </c>
      <c r="N1056" s="240" t="str">
        <f t="shared" si="207"/>
        <v/>
      </c>
      <c r="P1056" s="365">
        <f>IFERROR(VLOOKUP($G1056,融外自投!$A:$J,7,0),"無")</f>
        <v>929</v>
      </c>
      <c r="Q1056" s="79">
        <f>IFERROR(VLOOKUP($G1056,融外自投!$A:$J,9,0),"無")</f>
        <v>492</v>
      </c>
      <c r="R1056" s="346">
        <f>IFERROR(VLOOKUP($G1056,融外自投!$A:$J,8,0),"無")</f>
        <v>719</v>
      </c>
      <c r="S1056" s="81" t="str">
        <f>IFERROR(VLOOKUP($G1056,融外自投!$A:$J,10,0),"無")</f>
        <v>無</v>
      </c>
      <c r="T1056" s="327">
        <f>IFERROR(VLOOKUP($G1056,'321買'!$A:$E,5,0),"'沒有資料'")</f>
        <v>939</v>
      </c>
      <c r="U1056" s="186">
        <f>IFERROR(VLOOKUP($G1056,基本資料!$A:$J,9,0),"無")</f>
        <v>2.75</v>
      </c>
      <c r="V1056" s="310">
        <f t="shared" si="202"/>
        <v>6.8322981366459631E-2</v>
      </c>
      <c r="W1056" s="94">
        <f>IFERROR(VLOOKUP($G1056,基本資料!$A:$J,10,0),"無")</f>
        <v>3</v>
      </c>
      <c r="X1056" s="36">
        <f>RTD("money.excel",,"2493","Price")</f>
        <v>40.25</v>
      </c>
      <c r="Y1056" s="66"/>
      <c r="Z1056" s="15">
        <f t="shared" si="203"/>
        <v>40.25</v>
      </c>
      <c r="AA1056" s="3" t="e">
        <f t="shared" si="204"/>
        <v>#DIV/0!</v>
      </c>
      <c r="AB1056" s="344">
        <f>IFERROR(VLOOKUP($G1056,基本資料!$A:$M,11,0),"無")</f>
        <v>-5.39</v>
      </c>
      <c r="AC1056" s="397">
        <f>IFERROR(VLOOKUP($G1056,基本資料!$A:$M,12,0),"無")</f>
        <v>51.05</v>
      </c>
      <c r="AD1056" s="22" t="s">
        <v>4521</v>
      </c>
      <c r="AG1056" s="33">
        <f t="shared" si="205"/>
        <v>0</v>
      </c>
      <c r="AH1056" s="43" t="s">
        <v>4522</v>
      </c>
      <c r="AI1056" s="63">
        <f t="shared" si="206"/>
        <v>1.1713286713286714E-3</v>
      </c>
      <c r="AJ1056" s="284">
        <f>RTD("money.excel",,$G1056,"PredictVolume")</f>
        <v>134</v>
      </c>
      <c r="AK1056" s="399">
        <f>IFERROR(VLOOKUP($G1056,基本資料!$A:$M,13,0),"無")</f>
        <v>4.6100000000000003</v>
      </c>
    </row>
    <row r="1057" spans="1:37">
      <c r="A1057" s="347">
        <f>IFERROR(VLOOKUP($G1057,基本資料!$A:$J,3,0),"無")</f>
        <v>15.56</v>
      </c>
      <c r="B1057" s="79">
        <f>IFERROR(VLOOKUP($G1057,基本資料!$A:$J,4,0),"無")</f>
        <v>113</v>
      </c>
      <c r="C1057" s="79">
        <f>IFERROR(VLOOKUP($G1057,基本資料!$A:$J,5,0),"無")</f>
        <v>88</v>
      </c>
      <c r="D1057" s="79">
        <f>IFERROR(VLOOKUP($G1057,基本資料!$A:$J,6,0),"無")</f>
        <v>-2</v>
      </c>
      <c r="E1057" s="79">
        <f>IFERROR(VLOOKUP($G1057,基本資料!$A:$J,7,0),"無")</f>
        <v>0</v>
      </c>
      <c r="F1057" s="6">
        <f>IFERROR(VLOOKUP($G1057,基本資料!$A:$J,8,0),"無")</f>
        <v>23.39</v>
      </c>
      <c r="G1057" s="79">
        <v>3003</v>
      </c>
      <c r="H1057" s="8" t="s">
        <v>308</v>
      </c>
      <c r="I1057" s="22" t="s">
        <v>4523</v>
      </c>
      <c r="J1057" s="8">
        <f>IFERROR(VLOOKUP($G1057,今日總結!$A:$AJ,35,0),"")</f>
        <v>9</v>
      </c>
      <c r="K1057" s="5">
        <f>IFERROR(VLOOKUP($G1057,今日總結!$A:$AJ,36,0),"")</f>
        <v>0</v>
      </c>
      <c r="L1057" s="156">
        <f>IFERROR(VLOOKUP($G1057,今日總結!$A:$AJ,33,0),"")</f>
        <v>1</v>
      </c>
      <c r="M1057" s="340">
        <f>IFERROR(VLOOKUP($G1057,今日總結!$A:$AJ,34,0),"")</f>
        <v>0</v>
      </c>
      <c r="N1057" s="240">
        <f t="shared" si="207"/>
        <v>1</v>
      </c>
      <c r="P1057" s="365">
        <f>IFERROR(VLOOKUP($G1057,融外自投!$A:$J,7,0),"無")</f>
        <v>333</v>
      </c>
      <c r="Q1057" s="79">
        <f>IFERROR(VLOOKUP($G1057,融外自投!$A:$J,9,0),"無")</f>
        <v>667</v>
      </c>
      <c r="R1057" s="346">
        <f>IFERROR(VLOOKUP($G1057,融外自投!$A:$J,8,0),"無")</f>
        <v>804</v>
      </c>
      <c r="S1057" s="81">
        <f>IFERROR(VLOOKUP($G1057,融外自投!$A:$J,10,0),"無")</f>
        <v>284</v>
      </c>
      <c r="T1057" s="327">
        <f>IFERROR(VLOOKUP($G1057,'321買'!$A:$E,5,0),"'沒有資料'")</f>
        <v>379</v>
      </c>
      <c r="U1057" s="186">
        <f>IFERROR(VLOOKUP($G1057,基本資料!$A:$J,9,0),"無")</f>
        <v>2</v>
      </c>
      <c r="V1057" s="310">
        <f t="shared" si="202"/>
        <v>2.8735632183908049E-2</v>
      </c>
      <c r="W1057" s="94">
        <f>IFERROR(VLOOKUP($G1057,基本資料!$A:$J,10,0),"無")</f>
        <v>4.9800000000000004</v>
      </c>
      <c r="X1057" s="36">
        <f>RTD("money.excel",,"3003","Price")</f>
        <v>69.599999999999994</v>
      </c>
      <c r="Y1057" s="66"/>
      <c r="Z1057" s="15">
        <f t="shared" si="203"/>
        <v>69.599999999999994</v>
      </c>
      <c r="AA1057" s="3" t="e">
        <f t="shared" si="204"/>
        <v>#DIV/0!</v>
      </c>
      <c r="AB1057" s="344">
        <f>IFERROR(VLOOKUP($G1057,基本資料!$A:$M,11,0),"無")</f>
        <v>-37.159999999999997</v>
      </c>
      <c r="AC1057" s="397">
        <f>IFERROR(VLOOKUP($G1057,基本資料!$A:$M,12,0),"無")</f>
        <v>11.37</v>
      </c>
      <c r="AD1057" s="22" t="s">
        <v>4523</v>
      </c>
      <c r="AG1057" s="33">
        <f t="shared" si="205"/>
        <v>0</v>
      </c>
      <c r="AH1057" s="43" t="s">
        <v>4524</v>
      </c>
      <c r="AI1057" s="63">
        <f t="shared" si="206"/>
        <v>2.8727506426735219E-3</v>
      </c>
      <c r="AJ1057" s="284">
        <f>RTD("money.excel",,$G1057,"PredictVolume")</f>
        <v>447</v>
      </c>
      <c r="AK1057" s="399">
        <f>IFERROR(VLOOKUP($G1057,基本資料!$A:$M,13,0),"無")</f>
        <v>17.38</v>
      </c>
    </row>
    <row r="1058" spans="1:37">
      <c r="A1058" s="347">
        <f>IFERROR(VLOOKUP($G1058,基本資料!$A:$J,3,0),"無")</f>
        <v>11.27</v>
      </c>
      <c r="B1058" s="79">
        <f>IFERROR(VLOOKUP($G1058,基本資料!$A:$J,4,0),"無")</f>
        <v>174</v>
      </c>
      <c r="C1058" s="79">
        <f>IFERROR(VLOOKUP($G1058,基本資料!$A:$J,5,0),"無")</f>
        <v>6</v>
      </c>
      <c r="D1058" s="79">
        <f>IFERROR(VLOOKUP($G1058,基本資料!$A:$J,6,0),"無")</f>
        <v>-6</v>
      </c>
      <c r="E1058" s="79">
        <f>IFERROR(VLOOKUP($G1058,基本資料!$A:$J,7,0),"無")</f>
        <v>-5</v>
      </c>
      <c r="F1058" s="6">
        <f>IFERROR(VLOOKUP($G1058,基本資料!$A:$J,8,0),"無")</f>
        <v>-5.65</v>
      </c>
      <c r="G1058" s="79">
        <v>3011</v>
      </c>
      <c r="H1058" s="8" t="s">
        <v>308</v>
      </c>
      <c r="I1058" s="22" t="s">
        <v>4525</v>
      </c>
      <c r="J1058" s="8" t="str">
        <f>IFERROR(VLOOKUP($G1058,今日總結!$A:$AJ,35,0),"")</f>
        <v/>
      </c>
      <c r="K1058" s="5" t="str">
        <f>IFERROR(VLOOKUP($G1058,今日總結!$A:$AJ,36,0),"")</f>
        <v/>
      </c>
      <c r="L1058" s="156" t="str">
        <f>IFERROR(VLOOKUP($G1058,今日總結!$A:$AJ,33,0),"")</f>
        <v/>
      </c>
      <c r="M1058" s="340" t="str">
        <f>IFERROR(VLOOKUP($G1058,今日總結!$A:$AJ,34,0),"")</f>
        <v/>
      </c>
      <c r="N1058" s="240" t="str">
        <f t="shared" si="207"/>
        <v/>
      </c>
      <c r="P1058" s="365" t="str">
        <f>IFERROR(VLOOKUP($G1058,融外自投!$A:$J,7,0),"無")</f>
        <v>無</v>
      </c>
      <c r="Q1058" s="79" t="str">
        <f>IFERROR(VLOOKUP($G1058,融外自投!$A:$J,9,0),"無")</f>
        <v>無</v>
      </c>
      <c r="R1058" s="346" t="str">
        <f>IFERROR(VLOOKUP($G1058,融外自投!$A:$J,8,0),"無")</f>
        <v>無</v>
      </c>
      <c r="S1058" s="81" t="str">
        <f>IFERROR(VLOOKUP($G1058,融外自投!$A:$J,10,0),"無")</f>
        <v>無</v>
      </c>
      <c r="T1058" s="327" t="str">
        <f>IFERROR(VLOOKUP($G1058,'321買'!$A:$E,5,0),"'沒有資料'")</f>
        <v>'沒有資料'</v>
      </c>
      <c r="U1058" s="186">
        <f>IFERROR(VLOOKUP($G1058,基本資料!$A:$J,9,0),"無")</f>
        <v>0</v>
      </c>
      <c r="V1058" s="310">
        <f t="shared" si="202"/>
        <v>0</v>
      </c>
      <c r="W1058" s="94">
        <f>IFERROR(VLOOKUP($G1058,基本資料!$A:$J,10,0),"無")</f>
        <v>0.59</v>
      </c>
      <c r="X1058" s="36">
        <f>RTD("money.excel",,"3011","Price")</f>
        <v>19.5</v>
      </c>
      <c r="Y1058" s="66"/>
      <c r="Z1058" s="15">
        <f t="shared" si="203"/>
        <v>19.5</v>
      </c>
      <c r="AA1058" s="3" t="e">
        <f t="shared" si="204"/>
        <v>#DIV/0!</v>
      </c>
      <c r="AB1058" s="344">
        <f>IFERROR(VLOOKUP($G1058,基本資料!$A:$M,11,0),"無")</f>
        <v>-27.57</v>
      </c>
      <c r="AC1058" s="397">
        <f>IFERROR(VLOOKUP($G1058,基本資料!$A:$M,12,0),"無")</f>
        <v>65.27</v>
      </c>
      <c r="AD1058" s="22" t="s">
        <v>4525</v>
      </c>
      <c r="AG1058" s="33">
        <f t="shared" si="205"/>
        <v>0</v>
      </c>
      <c r="AH1058" s="43" t="s">
        <v>4509</v>
      </c>
      <c r="AI1058" s="63">
        <f t="shared" si="206"/>
        <v>4.543921916592724E-2</v>
      </c>
      <c r="AJ1058" s="284">
        <f>RTD("money.excel",,$G1058,"PredictVolume")</f>
        <v>5121</v>
      </c>
      <c r="AK1058" s="399">
        <f>IFERROR(VLOOKUP($G1058,基本資料!$A:$M,13,0),"無")</f>
        <v>13.95</v>
      </c>
    </row>
    <row r="1059" spans="1:37">
      <c r="A1059" s="347">
        <f>IFERROR(VLOOKUP($G1059,基本資料!$A:$J,3,0),"無")</f>
        <v>18.72</v>
      </c>
      <c r="B1059" s="79">
        <f>IFERROR(VLOOKUP($G1059,基本資料!$A:$J,4,0),"無")</f>
        <v>15</v>
      </c>
      <c r="C1059" s="79">
        <f>IFERROR(VLOOKUP($G1059,基本資料!$A:$J,5,0),"無")</f>
        <v>45</v>
      </c>
      <c r="D1059" s="79">
        <f>IFERROR(VLOOKUP($G1059,基本資料!$A:$J,6,0),"無")</f>
        <v>4</v>
      </c>
      <c r="E1059" s="79">
        <f>IFERROR(VLOOKUP($G1059,基本資料!$A:$J,7,0),"無")</f>
        <v>-9</v>
      </c>
      <c r="F1059" s="6">
        <f>IFERROR(VLOOKUP($G1059,基本資料!$A:$J,8,0),"無")</f>
        <v>4.04</v>
      </c>
      <c r="G1059" s="79">
        <v>3015</v>
      </c>
      <c r="H1059" s="8" t="s">
        <v>308</v>
      </c>
      <c r="I1059" s="22" t="s">
        <v>388</v>
      </c>
      <c r="J1059" s="8" t="str">
        <f>IFERROR(VLOOKUP($G1059,今日總結!$A:$AJ,35,0),"")</f>
        <v/>
      </c>
      <c r="K1059" s="5" t="str">
        <f>IFERROR(VLOOKUP($G1059,今日總結!$A:$AJ,36,0),"")</f>
        <v/>
      </c>
      <c r="L1059" s="156" t="str">
        <f>IFERROR(VLOOKUP($G1059,今日總結!$A:$AJ,33,0),"")</f>
        <v/>
      </c>
      <c r="M1059" s="340" t="str">
        <f>IFERROR(VLOOKUP($G1059,今日總結!$A:$AJ,34,0),"")</f>
        <v/>
      </c>
      <c r="N1059" s="240" t="str">
        <f t="shared" si="207"/>
        <v/>
      </c>
      <c r="P1059" s="365">
        <f>IFERROR(VLOOKUP($G1059,融外自投!$A:$J,7,0),"無")</f>
        <v>833</v>
      </c>
      <c r="Q1059" s="79">
        <f>IFERROR(VLOOKUP($G1059,融外自投!$A:$J,9,0),"無")</f>
        <v>1051</v>
      </c>
      <c r="R1059" s="346">
        <f>IFERROR(VLOOKUP($G1059,融外自投!$A:$J,8,0),"無")</f>
        <v>450</v>
      </c>
      <c r="S1059" s="81" t="str">
        <f>IFERROR(VLOOKUP($G1059,融外自投!$A:$J,10,0),"無")</f>
        <v>無</v>
      </c>
      <c r="T1059" s="327">
        <f>IFERROR(VLOOKUP($G1059,'321買'!$A:$E,5,0),"'沒有資料'")</f>
        <v>827</v>
      </c>
      <c r="U1059" s="186">
        <f>IFERROR(VLOOKUP($G1059,基本資料!$A:$J,9,0),"無")</f>
        <v>3.3</v>
      </c>
      <c r="V1059" s="310">
        <f t="shared" si="202"/>
        <v>8.1481481481481474E-2</v>
      </c>
      <c r="W1059" s="94">
        <f>IFERROR(VLOOKUP($G1059,基本資料!$A:$J,10,0),"無")</f>
        <v>4.03</v>
      </c>
      <c r="X1059" s="36">
        <f>RTD("money.excel",,"3015","Price")</f>
        <v>40.5</v>
      </c>
      <c r="Y1059" s="66"/>
      <c r="Z1059" s="15">
        <f>X1059-Y1059</f>
        <v>40.5</v>
      </c>
      <c r="AA1059" s="3" t="e">
        <f>Z1059/Y1059</f>
        <v>#DIV/0!</v>
      </c>
      <c r="AB1059" s="344">
        <f>IFERROR(VLOOKUP($G1059,基本資料!$A:$M,11,0),"無")</f>
        <v>-17.39</v>
      </c>
      <c r="AC1059" s="397">
        <f>IFERROR(VLOOKUP($G1059,基本資料!$A:$M,12,0),"無")</f>
        <v>18.27</v>
      </c>
      <c r="AD1059" s="22" t="s">
        <v>388</v>
      </c>
      <c r="AG1059" s="33">
        <f>AF1059-AE1059</f>
        <v>0</v>
      </c>
      <c r="AH1059" s="43" t="s">
        <v>2373</v>
      </c>
      <c r="AI1059" s="63">
        <f t="shared" si="206"/>
        <v>4.6474358974358973E-4</v>
      </c>
      <c r="AJ1059" s="284">
        <f>RTD("money.excel",,$G1059,"PredictVolume")</f>
        <v>87</v>
      </c>
      <c r="AK1059" s="399">
        <f>IFERROR(VLOOKUP($G1059,基本資料!$A:$M,13,0),"無")</f>
        <v>3.67</v>
      </c>
    </row>
    <row r="1060" spans="1:37">
      <c r="A1060" s="347">
        <f>IFERROR(VLOOKUP($G1060,基本資料!$A:$J,3,0),"無")</f>
        <v>9.3000000000000007</v>
      </c>
      <c r="B1060" s="79">
        <f>IFERROR(VLOOKUP($G1060,基本資料!$A:$J,4,0),"無")</f>
        <v>36</v>
      </c>
      <c r="C1060" s="79">
        <f>IFERROR(VLOOKUP($G1060,基本資料!$A:$J,5,0),"無")</f>
        <v>38</v>
      </c>
      <c r="D1060" s="79">
        <f>IFERROR(VLOOKUP($G1060,基本資料!$A:$J,6,0),"無")</f>
        <v>25</v>
      </c>
      <c r="E1060" s="79">
        <f>IFERROR(VLOOKUP($G1060,基本資料!$A:$J,7,0),"無")</f>
        <v>28</v>
      </c>
      <c r="F1060" s="6">
        <f>IFERROR(VLOOKUP($G1060,基本資料!$A:$J,8,0),"無")</f>
        <v>7</v>
      </c>
      <c r="G1060" s="79">
        <v>3021</v>
      </c>
      <c r="H1060" s="8" t="s">
        <v>308</v>
      </c>
      <c r="I1060" s="22" t="s">
        <v>4526</v>
      </c>
      <c r="J1060" s="8" t="str">
        <f>IFERROR(VLOOKUP($G1060,今日總結!$A:$AJ,35,0),"")</f>
        <v>融</v>
      </c>
      <c r="K1060" s="5">
        <f>IFERROR(VLOOKUP($G1060,今日總結!$A:$AJ,36,0),"")</f>
        <v>0</v>
      </c>
      <c r="L1060" s="156">
        <f>IFERROR(VLOOKUP($G1060,今日總結!$A:$AJ,33,0),"")</f>
        <v>1</v>
      </c>
      <c r="M1060" s="340">
        <f>IFERROR(VLOOKUP($G1060,今日總結!$A:$AJ,34,0),"")</f>
        <v>0</v>
      </c>
      <c r="N1060" s="240">
        <f t="shared" si="207"/>
        <v>1</v>
      </c>
      <c r="P1060" s="365">
        <f>IFERROR(VLOOKUP($G1060,融外自投!$A:$J,7,0),"無")</f>
        <v>729</v>
      </c>
      <c r="Q1060" s="79">
        <f>IFERROR(VLOOKUP($G1060,融外自投!$A:$J,9,0),"無")</f>
        <v>978</v>
      </c>
      <c r="R1060" s="346">
        <f>IFERROR(VLOOKUP($G1060,融外自投!$A:$J,8,0),"無")</f>
        <v>934</v>
      </c>
      <c r="S1060" s="81" t="str">
        <f>IFERROR(VLOOKUP($G1060,融外自投!$A:$J,10,0),"無")</f>
        <v>無</v>
      </c>
      <c r="T1060" s="327">
        <f>IFERROR(VLOOKUP($G1060,'321買'!$A:$E,5,0),"'沒有資料'")</f>
        <v>869</v>
      </c>
      <c r="U1060" s="186">
        <f>IFERROR(VLOOKUP($G1060,基本資料!$A:$J,9,0),"無")</f>
        <v>0.6</v>
      </c>
      <c r="V1060" s="310">
        <f t="shared" si="202"/>
        <v>2.9197080291970802E-2</v>
      </c>
      <c r="W1060" s="94">
        <f>IFERROR(VLOOKUP($G1060,基本資料!$A:$J,10,0),"無")</f>
        <v>1.41</v>
      </c>
      <c r="X1060" s="36">
        <f>RTD("money.excel",,"3021","Price")</f>
        <v>20.55</v>
      </c>
      <c r="Y1060" s="66"/>
      <c r="Z1060" s="15">
        <f t="shared" si="203"/>
        <v>20.55</v>
      </c>
      <c r="AA1060" s="3" t="e">
        <f t="shared" si="204"/>
        <v>#DIV/0!</v>
      </c>
      <c r="AB1060" s="344">
        <f>IFERROR(VLOOKUP($G1060,基本資料!$A:$M,11,0),"無")</f>
        <v>-28.01</v>
      </c>
      <c r="AC1060" s="397">
        <f>IFERROR(VLOOKUP($G1060,基本資料!$A:$M,12,0),"無")</f>
        <v>15.5</v>
      </c>
      <c r="AD1060" s="22" t="s">
        <v>4526</v>
      </c>
      <c r="AG1060" s="33">
        <f t="shared" si="205"/>
        <v>0</v>
      </c>
      <c r="AH1060" s="43" t="s">
        <v>2416</v>
      </c>
      <c r="AI1060" s="63">
        <f t="shared" si="206"/>
        <v>6.8817204301075264E-4</v>
      </c>
      <c r="AJ1060" s="284">
        <f>RTD("money.excel",,$G1060,"PredictVolume")</f>
        <v>64</v>
      </c>
      <c r="AK1060" s="399">
        <f>IFERROR(VLOOKUP($G1060,基本資料!$A:$M,13,0),"無")</f>
        <v>17.66</v>
      </c>
    </row>
    <row r="1061" spans="1:37">
      <c r="A1061" s="347">
        <f>IFERROR(VLOOKUP($G1061,基本資料!$A:$J,3,0),"無")</f>
        <v>23.52</v>
      </c>
      <c r="B1061" s="79">
        <f>IFERROR(VLOOKUP($G1061,基本資料!$A:$J,4,0),"無")</f>
        <v>13</v>
      </c>
      <c r="C1061" s="79">
        <f>IFERROR(VLOOKUP($G1061,基本資料!$A:$J,5,0),"無")</f>
        <v>5</v>
      </c>
      <c r="D1061" s="79">
        <f>IFERROR(VLOOKUP($G1061,基本資料!$A:$J,6,0),"無")</f>
        <v>0</v>
      </c>
      <c r="E1061" s="79">
        <f>IFERROR(VLOOKUP($G1061,基本資料!$A:$J,7,0),"無")</f>
        <v>14</v>
      </c>
      <c r="F1061" s="6">
        <f>IFERROR(VLOOKUP($G1061,基本資料!$A:$J,8,0),"無")</f>
        <v>10.92</v>
      </c>
      <c r="G1061" s="79">
        <v>3023</v>
      </c>
      <c r="H1061" s="8" t="s">
        <v>308</v>
      </c>
      <c r="I1061" s="22" t="s">
        <v>4527</v>
      </c>
      <c r="J1061" s="8" t="str">
        <f>IFERROR(VLOOKUP($G1061,今日總結!$A:$AJ,35,0),"")</f>
        <v>融外借</v>
      </c>
      <c r="K1061" s="5">
        <f>IFERROR(VLOOKUP($G1061,今日總結!$A:$AJ,36,0),"")</f>
        <v>0</v>
      </c>
      <c r="L1061" s="156">
        <f>IFERROR(VLOOKUP($G1061,今日總結!$A:$AJ,33,0),"")</f>
        <v>3</v>
      </c>
      <c r="M1061" s="340">
        <f>IFERROR(VLOOKUP($G1061,今日總結!$A:$AJ,34,0),"")</f>
        <v>1</v>
      </c>
      <c r="N1061" s="240">
        <f t="shared" si="207"/>
        <v>2</v>
      </c>
      <c r="P1061" s="365">
        <f>IFERROR(VLOOKUP($G1061,融外自投!$A:$J,7,0),"無")</f>
        <v>1328</v>
      </c>
      <c r="Q1061" s="79" t="str">
        <f>IFERROR(VLOOKUP($G1061,融外自投!$A:$J,9,0),"無")</f>
        <v>無</v>
      </c>
      <c r="R1061" s="346">
        <f>IFERROR(VLOOKUP($G1061,融外自投!$A:$J,8,0),"無")</f>
        <v>48</v>
      </c>
      <c r="S1061" s="81">
        <f>IFERROR(VLOOKUP($G1061,融外自投!$A:$J,10,0),"無")</f>
        <v>191</v>
      </c>
      <c r="T1061" s="327">
        <f>IFERROR(VLOOKUP($G1061,'321買'!$A:$E,5,0),"'沒有資料'")</f>
        <v>195</v>
      </c>
      <c r="U1061" s="186">
        <f>IFERROR(VLOOKUP($G1061,基本資料!$A:$J,9,0),"無")</f>
        <v>7</v>
      </c>
      <c r="V1061" s="310">
        <f t="shared" si="202"/>
        <v>2.8225806451612902E-2</v>
      </c>
      <c r="W1061" s="94">
        <f>IFERROR(VLOOKUP($G1061,基本資料!$A:$J,10,0),"無")</f>
        <v>10</v>
      </c>
      <c r="X1061" s="36">
        <f>RTD("money.excel",,"3023","Price")</f>
        <v>248</v>
      </c>
      <c r="Y1061" s="66"/>
      <c r="Z1061" s="15">
        <f t="shared" si="203"/>
        <v>248</v>
      </c>
      <c r="AA1061" s="3" t="e">
        <f t="shared" si="204"/>
        <v>#DIV/0!</v>
      </c>
      <c r="AB1061" s="344">
        <f>IFERROR(VLOOKUP($G1061,基本資料!$A:$M,11,0),"無")</f>
        <v>-17.579999999999998</v>
      </c>
      <c r="AC1061" s="397">
        <f>IFERROR(VLOOKUP($G1061,基本資料!$A:$M,12,0),"無")</f>
        <v>42.75</v>
      </c>
      <c r="AD1061" s="22" t="s">
        <v>4527</v>
      </c>
      <c r="AG1061" s="33">
        <f t="shared" si="205"/>
        <v>0</v>
      </c>
      <c r="AH1061" s="117" t="s">
        <v>4528</v>
      </c>
      <c r="AI1061" s="63">
        <f t="shared" si="206"/>
        <v>2.3214285714285715E-3</v>
      </c>
      <c r="AJ1061" s="284">
        <f>RTD("money.excel",,$G1061,"PredictVolume")</f>
        <v>546</v>
      </c>
      <c r="AK1061" s="399">
        <f>IFERROR(VLOOKUP($G1061,基本資料!$A:$M,13,0),"無")</f>
        <v>1.38</v>
      </c>
    </row>
    <row r="1062" spans="1:37">
      <c r="A1062" s="347">
        <f>IFERROR(VLOOKUP($G1062,基本資料!$A:$J,3,0),"無")</f>
        <v>15.79</v>
      </c>
      <c r="B1062" s="79">
        <f>IFERROR(VLOOKUP($G1062,基本資料!$A:$J,4,0),"無")</f>
        <v>49</v>
      </c>
      <c r="C1062" s="79">
        <f>IFERROR(VLOOKUP($G1062,基本資料!$A:$J,5,0),"無")</f>
        <v>33</v>
      </c>
      <c r="D1062" s="79">
        <f>IFERROR(VLOOKUP($G1062,基本資料!$A:$J,6,0),"無")</f>
        <v>-14</v>
      </c>
      <c r="E1062" s="79">
        <f>IFERROR(VLOOKUP($G1062,基本資料!$A:$J,7,0),"無")</f>
        <v>-11</v>
      </c>
      <c r="F1062" s="6">
        <f>IFERROR(VLOOKUP($G1062,基本資料!$A:$J,8,0),"無")</f>
        <v>12.12</v>
      </c>
      <c r="G1062" s="79">
        <v>3026</v>
      </c>
      <c r="H1062" s="192" t="s">
        <v>308</v>
      </c>
      <c r="I1062" s="22" t="s">
        <v>4529</v>
      </c>
      <c r="J1062" s="8">
        <f>IFERROR(VLOOKUP($G1062,今日總結!$A:$AJ,35,0),"")</f>
        <v>0</v>
      </c>
      <c r="K1062" s="5" t="str">
        <f>IFERROR(VLOOKUP($G1062,今日總結!$A:$AJ,36,0),"")</f>
        <v>融</v>
      </c>
      <c r="L1062" s="156">
        <f>IFERROR(VLOOKUP($G1062,今日總結!$A:$AJ,33,0),"")</f>
        <v>0</v>
      </c>
      <c r="M1062" s="340">
        <f>IFERROR(VLOOKUP($G1062,今日總結!$A:$AJ,34,0),"")</f>
        <v>2</v>
      </c>
      <c r="N1062" s="240">
        <f t="shared" si="207"/>
        <v>-2</v>
      </c>
      <c r="P1062" s="365">
        <f>IFERROR(VLOOKUP($G1062,融外自投!$A:$J,7,0),"無")</f>
        <v>877</v>
      </c>
      <c r="Q1062" s="79">
        <f>IFERROR(VLOOKUP($G1062,融外自投!$A:$J,9,0),"無")</f>
        <v>102</v>
      </c>
      <c r="R1062" s="346">
        <f>IFERROR(VLOOKUP($G1062,融外自投!$A:$J,8,0),"無")</f>
        <v>454</v>
      </c>
      <c r="S1062" s="81" t="str">
        <f>IFERROR(VLOOKUP($G1062,融外自投!$A:$J,10,0),"無")</f>
        <v>無</v>
      </c>
      <c r="T1062" s="327">
        <f>IFERROR(VLOOKUP($G1062,'321買'!$A:$E,5,0),"'沒有資料'")</f>
        <v>802</v>
      </c>
      <c r="U1062" s="186">
        <f>IFERROR(VLOOKUP($G1062,基本資料!$A:$J,9,0),"無")</f>
        <v>9</v>
      </c>
      <c r="V1062" s="310">
        <f t="shared" si="202"/>
        <v>8.1447963800904979E-2</v>
      </c>
      <c r="W1062" s="94">
        <f>IFERROR(VLOOKUP($G1062,基本資料!$A:$J,10,0),"無")</f>
        <v>12.36</v>
      </c>
      <c r="X1062" s="36">
        <f>RTD("money.excel",,"3026","Price")</f>
        <v>110.5</v>
      </c>
      <c r="Y1062" s="66"/>
      <c r="Z1062" s="15">
        <f t="shared" si="203"/>
        <v>110.5</v>
      </c>
      <c r="AA1062" s="3" t="e">
        <f t="shared" si="204"/>
        <v>#DIV/0!</v>
      </c>
      <c r="AB1062" s="344">
        <f>IFERROR(VLOOKUP($G1062,基本資料!$A:$M,11,0),"無")</f>
        <v>-25.74</v>
      </c>
      <c r="AC1062" s="397">
        <f>IFERROR(VLOOKUP($G1062,基本資料!$A:$M,12,0),"無")</f>
        <v>26.77</v>
      </c>
      <c r="AD1062" s="22" t="s">
        <v>4529</v>
      </c>
      <c r="AG1062" s="33">
        <f t="shared" si="205"/>
        <v>0</v>
      </c>
      <c r="AH1062" s="117" t="s">
        <v>4530</v>
      </c>
      <c r="AI1062" s="63">
        <f t="shared" si="206"/>
        <v>2.9765674477517418E-3</v>
      </c>
      <c r="AJ1062" s="284">
        <f>RTD("money.excel",,$G1062,"PredictVolume")</f>
        <v>470</v>
      </c>
      <c r="AK1062" s="399">
        <f>IFERROR(VLOOKUP($G1062,基本資料!$A:$M,13,0),"無")</f>
        <v>10.199999999999999</v>
      </c>
    </row>
    <row r="1063" spans="1:37">
      <c r="A1063" s="347">
        <f>IFERROR(VLOOKUP($G1063,基本資料!$A:$J,3,0),"無")</f>
        <v>11.32</v>
      </c>
      <c r="B1063" s="79">
        <f>IFERROR(VLOOKUP($G1063,基本資料!$A:$J,4,0),"無")</f>
        <v>-31</v>
      </c>
      <c r="C1063" s="79">
        <f>IFERROR(VLOOKUP($G1063,基本資料!$A:$J,5,0),"無")</f>
        <v>-25</v>
      </c>
      <c r="D1063" s="79">
        <f>IFERROR(VLOOKUP($G1063,基本資料!$A:$J,6,0),"無")</f>
        <v>27</v>
      </c>
      <c r="E1063" s="79">
        <f>IFERROR(VLOOKUP($G1063,基本資料!$A:$J,7,0),"無")</f>
        <v>-36</v>
      </c>
      <c r="F1063" s="6">
        <f>IFERROR(VLOOKUP($G1063,基本資料!$A:$J,8,0),"無")</f>
        <v>5.42</v>
      </c>
      <c r="G1063" s="79">
        <v>3032</v>
      </c>
      <c r="H1063" s="8" t="s">
        <v>308</v>
      </c>
      <c r="I1063" s="22" t="s">
        <v>4531</v>
      </c>
      <c r="J1063" s="8" t="str">
        <f>IFERROR(VLOOKUP($G1063,今日總結!$A:$AJ,35,0),"")</f>
        <v/>
      </c>
      <c r="K1063" s="5" t="str">
        <f>IFERROR(VLOOKUP($G1063,今日總結!$A:$AJ,36,0),"")</f>
        <v/>
      </c>
      <c r="L1063" s="156" t="str">
        <f>IFERROR(VLOOKUP($G1063,今日總結!$A:$AJ,33,0),"")</f>
        <v/>
      </c>
      <c r="M1063" s="340" t="str">
        <f>IFERROR(VLOOKUP($G1063,今日總結!$A:$AJ,34,0),"")</f>
        <v/>
      </c>
      <c r="N1063" s="240" t="str">
        <f t="shared" si="207"/>
        <v/>
      </c>
      <c r="P1063" s="365">
        <f>IFERROR(VLOOKUP($G1063,融外自投!$A:$J,7,0),"無")</f>
        <v>815</v>
      </c>
      <c r="Q1063" s="79">
        <f>IFERROR(VLOOKUP($G1063,融外自投!$A:$J,9,0),"無")</f>
        <v>683</v>
      </c>
      <c r="R1063" s="346">
        <f>IFERROR(VLOOKUP($G1063,融外自投!$A:$J,8,0),"無")</f>
        <v>1134</v>
      </c>
      <c r="S1063" s="81" t="str">
        <f>IFERROR(VLOOKUP($G1063,融外自投!$A:$J,10,0),"無")</f>
        <v>無</v>
      </c>
      <c r="T1063" s="327">
        <f>IFERROR(VLOOKUP($G1063,'321買'!$A:$E,5,0),"'沒有資料'")</f>
        <v>779</v>
      </c>
      <c r="U1063" s="186">
        <f>IFERROR(VLOOKUP($G1063,基本資料!$A:$J,9,0),"無")</f>
        <v>2</v>
      </c>
      <c r="V1063" s="310">
        <f t="shared" si="202"/>
        <v>6.9930069930069921E-2</v>
      </c>
      <c r="W1063" s="94">
        <f>IFERROR(VLOOKUP($G1063,基本資料!$A:$J,10,0),"無")</f>
        <v>2.63</v>
      </c>
      <c r="X1063" s="36">
        <f>RTD("money.excel",,"3032","Price")</f>
        <v>28.6</v>
      </c>
      <c r="Y1063" s="66"/>
      <c r="Z1063" s="15">
        <f t="shared" si="203"/>
        <v>28.6</v>
      </c>
      <c r="AA1063" s="3" t="e">
        <f t="shared" si="204"/>
        <v>#DIV/0!</v>
      </c>
      <c r="AB1063" s="344">
        <f>IFERROR(VLOOKUP($G1063,基本資料!$A:$M,11,0),"無")</f>
        <v>-34.020000000000003</v>
      </c>
      <c r="AC1063" s="397">
        <f>IFERROR(VLOOKUP($G1063,基本資料!$A:$M,12,0),"無")</f>
        <v>12.39</v>
      </c>
      <c r="AD1063" s="22" t="s">
        <v>4531</v>
      </c>
      <c r="AG1063" s="33">
        <f t="shared" si="205"/>
        <v>0</v>
      </c>
      <c r="AH1063" s="43" t="s">
        <v>2373</v>
      </c>
      <c r="AI1063" s="63">
        <f t="shared" si="206"/>
        <v>4.0636042402826853E-4</v>
      </c>
      <c r="AJ1063" s="284">
        <f>RTD("money.excel",,$G1063,"PredictVolume")</f>
        <v>46</v>
      </c>
      <c r="AK1063" s="399">
        <f>IFERROR(VLOOKUP($G1063,基本資料!$A:$M,13,0),"無")</f>
        <v>1.72</v>
      </c>
    </row>
    <row r="1064" spans="1:37">
      <c r="A1064" s="347">
        <f>IFERROR(VLOOKUP($G1064,基本資料!$A:$J,3,0),"無")</f>
        <v>147</v>
      </c>
      <c r="B1064" s="79">
        <f>IFERROR(VLOOKUP($G1064,基本資料!$A:$J,4,0),"無")</f>
        <v>154</v>
      </c>
      <c r="C1064" s="79">
        <f>IFERROR(VLOOKUP($G1064,基本資料!$A:$J,5,0),"無")</f>
        <v>227</v>
      </c>
      <c r="D1064" s="79">
        <f>IFERROR(VLOOKUP($G1064,基本資料!$A:$J,6,0),"無")</f>
        <v>4</v>
      </c>
      <c r="E1064" s="79">
        <f>IFERROR(VLOOKUP($G1064,基本資料!$A:$J,7,0),"無")</f>
        <v>41</v>
      </c>
      <c r="F1064" s="6">
        <f>IFERROR(VLOOKUP($G1064,基本資料!$A:$J,8,0),"無")</f>
        <v>12.6</v>
      </c>
      <c r="G1064" s="79">
        <v>3037</v>
      </c>
      <c r="H1064" s="8" t="s">
        <v>308</v>
      </c>
      <c r="I1064" s="22" t="s">
        <v>2917</v>
      </c>
      <c r="J1064" s="8" t="str">
        <f>IFERROR(VLOOKUP($G1064,今日總結!$A:$AJ,35,0),"")</f>
        <v/>
      </c>
      <c r="K1064" s="5" t="str">
        <f>IFERROR(VLOOKUP($G1064,今日總結!$A:$AJ,36,0),"")</f>
        <v/>
      </c>
      <c r="L1064" s="156" t="str">
        <f>IFERROR(VLOOKUP($G1064,今日總結!$A:$AJ,33,0),"")</f>
        <v/>
      </c>
      <c r="M1064" s="340" t="str">
        <f>IFERROR(VLOOKUP($G1064,今日總結!$A:$AJ,34,0),"")</f>
        <v/>
      </c>
      <c r="N1064" s="240" t="str">
        <f t="shared" si="207"/>
        <v/>
      </c>
      <c r="P1064" s="365">
        <f>IFERROR(VLOOKUP($G1064,融外自投!$A:$J,7,0),"無")</f>
        <v>652</v>
      </c>
      <c r="Q1064" s="79">
        <f>IFERROR(VLOOKUP($G1064,融外自投!$A:$J,9,0),"無")</f>
        <v>180</v>
      </c>
      <c r="R1064" s="346">
        <f>IFERROR(VLOOKUP($G1064,融外自投!$A:$J,8,0),"無")</f>
        <v>117</v>
      </c>
      <c r="S1064" s="81">
        <f>IFERROR(VLOOKUP($G1064,融外自投!$A:$J,10,0),"無")</f>
        <v>24</v>
      </c>
      <c r="T1064" s="327">
        <f>IFERROR(VLOOKUP($G1064,'321買'!$A:$E,5,0),"'沒有資料'")</f>
        <v>83</v>
      </c>
      <c r="U1064" s="186">
        <f>IFERROR(VLOOKUP($G1064,基本資料!$A:$J,9,0),"無")</f>
        <v>3.4</v>
      </c>
      <c r="V1064" s="310">
        <f t="shared" si="202"/>
        <v>1.6037735849056604E-2</v>
      </c>
      <c r="W1064" s="94">
        <f>IFERROR(VLOOKUP($G1064,基本資料!$A:$J,10,0),"無")</f>
        <v>8.98</v>
      </c>
      <c r="X1064" s="36">
        <f>RTD("money.excel",,"3037","Price")</f>
        <v>212</v>
      </c>
      <c r="Y1064" s="66"/>
      <c r="Z1064" s="15">
        <f t="shared" si="203"/>
        <v>212</v>
      </c>
      <c r="AA1064" s="3" t="e">
        <f t="shared" si="204"/>
        <v>#DIV/0!</v>
      </c>
      <c r="AB1064" s="344">
        <f>IFERROR(VLOOKUP($G1064,基本資料!$A:$M,11,0),"無")</f>
        <v>-19.16</v>
      </c>
      <c r="AC1064" s="397">
        <f>IFERROR(VLOOKUP($G1064,基本資料!$A:$M,12,0),"無")</f>
        <v>31.15</v>
      </c>
      <c r="AD1064" s="22" t="s">
        <v>2917</v>
      </c>
      <c r="AG1064" s="33">
        <f t="shared" si="205"/>
        <v>0</v>
      </c>
      <c r="AH1064" s="117" t="s">
        <v>4532</v>
      </c>
      <c r="AI1064" s="63">
        <f t="shared" si="206"/>
        <v>1.1828571428571428E-2</v>
      </c>
      <c r="AJ1064" s="284">
        <f>RTD("money.excel",,$G1064,"PredictVolume")</f>
        <v>17388</v>
      </c>
      <c r="AK1064" s="399">
        <f>IFERROR(VLOOKUP($G1064,基本資料!$A:$M,13,0),"無")</f>
        <v>9.07</v>
      </c>
    </row>
    <row r="1065" spans="1:37">
      <c r="A1065" s="347">
        <f>IFERROR(VLOOKUP($G1065,基本資料!$A:$J,3,0),"無")</f>
        <v>30.97</v>
      </c>
      <c r="B1065" s="79">
        <f>IFERROR(VLOOKUP($G1065,基本資料!$A:$J,4,0),"無")</f>
        <v>118</v>
      </c>
      <c r="C1065" s="79">
        <f>IFERROR(VLOOKUP($G1065,基本資料!$A:$J,5,0),"無")</f>
        <v>114</v>
      </c>
      <c r="D1065" s="79">
        <f>IFERROR(VLOOKUP($G1065,基本資料!$A:$J,6,0),"無")</f>
        <v>1</v>
      </c>
      <c r="E1065" s="79">
        <f>IFERROR(VLOOKUP($G1065,基本資料!$A:$J,7,0),"無")</f>
        <v>-27</v>
      </c>
      <c r="F1065" s="6">
        <f>IFERROR(VLOOKUP($G1065,基本資料!$A:$J,8,0),"無")</f>
        <v>22.79</v>
      </c>
      <c r="G1065" s="79">
        <v>3042</v>
      </c>
      <c r="H1065" s="8" t="s">
        <v>308</v>
      </c>
      <c r="I1065" s="22" t="s">
        <v>4533</v>
      </c>
      <c r="J1065" s="8" t="str">
        <f>IFERROR(VLOOKUP($G1065,今日總結!$A:$AJ,35,0),"")</f>
        <v>券</v>
      </c>
      <c r="K1065" s="5">
        <f>IFERROR(VLOOKUP($G1065,今日總結!$A:$AJ,36,0),"")</f>
        <v>0</v>
      </c>
      <c r="L1065" s="156">
        <f>IFERROR(VLOOKUP($G1065,今日總結!$A:$AJ,33,0),"")</f>
        <v>1</v>
      </c>
      <c r="M1065" s="340">
        <f>IFERROR(VLOOKUP($G1065,今日總結!$A:$AJ,34,0),"")</f>
        <v>0</v>
      </c>
      <c r="N1065" s="240">
        <f t="shared" si="207"/>
        <v>1</v>
      </c>
      <c r="P1065" s="365">
        <f>IFERROR(VLOOKUP($G1065,融外自投!$A:$J,7,0),"無")</f>
        <v>254</v>
      </c>
      <c r="Q1065" s="79">
        <f>IFERROR(VLOOKUP($G1065,融外自投!$A:$J,9,0),"無")</f>
        <v>282</v>
      </c>
      <c r="R1065" s="346">
        <f>IFERROR(VLOOKUP($G1065,融外自投!$A:$J,8,0),"無")</f>
        <v>437</v>
      </c>
      <c r="S1065" s="81">
        <f>IFERROR(VLOOKUP($G1065,融外自投!$A:$J,10,0),"無")</f>
        <v>189</v>
      </c>
      <c r="T1065" s="327">
        <f>IFERROR(VLOOKUP($G1065,'321買'!$A:$E,5,0),"'沒有資料'")</f>
        <v>584</v>
      </c>
      <c r="U1065" s="186">
        <f>IFERROR(VLOOKUP($G1065,基本資料!$A:$J,9,0),"無")</f>
        <v>7.5</v>
      </c>
      <c r="V1065" s="310">
        <f t="shared" si="202"/>
        <v>8.3986562150055996E-2</v>
      </c>
      <c r="W1065" s="94">
        <f>IFERROR(VLOOKUP($G1065,基本資料!$A:$J,10,0),"無")</f>
        <v>10.06</v>
      </c>
      <c r="X1065" s="36">
        <f>RTD("money.excel",,"3042","Price")</f>
        <v>89.3</v>
      </c>
      <c r="Y1065" s="66"/>
      <c r="Z1065" s="15">
        <f t="shared" si="203"/>
        <v>89.3</v>
      </c>
      <c r="AA1065" s="3" t="e">
        <f t="shared" si="204"/>
        <v>#DIV/0!</v>
      </c>
      <c r="AB1065" s="344">
        <f>IFERROR(VLOOKUP($G1065,基本資料!$A:$M,11,0),"無")</f>
        <v>-37.72</v>
      </c>
      <c r="AC1065" s="397">
        <f>IFERROR(VLOOKUP($G1065,基本資料!$A:$M,12,0),"無")</f>
        <v>25.29</v>
      </c>
      <c r="AD1065" s="22" t="s">
        <v>4533</v>
      </c>
      <c r="AG1065" s="33">
        <f t="shared" si="205"/>
        <v>0</v>
      </c>
      <c r="AH1065" s="117" t="s">
        <v>1728</v>
      </c>
      <c r="AI1065" s="63">
        <f t="shared" si="206"/>
        <v>2.3086858249919276E-3</v>
      </c>
      <c r="AJ1065" s="284">
        <f>RTD("money.excel",,$G1065,"PredictVolume")</f>
        <v>715</v>
      </c>
      <c r="AK1065" s="399">
        <f>IFERROR(VLOOKUP($G1065,基本資料!$A:$M,13,0),"無")</f>
        <v>13.56</v>
      </c>
    </row>
    <row r="1066" spans="1:37">
      <c r="A1066" s="347">
        <f>IFERROR(VLOOKUP($G1066,基本資料!$A:$J,3,0),"無")</f>
        <v>52.56</v>
      </c>
      <c r="B1066" s="79">
        <f>IFERROR(VLOOKUP($G1066,基本資料!$A:$J,4,0),"無")</f>
        <v>-4</v>
      </c>
      <c r="C1066" s="79">
        <f>IFERROR(VLOOKUP($G1066,基本資料!$A:$J,5,0),"無")</f>
        <v>0</v>
      </c>
      <c r="D1066" s="79">
        <f>IFERROR(VLOOKUP($G1066,基本資料!$A:$J,6,0),"無")</f>
        <v>5</v>
      </c>
      <c r="E1066" s="79">
        <f>IFERROR(VLOOKUP($G1066,基本資料!$A:$J,7,0),"無")</f>
        <v>9</v>
      </c>
      <c r="F1066" s="6">
        <f>IFERROR(VLOOKUP($G1066,基本資料!$A:$J,8,0),"無")</f>
        <v>10.5</v>
      </c>
      <c r="G1066" s="79">
        <v>3044</v>
      </c>
      <c r="H1066" s="8" t="s">
        <v>308</v>
      </c>
      <c r="I1066" s="22" t="s">
        <v>4534</v>
      </c>
      <c r="J1066" s="8" t="str">
        <f>IFERROR(VLOOKUP($G1066,今日總結!$A:$AJ,35,0),"")</f>
        <v>自投</v>
      </c>
      <c r="K1066" s="5">
        <f>IFERROR(VLOOKUP($G1066,今日總結!$A:$AJ,36,0),"")</f>
        <v>0</v>
      </c>
      <c r="L1066" s="156">
        <f>IFERROR(VLOOKUP($G1066,今日總結!$A:$AJ,33,0),"")</f>
        <v>2</v>
      </c>
      <c r="M1066" s="340">
        <f>IFERROR(VLOOKUP($G1066,今日總結!$A:$AJ,34,0),"")</f>
        <v>0</v>
      </c>
      <c r="N1066" s="240">
        <f t="shared" si="207"/>
        <v>2</v>
      </c>
      <c r="P1066" s="365">
        <f>IFERROR(VLOOKUP($G1066,融外自投!$A:$J,7,0),"無")</f>
        <v>1314</v>
      </c>
      <c r="Q1066" s="79">
        <f>IFERROR(VLOOKUP($G1066,融外自投!$A:$J,9,0),"無")</f>
        <v>42</v>
      </c>
      <c r="R1066" s="346">
        <f>IFERROR(VLOOKUP($G1066,融外自投!$A:$J,8,0),"無")</f>
        <v>110</v>
      </c>
      <c r="S1066" s="81">
        <f>IFERROR(VLOOKUP($G1066,融外自投!$A:$J,10,0),"無")</f>
        <v>34</v>
      </c>
      <c r="T1066" s="327">
        <f>IFERROR(VLOOKUP($G1066,'321買'!$A:$E,5,0),"'沒有資料'")</f>
        <v>52</v>
      </c>
      <c r="U1066" s="186">
        <f>IFERROR(VLOOKUP($G1066,基本資料!$A:$J,9,0),"無")</f>
        <v>0</v>
      </c>
      <c r="V1066" s="310">
        <f t="shared" si="202"/>
        <v>0</v>
      </c>
      <c r="W1066" s="94">
        <f>IFERROR(VLOOKUP($G1066,基本資料!$A:$J,10,0),"無")</f>
        <v>11.15</v>
      </c>
      <c r="X1066" s="36">
        <f>RTD("money.excel",,"3044","Price")</f>
        <v>119</v>
      </c>
      <c r="Y1066" s="66"/>
      <c r="Z1066" s="15">
        <f t="shared" si="203"/>
        <v>119</v>
      </c>
      <c r="AA1066" s="3" t="e">
        <f t="shared" si="204"/>
        <v>#DIV/0!</v>
      </c>
      <c r="AB1066" s="344">
        <f>IFERROR(VLOOKUP($G1066,基本資料!$A:$M,11,0),"無")</f>
        <v>-12.23</v>
      </c>
      <c r="AC1066" s="397">
        <f>IFERROR(VLOOKUP($G1066,基本資料!$A:$M,12,0),"無")</f>
        <v>21.11</v>
      </c>
      <c r="AD1066" s="22" t="s">
        <v>4534</v>
      </c>
      <c r="AG1066" s="33">
        <f t="shared" si="205"/>
        <v>0</v>
      </c>
      <c r="AH1066" s="117" t="s">
        <v>1044</v>
      </c>
      <c r="AI1066" s="63">
        <f t="shared" si="206"/>
        <v>2.5285388127853879E-3</v>
      </c>
      <c r="AJ1066" s="284">
        <f>RTD("money.excel",,$G1066,"PredictVolume")</f>
        <v>1329</v>
      </c>
      <c r="AK1066" s="399">
        <f>IFERROR(VLOOKUP($G1066,基本資料!$A:$M,13,0),"無")</f>
        <v>1.74</v>
      </c>
    </row>
    <row r="1067" spans="1:37">
      <c r="A1067" s="347">
        <f>IFERROR(VLOOKUP($G1067,基本資料!$A:$J,3,0),"無")</f>
        <v>15.85</v>
      </c>
      <c r="B1067" s="79">
        <f>IFERROR(VLOOKUP($G1067,基本資料!$A:$J,4,0),"無")</f>
        <v>-165</v>
      </c>
      <c r="C1067" s="79">
        <f>IFERROR(VLOOKUP($G1067,基本資料!$A:$J,5,0),"無")</f>
        <v>-117</v>
      </c>
      <c r="D1067" s="79">
        <f>IFERROR(VLOOKUP($G1067,基本資料!$A:$J,6,0),"無")</f>
        <v>0</v>
      </c>
      <c r="E1067" s="79">
        <f>IFERROR(VLOOKUP($G1067,基本資料!$A:$J,7,0),"無")</f>
        <v>-13</v>
      </c>
      <c r="F1067" s="6">
        <f>IFERROR(VLOOKUP($G1067,基本資料!$A:$J,8,0),"無")</f>
        <v>-6.69</v>
      </c>
      <c r="G1067" s="79">
        <v>3058</v>
      </c>
      <c r="H1067" s="8" t="s">
        <v>308</v>
      </c>
      <c r="I1067" s="22" t="s">
        <v>4535</v>
      </c>
      <c r="J1067" s="8" t="str">
        <f>IFERROR(VLOOKUP($G1067,今日總結!$A:$AJ,35,0),"")</f>
        <v/>
      </c>
      <c r="K1067" s="5" t="str">
        <f>IFERROR(VLOOKUP($G1067,今日總結!$A:$AJ,36,0),"")</f>
        <v/>
      </c>
      <c r="L1067" s="156" t="str">
        <f>IFERROR(VLOOKUP($G1067,今日總結!$A:$AJ,33,0),"")</f>
        <v/>
      </c>
      <c r="M1067" s="340" t="str">
        <f>IFERROR(VLOOKUP($G1067,今日總結!$A:$AJ,34,0),"")</f>
        <v/>
      </c>
      <c r="N1067" s="240" t="str">
        <f t="shared" si="207"/>
        <v/>
      </c>
      <c r="P1067" s="365" t="str">
        <f>IFERROR(VLOOKUP($G1067,融外自投!$A:$J,7,0),"無")</f>
        <v>無</v>
      </c>
      <c r="Q1067" s="79" t="str">
        <f>IFERROR(VLOOKUP($G1067,融外自投!$A:$J,9,0),"無")</f>
        <v>無</v>
      </c>
      <c r="R1067" s="346" t="str">
        <f>IFERROR(VLOOKUP($G1067,融外自投!$A:$J,8,0),"無")</f>
        <v>無</v>
      </c>
      <c r="S1067" s="81" t="str">
        <f>IFERROR(VLOOKUP($G1067,融外自投!$A:$J,10,0),"無")</f>
        <v>無</v>
      </c>
      <c r="T1067" s="327" t="str">
        <f>IFERROR(VLOOKUP($G1067,'321買'!$A:$E,5,0),"'沒有資料'")</f>
        <v>'沒有資料'</v>
      </c>
      <c r="U1067" s="186">
        <f>IFERROR(VLOOKUP($G1067,基本資料!$A:$J,9,0),"無")</f>
        <v>0</v>
      </c>
      <c r="V1067" s="310">
        <f t="shared" si="202"/>
        <v>0</v>
      </c>
      <c r="W1067" s="94">
        <f>IFERROR(VLOOKUP($G1067,基本資料!$A:$J,10,0),"無")</f>
        <v>-2.06</v>
      </c>
      <c r="X1067" s="36">
        <f>RTD("money.excel",,"3058","Price")</f>
        <v>10.1</v>
      </c>
      <c r="Y1067" s="66"/>
      <c r="Z1067" s="15">
        <f t="shared" si="203"/>
        <v>10.1</v>
      </c>
      <c r="AA1067" s="3" t="e">
        <f t="shared" si="204"/>
        <v>#DIV/0!</v>
      </c>
      <c r="AB1067" s="344">
        <f>IFERROR(VLOOKUP($G1067,基本資料!$A:$M,11,0),"無")</f>
        <v>-48.64</v>
      </c>
      <c r="AC1067" s="397">
        <f>IFERROR(VLOOKUP($G1067,基本資料!$A:$M,12,0),"無")</f>
        <v>9.43</v>
      </c>
      <c r="AD1067" s="22" t="s">
        <v>4535</v>
      </c>
      <c r="AG1067" s="33">
        <f t="shared" si="205"/>
        <v>0</v>
      </c>
      <c r="AH1067" s="43" t="s">
        <v>4536</v>
      </c>
      <c r="AI1067" s="63">
        <f t="shared" si="206"/>
        <v>1.4700315457413249E-3</v>
      </c>
      <c r="AJ1067" s="284">
        <f>RTD("money.excel",,$G1067,"PredictVolume")</f>
        <v>233</v>
      </c>
      <c r="AK1067" s="399">
        <f>IFERROR(VLOOKUP($G1067,基本資料!$A:$M,13,0),"無")</f>
        <v>18.22</v>
      </c>
    </row>
    <row r="1068" spans="1:37">
      <c r="A1068" s="347">
        <f>IFERROR(VLOOKUP($G1068,基本資料!$A:$J,3,0),"無")</f>
        <v>22.73</v>
      </c>
      <c r="B1068" s="79">
        <f>IFERROR(VLOOKUP($G1068,基本資料!$A:$J,4,0),"無")</f>
        <v>-5</v>
      </c>
      <c r="C1068" s="79">
        <f>IFERROR(VLOOKUP($G1068,基本資料!$A:$J,5,0),"無")</f>
        <v>-2</v>
      </c>
      <c r="D1068" s="79">
        <f>IFERROR(VLOOKUP($G1068,基本資料!$A:$J,6,0),"無")</f>
        <v>16</v>
      </c>
      <c r="E1068" s="79">
        <f>IFERROR(VLOOKUP($G1068,基本資料!$A:$J,7,0),"無")</f>
        <v>-32</v>
      </c>
      <c r="F1068" s="6">
        <f>IFERROR(VLOOKUP($G1068,基本資料!$A:$J,8,0),"無")</f>
        <v>12.13</v>
      </c>
      <c r="G1068" s="79">
        <v>3078</v>
      </c>
      <c r="H1068" s="8" t="s">
        <v>308</v>
      </c>
      <c r="I1068" s="16" t="s">
        <v>4537</v>
      </c>
      <c r="J1068" s="8" t="str">
        <f>IFERROR(VLOOKUP($G1068,今日總結!$A:$AJ,35,0),"")</f>
        <v/>
      </c>
      <c r="K1068" s="5" t="str">
        <f>IFERROR(VLOOKUP($G1068,今日總結!$A:$AJ,36,0),"")</f>
        <v/>
      </c>
      <c r="L1068" s="156" t="str">
        <f>IFERROR(VLOOKUP($G1068,今日總結!$A:$AJ,33,0),"")</f>
        <v/>
      </c>
      <c r="M1068" s="340" t="str">
        <f>IFERROR(VLOOKUP($G1068,今日總結!$A:$AJ,34,0),"")</f>
        <v/>
      </c>
      <c r="N1068" s="240" t="str">
        <f t="shared" si="207"/>
        <v/>
      </c>
      <c r="P1068" s="365">
        <f>IFERROR(VLOOKUP($G1068,融外自投!$A:$J,7,0),"無")</f>
        <v>547</v>
      </c>
      <c r="Q1068" s="79">
        <f>IFERROR(VLOOKUP($G1068,融外自投!$A:$J,9,0),"無")</f>
        <v>233</v>
      </c>
      <c r="R1068" s="346">
        <f>IFERROR(VLOOKUP($G1068,融外自投!$A:$J,8,0),"無")</f>
        <v>1462</v>
      </c>
      <c r="S1068" s="81" t="str">
        <f>IFERROR(VLOOKUP($G1068,融外自投!$A:$J,10,0),"無")</f>
        <v>無</v>
      </c>
      <c r="T1068" s="327">
        <f>IFERROR(VLOOKUP($G1068,'321買'!$A:$E,5,0),"'沒有資料'")</f>
        <v>634</v>
      </c>
      <c r="U1068" s="186">
        <f>IFERROR(VLOOKUP($G1068,基本資料!$A:$J,9,0),"無")</f>
        <v>3.25</v>
      </c>
      <c r="V1068" s="310">
        <f t="shared" si="202"/>
        <v>9.420289855072464E-2</v>
      </c>
      <c r="W1068" s="94">
        <f>IFERROR(VLOOKUP($G1068,基本資料!$A:$J,10,0),"無")</f>
        <v>4.3</v>
      </c>
      <c r="X1068" s="36">
        <f>RTD("money.excel",,"3078","Price")</f>
        <v>34.5</v>
      </c>
      <c r="Y1068" s="66"/>
      <c r="Z1068" s="15">
        <f t="shared" si="203"/>
        <v>34.5</v>
      </c>
      <c r="AA1068" s="3" t="e">
        <f t="shared" si="204"/>
        <v>#DIV/0!</v>
      </c>
      <c r="AB1068" s="344">
        <f>IFERROR(VLOOKUP($G1068,基本資料!$A:$M,11,0),"無")</f>
        <v>-38.159999999999997</v>
      </c>
      <c r="AC1068" s="397">
        <f>IFERROR(VLOOKUP($G1068,基本資料!$A:$M,12,0),"無")</f>
        <v>26.87</v>
      </c>
      <c r="AD1068" s="16" t="s">
        <v>4537</v>
      </c>
      <c r="AG1068" s="33">
        <f t="shared" si="205"/>
        <v>0</v>
      </c>
      <c r="AH1068" s="117" t="s">
        <v>2373</v>
      </c>
      <c r="AI1068" s="63">
        <f t="shared" si="206"/>
        <v>1.0646722393312803E-3</v>
      </c>
      <c r="AJ1068" s="284">
        <f>RTD("money.excel",,$G1068,"PredictVolume")</f>
        <v>242</v>
      </c>
      <c r="AK1068" s="399">
        <f>IFERROR(VLOOKUP($G1068,基本資料!$A:$M,13,0),"無")</f>
        <v>24.22</v>
      </c>
    </row>
    <row r="1069" spans="1:37">
      <c r="A1069" s="347">
        <f>IFERROR(VLOOKUP($G1069,基本資料!$A:$J,3,0),"無")</f>
        <v>17.86</v>
      </c>
      <c r="B1069" s="79">
        <f>IFERROR(VLOOKUP($G1069,基本資料!$A:$J,4,0),"無")</f>
        <v>39</v>
      </c>
      <c r="C1069" s="79">
        <f>IFERROR(VLOOKUP($G1069,基本資料!$A:$J,5,0),"無")</f>
        <v>29</v>
      </c>
      <c r="D1069" s="79">
        <f>IFERROR(VLOOKUP($G1069,基本資料!$A:$J,6,0),"無")</f>
        <v>-3</v>
      </c>
      <c r="E1069" s="79">
        <f>IFERROR(VLOOKUP($G1069,基本資料!$A:$J,7,0),"無")</f>
        <v>4</v>
      </c>
      <c r="F1069" s="6">
        <f>IFERROR(VLOOKUP($G1069,基本資料!$A:$J,8,0),"無")</f>
        <v>10.56</v>
      </c>
      <c r="G1069" s="79">
        <v>3090</v>
      </c>
      <c r="H1069" s="8" t="s">
        <v>308</v>
      </c>
      <c r="I1069" s="22" t="s">
        <v>4538</v>
      </c>
      <c r="J1069" s="8" t="str">
        <f>IFERROR(VLOOKUP($G1069,今日總結!$A:$AJ,35,0),"")</f>
        <v>主</v>
      </c>
      <c r="K1069" s="5">
        <f>IFERROR(VLOOKUP($G1069,今日總結!$A:$AJ,36,0),"")</f>
        <v>0</v>
      </c>
      <c r="L1069" s="156">
        <f>IFERROR(VLOOKUP($G1069,今日總結!$A:$AJ,33,0),"")</f>
        <v>1</v>
      </c>
      <c r="M1069" s="340">
        <f>IFERROR(VLOOKUP($G1069,今日總結!$A:$AJ,34,0),"")</f>
        <v>0</v>
      </c>
      <c r="N1069" s="240">
        <f t="shared" si="207"/>
        <v>1</v>
      </c>
      <c r="P1069" s="365">
        <f>IFERROR(VLOOKUP($G1069,融外自投!$A:$J,7,0),"無")</f>
        <v>824</v>
      </c>
      <c r="Q1069" s="79">
        <f>IFERROR(VLOOKUP($G1069,融外自投!$A:$J,9,0),"無")</f>
        <v>635</v>
      </c>
      <c r="R1069" s="346">
        <f>IFERROR(VLOOKUP($G1069,融外自投!$A:$J,8,0),"無")</f>
        <v>546</v>
      </c>
      <c r="S1069" s="81" t="str">
        <f>IFERROR(VLOOKUP($G1069,融外自投!$A:$J,10,0),"無")</f>
        <v>無</v>
      </c>
      <c r="T1069" s="327">
        <f>IFERROR(VLOOKUP($G1069,'321買'!$A:$E,5,0),"'沒有資料'")</f>
        <v>729</v>
      </c>
      <c r="U1069" s="186">
        <f>IFERROR(VLOOKUP($G1069,基本資料!$A:$J,9,0),"無")</f>
        <v>4</v>
      </c>
      <c r="V1069" s="310">
        <f t="shared" si="202"/>
        <v>7.5046904315197005E-2</v>
      </c>
      <c r="W1069" s="94">
        <f>IFERROR(VLOOKUP($G1069,基本資料!$A:$J,10,0),"無")</f>
        <v>4.59</v>
      </c>
      <c r="X1069" s="36">
        <f>RTD("money.excel",,"3090","Price")</f>
        <v>53.3</v>
      </c>
      <c r="Y1069" s="66"/>
      <c r="Z1069" s="15">
        <f t="shared" si="203"/>
        <v>53.3</v>
      </c>
      <c r="AA1069" s="3" t="e">
        <f t="shared" si="204"/>
        <v>#DIV/0!</v>
      </c>
      <c r="AB1069" s="344">
        <f>IFERROR(VLOOKUP($G1069,基本資料!$A:$M,11,0),"無")</f>
        <v>-12.54</v>
      </c>
      <c r="AC1069" s="397">
        <f>IFERROR(VLOOKUP($G1069,基本資料!$A:$M,12,0),"無")</f>
        <v>45.3</v>
      </c>
      <c r="AD1069" s="22" t="s">
        <v>4538</v>
      </c>
      <c r="AG1069" s="33">
        <f t="shared" si="205"/>
        <v>0</v>
      </c>
      <c r="AH1069" s="43" t="s">
        <v>4539</v>
      </c>
      <c r="AI1069" s="63">
        <f t="shared" si="206"/>
        <v>8.0067189249720047E-4</v>
      </c>
      <c r="AJ1069" s="284">
        <f>RTD("money.excel",,$G1069,"PredictVolume")</f>
        <v>143</v>
      </c>
      <c r="AK1069" s="399">
        <f>IFERROR(VLOOKUP($G1069,基本資料!$A:$M,13,0),"無")</f>
        <v>6.11</v>
      </c>
    </row>
    <row r="1070" spans="1:37">
      <c r="A1070" s="347">
        <f>IFERROR(VLOOKUP($G1070,基本資料!$A:$J,3,0),"無")</f>
        <v>9.26</v>
      </c>
      <c r="B1070" s="79">
        <f>IFERROR(VLOOKUP($G1070,基本資料!$A:$J,4,0),"無")</f>
        <v>-82</v>
      </c>
      <c r="C1070" s="79">
        <f>IFERROR(VLOOKUP($G1070,基本資料!$A:$J,5,0),"無")</f>
        <v>-83</v>
      </c>
      <c r="D1070" s="79">
        <f>IFERROR(VLOOKUP($G1070,基本資料!$A:$J,6,0),"無")</f>
        <v>-11</v>
      </c>
      <c r="E1070" s="79">
        <f>IFERROR(VLOOKUP($G1070,基本資料!$A:$J,7,0),"無")</f>
        <v>51</v>
      </c>
      <c r="F1070" s="6">
        <f>IFERROR(VLOOKUP($G1070,基本資料!$A:$J,8,0),"無")</f>
        <v>0.89</v>
      </c>
      <c r="G1070" s="79">
        <v>3092</v>
      </c>
      <c r="H1070" s="8" t="s">
        <v>308</v>
      </c>
      <c r="I1070" s="22" t="s">
        <v>4540</v>
      </c>
      <c r="J1070" s="8" t="str">
        <f>IFERROR(VLOOKUP($G1070,今日總結!$A:$AJ,35,0),"")</f>
        <v/>
      </c>
      <c r="K1070" s="5" t="str">
        <f>IFERROR(VLOOKUP($G1070,今日總結!$A:$AJ,36,0),"")</f>
        <v/>
      </c>
      <c r="L1070" s="156" t="str">
        <f>IFERROR(VLOOKUP($G1070,今日總結!$A:$AJ,33,0),"")</f>
        <v/>
      </c>
      <c r="M1070" s="340" t="str">
        <f>IFERROR(VLOOKUP($G1070,今日總結!$A:$AJ,34,0),"")</f>
        <v/>
      </c>
      <c r="N1070" s="240" t="str">
        <f t="shared" si="207"/>
        <v/>
      </c>
      <c r="P1070" s="365">
        <f>IFERROR(VLOOKUP($G1070,融外自投!$A:$J,7,0),"無")</f>
        <v>58</v>
      </c>
      <c r="Q1070" s="79">
        <f>IFERROR(VLOOKUP($G1070,融外自投!$A:$J,9,0),"無")</f>
        <v>683</v>
      </c>
      <c r="R1070" s="346">
        <f>IFERROR(VLOOKUP($G1070,融外自投!$A:$J,8,0),"無")</f>
        <v>989</v>
      </c>
      <c r="S1070" s="81">
        <f>IFERROR(VLOOKUP($G1070,融外自投!$A:$J,10,0),"無")</f>
        <v>362</v>
      </c>
      <c r="T1070" s="327">
        <f>IFERROR(VLOOKUP($G1070,'321買'!$A:$E,5,0),"'沒有資料'")</f>
        <v>318</v>
      </c>
      <c r="U1070" s="186">
        <f>IFERROR(VLOOKUP($G1070,基本資料!$A:$J,9,0),"無")</f>
        <v>0</v>
      </c>
      <c r="V1070" s="310">
        <f t="shared" si="202"/>
        <v>0</v>
      </c>
      <c r="W1070" s="94">
        <f>IFERROR(VLOOKUP($G1070,基本資料!$A:$J,10,0),"無")</f>
        <v>0.25</v>
      </c>
      <c r="X1070" s="36">
        <f>RTD("money.excel",,"3092","Price")</f>
        <v>53.1</v>
      </c>
      <c r="Y1070" s="66"/>
      <c r="Z1070" s="15">
        <f t="shared" si="203"/>
        <v>53.1</v>
      </c>
      <c r="AA1070" s="3" t="e">
        <f t="shared" si="204"/>
        <v>#DIV/0!</v>
      </c>
      <c r="AB1070" s="344">
        <f>IFERROR(VLOOKUP($G1070,基本資料!$A:$M,11,0),"無")</f>
        <v>-24.74</v>
      </c>
      <c r="AC1070" s="397">
        <f>IFERROR(VLOOKUP($G1070,基本資料!$A:$M,12,0),"無")</f>
        <v>32.39</v>
      </c>
      <c r="AD1070" s="22" t="s">
        <v>4540</v>
      </c>
      <c r="AG1070" s="33">
        <f t="shared" si="205"/>
        <v>0</v>
      </c>
      <c r="AH1070" s="117" t="s">
        <v>2403</v>
      </c>
      <c r="AI1070" s="63">
        <f t="shared" si="206"/>
        <v>4.1792656587473005E-2</v>
      </c>
      <c r="AJ1070" s="284">
        <f>RTD("money.excel",,$G1070,"PredictVolume")</f>
        <v>3870</v>
      </c>
      <c r="AK1070" s="399">
        <f>IFERROR(VLOOKUP($G1070,基本資料!$A:$M,13,0),"無")</f>
        <v>14.59</v>
      </c>
    </row>
    <row r="1071" spans="1:37">
      <c r="A1071" s="347">
        <f>IFERROR(VLOOKUP($G1071,基本資料!$A:$J,3,0),"無")</f>
        <v>5.9</v>
      </c>
      <c r="B1071" s="79">
        <f>IFERROR(VLOOKUP($G1071,基本資料!$A:$J,4,0),"無")</f>
        <v>37</v>
      </c>
      <c r="C1071" s="79">
        <f>IFERROR(VLOOKUP($G1071,基本資料!$A:$J,5,0),"無")</f>
        <v>28</v>
      </c>
      <c r="D1071" s="79">
        <f>IFERROR(VLOOKUP($G1071,基本資料!$A:$J,6,0),"無")</f>
        <v>58</v>
      </c>
      <c r="E1071" s="79">
        <f>IFERROR(VLOOKUP($G1071,基本資料!$A:$J,7,0),"無")</f>
        <v>44</v>
      </c>
      <c r="F1071" s="6">
        <f>IFERROR(VLOOKUP($G1071,基本資料!$A:$J,8,0),"無")</f>
        <v>4.5599999999999996</v>
      </c>
      <c r="G1071" s="79">
        <v>3114</v>
      </c>
      <c r="H1071" s="8" t="s">
        <v>308</v>
      </c>
      <c r="I1071" s="16" t="s">
        <v>4541</v>
      </c>
      <c r="J1071" s="8" t="str">
        <f>IFERROR(VLOOKUP($G1071,今日總結!$A:$AJ,35,0),"")</f>
        <v/>
      </c>
      <c r="K1071" s="5" t="str">
        <f>IFERROR(VLOOKUP($G1071,今日總結!$A:$AJ,36,0),"")</f>
        <v/>
      </c>
      <c r="L1071" s="156" t="str">
        <f>IFERROR(VLOOKUP($G1071,今日總結!$A:$AJ,33,0),"")</f>
        <v/>
      </c>
      <c r="M1071" s="340" t="str">
        <f>IFERROR(VLOOKUP($G1071,今日總結!$A:$AJ,34,0),"")</f>
        <v/>
      </c>
      <c r="N1071" s="240" t="str">
        <f t="shared" si="207"/>
        <v/>
      </c>
      <c r="P1071" s="365">
        <f>IFERROR(VLOOKUP($G1071,融外自投!$A:$J,7,0),"無")</f>
        <v>602</v>
      </c>
      <c r="Q1071" s="79">
        <f>IFERROR(VLOOKUP($G1071,融外自投!$A:$J,9,0),"無")</f>
        <v>598</v>
      </c>
      <c r="R1071" s="346">
        <f>IFERROR(VLOOKUP($G1071,融外自投!$A:$J,8,0),"無")</f>
        <v>1253</v>
      </c>
      <c r="S1071" s="81" t="str">
        <f>IFERROR(VLOOKUP($G1071,融外自投!$A:$J,10,0),"無")</f>
        <v>無</v>
      </c>
      <c r="T1071" s="327">
        <f>IFERROR(VLOOKUP($G1071,'321買'!$A:$E,5,0),"'沒有資料'")</f>
        <v>802</v>
      </c>
      <c r="U1071" s="186">
        <f>IFERROR(VLOOKUP($G1071,基本資料!$A:$J,9,0),"無")</f>
        <v>1.5</v>
      </c>
      <c r="V1071" s="310">
        <f t="shared" si="202"/>
        <v>5.434782608695652E-2</v>
      </c>
      <c r="W1071" s="94">
        <f>IFERROR(VLOOKUP($G1071,基本資料!$A:$J,10,0),"無")</f>
        <v>2.42</v>
      </c>
      <c r="X1071" s="36">
        <f>RTD("money.excel",,"3114","Price")</f>
        <v>27.6</v>
      </c>
      <c r="Y1071" s="66"/>
      <c r="Z1071" s="15">
        <f t="shared" si="203"/>
        <v>27.6</v>
      </c>
      <c r="AA1071" s="3" t="e">
        <f t="shared" si="204"/>
        <v>#DIV/0!</v>
      </c>
      <c r="AB1071" s="344">
        <f>IFERROR(VLOOKUP($G1071,基本資料!$A:$M,11,0),"無")</f>
        <v>-39.770000000000003</v>
      </c>
      <c r="AC1071" s="397">
        <f>IFERROR(VLOOKUP($G1071,基本資料!$A:$M,12,0),"無")</f>
        <v>43.8</v>
      </c>
      <c r="AD1071" s="16" t="s">
        <v>4541</v>
      </c>
      <c r="AG1071" s="33">
        <f t="shared" si="205"/>
        <v>0</v>
      </c>
      <c r="AH1071" s="43" t="s">
        <v>4542</v>
      </c>
      <c r="AI1071" s="63">
        <f t="shared" si="206"/>
        <v>2.7677966101694915E-2</v>
      </c>
      <c r="AJ1071" s="284">
        <f>RTD("money.excel",,$G1071,"PredictVolume")</f>
        <v>1633</v>
      </c>
      <c r="AK1071" s="399">
        <f>IFERROR(VLOOKUP($G1071,基本資料!$A:$M,13,0),"無")</f>
        <v>32.57</v>
      </c>
    </row>
    <row r="1072" spans="1:37">
      <c r="A1072" s="347">
        <f>IFERROR(VLOOKUP($G1072,基本資料!$A:$J,3,0),"無")</f>
        <v>4.3600000000000003</v>
      </c>
      <c r="B1072" s="79">
        <f>IFERROR(VLOOKUP($G1072,基本資料!$A:$J,4,0),"無")</f>
        <v>67</v>
      </c>
      <c r="C1072" s="79">
        <f>IFERROR(VLOOKUP($G1072,基本資料!$A:$J,5,0),"無")</f>
        <v>33</v>
      </c>
      <c r="D1072" s="79">
        <f>IFERROR(VLOOKUP($G1072,基本資料!$A:$J,6,0),"無")</f>
        <v>-22</v>
      </c>
      <c r="E1072" s="79">
        <f>IFERROR(VLOOKUP($G1072,基本資料!$A:$J,7,0),"無")</f>
        <v>-48</v>
      </c>
      <c r="F1072" s="6">
        <f>IFERROR(VLOOKUP($G1072,基本資料!$A:$J,8,0),"無")</f>
        <v>-2.4900000000000002</v>
      </c>
      <c r="G1072" s="79">
        <v>3115</v>
      </c>
      <c r="H1072" s="8" t="s">
        <v>308</v>
      </c>
      <c r="I1072" s="16" t="s">
        <v>4543</v>
      </c>
      <c r="J1072" s="8" t="str">
        <f>IFERROR(VLOOKUP($G1072,今日總結!$A:$AJ,35,0),"")</f>
        <v/>
      </c>
      <c r="K1072" s="5" t="str">
        <f>IFERROR(VLOOKUP($G1072,今日總結!$A:$AJ,36,0),"")</f>
        <v/>
      </c>
      <c r="L1072" s="156" t="str">
        <f>IFERROR(VLOOKUP($G1072,今日總結!$A:$AJ,33,0),"")</f>
        <v/>
      </c>
      <c r="M1072" s="340" t="str">
        <f>IFERROR(VLOOKUP($G1072,今日總結!$A:$AJ,34,0),"")</f>
        <v/>
      </c>
      <c r="N1072" s="240" t="str">
        <f t="shared" si="207"/>
        <v/>
      </c>
      <c r="P1072" s="365" t="str">
        <f>IFERROR(VLOOKUP($G1072,融外自投!$A:$J,7,0),"無")</f>
        <v>無</v>
      </c>
      <c r="Q1072" s="79" t="str">
        <f>IFERROR(VLOOKUP($G1072,融外自投!$A:$J,9,0),"無")</f>
        <v>無</v>
      </c>
      <c r="R1072" s="346" t="str">
        <f>IFERROR(VLOOKUP($G1072,融外自投!$A:$J,8,0),"無")</f>
        <v>無</v>
      </c>
      <c r="S1072" s="81" t="str">
        <f>IFERROR(VLOOKUP($G1072,融外自投!$A:$J,10,0),"無")</f>
        <v>無</v>
      </c>
      <c r="T1072" s="327" t="str">
        <f>IFERROR(VLOOKUP($G1072,'321買'!$A:$E,5,0),"'沒有資料'")</f>
        <v>'沒有資料'</v>
      </c>
      <c r="U1072" s="186">
        <f>IFERROR(VLOOKUP($G1072,基本資料!$A:$J,9,0),"無")</f>
        <v>0</v>
      </c>
      <c r="V1072" s="310">
        <f t="shared" si="202"/>
        <v>0</v>
      </c>
      <c r="W1072" s="94">
        <f>IFERROR(VLOOKUP($G1072,基本資料!$A:$J,10,0),"無")</f>
        <v>-0.33</v>
      </c>
      <c r="X1072" s="36">
        <f>RTD("money.excel",,"3115","Price")</f>
        <v>11.75</v>
      </c>
      <c r="Y1072" s="66"/>
      <c r="Z1072" s="15">
        <f t="shared" si="203"/>
        <v>11.75</v>
      </c>
      <c r="AA1072" s="3" t="e">
        <f t="shared" si="204"/>
        <v>#DIV/0!</v>
      </c>
      <c r="AB1072" s="344">
        <f>IFERROR(VLOOKUP($G1072,基本資料!$A:$M,11,0),"無")</f>
        <v>-31.34</v>
      </c>
      <c r="AC1072" s="397">
        <f>IFERROR(VLOOKUP($G1072,基本資料!$A:$M,12,0),"無")</f>
        <v>14.9</v>
      </c>
      <c r="AD1072" s="16" t="s">
        <v>4543</v>
      </c>
      <c r="AG1072" s="33">
        <f t="shared" si="205"/>
        <v>0</v>
      </c>
      <c r="AH1072" s="43" t="s">
        <v>4544</v>
      </c>
      <c r="AI1072" s="63">
        <f t="shared" si="206"/>
        <v>9.1743119266055046E-5</v>
      </c>
      <c r="AJ1072" s="284">
        <f>RTD("money.excel",,$G1072,"PredictVolume")</f>
        <v>4</v>
      </c>
      <c r="AK1072" s="399">
        <f>IFERROR(VLOOKUP($G1072,基本資料!$A:$M,13,0),"無")</f>
        <v>5.59</v>
      </c>
    </row>
    <row r="1073" spans="1:37">
      <c r="A1073" s="347">
        <f>IFERROR(VLOOKUP($G1073,基本資料!$A:$J,3,0),"無")</f>
        <v>8.7100000000000009</v>
      </c>
      <c r="B1073" s="79">
        <f>IFERROR(VLOOKUP($G1073,基本資料!$A:$J,4,0),"無")</f>
        <v>81</v>
      </c>
      <c r="C1073" s="79">
        <f>IFERROR(VLOOKUP($G1073,基本資料!$A:$J,5,0),"無")</f>
        <v>79</v>
      </c>
      <c r="D1073" s="79">
        <f>IFERROR(VLOOKUP($G1073,基本資料!$A:$J,6,0),"無")</f>
        <v>92</v>
      </c>
      <c r="E1073" s="79">
        <f>IFERROR(VLOOKUP($G1073,基本資料!$A:$J,7,0),"無")</f>
        <v>-1</v>
      </c>
      <c r="F1073" s="6">
        <f>IFERROR(VLOOKUP($G1073,基本資料!$A:$J,8,0),"無")</f>
        <v>-6.13</v>
      </c>
      <c r="G1073" s="79">
        <v>3191</v>
      </c>
      <c r="H1073" s="8" t="s">
        <v>308</v>
      </c>
      <c r="I1073" s="16" t="s">
        <v>4545</v>
      </c>
      <c r="J1073" s="8" t="str">
        <f>IFERROR(VLOOKUP($G1073,今日總結!$A:$AJ,35,0),"")</f>
        <v/>
      </c>
      <c r="K1073" s="5" t="str">
        <f>IFERROR(VLOOKUP($G1073,今日總結!$A:$AJ,36,0),"")</f>
        <v/>
      </c>
      <c r="L1073" s="156" t="str">
        <f>IFERROR(VLOOKUP($G1073,今日總結!$A:$AJ,33,0),"")</f>
        <v/>
      </c>
      <c r="M1073" s="340" t="str">
        <f>IFERROR(VLOOKUP($G1073,今日總結!$A:$AJ,34,0),"")</f>
        <v/>
      </c>
      <c r="N1073" s="240" t="str">
        <f t="shared" si="207"/>
        <v/>
      </c>
      <c r="P1073" s="365" t="str">
        <f>IFERROR(VLOOKUP($G1073,融外自投!$A:$J,7,0),"無")</f>
        <v>無</v>
      </c>
      <c r="Q1073" s="79" t="str">
        <f>IFERROR(VLOOKUP($G1073,融外自投!$A:$J,9,0),"無")</f>
        <v>無</v>
      </c>
      <c r="R1073" s="346" t="str">
        <f>IFERROR(VLOOKUP($G1073,融外自投!$A:$J,8,0),"無")</f>
        <v>無</v>
      </c>
      <c r="S1073" s="81" t="str">
        <f>IFERROR(VLOOKUP($G1073,融外自投!$A:$J,10,0),"無")</f>
        <v>無</v>
      </c>
      <c r="T1073" s="327" t="str">
        <f>IFERROR(VLOOKUP($G1073,'321買'!$A:$E,5,0),"'沒有資料'")</f>
        <v>'沒有資料'</v>
      </c>
      <c r="U1073" s="186">
        <f>IFERROR(VLOOKUP($G1073,基本資料!$A:$J,9,0),"無")</f>
        <v>0</v>
      </c>
      <c r="V1073" s="310">
        <f t="shared" si="202"/>
        <v>0</v>
      </c>
      <c r="W1073" s="94">
        <f>IFERROR(VLOOKUP($G1073,基本資料!$A:$J,10,0),"無")</f>
        <v>-0.59</v>
      </c>
      <c r="X1073" s="36">
        <f>RTD("money.excel",,"3191","Price")</f>
        <v>9.6</v>
      </c>
      <c r="Y1073" s="66"/>
      <c r="Z1073" s="15">
        <f t="shared" si="203"/>
        <v>9.6</v>
      </c>
      <c r="AA1073" s="3" t="e">
        <f t="shared" si="204"/>
        <v>#DIV/0!</v>
      </c>
      <c r="AB1073" s="344">
        <f>IFERROR(VLOOKUP($G1073,基本資料!$A:$M,11,0),"無")</f>
        <v>-23.52</v>
      </c>
      <c r="AC1073" s="397">
        <f>IFERROR(VLOOKUP($G1073,基本資料!$A:$M,12,0),"無")</f>
        <v>28.67</v>
      </c>
      <c r="AD1073" s="16" t="s">
        <v>4545</v>
      </c>
      <c r="AG1073" s="33">
        <f t="shared" si="205"/>
        <v>0</v>
      </c>
      <c r="AH1073" s="43" t="s">
        <v>4546</v>
      </c>
      <c r="AI1073" s="63">
        <f t="shared" si="206"/>
        <v>4.1331802525832367E-4</v>
      </c>
      <c r="AJ1073" s="284">
        <f>RTD("money.excel",,$G1073,"PredictVolume")</f>
        <v>36</v>
      </c>
      <c r="AK1073" s="399">
        <f>IFERROR(VLOOKUP($G1073,基本資料!$A:$M,13,0),"無")</f>
        <v>1.86</v>
      </c>
    </row>
    <row r="1074" spans="1:37">
      <c r="A1074" s="347">
        <f>IFERROR(VLOOKUP($G1074,基本資料!$A:$J,3,0),"無")</f>
        <v>11.71</v>
      </c>
      <c r="B1074" s="79">
        <f>IFERROR(VLOOKUP($G1074,基本資料!$A:$J,4,0),"無")</f>
        <v>690</v>
      </c>
      <c r="C1074" s="79">
        <f>IFERROR(VLOOKUP($G1074,基本資料!$A:$J,5,0),"無")</f>
        <v>-52</v>
      </c>
      <c r="D1074" s="79">
        <f>IFERROR(VLOOKUP($G1074,基本資料!$A:$J,6,0),"無")</f>
        <v>74</v>
      </c>
      <c r="E1074" s="79">
        <f>IFERROR(VLOOKUP($G1074,基本資料!$A:$J,7,0),"無")</f>
        <v>17</v>
      </c>
      <c r="F1074" s="6">
        <f>IFERROR(VLOOKUP($G1074,基本資料!$A:$J,8,0),"無")</f>
        <v>1.21</v>
      </c>
      <c r="G1074" s="79">
        <v>3202</v>
      </c>
      <c r="H1074" s="8" t="s">
        <v>308</v>
      </c>
      <c r="I1074" s="16" t="s">
        <v>4547</v>
      </c>
      <c r="J1074" s="8" t="str">
        <f>IFERROR(VLOOKUP($G1074,今日總結!$A:$AJ,35,0),"")</f>
        <v/>
      </c>
      <c r="K1074" s="5" t="str">
        <f>IFERROR(VLOOKUP($G1074,今日總結!$A:$AJ,36,0),"")</f>
        <v/>
      </c>
      <c r="L1074" s="156" t="str">
        <f>IFERROR(VLOOKUP($G1074,今日總結!$A:$AJ,33,0),"")</f>
        <v/>
      </c>
      <c r="M1074" s="340" t="str">
        <f>IFERROR(VLOOKUP($G1074,今日總結!$A:$AJ,34,0),"")</f>
        <v/>
      </c>
      <c r="N1074" s="240" t="str">
        <f t="shared" si="207"/>
        <v/>
      </c>
      <c r="P1074" s="365" t="str">
        <f>IFERROR(VLOOKUP($G1074,融外自投!$A:$J,7,0),"無")</f>
        <v>無</v>
      </c>
      <c r="Q1074" s="79" t="str">
        <f>IFERROR(VLOOKUP($G1074,融外自投!$A:$J,9,0),"無")</f>
        <v>無</v>
      </c>
      <c r="R1074" s="346" t="str">
        <f>IFERROR(VLOOKUP($G1074,融外自投!$A:$J,8,0),"無")</f>
        <v>無</v>
      </c>
      <c r="S1074" s="81" t="str">
        <f>IFERROR(VLOOKUP($G1074,融外自投!$A:$J,10,0),"無")</f>
        <v>無</v>
      </c>
      <c r="T1074" s="327">
        <f>IFERROR(VLOOKUP($G1074,'321買'!$A:$E,5,0),"'沒有資料'")</f>
        <v>964</v>
      </c>
      <c r="U1074" s="186">
        <f>IFERROR(VLOOKUP($G1074,基本資料!$A:$J,9,0),"無")</f>
        <v>0</v>
      </c>
      <c r="V1074" s="310">
        <f t="shared" si="202"/>
        <v>0</v>
      </c>
      <c r="W1074" s="94">
        <f>IFERROR(VLOOKUP($G1074,基本資料!$A:$J,10,0),"無")</f>
        <v>0.31</v>
      </c>
      <c r="X1074" s="36">
        <f>RTD("money.excel",,"3202","Price")</f>
        <v>13.5</v>
      </c>
      <c r="Y1074" s="66"/>
      <c r="Z1074" s="15">
        <f t="shared" si="203"/>
        <v>13.5</v>
      </c>
      <c r="AA1074" s="3" t="e">
        <f t="shared" si="204"/>
        <v>#DIV/0!</v>
      </c>
      <c r="AB1074" s="344">
        <f>IFERROR(VLOOKUP($G1074,基本資料!$A:$M,11,0),"無")</f>
        <v>-35.75</v>
      </c>
      <c r="AC1074" s="397">
        <f>IFERROR(VLOOKUP($G1074,基本資料!$A:$M,12,0),"無")</f>
        <v>11.12</v>
      </c>
      <c r="AD1074" s="16" t="s">
        <v>4547</v>
      </c>
      <c r="AG1074" s="33">
        <f t="shared" si="205"/>
        <v>0</v>
      </c>
      <c r="AH1074" s="43" t="s">
        <v>4548</v>
      </c>
      <c r="AI1074" s="63">
        <f t="shared" si="206"/>
        <v>3.8343296327924847E-3</v>
      </c>
      <c r="AJ1074" s="284">
        <f>RTD("money.excel",,$G1074,"PredictVolume")</f>
        <v>449</v>
      </c>
      <c r="AK1074" s="399">
        <f>IFERROR(VLOOKUP($G1074,基本資料!$A:$M,13,0),"無")</f>
        <v>7.84</v>
      </c>
    </row>
    <row r="1075" spans="1:37">
      <c r="A1075" s="347">
        <f>IFERROR(VLOOKUP($G1075,基本資料!$A:$J,3,0),"無")</f>
        <v>5.89</v>
      </c>
      <c r="B1075" s="79">
        <f>IFERROR(VLOOKUP($G1075,基本資料!$A:$J,4,0),"無")</f>
        <v>-16</v>
      </c>
      <c r="C1075" s="79">
        <f>IFERROR(VLOOKUP($G1075,基本資料!$A:$J,5,0),"無")</f>
        <v>-31</v>
      </c>
      <c r="D1075" s="79">
        <f>IFERROR(VLOOKUP($G1075,基本資料!$A:$J,6,0),"無")</f>
        <v>1</v>
      </c>
      <c r="E1075" s="79">
        <f>IFERROR(VLOOKUP($G1075,基本資料!$A:$J,7,0),"無")</f>
        <v>-18</v>
      </c>
      <c r="F1075" s="6">
        <f>IFERROR(VLOOKUP($G1075,基本資料!$A:$J,8,0),"無")</f>
        <v>3.34</v>
      </c>
      <c r="G1075" s="79">
        <v>3206</v>
      </c>
      <c r="H1075" s="8" t="s">
        <v>308</v>
      </c>
      <c r="I1075" s="16" t="s">
        <v>4549</v>
      </c>
      <c r="J1075" s="8" t="str">
        <f>IFERROR(VLOOKUP($G1075,今日總結!$A:$AJ,35,0),"")</f>
        <v/>
      </c>
      <c r="K1075" s="5" t="str">
        <f>IFERROR(VLOOKUP($G1075,今日總結!$A:$AJ,36,0),"")</f>
        <v/>
      </c>
      <c r="L1075" s="156" t="str">
        <f>IFERROR(VLOOKUP($G1075,今日總結!$A:$AJ,33,0),"")</f>
        <v/>
      </c>
      <c r="M1075" s="340" t="str">
        <f>IFERROR(VLOOKUP($G1075,今日總結!$A:$AJ,34,0),"")</f>
        <v/>
      </c>
      <c r="N1075" s="240" t="str">
        <f t="shared" si="207"/>
        <v/>
      </c>
      <c r="P1075" s="365">
        <f>IFERROR(VLOOKUP($G1075,融外自投!$A:$J,7,0),"無")</f>
        <v>811</v>
      </c>
      <c r="Q1075" s="79" t="str">
        <f>IFERROR(VLOOKUP($G1075,融外自投!$A:$J,9,0),"無")</f>
        <v>無</v>
      </c>
      <c r="R1075" s="346">
        <f>IFERROR(VLOOKUP($G1075,融外自投!$A:$J,8,0),"無")</f>
        <v>1378</v>
      </c>
      <c r="S1075" s="81" t="str">
        <f>IFERROR(VLOOKUP($G1075,融外自投!$A:$J,10,0),"無")</f>
        <v>無</v>
      </c>
      <c r="T1075" s="327">
        <f>IFERROR(VLOOKUP($G1075,'321買'!$A:$E,5,0),"'沒有資料'")</f>
        <v>1198</v>
      </c>
      <c r="U1075" s="186">
        <f>IFERROR(VLOOKUP($G1075,基本資料!$A:$J,9,0),"無")</f>
        <v>1.8</v>
      </c>
      <c r="V1075" s="310">
        <f t="shared" si="202"/>
        <v>6.4981949458483762E-2</v>
      </c>
      <c r="W1075" s="94">
        <f>IFERROR(VLOOKUP($G1075,基本資料!$A:$J,10,0),"無")</f>
        <v>2.39</v>
      </c>
      <c r="X1075" s="36">
        <f>RTD("money.excel",,"3206","Price")</f>
        <v>27.7</v>
      </c>
      <c r="Y1075" s="66"/>
      <c r="Z1075" s="15">
        <f t="shared" si="203"/>
        <v>27.7</v>
      </c>
      <c r="AA1075" s="3" t="e">
        <f t="shared" si="204"/>
        <v>#DIV/0!</v>
      </c>
      <c r="AB1075" s="344">
        <f>IFERROR(VLOOKUP($G1075,基本資料!$A:$M,11,0),"無")</f>
        <v>-20.6</v>
      </c>
      <c r="AC1075" s="397">
        <f>IFERROR(VLOOKUP($G1075,基本資料!$A:$M,12,0),"無")</f>
        <v>20.63</v>
      </c>
      <c r="AD1075" s="16" t="s">
        <v>4549</v>
      </c>
      <c r="AG1075" s="33">
        <f t="shared" si="205"/>
        <v>0</v>
      </c>
      <c r="AH1075" s="117" t="s">
        <v>2375</v>
      </c>
      <c r="AI1075" s="63">
        <f t="shared" si="206"/>
        <v>1.5110356536502546E-3</v>
      </c>
      <c r="AJ1075" s="284">
        <f>RTD("money.excel",,$G1075,"PredictVolume")</f>
        <v>89</v>
      </c>
      <c r="AK1075" s="399">
        <f>IFERROR(VLOOKUP($G1075,基本資料!$A:$M,13,0),"無")</f>
        <v>1.27</v>
      </c>
    </row>
    <row r="1076" spans="1:37">
      <c r="A1076" s="347">
        <f>IFERROR(VLOOKUP($G1076,基本資料!$A:$J,3,0),"無")</f>
        <v>4.37</v>
      </c>
      <c r="B1076" s="79">
        <f>IFERROR(VLOOKUP($G1076,基本資料!$A:$J,4,0),"無")</f>
        <v>247</v>
      </c>
      <c r="C1076" s="79">
        <f>IFERROR(VLOOKUP($G1076,基本資料!$A:$J,5,0),"無")</f>
        <v>117</v>
      </c>
      <c r="D1076" s="79">
        <f>IFERROR(VLOOKUP($G1076,基本資料!$A:$J,6,0),"無")</f>
        <v>36</v>
      </c>
      <c r="E1076" s="79">
        <f>IFERROR(VLOOKUP($G1076,基本資料!$A:$J,7,0),"無")</f>
        <v>29</v>
      </c>
      <c r="F1076" s="6">
        <f>IFERROR(VLOOKUP($G1076,基本資料!$A:$J,8,0),"無")</f>
        <v>0.37</v>
      </c>
      <c r="G1076" s="79">
        <v>3207</v>
      </c>
      <c r="H1076" s="8" t="s">
        <v>308</v>
      </c>
      <c r="I1076" s="16" t="s">
        <v>4550</v>
      </c>
      <c r="J1076" s="8">
        <f>IFERROR(VLOOKUP($G1076,今日總結!$A:$AJ,35,0),"")</f>
        <v>0</v>
      </c>
      <c r="K1076" s="5">
        <f>IFERROR(VLOOKUP($G1076,今日總結!$A:$AJ,36,0),"")</f>
        <v>492</v>
      </c>
      <c r="L1076" s="156">
        <f>IFERROR(VLOOKUP($G1076,今日總結!$A:$AJ,33,0),"")</f>
        <v>0</v>
      </c>
      <c r="M1076" s="340">
        <f>IFERROR(VLOOKUP($G1076,今日總結!$A:$AJ,34,0),"")</f>
        <v>3</v>
      </c>
      <c r="N1076" s="240">
        <f t="shared" si="207"/>
        <v>-3</v>
      </c>
      <c r="P1076" s="365">
        <f>IFERROR(VLOOKUP($G1076,融外自投!$A:$J,7,0),"無")</f>
        <v>20</v>
      </c>
      <c r="Q1076" s="79" t="str">
        <f>IFERROR(VLOOKUP($G1076,融外自投!$A:$J,9,0),"無")</f>
        <v>無</v>
      </c>
      <c r="R1076" s="346">
        <f>IFERROR(VLOOKUP($G1076,融外自投!$A:$J,8,0),"無")</f>
        <v>556</v>
      </c>
      <c r="S1076" s="81" t="str">
        <f>IFERROR(VLOOKUP($G1076,融外自投!$A:$J,10,0),"無")</f>
        <v>無</v>
      </c>
      <c r="T1076" s="327">
        <f>IFERROR(VLOOKUP($G1076,'321買'!$A:$E,5,0),"'沒有資料'")</f>
        <v>318</v>
      </c>
      <c r="U1076" s="186">
        <f>IFERROR(VLOOKUP($G1076,基本資料!$A:$J,9,0),"無")</f>
        <v>0</v>
      </c>
      <c r="V1076" s="310">
        <f t="shared" si="202"/>
        <v>0</v>
      </c>
      <c r="W1076" s="94">
        <f>IFERROR(VLOOKUP($G1076,基本資料!$A:$J,10,0),"無")</f>
        <v>0.74</v>
      </c>
      <c r="X1076" s="36">
        <f>RTD("money.excel",,"3207","Price")</f>
        <v>26.9</v>
      </c>
      <c r="Y1076" s="66"/>
      <c r="Z1076" s="15">
        <f t="shared" si="203"/>
        <v>26.9</v>
      </c>
      <c r="AA1076" s="3" t="e">
        <f t="shared" si="204"/>
        <v>#DIV/0!</v>
      </c>
      <c r="AB1076" s="344">
        <f>IFERROR(VLOOKUP($G1076,基本資料!$A:$M,11,0),"無")</f>
        <v>-2.97</v>
      </c>
      <c r="AC1076" s="397">
        <f>IFERROR(VLOOKUP($G1076,基本資料!$A:$M,12,0),"無")</f>
        <v>84.13</v>
      </c>
      <c r="AD1076" s="16" t="s">
        <v>4550</v>
      </c>
      <c r="AG1076" s="33">
        <f t="shared" si="205"/>
        <v>0</v>
      </c>
      <c r="AH1076" s="43" t="s">
        <v>4551</v>
      </c>
      <c r="AI1076" s="63">
        <f t="shared" si="206"/>
        <v>4.469107551487414E-2</v>
      </c>
      <c r="AJ1076" s="284">
        <f>RTD("money.excel",,$G1076,"PredictVolume")</f>
        <v>1953</v>
      </c>
      <c r="AK1076" s="399">
        <f>IFERROR(VLOOKUP($G1076,基本資料!$A:$M,13,0),"無")</f>
        <v>89.68</v>
      </c>
    </row>
    <row r="1077" spans="1:37">
      <c r="A1077" s="347">
        <f>IFERROR(VLOOKUP($G1077,基本資料!$A:$J,3,0),"無")</f>
        <v>9.01</v>
      </c>
      <c r="B1077" s="79">
        <f>IFERROR(VLOOKUP($G1077,基本資料!$A:$J,4,0),"無")</f>
        <v>4</v>
      </c>
      <c r="C1077" s="79">
        <f>IFERROR(VLOOKUP($G1077,基本資料!$A:$J,5,0),"無")</f>
        <v>0</v>
      </c>
      <c r="D1077" s="79">
        <f>IFERROR(VLOOKUP($G1077,基本資料!$A:$J,6,0),"無")</f>
        <v>-37</v>
      </c>
      <c r="E1077" s="79">
        <f>IFERROR(VLOOKUP($G1077,基本資料!$A:$J,7,0),"無")</f>
        <v>-29</v>
      </c>
      <c r="F1077" s="6">
        <f>IFERROR(VLOOKUP($G1077,基本資料!$A:$J,8,0),"無")</f>
        <v>26.02</v>
      </c>
      <c r="G1077" s="79">
        <v>3217</v>
      </c>
      <c r="H1077" s="8" t="s">
        <v>308</v>
      </c>
      <c r="I1077" s="16" t="s">
        <v>402</v>
      </c>
      <c r="J1077" s="8" t="str">
        <f>IFERROR(VLOOKUP($G1077,今日總結!$A:$AJ,35,0),"")</f>
        <v/>
      </c>
      <c r="K1077" s="5" t="str">
        <f>IFERROR(VLOOKUP($G1077,今日總結!$A:$AJ,36,0),"")</f>
        <v/>
      </c>
      <c r="L1077" s="156" t="str">
        <f>IFERROR(VLOOKUP($G1077,今日總結!$A:$AJ,33,0),"")</f>
        <v/>
      </c>
      <c r="M1077" s="340" t="str">
        <f>IFERROR(VLOOKUP($G1077,今日總結!$A:$AJ,34,0),"")</f>
        <v/>
      </c>
      <c r="N1077" s="240" t="str">
        <f t="shared" si="207"/>
        <v/>
      </c>
      <c r="P1077" s="365">
        <f>IFERROR(VLOOKUP($G1077,融外自投!$A:$J,7,0),"無")</f>
        <v>429</v>
      </c>
      <c r="Q1077" s="79">
        <f>IFERROR(VLOOKUP($G1077,融外自投!$A:$J,9,0),"無")</f>
        <v>824</v>
      </c>
      <c r="R1077" s="346">
        <f>IFERROR(VLOOKUP($G1077,融外自投!$A:$J,8,0),"無")</f>
        <v>895</v>
      </c>
      <c r="S1077" s="81">
        <f>IFERROR(VLOOKUP($G1077,融外自投!$A:$J,10,0),"無")</f>
        <v>62</v>
      </c>
      <c r="T1077" s="327">
        <f>IFERROR(VLOOKUP($G1077,'321買'!$A:$E,5,0),"'沒有資料'")</f>
        <v>255</v>
      </c>
      <c r="U1077" s="186">
        <f>IFERROR(VLOOKUP($G1077,基本資料!$A:$J,9,0),"無")</f>
        <v>5.6</v>
      </c>
      <c r="V1077" s="310">
        <f t="shared" si="202"/>
        <v>6.2780269058295965E-2</v>
      </c>
      <c r="W1077" s="94">
        <f>IFERROR(VLOOKUP($G1077,基本資料!$A:$J,10,0),"無")</f>
        <v>7.11</v>
      </c>
      <c r="X1077" s="36">
        <f>RTD("money.excel",,"3217","Price")</f>
        <v>89.2</v>
      </c>
      <c r="Y1077" s="66"/>
      <c r="Z1077" s="15">
        <f t="shared" si="203"/>
        <v>89.2</v>
      </c>
      <c r="AA1077" s="3" t="e">
        <f t="shared" si="204"/>
        <v>#DIV/0!</v>
      </c>
      <c r="AB1077" s="344">
        <f>IFERROR(VLOOKUP($G1077,基本資料!$A:$M,11,0),"無")</f>
        <v>-38.869999999999997</v>
      </c>
      <c r="AC1077" s="397">
        <f>IFERROR(VLOOKUP($G1077,基本資料!$A:$M,12,0),"無")</f>
        <v>11.48</v>
      </c>
      <c r="AD1077" s="16" t="s">
        <v>402</v>
      </c>
      <c r="AG1077" s="33">
        <f t="shared" si="205"/>
        <v>0</v>
      </c>
      <c r="AH1077" s="43" t="s">
        <v>4553</v>
      </c>
      <c r="AI1077" s="63">
        <f t="shared" si="206"/>
        <v>1.0166481687014428E-2</v>
      </c>
      <c r="AJ1077" s="284">
        <f>RTD("money.excel",,$G1077,"PredictVolume")</f>
        <v>916</v>
      </c>
      <c r="AK1077" s="399">
        <f>IFERROR(VLOOKUP($G1077,基本資料!$A:$M,13,0),"無")</f>
        <v>28.12</v>
      </c>
    </row>
    <row r="1078" spans="1:37">
      <c r="A1078" s="347">
        <f>IFERROR(VLOOKUP($G1078,基本資料!$A:$J,3,0),"無")</f>
        <v>6.42</v>
      </c>
      <c r="B1078" s="79">
        <f>IFERROR(VLOOKUP($G1078,基本資料!$A:$J,4,0),"無")</f>
        <v>71</v>
      </c>
      <c r="C1078" s="79">
        <f>IFERROR(VLOOKUP($G1078,基本資料!$A:$J,5,0),"無")</f>
        <v>65</v>
      </c>
      <c r="D1078" s="79">
        <f>IFERROR(VLOOKUP($G1078,基本資料!$A:$J,6,0),"無")</f>
        <v>52</v>
      </c>
      <c r="E1078" s="79">
        <f>IFERROR(VLOOKUP($G1078,基本資料!$A:$J,7,0),"無")</f>
        <v>-9</v>
      </c>
      <c r="F1078" s="6">
        <f>IFERROR(VLOOKUP($G1078,基本資料!$A:$J,8,0),"無")</f>
        <v>-13.64</v>
      </c>
      <c r="G1078" s="79">
        <v>3229</v>
      </c>
      <c r="H1078" s="8" t="s">
        <v>308</v>
      </c>
      <c r="I1078" s="22" t="s">
        <v>4554</v>
      </c>
      <c r="J1078" s="8" t="str">
        <f>IFERROR(VLOOKUP($G1078,今日總結!$A:$AJ,35,0),"")</f>
        <v/>
      </c>
      <c r="K1078" s="5" t="str">
        <f>IFERROR(VLOOKUP($G1078,今日總結!$A:$AJ,36,0),"")</f>
        <v/>
      </c>
      <c r="L1078" s="156" t="str">
        <f>IFERROR(VLOOKUP($G1078,今日總結!$A:$AJ,33,0),"")</f>
        <v/>
      </c>
      <c r="M1078" s="340" t="str">
        <f>IFERROR(VLOOKUP($G1078,今日總結!$A:$AJ,34,0),"")</f>
        <v/>
      </c>
      <c r="N1078" s="240" t="str">
        <f t="shared" si="207"/>
        <v/>
      </c>
      <c r="P1078" s="365" t="str">
        <f>IFERROR(VLOOKUP($G1078,融外自投!$A:$J,7,0),"無")</f>
        <v>無</v>
      </c>
      <c r="Q1078" s="79" t="str">
        <f>IFERROR(VLOOKUP($G1078,融外自投!$A:$J,9,0),"無")</f>
        <v>無</v>
      </c>
      <c r="R1078" s="346" t="str">
        <f>IFERROR(VLOOKUP($G1078,融外自投!$A:$J,8,0),"無")</f>
        <v>無</v>
      </c>
      <c r="S1078" s="81" t="str">
        <f>IFERROR(VLOOKUP($G1078,融外自投!$A:$J,10,0),"無")</f>
        <v>無</v>
      </c>
      <c r="T1078" s="327" t="str">
        <f>IFERROR(VLOOKUP($G1078,'321買'!$A:$E,5,0),"'沒有資料'")</f>
        <v>'沒有資料'</v>
      </c>
      <c r="U1078" s="186">
        <f>IFERROR(VLOOKUP($G1078,基本資料!$A:$J,9,0),"無")</f>
        <v>0</v>
      </c>
      <c r="V1078" s="310">
        <f t="shared" si="202"/>
        <v>0</v>
      </c>
      <c r="W1078" s="94">
        <f>IFERROR(VLOOKUP($G1078,基本資料!$A:$J,10,0),"無")</f>
        <v>-1.72</v>
      </c>
      <c r="X1078" s="36">
        <f>RTD("money.excel",,"3229","Price")</f>
        <v>21.65</v>
      </c>
      <c r="Y1078" s="66"/>
      <c r="Z1078" s="15">
        <f t="shared" si="203"/>
        <v>21.65</v>
      </c>
      <c r="AA1078" s="3" t="e">
        <f t="shared" si="204"/>
        <v>#DIV/0!</v>
      </c>
      <c r="AB1078" s="344">
        <f>IFERROR(VLOOKUP($G1078,基本資料!$A:$M,11,0),"無")</f>
        <v>-13.48</v>
      </c>
      <c r="AC1078" s="397">
        <f>IFERROR(VLOOKUP($G1078,基本資料!$A:$M,12,0),"無")</f>
        <v>63.94</v>
      </c>
      <c r="AD1078" s="22" t="s">
        <v>4554</v>
      </c>
      <c r="AG1078" s="33">
        <f t="shared" si="205"/>
        <v>0</v>
      </c>
      <c r="AH1078" s="43" t="s">
        <v>1044</v>
      </c>
      <c r="AI1078" s="63">
        <f t="shared" si="206"/>
        <v>1.8691588785046728E-4</v>
      </c>
      <c r="AJ1078" s="284">
        <f>RTD("money.excel",,$G1078,"PredictVolume")</f>
        <v>12</v>
      </c>
      <c r="AK1078" s="399">
        <f>IFERROR(VLOOKUP($G1078,基本資料!$A:$M,13,0),"無")</f>
        <v>1.87</v>
      </c>
    </row>
    <row r="1079" spans="1:37">
      <c r="A1079" s="347">
        <f>IFERROR(VLOOKUP($G1079,基本資料!$A:$J,3,0),"無")</f>
        <v>9.2899999999999991</v>
      </c>
      <c r="B1079" s="79">
        <f>IFERROR(VLOOKUP($G1079,基本資料!$A:$J,4,0),"無")</f>
        <v>28</v>
      </c>
      <c r="C1079" s="79">
        <f>IFERROR(VLOOKUP($G1079,基本資料!$A:$J,5,0),"無")</f>
        <v>46</v>
      </c>
      <c r="D1079" s="79">
        <f>IFERROR(VLOOKUP($G1079,基本資料!$A:$J,6,0),"無")</f>
        <v>52</v>
      </c>
      <c r="E1079" s="79">
        <f>IFERROR(VLOOKUP($G1079,基本資料!$A:$J,7,0),"無")</f>
        <v>32</v>
      </c>
      <c r="F1079" s="6">
        <f>IFERROR(VLOOKUP($G1079,基本資料!$A:$J,8,0),"無")</f>
        <v>5.99</v>
      </c>
      <c r="G1079" s="79">
        <v>3236</v>
      </c>
      <c r="H1079" s="8" t="s">
        <v>308</v>
      </c>
      <c r="I1079" s="16" t="s">
        <v>4555</v>
      </c>
      <c r="J1079" s="8" t="str">
        <f>IFERROR(VLOOKUP($G1079,今日總結!$A:$AJ,35,0),"")</f>
        <v/>
      </c>
      <c r="K1079" s="5" t="str">
        <f>IFERROR(VLOOKUP($G1079,今日總結!$A:$AJ,36,0),"")</f>
        <v/>
      </c>
      <c r="L1079" s="156" t="str">
        <f>IFERROR(VLOOKUP($G1079,今日總結!$A:$AJ,33,0),"")</f>
        <v/>
      </c>
      <c r="M1079" s="340" t="str">
        <f>IFERROR(VLOOKUP($G1079,今日總結!$A:$AJ,34,0),"")</f>
        <v/>
      </c>
      <c r="N1079" s="240" t="str">
        <f t="shared" si="207"/>
        <v/>
      </c>
      <c r="P1079" s="365">
        <f>IFERROR(VLOOKUP($G1079,融外自投!$A:$J,7,0),"無")</f>
        <v>454</v>
      </c>
      <c r="Q1079" s="79" t="str">
        <f>IFERROR(VLOOKUP($G1079,融外自投!$A:$J,9,0),"無")</f>
        <v>無</v>
      </c>
      <c r="R1079" s="346">
        <f>IFERROR(VLOOKUP($G1079,融外自投!$A:$J,8,0),"無")</f>
        <v>484</v>
      </c>
      <c r="S1079" s="81" t="str">
        <f>IFERROR(VLOOKUP($G1079,融外自投!$A:$J,10,0),"無")</f>
        <v>無</v>
      </c>
      <c r="T1079" s="327">
        <f>IFERROR(VLOOKUP($G1079,'321買'!$A:$E,5,0),"'沒有資料'")</f>
        <v>1007</v>
      </c>
      <c r="U1079" s="186">
        <f>IFERROR(VLOOKUP($G1079,基本資料!$A:$J,9,0),"無")</f>
        <v>0.6</v>
      </c>
      <c r="V1079" s="310">
        <f t="shared" si="202"/>
        <v>2.7906976744186046E-2</v>
      </c>
      <c r="W1079" s="94">
        <f>IFERROR(VLOOKUP($G1079,基本資料!$A:$J,10,0),"無")</f>
        <v>1.02</v>
      </c>
      <c r="X1079" s="36">
        <f>RTD("money.excel",,"3236","Price")</f>
        <v>21.5</v>
      </c>
      <c r="Y1079" s="66"/>
      <c r="Z1079" s="15">
        <f t="shared" si="203"/>
        <v>21.5</v>
      </c>
      <c r="AA1079" s="3" t="e">
        <f t="shared" si="204"/>
        <v>#DIV/0!</v>
      </c>
      <c r="AB1079" s="344">
        <f>IFERROR(VLOOKUP($G1079,基本資料!$A:$M,11,0),"無")</f>
        <v>-33.39</v>
      </c>
      <c r="AC1079" s="397">
        <f>IFERROR(VLOOKUP($G1079,基本資料!$A:$M,12,0),"無")</f>
        <v>20.72</v>
      </c>
      <c r="AD1079" s="16" t="s">
        <v>4555</v>
      </c>
      <c r="AG1079" s="33">
        <f t="shared" si="205"/>
        <v>0</v>
      </c>
      <c r="AH1079" s="43" t="s">
        <v>2376</v>
      </c>
      <c r="AI1079" s="63">
        <f t="shared" si="206"/>
        <v>8.2884822389666323E-4</v>
      </c>
      <c r="AJ1079" s="284">
        <f>RTD("money.excel",,$G1079,"PredictVolume")</f>
        <v>77</v>
      </c>
      <c r="AK1079" s="399">
        <f>IFERROR(VLOOKUP($G1079,基本資料!$A:$M,13,0),"無")</f>
        <v>9.98</v>
      </c>
    </row>
    <row r="1080" spans="1:37">
      <c r="A1080" s="347">
        <f>IFERROR(VLOOKUP($G1080,基本資料!$A:$J,3,0),"無")</f>
        <v>6.97</v>
      </c>
      <c r="B1080" s="79">
        <f>IFERROR(VLOOKUP($G1080,基本資料!$A:$J,4,0),"無")</f>
        <v>419</v>
      </c>
      <c r="C1080" s="79">
        <f>IFERROR(VLOOKUP($G1080,基本資料!$A:$J,5,0),"無")</f>
        <v>111</v>
      </c>
      <c r="D1080" s="79">
        <f>IFERROR(VLOOKUP($G1080,基本資料!$A:$J,6,0),"無")</f>
        <v>21</v>
      </c>
      <c r="E1080" s="79">
        <f>IFERROR(VLOOKUP($G1080,基本資料!$A:$J,7,0),"無")</f>
        <v>48</v>
      </c>
      <c r="F1080" s="6">
        <f>IFERROR(VLOOKUP($G1080,基本資料!$A:$J,8,0),"無")</f>
        <v>0.82</v>
      </c>
      <c r="G1080" s="79">
        <v>3276</v>
      </c>
      <c r="H1080" s="8" t="s">
        <v>308</v>
      </c>
      <c r="I1080" s="16" t="s">
        <v>4556</v>
      </c>
      <c r="J1080" s="8" t="str">
        <f>IFERROR(VLOOKUP($G1080,今日總結!$A:$AJ,35,0),"")</f>
        <v/>
      </c>
      <c r="K1080" s="5" t="str">
        <f>IFERROR(VLOOKUP($G1080,今日總結!$A:$AJ,36,0),"")</f>
        <v/>
      </c>
      <c r="L1080" s="156" t="str">
        <f>IFERROR(VLOOKUP($G1080,今日總結!$A:$AJ,33,0),"")</f>
        <v/>
      </c>
      <c r="M1080" s="340" t="str">
        <f>IFERROR(VLOOKUP($G1080,今日總結!$A:$AJ,34,0),"")</f>
        <v/>
      </c>
      <c r="N1080" s="240" t="str">
        <f t="shared" si="207"/>
        <v/>
      </c>
      <c r="P1080" s="365">
        <f>IFERROR(VLOOKUP($G1080,融外自投!$A:$J,7,0),"無")</f>
        <v>228</v>
      </c>
      <c r="Q1080" s="79">
        <f>IFERROR(VLOOKUP($G1080,融外自投!$A:$J,9,0),"無")</f>
        <v>1051</v>
      </c>
      <c r="R1080" s="346">
        <f>IFERROR(VLOOKUP($G1080,融外自投!$A:$J,8,0),"無")</f>
        <v>1331</v>
      </c>
      <c r="S1080" s="81" t="str">
        <f>IFERROR(VLOOKUP($G1080,融外自投!$A:$J,10,0),"無")</f>
        <v>無</v>
      </c>
      <c r="T1080" s="327">
        <f>IFERROR(VLOOKUP($G1080,'321買'!$A:$E,5,0),"'沒有資料'")</f>
        <v>1038</v>
      </c>
      <c r="U1080" s="186">
        <f>IFERROR(VLOOKUP($G1080,基本資料!$A:$J,9,0),"無")</f>
        <v>0.4</v>
      </c>
      <c r="V1080" s="310">
        <f t="shared" si="202"/>
        <v>2.3598820058997053E-2</v>
      </c>
      <c r="W1080" s="94">
        <f>IFERROR(VLOOKUP($G1080,基本資料!$A:$J,10,0),"無")</f>
        <v>1.18</v>
      </c>
      <c r="X1080" s="36">
        <f>RTD("money.excel",,"3276","Price")</f>
        <v>16.95</v>
      </c>
      <c r="Y1080" s="66"/>
      <c r="Z1080" s="15">
        <f t="shared" si="203"/>
        <v>16.95</v>
      </c>
      <c r="AA1080" s="3" t="e">
        <f t="shared" si="204"/>
        <v>#DIV/0!</v>
      </c>
      <c r="AB1080" s="344">
        <f>IFERROR(VLOOKUP($G1080,基本資料!$A:$M,11,0),"無")</f>
        <v>-27.5</v>
      </c>
      <c r="AC1080" s="397">
        <f>IFERROR(VLOOKUP($G1080,基本資料!$A:$M,12,0),"無")</f>
        <v>22.03</v>
      </c>
      <c r="AD1080" s="16" t="s">
        <v>4556</v>
      </c>
      <c r="AG1080" s="33">
        <f t="shared" si="205"/>
        <v>0</v>
      </c>
      <c r="AH1080" s="43" t="s">
        <v>4557</v>
      </c>
      <c r="AI1080" s="63">
        <f t="shared" si="206"/>
        <v>1.3902439024390244E-2</v>
      </c>
      <c r="AJ1080" s="284">
        <f>RTD("money.excel",,$G1080,"PredictVolume")</f>
        <v>969</v>
      </c>
      <c r="AK1080" s="399">
        <f>IFERROR(VLOOKUP($G1080,基本資料!$A:$M,13,0),"無")</f>
        <v>7.82</v>
      </c>
    </row>
    <row r="1081" spans="1:37">
      <c r="A1081" s="347">
        <f>IFERROR(VLOOKUP($G1081,基本資料!$A:$J,3,0),"無")</f>
        <v>2.2599999999999998</v>
      </c>
      <c r="B1081" s="79">
        <f>IFERROR(VLOOKUP($G1081,基本資料!$A:$J,4,0),"無")</f>
        <v>-317</v>
      </c>
      <c r="C1081" s="79">
        <f>IFERROR(VLOOKUP($G1081,基本資料!$A:$J,5,0),"無")</f>
        <v>-49</v>
      </c>
      <c r="D1081" s="79">
        <f>IFERROR(VLOOKUP($G1081,基本資料!$A:$J,6,0),"無")</f>
        <v>110</v>
      </c>
      <c r="E1081" s="79">
        <f>IFERROR(VLOOKUP($G1081,基本資料!$A:$J,7,0),"無")</f>
        <v>-35</v>
      </c>
      <c r="F1081" s="6">
        <f>IFERROR(VLOOKUP($G1081,基本資料!$A:$J,8,0),"無")</f>
        <v>-29.41</v>
      </c>
      <c r="G1081" s="79">
        <v>3288</v>
      </c>
      <c r="H1081" s="8" t="s">
        <v>308</v>
      </c>
      <c r="I1081" s="16" t="s">
        <v>4558</v>
      </c>
      <c r="J1081" s="8" t="str">
        <f>IFERROR(VLOOKUP($G1081,今日總結!$A:$AJ,35,0),"")</f>
        <v/>
      </c>
      <c r="K1081" s="5" t="str">
        <f>IFERROR(VLOOKUP($G1081,今日總結!$A:$AJ,36,0),"")</f>
        <v/>
      </c>
      <c r="L1081" s="156" t="str">
        <f>IFERROR(VLOOKUP($G1081,今日總結!$A:$AJ,33,0),"")</f>
        <v/>
      </c>
      <c r="M1081" s="340" t="str">
        <f>IFERROR(VLOOKUP($G1081,今日總結!$A:$AJ,34,0),"")</f>
        <v/>
      </c>
      <c r="N1081" s="240" t="str">
        <f t="shared" si="207"/>
        <v/>
      </c>
      <c r="P1081" s="365" t="str">
        <f>IFERROR(VLOOKUP($G1081,融外自投!$A:$J,7,0),"無")</f>
        <v>無</v>
      </c>
      <c r="Q1081" s="79" t="str">
        <f>IFERROR(VLOOKUP($G1081,融外自投!$A:$J,9,0),"無")</f>
        <v>無</v>
      </c>
      <c r="R1081" s="346" t="str">
        <f>IFERROR(VLOOKUP($G1081,融外自投!$A:$J,8,0),"無")</f>
        <v>無</v>
      </c>
      <c r="S1081" s="81" t="str">
        <f>IFERROR(VLOOKUP($G1081,融外自投!$A:$J,10,0),"無")</f>
        <v>無</v>
      </c>
      <c r="T1081" s="327" t="str">
        <f>IFERROR(VLOOKUP($G1081,'321買'!$A:$E,5,0),"'沒有資料'")</f>
        <v>'沒有資料'</v>
      </c>
      <c r="U1081" s="186">
        <f>IFERROR(VLOOKUP($G1081,基本資料!$A:$J,9,0),"無")</f>
        <v>0</v>
      </c>
      <c r="V1081" s="310">
        <f t="shared" si="202"/>
        <v>0</v>
      </c>
      <c r="W1081" s="94">
        <f>IFERROR(VLOOKUP($G1081,基本資料!$A:$J,10,0),"無")</f>
        <v>-1.48</v>
      </c>
      <c r="X1081" s="36">
        <f>RTD("money.excel",,"3288","Price")</f>
        <v>13.5</v>
      </c>
      <c r="Y1081" s="66"/>
      <c r="Z1081" s="15">
        <f t="shared" ref="Z1081:Z1145" si="208">X1081-Y1081</f>
        <v>13.5</v>
      </c>
      <c r="AA1081" s="3" t="e">
        <f t="shared" ref="AA1081:AA1145" si="209">Z1081/Y1081</f>
        <v>#DIV/0!</v>
      </c>
      <c r="AB1081" s="344">
        <f>IFERROR(VLOOKUP($G1081,基本資料!$A:$M,11,0),"無")</f>
        <v>-35.880000000000003</v>
      </c>
      <c r="AC1081" s="397">
        <f>IFERROR(VLOOKUP($G1081,基本資料!$A:$M,12,0),"無")</f>
        <v>27.62</v>
      </c>
      <c r="AD1081" s="16" t="s">
        <v>4558</v>
      </c>
      <c r="AG1081" s="33">
        <f t="shared" ref="AG1081:AG1145" si="210">AF1081-AE1081</f>
        <v>0</v>
      </c>
      <c r="AH1081" s="43" t="s">
        <v>4559</v>
      </c>
      <c r="AI1081" s="63">
        <f t="shared" si="206"/>
        <v>7.0796460176991162E-4</v>
      </c>
      <c r="AJ1081" s="284">
        <f>RTD("money.excel",,$G1081,"PredictVolume")</f>
        <v>16</v>
      </c>
      <c r="AK1081" s="399">
        <f>IFERROR(VLOOKUP($G1081,基本資料!$A:$M,13,0),"無")</f>
        <v>5.22</v>
      </c>
    </row>
    <row r="1082" spans="1:37">
      <c r="A1082" s="347">
        <f>IFERROR(VLOOKUP($G1082,基本資料!$A:$J,3,0),"無")</f>
        <v>9.9499999999999993</v>
      </c>
      <c r="B1082" s="79">
        <f>IFERROR(VLOOKUP($G1082,基本資料!$A:$J,4,0),"無")</f>
        <v>25</v>
      </c>
      <c r="C1082" s="79">
        <f>IFERROR(VLOOKUP($G1082,基本資料!$A:$J,5,0),"無")</f>
        <v>-31</v>
      </c>
      <c r="D1082" s="79">
        <f>IFERROR(VLOOKUP($G1082,基本資料!$A:$J,6,0),"無")</f>
        <v>20</v>
      </c>
      <c r="E1082" s="79">
        <f>IFERROR(VLOOKUP($G1082,基本資料!$A:$J,7,0),"無")</f>
        <v>6</v>
      </c>
      <c r="F1082" s="6">
        <f>IFERROR(VLOOKUP($G1082,基本資料!$A:$J,8,0),"無")</f>
        <v>3.94</v>
      </c>
      <c r="G1082" s="79">
        <v>3290</v>
      </c>
      <c r="H1082" s="8" t="s">
        <v>308</v>
      </c>
      <c r="I1082" s="16" t="s">
        <v>4560</v>
      </c>
      <c r="J1082" s="8" t="str">
        <f>IFERROR(VLOOKUP($G1082,今日總結!$A:$AJ,35,0),"")</f>
        <v/>
      </c>
      <c r="K1082" s="5" t="str">
        <f>IFERROR(VLOOKUP($G1082,今日總結!$A:$AJ,36,0),"")</f>
        <v/>
      </c>
      <c r="L1082" s="156" t="str">
        <f>IFERROR(VLOOKUP($G1082,今日總結!$A:$AJ,33,0),"")</f>
        <v/>
      </c>
      <c r="M1082" s="340" t="str">
        <f>IFERROR(VLOOKUP($G1082,今日總結!$A:$AJ,34,0),"")</f>
        <v/>
      </c>
      <c r="N1082" s="240" t="str">
        <f t="shared" si="207"/>
        <v/>
      </c>
      <c r="P1082" s="365">
        <f>IFERROR(VLOOKUP($G1082,融外自投!$A:$J,7,0),"無")</f>
        <v>12</v>
      </c>
      <c r="Q1082" s="79" t="str">
        <f>IFERROR(VLOOKUP($G1082,融外自投!$A:$J,9,0),"無")</f>
        <v>無</v>
      </c>
      <c r="R1082" s="346">
        <f>IFERROR(VLOOKUP($G1082,融外自投!$A:$J,8,0),"無")</f>
        <v>937</v>
      </c>
      <c r="S1082" s="81" t="str">
        <f>IFERROR(VLOOKUP($G1082,融外自投!$A:$J,10,0),"無")</f>
        <v>無</v>
      </c>
      <c r="T1082" s="327">
        <f>IFERROR(VLOOKUP($G1082,'321買'!$A:$E,5,0),"'沒有資料'")</f>
        <v>584</v>
      </c>
      <c r="U1082" s="186">
        <f>IFERROR(VLOOKUP($G1082,基本資料!$A:$J,9,0),"無")</f>
        <v>0.5</v>
      </c>
      <c r="V1082" s="310">
        <f t="shared" si="202"/>
        <v>2.5839793281653745E-2</v>
      </c>
      <c r="W1082" s="94">
        <f>IFERROR(VLOOKUP($G1082,基本資料!$A:$J,10,0),"無")</f>
        <v>0.77</v>
      </c>
      <c r="X1082" s="36">
        <f>RTD("money.excel",,"3290","Price")</f>
        <v>19.350000000000001</v>
      </c>
      <c r="Y1082" s="66"/>
      <c r="Z1082" s="15">
        <f t="shared" si="208"/>
        <v>19.350000000000001</v>
      </c>
      <c r="AA1082" s="3" t="e">
        <f t="shared" si="209"/>
        <v>#DIV/0!</v>
      </c>
      <c r="AB1082" s="344">
        <f>IFERROR(VLOOKUP($G1082,基本資料!$A:$M,11,0),"無")</f>
        <v>-31.69</v>
      </c>
      <c r="AC1082" s="397">
        <f>IFERROR(VLOOKUP($G1082,基本資料!$A:$M,12,0),"無")</f>
        <v>33.53</v>
      </c>
      <c r="AD1082" s="16" t="s">
        <v>4560</v>
      </c>
      <c r="AG1082" s="33">
        <f t="shared" si="210"/>
        <v>0</v>
      </c>
      <c r="AH1082" s="43" t="s">
        <v>1970</v>
      </c>
      <c r="AI1082" s="63">
        <f t="shared" si="206"/>
        <v>1.2462311557788945E-3</v>
      </c>
      <c r="AJ1082" s="284">
        <f>RTD("money.excel",,$G1082,"PredictVolume")</f>
        <v>124</v>
      </c>
      <c r="AK1082" s="399">
        <f>IFERROR(VLOOKUP($G1082,基本資料!$A:$M,13,0),"無")</f>
        <v>26.31</v>
      </c>
    </row>
    <row r="1083" spans="1:37">
      <c r="A1083" s="347">
        <f>IFERROR(VLOOKUP($G1083,基本資料!$A:$J,3,0),"無")</f>
        <v>13.2</v>
      </c>
      <c r="B1083" s="79">
        <f>IFERROR(VLOOKUP($G1083,基本資料!$A:$J,4,0),"無")</f>
        <v>-72</v>
      </c>
      <c r="C1083" s="79">
        <f>IFERROR(VLOOKUP($G1083,基本資料!$A:$J,5,0),"無")</f>
        <v>-79</v>
      </c>
      <c r="D1083" s="79">
        <f>IFERROR(VLOOKUP($G1083,基本資料!$A:$J,6,0),"無")</f>
        <v>65</v>
      </c>
      <c r="E1083" s="79">
        <f>IFERROR(VLOOKUP($G1083,基本資料!$A:$J,7,0),"無")</f>
        <v>18</v>
      </c>
      <c r="F1083" s="6">
        <f>IFERROR(VLOOKUP($G1083,基本資料!$A:$J,8,0),"無")</f>
        <v>0.85</v>
      </c>
      <c r="G1083" s="79">
        <v>3294</v>
      </c>
      <c r="H1083" s="8" t="s">
        <v>308</v>
      </c>
      <c r="I1083" s="16" t="s">
        <v>4561</v>
      </c>
      <c r="J1083" s="8" t="str">
        <f>IFERROR(VLOOKUP($G1083,今日總結!$A:$AJ,35,0),"")</f>
        <v/>
      </c>
      <c r="K1083" s="5" t="str">
        <f>IFERROR(VLOOKUP($G1083,今日總結!$A:$AJ,36,0),"")</f>
        <v/>
      </c>
      <c r="L1083" s="156" t="str">
        <f>IFERROR(VLOOKUP($G1083,今日總結!$A:$AJ,33,0),"")</f>
        <v/>
      </c>
      <c r="M1083" s="340" t="str">
        <f>IFERROR(VLOOKUP($G1083,今日總結!$A:$AJ,34,0),"")</f>
        <v/>
      </c>
      <c r="N1083" s="240" t="str">
        <f t="shared" si="207"/>
        <v/>
      </c>
      <c r="P1083" s="365">
        <f>IFERROR(VLOOKUP($G1083,融外自投!$A:$J,7,0),"無")</f>
        <v>138</v>
      </c>
      <c r="Q1083" s="79">
        <f>IFERROR(VLOOKUP($G1083,融外自投!$A:$J,9,0),"無")</f>
        <v>598</v>
      </c>
      <c r="R1083" s="346">
        <f>IFERROR(VLOOKUP($G1083,融外自投!$A:$J,8,0),"無")</f>
        <v>647</v>
      </c>
      <c r="S1083" s="81" t="str">
        <f>IFERROR(VLOOKUP($G1083,融外自投!$A:$J,10,0),"無")</f>
        <v>無</v>
      </c>
      <c r="T1083" s="327">
        <f>IFERROR(VLOOKUP($G1083,'321買'!$A:$E,5,0),"'沒有資料'")</f>
        <v>939</v>
      </c>
      <c r="U1083" s="186">
        <f>IFERROR(VLOOKUP($G1083,基本資料!$A:$J,9,0),"無")</f>
        <v>0.25</v>
      </c>
      <c r="V1083" s="310">
        <f t="shared" ref="V1083:V1147" si="211">$U1083/$X1083</f>
        <v>1.2594458438287152E-2</v>
      </c>
      <c r="W1083" s="94">
        <f>IFERROR(VLOOKUP($G1083,基本資料!$A:$J,10,0),"無")</f>
        <v>0.18</v>
      </c>
      <c r="X1083" s="36">
        <f>RTD("money.excel",,"3294","Price")</f>
        <v>19.850000000000001</v>
      </c>
      <c r="Y1083" s="66"/>
      <c r="Z1083" s="15">
        <f t="shared" si="208"/>
        <v>19.850000000000001</v>
      </c>
      <c r="AA1083" s="3" t="e">
        <f t="shared" si="209"/>
        <v>#DIV/0!</v>
      </c>
      <c r="AB1083" s="344">
        <f>IFERROR(VLOOKUP($G1083,基本資料!$A:$M,11,0),"無")</f>
        <v>-49.19</v>
      </c>
      <c r="AC1083" s="397">
        <f>IFERROR(VLOOKUP($G1083,基本資料!$A:$M,12,0),"無")</f>
        <v>31.09</v>
      </c>
      <c r="AD1083" s="16" t="s">
        <v>4561</v>
      </c>
      <c r="AG1083" s="33">
        <f t="shared" si="210"/>
        <v>0</v>
      </c>
      <c r="AH1083" s="43" t="s">
        <v>4562</v>
      </c>
      <c r="AI1083" s="63">
        <f t="shared" ref="AI1083:AI1147" si="212">AJ1083/(A1083*10000)</f>
        <v>5.5833333333333334E-3</v>
      </c>
      <c r="AJ1083" s="284">
        <f>RTD("money.excel",,$G1083,"PredictVolume")</f>
        <v>737</v>
      </c>
      <c r="AK1083" s="399">
        <f>IFERROR(VLOOKUP($G1083,基本資料!$A:$M,13,0),"無")</f>
        <v>26.51</v>
      </c>
    </row>
    <row r="1084" spans="1:37">
      <c r="A1084" s="347">
        <f>IFERROR(VLOOKUP($G1084,基本資料!$A:$J,3,0),"無")</f>
        <v>9.67</v>
      </c>
      <c r="B1084" s="79">
        <f>IFERROR(VLOOKUP($G1084,基本資料!$A:$J,4,0),"無")</f>
        <v>-804</v>
      </c>
      <c r="C1084" s="79">
        <f>IFERROR(VLOOKUP($G1084,基本資料!$A:$J,5,0),"無")</f>
        <v>-493</v>
      </c>
      <c r="D1084" s="79">
        <f>IFERROR(VLOOKUP($G1084,基本資料!$A:$J,6,0),"無")</f>
        <v>55</v>
      </c>
      <c r="E1084" s="79">
        <f>IFERROR(VLOOKUP($G1084,基本資料!$A:$J,7,0),"無")</f>
        <v>-34</v>
      </c>
      <c r="F1084" s="6">
        <f>IFERROR(VLOOKUP($G1084,基本資料!$A:$J,8,0),"無")</f>
        <v>-5.01</v>
      </c>
      <c r="G1084" s="79">
        <v>3296</v>
      </c>
      <c r="H1084" s="8" t="s">
        <v>308</v>
      </c>
      <c r="I1084" s="22" t="s">
        <v>4563</v>
      </c>
      <c r="J1084" s="8" t="str">
        <f>IFERROR(VLOOKUP($G1084,今日總結!$A:$AJ,35,0),"")</f>
        <v/>
      </c>
      <c r="K1084" s="5" t="str">
        <f>IFERROR(VLOOKUP($G1084,今日總結!$A:$AJ,36,0),"")</f>
        <v/>
      </c>
      <c r="L1084" s="156" t="str">
        <f>IFERROR(VLOOKUP($G1084,今日總結!$A:$AJ,33,0),"")</f>
        <v/>
      </c>
      <c r="M1084" s="340" t="str">
        <f>IFERROR(VLOOKUP($G1084,今日總結!$A:$AJ,34,0),"")</f>
        <v/>
      </c>
      <c r="N1084" s="240" t="str">
        <f t="shared" ref="N1084:N1147" si="213">IFERROR(L1084-M1084,"")</f>
        <v/>
      </c>
      <c r="P1084" s="365">
        <f>IFERROR(VLOOKUP($G1084,融外自投!$A:$J,7,0),"無")</f>
        <v>77</v>
      </c>
      <c r="Q1084" s="79">
        <f>IFERROR(VLOOKUP($G1084,融外自投!$A:$J,9,0),"無")</f>
        <v>1110</v>
      </c>
      <c r="R1084" s="346">
        <f>IFERROR(VLOOKUP($G1084,融外自投!$A:$J,8,0),"無")</f>
        <v>997</v>
      </c>
      <c r="S1084" s="81" t="str">
        <f>IFERROR(VLOOKUP($G1084,融外自投!$A:$J,10,0),"無")</f>
        <v>無</v>
      </c>
      <c r="T1084" s="327">
        <f>IFERROR(VLOOKUP($G1084,'321買'!$A:$E,5,0),"'沒有資料'")</f>
        <v>1296</v>
      </c>
      <c r="U1084" s="186">
        <f>IFERROR(VLOOKUP($G1084,基本資料!$A:$J,9,0),"無")</f>
        <v>0</v>
      </c>
      <c r="V1084" s="310">
        <f t="shared" si="211"/>
        <v>0</v>
      </c>
      <c r="W1084" s="94">
        <f>IFERROR(VLOOKUP($G1084,基本資料!$A:$J,10,0),"無")</f>
        <v>-1.64</v>
      </c>
      <c r="X1084" s="36">
        <f>RTD("money.excel",,"3296","Price")</f>
        <v>15.5</v>
      </c>
      <c r="Y1084" s="66"/>
      <c r="Z1084" s="15">
        <f t="shared" si="208"/>
        <v>15.5</v>
      </c>
      <c r="AA1084" s="3" t="e">
        <f t="shared" si="209"/>
        <v>#DIV/0!</v>
      </c>
      <c r="AB1084" s="344">
        <f>IFERROR(VLOOKUP($G1084,基本資料!$A:$M,11,0),"無")</f>
        <v>-39.39</v>
      </c>
      <c r="AC1084" s="397">
        <f>IFERROR(VLOOKUP($G1084,基本資料!$A:$M,12,0),"無")</f>
        <v>26.56</v>
      </c>
      <c r="AD1084" s="22" t="s">
        <v>4563</v>
      </c>
      <c r="AG1084" s="33">
        <f t="shared" si="210"/>
        <v>0</v>
      </c>
      <c r="AH1084" s="43" t="s">
        <v>4564</v>
      </c>
      <c r="AI1084" s="63">
        <f t="shared" si="212"/>
        <v>2.0992761116856258E-3</v>
      </c>
      <c r="AJ1084" s="284">
        <f>RTD("money.excel",,$G1084,"PredictVolume")</f>
        <v>203</v>
      </c>
      <c r="AK1084" s="399">
        <f>IFERROR(VLOOKUP($G1084,基本資料!$A:$M,13,0),"無")</f>
        <v>5.2</v>
      </c>
    </row>
    <row r="1085" spans="1:37">
      <c r="A1085" s="347">
        <f>IFERROR(VLOOKUP($G1085,基本資料!$A:$J,3,0),"無")</f>
        <v>7.06</v>
      </c>
      <c r="B1085" s="79">
        <f>IFERROR(VLOOKUP($G1085,基本資料!$A:$J,4,0),"無")</f>
        <v>69</v>
      </c>
      <c r="C1085" s="79">
        <f>IFERROR(VLOOKUP($G1085,基本資料!$A:$J,5,0),"無")</f>
        <v>-3</v>
      </c>
      <c r="D1085" s="79">
        <f>IFERROR(VLOOKUP($G1085,基本資料!$A:$J,6,0),"無")</f>
        <v>-13</v>
      </c>
      <c r="E1085" s="79">
        <f>IFERROR(VLOOKUP($G1085,基本資料!$A:$J,7,0),"無")</f>
        <v>-21</v>
      </c>
      <c r="F1085" s="6">
        <f>IFERROR(VLOOKUP($G1085,基本資料!$A:$J,8,0),"無")</f>
        <v>-16.63</v>
      </c>
      <c r="G1085" s="79">
        <v>3308</v>
      </c>
      <c r="H1085" s="8" t="s">
        <v>308</v>
      </c>
      <c r="I1085" s="22" t="s">
        <v>4565</v>
      </c>
      <c r="J1085" s="8" t="str">
        <f>IFERROR(VLOOKUP($G1085,今日總結!$A:$AJ,35,0),"")</f>
        <v/>
      </c>
      <c r="K1085" s="5" t="str">
        <f>IFERROR(VLOOKUP($G1085,今日總結!$A:$AJ,36,0),"")</f>
        <v/>
      </c>
      <c r="L1085" s="156" t="str">
        <f>IFERROR(VLOOKUP($G1085,今日總結!$A:$AJ,33,0),"")</f>
        <v/>
      </c>
      <c r="M1085" s="340" t="str">
        <f>IFERROR(VLOOKUP($G1085,今日總結!$A:$AJ,34,0),"")</f>
        <v/>
      </c>
      <c r="N1085" s="240" t="str">
        <f t="shared" si="213"/>
        <v/>
      </c>
      <c r="P1085" s="365" t="str">
        <f>IFERROR(VLOOKUP($G1085,融外自投!$A:$J,7,0),"無")</f>
        <v>無</v>
      </c>
      <c r="Q1085" s="79" t="str">
        <f>IFERROR(VLOOKUP($G1085,融外自投!$A:$J,9,0),"無")</f>
        <v>無</v>
      </c>
      <c r="R1085" s="346" t="str">
        <f>IFERROR(VLOOKUP($G1085,融外自投!$A:$J,8,0),"無")</f>
        <v>無</v>
      </c>
      <c r="S1085" s="81" t="str">
        <f>IFERROR(VLOOKUP($G1085,融外自投!$A:$J,10,0),"無")</f>
        <v>無</v>
      </c>
      <c r="T1085" s="327" t="str">
        <f>IFERROR(VLOOKUP($G1085,'321買'!$A:$E,5,0),"'沒有資料'")</f>
        <v>'沒有資料'</v>
      </c>
      <c r="U1085" s="186">
        <f>IFERROR(VLOOKUP($G1085,基本資料!$A:$J,9,0),"無")</f>
        <v>0</v>
      </c>
      <c r="V1085" s="310">
        <f t="shared" si="211"/>
        <v>0</v>
      </c>
      <c r="W1085" s="94">
        <f>IFERROR(VLOOKUP($G1085,基本資料!$A:$J,10,0),"無")</f>
        <v>-0.37</v>
      </c>
      <c r="X1085" s="36">
        <f>RTD("money.excel",,"3308","Price")</f>
        <v>16.05</v>
      </c>
      <c r="Y1085" s="66"/>
      <c r="Z1085" s="15">
        <f t="shared" si="208"/>
        <v>16.05</v>
      </c>
      <c r="AA1085" s="3" t="e">
        <f t="shared" si="209"/>
        <v>#DIV/0!</v>
      </c>
      <c r="AB1085" s="344">
        <f>IFERROR(VLOOKUP($G1085,基本資料!$A:$M,11,0),"無")</f>
        <v>-20.5</v>
      </c>
      <c r="AC1085" s="397">
        <f>IFERROR(VLOOKUP($G1085,基本資料!$A:$M,12,0),"無")</f>
        <v>61.34</v>
      </c>
      <c r="AD1085" s="22" t="s">
        <v>4566</v>
      </c>
      <c r="AG1085" s="33">
        <f t="shared" si="210"/>
        <v>0</v>
      </c>
      <c r="AH1085" s="43" t="s">
        <v>2373</v>
      </c>
      <c r="AI1085" s="63">
        <f t="shared" si="212"/>
        <v>1.3314447592067988E-3</v>
      </c>
      <c r="AJ1085" s="284">
        <f>RTD("money.excel",,$G1085,"PredictVolume")</f>
        <v>94</v>
      </c>
      <c r="AK1085" s="399">
        <f>IFERROR(VLOOKUP($G1085,基本資料!$A:$M,13,0),"無")</f>
        <v>5.42</v>
      </c>
    </row>
    <row r="1086" spans="1:37">
      <c r="A1086" s="347">
        <f>IFERROR(VLOOKUP($G1086,基本資料!$A:$J,3,0),"無")</f>
        <v>5.25</v>
      </c>
      <c r="B1086" s="79">
        <f>IFERROR(VLOOKUP($G1086,基本資料!$A:$J,4,0),"無")</f>
        <v>70</v>
      </c>
      <c r="C1086" s="79">
        <f>IFERROR(VLOOKUP($G1086,基本資料!$A:$J,5,0),"無")</f>
        <v>-22</v>
      </c>
      <c r="D1086" s="79">
        <f>IFERROR(VLOOKUP($G1086,基本資料!$A:$J,6,0),"無")</f>
        <v>22</v>
      </c>
      <c r="E1086" s="79">
        <f>IFERROR(VLOOKUP($G1086,基本資料!$A:$J,7,0),"無")</f>
        <v>28</v>
      </c>
      <c r="F1086" s="6">
        <f>IFERROR(VLOOKUP($G1086,基本資料!$A:$J,8,0),"無")</f>
        <v>5.42</v>
      </c>
      <c r="G1086" s="79">
        <v>3310</v>
      </c>
      <c r="H1086" s="8" t="s">
        <v>308</v>
      </c>
      <c r="I1086" s="16" t="s">
        <v>403</v>
      </c>
      <c r="J1086" s="8" t="str">
        <f>IFERROR(VLOOKUP($G1086,今日總結!$A:$AJ,35,0),"")</f>
        <v/>
      </c>
      <c r="K1086" s="5" t="str">
        <f>IFERROR(VLOOKUP($G1086,今日總結!$A:$AJ,36,0),"")</f>
        <v/>
      </c>
      <c r="L1086" s="156" t="str">
        <f>IFERROR(VLOOKUP($G1086,今日總結!$A:$AJ,33,0),"")</f>
        <v/>
      </c>
      <c r="M1086" s="340" t="str">
        <f>IFERROR(VLOOKUP($G1086,今日總結!$A:$AJ,34,0),"")</f>
        <v/>
      </c>
      <c r="N1086" s="240" t="str">
        <f t="shared" si="213"/>
        <v/>
      </c>
      <c r="P1086" s="365">
        <f>IFERROR(VLOOKUP($G1086,融外自投!$A:$J,7,0),"無")</f>
        <v>96</v>
      </c>
      <c r="Q1086" s="79" t="str">
        <f>IFERROR(VLOOKUP($G1086,融外自投!$A:$J,9,0),"無")</f>
        <v>無</v>
      </c>
      <c r="R1086" s="346">
        <f>IFERROR(VLOOKUP($G1086,融外自投!$A:$J,8,0),"無")</f>
        <v>1448</v>
      </c>
      <c r="S1086" s="81" t="str">
        <f>IFERROR(VLOOKUP($G1086,融外自投!$A:$J,10,0),"無")</f>
        <v>無</v>
      </c>
      <c r="T1086" s="327">
        <f>IFERROR(VLOOKUP($G1086,'321買'!$A:$E,5,0),"'沒有資料'")</f>
        <v>1126</v>
      </c>
      <c r="U1086" s="186">
        <f>IFERROR(VLOOKUP($G1086,基本資料!$A:$J,9,0),"無")</f>
        <v>2.2000000000000002</v>
      </c>
      <c r="V1086" s="310">
        <f t="shared" si="211"/>
        <v>5.781865965834429E-2</v>
      </c>
      <c r="W1086" s="94">
        <f>IFERROR(VLOOKUP($G1086,基本資料!$A:$J,10,0),"無")</f>
        <v>1.33</v>
      </c>
      <c r="X1086" s="36">
        <f>RTD("money.excel",,"3310","Price")</f>
        <v>38.049999999999997</v>
      </c>
      <c r="Y1086" s="66"/>
      <c r="Z1086" s="15">
        <f t="shared" si="208"/>
        <v>38.049999999999997</v>
      </c>
      <c r="AA1086" s="3" t="e">
        <f t="shared" si="209"/>
        <v>#DIV/0!</v>
      </c>
      <c r="AB1086" s="344">
        <f>IFERROR(VLOOKUP($G1086,基本資料!$A:$M,11,0),"無")</f>
        <v>-12.98</v>
      </c>
      <c r="AC1086" s="397">
        <f>IFERROR(VLOOKUP($G1086,基本資料!$A:$M,12,0),"無")</f>
        <v>29.08</v>
      </c>
      <c r="AD1086" s="16" t="s">
        <v>403</v>
      </c>
      <c r="AG1086" s="33">
        <f t="shared" si="210"/>
        <v>0</v>
      </c>
      <c r="AH1086" s="43" t="s">
        <v>2183</v>
      </c>
      <c r="AI1086" s="63">
        <f t="shared" si="212"/>
        <v>1.7142857142857143E-4</v>
      </c>
      <c r="AJ1086" s="284">
        <f>RTD("money.excel",,$G1086,"PredictVolume")</f>
        <v>9</v>
      </c>
      <c r="AK1086" s="399">
        <f>IFERROR(VLOOKUP($G1086,基本資料!$A:$M,13,0),"無")</f>
        <v>3.6</v>
      </c>
    </row>
    <row r="1087" spans="1:37">
      <c r="A1087" s="347">
        <f>IFERROR(VLOOKUP($G1087,基本資料!$A:$J,3,0),"無")</f>
        <v>11.87</v>
      </c>
      <c r="B1087" s="79">
        <f>IFERROR(VLOOKUP($G1087,基本資料!$A:$J,4,0),"無")</f>
        <v>248</v>
      </c>
      <c r="C1087" s="79">
        <f>IFERROR(VLOOKUP($G1087,基本資料!$A:$J,5,0),"無")</f>
        <v>-30</v>
      </c>
      <c r="D1087" s="79">
        <f>IFERROR(VLOOKUP($G1087,基本資料!$A:$J,6,0),"無")</f>
        <v>60</v>
      </c>
      <c r="E1087" s="79">
        <f>IFERROR(VLOOKUP($G1087,基本資料!$A:$J,7,0),"無")</f>
        <v>66300</v>
      </c>
      <c r="F1087" s="6">
        <f>IFERROR(VLOOKUP($G1087,基本資料!$A:$J,8,0),"無")</f>
        <v>-38.72</v>
      </c>
      <c r="G1087" s="79">
        <v>3313</v>
      </c>
      <c r="H1087" s="8" t="s">
        <v>308</v>
      </c>
      <c r="I1087" s="16" t="s">
        <v>404</v>
      </c>
      <c r="J1087" s="8" t="str">
        <f>IFERROR(VLOOKUP($G1087,今日總結!$A:$AJ,35,0),"")</f>
        <v/>
      </c>
      <c r="K1087" s="5" t="str">
        <f>IFERROR(VLOOKUP($G1087,今日總結!$A:$AJ,36,0),"")</f>
        <v/>
      </c>
      <c r="L1087" s="156" t="str">
        <f>IFERROR(VLOOKUP($G1087,今日總結!$A:$AJ,33,0),"")</f>
        <v/>
      </c>
      <c r="M1087" s="340" t="str">
        <f>IFERROR(VLOOKUP($G1087,今日總結!$A:$AJ,34,0),"")</f>
        <v/>
      </c>
      <c r="N1087" s="240" t="str">
        <f t="shared" si="213"/>
        <v/>
      </c>
      <c r="P1087" s="365" t="str">
        <f>IFERROR(VLOOKUP($G1087,融外自投!$A:$J,7,0),"無")</f>
        <v>無</v>
      </c>
      <c r="Q1087" s="79" t="str">
        <f>IFERROR(VLOOKUP($G1087,融外自投!$A:$J,9,0),"無")</f>
        <v>無</v>
      </c>
      <c r="R1087" s="346" t="str">
        <f>IFERROR(VLOOKUP($G1087,融外自投!$A:$J,8,0),"無")</f>
        <v>無</v>
      </c>
      <c r="S1087" s="81" t="str">
        <f>IFERROR(VLOOKUP($G1087,融外自投!$A:$J,10,0),"無")</f>
        <v>無</v>
      </c>
      <c r="T1087" s="327" t="str">
        <f>IFERROR(VLOOKUP($G1087,'321買'!$A:$E,5,0),"'沒有資料'")</f>
        <v>'沒有資料'</v>
      </c>
      <c r="U1087" s="186">
        <f>IFERROR(VLOOKUP($G1087,基本資料!$A:$J,9,0),"無")</f>
        <v>0</v>
      </c>
      <c r="V1087" s="310">
        <f t="shared" si="211"/>
        <v>0</v>
      </c>
      <c r="W1087" s="94">
        <f>IFERROR(VLOOKUP($G1087,基本資料!$A:$J,10,0),"無")</f>
        <v>0.42</v>
      </c>
      <c r="X1087" s="36">
        <f>RTD("money.excel",,"3313","Price")</f>
        <v>13.35</v>
      </c>
      <c r="Y1087" s="66"/>
      <c r="Z1087" s="15">
        <f t="shared" si="208"/>
        <v>13.35</v>
      </c>
      <c r="AA1087" s="3" t="e">
        <f t="shared" si="209"/>
        <v>#DIV/0!</v>
      </c>
      <c r="AB1087" s="344">
        <f>IFERROR(VLOOKUP($G1087,基本資料!$A:$M,11,0),"無")</f>
        <v>-4.59</v>
      </c>
      <c r="AC1087" s="397">
        <f>IFERROR(VLOOKUP($G1087,基本資料!$A:$M,12,0),"無")</f>
        <v>69.02</v>
      </c>
      <c r="AD1087" s="16" t="s">
        <v>404</v>
      </c>
      <c r="AG1087" s="33">
        <f t="shared" si="210"/>
        <v>0</v>
      </c>
      <c r="AH1087" s="43" t="s">
        <v>2377</v>
      </c>
      <c r="AI1087" s="63">
        <f t="shared" si="212"/>
        <v>8.4582982308340372E-3</v>
      </c>
      <c r="AJ1087" s="284">
        <f>RTD("money.excel",,$G1087,"PredictVolume")</f>
        <v>1004</v>
      </c>
      <c r="AK1087" s="399">
        <f>IFERROR(VLOOKUP($G1087,基本資料!$A:$M,13,0),"無")</f>
        <v>4.9800000000000004</v>
      </c>
    </row>
    <row r="1088" spans="1:37">
      <c r="A1088" s="347">
        <f>IFERROR(VLOOKUP($G1088,基本資料!$A:$J,3,0),"無")</f>
        <v>15.61</v>
      </c>
      <c r="B1088" s="79">
        <f>IFERROR(VLOOKUP($G1088,基本資料!$A:$J,4,0),"無")</f>
        <v>68</v>
      </c>
      <c r="C1088" s="79">
        <f>IFERROR(VLOOKUP($G1088,基本資料!$A:$J,5,0),"無")</f>
        <v>75</v>
      </c>
      <c r="D1088" s="79">
        <f>IFERROR(VLOOKUP($G1088,基本資料!$A:$J,6,0),"無")</f>
        <v>-3</v>
      </c>
      <c r="E1088" s="79">
        <f>IFERROR(VLOOKUP($G1088,基本資料!$A:$J,7,0),"無")</f>
        <v>-5</v>
      </c>
      <c r="F1088" s="6">
        <f>IFERROR(VLOOKUP($G1088,基本資料!$A:$J,8,0),"無")</f>
        <v>-2.4300000000000002</v>
      </c>
      <c r="G1088" s="79">
        <v>3321</v>
      </c>
      <c r="H1088" s="8" t="s">
        <v>308</v>
      </c>
      <c r="I1088" s="22" t="s">
        <v>389</v>
      </c>
      <c r="J1088" s="8" t="str">
        <f>IFERROR(VLOOKUP($G1088,今日總結!$A:$AJ,35,0),"")</f>
        <v/>
      </c>
      <c r="K1088" s="5" t="str">
        <f>IFERROR(VLOOKUP($G1088,今日總結!$A:$AJ,36,0),"")</f>
        <v/>
      </c>
      <c r="L1088" s="156" t="str">
        <f>IFERROR(VLOOKUP($G1088,今日總結!$A:$AJ,33,0),"")</f>
        <v/>
      </c>
      <c r="M1088" s="340" t="str">
        <f>IFERROR(VLOOKUP($G1088,今日總結!$A:$AJ,34,0),"")</f>
        <v/>
      </c>
      <c r="N1088" s="240" t="str">
        <f t="shared" si="213"/>
        <v/>
      </c>
      <c r="P1088" s="365" t="str">
        <f>IFERROR(VLOOKUP($G1088,融外自投!$A:$J,7,0),"無")</f>
        <v>無</v>
      </c>
      <c r="Q1088" s="79" t="str">
        <f>IFERROR(VLOOKUP($G1088,融外自投!$A:$J,9,0),"無")</f>
        <v>無</v>
      </c>
      <c r="R1088" s="346" t="str">
        <f>IFERROR(VLOOKUP($G1088,融外自投!$A:$J,8,0),"無")</f>
        <v>無</v>
      </c>
      <c r="S1088" s="81" t="str">
        <f>IFERROR(VLOOKUP($G1088,融外自投!$A:$J,10,0),"無")</f>
        <v>無</v>
      </c>
      <c r="T1088" s="327" t="str">
        <f>IFERROR(VLOOKUP($G1088,'321買'!$A:$E,5,0),"'沒有資料'")</f>
        <v>'沒有資料'</v>
      </c>
      <c r="U1088" s="186">
        <f>IFERROR(VLOOKUP($G1088,基本資料!$A:$J,9,0),"無")</f>
        <v>0</v>
      </c>
      <c r="V1088" s="310">
        <f t="shared" si="211"/>
        <v>0</v>
      </c>
      <c r="W1088" s="94">
        <f>IFERROR(VLOOKUP($G1088,基本資料!$A:$J,10,0),"無")</f>
        <v>-0.54</v>
      </c>
      <c r="X1088" s="36">
        <f>RTD("money.excel",,"3321","Price")</f>
        <v>11</v>
      </c>
      <c r="Y1088" s="66"/>
      <c r="Z1088" s="15">
        <f t="shared" si="208"/>
        <v>11</v>
      </c>
      <c r="AA1088" s="3" t="e">
        <f t="shared" si="209"/>
        <v>#DIV/0!</v>
      </c>
      <c r="AB1088" s="344">
        <f>IFERROR(VLOOKUP($G1088,基本資料!$A:$M,11,0),"無")</f>
        <v>-28.25</v>
      </c>
      <c r="AC1088" s="397">
        <f>IFERROR(VLOOKUP($G1088,基本資料!$A:$M,12,0),"無")</f>
        <v>8.2799999999999994</v>
      </c>
      <c r="AD1088" s="22" t="s">
        <v>389</v>
      </c>
      <c r="AG1088" s="33">
        <f t="shared" si="210"/>
        <v>0</v>
      </c>
      <c r="AH1088" s="43" t="s">
        <v>2182</v>
      </c>
      <c r="AI1088" s="63">
        <f t="shared" si="212"/>
        <v>4.1639974375400383E-4</v>
      </c>
      <c r="AJ1088" s="284">
        <f>RTD("money.excel",,$G1088,"PredictVolume")</f>
        <v>65</v>
      </c>
      <c r="AK1088" s="399">
        <f>IFERROR(VLOOKUP($G1088,基本資料!$A:$M,13,0),"無")</f>
        <v>3.33</v>
      </c>
    </row>
    <row r="1089" spans="1:37">
      <c r="A1089" s="347">
        <f>IFERROR(VLOOKUP($G1089,基本資料!$A:$J,3,0),"無")</f>
        <v>10.74</v>
      </c>
      <c r="B1089" s="79">
        <f>IFERROR(VLOOKUP($G1089,基本資料!$A:$J,4,0),"無")</f>
        <v>2114</v>
      </c>
      <c r="C1089" s="79">
        <f>IFERROR(VLOOKUP($G1089,基本資料!$A:$J,5,0),"無")</f>
        <v>236</v>
      </c>
      <c r="D1089" s="79">
        <f>IFERROR(VLOOKUP($G1089,基本資料!$A:$J,6,0),"無")</f>
        <v>40</v>
      </c>
      <c r="E1089" s="79">
        <f>IFERROR(VLOOKUP($G1089,基本資料!$A:$J,7,0),"無")</f>
        <v>-20</v>
      </c>
      <c r="F1089" s="6">
        <f>IFERROR(VLOOKUP($G1089,基本資料!$A:$J,8,0),"無")</f>
        <v>4.3099999999999996</v>
      </c>
      <c r="G1089" s="79">
        <v>3322</v>
      </c>
      <c r="H1089" s="8" t="s">
        <v>308</v>
      </c>
      <c r="I1089" s="16" t="s">
        <v>405</v>
      </c>
      <c r="J1089" s="8" t="str">
        <f>IFERROR(VLOOKUP($G1089,今日總結!$A:$AJ,35,0),"")</f>
        <v/>
      </c>
      <c r="K1089" s="5" t="str">
        <f>IFERROR(VLOOKUP($G1089,今日總結!$A:$AJ,36,0),"")</f>
        <v/>
      </c>
      <c r="L1089" s="156" t="str">
        <f>IFERROR(VLOOKUP($G1089,今日總結!$A:$AJ,33,0),"")</f>
        <v/>
      </c>
      <c r="M1089" s="340" t="str">
        <f>IFERROR(VLOOKUP($G1089,今日總結!$A:$AJ,34,0),"")</f>
        <v/>
      </c>
      <c r="N1089" s="240" t="str">
        <f t="shared" si="213"/>
        <v/>
      </c>
      <c r="P1089" s="365">
        <f>IFERROR(VLOOKUP($G1089,融外自投!$A:$J,7,0),"無")</f>
        <v>1133</v>
      </c>
      <c r="Q1089" s="79" t="str">
        <f>IFERROR(VLOOKUP($G1089,融外自投!$A:$J,9,0),"無")</f>
        <v>無</v>
      </c>
      <c r="R1089" s="346">
        <f>IFERROR(VLOOKUP($G1089,融外自投!$A:$J,8,0),"無")</f>
        <v>1276</v>
      </c>
      <c r="S1089" s="81" t="str">
        <f>IFERROR(VLOOKUP($G1089,融外自投!$A:$J,10,0),"無")</f>
        <v>無</v>
      </c>
      <c r="T1089" s="327">
        <f>IFERROR(VLOOKUP($G1089,'321買'!$A:$E,5,0),"'沒有資料'")</f>
        <v>852</v>
      </c>
      <c r="U1089" s="186">
        <f>IFERROR(VLOOKUP($G1089,基本資料!$A:$J,9,0),"無")</f>
        <v>0.6</v>
      </c>
      <c r="V1089" s="310">
        <f t="shared" si="211"/>
        <v>2.7972027972027972E-2</v>
      </c>
      <c r="W1089" s="94">
        <f>IFERROR(VLOOKUP($G1089,基本資料!$A:$J,10,0),"無")</f>
        <v>1.85</v>
      </c>
      <c r="X1089" s="36">
        <f>RTD("money.excel",,"3322","Price")</f>
        <v>21.45</v>
      </c>
      <c r="Y1089" s="66"/>
      <c r="Z1089" s="15">
        <f t="shared" si="208"/>
        <v>21.45</v>
      </c>
      <c r="AA1089" s="3" t="e">
        <f t="shared" si="209"/>
        <v>#DIV/0!</v>
      </c>
      <c r="AB1089" s="344">
        <f>IFERROR(VLOOKUP($G1089,基本資料!$A:$M,11,0),"無")</f>
        <v>-39.94</v>
      </c>
      <c r="AC1089" s="397">
        <f>IFERROR(VLOOKUP($G1089,基本資料!$A:$M,12,0),"無")</f>
        <v>13</v>
      </c>
      <c r="AD1089" s="16" t="s">
        <v>405</v>
      </c>
      <c r="AG1089" s="33">
        <f t="shared" si="210"/>
        <v>0</v>
      </c>
      <c r="AH1089" s="43" t="s">
        <v>2299</v>
      </c>
      <c r="AI1089" s="63">
        <f t="shared" si="212"/>
        <v>1.9348230912476724E-2</v>
      </c>
      <c r="AJ1089" s="284">
        <f>RTD("money.excel",,$G1089,"PredictVolume")</f>
        <v>2078</v>
      </c>
      <c r="AK1089" s="399">
        <f>IFERROR(VLOOKUP($G1089,基本資料!$A:$M,13,0),"無")</f>
        <v>53.34</v>
      </c>
    </row>
    <row r="1090" spans="1:37">
      <c r="A1090" s="347">
        <f>IFERROR(VLOOKUP($G1090,基本資料!$A:$J,3,0),"無")</f>
        <v>4.8099999999999996</v>
      </c>
      <c r="B1090" s="79">
        <f>IFERROR(VLOOKUP($G1090,基本資料!$A:$J,4,0),"無")</f>
        <v>-13</v>
      </c>
      <c r="C1090" s="79">
        <f>IFERROR(VLOOKUP($G1090,基本資料!$A:$J,5,0),"無")</f>
        <v>-1</v>
      </c>
      <c r="D1090" s="79">
        <f>IFERROR(VLOOKUP($G1090,基本資料!$A:$J,6,0),"無")</f>
        <v>14</v>
      </c>
      <c r="E1090" s="79">
        <f>IFERROR(VLOOKUP($G1090,基本資料!$A:$J,7,0),"無")</f>
        <v>54</v>
      </c>
      <c r="F1090" s="6">
        <f>IFERROR(VLOOKUP($G1090,基本資料!$A:$J,8,0),"無")</f>
        <v>8.1999999999999993</v>
      </c>
      <c r="G1090" s="79">
        <v>3332</v>
      </c>
      <c r="H1090" s="8" t="s">
        <v>308</v>
      </c>
      <c r="I1090" s="16" t="s">
        <v>4567</v>
      </c>
      <c r="J1090" s="8" t="str">
        <f>IFERROR(VLOOKUP($G1090,今日總結!$A:$AJ,35,0),"")</f>
        <v/>
      </c>
      <c r="K1090" s="5" t="str">
        <f>IFERROR(VLOOKUP($G1090,今日總結!$A:$AJ,36,0),"")</f>
        <v/>
      </c>
      <c r="L1090" s="156" t="str">
        <f>IFERROR(VLOOKUP($G1090,今日總結!$A:$AJ,33,0),"")</f>
        <v/>
      </c>
      <c r="M1090" s="340" t="str">
        <f>IFERROR(VLOOKUP($G1090,今日總結!$A:$AJ,34,0),"")</f>
        <v/>
      </c>
      <c r="N1090" s="240" t="str">
        <f t="shared" si="213"/>
        <v/>
      </c>
      <c r="P1090" s="365">
        <f>IFERROR(VLOOKUP($G1090,融外自投!$A:$J,7,0),"無")</f>
        <v>1466</v>
      </c>
      <c r="Q1090" s="79" t="str">
        <f>IFERROR(VLOOKUP($G1090,融外自投!$A:$J,9,0),"無")</f>
        <v>無</v>
      </c>
      <c r="R1090" s="346">
        <f>IFERROR(VLOOKUP($G1090,融外自投!$A:$J,8,0),"無")</f>
        <v>1409</v>
      </c>
      <c r="S1090" s="81" t="str">
        <f>IFERROR(VLOOKUP($G1090,融外自投!$A:$J,10,0),"無")</f>
        <v>無</v>
      </c>
      <c r="T1090" s="327" t="str">
        <f>IFERROR(VLOOKUP($G1090,'321買'!$A:$E,5,0),"'沒有資料'")</f>
        <v>'沒有資料'</v>
      </c>
      <c r="U1090" s="186">
        <f>IFERROR(VLOOKUP($G1090,基本資料!$A:$J,9,0),"無")</f>
        <v>1</v>
      </c>
      <c r="V1090" s="310">
        <f t="shared" si="211"/>
        <v>2.4154589371980676E-2</v>
      </c>
      <c r="W1090" s="94">
        <f>IFERROR(VLOOKUP($G1090,基本資料!$A:$J,10,0),"無")</f>
        <v>2.2000000000000002</v>
      </c>
      <c r="X1090" s="36">
        <f>RTD("money.excel",,"3332","Price")</f>
        <v>41.4</v>
      </c>
      <c r="Y1090" s="66"/>
      <c r="Z1090" s="15">
        <f t="shared" si="208"/>
        <v>41.4</v>
      </c>
      <c r="AA1090" s="3" t="e">
        <f t="shared" si="209"/>
        <v>#DIV/0!</v>
      </c>
      <c r="AB1090" s="344">
        <f>IFERROR(VLOOKUP($G1090,基本資料!$A:$M,11,0),"無")</f>
        <v>-5.76</v>
      </c>
      <c r="AC1090" s="397">
        <f>IFERROR(VLOOKUP($G1090,基本資料!$A:$M,12,0),"無")</f>
        <v>34.869999999999997</v>
      </c>
      <c r="AD1090" s="16" t="s">
        <v>4567</v>
      </c>
      <c r="AG1090" s="33">
        <f t="shared" si="210"/>
        <v>0</v>
      </c>
      <c r="AH1090" s="43" t="s">
        <v>2373</v>
      </c>
      <c r="AI1090" s="63">
        <f t="shared" si="212"/>
        <v>1.0395010395010397E-4</v>
      </c>
      <c r="AJ1090" s="284">
        <f>RTD("money.excel",,$G1090,"PredictVolume")</f>
        <v>5</v>
      </c>
      <c r="AK1090" s="399">
        <f>IFERROR(VLOOKUP($G1090,基本資料!$A:$M,13,0),"無")</f>
        <v>0.23</v>
      </c>
    </row>
    <row r="1091" spans="1:37">
      <c r="A1091" s="347">
        <f>IFERROR(VLOOKUP($G1091,基本資料!$A:$J,3,0),"無")</f>
        <v>8.7899999999999991</v>
      </c>
      <c r="B1091" s="79">
        <f>IFERROR(VLOOKUP($G1091,基本資料!$A:$J,4,0),"無")</f>
        <v>-16</v>
      </c>
      <c r="C1091" s="79">
        <f>IFERROR(VLOOKUP($G1091,基本資料!$A:$J,5,0),"無")</f>
        <v>-22</v>
      </c>
      <c r="D1091" s="79">
        <f>IFERROR(VLOOKUP($G1091,基本資料!$A:$J,6,0),"無")</f>
        <v>71</v>
      </c>
      <c r="E1091" s="79">
        <f>IFERROR(VLOOKUP($G1091,基本資料!$A:$J,7,0),"無")</f>
        <v>6</v>
      </c>
      <c r="F1091" s="6">
        <f>IFERROR(VLOOKUP($G1091,基本資料!$A:$J,8,0),"無")</f>
        <v>5.68</v>
      </c>
      <c r="G1091" s="79">
        <v>3338</v>
      </c>
      <c r="H1091" s="8" t="s">
        <v>308</v>
      </c>
      <c r="I1091" s="22" t="s">
        <v>1047</v>
      </c>
      <c r="J1091" s="8" t="str">
        <f>IFERROR(VLOOKUP($G1091,今日總結!$A:$AJ,35,0),"")</f>
        <v/>
      </c>
      <c r="K1091" s="5" t="str">
        <f>IFERROR(VLOOKUP($G1091,今日總結!$A:$AJ,36,0),"")</f>
        <v/>
      </c>
      <c r="L1091" s="156" t="str">
        <f>IFERROR(VLOOKUP($G1091,今日總結!$A:$AJ,33,0),"")</f>
        <v/>
      </c>
      <c r="M1091" s="340" t="str">
        <f>IFERROR(VLOOKUP($G1091,今日總結!$A:$AJ,34,0),"")</f>
        <v/>
      </c>
      <c r="N1091" s="240" t="str">
        <f t="shared" si="213"/>
        <v/>
      </c>
      <c r="P1091" s="365">
        <f>IFERROR(VLOOKUP($G1091,融外自投!$A:$J,7,0),"無")</f>
        <v>241</v>
      </c>
      <c r="Q1091" s="79">
        <f>IFERROR(VLOOKUP($G1091,融外自投!$A:$J,9,0),"無")</f>
        <v>363</v>
      </c>
      <c r="R1091" s="346">
        <f>IFERROR(VLOOKUP($G1091,融外自投!$A:$J,8,0),"無")</f>
        <v>821</v>
      </c>
      <c r="S1091" s="81" t="str">
        <f>IFERROR(VLOOKUP($G1091,融外自投!$A:$J,10,0),"無")</f>
        <v>無</v>
      </c>
      <c r="T1091" s="327">
        <f>IFERROR(VLOOKUP($G1091,'321買'!$A:$E,5,0),"'沒有資料'")</f>
        <v>606</v>
      </c>
      <c r="U1091" s="186">
        <f>IFERROR(VLOOKUP($G1091,基本資料!$A:$J,9,0),"無")</f>
        <v>1.5</v>
      </c>
      <c r="V1091" s="310">
        <f t="shared" si="211"/>
        <v>3.5671819262782407E-2</v>
      </c>
      <c r="W1091" s="94">
        <f>IFERROR(VLOOKUP($G1091,基本資料!$A:$J,10,0),"無")</f>
        <v>2.13</v>
      </c>
      <c r="X1091" s="36">
        <f>RTD("money.excel",,"3338","Price")</f>
        <v>42.05</v>
      </c>
      <c r="Y1091" s="66"/>
      <c r="Z1091" s="15">
        <f t="shared" si="208"/>
        <v>42.05</v>
      </c>
      <c r="AA1091" s="3" t="e">
        <f t="shared" si="209"/>
        <v>#DIV/0!</v>
      </c>
      <c r="AB1091" s="344">
        <f>IFERROR(VLOOKUP($G1091,基本資料!$A:$M,11,0),"無")</f>
        <v>-35.200000000000003</v>
      </c>
      <c r="AC1091" s="397">
        <f>IFERROR(VLOOKUP($G1091,基本資料!$A:$M,12,0),"無")</f>
        <v>6.61</v>
      </c>
      <c r="AD1091" s="22" t="s">
        <v>1047</v>
      </c>
      <c r="AG1091" s="33">
        <f t="shared" si="210"/>
        <v>0</v>
      </c>
      <c r="AH1091" s="43" t="s">
        <v>2928</v>
      </c>
      <c r="AI1091" s="63">
        <f t="shared" si="212"/>
        <v>2.5711035267349264E-3</v>
      </c>
      <c r="AJ1091" s="284">
        <f>RTD("money.excel",,$G1091,"PredictVolume")</f>
        <v>226</v>
      </c>
      <c r="AK1091" s="399">
        <f>IFERROR(VLOOKUP($G1091,基本資料!$A:$M,13,0),"無")</f>
        <v>26.26</v>
      </c>
    </row>
    <row r="1092" spans="1:37">
      <c r="A1092" s="347">
        <f>IFERROR(VLOOKUP($G1092,基本資料!$A:$J,3,0),"無")</f>
        <v>7.01</v>
      </c>
      <c r="B1092" s="79">
        <f>IFERROR(VLOOKUP($G1092,基本資料!$A:$J,4,0),"無")</f>
        <v>0</v>
      </c>
      <c r="C1092" s="79">
        <f>IFERROR(VLOOKUP($G1092,基本資料!$A:$J,5,0),"無")</f>
        <v>-98</v>
      </c>
      <c r="D1092" s="79">
        <f>IFERROR(VLOOKUP($G1092,基本資料!$A:$J,6,0),"無")</f>
        <v>76</v>
      </c>
      <c r="E1092" s="79">
        <f>IFERROR(VLOOKUP($G1092,基本資料!$A:$J,7,0),"無")</f>
        <v>26</v>
      </c>
      <c r="F1092" s="6">
        <f>IFERROR(VLOOKUP($G1092,基本資料!$A:$J,8,0),"無")</f>
        <v>-40.71</v>
      </c>
      <c r="G1092" s="79">
        <v>3354</v>
      </c>
      <c r="H1092" s="8" t="s">
        <v>308</v>
      </c>
      <c r="I1092" s="16" t="s">
        <v>4568</v>
      </c>
      <c r="J1092" s="8" t="str">
        <f>IFERROR(VLOOKUP($G1092,今日總結!$A:$AJ,35,0),"")</f>
        <v/>
      </c>
      <c r="K1092" s="5" t="str">
        <f>IFERROR(VLOOKUP($G1092,今日總結!$A:$AJ,36,0),"")</f>
        <v/>
      </c>
      <c r="L1092" s="156" t="str">
        <f>IFERROR(VLOOKUP($G1092,今日總結!$A:$AJ,33,0),"")</f>
        <v/>
      </c>
      <c r="M1092" s="340" t="str">
        <f>IFERROR(VLOOKUP($G1092,今日總結!$A:$AJ,34,0),"")</f>
        <v/>
      </c>
      <c r="N1092" s="240" t="str">
        <f t="shared" si="213"/>
        <v/>
      </c>
      <c r="P1092" s="365">
        <f>IFERROR(VLOOKUP($G1092,融外自投!$A:$J,7,0),"無")</f>
        <v>643</v>
      </c>
      <c r="Q1092" s="79" t="str">
        <f>IFERROR(VLOOKUP($G1092,融外自投!$A:$J,9,0),"無")</f>
        <v>無</v>
      </c>
      <c r="R1092" s="346">
        <f>IFERROR(VLOOKUP($G1092,融外自投!$A:$J,8,0),"無")</f>
        <v>1197</v>
      </c>
      <c r="S1092" s="81" t="str">
        <f>IFERROR(VLOOKUP($G1092,融外自投!$A:$J,10,0),"無")</f>
        <v>無</v>
      </c>
      <c r="T1092" s="327">
        <f>IFERROR(VLOOKUP($G1092,'321買'!$A:$E,5,0),"'沒有資料'")</f>
        <v>827</v>
      </c>
      <c r="U1092" s="186">
        <f>IFERROR(VLOOKUP($G1092,基本資料!$A:$J,9,0),"無")</f>
        <v>0.3</v>
      </c>
      <c r="V1092" s="310">
        <f t="shared" si="211"/>
        <v>1.8518518518518517E-2</v>
      </c>
      <c r="W1092" s="94">
        <f>IFERROR(VLOOKUP($G1092,基本資料!$A:$J,10,0),"無")</f>
        <v>-0.74</v>
      </c>
      <c r="X1092" s="36">
        <f>RTD("money.excel",,"3354","Price")</f>
        <v>16.2</v>
      </c>
      <c r="Y1092" s="66"/>
      <c r="Z1092" s="15">
        <f t="shared" si="208"/>
        <v>16.2</v>
      </c>
      <c r="AA1092" s="3" t="e">
        <f t="shared" si="209"/>
        <v>#DIV/0!</v>
      </c>
      <c r="AB1092" s="344">
        <f>IFERROR(VLOOKUP($G1092,基本資料!$A:$M,11,0),"無")</f>
        <v>-30.33</v>
      </c>
      <c r="AC1092" s="397">
        <f>IFERROR(VLOOKUP($G1092,基本資料!$A:$M,12,0),"無")</f>
        <v>48.44</v>
      </c>
      <c r="AD1092" s="16" t="s">
        <v>4568</v>
      </c>
      <c r="AG1092" s="33">
        <f t="shared" si="210"/>
        <v>0</v>
      </c>
      <c r="AH1092" s="43" t="s">
        <v>2378</v>
      </c>
      <c r="AI1092" s="63">
        <f t="shared" si="212"/>
        <v>1.8787446504992866E-2</v>
      </c>
      <c r="AJ1092" s="284">
        <f>RTD("money.excel",,$G1092,"PredictVolume")</f>
        <v>1317</v>
      </c>
      <c r="AK1092" s="399">
        <f>IFERROR(VLOOKUP($G1092,基本資料!$A:$M,13,0),"無")</f>
        <v>27.16</v>
      </c>
    </row>
    <row r="1093" spans="1:37">
      <c r="A1093" s="347">
        <f>IFERROR(VLOOKUP($G1093,基本資料!$A:$J,3,0),"無")</f>
        <v>10.31</v>
      </c>
      <c r="B1093" s="79">
        <f>IFERROR(VLOOKUP($G1093,基本資料!$A:$J,4,0),"無")</f>
        <v>62</v>
      </c>
      <c r="C1093" s="79">
        <f>IFERROR(VLOOKUP($G1093,基本資料!$A:$J,5,0),"無")</f>
        <v>49</v>
      </c>
      <c r="D1093" s="79">
        <f>IFERROR(VLOOKUP($G1093,基本資料!$A:$J,6,0),"無")</f>
        <v>-18</v>
      </c>
      <c r="E1093" s="79">
        <f>IFERROR(VLOOKUP($G1093,基本資料!$A:$J,7,0),"無")</f>
        <v>-13</v>
      </c>
      <c r="F1093" s="6">
        <f>IFERROR(VLOOKUP($G1093,基本資料!$A:$J,8,0),"無")</f>
        <v>21.58</v>
      </c>
      <c r="G1093" s="79">
        <v>3357</v>
      </c>
      <c r="H1093" s="8" t="s">
        <v>308</v>
      </c>
      <c r="I1093" s="16" t="s">
        <v>3236</v>
      </c>
      <c r="J1093" s="8">
        <f>IFERROR(VLOOKUP($G1093,今日總結!$A:$AJ,35,0),"")</f>
        <v>0</v>
      </c>
      <c r="K1093" s="5">
        <f>IFERROR(VLOOKUP($G1093,今日總結!$A:$AJ,36,0),"")</f>
        <v>9</v>
      </c>
      <c r="L1093" s="156">
        <f>IFERROR(VLOOKUP($G1093,今日總結!$A:$AJ,33,0),"")</f>
        <v>0</v>
      </c>
      <c r="M1093" s="340">
        <f>IFERROR(VLOOKUP($G1093,今日總結!$A:$AJ,34,0),"")</f>
        <v>2</v>
      </c>
      <c r="N1093" s="240">
        <f t="shared" si="213"/>
        <v>-2</v>
      </c>
      <c r="P1093" s="365">
        <f>IFERROR(VLOOKUP($G1093,融外自投!$A:$J,7,0),"無")</f>
        <v>1088</v>
      </c>
      <c r="Q1093" s="79" t="str">
        <f>IFERROR(VLOOKUP($G1093,融外自投!$A:$J,9,0),"無")</f>
        <v>無</v>
      </c>
      <c r="R1093" s="346">
        <f>IFERROR(VLOOKUP($G1093,融外自投!$A:$J,8,0),"無")</f>
        <v>469</v>
      </c>
      <c r="S1093" s="81" t="str">
        <f>IFERROR(VLOOKUP($G1093,融外自投!$A:$J,10,0),"無")</f>
        <v>無</v>
      </c>
      <c r="T1093" s="327">
        <f>IFERROR(VLOOKUP($G1093,'321買'!$A:$E,5,0),"'沒有資料'")</f>
        <v>752</v>
      </c>
      <c r="U1093" s="186">
        <f>IFERROR(VLOOKUP($G1093,基本資料!$A:$J,9,0),"無")</f>
        <v>7</v>
      </c>
      <c r="V1093" s="310">
        <f t="shared" si="211"/>
        <v>6.7307692307692304E-2</v>
      </c>
      <c r="W1093" s="94">
        <f>IFERROR(VLOOKUP($G1093,基本資料!$A:$J,10,0),"無")</f>
        <v>12.08</v>
      </c>
      <c r="X1093" s="36">
        <f>RTD("money.excel",,"3357","Price")</f>
        <v>104</v>
      </c>
      <c r="Y1093" s="66"/>
      <c r="Z1093" s="15">
        <f t="shared" si="208"/>
        <v>104</v>
      </c>
      <c r="AA1093" s="3" t="e">
        <f t="shared" si="209"/>
        <v>#DIV/0!</v>
      </c>
      <c r="AB1093" s="344" t="str">
        <f>IFERROR(VLOOKUP($G1093,基本資料!$A:$M,11,0),"無")</f>
        <v>無</v>
      </c>
      <c r="AC1093" s="397" t="str">
        <f>IFERROR(VLOOKUP($G1093,基本資料!$A:$M,12,0),"無")</f>
        <v>無</v>
      </c>
      <c r="AD1093" s="16" t="s">
        <v>3236</v>
      </c>
      <c r="AG1093" s="33">
        <f t="shared" si="210"/>
        <v>0</v>
      </c>
      <c r="AH1093" s="43" t="s">
        <v>3237</v>
      </c>
      <c r="AI1093" s="63">
        <f t="shared" si="212"/>
        <v>6.5955383123181375E-4</v>
      </c>
      <c r="AJ1093" s="284">
        <f>RTD("money.excel",,$G1093,"PredictVolume")</f>
        <v>68</v>
      </c>
      <c r="AK1093" s="399" t="str">
        <f>IFERROR(VLOOKUP($G1093,基本資料!$A:$M,13,0),"無")</f>
        <v>無</v>
      </c>
    </row>
    <row r="1094" spans="1:37">
      <c r="A1094" s="347">
        <f>IFERROR(VLOOKUP($G1094,基本資料!$A:$J,3,0),"無")</f>
        <v>19.239999999999998</v>
      </c>
      <c r="B1094" s="79">
        <f>IFERROR(VLOOKUP($G1094,基本資料!$A:$J,4,0),"無")</f>
        <v>-30</v>
      </c>
      <c r="C1094" s="79">
        <f>IFERROR(VLOOKUP($G1094,基本資料!$A:$J,5,0),"無")</f>
        <v>-41</v>
      </c>
      <c r="D1094" s="79">
        <f>IFERROR(VLOOKUP($G1094,基本資料!$A:$J,6,0),"無")</f>
        <v>-17</v>
      </c>
      <c r="E1094" s="79">
        <f>IFERROR(VLOOKUP($G1094,基本資料!$A:$J,7,0),"無")</f>
        <v>-20</v>
      </c>
      <c r="F1094" s="6">
        <f>IFERROR(VLOOKUP($G1094,基本資料!$A:$J,8,0),"無")</f>
        <v>12.99</v>
      </c>
      <c r="G1094" s="79">
        <v>3376</v>
      </c>
      <c r="H1094" s="8" t="s">
        <v>308</v>
      </c>
      <c r="I1094" s="22" t="s">
        <v>60</v>
      </c>
      <c r="J1094" s="8" t="str">
        <f>IFERROR(VLOOKUP($G1094,今日總結!$A:$AJ,35,0),"")</f>
        <v/>
      </c>
      <c r="K1094" s="5" t="str">
        <f>IFERROR(VLOOKUP($G1094,今日總結!$A:$AJ,36,0),"")</f>
        <v/>
      </c>
      <c r="L1094" s="156" t="str">
        <f>IFERROR(VLOOKUP($G1094,今日總結!$A:$AJ,33,0),"")</f>
        <v/>
      </c>
      <c r="M1094" s="340" t="str">
        <f>IFERROR(VLOOKUP($G1094,今日總結!$A:$AJ,34,0),"")</f>
        <v/>
      </c>
      <c r="N1094" s="240" t="str">
        <f t="shared" si="213"/>
        <v/>
      </c>
      <c r="P1094" s="365">
        <f>IFERROR(VLOOKUP($G1094,融外自投!$A:$J,7,0),"無")</f>
        <v>733</v>
      </c>
      <c r="Q1094" s="79">
        <f>IFERROR(VLOOKUP($G1094,融外自投!$A:$J,9,0),"無")</f>
        <v>571</v>
      </c>
      <c r="R1094" s="346">
        <f>IFERROR(VLOOKUP($G1094,融外自投!$A:$J,8,0),"無")</f>
        <v>275</v>
      </c>
      <c r="S1094" s="81">
        <f>IFERROR(VLOOKUP($G1094,融外自投!$A:$J,10,0),"無")</f>
        <v>289</v>
      </c>
      <c r="T1094" s="327">
        <f>IFERROR(VLOOKUP($G1094,'321買'!$A:$E,5,0),"'沒有資料'")</f>
        <v>357</v>
      </c>
      <c r="U1094" s="186">
        <f>IFERROR(VLOOKUP($G1094,基本資料!$A:$J,9,0),"無")</f>
        <v>5</v>
      </c>
      <c r="V1094" s="310">
        <f t="shared" si="211"/>
        <v>5.9737156511350059E-2</v>
      </c>
      <c r="W1094" s="94">
        <f>IFERROR(VLOOKUP($G1094,基本資料!$A:$J,10,0),"無")</f>
        <v>6.08</v>
      </c>
      <c r="X1094" s="36">
        <f>RTD("money.excel",,"3376","Price")</f>
        <v>83.7</v>
      </c>
      <c r="Y1094" s="66"/>
      <c r="Z1094" s="15">
        <f t="shared" si="208"/>
        <v>83.7</v>
      </c>
      <c r="AA1094" s="3" t="e">
        <f t="shared" si="209"/>
        <v>#DIV/0!</v>
      </c>
      <c r="AB1094" s="344">
        <f>IFERROR(VLOOKUP($G1094,基本資料!$A:$M,11,0),"無")</f>
        <v>-35.79</v>
      </c>
      <c r="AC1094" s="397">
        <f>IFERROR(VLOOKUP($G1094,基本資料!$A:$M,12,0),"無")</f>
        <v>46.07</v>
      </c>
      <c r="AD1094" s="22" t="s">
        <v>60</v>
      </c>
      <c r="AG1094" s="33">
        <f t="shared" si="210"/>
        <v>0</v>
      </c>
      <c r="AH1094" s="117" t="s">
        <v>2405</v>
      </c>
      <c r="AI1094" s="63">
        <f t="shared" si="212"/>
        <v>7.9002079002079011E-4</v>
      </c>
      <c r="AJ1094" s="284">
        <f>RTD("money.excel",,$G1094,"PredictVolume")</f>
        <v>152</v>
      </c>
      <c r="AK1094" s="399">
        <f>IFERROR(VLOOKUP($G1094,基本資料!$A:$M,13,0),"無")</f>
        <v>1.72</v>
      </c>
    </row>
    <row r="1095" spans="1:37">
      <c r="A1095" s="347">
        <f>IFERROR(VLOOKUP($G1095,基本資料!$A:$J,3,0),"無")</f>
        <v>7.4</v>
      </c>
      <c r="B1095" s="79">
        <f>IFERROR(VLOOKUP($G1095,基本資料!$A:$J,4,0),"無")</f>
        <v>49</v>
      </c>
      <c r="C1095" s="79">
        <f>IFERROR(VLOOKUP($G1095,基本資料!$A:$J,5,0),"無")</f>
        <v>53</v>
      </c>
      <c r="D1095" s="79">
        <f>IFERROR(VLOOKUP($G1095,基本資料!$A:$J,6,0),"無")</f>
        <v>50</v>
      </c>
      <c r="E1095" s="79">
        <f>IFERROR(VLOOKUP($G1095,基本資料!$A:$J,7,0),"無")</f>
        <v>6</v>
      </c>
      <c r="F1095" s="6">
        <f>IFERROR(VLOOKUP($G1095,基本資料!$A:$J,8,0),"無")</f>
        <v>8.1300000000000008</v>
      </c>
      <c r="G1095" s="79">
        <v>3388</v>
      </c>
      <c r="H1095" s="8" t="s">
        <v>308</v>
      </c>
      <c r="I1095" s="16" t="s">
        <v>4569</v>
      </c>
      <c r="J1095" s="8" t="str">
        <f>IFERROR(VLOOKUP($G1095,今日總結!$A:$AJ,35,0),"")</f>
        <v/>
      </c>
      <c r="K1095" s="5" t="str">
        <f>IFERROR(VLOOKUP($G1095,今日總結!$A:$AJ,36,0),"")</f>
        <v/>
      </c>
      <c r="L1095" s="156" t="str">
        <f>IFERROR(VLOOKUP($G1095,今日總結!$A:$AJ,33,0),"")</f>
        <v/>
      </c>
      <c r="M1095" s="340" t="str">
        <f>IFERROR(VLOOKUP($G1095,今日總結!$A:$AJ,34,0),"")</f>
        <v/>
      </c>
      <c r="N1095" s="240" t="str">
        <f t="shared" si="213"/>
        <v/>
      </c>
      <c r="P1095" s="365">
        <f>IFERROR(VLOOKUP($G1095,融外自投!$A:$J,7,0),"無")</f>
        <v>1288</v>
      </c>
      <c r="Q1095" s="79">
        <f>IFERROR(VLOOKUP($G1095,融外自投!$A:$J,9,0),"無")</f>
        <v>211</v>
      </c>
      <c r="R1095" s="346">
        <f>IFERROR(VLOOKUP($G1095,融外自投!$A:$J,8,0),"無")</f>
        <v>663</v>
      </c>
      <c r="S1095" s="81" t="str">
        <f>IFERROR(VLOOKUP($G1095,融外自投!$A:$J,10,0),"無")</f>
        <v>無</v>
      </c>
      <c r="T1095" s="327">
        <f>IFERROR(VLOOKUP($G1095,'321買'!$A:$E,5,0),"'沒有資料'")</f>
        <v>984</v>
      </c>
      <c r="U1095" s="186">
        <f>IFERROR(VLOOKUP($G1095,基本資料!$A:$J,9,0),"無")</f>
        <v>6</v>
      </c>
      <c r="V1095" s="310">
        <f t="shared" si="211"/>
        <v>7.1856287425149698E-2</v>
      </c>
      <c r="W1095" s="94">
        <f>IFERROR(VLOOKUP($G1095,基本資料!$A:$J,10,0),"無")</f>
        <v>8.0399999999999991</v>
      </c>
      <c r="X1095" s="36">
        <f>RTD("money.excel",,"3388","Price")</f>
        <v>83.5</v>
      </c>
      <c r="Y1095" s="66"/>
      <c r="Z1095" s="15">
        <f t="shared" si="208"/>
        <v>83.5</v>
      </c>
      <c r="AA1095" s="3" t="e">
        <f t="shared" si="209"/>
        <v>#DIV/0!</v>
      </c>
      <c r="AB1095" s="344">
        <f>IFERROR(VLOOKUP($G1095,基本資料!$A:$M,11,0),"無")</f>
        <v>-3.78</v>
      </c>
      <c r="AC1095" s="397">
        <f>IFERROR(VLOOKUP($G1095,基本資料!$A:$M,12,0),"無")</f>
        <v>48.03</v>
      </c>
      <c r="AD1095" s="16" t="s">
        <v>4569</v>
      </c>
      <c r="AG1095" s="33">
        <f t="shared" si="210"/>
        <v>0</v>
      </c>
      <c r="AH1095" s="43" t="s">
        <v>1698</v>
      </c>
      <c r="AI1095" s="63">
        <f t="shared" si="212"/>
        <v>1.7972972972972972E-3</v>
      </c>
      <c r="AJ1095" s="284">
        <f>RTD("money.excel",,$G1095,"PredictVolume")</f>
        <v>133</v>
      </c>
      <c r="AK1095" s="399">
        <f>IFERROR(VLOOKUP($G1095,基本資料!$A:$M,13,0),"無")</f>
        <v>0.68</v>
      </c>
    </row>
    <row r="1096" spans="1:37">
      <c r="A1096" s="347">
        <f>IFERROR(VLOOKUP($G1096,基本資料!$A:$J,3,0),"無")</f>
        <v>6.75</v>
      </c>
      <c r="B1096" s="79">
        <f>IFERROR(VLOOKUP($G1096,基本資料!$A:$J,4,0),"無")</f>
        <v>126</v>
      </c>
      <c r="C1096" s="79">
        <f>IFERROR(VLOOKUP($G1096,基本資料!$A:$J,5,0),"無")</f>
        <v>143</v>
      </c>
      <c r="D1096" s="79">
        <f>IFERROR(VLOOKUP($G1096,基本資料!$A:$J,6,0),"無")</f>
        <v>14</v>
      </c>
      <c r="E1096" s="79">
        <f>IFERROR(VLOOKUP($G1096,基本資料!$A:$J,7,0),"無")</f>
        <v>50</v>
      </c>
      <c r="F1096" s="6">
        <f>IFERROR(VLOOKUP($G1096,基本資料!$A:$J,8,0),"無")</f>
        <v>5.93</v>
      </c>
      <c r="G1096" s="79">
        <v>3390</v>
      </c>
      <c r="H1096" s="8" t="s">
        <v>308</v>
      </c>
      <c r="I1096" s="16" t="s">
        <v>4570</v>
      </c>
      <c r="J1096" s="8" t="str">
        <f>IFERROR(VLOOKUP($G1096,今日總結!$A:$AJ,35,0),"")</f>
        <v/>
      </c>
      <c r="K1096" s="5" t="str">
        <f>IFERROR(VLOOKUP($G1096,今日總結!$A:$AJ,36,0),"")</f>
        <v/>
      </c>
      <c r="L1096" s="156" t="str">
        <f>IFERROR(VLOOKUP($G1096,今日總結!$A:$AJ,33,0),"")</f>
        <v/>
      </c>
      <c r="M1096" s="340" t="str">
        <f>IFERROR(VLOOKUP($G1096,今日總結!$A:$AJ,34,0),"")</f>
        <v/>
      </c>
      <c r="N1096" s="240" t="str">
        <f t="shared" si="213"/>
        <v/>
      </c>
      <c r="P1096" s="365">
        <f>IFERROR(VLOOKUP($G1096,融外自投!$A:$J,7,0),"無")</f>
        <v>293</v>
      </c>
      <c r="Q1096" s="79">
        <f>IFERROR(VLOOKUP($G1096,融外自投!$A:$J,9,0),"無")</f>
        <v>1051</v>
      </c>
      <c r="R1096" s="346">
        <f>IFERROR(VLOOKUP($G1096,融外自投!$A:$J,8,0),"無")</f>
        <v>1040</v>
      </c>
      <c r="S1096" s="81" t="str">
        <f>IFERROR(VLOOKUP($G1096,融外自投!$A:$J,10,0),"無")</f>
        <v>無</v>
      </c>
      <c r="T1096" s="327">
        <f>IFERROR(VLOOKUP($G1096,'321買'!$A:$E,5,0),"'沒有資料'")</f>
        <v>894</v>
      </c>
      <c r="U1096" s="186">
        <f>IFERROR(VLOOKUP($G1096,基本資料!$A:$J,9,0),"無")</f>
        <v>0.38</v>
      </c>
      <c r="V1096" s="310">
        <f t="shared" si="211"/>
        <v>2.1714285714285714E-2</v>
      </c>
      <c r="W1096" s="94">
        <f>IFERROR(VLOOKUP($G1096,基本資料!$A:$J,10,0),"無")</f>
        <v>0.48</v>
      </c>
      <c r="X1096" s="36">
        <f>RTD("money.excel",,"3390","Price")</f>
        <v>17.5</v>
      </c>
      <c r="Y1096" s="66"/>
      <c r="Z1096" s="15">
        <f t="shared" si="208"/>
        <v>17.5</v>
      </c>
      <c r="AA1096" s="3" t="e">
        <f t="shared" si="209"/>
        <v>#DIV/0!</v>
      </c>
      <c r="AB1096" s="344">
        <f>IFERROR(VLOOKUP($G1096,基本資料!$A:$M,11,0),"無")</f>
        <v>-42.05</v>
      </c>
      <c r="AC1096" s="397">
        <f>IFERROR(VLOOKUP($G1096,基本資料!$A:$M,12,0),"無")</f>
        <v>30.4</v>
      </c>
      <c r="AD1096" s="16" t="s">
        <v>4570</v>
      </c>
      <c r="AG1096" s="33">
        <f t="shared" si="210"/>
        <v>0</v>
      </c>
      <c r="AH1096" s="43" t="s">
        <v>2400</v>
      </c>
      <c r="AI1096" s="63">
        <f t="shared" si="212"/>
        <v>4.0296296296296295E-3</v>
      </c>
      <c r="AJ1096" s="284">
        <f>RTD("money.excel",,$G1096,"PredictVolume")</f>
        <v>272</v>
      </c>
      <c r="AK1096" s="399">
        <f>IFERROR(VLOOKUP($G1096,基本資料!$A:$M,13,0),"無")</f>
        <v>21.03</v>
      </c>
    </row>
    <row r="1097" spans="1:37">
      <c r="A1097" s="347">
        <f>IFERROR(VLOOKUP($G1097,基本資料!$A:$J,3,0),"無")</f>
        <v>6.65</v>
      </c>
      <c r="B1097" s="79">
        <f>IFERROR(VLOOKUP($G1097,基本資料!$A:$J,4,0),"無")</f>
        <v>75</v>
      </c>
      <c r="C1097" s="79">
        <f>IFERROR(VLOOKUP($G1097,基本資料!$A:$J,5,0),"無")</f>
        <v>10</v>
      </c>
      <c r="D1097" s="79">
        <f>IFERROR(VLOOKUP($G1097,基本資料!$A:$J,6,0),"無")</f>
        <v>81</v>
      </c>
      <c r="E1097" s="79">
        <f>IFERROR(VLOOKUP($G1097,基本資料!$A:$J,7,0),"無")</f>
        <v>-54</v>
      </c>
      <c r="F1097" s="6">
        <f>IFERROR(VLOOKUP($G1097,基本資料!$A:$J,8,0),"無")</f>
        <v>-54.85</v>
      </c>
      <c r="G1097" s="79">
        <v>3432</v>
      </c>
      <c r="H1097" s="8" t="s">
        <v>308</v>
      </c>
      <c r="I1097" s="22" t="s">
        <v>390</v>
      </c>
      <c r="J1097" s="8" t="str">
        <f>IFERROR(VLOOKUP($G1097,今日總結!$A:$AJ,35,0),"")</f>
        <v/>
      </c>
      <c r="K1097" s="5" t="str">
        <f>IFERROR(VLOOKUP($G1097,今日總結!$A:$AJ,36,0),"")</f>
        <v/>
      </c>
      <c r="L1097" s="156" t="str">
        <f>IFERROR(VLOOKUP($G1097,今日總結!$A:$AJ,33,0),"")</f>
        <v/>
      </c>
      <c r="M1097" s="340" t="str">
        <f>IFERROR(VLOOKUP($G1097,今日總結!$A:$AJ,34,0),"")</f>
        <v/>
      </c>
      <c r="N1097" s="240" t="str">
        <f t="shared" si="213"/>
        <v/>
      </c>
      <c r="P1097" s="365">
        <f>IFERROR(VLOOKUP($G1097,融外自投!$A:$J,7,0),"無")</f>
        <v>460</v>
      </c>
      <c r="Q1097" s="79">
        <f>IFERROR(VLOOKUP($G1097,融外自投!$A:$J,9,0),"無")</f>
        <v>852</v>
      </c>
      <c r="R1097" s="346">
        <f>IFERROR(VLOOKUP($G1097,融外自投!$A:$J,8,0),"無")</f>
        <v>787</v>
      </c>
      <c r="S1097" s="81" t="str">
        <f>IFERROR(VLOOKUP($G1097,融外自投!$A:$J,10,0),"無")</f>
        <v>無</v>
      </c>
      <c r="T1097" s="327">
        <f>IFERROR(VLOOKUP($G1097,'321買'!$A:$E,5,0),"'沒有資料'")</f>
        <v>1259</v>
      </c>
      <c r="U1097" s="186">
        <f>IFERROR(VLOOKUP($G1097,基本資料!$A:$J,9,0),"無")</f>
        <v>0.5</v>
      </c>
      <c r="V1097" s="310">
        <f t="shared" si="211"/>
        <v>3.7313432835820892E-2</v>
      </c>
      <c r="W1097" s="94">
        <f>IFERROR(VLOOKUP($G1097,基本資料!$A:$J,10,0),"無")</f>
        <v>0.86</v>
      </c>
      <c r="X1097" s="36">
        <f>RTD("money.excel",,"3432","Price")</f>
        <v>13.4</v>
      </c>
      <c r="Y1097" s="66"/>
      <c r="Z1097" s="15">
        <f t="shared" si="208"/>
        <v>13.4</v>
      </c>
      <c r="AA1097" s="3" t="e">
        <f t="shared" si="209"/>
        <v>#DIV/0!</v>
      </c>
      <c r="AB1097" s="344">
        <f>IFERROR(VLOOKUP($G1097,基本資料!$A:$M,11,0),"無")</f>
        <v>-22.38</v>
      </c>
      <c r="AC1097" s="397">
        <f>IFERROR(VLOOKUP($G1097,基本資料!$A:$M,12,0),"無")</f>
        <v>27.31</v>
      </c>
      <c r="AD1097" s="22" t="s">
        <v>390</v>
      </c>
      <c r="AG1097" s="33">
        <f t="shared" si="210"/>
        <v>0</v>
      </c>
      <c r="AH1097" s="43" t="s">
        <v>1903</v>
      </c>
      <c r="AI1097" s="63">
        <f t="shared" si="212"/>
        <v>9.6240601503759396E-4</v>
      </c>
      <c r="AJ1097" s="284">
        <f>RTD("money.excel",,$G1097,"PredictVolume")</f>
        <v>64</v>
      </c>
      <c r="AK1097" s="399">
        <f>IFERROR(VLOOKUP($G1097,基本資料!$A:$M,13,0),"無")</f>
        <v>37.520000000000003</v>
      </c>
    </row>
    <row r="1098" spans="1:37">
      <c r="A1098" s="347">
        <f>IFERROR(VLOOKUP($G1098,基本資料!$A:$J,3,0),"無")</f>
        <v>3.23</v>
      </c>
      <c r="B1098" s="79">
        <f>IFERROR(VLOOKUP($G1098,基本資料!$A:$J,4,0),"無")</f>
        <v>1102</v>
      </c>
      <c r="C1098" s="79">
        <f>IFERROR(VLOOKUP($G1098,基本資料!$A:$J,5,0),"無")</f>
        <v>1203</v>
      </c>
      <c r="D1098" s="79">
        <f>IFERROR(VLOOKUP($G1098,基本資料!$A:$J,6,0),"無")</f>
        <v>73</v>
      </c>
      <c r="E1098" s="79">
        <f>IFERROR(VLOOKUP($G1098,基本資料!$A:$J,7,0),"無")</f>
        <v>-42</v>
      </c>
      <c r="F1098" s="6">
        <f>IFERROR(VLOOKUP($G1098,基本資料!$A:$J,8,0),"無")</f>
        <v>20.239999999999998</v>
      </c>
      <c r="G1098" s="79">
        <v>3465</v>
      </c>
      <c r="H1098" s="8" t="s">
        <v>308</v>
      </c>
      <c r="I1098" s="16" t="s">
        <v>2959</v>
      </c>
      <c r="J1098" s="8" t="str">
        <f>IFERROR(VLOOKUP($G1098,今日總結!$A:$AJ,35,0),"")</f>
        <v/>
      </c>
      <c r="K1098" s="5" t="str">
        <f>IFERROR(VLOOKUP($G1098,今日總結!$A:$AJ,36,0),"")</f>
        <v/>
      </c>
      <c r="L1098" s="156" t="str">
        <f>IFERROR(VLOOKUP($G1098,今日總結!$A:$AJ,33,0),"")</f>
        <v/>
      </c>
      <c r="M1098" s="340" t="str">
        <f>IFERROR(VLOOKUP($G1098,今日總結!$A:$AJ,34,0),"")</f>
        <v/>
      </c>
      <c r="N1098" s="240" t="str">
        <f t="shared" si="213"/>
        <v/>
      </c>
      <c r="P1098" s="365" t="str">
        <f>IFERROR(VLOOKUP($G1098,融外自投!$A:$J,7,0),"無")</f>
        <v>無</v>
      </c>
      <c r="Q1098" s="79" t="str">
        <f>IFERROR(VLOOKUP($G1098,融外自投!$A:$J,9,0),"無")</f>
        <v>無</v>
      </c>
      <c r="R1098" s="346" t="str">
        <f>IFERROR(VLOOKUP($G1098,融外自投!$A:$J,8,0),"無")</f>
        <v>無</v>
      </c>
      <c r="S1098" s="81" t="str">
        <f>IFERROR(VLOOKUP($G1098,融外自投!$A:$J,10,0),"無")</f>
        <v>無</v>
      </c>
      <c r="T1098" s="327" t="str">
        <f>IFERROR(VLOOKUP($G1098,'321買'!$A:$E,5,0),"'沒有資料'")</f>
        <v>'沒有資料'</v>
      </c>
      <c r="U1098" s="186">
        <f>IFERROR(VLOOKUP($G1098,基本資料!$A:$J,9,0),"無")</f>
        <v>8.5</v>
      </c>
      <c r="V1098" s="310">
        <f t="shared" si="211"/>
        <v>8.9285714285714288E-2</v>
      </c>
      <c r="W1098" s="94">
        <f>IFERROR(VLOOKUP($G1098,基本資料!$A:$J,10,0),"無")</f>
        <v>16.36</v>
      </c>
      <c r="X1098" s="36">
        <f>RTD("money.excel",,"3465","Price")</f>
        <v>95.2</v>
      </c>
      <c r="Y1098" s="66"/>
      <c r="Z1098" s="15">
        <f t="shared" si="208"/>
        <v>95.2</v>
      </c>
      <c r="AA1098" s="3" t="e">
        <f t="shared" si="209"/>
        <v>#DIV/0!</v>
      </c>
      <c r="AB1098" s="344">
        <f>IFERROR(VLOOKUP($G1098,基本資料!$A:$M,11,0),"無")</f>
        <v>-63.7</v>
      </c>
      <c r="AC1098" s="397">
        <f>IFERROR(VLOOKUP($G1098,基本資料!$A:$M,12,0),"無")</f>
        <v>2.75</v>
      </c>
      <c r="AD1098" s="16" t="s">
        <v>2959</v>
      </c>
      <c r="AG1098" s="33">
        <f t="shared" si="210"/>
        <v>0</v>
      </c>
      <c r="AH1098" s="43" t="s">
        <v>2401</v>
      </c>
      <c r="AI1098" s="63">
        <f t="shared" si="212"/>
        <v>6.1919504643962849E-5</v>
      </c>
      <c r="AJ1098" s="284">
        <f>RTD("money.excel",,$G1098,"PredictVolume")</f>
        <v>2</v>
      </c>
      <c r="AK1098" s="399">
        <f>IFERROR(VLOOKUP($G1098,基本資料!$A:$M,13,0),"無")</f>
        <v>3.09</v>
      </c>
    </row>
    <row r="1099" spans="1:37">
      <c r="A1099" s="347">
        <f>IFERROR(VLOOKUP($G1099,基本資料!$A:$J,3,0),"無")</f>
        <v>6.97</v>
      </c>
      <c r="B1099" s="79">
        <f>IFERROR(VLOOKUP($G1099,基本資料!$A:$J,4,0),"無")</f>
        <v>56</v>
      </c>
      <c r="C1099" s="79">
        <f>IFERROR(VLOOKUP($G1099,基本資料!$A:$J,5,0),"無")</f>
        <v>51</v>
      </c>
      <c r="D1099" s="79">
        <f>IFERROR(VLOOKUP($G1099,基本資料!$A:$J,6,0),"無")</f>
        <v>-15</v>
      </c>
      <c r="E1099" s="79">
        <f>IFERROR(VLOOKUP($G1099,基本資料!$A:$J,7,0),"無")</f>
        <v>-7</v>
      </c>
      <c r="F1099" s="6">
        <f>IFERROR(VLOOKUP($G1099,基本資料!$A:$J,8,0),"無")</f>
        <v>9.5</v>
      </c>
      <c r="G1099" s="79">
        <v>3484</v>
      </c>
      <c r="H1099" s="8" t="s">
        <v>308</v>
      </c>
      <c r="I1099" s="16" t="s">
        <v>406</v>
      </c>
      <c r="J1099" s="8" t="str">
        <f>IFERROR(VLOOKUP($G1099,今日總結!$A:$AJ,35,0),"")</f>
        <v/>
      </c>
      <c r="K1099" s="5" t="str">
        <f>IFERROR(VLOOKUP($G1099,今日總結!$A:$AJ,36,0),"")</f>
        <v/>
      </c>
      <c r="L1099" s="156" t="str">
        <f>IFERROR(VLOOKUP($G1099,今日總結!$A:$AJ,33,0),"")</f>
        <v/>
      </c>
      <c r="M1099" s="340" t="str">
        <f>IFERROR(VLOOKUP($G1099,今日總結!$A:$AJ,34,0),"")</f>
        <v/>
      </c>
      <c r="N1099" s="240" t="str">
        <f t="shared" si="213"/>
        <v/>
      </c>
      <c r="P1099" s="365">
        <f>IFERROR(VLOOKUP($G1099,融外自投!$A:$J,7,0),"無")</f>
        <v>387</v>
      </c>
      <c r="Q1099" s="79">
        <f>IFERROR(VLOOKUP($G1099,融外自投!$A:$J,9,0),"無")</f>
        <v>391</v>
      </c>
      <c r="R1099" s="346">
        <f>IFERROR(VLOOKUP($G1099,融外自投!$A:$J,8,0),"無")</f>
        <v>981</v>
      </c>
      <c r="S1099" s="81" t="str">
        <f>IFERROR(VLOOKUP($G1099,融外自投!$A:$J,10,0),"無")</f>
        <v>無</v>
      </c>
      <c r="T1099" s="327">
        <f>IFERROR(VLOOKUP($G1099,'321買'!$A:$E,5,0),"'沒有資料'")</f>
        <v>752</v>
      </c>
      <c r="U1099" s="186">
        <f>IFERROR(VLOOKUP($G1099,基本資料!$A:$J,9,0),"無")</f>
        <v>4.0999999999999996</v>
      </c>
      <c r="V1099" s="310">
        <f t="shared" si="211"/>
        <v>6.7213114754098358E-2</v>
      </c>
      <c r="W1099" s="94">
        <f>IFERROR(VLOOKUP($G1099,基本資料!$A:$J,10,0),"無")</f>
        <v>8.16</v>
      </c>
      <c r="X1099" s="36">
        <f>RTD("money.excel",,"3484","Price")</f>
        <v>61</v>
      </c>
      <c r="Y1099" s="66"/>
      <c r="Z1099" s="15">
        <f t="shared" si="208"/>
        <v>61</v>
      </c>
      <c r="AA1099" s="3" t="e">
        <f t="shared" si="209"/>
        <v>#DIV/0!</v>
      </c>
      <c r="AB1099" s="344">
        <f>IFERROR(VLOOKUP($G1099,基本資料!$A:$M,11,0),"無")</f>
        <v>-35.1</v>
      </c>
      <c r="AC1099" s="397">
        <f>IFERROR(VLOOKUP($G1099,基本資料!$A:$M,12,0),"無")</f>
        <v>12.28</v>
      </c>
      <c r="AD1099" s="16" t="s">
        <v>406</v>
      </c>
      <c r="AG1099" s="33">
        <f t="shared" si="210"/>
        <v>0</v>
      </c>
      <c r="AH1099" s="43" t="s">
        <v>2894</v>
      </c>
      <c r="AI1099" s="63">
        <f t="shared" si="212"/>
        <v>3.8450502152080346E-3</v>
      </c>
      <c r="AJ1099" s="284">
        <f>RTD("money.excel",,$G1099,"PredictVolume")</f>
        <v>268</v>
      </c>
      <c r="AK1099" s="399">
        <f>IFERROR(VLOOKUP($G1099,基本資料!$A:$M,13,0),"無")</f>
        <v>26.37</v>
      </c>
    </row>
    <row r="1100" spans="1:37">
      <c r="A1100" s="347">
        <f>IFERROR(VLOOKUP($G1100,基本資料!$A:$J,3,0),"無")</f>
        <v>3.55</v>
      </c>
      <c r="B1100" s="79">
        <f>IFERROR(VLOOKUP($G1100,基本資料!$A:$J,4,0),"無")</f>
        <v>18</v>
      </c>
      <c r="C1100" s="79">
        <f>IFERROR(VLOOKUP($G1100,基本資料!$A:$J,5,0),"無")</f>
        <v>35</v>
      </c>
      <c r="D1100" s="79">
        <f>IFERROR(VLOOKUP($G1100,基本資料!$A:$J,6,0),"無")</f>
        <v>17</v>
      </c>
      <c r="E1100" s="79">
        <f>IFERROR(VLOOKUP($G1100,基本資料!$A:$J,7,0),"無")</f>
        <v>-5</v>
      </c>
      <c r="F1100" s="6">
        <f>IFERROR(VLOOKUP($G1100,基本資料!$A:$J,8,0),"無")</f>
        <v>3.75</v>
      </c>
      <c r="G1100" s="79">
        <v>3492</v>
      </c>
      <c r="H1100" s="8" t="s">
        <v>308</v>
      </c>
      <c r="I1100" s="16" t="s">
        <v>407</v>
      </c>
      <c r="J1100" s="8" t="str">
        <f>IFERROR(VLOOKUP($G1100,今日總結!$A:$AJ,35,0),"")</f>
        <v/>
      </c>
      <c r="K1100" s="5" t="str">
        <f>IFERROR(VLOOKUP($G1100,今日總結!$A:$AJ,36,0),"")</f>
        <v/>
      </c>
      <c r="L1100" s="156" t="str">
        <f>IFERROR(VLOOKUP($G1100,今日總結!$A:$AJ,33,0),"")</f>
        <v/>
      </c>
      <c r="M1100" s="340" t="str">
        <f>IFERROR(VLOOKUP($G1100,今日總結!$A:$AJ,34,0),"")</f>
        <v/>
      </c>
      <c r="N1100" s="240" t="str">
        <f t="shared" si="213"/>
        <v/>
      </c>
      <c r="P1100" s="365">
        <f>IFERROR(VLOOKUP($G1100,融外自投!$A:$J,7,0),"無")</f>
        <v>416</v>
      </c>
      <c r="Q1100" s="79" t="str">
        <f>IFERROR(VLOOKUP($G1100,融外自投!$A:$J,9,0),"無")</f>
        <v>無</v>
      </c>
      <c r="R1100" s="346">
        <f>IFERROR(VLOOKUP($G1100,融外自投!$A:$J,8,0),"無")</f>
        <v>1378</v>
      </c>
      <c r="S1100" s="81" t="str">
        <f>IFERROR(VLOOKUP($G1100,融外自投!$A:$J,10,0),"無")</f>
        <v>無</v>
      </c>
      <c r="T1100" s="327">
        <f>IFERROR(VLOOKUP($G1100,'321買'!$A:$E,5,0),"'沒有資料'")</f>
        <v>1126</v>
      </c>
      <c r="U1100" s="186">
        <f>IFERROR(VLOOKUP($G1100,基本資料!$A:$J,9,0),"無")</f>
        <v>0</v>
      </c>
      <c r="V1100" s="310">
        <f t="shared" si="211"/>
        <v>0</v>
      </c>
      <c r="W1100" s="94">
        <f>IFERROR(VLOOKUP($G1100,基本資料!$A:$J,10,0),"無")</f>
        <v>0.5</v>
      </c>
      <c r="X1100" s="36">
        <f>RTD("money.excel",,"3492","Price")</f>
        <v>17.850000000000001</v>
      </c>
      <c r="Y1100" s="66"/>
      <c r="Z1100" s="15">
        <f t="shared" si="208"/>
        <v>17.850000000000001</v>
      </c>
      <c r="AA1100" s="3" t="e">
        <f t="shared" si="209"/>
        <v>#DIV/0!</v>
      </c>
      <c r="AB1100" s="344">
        <f>IFERROR(VLOOKUP($G1100,基本資料!$A:$M,11,0),"無")</f>
        <v>-32.33</v>
      </c>
      <c r="AC1100" s="397">
        <f>IFERROR(VLOOKUP($G1100,基本資料!$A:$M,12,0),"無")</f>
        <v>29.22</v>
      </c>
      <c r="AD1100" s="16" t="s">
        <v>407</v>
      </c>
      <c r="AG1100" s="33">
        <f t="shared" si="210"/>
        <v>0</v>
      </c>
      <c r="AH1100" s="43" t="s">
        <v>1903</v>
      </c>
      <c r="AI1100" s="63">
        <f t="shared" si="212"/>
        <v>1.6619718309859154E-3</v>
      </c>
      <c r="AJ1100" s="284">
        <f>RTD("money.excel",,$G1100,"PredictVolume")</f>
        <v>59</v>
      </c>
      <c r="AK1100" s="399">
        <f>IFERROR(VLOOKUP($G1100,基本資料!$A:$M,13,0),"無")</f>
        <v>16.16</v>
      </c>
    </row>
    <row r="1101" spans="1:37">
      <c r="A1101" s="347">
        <f>IFERROR(VLOOKUP($G1101,基本資料!$A:$J,3,0),"無")</f>
        <v>11.82</v>
      </c>
      <c r="B1101" s="79">
        <f>IFERROR(VLOOKUP($G1101,基本資料!$A:$J,4,0),"無")</f>
        <v>-18</v>
      </c>
      <c r="C1101" s="79">
        <f>IFERROR(VLOOKUP($G1101,基本資料!$A:$J,5,0),"無")</f>
        <v>-18</v>
      </c>
      <c r="D1101" s="79">
        <f>IFERROR(VLOOKUP($G1101,基本資料!$A:$J,6,0),"無")</f>
        <v>52</v>
      </c>
      <c r="E1101" s="79">
        <f>IFERROR(VLOOKUP($G1101,基本資料!$A:$J,7,0),"無")</f>
        <v>25</v>
      </c>
      <c r="F1101" s="6">
        <f>IFERROR(VLOOKUP($G1101,基本資料!$A:$J,8,0),"無")</f>
        <v>7.95</v>
      </c>
      <c r="G1101" s="79">
        <v>3501</v>
      </c>
      <c r="H1101" s="8" t="s">
        <v>308</v>
      </c>
      <c r="I1101" s="22" t="s">
        <v>4571</v>
      </c>
      <c r="J1101" s="8">
        <f>IFERROR(VLOOKUP($G1101,今日總結!$A:$AJ,35,0),"")</f>
        <v>0</v>
      </c>
      <c r="K1101" s="5">
        <f>IFERROR(VLOOKUP($G1101,今日總結!$A:$AJ,36,0),"")</f>
        <v>0</v>
      </c>
      <c r="L1101" s="156">
        <f>IFERROR(VLOOKUP($G1101,今日總結!$A:$AJ,33,0),"")</f>
        <v>0</v>
      </c>
      <c r="M1101" s="340">
        <f>IFERROR(VLOOKUP($G1101,今日總結!$A:$AJ,34,0),"")</f>
        <v>1</v>
      </c>
      <c r="N1101" s="240">
        <f t="shared" si="213"/>
        <v>-1</v>
      </c>
      <c r="P1101" s="365">
        <f>IFERROR(VLOOKUP($G1101,融外自投!$A:$J,7,0),"無")</f>
        <v>1231</v>
      </c>
      <c r="Q1101" s="79">
        <f>IFERROR(VLOOKUP($G1101,融外自投!$A:$J,9,0),"無")</f>
        <v>1110</v>
      </c>
      <c r="R1101" s="346">
        <f>IFERROR(VLOOKUP($G1101,融外自投!$A:$J,8,0),"無")</f>
        <v>831</v>
      </c>
      <c r="S1101" s="81" t="str">
        <f>IFERROR(VLOOKUP($G1101,融外自投!$A:$J,10,0),"無")</f>
        <v>無</v>
      </c>
      <c r="T1101" s="327">
        <f>IFERROR(VLOOKUP($G1101,'321買'!$A:$E,5,0),"'沒有資料'")</f>
        <v>1179</v>
      </c>
      <c r="U1101" s="186">
        <f>IFERROR(VLOOKUP($G1101,基本資料!$A:$J,9,0),"無")</f>
        <v>2</v>
      </c>
      <c r="V1101" s="310">
        <f t="shared" si="211"/>
        <v>4.8309178743961352E-2</v>
      </c>
      <c r="W1101" s="94">
        <f>IFERROR(VLOOKUP($G1101,基本資料!$A:$J,10,0),"無")</f>
        <v>2.92</v>
      </c>
      <c r="X1101" s="36">
        <f>RTD("money.excel",,"3501","Price")</f>
        <v>41.4</v>
      </c>
      <c r="Y1101" s="66"/>
      <c r="Z1101" s="15">
        <f t="shared" si="208"/>
        <v>41.4</v>
      </c>
      <c r="AA1101" s="3" t="e">
        <f t="shared" si="209"/>
        <v>#DIV/0!</v>
      </c>
      <c r="AB1101" s="344">
        <f>IFERROR(VLOOKUP($G1101,基本資料!$A:$M,11,0),"無")</f>
        <v>-19.47</v>
      </c>
      <c r="AC1101" s="397">
        <f>IFERROR(VLOOKUP($G1101,基本資料!$A:$M,12,0),"無")</f>
        <v>4.83</v>
      </c>
      <c r="AD1101" s="22" t="s">
        <v>4571</v>
      </c>
      <c r="AG1101" s="33">
        <f t="shared" si="210"/>
        <v>0</v>
      </c>
      <c r="AH1101" s="119" t="s">
        <v>1706</v>
      </c>
      <c r="AI1101" s="63">
        <f t="shared" si="212"/>
        <v>7.8680203045685283E-4</v>
      </c>
      <c r="AJ1101" s="284">
        <f>RTD("money.excel",,$G1101,"PredictVolume")</f>
        <v>93</v>
      </c>
      <c r="AK1101" s="399">
        <f>IFERROR(VLOOKUP($G1101,基本資料!$A:$M,13,0),"無")</f>
        <v>0.64</v>
      </c>
    </row>
    <row r="1102" spans="1:37">
      <c r="A1102" s="347">
        <f>IFERROR(VLOOKUP($G1102,基本資料!$A:$J,3,0),"無")</f>
        <v>7.99</v>
      </c>
      <c r="B1102" s="79">
        <f>IFERROR(VLOOKUP($G1102,基本資料!$A:$J,4,0),"無")</f>
        <v>65</v>
      </c>
      <c r="C1102" s="79">
        <f>IFERROR(VLOOKUP($G1102,基本資料!$A:$J,5,0),"無")</f>
        <v>69</v>
      </c>
      <c r="D1102" s="79">
        <f>IFERROR(VLOOKUP($G1102,基本資料!$A:$J,6,0),"無")</f>
        <v>-8</v>
      </c>
      <c r="E1102" s="79">
        <f>IFERROR(VLOOKUP($G1102,基本資料!$A:$J,7,0),"無")</f>
        <v>17</v>
      </c>
      <c r="F1102" s="6">
        <f>IFERROR(VLOOKUP($G1102,基本資料!$A:$J,8,0),"無")</f>
        <v>6.1</v>
      </c>
      <c r="G1102" s="79">
        <v>3511</v>
      </c>
      <c r="H1102" s="8" t="s">
        <v>308</v>
      </c>
      <c r="I1102" s="16" t="s">
        <v>4572</v>
      </c>
      <c r="J1102" s="8" t="str">
        <f>IFERROR(VLOOKUP($G1102,今日總結!$A:$AJ,35,0),"")</f>
        <v/>
      </c>
      <c r="K1102" s="5" t="str">
        <f>IFERROR(VLOOKUP($G1102,今日總結!$A:$AJ,36,0),"")</f>
        <v/>
      </c>
      <c r="L1102" s="156" t="str">
        <f>IFERROR(VLOOKUP($G1102,今日總結!$A:$AJ,33,0),"")</f>
        <v/>
      </c>
      <c r="M1102" s="340" t="str">
        <f>IFERROR(VLOOKUP($G1102,今日總結!$A:$AJ,34,0),"")</f>
        <v/>
      </c>
      <c r="N1102" s="240" t="str">
        <f t="shared" si="213"/>
        <v/>
      </c>
      <c r="P1102" s="365">
        <f>IFERROR(VLOOKUP($G1102,融外自投!$A:$J,7,0),"無")</f>
        <v>23</v>
      </c>
      <c r="Q1102" s="79">
        <f>IFERROR(VLOOKUP($G1102,融外自投!$A:$J,9,0),"無")</f>
        <v>762</v>
      </c>
      <c r="R1102" s="346">
        <f>IFERROR(VLOOKUP($G1102,融外自投!$A:$J,8,0),"無")</f>
        <v>1219</v>
      </c>
      <c r="S1102" s="81" t="str">
        <f>IFERROR(VLOOKUP($G1102,融外自投!$A:$J,10,0),"無")</f>
        <v>無</v>
      </c>
      <c r="T1102" s="327">
        <f>IFERROR(VLOOKUP($G1102,'321買'!$A:$E,5,0),"'沒有資料'")</f>
        <v>558</v>
      </c>
      <c r="U1102" s="186">
        <f>IFERROR(VLOOKUP($G1102,基本資料!$A:$J,9,0),"無")</f>
        <v>1</v>
      </c>
      <c r="V1102" s="310">
        <f t="shared" si="211"/>
        <v>2.7624309392265192E-2</v>
      </c>
      <c r="W1102" s="94">
        <f>IFERROR(VLOOKUP($G1102,基本資料!$A:$J,10,0),"無")</f>
        <v>1.39</v>
      </c>
      <c r="X1102" s="36">
        <f>RTD("money.excel",,"3511","Price")</f>
        <v>36.200000000000003</v>
      </c>
      <c r="Y1102" s="66"/>
      <c r="Z1102" s="15">
        <f t="shared" si="208"/>
        <v>36.200000000000003</v>
      </c>
      <c r="AA1102" s="3" t="e">
        <f t="shared" si="209"/>
        <v>#DIV/0!</v>
      </c>
      <c r="AB1102" s="344">
        <f>IFERROR(VLOOKUP($G1102,基本資料!$A:$M,11,0),"無")</f>
        <v>-39.67</v>
      </c>
      <c r="AC1102" s="397">
        <f>IFERROR(VLOOKUP($G1102,基本資料!$A:$M,12,0),"無")</f>
        <v>39.67</v>
      </c>
      <c r="AD1102" s="16" t="s">
        <v>4572</v>
      </c>
      <c r="AG1102" s="33">
        <f t="shared" si="210"/>
        <v>0</v>
      </c>
      <c r="AH1102" s="43" t="s">
        <v>1903</v>
      </c>
      <c r="AI1102" s="63">
        <f t="shared" si="212"/>
        <v>5.3316645807259073E-3</v>
      </c>
      <c r="AJ1102" s="284">
        <f>RTD("money.excel",,$G1102,"PredictVolume")</f>
        <v>426</v>
      </c>
      <c r="AK1102" s="399">
        <f>IFERROR(VLOOKUP($G1102,基本資料!$A:$M,13,0),"無")</f>
        <v>33.9</v>
      </c>
    </row>
    <row r="1103" spans="1:37">
      <c r="A1103" s="347">
        <f>IFERROR(VLOOKUP($G1103,基本資料!$A:$J,3,0),"無")</f>
        <v>8.4</v>
      </c>
      <c r="B1103" s="79">
        <f>IFERROR(VLOOKUP($G1103,基本資料!$A:$J,4,0),"無")</f>
        <v>56</v>
      </c>
      <c r="C1103" s="79">
        <f>IFERROR(VLOOKUP($G1103,基本資料!$A:$J,5,0),"無")</f>
        <v>76</v>
      </c>
      <c r="D1103" s="79">
        <f>IFERROR(VLOOKUP($G1103,基本資料!$A:$J,6,0),"無")</f>
        <v>-26</v>
      </c>
      <c r="E1103" s="79">
        <f>IFERROR(VLOOKUP($G1103,基本資料!$A:$J,7,0),"無")</f>
        <v>46</v>
      </c>
      <c r="F1103" s="6">
        <f>IFERROR(VLOOKUP($G1103,基本資料!$A:$J,8,0),"無")</f>
        <v>16.18</v>
      </c>
      <c r="G1103" s="79">
        <v>3512</v>
      </c>
      <c r="H1103" s="8" t="s">
        <v>308</v>
      </c>
      <c r="I1103" s="16" t="s">
        <v>1066</v>
      </c>
      <c r="J1103" s="8" t="str">
        <f>IFERROR(VLOOKUP($G1103,今日總結!$A:$AJ,35,0),"")</f>
        <v/>
      </c>
      <c r="K1103" s="5" t="str">
        <f>IFERROR(VLOOKUP($G1103,今日總結!$A:$AJ,36,0),"")</f>
        <v/>
      </c>
      <c r="L1103" s="156" t="str">
        <f>IFERROR(VLOOKUP($G1103,今日總結!$A:$AJ,33,0),"")</f>
        <v/>
      </c>
      <c r="M1103" s="340" t="str">
        <f>IFERROR(VLOOKUP($G1103,今日總結!$A:$AJ,34,0),"")</f>
        <v/>
      </c>
      <c r="N1103" s="240" t="str">
        <f t="shared" si="213"/>
        <v/>
      </c>
      <c r="P1103" s="365">
        <f>IFERROR(VLOOKUP($G1103,融外自投!$A:$J,7,0),"無")</f>
        <v>510</v>
      </c>
      <c r="Q1103" s="79" t="str">
        <f>IFERROR(VLOOKUP($G1103,融外自投!$A:$J,9,0),"無")</f>
        <v>無</v>
      </c>
      <c r="R1103" s="346">
        <f>IFERROR(VLOOKUP($G1103,融外自投!$A:$J,8,0),"無")</f>
        <v>1442</v>
      </c>
      <c r="S1103" s="81" t="str">
        <f>IFERROR(VLOOKUP($G1103,融外自投!$A:$J,10,0),"無")</f>
        <v>無</v>
      </c>
      <c r="T1103" s="327" t="str">
        <f>IFERROR(VLOOKUP($G1103,'321買'!$A:$E,5,0),"'沒有資料'")</f>
        <v>'沒有資料'</v>
      </c>
      <c r="U1103" s="186">
        <f>IFERROR(VLOOKUP($G1103,基本資料!$A:$J,9,0),"無")</f>
        <v>3</v>
      </c>
      <c r="V1103" s="310">
        <f t="shared" si="211"/>
        <v>9.1324200913242004E-2</v>
      </c>
      <c r="W1103" s="94">
        <f>IFERROR(VLOOKUP($G1103,基本資料!$A:$J,10,0),"無")</f>
        <v>3.79</v>
      </c>
      <c r="X1103" s="36">
        <f>RTD("money.excel",,"3512","Price")</f>
        <v>32.85</v>
      </c>
      <c r="Y1103" s="66"/>
      <c r="Z1103" s="15">
        <f t="shared" si="208"/>
        <v>32.85</v>
      </c>
      <c r="AA1103" s="3" t="e">
        <f t="shared" si="209"/>
        <v>#DIV/0!</v>
      </c>
      <c r="AB1103" s="344">
        <f>IFERROR(VLOOKUP($G1103,基本資料!$A:$M,11,0),"無")</f>
        <v>-10.01</v>
      </c>
      <c r="AC1103" s="397">
        <f>IFERROR(VLOOKUP($G1103,基本資料!$A:$M,12,0),"無")</f>
        <v>37.1</v>
      </c>
      <c r="AD1103" s="16" t="s">
        <v>1066</v>
      </c>
      <c r="AG1103" s="33">
        <f t="shared" si="210"/>
        <v>0</v>
      </c>
      <c r="AH1103" s="43" t="s">
        <v>2402</v>
      </c>
      <c r="AI1103" s="63">
        <f t="shared" si="212"/>
        <v>8.0952380952380957E-4</v>
      </c>
      <c r="AJ1103" s="284">
        <f>RTD("money.excel",,$G1103,"PredictVolume")</f>
        <v>68</v>
      </c>
      <c r="AK1103" s="399">
        <f>IFERROR(VLOOKUP($G1103,基本資料!$A:$M,13,0),"無")</f>
        <v>1.24</v>
      </c>
    </row>
    <row r="1104" spans="1:37">
      <c r="A1104" s="347">
        <f>IFERROR(VLOOKUP($G1104,基本資料!$A:$J,3,0),"無")</f>
        <v>6.88</v>
      </c>
      <c r="B1104" s="79">
        <f>IFERROR(VLOOKUP($G1104,基本資料!$A:$J,4,0),"無")</f>
        <v>-27</v>
      </c>
      <c r="C1104" s="79">
        <f>IFERROR(VLOOKUP($G1104,基本資料!$A:$J,5,0),"無")</f>
        <v>-15</v>
      </c>
      <c r="D1104" s="79">
        <f>IFERROR(VLOOKUP($G1104,基本資料!$A:$J,6,0),"無")</f>
        <v>14</v>
      </c>
      <c r="E1104" s="79">
        <f>IFERROR(VLOOKUP($G1104,基本資料!$A:$J,7,0),"無")</f>
        <v>30</v>
      </c>
      <c r="F1104" s="6">
        <f>IFERROR(VLOOKUP($G1104,基本資料!$A:$J,8,0),"無")</f>
        <v>2.0699999999999998</v>
      </c>
      <c r="G1104" s="79">
        <v>3520</v>
      </c>
      <c r="H1104" s="8" t="s">
        <v>308</v>
      </c>
      <c r="I1104" s="16" t="s">
        <v>2961</v>
      </c>
      <c r="J1104" s="8" t="str">
        <f>IFERROR(VLOOKUP($G1104,今日總結!$A:$AJ,35,0),"")</f>
        <v/>
      </c>
      <c r="K1104" s="5" t="str">
        <f>IFERROR(VLOOKUP($G1104,今日總結!$A:$AJ,36,0),"")</f>
        <v/>
      </c>
      <c r="L1104" s="156" t="str">
        <f>IFERROR(VLOOKUP($G1104,今日總結!$A:$AJ,33,0),"")</f>
        <v/>
      </c>
      <c r="M1104" s="340" t="str">
        <f>IFERROR(VLOOKUP($G1104,今日總結!$A:$AJ,34,0),"")</f>
        <v/>
      </c>
      <c r="N1104" s="240" t="str">
        <f t="shared" si="213"/>
        <v/>
      </c>
      <c r="P1104" s="365">
        <f>IFERROR(VLOOKUP($G1104,融外自投!$A:$J,7,0),"無")</f>
        <v>1245</v>
      </c>
      <c r="Q1104" s="79" t="str">
        <f>IFERROR(VLOOKUP($G1104,融外自投!$A:$J,9,0),"無")</f>
        <v>無</v>
      </c>
      <c r="R1104" s="346">
        <f>IFERROR(VLOOKUP($G1104,融外自投!$A:$J,8,0),"無")</f>
        <v>1426</v>
      </c>
      <c r="S1104" s="81" t="str">
        <f>IFERROR(VLOOKUP($G1104,融外自投!$A:$J,10,0),"無")</f>
        <v>無</v>
      </c>
      <c r="T1104" s="327" t="str">
        <f>IFERROR(VLOOKUP($G1104,'321買'!$A:$E,5,0),"'沒有資料'")</f>
        <v>'沒有資料'</v>
      </c>
      <c r="U1104" s="186">
        <f>IFERROR(VLOOKUP($G1104,基本資料!$A:$J,9,0),"無")</f>
        <v>0</v>
      </c>
      <c r="V1104" s="310">
        <f t="shared" si="211"/>
        <v>0</v>
      </c>
      <c r="W1104" s="94">
        <f>IFERROR(VLOOKUP($G1104,基本資料!$A:$J,10,0),"無")</f>
        <v>0.13</v>
      </c>
      <c r="X1104" s="36">
        <f>RTD("money.excel",,"3520","Price")</f>
        <v>13.3</v>
      </c>
      <c r="Y1104" s="66"/>
      <c r="Z1104" s="15">
        <f t="shared" si="208"/>
        <v>13.3</v>
      </c>
      <c r="AA1104" s="3" t="e">
        <f t="shared" si="209"/>
        <v>#DIV/0!</v>
      </c>
      <c r="AB1104" s="344">
        <f>IFERROR(VLOOKUP($G1104,基本資料!$A:$M,11,0),"無")</f>
        <v>-25.42</v>
      </c>
      <c r="AC1104" s="397">
        <f>IFERROR(VLOOKUP($G1104,基本資料!$A:$M,12,0),"無")</f>
        <v>13.16</v>
      </c>
      <c r="AD1104" s="16" t="s">
        <v>2961</v>
      </c>
      <c r="AG1104" s="33">
        <f t="shared" si="210"/>
        <v>0</v>
      </c>
      <c r="AH1104" s="43" t="s">
        <v>2403</v>
      </c>
      <c r="AI1104" s="63">
        <f t="shared" si="212"/>
        <v>1.0319767441860465E-3</v>
      </c>
      <c r="AJ1104" s="284">
        <f>RTD("money.excel",,$G1104,"PredictVolume")</f>
        <v>71</v>
      </c>
      <c r="AK1104" s="399">
        <f>IFERROR(VLOOKUP($G1104,基本資料!$A:$M,13,0),"無")</f>
        <v>3.14</v>
      </c>
    </row>
    <row r="1105" spans="1:37">
      <c r="A1105" s="347">
        <f>IFERROR(VLOOKUP($G1105,基本資料!$A:$J,3,0),"無")</f>
        <v>5.85</v>
      </c>
      <c r="B1105" s="79">
        <f>IFERROR(VLOOKUP($G1105,基本資料!$A:$J,4,0),"無")</f>
        <v>23</v>
      </c>
      <c r="C1105" s="79">
        <f>IFERROR(VLOOKUP($G1105,基本資料!$A:$J,5,0),"無")</f>
        <v>17</v>
      </c>
      <c r="D1105" s="79">
        <f>IFERROR(VLOOKUP($G1105,基本資料!$A:$J,6,0),"無")</f>
        <v>-48</v>
      </c>
      <c r="E1105" s="79">
        <f>IFERROR(VLOOKUP($G1105,基本資料!$A:$J,7,0),"無")</f>
        <v>-56</v>
      </c>
      <c r="F1105" s="6">
        <f>IFERROR(VLOOKUP($G1105,基本資料!$A:$J,8,0),"無")</f>
        <v>27.21</v>
      </c>
      <c r="G1105" s="79">
        <v>3526</v>
      </c>
      <c r="H1105" s="8" t="s">
        <v>308</v>
      </c>
      <c r="I1105" s="16" t="s">
        <v>156</v>
      </c>
      <c r="J1105" s="8">
        <f>IFERROR(VLOOKUP($G1105,今日總結!$A:$AJ,35,0),"")</f>
        <v>0</v>
      </c>
      <c r="K1105" s="5" t="str">
        <f>IFERROR(VLOOKUP($G1105,今日總結!$A:$AJ,36,0),"")</f>
        <v>融自</v>
      </c>
      <c r="L1105" s="156">
        <f>IFERROR(VLOOKUP($G1105,今日總結!$A:$AJ,33,0),"")</f>
        <v>0</v>
      </c>
      <c r="M1105" s="340">
        <f>IFERROR(VLOOKUP($G1105,今日總結!$A:$AJ,34,0),"")</f>
        <v>2</v>
      </c>
      <c r="N1105" s="240">
        <f t="shared" si="213"/>
        <v>-2</v>
      </c>
      <c r="P1105" s="365">
        <f>IFERROR(VLOOKUP($G1105,融外自投!$A:$J,7,0),"無")</f>
        <v>526</v>
      </c>
      <c r="Q1105" s="79">
        <f>IFERROR(VLOOKUP($G1105,融外自投!$A:$J,9,0),"無")</f>
        <v>84</v>
      </c>
      <c r="R1105" s="346">
        <f>IFERROR(VLOOKUP($G1105,融外自投!$A:$J,8,0),"無")</f>
        <v>847</v>
      </c>
      <c r="S1105" s="81">
        <f>IFERROR(VLOOKUP($G1105,融外自投!$A:$J,10,0),"無")</f>
        <v>66</v>
      </c>
      <c r="T1105" s="327">
        <f>IFERROR(VLOOKUP($G1105,'321買'!$A:$E,5,0),"'沒有資料'")</f>
        <v>255</v>
      </c>
      <c r="U1105" s="186">
        <f>IFERROR(VLOOKUP($G1105,基本資料!$A:$J,9,0),"無")</f>
        <v>11.16</v>
      </c>
      <c r="V1105" s="310">
        <f t="shared" si="211"/>
        <v>6.9532710280373833E-2</v>
      </c>
      <c r="W1105" s="94">
        <f>IFERROR(VLOOKUP($G1105,基本資料!$A:$J,10,0),"無")</f>
        <v>11.19</v>
      </c>
      <c r="X1105" s="36">
        <f>RTD("money.excel",,"3526","Price")</f>
        <v>160.5</v>
      </c>
      <c r="Y1105" s="66"/>
      <c r="Z1105" s="15">
        <f t="shared" si="208"/>
        <v>160.5</v>
      </c>
      <c r="AA1105" s="3" t="e">
        <f t="shared" si="209"/>
        <v>#DIV/0!</v>
      </c>
      <c r="AB1105" s="344">
        <f>IFERROR(VLOOKUP($G1105,基本資料!$A:$M,11,0),"無")</f>
        <v>-29.52</v>
      </c>
      <c r="AC1105" s="397">
        <f>IFERROR(VLOOKUP($G1105,基本資料!$A:$M,12,0),"無")</f>
        <v>20.420000000000002</v>
      </c>
      <c r="AD1105" s="16" t="s">
        <v>156</v>
      </c>
      <c r="AG1105" s="33">
        <f t="shared" si="210"/>
        <v>0</v>
      </c>
      <c r="AH1105" s="117" t="s">
        <v>1903</v>
      </c>
      <c r="AI1105" s="63">
        <f t="shared" si="212"/>
        <v>3.3333333333333335E-3</v>
      </c>
      <c r="AJ1105" s="284">
        <f>RTD("money.excel",,$G1105,"PredictVolume")</f>
        <v>195</v>
      </c>
      <c r="AK1105" s="399">
        <f>IFERROR(VLOOKUP($G1105,基本資料!$A:$M,13,0),"無")</f>
        <v>16.829999999999998</v>
      </c>
    </row>
    <row r="1106" spans="1:37">
      <c r="A1106" s="347">
        <f>IFERROR(VLOOKUP($G1106,基本資料!$A:$J,3,0),"無")</f>
        <v>10.61</v>
      </c>
      <c r="B1106" s="79">
        <f>IFERROR(VLOOKUP($G1106,基本資料!$A:$J,4,0),"無")</f>
        <v>24</v>
      </c>
      <c r="C1106" s="79">
        <f>IFERROR(VLOOKUP($G1106,基本資料!$A:$J,5,0),"無")</f>
        <v>17</v>
      </c>
      <c r="D1106" s="79">
        <f>IFERROR(VLOOKUP($G1106,基本資料!$A:$J,6,0),"無")</f>
        <v>-9</v>
      </c>
      <c r="E1106" s="79">
        <f>IFERROR(VLOOKUP($G1106,基本資料!$A:$J,7,0),"無")</f>
        <v>23</v>
      </c>
      <c r="F1106" s="6">
        <f>IFERROR(VLOOKUP($G1106,基本資料!$A:$J,8,0),"無")</f>
        <v>20.38</v>
      </c>
      <c r="G1106" s="79">
        <v>3533</v>
      </c>
      <c r="H1106" s="8" t="s">
        <v>308</v>
      </c>
      <c r="I1106" s="22" t="s">
        <v>4573</v>
      </c>
      <c r="J1106" s="8" t="str">
        <f>IFERROR(VLOOKUP($G1106,今日總結!$A:$AJ,35,0),"")</f>
        <v/>
      </c>
      <c r="K1106" s="5" t="str">
        <f>IFERROR(VLOOKUP($G1106,今日總結!$A:$AJ,36,0),"")</f>
        <v/>
      </c>
      <c r="L1106" s="156" t="str">
        <f>IFERROR(VLOOKUP($G1106,今日總結!$A:$AJ,33,0),"")</f>
        <v/>
      </c>
      <c r="M1106" s="340" t="str">
        <f>IFERROR(VLOOKUP($G1106,今日總結!$A:$AJ,34,0),"")</f>
        <v/>
      </c>
      <c r="N1106" s="240" t="str">
        <f t="shared" si="213"/>
        <v/>
      </c>
      <c r="P1106" s="365">
        <f>IFERROR(VLOOKUP($G1106,融外自投!$A:$J,7,0),"無")</f>
        <v>1120</v>
      </c>
      <c r="Q1106" s="79">
        <f>IFERROR(VLOOKUP($G1106,融外自投!$A:$J,9,0),"無")</f>
        <v>350</v>
      </c>
      <c r="R1106" s="346">
        <f>IFERROR(VLOOKUP($G1106,融外自投!$A:$J,8,0),"無")</f>
        <v>144</v>
      </c>
      <c r="S1106" s="81">
        <f>IFERROR(VLOOKUP($G1106,融外自投!$A:$J,10,0),"無")</f>
        <v>14</v>
      </c>
      <c r="T1106" s="327">
        <f>IFERROR(VLOOKUP($G1106,'321買'!$A:$E,5,0),"'沒有資料'")</f>
        <v>178</v>
      </c>
      <c r="U1106" s="186">
        <f>IFERROR(VLOOKUP($G1106,基本資料!$A:$J,9,0),"無")</f>
        <v>16</v>
      </c>
      <c r="V1106" s="310">
        <f t="shared" si="211"/>
        <v>2.1304926764314249E-2</v>
      </c>
      <c r="W1106" s="94">
        <f>IFERROR(VLOOKUP($G1106,基本資料!$A:$J,10,0),"無")</f>
        <v>33.32</v>
      </c>
      <c r="X1106" s="36">
        <f>RTD("money.excel",,"3533","Price")</f>
        <v>751</v>
      </c>
      <c r="Y1106" s="66"/>
      <c r="Z1106" s="15">
        <f t="shared" si="208"/>
        <v>751</v>
      </c>
      <c r="AA1106" s="3" t="e">
        <f t="shared" si="209"/>
        <v>#DIV/0!</v>
      </c>
      <c r="AB1106" s="344">
        <f>IFERROR(VLOOKUP($G1106,基本資料!$A:$M,11,0),"無")</f>
        <v>-3.49</v>
      </c>
      <c r="AC1106" s="397">
        <f>IFERROR(VLOOKUP($G1106,基本資料!$A:$M,12,0),"無")</f>
        <v>75.09</v>
      </c>
      <c r="AD1106" s="22" t="s">
        <v>4573</v>
      </c>
      <c r="AG1106" s="33">
        <f t="shared" si="210"/>
        <v>0</v>
      </c>
      <c r="AH1106" s="117" t="s">
        <v>2585</v>
      </c>
      <c r="AI1106" s="63">
        <f t="shared" si="212"/>
        <v>6.7012252591894441E-3</v>
      </c>
      <c r="AJ1106" s="284">
        <f>RTD("money.excel",,$G1106,"PredictVolume")</f>
        <v>711</v>
      </c>
      <c r="AK1106" s="399">
        <f>IFERROR(VLOOKUP($G1106,基本資料!$A:$M,13,0),"無")</f>
        <v>2.38</v>
      </c>
    </row>
    <row r="1107" spans="1:37">
      <c r="A1107" s="347">
        <f>IFERROR(VLOOKUP($G1107,基本資料!$A:$J,3,0),"無")</f>
        <v>5.35</v>
      </c>
      <c r="B1107" s="79">
        <f>IFERROR(VLOOKUP($G1107,基本資料!$A:$J,4,0),"無")</f>
        <v>41</v>
      </c>
      <c r="C1107" s="79">
        <f>IFERROR(VLOOKUP($G1107,基本資料!$A:$J,5,0),"無")</f>
        <v>26</v>
      </c>
      <c r="D1107" s="79">
        <f>IFERROR(VLOOKUP($G1107,基本資料!$A:$J,6,0),"無")</f>
        <v>-52</v>
      </c>
      <c r="E1107" s="79">
        <f>IFERROR(VLOOKUP($G1107,基本資料!$A:$J,7,0),"無")</f>
        <v>-49</v>
      </c>
      <c r="F1107" s="6">
        <f>IFERROR(VLOOKUP($G1107,基本資料!$A:$J,8,0),"無")</f>
        <v>9.3000000000000007</v>
      </c>
      <c r="G1107" s="79">
        <v>3537</v>
      </c>
      <c r="H1107" s="8" t="s">
        <v>308</v>
      </c>
      <c r="I1107" s="16" t="s">
        <v>4574</v>
      </c>
      <c r="J1107" s="8">
        <f>IFERROR(VLOOKUP($G1107,今日總結!$A:$AJ,35,0),"")</f>
        <v>0</v>
      </c>
      <c r="K1107" s="5" t="str">
        <f>IFERROR(VLOOKUP($G1107,今日總結!$A:$AJ,36,0),"")</f>
        <v>42外</v>
      </c>
      <c r="L1107" s="156">
        <f>IFERROR(VLOOKUP($G1107,今日總結!$A:$AJ,33,0),"")</f>
        <v>0</v>
      </c>
      <c r="M1107" s="340">
        <f>IFERROR(VLOOKUP($G1107,今日總結!$A:$AJ,34,0),"")</f>
        <v>3</v>
      </c>
      <c r="N1107" s="240">
        <f t="shared" si="213"/>
        <v>-3</v>
      </c>
      <c r="P1107" s="365">
        <f>IFERROR(VLOOKUP($G1107,融外自投!$A:$J,7,0),"無")</f>
        <v>760</v>
      </c>
      <c r="Q1107" s="79">
        <f>IFERROR(VLOOKUP($G1107,融外自投!$A:$J,9,0),"無")</f>
        <v>447</v>
      </c>
      <c r="R1107" s="346">
        <f>IFERROR(VLOOKUP($G1107,融外自投!$A:$J,8,0),"無")</f>
        <v>728</v>
      </c>
      <c r="S1107" s="81" t="str">
        <f>IFERROR(VLOOKUP($G1107,融外自投!$A:$J,10,0),"無")</f>
        <v>無</v>
      </c>
      <c r="T1107" s="327">
        <f>IFERROR(VLOOKUP($G1107,'321買'!$A:$E,5,0),"'沒有資料'")</f>
        <v>683</v>
      </c>
      <c r="U1107" s="186">
        <f>IFERROR(VLOOKUP($G1107,基本資料!$A:$J,9,0),"無")</f>
        <v>3.5</v>
      </c>
      <c r="V1107" s="310">
        <f t="shared" si="211"/>
        <v>8.9399744572158366E-2</v>
      </c>
      <c r="W1107" s="94">
        <f>IFERROR(VLOOKUP($G1107,基本資料!$A:$J,10,0),"無")</f>
        <v>3.97</v>
      </c>
      <c r="X1107" s="36">
        <f>RTD("money.excel",,"3537","Price")</f>
        <v>39.15</v>
      </c>
      <c r="Y1107" s="66"/>
      <c r="Z1107" s="15">
        <f t="shared" si="208"/>
        <v>39.15</v>
      </c>
      <c r="AA1107" s="35" t="e">
        <f t="shared" si="209"/>
        <v>#DIV/0!</v>
      </c>
      <c r="AB1107" s="344">
        <f>IFERROR(VLOOKUP($G1107,基本資料!$A:$M,11,0),"無")</f>
        <v>-7.13</v>
      </c>
      <c r="AC1107" s="397">
        <f>IFERROR(VLOOKUP($G1107,基本資料!$A:$M,12,0),"無")</f>
        <v>63.78</v>
      </c>
      <c r="AD1107" s="16" t="s">
        <v>4574</v>
      </c>
      <c r="AG1107" s="33">
        <f t="shared" si="210"/>
        <v>0</v>
      </c>
      <c r="AH1107" s="43" t="s">
        <v>2404</v>
      </c>
      <c r="AI1107" s="63">
        <f t="shared" si="212"/>
        <v>5.2710280373831778E-3</v>
      </c>
      <c r="AJ1107" s="284">
        <f>RTD("money.excel",,$G1107,"PredictVolume")</f>
        <v>282</v>
      </c>
      <c r="AK1107" s="399">
        <f>IFERROR(VLOOKUP($G1107,基本資料!$A:$M,13,0),"無")</f>
        <v>12.61</v>
      </c>
    </row>
    <row r="1108" spans="1:37">
      <c r="A1108" s="347">
        <f>IFERROR(VLOOKUP($G1108,基本資料!$A:$J,3,0),"無")</f>
        <v>6.01</v>
      </c>
      <c r="B1108" s="79">
        <f>IFERROR(VLOOKUP($G1108,基本資料!$A:$J,4,0),"無")</f>
        <v>-18</v>
      </c>
      <c r="C1108" s="79">
        <f>IFERROR(VLOOKUP($G1108,基本資料!$A:$J,5,0),"無")</f>
        <v>-25</v>
      </c>
      <c r="D1108" s="79">
        <f>IFERROR(VLOOKUP($G1108,基本資料!$A:$J,6,0),"無")</f>
        <v>-43</v>
      </c>
      <c r="E1108" s="79">
        <f>IFERROR(VLOOKUP($G1108,基本資料!$A:$J,7,0),"無")</f>
        <v>-29</v>
      </c>
      <c r="F1108" s="6">
        <f>IFERROR(VLOOKUP($G1108,基本資料!$A:$J,8,0),"無")</f>
        <v>3.09</v>
      </c>
      <c r="G1108" s="79">
        <v>3548</v>
      </c>
      <c r="H1108" s="8" t="s">
        <v>308</v>
      </c>
      <c r="I1108" s="16" t="s">
        <v>141</v>
      </c>
      <c r="J1108" s="8" t="str">
        <f>IFERROR(VLOOKUP($G1108,今日總結!$A:$AJ,35,0),"")</f>
        <v/>
      </c>
      <c r="K1108" s="5" t="str">
        <f>IFERROR(VLOOKUP($G1108,今日總結!$A:$AJ,36,0),"")</f>
        <v/>
      </c>
      <c r="L1108" s="156" t="str">
        <f>IFERROR(VLOOKUP($G1108,今日總結!$A:$AJ,33,0),"")</f>
        <v/>
      </c>
      <c r="M1108" s="340" t="str">
        <f>IFERROR(VLOOKUP($G1108,今日總結!$A:$AJ,34,0),"")</f>
        <v/>
      </c>
      <c r="N1108" s="240" t="str">
        <f t="shared" si="213"/>
        <v/>
      </c>
      <c r="P1108" s="365">
        <f>IFERROR(VLOOKUP($G1108,融外自投!$A:$J,7,0),"無")</f>
        <v>48</v>
      </c>
      <c r="Q1108" s="79">
        <f>IFERROR(VLOOKUP($G1108,融外自投!$A:$J,9,0),"無")</f>
        <v>321</v>
      </c>
      <c r="R1108" s="346">
        <f>IFERROR(VLOOKUP($G1108,融外自投!$A:$J,8,0),"無")</f>
        <v>661</v>
      </c>
      <c r="S1108" s="81">
        <f>IFERROR(VLOOKUP($G1108,融外自投!$A:$J,10,0),"無")</f>
        <v>473</v>
      </c>
      <c r="T1108" s="327">
        <f>IFERROR(VLOOKUP($G1108,'321買'!$A:$E,5,0),"'沒有資料'")</f>
        <v>558</v>
      </c>
      <c r="U1108" s="186">
        <f>IFERROR(VLOOKUP($G1108,基本資料!$A:$J,9,0),"無")</f>
        <v>0</v>
      </c>
      <c r="V1108" s="310">
        <f t="shared" si="211"/>
        <v>0</v>
      </c>
      <c r="W1108" s="94">
        <f>IFERROR(VLOOKUP($G1108,基本資料!$A:$J,10,0),"無")</f>
        <v>4.12</v>
      </c>
      <c r="X1108" s="36">
        <f>RTD("money.excel",,"3548","Price")</f>
        <v>63.1</v>
      </c>
      <c r="Y1108" s="66"/>
      <c r="Z1108" s="15">
        <f t="shared" si="208"/>
        <v>63.1</v>
      </c>
      <c r="AA1108" s="3" t="e">
        <f t="shared" si="209"/>
        <v>#DIV/0!</v>
      </c>
      <c r="AB1108" s="344">
        <f>IFERROR(VLOOKUP($G1108,基本資料!$A:$M,11,0),"無")</f>
        <v>-24.85</v>
      </c>
      <c r="AC1108" s="397">
        <f>IFERROR(VLOOKUP($G1108,基本資料!$A:$M,12,0),"無")</f>
        <v>21.47</v>
      </c>
      <c r="AD1108" s="16" t="s">
        <v>141</v>
      </c>
      <c r="AG1108" s="33">
        <f t="shared" si="210"/>
        <v>0</v>
      </c>
      <c r="AH1108" s="117" t="s">
        <v>2890</v>
      </c>
      <c r="AI1108" s="63">
        <f t="shared" si="212"/>
        <v>3.9267886855241267E-3</v>
      </c>
      <c r="AJ1108" s="284">
        <f>RTD("money.excel",,$G1108,"PredictVolume")</f>
        <v>236</v>
      </c>
      <c r="AK1108" s="399">
        <f>IFERROR(VLOOKUP($G1108,基本資料!$A:$M,13,0),"無")</f>
        <v>13.14</v>
      </c>
    </row>
    <row r="1109" spans="1:37">
      <c r="A1109" s="347">
        <f>IFERROR(VLOOKUP($G1109,基本資料!$A:$J,3,0),"無")</f>
        <v>8.5</v>
      </c>
      <c r="B1109" s="79">
        <f>IFERROR(VLOOKUP($G1109,基本資料!$A:$J,4,0),"無")</f>
        <v>0</v>
      </c>
      <c r="C1109" s="79">
        <f>IFERROR(VLOOKUP($G1109,基本資料!$A:$J,5,0),"無")</f>
        <v>4</v>
      </c>
      <c r="D1109" s="79">
        <f>IFERROR(VLOOKUP($G1109,基本資料!$A:$J,6,0),"無")</f>
        <v>-17</v>
      </c>
      <c r="E1109" s="79">
        <f>IFERROR(VLOOKUP($G1109,基本資料!$A:$J,7,0),"無")</f>
        <v>-19</v>
      </c>
      <c r="F1109" s="6">
        <f>IFERROR(VLOOKUP($G1109,基本資料!$A:$J,8,0),"無")</f>
        <v>2.63</v>
      </c>
      <c r="G1109" s="79">
        <v>3550</v>
      </c>
      <c r="H1109" s="8" t="s">
        <v>308</v>
      </c>
      <c r="I1109" s="22" t="s">
        <v>4575</v>
      </c>
      <c r="J1109" s="8">
        <f>IFERROR(VLOOKUP($G1109,今日總結!$A:$AJ,35,0),"")</f>
        <v>0</v>
      </c>
      <c r="K1109" s="5">
        <f>IFERROR(VLOOKUP($G1109,今日總結!$A:$AJ,36,0),"")</f>
        <v>0</v>
      </c>
      <c r="L1109" s="156">
        <f>IFERROR(VLOOKUP($G1109,今日總結!$A:$AJ,33,0),"")</f>
        <v>0</v>
      </c>
      <c r="M1109" s="340">
        <f>IFERROR(VLOOKUP($G1109,今日總結!$A:$AJ,34,0),"")</f>
        <v>1</v>
      </c>
      <c r="N1109" s="240">
        <f t="shared" si="213"/>
        <v>-1</v>
      </c>
      <c r="P1109" s="365">
        <f>IFERROR(VLOOKUP($G1109,融外自投!$A:$J,7,0),"無")</f>
        <v>72</v>
      </c>
      <c r="Q1109" s="79">
        <f>IFERROR(VLOOKUP($G1109,融外自投!$A:$J,9,0),"無")</f>
        <v>653</v>
      </c>
      <c r="R1109" s="346">
        <f>IFERROR(VLOOKUP($G1109,融外自投!$A:$J,8,0),"無")</f>
        <v>1085</v>
      </c>
      <c r="S1109" s="81" t="str">
        <f>IFERROR(VLOOKUP($G1109,融外自投!$A:$J,10,0),"無")</f>
        <v>無</v>
      </c>
      <c r="T1109" s="327">
        <f>IFERROR(VLOOKUP($G1109,'321買'!$A:$E,5,0),"'沒有資料'")</f>
        <v>894</v>
      </c>
      <c r="U1109" s="186">
        <f>IFERROR(VLOOKUP($G1109,基本資料!$A:$J,9,0),"無")</f>
        <v>0.6</v>
      </c>
      <c r="V1109" s="310">
        <f t="shared" si="211"/>
        <v>4.2402826855123671E-2</v>
      </c>
      <c r="W1109" s="94">
        <f>IFERROR(VLOOKUP($G1109,基本資料!$A:$J,10,0),"無")</f>
        <v>0.96</v>
      </c>
      <c r="X1109" s="36">
        <f>RTD("money.excel",,"3550","Price")</f>
        <v>14.15</v>
      </c>
      <c r="Y1109" s="66"/>
      <c r="Z1109" s="15">
        <f t="shared" si="208"/>
        <v>14.15</v>
      </c>
      <c r="AA1109" s="3" t="e">
        <f t="shared" si="209"/>
        <v>#DIV/0!</v>
      </c>
      <c r="AB1109" s="344">
        <f>IFERROR(VLOOKUP($G1109,基本資料!$A:$M,11,0),"無")</f>
        <v>-37.69</v>
      </c>
      <c r="AC1109" s="397">
        <f>IFERROR(VLOOKUP($G1109,基本資料!$A:$M,12,0),"無")</f>
        <v>10.18</v>
      </c>
      <c r="AD1109" s="22" t="s">
        <v>4575</v>
      </c>
      <c r="AG1109" s="33">
        <f t="shared" si="210"/>
        <v>0</v>
      </c>
      <c r="AH1109" s="43" t="s">
        <v>2586</v>
      </c>
      <c r="AI1109" s="63">
        <f t="shared" si="212"/>
        <v>1.8588235294117648E-3</v>
      </c>
      <c r="AJ1109" s="284">
        <f>RTD("money.excel",,$G1109,"PredictVolume")</f>
        <v>158</v>
      </c>
      <c r="AK1109" s="399">
        <f>IFERROR(VLOOKUP($G1109,基本資料!$A:$M,13,0),"無")</f>
        <v>19.38</v>
      </c>
    </row>
    <row r="1110" spans="1:37">
      <c r="A1110" s="347">
        <f>IFERROR(VLOOKUP($G1110,基本資料!$A:$J,3,0),"無")</f>
        <v>9.3000000000000007</v>
      </c>
      <c r="B1110" s="79">
        <f>IFERROR(VLOOKUP($G1110,基本資料!$A:$J,4,0),"無")</f>
        <v>-171</v>
      </c>
      <c r="C1110" s="79">
        <f>IFERROR(VLOOKUP($G1110,基本資料!$A:$J,5,0),"無")</f>
        <v>-173</v>
      </c>
      <c r="D1110" s="79">
        <f>IFERROR(VLOOKUP($G1110,基本資料!$A:$J,6,0),"無")</f>
        <v>-48</v>
      </c>
      <c r="E1110" s="79">
        <f>IFERROR(VLOOKUP($G1110,基本資料!$A:$J,7,0),"無")</f>
        <v>-63</v>
      </c>
      <c r="F1110" s="6">
        <f>IFERROR(VLOOKUP($G1110,基本資料!$A:$J,8,0),"無")</f>
        <v>-1.64</v>
      </c>
      <c r="G1110" s="79">
        <v>3593</v>
      </c>
      <c r="H1110" s="8" t="s">
        <v>308</v>
      </c>
      <c r="I1110" s="22" t="s">
        <v>4576</v>
      </c>
      <c r="J1110" s="8" t="str">
        <f>IFERROR(VLOOKUP($G1110,今日總結!$A:$AJ,35,0),"")</f>
        <v/>
      </c>
      <c r="K1110" s="5" t="str">
        <f>IFERROR(VLOOKUP($G1110,今日總結!$A:$AJ,36,0),"")</f>
        <v/>
      </c>
      <c r="L1110" s="156" t="str">
        <f>IFERROR(VLOOKUP($G1110,今日總結!$A:$AJ,33,0),"")</f>
        <v/>
      </c>
      <c r="M1110" s="340" t="str">
        <f>IFERROR(VLOOKUP($G1110,今日總結!$A:$AJ,34,0),"")</f>
        <v/>
      </c>
      <c r="N1110" s="240" t="str">
        <f t="shared" si="213"/>
        <v/>
      </c>
      <c r="P1110" s="365" t="str">
        <f>IFERROR(VLOOKUP($G1110,融外自投!$A:$J,7,0),"無")</f>
        <v>無</v>
      </c>
      <c r="Q1110" s="79" t="str">
        <f>IFERROR(VLOOKUP($G1110,融外自投!$A:$J,9,0),"無")</f>
        <v>無</v>
      </c>
      <c r="R1110" s="346" t="str">
        <f>IFERROR(VLOOKUP($G1110,融外自投!$A:$J,8,0),"無")</f>
        <v>無</v>
      </c>
      <c r="S1110" s="81" t="str">
        <f>IFERROR(VLOOKUP($G1110,融外自投!$A:$J,10,0),"無")</f>
        <v>無</v>
      </c>
      <c r="T1110" s="327" t="str">
        <f>IFERROR(VLOOKUP($G1110,'321買'!$A:$E,5,0),"'沒有資料'")</f>
        <v>'沒有資料'</v>
      </c>
      <c r="U1110" s="186">
        <f>IFERROR(VLOOKUP($G1110,基本資料!$A:$J,9,0),"無")</f>
        <v>0</v>
      </c>
      <c r="V1110" s="310">
        <f t="shared" si="211"/>
        <v>0</v>
      </c>
      <c r="W1110" s="94">
        <f>IFERROR(VLOOKUP($G1110,基本資料!$A:$J,10,0),"無")</f>
        <v>0.02</v>
      </c>
      <c r="X1110" s="36">
        <f>RTD("money.excel",,"3593","Price")</f>
        <v>14.85</v>
      </c>
      <c r="Y1110" s="66"/>
      <c r="Z1110" s="15">
        <f t="shared" si="208"/>
        <v>14.85</v>
      </c>
      <c r="AA1110" s="3" t="e">
        <f t="shared" si="209"/>
        <v>#DIV/0!</v>
      </c>
      <c r="AB1110" s="344">
        <f>IFERROR(VLOOKUP($G1110,基本資料!$A:$M,11,0),"無")</f>
        <v>-20.05</v>
      </c>
      <c r="AC1110" s="397">
        <f>IFERROR(VLOOKUP($G1110,基本資料!$A:$M,12,0),"無")</f>
        <v>37.200000000000003</v>
      </c>
      <c r="AD1110" s="22" t="s">
        <v>4576</v>
      </c>
      <c r="AG1110" s="33">
        <f t="shared" si="210"/>
        <v>0</v>
      </c>
      <c r="AH1110" s="43" t="s">
        <v>2587</v>
      </c>
      <c r="AI1110" s="63">
        <f t="shared" si="212"/>
        <v>3.7634408602150538E-4</v>
      </c>
      <c r="AJ1110" s="284">
        <f>RTD("money.excel",,$G1110,"PredictVolume")</f>
        <v>35</v>
      </c>
      <c r="AK1110" s="399">
        <f>IFERROR(VLOOKUP($G1110,基本資料!$A:$M,13,0),"無")</f>
        <v>1.25</v>
      </c>
    </row>
    <row r="1111" spans="1:37">
      <c r="A1111" s="347">
        <f>IFERROR(VLOOKUP($G1111,基本資料!$A:$J,3,0),"無")</f>
        <v>3.91</v>
      </c>
      <c r="B1111" s="79">
        <f>IFERROR(VLOOKUP($G1111,基本資料!$A:$J,4,0),"無")</f>
        <v>76</v>
      </c>
      <c r="C1111" s="79">
        <f>IFERROR(VLOOKUP($G1111,基本資料!$A:$J,5,0),"無")</f>
        <v>47</v>
      </c>
      <c r="D1111" s="79">
        <f>IFERROR(VLOOKUP($G1111,基本資料!$A:$J,6,0),"無")</f>
        <v>-28</v>
      </c>
      <c r="E1111" s="79">
        <f>IFERROR(VLOOKUP($G1111,基本資料!$A:$J,7,0),"無")</f>
        <v>-28</v>
      </c>
      <c r="F1111" s="6">
        <f>IFERROR(VLOOKUP($G1111,基本資料!$A:$J,8,0),"無")</f>
        <v>10.4</v>
      </c>
      <c r="G1111" s="79">
        <v>3597</v>
      </c>
      <c r="H1111" s="8" t="s">
        <v>308</v>
      </c>
      <c r="I1111" s="16" t="s">
        <v>1807</v>
      </c>
      <c r="J1111" s="8" t="str">
        <f>IFERROR(VLOOKUP($G1111,今日總結!$A:$AJ,35,0),"")</f>
        <v/>
      </c>
      <c r="K1111" s="5" t="str">
        <f>IFERROR(VLOOKUP($G1111,今日總結!$A:$AJ,36,0),"")</f>
        <v/>
      </c>
      <c r="L1111" s="156" t="str">
        <f>IFERROR(VLOOKUP($G1111,今日總結!$A:$AJ,33,0),"")</f>
        <v/>
      </c>
      <c r="M1111" s="340" t="str">
        <f>IFERROR(VLOOKUP($G1111,今日總結!$A:$AJ,34,0),"")</f>
        <v/>
      </c>
      <c r="N1111" s="240" t="str">
        <f t="shared" si="213"/>
        <v/>
      </c>
      <c r="P1111" s="365">
        <f>IFERROR(VLOOKUP($G1111,融外自投!$A:$J,7,0),"無")</f>
        <v>487</v>
      </c>
      <c r="Q1111" s="79" t="str">
        <f>IFERROR(VLOOKUP($G1111,融外自投!$A:$J,9,0),"無")</f>
        <v>無</v>
      </c>
      <c r="R1111" s="346">
        <f>IFERROR(VLOOKUP($G1111,融外自投!$A:$J,8,0),"無")</f>
        <v>1390</v>
      </c>
      <c r="S1111" s="81" t="str">
        <f>IFERROR(VLOOKUP($G1111,融外自投!$A:$J,10,0),"無")</f>
        <v>無</v>
      </c>
      <c r="T1111" s="327" t="str">
        <f>IFERROR(VLOOKUP($G1111,'321買'!$A:$E,5,0),"'沒有資料'")</f>
        <v>'沒有資料'</v>
      </c>
      <c r="U1111" s="186">
        <f>IFERROR(VLOOKUP($G1111,基本資料!$A:$J,9,0),"無")</f>
        <v>1.7</v>
      </c>
      <c r="V1111" s="310">
        <f t="shared" si="211"/>
        <v>6.6147859922178989E-2</v>
      </c>
      <c r="W1111" s="94">
        <f>IFERROR(VLOOKUP($G1111,基本資料!$A:$J,10,0),"無")</f>
        <v>2.1</v>
      </c>
      <c r="X1111" s="36">
        <f>RTD("money.excel",,"3597","Price")</f>
        <v>25.7</v>
      </c>
      <c r="Y1111" s="66"/>
      <c r="Z1111" s="15">
        <f t="shared" si="208"/>
        <v>25.7</v>
      </c>
      <c r="AA1111" s="35" t="e">
        <f t="shared" si="209"/>
        <v>#DIV/0!</v>
      </c>
      <c r="AB1111" s="344">
        <f>IFERROR(VLOOKUP($G1111,基本資料!$A:$M,11,0),"無")</f>
        <v>-29.42</v>
      </c>
      <c r="AC1111" s="397">
        <f>IFERROR(VLOOKUP($G1111,基本資料!$A:$M,12,0),"無")</f>
        <v>17.27</v>
      </c>
      <c r="AD1111" s="16" t="s">
        <v>1807</v>
      </c>
      <c r="AG1111" s="33">
        <f t="shared" si="210"/>
        <v>0</v>
      </c>
      <c r="AH1111" s="43" t="s">
        <v>1883</v>
      </c>
      <c r="AI1111" s="63">
        <f t="shared" si="212"/>
        <v>6.3938618925831207E-4</v>
      </c>
      <c r="AJ1111" s="284">
        <f>RTD("money.excel",,$G1111,"PredictVolume")</f>
        <v>25</v>
      </c>
      <c r="AK1111" s="399">
        <f>IFERROR(VLOOKUP($G1111,基本資料!$A:$M,13,0),"無")</f>
        <v>10.96</v>
      </c>
    </row>
    <row r="1112" spans="1:37">
      <c r="A1112" s="347">
        <f>IFERROR(VLOOKUP($G1112,基本資料!$A:$J,3,0),"無")</f>
        <v>13.43</v>
      </c>
      <c r="B1112" s="79">
        <f>IFERROR(VLOOKUP($G1112,基本資料!$A:$J,4,0),"無")</f>
        <v>95</v>
      </c>
      <c r="C1112" s="79">
        <f>IFERROR(VLOOKUP($G1112,基本資料!$A:$J,5,0),"無")</f>
        <v>47</v>
      </c>
      <c r="D1112" s="79">
        <f>IFERROR(VLOOKUP($G1112,基本資料!$A:$J,6,0),"無")</f>
        <v>44</v>
      </c>
      <c r="E1112" s="79">
        <f>IFERROR(VLOOKUP($G1112,基本資料!$A:$J,7,0),"無")</f>
        <v>26</v>
      </c>
      <c r="F1112" s="6">
        <f>IFERROR(VLOOKUP($G1112,基本資料!$A:$J,8,0),"無")</f>
        <v>4.8600000000000003</v>
      </c>
      <c r="G1112" s="79">
        <v>3605</v>
      </c>
      <c r="H1112" s="8" t="s">
        <v>308</v>
      </c>
      <c r="I1112" s="22" t="s">
        <v>391</v>
      </c>
      <c r="J1112" s="8" t="str">
        <f>IFERROR(VLOOKUP($G1112,今日總結!$A:$AJ,35,0),"")</f>
        <v/>
      </c>
      <c r="K1112" s="5" t="str">
        <f>IFERROR(VLOOKUP($G1112,今日總結!$A:$AJ,36,0),"")</f>
        <v/>
      </c>
      <c r="L1112" s="156" t="str">
        <f>IFERROR(VLOOKUP($G1112,今日總結!$A:$AJ,33,0),"")</f>
        <v/>
      </c>
      <c r="M1112" s="340" t="str">
        <f>IFERROR(VLOOKUP($G1112,今日總結!$A:$AJ,34,0),"")</f>
        <v/>
      </c>
      <c r="N1112" s="240" t="str">
        <f t="shared" si="213"/>
        <v/>
      </c>
      <c r="P1112" s="365">
        <f>IFERROR(VLOOKUP($G1112,融外自投!$A:$J,7,0),"無")</f>
        <v>279</v>
      </c>
      <c r="Q1112" s="79">
        <f>IFERROR(VLOOKUP($G1112,融外自投!$A:$J,9,0),"無")</f>
        <v>762</v>
      </c>
      <c r="R1112" s="346">
        <f>IFERROR(VLOOKUP($G1112,融外自投!$A:$J,8,0),"無")</f>
        <v>538</v>
      </c>
      <c r="S1112" s="81" t="str">
        <f>IFERROR(VLOOKUP($G1112,融外自投!$A:$J,10,0),"無")</f>
        <v>無</v>
      </c>
      <c r="T1112" s="327">
        <f>IFERROR(VLOOKUP($G1112,'321買'!$A:$E,5,0),"'沒有資料'")</f>
        <v>392</v>
      </c>
      <c r="U1112" s="186">
        <f>IFERROR(VLOOKUP($G1112,基本資料!$A:$J,9,0),"無")</f>
        <v>1.5</v>
      </c>
      <c r="V1112" s="310">
        <f t="shared" si="211"/>
        <v>3.6809815950920248E-2</v>
      </c>
      <c r="W1112" s="94">
        <f>IFERROR(VLOOKUP($G1112,基本資料!$A:$J,10,0),"無")</f>
        <v>4.16</v>
      </c>
      <c r="X1112" s="36">
        <f>RTD("money.excel",,"3605","Price")</f>
        <v>40.75</v>
      </c>
      <c r="Y1112" s="66"/>
      <c r="Z1112" s="15">
        <f t="shared" si="208"/>
        <v>40.75</v>
      </c>
      <c r="AA1112" s="3" t="e">
        <f t="shared" si="209"/>
        <v>#DIV/0!</v>
      </c>
      <c r="AB1112" s="344">
        <f>IFERROR(VLOOKUP($G1112,基本資料!$A:$M,11,0),"無")</f>
        <v>-39.36</v>
      </c>
      <c r="AC1112" s="397">
        <f>IFERROR(VLOOKUP($G1112,基本資料!$A:$M,12,0),"無")</f>
        <v>8.7200000000000006</v>
      </c>
      <c r="AD1112" s="22" t="s">
        <v>391</v>
      </c>
      <c r="AG1112" s="33">
        <f t="shared" si="210"/>
        <v>0</v>
      </c>
      <c r="AH1112" s="43" t="s">
        <v>1903</v>
      </c>
      <c r="AI1112" s="63">
        <f t="shared" si="212"/>
        <v>2.3827252419955326E-3</v>
      </c>
      <c r="AJ1112" s="284">
        <f>RTD("money.excel",,$G1112,"PredictVolume")</f>
        <v>320</v>
      </c>
      <c r="AK1112" s="399">
        <f>IFERROR(VLOOKUP($G1112,基本資料!$A:$M,13,0),"無")</f>
        <v>17.46</v>
      </c>
    </row>
    <row r="1113" spans="1:37">
      <c r="A1113" s="347">
        <f>IFERROR(VLOOKUP($G1113,基本資料!$A:$J,3,0),"無")</f>
        <v>12.16</v>
      </c>
      <c r="B1113" s="79">
        <f>IFERROR(VLOOKUP($G1113,基本資料!$A:$J,4,0),"無")</f>
        <v>30</v>
      </c>
      <c r="C1113" s="79">
        <f>IFERROR(VLOOKUP($G1113,基本資料!$A:$J,5,0),"無")</f>
        <v>-1</v>
      </c>
      <c r="D1113" s="79">
        <f>IFERROR(VLOOKUP($G1113,基本資料!$A:$J,6,0),"無")</f>
        <v>58</v>
      </c>
      <c r="E1113" s="79">
        <f>IFERROR(VLOOKUP($G1113,基本資料!$A:$J,7,0),"無")</f>
        <v>-1</v>
      </c>
      <c r="F1113" s="6">
        <f>IFERROR(VLOOKUP($G1113,基本資料!$A:$J,8,0),"無")</f>
        <v>-12.13</v>
      </c>
      <c r="G1113" s="79">
        <v>3607</v>
      </c>
      <c r="H1113" s="8" t="s">
        <v>308</v>
      </c>
      <c r="I1113" s="22" t="s">
        <v>233</v>
      </c>
      <c r="J1113" s="8" t="str">
        <f>IFERROR(VLOOKUP($G1113,今日總結!$A:$AJ,35,0),"")</f>
        <v/>
      </c>
      <c r="K1113" s="5" t="str">
        <f>IFERROR(VLOOKUP($G1113,今日總結!$A:$AJ,36,0),"")</f>
        <v/>
      </c>
      <c r="L1113" s="156" t="str">
        <f>IFERROR(VLOOKUP($G1113,今日總結!$A:$AJ,33,0),"")</f>
        <v/>
      </c>
      <c r="M1113" s="340" t="str">
        <f>IFERROR(VLOOKUP($G1113,今日總結!$A:$AJ,34,0),"")</f>
        <v/>
      </c>
      <c r="N1113" s="240" t="str">
        <f t="shared" si="213"/>
        <v/>
      </c>
      <c r="P1113" s="365">
        <f>IFERROR(VLOOKUP($G1113,融外自投!$A:$J,7,0),"無")</f>
        <v>528</v>
      </c>
      <c r="Q1113" s="79">
        <f>IFERROR(VLOOKUP($G1113,融外自投!$A:$J,9,0),"無")</f>
        <v>789</v>
      </c>
      <c r="R1113" s="346">
        <f>IFERROR(VLOOKUP($G1113,融外自投!$A:$J,8,0),"無")</f>
        <v>778</v>
      </c>
      <c r="S1113" s="81" t="str">
        <f>IFERROR(VLOOKUP($G1113,融外自投!$A:$J,10,0),"無")</f>
        <v>無</v>
      </c>
      <c r="T1113" s="327">
        <f>IFERROR(VLOOKUP($G1113,'321買'!$A:$E,5,0),"'沒有資料'")</f>
        <v>1085</v>
      </c>
      <c r="U1113" s="186">
        <f>IFERROR(VLOOKUP($G1113,基本資料!$A:$J,9,0),"無")</f>
        <v>1</v>
      </c>
      <c r="V1113" s="310">
        <f t="shared" si="211"/>
        <v>7.662835249042145E-2</v>
      </c>
      <c r="W1113" s="94">
        <f>IFERROR(VLOOKUP($G1113,基本資料!$A:$J,10,0),"無")</f>
        <v>-2.2200000000000002</v>
      </c>
      <c r="X1113" s="36">
        <f>RTD("money.excel",,"3607","Price")</f>
        <v>13.05</v>
      </c>
      <c r="Y1113" s="66"/>
      <c r="Z1113" s="15">
        <f t="shared" si="208"/>
        <v>13.05</v>
      </c>
      <c r="AA1113" s="3" t="e">
        <f t="shared" si="209"/>
        <v>#DIV/0!</v>
      </c>
      <c r="AB1113" s="344">
        <f>IFERROR(VLOOKUP($G1113,基本資料!$A:$M,11,0),"無")</f>
        <v>-35.380000000000003</v>
      </c>
      <c r="AC1113" s="397">
        <f>IFERROR(VLOOKUP($G1113,基本資料!$A:$M,12,0),"無")</f>
        <v>36.1</v>
      </c>
      <c r="AD1113" s="22" t="s">
        <v>233</v>
      </c>
      <c r="AG1113" s="33">
        <f t="shared" si="210"/>
        <v>0</v>
      </c>
      <c r="AH1113" s="117" t="s">
        <v>2588</v>
      </c>
      <c r="AI1113" s="63">
        <f t="shared" si="212"/>
        <v>3.1661184210526314E-3</v>
      </c>
      <c r="AJ1113" s="284">
        <f>RTD("money.excel",,$G1113,"PredictVolume")</f>
        <v>385</v>
      </c>
      <c r="AK1113" s="399">
        <f>IFERROR(VLOOKUP($G1113,基本資料!$A:$M,13,0),"無")</f>
        <v>26.94</v>
      </c>
    </row>
    <row r="1114" spans="1:37">
      <c r="A1114" s="347">
        <f>IFERROR(VLOOKUP($G1114,基本資料!$A:$J,3,0),"無")</f>
        <v>3.06</v>
      </c>
      <c r="B1114" s="79">
        <f>IFERROR(VLOOKUP($G1114,基本資料!$A:$J,4,0),"無")</f>
        <v>102</v>
      </c>
      <c r="C1114" s="79">
        <f>IFERROR(VLOOKUP($G1114,基本資料!$A:$J,5,0),"無")</f>
        <v>143</v>
      </c>
      <c r="D1114" s="79">
        <f>IFERROR(VLOOKUP($G1114,基本資料!$A:$J,6,0),"無")</f>
        <v>27</v>
      </c>
      <c r="E1114" s="79">
        <f>IFERROR(VLOOKUP($G1114,基本資料!$A:$J,7,0),"無")</f>
        <v>105</v>
      </c>
      <c r="F1114" s="6">
        <f>IFERROR(VLOOKUP($G1114,基本資料!$A:$J,8,0),"無")</f>
        <v>1.1100000000000001</v>
      </c>
      <c r="G1114" s="79">
        <v>3609</v>
      </c>
      <c r="H1114" s="8" t="s">
        <v>308</v>
      </c>
      <c r="I1114" s="16" t="s">
        <v>4577</v>
      </c>
      <c r="J1114" s="8" t="str">
        <f>IFERROR(VLOOKUP($G1114,今日總結!$A:$AJ,35,0),"")</f>
        <v/>
      </c>
      <c r="K1114" s="5" t="str">
        <f>IFERROR(VLOOKUP($G1114,今日總結!$A:$AJ,36,0),"")</f>
        <v/>
      </c>
      <c r="L1114" s="156" t="str">
        <f>IFERROR(VLOOKUP($G1114,今日總結!$A:$AJ,33,0),"")</f>
        <v/>
      </c>
      <c r="M1114" s="340" t="str">
        <f>IFERROR(VLOOKUP($G1114,今日總結!$A:$AJ,34,0),"")</f>
        <v/>
      </c>
      <c r="N1114" s="240" t="str">
        <f t="shared" si="213"/>
        <v/>
      </c>
      <c r="P1114" s="365">
        <f>IFERROR(VLOOKUP($G1114,融外自投!$A:$J,7,0),"無")</f>
        <v>7</v>
      </c>
      <c r="Q1114" s="79">
        <f>IFERROR(VLOOKUP($G1114,融外自投!$A:$J,9,0),"無")</f>
        <v>978</v>
      </c>
      <c r="R1114" s="346">
        <f>IFERROR(VLOOKUP($G1114,融外自投!$A:$J,8,0),"無")</f>
        <v>1318</v>
      </c>
      <c r="S1114" s="81" t="str">
        <f>IFERROR(VLOOKUP($G1114,融外自投!$A:$J,10,0),"無")</f>
        <v>無</v>
      </c>
      <c r="T1114" s="327">
        <f>IFERROR(VLOOKUP($G1114,'321買'!$A:$E,5,0),"'沒有資料'")</f>
        <v>237</v>
      </c>
      <c r="U1114" s="186">
        <f>IFERROR(VLOOKUP($G1114,基本資料!$A:$J,9,0),"無")</f>
        <v>0</v>
      </c>
      <c r="V1114" s="310">
        <f t="shared" si="211"/>
        <v>0</v>
      </c>
      <c r="W1114" s="94">
        <f>IFERROR(VLOOKUP($G1114,基本資料!$A:$J,10,0),"無")</f>
        <v>0.01</v>
      </c>
      <c r="X1114" s="36">
        <f>RTD("money.excel",,"3609","Price")</f>
        <v>52.5</v>
      </c>
      <c r="Y1114" s="66"/>
      <c r="Z1114" s="15">
        <f t="shared" si="208"/>
        <v>52.5</v>
      </c>
      <c r="AA1114" s="35" t="e">
        <f t="shared" si="209"/>
        <v>#DIV/0!</v>
      </c>
      <c r="AB1114" s="344">
        <f>IFERROR(VLOOKUP($G1114,基本資料!$A:$M,11,0),"無")</f>
        <v>-16.010000000000002</v>
      </c>
      <c r="AC1114" s="397">
        <f>IFERROR(VLOOKUP($G1114,基本資料!$A:$M,12,0),"無")</f>
        <v>27.36</v>
      </c>
      <c r="AD1114" s="16" t="s">
        <v>4577</v>
      </c>
      <c r="AG1114" s="33">
        <f t="shared" si="210"/>
        <v>0</v>
      </c>
      <c r="AH1114" s="43" t="s">
        <v>2406</v>
      </c>
      <c r="AI1114" s="63">
        <f t="shared" si="212"/>
        <v>4.9019607843137254E-4</v>
      </c>
      <c r="AJ1114" s="284">
        <f>RTD("money.excel",,$G1114,"PredictVolume")</f>
        <v>15</v>
      </c>
      <c r="AK1114" s="399">
        <f>IFERROR(VLOOKUP($G1114,基本資料!$A:$M,13,0),"無")</f>
        <v>6.15</v>
      </c>
    </row>
    <row r="1115" spans="1:37">
      <c r="A1115" s="347">
        <f>IFERROR(VLOOKUP($G1115,基本資料!$A:$J,3,0),"無")</f>
        <v>11.73</v>
      </c>
      <c r="B1115" s="79">
        <f>IFERROR(VLOOKUP($G1115,基本資料!$A:$J,4,0),"無")</f>
        <v>179</v>
      </c>
      <c r="C1115" s="79">
        <f>IFERROR(VLOOKUP($G1115,基本資料!$A:$J,5,0),"無")</f>
        <v>203</v>
      </c>
      <c r="D1115" s="79">
        <f>IFERROR(VLOOKUP($G1115,基本資料!$A:$J,6,0),"無")</f>
        <v>-14</v>
      </c>
      <c r="E1115" s="79">
        <f>IFERROR(VLOOKUP($G1115,基本資料!$A:$J,7,0),"無")</f>
        <v>3</v>
      </c>
      <c r="F1115" s="6">
        <f>IFERROR(VLOOKUP($G1115,基本資料!$A:$J,8,0),"無")</f>
        <v>19.670000000000002</v>
      </c>
      <c r="G1115" s="79">
        <v>3624</v>
      </c>
      <c r="H1115" s="8" t="s">
        <v>308</v>
      </c>
      <c r="I1115" s="16" t="s">
        <v>4578</v>
      </c>
      <c r="J1115" s="8">
        <f>IFERROR(VLOOKUP($G1115,今日總結!$A:$AJ,35,0),"")</f>
        <v>62</v>
      </c>
      <c r="K1115" s="5" t="str">
        <f>IFERROR(VLOOKUP($G1115,今日總結!$A:$AJ,36,0),"")</f>
        <v>借</v>
      </c>
      <c r="L1115" s="156">
        <f>IFERROR(VLOOKUP($G1115,今日總結!$A:$AJ,33,0),"")</f>
        <v>2</v>
      </c>
      <c r="M1115" s="340">
        <f>IFERROR(VLOOKUP($G1115,今日總結!$A:$AJ,34,0),"")</f>
        <v>1</v>
      </c>
      <c r="N1115" s="240">
        <f t="shared" si="213"/>
        <v>1</v>
      </c>
      <c r="P1115" s="365">
        <f>IFERROR(VLOOKUP($G1115,融外自投!$A:$J,7,0),"無")</f>
        <v>219</v>
      </c>
      <c r="Q1115" s="79">
        <f>IFERROR(VLOOKUP($G1115,融外自投!$A:$J,9,0),"無")</f>
        <v>171</v>
      </c>
      <c r="R1115" s="346">
        <f>IFERROR(VLOOKUP($G1115,融外自投!$A:$J,8,0),"無")</f>
        <v>97</v>
      </c>
      <c r="S1115" s="81">
        <f>IFERROR(VLOOKUP($G1115,融外自投!$A:$J,10,0),"無")</f>
        <v>9</v>
      </c>
      <c r="T1115" s="327">
        <f>IFERROR(VLOOKUP($G1115,'321買'!$A:$E,5,0),"'沒有資料'")</f>
        <v>79</v>
      </c>
      <c r="U1115" s="186">
        <f>IFERROR(VLOOKUP($G1115,基本資料!$A:$J,9,0),"無")</f>
        <v>2.2000000000000002</v>
      </c>
      <c r="V1115" s="310">
        <f t="shared" si="211"/>
        <v>2.838709677419355E-2</v>
      </c>
      <c r="W1115" s="94">
        <f>IFERROR(VLOOKUP($G1115,基本資料!$A:$J,10,0),"無")</f>
        <v>4.04</v>
      </c>
      <c r="X1115" s="36">
        <f>RTD("money.excel",,"3624","Price")</f>
        <v>77.5</v>
      </c>
      <c r="Y1115" s="66"/>
      <c r="Z1115" s="15">
        <f t="shared" si="208"/>
        <v>77.5</v>
      </c>
      <c r="AA1115" s="35" t="e">
        <f t="shared" si="209"/>
        <v>#DIV/0!</v>
      </c>
      <c r="AB1115" s="344">
        <f>IFERROR(VLOOKUP($G1115,基本資料!$A:$M,11,0),"無")</f>
        <v>-23.9</v>
      </c>
      <c r="AC1115" s="397">
        <f>IFERROR(VLOOKUP($G1115,基本資料!$A:$M,12,0),"無")</f>
        <v>32.69</v>
      </c>
      <c r="AD1115" s="16" t="s">
        <v>4578</v>
      </c>
      <c r="AG1115" s="33">
        <f t="shared" si="210"/>
        <v>0</v>
      </c>
      <c r="AH1115" s="43" t="s">
        <v>2407</v>
      </c>
      <c r="AI1115" s="63">
        <f t="shared" si="212"/>
        <v>9.0929241261722082E-2</v>
      </c>
      <c r="AJ1115" s="284">
        <f>RTD("money.excel",,$G1115,"PredictVolume")</f>
        <v>10666</v>
      </c>
      <c r="AK1115" s="399">
        <f>IFERROR(VLOOKUP($G1115,基本資料!$A:$M,13,0),"無")</f>
        <v>48.24</v>
      </c>
    </row>
    <row r="1116" spans="1:37">
      <c r="A1116" s="347">
        <f>IFERROR(VLOOKUP($G1116,基本資料!$A:$J,3,0),"無")</f>
        <v>8.18</v>
      </c>
      <c r="B1116" s="79">
        <f>IFERROR(VLOOKUP($G1116,基本資料!$A:$J,4,0),"無")</f>
        <v>-80</v>
      </c>
      <c r="C1116" s="79">
        <f>IFERROR(VLOOKUP($G1116,基本資料!$A:$J,5,0),"無")</f>
        <v>-50</v>
      </c>
      <c r="D1116" s="79">
        <f>IFERROR(VLOOKUP($G1116,基本資料!$A:$J,6,0),"無")</f>
        <v>81</v>
      </c>
      <c r="E1116" s="79">
        <f>IFERROR(VLOOKUP($G1116,基本資料!$A:$J,7,0),"無")</f>
        <v>-3</v>
      </c>
      <c r="F1116" s="6">
        <f>IFERROR(VLOOKUP($G1116,基本資料!$A:$J,8,0),"無")</f>
        <v>-24.03</v>
      </c>
      <c r="G1116" s="79">
        <v>3631</v>
      </c>
      <c r="H1116" s="8" t="s">
        <v>308</v>
      </c>
      <c r="I1116" s="16" t="s">
        <v>408</v>
      </c>
      <c r="J1116" s="8" t="str">
        <f>IFERROR(VLOOKUP($G1116,今日總結!$A:$AJ,35,0),"")</f>
        <v/>
      </c>
      <c r="K1116" s="5" t="str">
        <f>IFERROR(VLOOKUP($G1116,今日總結!$A:$AJ,36,0),"")</f>
        <v/>
      </c>
      <c r="L1116" s="156" t="str">
        <f>IFERROR(VLOOKUP($G1116,今日總結!$A:$AJ,33,0),"")</f>
        <v/>
      </c>
      <c r="M1116" s="340" t="str">
        <f>IFERROR(VLOOKUP($G1116,今日總結!$A:$AJ,34,0),"")</f>
        <v/>
      </c>
      <c r="N1116" s="240" t="str">
        <f t="shared" si="213"/>
        <v/>
      </c>
      <c r="P1116" s="365">
        <f>IFERROR(VLOOKUP($G1116,融外自投!$A:$J,7,0),"無")</f>
        <v>74</v>
      </c>
      <c r="Q1116" s="79" t="str">
        <f>IFERROR(VLOOKUP($G1116,融外自投!$A:$J,9,0),"無")</f>
        <v>無</v>
      </c>
      <c r="R1116" s="346">
        <f>IFERROR(VLOOKUP($G1116,融外自投!$A:$J,8,0),"無")</f>
        <v>406</v>
      </c>
      <c r="S1116" s="81" t="str">
        <f>IFERROR(VLOOKUP($G1116,融外自投!$A:$J,10,0),"無")</f>
        <v>無</v>
      </c>
      <c r="T1116" s="327">
        <f>IFERROR(VLOOKUP($G1116,'321買'!$A:$E,5,0),"'沒有資料'")</f>
        <v>915</v>
      </c>
      <c r="U1116" s="186">
        <f>IFERROR(VLOOKUP($G1116,基本資料!$A:$J,9,0),"無")</f>
        <v>0.5</v>
      </c>
      <c r="V1116" s="310">
        <f t="shared" si="211"/>
        <v>1.2422360248447204E-2</v>
      </c>
      <c r="W1116" s="94">
        <f>IFERROR(VLOOKUP($G1116,基本資料!$A:$J,10,0),"無")</f>
        <v>-0.16</v>
      </c>
      <c r="X1116" s="36">
        <f>RTD("money.excel",,"3631","Price")</f>
        <v>40.25</v>
      </c>
      <c r="Y1116" s="66"/>
      <c r="Z1116" s="15">
        <f t="shared" si="208"/>
        <v>40.25</v>
      </c>
      <c r="AA1116" s="35" t="e">
        <f t="shared" si="209"/>
        <v>#DIV/0!</v>
      </c>
      <c r="AB1116" s="344">
        <f>IFERROR(VLOOKUP($G1116,基本資料!$A:$M,11,0),"無")</f>
        <v>-31.99</v>
      </c>
      <c r="AC1116" s="397">
        <f>IFERROR(VLOOKUP($G1116,基本資料!$A:$M,12,0),"無")</f>
        <v>19.32</v>
      </c>
      <c r="AD1116" s="16" t="s">
        <v>408</v>
      </c>
      <c r="AG1116" s="33">
        <f t="shared" si="210"/>
        <v>0</v>
      </c>
      <c r="AH1116" s="43" t="s">
        <v>2408</v>
      </c>
      <c r="AI1116" s="63">
        <f t="shared" si="212"/>
        <v>7.8239608801955994E-4</v>
      </c>
      <c r="AJ1116" s="284">
        <f>RTD("money.excel",,$G1116,"PredictVolume")</f>
        <v>64</v>
      </c>
      <c r="AK1116" s="399">
        <f>IFERROR(VLOOKUP($G1116,基本資料!$A:$M,13,0),"無")</f>
        <v>0.94</v>
      </c>
    </row>
    <row r="1117" spans="1:37">
      <c r="A1117" s="347">
        <f>IFERROR(VLOOKUP($G1117,基本資料!$A:$J,3,0),"無")</f>
        <v>13.12</v>
      </c>
      <c r="B1117" s="79">
        <f>IFERROR(VLOOKUP($G1117,基本資料!$A:$J,4,0),"無")</f>
        <v>-15</v>
      </c>
      <c r="C1117" s="79">
        <f>IFERROR(VLOOKUP($G1117,基本資料!$A:$J,5,0),"無")</f>
        <v>-6</v>
      </c>
      <c r="D1117" s="79">
        <f>IFERROR(VLOOKUP($G1117,基本資料!$A:$J,6,0),"無")</f>
        <v>-9</v>
      </c>
      <c r="E1117" s="79">
        <f>IFERROR(VLOOKUP($G1117,基本資料!$A:$J,7,0),"無")</f>
        <v>7</v>
      </c>
      <c r="F1117" s="6">
        <f>IFERROR(VLOOKUP($G1117,基本資料!$A:$J,8,0),"無")</f>
        <v>16.329999999999998</v>
      </c>
      <c r="G1117" s="79">
        <v>3645</v>
      </c>
      <c r="H1117" s="195" t="s">
        <v>308</v>
      </c>
      <c r="I1117" s="22" t="s">
        <v>174</v>
      </c>
      <c r="J1117" s="8">
        <f>IFERROR(VLOOKUP($G1117,今日總結!$A:$AJ,35,0),"")</f>
        <v>5</v>
      </c>
      <c r="K1117" s="5">
        <f>IFERROR(VLOOKUP($G1117,今日總結!$A:$AJ,36,0),"")</f>
        <v>6</v>
      </c>
      <c r="L1117" s="156">
        <f>IFERROR(VLOOKUP($G1117,今日總結!$A:$AJ,33,0),"")</f>
        <v>1</v>
      </c>
      <c r="M1117" s="340">
        <f>IFERROR(VLOOKUP($G1117,今日總結!$A:$AJ,34,0),"")</f>
        <v>1</v>
      </c>
      <c r="N1117" s="240">
        <f t="shared" si="213"/>
        <v>0</v>
      </c>
      <c r="P1117" s="365">
        <f>IFERROR(VLOOKUP($G1117,融外自投!$A:$J,7,0),"無")</f>
        <v>286</v>
      </c>
      <c r="Q1117" s="79">
        <f>IFERROR(VLOOKUP($G1117,融外自投!$A:$J,9,0),"無")</f>
        <v>171</v>
      </c>
      <c r="R1117" s="346">
        <f>IFERROR(VLOOKUP($G1117,融外自投!$A:$J,8,0),"無")</f>
        <v>374</v>
      </c>
      <c r="S1117" s="81">
        <f>IFERROR(VLOOKUP($G1117,融外自投!$A:$J,10,0),"無")</f>
        <v>159</v>
      </c>
      <c r="T1117" s="327">
        <f>IFERROR(VLOOKUP($G1117,'321買'!$A:$E,5,0),"'沒有資料'")</f>
        <v>536</v>
      </c>
      <c r="U1117" s="186">
        <f>IFERROR(VLOOKUP($G1117,基本資料!$A:$J,9,0),"無")</f>
        <v>1.2</v>
      </c>
      <c r="V1117" s="310">
        <f t="shared" si="211"/>
        <v>2.5289778714436245E-2</v>
      </c>
      <c r="W1117" s="94">
        <f>IFERROR(VLOOKUP($G1117,基本資料!$A:$J,10,0),"無")</f>
        <v>2.3199999999999998</v>
      </c>
      <c r="X1117" s="36">
        <f>RTD("money.excel",,"3645","Price")</f>
        <v>47.45</v>
      </c>
      <c r="Y1117" s="66"/>
      <c r="Z1117" s="15">
        <f t="shared" si="208"/>
        <v>47.45</v>
      </c>
      <c r="AA1117" s="3" t="e">
        <f t="shared" si="209"/>
        <v>#DIV/0!</v>
      </c>
      <c r="AB1117" s="344">
        <f>IFERROR(VLOOKUP($G1117,基本資料!$A:$M,11,0),"無")</f>
        <v>-15.63</v>
      </c>
      <c r="AC1117" s="397">
        <f>IFERROR(VLOOKUP($G1117,基本資料!$A:$M,12,0),"無")</f>
        <v>67.27</v>
      </c>
      <c r="AD1117" s="22" t="s">
        <v>174</v>
      </c>
      <c r="AG1117" s="33">
        <f t="shared" si="210"/>
        <v>0</v>
      </c>
      <c r="AH1117" s="119" t="s">
        <v>2589</v>
      </c>
      <c r="AI1117" s="63">
        <f t="shared" si="212"/>
        <v>4.0243902439024391E-2</v>
      </c>
      <c r="AJ1117" s="284">
        <f>RTD("money.excel",,$G1117,"PredictVolume")</f>
        <v>5280</v>
      </c>
      <c r="AK1117" s="399">
        <f>IFERROR(VLOOKUP($G1117,基本資料!$A:$M,13,0),"無")</f>
        <v>9.77</v>
      </c>
    </row>
    <row r="1118" spans="1:37">
      <c r="A1118" s="347">
        <f>IFERROR(VLOOKUP($G1118,基本資料!$A:$J,3,0),"無")</f>
        <v>3.92</v>
      </c>
      <c r="B1118" s="79">
        <f>IFERROR(VLOOKUP($G1118,基本資料!$A:$J,4,0),"無")</f>
        <v>87</v>
      </c>
      <c r="C1118" s="79">
        <f>IFERROR(VLOOKUP($G1118,基本資料!$A:$J,5,0),"無")</f>
        <v>84</v>
      </c>
      <c r="D1118" s="79">
        <f>IFERROR(VLOOKUP($G1118,基本資料!$A:$J,6,0),"無")</f>
        <v>16</v>
      </c>
      <c r="E1118" s="79">
        <f>IFERROR(VLOOKUP($G1118,基本資料!$A:$J,7,0),"無")</f>
        <v>2</v>
      </c>
      <c r="F1118" s="6">
        <f>IFERROR(VLOOKUP($G1118,基本資料!$A:$J,8,0),"無")</f>
        <v>12.82</v>
      </c>
      <c r="G1118" s="79">
        <v>3646</v>
      </c>
      <c r="H1118" s="8" t="s">
        <v>308</v>
      </c>
      <c r="I1118" s="16" t="s">
        <v>4579</v>
      </c>
      <c r="J1118" s="8" t="str">
        <f>IFERROR(VLOOKUP($G1118,今日總結!$A:$AJ,35,0),"")</f>
        <v/>
      </c>
      <c r="K1118" s="5" t="str">
        <f>IFERROR(VLOOKUP($G1118,今日總結!$A:$AJ,36,0),"")</f>
        <v/>
      </c>
      <c r="L1118" s="156" t="str">
        <f>IFERROR(VLOOKUP($G1118,今日總結!$A:$AJ,33,0),"")</f>
        <v/>
      </c>
      <c r="M1118" s="340" t="str">
        <f>IFERROR(VLOOKUP($G1118,今日總結!$A:$AJ,34,0),"")</f>
        <v/>
      </c>
      <c r="N1118" s="240" t="str">
        <f t="shared" si="213"/>
        <v/>
      </c>
      <c r="P1118" s="365">
        <f>IFERROR(VLOOKUP($G1118,融外自投!$A:$J,7,0),"無")</f>
        <v>52</v>
      </c>
      <c r="Q1118" s="79" t="str">
        <f>IFERROR(VLOOKUP($G1118,融外自投!$A:$J,9,0),"無")</f>
        <v>無</v>
      </c>
      <c r="R1118" s="346">
        <f>IFERROR(VLOOKUP($G1118,融外自投!$A:$J,8,0),"無")</f>
        <v>622</v>
      </c>
      <c r="S1118" s="81" t="str">
        <f>IFERROR(VLOOKUP($G1118,融外自投!$A:$J,10,0),"無")</f>
        <v>無</v>
      </c>
      <c r="T1118" s="327">
        <f>IFERROR(VLOOKUP($G1118,'321買'!$A:$E,5,0),"'沒有資料'")</f>
        <v>683</v>
      </c>
      <c r="U1118" s="186">
        <f>IFERROR(VLOOKUP($G1118,基本資料!$A:$J,9,0),"無")</f>
        <v>1.68</v>
      </c>
      <c r="V1118" s="310">
        <f t="shared" si="211"/>
        <v>6.4122137404580157E-2</v>
      </c>
      <c r="W1118" s="94">
        <f>IFERROR(VLOOKUP($G1118,基本資料!$A:$J,10,0),"無")</f>
        <v>2.17</v>
      </c>
      <c r="X1118" s="36">
        <f>RTD("money.excel",,"3646","Price")</f>
        <v>26.2</v>
      </c>
      <c r="Y1118" s="66"/>
      <c r="Z1118" s="15">
        <f t="shared" si="208"/>
        <v>26.2</v>
      </c>
      <c r="AA1118" s="3" t="e">
        <f t="shared" si="209"/>
        <v>#DIV/0!</v>
      </c>
      <c r="AB1118" s="344">
        <f>IFERROR(VLOOKUP($G1118,基本資料!$A:$M,11,0),"無")</f>
        <v>-23.98</v>
      </c>
      <c r="AC1118" s="397">
        <f>IFERROR(VLOOKUP($G1118,基本資料!$A:$M,12,0),"無")</f>
        <v>20.49</v>
      </c>
      <c r="AD1118" s="16" t="s">
        <v>4579</v>
      </c>
      <c r="AG1118" s="33">
        <f t="shared" si="210"/>
        <v>0</v>
      </c>
      <c r="AH1118" s="43" t="s">
        <v>1903</v>
      </c>
      <c r="AI1118" s="63">
        <f t="shared" si="212"/>
        <v>1.7857142857142857E-4</v>
      </c>
      <c r="AJ1118" s="284">
        <f>RTD("money.excel",,$G1118,"PredictVolume")</f>
        <v>7</v>
      </c>
      <c r="AK1118" s="399">
        <f>IFERROR(VLOOKUP($G1118,基本資料!$A:$M,13,0),"無")</f>
        <v>9.73</v>
      </c>
    </row>
    <row r="1119" spans="1:37">
      <c r="A1119" s="347">
        <f>IFERROR(VLOOKUP($G1119,基本資料!$A:$J,3,0),"無")</f>
        <v>12.22</v>
      </c>
      <c r="B1119" s="79">
        <f>IFERROR(VLOOKUP($G1119,基本資料!$A:$J,4,0),"無")</f>
        <v>26</v>
      </c>
      <c r="C1119" s="79">
        <f>IFERROR(VLOOKUP($G1119,基本資料!$A:$J,5,0),"無")</f>
        <v>52</v>
      </c>
      <c r="D1119" s="79">
        <f>IFERROR(VLOOKUP($G1119,基本資料!$A:$J,6,0),"無")</f>
        <v>-9</v>
      </c>
      <c r="E1119" s="79">
        <f>IFERROR(VLOOKUP($G1119,基本資料!$A:$J,7,0),"無")</f>
        <v>23</v>
      </c>
      <c r="F1119" s="6">
        <f>IFERROR(VLOOKUP($G1119,基本資料!$A:$J,8,0),"無")</f>
        <v>19.43</v>
      </c>
      <c r="G1119" s="79">
        <v>3653</v>
      </c>
      <c r="H1119" s="195" t="s">
        <v>308</v>
      </c>
      <c r="I1119" s="22" t="s">
        <v>392</v>
      </c>
      <c r="J1119" s="8" t="str">
        <f>IFERROR(VLOOKUP($G1119,今日總結!$A:$AJ,35,0),"")</f>
        <v/>
      </c>
      <c r="K1119" s="5" t="str">
        <f>IFERROR(VLOOKUP($G1119,今日總結!$A:$AJ,36,0),"")</f>
        <v/>
      </c>
      <c r="L1119" s="156" t="str">
        <f>IFERROR(VLOOKUP($G1119,今日總結!$A:$AJ,33,0),"")</f>
        <v/>
      </c>
      <c r="M1119" s="340" t="str">
        <f>IFERROR(VLOOKUP($G1119,今日總結!$A:$AJ,34,0),"")</f>
        <v/>
      </c>
      <c r="N1119" s="240" t="str">
        <f t="shared" si="213"/>
        <v/>
      </c>
      <c r="P1119" s="365">
        <f>IFERROR(VLOOKUP($G1119,融外自投!$A:$J,7,0),"無")</f>
        <v>914</v>
      </c>
      <c r="Q1119" s="79">
        <f>IFERROR(VLOOKUP($G1119,融外自投!$A:$J,9,0),"無")</f>
        <v>406</v>
      </c>
      <c r="R1119" s="346">
        <f>IFERROR(VLOOKUP($G1119,融外自投!$A:$J,8,0),"無")</f>
        <v>469</v>
      </c>
      <c r="S1119" s="81">
        <f>IFERROR(VLOOKUP($G1119,融外自投!$A:$J,10,0),"無")</f>
        <v>5</v>
      </c>
      <c r="T1119" s="327">
        <f>IFERROR(VLOOKUP($G1119,'321買'!$A:$E,5,0),"'沒有資料'")</f>
        <v>63</v>
      </c>
      <c r="U1119" s="186">
        <f>IFERROR(VLOOKUP($G1119,基本資料!$A:$J,9,0),"無")</f>
        <v>7</v>
      </c>
      <c r="V1119" s="310">
        <f t="shared" si="211"/>
        <v>1.8691588785046728E-2</v>
      </c>
      <c r="W1119" s="94">
        <f>IFERROR(VLOOKUP($G1119,基本資料!$A:$J,10,0),"無")</f>
        <v>9.8800000000000008</v>
      </c>
      <c r="X1119" s="36">
        <f>RTD("money.excel",,"3653","Price")</f>
        <v>374.5</v>
      </c>
      <c r="Y1119" s="66"/>
      <c r="Z1119" s="15">
        <f t="shared" si="208"/>
        <v>374.5</v>
      </c>
      <c r="AA1119" s="3" t="e">
        <f t="shared" si="209"/>
        <v>#DIV/0!</v>
      </c>
      <c r="AB1119" s="344">
        <f>IFERROR(VLOOKUP($G1119,基本資料!$A:$M,11,0),"無")</f>
        <v>-19.96</v>
      </c>
      <c r="AC1119" s="397">
        <f>IFERROR(VLOOKUP($G1119,基本資料!$A:$M,12,0),"無")</f>
        <v>59.23</v>
      </c>
      <c r="AD1119" s="22" t="s">
        <v>392</v>
      </c>
      <c r="AG1119" s="33">
        <f t="shared" si="210"/>
        <v>0</v>
      </c>
      <c r="AH1119" s="43" t="s">
        <v>2402</v>
      </c>
      <c r="AI1119" s="63">
        <f t="shared" si="212"/>
        <v>2.5941080196399346E-3</v>
      </c>
      <c r="AJ1119" s="284">
        <f>RTD("money.excel",,$G1119,"PredictVolume")</f>
        <v>317</v>
      </c>
      <c r="AK1119" s="399">
        <f>IFERROR(VLOOKUP($G1119,基本資料!$A:$M,13,0),"無")</f>
        <v>7.42</v>
      </c>
    </row>
    <row r="1120" spans="1:37">
      <c r="A1120" s="347">
        <f>IFERROR(VLOOKUP($G1120,基本資料!$A:$J,3,0),"無")</f>
        <v>6.26</v>
      </c>
      <c r="B1120" s="79">
        <f>IFERROR(VLOOKUP($G1120,基本資料!$A:$J,4,0),"無")</f>
        <v>-15</v>
      </c>
      <c r="C1120" s="79">
        <f>IFERROR(VLOOKUP($G1120,基本資料!$A:$J,5,0),"無")</f>
        <v>-16</v>
      </c>
      <c r="D1120" s="79">
        <f>IFERROR(VLOOKUP($G1120,基本資料!$A:$J,6,0),"無")</f>
        <v>-57</v>
      </c>
      <c r="E1120" s="79">
        <f>IFERROR(VLOOKUP($G1120,基本資料!$A:$J,7,0),"無")</f>
        <v>-64</v>
      </c>
      <c r="F1120" s="6">
        <f>IFERROR(VLOOKUP($G1120,基本資料!$A:$J,8,0),"無")</f>
        <v>18.420000000000002</v>
      </c>
      <c r="G1120" s="79">
        <v>3679</v>
      </c>
      <c r="H1120" s="195" t="s">
        <v>308</v>
      </c>
      <c r="I1120" s="22" t="s">
        <v>227</v>
      </c>
      <c r="J1120" s="8" t="str">
        <f>IFERROR(VLOOKUP($G1120,今日總結!$A:$AJ,35,0),"")</f>
        <v/>
      </c>
      <c r="K1120" s="5" t="str">
        <f>IFERROR(VLOOKUP($G1120,今日總結!$A:$AJ,36,0),"")</f>
        <v/>
      </c>
      <c r="L1120" s="156" t="str">
        <f>IFERROR(VLOOKUP($G1120,今日總結!$A:$AJ,33,0),"")</f>
        <v/>
      </c>
      <c r="M1120" s="340" t="str">
        <f>IFERROR(VLOOKUP($G1120,今日總結!$A:$AJ,34,0),"")</f>
        <v/>
      </c>
      <c r="N1120" s="240" t="str">
        <f t="shared" si="213"/>
        <v/>
      </c>
      <c r="P1120" s="365">
        <f>IFERROR(VLOOKUP($G1120,融外自投!$A:$J,7,0),"無")</f>
        <v>1148</v>
      </c>
      <c r="Q1120" s="79">
        <f>IFERROR(VLOOKUP($G1120,融外自投!$A:$J,9,0),"無")</f>
        <v>537</v>
      </c>
      <c r="R1120" s="346">
        <f>IFERROR(VLOOKUP($G1120,融外自投!$A:$J,8,0),"無")</f>
        <v>424</v>
      </c>
      <c r="S1120" s="81" t="str">
        <f>IFERROR(VLOOKUP($G1120,融外自投!$A:$J,10,0),"無")</f>
        <v>無</v>
      </c>
      <c r="T1120" s="327">
        <f>IFERROR(VLOOKUP($G1120,'321買'!$A:$E,5,0),"'沒有資料'")</f>
        <v>1259</v>
      </c>
      <c r="U1120" s="186">
        <f>IFERROR(VLOOKUP($G1120,基本資料!$A:$J,9,0),"無")</f>
        <v>9</v>
      </c>
      <c r="V1120" s="310">
        <f t="shared" si="211"/>
        <v>0.10501750291715285</v>
      </c>
      <c r="W1120" s="94">
        <f>IFERROR(VLOOKUP($G1120,基本資料!$A:$J,10,0),"無")</f>
        <v>9.6999999999999993</v>
      </c>
      <c r="X1120" s="36">
        <f>RTD("money.excel",,"3679","Price")</f>
        <v>85.7</v>
      </c>
      <c r="Y1120" s="66"/>
      <c r="Z1120" s="15">
        <f t="shared" si="208"/>
        <v>85.7</v>
      </c>
      <c r="AA1120" s="3" t="e">
        <f t="shared" si="209"/>
        <v>#DIV/0!</v>
      </c>
      <c r="AB1120" s="344">
        <f>IFERROR(VLOOKUP($G1120,基本資料!$A:$M,11,0),"無")</f>
        <v>-40.75</v>
      </c>
      <c r="AC1120" s="397">
        <f>IFERROR(VLOOKUP($G1120,基本資料!$A:$M,12,0),"無")</f>
        <v>42.05</v>
      </c>
      <c r="AD1120" s="22" t="s">
        <v>227</v>
      </c>
      <c r="AG1120" s="33">
        <f t="shared" si="210"/>
        <v>0</v>
      </c>
      <c r="AH1120" s="43" t="s">
        <v>1970</v>
      </c>
      <c r="AI1120" s="63">
        <f t="shared" si="212"/>
        <v>4.1533546325878595E-4</v>
      </c>
      <c r="AJ1120" s="284">
        <f>RTD("money.excel",,$G1120,"PredictVolume")</f>
        <v>26</v>
      </c>
      <c r="AK1120" s="399">
        <f>IFERROR(VLOOKUP($G1120,基本資料!$A:$M,13,0),"無")</f>
        <v>2.17</v>
      </c>
    </row>
    <row r="1121" spans="1:39">
      <c r="A1121" s="347">
        <f>IFERROR(VLOOKUP($G1121,基本資料!$A:$J,3,0),"無")</f>
        <v>7.71</v>
      </c>
      <c r="B1121" s="79">
        <f>IFERROR(VLOOKUP($G1121,基本資料!$A:$J,4,0),"無")</f>
        <v>177</v>
      </c>
      <c r="C1121" s="79">
        <f>IFERROR(VLOOKUP($G1121,基本資料!$A:$J,5,0),"無")</f>
        <v>254</v>
      </c>
      <c r="D1121" s="79">
        <f>IFERROR(VLOOKUP($G1121,基本資料!$A:$J,6,0),"無")</f>
        <v>-9</v>
      </c>
      <c r="E1121" s="79">
        <f>IFERROR(VLOOKUP($G1121,基本資料!$A:$J,7,0),"無")</f>
        <v>7</v>
      </c>
      <c r="F1121" s="6">
        <f>IFERROR(VLOOKUP($G1121,基本資料!$A:$J,8,0),"無")</f>
        <v>3.95</v>
      </c>
      <c r="G1121" s="79">
        <v>3689</v>
      </c>
      <c r="H1121" s="8" t="s">
        <v>308</v>
      </c>
      <c r="I1121" s="16" t="s">
        <v>4580</v>
      </c>
      <c r="J1121" s="8">
        <f>IFERROR(VLOOKUP($G1121,今日總結!$A:$AJ,35,0),"")</f>
        <v>0</v>
      </c>
      <c r="K1121" s="5" t="str">
        <f>IFERROR(VLOOKUP($G1121,今日總結!$A:$AJ,36,0),"")</f>
        <v>外自</v>
      </c>
      <c r="L1121" s="156">
        <f>IFERROR(VLOOKUP($G1121,今日總結!$A:$AJ,33,0),"")</f>
        <v>0</v>
      </c>
      <c r="M1121" s="340">
        <f>IFERROR(VLOOKUP($G1121,今日總結!$A:$AJ,34,0),"")</f>
        <v>2</v>
      </c>
      <c r="N1121" s="240">
        <f t="shared" si="213"/>
        <v>-2</v>
      </c>
      <c r="P1121" s="365">
        <f>IFERROR(VLOOKUP($G1121,融外自投!$A:$J,7,0),"無")</f>
        <v>36</v>
      </c>
      <c r="Q1121" s="79">
        <f>IFERROR(VLOOKUP($G1121,融外自投!$A:$J,9,0),"無")</f>
        <v>459</v>
      </c>
      <c r="R1121" s="346">
        <f>IFERROR(VLOOKUP($G1121,融外自投!$A:$J,8,0),"無")</f>
        <v>1015</v>
      </c>
      <c r="S1121" s="81" t="str">
        <f>IFERROR(VLOOKUP($G1121,融外自投!$A:$J,10,0),"無")</f>
        <v>無</v>
      </c>
      <c r="T1121" s="327">
        <f>IFERROR(VLOOKUP($G1121,'321買'!$A:$E,5,0),"'沒有資料'")</f>
        <v>126</v>
      </c>
      <c r="U1121" s="186">
        <f>IFERROR(VLOOKUP($G1121,基本資料!$A:$J,9,0),"無")</f>
        <v>2.2999999999999998</v>
      </c>
      <c r="V1121" s="310">
        <f t="shared" si="211"/>
        <v>5.5825242718446591E-2</v>
      </c>
      <c r="W1121" s="94">
        <f>IFERROR(VLOOKUP($G1121,基本資料!$A:$J,10,0),"無")</f>
        <v>3.28</v>
      </c>
      <c r="X1121" s="36">
        <f>RTD("money.excel",,"3689","Price")</f>
        <v>41.2</v>
      </c>
      <c r="Y1121" s="66"/>
      <c r="Z1121" s="15">
        <f t="shared" si="208"/>
        <v>41.2</v>
      </c>
      <c r="AA1121" s="3" t="e">
        <f t="shared" si="209"/>
        <v>#DIV/0!</v>
      </c>
      <c r="AB1121" s="344">
        <f>IFERROR(VLOOKUP($G1121,基本資料!$A:$M,11,0),"無")</f>
        <v>-26.08</v>
      </c>
      <c r="AC1121" s="397">
        <f>IFERROR(VLOOKUP($G1121,基本資料!$A:$M,12,0),"無")</f>
        <v>21.23</v>
      </c>
      <c r="AD1121" s="16" t="s">
        <v>4580</v>
      </c>
      <c r="AG1121" s="33">
        <f t="shared" si="210"/>
        <v>0</v>
      </c>
      <c r="AH1121" s="43" t="s">
        <v>1903</v>
      </c>
      <c r="AI1121" s="63">
        <f t="shared" si="212"/>
        <v>5.6939040207522702E-3</v>
      </c>
      <c r="AJ1121" s="284">
        <f>RTD("money.excel",,$G1121,"PredictVolume")</f>
        <v>439</v>
      </c>
      <c r="AK1121" s="399">
        <f>IFERROR(VLOOKUP($G1121,基本資料!$A:$M,13,0),"無")</f>
        <v>70.03</v>
      </c>
    </row>
    <row r="1122" spans="1:39">
      <c r="A1122" s="347">
        <f>IFERROR(VLOOKUP($G1122,基本資料!$A:$J,3,0),"無")</f>
        <v>23.28</v>
      </c>
      <c r="B1122" s="79">
        <f>IFERROR(VLOOKUP($G1122,基本資料!$A:$J,4,0),"無")</f>
        <v>-221</v>
      </c>
      <c r="C1122" s="79">
        <f>IFERROR(VLOOKUP($G1122,基本資料!$A:$J,5,0),"無")</f>
        <v>-999</v>
      </c>
      <c r="D1122" s="79">
        <f>IFERROR(VLOOKUP($G1122,基本資料!$A:$J,6,0),"無")</f>
        <v>47</v>
      </c>
      <c r="E1122" s="79">
        <f>IFERROR(VLOOKUP($G1122,基本資料!$A:$J,7,0),"無")</f>
        <v>-7</v>
      </c>
      <c r="F1122" s="6">
        <f>IFERROR(VLOOKUP($G1122,基本資料!$A:$J,8,0),"無")</f>
        <v>-3.95</v>
      </c>
      <c r="G1122" s="79">
        <v>3710</v>
      </c>
      <c r="H1122" s="8" t="s">
        <v>308</v>
      </c>
      <c r="I1122" s="16" t="s">
        <v>418</v>
      </c>
      <c r="J1122" s="8" t="str">
        <f>IFERROR(VLOOKUP($G1122,今日總結!$A:$AJ,35,0),"")</f>
        <v/>
      </c>
      <c r="K1122" s="5" t="str">
        <f>IFERROR(VLOOKUP($G1122,今日總結!$A:$AJ,36,0),"")</f>
        <v/>
      </c>
      <c r="L1122" s="156" t="str">
        <f>IFERROR(VLOOKUP($G1122,今日總結!$A:$AJ,33,0),"")</f>
        <v/>
      </c>
      <c r="M1122" s="340" t="str">
        <f>IFERROR(VLOOKUP($G1122,今日總結!$A:$AJ,34,0),"")</f>
        <v/>
      </c>
      <c r="N1122" s="240" t="str">
        <f t="shared" si="213"/>
        <v/>
      </c>
      <c r="P1122" s="365" t="str">
        <f>IFERROR(VLOOKUP($G1122,融外自投!$A:$J,7,0),"無")</f>
        <v>無</v>
      </c>
      <c r="Q1122" s="79" t="str">
        <f>IFERROR(VLOOKUP($G1122,融外自投!$A:$J,9,0),"無")</f>
        <v>無</v>
      </c>
      <c r="R1122" s="346" t="str">
        <f>IFERROR(VLOOKUP($G1122,融外自投!$A:$J,8,0),"無")</f>
        <v>無</v>
      </c>
      <c r="S1122" s="81" t="str">
        <f>IFERROR(VLOOKUP($G1122,融外自投!$A:$J,10,0),"無")</f>
        <v>無</v>
      </c>
      <c r="T1122" s="327" t="str">
        <f>IFERROR(VLOOKUP($G1122,'321買'!$A:$E,5,0),"'沒有資料'")</f>
        <v>'沒有資料'</v>
      </c>
      <c r="U1122" s="186">
        <f>IFERROR(VLOOKUP($G1122,基本資料!$A:$J,9,0),"無")</f>
        <v>0</v>
      </c>
      <c r="V1122" s="310">
        <f t="shared" si="211"/>
        <v>0</v>
      </c>
      <c r="W1122" s="94">
        <f>IFERROR(VLOOKUP($G1122,基本資料!$A:$J,10,0),"無")</f>
        <v>-2.5</v>
      </c>
      <c r="X1122" s="36">
        <f>RTD("money.excel",,"3710","Price")</f>
        <v>11.5</v>
      </c>
      <c r="Y1122" s="66"/>
      <c r="Z1122" s="15">
        <f t="shared" si="208"/>
        <v>11.5</v>
      </c>
      <c r="AA1122" s="3" t="e">
        <f t="shared" si="209"/>
        <v>#DIV/0!</v>
      </c>
      <c r="AB1122" s="344">
        <f>IFERROR(VLOOKUP($G1122,基本資料!$A:$M,11,0),"無")</f>
        <v>-33.520000000000003</v>
      </c>
      <c r="AC1122" s="397">
        <f>IFERROR(VLOOKUP($G1122,基本資料!$A:$M,12,0),"無")</f>
        <v>29.16</v>
      </c>
      <c r="AD1122" s="16" t="s">
        <v>418</v>
      </c>
      <c r="AG1122" s="33">
        <f t="shared" si="210"/>
        <v>0</v>
      </c>
      <c r="AH1122" s="43" t="s">
        <v>2888</v>
      </c>
      <c r="AI1122" s="63">
        <f t="shared" si="212"/>
        <v>6.5463917525773194E-3</v>
      </c>
      <c r="AJ1122" s="284">
        <f>RTD("money.excel",,$G1122,"PredictVolume")</f>
        <v>1524</v>
      </c>
      <c r="AK1122" s="399">
        <f>IFERROR(VLOOKUP($G1122,基本資料!$A:$M,13,0),"無")</f>
        <v>15.11</v>
      </c>
    </row>
    <row r="1123" spans="1:39">
      <c r="A1123" s="347">
        <f>IFERROR(VLOOKUP($G1123,基本資料!$A:$J,3,0),"無")</f>
        <v>3.22</v>
      </c>
      <c r="B1123" s="79">
        <f>IFERROR(VLOOKUP($G1123,基本資料!$A:$J,4,0),"無")</f>
        <v>72</v>
      </c>
      <c r="C1123" s="79">
        <f>IFERROR(VLOOKUP($G1123,基本資料!$A:$J,5,0),"無")</f>
        <v>33</v>
      </c>
      <c r="D1123" s="79">
        <f>IFERROR(VLOOKUP($G1123,基本資料!$A:$J,6,0),"無")</f>
        <v>-8</v>
      </c>
      <c r="E1123" s="79">
        <f>IFERROR(VLOOKUP($G1123,基本資料!$A:$J,7,0),"無")</f>
        <v>34</v>
      </c>
      <c r="F1123" s="6">
        <f>IFERROR(VLOOKUP($G1123,基本資料!$A:$J,8,0),"無")</f>
        <v>5.15</v>
      </c>
      <c r="G1123" s="79">
        <v>4542</v>
      </c>
      <c r="H1123" s="8" t="s">
        <v>3389</v>
      </c>
      <c r="I1123" s="16" t="s">
        <v>409</v>
      </c>
      <c r="J1123" s="8" t="str">
        <f>IFERROR(VLOOKUP($G1123,今日總結!$A:$AJ,35,0),"")</f>
        <v/>
      </c>
      <c r="K1123" s="5" t="str">
        <f>IFERROR(VLOOKUP($G1123,今日總結!$A:$AJ,36,0),"")</f>
        <v/>
      </c>
      <c r="L1123" s="156" t="str">
        <f>IFERROR(VLOOKUP($G1123,今日總結!$A:$AJ,33,0),"")</f>
        <v/>
      </c>
      <c r="M1123" s="340" t="str">
        <f>IFERROR(VLOOKUP($G1123,今日總結!$A:$AJ,34,0),"")</f>
        <v/>
      </c>
      <c r="N1123" s="240" t="str">
        <f t="shared" si="213"/>
        <v/>
      </c>
      <c r="P1123" s="365">
        <f>IFERROR(VLOOKUP($G1123,融外自投!$A:$J,7,0),"無")</f>
        <v>1054</v>
      </c>
      <c r="Q1123" s="79" t="str">
        <f>IFERROR(VLOOKUP($G1123,融外自投!$A:$J,9,0),"無")</f>
        <v>無</v>
      </c>
      <c r="R1123" s="346">
        <f>IFERROR(VLOOKUP($G1123,融外自投!$A:$J,8,0),"無")</f>
        <v>862</v>
      </c>
      <c r="S1123" s="81" t="str">
        <f>IFERROR(VLOOKUP($G1123,融外自投!$A:$J,10,0),"無")</f>
        <v>無</v>
      </c>
      <c r="T1123" s="327" t="str">
        <f>IFERROR(VLOOKUP($G1123,'321買'!$A:$E,5,0),"'沒有資料'")</f>
        <v>'沒有資料'</v>
      </c>
      <c r="U1123" s="186">
        <f>IFERROR(VLOOKUP($G1123,基本資料!$A:$J,9,0),"無")</f>
        <v>1</v>
      </c>
      <c r="V1123" s="310">
        <f t="shared" si="211"/>
        <v>3.7037037037037035E-2</v>
      </c>
      <c r="W1123" s="94">
        <f>IFERROR(VLOOKUP($G1123,基本資料!$A:$J,10,0),"無")</f>
        <v>1.1100000000000001</v>
      </c>
      <c r="X1123" s="36">
        <f>RTD("money.excel",,"4542","Price")</f>
        <v>27</v>
      </c>
      <c r="Y1123" s="66"/>
      <c r="Z1123" s="15">
        <f t="shared" si="208"/>
        <v>27</v>
      </c>
      <c r="AA1123" s="3" t="e">
        <f t="shared" si="209"/>
        <v>#DIV/0!</v>
      </c>
      <c r="AB1123" s="344">
        <f>IFERROR(VLOOKUP($G1123,基本資料!$A:$M,11,0),"無")</f>
        <v>-21</v>
      </c>
      <c r="AC1123" s="397">
        <f>IFERROR(VLOOKUP($G1123,基本資料!$A:$M,12,0),"無")</f>
        <v>57.18</v>
      </c>
      <c r="AD1123" s="16" t="s">
        <v>4581</v>
      </c>
      <c r="AG1123" s="33">
        <f t="shared" si="210"/>
        <v>0</v>
      </c>
      <c r="AH1123" s="43" t="s">
        <v>2292</v>
      </c>
      <c r="AI1123" s="63">
        <f t="shared" si="212"/>
        <v>4.3478260869565214E-4</v>
      </c>
      <c r="AJ1123" s="284">
        <f>RTD("money.excel",,$G1123,"PredictVolume")</f>
        <v>14</v>
      </c>
      <c r="AK1123" s="399">
        <f>IFERROR(VLOOKUP($G1123,基本資料!$A:$M,13,0),"無")</f>
        <v>1.87</v>
      </c>
    </row>
    <row r="1124" spans="1:39">
      <c r="A1124" s="347">
        <f>IFERROR(VLOOKUP($G1124,基本資料!$A:$J,3,0),"無")</f>
        <v>7.7</v>
      </c>
      <c r="B1124" s="79">
        <f>IFERROR(VLOOKUP($G1124,基本資料!$A:$J,4,0),"無")</f>
        <v>197</v>
      </c>
      <c r="C1124" s="79">
        <f>IFERROR(VLOOKUP($G1124,基本資料!$A:$J,5,0),"無")</f>
        <v>13</v>
      </c>
      <c r="D1124" s="79">
        <f>IFERROR(VLOOKUP($G1124,基本資料!$A:$J,6,0),"無")</f>
        <v>-13</v>
      </c>
      <c r="E1124" s="79">
        <f>IFERROR(VLOOKUP($G1124,基本資料!$A:$J,7,0),"無")</f>
        <v>16</v>
      </c>
      <c r="F1124" s="6">
        <f>IFERROR(VLOOKUP($G1124,基本資料!$A:$J,8,0),"無")</f>
        <v>6</v>
      </c>
      <c r="G1124" s="79">
        <v>4545</v>
      </c>
      <c r="H1124" s="195" t="s">
        <v>308</v>
      </c>
      <c r="I1124" s="22" t="s">
        <v>393</v>
      </c>
      <c r="J1124" s="8" t="str">
        <f>IFERROR(VLOOKUP($G1124,今日總結!$A:$AJ,35,0),"")</f>
        <v/>
      </c>
      <c r="K1124" s="5" t="str">
        <f>IFERROR(VLOOKUP($G1124,今日總結!$A:$AJ,36,0),"")</f>
        <v/>
      </c>
      <c r="L1124" s="156" t="str">
        <f>IFERROR(VLOOKUP($G1124,今日總結!$A:$AJ,33,0),"")</f>
        <v/>
      </c>
      <c r="M1124" s="340" t="str">
        <f>IFERROR(VLOOKUP($G1124,今日總結!$A:$AJ,34,0),"")</f>
        <v/>
      </c>
      <c r="N1124" s="240" t="str">
        <f t="shared" si="213"/>
        <v/>
      </c>
      <c r="P1124" s="365">
        <f>IFERROR(VLOOKUP($G1124,融外自投!$A:$J,7,0),"無")</f>
        <v>873</v>
      </c>
      <c r="Q1124" s="79">
        <f>IFERROR(VLOOKUP($G1124,融外自投!$A:$J,9,0),"無")</f>
        <v>789</v>
      </c>
      <c r="R1124" s="346">
        <f>IFERROR(VLOOKUP($G1124,融外自投!$A:$J,8,0),"無")</f>
        <v>148</v>
      </c>
      <c r="S1124" s="81">
        <f>IFERROR(VLOOKUP($G1124,融外自投!$A:$J,10,0),"無")</f>
        <v>437</v>
      </c>
      <c r="T1124" s="327">
        <f>IFERROR(VLOOKUP($G1124,'321買'!$A:$E,5,0),"'沒有資料'")</f>
        <v>1085</v>
      </c>
      <c r="U1124" s="186">
        <f>IFERROR(VLOOKUP($G1124,基本資料!$A:$J,9,0),"無")</f>
        <v>0.7</v>
      </c>
      <c r="V1124" s="310">
        <f t="shared" si="211"/>
        <v>2.3608768971332208E-2</v>
      </c>
      <c r="W1124" s="94">
        <f>IFERROR(VLOOKUP($G1124,基本資料!$A:$J,10,0),"無")</f>
        <v>1.1599999999999999</v>
      </c>
      <c r="X1124" s="36">
        <f>RTD("money.excel",,"4545","Price")</f>
        <v>29.65</v>
      </c>
      <c r="Y1124" s="66"/>
      <c r="Z1124" s="15">
        <f t="shared" si="208"/>
        <v>29.65</v>
      </c>
      <c r="AA1124" s="3" t="e">
        <f t="shared" si="209"/>
        <v>#DIV/0!</v>
      </c>
      <c r="AB1124" s="344">
        <f>IFERROR(VLOOKUP($G1124,基本資料!$A:$M,11,0),"無")</f>
        <v>-20.97</v>
      </c>
      <c r="AC1124" s="397">
        <f>IFERROR(VLOOKUP($G1124,基本資料!$A:$M,12,0),"無")</f>
        <v>23.19</v>
      </c>
      <c r="AD1124" s="22" t="s">
        <v>393</v>
      </c>
      <c r="AG1124" s="33">
        <f t="shared" si="210"/>
        <v>0</v>
      </c>
      <c r="AH1124" s="43" t="s">
        <v>2590</v>
      </c>
      <c r="AI1124" s="63">
        <f t="shared" si="212"/>
        <v>5.1428571428571426E-3</v>
      </c>
      <c r="AJ1124" s="284">
        <f>RTD("money.excel",,$G1124,"PredictVolume")</f>
        <v>396</v>
      </c>
      <c r="AK1124" s="399">
        <f>IFERROR(VLOOKUP($G1124,基本資料!$A:$M,13,0),"無")</f>
        <v>11.57</v>
      </c>
    </row>
    <row r="1125" spans="1:39">
      <c r="A1125" s="347">
        <f>IFERROR(VLOOKUP($G1125,基本資料!$A:$J,3,0),"無")</f>
        <v>6.25</v>
      </c>
      <c r="B1125" s="79">
        <f>IFERROR(VLOOKUP($G1125,基本資料!$A:$J,4,0),"無")</f>
        <v>2</v>
      </c>
      <c r="C1125" s="79">
        <f>IFERROR(VLOOKUP($G1125,基本資料!$A:$J,5,0),"無")</f>
        <v>-7</v>
      </c>
      <c r="D1125" s="79">
        <f>IFERROR(VLOOKUP($G1125,基本資料!$A:$J,6,0),"無")</f>
        <v>-27</v>
      </c>
      <c r="E1125" s="79">
        <f>IFERROR(VLOOKUP($G1125,基本資料!$A:$J,7,0),"無")</f>
        <v>-32</v>
      </c>
      <c r="F1125" s="6">
        <f>IFERROR(VLOOKUP($G1125,基本資料!$A:$J,8,0),"無")</f>
        <v>9.92</v>
      </c>
      <c r="G1125" s="79">
        <v>4912</v>
      </c>
      <c r="H1125" s="195" t="s">
        <v>308</v>
      </c>
      <c r="I1125" s="22" t="s">
        <v>3043</v>
      </c>
      <c r="J1125" s="8" t="str">
        <f>IFERROR(VLOOKUP($G1125,今日總結!$A:$AJ,35,0),"")</f>
        <v/>
      </c>
      <c r="K1125" s="5" t="str">
        <f>IFERROR(VLOOKUP($G1125,今日總結!$A:$AJ,36,0),"")</f>
        <v/>
      </c>
      <c r="L1125" s="156" t="str">
        <f>IFERROR(VLOOKUP($G1125,今日總結!$A:$AJ,33,0),"")</f>
        <v/>
      </c>
      <c r="M1125" s="340" t="str">
        <f>IFERROR(VLOOKUP($G1125,今日總結!$A:$AJ,34,0),"")</f>
        <v/>
      </c>
      <c r="N1125" s="240" t="str">
        <f t="shared" si="213"/>
        <v/>
      </c>
      <c r="P1125" s="365">
        <f>IFERROR(VLOOKUP($G1125,融外自投!$A:$J,7,0),"無")</f>
        <v>186</v>
      </c>
      <c r="Q1125" s="79">
        <f>IFERROR(VLOOKUP($G1125,融外自投!$A:$J,9,0),"無")</f>
        <v>762</v>
      </c>
      <c r="R1125" s="346">
        <f>IFERROR(VLOOKUP($G1125,融外自投!$A:$J,8,0),"無")</f>
        <v>180</v>
      </c>
      <c r="S1125" s="81" t="str">
        <f>IFERROR(VLOOKUP($G1125,融外自投!$A:$J,10,0),"無")</f>
        <v>無</v>
      </c>
      <c r="T1125" s="327">
        <f>IFERROR(VLOOKUP($G1125,'321買'!$A:$E,5,0),"'沒有資料'")</f>
        <v>480</v>
      </c>
      <c r="U1125" s="186">
        <f>IFERROR(VLOOKUP($G1125,基本資料!$A:$J,9,0),"無")</f>
        <v>3.87</v>
      </c>
      <c r="V1125" s="310">
        <f t="shared" si="211"/>
        <v>3.8316831683168316E-2</v>
      </c>
      <c r="W1125" s="94">
        <f>IFERROR(VLOOKUP($G1125,基本資料!$A:$J,10,0),"無")</f>
        <v>7.51</v>
      </c>
      <c r="X1125" s="36">
        <f>RTD("money.excel",,"4912","Price")</f>
        <v>101</v>
      </c>
      <c r="Y1125" s="66"/>
      <c r="Z1125" s="15">
        <f t="shared" si="208"/>
        <v>101</v>
      </c>
      <c r="AA1125" s="3" t="e">
        <f t="shared" si="209"/>
        <v>#DIV/0!</v>
      </c>
      <c r="AB1125" s="344">
        <f>IFERROR(VLOOKUP($G1125,基本資料!$A:$M,11,0),"無")</f>
        <v>-51.84</v>
      </c>
      <c r="AC1125" s="397">
        <f>IFERROR(VLOOKUP($G1125,基本資料!$A:$M,12,0),"無")</f>
        <v>10.29</v>
      </c>
      <c r="AD1125" s="22" t="s">
        <v>3043</v>
      </c>
      <c r="AG1125" s="33">
        <f t="shared" si="210"/>
        <v>0</v>
      </c>
      <c r="AH1125" s="43" t="s">
        <v>2584</v>
      </c>
      <c r="AI1125" s="63">
        <f t="shared" si="212"/>
        <v>2.8639999999999998E-3</v>
      </c>
      <c r="AJ1125" s="284">
        <f>RTD("money.excel",,$G1125,"PredictVolume")</f>
        <v>179</v>
      </c>
      <c r="AK1125" s="399">
        <f>IFERROR(VLOOKUP($G1125,基本資料!$A:$M,13,0),"無")</f>
        <v>5.36</v>
      </c>
    </row>
    <row r="1126" spans="1:39">
      <c r="A1126" s="347">
        <f>IFERROR(VLOOKUP($G1126,基本資料!$A:$J,3,0),"無")</f>
        <v>45.52</v>
      </c>
      <c r="B1126" s="79">
        <f>IFERROR(VLOOKUP($G1126,基本資料!$A:$J,4,0),"無")</f>
        <v>23</v>
      </c>
      <c r="C1126" s="79">
        <f>IFERROR(VLOOKUP($G1126,基本資料!$A:$J,5,0),"無")</f>
        <v>22</v>
      </c>
      <c r="D1126" s="79">
        <f>IFERROR(VLOOKUP($G1126,基本資料!$A:$J,6,0),"無")</f>
        <v>-8</v>
      </c>
      <c r="E1126" s="79">
        <f>IFERROR(VLOOKUP($G1126,基本資料!$A:$J,7,0),"無")</f>
        <v>4</v>
      </c>
      <c r="F1126" s="6">
        <f>IFERROR(VLOOKUP($G1126,基本資料!$A:$J,8,0),"無")</f>
        <v>3.93</v>
      </c>
      <c r="G1126" s="79">
        <v>4915</v>
      </c>
      <c r="H1126" s="195" t="s">
        <v>308</v>
      </c>
      <c r="I1126" s="22" t="s">
        <v>48</v>
      </c>
      <c r="J1126" s="8" t="str">
        <f>IFERROR(VLOOKUP($G1126,今日總結!$A:$AJ,35,0),"")</f>
        <v/>
      </c>
      <c r="K1126" s="5" t="str">
        <f>IFERROR(VLOOKUP($G1126,今日總結!$A:$AJ,36,0),"")</f>
        <v/>
      </c>
      <c r="L1126" s="156" t="str">
        <f>IFERROR(VLOOKUP($G1126,今日總結!$A:$AJ,33,0),"")</f>
        <v/>
      </c>
      <c r="M1126" s="340" t="str">
        <f>IFERROR(VLOOKUP($G1126,今日總結!$A:$AJ,34,0),"")</f>
        <v/>
      </c>
      <c r="N1126" s="240" t="str">
        <f t="shared" si="213"/>
        <v/>
      </c>
      <c r="P1126" s="365">
        <f>IFERROR(VLOOKUP($G1126,融外自投!$A:$J,7,0),"無")</f>
        <v>598</v>
      </c>
      <c r="Q1126" s="79">
        <f>IFERROR(VLOOKUP($G1126,融外自投!$A:$J,9,0),"無")</f>
        <v>174</v>
      </c>
      <c r="R1126" s="346">
        <f>IFERROR(VLOOKUP($G1126,融外自投!$A:$J,8,0),"無")</f>
        <v>90</v>
      </c>
      <c r="S1126" s="81">
        <f>IFERROR(VLOOKUP($G1126,融外自投!$A:$J,10,0),"無")</f>
        <v>207</v>
      </c>
      <c r="T1126" s="327">
        <f>IFERROR(VLOOKUP($G1126,'321買'!$A:$E,5,0),"'沒有資料'")</f>
        <v>292</v>
      </c>
      <c r="U1126" s="186">
        <f>IFERROR(VLOOKUP($G1126,基本資料!$A:$J,9,0),"無")</f>
        <v>3.1</v>
      </c>
      <c r="V1126" s="310">
        <f t="shared" si="211"/>
        <v>5.5555555555555559E-2</v>
      </c>
      <c r="W1126" s="94">
        <f>IFERROR(VLOOKUP($G1126,基本資料!$A:$J,10,0),"無")</f>
        <v>5.13</v>
      </c>
      <c r="X1126" s="36">
        <f>RTD("money.excel",,"4915","Price")</f>
        <v>55.8</v>
      </c>
      <c r="Y1126" s="66"/>
      <c r="Z1126" s="15">
        <f t="shared" si="208"/>
        <v>55.8</v>
      </c>
      <c r="AA1126" s="3" t="e">
        <f t="shared" si="209"/>
        <v>#DIV/0!</v>
      </c>
      <c r="AB1126" s="344">
        <f>IFERROR(VLOOKUP($G1126,基本資料!$A:$M,11,0),"無")</f>
        <v>-14.51</v>
      </c>
      <c r="AC1126" s="397">
        <f>IFERROR(VLOOKUP($G1126,基本資料!$A:$M,12,0),"無")</f>
        <v>68.33</v>
      </c>
      <c r="AD1126" s="22" t="s">
        <v>48</v>
      </c>
      <c r="AG1126" s="33">
        <f t="shared" si="210"/>
        <v>0</v>
      </c>
      <c r="AH1126" s="117" t="s">
        <v>2938</v>
      </c>
      <c r="AI1126" s="63">
        <f t="shared" si="212"/>
        <v>5.4811072056239005E-3</v>
      </c>
      <c r="AJ1126" s="284">
        <f>RTD("money.excel",,$G1126,"PredictVolume")</f>
        <v>2495</v>
      </c>
      <c r="AK1126" s="399">
        <f>IFERROR(VLOOKUP($G1126,基本資料!$A:$M,13,0),"無")</f>
        <v>9.74</v>
      </c>
    </row>
    <row r="1127" spans="1:39">
      <c r="A1127" s="347">
        <f>IFERROR(VLOOKUP($G1127,基本資料!$A:$J,3,0),"無")</f>
        <v>18.989999999999998</v>
      </c>
      <c r="B1127" s="79">
        <f>IFERROR(VLOOKUP($G1127,基本資料!$A:$J,4,0),"無")</f>
        <v>14</v>
      </c>
      <c r="C1127" s="79">
        <f>IFERROR(VLOOKUP($G1127,基本資料!$A:$J,5,0),"無")</f>
        <v>23</v>
      </c>
      <c r="D1127" s="79">
        <f>IFERROR(VLOOKUP($G1127,基本資料!$A:$J,6,0),"無")</f>
        <v>7</v>
      </c>
      <c r="E1127" s="79">
        <f>IFERROR(VLOOKUP($G1127,基本資料!$A:$J,7,0),"無")</f>
        <v>7</v>
      </c>
      <c r="F1127" s="6">
        <f>IFERROR(VLOOKUP($G1127,基本資料!$A:$J,8,0),"無")</f>
        <v>9.98</v>
      </c>
      <c r="G1127" s="79">
        <v>4927</v>
      </c>
      <c r="H1127" s="17" t="s">
        <v>308</v>
      </c>
      <c r="I1127" s="22" t="s">
        <v>447</v>
      </c>
      <c r="J1127" s="8" t="str">
        <f>IFERROR(VLOOKUP($G1127,今日總結!$A:$AJ,35,0),"")</f>
        <v>融</v>
      </c>
      <c r="K1127" s="5">
        <f>IFERROR(VLOOKUP($G1127,今日總結!$A:$AJ,36,0),"")</f>
        <v>0</v>
      </c>
      <c r="L1127" s="156">
        <f>IFERROR(VLOOKUP($G1127,今日總結!$A:$AJ,33,0),"")</f>
        <v>1</v>
      </c>
      <c r="M1127" s="340">
        <f>IFERROR(VLOOKUP($G1127,今日總結!$A:$AJ,34,0),"")</f>
        <v>0</v>
      </c>
      <c r="N1127" s="240">
        <f t="shared" si="213"/>
        <v>1</v>
      </c>
      <c r="P1127" s="365">
        <f>IFERROR(VLOOKUP($G1127,融外自投!$A:$J,7,0),"無")</f>
        <v>291</v>
      </c>
      <c r="Q1127" s="79">
        <f>IFERROR(VLOOKUP($G1127,融外自投!$A:$J,9,0),"無")</f>
        <v>194</v>
      </c>
      <c r="R1127" s="346">
        <f>IFERROR(VLOOKUP($G1127,融外自投!$A:$J,8,0),"無")</f>
        <v>283</v>
      </c>
      <c r="S1127" s="81">
        <f>IFERROR(VLOOKUP($G1127,融外自投!$A:$J,10,0),"無")</f>
        <v>37</v>
      </c>
      <c r="T1127" s="327">
        <f>IFERROR(VLOOKUP($G1127,'321買'!$A:$E,5,0),"'沒有資料'")</f>
        <v>51</v>
      </c>
      <c r="U1127" s="186">
        <f>IFERROR(VLOOKUP($G1127,基本資料!$A:$J,9,0),"無")</f>
        <v>4</v>
      </c>
      <c r="V1127" s="310">
        <f t="shared" si="211"/>
        <v>4.1580041580041575E-2</v>
      </c>
      <c r="W1127" s="94">
        <f>IFERROR(VLOOKUP($G1127,基本資料!$A:$J,10,0),"無")</f>
        <v>7.25</v>
      </c>
      <c r="X1127" s="36">
        <f>RTD("money.excel",,"4927","Price")</f>
        <v>96.2</v>
      </c>
      <c r="Y1127" s="66"/>
      <c r="Z1127" s="15">
        <f t="shared" si="208"/>
        <v>96.2</v>
      </c>
      <c r="AA1127" s="3" t="e">
        <f t="shared" si="209"/>
        <v>#DIV/0!</v>
      </c>
      <c r="AB1127" s="344">
        <f>IFERROR(VLOOKUP($G1127,基本資料!$A:$M,11,0),"無")</f>
        <v>-29.57</v>
      </c>
      <c r="AC1127" s="397">
        <f>IFERROR(VLOOKUP($G1127,基本資料!$A:$M,12,0),"無")</f>
        <v>41.99</v>
      </c>
      <c r="AD1127" s="22" t="s">
        <v>447</v>
      </c>
      <c r="AG1127" s="33">
        <f t="shared" si="210"/>
        <v>0</v>
      </c>
      <c r="AH1127" s="43" t="s">
        <v>1044</v>
      </c>
      <c r="AI1127" s="63">
        <f t="shared" si="212"/>
        <v>1.0968931016324382E-2</v>
      </c>
      <c r="AJ1127" s="284">
        <f>RTD("money.excel",,$G1127,"PredictVolume")</f>
        <v>2083</v>
      </c>
      <c r="AK1127" s="399">
        <f>IFERROR(VLOOKUP($G1127,基本資料!$A:$M,13,0),"無")</f>
        <v>15.88</v>
      </c>
      <c r="AM1127" s="239"/>
    </row>
    <row r="1128" spans="1:39">
      <c r="A1128" s="347">
        <f>IFERROR(VLOOKUP($G1128,基本資料!$A:$J,3,0),"無")</f>
        <v>9.82</v>
      </c>
      <c r="B1128" s="79">
        <f>IFERROR(VLOOKUP($G1128,基本資料!$A:$J,4,0),"無")</f>
        <v>9</v>
      </c>
      <c r="C1128" s="79">
        <f>IFERROR(VLOOKUP($G1128,基本資料!$A:$J,5,0),"無")</f>
        <v>25</v>
      </c>
      <c r="D1128" s="79">
        <f>IFERROR(VLOOKUP($G1128,基本資料!$A:$J,6,0),"無")</f>
        <v>-19</v>
      </c>
      <c r="E1128" s="79">
        <f>IFERROR(VLOOKUP($G1128,基本資料!$A:$J,7,0),"無")</f>
        <v>-14</v>
      </c>
      <c r="F1128" s="6">
        <f>IFERROR(VLOOKUP($G1128,基本資料!$A:$J,8,0),"無")</f>
        <v>13.43</v>
      </c>
      <c r="G1128" s="79">
        <v>4939</v>
      </c>
      <c r="H1128" s="8" t="s">
        <v>308</v>
      </c>
      <c r="I1128" s="16" t="s">
        <v>410</v>
      </c>
      <c r="J1128" s="8" t="str">
        <f>IFERROR(VLOOKUP($G1128,今日總結!$A:$AJ,35,0),"")</f>
        <v/>
      </c>
      <c r="K1128" s="5" t="str">
        <f>IFERROR(VLOOKUP($G1128,今日總結!$A:$AJ,36,0),"")</f>
        <v/>
      </c>
      <c r="L1128" s="156" t="str">
        <f>IFERROR(VLOOKUP($G1128,今日總結!$A:$AJ,33,0),"")</f>
        <v/>
      </c>
      <c r="M1128" s="340" t="str">
        <f>IFERROR(VLOOKUP($G1128,今日總結!$A:$AJ,34,0),"")</f>
        <v/>
      </c>
      <c r="N1128" s="240" t="str">
        <f t="shared" si="213"/>
        <v/>
      </c>
      <c r="P1128" s="365">
        <f>IFERROR(VLOOKUP($G1128,融外自投!$A:$J,7,0),"無")</f>
        <v>257</v>
      </c>
      <c r="Q1128" s="79">
        <f>IFERROR(VLOOKUP($G1128,融外自投!$A:$J,9,0),"無")</f>
        <v>635</v>
      </c>
      <c r="R1128" s="346">
        <f>IFERROR(VLOOKUP($G1128,融外自投!$A:$J,8,0),"無")</f>
        <v>859</v>
      </c>
      <c r="S1128" s="81" t="str">
        <f>IFERROR(VLOOKUP($G1128,融外自投!$A:$J,10,0),"無")</f>
        <v>無</v>
      </c>
      <c r="T1128" s="327">
        <f>IFERROR(VLOOKUP($G1128,'321買'!$A:$E,5,0),"'沒有資料'")</f>
        <v>558</v>
      </c>
      <c r="U1128" s="186">
        <f>IFERROR(VLOOKUP($G1128,基本資料!$A:$J,9,0),"無")</f>
        <v>1.4</v>
      </c>
      <c r="V1128" s="310">
        <f t="shared" si="211"/>
        <v>6.8965517241379309E-2</v>
      </c>
      <c r="W1128" s="94">
        <f>IFERROR(VLOOKUP($G1128,基本資料!$A:$J,10,0),"無")</f>
        <v>1.76</v>
      </c>
      <c r="X1128" s="36">
        <f>RTD("money.excel",,"4939","Price")</f>
        <v>20.3</v>
      </c>
      <c r="Y1128" s="66"/>
      <c r="Z1128" s="15">
        <f t="shared" si="208"/>
        <v>20.3</v>
      </c>
      <c r="AA1128" s="3" t="e">
        <f t="shared" si="209"/>
        <v>#DIV/0!</v>
      </c>
      <c r="AB1128" s="344">
        <f>IFERROR(VLOOKUP($G1128,基本資料!$A:$M,11,0),"無")</f>
        <v>-30</v>
      </c>
      <c r="AC1128" s="397">
        <f>IFERROR(VLOOKUP($G1128,基本資料!$A:$M,12,0),"無")</f>
        <v>13.09</v>
      </c>
      <c r="AD1128" s="16" t="s">
        <v>410</v>
      </c>
      <c r="AG1128" s="33">
        <f t="shared" si="210"/>
        <v>0</v>
      </c>
      <c r="AH1128" s="43" t="s">
        <v>1045</v>
      </c>
      <c r="AI1128" s="63">
        <f t="shared" si="212"/>
        <v>1.5987780040733197E-3</v>
      </c>
      <c r="AJ1128" s="284">
        <f>RTD("money.excel",,$G1128,"PredictVolume")</f>
        <v>157</v>
      </c>
      <c r="AK1128" s="399">
        <f>IFERROR(VLOOKUP($G1128,基本資料!$A:$M,13,0),"無")</f>
        <v>42.83</v>
      </c>
    </row>
    <row r="1129" spans="1:39">
      <c r="A1129" s="347">
        <f>IFERROR(VLOOKUP($G1129,基本資料!$A:$J,3,0),"無")</f>
        <v>15.71</v>
      </c>
      <c r="B1129" s="79">
        <f>IFERROR(VLOOKUP($G1129,基本資料!$A:$J,4,0),"無")</f>
        <v>-1996</v>
      </c>
      <c r="C1129" s="79">
        <f>IFERROR(VLOOKUP($G1129,基本資料!$A:$J,5,0),"無")</f>
        <v>-9633</v>
      </c>
      <c r="D1129" s="79">
        <f>IFERROR(VLOOKUP($G1129,基本資料!$A:$J,6,0),"無")</f>
        <v>89</v>
      </c>
      <c r="E1129" s="79">
        <f>IFERROR(VLOOKUP($G1129,基本資料!$A:$J,7,0),"無")</f>
        <v>14</v>
      </c>
      <c r="F1129" s="6">
        <f>IFERROR(VLOOKUP($G1129,基本資料!$A:$J,8,0),"無")</f>
        <v>-114.75</v>
      </c>
      <c r="G1129" s="79">
        <v>4943</v>
      </c>
      <c r="H1129" s="192" t="s">
        <v>308</v>
      </c>
      <c r="I1129" s="22" t="s">
        <v>52</v>
      </c>
      <c r="J1129" s="8" t="str">
        <f>IFERROR(VLOOKUP($G1129,今日總結!$A:$AJ,35,0),"")</f>
        <v>借</v>
      </c>
      <c r="K1129" s="5">
        <f>IFERROR(VLOOKUP($G1129,今日總結!$A:$AJ,36,0),"")</f>
        <v>0</v>
      </c>
      <c r="L1129" s="156">
        <f>IFERROR(VLOOKUP($G1129,今日總結!$A:$AJ,33,0),"")</f>
        <v>1</v>
      </c>
      <c r="M1129" s="340">
        <f>IFERROR(VLOOKUP($G1129,今日總結!$A:$AJ,34,0),"")</f>
        <v>0</v>
      </c>
      <c r="N1129" s="240">
        <f t="shared" si="213"/>
        <v>1</v>
      </c>
      <c r="P1129" s="365" t="str">
        <f>IFERROR(VLOOKUP($G1129,融外自投!$A:$J,7,0),"無")</f>
        <v>無</v>
      </c>
      <c r="Q1129" s="79" t="str">
        <f>IFERROR(VLOOKUP($G1129,融外自投!$A:$J,9,0),"無")</f>
        <v>無</v>
      </c>
      <c r="R1129" s="346" t="str">
        <f>IFERROR(VLOOKUP($G1129,融外自投!$A:$J,8,0),"無")</f>
        <v>無</v>
      </c>
      <c r="S1129" s="81" t="str">
        <f>IFERROR(VLOOKUP($G1129,融外自投!$A:$J,10,0),"無")</f>
        <v>無</v>
      </c>
      <c r="T1129" s="327">
        <f>IFERROR(VLOOKUP($G1129,'321買'!$A:$E,5,0),"'沒有資料'")</f>
        <v>357</v>
      </c>
      <c r="U1129" s="186">
        <f>IFERROR(VLOOKUP($G1129,基本資料!$A:$J,9,0),"無")</f>
        <v>0</v>
      </c>
      <c r="V1129" s="310">
        <f t="shared" si="211"/>
        <v>0</v>
      </c>
      <c r="W1129" s="94">
        <f>IFERROR(VLOOKUP($G1129,基本資料!$A:$J,10,0),"無")</f>
        <v>-24.11</v>
      </c>
      <c r="X1129" s="36">
        <f>RTD("money.excel",,"4943","Price")</f>
        <v>19.5</v>
      </c>
      <c r="Y1129" s="66"/>
      <c r="Z1129" s="15">
        <f t="shared" si="208"/>
        <v>19.5</v>
      </c>
      <c r="AA1129" s="3" t="e">
        <f t="shared" si="209"/>
        <v>#DIV/0!</v>
      </c>
      <c r="AB1129" s="344">
        <f>IFERROR(VLOOKUP($G1129,基本資料!$A:$M,11,0),"無")</f>
        <v>-75.81</v>
      </c>
      <c r="AC1129" s="397">
        <f>IFERROR(VLOOKUP($G1129,基本資料!$A:$M,12,0),"無")</f>
        <v>6.8</v>
      </c>
      <c r="AD1129" s="22" t="s">
        <v>52</v>
      </c>
      <c r="AG1129" s="33">
        <f t="shared" si="210"/>
        <v>0</v>
      </c>
      <c r="AH1129" s="117" t="s">
        <v>2591</v>
      </c>
      <c r="AI1129" s="63">
        <f t="shared" si="212"/>
        <v>3.2845321451304903E-3</v>
      </c>
      <c r="AJ1129" s="284">
        <f>RTD("money.excel",,$G1129,"PredictVolume")</f>
        <v>516</v>
      </c>
      <c r="AK1129" s="399">
        <f>IFERROR(VLOOKUP($G1129,基本資料!$A:$M,13,0),"無")</f>
        <v>7.67</v>
      </c>
    </row>
    <row r="1130" spans="1:39">
      <c r="A1130" s="347">
        <f>IFERROR(VLOOKUP($G1130,基本資料!$A:$J,3,0),"無")</f>
        <v>94.7</v>
      </c>
      <c r="B1130" s="79">
        <f>IFERROR(VLOOKUP($G1130,基本資料!$A:$J,4,0),"無")</f>
        <v>19</v>
      </c>
      <c r="C1130" s="79">
        <f>IFERROR(VLOOKUP($G1130,基本資料!$A:$J,5,0),"無")</f>
        <v>11</v>
      </c>
      <c r="D1130" s="79">
        <f>IFERROR(VLOOKUP($G1130,基本資料!$A:$J,6,0),"無")</f>
        <v>-23</v>
      </c>
      <c r="E1130" s="79">
        <f>IFERROR(VLOOKUP($G1130,基本資料!$A:$J,7,0),"無")</f>
        <v>8</v>
      </c>
      <c r="F1130" s="6">
        <f>IFERROR(VLOOKUP($G1130,基本資料!$A:$J,8,0),"無")</f>
        <v>10.18</v>
      </c>
      <c r="G1130" s="79">
        <v>4958</v>
      </c>
      <c r="H1130" s="195" t="s">
        <v>308</v>
      </c>
      <c r="I1130" s="22" t="s">
        <v>27</v>
      </c>
      <c r="J1130" s="8" t="str">
        <f>IFERROR(VLOOKUP($G1130,今日總結!$A:$AJ,35,0),"")</f>
        <v/>
      </c>
      <c r="K1130" s="5" t="str">
        <f>IFERROR(VLOOKUP($G1130,今日總結!$A:$AJ,36,0),"")</f>
        <v/>
      </c>
      <c r="L1130" s="156" t="str">
        <f>IFERROR(VLOOKUP($G1130,今日總結!$A:$AJ,33,0),"")</f>
        <v/>
      </c>
      <c r="M1130" s="340" t="str">
        <f>IFERROR(VLOOKUP($G1130,今日總結!$A:$AJ,34,0),"")</f>
        <v/>
      </c>
      <c r="N1130" s="240" t="str">
        <f t="shared" si="213"/>
        <v/>
      </c>
      <c r="P1130" s="365">
        <f>IFERROR(VLOOKUP($G1130,融外自投!$A:$J,7,0),"無")</f>
        <v>907</v>
      </c>
      <c r="Q1130" s="79">
        <f>IFERROR(VLOOKUP($G1130,融外自投!$A:$J,9,0),"無")</f>
        <v>435</v>
      </c>
      <c r="R1130" s="346">
        <f>IFERROR(VLOOKUP($G1130,融外自投!$A:$J,8,0),"無")</f>
        <v>42</v>
      </c>
      <c r="S1130" s="81">
        <f>IFERROR(VLOOKUP($G1130,融外自投!$A:$J,10,0),"無")</f>
        <v>149</v>
      </c>
      <c r="T1130" s="327">
        <f>IFERROR(VLOOKUP($G1130,'321買'!$A:$E,5,0),"'沒有資料'")</f>
        <v>117</v>
      </c>
      <c r="U1130" s="186">
        <f>IFERROR(VLOOKUP($G1130,基本資料!$A:$J,9,0),"無")</f>
        <v>5</v>
      </c>
      <c r="V1130" s="310">
        <f t="shared" si="211"/>
        <v>4.9504950495049507E-2</v>
      </c>
      <c r="W1130" s="94">
        <f>IFERROR(VLOOKUP($G1130,基本資料!$A:$J,10,0),"無")</f>
        <v>10.210000000000001</v>
      </c>
      <c r="X1130" s="36">
        <f>RTD("money.excel",,"4958","Price")</f>
        <v>101</v>
      </c>
      <c r="Y1130" s="66"/>
      <c r="Z1130" s="15">
        <f t="shared" si="208"/>
        <v>101</v>
      </c>
      <c r="AA1130" s="3" t="e">
        <f t="shared" si="209"/>
        <v>#DIV/0!</v>
      </c>
      <c r="AB1130" s="344">
        <f>IFERROR(VLOOKUP($G1130,基本資料!$A:$M,11,0),"無")</f>
        <v>-9.69</v>
      </c>
      <c r="AC1130" s="397">
        <f>IFERROR(VLOOKUP($G1130,基本資料!$A:$M,12,0),"無")</f>
        <v>64.72</v>
      </c>
      <c r="AD1130" s="22" t="s">
        <v>27</v>
      </c>
      <c r="AG1130" s="33">
        <f t="shared" si="210"/>
        <v>0</v>
      </c>
      <c r="AH1130" s="117" t="s">
        <v>2304</v>
      </c>
      <c r="AI1130" s="63">
        <f t="shared" si="212"/>
        <v>3.9767687434002115E-3</v>
      </c>
      <c r="AJ1130" s="284">
        <f>RTD("money.excel",,$G1130,"PredictVolume")</f>
        <v>3766</v>
      </c>
      <c r="AK1130" s="399">
        <f>IFERROR(VLOOKUP($G1130,基本資料!$A:$M,13,0),"無")</f>
        <v>1.83</v>
      </c>
    </row>
    <row r="1131" spans="1:39">
      <c r="A1131" s="347">
        <f>IFERROR(VLOOKUP($G1131,基本資料!$A:$J,3,0),"無")</f>
        <v>7.25</v>
      </c>
      <c r="B1131" s="79">
        <f>IFERROR(VLOOKUP($G1131,基本資料!$A:$J,4,0),"無")</f>
        <v>13</v>
      </c>
      <c r="C1131" s="79">
        <f>IFERROR(VLOOKUP($G1131,基本資料!$A:$J,5,0),"無")</f>
        <v>-3</v>
      </c>
      <c r="D1131" s="79">
        <f>IFERROR(VLOOKUP($G1131,基本資料!$A:$J,6,0),"無")</f>
        <v>-39</v>
      </c>
      <c r="E1131" s="79">
        <f>IFERROR(VLOOKUP($G1131,基本資料!$A:$J,7,0),"無")</f>
        <v>-12</v>
      </c>
      <c r="F1131" s="6">
        <f>IFERROR(VLOOKUP($G1131,基本資料!$A:$J,8,0),"無")</f>
        <v>12.22</v>
      </c>
      <c r="G1131" s="79">
        <v>4974</v>
      </c>
      <c r="H1131" s="8" t="s">
        <v>308</v>
      </c>
      <c r="I1131" s="16" t="s">
        <v>4582</v>
      </c>
      <c r="J1131" s="8">
        <f>IFERROR(VLOOKUP($G1131,今日總結!$A:$AJ,35,0),"")</f>
        <v>0</v>
      </c>
      <c r="K1131" s="5" t="str">
        <f>IFERROR(VLOOKUP($G1131,今日總結!$A:$AJ,36,0),"")</f>
        <v>外</v>
      </c>
      <c r="L1131" s="156">
        <f>IFERROR(VLOOKUP($G1131,今日總結!$A:$AJ,33,0),"")</f>
        <v>0</v>
      </c>
      <c r="M1131" s="340">
        <f>IFERROR(VLOOKUP($G1131,今日總結!$A:$AJ,34,0),"")</f>
        <v>2</v>
      </c>
      <c r="N1131" s="240">
        <f t="shared" si="213"/>
        <v>-2</v>
      </c>
      <c r="P1131" s="365">
        <f>IFERROR(VLOOKUP($G1131,融外自投!$A:$J,7,0),"無")</f>
        <v>1001</v>
      </c>
      <c r="Q1131" s="79">
        <f>IFERROR(VLOOKUP($G1131,融外自投!$A:$J,9,0),"無")</f>
        <v>143</v>
      </c>
      <c r="R1131" s="346">
        <f>IFERROR(VLOOKUP($G1131,融外自投!$A:$J,8,0),"無")</f>
        <v>649</v>
      </c>
      <c r="S1131" s="81" t="str">
        <f>IFERROR(VLOOKUP($G1131,融外自投!$A:$J,10,0),"無")</f>
        <v>無</v>
      </c>
      <c r="T1131" s="327">
        <f>IFERROR(VLOOKUP($G1131,'321買'!$A:$E,5,0),"'沒有資料'")</f>
        <v>802</v>
      </c>
      <c r="U1131" s="186">
        <f>IFERROR(VLOOKUP($G1131,基本資料!$A:$J,9,0),"無")</f>
        <v>4.3</v>
      </c>
      <c r="V1131" s="310">
        <f t="shared" si="211"/>
        <v>7.7617328519855588E-2</v>
      </c>
      <c r="W1131" s="94">
        <f>IFERROR(VLOOKUP($G1131,基本資料!$A:$J,10,0),"無")</f>
        <v>5.87</v>
      </c>
      <c r="X1131" s="36">
        <f>RTD("money.excel",,"4974","Price")</f>
        <v>55.4</v>
      </c>
      <c r="Y1131" s="66"/>
      <c r="Z1131" s="15">
        <f t="shared" si="208"/>
        <v>55.4</v>
      </c>
      <c r="AA1131" s="3" t="e">
        <f t="shared" si="209"/>
        <v>#DIV/0!</v>
      </c>
      <c r="AB1131" s="344">
        <f>IFERROR(VLOOKUP($G1131,基本資料!$A:$M,11,0),"無")</f>
        <v>-13.21</v>
      </c>
      <c r="AC1131" s="397">
        <f>IFERROR(VLOOKUP($G1131,基本資料!$A:$M,12,0),"無")</f>
        <v>38.31</v>
      </c>
      <c r="AD1131" s="16" t="s">
        <v>4582</v>
      </c>
      <c r="AG1131" s="33">
        <f t="shared" si="210"/>
        <v>0</v>
      </c>
      <c r="AH1131" s="117" t="s">
        <v>2409</v>
      </c>
      <c r="AI1131" s="63">
        <f t="shared" si="212"/>
        <v>1.9172413793103447E-3</v>
      </c>
      <c r="AJ1131" s="284">
        <f>RTD("money.excel",,$G1131,"PredictVolume")</f>
        <v>139</v>
      </c>
      <c r="AK1131" s="399">
        <f>IFERROR(VLOOKUP($G1131,基本資料!$A:$M,13,0),"無")</f>
        <v>8.9700000000000006</v>
      </c>
    </row>
    <row r="1132" spans="1:39">
      <c r="A1132" s="347">
        <f>IFERROR(VLOOKUP($G1132,基本資料!$A:$J,3,0),"無")</f>
        <v>13.77</v>
      </c>
      <c r="B1132" s="79">
        <f>IFERROR(VLOOKUP($G1132,基本資料!$A:$J,4,0),"無")</f>
        <v>1543</v>
      </c>
      <c r="C1132" s="79">
        <f>IFERROR(VLOOKUP($G1132,基本資料!$A:$J,5,0),"無")</f>
        <v>947</v>
      </c>
      <c r="D1132" s="79">
        <f>IFERROR(VLOOKUP($G1132,基本資料!$A:$J,6,0),"無")</f>
        <v>-27</v>
      </c>
      <c r="E1132" s="79">
        <f>IFERROR(VLOOKUP($G1132,基本資料!$A:$J,7,0),"無")</f>
        <v>-6</v>
      </c>
      <c r="F1132" s="6">
        <f>IFERROR(VLOOKUP($G1132,基本資料!$A:$J,8,0),"無")</f>
        <v>15.98</v>
      </c>
      <c r="G1132" s="79">
        <v>4989</v>
      </c>
      <c r="H1132" s="195" t="s">
        <v>308</v>
      </c>
      <c r="I1132" s="22" t="s">
        <v>3296</v>
      </c>
      <c r="J1132" s="8" t="str">
        <f>IFERROR(VLOOKUP($G1132,今日總結!$A:$AJ,35,0),"")</f>
        <v/>
      </c>
      <c r="K1132" s="5" t="str">
        <f>IFERROR(VLOOKUP($G1132,今日總結!$A:$AJ,36,0),"")</f>
        <v/>
      </c>
      <c r="L1132" s="156" t="str">
        <f>IFERROR(VLOOKUP($G1132,今日總結!$A:$AJ,33,0),"")</f>
        <v/>
      </c>
      <c r="M1132" s="340" t="str">
        <f>IFERROR(VLOOKUP($G1132,今日總結!$A:$AJ,34,0),"")</f>
        <v/>
      </c>
      <c r="N1132" s="240" t="str">
        <f t="shared" si="213"/>
        <v/>
      </c>
      <c r="P1132" s="365">
        <f>IFERROR(VLOOKUP($G1132,融外自投!$A:$J,7,0),"無")</f>
        <v>680</v>
      </c>
      <c r="Q1132" s="79">
        <f>IFERROR(VLOOKUP($G1132,融外自投!$A:$J,9,0),"無")</f>
        <v>391</v>
      </c>
      <c r="R1132" s="346">
        <f>IFERROR(VLOOKUP($G1132,融外自投!$A:$J,8,0),"無")</f>
        <v>1191</v>
      </c>
      <c r="S1132" s="81">
        <f>IFERROR(VLOOKUP($G1132,融外自投!$A:$J,10,0),"無")</f>
        <v>362</v>
      </c>
      <c r="T1132" s="327">
        <f>IFERROR(VLOOKUP($G1132,'321買'!$A:$E,5,0),"'沒有資料'")</f>
        <v>536</v>
      </c>
      <c r="U1132" s="186">
        <f>IFERROR(VLOOKUP($G1132,基本資料!$A:$J,9,0),"無")</f>
        <v>0</v>
      </c>
      <c r="V1132" s="310">
        <f t="shared" si="211"/>
        <v>0</v>
      </c>
      <c r="W1132" s="94">
        <f>IFERROR(VLOOKUP($G1132,基本資料!$A:$J,10,0),"無")</f>
        <v>3.77</v>
      </c>
      <c r="X1132" s="36">
        <f>RTD("money.excel",,"4989","Price")</f>
        <v>33.15</v>
      </c>
      <c r="Y1132" s="66"/>
      <c r="Z1132" s="15">
        <f t="shared" si="208"/>
        <v>33.15</v>
      </c>
      <c r="AA1132" s="3" t="e">
        <f t="shared" si="209"/>
        <v>#DIV/0!</v>
      </c>
      <c r="AB1132" s="344">
        <f>IFERROR(VLOOKUP($G1132,基本資料!$A:$M,11,0),"無")</f>
        <v>-43.66</v>
      </c>
      <c r="AC1132" s="397">
        <f>IFERROR(VLOOKUP($G1132,基本資料!$A:$M,12,0),"無")</f>
        <v>8.84</v>
      </c>
      <c r="AD1132" s="22" t="s">
        <v>3296</v>
      </c>
      <c r="AG1132" s="33">
        <f t="shared" si="210"/>
        <v>0</v>
      </c>
      <c r="AH1132" s="117" t="s">
        <v>3297</v>
      </c>
      <c r="AI1132" s="63">
        <f t="shared" si="212"/>
        <v>9.6586782861292667E-4</v>
      </c>
      <c r="AJ1132" s="284">
        <f>RTD("money.excel",,$G1132,"PredictVolume")</f>
        <v>133</v>
      </c>
      <c r="AK1132" s="399">
        <f>IFERROR(VLOOKUP($G1132,基本資料!$A:$M,13,0),"無")</f>
        <v>20.48</v>
      </c>
    </row>
    <row r="1133" spans="1:39">
      <c r="A1133" s="347">
        <f>IFERROR(VLOOKUP($G1133,基本資料!$A:$J,3,0),"無")</f>
        <v>7.44</v>
      </c>
      <c r="B1133" s="79">
        <f>IFERROR(VLOOKUP($G1133,基本資料!$A:$J,4,0),"無")</f>
        <v>-56</v>
      </c>
      <c r="C1133" s="79">
        <f>IFERROR(VLOOKUP($G1133,基本資料!$A:$J,5,0),"無")</f>
        <v>-52</v>
      </c>
      <c r="D1133" s="79">
        <f>IFERROR(VLOOKUP($G1133,基本資料!$A:$J,6,0),"無")</f>
        <v>-33</v>
      </c>
      <c r="E1133" s="79">
        <f>IFERROR(VLOOKUP($G1133,基本資料!$A:$J,7,0),"無")</f>
        <v>-53</v>
      </c>
      <c r="F1133" s="6">
        <f>IFERROR(VLOOKUP($G1133,基本資料!$A:$J,8,0),"無")</f>
        <v>10.32</v>
      </c>
      <c r="G1133" s="79">
        <v>4999</v>
      </c>
      <c r="H1133" s="8" t="s">
        <v>308</v>
      </c>
      <c r="I1133" s="22" t="s">
        <v>4583</v>
      </c>
      <c r="J1133" s="8" t="str">
        <f>IFERROR(VLOOKUP($G1133,今日總結!$A:$AJ,35,0),"")</f>
        <v/>
      </c>
      <c r="K1133" s="5" t="str">
        <f>IFERROR(VLOOKUP($G1133,今日總結!$A:$AJ,36,0),"")</f>
        <v/>
      </c>
      <c r="L1133" s="156" t="str">
        <f>IFERROR(VLOOKUP($G1133,今日總結!$A:$AJ,33,0),"")</f>
        <v/>
      </c>
      <c r="M1133" s="340" t="str">
        <f>IFERROR(VLOOKUP($G1133,今日總結!$A:$AJ,34,0),"")</f>
        <v/>
      </c>
      <c r="N1133" s="240" t="str">
        <f t="shared" si="213"/>
        <v/>
      </c>
      <c r="P1133" s="365">
        <f>IFERROR(VLOOKUP($G1133,融外自投!$A:$J,7,0),"無")</f>
        <v>812</v>
      </c>
      <c r="Q1133" s="79">
        <f>IFERROR(VLOOKUP($G1133,融外自投!$A:$J,9,0),"無")</f>
        <v>1051</v>
      </c>
      <c r="R1133" s="346">
        <f>IFERROR(VLOOKUP($G1133,融外自投!$A:$J,8,0),"無")</f>
        <v>859</v>
      </c>
      <c r="S1133" s="81">
        <f>IFERROR(VLOOKUP($G1133,融外自投!$A:$J,10,0),"無")</f>
        <v>340</v>
      </c>
      <c r="T1133" s="327">
        <f>IFERROR(VLOOKUP($G1133,'321買'!$A:$E,5,0),"'沒有資料'")</f>
        <v>606</v>
      </c>
      <c r="U1133" s="186">
        <f>IFERROR(VLOOKUP($G1133,基本資料!$A:$J,9,0),"無")</f>
        <v>2</v>
      </c>
      <c r="V1133" s="310">
        <f t="shared" si="211"/>
        <v>5.6179775280898875E-2</v>
      </c>
      <c r="W1133" s="94">
        <f>IFERROR(VLOOKUP($G1133,基本資料!$A:$J,10,0),"無")</f>
        <v>2.44</v>
      </c>
      <c r="X1133" s="36">
        <f>RTD("money.excel",,"4999","Price")</f>
        <v>35.6</v>
      </c>
      <c r="Y1133" s="66"/>
      <c r="Z1133" s="15">
        <f t="shared" si="208"/>
        <v>35.6</v>
      </c>
      <c r="AA1133" s="35" t="e">
        <f t="shared" si="209"/>
        <v>#DIV/0!</v>
      </c>
      <c r="AB1133" s="344">
        <f>IFERROR(VLOOKUP($G1133,基本資料!$A:$M,11,0),"無")</f>
        <v>-30.89</v>
      </c>
      <c r="AC1133" s="397">
        <f>IFERROR(VLOOKUP($G1133,基本資料!$A:$M,12,0),"無")</f>
        <v>11.41</v>
      </c>
      <c r="AD1133" s="22" t="s">
        <v>4583</v>
      </c>
      <c r="AG1133" s="33">
        <f t="shared" si="210"/>
        <v>0</v>
      </c>
      <c r="AH1133" s="43" t="s">
        <v>2592</v>
      </c>
      <c r="AI1133" s="63">
        <f t="shared" si="212"/>
        <v>5.1075268817204306E-4</v>
      </c>
      <c r="AJ1133" s="284">
        <f>RTD("money.excel",,$G1133,"PredictVolume")</f>
        <v>38</v>
      </c>
      <c r="AK1133" s="399">
        <f>IFERROR(VLOOKUP($G1133,基本資料!$A:$M,13,0),"無")</f>
        <v>2.67</v>
      </c>
    </row>
    <row r="1134" spans="1:39">
      <c r="A1134" s="347">
        <f>IFERROR(VLOOKUP($G1134,基本資料!$A:$J,3,0),"無")</f>
        <v>7</v>
      </c>
      <c r="B1134" s="79">
        <f>IFERROR(VLOOKUP($G1134,基本資料!$A:$J,4,0),"無")</f>
        <v>17</v>
      </c>
      <c r="C1134" s="79">
        <f>IFERROR(VLOOKUP($G1134,基本資料!$A:$J,5,0),"無")</f>
        <v>27</v>
      </c>
      <c r="D1134" s="79">
        <f>IFERROR(VLOOKUP($G1134,基本資料!$A:$J,6,0),"無")</f>
        <v>-20</v>
      </c>
      <c r="E1134" s="79">
        <f>IFERROR(VLOOKUP($G1134,基本資料!$A:$J,7,0),"無")</f>
        <v>257</v>
      </c>
      <c r="F1134" s="6">
        <f>IFERROR(VLOOKUP($G1134,基本資料!$A:$J,8,0),"無")</f>
        <v>-87.06</v>
      </c>
      <c r="G1134" s="79">
        <v>5227</v>
      </c>
      <c r="H1134" s="8" t="s">
        <v>308</v>
      </c>
      <c r="I1134" s="16" t="s">
        <v>411</v>
      </c>
      <c r="J1134" s="8" t="str">
        <f>IFERROR(VLOOKUP($G1134,今日總結!$A:$AJ,35,0),"")</f>
        <v/>
      </c>
      <c r="K1134" s="5" t="str">
        <f>IFERROR(VLOOKUP($G1134,今日總結!$A:$AJ,36,0),"")</f>
        <v/>
      </c>
      <c r="L1134" s="156" t="str">
        <f>IFERROR(VLOOKUP($G1134,今日總結!$A:$AJ,33,0),"")</f>
        <v/>
      </c>
      <c r="M1134" s="340" t="str">
        <f>IFERROR(VLOOKUP($G1134,今日總結!$A:$AJ,34,0),"")</f>
        <v/>
      </c>
      <c r="N1134" s="240" t="str">
        <f t="shared" si="213"/>
        <v/>
      </c>
      <c r="P1134" s="365" t="str">
        <f>IFERROR(VLOOKUP($G1134,融外自投!$A:$J,7,0),"無")</f>
        <v>無</v>
      </c>
      <c r="Q1134" s="79" t="str">
        <f>IFERROR(VLOOKUP($G1134,融外自投!$A:$J,9,0),"無")</f>
        <v>無</v>
      </c>
      <c r="R1134" s="346" t="str">
        <f>IFERROR(VLOOKUP($G1134,融外自投!$A:$J,8,0),"無")</f>
        <v>無</v>
      </c>
      <c r="S1134" s="81" t="str">
        <f>IFERROR(VLOOKUP($G1134,融外自投!$A:$J,10,0),"無")</f>
        <v>無</v>
      </c>
      <c r="T1134" s="327" t="str">
        <f>IFERROR(VLOOKUP($G1134,'321買'!$A:$E,5,0),"'沒有資料'")</f>
        <v>'沒有資料'</v>
      </c>
      <c r="U1134" s="186">
        <f>IFERROR(VLOOKUP($G1134,基本資料!$A:$J,9,0),"無")</f>
        <v>0</v>
      </c>
      <c r="V1134" s="310">
        <f t="shared" si="211"/>
        <v>0</v>
      </c>
      <c r="W1134" s="94">
        <f>IFERROR(VLOOKUP($G1134,基本資料!$A:$J,10,0),"無")</f>
        <v>-9.31</v>
      </c>
      <c r="X1134" s="36">
        <f>RTD("money.excel",,"5227","Price")</f>
        <v>60</v>
      </c>
      <c r="Y1134" s="66"/>
      <c r="Z1134" s="15">
        <f t="shared" si="208"/>
        <v>60</v>
      </c>
      <c r="AA1134" s="3" t="e">
        <f t="shared" si="209"/>
        <v>#DIV/0!</v>
      </c>
      <c r="AB1134" s="344">
        <f>IFERROR(VLOOKUP($G1134,基本資料!$A:$M,11,0),"無")</f>
        <v>-39.409999999999997</v>
      </c>
      <c r="AC1134" s="397">
        <f>IFERROR(VLOOKUP($G1134,基本資料!$A:$M,12,0),"無")</f>
        <v>9.0299999999999994</v>
      </c>
      <c r="AD1134" s="16" t="s">
        <v>411</v>
      </c>
      <c r="AG1134" s="33">
        <f t="shared" si="210"/>
        <v>0</v>
      </c>
      <c r="AH1134" s="43" t="s">
        <v>2290</v>
      </c>
      <c r="AI1134" s="63">
        <f t="shared" si="212"/>
        <v>4.5999999999999999E-3</v>
      </c>
      <c r="AJ1134" s="284">
        <f>RTD("money.excel",,$G1134,"PredictVolume")</f>
        <v>322</v>
      </c>
      <c r="AK1134" s="399">
        <f>IFERROR(VLOOKUP($G1134,基本資料!$A:$M,13,0),"無")</f>
        <v>17.36</v>
      </c>
    </row>
    <row r="1135" spans="1:39">
      <c r="A1135" s="347" t="str">
        <f>IFERROR(VLOOKUP($G1135,基本資料!$A:$J,3,0),"無")</f>
        <v>無</v>
      </c>
      <c r="B1135" s="79" t="str">
        <f>IFERROR(VLOOKUP($G1135,基本資料!$A:$J,4,0),"無")</f>
        <v>無</v>
      </c>
      <c r="C1135" s="79" t="str">
        <f>IFERROR(VLOOKUP($G1135,基本資料!$A:$J,5,0),"無")</f>
        <v>無</v>
      </c>
      <c r="D1135" s="79" t="str">
        <f>IFERROR(VLOOKUP($G1135,基本資料!$A:$J,6,0),"無")</f>
        <v>無</v>
      </c>
      <c r="E1135" s="79" t="str">
        <f>IFERROR(VLOOKUP($G1135,基本資料!$A:$J,7,0),"無")</f>
        <v>無</v>
      </c>
      <c r="F1135" s="6" t="str">
        <f>IFERROR(VLOOKUP($G1135,基本資料!$A:$J,8,0),"無")</f>
        <v>無</v>
      </c>
      <c r="G1135" s="79">
        <v>5228</v>
      </c>
      <c r="H1135" s="8" t="s">
        <v>308</v>
      </c>
      <c r="I1135" s="16" t="s">
        <v>6726</v>
      </c>
      <c r="J1135" s="8" t="str">
        <f>IFERROR(VLOOKUP($G1135,今日總結!$A:$AJ,35,0),"")</f>
        <v/>
      </c>
      <c r="K1135" s="5" t="str">
        <f>IFERROR(VLOOKUP($G1135,今日總結!$A:$AJ,36,0),"")</f>
        <v/>
      </c>
      <c r="L1135" s="156" t="str">
        <f>IFERROR(VLOOKUP($G1135,今日總結!$A:$AJ,33,0),"")</f>
        <v/>
      </c>
      <c r="M1135" s="340" t="str">
        <f>IFERROR(VLOOKUP($G1135,今日總結!$A:$AJ,34,0),"")</f>
        <v/>
      </c>
      <c r="N1135" s="240" t="str">
        <f t="shared" si="213"/>
        <v/>
      </c>
      <c r="P1135" s="365" t="str">
        <f>IFERROR(VLOOKUP($G1135,融外自投!$A:$J,7,0),"無")</f>
        <v>無</v>
      </c>
      <c r="Q1135" s="79" t="str">
        <f>IFERROR(VLOOKUP($G1135,融外自投!$A:$J,9,0),"無")</f>
        <v>無</v>
      </c>
      <c r="R1135" s="346" t="str">
        <f>IFERROR(VLOOKUP($G1135,融外自投!$A:$J,8,0),"無")</f>
        <v>無</v>
      </c>
      <c r="S1135" s="81" t="str">
        <f>IFERROR(VLOOKUP($G1135,融外自投!$A:$J,10,0),"無")</f>
        <v>無</v>
      </c>
      <c r="T1135" s="327" t="str">
        <f>IFERROR(VLOOKUP($G1135,'321買'!$A:$E,5,0),"'沒有資料'")</f>
        <v>'沒有資料'</v>
      </c>
      <c r="U1135" s="186" t="str">
        <f>IFERROR(VLOOKUP($G1135,基本資料!$A:$J,9,0),"無")</f>
        <v>無</v>
      </c>
      <c r="V1135" s="310" t="e">
        <f t="shared" si="211"/>
        <v>#VALUE!</v>
      </c>
      <c r="W1135" s="94" t="str">
        <f>IFERROR(VLOOKUP($G1135,基本資料!$A:$J,10,0),"無")</f>
        <v>無</v>
      </c>
      <c r="X1135" s="36">
        <f>RTD("money.excel",,"5228","Price")</f>
        <v>25.5</v>
      </c>
      <c r="Y1135" s="66"/>
      <c r="Z1135" s="15">
        <f t="shared" ref="Z1135" si="214">X1135-Y1135</f>
        <v>25.5</v>
      </c>
      <c r="AA1135" s="3" t="e">
        <f t="shared" ref="AA1135" si="215">Z1135/Y1135</f>
        <v>#DIV/0!</v>
      </c>
      <c r="AB1135" s="344" t="str">
        <f>IFERROR(VLOOKUP($G1135,基本資料!$A:$M,11,0),"無")</f>
        <v>無</v>
      </c>
      <c r="AC1135" s="397" t="str">
        <f>IFERROR(VLOOKUP($G1135,基本資料!$A:$M,12,0),"無")</f>
        <v>無</v>
      </c>
      <c r="AD1135" s="16" t="s">
        <v>6726</v>
      </c>
      <c r="AG1135" s="33">
        <f t="shared" ref="AG1135" si="216">AF1135-AE1135</f>
        <v>0</v>
      </c>
      <c r="AH1135" s="43" t="s">
        <v>6727</v>
      </c>
      <c r="AI1135" s="63" t="e">
        <f t="shared" ref="AI1135" si="217">AJ1135/(A1135*10000)</f>
        <v>#VALUE!</v>
      </c>
      <c r="AJ1135" s="284">
        <f>RTD("money.excel",,$G1135,"PredictVolume")</f>
        <v>32</v>
      </c>
      <c r="AK1135" s="399" t="str">
        <f>IFERROR(VLOOKUP($G1135,基本資料!$A:$M,13,0),"無")</f>
        <v>無</v>
      </c>
    </row>
    <row r="1136" spans="1:39">
      <c r="A1136" s="347">
        <f>IFERROR(VLOOKUP($G1136,基本資料!$A:$J,3,0),"無")</f>
        <v>3.92</v>
      </c>
      <c r="B1136" s="79">
        <f>IFERROR(VLOOKUP($G1136,基本資料!$A:$J,4,0),"無")</f>
        <v>130</v>
      </c>
      <c r="C1136" s="79">
        <f>IFERROR(VLOOKUP($G1136,基本資料!$A:$J,5,0),"無")</f>
        <v>133</v>
      </c>
      <c r="D1136" s="79">
        <f>IFERROR(VLOOKUP($G1136,基本資料!$A:$J,6,0),"無")</f>
        <v>7</v>
      </c>
      <c r="E1136" s="79">
        <f>IFERROR(VLOOKUP($G1136,基本資料!$A:$J,7,0),"無")</f>
        <v>12</v>
      </c>
      <c r="F1136" s="6">
        <f>IFERROR(VLOOKUP($G1136,基本資料!$A:$J,8,0),"無")</f>
        <v>13.11</v>
      </c>
      <c r="G1136" s="79">
        <v>5291</v>
      </c>
      <c r="H1136" s="8" t="s">
        <v>308</v>
      </c>
      <c r="I1136" s="16" t="s">
        <v>412</v>
      </c>
      <c r="J1136" s="8">
        <f>IFERROR(VLOOKUP($G1136,今日總結!$A:$AJ,35,0),"")</f>
        <v>0</v>
      </c>
      <c r="K1136" s="5" t="str">
        <f>IFERROR(VLOOKUP($G1136,今日總結!$A:$AJ,36,0),"")</f>
        <v>外</v>
      </c>
      <c r="L1136" s="156">
        <f>IFERROR(VLOOKUP($G1136,今日總結!$A:$AJ,33,0),"")</f>
        <v>0</v>
      </c>
      <c r="M1136" s="340">
        <f>IFERROR(VLOOKUP($G1136,今日總結!$A:$AJ,34,0),"")</f>
        <v>2</v>
      </c>
      <c r="N1136" s="240">
        <f t="shared" si="213"/>
        <v>-2</v>
      </c>
      <c r="P1136" s="365">
        <f>IFERROR(VLOOKUP($G1136,融外自投!$A:$J,7,0),"無")</f>
        <v>13</v>
      </c>
      <c r="Q1136" s="79">
        <f>IFERROR(VLOOKUP($G1136,融外自投!$A:$J,9,0),"無")</f>
        <v>1110</v>
      </c>
      <c r="R1136" s="346">
        <f>IFERROR(VLOOKUP($G1136,融外自投!$A:$J,8,0),"無")</f>
        <v>1011</v>
      </c>
      <c r="S1136" s="81" t="str">
        <f>IFERROR(VLOOKUP($G1136,融外自投!$A:$J,10,0),"無")</f>
        <v>無</v>
      </c>
      <c r="T1136" s="327">
        <f>IFERROR(VLOOKUP($G1136,'321買'!$A:$E,5,0),"'沒有資料'")</f>
        <v>463</v>
      </c>
      <c r="U1136" s="186">
        <f>IFERROR(VLOOKUP($G1136,基本資料!$A:$J,9,0),"無")</f>
        <v>2.1</v>
      </c>
      <c r="V1136" s="310">
        <f t="shared" si="211"/>
        <v>5.6451612903225805E-2</v>
      </c>
      <c r="W1136" s="94">
        <f>IFERROR(VLOOKUP($G1136,基本資料!$A:$J,10,0),"無")</f>
        <v>4.18</v>
      </c>
      <c r="X1136" s="36">
        <f>RTD("money.excel",,"5291","Price")</f>
        <v>37.200000000000003</v>
      </c>
      <c r="Y1136" s="66"/>
      <c r="Z1136" s="15">
        <f t="shared" si="208"/>
        <v>37.200000000000003</v>
      </c>
      <c r="AA1136" s="3" t="e">
        <f t="shared" si="209"/>
        <v>#DIV/0!</v>
      </c>
      <c r="AB1136" s="344">
        <f>IFERROR(VLOOKUP($G1136,基本資料!$A:$M,11,0),"無")</f>
        <v>-32.22</v>
      </c>
      <c r="AC1136" s="397">
        <f>IFERROR(VLOOKUP($G1136,基本資料!$A:$M,12,0),"無")</f>
        <v>18.72</v>
      </c>
      <c r="AD1136" s="16" t="s">
        <v>412</v>
      </c>
      <c r="AG1136" s="33">
        <f t="shared" si="210"/>
        <v>0</v>
      </c>
      <c r="AH1136" s="292" t="s">
        <v>2276</v>
      </c>
      <c r="AI1136" s="63">
        <f t="shared" si="212"/>
        <v>2.0153061224489795E-3</v>
      </c>
      <c r="AJ1136" s="284">
        <f>RTD("money.excel",,$G1136,"PredictVolume")</f>
        <v>79</v>
      </c>
      <c r="AK1136" s="399">
        <f>IFERROR(VLOOKUP($G1136,基本資料!$A:$M,13,0),"無")</f>
        <v>10.3</v>
      </c>
    </row>
    <row r="1137" spans="1:37">
      <c r="A1137" s="347">
        <f>IFERROR(VLOOKUP($G1137,基本資料!$A:$J,3,0),"無")</f>
        <v>15.55</v>
      </c>
      <c r="B1137" s="79">
        <f>IFERROR(VLOOKUP($G1137,基本資料!$A:$J,4,0),"無")</f>
        <v>195</v>
      </c>
      <c r="C1137" s="79">
        <f>IFERROR(VLOOKUP($G1137,基本資料!$A:$J,5,0),"無")</f>
        <v>182</v>
      </c>
      <c r="D1137" s="79">
        <f>IFERROR(VLOOKUP($G1137,基本資料!$A:$J,6,0),"無")</f>
        <v>33</v>
      </c>
      <c r="E1137" s="79">
        <f>IFERROR(VLOOKUP($G1137,基本資料!$A:$J,7,0),"無")</f>
        <v>53</v>
      </c>
      <c r="F1137" s="6">
        <f>IFERROR(VLOOKUP($G1137,基本資料!$A:$J,8,0),"無")</f>
        <v>3.4</v>
      </c>
      <c r="G1137" s="79">
        <v>5309</v>
      </c>
      <c r="H1137" s="8" t="s">
        <v>308</v>
      </c>
      <c r="I1137" s="16" t="s">
        <v>413</v>
      </c>
      <c r="J1137" s="8" t="str">
        <f>IFERROR(VLOOKUP($G1137,今日總結!$A:$AJ,35,0),"")</f>
        <v/>
      </c>
      <c r="K1137" s="5" t="str">
        <f>IFERROR(VLOOKUP($G1137,今日總結!$A:$AJ,36,0),"")</f>
        <v/>
      </c>
      <c r="L1137" s="156" t="str">
        <f>IFERROR(VLOOKUP($G1137,今日總結!$A:$AJ,33,0),"")</f>
        <v/>
      </c>
      <c r="M1137" s="340" t="str">
        <f>IFERROR(VLOOKUP($G1137,今日總結!$A:$AJ,34,0),"")</f>
        <v/>
      </c>
      <c r="N1137" s="240" t="str">
        <f t="shared" si="213"/>
        <v/>
      </c>
      <c r="P1137" s="365" t="str">
        <f>IFERROR(VLOOKUP($G1137,融外自投!$A:$J,7,0),"無")</f>
        <v>無</v>
      </c>
      <c r="Q1137" s="79" t="str">
        <f>IFERROR(VLOOKUP($G1137,融外自投!$A:$J,9,0),"無")</f>
        <v>無</v>
      </c>
      <c r="R1137" s="346" t="str">
        <f>IFERROR(VLOOKUP($G1137,融外自投!$A:$J,8,0),"無")</f>
        <v>無</v>
      </c>
      <c r="S1137" s="81" t="str">
        <f>IFERROR(VLOOKUP($G1137,融外自投!$A:$J,10,0),"無")</f>
        <v>無</v>
      </c>
      <c r="T1137" s="327" t="str">
        <f>IFERROR(VLOOKUP($G1137,'321買'!$A:$E,5,0),"'沒有資料'")</f>
        <v>'沒有資料'</v>
      </c>
      <c r="U1137" s="186">
        <f>IFERROR(VLOOKUP($G1137,基本資料!$A:$J,9,0),"無")</f>
        <v>0</v>
      </c>
      <c r="V1137" s="310">
        <f t="shared" si="211"/>
        <v>0</v>
      </c>
      <c r="W1137" s="94">
        <f>IFERROR(VLOOKUP($G1137,基本資料!$A:$J,10,0),"無")</f>
        <v>0.62</v>
      </c>
      <c r="X1137" s="36">
        <f>RTD("money.excel",,"5309","Price")</f>
        <v>38.85</v>
      </c>
      <c r="Y1137" s="66"/>
      <c r="Z1137" s="15">
        <f t="shared" si="208"/>
        <v>38.85</v>
      </c>
      <c r="AA1137" s="3" t="e">
        <f t="shared" si="209"/>
        <v>#DIV/0!</v>
      </c>
      <c r="AB1137" s="344">
        <f>IFERROR(VLOOKUP($G1137,基本資料!$A:$M,11,0),"無")</f>
        <v>-17.23</v>
      </c>
      <c r="AC1137" s="397">
        <f>IFERROR(VLOOKUP($G1137,基本資料!$A:$M,12,0),"無")</f>
        <v>40.21</v>
      </c>
      <c r="AD1137" s="16" t="s">
        <v>413</v>
      </c>
      <c r="AG1137" s="33">
        <f t="shared" si="210"/>
        <v>0</v>
      </c>
      <c r="AH1137" s="43" t="s">
        <v>2329</v>
      </c>
      <c r="AI1137" s="63">
        <f t="shared" si="212"/>
        <v>1.4070739549839228E-2</v>
      </c>
      <c r="AJ1137" s="284">
        <f>RTD("money.excel",,$G1137,"PredictVolume")</f>
        <v>2188</v>
      </c>
      <c r="AK1137" s="399">
        <f>IFERROR(VLOOKUP($G1137,基本資料!$A:$M,13,0),"無")</f>
        <v>25.92</v>
      </c>
    </row>
    <row r="1138" spans="1:37">
      <c r="A1138" s="347">
        <f>IFERROR(VLOOKUP($G1138,基本資料!$A:$J,3,0),"無")</f>
        <v>3.49</v>
      </c>
      <c r="B1138" s="79">
        <f>IFERROR(VLOOKUP($G1138,基本資料!$A:$J,4,0),"無")</f>
        <v>246</v>
      </c>
      <c r="C1138" s="79">
        <f>IFERROR(VLOOKUP($G1138,基本資料!$A:$J,5,0),"無")</f>
        <v>1010</v>
      </c>
      <c r="D1138" s="79">
        <f>IFERROR(VLOOKUP($G1138,基本資料!$A:$J,6,0),"無")</f>
        <v>27</v>
      </c>
      <c r="E1138" s="79">
        <f>IFERROR(VLOOKUP($G1138,基本資料!$A:$J,7,0),"無")</f>
        <v>21</v>
      </c>
      <c r="F1138" s="6">
        <f>IFERROR(VLOOKUP($G1138,基本資料!$A:$J,8,0),"無")</f>
        <v>7.6</v>
      </c>
      <c r="G1138" s="79">
        <v>5321</v>
      </c>
      <c r="H1138" s="8" t="s">
        <v>308</v>
      </c>
      <c r="I1138" s="16" t="s">
        <v>4584</v>
      </c>
      <c r="J1138" s="8" t="str">
        <f>IFERROR(VLOOKUP($G1138,今日總結!$A:$AJ,35,0),"")</f>
        <v/>
      </c>
      <c r="K1138" s="5" t="str">
        <f>IFERROR(VLOOKUP($G1138,今日總結!$A:$AJ,36,0),"")</f>
        <v/>
      </c>
      <c r="L1138" s="156" t="str">
        <f>IFERROR(VLOOKUP($G1138,今日總結!$A:$AJ,33,0),"")</f>
        <v/>
      </c>
      <c r="M1138" s="340" t="str">
        <f>IFERROR(VLOOKUP($G1138,今日總結!$A:$AJ,34,0),"")</f>
        <v/>
      </c>
      <c r="N1138" s="240" t="str">
        <f t="shared" si="213"/>
        <v/>
      </c>
      <c r="P1138" s="365">
        <f>IFERROR(VLOOKUP($G1138,融外自投!$A:$J,7,0),"無")</f>
        <v>49</v>
      </c>
      <c r="Q1138" s="79">
        <f>IFERROR(VLOOKUP($G1138,融外自投!$A:$J,9,0),"無")</f>
        <v>167</v>
      </c>
      <c r="R1138" s="346">
        <f>IFERROR(VLOOKUP($G1138,融外自投!$A:$J,8,0),"無")</f>
        <v>1058</v>
      </c>
      <c r="S1138" s="81" t="str">
        <f>IFERROR(VLOOKUP($G1138,融外自投!$A:$J,10,0),"無")</f>
        <v>無</v>
      </c>
      <c r="T1138" s="327">
        <f>IFERROR(VLOOKUP($G1138,'321買'!$A:$E,5,0),"'沒有資料'")</f>
        <v>188</v>
      </c>
      <c r="U1138" s="186">
        <f>IFERROR(VLOOKUP($G1138,基本資料!$A:$J,9,0),"無")</f>
        <v>2</v>
      </c>
      <c r="V1138" s="310">
        <f t="shared" si="211"/>
        <v>1.6064257028112448E-2</v>
      </c>
      <c r="W1138" s="94">
        <f>IFERROR(VLOOKUP($G1138,基本資料!$A:$J,10,0),"無")</f>
        <v>3.11</v>
      </c>
      <c r="X1138" s="36">
        <f>RTD("money.excel",,"5321","Price")</f>
        <v>124.5</v>
      </c>
      <c r="Y1138" s="66"/>
      <c r="Z1138" s="15">
        <f t="shared" si="208"/>
        <v>124.5</v>
      </c>
      <c r="AA1138" s="3" t="e">
        <f t="shared" si="209"/>
        <v>#DIV/0!</v>
      </c>
      <c r="AB1138" s="344">
        <f>IFERROR(VLOOKUP($G1138,基本資料!$A:$M,11,0),"無")</f>
        <v>-19.5</v>
      </c>
      <c r="AC1138" s="397">
        <f>IFERROR(VLOOKUP($G1138,基本資料!$A:$M,12,0),"無")</f>
        <v>42.83</v>
      </c>
      <c r="AD1138" s="16" t="s">
        <v>4584</v>
      </c>
      <c r="AG1138" s="33">
        <f t="shared" si="210"/>
        <v>0</v>
      </c>
      <c r="AH1138" s="43" t="s">
        <v>2410</v>
      </c>
      <c r="AI1138" s="63">
        <f t="shared" si="212"/>
        <v>1.507163323782235E-2</v>
      </c>
      <c r="AJ1138" s="284">
        <f>RTD("money.excel",,$G1138,"PredictVolume")</f>
        <v>526</v>
      </c>
      <c r="AK1138" s="399">
        <f>IFERROR(VLOOKUP($G1138,基本資料!$A:$M,13,0),"無")</f>
        <v>50.03</v>
      </c>
    </row>
    <row r="1139" spans="1:37">
      <c r="A1139" s="347">
        <f>IFERROR(VLOOKUP($G1139,基本資料!$A:$J,3,0),"無")</f>
        <v>17.27</v>
      </c>
      <c r="B1139" s="79">
        <f>IFERROR(VLOOKUP($G1139,基本資料!$A:$J,4,0),"無")</f>
        <v>65</v>
      </c>
      <c r="C1139" s="79">
        <f>IFERROR(VLOOKUP($G1139,基本資料!$A:$J,5,0),"無")</f>
        <v>-2</v>
      </c>
      <c r="D1139" s="79">
        <f>IFERROR(VLOOKUP($G1139,基本資料!$A:$J,6,0),"無")</f>
        <v>20</v>
      </c>
      <c r="E1139" s="79">
        <f>IFERROR(VLOOKUP($G1139,基本資料!$A:$J,7,0),"無")</f>
        <v>17</v>
      </c>
      <c r="F1139" s="6">
        <f>IFERROR(VLOOKUP($G1139,基本資料!$A:$J,8,0),"無")</f>
        <v>2.0499999999999998</v>
      </c>
      <c r="G1139" s="79">
        <v>5328</v>
      </c>
      <c r="H1139" s="8" t="s">
        <v>308</v>
      </c>
      <c r="I1139" s="16" t="s">
        <v>414</v>
      </c>
      <c r="J1139" s="8" t="str">
        <f>IFERROR(VLOOKUP($G1139,今日總結!$A:$AJ,35,0),"")</f>
        <v/>
      </c>
      <c r="K1139" s="5" t="str">
        <f>IFERROR(VLOOKUP($G1139,今日總結!$A:$AJ,36,0),"")</f>
        <v/>
      </c>
      <c r="L1139" s="156" t="str">
        <f>IFERROR(VLOOKUP($G1139,今日總結!$A:$AJ,33,0),"")</f>
        <v/>
      </c>
      <c r="M1139" s="340" t="str">
        <f>IFERROR(VLOOKUP($G1139,今日總結!$A:$AJ,34,0),"")</f>
        <v/>
      </c>
      <c r="N1139" s="240" t="str">
        <f t="shared" si="213"/>
        <v/>
      </c>
      <c r="P1139" s="365">
        <f>IFERROR(VLOOKUP($G1139,融外自投!$A:$J,7,0),"無")</f>
        <v>669</v>
      </c>
      <c r="Q1139" s="79" t="str">
        <f>IFERROR(VLOOKUP($G1139,融外自投!$A:$J,9,0),"無")</f>
        <v>無</v>
      </c>
      <c r="R1139" s="346">
        <f>IFERROR(VLOOKUP($G1139,融外自投!$A:$J,8,0),"無")</f>
        <v>1300</v>
      </c>
      <c r="S1139" s="81" t="str">
        <f>IFERROR(VLOOKUP($G1139,融外自投!$A:$J,10,0),"無")</f>
        <v>無</v>
      </c>
      <c r="T1139" s="327">
        <f>IFERROR(VLOOKUP($G1139,'321買'!$A:$E,5,0),"'沒有資料'")</f>
        <v>869</v>
      </c>
      <c r="U1139" s="186">
        <f>IFERROR(VLOOKUP($G1139,基本資料!$A:$J,9,0),"無")</f>
        <v>0.15</v>
      </c>
      <c r="V1139" s="310">
        <f t="shared" si="211"/>
        <v>1.4705882352941176E-2</v>
      </c>
      <c r="W1139" s="94">
        <f>IFERROR(VLOOKUP($G1139,基本資料!$A:$J,10,0),"無")</f>
        <v>0.2</v>
      </c>
      <c r="X1139" s="36">
        <f>RTD("money.excel",,"5328","Price")</f>
        <v>10.199999999999999</v>
      </c>
      <c r="Y1139" s="66"/>
      <c r="Z1139" s="15">
        <f t="shared" si="208"/>
        <v>10.199999999999999</v>
      </c>
      <c r="AA1139" s="3" t="e">
        <f t="shared" si="209"/>
        <v>#DIV/0!</v>
      </c>
      <c r="AB1139" s="344">
        <f>IFERROR(VLOOKUP($G1139,基本資料!$A:$M,11,0),"無")</f>
        <v>-45.94</v>
      </c>
      <c r="AC1139" s="397">
        <f>IFERROR(VLOOKUP($G1139,基本資料!$A:$M,12,0),"無")</f>
        <v>11.48</v>
      </c>
      <c r="AD1139" s="16" t="s">
        <v>414</v>
      </c>
      <c r="AG1139" s="33">
        <f t="shared" si="210"/>
        <v>0</v>
      </c>
      <c r="AH1139" s="43" t="s">
        <v>2411</v>
      </c>
      <c r="AI1139" s="63">
        <f t="shared" si="212"/>
        <v>1.6328894035900405E-3</v>
      </c>
      <c r="AJ1139" s="284">
        <f>RTD("money.excel",,$G1139,"PredictVolume")</f>
        <v>282</v>
      </c>
      <c r="AK1139" s="399">
        <f>IFERROR(VLOOKUP($G1139,基本資料!$A:$M,13,0),"無")</f>
        <v>21.39</v>
      </c>
    </row>
    <row r="1140" spans="1:37">
      <c r="A1140" s="347">
        <f>IFERROR(VLOOKUP($G1140,基本資料!$A:$J,3,0),"無")</f>
        <v>19.48</v>
      </c>
      <c r="B1140" s="79">
        <f>IFERROR(VLOOKUP($G1140,基本資料!$A:$J,4,0),"無")</f>
        <v>-44</v>
      </c>
      <c r="C1140" s="79">
        <f>IFERROR(VLOOKUP($G1140,基本資料!$A:$J,5,0),"無")</f>
        <v>-18</v>
      </c>
      <c r="D1140" s="79">
        <f>IFERROR(VLOOKUP($G1140,基本資料!$A:$J,6,0),"無")</f>
        <v>10</v>
      </c>
      <c r="E1140" s="79">
        <f>IFERROR(VLOOKUP($G1140,基本資料!$A:$J,7,0),"無")</f>
        <v>4</v>
      </c>
      <c r="F1140" s="6">
        <f>IFERROR(VLOOKUP($G1140,基本資料!$A:$J,8,0),"無")</f>
        <v>5.07</v>
      </c>
      <c r="G1140" s="79">
        <v>5340</v>
      </c>
      <c r="H1140" s="8" t="s">
        <v>308</v>
      </c>
      <c r="I1140" s="16" t="s">
        <v>415</v>
      </c>
      <c r="J1140" s="8" t="str">
        <f>IFERROR(VLOOKUP($G1140,今日總結!$A:$AJ,35,0),"")</f>
        <v/>
      </c>
      <c r="K1140" s="5" t="str">
        <f>IFERROR(VLOOKUP($G1140,今日總結!$A:$AJ,36,0),"")</f>
        <v/>
      </c>
      <c r="L1140" s="156" t="str">
        <f>IFERROR(VLOOKUP($G1140,今日總結!$A:$AJ,33,0),"")</f>
        <v/>
      </c>
      <c r="M1140" s="340" t="str">
        <f>IFERROR(VLOOKUP($G1140,今日總結!$A:$AJ,34,0),"")</f>
        <v/>
      </c>
      <c r="N1140" s="240" t="str">
        <f t="shared" si="213"/>
        <v/>
      </c>
      <c r="P1140" s="365" t="str">
        <f>IFERROR(VLOOKUP($G1140,融外自投!$A:$J,7,0),"無")</f>
        <v>無</v>
      </c>
      <c r="Q1140" s="79" t="str">
        <f>IFERROR(VLOOKUP($G1140,融外自投!$A:$J,9,0),"無")</f>
        <v>無</v>
      </c>
      <c r="R1140" s="346" t="str">
        <f>IFERROR(VLOOKUP($G1140,融外自投!$A:$J,8,0),"無")</f>
        <v>無</v>
      </c>
      <c r="S1140" s="81" t="str">
        <f>IFERROR(VLOOKUP($G1140,融外自投!$A:$J,10,0),"無")</f>
        <v>無</v>
      </c>
      <c r="T1140" s="327" t="str">
        <f>IFERROR(VLOOKUP($G1140,'321買'!$A:$E,5,0),"'沒有資料'")</f>
        <v>'沒有資料'</v>
      </c>
      <c r="U1140" s="186">
        <f>IFERROR(VLOOKUP($G1140,基本資料!$A:$J,9,0),"無")</f>
        <v>0</v>
      </c>
      <c r="V1140" s="310">
        <f t="shared" si="211"/>
        <v>0</v>
      </c>
      <c r="W1140" s="94">
        <f>IFERROR(VLOOKUP($G1140,基本資料!$A:$J,10,0),"無")</f>
        <v>0.27</v>
      </c>
      <c r="X1140" s="36">
        <f>RTD("money.excel",,"5340","Price")</f>
        <v>27.25</v>
      </c>
      <c r="Y1140" s="66"/>
      <c r="Z1140" s="15">
        <f t="shared" si="208"/>
        <v>27.25</v>
      </c>
      <c r="AA1140" s="3" t="e">
        <f t="shared" si="209"/>
        <v>#DIV/0!</v>
      </c>
      <c r="AB1140" s="344">
        <f>IFERROR(VLOOKUP($G1140,基本資料!$A:$M,11,0),"無")</f>
        <v>-47.05</v>
      </c>
      <c r="AC1140" s="397">
        <f>IFERROR(VLOOKUP($G1140,基本資料!$A:$M,12,0),"無")</f>
        <v>11.51</v>
      </c>
      <c r="AD1140" s="16" t="s">
        <v>415</v>
      </c>
      <c r="AG1140" s="33">
        <f t="shared" si="210"/>
        <v>0</v>
      </c>
      <c r="AH1140" s="43" t="s">
        <v>2412</v>
      </c>
      <c r="AI1140" s="63">
        <f t="shared" si="212"/>
        <v>6.1601642710472281E-5</v>
      </c>
      <c r="AJ1140" s="284">
        <f>RTD("money.excel",,$G1140,"PredictVolume")</f>
        <v>12</v>
      </c>
      <c r="AK1140" s="399">
        <f>IFERROR(VLOOKUP($G1140,基本資料!$A:$M,13,0),"無")</f>
        <v>5.89</v>
      </c>
    </row>
    <row r="1141" spans="1:37">
      <c r="A1141" s="347">
        <f>IFERROR(VLOOKUP($G1141,基本資料!$A:$J,3,0),"無")</f>
        <v>4.75</v>
      </c>
      <c r="B1141" s="79">
        <f>IFERROR(VLOOKUP($G1141,基本資料!$A:$J,4,0),"無")</f>
        <v>88</v>
      </c>
      <c r="C1141" s="79">
        <f>IFERROR(VLOOKUP($G1141,基本資料!$A:$J,5,0),"無")</f>
        <v>55</v>
      </c>
      <c r="D1141" s="79">
        <f>IFERROR(VLOOKUP($G1141,基本資料!$A:$J,6,0),"無")</f>
        <v>0</v>
      </c>
      <c r="E1141" s="79">
        <f>IFERROR(VLOOKUP($G1141,基本資料!$A:$J,7,0),"無")</f>
        <v>30</v>
      </c>
      <c r="F1141" s="6">
        <f>IFERROR(VLOOKUP($G1141,基本資料!$A:$J,8,0),"無")</f>
        <v>-519.45000000000005</v>
      </c>
      <c r="G1141" s="79">
        <v>5345</v>
      </c>
      <c r="H1141" s="8" t="s">
        <v>308</v>
      </c>
      <c r="I1141" s="16" t="s">
        <v>416</v>
      </c>
      <c r="J1141" s="8" t="str">
        <f>IFERROR(VLOOKUP($G1141,今日總結!$A:$AJ,35,0),"")</f>
        <v/>
      </c>
      <c r="K1141" s="5" t="str">
        <f>IFERROR(VLOOKUP($G1141,今日總結!$A:$AJ,36,0),"")</f>
        <v/>
      </c>
      <c r="L1141" s="156" t="str">
        <f>IFERROR(VLOOKUP($G1141,今日總結!$A:$AJ,33,0),"")</f>
        <v/>
      </c>
      <c r="M1141" s="340" t="str">
        <f>IFERROR(VLOOKUP($G1141,今日總結!$A:$AJ,34,0),"")</f>
        <v/>
      </c>
      <c r="N1141" s="240" t="str">
        <f t="shared" si="213"/>
        <v/>
      </c>
      <c r="P1141" s="365" t="str">
        <f>IFERROR(VLOOKUP($G1141,融外自投!$A:$J,7,0),"無")</f>
        <v>無</v>
      </c>
      <c r="Q1141" s="79" t="str">
        <f>IFERROR(VLOOKUP($G1141,融外自投!$A:$J,9,0),"無")</f>
        <v>無</v>
      </c>
      <c r="R1141" s="346" t="str">
        <f>IFERROR(VLOOKUP($G1141,融外自投!$A:$J,8,0),"無")</f>
        <v>無</v>
      </c>
      <c r="S1141" s="81" t="str">
        <f>IFERROR(VLOOKUP($G1141,融外自投!$A:$J,10,0),"無")</f>
        <v>無</v>
      </c>
      <c r="T1141" s="327" t="str">
        <f>IFERROR(VLOOKUP($G1141,'321買'!$A:$E,5,0),"'沒有資料'")</f>
        <v>'沒有資料'</v>
      </c>
      <c r="U1141" s="186">
        <f>IFERROR(VLOOKUP($G1141,基本資料!$A:$J,9,0),"無")</f>
        <v>0</v>
      </c>
      <c r="V1141" s="310" t="e">
        <f t="shared" si="211"/>
        <v>#VALUE!</v>
      </c>
      <c r="W1141" s="94">
        <f>IFERROR(VLOOKUP($G1141,基本資料!$A:$J,10,0),"無")</f>
        <v>-0.35</v>
      </c>
      <c r="X1141" s="36" t="str">
        <f>RTD("money.excel",,"5345","Price")</f>
        <v>無資料</v>
      </c>
      <c r="Y1141" s="66"/>
      <c r="Z1141" s="15" t="e">
        <f t="shared" si="208"/>
        <v>#VALUE!</v>
      </c>
      <c r="AA1141" s="3" t="e">
        <f t="shared" si="209"/>
        <v>#VALUE!</v>
      </c>
      <c r="AB1141" s="344">
        <f>IFERROR(VLOOKUP($G1141,基本資料!$A:$M,11,0),"無")</f>
        <v>-30.67</v>
      </c>
      <c r="AC1141" s="397">
        <f>IFERROR(VLOOKUP($G1141,基本資料!$A:$M,12,0),"無")</f>
        <v>21.26</v>
      </c>
      <c r="AD1141" s="16" t="s">
        <v>416</v>
      </c>
      <c r="AG1141" s="33">
        <f t="shared" si="210"/>
        <v>0</v>
      </c>
      <c r="AH1141" s="43" t="s">
        <v>417</v>
      </c>
      <c r="AI1141" s="63">
        <f t="shared" si="212"/>
        <v>0</v>
      </c>
      <c r="AJ1141" s="284">
        <f>RTD("money.excel",,$G1141,"PredictVolume")</f>
        <v>0</v>
      </c>
      <c r="AK1141" s="399">
        <f>IFERROR(VLOOKUP($G1141,基本資料!$A:$M,13,0),"無")</f>
        <v>0.26</v>
      </c>
    </row>
    <row r="1142" spans="1:37">
      <c r="A1142" s="347">
        <f>IFERROR(VLOOKUP($G1142,基本資料!$A:$J,3,0),"無")</f>
        <v>16.61</v>
      </c>
      <c r="B1142" s="79">
        <f>IFERROR(VLOOKUP($G1142,基本資料!$A:$J,4,0),"無")</f>
        <v>-1143</v>
      </c>
      <c r="C1142" s="79">
        <f>IFERROR(VLOOKUP($G1142,基本資料!$A:$J,5,0),"無")</f>
        <v>2</v>
      </c>
      <c r="D1142" s="79">
        <f>IFERROR(VLOOKUP($G1142,基本資料!$A:$J,6,0),"無")</f>
        <v>25</v>
      </c>
      <c r="E1142" s="79">
        <f>IFERROR(VLOOKUP($G1142,基本資料!$A:$J,7,0),"無")</f>
        <v>-29</v>
      </c>
      <c r="F1142" s="6">
        <f>IFERROR(VLOOKUP($G1142,基本資料!$A:$J,8,0),"無")</f>
        <v>-18.38</v>
      </c>
      <c r="G1142" s="79">
        <v>5355</v>
      </c>
      <c r="H1142" s="8" t="s">
        <v>308</v>
      </c>
      <c r="I1142" s="16" t="s">
        <v>4585</v>
      </c>
      <c r="J1142" s="8" t="str">
        <f>IFERROR(VLOOKUP($G1142,今日總結!$A:$AJ,35,0),"")</f>
        <v/>
      </c>
      <c r="K1142" s="5" t="str">
        <f>IFERROR(VLOOKUP($G1142,今日總結!$A:$AJ,36,0),"")</f>
        <v/>
      </c>
      <c r="L1142" s="156" t="str">
        <f>IFERROR(VLOOKUP($G1142,今日總結!$A:$AJ,33,0),"")</f>
        <v/>
      </c>
      <c r="M1142" s="340" t="str">
        <f>IFERROR(VLOOKUP($G1142,今日總結!$A:$AJ,34,0),"")</f>
        <v/>
      </c>
      <c r="N1142" s="240" t="str">
        <f t="shared" si="213"/>
        <v/>
      </c>
      <c r="P1142" s="365" t="str">
        <f>IFERROR(VLOOKUP($G1142,融外自投!$A:$J,7,0),"無")</f>
        <v>無</v>
      </c>
      <c r="Q1142" s="79" t="str">
        <f>IFERROR(VLOOKUP($G1142,融外自投!$A:$J,9,0),"無")</f>
        <v>無</v>
      </c>
      <c r="R1142" s="346" t="str">
        <f>IFERROR(VLOOKUP($G1142,融外自投!$A:$J,8,0),"無")</f>
        <v>無</v>
      </c>
      <c r="S1142" s="81" t="str">
        <f>IFERROR(VLOOKUP($G1142,融外自投!$A:$J,10,0),"無")</f>
        <v>無</v>
      </c>
      <c r="T1142" s="327" t="str">
        <f>IFERROR(VLOOKUP($G1142,'321買'!$A:$E,5,0),"'沒有資料'")</f>
        <v>'沒有資料'</v>
      </c>
      <c r="U1142" s="186">
        <f>IFERROR(VLOOKUP($G1142,基本資料!$A:$J,9,0),"無")</f>
        <v>0</v>
      </c>
      <c r="V1142" s="310">
        <f t="shared" si="211"/>
        <v>0</v>
      </c>
      <c r="W1142" s="94">
        <f>IFERROR(VLOOKUP($G1142,基本資料!$A:$J,10,0),"無")</f>
        <v>-0.67</v>
      </c>
      <c r="X1142" s="36">
        <f>RTD("money.excel",,"5355","Price")</f>
        <v>6.2</v>
      </c>
      <c r="Y1142" s="66"/>
      <c r="Z1142" s="15">
        <f t="shared" si="208"/>
        <v>6.2</v>
      </c>
      <c r="AA1142" s="3" t="e">
        <f t="shared" si="209"/>
        <v>#DIV/0!</v>
      </c>
      <c r="AB1142" s="344">
        <f>IFERROR(VLOOKUP($G1142,基本資料!$A:$M,11,0),"無")</f>
        <v>-32.19</v>
      </c>
      <c r="AC1142" s="397">
        <f>IFERROR(VLOOKUP($G1142,基本資料!$A:$M,12,0),"無")</f>
        <v>19.420000000000002</v>
      </c>
      <c r="AD1142" s="16" t="s">
        <v>4585</v>
      </c>
      <c r="AG1142" s="33">
        <f t="shared" si="210"/>
        <v>0</v>
      </c>
      <c r="AH1142" s="43" t="s">
        <v>2413</v>
      </c>
      <c r="AI1142" s="63">
        <f t="shared" si="212"/>
        <v>5.3582179409993979E-4</v>
      </c>
      <c r="AJ1142" s="284">
        <f>RTD("money.excel",,$G1142,"PredictVolume")</f>
        <v>89</v>
      </c>
      <c r="AK1142" s="399">
        <f>IFERROR(VLOOKUP($G1142,基本資料!$A:$M,13,0),"無")</f>
        <v>5.68</v>
      </c>
    </row>
    <row r="1143" spans="1:37">
      <c r="A1143" s="347">
        <f>IFERROR(VLOOKUP($G1143,基本資料!$A:$J,3,0),"無")</f>
        <v>18.010000000000002</v>
      </c>
      <c r="B1143" s="79">
        <f>IFERROR(VLOOKUP($G1143,基本資料!$A:$J,4,0),"無")</f>
        <v>389</v>
      </c>
      <c r="C1143" s="79">
        <f>IFERROR(VLOOKUP($G1143,基本資料!$A:$J,5,0),"無")</f>
        <v>1057</v>
      </c>
      <c r="D1143" s="79">
        <f>IFERROR(VLOOKUP($G1143,基本資料!$A:$J,6,0),"無")</f>
        <v>42</v>
      </c>
      <c r="E1143" s="79">
        <f>IFERROR(VLOOKUP($G1143,基本資料!$A:$J,7,0),"無")</f>
        <v>-32</v>
      </c>
      <c r="F1143" s="6">
        <f>IFERROR(VLOOKUP($G1143,基本資料!$A:$J,8,0),"無")</f>
        <v>2.11</v>
      </c>
      <c r="G1143" s="79">
        <v>5381</v>
      </c>
      <c r="H1143" s="8" t="s">
        <v>308</v>
      </c>
      <c r="I1143" s="16" t="s">
        <v>4586</v>
      </c>
      <c r="J1143" s="8" t="str">
        <f>IFERROR(VLOOKUP($G1143,今日總結!$A:$AJ,35,0),"")</f>
        <v/>
      </c>
      <c r="K1143" s="5" t="str">
        <f>IFERROR(VLOOKUP($G1143,今日總結!$A:$AJ,36,0),"")</f>
        <v/>
      </c>
      <c r="L1143" s="156" t="str">
        <f>IFERROR(VLOOKUP($G1143,今日總結!$A:$AJ,33,0),"")</f>
        <v/>
      </c>
      <c r="M1143" s="340" t="str">
        <f>IFERROR(VLOOKUP($G1143,今日總結!$A:$AJ,34,0),"")</f>
        <v/>
      </c>
      <c r="N1143" s="240" t="str">
        <f t="shared" si="213"/>
        <v/>
      </c>
      <c r="P1143" s="365" t="str">
        <f>IFERROR(VLOOKUP($G1143,融外自投!$A:$J,7,0),"無")</f>
        <v>無</v>
      </c>
      <c r="Q1143" s="79" t="str">
        <f>IFERROR(VLOOKUP($G1143,融外自投!$A:$J,9,0),"無")</f>
        <v>無</v>
      </c>
      <c r="R1143" s="346" t="str">
        <f>IFERROR(VLOOKUP($G1143,融外自投!$A:$J,8,0),"無")</f>
        <v>無</v>
      </c>
      <c r="S1143" s="81" t="str">
        <f>IFERROR(VLOOKUP($G1143,融外自投!$A:$J,10,0),"無")</f>
        <v>無</v>
      </c>
      <c r="T1143" s="327" t="str">
        <f>IFERROR(VLOOKUP($G1143,'321買'!$A:$E,5,0),"'沒有資料'")</f>
        <v>'沒有資料'</v>
      </c>
      <c r="U1143" s="186">
        <f>IFERROR(VLOOKUP($G1143,基本資料!$A:$J,9,0),"無")</f>
        <v>0</v>
      </c>
      <c r="V1143" s="310">
        <f t="shared" si="211"/>
        <v>0</v>
      </c>
      <c r="W1143" s="94">
        <f>IFERROR(VLOOKUP($G1143,基本資料!$A:$J,10,0),"無")</f>
        <v>7.0000000000000007E-2</v>
      </c>
      <c r="X1143" s="36">
        <f>RTD("money.excel",,"5381","Price")</f>
        <v>6</v>
      </c>
      <c r="Y1143" s="66"/>
      <c r="Z1143" s="15">
        <f t="shared" si="208"/>
        <v>6</v>
      </c>
      <c r="AA1143" s="3" t="e">
        <f t="shared" si="209"/>
        <v>#DIV/0!</v>
      </c>
      <c r="AB1143" s="344">
        <f>IFERROR(VLOOKUP($G1143,基本資料!$A:$M,11,0),"無")</f>
        <v>-20.58</v>
      </c>
      <c r="AC1143" s="397">
        <f>IFERROR(VLOOKUP($G1143,基本資料!$A:$M,12,0),"無")</f>
        <v>37.76</v>
      </c>
      <c r="AD1143" s="16" t="s">
        <v>4586</v>
      </c>
      <c r="AG1143" s="33">
        <f t="shared" si="210"/>
        <v>0</v>
      </c>
      <c r="AH1143" s="43" t="s">
        <v>2414</v>
      </c>
      <c r="AI1143" s="63">
        <f t="shared" si="212"/>
        <v>6.662965019433647E-5</v>
      </c>
      <c r="AJ1143" s="284">
        <f>RTD("money.excel",,$G1143,"PredictVolume")</f>
        <v>12</v>
      </c>
      <c r="AK1143" s="399">
        <f>IFERROR(VLOOKUP($G1143,基本資料!$A:$M,13,0),"無")</f>
        <v>1.32</v>
      </c>
    </row>
    <row r="1144" spans="1:37">
      <c r="A1144" s="347">
        <f>IFERROR(VLOOKUP($G1144,基本資料!$A:$J,3,0),"無")</f>
        <v>9.2899999999999991</v>
      </c>
      <c r="B1144" s="79">
        <f>IFERROR(VLOOKUP($G1144,基本資料!$A:$J,4,0),"無")</f>
        <v>38</v>
      </c>
      <c r="C1144" s="79">
        <f>IFERROR(VLOOKUP($G1144,基本資料!$A:$J,5,0),"無")</f>
        <v>29</v>
      </c>
      <c r="D1144" s="79">
        <f>IFERROR(VLOOKUP($G1144,基本資料!$A:$J,6,0),"無")</f>
        <v>3</v>
      </c>
      <c r="E1144" s="79">
        <f>IFERROR(VLOOKUP($G1144,基本資料!$A:$J,7,0),"無")</f>
        <v>1</v>
      </c>
      <c r="F1144" s="6">
        <f>IFERROR(VLOOKUP($G1144,基本資料!$A:$J,8,0),"無")</f>
        <v>14.93</v>
      </c>
      <c r="G1144" s="79">
        <v>5439</v>
      </c>
      <c r="H1144" s="8" t="s">
        <v>308</v>
      </c>
      <c r="I1144" s="166" t="s">
        <v>80</v>
      </c>
      <c r="J1144" s="8">
        <f>IFERROR(VLOOKUP($G1144,今日總結!$A:$AJ,35,0),"")</f>
        <v>0</v>
      </c>
      <c r="K1144" s="5" t="str">
        <f>IFERROR(VLOOKUP($G1144,今日總結!$A:$AJ,36,0),"")</f>
        <v>投</v>
      </c>
      <c r="L1144" s="156">
        <f>IFERROR(VLOOKUP($G1144,今日總結!$A:$AJ,33,0),"")</f>
        <v>0</v>
      </c>
      <c r="M1144" s="340">
        <f>IFERROR(VLOOKUP($G1144,今日總結!$A:$AJ,34,0),"")</f>
        <v>2</v>
      </c>
      <c r="N1144" s="240">
        <f t="shared" si="213"/>
        <v>-2</v>
      </c>
      <c r="P1144" s="365">
        <f>IFERROR(VLOOKUP($G1144,融外自投!$A:$J,7,0),"無")</f>
        <v>585</v>
      </c>
      <c r="Q1144" s="79">
        <f>IFERROR(VLOOKUP($G1144,融外自投!$A:$J,9,0),"無")</f>
        <v>789</v>
      </c>
      <c r="R1144" s="346">
        <f>IFERROR(VLOOKUP($G1144,融外自投!$A:$J,8,0),"無")</f>
        <v>1011</v>
      </c>
      <c r="S1144" s="81">
        <f>IFERROR(VLOOKUP($G1144,融外自投!$A:$J,10,0),"無")</f>
        <v>116</v>
      </c>
      <c r="T1144" s="327">
        <f>IFERROR(VLOOKUP($G1144,'321買'!$A:$E,5,0),"'沒有資料'")</f>
        <v>480</v>
      </c>
      <c r="U1144" s="186">
        <f>IFERROR(VLOOKUP($G1144,基本資料!$A:$J,9,0),"無")</f>
        <v>3.6</v>
      </c>
      <c r="V1144" s="310">
        <f t="shared" si="211"/>
        <v>7.6840981856990398E-2</v>
      </c>
      <c r="W1144" s="94">
        <f>IFERROR(VLOOKUP($G1144,基本資料!$A:$J,10,0),"無")</f>
        <v>4.6100000000000003</v>
      </c>
      <c r="X1144" s="36">
        <f>RTD("money.excel",,"5439","Price")</f>
        <v>46.85</v>
      </c>
      <c r="Y1144" s="66"/>
      <c r="Z1144" s="15">
        <f>X1144-Y1144</f>
        <v>46.85</v>
      </c>
      <c r="AA1144" s="3" t="e">
        <f>Z1144/Y1144</f>
        <v>#DIV/0!</v>
      </c>
      <c r="AB1144" s="344">
        <f>IFERROR(VLOOKUP($G1144,基本資料!$A:$M,11,0),"無")</f>
        <v>-36.68</v>
      </c>
      <c r="AC1144" s="397">
        <f>IFERROR(VLOOKUP($G1144,基本資料!$A:$M,12,0),"無")</f>
        <v>9.59</v>
      </c>
      <c r="AD1144" s="16" t="s">
        <v>80</v>
      </c>
      <c r="AG1144" s="33">
        <f>AF1144-AE1144</f>
        <v>0</v>
      </c>
      <c r="AH1144" s="117" t="s">
        <v>1044</v>
      </c>
      <c r="AI1144" s="63">
        <f t="shared" si="212"/>
        <v>3.2615715823466097E-3</v>
      </c>
      <c r="AJ1144" s="284">
        <f>RTD("money.excel",,$G1144,"PredictVolume")</f>
        <v>303</v>
      </c>
      <c r="AK1144" s="399">
        <f>IFERROR(VLOOKUP($G1144,基本資料!$A:$M,13,0),"無")</f>
        <v>8.11</v>
      </c>
    </row>
    <row r="1145" spans="1:37">
      <c r="A1145" s="347">
        <f>IFERROR(VLOOKUP($G1145,基本資料!$A:$J,3,0),"無")</f>
        <v>17.03</v>
      </c>
      <c r="B1145" s="79">
        <f>IFERROR(VLOOKUP($G1145,基本資料!$A:$J,4,0),"無")</f>
        <v>16</v>
      </c>
      <c r="C1145" s="79">
        <f>IFERROR(VLOOKUP($G1145,基本資料!$A:$J,5,0),"無")</f>
        <v>14</v>
      </c>
      <c r="D1145" s="79">
        <f>IFERROR(VLOOKUP($G1145,基本資料!$A:$J,6,0),"無")</f>
        <v>-3</v>
      </c>
      <c r="E1145" s="79">
        <f>IFERROR(VLOOKUP($G1145,基本資料!$A:$J,7,0),"無")</f>
        <v>33</v>
      </c>
      <c r="F1145" s="6">
        <f>IFERROR(VLOOKUP($G1145,基本資料!$A:$J,8,0),"無")</f>
        <v>10.91</v>
      </c>
      <c r="G1145" s="79">
        <v>5457</v>
      </c>
      <c r="H1145" s="195" t="s">
        <v>308</v>
      </c>
      <c r="I1145" s="16" t="s">
        <v>178</v>
      </c>
      <c r="J1145" s="8" t="str">
        <f>IFERROR(VLOOKUP($G1145,今日總結!$A:$AJ,35,0),"")</f>
        <v/>
      </c>
      <c r="K1145" s="5" t="str">
        <f>IFERROR(VLOOKUP($G1145,今日總結!$A:$AJ,36,0),"")</f>
        <v/>
      </c>
      <c r="L1145" s="156" t="str">
        <f>IFERROR(VLOOKUP($G1145,今日總結!$A:$AJ,33,0),"")</f>
        <v/>
      </c>
      <c r="M1145" s="340" t="str">
        <f>IFERROR(VLOOKUP($G1145,今日總結!$A:$AJ,34,0),"")</f>
        <v/>
      </c>
      <c r="N1145" s="240" t="str">
        <f t="shared" si="213"/>
        <v/>
      </c>
      <c r="P1145" s="365">
        <f>IFERROR(VLOOKUP($G1145,融外自投!$A:$J,7,0),"無")</f>
        <v>285</v>
      </c>
      <c r="Q1145" s="79">
        <f>IFERROR(VLOOKUP($G1145,融外自投!$A:$J,9,0),"無")</f>
        <v>586</v>
      </c>
      <c r="R1145" s="346">
        <f>IFERROR(VLOOKUP($G1145,融外自投!$A:$J,8,0),"無")</f>
        <v>133</v>
      </c>
      <c r="S1145" s="81">
        <f>IFERROR(VLOOKUP($G1145,融外自投!$A:$J,10,0),"無")</f>
        <v>172</v>
      </c>
      <c r="T1145" s="327">
        <f>IFERROR(VLOOKUP($G1145,'321買'!$A:$E,5,0),"'沒有資料'")</f>
        <v>634</v>
      </c>
      <c r="U1145" s="186">
        <f>IFERROR(VLOOKUP($G1145,基本資料!$A:$J,9,0),"無")</f>
        <v>2.5</v>
      </c>
      <c r="V1145" s="310">
        <f t="shared" si="211"/>
        <v>4.7080979284369114E-2</v>
      </c>
      <c r="W1145" s="94">
        <f>IFERROR(VLOOKUP($G1145,基本資料!$A:$J,10,0),"無")</f>
        <v>5.1100000000000003</v>
      </c>
      <c r="X1145" s="36">
        <f>RTD("money.excel",,"5457","Price")</f>
        <v>53.1</v>
      </c>
      <c r="Y1145" s="66"/>
      <c r="Z1145" s="15">
        <f t="shared" si="208"/>
        <v>53.1</v>
      </c>
      <c r="AA1145" s="3" t="e">
        <f t="shared" si="209"/>
        <v>#DIV/0!</v>
      </c>
      <c r="AB1145" s="344">
        <f>IFERROR(VLOOKUP($G1145,基本資料!$A:$M,11,0),"無")</f>
        <v>-47.87</v>
      </c>
      <c r="AC1145" s="397">
        <f>IFERROR(VLOOKUP($G1145,基本資料!$A:$M,12,0),"無")</f>
        <v>10.63</v>
      </c>
      <c r="AD1145" s="16" t="s">
        <v>178</v>
      </c>
      <c r="AG1145" s="33">
        <f t="shared" si="210"/>
        <v>0</v>
      </c>
      <c r="AH1145" s="119" t="s">
        <v>2541</v>
      </c>
      <c r="AI1145" s="63">
        <f t="shared" si="212"/>
        <v>1.7028772753963594E-3</v>
      </c>
      <c r="AJ1145" s="284">
        <f>RTD("money.excel",,$G1145,"PredictVolume")</f>
        <v>290</v>
      </c>
      <c r="AK1145" s="399">
        <f>IFERROR(VLOOKUP($G1145,基本資料!$A:$M,13,0),"無")</f>
        <v>9.01</v>
      </c>
    </row>
    <row r="1146" spans="1:37">
      <c r="A1146" s="347">
        <f>IFERROR(VLOOKUP($G1146,基本資料!$A:$J,3,0),"無")</f>
        <v>5.87</v>
      </c>
      <c r="B1146" s="79">
        <f>IFERROR(VLOOKUP($G1146,基本資料!$A:$J,4,0),"無")</f>
        <v>-58</v>
      </c>
      <c r="C1146" s="79">
        <f>IFERROR(VLOOKUP($G1146,基本資料!$A:$J,5,0),"無")</f>
        <v>-137</v>
      </c>
      <c r="D1146" s="79">
        <f>IFERROR(VLOOKUP($G1146,基本資料!$A:$J,6,0),"無")</f>
        <v>-45</v>
      </c>
      <c r="E1146" s="79">
        <f>IFERROR(VLOOKUP($G1146,基本資料!$A:$J,7,0),"無")</f>
        <v>-49</v>
      </c>
      <c r="F1146" s="6">
        <f>IFERROR(VLOOKUP($G1146,基本資料!$A:$J,8,0),"無")</f>
        <v>-0.26</v>
      </c>
      <c r="G1146" s="79">
        <v>5460</v>
      </c>
      <c r="H1146" s="8" t="s">
        <v>308</v>
      </c>
      <c r="I1146" s="16" t="s">
        <v>4587</v>
      </c>
      <c r="J1146" s="8" t="str">
        <f>IFERROR(VLOOKUP($G1146,今日總結!$A:$AJ,35,0),"")</f>
        <v/>
      </c>
      <c r="K1146" s="5" t="str">
        <f>IFERROR(VLOOKUP($G1146,今日總結!$A:$AJ,36,0),"")</f>
        <v/>
      </c>
      <c r="L1146" s="156" t="str">
        <f>IFERROR(VLOOKUP($G1146,今日總結!$A:$AJ,33,0),"")</f>
        <v/>
      </c>
      <c r="M1146" s="340" t="str">
        <f>IFERROR(VLOOKUP($G1146,今日總結!$A:$AJ,34,0),"")</f>
        <v/>
      </c>
      <c r="N1146" s="240" t="str">
        <f t="shared" si="213"/>
        <v/>
      </c>
      <c r="P1146" s="365">
        <f>IFERROR(VLOOKUP($G1146,融外自投!$A:$J,7,0),"無")</f>
        <v>931</v>
      </c>
      <c r="Q1146" s="79" t="str">
        <f>IFERROR(VLOOKUP($G1146,融外自投!$A:$J,9,0),"無")</f>
        <v>無</v>
      </c>
      <c r="R1146" s="346">
        <f>IFERROR(VLOOKUP($G1146,融外自投!$A:$J,8,0),"無")</f>
        <v>1364</v>
      </c>
      <c r="S1146" s="81" t="str">
        <f>IFERROR(VLOOKUP($G1146,融外自投!$A:$J,10,0),"無")</f>
        <v>無</v>
      </c>
      <c r="T1146" s="327">
        <f>IFERROR(VLOOKUP($G1146,'321買'!$A:$E,5,0),"'沒有資料'")</f>
        <v>1259</v>
      </c>
      <c r="U1146" s="186">
        <f>IFERROR(VLOOKUP($G1146,基本資料!$A:$J,9,0),"無")</f>
        <v>0</v>
      </c>
      <c r="V1146" s="310">
        <f t="shared" si="211"/>
        <v>0</v>
      </c>
      <c r="W1146" s="94">
        <f>IFERROR(VLOOKUP($G1146,基本資料!$A:$J,10,0),"無")</f>
        <v>0.01</v>
      </c>
      <c r="X1146" s="36">
        <f>RTD("money.excel",,"5460","Price")</f>
        <v>11.3</v>
      </c>
      <c r="Y1146" s="66"/>
      <c r="Z1146" s="15">
        <f t="shared" ref="Z1146:Z1210" si="218">X1146-Y1146</f>
        <v>11.3</v>
      </c>
      <c r="AA1146" s="3" t="e">
        <f t="shared" ref="AA1146:AA1210" si="219">Z1146/Y1146</f>
        <v>#DIV/0!</v>
      </c>
      <c r="AB1146" s="344">
        <f>IFERROR(VLOOKUP($G1146,基本資料!$A:$M,11,0),"無")</f>
        <v>-16.25</v>
      </c>
      <c r="AC1146" s="397">
        <f>IFERROR(VLOOKUP($G1146,基本資料!$A:$M,12,0),"無")</f>
        <v>29.05</v>
      </c>
      <c r="AD1146" s="16" t="s">
        <v>4587</v>
      </c>
      <c r="AG1146" s="33">
        <f t="shared" ref="AG1146:AG1210" si="220">AF1146-AE1146</f>
        <v>0</v>
      </c>
      <c r="AH1146" s="43" t="s">
        <v>2415</v>
      </c>
      <c r="AI1146" s="63">
        <f t="shared" si="212"/>
        <v>1.4650766609880749E-3</v>
      </c>
      <c r="AJ1146" s="284">
        <f>RTD("money.excel",,$G1146,"PredictVolume")</f>
        <v>86</v>
      </c>
      <c r="AK1146" s="399">
        <f>IFERROR(VLOOKUP($G1146,基本資料!$A:$M,13,0),"無")</f>
        <v>1.7</v>
      </c>
    </row>
    <row r="1147" spans="1:37">
      <c r="A1147" s="347">
        <f>IFERROR(VLOOKUP($G1147,基本資料!$A:$J,3,0),"無")</f>
        <v>7.1</v>
      </c>
      <c r="B1147" s="79">
        <f>IFERROR(VLOOKUP($G1147,基本資料!$A:$J,4,0),"無")</f>
        <v>307</v>
      </c>
      <c r="C1147" s="79">
        <f>IFERROR(VLOOKUP($G1147,基本資料!$A:$J,5,0),"無")</f>
        <v>55</v>
      </c>
      <c r="D1147" s="79">
        <f>IFERROR(VLOOKUP($G1147,基本資料!$A:$J,6,0),"無")</f>
        <v>14</v>
      </c>
      <c r="E1147" s="79">
        <f>IFERROR(VLOOKUP($G1147,基本資料!$A:$J,7,0),"無")</f>
        <v>-14</v>
      </c>
      <c r="F1147" s="6">
        <f>IFERROR(VLOOKUP($G1147,基本資料!$A:$J,8,0),"無")</f>
        <v>-2.67</v>
      </c>
      <c r="G1147" s="79">
        <v>5464</v>
      </c>
      <c r="H1147" s="8" t="s">
        <v>308</v>
      </c>
      <c r="I1147" s="16" t="s">
        <v>419</v>
      </c>
      <c r="J1147" s="8" t="str">
        <f>IFERROR(VLOOKUP($G1147,今日總結!$A:$AJ,35,0),"")</f>
        <v/>
      </c>
      <c r="K1147" s="5" t="str">
        <f>IFERROR(VLOOKUP($G1147,今日總結!$A:$AJ,36,0),"")</f>
        <v/>
      </c>
      <c r="L1147" s="156" t="str">
        <f>IFERROR(VLOOKUP($G1147,今日總結!$A:$AJ,33,0),"")</f>
        <v/>
      </c>
      <c r="M1147" s="340" t="str">
        <f>IFERROR(VLOOKUP($G1147,今日總結!$A:$AJ,34,0),"")</f>
        <v/>
      </c>
      <c r="N1147" s="240" t="str">
        <f t="shared" si="213"/>
        <v/>
      </c>
      <c r="P1147" s="365">
        <f>IFERROR(VLOOKUP($G1147,融外自投!$A:$J,7,0),"無")</f>
        <v>727</v>
      </c>
      <c r="Q1147" s="79">
        <f>IFERROR(VLOOKUP($G1147,融外自投!$A:$J,9,0),"無")</f>
        <v>683</v>
      </c>
      <c r="R1147" s="346">
        <f>IFERROR(VLOOKUP($G1147,融外自投!$A:$J,8,0),"無")</f>
        <v>1351</v>
      </c>
      <c r="S1147" s="81" t="str">
        <f>IFERROR(VLOOKUP($G1147,融外自投!$A:$J,10,0),"無")</f>
        <v>無</v>
      </c>
      <c r="T1147" s="327">
        <f>IFERROR(VLOOKUP($G1147,'321買'!$A:$E,5,0),"'沒有資料'")</f>
        <v>1198</v>
      </c>
      <c r="U1147" s="186">
        <f>IFERROR(VLOOKUP($G1147,基本資料!$A:$J,9,0),"無")</f>
        <v>2</v>
      </c>
      <c r="V1147" s="310">
        <f t="shared" si="211"/>
        <v>9.3676814988290391E-2</v>
      </c>
      <c r="W1147" s="94">
        <f>IFERROR(VLOOKUP($G1147,基本資料!$A:$J,10,0),"無")</f>
        <v>4.8099999999999996</v>
      </c>
      <c r="X1147" s="36">
        <f>RTD("money.excel",,"5464","Price")</f>
        <v>21.35</v>
      </c>
      <c r="Y1147" s="66"/>
      <c r="Z1147" s="15">
        <f t="shared" si="218"/>
        <v>21.35</v>
      </c>
      <c r="AA1147" s="3" t="e">
        <f t="shared" si="219"/>
        <v>#DIV/0!</v>
      </c>
      <c r="AB1147" s="344">
        <f>IFERROR(VLOOKUP($G1147,基本資料!$A:$M,11,0),"無")</f>
        <v>-52.9</v>
      </c>
      <c r="AC1147" s="397">
        <f>IFERROR(VLOOKUP($G1147,基本資料!$A:$M,12,0),"無")</f>
        <v>21.65</v>
      </c>
      <c r="AD1147" s="16" t="s">
        <v>419</v>
      </c>
      <c r="AG1147" s="33">
        <f t="shared" si="220"/>
        <v>0</v>
      </c>
      <c r="AH1147" s="43" t="s">
        <v>1044</v>
      </c>
      <c r="AI1147" s="63">
        <f t="shared" si="212"/>
        <v>5.6338028169014088E-4</v>
      </c>
      <c r="AJ1147" s="284">
        <f>RTD("money.excel",,$G1147,"PredictVolume")</f>
        <v>40</v>
      </c>
      <c r="AK1147" s="399">
        <f>IFERROR(VLOOKUP($G1147,基本資料!$A:$M,13,0),"無")</f>
        <v>15.12</v>
      </c>
    </row>
    <row r="1148" spans="1:37">
      <c r="A1148" s="347">
        <f>IFERROR(VLOOKUP($G1148,基本資料!$A:$J,3,0),"無")</f>
        <v>52.84</v>
      </c>
      <c r="B1148" s="79">
        <f>IFERROR(VLOOKUP($G1148,基本資料!$A:$J,4,0),"無")</f>
        <v>43</v>
      </c>
      <c r="C1148" s="79">
        <f>IFERROR(VLOOKUP($G1148,基本資料!$A:$J,5,0),"無")</f>
        <v>23</v>
      </c>
      <c r="D1148" s="79">
        <f>IFERROR(VLOOKUP($G1148,基本資料!$A:$J,6,0),"無")</f>
        <v>-21</v>
      </c>
      <c r="E1148" s="79">
        <f>IFERROR(VLOOKUP($G1148,基本資料!$A:$J,7,0),"無")</f>
        <v>-23</v>
      </c>
      <c r="F1148" s="6">
        <f>IFERROR(VLOOKUP($G1148,基本資料!$A:$J,8,0),"無")</f>
        <v>11.59</v>
      </c>
      <c r="G1148" s="79">
        <v>5469</v>
      </c>
      <c r="H1148" s="195" t="s">
        <v>308</v>
      </c>
      <c r="I1148" s="22" t="s">
        <v>237</v>
      </c>
      <c r="J1148" s="8" t="str">
        <f>IFERROR(VLOOKUP($G1148,今日總結!$A:$AJ,35,0),"")</f>
        <v/>
      </c>
      <c r="K1148" s="5" t="str">
        <f>IFERROR(VLOOKUP($G1148,今日總結!$A:$AJ,36,0),"")</f>
        <v/>
      </c>
      <c r="L1148" s="156" t="str">
        <f>IFERROR(VLOOKUP($G1148,今日總結!$A:$AJ,33,0),"")</f>
        <v/>
      </c>
      <c r="M1148" s="340" t="str">
        <f>IFERROR(VLOOKUP($G1148,今日總結!$A:$AJ,34,0),"")</f>
        <v/>
      </c>
      <c r="N1148" s="240" t="str">
        <f t="shared" ref="N1148:N1211" si="221">IFERROR(L1148-M1148,"")</f>
        <v/>
      </c>
      <c r="P1148" s="365">
        <f>IFERROR(VLOOKUP($G1148,融外自投!$A:$J,7,0),"無")</f>
        <v>537</v>
      </c>
      <c r="Q1148" s="79">
        <f>IFERROR(VLOOKUP($G1148,融外自投!$A:$J,9,0),"無")</f>
        <v>978</v>
      </c>
      <c r="R1148" s="346">
        <f>IFERROR(VLOOKUP($G1148,融外自投!$A:$J,8,0),"無")</f>
        <v>450</v>
      </c>
      <c r="S1148" s="81">
        <f>IFERROR(VLOOKUP($G1148,融外自投!$A:$J,10,0),"無")</f>
        <v>278</v>
      </c>
      <c r="T1148" s="327">
        <f>IFERROR(VLOOKUP($G1148,'321買'!$A:$E,5,0),"'沒有資料'")</f>
        <v>729</v>
      </c>
      <c r="U1148" s="186">
        <f>IFERROR(VLOOKUP($G1148,基本資料!$A:$J,9,0),"無")</f>
        <v>2.2000000000000002</v>
      </c>
      <c r="V1148" s="310">
        <f t="shared" ref="V1148:V1211" si="222">$U1148/$X1148</f>
        <v>6.358381502890173E-2</v>
      </c>
      <c r="W1148" s="94">
        <f>IFERROR(VLOOKUP($G1148,基本資料!$A:$J,10,0),"無")</f>
        <v>7.05</v>
      </c>
      <c r="X1148" s="36">
        <f>RTD("money.excel",,"5469","Price")</f>
        <v>34.6</v>
      </c>
      <c r="Y1148" s="66"/>
      <c r="Z1148" s="15">
        <f t="shared" si="218"/>
        <v>34.6</v>
      </c>
      <c r="AA1148" s="35" t="e">
        <f t="shared" si="219"/>
        <v>#DIV/0!</v>
      </c>
      <c r="AB1148" s="344">
        <f>IFERROR(VLOOKUP($G1148,基本資料!$A:$M,11,0),"無")</f>
        <v>-30.86</v>
      </c>
      <c r="AC1148" s="397">
        <f>IFERROR(VLOOKUP($G1148,基本資料!$A:$M,12,0),"無")</f>
        <v>7.07</v>
      </c>
      <c r="AD1148" s="22" t="s">
        <v>237</v>
      </c>
      <c r="AG1148" s="33">
        <f t="shared" si="220"/>
        <v>0</v>
      </c>
      <c r="AH1148" s="117" t="s">
        <v>2593</v>
      </c>
      <c r="AI1148" s="63">
        <f t="shared" ref="AI1148:AI1211" si="223">AJ1148/(A1148*10000)</f>
        <v>2.1536714610143831E-3</v>
      </c>
      <c r="AJ1148" s="284">
        <f>RTD("money.excel",,$G1148,"PredictVolume")</f>
        <v>1138</v>
      </c>
      <c r="AK1148" s="399">
        <f>IFERROR(VLOOKUP($G1148,基本資料!$A:$M,13,0),"無")</f>
        <v>3.86</v>
      </c>
    </row>
    <row r="1149" spans="1:37">
      <c r="A1149" s="347">
        <f>IFERROR(VLOOKUP($G1149,基本資料!$A:$J,3,0),"無")</f>
        <v>12.71</v>
      </c>
      <c r="B1149" s="79">
        <f>IFERROR(VLOOKUP($G1149,基本資料!$A:$J,4,0),"無")</f>
        <v>587</v>
      </c>
      <c r="C1149" s="79">
        <f>IFERROR(VLOOKUP($G1149,基本資料!$A:$J,5,0),"無")</f>
        <v>441</v>
      </c>
      <c r="D1149" s="79">
        <f>IFERROR(VLOOKUP($G1149,基本資料!$A:$J,6,0),"無")</f>
        <v>33</v>
      </c>
      <c r="E1149" s="79">
        <f>IFERROR(VLOOKUP($G1149,基本資料!$A:$J,7,0),"無")</f>
        <v>-63</v>
      </c>
      <c r="F1149" s="6">
        <f>IFERROR(VLOOKUP($G1149,基本資料!$A:$J,8,0),"無")</f>
        <v>22.02</v>
      </c>
      <c r="G1149" s="79">
        <v>5475</v>
      </c>
      <c r="H1149" s="8" t="s">
        <v>308</v>
      </c>
      <c r="I1149" s="16" t="s">
        <v>420</v>
      </c>
      <c r="J1149" s="8" t="str">
        <f>IFERROR(VLOOKUP($G1149,今日總結!$A:$AJ,35,0),"")</f>
        <v/>
      </c>
      <c r="K1149" s="5" t="str">
        <f>IFERROR(VLOOKUP($G1149,今日總結!$A:$AJ,36,0),"")</f>
        <v/>
      </c>
      <c r="L1149" s="156" t="str">
        <f>IFERROR(VLOOKUP($G1149,今日總結!$A:$AJ,33,0),"")</f>
        <v/>
      </c>
      <c r="M1149" s="340" t="str">
        <f>IFERROR(VLOOKUP($G1149,今日總結!$A:$AJ,34,0),"")</f>
        <v/>
      </c>
      <c r="N1149" s="240" t="str">
        <f t="shared" si="221"/>
        <v/>
      </c>
      <c r="P1149" s="365" t="str">
        <f>IFERROR(VLOOKUP($G1149,融外自投!$A:$J,7,0),"無")</f>
        <v>無</v>
      </c>
      <c r="Q1149" s="79" t="str">
        <f>IFERROR(VLOOKUP($G1149,融外自投!$A:$J,9,0),"無")</f>
        <v>無</v>
      </c>
      <c r="R1149" s="346" t="str">
        <f>IFERROR(VLOOKUP($G1149,融外自投!$A:$J,8,0),"無")</f>
        <v>無</v>
      </c>
      <c r="S1149" s="81" t="str">
        <f>IFERROR(VLOOKUP($G1149,融外自投!$A:$J,10,0),"無")</f>
        <v>無</v>
      </c>
      <c r="T1149" s="327" t="str">
        <f>IFERROR(VLOOKUP($G1149,'321買'!$A:$E,5,0),"'沒有資料'")</f>
        <v>'沒有資料'</v>
      </c>
      <c r="U1149" s="186">
        <f>IFERROR(VLOOKUP($G1149,基本資料!$A:$J,9,0),"無")</f>
        <v>0</v>
      </c>
      <c r="V1149" s="310">
        <f t="shared" si="222"/>
        <v>0</v>
      </c>
      <c r="W1149" s="94">
        <f>IFERROR(VLOOKUP($G1149,基本資料!$A:$J,10,0),"無")</f>
        <v>3.73</v>
      </c>
      <c r="X1149" s="36">
        <f>RTD("money.excel",,"5475","Price")</f>
        <v>13.45</v>
      </c>
      <c r="Y1149" s="66"/>
      <c r="Z1149" s="15">
        <f t="shared" si="218"/>
        <v>13.45</v>
      </c>
      <c r="AA1149" s="3" t="e">
        <f t="shared" si="219"/>
        <v>#DIV/0!</v>
      </c>
      <c r="AB1149" s="344">
        <f>IFERROR(VLOOKUP($G1149,基本資料!$A:$M,11,0),"無")</f>
        <v>-72.040000000000006</v>
      </c>
      <c r="AC1149" s="397">
        <f>IFERROR(VLOOKUP($G1149,基本資料!$A:$M,12,0),"無")</f>
        <v>5.3</v>
      </c>
      <c r="AD1149" s="16" t="s">
        <v>420</v>
      </c>
      <c r="AG1149" s="33">
        <f t="shared" si="220"/>
        <v>0</v>
      </c>
      <c r="AH1149" s="43" t="s">
        <v>1053</v>
      </c>
      <c r="AI1149" s="63">
        <f t="shared" si="223"/>
        <v>1.4437450826121162E-2</v>
      </c>
      <c r="AJ1149" s="284">
        <f>RTD("money.excel",,$G1149,"PredictVolume")</f>
        <v>1835</v>
      </c>
      <c r="AK1149" s="399">
        <f>IFERROR(VLOOKUP($G1149,基本資料!$A:$M,13,0),"無")</f>
        <v>39.18</v>
      </c>
    </row>
    <row r="1150" spans="1:37">
      <c r="A1150" s="347">
        <f>IFERROR(VLOOKUP($G1150,基本資料!$A:$J,3,0),"無")</f>
        <v>9.15</v>
      </c>
      <c r="B1150" s="79">
        <f>IFERROR(VLOOKUP($G1150,基本資料!$A:$J,4,0),"無")</f>
        <v>124</v>
      </c>
      <c r="C1150" s="79">
        <f>IFERROR(VLOOKUP($G1150,基本資料!$A:$J,5,0),"無")</f>
        <v>124</v>
      </c>
      <c r="D1150" s="79">
        <f>IFERROR(VLOOKUP($G1150,基本資料!$A:$J,6,0),"無")</f>
        <v>20</v>
      </c>
      <c r="E1150" s="79">
        <f>IFERROR(VLOOKUP($G1150,基本資料!$A:$J,7,0),"無")</f>
        <v>5</v>
      </c>
      <c r="F1150" s="6">
        <f>IFERROR(VLOOKUP($G1150,基本資料!$A:$J,8,0),"無")</f>
        <v>0.78</v>
      </c>
      <c r="G1150" s="79">
        <v>5488</v>
      </c>
      <c r="H1150" s="8" t="s">
        <v>308</v>
      </c>
      <c r="I1150" s="16" t="s">
        <v>421</v>
      </c>
      <c r="J1150" s="8" t="str">
        <f>IFERROR(VLOOKUP($G1150,今日總結!$A:$AJ,35,0),"")</f>
        <v/>
      </c>
      <c r="K1150" s="5" t="str">
        <f>IFERROR(VLOOKUP($G1150,今日總結!$A:$AJ,36,0),"")</f>
        <v/>
      </c>
      <c r="L1150" s="156" t="str">
        <f>IFERROR(VLOOKUP($G1150,今日總結!$A:$AJ,33,0),"")</f>
        <v/>
      </c>
      <c r="M1150" s="340" t="str">
        <f>IFERROR(VLOOKUP($G1150,今日總結!$A:$AJ,34,0),"")</f>
        <v/>
      </c>
      <c r="N1150" s="240" t="str">
        <f t="shared" si="221"/>
        <v/>
      </c>
      <c r="P1150" s="365" t="str">
        <f>IFERROR(VLOOKUP($G1150,融外自投!$A:$J,7,0),"無")</f>
        <v>無</v>
      </c>
      <c r="Q1150" s="79" t="str">
        <f>IFERROR(VLOOKUP($G1150,融外自投!$A:$J,9,0),"無")</f>
        <v>無</v>
      </c>
      <c r="R1150" s="346" t="str">
        <f>IFERROR(VLOOKUP($G1150,融外自投!$A:$J,8,0),"無")</f>
        <v>無</v>
      </c>
      <c r="S1150" s="81" t="str">
        <f>IFERROR(VLOOKUP($G1150,融外自投!$A:$J,10,0),"無")</f>
        <v>無</v>
      </c>
      <c r="T1150" s="327" t="str">
        <f>IFERROR(VLOOKUP($G1150,'321買'!$A:$E,5,0),"'沒有資料'")</f>
        <v>'沒有資料'</v>
      </c>
      <c r="U1150" s="186">
        <f>IFERROR(VLOOKUP($G1150,基本資料!$A:$J,9,0),"無")</f>
        <v>0</v>
      </c>
      <c r="V1150" s="310">
        <f t="shared" si="222"/>
        <v>0</v>
      </c>
      <c r="W1150" s="94">
        <f>IFERROR(VLOOKUP($G1150,基本資料!$A:$J,10,0),"無")</f>
        <v>0.08</v>
      </c>
      <c r="X1150" s="36">
        <f>RTD("money.excel",,"5488","Price")</f>
        <v>7.79</v>
      </c>
      <c r="Y1150" s="66"/>
      <c r="Z1150" s="15">
        <f t="shared" si="218"/>
        <v>7.79</v>
      </c>
      <c r="AA1150" s="3" t="e">
        <f t="shared" si="219"/>
        <v>#DIV/0!</v>
      </c>
      <c r="AB1150" s="344">
        <f>IFERROR(VLOOKUP($G1150,基本資料!$A:$M,11,0),"無")</f>
        <v>-27.85</v>
      </c>
      <c r="AC1150" s="397">
        <f>IFERROR(VLOOKUP($G1150,基本資料!$A:$M,12,0),"無")</f>
        <v>22.9</v>
      </c>
      <c r="AD1150" s="16" t="s">
        <v>421</v>
      </c>
      <c r="AG1150" s="33">
        <f t="shared" si="220"/>
        <v>0</v>
      </c>
      <c r="AH1150" s="43" t="s">
        <v>2416</v>
      </c>
      <c r="AI1150" s="63">
        <f t="shared" si="223"/>
        <v>2.1092896174863388E-3</v>
      </c>
      <c r="AJ1150" s="284">
        <f>RTD("money.excel",,$G1150,"PredictVolume")</f>
        <v>193</v>
      </c>
      <c r="AK1150" s="399">
        <f>IFERROR(VLOOKUP($G1150,基本資料!$A:$M,13,0),"無")</f>
        <v>6.16</v>
      </c>
    </row>
    <row r="1151" spans="1:37">
      <c r="A1151" s="347">
        <f>IFERROR(VLOOKUP($G1151,基本資料!$A:$J,3,0),"無")</f>
        <v>18.989999999999998</v>
      </c>
      <c r="B1151" s="79">
        <f>IFERROR(VLOOKUP($G1151,基本資料!$A:$J,4,0),"無")</f>
        <v>-57</v>
      </c>
      <c r="C1151" s="79">
        <f>IFERROR(VLOOKUP($G1151,基本資料!$A:$J,5,0),"無")</f>
        <v>-23</v>
      </c>
      <c r="D1151" s="79">
        <f>IFERROR(VLOOKUP($G1151,基本資料!$A:$J,6,0),"無")</f>
        <v>28</v>
      </c>
      <c r="E1151" s="79">
        <f>IFERROR(VLOOKUP($G1151,基本資料!$A:$J,7,0),"無")</f>
        <v>0</v>
      </c>
      <c r="F1151" s="6">
        <f>IFERROR(VLOOKUP($G1151,基本資料!$A:$J,8,0),"無")</f>
        <v>1.79</v>
      </c>
      <c r="G1151" s="79">
        <v>5498</v>
      </c>
      <c r="H1151" s="8" t="s">
        <v>308</v>
      </c>
      <c r="I1151" s="16" t="s">
        <v>422</v>
      </c>
      <c r="J1151" s="8" t="str">
        <f>IFERROR(VLOOKUP($G1151,今日總結!$A:$AJ,35,0),"")</f>
        <v>外</v>
      </c>
      <c r="K1151" s="5">
        <f>IFERROR(VLOOKUP($G1151,今日總結!$A:$AJ,36,0),"")</f>
        <v>0</v>
      </c>
      <c r="L1151" s="156">
        <f>IFERROR(VLOOKUP($G1151,今日總結!$A:$AJ,33,0),"")</f>
        <v>1</v>
      </c>
      <c r="M1151" s="340">
        <f>IFERROR(VLOOKUP($G1151,今日總結!$A:$AJ,34,0),"")</f>
        <v>0</v>
      </c>
      <c r="N1151" s="240">
        <f t="shared" si="221"/>
        <v>1</v>
      </c>
      <c r="P1151" s="365">
        <f>IFERROR(VLOOKUP($G1151,融外自投!$A:$J,7,0),"無")</f>
        <v>623</v>
      </c>
      <c r="Q1151" s="79" t="str">
        <f>IFERROR(VLOOKUP($G1151,融外自投!$A:$J,9,0),"無")</f>
        <v>無</v>
      </c>
      <c r="R1151" s="346">
        <f>IFERROR(VLOOKUP($G1151,融外自投!$A:$J,8,0),"無")</f>
        <v>1202</v>
      </c>
      <c r="S1151" s="81" t="str">
        <f>IFERROR(VLOOKUP($G1151,融外自投!$A:$J,10,0),"無")</f>
        <v>無</v>
      </c>
      <c r="T1151" s="327">
        <f>IFERROR(VLOOKUP($G1151,'321買'!$A:$E,5,0),"'沒有資料'")</f>
        <v>802</v>
      </c>
      <c r="U1151" s="186">
        <f>IFERROR(VLOOKUP($G1151,基本資料!$A:$J,9,0),"無")</f>
        <v>0</v>
      </c>
      <c r="V1151" s="310">
        <f t="shared" si="222"/>
        <v>0</v>
      </c>
      <c r="W1151" s="94">
        <f>IFERROR(VLOOKUP($G1151,基本資料!$A:$J,10,0),"無")</f>
        <v>0.18</v>
      </c>
      <c r="X1151" s="36">
        <f>RTD("money.excel",,"5498","Price")</f>
        <v>10</v>
      </c>
      <c r="Y1151" s="66"/>
      <c r="Z1151" s="15">
        <f t="shared" si="218"/>
        <v>10</v>
      </c>
      <c r="AA1151" s="3" t="e">
        <f t="shared" si="219"/>
        <v>#DIV/0!</v>
      </c>
      <c r="AB1151" s="344">
        <f>IFERROR(VLOOKUP($G1151,基本資料!$A:$M,11,0),"無")</f>
        <v>-51.8</v>
      </c>
      <c r="AC1151" s="397">
        <f>IFERROR(VLOOKUP($G1151,基本資料!$A:$M,12,0),"無")</f>
        <v>6.16</v>
      </c>
      <c r="AD1151" s="16" t="s">
        <v>422</v>
      </c>
      <c r="AG1151" s="33">
        <f t="shared" si="220"/>
        <v>0</v>
      </c>
      <c r="AH1151" s="43" t="s">
        <v>423</v>
      </c>
      <c r="AI1151" s="63">
        <f t="shared" si="223"/>
        <v>7.7935755660874157E-4</v>
      </c>
      <c r="AJ1151" s="284">
        <f>RTD("money.excel",,$G1151,"PredictVolume")</f>
        <v>148</v>
      </c>
      <c r="AK1151" s="399">
        <f>IFERROR(VLOOKUP($G1151,基本資料!$A:$M,13,0),"無")</f>
        <v>17.02</v>
      </c>
    </row>
    <row r="1152" spans="1:37">
      <c r="A1152" s="347">
        <f>IFERROR(VLOOKUP($G1152,基本資料!$A:$J,3,0),"無")</f>
        <v>15.98</v>
      </c>
      <c r="B1152" s="79">
        <f>IFERROR(VLOOKUP($G1152,基本資料!$A:$J,4,0),"無")</f>
        <v>389</v>
      </c>
      <c r="C1152" s="79">
        <f>IFERROR(VLOOKUP($G1152,基本資料!$A:$J,5,0),"無")</f>
        <v>104</v>
      </c>
      <c r="D1152" s="79">
        <f>IFERROR(VLOOKUP($G1152,基本資料!$A:$J,6,0),"無")</f>
        <v>47</v>
      </c>
      <c r="E1152" s="79">
        <f>IFERROR(VLOOKUP($G1152,基本資料!$A:$J,7,0),"無")</f>
        <v>-1</v>
      </c>
      <c r="F1152" s="6">
        <f>IFERROR(VLOOKUP($G1152,基本資料!$A:$J,8,0),"無")</f>
        <v>5.23</v>
      </c>
      <c r="G1152" s="79">
        <v>6108</v>
      </c>
      <c r="H1152" s="8" t="s">
        <v>308</v>
      </c>
      <c r="I1152" s="22" t="s">
        <v>4588</v>
      </c>
      <c r="J1152" s="8">
        <f>IFERROR(VLOOKUP($G1152,今日總結!$A:$AJ,35,0),"")</f>
        <v>0</v>
      </c>
      <c r="K1152" s="5">
        <f>IFERROR(VLOOKUP($G1152,今日總結!$A:$AJ,36,0),"")</f>
        <v>0</v>
      </c>
      <c r="L1152" s="156">
        <f>IFERROR(VLOOKUP($G1152,今日總結!$A:$AJ,33,0),"")</f>
        <v>0</v>
      </c>
      <c r="M1152" s="340">
        <f>IFERROR(VLOOKUP($G1152,今日總結!$A:$AJ,34,0),"")</f>
        <v>1</v>
      </c>
      <c r="N1152" s="240">
        <f t="shared" si="221"/>
        <v>-1</v>
      </c>
      <c r="P1152" s="365">
        <f>IFERROR(VLOOKUP($G1152,融外自投!$A:$J,7,0),"無")</f>
        <v>813</v>
      </c>
      <c r="Q1152" s="79">
        <f>IFERROR(VLOOKUP($G1152,融外自投!$A:$J,9,0),"無")</f>
        <v>852</v>
      </c>
      <c r="R1152" s="346">
        <f>IFERROR(VLOOKUP($G1152,融外自投!$A:$J,8,0),"無")</f>
        <v>853</v>
      </c>
      <c r="S1152" s="81" t="str">
        <f>IFERROR(VLOOKUP($G1152,融外自投!$A:$J,10,0),"無")</f>
        <v>無</v>
      </c>
      <c r="T1152" s="327">
        <f>IFERROR(VLOOKUP($G1152,'321買'!$A:$E,5,0),"'沒有資料'")</f>
        <v>1126</v>
      </c>
      <c r="U1152" s="186">
        <f>IFERROR(VLOOKUP($G1152,基本資料!$A:$J,9,0),"無")</f>
        <v>1.05</v>
      </c>
      <c r="V1152" s="310">
        <f t="shared" si="222"/>
        <v>5.4687500000000007E-2</v>
      </c>
      <c r="W1152" s="94">
        <f>IFERROR(VLOOKUP($G1152,基本資料!$A:$J,10,0),"無")</f>
        <v>1.5</v>
      </c>
      <c r="X1152" s="36">
        <f>RTD("money.excel",,"6108","Price")</f>
        <v>19.2</v>
      </c>
      <c r="Y1152" s="66"/>
      <c r="Z1152" s="15">
        <f t="shared" si="218"/>
        <v>19.2</v>
      </c>
      <c r="AA1152" s="35" t="e">
        <f t="shared" si="219"/>
        <v>#DIV/0!</v>
      </c>
      <c r="AB1152" s="344">
        <f>IFERROR(VLOOKUP($G1152,基本資料!$A:$M,11,0),"無")</f>
        <v>-27.13</v>
      </c>
      <c r="AC1152" s="397">
        <f>IFERROR(VLOOKUP($G1152,基本資料!$A:$M,12,0),"無")</f>
        <v>29.3</v>
      </c>
      <c r="AD1152" s="22" t="s">
        <v>4588</v>
      </c>
      <c r="AG1152" s="33">
        <f t="shared" si="220"/>
        <v>0</v>
      </c>
      <c r="AH1152" s="43" t="s">
        <v>2594</v>
      </c>
      <c r="AI1152" s="63">
        <f t="shared" si="223"/>
        <v>1.6082603254067584E-3</v>
      </c>
      <c r="AJ1152" s="284">
        <f>RTD("money.excel",,$G1152,"PredictVolume")</f>
        <v>257</v>
      </c>
      <c r="AK1152" s="399">
        <f>IFERROR(VLOOKUP($G1152,基本資料!$A:$M,13,0),"無")</f>
        <v>9.8000000000000007</v>
      </c>
    </row>
    <row r="1153" spans="1:37">
      <c r="A1153" s="347">
        <f>IFERROR(VLOOKUP($G1153,基本資料!$A:$J,3,0),"無")</f>
        <v>4.3899999999999997</v>
      </c>
      <c r="B1153" s="79">
        <f>IFERROR(VLOOKUP($G1153,基本資料!$A:$J,4,0),"無")</f>
        <v>-37</v>
      </c>
      <c r="C1153" s="79">
        <f>IFERROR(VLOOKUP($G1153,基本資料!$A:$J,5,0),"無")</f>
        <v>-36</v>
      </c>
      <c r="D1153" s="79">
        <f>IFERROR(VLOOKUP($G1153,基本資料!$A:$J,6,0),"無")</f>
        <v>-39</v>
      </c>
      <c r="E1153" s="79">
        <f>IFERROR(VLOOKUP($G1153,基本資料!$A:$J,7,0),"無")</f>
        <v>-37</v>
      </c>
      <c r="F1153" s="6">
        <f>IFERROR(VLOOKUP($G1153,基本資料!$A:$J,8,0),"無")</f>
        <v>3.63</v>
      </c>
      <c r="G1153" s="79">
        <v>6114</v>
      </c>
      <c r="H1153" s="8" t="s">
        <v>308</v>
      </c>
      <c r="I1153" s="16" t="s">
        <v>4589</v>
      </c>
      <c r="J1153" s="8" t="str">
        <f>IFERROR(VLOOKUP($G1153,今日總結!$A:$AJ,35,0),"")</f>
        <v/>
      </c>
      <c r="K1153" s="5" t="str">
        <f>IFERROR(VLOOKUP($G1153,今日總結!$A:$AJ,36,0),"")</f>
        <v/>
      </c>
      <c r="L1153" s="156" t="str">
        <f>IFERROR(VLOOKUP($G1153,今日總結!$A:$AJ,33,0),"")</f>
        <v/>
      </c>
      <c r="M1153" s="340" t="str">
        <f>IFERROR(VLOOKUP($G1153,今日總結!$A:$AJ,34,0),"")</f>
        <v/>
      </c>
      <c r="N1153" s="240" t="str">
        <f t="shared" si="221"/>
        <v/>
      </c>
      <c r="P1153" s="365">
        <f>IFERROR(VLOOKUP($G1153,融外自投!$A:$J,7,0),"無")</f>
        <v>538</v>
      </c>
      <c r="Q1153" s="79" t="str">
        <f>IFERROR(VLOOKUP($G1153,融外自投!$A:$J,9,0),"無")</f>
        <v>無</v>
      </c>
      <c r="R1153" s="346">
        <f>IFERROR(VLOOKUP($G1153,融外自投!$A:$J,8,0),"無")</f>
        <v>1351</v>
      </c>
      <c r="S1153" s="81" t="str">
        <f>IFERROR(VLOOKUP($G1153,融外自投!$A:$J,10,0),"無")</f>
        <v>無</v>
      </c>
      <c r="T1153" s="327">
        <f>IFERROR(VLOOKUP($G1153,'321買'!$A:$E,5,0),"'沒有資料'")</f>
        <v>1161</v>
      </c>
      <c r="U1153" s="186">
        <f>IFERROR(VLOOKUP($G1153,基本資料!$A:$J,9,0),"無")</f>
        <v>0.5</v>
      </c>
      <c r="V1153" s="310">
        <f t="shared" si="222"/>
        <v>2.3310023310023312E-2</v>
      </c>
      <c r="W1153" s="94">
        <f>IFERROR(VLOOKUP($G1153,基本資料!$A:$J,10,0),"無")</f>
        <v>0.33</v>
      </c>
      <c r="X1153" s="36">
        <f>RTD("money.excel",,"6114","Price")</f>
        <v>21.45</v>
      </c>
      <c r="Y1153" s="66"/>
      <c r="Z1153" s="15">
        <f t="shared" si="218"/>
        <v>21.45</v>
      </c>
      <c r="AA1153" s="3" t="e">
        <f t="shared" si="219"/>
        <v>#DIV/0!</v>
      </c>
      <c r="AB1153" s="344">
        <f>IFERROR(VLOOKUP($G1153,基本資料!$A:$M,11,0),"無")</f>
        <v>-22.73</v>
      </c>
      <c r="AC1153" s="397">
        <f>IFERROR(VLOOKUP($G1153,基本資料!$A:$M,12,0),"無")</f>
        <v>26.57</v>
      </c>
      <c r="AD1153" s="16" t="s">
        <v>4589</v>
      </c>
      <c r="AG1153" s="33">
        <f t="shared" si="220"/>
        <v>0</v>
      </c>
      <c r="AH1153" s="43" t="s">
        <v>2417</v>
      </c>
      <c r="AI1153" s="63">
        <f t="shared" si="223"/>
        <v>7.2892938496583147E-4</v>
      </c>
      <c r="AJ1153" s="284">
        <f>RTD("money.excel",,$G1153,"PredictVolume")</f>
        <v>32</v>
      </c>
      <c r="AK1153" s="399">
        <f>IFERROR(VLOOKUP($G1153,基本資料!$A:$M,13,0),"無")</f>
        <v>2.2599999999999998</v>
      </c>
    </row>
    <row r="1154" spans="1:37">
      <c r="A1154" s="347">
        <f>IFERROR(VLOOKUP($G1154,基本資料!$A:$J,3,0),"無")</f>
        <v>18.760000000000002</v>
      </c>
      <c r="B1154" s="79">
        <f>IFERROR(VLOOKUP($G1154,基本資料!$A:$J,4,0),"無")</f>
        <v>4</v>
      </c>
      <c r="C1154" s="79">
        <f>IFERROR(VLOOKUP($G1154,基本資料!$A:$J,5,0),"無")</f>
        <v>-19</v>
      </c>
      <c r="D1154" s="79">
        <f>IFERROR(VLOOKUP($G1154,基本資料!$A:$J,6,0),"無")</f>
        <v>-22</v>
      </c>
      <c r="E1154" s="79">
        <f>IFERROR(VLOOKUP($G1154,基本資料!$A:$J,7,0),"無")</f>
        <v>-12</v>
      </c>
      <c r="F1154" s="6">
        <f>IFERROR(VLOOKUP($G1154,基本資料!$A:$J,8,0),"無")</f>
        <v>8.81</v>
      </c>
      <c r="G1154" s="79">
        <v>6115</v>
      </c>
      <c r="H1154" s="8" t="s">
        <v>308</v>
      </c>
      <c r="I1154" s="22" t="s">
        <v>395</v>
      </c>
      <c r="J1154" s="8" t="str">
        <f>IFERROR(VLOOKUP($G1154,今日總結!$A:$AJ,35,0),"")</f>
        <v/>
      </c>
      <c r="K1154" s="5" t="str">
        <f>IFERROR(VLOOKUP($G1154,今日總結!$A:$AJ,36,0),"")</f>
        <v/>
      </c>
      <c r="L1154" s="156" t="str">
        <f>IFERROR(VLOOKUP($G1154,今日總結!$A:$AJ,33,0),"")</f>
        <v/>
      </c>
      <c r="M1154" s="340" t="str">
        <f>IFERROR(VLOOKUP($G1154,今日總結!$A:$AJ,34,0),"")</f>
        <v/>
      </c>
      <c r="N1154" s="240" t="str">
        <f t="shared" si="221"/>
        <v/>
      </c>
      <c r="P1154" s="365">
        <f>IFERROR(VLOOKUP($G1154,融外自投!$A:$J,7,0),"無")</f>
        <v>1434</v>
      </c>
      <c r="Q1154" s="79">
        <f>IFERROR(VLOOKUP($G1154,融外自投!$A:$J,9,0),"無")</f>
        <v>852</v>
      </c>
      <c r="R1154" s="346">
        <f>IFERROR(VLOOKUP($G1154,融外自投!$A:$J,8,0),"無")</f>
        <v>651</v>
      </c>
      <c r="S1154" s="81" t="str">
        <f>IFERROR(VLOOKUP($G1154,融外自投!$A:$J,10,0),"無")</f>
        <v>無</v>
      </c>
      <c r="T1154" s="327">
        <f>IFERROR(VLOOKUP($G1154,'321買'!$A:$E,5,0),"'沒有資料'")</f>
        <v>1338</v>
      </c>
      <c r="U1154" s="186">
        <f>IFERROR(VLOOKUP($G1154,基本資料!$A:$J,9,0),"無")</f>
        <v>2.8</v>
      </c>
      <c r="V1154" s="310">
        <f t="shared" si="222"/>
        <v>6.5882352941176461E-2</v>
      </c>
      <c r="W1154" s="94">
        <f>IFERROR(VLOOKUP($G1154,基本資料!$A:$J,10,0),"無")</f>
        <v>2.7</v>
      </c>
      <c r="X1154" s="36">
        <f>RTD("money.excel",,"6115","Price")</f>
        <v>42.5</v>
      </c>
      <c r="Y1154" s="66"/>
      <c r="Z1154" s="15">
        <f t="shared" si="218"/>
        <v>42.5</v>
      </c>
      <c r="AA1154" s="35" t="e">
        <f t="shared" si="219"/>
        <v>#DIV/0!</v>
      </c>
      <c r="AB1154" s="344">
        <f>IFERROR(VLOOKUP($G1154,基本資料!$A:$M,11,0),"無")</f>
        <v>-7.27</v>
      </c>
      <c r="AC1154" s="397">
        <f>IFERROR(VLOOKUP($G1154,基本資料!$A:$M,12,0),"無")</f>
        <v>29.96</v>
      </c>
      <c r="AD1154" s="22" t="s">
        <v>395</v>
      </c>
      <c r="AG1154" s="33">
        <f t="shared" si="220"/>
        <v>0</v>
      </c>
      <c r="AH1154" s="43" t="s">
        <v>2595</v>
      </c>
      <c r="AI1154" s="63">
        <f t="shared" si="223"/>
        <v>7.8358208955223868E-4</v>
      </c>
      <c r="AJ1154" s="284">
        <f>RTD("money.excel",,$G1154,"PredictVolume")</f>
        <v>147</v>
      </c>
      <c r="AK1154" s="399">
        <f>IFERROR(VLOOKUP($G1154,基本資料!$A:$M,13,0),"無")</f>
        <v>1.04</v>
      </c>
    </row>
    <row r="1155" spans="1:37">
      <c r="A1155" s="347">
        <f>IFERROR(VLOOKUP($G1155,基本資料!$A:$J,3,0),"無")</f>
        <v>18.239999999999998</v>
      </c>
      <c r="B1155" s="79">
        <f>IFERROR(VLOOKUP($G1155,基本資料!$A:$J,4,0),"無")</f>
        <v>-16</v>
      </c>
      <c r="C1155" s="79">
        <f>IFERROR(VLOOKUP($G1155,基本資料!$A:$J,5,0),"無")</f>
        <v>-21</v>
      </c>
      <c r="D1155" s="79">
        <f>IFERROR(VLOOKUP($G1155,基本資料!$A:$J,6,0),"無")</f>
        <v>-37</v>
      </c>
      <c r="E1155" s="79">
        <f>IFERROR(VLOOKUP($G1155,基本資料!$A:$J,7,0),"無")</f>
        <v>-38</v>
      </c>
      <c r="F1155" s="6">
        <f>IFERROR(VLOOKUP($G1155,基本資料!$A:$J,8,0),"無")</f>
        <v>11.92</v>
      </c>
      <c r="G1155" s="79">
        <v>6124</v>
      </c>
      <c r="H1155" s="8" t="s">
        <v>308</v>
      </c>
      <c r="I1155" s="16" t="s">
        <v>424</v>
      </c>
      <c r="J1155" s="8" t="str">
        <f>IFERROR(VLOOKUP($G1155,今日總結!$A:$AJ,35,0),"")</f>
        <v/>
      </c>
      <c r="K1155" s="5" t="str">
        <f>IFERROR(VLOOKUP($G1155,今日總結!$A:$AJ,36,0),"")</f>
        <v/>
      </c>
      <c r="L1155" s="156" t="str">
        <f>IFERROR(VLOOKUP($G1155,今日總結!$A:$AJ,33,0),"")</f>
        <v/>
      </c>
      <c r="M1155" s="340" t="str">
        <f>IFERROR(VLOOKUP($G1155,今日總結!$A:$AJ,34,0),"")</f>
        <v/>
      </c>
      <c r="N1155" s="240" t="str">
        <f t="shared" si="221"/>
        <v/>
      </c>
      <c r="P1155" s="365">
        <f>IFERROR(VLOOKUP($G1155,融外自投!$A:$J,7,0),"無")</f>
        <v>1073</v>
      </c>
      <c r="Q1155" s="79">
        <f>IFERROR(VLOOKUP($G1155,融外自投!$A:$J,9,0),"無")</f>
        <v>44</v>
      </c>
      <c r="R1155" s="346">
        <f>IFERROR(VLOOKUP($G1155,融外自投!$A:$J,8,0),"無")</f>
        <v>104</v>
      </c>
      <c r="S1155" s="81" t="str">
        <f>IFERROR(VLOOKUP($G1155,融外自投!$A:$J,10,0),"無")</f>
        <v>無</v>
      </c>
      <c r="T1155" s="327">
        <f>IFERROR(VLOOKUP($G1155,'321買'!$A:$E,5,0),"'沒有資料'")</f>
        <v>1327</v>
      </c>
      <c r="U1155" s="186">
        <f>IFERROR(VLOOKUP($G1155,基本資料!$A:$J,9,0),"無")</f>
        <v>0</v>
      </c>
      <c r="V1155" s="310">
        <f t="shared" si="222"/>
        <v>0</v>
      </c>
      <c r="W1155" s="94">
        <f>IFERROR(VLOOKUP($G1155,基本資料!$A:$J,10,0),"無")</f>
        <v>1.29</v>
      </c>
      <c r="X1155" s="36">
        <f>RTD("money.excel",,"6124","Price")</f>
        <v>25.25</v>
      </c>
      <c r="Y1155" s="66"/>
      <c r="Z1155" s="15">
        <f t="shared" si="218"/>
        <v>25.25</v>
      </c>
      <c r="AA1155" s="3" t="e">
        <f t="shared" si="219"/>
        <v>#DIV/0!</v>
      </c>
      <c r="AB1155" s="344">
        <f>IFERROR(VLOOKUP($G1155,基本資料!$A:$M,11,0),"無")</f>
        <v>-16.07</v>
      </c>
      <c r="AC1155" s="397">
        <f>IFERROR(VLOOKUP($G1155,基本資料!$A:$M,12,0),"無")</f>
        <v>53</v>
      </c>
      <c r="AD1155" s="16" t="s">
        <v>424</v>
      </c>
      <c r="AG1155" s="33">
        <f t="shared" si="220"/>
        <v>0</v>
      </c>
      <c r="AH1155" s="43" t="s">
        <v>2418</v>
      </c>
      <c r="AI1155" s="63">
        <f t="shared" si="223"/>
        <v>2.1929824561403512E-4</v>
      </c>
      <c r="AJ1155" s="284">
        <f>RTD("money.excel",,$G1155,"PredictVolume")</f>
        <v>40</v>
      </c>
      <c r="AK1155" s="399">
        <f>IFERROR(VLOOKUP($G1155,基本資料!$A:$M,13,0),"無")</f>
        <v>0.17</v>
      </c>
    </row>
    <row r="1156" spans="1:37">
      <c r="A1156" s="347">
        <f>IFERROR(VLOOKUP($G1156,基本資料!$A:$J,3,0),"無")</f>
        <v>12.27</v>
      </c>
      <c r="B1156" s="79">
        <f>IFERROR(VLOOKUP($G1156,基本資料!$A:$J,4,0),"無")</f>
        <v>2</v>
      </c>
      <c r="C1156" s="79">
        <f>IFERROR(VLOOKUP($G1156,基本資料!$A:$J,5,0),"無")</f>
        <v>-8</v>
      </c>
      <c r="D1156" s="79">
        <f>IFERROR(VLOOKUP($G1156,基本資料!$A:$J,6,0),"無")</f>
        <v>-20</v>
      </c>
      <c r="E1156" s="79">
        <f>IFERROR(VLOOKUP($G1156,基本資料!$A:$J,7,0),"無")</f>
        <v>-14</v>
      </c>
      <c r="F1156" s="6">
        <f>IFERROR(VLOOKUP($G1156,基本資料!$A:$J,8,0),"無")</f>
        <v>10.33</v>
      </c>
      <c r="G1156" s="79">
        <v>6126</v>
      </c>
      <c r="H1156" s="8" t="s">
        <v>308</v>
      </c>
      <c r="I1156" s="16" t="s">
        <v>425</v>
      </c>
      <c r="J1156" s="8" t="str">
        <f>IFERROR(VLOOKUP($G1156,今日總結!$A:$AJ,35,0),"")</f>
        <v/>
      </c>
      <c r="K1156" s="5" t="str">
        <f>IFERROR(VLOOKUP($G1156,今日總結!$A:$AJ,36,0),"")</f>
        <v/>
      </c>
      <c r="L1156" s="156" t="str">
        <f>IFERROR(VLOOKUP($G1156,今日總結!$A:$AJ,33,0),"")</f>
        <v/>
      </c>
      <c r="M1156" s="340" t="str">
        <f>IFERROR(VLOOKUP($G1156,今日總結!$A:$AJ,34,0),"")</f>
        <v/>
      </c>
      <c r="N1156" s="240" t="str">
        <f t="shared" si="221"/>
        <v/>
      </c>
      <c r="P1156" s="365">
        <f>IFERROR(VLOOKUP($G1156,融外自投!$A:$J,7,0),"無")</f>
        <v>250</v>
      </c>
      <c r="Q1156" s="79">
        <f>IFERROR(VLOOKUP($G1156,融外自投!$A:$J,9,0),"無")</f>
        <v>550</v>
      </c>
      <c r="R1156" s="346">
        <f>IFERROR(VLOOKUP($G1156,融外自投!$A:$J,8,0),"無")</f>
        <v>1028</v>
      </c>
      <c r="S1156" s="81" t="str">
        <f>IFERROR(VLOOKUP($G1156,融外自投!$A:$J,10,0),"無")</f>
        <v>無</v>
      </c>
      <c r="T1156" s="327">
        <f>IFERROR(VLOOKUP($G1156,'321買'!$A:$E,5,0),"'沒有資料'")</f>
        <v>779</v>
      </c>
      <c r="U1156" s="186">
        <f>IFERROR(VLOOKUP($G1156,基本資料!$A:$J,9,0),"無")</f>
        <v>1.3</v>
      </c>
      <c r="V1156" s="310">
        <f t="shared" si="222"/>
        <v>5.5793991416309016E-2</v>
      </c>
      <c r="W1156" s="94">
        <f>IFERROR(VLOOKUP($G1156,基本資料!$A:$J,10,0),"無")</f>
        <v>1.97</v>
      </c>
      <c r="X1156" s="36">
        <f>RTD("money.excel",,"6126","Price")</f>
        <v>23.3</v>
      </c>
      <c r="Y1156" s="66"/>
      <c r="Z1156" s="15">
        <f t="shared" si="218"/>
        <v>23.3</v>
      </c>
      <c r="AA1156" s="3" t="e">
        <f t="shared" si="219"/>
        <v>#DIV/0!</v>
      </c>
      <c r="AB1156" s="344">
        <f>IFERROR(VLOOKUP($G1156,基本資料!$A:$M,11,0),"無")</f>
        <v>-30.37</v>
      </c>
      <c r="AC1156" s="397">
        <f>IFERROR(VLOOKUP($G1156,基本資料!$A:$M,12,0),"無")</f>
        <v>22.31</v>
      </c>
      <c r="AD1156" s="16" t="s">
        <v>425</v>
      </c>
      <c r="AG1156" s="33">
        <f t="shared" si="220"/>
        <v>0</v>
      </c>
      <c r="AH1156" s="43" t="s">
        <v>1903</v>
      </c>
      <c r="AI1156" s="63">
        <f t="shared" si="223"/>
        <v>2.2982885085574573E-3</v>
      </c>
      <c r="AJ1156" s="284">
        <f>RTD("money.excel",,$G1156,"PredictVolume")</f>
        <v>282</v>
      </c>
      <c r="AK1156" s="399">
        <f>IFERROR(VLOOKUP($G1156,基本資料!$A:$M,13,0),"無")</f>
        <v>38.72</v>
      </c>
    </row>
    <row r="1157" spans="1:37">
      <c r="A1157" s="347">
        <f>IFERROR(VLOOKUP($G1157,基本資料!$A:$J,3,0),"無")</f>
        <v>10.8</v>
      </c>
      <c r="B1157" s="79">
        <f>IFERROR(VLOOKUP($G1157,基本資料!$A:$J,4,0),"無")</f>
        <v>149</v>
      </c>
      <c r="C1157" s="79">
        <f>IFERROR(VLOOKUP($G1157,基本資料!$A:$J,5,0),"無")</f>
        <v>253</v>
      </c>
      <c r="D1157" s="79">
        <f>IFERROR(VLOOKUP($G1157,基本資料!$A:$J,6,0),"無")</f>
        <v>24</v>
      </c>
      <c r="E1157" s="79">
        <f>IFERROR(VLOOKUP($G1157,基本資料!$A:$J,7,0),"無")</f>
        <v>3</v>
      </c>
      <c r="F1157" s="6">
        <f>IFERROR(VLOOKUP($G1157,基本資料!$A:$J,8,0),"無")</f>
        <v>9.6</v>
      </c>
      <c r="G1157" s="79">
        <v>6127</v>
      </c>
      <c r="H1157" s="8" t="s">
        <v>308</v>
      </c>
      <c r="I1157" s="16" t="s">
        <v>319</v>
      </c>
      <c r="J1157" s="8" t="str">
        <f>IFERROR(VLOOKUP($G1157,今日總結!$A:$AJ,35,0),"")</f>
        <v/>
      </c>
      <c r="K1157" s="5" t="str">
        <f>IFERROR(VLOOKUP($G1157,今日總結!$A:$AJ,36,0),"")</f>
        <v/>
      </c>
      <c r="L1157" s="156" t="str">
        <f>IFERROR(VLOOKUP($G1157,今日總結!$A:$AJ,33,0),"")</f>
        <v/>
      </c>
      <c r="M1157" s="340" t="str">
        <f>IFERROR(VLOOKUP($G1157,今日總結!$A:$AJ,34,0),"")</f>
        <v/>
      </c>
      <c r="N1157" s="240" t="str">
        <f t="shared" si="221"/>
        <v/>
      </c>
      <c r="P1157" s="365">
        <f>IFERROR(VLOOKUP($G1157,融外自投!$A:$J,7,0),"無")</f>
        <v>210</v>
      </c>
      <c r="Q1157" s="79">
        <f>IFERROR(VLOOKUP($G1157,融外自投!$A:$J,9,0),"無")</f>
        <v>762</v>
      </c>
      <c r="R1157" s="346">
        <f>IFERROR(VLOOKUP($G1157,融外自投!$A:$J,8,0),"無")</f>
        <v>1173</v>
      </c>
      <c r="S1157" s="81" t="str">
        <f>IFERROR(VLOOKUP($G1157,融外自投!$A:$J,10,0),"無")</f>
        <v>無</v>
      </c>
      <c r="T1157" s="327">
        <f>IFERROR(VLOOKUP($G1157,'321買'!$A:$E,5,0),"'沒有資料'")</f>
        <v>915</v>
      </c>
      <c r="U1157" s="186">
        <f>IFERROR(VLOOKUP($G1157,基本資料!$A:$J,9,0),"無")</f>
        <v>0</v>
      </c>
      <c r="V1157" s="310">
        <f t="shared" si="222"/>
        <v>0</v>
      </c>
      <c r="W1157" s="94">
        <f>IFERROR(VLOOKUP($G1157,基本資料!$A:$J,10,0),"無")</f>
        <v>0.47</v>
      </c>
      <c r="X1157" s="36">
        <f>RTD("money.excel",,"6127","Price")</f>
        <v>21.2</v>
      </c>
      <c r="Y1157" s="66"/>
      <c r="Z1157" s="15">
        <f t="shared" si="218"/>
        <v>21.2</v>
      </c>
      <c r="AA1157" s="3" t="e">
        <f t="shared" si="219"/>
        <v>#DIV/0!</v>
      </c>
      <c r="AB1157" s="344">
        <f>IFERROR(VLOOKUP($G1157,基本資料!$A:$M,11,0),"無")</f>
        <v>-40.25</v>
      </c>
      <c r="AC1157" s="397">
        <f>IFERROR(VLOOKUP($G1157,基本資料!$A:$M,12,0),"無")</f>
        <v>21.5</v>
      </c>
      <c r="AD1157" s="16" t="s">
        <v>319</v>
      </c>
      <c r="AG1157" s="33">
        <f t="shared" si="220"/>
        <v>0</v>
      </c>
      <c r="AH1157" s="43" t="s">
        <v>2307</v>
      </c>
      <c r="AI1157" s="63">
        <f t="shared" si="223"/>
        <v>2.0462962962962965E-3</v>
      </c>
      <c r="AJ1157" s="284">
        <f>RTD("money.excel",,$G1157,"PredictVolume")</f>
        <v>221</v>
      </c>
      <c r="AK1157" s="399">
        <f>IFERROR(VLOOKUP($G1157,基本資料!$A:$M,13,0),"無")</f>
        <v>23.2</v>
      </c>
    </row>
    <row r="1158" spans="1:37">
      <c r="A1158" s="347">
        <f>IFERROR(VLOOKUP($G1158,基本資料!$A:$J,3,0),"無")</f>
        <v>11.7</v>
      </c>
      <c r="B1158" s="79">
        <f>IFERROR(VLOOKUP($G1158,基本資料!$A:$J,4,0),"無")</f>
        <v>-3026</v>
      </c>
      <c r="C1158" s="79">
        <f>IFERROR(VLOOKUP($G1158,基本資料!$A:$J,5,0),"無")</f>
        <v>-27</v>
      </c>
      <c r="D1158" s="79">
        <f>IFERROR(VLOOKUP($G1158,基本資料!$A:$J,6,0),"無")</f>
        <v>-1</v>
      </c>
      <c r="E1158" s="79">
        <f>IFERROR(VLOOKUP($G1158,基本資料!$A:$J,7,0),"無")</f>
        <v>38</v>
      </c>
      <c r="F1158" s="6">
        <f>IFERROR(VLOOKUP($G1158,基本資料!$A:$J,8,0),"無")</f>
        <v>-5.98</v>
      </c>
      <c r="G1158" s="79">
        <v>6133</v>
      </c>
      <c r="H1158" s="8" t="s">
        <v>308</v>
      </c>
      <c r="I1158" s="22" t="s">
        <v>4590</v>
      </c>
      <c r="J1158" s="8" t="str">
        <f>IFERROR(VLOOKUP($G1158,今日總結!$A:$AJ,35,0),"")</f>
        <v/>
      </c>
      <c r="K1158" s="5" t="str">
        <f>IFERROR(VLOOKUP($G1158,今日總結!$A:$AJ,36,0),"")</f>
        <v/>
      </c>
      <c r="L1158" s="156" t="str">
        <f>IFERROR(VLOOKUP($G1158,今日總結!$A:$AJ,33,0),"")</f>
        <v/>
      </c>
      <c r="M1158" s="340" t="str">
        <f>IFERROR(VLOOKUP($G1158,今日總結!$A:$AJ,34,0),"")</f>
        <v/>
      </c>
      <c r="N1158" s="240" t="str">
        <f t="shared" si="221"/>
        <v/>
      </c>
      <c r="P1158" s="365">
        <f>IFERROR(VLOOKUP($G1158,融外自投!$A:$J,7,0),"無")</f>
        <v>795</v>
      </c>
      <c r="Q1158" s="79">
        <f>IFERROR(VLOOKUP($G1158,融外自投!$A:$J,9,0),"無")</f>
        <v>708</v>
      </c>
      <c r="R1158" s="346">
        <f>IFERROR(VLOOKUP($G1158,融外自投!$A:$J,8,0),"無")</f>
        <v>1054</v>
      </c>
      <c r="S1158" s="81" t="str">
        <f>IFERROR(VLOOKUP($G1158,融外自投!$A:$J,10,0),"無")</f>
        <v>無</v>
      </c>
      <c r="T1158" s="327">
        <f>IFERROR(VLOOKUP($G1158,'321買'!$A:$E,5,0),"'沒有資料'")</f>
        <v>1296</v>
      </c>
      <c r="U1158" s="186">
        <f>IFERROR(VLOOKUP($G1158,基本資料!$A:$J,9,0),"無")</f>
        <v>0</v>
      </c>
      <c r="V1158" s="310">
        <f t="shared" si="222"/>
        <v>0</v>
      </c>
      <c r="W1158" s="94">
        <f>IFERROR(VLOOKUP($G1158,基本資料!$A:$J,10,0),"無")</f>
        <v>-0.48</v>
      </c>
      <c r="X1158" s="36">
        <f>RTD("money.excel",,"6133","Price")</f>
        <v>8.49</v>
      </c>
      <c r="Y1158" s="66"/>
      <c r="Z1158" s="15">
        <f t="shared" si="218"/>
        <v>8.49</v>
      </c>
      <c r="AA1158" s="35" t="e">
        <f t="shared" si="219"/>
        <v>#DIV/0!</v>
      </c>
      <c r="AB1158" s="344">
        <f>IFERROR(VLOOKUP($G1158,基本資料!$A:$M,11,0),"無")</f>
        <v>-27.65</v>
      </c>
      <c r="AC1158" s="397">
        <f>IFERROR(VLOOKUP($G1158,基本資料!$A:$M,12,0),"無")</f>
        <v>16.579999999999998</v>
      </c>
      <c r="AD1158" s="22" t="s">
        <v>4590</v>
      </c>
      <c r="AG1158" s="33">
        <f t="shared" si="220"/>
        <v>0</v>
      </c>
      <c r="AH1158" s="43" t="s">
        <v>2403</v>
      </c>
      <c r="AI1158" s="63">
        <f t="shared" si="223"/>
        <v>1.3418803418803419E-3</v>
      </c>
      <c r="AJ1158" s="284">
        <f>RTD("money.excel",,$G1158,"PredictVolume")</f>
        <v>157</v>
      </c>
      <c r="AK1158" s="399">
        <f>IFERROR(VLOOKUP($G1158,基本資料!$A:$M,13,0),"無")</f>
        <v>9.75</v>
      </c>
    </row>
    <row r="1159" spans="1:37">
      <c r="A1159" s="347">
        <f>IFERROR(VLOOKUP($G1159,基本資料!$A:$J,3,0),"無")</f>
        <v>7.25</v>
      </c>
      <c r="B1159" s="79">
        <f>IFERROR(VLOOKUP($G1159,基本資料!$A:$J,4,0),"無")</f>
        <v>-294</v>
      </c>
      <c r="C1159" s="79">
        <f>IFERROR(VLOOKUP($G1159,基本資料!$A:$J,5,0),"無")</f>
        <v>-189</v>
      </c>
      <c r="D1159" s="79">
        <f>IFERROR(VLOOKUP($G1159,基本資料!$A:$J,6,0),"無")</f>
        <v>-36</v>
      </c>
      <c r="E1159" s="79">
        <f>IFERROR(VLOOKUP($G1159,基本資料!$A:$J,7,0),"無")</f>
        <v>-45</v>
      </c>
      <c r="F1159" s="6">
        <f>IFERROR(VLOOKUP($G1159,基本資料!$A:$J,8,0),"無")</f>
        <v>-4.1399999999999997</v>
      </c>
      <c r="G1159" s="79">
        <v>6134</v>
      </c>
      <c r="H1159" s="8" t="s">
        <v>308</v>
      </c>
      <c r="I1159" s="16" t="s">
        <v>4591</v>
      </c>
      <c r="J1159" s="8" t="str">
        <f>IFERROR(VLOOKUP($G1159,今日總結!$A:$AJ,35,0),"")</f>
        <v/>
      </c>
      <c r="K1159" s="5" t="str">
        <f>IFERROR(VLOOKUP($G1159,今日總結!$A:$AJ,36,0),"")</f>
        <v/>
      </c>
      <c r="L1159" s="156" t="str">
        <f>IFERROR(VLOOKUP($G1159,今日總結!$A:$AJ,33,0),"")</f>
        <v/>
      </c>
      <c r="M1159" s="340" t="str">
        <f>IFERROR(VLOOKUP($G1159,今日總結!$A:$AJ,34,0),"")</f>
        <v/>
      </c>
      <c r="N1159" s="240" t="str">
        <f t="shared" si="221"/>
        <v/>
      </c>
      <c r="P1159" s="365">
        <f>IFERROR(VLOOKUP($G1159,融外自投!$A:$J,7,0),"無")</f>
        <v>498</v>
      </c>
      <c r="Q1159" s="79">
        <f>IFERROR(VLOOKUP($G1159,融外自投!$A:$J,9,0),"無")</f>
        <v>346</v>
      </c>
      <c r="R1159" s="346">
        <f>IFERROR(VLOOKUP($G1159,融外自投!$A:$J,8,0),"無")</f>
        <v>259</v>
      </c>
      <c r="S1159" s="81" t="str">
        <f>IFERROR(VLOOKUP($G1159,融外自投!$A:$J,10,0),"無")</f>
        <v>無</v>
      </c>
      <c r="T1159" s="327">
        <f>IFERROR(VLOOKUP($G1159,'321買'!$A:$E,5,0),"'沒有資料'")</f>
        <v>710</v>
      </c>
      <c r="U1159" s="186">
        <f>IFERROR(VLOOKUP($G1159,基本資料!$A:$J,9,0),"無")</f>
        <v>0.1</v>
      </c>
      <c r="V1159" s="310">
        <f t="shared" si="222"/>
        <v>4.9261083743842365E-3</v>
      </c>
      <c r="W1159" s="94">
        <f>IFERROR(VLOOKUP($G1159,基本資料!$A:$J,10,0),"無")</f>
        <v>-0.54</v>
      </c>
      <c r="X1159" s="36">
        <f>RTD("money.excel",,"6134","Price")</f>
        <v>20.3</v>
      </c>
      <c r="Y1159" s="66"/>
      <c r="Z1159" s="15">
        <f t="shared" si="218"/>
        <v>20.3</v>
      </c>
      <c r="AA1159" s="3" t="e">
        <f t="shared" si="219"/>
        <v>#DIV/0!</v>
      </c>
      <c r="AB1159" s="344">
        <f>IFERROR(VLOOKUP($G1159,基本資料!$A:$M,11,0),"無")</f>
        <v>-44.66</v>
      </c>
      <c r="AC1159" s="397">
        <f>IFERROR(VLOOKUP($G1159,基本資料!$A:$M,12,0),"無")</f>
        <v>15.27</v>
      </c>
      <c r="AD1159" s="16" t="s">
        <v>4591</v>
      </c>
      <c r="AG1159" s="33">
        <f t="shared" si="220"/>
        <v>0</v>
      </c>
      <c r="AH1159" s="43" t="s">
        <v>2374</v>
      </c>
      <c r="AI1159" s="63">
        <f t="shared" si="223"/>
        <v>2.620689655172414E-3</v>
      </c>
      <c r="AJ1159" s="284">
        <f>RTD("money.excel",,$G1159,"PredictVolume")</f>
        <v>190</v>
      </c>
      <c r="AK1159" s="399">
        <f>IFERROR(VLOOKUP($G1159,基本資料!$A:$M,13,0),"無")</f>
        <v>33.32</v>
      </c>
    </row>
    <row r="1160" spans="1:37">
      <c r="A1160" s="347">
        <f>IFERROR(VLOOKUP($G1160,基本資料!$A:$J,3,0),"無")</f>
        <v>11.6</v>
      </c>
      <c r="B1160" s="79">
        <f>IFERROR(VLOOKUP($G1160,基本資料!$A:$J,4,0),"無")</f>
        <v>11</v>
      </c>
      <c r="C1160" s="79">
        <f>IFERROR(VLOOKUP($G1160,基本資料!$A:$J,5,0),"無")</f>
        <v>26</v>
      </c>
      <c r="D1160" s="79">
        <f>IFERROR(VLOOKUP($G1160,基本資料!$A:$J,6,0),"無")</f>
        <v>47</v>
      </c>
      <c r="E1160" s="79">
        <f>IFERROR(VLOOKUP($G1160,基本資料!$A:$J,7,0),"無")</f>
        <v>-4</v>
      </c>
      <c r="F1160" s="6">
        <f>IFERROR(VLOOKUP($G1160,基本資料!$A:$J,8,0),"無")</f>
        <v>10.83</v>
      </c>
      <c r="G1160" s="79">
        <v>6141</v>
      </c>
      <c r="H1160" s="8" t="s">
        <v>308</v>
      </c>
      <c r="I1160" s="22" t="s">
        <v>396</v>
      </c>
      <c r="J1160" s="8" t="str">
        <f>IFERROR(VLOOKUP($G1160,今日總結!$A:$AJ,35,0),"")</f>
        <v/>
      </c>
      <c r="K1160" s="5" t="str">
        <f>IFERROR(VLOOKUP($G1160,今日總結!$A:$AJ,36,0),"")</f>
        <v/>
      </c>
      <c r="L1160" s="156" t="str">
        <f>IFERROR(VLOOKUP($G1160,今日總結!$A:$AJ,33,0),"")</f>
        <v/>
      </c>
      <c r="M1160" s="340" t="str">
        <f>IFERROR(VLOOKUP($G1160,今日總結!$A:$AJ,34,0),"")</f>
        <v/>
      </c>
      <c r="N1160" s="240" t="str">
        <f t="shared" si="221"/>
        <v/>
      </c>
      <c r="P1160" s="365">
        <f>IFERROR(VLOOKUP($G1160,融外自投!$A:$J,7,0),"無")</f>
        <v>666</v>
      </c>
      <c r="Q1160" s="79">
        <f>IFERROR(VLOOKUP($G1160,融外自投!$A:$J,9,0),"無")</f>
        <v>558</v>
      </c>
      <c r="R1160" s="346">
        <f>IFERROR(VLOOKUP($G1160,融外自投!$A:$J,8,0),"無")</f>
        <v>866</v>
      </c>
      <c r="S1160" s="81" t="str">
        <f>IFERROR(VLOOKUP($G1160,融外自投!$A:$J,10,0),"無")</f>
        <v>無</v>
      </c>
      <c r="T1160" s="327">
        <f>IFERROR(VLOOKUP($G1160,'321買'!$A:$E,5,0),"'沒有資料'")</f>
        <v>984</v>
      </c>
      <c r="U1160" s="186">
        <f>IFERROR(VLOOKUP($G1160,基本資料!$A:$J,9,0),"無")</f>
        <v>1</v>
      </c>
      <c r="V1160" s="310">
        <f t="shared" si="222"/>
        <v>4.1580041580041575E-2</v>
      </c>
      <c r="W1160" s="94">
        <f>IFERROR(VLOOKUP($G1160,基本資料!$A:$J,10,0),"無")</f>
        <v>2.88</v>
      </c>
      <c r="X1160" s="36">
        <f>RTD("money.excel",,"6141","Price")</f>
        <v>24.05</v>
      </c>
      <c r="Y1160" s="66"/>
      <c r="Z1160" s="15">
        <f t="shared" si="218"/>
        <v>24.05</v>
      </c>
      <c r="AA1160" s="3" t="e">
        <f t="shared" si="219"/>
        <v>#DIV/0!</v>
      </c>
      <c r="AB1160" s="344">
        <f>IFERROR(VLOOKUP($G1160,基本資料!$A:$M,11,0),"無")</f>
        <v>-25.3</v>
      </c>
      <c r="AC1160" s="397">
        <f>IFERROR(VLOOKUP($G1160,基本資料!$A:$M,12,0),"無")</f>
        <v>14.08</v>
      </c>
      <c r="AD1160" s="22" t="s">
        <v>396</v>
      </c>
      <c r="AG1160" s="33">
        <f t="shared" si="220"/>
        <v>0</v>
      </c>
      <c r="AH1160" s="43" t="s">
        <v>1044</v>
      </c>
      <c r="AI1160" s="63">
        <f t="shared" si="223"/>
        <v>4.6551724137931035E-4</v>
      </c>
      <c r="AJ1160" s="284">
        <f>RTD("money.excel",,$G1160,"PredictVolume")</f>
        <v>54</v>
      </c>
      <c r="AK1160" s="399">
        <f>IFERROR(VLOOKUP($G1160,基本資料!$A:$M,13,0),"無")</f>
        <v>6.13</v>
      </c>
    </row>
    <row r="1161" spans="1:37">
      <c r="A1161" s="347">
        <f>IFERROR(VLOOKUP($G1161,基本資料!$A:$J,3,0),"無")</f>
        <v>55.61</v>
      </c>
      <c r="B1161" s="79">
        <f>IFERROR(VLOOKUP($G1161,基本資料!$A:$J,4,0),"無")</f>
        <v>-174</v>
      </c>
      <c r="C1161" s="79">
        <f>IFERROR(VLOOKUP($G1161,基本資料!$A:$J,5,0),"無")</f>
        <v>-197</v>
      </c>
      <c r="D1161" s="79">
        <f>IFERROR(VLOOKUP($G1161,基本資料!$A:$J,6,0),"無")</f>
        <v>-42</v>
      </c>
      <c r="E1161" s="79">
        <f>IFERROR(VLOOKUP($G1161,基本資料!$A:$J,7,0),"無")</f>
        <v>-38</v>
      </c>
      <c r="F1161" s="6">
        <f>IFERROR(VLOOKUP($G1161,基本資料!$A:$J,8,0),"無")</f>
        <v>-2.73</v>
      </c>
      <c r="G1161" s="79">
        <v>6153</v>
      </c>
      <c r="H1161" s="195" t="s">
        <v>308</v>
      </c>
      <c r="I1161" s="22" t="s">
        <v>4592</v>
      </c>
      <c r="J1161" s="8" t="str">
        <f>IFERROR(VLOOKUP($G1161,今日總結!$A:$AJ,35,0),"")</f>
        <v/>
      </c>
      <c r="K1161" s="5" t="str">
        <f>IFERROR(VLOOKUP($G1161,今日總結!$A:$AJ,36,0),"")</f>
        <v/>
      </c>
      <c r="L1161" s="156" t="str">
        <f>IFERROR(VLOOKUP($G1161,今日總結!$A:$AJ,33,0),"")</f>
        <v/>
      </c>
      <c r="M1161" s="340" t="str">
        <f>IFERROR(VLOOKUP($G1161,今日總結!$A:$AJ,34,0),"")</f>
        <v/>
      </c>
      <c r="N1161" s="240" t="str">
        <f t="shared" si="221"/>
        <v/>
      </c>
      <c r="P1161" s="365">
        <f>IFERROR(VLOOKUP($G1161,融外自投!$A:$J,7,0),"無")</f>
        <v>463</v>
      </c>
      <c r="Q1161" s="79">
        <f>IFERROR(VLOOKUP($G1161,融外自投!$A:$J,9,0),"無")</f>
        <v>414</v>
      </c>
      <c r="R1161" s="346">
        <f>IFERROR(VLOOKUP($G1161,融外自投!$A:$J,8,0),"無")</f>
        <v>572</v>
      </c>
      <c r="S1161" s="81" t="str">
        <f>IFERROR(VLOOKUP($G1161,融外自投!$A:$J,10,0),"無")</f>
        <v>無</v>
      </c>
      <c r="T1161" s="327">
        <f>IFERROR(VLOOKUP($G1161,'321買'!$A:$E,5,0),"'沒有資料'")</f>
        <v>392</v>
      </c>
      <c r="U1161" s="186">
        <f>IFERROR(VLOOKUP($G1161,基本資料!$A:$J,9,0),"無")</f>
        <v>0</v>
      </c>
      <c r="V1161" s="310">
        <f t="shared" si="222"/>
        <v>0</v>
      </c>
      <c r="W1161" s="94">
        <f>IFERROR(VLOOKUP($G1161,基本資料!$A:$J,10,0),"無")</f>
        <v>-0.88</v>
      </c>
      <c r="X1161" s="36">
        <f>RTD("money.excel",,"6153","Price")</f>
        <v>19.899999999999999</v>
      </c>
      <c r="Y1161" s="66"/>
      <c r="Z1161" s="15">
        <f t="shared" si="218"/>
        <v>19.899999999999999</v>
      </c>
      <c r="AA1161" s="3" t="e">
        <f t="shared" si="219"/>
        <v>#DIV/0!</v>
      </c>
      <c r="AB1161" s="344">
        <f>IFERROR(VLOOKUP($G1161,基本資料!$A:$M,11,0),"無")</f>
        <v>-39.549999999999997</v>
      </c>
      <c r="AC1161" s="397">
        <f>IFERROR(VLOOKUP($G1161,基本資料!$A:$M,12,0),"無")</f>
        <v>22.93</v>
      </c>
      <c r="AD1161" s="22" t="s">
        <v>4592</v>
      </c>
      <c r="AG1161" s="33">
        <f t="shared" si="220"/>
        <v>0</v>
      </c>
      <c r="AH1161" s="117" t="s">
        <v>2400</v>
      </c>
      <c r="AI1161" s="63">
        <f t="shared" si="223"/>
        <v>1.8342024815680633E-3</v>
      </c>
      <c r="AJ1161" s="284">
        <f>RTD("money.excel",,$G1161,"PredictVolume")</f>
        <v>1020</v>
      </c>
      <c r="AK1161" s="399">
        <f>IFERROR(VLOOKUP($G1161,基本資料!$A:$M,13,0),"無")</f>
        <v>4.32</v>
      </c>
    </row>
    <row r="1162" spans="1:37">
      <c r="A1162" s="347">
        <f>IFERROR(VLOOKUP($G1162,基本資料!$A:$J,3,0),"無")</f>
        <v>8.69</v>
      </c>
      <c r="B1162" s="79">
        <f>IFERROR(VLOOKUP($G1162,基本資料!$A:$J,4,0),"無")</f>
        <v>137</v>
      </c>
      <c r="C1162" s="79">
        <f>IFERROR(VLOOKUP($G1162,基本資料!$A:$J,5,0),"無")</f>
        <v>200</v>
      </c>
      <c r="D1162" s="79">
        <f>IFERROR(VLOOKUP($G1162,基本資料!$A:$J,6,0),"無")</f>
        <v>-18</v>
      </c>
      <c r="E1162" s="79">
        <f>IFERROR(VLOOKUP($G1162,基本資料!$A:$J,7,0),"無")</f>
        <v>-2</v>
      </c>
      <c r="F1162" s="6">
        <f>IFERROR(VLOOKUP($G1162,基本資料!$A:$J,8,0),"無")</f>
        <v>15.96</v>
      </c>
      <c r="G1162" s="79">
        <v>6155</v>
      </c>
      <c r="H1162" s="8" t="s">
        <v>308</v>
      </c>
      <c r="I1162" s="22" t="s">
        <v>327</v>
      </c>
      <c r="J1162" s="8" t="str">
        <f>IFERROR(VLOOKUP($G1162,今日總結!$A:$AJ,35,0),"")</f>
        <v/>
      </c>
      <c r="K1162" s="5" t="str">
        <f>IFERROR(VLOOKUP($G1162,今日總結!$A:$AJ,36,0),"")</f>
        <v/>
      </c>
      <c r="L1162" s="156" t="str">
        <f>IFERROR(VLOOKUP($G1162,今日總結!$A:$AJ,33,0),"")</f>
        <v/>
      </c>
      <c r="M1162" s="340" t="str">
        <f>IFERROR(VLOOKUP($G1162,今日總結!$A:$AJ,34,0),"")</f>
        <v/>
      </c>
      <c r="N1162" s="240" t="str">
        <f t="shared" si="221"/>
        <v/>
      </c>
      <c r="P1162" s="365">
        <f>IFERROR(VLOOKUP($G1162,融外自投!$A:$J,7,0),"無")</f>
        <v>654</v>
      </c>
      <c r="Q1162" s="79">
        <f>IFERROR(VLOOKUP($G1162,融外自投!$A:$J,9,0),"無")</f>
        <v>1051</v>
      </c>
      <c r="R1162" s="346">
        <f>IFERROR(VLOOKUP($G1162,融外自投!$A:$J,8,0),"無")</f>
        <v>1017</v>
      </c>
      <c r="S1162" s="81" t="str">
        <f>IFERROR(VLOOKUP($G1162,融外自投!$A:$J,10,0),"無")</f>
        <v>無</v>
      </c>
      <c r="T1162" s="327">
        <f>IFERROR(VLOOKUP($G1162,'321買'!$A:$E,5,0),"'沒有資料'")</f>
        <v>1239</v>
      </c>
      <c r="U1162" s="186">
        <f>IFERROR(VLOOKUP($G1162,基本資料!$A:$J,9,0),"無")</f>
        <v>0.85</v>
      </c>
      <c r="V1162" s="310">
        <f t="shared" si="222"/>
        <v>3.5564853556485358E-2</v>
      </c>
      <c r="W1162" s="94">
        <f>IFERROR(VLOOKUP($G1162,基本資料!$A:$J,10,0),"無")</f>
        <v>0.93</v>
      </c>
      <c r="X1162" s="36">
        <f>RTD("money.excel",,"6155","Price")</f>
        <v>23.9</v>
      </c>
      <c r="Y1162" s="66"/>
      <c r="Z1162" s="15">
        <f t="shared" si="218"/>
        <v>23.9</v>
      </c>
      <c r="AA1162" s="3" t="e">
        <f t="shared" si="219"/>
        <v>#DIV/0!</v>
      </c>
      <c r="AB1162" s="344">
        <f>IFERROR(VLOOKUP($G1162,基本資料!$A:$M,11,0),"無")</f>
        <v>-31.39</v>
      </c>
      <c r="AC1162" s="397">
        <f>IFERROR(VLOOKUP($G1162,基本資料!$A:$M,12,0),"無")</f>
        <v>37.86</v>
      </c>
      <c r="AD1162" s="22" t="s">
        <v>327</v>
      </c>
      <c r="AG1162" s="33">
        <f t="shared" si="220"/>
        <v>0</v>
      </c>
      <c r="AH1162" s="43" t="s">
        <v>2376</v>
      </c>
      <c r="AI1162" s="63">
        <f t="shared" si="223"/>
        <v>4.6490218642117375E-3</v>
      </c>
      <c r="AJ1162" s="284">
        <f>RTD("money.excel",,$G1162,"PredictVolume")</f>
        <v>404</v>
      </c>
      <c r="AK1162" s="399">
        <f>IFERROR(VLOOKUP($G1162,基本資料!$A:$M,13,0),"無")</f>
        <v>8.3699999999999992</v>
      </c>
    </row>
    <row r="1163" spans="1:37">
      <c r="A1163" s="347">
        <f>IFERROR(VLOOKUP($G1163,基本資料!$A:$J,3,0),"無")</f>
        <v>8.0500000000000007</v>
      </c>
      <c r="B1163" s="79">
        <f>IFERROR(VLOOKUP($G1163,基本資料!$A:$J,4,0),"無")</f>
        <v>-20</v>
      </c>
      <c r="C1163" s="79">
        <f>IFERROR(VLOOKUP($G1163,基本資料!$A:$J,5,0),"無")</f>
        <v>-43</v>
      </c>
      <c r="D1163" s="79">
        <f>IFERROR(VLOOKUP($G1163,基本資料!$A:$J,6,0),"無")</f>
        <v>17</v>
      </c>
      <c r="E1163" s="79">
        <f>IFERROR(VLOOKUP($G1163,基本資料!$A:$J,7,0),"無")</f>
        <v>-10</v>
      </c>
      <c r="F1163" s="6">
        <f>IFERROR(VLOOKUP($G1163,基本資料!$A:$J,8,0),"無")</f>
        <v>2.27</v>
      </c>
      <c r="G1163" s="79">
        <v>6156</v>
      </c>
      <c r="H1163" s="8" t="s">
        <v>308</v>
      </c>
      <c r="I1163" s="16" t="s">
        <v>429</v>
      </c>
      <c r="J1163" s="8" t="str">
        <f>IFERROR(VLOOKUP($G1163,今日總結!$A:$AJ,35,0),"")</f>
        <v/>
      </c>
      <c r="K1163" s="5" t="str">
        <f>IFERROR(VLOOKUP($G1163,今日總結!$A:$AJ,36,0),"")</f>
        <v/>
      </c>
      <c r="L1163" s="156" t="str">
        <f>IFERROR(VLOOKUP($G1163,今日總結!$A:$AJ,33,0),"")</f>
        <v/>
      </c>
      <c r="M1163" s="340" t="str">
        <f>IFERROR(VLOOKUP($G1163,今日總結!$A:$AJ,34,0),"")</f>
        <v/>
      </c>
      <c r="N1163" s="240" t="str">
        <f t="shared" si="221"/>
        <v/>
      </c>
      <c r="P1163" s="365">
        <f>IFERROR(VLOOKUP($G1163,融外自投!$A:$J,7,0),"無")</f>
        <v>290</v>
      </c>
      <c r="Q1163" s="79">
        <f>IFERROR(VLOOKUP($G1163,融外自投!$A:$J,9,0),"無")</f>
        <v>896</v>
      </c>
      <c r="R1163" s="346">
        <f>IFERROR(VLOOKUP($G1163,融外自投!$A:$J,8,0),"無")</f>
        <v>823</v>
      </c>
      <c r="S1163" s="81" t="str">
        <f>IFERROR(VLOOKUP($G1163,融外自投!$A:$J,10,0),"無")</f>
        <v>無</v>
      </c>
      <c r="T1163" s="327">
        <f>IFERROR(VLOOKUP($G1163,'321買'!$A:$E,5,0),"'沒有資料'")</f>
        <v>964</v>
      </c>
      <c r="U1163" s="186">
        <f>IFERROR(VLOOKUP($G1163,基本資料!$A:$J,9,0),"無")</f>
        <v>0.5</v>
      </c>
      <c r="V1163" s="310">
        <f t="shared" si="222"/>
        <v>2.7855153203342621E-2</v>
      </c>
      <c r="W1163" s="94">
        <f>IFERROR(VLOOKUP($G1163,基本資料!$A:$J,10,0),"無")</f>
        <v>1.29</v>
      </c>
      <c r="X1163" s="36">
        <f>RTD("money.excel",,"6156","Price")</f>
        <v>17.95</v>
      </c>
      <c r="Y1163" s="66"/>
      <c r="Z1163" s="15">
        <f t="shared" si="218"/>
        <v>17.95</v>
      </c>
      <c r="AA1163" s="3" t="e">
        <f t="shared" si="219"/>
        <v>#DIV/0!</v>
      </c>
      <c r="AB1163" s="344">
        <f>IFERROR(VLOOKUP($G1163,基本資料!$A:$M,11,0),"無")</f>
        <v>-33.71</v>
      </c>
      <c r="AC1163" s="397">
        <f>IFERROR(VLOOKUP($G1163,基本資料!$A:$M,12,0),"無")</f>
        <v>14.37</v>
      </c>
      <c r="AD1163" s="16" t="s">
        <v>429</v>
      </c>
      <c r="AG1163" s="33">
        <f t="shared" si="220"/>
        <v>0</v>
      </c>
      <c r="AH1163" s="43" t="s">
        <v>2419</v>
      </c>
      <c r="AI1163" s="63">
        <f t="shared" si="223"/>
        <v>1.5031055900621118E-3</v>
      </c>
      <c r="AJ1163" s="284">
        <f>RTD("money.excel",,$G1163,"PredictVolume")</f>
        <v>121</v>
      </c>
      <c r="AK1163" s="399">
        <f>IFERROR(VLOOKUP($G1163,基本資料!$A:$M,13,0),"無")</f>
        <v>41.2</v>
      </c>
    </row>
    <row r="1164" spans="1:37">
      <c r="A1164" s="347">
        <f>IFERROR(VLOOKUP($G1164,基本資料!$A:$J,3,0),"無")</f>
        <v>5.5</v>
      </c>
      <c r="B1164" s="79">
        <f>IFERROR(VLOOKUP($G1164,基本資料!$A:$J,4,0),"無")</f>
        <v>19</v>
      </c>
      <c r="C1164" s="79">
        <f>IFERROR(VLOOKUP($G1164,基本資料!$A:$J,5,0),"無")</f>
        <v>6</v>
      </c>
      <c r="D1164" s="79">
        <f>IFERROR(VLOOKUP($G1164,基本資料!$A:$J,6,0),"無")</f>
        <v>-7</v>
      </c>
      <c r="E1164" s="79">
        <f>IFERROR(VLOOKUP($G1164,基本資料!$A:$J,7,0),"無")</f>
        <v>-3</v>
      </c>
      <c r="F1164" s="6">
        <f>IFERROR(VLOOKUP($G1164,基本資料!$A:$J,8,0),"無")</f>
        <v>7.71</v>
      </c>
      <c r="G1164" s="79">
        <v>6158</v>
      </c>
      <c r="H1164" s="8" t="s">
        <v>308</v>
      </c>
      <c r="I1164" s="16" t="s">
        <v>4593</v>
      </c>
      <c r="J1164" s="8" t="str">
        <f>IFERROR(VLOOKUP($G1164,今日總結!$A:$AJ,35,0),"")</f>
        <v/>
      </c>
      <c r="K1164" s="5" t="str">
        <f>IFERROR(VLOOKUP($G1164,今日總結!$A:$AJ,36,0),"")</f>
        <v/>
      </c>
      <c r="L1164" s="156" t="str">
        <f>IFERROR(VLOOKUP($G1164,今日總結!$A:$AJ,33,0),"")</f>
        <v/>
      </c>
      <c r="M1164" s="340" t="str">
        <f>IFERROR(VLOOKUP($G1164,今日總結!$A:$AJ,34,0),"")</f>
        <v/>
      </c>
      <c r="N1164" s="240" t="str">
        <f t="shared" si="221"/>
        <v/>
      </c>
      <c r="P1164" s="365">
        <f>IFERROR(VLOOKUP($G1164,融外自投!$A:$J,7,0),"無")</f>
        <v>222</v>
      </c>
      <c r="Q1164" s="79">
        <f>IFERROR(VLOOKUP($G1164,融外自投!$A:$J,9,0),"無")</f>
        <v>304</v>
      </c>
      <c r="R1164" s="346">
        <f>IFERROR(VLOOKUP($G1164,融外自投!$A:$J,8,0),"無")</f>
        <v>829</v>
      </c>
      <c r="S1164" s="81" t="str">
        <f>IFERROR(VLOOKUP($G1164,融外自投!$A:$J,10,0),"無")</f>
        <v>無</v>
      </c>
      <c r="T1164" s="327">
        <f>IFERROR(VLOOKUP($G1164,'321買'!$A:$E,5,0),"'沒有資料'")</f>
        <v>480</v>
      </c>
      <c r="U1164" s="186">
        <f>IFERROR(VLOOKUP($G1164,基本資料!$A:$J,9,0),"無")</f>
        <v>1</v>
      </c>
      <c r="V1164" s="310">
        <f t="shared" si="222"/>
        <v>3.0721966205837177E-2</v>
      </c>
      <c r="W1164" s="94">
        <f>IFERROR(VLOOKUP($G1164,基本資料!$A:$J,10,0),"無")</f>
        <v>3.09</v>
      </c>
      <c r="X1164" s="36">
        <f>RTD("money.excel",,"6158","Price")</f>
        <v>32.549999999999997</v>
      </c>
      <c r="Y1164" s="66"/>
      <c r="Z1164" s="15">
        <f t="shared" si="218"/>
        <v>32.549999999999997</v>
      </c>
      <c r="AA1164" s="3" t="e">
        <f t="shared" si="219"/>
        <v>#DIV/0!</v>
      </c>
      <c r="AB1164" s="344">
        <f>IFERROR(VLOOKUP($G1164,基本資料!$A:$M,11,0),"無")</f>
        <v>-42.87</v>
      </c>
      <c r="AC1164" s="397">
        <f>IFERROR(VLOOKUP($G1164,基本資料!$A:$M,12,0),"無")</f>
        <v>21.66</v>
      </c>
      <c r="AD1164" s="16" t="s">
        <v>4593</v>
      </c>
      <c r="AG1164" s="33">
        <f t="shared" si="220"/>
        <v>0</v>
      </c>
      <c r="AH1164" s="43" t="s">
        <v>1903</v>
      </c>
      <c r="AI1164" s="63">
        <f t="shared" si="223"/>
        <v>1.2727272727272728E-3</v>
      </c>
      <c r="AJ1164" s="284">
        <f>RTD("money.excel",,$G1164,"PredictVolume")</f>
        <v>70</v>
      </c>
      <c r="AK1164" s="399">
        <f>IFERROR(VLOOKUP($G1164,基本資料!$A:$M,13,0),"無")</f>
        <v>39.82</v>
      </c>
    </row>
    <row r="1165" spans="1:37">
      <c r="A1165" s="347">
        <f>IFERROR(VLOOKUP($G1165,基本資料!$A:$J,3,0),"無")</f>
        <v>5.32</v>
      </c>
      <c r="B1165" s="79">
        <f>IFERROR(VLOOKUP($G1165,基本資料!$A:$J,4,0),"無")</f>
        <v>108</v>
      </c>
      <c r="C1165" s="79">
        <f>IFERROR(VLOOKUP($G1165,基本資料!$A:$J,5,0),"無")</f>
        <v>1090</v>
      </c>
      <c r="D1165" s="79">
        <f>IFERROR(VLOOKUP($G1165,基本資料!$A:$J,6,0),"無")</f>
        <v>-13</v>
      </c>
      <c r="E1165" s="79">
        <f>IFERROR(VLOOKUP($G1165,基本資料!$A:$J,7,0),"無")</f>
        <v>14</v>
      </c>
      <c r="F1165" s="6">
        <f>IFERROR(VLOOKUP($G1165,基本資料!$A:$J,8,0),"無")</f>
        <v>4.3</v>
      </c>
      <c r="G1165" s="79">
        <v>6165</v>
      </c>
      <c r="H1165" s="8" t="s">
        <v>308</v>
      </c>
      <c r="I1165" s="22" t="s">
        <v>3210</v>
      </c>
      <c r="J1165" s="8" t="str">
        <f>IFERROR(VLOOKUP($G1165,今日總結!$A:$AJ,35,0),"")</f>
        <v/>
      </c>
      <c r="K1165" s="5" t="str">
        <f>IFERROR(VLOOKUP($G1165,今日總結!$A:$AJ,36,0),"")</f>
        <v/>
      </c>
      <c r="L1165" s="156" t="str">
        <f>IFERROR(VLOOKUP($G1165,今日總結!$A:$AJ,33,0),"")</f>
        <v/>
      </c>
      <c r="M1165" s="340" t="str">
        <f>IFERROR(VLOOKUP($G1165,今日總結!$A:$AJ,34,0),"")</f>
        <v/>
      </c>
      <c r="N1165" s="240" t="str">
        <f t="shared" si="221"/>
        <v/>
      </c>
      <c r="P1165" s="365">
        <f>IFERROR(VLOOKUP($G1165,融外自投!$A:$J,7,0),"無")</f>
        <v>174</v>
      </c>
      <c r="Q1165" s="79">
        <f>IFERROR(VLOOKUP($G1165,融外自投!$A:$J,9,0),"無")</f>
        <v>978</v>
      </c>
      <c r="R1165" s="346">
        <f>IFERROR(VLOOKUP($G1165,融外自投!$A:$J,8,0),"無")</f>
        <v>1229</v>
      </c>
      <c r="S1165" s="81" t="str">
        <f>IFERROR(VLOOKUP($G1165,融外自投!$A:$J,10,0),"無")</f>
        <v>無</v>
      </c>
      <c r="T1165" s="327">
        <f>IFERROR(VLOOKUP($G1165,'321買'!$A:$E,5,0),"'沒有資料'")</f>
        <v>915</v>
      </c>
      <c r="U1165" s="186">
        <f>IFERROR(VLOOKUP($G1165,基本資料!$A:$J,9,0),"無")</f>
        <v>0</v>
      </c>
      <c r="V1165" s="310">
        <f t="shared" si="222"/>
        <v>0</v>
      </c>
      <c r="W1165" s="94">
        <f>IFERROR(VLOOKUP($G1165,基本資料!$A:$J,10,0),"無")</f>
        <v>2.6</v>
      </c>
      <c r="X1165" s="36">
        <f>RTD("money.excel",,"6165","Price")</f>
        <v>24.8</v>
      </c>
      <c r="Y1165" s="66"/>
      <c r="Z1165" s="15">
        <f t="shared" si="218"/>
        <v>24.8</v>
      </c>
      <c r="AA1165" s="3" t="e">
        <f t="shared" si="219"/>
        <v>#DIV/0!</v>
      </c>
      <c r="AB1165" s="344">
        <f>IFERROR(VLOOKUP($G1165,基本資料!$A:$M,11,0),"無")</f>
        <v>-46.44</v>
      </c>
      <c r="AC1165" s="397">
        <f>IFERROR(VLOOKUP($G1165,基本資料!$A:$M,12,0),"無")</f>
        <v>8.59</v>
      </c>
      <c r="AD1165" s="22" t="s">
        <v>3210</v>
      </c>
      <c r="AG1165" s="33">
        <f t="shared" si="220"/>
        <v>0</v>
      </c>
      <c r="AH1165" s="43" t="s">
        <v>3275</v>
      </c>
      <c r="AI1165" s="63">
        <f t="shared" si="223"/>
        <v>5.3571428571428572E-3</v>
      </c>
      <c r="AJ1165" s="284">
        <f>RTD("money.excel",,$G1165,"PredictVolume")</f>
        <v>285</v>
      </c>
      <c r="AK1165" s="399">
        <f>IFERROR(VLOOKUP($G1165,基本資料!$A:$M,13,0),"無")</f>
        <v>41.5</v>
      </c>
    </row>
    <row r="1166" spans="1:37">
      <c r="A1166" s="347">
        <f>IFERROR(VLOOKUP($G1166,基本資料!$A:$J,3,0),"無")</f>
        <v>17.2</v>
      </c>
      <c r="B1166" s="79">
        <f>IFERROR(VLOOKUP($G1166,基本資料!$A:$J,4,0),"無")</f>
        <v>45</v>
      </c>
      <c r="C1166" s="79">
        <f>IFERROR(VLOOKUP($G1166,基本資料!$A:$J,5,0),"無")</f>
        <v>29</v>
      </c>
      <c r="D1166" s="79">
        <f>IFERROR(VLOOKUP($G1166,基本資料!$A:$J,6,0),"無")</f>
        <v>-4</v>
      </c>
      <c r="E1166" s="79">
        <f>IFERROR(VLOOKUP($G1166,基本資料!$A:$J,7,0),"無")</f>
        <v>-18</v>
      </c>
      <c r="F1166" s="6">
        <f>IFERROR(VLOOKUP($G1166,基本資料!$A:$J,8,0),"無")</f>
        <v>19.600000000000001</v>
      </c>
      <c r="G1166" s="79">
        <v>6173</v>
      </c>
      <c r="H1166" s="195" t="s">
        <v>308</v>
      </c>
      <c r="I1166" s="16" t="s">
        <v>82</v>
      </c>
      <c r="J1166" s="8" t="str">
        <f>IFERROR(VLOOKUP($G1166,今日總結!$A:$AJ,35,0),"")</f>
        <v/>
      </c>
      <c r="K1166" s="5" t="str">
        <f>IFERROR(VLOOKUP($G1166,今日總結!$A:$AJ,36,0),"")</f>
        <v/>
      </c>
      <c r="L1166" s="156" t="str">
        <f>IFERROR(VLOOKUP($G1166,今日總結!$A:$AJ,33,0),"")</f>
        <v/>
      </c>
      <c r="M1166" s="340" t="str">
        <f>IFERROR(VLOOKUP($G1166,今日總結!$A:$AJ,34,0),"")</f>
        <v/>
      </c>
      <c r="N1166" s="240" t="str">
        <f t="shared" si="221"/>
        <v/>
      </c>
      <c r="P1166" s="365">
        <f>IFERROR(VLOOKUP($G1166,融外自投!$A:$J,7,0),"無")</f>
        <v>356</v>
      </c>
      <c r="Q1166" s="79">
        <f>IFERROR(VLOOKUP($G1166,融外自投!$A:$J,9,0),"無")</f>
        <v>161</v>
      </c>
      <c r="R1166" s="346">
        <f>IFERROR(VLOOKUP($G1166,融外自投!$A:$J,8,0),"無")</f>
        <v>1078</v>
      </c>
      <c r="S1166" s="81" t="str">
        <f>IFERROR(VLOOKUP($G1166,融外自投!$A:$J,10,0),"無")</f>
        <v>無</v>
      </c>
      <c r="T1166" s="327">
        <f>IFERROR(VLOOKUP($G1166,'321買'!$A:$E,5,0),"'沒有資料'")</f>
        <v>852</v>
      </c>
      <c r="U1166" s="186">
        <f>IFERROR(VLOOKUP($G1166,基本資料!$A:$J,9,0),"無")</f>
        <v>2</v>
      </c>
      <c r="V1166" s="310">
        <f t="shared" si="222"/>
        <v>4.2105263157894736E-2</v>
      </c>
      <c r="W1166" s="94">
        <f>IFERROR(VLOOKUP($G1166,基本資料!$A:$J,10,0),"無")</f>
        <v>6.67</v>
      </c>
      <c r="X1166" s="36">
        <f>RTD("money.excel",,"6173","Price")</f>
        <v>47.5</v>
      </c>
      <c r="Y1166" s="66"/>
      <c r="Z1166" s="15">
        <f t="shared" si="218"/>
        <v>47.5</v>
      </c>
      <c r="AA1166" s="3" t="e">
        <f t="shared" si="219"/>
        <v>#DIV/0!</v>
      </c>
      <c r="AB1166" s="344">
        <f>IFERROR(VLOOKUP($G1166,基本資料!$A:$M,11,0),"無")</f>
        <v>-40.299999999999997</v>
      </c>
      <c r="AC1166" s="397">
        <f>IFERROR(VLOOKUP($G1166,基本資料!$A:$M,12,0),"無")</f>
        <v>12.19</v>
      </c>
      <c r="AD1166" s="16" t="s">
        <v>82</v>
      </c>
      <c r="AG1166" s="33">
        <f t="shared" si="220"/>
        <v>0</v>
      </c>
      <c r="AH1166" s="117" t="s">
        <v>1731</v>
      </c>
      <c r="AI1166" s="63">
        <f t="shared" si="223"/>
        <v>1.2790697674418604E-3</v>
      </c>
      <c r="AJ1166" s="284">
        <f>RTD("money.excel",,$G1166,"PredictVolume")</f>
        <v>220</v>
      </c>
      <c r="AK1166" s="399">
        <f>IFERROR(VLOOKUP($G1166,基本資料!$A:$M,13,0),"無")</f>
        <v>17.04</v>
      </c>
    </row>
    <row r="1167" spans="1:37">
      <c r="A1167" s="347">
        <f>IFERROR(VLOOKUP($G1167,基本資料!$A:$J,3,0),"無")</f>
        <v>5</v>
      </c>
      <c r="B1167" s="79">
        <f>IFERROR(VLOOKUP($G1167,基本資料!$A:$J,4,0),"無")</f>
        <v>6895</v>
      </c>
      <c r="C1167" s="79">
        <f>IFERROR(VLOOKUP($G1167,基本資料!$A:$J,5,0),"無")</f>
        <v>1478</v>
      </c>
      <c r="D1167" s="79">
        <f>IFERROR(VLOOKUP($G1167,基本資料!$A:$J,6,0),"無")</f>
        <v>-24</v>
      </c>
      <c r="E1167" s="79">
        <f>IFERROR(VLOOKUP($G1167,基本資料!$A:$J,7,0),"無")</f>
        <v>30</v>
      </c>
      <c r="F1167" s="6">
        <f>IFERROR(VLOOKUP($G1167,基本資料!$A:$J,8,0),"無")</f>
        <v>15.63</v>
      </c>
      <c r="G1167" s="79">
        <v>6174</v>
      </c>
      <c r="H1167" s="8" t="s">
        <v>308</v>
      </c>
      <c r="I1167" s="16" t="s">
        <v>430</v>
      </c>
      <c r="J1167" s="8" t="str">
        <f>IFERROR(VLOOKUP($G1167,今日總結!$A:$AJ,35,0),"")</f>
        <v/>
      </c>
      <c r="K1167" s="5" t="str">
        <f>IFERROR(VLOOKUP($G1167,今日總結!$A:$AJ,36,0),"")</f>
        <v/>
      </c>
      <c r="L1167" s="156" t="str">
        <f>IFERROR(VLOOKUP($G1167,今日總結!$A:$AJ,33,0),"")</f>
        <v/>
      </c>
      <c r="M1167" s="340" t="str">
        <f>IFERROR(VLOOKUP($G1167,今日總結!$A:$AJ,34,0),"")</f>
        <v/>
      </c>
      <c r="N1167" s="240" t="str">
        <f t="shared" si="221"/>
        <v/>
      </c>
      <c r="P1167" s="365">
        <f>IFERROR(VLOOKUP($G1167,融外自投!$A:$J,7,0),"無")</f>
        <v>488</v>
      </c>
      <c r="Q1167" s="79">
        <f>IFERROR(VLOOKUP($G1167,融外自投!$A:$J,9,0),"無")</f>
        <v>852</v>
      </c>
      <c r="R1167" s="346">
        <f>IFERROR(VLOOKUP($G1167,融外自投!$A:$J,8,0),"無")</f>
        <v>720</v>
      </c>
      <c r="S1167" s="81" t="str">
        <f>IFERROR(VLOOKUP($G1167,融外自投!$A:$J,10,0),"無")</f>
        <v>無</v>
      </c>
      <c r="T1167" s="327">
        <f>IFERROR(VLOOKUP($G1167,'321買'!$A:$E,5,0),"'沒有資料'")</f>
        <v>536</v>
      </c>
      <c r="U1167" s="186">
        <f>IFERROR(VLOOKUP($G1167,基本資料!$A:$J,9,0),"無")</f>
        <v>1.6</v>
      </c>
      <c r="V1167" s="310">
        <f t="shared" si="222"/>
        <v>5.1863857374392218E-2</v>
      </c>
      <c r="W1167" s="94">
        <f>IFERROR(VLOOKUP($G1167,基本資料!$A:$J,10,0),"無")</f>
        <v>1.79</v>
      </c>
      <c r="X1167" s="36">
        <f>RTD("money.excel",,"6174","Price")</f>
        <v>30.85</v>
      </c>
      <c r="Y1167" s="66"/>
      <c r="Z1167" s="15">
        <f t="shared" si="218"/>
        <v>30.85</v>
      </c>
      <c r="AA1167" s="3" t="e">
        <f t="shared" si="219"/>
        <v>#DIV/0!</v>
      </c>
      <c r="AB1167" s="344">
        <f>IFERROR(VLOOKUP($G1167,基本資料!$A:$M,11,0),"無")</f>
        <v>-21.05</v>
      </c>
      <c r="AC1167" s="397">
        <f>IFERROR(VLOOKUP($G1167,基本資料!$A:$M,12,0),"無")</f>
        <v>50.64</v>
      </c>
      <c r="AD1167" s="16" t="s">
        <v>430</v>
      </c>
      <c r="AG1167" s="33">
        <f t="shared" si="220"/>
        <v>0</v>
      </c>
      <c r="AH1167" s="43" t="s">
        <v>1728</v>
      </c>
      <c r="AI1167" s="63">
        <f t="shared" si="223"/>
        <v>5.4200000000000003E-3</v>
      </c>
      <c r="AJ1167" s="284">
        <f>RTD("money.excel",,$G1167,"PredictVolume")</f>
        <v>271</v>
      </c>
      <c r="AK1167" s="399">
        <f>IFERROR(VLOOKUP($G1167,基本資料!$A:$M,13,0),"無")</f>
        <v>22.11</v>
      </c>
    </row>
    <row r="1168" spans="1:37">
      <c r="A1168" s="347">
        <f>IFERROR(VLOOKUP($G1168,基本資料!$A:$J,3,0),"無")</f>
        <v>14.32</v>
      </c>
      <c r="B1168" s="79">
        <f>IFERROR(VLOOKUP($G1168,基本資料!$A:$J,4,0),"無")</f>
        <v>67</v>
      </c>
      <c r="C1168" s="79">
        <f>IFERROR(VLOOKUP($G1168,基本資料!$A:$J,5,0),"無")</f>
        <v>54</v>
      </c>
      <c r="D1168" s="79">
        <f>IFERROR(VLOOKUP($G1168,基本資料!$A:$J,6,0),"無")</f>
        <v>-5</v>
      </c>
      <c r="E1168" s="79">
        <f>IFERROR(VLOOKUP($G1168,基本資料!$A:$J,7,0),"無")</f>
        <v>6</v>
      </c>
      <c r="F1168" s="6">
        <f>IFERROR(VLOOKUP($G1168,基本資料!$A:$J,8,0),"無")</f>
        <v>16.57</v>
      </c>
      <c r="G1168" s="79">
        <v>6175</v>
      </c>
      <c r="H1168" s="195" t="s">
        <v>308</v>
      </c>
      <c r="I1168" s="16" t="s">
        <v>4594</v>
      </c>
      <c r="J1168" s="8" t="str">
        <f>IFERROR(VLOOKUP($G1168,今日總結!$A:$AJ,35,0),"")</f>
        <v/>
      </c>
      <c r="K1168" s="5" t="str">
        <f>IFERROR(VLOOKUP($G1168,今日總結!$A:$AJ,36,0),"")</f>
        <v/>
      </c>
      <c r="L1168" s="156" t="str">
        <f>IFERROR(VLOOKUP($G1168,今日總結!$A:$AJ,33,0),"")</f>
        <v/>
      </c>
      <c r="M1168" s="340" t="str">
        <f>IFERROR(VLOOKUP($G1168,今日總結!$A:$AJ,34,0),"")</f>
        <v/>
      </c>
      <c r="N1168" s="240" t="str">
        <f t="shared" si="221"/>
        <v/>
      </c>
      <c r="P1168" s="365">
        <f>IFERROR(VLOOKUP($G1168,融外自投!$A:$J,7,0),"無")</f>
        <v>521</v>
      </c>
      <c r="Q1168" s="79" t="str">
        <f>IFERROR(VLOOKUP($G1168,融外自投!$A:$J,9,0),"無")</f>
        <v>無</v>
      </c>
      <c r="R1168" s="346">
        <f>IFERROR(VLOOKUP($G1168,融外自投!$A:$J,8,0),"無")</f>
        <v>329</v>
      </c>
      <c r="S1168" s="81" t="str">
        <f>IFERROR(VLOOKUP($G1168,融外自投!$A:$J,10,0),"無")</f>
        <v>無</v>
      </c>
      <c r="T1168" s="327">
        <f>IFERROR(VLOOKUP($G1168,'321買'!$A:$E,5,0),"'沒有資料'")</f>
        <v>623</v>
      </c>
      <c r="U1168" s="186">
        <f>IFERROR(VLOOKUP($G1168,基本資料!$A:$J,9,0),"無")</f>
        <v>1.5</v>
      </c>
      <c r="V1168" s="310">
        <f t="shared" si="222"/>
        <v>4.4117647058823532E-2</v>
      </c>
      <c r="W1168" s="94">
        <f>IFERROR(VLOOKUP($G1168,基本資料!$A:$J,10,0),"無")</f>
        <v>3.45</v>
      </c>
      <c r="X1168" s="36">
        <f>RTD("money.excel",,"6175","Price")</f>
        <v>34</v>
      </c>
      <c r="Y1168" s="66"/>
      <c r="Z1168" s="15">
        <f t="shared" si="218"/>
        <v>34</v>
      </c>
      <c r="AA1168" s="3" t="e">
        <f t="shared" si="219"/>
        <v>#DIV/0!</v>
      </c>
      <c r="AB1168" s="344">
        <f>IFERROR(VLOOKUP($G1168,基本資料!$A:$M,11,0),"無")</f>
        <v>-43.54</v>
      </c>
      <c r="AC1168" s="397">
        <f>IFERROR(VLOOKUP($G1168,基本資料!$A:$M,12,0),"無")</f>
        <v>11.33</v>
      </c>
      <c r="AD1168" s="16" t="s">
        <v>4594</v>
      </c>
      <c r="AG1168" s="33">
        <f t="shared" si="220"/>
        <v>0</v>
      </c>
      <c r="AH1168" s="119" t="s">
        <v>2295</v>
      </c>
      <c r="AI1168" s="63">
        <f t="shared" si="223"/>
        <v>2.2276536312849163E-3</v>
      </c>
      <c r="AJ1168" s="284">
        <f>RTD("money.excel",,$G1168,"PredictVolume")</f>
        <v>319</v>
      </c>
      <c r="AK1168" s="399">
        <f>IFERROR(VLOOKUP($G1168,基本資料!$A:$M,13,0),"無")</f>
        <v>19.8</v>
      </c>
    </row>
    <row r="1169" spans="1:37">
      <c r="A1169" s="347">
        <f>IFERROR(VLOOKUP($G1169,基本資料!$A:$J,3,0),"無")</f>
        <v>14.98</v>
      </c>
      <c r="B1169" s="79">
        <f>IFERROR(VLOOKUP($G1169,基本資料!$A:$J,4,0),"無")</f>
        <v>-11</v>
      </c>
      <c r="C1169" s="79">
        <f>IFERROR(VLOOKUP($G1169,基本資料!$A:$J,5,0),"無")</f>
        <v>-61</v>
      </c>
      <c r="D1169" s="79">
        <f>IFERROR(VLOOKUP($G1169,基本資料!$A:$J,6,0),"無")</f>
        <v>15</v>
      </c>
      <c r="E1169" s="79">
        <f>IFERROR(VLOOKUP($G1169,基本資料!$A:$J,7,0),"無")</f>
        <v>16</v>
      </c>
      <c r="F1169" s="6">
        <f>IFERROR(VLOOKUP($G1169,基本資料!$A:$J,8,0),"無")</f>
        <v>-22.29</v>
      </c>
      <c r="G1169" s="79">
        <v>6185</v>
      </c>
      <c r="H1169" s="8" t="s">
        <v>308</v>
      </c>
      <c r="I1169" s="16" t="s">
        <v>431</v>
      </c>
      <c r="J1169" s="8" t="str">
        <f>IFERROR(VLOOKUP($G1169,今日總結!$A:$AJ,35,0),"")</f>
        <v/>
      </c>
      <c r="K1169" s="5" t="str">
        <f>IFERROR(VLOOKUP($G1169,今日總結!$A:$AJ,36,0),"")</f>
        <v/>
      </c>
      <c r="L1169" s="156" t="str">
        <f>IFERROR(VLOOKUP($G1169,今日總結!$A:$AJ,33,0),"")</f>
        <v/>
      </c>
      <c r="M1169" s="340" t="str">
        <f>IFERROR(VLOOKUP($G1169,今日總結!$A:$AJ,34,0),"")</f>
        <v/>
      </c>
      <c r="N1169" s="240" t="str">
        <f t="shared" si="221"/>
        <v/>
      </c>
      <c r="P1169" s="365">
        <f>IFERROR(VLOOKUP($G1169,融外自投!$A:$J,7,0),"無")</f>
        <v>948</v>
      </c>
      <c r="Q1169" s="79" t="str">
        <f>IFERROR(VLOOKUP($G1169,融外自投!$A:$J,9,0),"無")</f>
        <v>無</v>
      </c>
      <c r="R1169" s="346">
        <f>IFERROR(VLOOKUP($G1169,融外自投!$A:$J,8,0),"無")</f>
        <v>1173</v>
      </c>
      <c r="S1169" s="81" t="str">
        <f>IFERROR(VLOOKUP($G1169,融外自投!$A:$J,10,0),"無")</f>
        <v>無</v>
      </c>
      <c r="T1169" s="327">
        <f>IFERROR(VLOOKUP($G1169,'321買'!$A:$E,5,0),"'沒有資料'")</f>
        <v>1066</v>
      </c>
      <c r="U1169" s="186">
        <f>IFERROR(VLOOKUP($G1169,基本資料!$A:$J,9,0),"無")</f>
        <v>0.2</v>
      </c>
      <c r="V1169" s="310">
        <f t="shared" si="222"/>
        <v>1.6528925619834711E-2</v>
      </c>
      <c r="W1169" s="94">
        <f>IFERROR(VLOOKUP($G1169,基本資料!$A:$J,10,0),"無")</f>
        <v>-0.67</v>
      </c>
      <c r="X1169" s="36">
        <f>RTD("money.excel",,"6185","Price")</f>
        <v>12.1</v>
      </c>
      <c r="Y1169" s="66"/>
      <c r="Z1169" s="15">
        <f t="shared" si="218"/>
        <v>12.1</v>
      </c>
      <c r="AA1169" s="3" t="e">
        <f t="shared" si="219"/>
        <v>#DIV/0!</v>
      </c>
      <c r="AB1169" s="344">
        <f>IFERROR(VLOOKUP($G1169,基本資料!$A:$M,11,0),"無")</f>
        <v>-22.8</v>
      </c>
      <c r="AC1169" s="397">
        <f>IFERROR(VLOOKUP($G1169,基本資料!$A:$M,12,0),"無")</f>
        <v>17.13</v>
      </c>
      <c r="AD1169" s="16" t="s">
        <v>431</v>
      </c>
      <c r="AG1169" s="33">
        <f t="shared" si="220"/>
        <v>0</v>
      </c>
      <c r="AH1169" s="43" t="s">
        <v>1903</v>
      </c>
      <c r="AI1169" s="63">
        <f t="shared" si="223"/>
        <v>1.6288384512683578E-3</v>
      </c>
      <c r="AJ1169" s="284">
        <f>RTD("money.excel",,$G1169,"PredictVolume")</f>
        <v>244</v>
      </c>
      <c r="AK1169" s="399">
        <f>IFERROR(VLOOKUP($G1169,基本資料!$A:$M,13,0),"無")</f>
        <v>9.2799999999999994</v>
      </c>
    </row>
    <row r="1170" spans="1:37">
      <c r="A1170" s="347">
        <f>IFERROR(VLOOKUP($G1170,基本資料!$A:$J,3,0),"無")</f>
        <v>47.43</v>
      </c>
      <c r="B1170" s="79">
        <f>IFERROR(VLOOKUP($G1170,基本資料!$A:$J,4,0),"無")</f>
        <v>78</v>
      </c>
      <c r="C1170" s="79">
        <f>IFERROR(VLOOKUP($G1170,基本資料!$A:$J,5,0),"無")</f>
        <v>31</v>
      </c>
      <c r="D1170" s="79">
        <f>IFERROR(VLOOKUP($G1170,基本資料!$A:$J,6,0),"無")</f>
        <v>-27</v>
      </c>
      <c r="E1170" s="79">
        <f>IFERROR(VLOOKUP($G1170,基本資料!$A:$J,7,0),"無")</f>
        <v>-27</v>
      </c>
      <c r="F1170" s="6">
        <f>IFERROR(VLOOKUP($G1170,基本資料!$A:$J,8,0),"無")</f>
        <v>11.24</v>
      </c>
      <c r="G1170" s="79">
        <v>6191</v>
      </c>
      <c r="H1170" s="195" t="s">
        <v>308</v>
      </c>
      <c r="I1170" s="22" t="s">
        <v>238</v>
      </c>
      <c r="J1170" s="8" t="str">
        <f>IFERROR(VLOOKUP($G1170,今日總結!$A:$AJ,35,0),"")</f>
        <v/>
      </c>
      <c r="K1170" s="5" t="str">
        <f>IFERROR(VLOOKUP($G1170,今日總結!$A:$AJ,36,0),"")</f>
        <v/>
      </c>
      <c r="L1170" s="156" t="str">
        <f>IFERROR(VLOOKUP($G1170,今日總結!$A:$AJ,33,0),"")</f>
        <v/>
      </c>
      <c r="M1170" s="340" t="str">
        <f>IFERROR(VLOOKUP($G1170,今日總結!$A:$AJ,34,0),"")</f>
        <v/>
      </c>
      <c r="N1170" s="240" t="str">
        <f t="shared" si="221"/>
        <v/>
      </c>
      <c r="P1170" s="365">
        <f>IFERROR(VLOOKUP($G1170,融外自投!$A:$J,7,0),"無")</f>
        <v>378</v>
      </c>
      <c r="Q1170" s="79">
        <f>IFERROR(VLOOKUP($G1170,融外自投!$A:$J,9,0),"無")</f>
        <v>896</v>
      </c>
      <c r="R1170" s="346">
        <f>IFERROR(VLOOKUP($G1170,融外自投!$A:$J,8,0),"無")</f>
        <v>680</v>
      </c>
      <c r="S1170" s="81" t="str">
        <f>IFERROR(VLOOKUP($G1170,融外自投!$A:$J,10,0),"無")</f>
        <v>無</v>
      </c>
      <c r="T1170" s="327">
        <f>IFERROR(VLOOKUP($G1170,'321買'!$A:$E,5,0),"'沒有資料'")</f>
        <v>827</v>
      </c>
      <c r="U1170" s="186">
        <f>IFERROR(VLOOKUP($G1170,基本資料!$A:$J,9,0),"無")</f>
        <v>1.74</v>
      </c>
      <c r="V1170" s="310">
        <f t="shared" si="222"/>
        <v>5.878378378378378E-2</v>
      </c>
      <c r="W1170" s="94">
        <f>IFERROR(VLOOKUP($G1170,基本資料!$A:$J,10,0),"無")</f>
        <v>5.79</v>
      </c>
      <c r="X1170" s="36">
        <f>RTD("money.excel",,"6191","Price")</f>
        <v>29.6</v>
      </c>
      <c r="Y1170" s="66"/>
      <c r="Z1170" s="15">
        <f t="shared" si="218"/>
        <v>29.6</v>
      </c>
      <c r="AA1170" s="3" t="e">
        <f t="shared" si="219"/>
        <v>#DIV/0!</v>
      </c>
      <c r="AB1170" s="344">
        <f>IFERROR(VLOOKUP($G1170,基本資料!$A:$M,11,0),"無")</f>
        <v>-27.35</v>
      </c>
      <c r="AC1170" s="397">
        <f>IFERROR(VLOOKUP($G1170,基本資料!$A:$M,12,0),"無")</f>
        <v>26.39</v>
      </c>
      <c r="AD1170" s="22" t="s">
        <v>238</v>
      </c>
      <c r="AG1170" s="33">
        <f t="shared" si="220"/>
        <v>0</v>
      </c>
      <c r="AH1170" s="117" t="s">
        <v>2090</v>
      </c>
      <c r="AI1170" s="63">
        <f t="shared" si="223"/>
        <v>4.0016866961838501E-3</v>
      </c>
      <c r="AJ1170" s="284">
        <f>RTD("money.excel",,$G1170,"PredictVolume")</f>
        <v>1898</v>
      </c>
      <c r="AK1170" s="399">
        <f>IFERROR(VLOOKUP($G1170,基本資料!$A:$M,13,0),"無")</f>
        <v>13.14</v>
      </c>
    </row>
    <row r="1171" spans="1:37">
      <c r="A1171" s="347">
        <f>IFERROR(VLOOKUP($G1171,基本資料!$A:$J,3,0),"無")</f>
        <v>6</v>
      </c>
      <c r="B1171" s="79">
        <f>IFERROR(VLOOKUP($G1171,基本資料!$A:$J,4,0),"無")</f>
        <v>-89</v>
      </c>
      <c r="C1171" s="79">
        <f>IFERROR(VLOOKUP($G1171,基本資料!$A:$J,5,0),"無")</f>
        <v>-92</v>
      </c>
      <c r="D1171" s="79">
        <f>IFERROR(VLOOKUP($G1171,基本資料!$A:$J,6,0),"無")</f>
        <v>40</v>
      </c>
      <c r="E1171" s="79">
        <f>IFERROR(VLOOKUP($G1171,基本資料!$A:$J,7,0),"無")</f>
        <v>-9</v>
      </c>
      <c r="F1171" s="6">
        <f>IFERROR(VLOOKUP($G1171,基本資料!$A:$J,8,0),"無")</f>
        <v>1.1200000000000001</v>
      </c>
      <c r="G1171" s="79">
        <v>6194</v>
      </c>
      <c r="H1171" s="8" t="s">
        <v>308</v>
      </c>
      <c r="I1171" s="16" t="s">
        <v>432</v>
      </c>
      <c r="J1171" s="8" t="str">
        <f>IFERROR(VLOOKUP($G1171,今日總結!$A:$AJ,35,0),"")</f>
        <v/>
      </c>
      <c r="K1171" s="5" t="str">
        <f>IFERROR(VLOOKUP($G1171,今日總結!$A:$AJ,36,0),"")</f>
        <v/>
      </c>
      <c r="L1171" s="156" t="str">
        <f>IFERROR(VLOOKUP($G1171,今日總結!$A:$AJ,33,0),"")</f>
        <v/>
      </c>
      <c r="M1171" s="340" t="str">
        <f>IFERROR(VLOOKUP($G1171,今日總結!$A:$AJ,34,0),"")</f>
        <v/>
      </c>
      <c r="N1171" s="240" t="str">
        <f t="shared" si="221"/>
        <v/>
      </c>
      <c r="P1171" s="365">
        <f>IFERROR(VLOOKUP($G1171,融外自投!$A:$J,7,0),"無")</f>
        <v>673</v>
      </c>
      <c r="Q1171" s="79">
        <f>IFERROR(VLOOKUP($G1171,融外自投!$A:$J,9,0),"無")</f>
        <v>978</v>
      </c>
      <c r="R1171" s="346">
        <f>IFERROR(VLOOKUP($G1171,融外自投!$A:$J,8,0),"無")</f>
        <v>1331</v>
      </c>
      <c r="S1171" s="81">
        <f>IFERROR(VLOOKUP($G1171,融外自投!$A:$J,10,0),"無")</f>
        <v>374</v>
      </c>
      <c r="T1171" s="327">
        <f>IFERROR(VLOOKUP($G1171,'321買'!$A:$E,5,0),"'沒有資料'")</f>
        <v>379</v>
      </c>
      <c r="U1171" s="186">
        <f>IFERROR(VLOOKUP($G1171,基本資料!$A:$J,9,0),"無")</f>
        <v>0.25</v>
      </c>
      <c r="V1171" s="310">
        <f t="shared" si="222"/>
        <v>1.0964912280701754E-2</v>
      </c>
      <c r="W1171" s="94">
        <f>IFERROR(VLOOKUP($G1171,基本資料!$A:$J,10,0),"無")</f>
        <v>0.26</v>
      </c>
      <c r="X1171" s="36">
        <f>RTD("money.excel",,"6194","Price")</f>
        <v>22.8</v>
      </c>
      <c r="Y1171" s="66"/>
      <c r="Z1171" s="15">
        <f t="shared" si="218"/>
        <v>22.8</v>
      </c>
      <c r="AA1171" s="3" t="e">
        <f t="shared" si="219"/>
        <v>#DIV/0!</v>
      </c>
      <c r="AB1171" s="344">
        <f>IFERROR(VLOOKUP($G1171,基本資料!$A:$M,11,0),"無")</f>
        <v>-32.549999999999997</v>
      </c>
      <c r="AC1171" s="397">
        <f>IFERROR(VLOOKUP($G1171,基本資料!$A:$M,12,0),"無")</f>
        <v>17.73</v>
      </c>
      <c r="AD1171" s="16" t="s">
        <v>432</v>
      </c>
      <c r="AG1171" s="33">
        <f t="shared" si="220"/>
        <v>0</v>
      </c>
      <c r="AH1171" s="43" t="s">
        <v>1044</v>
      </c>
      <c r="AI1171" s="63">
        <f t="shared" si="223"/>
        <v>5.0000000000000002E-5</v>
      </c>
      <c r="AJ1171" s="284">
        <f>RTD("money.excel",,$G1171,"PredictVolume")</f>
        <v>3</v>
      </c>
      <c r="AK1171" s="399">
        <f>IFERROR(VLOOKUP($G1171,基本資料!$A:$M,13,0),"無")</f>
        <v>1.38</v>
      </c>
    </row>
    <row r="1172" spans="1:37">
      <c r="A1172" s="347">
        <f>IFERROR(VLOOKUP($G1172,基本資料!$A:$J,3,0),"無")</f>
        <v>12.2</v>
      </c>
      <c r="B1172" s="79">
        <f>IFERROR(VLOOKUP($G1172,基本資料!$A:$J,4,0),"無")</f>
        <v>42</v>
      </c>
      <c r="C1172" s="79">
        <f>IFERROR(VLOOKUP($G1172,基本資料!$A:$J,5,0),"無")</f>
        <v>-5</v>
      </c>
      <c r="D1172" s="79">
        <f>IFERROR(VLOOKUP($G1172,基本資料!$A:$J,6,0),"無")</f>
        <v>6</v>
      </c>
      <c r="E1172" s="79">
        <f>IFERROR(VLOOKUP($G1172,基本資料!$A:$J,7,0),"無")</f>
        <v>0</v>
      </c>
      <c r="F1172" s="6">
        <f>IFERROR(VLOOKUP($G1172,基本資料!$A:$J,8,0),"無")</f>
        <v>9.2799999999999994</v>
      </c>
      <c r="G1172" s="79">
        <v>6197</v>
      </c>
      <c r="H1172" s="8" t="s">
        <v>308</v>
      </c>
      <c r="I1172" s="22" t="s">
        <v>397</v>
      </c>
      <c r="J1172" s="8">
        <f>IFERROR(VLOOKUP($G1172,今日總結!$A:$AJ,35,0),"")</f>
        <v>0</v>
      </c>
      <c r="K1172" s="5" t="str">
        <f>IFERROR(VLOOKUP($G1172,今日總結!$A:$AJ,36,0),"")</f>
        <v>外</v>
      </c>
      <c r="L1172" s="156">
        <f>IFERROR(VLOOKUP($G1172,今日總結!$A:$AJ,33,0),"")</f>
        <v>0</v>
      </c>
      <c r="M1172" s="340">
        <f>IFERROR(VLOOKUP($G1172,今日總結!$A:$AJ,34,0),"")</f>
        <v>2</v>
      </c>
      <c r="N1172" s="240">
        <f t="shared" si="221"/>
        <v>-2</v>
      </c>
      <c r="P1172" s="365">
        <f>IFERROR(VLOOKUP($G1172,融外自投!$A:$J,7,0),"無")</f>
        <v>779</v>
      </c>
      <c r="Q1172" s="79">
        <f>IFERROR(VLOOKUP($G1172,融外自投!$A:$J,9,0),"無")</f>
        <v>226</v>
      </c>
      <c r="R1172" s="346">
        <f>IFERROR(VLOOKUP($G1172,融外自投!$A:$J,8,0),"無")</f>
        <v>551</v>
      </c>
      <c r="S1172" s="81" t="str">
        <f>IFERROR(VLOOKUP($G1172,融外自投!$A:$J,10,0),"無")</f>
        <v>無</v>
      </c>
      <c r="T1172" s="327">
        <f>IFERROR(VLOOKUP($G1172,'321買'!$A:$E,5,0),"'沒有資料'")</f>
        <v>683</v>
      </c>
      <c r="U1172" s="186">
        <f>IFERROR(VLOOKUP($G1172,基本資料!$A:$J,9,0),"無")</f>
        <v>3</v>
      </c>
      <c r="V1172" s="310">
        <f t="shared" si="222"/>
        <v>7.9787234042553182E-2</v>
      </c>
      <c r="W1172" s="94">
        <f>IFERROR(VLOOKUP($G1172,基本資料!$A:$J,10,0),"無")</f>
        <v>3.06</v>
      </c>
      <c r="X1172" s="36">
        <f>RTD("money.excel",,"6197","Price")</f>
        <v>37.6</v>
      </c>
      <c r="Y1172" s="66"/>
      <c r="Z1172" s="15">
        <f t="shared" si="218"/>
        <v>37.6</v>
      </c>
      <c r="AA1172" s="3" t="e">
        <f t="shared" si="219"/>
        <v>#DIV/0!</v>
      </c>
      <c r="AB1172" s="344">
        <f>IFERROR(VLOOKUP($G1172,基本資料!$A:$M,11,0),"無")</f>
        <v>-26.12</v>
      </c>
      <c r="AC1172" s="397">
        <f>IFERROR(VLOOKUP($G1172,基本資料!$A:$M,12,0),"無")</f>
        <v>12.38</v>
      </c>
      <c r="AD1172" s="22" t="s">
        <v>397</v>
      </c>
      <c r="AG1172" s="33">
        <f t="shared" si="220"/>
        <v>0</v>
      </c>
      <c r="AH1172" s="43" t="s">
        <v>2548</v>
      </c>
      <c r="AI1172" s="63">
        <f t="shared" si="223"/>
        <v>1.1885245901639345E-3</v>
      </c>
      <c r="AJ1172" s="284">
        <f>RTD("money.excel",,$G1172,"PredictVolume")</f>
        <v>145</v>
      </c>
      <c r="AK1172" s="399">
        <f>IFERROR(VLOOKUP($G1172,基本資料!$A:$M,13,0),"無")</f>
        <v>20.94</v>
      </c>
    </row>
    <row r="1173" spans="1:37">
      <c r="A1173" s="347">
        <f>IFERROR(VLOOKUP($G1173,基本資料!$A:$J,3,0),"無")</f>
        <v>7.99</v>
      </c>
      <c r="B1173" s="79">
        <f>IFERROR(VLOOKUP($G1173,基本資料!$A:$J,4,0),"無")</f>
        <v>23</v>
      </c>
      <c r="C1173" s="79">
        <f>IFERROR(VLOOKUP($G1173,基本資料!$A:$J,5,0),"無")</f>
        <v>15</v>
      </c>
      <c r="D1173" s="79">
        <f>IFERROR(VLOOKUP($G1173,基本資料!$A:$J,6,0),"無")</f>
        <v>19</v>
      </c>
      <c r="E1173" s="79">
        <f>IFERROR(VLOOKUP($G1173,基本資料!$A:$J,7,0),"無")</f>
        <v>-47</v>
      </c>
      <c r="F1173" s="6">
        <f>IFERROR(VLOOKUP($G1173,基本資料!$A:$J,8,0),"無")</f>
        <v>20.239999999999998</v>
      </c>
      <c r="G1173" s="79">
        <v>6203</v>
      </c>
      <c r="H1173" s="8" t="s">
        <v>308</v>
      </c>
      <c r="I1173" s="16" t="s">
        <v>433</v>
      </c>
      <c r="J1173" s="8" t="str">
        <f>IFERROR(VLOOKUP($G1173,今日總結!$A:$AJ,35,0),"")</f>
        <v/>
      </c>
      <c r="K1173" s="5" t="str">
        <f>IFERROR(VLOOKUP($G1173,今日總結!$A:$AJ,36,0),"")</f>
        <v/>
      </c>
      <c r="L1173" s="156" t="str">
        <f>IFERROR(VLOOKUP($G1173,今日總結!$A:$AJ,33,0),"")</f>
        <v/>
      </c>
      <c r="M1173" s="340" t="str">
        <f>IFERROR(VLOOKUP($G1173,今日總結!$A:$AJ,34,0),"")</f>
        <v/>
      </c>
      <c r="N1173" s="240" t="str">
        <f t="shared" si="221"/>
        <v/>
      </c>
      <c r="P1173" s="365">
        <f>IFERROR(VLOOKUP($G1173,融外自投!$A:$J,7,0),"無")</f>
        <v>764</v>
      </c>
      <c r="Q1173" s="79">
        <f>IFERROR(VLOOKUP($G1173,融外自投!$A:$J,9,0),"無")</f>
        <v>852</v>
      </c>
      <c r="R1173" s="346">
        <f>IFERROR(VLOOKUP($G1173,融外自投!$A:$J,8,0),"無")</f>
        <v>1137</v>
      </c>
      <c r="S1173" s="81" t="str">
        <f>IFERROR(VLOOKUP($G1173,融外自投!$A:$J,10,0),"無")</f>
        <v>無</v>
      </c>
      <c r="T1173" s="327">
        <f>IFERROR(VLOOKUP($G1173,'321買'!$A:$E,5,0),"'沒有資料'")</f>
        <v>894</v>
      </c>
      <c r="U1173" s="186">
        <f>IFERROR(VLOOKUP($G1173,基本資料!$A:$J,9,0),"無")</f>
        <v>5</v>
      </c>
      <c r="V1173" s="310">
        <f t="shared" si="222"/>
        <v>9.5969289827255277E-2</v>
      </c>
      <c r="W1173" s="94">
        <f>IFERROR(VLOOKUP($G1173,基本資料!$A:$J,10,0),"無")</f>
        <v>9.42</v>
      </c>
      <c r="X1173" s="36">
        <f>RTD("money.excel",,"6203","Price")</f>
        <v>52.1</v>
      </c>
      <c r="Y1173" s="66"/>
      <c r="Z1173" s="15">
        <f t="shared" si="218"/>
        <v>52.1</v>
      </c>
      <c r="AA1173" s="3" t="e">
        <f t="shared" si="219"/>
        <v>#DIV/0!</v>
      </c>
      <c r="AB1173" s="344">
        <f>IFERROR(VLOOKUP($G1173,基本資料!$A:$M,11,0),"無")</f>
        <v>-56.67</v>
      </c>
      <c r="AC1173" s="397">
        <f>IFERROR(VLOOKUP($G1173,基本資料!$A:$M,12,0),"無")</f>
        <v>5.94</v>
      </c>
      <c r="AD1173" s="16" t="s">
        <v>433</v>
      </c>
      <c r="AG1173" s="33">
        <f t="shared" si="220"/>
        <v>0</v>
      </c>
      <c r="AH1173" s="43" t="s">
        <v>2373</v>
      </c>
      <c r="AI1173" s="63">
        <f t="shared" si="223"/>
        <v>5.6320400500625787E-4</v>
      </c>
      <c r="AJ1173" s="284">
        <f>RTD("money.excel",,$G1173,"PredictVolume")</f>
        <v>45</v>
      </c>
      <c r="AK1173" s="399">
        <f>IFERROR(VLOOKUP($G1173,基本資料!$A:$M,13,0),"無")</f>
        <v>6.68</v>
      </c>
    </row>
    <row r="1174" spans="1:37">
      <c r="A1174" s="347">
        <f>IFERROR(VLOOKUP($G1174,基本資料!$A:$J,3,0),"無")</f>
        <v>2.31</v>
      </c>
      <c r="B1174" s="79">
        <f>IFERROR(VLOOKUP($G1174,基本資料!$A:$J,4,0),"無")</f>
        <v>782</v>
      </c>
      <c r="C1174" s="79">
        <f>IFERROR(VLOOKUP($G1174,基本資料!$A:$J,5,0),"無")</f>
        <v>60</v>
      </c>
      <c r="D1174" s="79">
        <f>IFERROR(VLOOKUP($G1174,基本資料!$A:$J,6,0),"無")</f>
        <v>36</v>
      </c>
      <c r="E1174" s="79">
        <f>IFERROR(VLOOKUP($G1174,基本資料!$A:$J,7,0),"無")</f>
        <v>-25</v>
      </c>
      <c r="F1174" s="6">
        <f>IFERROR(VLOOKUP($G1174,基本資料!$A:$J,8,0),"無")</f>
        <v>9.0399999999999991</v>
      </c>
      <c r="G1174" s="79">
        <v>6204</v>
      </c>
      <c r="H1174" s="8" t="s">
        <v>308</v>
      </c>
      <c r="I1174" s="16" t="s">
        <v>4595</v>
      </c>
      <c r="J1174" s="8" t="str">
        <f>IFERROR(VLOOKUP($G1174,今日總結!$A:$AJ,35,0),"")</f>
        <v/>
      </c>
      <c r="K1174" s="5" t="str">
        <f>IFERROR(VLOOKUP($G1174,今日總結!$A:$AJ,36,0),"")</f>
        <v/>
      </c>
      <c r="L1174" s="156" t="str">
        <f>IFERROR(VLOOKUP($G1174,今日總結!$A:$AJ,33,0),"")</f>
        <v/>
      </c>
      <c r="M1174" s="340" t="str">
        <f>IFERROR(VLOOKUP($G1174,今日總結!$A:$AJ,34,0),"")</f>
        <v/>
      </c>
      <c r="N1174" s="240" t="str">
        <f t="shared" si="221"/>
        <v/>
      </c>
      <c r="P1174" s="365">
        <f>IFERROR(VLOOKUP($G1174,融外自投!$A:$J,7,0),"無")</f>
        <v>952</v>
      </c>
      <c r="Q1174" s="79">
        <f>IFERROR(VLOOKUP($G1174,融外自投!$A:$J,9,0),"無")</f>
        <v>852</v>
      </c>
      <c r="R1174" s="346">
        <f>IFERROR(VLOOKUP($G1174,融外自投!$A:$J,8,0),"無")</f>
        <v>1426</v>
      </c>
      <c r="S1174" s="81" t="str">
        <f>IFERROR(VLOOKUP($G1174,融外自投!$A:$J,10,0),"無")</f>
        <v>無</v>
      </c>
      <c r="T1174" s="327">
        <f>IFERROR(VLOOKUP($G1174,'321買'!$A:$E,5,0),"'沒有資料'")</f>
        <v>1296</v>
      </c>
      <c r="U1174" s="186">
        <f>IFERROR(VLOOKUP($G1174,基本資料!$A:$J,9,0),"無")</f>
        <v>20.2</v>
      </c>
      <c r="V1174" s="310">
        <f t="shared" si="222"/>
        <v>0.337228714524207</v>
      </c>
      <c r="W1174" s="94">
        <f>IFERROR(VLOOKUP($G1174,基本資料!$A:$J,10,0),"無")</f>
        <v>12.41</v>
      </c>
      <c r="X1174" s="36">
        <f>RTD("money.excel",,"6204","Price")</f>
        <v>59.9</v>
      </c>
      <c r="Y1174" s="66"/>
      <c r="Z1174" s="15">
        <f t="shared" si="218"/>
        <v>59.9</v>
      </c>
      <c r="AA1174" s="3" t="e">
        <f t="shared" si="219"/>
        <v>#DIV/0!</v>
      </c>
      <c r="AB1174" s="344">
        <f>IFERROR(VLOOKUP($G1174,基本資料!$A:$M,11,0),"無")</f>
        <v>-44.81</v>
      </c>
      <c r="AC1174" s="397">
        <f>IFERROR(VLOOKUP($G1174,基本資料!$A:$M,12,0),"無")</f>
        <v>12.9</v>
      </c>
      <c r="AD1174" s="16" t="s">
        <v>4595</v>
      </c>
      <c r="AG1174" s="33">
        <f t="shared" si="220"/>
        <v>0</v>
      </c>
      <c r="AH1174" s="43" t="s">
        <v>2420</v>
      </c>
      <c r="AI1174" s="63">
        <f t="shared" si="223"/>
        <v>7.3593073593073593E-4</v>
      </c>
      <c r="AJ1174" s="284">
        <f>RTD("money.excel",,$G1174,"PredictVolume")</f>
        <v>17</v>
      </c>
      <c r="AK1174" s="399">
        <f>IFERROR(VLOOKUP($G1174,基本資料!$A:$M,13,0),"無")</f>
        <v>2.68</v>
      </c>
    </row>
    <row r="1175" spans="1:37">
      <c r="A1175" s="347">
        <f>IFERROR(VLOOKUP($G1175,基本資料!$A:$J,3,0),"無")</f>
        <v>7.93</v>
      </c>
      <c r="B1175" s="79">
        <f>IFERROR(VLOOKUP($G1175,基本資料!$A:$J,4,0),"無")</f>
        <v>2</v>
      </c>
      <c r="C1175" s="79">
        <f>IFERROR(VLOOKUP($G1175,基本資料!$A:$J,5,0),"無")</f>
        <v>0</v>
      </c>
      <c r="D1175" s="79">
        <f>IFERROR(VLOOKUP($G1175,基本資料!$A:$J,6,0),"無")</f>
        <v>13</v>
      </c>
      <c r="E1175" s="79">
        <f>IFERROR(VLOOKUP($G1175,基本資料!$A:$J,7,0),"無")</f>
        <v>32</v>
      </c>
      <c r="F1175" s="6">
        <f>IFERROR(VLOOKUP($G1175,基本資料!$A:$J,8,0),"無")</f>
        <v>10.76</v>
      </c>
      <c r="G1175" s="79">
        <v>6205</v>
      </c>
      <c r="H1175" s="8" t="s">
        <v>308</v>
      </c>
      <c r="I1175" s="22" t="s">
        <v>398</v>
      </c>
      <c r="J1175" s="8">
        <f>IFERROR(VLOOKUP($G1175,今日總結!$A:$AJ,35,0),"")</f>
        <v>4</v>
      </c>
      <c r="K1175" s="5">
        <f>IFERROR(VLOOKUP($G1175,今日總結!$A:$AJ,36,0),"")</f>
        <v>0</v>
      </c>
      <c r="L1175" s="156">
        <f>IFERROR(VLOOKUP($G1175,今日總結!$A:$AJ,33,0),"")</f>
        <v>1</v>
      </c>
      <c r="M1175" s="340">
        <f>IFERROR(VLOOKUP($G1175,今日總結!$A:$AJ,34,0),"")</f>
        <v>0</v>
      </c>
      <c r="N1175" s="240">
        <f t="shared" si="221"/>
        <v>1</v>
      </c>
      <c r="P1175" s="365">
        <f>IFERROR(VLOOKUP($G1175,融外自投!$A:$J,7,0),"無")</f>
        <v>40</v>
      </c>
      <c r="Q1175" s="79" t="str">
        <f>IFERROR(VLOOKUP($G1175,融外自投!$A:$J,9,0),"無")</f>
        <v>無</v>
      </c>
      <c r="R1175" s="346">
        <f>IFERROR(VLOOKUP($G1175,融外自投!$A:$J,8,0),"無")</f>
        <v>1067</v>
      </c>
      <c r="S1175" s="81">
        <f>IFERROR(VLOOKUP($G1175,融外自投!$A:$J,10,0),"無")</f>
        <v>244</v>
      </c>
      <c r="T1175" s="327">
        <f>IFERROR(VLOOKUP($G1175,'321買'!$A:$E,5,0),"'沒有資料'")</f>
        <v>224</v>
      </c>
      <c r="U1175" s="186">
        <f>IFERROR(VLOOKUP($G1175,基本資料!$A:$J,9,0),"無")</f>
        <v>2</v>
      </c>
      <c r="V1175" s="310">
        <f t="shared" si="222"/>
        <v>2.4539877300613498E-2</v>
      </c>
      <c r="W1175" s="94">
        <f>IFERROR(VLOOKUP($G1175,基本資料!$A:$J,10,0),"無")</f>
        <v>2.02</v>
      </c>
      <c r="X1175" s="36">
        <f>RTD("money.excel",,"6205","Price")</f>
        <v>81.5</v>
      </c>
      <c r="Y1175" s="66"/>
      <c r="Z1175" s="15">
        <f t="shared" si="218"/>
        <v>81.5</v>
      </c>
      <c r="AA1175" s="3" t="e">
        <f t="shared" si="219"/>
        <v>#DIV/0!</v>
      </c>
      <c r="AB1175" s="344">
        <f>IFERROR(VLOOKUP($G1175,基本資料!$A:$M,11,0),"無")</f>
        <v>-16.93</v>
      </c>
      <c r="AC1175" s="397">
        <f>IFERROR(VLOOKUP($G1175,基本資料!$A:$M,12,0),"無")</f>
        <v>41.58</v>
      </c>
      <c r="AD1175" s="22" t="s">
        <v>398</v>
      </c>
      <c r="AG1175" s="33">
        <f t="shared" si="220"/>
        <v>0</v>
      </c>
      <c r="AH1175" s="43" t="s">
        <v>1903</v>
      </c>
      <c r="AI1175" s="63">
        <f t="shared" si="223"/>
        <v>2.3530895334174021E-2</v>
      </c>
      <c r="AJ1175" s="284">
        <f>RTD("money.excel",,$G1175,"PredictVolume")</f>
        <v>1866</v>
      </c>
      <c r="AK1175" s="399">
        <f>IFERROR(VLOOKUP($G1175,基本資料!$A:$M,13,0),"無")</f>
        <v>45.48</v>
      </c>
    </row>
    <row r="1176" spans="1:37">
      <c r="A1176" s="347">
        <f>IFERROR(VLOOKUP($G1176,基本資料!$A:$J,3,0),"無")</f>
        <v>8.3800000000000008</v>
      </c>
      <c r="B1176" s="79">
        <f>IFERROR(VLOOKUP($G1176,基本資料!$A:$J,4,0),"無")</f>
        <v>102</v>
      </c>
      <c r="C1176" s="79">
        <f>IFERROR(VLOOKUP($G1176,基本資料!$A:$J,5,0),"無")</f>
        <v>140</v>
      </c>
      <c r="D1176" s="79">
        <f>IFERROR(VLOOKUP($G1176,基本資料!$A:$J,6,0),"無")</f>
        <v>-37</v>
      </c>
      <c r="E1176" s="79">
        <f>IFERROR(VLOOKUP($G1176,基本資料!$A:$J,7,0),"無")</f>
        <v>-45</v>
      </c>
      <c r="F1176" s="6">
        <f>IFERROR(VLOOKUP($G1176,基本資料!$A:$J,8,0),"無")</f>
        <v>13.33</v>
      </c>
      <c r="G1176" s="79">
        <v>6207</v>
      </c>
      <c r="H1176" s="8" t="s">
        <v>308</v>
      </c>
      <c r="I1176" s="16" t="s">
        <v>318</v>
      </c>
      <c r="J1176" s="8" t="str">
        <f>IFERROR(VLOOKUP($G1176,今日總結!$A:$AJ,35,0),"")</f>
        <v/>
      </c>
      <c r="K1176" s="5" t="str">
        <f>IFERROR(VLOOKUP($G1176,今日總結!$A:$AJ,36,0),"")</f>
        <v/>
      </c>
      <c r="L1176" s="156" t="str">
        <f>IFERROR(VLOOKUP($G1176,今日總結!$A:$AJ,33,0),"")</f>
        <v/>
      </c>
      <c r="M1176" s="340" t="str">
        <f>IFERROR(VLOOKUP($G1176,今日總結!$A:$AJ,34,0),"")</f>
        <v/>
      </c>
      <c r="N1176" s="240" t="str">
        <f t="shared" si="221"/>
        <v/>
      </c>
      <c r="P1176" s="365">
        <f>IFERROR(VLOOKUP($G1176,融外自投!$A:$J,7,0),"無")</f>
        <v>534</v>
      </c>
      <c r="Q1176" s="79">
        <f>IFERROR(VLOOKUP($G1176,融外自投!$A:$J,9,0),"無")</f>
        <v>514</v>
      </c>
      <c r="R1176" s="346">
        <f>IFERROR(VLOOKUP($G1176,融外自投!$A:$J,8,0),"無")</f>
        <v>1055</v>
      </c>
      <c r="S1176" s="81" t="str">
        <f>IFERROR(VLOOKUP($G1176,融外自投!$A:$J,10,0),"無")</f>
        <v>無</v>
      </c>
      <c r="T1176" s="327">
        <f>IFERROR(VLOOKUP($G1176,'321買'!$A:$E,5,0),"'沒有資料'")</f>
        <v>869</v>
      </c>
      <c r="U1176" s="186">
        <f>IFERROR(VLOOKUP($G1176,基本資料!$A:$J,9,0),"無")</f>
        <v>0</v>
      </c>
      <c r="V1176" s="310">
        <f t="shared" si="222"/>
        <v>0</v>
      </c>
      <c r="W1176" s="94">
        <f>IFERROR(VLOOKUP($G1176,基本資料!$A:$J,10,0),"無")</f>
        <v>3.07</v>
      </c>
      <c r="X1176" s="36">
        <f>RTD("money.excel",,"6207","Price")</f>
        <v>29.45</v>
      </c>
      <c r="Y1176" s="66"/>
      <c r="Z1176" s="15">
        <f t="shared" si="218"/>
        <v>29.45</v>
      </c>
      <c r="AA1176" s="3" t="e">
        <f t="shared" si="219"/>
        <v>#DIV/0!</v>
      </c>
      <c r="AB1176" s="344">
        <f>IFERROR(VLOOKUP($G1176,基本資料!$A:$M,11,0),"無")</f>
        <v>-30.24</v>
      </c>
      <c r="AC1176" s="397">
        <f>IFERROR(VLOOKUP($G1176,基本資料!$A:$M,12,0),"無")</f>
        <v>14.14</v>
      </c>
      <c r="AD1176" s="16" t="s">
        <v>318</v>
      </c>
      <c r="AG1176" s="33">
        <f t="shared" si="220"/>
        <v>0</v>
      </c>
      <c r="AH1176" s="43" t="s">
        <v>2302</v>
      </c>
      <c r="AI1176" s="63">
        <f t="shared" si="223"/>
        <v>1.3723150357995225E-3</v>
      </c>
      <c r="AJ1176" s="284">
        <f>RTD("money.excel",,$G1176,"PredictVolume")</f>
        <v>115</v>
      </c>
      <c r="AK1176" s="399">
        <f>IFERROR(VLOOKUP($G1176,基本資料!$A:$M,13,0),"無")</f>
        <v>23.9</v>
      </c>
    </row>
    <row r="1177" spans="1:37">
      <c r="A1177" s="347">
        <f>IFERROR(VLOOKUP($G1177,基本資料!$A:$J,3,0),"無")</f>
        <v>11.82</v>
      </c>
      <c r="B1177" s="79">
        <f>IFERROR(VLOOKUP($G1177,基本資料!$A:$J,4,0),"無")</f>
        <v>23</v>
      </c>
      <c r="C1177" s="79">
        <f>IFERROR(VLOOKUP($G1177,基本資料!$A:$J,5,0),"無")</f>
        <v>69</v>
      </c>
      <c r="D1177" s="79">
        <f>IFERROR(VLOOKUP($G1177,基本資料!$A:$J,6,0),"無")</f>
        <v>-7</v>
      </c>
      <c r="E1177" s="79">
        <f>IFERROR(VLOOKUP($G1177,基本資料!$A:$J,7,0),"無")</f>
        <v>15</v>
      </c>
      <c r="F1177" s="6">
        <f>IFERROR(VLOOKUP($G1177,基本資料!$A:$J,8,0),"無")</f>
        <v>14.24</v>
      </c>
      <c r="G1177" s="79">
        <v>6208</v>
      </c>
      <c r="H1177" s="8" t="s">
        <v>308</v>
      </c>
      <c r="I1177" s="16" t="s">
        <v>4596</v>
      </c>
      <c r="J1177" s="8" t="str">
        <f>IFERROR(VLOOKUP($G1177,今日總結!$A:$AJ,35,0),"")</f>
        <v/>
      </c>
      <c r="K1177" s="5" t="str">
        <f>IFERROR(VLOOKUP($G1177,今日總結!$A:$AJ,36,0),"")</f>
        <v/>
      </c>
      <c r="L1177" s="156" t="str">
        <f>IFERROR(VLOOKUP($G1177,今日總結!$A:$AJ,33,0),"")</f>
        <v/>
      </c>
      <c r="M1177" s="340" t="str">
        <f>IFERROR(VLOOKUP($G1177,今日總結!$A:$AJ,34,0),"")</f>
        <v/>
      </c>
      <c r="N1177" s="240" t="str">
        <f t="shared" si="221"/>
        <v/>
      </c>
      <c r="P1177" s="365">
        <f>IFERROR(VLOOKUP($G1177,融外自投!$A:$J,7,0),"無")</f>
        <v>618</v>
      </c>
      <c r="Q1177" s="79" t="str">
        <f>IFERROR(VLOOKUP($G1177,融外自投!$A:$J,9,0),"無")</f>
        <v>無</v>
      </c>
      <c r="R1177" s="346">
        <f>IFERROR(VLOOKUP($G1177,融外自投!$A:$J,8,0),"無")</f>
        <v>1100</v>
      </c>
      <c r="S1177" s="81" t="str">
        <f>IFERROR(VLOOKUP($G1177,融外自投!$A:$J,10,0),"無")</f>
        <v>無</v>
      </c>
      <c r="T1177" s="327">
        <f>IFERROR(VLOOKUP($G1177,'321買'!$A:$E,5,0),"'沒有資料'")</f>
        <v>664</v>
      </c>
      <c r="U1177" s="186">
        <f>IFERROR(VLOOKUP($G1177,基本資料!$A:$J,9,0),"無")</f>
        <v>2.2000000000000002</v>
      </c>
      <c r="V1177" s="310">
        <f t="shared" si="222"/>
        <v>4.296875E-2</v>
      </c>
      <c r="W1177" s="94">
        <f>IFERROR(VLOOKUP($G1177,基本資料!$A:$J,10,0),"無")</f>
        <v>3.32</v>
      </c>
      <c r="X1177" s="36">
        <f>RTD("money.excel",,"6208","Price")</f>
        <v>51.2</v>
      </c>
      <c r="Y1177" s="66"/>
      <c r="Z1177" s="15">
        <f t="shared" si="218"/>
        <v>51.2</v>
      </c>
      <c r="AA1177" s="3" t="e">
        <f t="shared" si="219"/>
        <v>#DIV/0!</v>
      </c>
      <c r="AB1177" s="344">
        <f>IFERROR(VLOOKUP($G1177,基本資料!$A:$M,11,0),"無")</f>
        <v>-19.72</v>
      </c>
      <c r="AC1177" s="397">
        <f>IFERROR(VLOOKUP($G1177,基本資料!$A:$M,12,0),"無")</f>
        <v>20.78</v>
      </c>
      <c r="AD1177" s="16" t="s">
        <v>4596</v>
      </c>
      <c r="AG1177" s="33">
        <f t="shared" si="220"/>
        <v>0</v>
      </c>
      <c r="AH1177" s="43" t="s">
        <v>2942</v>
      </c>
      <c r="AI1177" s="63">
        <f t="shared" si="223"/>
        <v>2.0050761421319795E-3</v>
      </c>
      <c r="AJ1177" s="284">
        <f>RTD("money.excel",,$G1177,"PredictVolume")</f>
        <v>237</v>
      </c>
      <c r="AK1177" s="399">
        <f>IFERROR(VLOOKUP($G1177,基本資料!$A:$M,13,0),"無")</f>
        <v>25.58</v>
      </c>
    </row>
    <row r="1178" spans="1:37">
      <c r="A1178" s="347">
        <f>IFERROR(VLOOKUP($G1178,基本資料!$A:$J,3,0),"無")</f>
        <v>3.5</v>
      </c>
      <c r="B1178" s="79">
        <f>IFERROR(VLOOKUP($G1178,基本資料!$A:$J,4,0),"無")</f>
        <v>-8</v>
      </c>
      <c r="C1178" s="79">
        <f>IFERROR(VLOOKUP($G1178,基本資料!$A:$J,5,0),"無")</f>
        <v>-14</v>
      </c>
      <c r="D1178" s="79">
        <f>IFERROR(VLOOKUP($G1178,基本資料!$A:$J,6,0),"無")</f>
        <v>40</v>
      </c>
      <c r="E1178" s="79">
        <f>IFERROR(VLOOKUP($G1178,基本資料!$A:$J,7,0),"無")</f>
        <v>24</v>
      </c>
      <c r="F1178" s="6">
        <f>IFERROR(VLOOKUP($G1178,基本資料!$A:$J,8,0),"無")</f>
        <v>16.32</v>
      </c>
      <c r="G1178" s="79">
        <v>6210</v>
      </c>
      <c r="H1178" s="8" t="s">
        <v>308</v>
      </c>
      <c r="I1178" s="16" t="s">
        <v>435</v>
      </c>
      <c r="J1178" s="8" t="str">
        <f>IFERROR(VLOOKUP($G1178,今日總結!$A:$AJ,35,0),"")</f>
        <v/>
      </c>
      <c r="K1178" s="5" t="str">
        <f>IFERROR(VLOOKUP($G1178,今日總結!$A:$AJ,36,0),"")</f>
        <v/>
      </c>
      <c r="L1178" s="156" t="str">
        <f>IFERROR(VLOOKUP($G1178,今日總結!$A:$AJ,33,0),"")</f>
        <v/>
      </c>
      <c r="M1178" s="340" t="str">
        <f>IFERROR(VLOOKUP($G1178,今日總結!$A:$AJ,34,0),"")</f>
        <v/>
      </c>
      <c r="N1178" s="240" t="str">
        <f t="shared" si="221"/>
        <v/>
      </c>
      <c r="P1178" s="365">
        <f>IFERROR(VLOOKUP($G1178,融外自投!$A:$J,7,0),"無")</f>
        <v>1251</v>
      </c>
      <c r="Q1178" s="79" t="str">
        <f>IFERROR(VLOOKUP($G1178,融外自投!$A:$J,9,0),"無")</f>
        <v>無</v>
      </c>
      <c r="R1178" s="346">
        <f>IFERROR(VLOOKUP($G1178,融外自投!$A:$J,8,0),"無")</f>
        <v>1433</v>
      </c>
      <c r="S1178" s="81" t="str">
        <f>IFERROR(VLOOKUP($G1178,融外自投!$A:$J,10,0),"無")</f>
        <v>無</v>
      </c>
      <c r="T1178" s="327" t="str">
        <f>IFERROR(VLOOKUP($G1178,'321買'!$A:$E,5,0),"'沒有資料'")</f>
        <v>'沒有資料'</v>
      </c>
      <c r="U1178" s="186">
        <f>IFERROR(VLOOKUP($G1178,基本資料!$A:$J,9,0),"無")</f>
        <v>3</v>
      </c>
      <c r="V1178" s="310">
        <f t="shared" si="222"/>
        <v>7.2289156626506021E-2</v>
      </c>
      <c r="W1178" s="94">
        <f>IFERROR(VLOOKUP($G1178,基本資料!$A:$J,10,0),"無")</f>
        <v>2.95</v>
      </c>
      <c r="X1178" s="36">
        <f>RTD("money.excel",,"6210","Price")</f>
        <v>41.5</v>
      </c>
      <c r="Y1178" s="66"/>
      <c r="Z1178" s="15">
        <f t="shared" si="218"/>
        <v>41.5</v>
      </c>
      <c r="AA1178" s="3" t="e">
        <f t="shared" si="219"/>
        <v>#DIV/0!</v>
      </c>
      <c r="AB1178" s="344">
        <f>IFERROR(VLOOKUP($G1178,基本資料!$A:$M,11,0),"無")</f>
        <v>-3.81</v>
      </c>
      <c r="AC1178" s="397">
        <f>IFERROR(VLOOKUP($G1178,基本資料!$A:$M,12,0),"無")</f>
        <v>58.12</v>
      </c>
      <c r="AD1178" s="16" t="s">
        <v>435</v>
      </c>
      <c r="AG1178" s="33">
        <f t="shared" si="220"/>
        <v>0</v>
      </c>
      <c r="AH1178" s="43" t="s">
        <v>1044</v>
      </c>
      <c r="AI1178" s="63">
        <f t="shared" si="223"/>
        <v>5.142857142857143E-4</v>
      </c>
      <c r="AJ1178" s="284">
        <f>RTD("money.excel",,$G1178,"PredictVolume")</f>
        <v>18</v>
      </c>
      <c r="AK1178" s="399">
        <f>IFERROR(VLOOKUP($G1178,基本資料!$A:$M,13,0),"無")</f>
        <v>6.89</v>
      </c>
    </row>
    <row r="1179" spans="1:37">
      <c r="A1179" s="347">
        <f>IFERROR(VLOOKUP($G1179,基本資料!$A:$J,3,0),"無")</f>
        <v>38.29</v>
      </c>
      <c r="B1179" s="79">
        <f>IFERROR(VLOOKUP($G1179,基本資料!$A:$J,4,0),"無")</f>
        <v>17</v>
      </c>
      <c r="C1179" s="79">
        <f>IFERROR(VLOOKUP($G1179,基本資料!$A:$J,5,0),"無")</f>
        <v>18</v>
      </c>
      <c r="D1179" s="79">
        <f>IFERROR(VLOOKUP($G1179,基本資料!$A:$J,6,0),"無")</f>
        <v>-3</v>
      </c>
      <c r="E1179" s="79">
        <f>IFERROR(VLOOKUP($G1179,基本資料!$A:$J,7,0),"無")</f>
        <v>0</v>
      </c>
      <c r="F1179" s="6">
        <f>IFERROR(VLOOKUP($G1179,基本資料!$A:$J,8,0),"無")</f>
        <v>11.74</v>
      </c>
      <c r="G1179" s="79">
        <v>6213</v>
      </c>
      <c r="H1179" s="192" t="s">
        <v>308</v>
      </c>
      <c r="I1179" s="22" t="s">
        <v>58</v>
      </c>
      <c r="J1179" s="8" t="str">
        <f>IFERROR(VLOOKUP($G1179,今日總結!$A:$AJ,35,0),"")</f>
        <v/>
      </c>
      <c r="K1179" s="5" t="str">
        <f>IFERROR(VLOOKUP($G1179,今日總結!$A:$AJ,36,0),"")</f>
        <v/>
      </c>
      <c r="L1179" s="156" t="str">
        <f>IFERROR(VLOOKUP($G1179,今日總結!$A:$AJ,33,0),"")</f>
        <v/>
      </c>
      <c r="M1179" s="340" t="str">
        <f>IFERROR(VLOOKUP($G1179,今日總結!$A:$AJ,34,0),"")</f>
        <v/>
      </c>
      <c r="N1179" s="240" t="str">
        <f t="shared" si="221"/>
        <v/>
      </c>
      <c r="P1179" s="365">
        <f>IFERROR(VLOOKUP($G1179,融外自投!$A:$J,7,0),"無")</f>
        <v>802</v>
      </c>
      <c r="Q1179" s="79">
        <f>IFERROR(VLOOKUP($G1179,融外自投!$A:$J,9,0),"無")</f>
        <v>762</v>
      </c>
      <c r="R1179" s="346">
        <f>IFERROR(VLOOKUP($G1179,融外自投!$A:$J,8,0),"無")</f>
        <v>537</v>
      </c>
      <c r="S1179" s="81">
        <f>IFERROR(VLOOKUP($G1179,融外自投!$A:$J,10,0),"無")</f>
        <v>416</v>
      </c>
      <c r="T1179" s="327">
        <f>IFERROR(VLOOKUP($G1179,'321買'!$A:$E,5,0),"'沒有資料'")</f>
        <v>379</v>
      </c>
      <c r="U1179" s="186">
        <f>IFERROR(VLOOKUP($G1179,基本資料!$A:$J,9,0),"無")</f>
        <v>5</v>
      </c>
      <c r="V1179" s="310">
        <f t="shared" si="222"/>
        <v>0.05</v>
      </c>
      <c r="W1179" s="94">
        <f>IFERROR(VLOOKUP($G1179,基本資料!$A:$J,10,0),"無")</f>
        <v>9</v>
      </c>
      <c r="X1179" s="36">
        <f>RTD("money.excel",,"6213","Price")</f>
        <v>100</v>
      </c>
      <c r="Y1179" s="66"/>
      <c r="Z1179" s="15">
        <f t="shared" si="218"/>
        <v>100</v>
      </c>
      <c r="AA1179" s="3" t="e">
        <f t="shared" si="219"/>
        <v>#DIV/0!</v>
      </c>
      <c r="AB1179" s="344">
        <f>IFERROR(VLOOKUP($G1179,基本資料!$A:$M,11,0),"無")</f>
        <v>-41.58</v>
      </c>
      <c r="AC1179" s="397">
        <f>IFERROR(VLOOKUP($G1179,基本資料!$A:$M,12,0),"無")</f>
        <v>11.36</v>
      </c>
      <c r="AD1179" s="22" t="s">
        <v>58</v>
      </c>
      <c r="AG1179" s="33">
        <f t="shared" si="220"/>
        <v>0</v>
      </c>
      <c r="AH1179" s="117" t="s">
        <v>3278</v>
      </c>
      <c r="AI1179" s="63">
        <f t="shared" si="223"/>
        <v>7.4693131365891877E-4</v>
      </c>
      <c r="AJ1179" s="284">
        <f>RTD("money.excel",,$G1179,"PredictVolume")</f>
        <v>286</v>
      </c>
      <c r="AK1179" s="399">
        <f>IFERROR(VLOOKUP($G1179,基本資料!$A:$M,13,0),"無")</f>
        <v>8.76</v>
      </c>
    </row>
    <row r="1180" spans="1:37">
      <c r="A1180" s="347">
        <f>IFERROR(VLOOKUP($G1180,基本資料!$A:$J,3,0),"無")</f>
        <v>7.28</v>
      </c>
      <c r="B1180" s="79">
        <f>IFERROR(VLOOKUP($G1180,基本資料!$A:$J,4,0),"無")</f>
        <v>116</v>
      </c>
      <c r="C1180" s="79">
        <f>IFERROR(VLOOKUP($G1180,基本資料!$A:$J,5,0),"無")</f>
        <v>119</v>
      </c>
      <c r="D1180" s="79">
        <f>IFERROR(VLOOKUP($G1180,基本資料!$A:$J,6,0),"無")</f>
        <v>-13</v>
      </c>
      <c r="E1180" s="79">
        <f>IFERROR(VLOOKUP($G1180,基本資料!$A:$J,7,0),"無")</f>
        <v>22</v>
      </c>
      <c r="F1180" s="6">
        <f>IFERROR(VLOOKUP($G1180,基本資料!$A:$J,8,0),"無")</f>
        <v>7.12</v>
      </c>
      <c r="G1180" s="79">
        <v>6217</v>
      </c>
      <c r="H1180" s="8" t="s">
        <v>308</v>
      </c>
      <c r="I1180" s="16" t="s">
        <v>150</v>
      </c>
      <c r="J1180" s="8" t="str">
        <f>IFERROR(VLOOKUP($G1180,今日總結!$A:$AJ,35,0),"")</f>
        <v/>
      </c>
      <c r="K1180" s="5" t="str">
        <f>IFERROR(VLOOKUP($G1180,今日總結!$A:$AJ,36,0),"")</f>
        <v/>
      </c>
      <c r="L1180" s="156" t="str">
        <f>IFERROR(VLOOKUP($G1180,今日總結!$A:$AJ,33,0),"")</f>
        <v/>
      </c>
      <c r="M1180" s="340" t="str">
        <f>IFERROR(VLOOKUP($G1180,今日總結!$A:$AJ,34,0),"")</f>
        <v/>
      </c>
      <c r="N1180" s="240" t="str">
        <f t="shared" si="221"/>
        <v/>
      </c>
      <c r="P1180" s="365">
        <f>IFERROR(VLOOKUP($G1180,融外自投!$A:$J,7,0),"無")</f>
        <v>8</v>
      </c>
      <c r="Q1180" s="79">
        <f>IFERROR(VLOOKUP($G1180,融外自投!$A:$J,9,0),"無")</f>
        <v>100</v>
      </c>
      <c r="R1180" s="346">
        <f>IFERROR(VLOOKUP($G1180,融外自投!$A:$J,8,0),"無")</f>
        <v>1094</v>
      </c>
      <c r="S1180" s="81">
        <f>IFERROR(VLOOKUP($G1180,融外自投!$A:$J,10,0),"無")</f>
        <v>44</v>
      </c>
      <c r="T1180" s="327">
        <f>IFERROR(VLOOKUP($G1180,'321買'!$A:$E,5,0),"'沒有資料'")</f>
        <v>28</v>
      </c>
      <c r="U1180" s="186">
        <f>IFERROR(VLOOKUP($G1180,基本資料!$A:$J,9,0),"無")</f>
        <v>1.8</v>
      </c>
      <c r="V1180" s="310">
        <f t="shared" si="222"/>
        <v>3.1746031746031744E-2</v>
      </c>
      <c r="W1180" s="94">
        <f>IFERROR(VLOOKUP($G1180,基本資料!$A:$J,10,0),"無")</f>
        <v>2.7</v>
      </c>
      <c r="X1180" s="36">
        <f>RTD("money.excel",,"6217","Price")</f>
        <v>56.7</v>
      </c>
      <c r="Y1180" s="66"/>
      <c r="Z1180" s="15">
        <f t="shared" si="218"/>
        <v>56.7</v>
      </c>
      <c r="AA1180" s="3" t="e">
        <f t="shared" si="219"/>
        <v>#DIV/0!</v>
      </c>
      <c r="AB1180" s="344">
        <f>IFERROR(VLOOKUP($G1180,基本資料!$A:$M,11,0),"無")</f>
        <v>-14.82</v>
      </c>
      <c r="AC1180" s="397">
        <f>IFERROR(VLOOKUP($G1180,基本資料!$A:$M,12,0),"無")</f>
        <v>57.13</v>
      </c>
      <c r="AD1180" s="16" t="s">
        <v>150</v>
      </c>
      <c r="AG1180" s="33">
        <f t="shared" si="220"/>
        <v>0</v>
      </c>
      <c r="AH1180" s="117" t="s">
        <v>2306</v>
      </c>
      <c r="AI1180" s="63">
        <f t="shared" si="223"/>
        <v>1.7815934065934066E-2</v>
      </c>
      <c r="AJ1180" s="284">
        <f>RTD("money.excel",,$G1180,"PredictVolume")</f>
        <v>1297</v>
      </c>
      <c r="AK1180" s="399">
        <f>IFERROR(VLOOKUP($G1180,基本資料!$A:$M,13,0),"無")</f>
        <v>63.46</v>
      </c>
    </row>
    <row r="1181" spans="1:37">
      <c r="A1181" s="347">
        <f>IFERROR(VLOOKUP($G1181,基本資料!$A:$J,3,0),"無")</f>
        <v>13.19</v>
      </c>
      <c r="B1181" s="79">
        <f>IFERROR(VLOOKUP($G1181,基本資料!$A:$J,4,0),"無")</f>
        <v>-67</v>
      </c>
      <c r="C1181" s="79">
        <f>IFERROR(VLOOKUP($G1181,基本資料!$A:$J,5,0),"無")</f>
        <v>-60</v>
      </c>
      <c r="D1181" s="79">
        <f>IFERROR(VLOOKUP($G1181,基本資料!$A:$J,6,0),"無")</f>
        <v>49</v>
      </c>
      <c r="E1181" s="79">
        <f>IFERROR(VLOOKUP($G1181,基本資料!$A:$J,7,0),"無")</f>
        <v>3</v>
      </c>
      <c r="F1181" s="6">
        <f>IFERROR(VLOOKUP($G1181,基本資料!$A:$J,8,0),"無")</f>
        <v>1.71</v>
      </c>
      <c r="G1181" s="79">
        <v>6220</v>
      </c>
      <c r="H1181" s="8" t="s">
        <v>308</v>
      </c>
      <c r="I1181" s="16" t="s">
        <v>4597</v>
      </c>
      <c r="J1181" s="8" t="str">
        <f>IFERROR(VLOOKUP($G1181,今日總結!$A:$AJ,35,0),"")</f>
        <v>主</v>
      </c>
      <c r="K1181" s="5" t="str">
        <f>IFERROR(VLOOKUP($G1181,今日總結!$A:$AJ,36,0),"")</f>
        <v>融</v>
      </c>
      <c r="L1181" s="156">
        <f>IFERROR(VLOOKUP($G1181,今日總結!$A:$AJ,33,0),"")</f>
        <v>1</v>
      </c>
      <c r="M1181" s="340">
        <f>IFERROR(VLOOKUP($G1181,今日總結!$A:$AJ,34,0),"")</f>
        <v>1</v>
      </c>
      <c r="N1181" s="240">
        <f t="shared" si="221"/>
        <v>0</v>
      </c>
      <c r="P1181" s="365">
        <f>IFERROR(VLOOKUP($G1181,融外自投!$A:$J,7,0),"無")</f>
        <v>864</v>
      </c>
      <c r="Q1181" s="79">
        <f>IFERROR(VLOOKUP($G1181,融外自投!$A:$J,9,0),"無")</f>
        <v>304</v>
      </c>
      <c r="R1181" s="346">
        <f>IFERROR(VLOOKUP($G1181,融外自投!$A:$J,8,0),"無")</f>
        <v>1100</v>
      </c>
      <c r="S1181" s="81" t="str">
        <f>IFERROR(VLOOKUP($G1181,融外自投!$A:$J,10,0),"無")</f>
        <v>無</v>
      </c>
      <c r="T1181" s="327">
        <f>IFERROR(VLOOKUP($G1181,'321買'!$A:$E,5,0),"'沒有資料'")</f>
        <v>515</v>
      </c>
      <c r="U1181" s="186">
        <f>IFERROR(VLOOKUP($G1181,基本資料!$A:$J,9,0),"無")</f>
        <v>0.13</v>
      </c>
      <c r="V1181" s="310">
        <f t="shared" si="222"/>
        <v>5.8165548098434005E-3</v>
      </c>
      <c r="W1181" s="94">
        <f>IFERROR(VLOOKUP($G1181,基本資料!$A:$J,10,0),"無")</f>
        <v>0.76</v>
      </c>
      <c r="X1181" s="36">
        <f>RTD("money.excel",,"6220","Price")</f>
        <v>22.35</v>
      </c>
      <c r="Y1181" s="66"/>
      <c r="Z1181" s="15">
        <f t="shared" si="218"/>
        <v>22.35</v>
      </c>
      <c r="AA1181" s="3" t="e">
        <f t="shared" si="219"/>
        <v>#DIV/0!</v>
      </c>
      <c r="AB1181" s="344">
        <f>IFERROR(VLOOKUP($G1181,基本資料!$A:$M,11,0),"無")</f>
        <v>-21.68</v>
      </c>
      <c r="AC1181" s="397">
        <f>IFERROR(VLOOKUP($G1181,基本資料!$A:$M,12,0),"無")</f>
        <v>39.520000000000003</v>
      </c>
      <c r="AD1181" s="16" t="s">
        <v>4597</v>
      </c>
      <c r="AG1181" s="33">
        <f t="shared" si="220"/>
        <v>0</v>
      </c>
      <c r="AH1181" s="117" t="s">
        <v>2416</v>
      </c>
      <c r="AI1181" s="63">
        <f t="shared" si="223"/>
        <v>3.0174374526156177E-3</v>
      </c>
      <c r="AJ1181" s="284">
        <f>RTD("money.excel",,$G1181,"PredictVolume")</f>
        <v>398</v>
      </c>
      <c r="AK1181" s="399">
        <f>IFERROR(VLOOKUP($G1181,基本資料!$A:$M,13,0),"無")</f>
        <v>8.5299999999999994</v>
      </c>
    </row>
    <row r="1182" spans="1:37">
      <c r="A1182" s="347">
        <f>IFERROR(VLOOKUP($G1182,基本資料!$A:$J,3,0),"無")</f>
        <v>8.56</v>
      </c>
      <c r="B1182" s="79">
        <f>IFERROR(VLOOKUP($G1182,基本資料!$A:$J,4,0),"無")</f>
        <v>12</v>
      </c>
      <c r="C1182" s="79">
        <f>IFERROR(VLOOKUP($G1182,基本資料!$A:$J,5,0),"無")</f>
        <v>19</v>
      </c>
      <c r="D1182" s="79">
        <f>IFERROR(VLOOKUP($G1182,基本資料!$A:$J,6,0),"無")</f>
        <v>18</v>
      </c>
      <c r="E1182" s="79">
        <f>IFERROR(VLOOKUP($G1182,基本資料!$A:$J,7,0),"無")</f>
        <v>49</v>
      </c>
      <c r="F1182" s="6">
        <f>IFERROR(VLOOKUP($G1182,基本資料!$A:$J,8,0),"無")</f>
        <v>16.41</v>
      </c>
      <c r="G1182" s="79">
        <v>6224</v>
      </c>
      <c r="H1182" s="195" t="s">
        <v>308</v>
      </c>
      <c r="I1182" s="22" t="s">
        <v>230</v>
      </c>
      <c r="J1182" s="8" t="str">
        <f>IFERROR(VLOOKUP($G1182,今日總結!$A:$AJ,35,0),"")</f>
        <v/>
      </c>
      <c r="K1182" s="5" t="str">
        <f>IFERROR(VLOOKUP($G1182,今日總結!$A:$AJ,36,0),"")</f>
        <v/>
      </c>
      <c r="L1182" s="156" t="str">
        <f>IFERROR(VLOOKUP($G1182,今日總結!$A:$AJ,33,0),"")</f>
        <v/>
      </c>
      <c r="M1182" s="340" t="str">
        <f>IFERROR(VLOOKUP($G1182,今日總結!$A:$AJ,34,0),"")</f>
        <v/>
      </c>
      <c r="N1182" s="240" t="str">
        <f t="shared" si="221"/>
        <v/>
      </c>
      <c r="P1182" s="365">
        <f>IFERROR(VLOOKUP($G1182,融外自投!$A:$J,7,0),"無")</f>
        <v>518</v>
      </c>
      <c r="Q1182" s="79">
        <f>IFERROR(VLOOKUP($G1182,融外自投!$A:$J,9,0),"無")</f>
        <v>936</v>
      </c>
      <c r="R1182" s="346">
        <f>IFERROR(VLOOKUP($G1182,融外自投!$A:$J,8,0),"無")</f>
        <v>575</v>
      </c>
      <c r="S1182" s="81" t="str">
        <f>IFERROR(VLOOKUP($G1182,融外自投!$A:$J,10,0),"無")</f>
        <v>無</v>
      </c>
      <c r="T1182" s="327">
        <f>IFERROR(VLOOKUP($G1182,'321買'!$A:$E,5,0),"'沒有資料'")</f>
        <v>752</v>
      </c>
      <c r="U1182" s="186">
        <f>IFERROR(VLOOKUP($G1182,基本資料!$A:$J,9,0),"無")</f>
        <v>4.25</v>
      </c>
      <c r="V1182" s="310">
        <f t="shared" si="222"/>
        <v>5.011792452830189E-2</v>
      </c>
      <c r="W1182" s="94">
        <f>IFERROR(VLOOKUP($G1182,基本資料!$A:$J,10,0),"無")</f>
        <v>6.02</v>
      </c>
      <c r="X1182" s="36">
        <f>RTD("money.excel",,"6224","Price")</f>
        <v>84.8</v>
      </c>
      <c r="Y1182" s="66"/>
      <c r="Z1182" s="15">
        <f t="shared" si="218"/>
        <v>84.8</v>
      </c>
      <c r="AA1182" s="3" t="e">
        <f t="shared" si="219"/>
        <v>#DIV/0!</v>
      </c>
      <c r="AB1182" s="344">
        <f>IFERROR(VLOOKUP($G1182,基本資料!$A:$M,11,0),"無")</f>
        <v>-55.74</v>
      </c>
      <c r="AC1182" s="397">
        <f>IFERROR(VLOOKUP($G1182,基本資料!$A:$M,12,0),"無")</f>
        <v>9.9700000000000006</v>
      </c>
      <c r="AD1182" s="22" t="s">
        <v>230</v>
      </c>
      <c r="AG1182" s="33">
        <f t="shared" si="220"/>
        <v>0</v>
      </c>
      <c r="AH1182" s="119" t="s">
        <v>3072</v>
      </c>
      <c r="AI1182" s="63">
        <f t="shared" si="223"/>
        <v>1.7640186915887849E-3</v>
      </c>
      <c r="AJ1182" s="284">
        <f>RTD("money.excel",,$G1182,"PredictVolume")</f>
        <v>151</v>
      </c>
      <c r="AK1182" s="399">
        <f>IFERROR(VLOOKUP($G1182,基本資料!$A:$M,13,0),"無")</f>
        <v>15.52</v>
      </c>
    </row>
    <row r="1183" spans="1:37">
      <c r="A1183" s="347">
        <f>IFERROR(VLOOKUP($G1183,基本資料!$A:$J,3,0),"無")</f>
        <v>27.75</v>
      </c>
      <c r="B1183" s="79">
        <f>IFERROR(VLOOKUP($G1183,基本資料!$A:$J,4,0),"無")</f>
        <v>-30</v>
      </c>
      <c r="C1183" s="79">
        <f>IFERROR(VLOOKUP($G1183,基本資料!$A:$J,5,0),"無")</f>
        <v>18</v>
      </c>
      <c r="D1183" s="79">
        <f>IFERROR(VLOOKUP($G1183,基本資料!$A:$J,6,0),"無")</f>
        <v>-25</v>
      </c>
      <c r="E1183" s="79">
        <f>IFERROR(VLOOKUP($G1183,基本資料!$A:$J,7,0),"無")</f>
        <v>-6</v>
      </c>
      <c r="F1183" s="6">
        <f>IFERROR(VLOOKUP($G1183,基本資料!$A:$J,8,0),"無")</f>
        <v>4.12</v>
      </c>
      <c r="G1183" s="79">
        <v>6251</v>
      </c>
      <c r="H1183" s="195" t="s">
        <v>308</v>
      </c>
      <c r="I1183" s="22" t="s">
        <v>399</v>
      </c>
      <c r="J1183" s="8" t="str">
        <f>IFERROR(VLOOKUP($G1183,今日總結!$A:$AJ,35,0),"")</f>
        <v>融借</v>
      </c>
      <c r="K1183" s="5">
        <f>IFERROR(VLOOKUP($G1183,今日總結!$A:$AJ,36,0),"")</f>
        <v>0</v>
      </c>
      <c r="L1183" s="156">
        <f>IFERROR(VLOOKUP($G1183,今日總結!$A:$AJ,33,0),"")</f>
        <v>2</v>
      </c>
      <c r="M1183" s="340">
        <f>IFERROR(VLOOKUP($G1183,今日總結!$A:$AJ,34,0),"")</f>
        <v>0</v>
      </c>
      <c r="N1183" s="240">
        <f t="shared" si="221"/>
        <v>2</v>
      </c>
      <c r="P1183" s="365">
        <f>IFERROR(VLOOKUP($G1183,融外自投!$A:$J,7,0),"無")</f>
        <v>159</v>
      </c>
      <c r="Q1183" s="79">
        <f>IFERROR(VLOOKUP($G1183,融外自投!$A:$J,9,0),"無")</f>
        <v>189</v>
      </c>
      <c r="R1183" s="346">
        <f>IFERROR(VLOOKUP($G1183,融外自投!$A:$J,8,0),"無")</f>
        <v>337</v>
      </c>
      <c r="S1183" s="81">
        <f>IFERROR(VLOOKUP($G1183,融外自投!$A:$J,10,0),"無")</f>
        <v>383</v>
      </c>
      <c r="T1183" s="327">
        <f>IFERROR(VLOOKUP($G1183,'321買'!$A:$E,5,0),"'沒有資料'")</f>
        <v>232</v>
      </c>
      <c r="U1183" s="186">
        <f>IFERROR(VLOOKUP($G1183,基本資料!$A:$J,9,0),"無")</f>
        <v>0.7</v>
      </c>
      <c r="V1183" s="310">
        <f t="shared" si="222"/>
        <v>3.2110091743119261E-2</v>
      </c>
      <c r="W1183" s="94">
        <f>IFERROR(VLOOKUP($G1183,基本資料!$A:$J,10,0),"無")</f>
        <v>1.7</v>
      </c>
      <c r="X1183" s="36">
        <f>RTD("money.excel",,"6251","Price")</f>
        <v>21.8</v>
      </c>
      <c r="Y1183" s="66"/>
      <c r="Z1183" s="15">
        <f t="shared" si="218"/>
        <v>21.8</v>
      </c>
      <c r="AA1183" s="3" t="e">
        <f t="shared" si="219"/>
        <v>#DIV/0!</v>
      </c>
      <c r="AB1183" s="344">
        <f>IFERROR(VLOOKUP($G1183,基本資料!$A:$M,11,0),"無")</f>
        <v>-19.66</v>
      </c>
      <c r="AC1183" s="397">
        <f>IFERROR(VLOOKUP($G1183,基本資料!$A:$M,12,0),"無")</f>
        <v>26.64</v>
      </c>
      <c r="AD1183" s="22" t="s">
        <v>399</v>
      </c>
      <c r="AG1183" s="33">
        <f t="shared" si="220"/>
        <v>0</v>
      </c>
      <c r="AH1183" s="43" t="s">
        <v>1044</v>
      </c>
      <c r="AI1183" s="63">
        <f t="shared" si="223"/>
        <v>6.5729729729729729E-3</v>
      </c>
      <c r="AJ1183" s="284">
        <f>RTD("money.excel",,$G1183,"PredictVolume")</f>
        <v>1824</v>
      </c>
      <c r="AK1183" s="399">
        <f>IFERROR(VLOOKUP($G1183,基本資料!$A:$M,13,0),"無")</f>
        <v>22.69</v>
      </c>
    </row>
    <row r="1184" spans="1:37">
      <c r="A1184" s="347">
        <f>IFERROR(VLOOKUP($G1184,基本資料!$A:$J,3,0),"無")</f>
        <v>1.85</v>
      </c>
      <c r="B1184" s="79">
        <f>IFERROR(VLOOKUP($G1184,基本資料!$A:$J,4,0),"無")</f>
        <v>-74</v>
      </c>
      <c r="C1184" s="79">
        <f>IFERROR(VLOOKUP($G1184,基本資料!$A:$J,5,0),"無")</f>
        <v>133</v>
      </c>
      <c r="D1184" s="79">
        <f>IFERROR(VLOOKUP($G1184,基本資料!$A:$J,6,0),"無")</f>
        <v>99</v>
      </c>
      <c r="E1184" s="79">
        <f>IFERROR(VLOOKUP($G1184,基本資料!$A:$J,7,0),"無")</f>
        <v>210</v>
      </c>
      <c r="F1184" s="6">
        <f>IFERROR(VLOOKUP($G1184,基本資料!$A:$J,8,0),"無")</f>
        <v>0.93</v>
      </c>
      <c r="G1184" s="79">
        <v>6259</v>
      </c>
      <c r="H1184" s="8" t="s">
        <v>308</v>
      </c>
      <c r="I1184" s="16" t="s">
        <v>4598</v>
      </c>
      <c r="J1184" s="8" t="str">
        <f>IFERROR(VLOOKUP($G1184,今日總結!$A:$AJ,35,0),"")</f>
        <v/>
      </c>
      <c r="K1184" s="5" t="str">
        <f>IFERROR(VLOOKUP($G1184,今日總結!$A:$AJ,36,0),"")</f>
        <v/>
      </c>
      <c r="L1184" s="156" t="str">
        <f>IFERROR(VLOOKUP($G1184,今日總結!$A:$AJ,33,0),"")</f>
        <v/>
      </c>
      <c r="M1184" s="340" t="str">
        <f>IFERROR(VLOOKUP($G1184,今日總結!$A:$AJ,34,0),"")</f>
        <v/>
      </c>
      <c r="N1184" s="240" t="str">
        <f t="shared" si="221"/>
        <v/>
      </c>
      <c r="P1184" s="365" t="str">
        <f>IFERROR(VLOOKUP($G1184,融外自投!$A:$J,7,0),"無")</f>
        <v>無</v>
      </c>
      <c r="Q1184" s="79" t="str">
        <f>IFERROR(VLOOKUP($G1184,融外自投!$A:$J,9,0),"無")</f>
        <v>無</v>
      </c>
      <c r="R1184" s="346" t="str">
        <f>IFERROR(VLOOKUP($G1184,融外自投!$A:$J,8,0),"無")</f>
        <v>無</v>
      </c>
      <c r="S1184" s="81" t="str">
        <f>IFERROR(VLOOKUP($G1184,融外自投!$A:$J,10,0),"無")</f>
        <v>無</v>
      </c>
      <c r="T1184" s="327" t="str">
        <f>IFERROR(VLOOKUP($G1184,'321買'!$A:$E,5,0),"'沒有資料'")</f>
        <v>'沒有資料'</v>
      </c>
      <c r="U1184" s="186">
        <f>IFERROR(VLOOKUP($G1184,基本資料!$A:$J,9,0),"無")</f>
        <v>0.19</v>
      </c>
      <c r="V1184" s="310">
        <f t="shared" si="222"/>
        <v>5.6971514242878558E-3</v>
      </c>
      <c r="W1184" s="94">
        <f>IFERROR(VLOOKUP($G1184,基本資料!$A:$J,10,0),"無")</f>
        <v>0.03</v>
      </c>
      <c r="X1184" s="36">
        <f>RTD("money.excel",,"6259","Price")</f>
        <v>33.35</v>
      </c>
      <c r="Y1184" s="66"/>
      <c r="Z1184" s="15">
        <f t="shared" si="218"/>
        <v>33.35</v>
      </c>
      <c r="AA1184" s="3" t="e">
        <f t="shared" si="219"/>
        <v>#DIV/0!</v>
      </c>
      <c r="AB1184" s="344">
        <f>IFERROR(VLOOKUP($G1184,基本資料!$A:$M,11,0),"無")</f>
        <v>-41.35</v>
      </c>
      <c r="AC1184" s="397">
        <f>IFERROR(VLOOKUP($G1184,基本資料!$A:$M,12,0),"無")</f>
        <v>24.09</v>
      </c>
      <c r="AD1184" s="16" t="s">
        <v>4598</v>
      </c>
      <c r="AG1184" s="33">
        <f t="shared" si="220"/>
        <v>0</v>
      </c>
      <c r="AH1184" s="43" t="s">
        <v>2421</v>
      </c>
      <c r="AI1184" s="63">
        <f t="shared" si="223"/>
        <v>1.9513513513513513E-2</v>
      </c>
      <c r="AJ1184" s="284">
        <f>RTD("money.excel",,$G1184,"PredictVolume")</f>
        <v>361</v>
      </c>
      <c r="AK1184" s="399">
        <f>IFERROR(VLOOKUP($G1184,基本資料!$A:$M,13,0),"無")</f>
        <v>5.92</v>
      </c>
    </row>
    <row r="1185" spans="1:37">
      <c r="A1185" s="347">
        <f>IFERROR(VLOOKUP($G1185,基本資料!$A:$J,3,0),"無")</f>
        <v>10.23</v>
      </c>
      <c r="B1185" s="79">
        <f>IFERROR(VLOOKUP($G1185,基本資料!$A:$J,4,0),"無")</f>
        <v>11</v>
      </c>
      <c r="C1185" s="79">
        <f>IFERROR(VLOOKUP($G1185,基本資料!$A:$J,5,0),"無")</f>
        <v>0</v>
      </c>
      <c r="D1185" s="79">
        <f>IFERROR(VLOOKUP($G1185,基本資料!$A:$J,6,0),"無")</f>
        <v>-24</v>
      </c>
      <c r="E1185" s="79">
        <f>IFERROR(VLOOKUP($G1185,基本資料!$A:$J,7,0),"無")</f>
        <v>-1</v>
      </c>
      <c r="F1185" s="6">
        <f>IFERROR(VLOOKUP($G1185,基本資料!$A:$J,8,0),"無")</f>
        <v>7.99</v>
      </c>
      <c r="G1185" s="79">
        <v>6266</v>
      </c>
      <c r="H1185" s="8" t="s">
        <v>308</v>
      </c>
      <c r="I1185" s="16" t="s">
        <v>436</v>
      </c>
      <c r="J1185" s="8">
        <f>IFERROR(VLOOKUP($G1185,今日總結!$A:$AJ,35,0),"")</f>
        <v>0</v>
      </c>
      <c r="K1185" s="5" t="str">
        <f>IFERROR(VLOOKUP($G1185,今日總結!$A:$AJ,36,0),"")</f>
        <v>融</v>
      </c>
      <c r="L1185" s="156">
        <f>IFERROR(VLOOKUP($G1185,今日總結!$A:$AJ,33,0),"")</f>
        <v>0</v>
      </c>
      <c r="M1185" s="340">
        <f>IFERROR(VLOOKUP($G1185,今日總結!$A:$AJ,34,0),"")</f>
        <v>1</v>
      </c>
      <c r="N1185" s="240">
        <f t="shared" si="221"/>
        <v>-1</v>
      </c>
      <c r="P1185" s="365">
        <f>IFERROR(VLOOKUP($G1185,融外自投!$A:$J,7,0),"無")</f>
        <v>338</v>
      </c>
      <c r="Q1185" s="79">
        <f>IFERROR(VLOOKUP($G1185,融外自投!$A:$J,9,0),"無")</f>
        <v>282</v>
      </c>
      <c r="R1185" s="346">
        <f>IFERROR(VLOOKUP($G1185,融外自投!$A:$J,8,0),"無")</f>
        <v>948</v>
      </c>
      <c r="S1185" s="81" t="str">
        <f>IFERROR(VLOOKUP($G1185,融外自投!$A:$J,10,0),"無")</f>
        <v>無</v>
      </c>
      <c r="T1185" s="327">
        <f>IFERROR(VLOOKUP($G1185,'321買'!$A:$E,5,0),"'沒有資料'")</f>
        <v>558</v>
      </c>
      <c r="U1185" s="186">
        <f>IFERROR(VLOOKUP($G1185,基本資料!$A:$J,9,0),"無")</f>
        <v>1.38</v>
      </c>
      <c r="V1185" s="310">
        <f t="shared" si="222"/>
        <v>6.0526315789473678E-2</v>
      </c>
      <c r="W1185" s="94">
        <f>IFERROR(VLOOKUP($G1185,基本資料!$A:$J,10,0),"無")</f>
        <v>1.59</v>
      </c>
      <c r="X1185" s="36">
        <f>RTD("money.excel",,"6266","Price")</f>
        <v>22.8</v>
      </c>
      <c r="Y1185" s="66"/>
      <c r="Z1185" s="15">
        <f t="shared" si="218"/>
        <v>22.8</v>
      </c>
      <c r="AA1185" s="3" t="e">
        <f t="shared" si="219"/>
        <v>#DIV/0!</v>
      </c>
      <c r="AB1185" s="344">
        <f>IFERROR(VLOOKUP($G1185,基本資料!$A:$M,11,0),"無")</f>
        <v>-44.2</v>
      </c>
      <c r="AC1185" s="397">
        <f>IFERROR(VLOOKUP($G1185,基本資料!$A:$M,12,0),"無")</f>
        <v>27.92</v>
      </c>
      <c r="AD1185" s="16" t="s">
        <v>436</v>
      </c>
      <c r="AG1185" s="33">
        <f t="shared" si="220"/>
        <v>0</v>
      </c>
      <c r="AH1185" s="43" t="s">
        <v>2422</v>
      </c>
      <c r="AI1185" s="63">
        <f t="shared" si="223"/>
        <v>3.010752688172043E-3</v>
      </c>
      <c r="AJ1185" s="284">
        <f>RTD("money.excel",,$G1185,"PredictVolume")</f>
        <v>308</v>
      </c>
      <c r="AK1185" s="399">
        <f>IFERROR(VLOOKUP($G1185,基本資料!$A:$M,13,0),"無")</f>
        <v>53.54</v>
      </c>
    </row>
    <row r="1186" spans="1:37">
      <c r="A1186" s="347">
        <f>IFERROR(VLOOKUP($G1186,基本資料!$A:$J,3,0),"無")</f>
        <v>32.03</v>
      </c>
      <c r="B1186" s="79">
        <f>IFERROR(VLOOKUP($G1186,基本資料!$A:$J,4,0),"無")</f>
        <v>-1</v>
      </c>
      <c r="C1186" s="79">
        <f>IFERROR(VLOOKUP($G1186,基本資料!$A:$J,5,0),"無")</f>
        <v>-4</v>
      </c>
      <c r="D1186" s="79">
        <f>IFERROR(VLOOKUP($G1186,基本資料!$A:$J,6,0),"無")</f>
        <v>-49</v>
      </c>
      <c r="E1186" s="79">
        <f>IFERROR(VLOOKUP($G1186,基本資料!$A:$J,7,0),"無")</f>
        <v>-27</v>
      </c>
      <c r="F1186" s="6">
        <f>IFERROR(VLOOKUP($G1186,基本資料!$A:$J,8,0),"無")</f>
        <v>9.1999999999999993</v>
      </c>
      <c r="G1186" s="79">
        <v>6269</v>
      </c>
      <c r="H1186" s="195" t="s">
        <v>308</v>
      </c>
      <c r="I1186" s="22" t="s">
        <v>46</v>
      </c>
      <c r="J1186" s="8" t="str">
        <f>IFERROR(VLOOKUP($G1186,今日總結!$A:$AJ,35,0),"")</f>
        <v/>
      </c>
      <c r="K1186" s="5" t="str">
        <f>IFERROR(VLOOKUP($G1186,今日總結!$A:$AJ,36,0),"")</f>
        <v/>
      </c>
      <c r="L1186" s="156" t="str">
        <f>IFERROR(VLOOKUP($G1186,今日總結!$A:$AJ,33,0),"")</f>
        <v/>
      </c>
      <c r="M1186" s="340" t="str">
        <f>IFERROR(VLOOKUP($G1186,今日總結!$A:$AJ,34,0),"")</f>
        <v/>
      </c>
      <c r="N1186" s="240" t="str">
        <f t="shared" si="221"/>
        <v/>
      </c>
      <c r="P1186" s="365">
        <f>IFERROR(VLOOKUP($G1186,融外自投!$A:$J,7,0),"無")</f>
        <v>592</v>
      </c>
      <c r="Q1186" s="79" t="str">
        <f>IFERROR(VLOOKUP($G1186,融外自投!$A:$J,9,0),"無")</f>
        <v>無</v>
      </c>
      <c r="R1186" s="346">
        <f>IFERROR(VLOOKUP($G1186,融外自投!$A:$J,8,0),"無")</f>
        <v>319</v>
      </c>
      <c r="S1186" s="81">
        <f>IFERROR(VLOOKUP($G1186,融外自投!$A:$J,10,0),"無")</f>
        <v>100</v>
      </c>
      <c r="T1186" s="327">
        <f>IFERROR(VLOOKUP($G1186,'321買'!$A:$E,5,0),"'沒有資料'")</f>
        <v>200</v>
      </c>
      <c r="U1186" s="186">
        <f>IFERROR(VLOOKUP($G1186,基本資料!$A:$J,9,0),"無")</f>
        <v>5</v>
      </c>
      <c r="V1186" s="310">
        <f t="shared" si="222"/>
        <v>5.5187637969094927E-2</v>
      </c>
      <c r="W1186" s="94">
        <f>IFERROR(VLOOKUP($G1186,基本資料!$A:$J,10,0),"無")</f>
        <v>8.19</v>
      </c>
      <c r="X1186" s="36">
        <f>RTD("money.excel",,"6269","Price")</f>
        <v>90.6</v>
      </c>
      <c r="Y1186" s="66"/>
      <c r="Z1186" s="15">
        <f t="shared" si="218"/>
        <v>90.6</v>
      </c>
      <c r="AA1186" s="3" t="e">
        <f t="shared" si="219"/>
        <v>#DIV/0!</v>
      </c>
      <c r="AB1186" s="344">
        <f>IFERROR(VLOOKUP($G1186,基本資料!$A:$M,11,0),"無")</f>
        <v>-35.42</v>
      </c>
      <c r="AC1186" s="397">
        <f>IFERROR(VLOOKUP($G1186,基本資料!$A:$M,12,0),"無")</f>
        <v>27.53</v>
      </c>
      <c r="AD1186" s="22" t="s">
        <v>46</v>
      </c>
      <c r="AG1186" s="33">
        <f t="shared" si="220"/>
        <v>0</v>
      </c>
      <c r="AH1186" s="117" t="s">
        <v>2400</v>
      </c>
      <c r="AI1186" s="63">
        <f t="shared" si="223"/>
        <v>3.9182016859194502E-3</v>
      </c>
      <c r="AJ1186" s="284">
        <f>RTD("money.excel",,$G1186,"PredictVolume")</f>
        <v>1255</v>
      </c>
      <c r="AK1186" s="399">
        <f>IFERROR(VLOOKUP($G1186,基本資料!$A:$M,13,0),"無")</f>
        <v>8</v>
      </c>
    </row>
    <row r="1187" spans="1:37">
      <c r="A1187" s="347">
        <f>IFERROR(VLOOKUP($G1187,基本資料!$A:$J,3,0),"無")</f>
        <v>26.91</v>
      </c>
      <c r="B1187" s="79">
        <f>IFERROR(VLOOKUP($G1187,基本資料!$A:$J,4,0),"無")</f>
        <v>5</v>
      </c>
      <c r="C1187" s="79">
        <f>IFERROR(VLOOKUP($G1187,基本資料!$A:$J,5,0),"無")</f>
        <v>4</v>
      </c>
      <c r="D1187" s="79">
        <f>IFERROR(VLOOKUP($G1187,基本資料!$A:$J,6,0),"無")</f>
        <v>-5</v>
      </c>
      <c r="E1187" s="79">
        <f>IFERROR(VLOOKUP($G1187,基本資料!$A:$J,7,0),"無")</f>
        <v>-7</v>
      </c>
      <c r="F1187" s="6">
        <f>IFERROR(VLOOKUP($G1187,基本資料!$A:$J,8,0),"無")</f>
        <v>11.26</v>
      </c>
      <c r="G1187" s="79">
        <v>6274</v>
      </c>
      <c r="H1187" s="8" t="s">
        <v>308</v>
      </c>
      <c r="I1187" s="16" t="s">
        <v>3109</v>
      </c>
      <c r="J1187" s="8" t="str">
        <f>IFERROR(VLOOKUP($G1187,今日總結!$A:$AJ,35,0),"")</f>
        <v/>
      </c>
      <c r="K1187" s="5" t="str">
        <f>IFERROR(VLOOKUP($G1187,今日總結!$A:$AJ,36,0),"")</f>
        <v/>
      </c>
      <c r="L1187" s="156" t="str">
        <f>IFERROR(VLOOKUP($G1187,今日總結!$A:$AJ,33,0),"")</f>
        <v/>
      </c>
      <c r="M1187" s="340" t="str">
        <f>IFERROR(VLOOKUP($G1187,今日總結!$A:$AJ,34,0),"")</f>
        <v/>
      </c>
      <c r="N1187" s="240" t="str">
        <f t="shared" si="221"/>
        <v/>
      </c>
      <c r="P1187" s="365">
        <f>IFERROR(VLOOKUP($G1187,融外自投!$A:$J,7,0),"無")</f>
        <v>752</v>
      </c>
      <c r="Q1187" s="79">
        <f>IFERROR(VLOOKUP($G1187,融外自投!$A:$J,9,0),"無")</f>
        <v>321</v>
      </c>
      <c r="R1187" s="346">
        <f>IFERROR(VLOOKUP($G1187,融外自投!$A:$J,8,0),"無")</f>
        <v>138</v>
      </c>
      <c r="S1187" s="81">
        <f>IFERROR(VLOOKUP($G1187,融外自投!$A:$J,10,0),"無")</f>
        <v>155</v>
      </c>
      <c r="T1187" s="327">
        <f>IFERROR(VLOOKUP($G1187,'321買'!$A:$E,5,0),"'沒有資料'")</f>
        <v>515</v>
      </c>
      <c r="U1187" s="186">
        <f>IFERROR(VLOOKUP($G1187,基本資料!$A:$J,9,0),"無")</f>
        <v>5</v>
      </c>
      <c r="V1187" s="310">
        <f t="shared" si="222"/>
        <v>6.5274151436031339E-2</v>
      </c>
      <c r="W1187" s="94">
        <f>IFERROR(VLOOKUP($G1187,基本資料!$A:$J,10,0),"無")</f>
        <v>7.01</v>
      </c>
      <c r="X1187" s="36">
        <f>RTD("money.excel",,"6274","Price")</f>
        <v>76.599999999999994</v>
      </c>
      <c r="Y1187" s="66"/>
      <c r="Z1187" s="15">
        <f t="shared" si="218"/>
        <v>76.599999999999994</v>
      </c>
      <c r="AA1187" s="3" t="e">
        <f t="shared" si="219"/>
        <v>#DIV/0!</v>
      </c>
      <c r="AB1187" s="344">
        <f>IFERROR(VLOOKUP($G1187,基本資料!$A:$M,11,0),"無")</f>
        <v>-40.24</v>
      </c>
      <c r="AC1187" s="397">
        <f>IFERROR(VLOOKUP($G1187,基本資料!$A:$M,12,0),"無")</f>
        <v>39.14</v>
      </c>
      <c r="AD1187" s="16" t="s">
        <v>3109</v>
      </c>
      <c r="AG1187" s="33">
        <f t="shared" si="220"/>
        <v>0</v>
      </c>
      <c r="AH1187" s="117" t="s">
        <v>3278</v>
      </c>
      <c r="AI1187" s="63">
        <f t="shared" si="223"/>
        <v>4.1917502787068009E-3</v>
      </c>
      <c r="AJ1187" s="284">
        <f>RTD("money.excel",,$G1187,"PredictVolume")</f>
        <v>1128</v>
      </c>
      <c r="AK1187" s="399">
        <f>IFERROR(VLOOKUP($G1187,基本資料!$A:$M,13,0),"無")</f>
        <v>3.97</v>
      </c>
    </row>
    <row r="1188" spans="1:37">
      <c r="A1188" s="347">
        <f>IFERROR(VLOOKUP($G1188,基本資料!$A:$J,3,0),"無")</f>
        <v>9.9600000000000009</v>
      </c>
      <c r="B1188" s="79">
        <f>IFERROR(VLOOKUP($G1188,基本資料!$A:$J,4,0),"無")</f>
        <v>42</v>
      </c>
      <c r="C1188" s="79">
        <f>IFERROR(VLOOKUP($G1188,基本資料!$A:$J,5,0),"無")</f>
        <v>39</v>
      </c>
      <c r="D1188" s="79">
        <f>IFERROR(VLOOKUP($G1188,基本資料!$A:$J,6,0),"無")</f>
        <v>0</v>
      </c>
      <c r="E1188" s="79">
        <f>IFERROR(VLOOKUP($G1188,基本資料!$A:$J,7,0),"無")</f>
        <v>12</v>
      </c>
      <c r="F1188" s="6">
        <f>IFERROR(VLOOKUP($G1188,基本資料!$A:$J,8,0),"無")</f>
        <v>19.55</v>
      </c>
      <c r="G1188" s="79">
        <v>6279</v>
      </c>
      <c r="H1188" s="8" t="s">
        <v>308</v>
      </c>
      <c r="I1188" s="16" t="s">
        <v>4599</v>
      </c>
      <c r="J1188" s="8" t="str">
        <f>IFERROR(VLOOKUP($G1188,今日總結!$A:$AJ,35,0),"")</f>
        <v/>
      </c>
      <c r="K1188" s="5" t="str">
        <f>IFERROR(VLOOKUP($G1188,今日總結!$A:$AJ,36,0),"")</f>
        <v/>
      </c>
      <c r="L1188" s="156" t="str">
        <f>IFERROR(VLOOKUP($G1188,今日總結!$A:$AJ,33,0),"")</f>
        <v/>
      </c>
      <c r="M1188" s="340" t="str">
        <f>IFERROR(VLOOKUP($G1188,今日總結!$A:$AJ,34,0),"")</f>
        <v/>
      </c>
      <c r="N1188" s="240" t="str">
        <f t="shared" si="221"/>
        <v/>
      </c>
      <c r="P1188" s="365">
        <f>IFERROR(VLOOKUP($G1188,融外自投!$A:$J,7,0),"無")</f>
        <v>444</v>
      </c>
      <c r="Q1188" s="79">
        <f>IFERROR(VLOOKUP($G1188,融外自投!$A:$J,9,0),"無")</f>
        <v>526</v>
      </c>
      <c r="R1188" s="346">
        <f>IFERROR(VLOOKUP($G1188,融外自投!$A:$J,8,0),"無")</f>
        <v>532</v>
      </c>
      <c r="S1188" s="81">
        <f>IFERROR(VLOOKUP($G1188,融外自投!$A:$J,10,0),"無")</f>
        <v>108</v>
      </c>
      <c r="T1188" s="327">
        <f>IFERROR(VLOOKUP($G1188,'321買'!$A:$E,5,0),"'沒有資料'")</f>
        <v>430</v>
      </c>
      <c r="U1188" s="186">
        <f>IFERROR(VLOOKUP($G1188,基本資料!$A:$J,9,0),"無")</f>
        <v>0</v>
      </c>
      <c r="V1188" s="310">
        <f t="shared" si="222"/>
        <v>0</v>
      </c>
      <c r="W1188" s="94">
        <f>IFERROR(VLOOKUP($G1188,基本資料!$A:$J,10,0),"無")</f>
        <v>7.91</v>
      </c>
      <c r="X1188" s="36">
        <f>RTD("money.excel",,"6279","Price")</f>
        <v>106.5</v>
      </c>
      <c r="Y1188" s="66"/>
      <c r="Z1188" s="15">
        <f t="shared" si="218"/>
        <v>106.5</v>
      </c>
      <c r="AA1188" s="3" t="e">
        <f t="shared" si="219"/>
        <v>#DIV/0!</v>
      </c>
      <c r="AB1188" s="344">
        <f>IFERROR(VLOOKUP($G1188,基本資料!$A:$M,11,0),"無")</f>
        <v>-32.46</v>
      </c>
      <c r="AC1188" s="397">
        <f>IFERROR(VLOOKUP($G1188,基本資料!$A:$M,12,0),"無")</f>
        <v>15.48</v>
      </c>
      <c r="AD1188" s="16" t="s">
        <v>4599</v>
      </c>
      <c r="AG1188" s="33">
        <f t="shared" si="220"/>
        <v>0</v>
      </c>
      <c r="AH1188" s="117" t="s">
        <v>2188</v>
      </c>
      <c r="AI1188" s="63">
        <f t="shared" si="223"/>
        <v>5.0602409638554205E-3</v>
      </c>
      <c r="AJ1188" s="284">
        <f>RTD("money.excel",,$G1188,"PredictVolume")</f>
        <v>504</v>
      </c>
      <c r="AK1188" s="399">
        <f>IFERROR(VLOOKUP($G1188,基本資料!$A:$M,13,0),"無")</f>
        <v>8.5</v>
      </c>
    </row>
    <row r="1189" spans="1:37">
      <c r="A1189" s="347">
        <f>IFERROR(VLOOKUP($G1189,基本資料!$A:$J,3,0),"無")</f>
        <v>51.66</v>
      </c>
      <c r="B1189" s="79">
        <f>IFERROR(VLOOKUP($G1189,基本資料!$A:$J,4,0),"無")</f>
        <v>-52</v>
      </c>
      <c r="C1189" s="79">
        <f>IFERROR(VLOOKUP($G1189,基本資料!$A:$J,5,0),"無")</f>
        <v>6</v>
      </c>
      <c r="D1189" s="79">
        <f>IFERROR(VLOOKUP($G1189,基本資料!$A:$J,6,0),"無")</f>
        <v>-16</v>
      </c>
      <c r="E1189" s="79">
        <f>IFERROR(VLOOKUP($G1189,基本資料!$A:$J,7,0),"無")</f>
        <v>19</v>
      </c>
      <c r="F1189" s="6">
        <f>IFERROR(VLOOKUP($G1189,基本資料!$A:$J,8,0),"無")</f>
        <v>1.91</v>
      </c>
      <c r="G1189" s="79">
        <v>6282</v>
      </c>
      <c r="H1189" s="195" t="s">
        <v>308</v>
      </c>
      <c r="I1189" s="23" t="s">
        <v>241</v>
      </c>
      <c r="J1189" s="8">
        <f>IFERROR(VLOOKUP($G1189,今日總結!$A:$AJ,35,0),"")</f>
        <v>0</v>
      </c>
      <c r="K1189" s="5" t="str">
        <f>IFERROR(VLOOKUP($G1189,今日總結!$A:$AJ,36,0),"")</f>
        <v>自</v>
      </c>
      <c r="L1189" s="156">
        <f>IFERROR(VLOOKUP($G1189,今日總結!$A:$AJ,33,0),"")</f>
        <v>0</v>
      </c>
      <c r="M1189" s="340">
        <f>IFERROR(VLOOKUP($G1189,今日總結!$A:$AJ,34,0),"")</f>
        <v>1</v>
      </c>
      <c r="N1189" s="240">
        <f t="shared" si="221"/>
        <v>-1</v>
      </c>
      <c r="P1189" s="365">
        <f>IFERROR(VLOOKUP($G1189,融外自投!$A:$J,7,0),"無")</f>
        <v>422</v>
      </c>
      <c r="Q1189" s="79">
        <f>IFERROR(VLOOKUP($G1189,融外自投!$A:$J,9,0),"無")</f>
        <v>683</v>
      </c>
      <c r="R1189" s="346">
        <f>IFERROR(VLOOKUP($G1189,融外自投!$A:$J,8,0),"無")</f>
        <v>567</v>
      </c>
      <c r="S1189" s="81">
        <f>IFERROR(VLOOKUP($G1189,融外自投!$A:$J,10,0),"無")</f>
        <v>491</v>
      </c>
      <c r="T1189" s="327">
        <f>IFERROR(VLOOKUP($G1189,'321買'!$A:$E,5,0),"'沒有資料'")</f>
        <v>403</v>
      </c>
      <c r="U1189" s="186">
        <f>IFERROR(VLOOKUP($G1189,基本資料!$A:$J,9,0),"無")</f>
        <v>1</v>
      </c>
      <c r="V1189" s="310">
        <f t="shared" si="222"/>
        <v>3.669724770642202E-2</v>
      </c>
      <c r="W1189" s="94">
        <f>IFERROR(VLOOKUP($G1189,基本資料!$A:$J,10,0),"無")</f>
        <v>1.17</v>
      </c>
      <c r="X1189" s="36">
        <f>RTD("money.excel",,"6282","Price")</f>
        <v>27.25</v>
      </c>
      <c r="Y1189" s="66"/>
      <c r="Z1189" s="15">
        <f t="shared" si="218"/>
        <v>27.25</v>
      </c>
      <c r="AA1189" s="3" t="e">
        <f t="shared" si="219"/>
        <v>#DIV/0!</v>
      </c>
      <c r="AB1189" s="344">
        <f>IFERROR(VLOOKUP($G1189,基本資料!$A:$M,11,0),"無")</f>
        <v>-32.04</v>
      </c>
      <c r="AC1189" s="397">
        <f>IFERROR(VLOOKUP($G1189,基本資料!$A:$M,12,0),"無")</f>
        <v>11.52</v>
      </c>
      <c r="AD1189" s="23" t="s">
        <v>241</v>
      </c>
      <c r="AG1189" s="33">
        <f t="shared" si="220"/>
        <v>0</v>
      </c>
      <c r="AH1189" s="119" t="s">
        <v>3068</v>
      </c>
      <c r="AI1189" s="63">
        <f t="shared" si="223"/>
        <v>5.5613627564847085E-3</v>
      </c>
      <c r="AJ1189" s="284">
        <f>RTD("money.excel",,$G1189,"PredictVolume")</f>
        <v>2873</v>
      </c>
      <c r="AK1189" s="399">
        <f>IFERROR(VLOOKUP($G1189,基本資料!$A:$M,13,0),"無")</f>
        <v>20.420000000000002</v>
      </c>
    </row>
    <row r="1190" spans="1:37">
      <c r="A1190" s="347">
        <f>IFERROR(VLOOKUP($G1190,基本資料!$A:$J,3,0),"無")</f>
        <v>14.01</v>
      </c>
      <c r="B1190" s="79">
        <f>IFERROR(VLOOKUP($G1190,基本資料!$A:$J,4,0),"無")</f>
        <v>55</v>
      </c>
      <c r="C1190" s="79">
        <f>IFERROR(VLOOKUP($G1190,基本資料!$A:$J,5,0),"無")</f>
        <v>25</v>
      </c>
      <c r="D1190" s="79">
        <f>IFERROR(VLOOKUP($G1190,基本資料!$A:$J,6,0),"無")</f>
        <v>38</v>
      </c>
      <c r="E1190" s="79">
        <f>IFERROR(VLOOKUP($G1190,基本資料!$A:$J,7,0),"無")</f>
        <v>6</v>
      </c>
      <c r="F1190" s="6">
        <f>IFERROR(VLOOKUP($G1190,基本資料!$A:$J,8,0),"無")</f>
        <v>9.93</v>
      </c>
      <c r="G1190" s="79">
        <v>6284</v>
      </c>
      <c r="H1190" s="8" t="s">
        <v>308</v>
      </c>
      <c r="I1190" s="16" t="s">
        <v>287</v>
      </c>
      <c r="J1190" s="8" t="str">
        <f>IFERROR(VLOOKUP($G1190,今日總結!$A:$AJ,35,0),"")</f>
        <v>融</v>
      </c>
      <c r="K1190" s="5">
        <f>IFERROR(VLOOKUP($G1190,今日總結!$A:$AJ,36,0),"")</f>
        <v>0</v>
      </c>
      <c r="L1190" s="156">
        <f>IFERROR(VLOOKUP($G1190,今日總結!$A:$AJ,33,0),"")</f>
        <v>1</v>
      </c>
      <c r="M1190" s="340">
        <f>IFERROR(VLOOKUP($G1190,今日總結!$A:$AJ,34,0),"")</f>
        <v>0</v>
      </c>
      <c r="N1190" s="240">
        <f t="shared" si="221"/>
        <v>1</v>
      </c>
      <c r="P1190" s="365">
        <f>IFERROR(VLOOKUP($G1190,融外自投!$A:$J,7,0),"無")</f>
        <v>346</v>
      </c>
      <c r="Q1190" s="79">
        <f>IFERROR(VLOOKUP($G1190,融外自投!$A:$J,9,0),"無")</f>
        <v>514</v>
      </c>
      <c r="R1190" s="346">
        <f>IFERROR(VLOOKUP($G1190,融外自投!$A:$J,8,0),"無")</f>
        <v>1234</v>
      </c>
      <c r="S1190" s="81">
        <f>IFERROR(VLOOKUP($G1190,融外自投!$A:$J,10,0),"無")</f>
        <v>319</v>
      </c>
      <c r="T1190" s="327">
        <f>IFERROR(VLOOKUP($G1190,'321買'!$A:$E,5,0),"'沒有資料'")</f>
        <v>964</v>
      </c>
      <c r="U1190" s="186">
        <f>IFERROR(VLOOKUP($G1190,基本資料!$A:$J,9,0),"無")</f>
        <v>1.2</v>
      </c>
      <c r="V1190" s="310">
        <f t="shared" si="222"/>
        <v>2.3210831721470017E-2</v>
      </c>
      <c r="W1190" s="94">
        <f>IFERROR(VLOOKUP($G1190,基本資料!$A:$J,10,0),"無")</f>
        <v>4.04</v>
      </c>
      <c r="X1190" s="36">
        <f>RTD("money.excel",,"6284","Price")</f>
        <v>51.7</v>
      </c>
      <c r="Y1190" s="66"/>
      <c r="Z1190" s="15">
        <f t="shared" si="218"/>
        <v>51.7</v>
      </c>
      <c r="AA1190" s="3" t="e">
        <f t="shared" si="219"/>
        <v>#DIV/0!</v>
      </c>
      <c r="AB1190" s="344">
        <f>IFERROR(VLOOKUP($G1190,基本資料!$A:$M,11,0),"無")</f>
        <v>-36.93</v>
      </c>
      <c r="AC1190" s="397">
        <f>IFERROR(VLOOKUP($G1190,基本資料!$A:$M,12,0),"無")</f>
        <v>14.37</v>
      </c>
      <c r="AD1190" s="16" t="s">
        <v>287</v>
      </c>
      <c r="AG1190" s="33">
        <f t="shared" si="220"/>
        <v>0</v>
      </c>
      <c r="AH1190" s="315" t="s">
        <v>3537</v>
      </c>
      <c r="AI1190" s="63">
        <f t="shared" si="223"/>
        <v>1.4703783012134191E-3</v>
      </c>
      <c r="AJ1190" s="284">
        <f>RTD("money.excel",,$G1190,"PredictVolume")</f>
        <v>206</v>
      </c>
      <c r="AK1190" s="399">
        <f>IFERROR(VLOOKUP($G1190,基本資料!$A:$M,13,0),"無")</f>
        <v>18.36</v>
      </c>
    </row>
    <row r="1191" spans="1:37">
      <c r="A1191" s="347">
        <f>IFERROR(VLOOKUP($G1191,基本資料!$A:$J,3,0),"無")</f>
        <v>14.77</v>
      </c>
      <c r="B1191" s="79">
        <f>IFERROR(VLOOKUP($G1191,基本資料!$A:$J,4,0),"無")</f>
        <v>-33</v>
      </c>
      <c r="C1191" s="79">
        <f>IFERROR(VLOOKUP($G1191,基本資料!$A:$J,5,0),"無")</f>
        <v>-37</v>
      </c>
      <c r="D1191" s="79">
        <f>IFERROR(VLOOKUP($G1191,基本資料!$A:$J,6,0),"無")</f>
        <v>36</v>
      </c>
      <c r="E1191" s="79">
        <f>IFERROR(VLOOKUP($G1191,基本資料!$A:$J,7,0),"無")</f>
        <v>-12</v>
      </c>
      <c r="F1191" s="6">
        <f>IFERROR(VLOOKUP($G1191,基本資料!$A:$J,8,0),"無")</f>
        <v>5.93</v>
      </c>
      <c r="G1191" s="79">
        <v>6290</v>
      </c>
      <c r="H1191" s="8" t="s">
        <v>308</v>
      </c>
      <c r="I1191" s="16" t="s">
        <v>160</v>
      </c>
      <c r="J1191" s="8" t="str">
        <f>IFERROR(VLOOKUP($G1191,今日總結!$A:$AJ,35,0),"")</f>
        <v/>
      </c>
      <c r="K1191" s="5" t="str">
        <f>IFERROR(VLOOKUP($G1191,今日總結!$A:$AJ,36,0),"")</f>
        <v/>
      </c>
      <c r="L1191" s="156" t="str">
        <f>IFERROR(VLOOKUP($G1191,今日總結!$A:$AJ,33,0),"")</f>
        <v/>
      </c>
      <c r="M1191" s="340" t="str">
        <f>IFERROR(VLOOKUP($G1191,今日總結!$A:$AJ,34,0),"")</f>
        <v/>
      </c>
      <c r="N1191" s="240" t="str">
        <f t="shared" si="221"/>
        <v/>
      </c>
      <c r="P1191" s="365">
        <f>IFERROR(VLOOKUP($G1191,融外自投!$A:$J,7,0),"無")</f>
        <v>151</v>
      </c>
      <c r="Q1191" s="79">
        <f>IFERROR(VLOOKUP($G1191,融外自投!$A:$J,9,0),"無")</f>
        <v>789</v>
      </c>
      <c r="R1191" s="346">
        <f>IFERROR(VLOOKUP($G1191,融外自投!$A:$J,8,0),"無")</f>
        <v>1017</v>
      </c>
      <c r="S1191" s="81" t="str">
        <f>IFERROR(VLOOKUP($G1191,融外自投!$A:$J,10,0),"無")</f>
        <v>無</v>
      </c>
      <c r="T1191" s="327">
        <f>IFERROR(VLOOKUP($G1191,'321買'!$A:$E,5,0),"'沒有資料'")</f>
        <v>430</v>
      </c>
      <c r="U1191" s="186">
        <f>IFERROR(VLOOKUP($G1191,基本資料!$A:$J,9,0),"無")</f>
        <v>0</v>
      </c>
      <c r="V1191" s="310">
        <f t="shared" si="222"/>
        <v>0</v>
      </c>
      <c r="W1191" s="94">
        <f>IFERROR(VLOOKUP($G1191,基本資料!$A:$J,10,0),"無")</f>
        <v>3.05</v>
      </c>
      <c r="X1191" s="36">
        <f>RTD("money.excel",,"6290","Price")</f>
        <v>50.8</v>
      </c>
      <c r="Y1191" s="66"/>
      <c r="Z1191" s="15">
        <f t="shared" si="218"/>
        <v>50.8</v>
      </c>
      <c r="AA1191" s="3" t="e">
        <f t="shared" si="219"/>
        <v>#DIV/0!</v>
      </c>
      <c r="AB1191" s="344">
        <f>IFERROR(VLOOKUP($G1191,基本資料!$A:$M,11,0),"無")</f>
        <v>-39.79</v>
      </c>
      <c r="AC1191" s="397">
        <f>IFERROR(VLOOKUP($G1191,基本資料!$A:$M,12,0),"無")</f>
        <v>47.73</v>
      </c>
      <c r="AD1191" s="16" t="s">
        <v>160</v>
      </c>
      <c r="AG1191" s="33">
        <f t="shared" si="220"/>
        <v>0</v>
      </c>
      <c r="AH1191" s="117" t="s">
        <v>3416</v>
      </c>
      <c r="AI1191" s="63">
        <f t="shared" si="223"/>
        <v>4.7325660121868649E-3</v>
      </c>
      <c r="AJ1191" s="284">
        <f>RTD("money.excel",,$G1191,"PredictVolume")</f>
        <v>699</v>
      </c>
      <c r="AK1191" s="399">
        <f>IFERROR(VLOOKUP($G1191,基本資料!$A:$M,13,0),"無")</f>
        <v>28.28</v>
      </c>
    </row>
    <row r="1192" spans="1:37">
      <c r="A1192" s="347">
        <f>IFERROR(VLOOKUP($G1192,基本資料!$A:$J,3,0),"無")</f>
        <v>4.6900000000000004</v>
      </c>
      <c r="B1192" s="79">
        <f>IFERROR(VLOOKUP($G1192,基本資料!$A:$J,4,0),"無")</f>
        <v>61</v>
      </c>
      <c r="C1192" s="79">
        <f>IFERROR(VLOOKUP($G1192,基本資料!$A:$J,5,0),"無")</f>
        <v>-6</v>
      </c>
      <c r="D1192" s="79">
        <f>IFERROR(VLOOKUP($G1192,基本資料!$A:$J,6,0),"無")</f>
        <v>32</v>
      </c>
      <c r="E1192" s="79">
        <f>IFERROR(VLOOKUP($G1192,基本資料!$A:$J,7,0),"無")</f>
        <v>32</v>
      </c>
      <c r="F1192" s="6">
        <f>IFERROR(VLOOKUP($G1192,基本資料!$A:$J,8,0),"無")</f>
        <v>9.35</v>
      </c>
      <c r="G1192" s="79">
        <v>6292</v>
      </c>
      <c r="H1192" s="8" t="s">
        <v>308</v>
      </c>
      <c r="I1192" s="16" t="s">
        <v>437</v>
      </c>
      <c r="J1192" s="8" t="str">
        <f>IFERROR(VLOOKUP($G1192,今日總結!$A:$AJ,35,0),"")</f>
        <v/>
      </c>
      <c r="K1192" s="5" t="str">
        <f>IFERROR(VLOOKUP($G1192,今日總結!$A:$AJ,36,0),"")</f>
        <v/>
      </c>
      <c r="L1192" s="156" t="str">
        <f>IFERROR(VLOOKUP($G1192,今日總結!$A:$AJ,33,0),"")</f>
        <v/>
      </c>
      <c r="M1192" s="340" t="str">
        <f>IFERROR(VLOOKUP($G1192,今日總結!$A:$AJ,34,0),"")</f>
        <v/>
      </c>
      <c r="N1192" s="240" t="str">
        <f t="shared" si="221"/>
        <v/>
      </c>
      <c r="P1192" s="365">
        <f>IFERROR(VLOOKUP($G1192,融外自投!$A:$J,7,0),"無")</f>
        <v>1342</v>
      </c>
      <c r="Q1192" s="79" t="str">
        <f>IFERROR(VLOOKUP($G1192,融外自投!$A:$J,9,0),"無")</f>
        <v>無</v>
      </c>
      <c r="R1192" s="346">
        <f>IFERROR(VLOOKUP($G1192,融外自投!$A:$J,8,0),"無")</f>
        <v>1153</v>
      </c>
      <c r="S1192" s="81" t="str">
        <f>IFERROR(VLOOKUP($G1192,融外自投!$A:$J,10,0),"無")</f>
        <v>無</v>
      </c>
      <c r="T1192" s="327">
        <f>IFERROR(VLOOKUP($G1192,'321買'!$A:$E,5,0),"'沒有資料'")</f>
        <v>1239</v>
      </c>
      <c r="U1192" s="186">
        <f>IFERROR(VLOOKUP($G1192,基本資料!$A:$J,9,0),"無")</f>
        <v>3.6</v>
      </c>
      <c r="V1192" s="310">
        <f t="shared" si="222"/>
        <v>7.6923076923076927E-2</v>
      </c>
      <c r="W1192" s="94">
        <f>IFERROR(VLOOKUP($G1192,基本資料!$A:$J,10,0),"無")</f>
        <v>5.01</v>
      </c>
      <c r="X1192" s="36">
        <f>RTD("money.excel",,"6292","Price")</f>
        <v>46.8</v>
      </c>
      <c r="Y1192" s="66"/>
      <c r="Z1192" s="15">
        <f t="shared" si="218"/>
        <v>46.8</v>
      </c>
      <c r="AA1192" s="3" t="e">
        <f t="shared" si="219"/>
        <v>#DIV/0!</v>
      </c>
      <c r="AB1192" s="344">
        <f>IFERROR(VLOOKUP($G1192,基本資料!$A:$M,11,0),"無")</f>
        <v>-5.31</v>
      </c>
      <c r="AC1192" s="397">
        <f>IFERROR(VLOOKUP($G1192,基本資料!$A:$M,12,0),"無")</f>
        <v>54.1</v>
      </c>
      <c r="AD1192" s="16" t="s">
        <v>437</v>
      </c>
      <c r="AG1192" s="33">
        <f t="shared" si="220"/>
        <v>0</v>
      </c>
      <c r="AH1192" s="43" t="s">
        <v>2423</v>
      </c>
      <c r="AI1192" s="63">
        <f t="shared" si="223"/>
        <v>1.4072494669509592E-3</v>
      </c>
      <c r="AJ1192" s="284">
        <f>RTD("money.excel",,$G1192,"PredictVolume")</f>
        <v>66</v>
      </c>
      <c r="AK1192" s="399">
        <f>IFERROR(VLOOKUP($G1192,基本資料!$A:$M,13,0),"無")</f>
        <v>2.62</v>
      </c>
    </row>
    <row r="1193" spans="1:37">
      <c r="A1193" s="347">
        <f>IFERROR(VLOOKUP($G1193,基本資料!$A:$J,3,0),"無")</f>
        <v>39.53</v>
      </c>
      <c r="B1193" s="79">
        <f>IFERROR(VLOOKUP($G1193,基本資料!$A:$J,4,0),"無")</f>
        <v>32</v>
      </c>
      <c r="C1193" s="79">
        <f>IFERROR(VLOOKUP($G1193,基本資料!$A:$J,5,0),"無")</f>
        <v>22</v>
      </c>
      <c r="D1193" s="79">
        <f>IFERROR(VLOOKUP($G1193,基本資料!$A:$J,6,0),"無")</f>
        <v>-19</v>
      </c>
      <c r="E1193" s="79">
        <f>IFERROR(VLOOKUP($G1193,基本資料!$A:$J,7,0),"無")</f>
        <v>-1</v>
      </c>
      <c r="F1193" s="6">
        <f>IFERROR(VLOOKUP($G1193,基本資料!$A:$J,8,0),"無")</f>
        <v>8.5500000000000007</v>
      </c>
      <c r="G1193" s="79">
        <v>6412</v>
      </c>
      <c r="H1193" s="195" t="s">
        <v>308</v>
      </c>
      <c r="I1193" s="22" t="s">
        <v>54</v>
      </c>
      <c r="J1193" s="8">
        <f>IFERROR(VLOOKUP($G1193,今日總結!$A:$AJ,35,0),"")</f>
        <v>0</v>
      </c>
      <c r="K1193" s="5">
        <f>IFERROR(VLOOKUP($G1193,今日總結!$A:$AJ,36,0),"")</f>
        <v>0</v>
      </c>
      <c r="L1193" s="156">
        <f>IFERROR(VLOOKUP($G1193,今日總結!$A:$AJ,33,0),"")</f>
        <v>0</v>
      </c>
      <c r="M1193" s="340">
        <f>IFERROR(VLOOKUP($G1193,今日總結!$A:$AJ,34,0),"")</f>
        <v>1</v>
      </c>
      <c r="N1193" s="240">
        <f t="shared" si="221"/>
        <v>-1</v>
      </c>
      <c r="P1193" s="365">
        <f>IFERROR(VLOOKUP($G1193,融外自投!$A:$J,7,0),"無")</f>
        <v>1302</v>
      </c>
      <c r="Q1193" s="79">
        <f>IFERROR(VLOOKUP($G1193,融外自投!$A:$J,9,0),"無")</f>
        <v>936</v>
      </c>
      <c r="R1193" s="346">
        <f>IFERROR(VLOOKUP($G1193,融外自投!$A:$J,8,0),"無")</f>
        <v>385</v>
      </c>
      <c r="S1193" s="81">
        <f>IFERROR(VLOOKUP($G1193,融外自投!$A:$J,10,0),"無")</f>
        <v>259</v>
      </c>
      <c r="T1193" s="327">
        <f>IFERROR(VLOOKUP($G1193,'321買'!$A:$E,5,0),"'沒有資料'")</f>
        <v>318</v>
      </c>
      <c r="U1193" s="186">
        <f>IFERROR(VLOOKUP($G1193,基本資料!$A:$J,9,0),"無")</f>
        <v>5.2</v>
      </c>
      <c r="V1193" s="310">
        <f t="shared" si="222"/>
        <v>7.6023391812865493E-2</v>
      </c>
      <c r="W1193" s="94">
        <f>IFERROR(VLOOKUP($G1193,基本資料!$A:$J,10,0),"無")</f>
        <v>7.22</v>
      </c>
      <c r="X1193" s="36">
        <f>RTD("money.excel",,"6412","Price")</f>
        <v>68.400000000000006</v>
      </c>
      <c r="Y1193" s="66"/>
      <c r="Z1193" s="15">
        <f t="shared" si="218"/>
        <v>68.400000000000006</v>
      </c>
      <c r="AA1193" s="3" t="e">
        <f t="shared" si="219"/>
        <v>#DIV/0!</v>
      </c>
      <c r="AB1193" s="344">
        <f>IFERROR(VLOOKUP($G1193,基本資料!$A:$M,11,0),"無")</f>
        <v>-21.3</v>
      </c>
      <c r="AC1193" s="397">
        <f>IFERROR(VLOOKUP($G1193,基本資料!$A:$M,12,0),"無")</f>
        <v>13.73</v>
      </c>
      <c r="AD1193" s="22" t="s">
        <v>54</v>
      </c>
      <c r="AG1193" s="33">
        <f t="shared" si="220"/>
        <v>0</v>
      </c>
      <c r="AH1193" s="117" t="s">
        <v>2546</v>
      </c>
      <c r="AI1193" s="63">
        <f t="shared" si="223"/>
        <v>3.3392360232734633E-4</v>
      </c>
      <c r="AJ1193" s="284">
        <f>RTD("money.excel",,$G1193,"PredictVolume")</f>
        <v>132</v>
      </c>
      <c r="AK1193" s="399">
        <f>IFERROR(VLOOKUP($G1193,基本資料!$A:$M,13,0),"無")</f>
        <v>0.59</v>
      </c>
    </row>
    <row r="1194" spans="1:37">
      <c r="A1194" s="347">
        <f>IFERROR(VLOOKUP($G1194,基本資料!$A:$J,3,0),"無")</f>
        <v>3.45</v>
      </c>
      <c r="B1194" s="79">
        <f>IFERROR(VLOOKUP($G1194,基本資料!$A:$J,4,0),"無")</f>
        <v>-502</v>
      </c>
      <c r="C1194" s="79">
        <f>IFERROR(VLOOKUP($G1194,基本資料!$A:$J,5,0),"無")</f>
        <v>-190</v>
      </c>
      <c r="D1194" s="79">
        <f>IFERROR(VLOOKUP($G1194,基本資料!$A:$J,6,0),"無")</f>
        <v>123</v>
      </c>
      <c r="E1194" s="79">
        <f>IFERROR(VLOOKUP($G1194,基本資料!$A:$J,7,0),"無")</f>
        <v>24</v>
      </c>
      <c r="F1194" s="6">
        <f>IFERROR(VLOOKUP($G1194,基本資料!$A:$J,8,0),"無")</f>
        <v>-1.7</v>
      </c>
      <c r="G1194" s="79">
        <v>6418</v>
      </c>
      <c r="H1194" s="8" t="s">
        <v>308</v>
      </c>
      <c r="I1194" s="16" t="s">
        <v>2965</v>
      </c>
      <c r="J1194" s="8" t="str">
        <f>IFERROR(VLOOKUP($G1194,今日總結!$A:$AJ,35,0),"")</f>
        <v/>
      </c>
      <c r="K1194" s="5" t="str">
        <f>IFERROR(VLOOKUP($G1194,今日總結!$A:$AJ,36,0),"")</f>
        <v/>
      </c>
      <c r="L1194" s="156" t="str">
        <f>IFERROR(VLOOKUP($G1194,今日總結!$A:$AJ,33,0),"")</f>
        <v/>
      </c>
      <c r="M1194" s="340" t="str">
        <f>IFERROR(VLOOKUP($G1194,今日總結!$A:$AJ,34,0),"")</f>
        <v/>
      </c>
      <c r="N1194" s="240" t="str">
        <f t="shared" si="221"/>
        <v/>
      </c>
      <c r="P1194" s="365">
        <f>IFERROR(VLOOKUP($G1194,融外自投!$A:$J,7,0),"無")</f>
        <v>565</v>
      </c>
      <c r="Q1194" s="79" t="str">
        <f>IFERROR(VLOOKUP($G1194,融外自投!$A:$J,9,0),"無")</f>
        <v>無</v>
      </c>
      <c r="R1194" s="346" t="str">
        <f>IFERROR(VLOOKUP($G1194,融外自投!$A:$J,8,0),"無")</f>
        <v>無</v>
      </c>
      <c r="S1194" s="81" t="str">
        <f>IFERROR(VLOOKUP($G1194,融外自投!$A:$J,10,0),"無")</f>
        <v>無</v>
      </c>
      <c r="T1194" s="327">
        <f>IFERROR(VLOOKUP($G1194,'321買'!$A:$E,5,0),"'沒有資料'")</f>
        <v>869</v>
      </c>
      <c r="U1194" s="186">
        <f>IFERROR(VLOOKUP($G1194,基本資料!$A:$J,9,0),"無")</f>
        <v>0</v>
      </c>
      <c r="V1194" s="310">
        <f t="shared" si="222"/>
        <v>0</v>
      </c>
      <c r="W1194" s="94">
        <f>IFERROR(VLOOKUP($G1194,基本資料!$A:$J,10,0),"無")</f>
        <v>-0.68</v>
      </c>
      <c r="X1194" s="36">
        <f>RTD("money.excel",,"6418","Price")</f>
        <v>14.35</v>
      </c>
      <c r="Y1194" s="66"/>
      <c r="Z1194" s="15">
        <f t="shared" si="218"/>
        <v>14.35</v>
      </c>
      <c r="AA1194" s="3" t="e">
        <f t="shared" si="219"/>
        <v>#DIV/0!</v>
      </c>
      <c r="AB1194" s="344">
        <f>IFERROR(VLOOKUP($G1194,基本資料!$A:$M,11,0),"無")</f>
        <v>-53.78</v>
      </c>
      <c r="AC1194" s="397">
        <f>IFERROR(VLOOKUP($G1194,基本資料!$A:$M,12,0),"無")</f>
        <v>10.15</v>
      </c>
      <c r="AD1194" s="16" t="s">
        <v>2965</v>
      </c>
      <c r="AG1194" s="33">
        <f t="shared" si="220"/>
        <v>0</v>
      </c>
      <c r="AH1194" s="43" t="s">
        <v>1903</v>
      </c>
      <c r="AI1194" s="63">
        <f t="shared" si="223"/>
        <v>1.3333333333333333E-3</v>
      </c>
      <c r="AJ1194" s="284">
        <f>RTD("money.excel",,$G1194,"PredictVolume")</f>
        <v>46</v>
      </c>
      <c r="AK1194" s="399">
        <f>IFERROR(VLOOKUP($G1194,基本資料!$A:$M,13,0),"無")</f>
        <v>16.73</v>
      </c>
    </row>
    <row r="1195" spans="1:37">
      <c r="A1195" s="347">
        <f>IFERROR(VLOOKUP($G1195,基本資料!$A:$J,3,0),"無")</f>
        <v>3.05</v>
      </c>
      <c r="B1195" s="79">
        <f>IFERROR(VLOOKUP($G1195,基本資料!$A:$J,4,0),"無")</f>
        <v>17</v>
      </c>
      <c r="C1195" s="79">
        <f>IFERROR(VLOOKUP($G1195,基本資料!$A:$J,5,0),"無")</f>
        <v>8</v>
      </c>
      <c r="D1195" s="79">
        <f>IFERROR(VLOOKUP($G1195,基本資料!$A:$J,6,0),"無")</f>
        <v>-6</v>
      </c>
      <c r="E1195" s="79">
        <f>IFERROR(VLOOKUP($G1195,基本資料!$A:$J,7,0),"無")</f>
        <v>-21</v>
      </c>
      <c r="F1195" s="6">
        <f>IFERROR(VLOOKUP($G1195,基本資料!$A:$J,8,0),"無")</f>
        <v>8.7799999999999994</v>
      </c>
      <c r="G1195" s="79">
        <v>6432</v>
      </c>
      <c r="H1195" s="8" t="s">
        <v>308</v>
      </c>
      <c r="I1195" s="16" t="s">
        <v>438</v>
      </c>
      <c r="J1195" s="8" t="str">
        <f>IFERROR(VLOOKUP($G1195,今日總結!$A:$AJ,35,0),"")</f>
        <v/>
      </c>
      <c r="K1195" s="5" t="str">
        <f>IFERROR(VLOOKUP($G1195,今日總結!$A:$AJ,36,0),"")</f>
        <v/>
      </c>
      <c r="L1195" s="156" t="str">
        <f>IFERROR(VLOOKUP($G1195,今日總結!$A:$AJ,33,0),"")</f>
        <v/>
      </c>
      <c r="M1195" s="340" t="str">
        <f>IFERROR(VLOOKUP($G1195,今日總結!$A:$AJ,34,0),"")</f>
        <v/>
      </c>
      <c r="N1195" s="240" t="str">
        <f t="shared" si="221"/>
        <v/>
      </c>
      <c r="P1195" s="365">
        <f>IFERROR(VLOOKUP($G1195,融外自投!$A:$J,7,0),"無")</f>
        <v>315</v>
      </c>
      <c r="Q1195" s="79" t="str">
        <f>IFERROR(VLOOKUP($G1195,融外自投!$A:$J,9,0),"無")</f>
        <v>無</v>
      </c>
      <c r="R1195" s="346">
        <f>IFERROR(VLOOKUP($G1195,融外自投!$A:$J,8,0),"無")</f>
        <v>1256</v>
      </c>
      <c r="S1195" s="81" t="str">
        <f>IFERROR(VLOOKUP($G1195,融外自投!$A:$J,10,0),"無")</f>
        <v>無</v>
      </c>
      <c r="T1195" s="327">
        <f>IFERROR(VLOOKUP($G1195,'321買'!$A:$E,5,0),"'沒有資料'")</f>
        <v>1066</v>
      </c>
      <c r="U1195" s="186">
        <f>IFERROR(VLOOKUP($G1195,基本資料!$A:$J,9,0),"無")</f>
        <v>1.6</v>
      </c>
      <c r="V1195" s="310">
        <f t="shared" si="222"/>
        <v>4.597701149425288E-2</v>
      </c>
      <c r="W1195" s="94">
        <f>IFERROR(VLOOKUP($G1195,基本資料!$A:$J,10,0),"無")</f>
        <v>2.91</v>
      </c>
      <c r="X1195" s="36">
        <f>RTD("money.excel",,"6432","Price")</f>
        <v>34.799999999999997</v>
      </c>
      <c r="Y1195" s="66"/>
      <c r="Z1195" s="15">
        <f t="shared" si="218"/>
        <v>34.799999999999997</v>
      </c>
      <c r="AA1195" s="3" t="e">
        <f t="shared" si="219"/>
        <v>#DIV/0!</v>
      </c>
      <c r="AB1195" s="344">
        <f>IFERROR(VLOOKUP($G1195,基本資料!$A:$M,11,0),"無")</f>
        <v>-30.1</v>
      </c>
      <c r="AC1195" s="397">
        <f>IFERROR(VLOOKUP($G1195,基本資料!$A:$M,12,0),"無")</f>
        <v>20.98</v>
      </c>
      <c r="AD1195" s="16" t="s">
        <v>438</v>
      </c>
      <c r="AG1195" s="33">
        <f t="shared" si="220"/>
        <v>0</v>
      </c>
      <c r="AH1195" s="43" t="s">
        <v>2376</v>
      </c>
      <c r="AI1195" s="63">
        <f t="shared" si="223"/>
        <v>9.508196721311475E-4</v>
      </c>
      <c r="AJ1195" s="284">
        <f>RTD("money.excel",,$G1195,"PredictVolume")</f>
        <v>29</v>
      </c>
      <c r="AK1195" s="399">
        <f>IFERROR(VLOOKUP($G1195,基本資料!$A:$M,13,0),"無")</f>
        <v>13.46</v>
      </c>
    </row>
    <row r="1196" spans="1:37">
      <c r="A1196" s="347">
        <f>IFERROR(VLOOKUP($G1196,基本資料!$A:$J,3,0),"無")</f>
        <v>8.89</v>
      </c>
      <c r="B1196" s="79">
        <f>IFERROR(VLOOKUP($G1196,基本資料!$A:$J,4,0),"無")</f>
        <v>17</v>
      </c>
      <c r="C1196" s="79">
        <f>IFERROR(VLOOKUP($G1196,基本資料!$A:$J,5,0),"無")</f>
        <v>4</v>
      </c>
      <c r="D1196" s="79">
        <f>IFERROR(VLOOKUP($G1196,基本資料!$A:$J,6,0),"無")</f>
        <v>-17</v>
      </c>
      <c r="E1196" s="79">
        <f>IFERROR(VLOOKUP($G1196,基本資料!$A:$J,7,0),"無")</f>
        <v>-4</v>
      </c>
      <c r="F1196" s="6">
        <f>IFERROR(VLOOKUP($G1196,基本資料!$A:$J,8,0),"無")</f>
        <v>14.26</v>
      </c>
      <c r="G1196" s="79">
        <v>6449</v>
      </c>
      <c r="H1196" s="8" t="s">
        <v>308</v>
      </c>
      <c r="I1196" s="22" t="s">
        <v>4600</v>
      </c>
      <c r="J1196" s="8" t="str">
        <f>IFERROR(VLOOKUP($G1196,今日總結!$A:$AJ,35,0),"")</f>
        <v/>
      </c>
      <c r="K1196" s="5" t="str">
        <f>IFERROR(VLOOKUP($G1196,今日總結!$A:$AJ,36,0),"")</f>
        <v/>
      </c>
      <c r="L1196" s="156" t="str">
        <f>IFERROR(VLOOKUP($G1196,今日總結!$A:$AJ,33,0),"")</f>
        <v/>
      </c>
      <c r="M1196" s="340" t="str">
        <f>IFERROR(VLOOKUP($G1196,今日總結!$A:$AJ,34,0),"")</f>
        <v/>
      </c>
      <c r="N1196" s="240" t="str">
        <f t="shared" si="221"/>
        <v/>
      </c>
      <c r="P1196" s="365">
        <f>IFERROR(VLOOKUP($G1196,融外自投!$A:$J,7,0),"無")</f>
        <v>821</v>
      </c>
      <c r="Q1196" s="79">
        <f>IFERROR(VLOOKUP($G1196,融外自投!$A:$J,9,0),"無")</f>
        <v>312</v>
      </c>
      <c r="R1196" s="346">
        <f>IFERROR(VLOOKUP($G1196,融外自投!$A:$J,8,0),"無")</f>
        <v>958</v>
      </c>
      <c r="S1196" s="81" t="str">
        <f>IFERROR(VLOOKUP($G1196,融外自投!$A:$J,10,0),"無")</f>
        <v>無</v>
      </c>
      <c r="T1196" s="327">
        <f>IFERROR(VLOOKUP($G1196,'321買'!$A:$E,5,0),"'沒有資料'")</f>
        <v>1038</v>
      </c>
      <c r="U1196" s="186">
        <f>IFERROR(VLOOKUP($G1196,基本資料!$A:$J,9,0),"無")</f>
        <v>2</v>
      </c>
      <c r="V1196" s="310">
        <f t="shared" si="222"/>
        <v>4.0160642570281124E-2</v>
      </c>
      <c r="W1196" s="94">
        <f>IFERROR(VLOOKUP($G1196,基本資料!$A:$J,10,0),"無")</f>
        <v>3.49</v>
      </c>
      <c r="X1196" s="36">
        <f>RTD("money.excel",,"6449","Price")</f>
        <v>49.8</v>
      </c>
      <c r="Y1196" s="66"/>
      <c r="Z1196" s="15">
        <f t="shared" si="218"/>
        <v>49.8</v>
      </c>
      <c r="AA1196" s="3" t="e">
        <f t="shared" si="219"/>
        <v>#DIV/0!</v>
      </c>
      <c r="AB1196" s="344">
        <f>IFERROR(VLOOKUP($G1196,基本資料!$A:$M,11,0),"無")</f>
        <v>-23.71</v>
      </c>
      <c r="AC1196" s="397">
        <f>IFERROR(VLOOKUP($G1196,基本資料!$A:$M,12,0),"無")</f>
        <v>13.88</v>
      </c>
      <c r="AD1196" s="22" t="s">
        <v>4600</v>
      </c>
      <c r="AG1196" s="33">
        <f t="shared" si="220"/>
        <v>0</v>
      </c>
      <c r="AH1196" s="43" t="s">
        <v>2330</v>
      </c>
      <c r="AI1196" s="63">
        <f t="shared" si="223"/>
        <v>2.924634420697413E-4</v>
      </c>
      <c r="AJ1196" s="284">
        <f>RTD("money.excel",,$G1196,"PredictVolume")</f>
        <v>26</v>
      </c>
      <c r="AK1196" s="399">
        <f>IFERROR(VLOOKUP($G1196,基本資料!$A:$M,13,0),"無")</f>
        <v>2.52</v>
      </c>
    </row>
    <row r="1197" spans="1:37">
      <c r="A1197" s="347">
        <f>IFERROR(VLOOKUP($G1197,基本資料!$A:$J,3,0),"無")</f>
        <v>3.72</v>
      </c>
      <c r="B1197" s="79">
        <f>IFERROR(VLOOKUP($G1197,基本資料!$A:$J,4,0),"無")</f>
        <v>-64</v>
      </c>
      <c r="C1197" s="79">
        <f>IFERROR(VLOOKUP($G1197,基本資料!$A:$J,5,0),"無")</f>
        <v>-67</v>
      </c>
      <c r="D1197" s="79">
        <f>IFERROR(VLOOKUP($G1197,基本資料!$A:$J,6,0),"無")</f>
        <v>8</v>
      </c>
      <c r="E1197" s="79">
        <f>IFERROR(VLOOKUP($G1197,基本資料!$A:$J,7,0),"無")</f>
        <v>32</v>
      </c>
      <c r="F1197" s="6">
        <f>IFERROR(VLOOKUP($G1197,基本資料!$A:$J,8,0),"無")</f>
        <v>15.33</v>
      </c>
      <c r="G1197" s="79">
        <v>6538</v>
      </c>
      <c r="H1197" s="8" t="s">
        <v>308</v>
      </c>
      <c r="I1197" s="16" t="s">
        <v>439</v>
      </c>
      <c r="J1197" s="8">
        <f>IFERROR(VLOOKUP($G1197,今日總結!$A:$AJ,35,0),"")</f>
        <v>6</v>
      </c>
      <c r="K1197" s="5">
        <f>IFERROR(VLOOKUP($G1197,今日總結!$A:$AJ,36,0),"")</f>
        <v>0</v>
      </c>
      <c r="L1197" s="156">
        <f>IFERROR(VLOOKUP($G1197,今日總結!$A:$AJ,33,0),"")</f>
        <v>1</v>
      </c>
      <c r="M1197" s="340">
        <f>IFERROR(VLOOKUP($G1197,今日總結!$A:$AJ,34,0),"")</f>
        <v>1</v>
      </c>
      <c r="N1197" s="240">
        <f t="shared" si="221"/>
        <v>0</v>
      </c>
      <c r="P1197" s="365">
        <f>IFERROR(VLOOKUP($G1197,融外自投!$A:$J,7,0),"無")</f>
        <v>180</v>
      </c>
      <c r="Q1197" s="79">
        <f>IFERROR(VLOOKUP($G1197,融外自投!$A:$J,9,0),"無")</f>
        <v>302</v>
      </c>
      <c r="R1197" s="346">
        <f>IFERROR(VLOOKUP($G1197,融外自投!$A:$J,8,0),"無")</f>
        <v>885</v>
      </c>
      <c r="S1197" s="81">
        <f>IFERROR(VLOOKUP($G1197,融外自投!$A:$J,10,0),"無")</f>
        <v>299</v>
      </c>
      <c r="T1197" s="327">
        <f>IFERROR(VLOOKUP($G1197,'321買'!$A:$E,5,0),"'沒有資料'")</f>
        <v>664</v>
      </c>
      <c r="U1197" s="186">
        <f>IFERROR(VLOOKUP($G1197,基本資料!$A:$J,9,0),"無")</f>
        <v>2.5</v>
      </c>
      <c r="V1197" s="310">
        <f t="shared" si="222"/>
        <v>2.986857825567503E-2</v>
      </c>
      <c r="W1197" s="94">
        <f>IFERROR(VLOOKUP($G1197,基本資料!$A:$J,10,0),"無")</f>
        <v>4.13</v>
      </c>
      <c r="X1197" s="36">
        <f>RTD("money.excel",,"6538","Price")</f>
        <v>83.7</v>
      </c>
      <c r="Y1197" s="66"/>
      <c r="Z1197" s="15">
        <f t="shared" si="218"/>
        <v>83.7</v>
      </c>
      <c r="AA1197" s="3" t="e">
        <f t="shared" si="219"/>
        <v>#DIV/0!</v>
      </c>
      <c r="AB1197" s="344">
        <f>IFERROR(VLOOKUP($G1197,基本資料!$A:$M,11,0),"無")</f>
        <v>-39.619999999999997</v>
      </c>
      <c r="AC1197" s="397">
        <f>IFERROR(VLOOKUP($G1197,基本資料!$A:$M,12,0),"無")</f>
        <v>29.38</v>
      </c>
      <c r="AD1197" s="16" t="s">
        <v>439</v>
      </c>
      <c r="AG1197" s="33">
        <f t="shared" si="220"/>
        <v>0</v>
      </c>
      <c r="AH1197" s="43" t="s">
        <v>1714</v>
      </c>
      <c r="AI1197" s="63">
        <f t="shared" si="223"/>
        <v>1.7956989247311827E-2</v>
      </c>
      <c r="AJ1197" s="284">
        <f>RTD("money.excel",,$G1197,"PredictVolume")</f>
        <v>668</v>
      </c>
      <c r="AK1197" s="399">
        <f>IFERROR(VLOOKUP($G1197,基本資料!$A:$M,13,0),"無")</f>
        <v>15.8</v>
      </c>
    </row>
    <row r="1198" spans="1:37">
      <c r="A1198" s="347">
        <f>IFERROR(VLOOKUP($G1198,基本資料!$A:$J,3,0),"無")</f>
        <v>3.73</v>
      </c>
      <c r="B1198" s="79">
        <f>IFERROR(VLOOKUP($G1198,基本資料!$A:$J,4,0),"無")</f>
        <v>89</v>
      </c>
      <c r="C1198" s="79">
        <f>IFERROR(VLOOKUP($G1198,基本資料!$A:$J,5,0),"無")</f>
        <v>87</v>
      </c>
      <c r="D1198" s="79">
        <f>IFERROR(VLOOKUP($G1198,基本資料!$A:$J,6,0),"無")</f>
        <v>-17</v>
      </c>
      <c r="E1198" s="79">
        <f>IFERROR(VLOOKUP($G1198,基本資料!$A:$J,7,0),"無")</f>
        <v>-8</v>
      </c>
      <c r="F1198" s="6">
        <f>IFERROR(VLOOKUP($G1198,基本資料!$A:$J,8,0),"無")</f>
        <v>32.17</v>
      </c>
      <c r="G1198" s="79">
        <v>6642</v>
      </c>
      <c r="H1198" s="8" t="s">
        <v>308</v>
      </c>
      <c r="I1198" s="16" t="s">
        <v>1682</v>
      </c>
      <c r="J1198" s="8" t="str">
        <f>IFERROR(VLOOKUP($G1198,今日總結!$A:$AJ,35,0),"")</f>
        <v/>
      </c>
      <c r="K1198" s="5" t="str">
        <f>IFERROR(VLOOKUP($G1198,今日總結!$A:$AJ,36,0),"")</f>
        <v/>
      </c>
      <c r="L1198" s="156" t="str">
        <f>IFERROR(VLOOKUP($G1198,今日總結!$A:$AJ,33,0),"")</f>
        <v/>
      </c>
      <c r="M1198" s="340" t="str">
        <f>IFERROR(VLOOKUP($G1198,今日總結!$A:$AJ,34,0),"")</f>
        <v/>
      </c>
      <c r="N1198" s="240" t="str">
        <f t="shared" si="221"/>
        <v/>
      </c>
      <c r="P1198" s="365">
        <f>IFERROR(VLOOKUP($G1198,融外自投!$A:$J,7,0),"無")</f>
        <v>146</v>
      </c>
      <c r="Q1198" s="79" t="str">
        <f>IFERROR(VLOOKUP($G1198,融外自投!$A:$J,9,0),"無")</f>
        <v>無</v>
      </c>
      <c r="R1198" s="346">
        <f>IFERROR(VLOOKUP($G1198,融外自投!$A:$J,8,0),"無")</f>
        <v>889</v>
      </c>
      <c r="S1198" s="81" t="str">
        <f>IFERROR(VLOOKUP($G1198,融外自投!$A:$J,10,0),"無")</f>
        <v>無</v>
      </c>
      <c r="T1198" s="327">
        <f>IFERROR(VLOOKUP($G1198,'321買'!$A:$E,5,0),"'沒有資料'")</f>
        <v>964</v>
      </c>
      <c r="U1198" s="186">
        <f>IFERROR(VLOOKUP($G1198,基本資料!$A:$J,9,0),"無")</f>
        <v>3.6</v>
      </c>
      <c r="V1198" s="310">
        <f t="shared" si="222"/>
        <v>5.5469953775038515E-2</v>
      </c>
      <c r="W1198" s="94">
        <f>IFERROR(VLOOKUP($G1198,基本資料!$A:$J,10,0),"無")</f>
        <v>4.6500000000000004</v>
      </c>
      <c r="X1198" s="36">
        <f>RTD("money.excel",,"6642","Price")</f>
        <v>64.900000000000006</v>
      </c>
      <c r="Y1198" s="66"/>
      <c r="Z1198" s="15">
        <f t="shared" si="218"/>
        <v>64.900000000000006</v>
      </c>
      <c r="AA1198" s="3" t="e">
        <f t="shared" si="219"/>
        <v>#DIV/0!</v>
      </c>
      <c r="AB1198" s="344">
        <f>IFERROR(VLOOKUP($G1198,基本資料!$A:$M,11,0),"無")</f>
        <v>-43.89</v>
      </c>
      <c r="AC1198" s="397">
        <f>IFERROR(VLOOKUP($G1198,基本資料!$A:$M,12,0),"無")</f>
        <v>17.57</v>
      </c>
      <c r="AD1198" s="16" t="s">
        <v>1682</v>
      </c>
      <c r="AG1198" s="33">
        <f t="shared" si="220"/>
        <v>0</v>
      </c>
      <c r="AH1198" s="43" t="s">
        <v>3073</v>
      </c>
      <c r="AI1198" s="63">
        <f t="shared" si="223"/>
        <v>5.8981233243967832E-4</v>
      </c>
      <c r="AJ1198" s="284">
        <f>RTD("money.excel",,$G1198,"PredictVolume")</f>
        <v>22</v>
      </c>
      <c r="AK1198" s="399">
        <f>IFERROR(VLOOKUP($G1198,基本資料!$A:$M,13,0),"無")</f>
        <v>7.5</v>
      </c>
    </row>
    <row r="1199" spans="1:37">
      <c r="A1199" s="347">
        <f>IFERROR(VLOOKUP($G1199,基本資料!$A:$J,3,0),"無")</f>
        <v>5.5</v>
      </c>
      <c r="B1199" s="79">
        <f>IFERROR(VLOOKUP($G1199,基本資料!$A:$J,4,0),"無")</f>
        <v>8</v>
      </c>
      <c r="C1199" s="79">
        <f>IFERROR(VLOOKUP($G1199,基本資料!$A:$J,5,0),"無")</f>
        <v>8</v>
      </c>
      <c r="D1199" s="79">
        <f>IFERROR(VLOOKUP($G1199,基本資料!$A:$J,6,0),"無")</f>
        <v>52</v>
      </c>
      <c r="E1199" s="79">
        <f>IFERROR(VLOOKUP($G1199,基本資料!$A:$J,7,0),"無")</f>
        <v>28</v>
      </c>
      <c r="F1199" s="6">
        <f>IFERROR(VLOOKUP($G1199,基本資料!$A:$J,8,0),"無")</f>
        <v>24.56</v>
      </c>
      <c r="G1199" s="79">
        <v>6664</v>
      </c>
      <c r="H1199" s="8" t="s">
        <v>308</v>
      </c>
      <c r="I1199" s="16" t="s">
        <v>1067</v>
      </c>
      <c r="J1199" s="8" t="str">
        <f>IFERROR(VLOOKUP($G1199,今日總結!$A:$AJ,35,0),"")</f>
        <v/>
      </c>
      <c r="K1199" s="5" t="str">
        <f>IFERROR(VLOOKUP($G1199,今日總結!$A:$AJ,36,0),"")</f>
        <v/>
      </c>
      <c r="L1199" s="156" t="str">
        <f>IFERROR(VLOOKUP($G1199,今日總結!$A:$AJ,33,0),"")</f>
        <v/>
      </c>
      <c r="M1199" s="340" t="str">
        <f>IFERROR(VLOOKUP($G1199,今日總結!$A:$AJ,34,0),"")</f>
        <v/>
      </c>
      <c r="N1199" s="240" t="str">
        <f t="shared" si="221"/>
        <v/>
      </c>
      <c r="P1199" s="365">
        <f>IFERROR(VLOOKUP($G1199,融外自投!$A:$J,7,0),"無")</f>
        <v>710</v>
      </c>
      <c r="Q1199" s="79">
        <f>IFERROR(VLOOKUP($G1199,融外自投!$A:$J,9,0),"無")</f>
        <v>507</v>
      </c>
      <c r="R1199" s="346">
        <f>IFERROR(VLOOKUP($G1199,融外自投!$A:$J,8,0),"無")</f>
        <v>924</v>
      </c>
      <c r="S1199" s="81" t="str">
        <f>IFERROR(VLOOKUP($G1199,融外自投!$A:$J,10,0),"無")</f>
        <v>無</v>
      </c>
      <c r="T1199" s="327">
        <f>IFERROR(VLOOKUP($G1199,'321買'!$A:$E,5,0),"'沒有資料'")</f>
        <v>515</v>
      </c>
      <c r="U1199" s="186">
        <f>IFERROR(VLOOKUP($G1199,基本資料!$A:$J,9,0),"無")</f>
        <v>4.9000000000000004</v>
      </c>
      <c r="V1199" s="310">
        <f t="shared" si="222"/>
        <v>5.5745164960182024E-2</v>
      </c>
      <c r="W1199" s="94">
        <f>IFERROR(VLOOKUP($G1199,基本資料!$A:$J,10,0),"無")</f>
        <v>6.12</v>
      </c>
      <c r="X1199" s="36">
        <f>RTD("money.excel",,"6664","Price")</f>
        <v>87.9</v>
      </c>
      <c r="Y1199" s="66"/>
      <c r="Z1199" s="15">
        <f t="shared" si="218"/>
        <v>87.9</v>
      </c>
      <c r="AA1199" s="3" t="e">
        <f t="shared" si="219"/>
        <v>#DIV/0!</v>
      </c>
      <c r="AB1199" s="344">
        <f>IFERROR(VLOOKUP($G1199,基本資料!$A:$M,11,0),"無")</f>
        <v>-10.32</v>
      </c>
      <c r="AC1199" s="397">
        <f>IFERROR(VLOOKUP($G1199,基本資料!$A:$M,12,0),"無")</f>
        <v>38.99</v>
      </c>
      <c r="AD1199" s="16" t="s">
        <v>1067</v>
      </c>
      <c r="AG1199" s="33">
        <f t="shared" si="220"/>
        <v>0</v>
      </c>
      <c r="AH1199" s="43" t="s">
        <v>2292</v>
      </c>
      <c r="AI1199" s="63">
        <f t="shared" si="223"/>
        <v>1.1890909090909091E-2</v>
      </c>
      <c r="AJ1199" s="284">
        <f>RTD("money.excel",,$G1199,"PredictVolume")</f>
        <v>654</v>
      </c>
      <c r="AK1199" s="399">
        <f>IFERROR(VLOOKUP($G1199,基本資料!$A:$M,13,0),"無")</f>
        <v>1.91</v>
      </c>
    </row>
    <row r="1200" spans="1:37">
      <c r="A1200" s="347">
        <f>IFERROR(VLOOKUP($G1200,基本資料!$A:$J,3,0),"無")</f>
        <v>7.14</v>
      </c>
      <c r="B1200" s="79">
        <f>IFERROR(VLOOKUP($G1200,基本資料!$A:$J,4,0),"無")</f>
        <v>121</v>
      </c>
      <c r="C1200" s="79">
        <f>IFERROR(VLOOKUP($G1200,基本資料!$A:$J,5,0),"無")</f>
        <v>102</v>
      </c>
      <c r="D1200" s="79">
        <f>IFERROR(VLOOKUP($G1200,基本資料!$A:$J,6,0),"無")</f>
        <v>-11</v>
      </c>
      <c r="E1200" s="79">
        <f>IFERROR(VLOOKUP($G1200,基本資料!$A:$J,7,0),"無")</f>
        <v>-18</v>
      </c>
      <c r="F1200" s="6">
        <f>IFERROR(VLOOKUP($G1200,基本資料!$A:$J,8,0),"無")</f>
        <v>14.04</v>
      </c>
      <c r="G1200" s="79">
        <v>6672</v>
      </c>
      <c r="H1200" s="8" t="s">
        <v>308</v>
      </c>
      <c r="I1200" s="22" t="s">
        <v>1501</v>
      </c>
      <c r="J1200" s="8" t="str">
        <f>IFERROR(VLOOKUP($G1200,今日總結!$A:$AJ,35,0),"")</f>
        <v/>
      </c>
      <c r="K1200" s="5" t="str">
        <f>IFERROR(VLOOKUP($G1200,今日總結!$A:$AJ,36,0),"")</f>
        <v/>
      </c>
      <c r="L1200" s="156" t="str">
        <f>IFERROR(VLOOKUP($G1200,今日總結!$A:$AJ,33,0),"")</f>
        <v/>
      </c>
      <c r="M1200" s="340" t="str">
        <f>IFERROR(VLOOKUP($G1200,今日總結!$A:$AJ,34,0),"")</f>
        <v/>
      </c>
      <c r="N1200" s="240" t="str">
        <f t="shared" si="221"/>
        <v/>
      </c>
      <c r="P1200" s="365">
        <f>IFERROR(VLOOKUP($G1200,融外自投!$A:$J,7,0),"無")</f>
        <v>205</v>
      </c>
      <c r="Q1200" s="79">
        <f>IFERROR(VLOOKUP($G1200,融外自投!$A:$J,9,0),"無")</f>
        <v>1110</v>
      </c>
      <c r="R1200" s="346">
        <f>IFERROR(VLOOKUP($G1200,融外自投!$A:$J,8,0),"無")</f>
        <v>222</v>
      </c>
      <c r="S1200" s="81" t="str">
        <f>IFERROR(VLOOKUP($G1200,融外自投!$A:$J,10,0),"無")</f>
        <v>無</v>
      </c>
      <c r="T1200" s="327">
        <f>IFERROR(VLOOKUP($G1200,'321買'!$A:$E,5,0),"'沒有資料'")</f>
        <v>357</v>
      </c>
      <c r="U1200" s="186">
        <f>IFERROR(VLOOKUP($G1200,基本資料!$A:$J,9,0),"無")</f>
        <v>6.6</v>
      </c>
      <c r="V1200" s="310">
        <f t="shared" si="222"/>
        <v>7.2928176795580113E-2</v>
      </c>
      <c r="W1200" s="94">
        <f>IFERROR(VLOOKUP($G1200,基本資料!$A:$J,10,0),"無")</f>
        <v>11.72</v>
      </c>
      <c r="X1200" s="36">
        <f>RTD("money.excel",,"6672","Price")</f>
        <v>90.5</v>
      </c>
      <c r="Y1200" s="66"/>
      <c r="Z1200" s="15">
        <f t="shared" si="218"/>
        <v>90.5</v>
      </c>
      <c r="AA1200" s="3" t="e">
        <f t="shared" si="219"/>
        <v>#DIV/0!</v>
      </c>
      <c r="AB1200" s="344">
        <f>IFERROR(VLOOKUP($G1200,基本資料!$A:$M,11,0),"無")</f>
        <v>-53.61</v>
      </c>
      <c r="AC1200" s="397">
        <f>IFERROR(VLOOKUP($G1200,基本資料!$A:$M,12,0),"無")</f>
        <v>15.66</v>
      </c>
      <c r="AD1200" s="22" t="s">
        <v>1501</v>
      </c>
      <c r="AG1200" s="33">
        <f t="shared" si="220"/>
        <v>0</v>
      </c>
      <c r="AH1200" s="43" t="s">
        <v>3278</v>
      </c>
      <c r="AI1200" s="63">
        <f t="shared" si="223"/>
        <v>2.2268907563025211E-3</v>
      </c>
      <c r="AJ1200" s="284">
        <f>RTD("money.excel",,$G1200,"PredictVolume")</f>
        <v>159</v>
      </c>
      <c r="AK1200" s="399">
        <f>IFERROR(VLOOKUP($G1200,基本資料!$A:$M,13,0),"無")</f>
        <v>22.15</v>
      </c>
    </row>
    <row r="1201" spans="1:37">
      <c r="A1201" s="347">
        <f>IFERROR(VLOOKUP($G1201,基本資料!$A:$J,3,0),"無")</f>
        <v>6.05</v>
      </c>
      <c r="B1201" s="79">
        <f>IFERROR(VLOOKUP($G1201,基本資料!$A:$J,4,0),"無")</f>
        <v>-33</v>
      </c>
      <c r="C1201" s="79">
        <f>IFERROR(VLOOKUP($G1201,基本資料!$A:$J,5,0),"無")</f>
        <v>-40</v>
      </c>
      <c r="D1201" s="79">
        <f>IFERROR(VLOOKUP($G1201,基本資料!$A:$J,6,0),"無")</f>
        <v>0</v>
      </c>
      <c r="E1201" s="79">
        <f>IFERROR(VLOOKUP($G1201,基本資料!$A:$J,7,0),"無")</f>
        <v>33</v>
      </c>
      <c r="F1201" s="6">
        <f>IFERROR(VLOOKUP($G1201,基本資料!$A:$J,8,0),"無")</f>
        <v>9.75</v>
      </c>
      <c r="G1201" s="79">
        <v>6715</v>
      </c>
      <c r="H1201" s="8" t="s">
        <v>3389</v>
      </c>
      <c r="I1201" s="22" t="s">
        <v>1923</v>
      </c>
      <c r="J1201" s="8" t="str">
        <f>IFERROR(VLOOKUP($G1201,今日總結!$A:$AJ,35,0),"")</f>
        <v/>
      </c>
      <c r="K1201" s="5" t="str">
        <f>IFERROR(VLOOKUP($G1201,今日總結!$A:$AJ,36,0),"")</f>
        <v/>
      </c>
      <c r="L1201" s="156" t="str">
        <f>IFERROR(VLOOKUP($G1201,今日總結!$A:$AJ,33,0),"")</f>
        <v/>
      </c>
      <c r="M1201" s="340" t="str">
        <f>IFERROR(VLOOKUP($G1201,今日總結!$A:$AJ,34,0),"")</f>
        <v/>
      </c>
      <c r="N1201" s="240" t="str">
        <f t="shared" si="221"/>
        <v/>
      </c>
      <c r="P1201" s="365">
        <f>IFERROR(VLOOKUP($G1201,融外自投!$A:$J,7,0),"無")</f>
        <v>325</v>
      </c>
      <c r="Q1201" s="79">
        <f>IFERROR(VLOOKUP($G1201,融外自投!$A:$J,9,0),"無")</f>
        <v>824</v>
      </c>
      <c r="R1201" s="346">
        <f>IFERROR(VLOOKUP($G1201,融外自投!$A:$J,8,0),"無")</f>
        <v>1113</v>
      </c>
      <c r="S1201" s="81" t="str">
        <f>IFERROR(VLOOKUP($G1201,融外自投!$A:$J,10,0),"無")</f>
        <v>無</v>
      </c>
      <c r="T1201" s="327">
        <f>IFERROR(VLOOKUP($G1201,'321買'!$A:$E,5,0),"'沒有資料'")</f>
        <v>852</v>
      </c>
      <c r="U1201" s="186">
        <f>IFERROR(VLOOKUP($G1201,基本資料!$A:$J,9,0),"無")</f>
        <v>1.8</v>
      </c>
      <c r="V1201" s="310">
        <f t="shared" si="222"/>
        <v>1.7647058823529412E-2</v>
      </c>
      <c r="W1201" s="94">
        <f>IFERROR(VLOOKUP($G1201,基本資料!$A:$J,10,0),"無")</f>
        <v>3.05</v>
      </c>
      <c r="X1201" s="36">
        <f>RTD("money.excel",,"6715","Price")</f>
        <v>102</v>
      </c>
      <c r="Y1201" s="66"/>
      <c r="Z1201" s="15">
        <f t="shared" si="218"/>
        <v>102</v>
      </c>
      <c r="AA1201" s="3" t="e">
        <f t="shared" si="219"/>
        <v>#DIV/0!</v>
      </c>
      <c r="AB1201" s="344">
        <f>IFERROR(VLOOKUP($G1201,基本資料!$A:$M,11,0),"無")</f>
        <v>-25.56</v>
      </c>
      <c r="AC1201" s="397">
        <f>IFERROR(VLOOKUP($G1201,基本資料!$A:$M,12,0),"無")</f>
        <v>30.74</v>
      </c>
      <c r="AD1201" s="22" t="s">
        <v>1923</v>
      </c>
      <c r="AG1201" s="33">
        <f t="shared" si="220"/>
        <v>0</v>
      </c>
      <c r="AH1201" s="119" t="s">
        <v>1924</v>
      </c>
      <c r="AI1201" s="63">
        <f t="shared" si="223"/>
        <v>1.3553719008264464E-3</v>
      </c>
      <c r="AJ1201" s="284">
        <f>RTD("money.excel",,$G1201,"PredictVolume")</f>
        <v>82</v>
      </c>
      <c r="AK1201" s="399">
        <f>IFERROR(VLOOKUP($G1201,基本資料!$A:$M,13,0),"無")</f>
        <v>1.99</v>
      </c>
    </row>
    <row r="1202" spans="1:37">
      <c r="A1202" s="347">
        <f>IFERROR(VLOOKUP($G1202,基本資料!$A:$J,3,0),"無")</f>
        <v>2.2599999999999998</v>
      </c>
      <c r="B1202" s="79">
        <f>IFERROR(VLOOKUP($G1202,基本資料!$A:$J,4,0),"無")</f>
        <v>64</v>
      </c>
      <c r="C1202" s="79">
        <f>IFERROR(VLOOKUP($G1202,基本資料!$A:$J,5,0),"無")</f>
        <v>27</v>
      </c>
      <c r="D1202" s="79">
        <f>IFERROR(VLOOKUP($G1202,基本資料!$A:$J,6,0),"無")</f>
        <v>-15</v>
      </c>
      <c r="E1202" s="79">
        <f>IFERROR(VLOOKUP($G1202,基本資料!$A:$J,7,0),"無")</f>
        <v>59</v>
      </c>
      <c r="F1202" s="6">
        <f>IFERROR(VLOOKUP($G1202,基本資料!$A:$J,8,0),"無")</f>
        <v>13.45</v>
      </c>
      <c r="G1202" s="79">
        <v>6727</v>
      </c>
      <c r="H1202" s="8" t="s">
        <v>308</v>
      </c>
      <c r="I1202" s="16" t="s">
        <v>2083</v>
      </c>
      <c r="J1202" s="8" t="str">
        <f>IFERROR(VLOOKUP($G1202,今日總結!$A:$AJ,35,0),"")</f>
        <v/>
      </c>
      <c r="K1202" s="5" t="str">
        <f>IFERROR(VLOOKUP($G1202,今日總結!$A:$AJ,36,0),"")</f>
        <v/>
      </c>
      <c r="L1202" s="156" t="str">
        <f>IFERROR(VLOOKUP($G1202,今日總結!$A:$AJ,33,0),"")</f>
        <v/>
      </c>
      <c r="M1202" s="340" t="str">
        <f>IFERROR(VLOOKUP($G1202,今日總結!$A:$AJ,34,0),"")</f>
        <v/>
      </c>
      <c r="N1202" s="240" t="str">
        <f t="shared" si="221"/>
        <v/>
      </c>
      <c r="P1202" s="365" t="str">
        <f>IFERROR(VLOOKUP($G1202,融外自投!$A:$J,7,0),"無")</f>
        <v>無</v>
      </c>
      <c r="Q1202" s="79" t="str">
        <f>IFERROR(VLOOKUP($G1202,融外自投!$A:$J,9,0),"無")</f>
        <v>無</v>
      </c>
      <c r="R1202" s="346" t="str">
        <f>IFERROR(VLOOKUP($G1202,融外自投!$A:$J,8,0),"無")</f>
        <v>無</v>
      </c>
      <c r="S1202" s="81" t="str">
        <f>IFERROR(VLOOKUP($G1202,融外自投!$A:$J,10,0),"無")</f>
        <v>無</v>
      </c>
      <c r="T1202" s="327" t="str">
        <f>IFERROR(VLOOKUP($G1202,'321買'!$A:$E,5,0),"'沒有資料'")</f>
        <v>'沒有資料'</v>
      </c>
      <c r="U1202" s="186">
        <f>IFERROR(VLOOKUP($G1202,基本資料!$A:$J,9,0),"無")</f>
        <v>3</v>
      </c>
      <c r="V1202" s="310">
        <f t="shared" si="222"/>
        <v>4.0871934604904632E-2</v>
      </c>
      <c r="W1202" s="94">
        <f>IFERROR(VLOOKUP($G1202,基本資料!$A:$J,10,0),"無")</f>
        <v>5.75</v>
      </c>
      <c r="X1202" s="36">
        <f>RTD("money.excel",,"6727","Price")</f>
        <v>73.400000000000006</v>
      </c>
      <c r="Y1202" s="66"/>
      <c r="Z1202" s="15">
        <f t="shared" si="218"/>
        <v>73.400000000000006</v>
      </c>
      <c r="AA1202" s="3" t="e">
        <f t="shared" si="219"/>
        <v>#DIV/0!</v>
      </c>
      <c r="AB1202" s="344">
        <f>IFERROR(VLOOKUP($G1202,基本資料!$A:$M,11,0),"無")</f>
        <v>-42.58</v>
      </c>
      <c r="AC1202" s="397">
        <f>IFERROR(VLOOKUP($G1202,基本資料!$A:$M,12,0),"無")</f>
        <v>44.24</v>
      </c>
      <c r="AD1202" s="16" t="s">
        <v>2083</v>
      </c>
      <c r="AG1202" s="33">
        <f t="shared" si="220"/>
        <v>0</v>
      </c>
      <c r="AH1202" s="43" t="s">
        <v>2292</v>
      </c>
      <c r="AI1202" s="63">
        <f t="shared" si="223"/>
        <v>5.9734513274336291E-3</v>
      </c>
      <c r="AJ1202" s="284">
        <f>RTD("money.excel",,$G1202,"PredictVolume")</f>
        <v>135</v>
      </c>
      <c r="AK1202" s="399">
        <f>IFERROR(VLOOKUP($G1202,基本資料!$A:$M,13,0),"無")</f>
        <v>31.19</v>
      </c>
    </row>
    <row r="1203" spans="1:37">
      <c r="A1203" s="347">
        <f>IFERROR(VLOOKUP($G1203,基本資料!$A:$J,3,0),"無")</f>
        <v>2.39</v>
      </c>
      <c r="B1203" s="79">
        <f>IFERROR(VLOOKUP($G1203,基本資料!$A:$J,4,0),"無")</f>
        <v>104</v>
      </c>
      <c r="C1203" s="79">
        <f>IFERROR(VLOOKUP($G1203,基本資料!$A:$J,5,0),"無")</f>
        <v>97</v>
      </c>
      <c r="D1203" s="79">
        <f>IFERROR(VLOOKUP($G1203,基本資料!$A:$J,6,0),"無")</f>
        <v>1</v>
      </c>
      <c r="E1203" s="79">
        <f>IFERROR(VLOOKUP($G1203,基本資料!$A:$J,7,0),"無")</f>
        <v>-1</v>
      </c>
      <c r="F1203" s="6">
        <f>IFERROR(VLOOKUP($G1203,基本資料!$A:$J,8,0),"無")</f>
        <v>12.86</v>
      </c>
      <c r="G1203" s="79">
        <v>6761</v>
      </c>
      <c r="H1203" s="8" t="s">
        <v>308</v>
      </c>
      <c r="I1203" s="16" t="s">
        <v>3506</v>
      </c>
      <c r="J1203" s="8" t="str">
        <f>IFERROR(VLOOKUP($G1203,今日總結!$A:$AJ,35,0),"")</f>
        <v/>
      </c>
      <c r="K1203" s="5" t="str">
        <f>IFERROR(VLOOKUP($G1203,今日總結!$A:$AJ,36,0),"")</f>
        <v/>
      </c>
      <c r="L1203" s="156" t="str">
        <f>IFERROR(VLOOKUP($G1203,今日總結!$A:$AJ,33,0),"")</f>
        <v/>
      </c>
      <c r="M1203" s="340" t="str">
        <f>IFERROR(VLOOKUP($G1203,今日總結!$A:$AJ,34,0),"")</f>
        <v/>
      </c>
      <c r="N1203" s="240" t="str">
        <f t="shared" si="221"/>
        <v/>
      </c>
      <c r="P1203" s="365" t="str">
        <f>IFERROR(VLOOKUP($G1203,融外自投!$A:$J,7,0),"無")</f>
        <v>無</v>
      </c>
      <c r="Q1203" s="79" t="str">
        <f>IFERROR(VLOOKUP($G1203,融外自投!$A:$J,9,0),"無")</f>
        <v>無</v>
      </c>
      <c r="R1203" s="346" t="str">
        <f>IFERROR(VLOOKUP($G1203,融外自投!$A:$J,8,0),"無")</f>
        <v>無</v>
      </c>
      <c r="S1203" s="81" t="str">
        <f>IFERROR(VLOOKUP($G1203,融外自投!$A:$J,10,0),"無")</f>
        <v>無</v>
      </c>
      <c r="T1203" s="327" t="str">
        <f>IFERROR(VLOOKUP($G1203,'321買'!$A:$E,5,0),"'沒有資料'")</f>
        <v>'沒有資料'</v>
      </c>
      <c r="U1203" s="186">
        <f>IFERROR(VLOOKUP($G1203,基本資料!$A:$J,9,0),"無")</f>
        <v>5.8</v>
      </c>
      <c r="V1203" s="310">
        <f t="shared" si="222"/>
        <v>5.7999999999999996E-2</v>
      </c>
      <c r="W1203" s="94">
        <f>IFERROR(VLOOKUP($G1203,基本資料!$A:$J,10,0),"無")</f>
        <v>8.5399999999999991</v>
      </c>
      <c r="X1203" s="36">
        <f>RTD("money.excel",,"6761","Price")</f>
        <v>100</v>
      </c>
      <c r="Y1203" s="66"/>
      <c r="Z1203" s="15">
        <f t="shared" si="218"/>
        <v>100</v>
      </c>
      <c r="AA1203" s="3" t="e">
        <f t="shared" si="219"/>
        <v>#DIV/0!</v>
      </c>
      <c r="AB1203" s="344" t="str">
        <f>IFERROR(VLOOKUP($G1203,基本資料!$A:$M,11,0),"無")</f>
        <v>無</v>
      </c>
      <c r="AC1203" s="397" t="str">
        <f>IFERROR(VLOOKUP($G1203,基本資料!$A:$M,12,0),"無")</f>
        <v>無</v>
      </c>
      <c r="AD1203" s="16" t="s">
        <v>3506</v>
      </c>
      <c r="AG1203" s="33">
        <f t="shared" si="220"/>
        <v>0</v>
      </c>
      <c r="AH1203" s="43" t="s">
        <v>3507</v>
      </c>
      <c r="AI1203" s="63">
        <f t="shared" si="223"/>
        <v>1.0041841004184101E-3</v>
      </c>
      <c r="AJ1203" s="284">
        <f>RTD("money.excel",,$G1203,"PredictVolume")</f>
        <v>24</v>
      </c>
      <c r="AK1203" s="399" t="str">
        <f>IFERROR(VLOOKUP($G1203,基本資料!$A:$M,13,0),"無")</f>
        <v>無</v>
      </c>
    </row>
    <row r="1204" spans="1:37">
      <c r="A1204" s="347">
        <f>IFERROR(VLOOKUP($G1204,基本資料!$A:$J,3,0),"無")</f>
        <v>8.5399999999999991</v>
      </c>
      <c r="B1204" s="79">
        <f>IFERROR(VLOOKUP($G1204,基本資料!$A:$J,4,0),"無")</f>
        <v>168</v>
      </c>
      <c r="C1204" s="79">
        <f>IFERROR(VLOOKUP($G1204,基本資料!$A:$J,5,0),"無")</f>
        <v>146</v>
      </c>
      <c r="D1204" s="79">
        <f>IFERROR(VLOOKUP($G1204,基本資料!$A:$J,6,0),"無")</f>
        <v>0</v>
      </c>
      <c r="E1204" s="79">
        <f>IFERROR(VLOOKUP($G1204,基本資料!$A:$J,7,0),"無")</f>
        <v>40</v>
      </c>
      <c r="F1204" s="6">
        <f>IFERROR(VLOOKUP($G1204,基本資料!$A:$J,8,0),"無")</f>
        <v>26.21</v>
      </c>
      <c r="G1204" s="79">
        <v>6781</v>
      </c>
      <c r="H1204" s="8" t="s">
        <v>308</v>
      </c>
      <c r="I1204" s="22" t="s">
        <v>3093</v>
      </c>
      <c r="J1204" s="8" t="str">
        <f>IFERROR(VLOOKUP($G1204,今日總結!$A:$AJ,35,0),"")</f>
        <v/>
      </c>
      <c r="K1204" s="5" t="str">
        <f>IFERROR(VLOOKUP($G1204,今日總結!$A:$AJ,36,0),"")</f>
        <v/>
      </c>
      <c r="L1204" s="156" t="str">
        <f>IFERROR(VLOOKUP($G1204,今日總結!$A:$AJ,33,0),"")</f>
        <v/>
      </c>
      <c r="M1204" s="340" t="str">
        <f>IFERROR(VLOOKUP($G1204,今日總結!$A:$AJ,34,0),"")</f>
        <v/>
      </c>
      <c r="N1204" s="240" t="str">
        <f t="shared" si="221"/>
        <v/>
      </c>
      <c r="P1204" s="365">
        <f>IFERROR(VLOOKUP($G1204,融外自投!$A:$J,7,0),"無")</f>
        <v>883</v>
      </c>
      <c r="Q1204" s="79">
        <f>IFERROR(VLOOKUP($G1204,融外自投!$A:$J,9,0),"無")</f>
        <v>978</v>
      </c>
      <c r="R1204" s="346">
        <f>IFERROR(VLOOKUP($G1204,融外自投!$A:$J,8,0),"無")</f>
        <v>9</v>
      </c>
      <c r="S1204" s="81">
        <f>IFERROR(VLOOKUP($G1204,融外自投!$A:$J,10,0),"無")</f>
        <v>96</v>
      </c>
      <c r="T1204" s="327">
        <f>IFERROR(VLOOKUP($G1204,'321買'!$A:$E,5,0),"'沒有資料'")</f>
        <v>281</v>
      </c>
      <c r="U1204" s="186">
        <f>IFERROR(VLOOKUP($G1204,基本資料!$A:$J,9,0),"無")</f>
        <v>15</v>
      </c>
      <c r="V1204" s="310">
        <f t="shared" si="222"/>
        <v>1.4851485148514851E-2</v>
      </c>
      <c r="W1204" s="94">
        <f>IFERROR(VLOOKUP($G1204,基本資料!$A:$J,10,0),"無")</f>
        <v>30.18</v>
      </c>
      <c r="X1204" s="372">
        <f>RTD("money.excel",,"6781","Price")</f>
        <v>1010</v>
      </c>
      <c r="Y1204" s="66"/>
      <c r="Z1204" s="137">
        <f t="shared" si="218"/>
        <v>1010</v>
      </c>
      <c r="AA1204" s="3" t="e">
        <f t="shared" si="219"/>
        <v>#DIV/0!</v>
      </c>
      <c r="AB1204" s="344">
        <f>IFERROR(VLOOKUP($G1204,基本資料!$A:$M,11,0),"無")</f>
        <v>-55.68</v>
      </c>
      <c r="AC1204" s="397">
        <f>IFERROR(VLOOKUP($G1204,基本資料!$A:$M,12,0),"無")</f>
        <v>12.51</v>
      </c>
      <c r="AD1204" s="22" t="s">
        <v>3093</v>
      </c>
      <c r="AG1204" s="33">
        <f t="shared" si="220"/>
        <v>0</v>
      </c>
      <c r="AH1204" s="43" t="s">
        <v>3098</v>
      </c>
      <c r="AI1204" s="63">
        <f t="shared" si="223"/>
        <v>1.7271662763466044E-2</v>
      </c>
      <c r="AJ1204" s="284">
        <f>RTD("money.excel",,$G1204,"PredictVolume")</f>
        <v>1475</v>
      </c>
      <c r="AK1204" s="399">
        <f>IFERROR(VLOOKUP($G1204,基本資料!$A:$M,13,0),"無")</f>
        <v>2.2999999999999998</v>
      </c>
    </row>
    <row r="1205" spans="1:37">
      <c r="A1205" s="347">
        <f>IFERROR(VLOOKUP($G1205,基本資料!$A:$J,3,0),"無")</f>
        <v>5.98</v>
      </c>
      <c r="B1205" s="79">
        <f>IFERROR(VLOOKUP($G1205,基本資料!$A:$J,4,0),"無")</f>
        <v>-102</v>
      </c>
      <c r="C1205" s="79">
        <f>IFERROR(VLOOKUP($G1205,基本資料!$A:$J,5,0),"無")</f>
        <v>-54</v>
      </c>
      <c r="D1205" s="79">
        <f>IFERROR(VLOOKUP($G1205,基本資料!$A:$J,6,0),"無")</f>
        <v>285</v>
      </c>
      <c r="E1205" s="79">
        <f>IFERROR(VLOOKUP($G1205,基本資料!$A:$J,7,0),"無")</f>
        <v>128</v>
      </c>
      <c r="F1205" s="6">
        <f>IFERROR(VLOOKUP($G1205,基本資料!$A:$J,8,0),"無")</f>
        <v>-181.42</v>
      </c>
      <c r="G1205" s="79">
        <v>8038</v>
      </c>
      <c r="H1205" s="8" t="s">
        <v>308</v>
      </c>
      <c r="I1205" s="24" t="s">
        <v>245</v>
      </c>
      <c r="J1205" s="8" t="str">
        <f>IFERROR(VLOOKUP($G1205,今日總結!$A:$AJ,35,0),"")</f>
        <v/>
      </c>
      <c r="K1205" s="5" t="str">
        <f>IFERROR(VLOOKUP($G1205,今日總結!$A:$AJ,36,0),"")</f>
        <v/>
      </c>
      <c r="L1205" s="156" t="str">
        <f>IFERROR(VLOOKUP($G1205,今日總結!$A:$AJ,33,0),"")</f>
        <v/>
      </c>
      <c r="M1205" s="340" t="str">
        <f>IFERROR(VLOOKUP($G1205,今日總結!$A:$AJ,34,0),"")</f>
        <v/>
      </c>
      <c r="N1205" s="240" t="str">
        <f t="shared" si="221"/>
        <v/>
      </c>
      <c r="P1205" s="365" t="str">
        <f>IFERROR(VLOOKUP($G1205,融外自投!$A:$J,7,0),"無")</f>
        <v>無</v>
      </c>
      <c r="Q1205" s="79" t="str">
        <f>IFERROR(VLOOKUP($G1205,融外自投!$A:$J,9,0),"無")</f>
        <v>無</v>
      </c>
      <c r="R1205" s="346" t="str">
        <f>IFERROR(VLOOKUP($G1205,融外自投!$A:$J,8,0),"無")</f>
        <v>無</v>
      </c>
      <c r="S1205" s="81" t="str">
        <f>IFERROR(VLOOKUP($G1205,融外自投!$A:$J,10,0),"無")</f>
        <v>無</v>
      </c>
      <c r="T1205" s="327" t="str">
        <f>IFERROR(VLOOKUP($G1205,'321買'!$A:$E,5,0),"'沒有資料'")</f>
        <v>'沒有資料'</v>
      </c>
      <c r="U1205" s="186">
        <f>IFERROR(VLOOKUP($G1205,基本資料!$A:$J,9,0),"無")</f>
        <v>0</v>
      </c>
      <c r="V1205" s="310">
        <f t="shared" si="222"/>
        <v>0</v>
      </c>
      <c r="W1205" s="94">
        <f>IFERROR(VLOOKUP($G1205,基本資料!$A:$J,10,0),"無")</f>
        <v>-2.0499999999999998</v>
      </c>
      <c r="X1205" s="36">
        <f>RTD("money.excel",,"8038","Price")</f>
        <v>36.5</v>
      </c>
      <c r="Y1205" s="66"/>
      <c r="Z1205" s="15">
        <f t="shared" si="218"/>
        <v>36.5</v>
      </c>
      <c r="AA1205" s="3" t="e">
        <f t="shared" si="219"/>
        <v>#DIV/0!</v>
      </c>
      <c r="AB1205" s="344">
        <f>IFERROR(VLOOKUP($G1205,基本資料!$A:$M,11,0),"無")</f>
        <v>-26.66</v>
      </c>
      <c r="AC1205" s="397">
        <f>IFERROR(VLOOKUP($G1205,基本資料!$A:$M,12,0),"無")</f>
        <v>25.49</v>
      </c>
      <c r="AD1205" s="24" t="s">
        <v>245</v>
      </c>
      <c r="AG1205" s="33">
        <f t="shared" si="220"/>
        <v>0</v>
      </c>
      <c r="AH1205" s="119" t="s">
        <v>2290</v>
      </c>
      <c r="AI1205" s="63">
        <f t="shared" si="223"/>
        <v>5.4347826086956512E-3</v>
      </c>
      <c r="AJ1205" s="284">
        <f>RTD("money.excel",,$G1205,"PredictVolume")</f>
        <v>325</v>
      </c>
      <c r="AK1205" s="399">
        <f>IFERROR(VLOOKUP($G1205,基本資料!$A:$M,13,0),"無")</f>
        <v>9.18</v>
      </c>
    </row>
    <row r="1206" spans="1:37">
      <c r="A1206" s="347">
        <f>IFERROR(VLOOKUP($G1206,基本資料!$A:$J,3,0),"無")</f>
        <v>20.91</v>
      </c>
      <c r="B1206" s="79">
        <f>IFERROR(VLOOKUP($G1206,基本資料!$A:$J,4,0),"無")</f>
        <v>-5</v>
      </c>
      <c r="C1206" s="79">
        <f>IFERROR(VLOOKUP($G1206,基本資料!$A:$J,5,0),"無")</f>
        <v>-9</v>
      </c>
      <c r="D1206" s="79">
        <f>IFERROR(VLOOKUP($G1206,基本資料!$A:$J,6,0),"無")</f>
        <v>1</v>
      </c>
      <c r="E1206" s="79">
        <f>IFERROR(VLOOKUP($G1206,基本資料!$A:$J,7,0),"無")</f>
        <v>11</v>
      </c>
      <c r="F1206" s="6">
        <f>IFERROR(VLOOKUP($G1206,基本資料!$A:$J,8,0),"無")</f>
        <v>10.09</v>
      </c>
      <c r="G1206" s="79">
        <v>8039</v>
      </c>
      <c r="H1206" s="8" t="s">
        <v>308</v>
      </c>
      <c r="I1206" s="22" t="s">
        <v>4601</v>
      </c>
      <c r="J1206" s="8">
        <f>IFERROR(VLOOKUP($G1206,今日總結!$A:$AJ,35,0),"")</f>
        <v>0</v>
      </c>
      <c r="K1206" s="5" t="str">
        <f>IFERROR(VLOOKUP($G1206,今日總結!$A:$AJ,36,0),"")</f>
        <v>融</v>
      </c>
      <c r="L1206" s="156">
        <f>IFERROR(VLOOKUP($G1206,今日總結!$A:$AJ,33,0),"")</f>
        <v>0</v>
      </c>
      <c r="M1206" s="340">
        <f>IFERROR(VLOOKUP($G1206,今日總結!$A:$AJ,34,0),"")</f>
        <v>1</v>
      </c>
      <c r="N1206" s="240">
        <f t="shared" si="221"/>
        <v>-1</v>
      </c>
      <c r="P1206" s="365">
        <f>IFERROR(VLOOKUP($G1206,融外自投!$A:$J,7,0),"無")</f>
        <v>799</v>
      </c>
      <c r="Q1206" s="79">
        <f>IFERROR(VLOOKUP($G1206,融外自投!$A:$J,9,0),"無")</f>
        <v>124</v>
      </c>
      <c r="R1206" s="346">
        <f>IFERROR(VLOOKUP($G1206,融外自投!$A:$J,8,0),"無")</f>
        <v>401</v>
      </c>
      <c r="S1206" s="81" t="str">
        <f>IFERROR(VLOOKUP($G1206,融外自投!$A:$J,10,0),"無")</f>
        <v>無</v>
      </c>
      <c r="T1206" s="327">
        <f>IFERROR(VLOOKUP($G1206,'321買'!$A:$E,5,0),"'沒有資料'")</f>
        <v>915</v>
      </c>
      <c r="U1206" s="186">
        <f>IFERROR(VLOOKUP($G1206,基本資料!$A:$J,9,0),"無")</f>
        <v>2.5</v>
      </c>
      <c r="V1206" s="310">
        <f t="shared" si="222"/>
        <v>5.5679287305122498E-2</v>
      </c>
      <c r="W1206" s="94">
        <f>IFERROR(VLOOKUP($G1206,基本資料!$A:$J,10,0),"無")</f>
        <v>3.51</v>
      </c>
      <c r="X1206" s="36">
        <f>RTD("money.excel",,"8039","Price")</f>
        <v>44.9</v>
      </c>
      <c r="Y1206" s="66"/>
      <c r="Z1206" s="15">
        <f t="shared" si="218"/>
        <v>44.9</v>
      </c>
      <c r="AA1206" s="3" t="e">
        <f t="shared" si="219"/>
        <v>#DIV/0!</v>
      </c>
      <c r="AB1206" s="344">
        <f>IFERROR(VLOOKUP($G1206,基本資料!$A:$M,11,0),"無")</f>
        <v>-27.3</v>
      </c>
      <c r="AC1206" s="397">
        <f>IFERROR(VLOOKUP($G1206,基本資料!$A:$M,12,0),"無")</f>
        <v>35.97</v>
      </c>
      <c r="AD1206" s="22" t="s">
        <v>4601</v>
      </c>
      <c r="AG1206" s="33">
        <f t="shared" si="220"/>
        <v>0</v>
      </c>
      <c r="AH1206" s="119" t="s">
        <v>1953</v>
      </c>
      <c r="AI1206" s="63">
        <f t="shared" si="223"/>
        <v>5.3562888570062169E-4</v>
      </c>
      <c r="AJ1206" s="284">
        <f>RTD("money.excel",,$G1206,"PredictVolume")</f>
        <v>112</v>
      </c>
      <c r="AK1206" s="399">
        <f>IFERROR(VLOOKUP($G1206,基本資料!$A:$M,13,0),"無")</f>
        <v>6.46</v>
      </c>
    </row>
    <row r="1207" spans="1:37">
      <c r="A1207" s="347">
        <f>IFERROR(VLOOKUP($G1207,基本資料!$A:$J,3,0),"無")</f>
        <v>12.94</v>
      </c>
      <c r="B1207" s="79">
        <f>IFERROR(VLOOKUP($G1207,基本資料!$A:$J,4,0),"無")</f>
        <v>2061</v>
      </c>
      <c r="C1207" s="79">
        <f>IFERROR(VLOOKUP($G1207,基本資料!$A:$J,5,0),"無")</f>
        <v>4</v>
      </c>
      <c r="D1207" s="79">
        <f>IFERROR(VLOOKUP($G1207,基本資料!$A:$J,6,0),"無")</f>
        <v>1</v>
      </c>
      <c r="E1207" s="79">
        <f>IFERROR(VLOOKUP($G1207,基本資料!$A:$J,7,0),"無")</f>
        <v>-2</v>
      </c>
      <c r="F1207" s="6">
        <f>IFERROR(VLOOKUP($G1207,基本資料!$A:$J,8,0),"無")</f>
        <v>4.59</v>
      </c>
      <c r="G1207" s="79">
        <v>8042</v>
      </c>
      <c r="H1207" s="8" t="s">
        <v>308</v>
      </c>
      <c r="I1207" s="16" t="s">
        <v>4602</v>
      </c>
      <c r="J1207" s="8" t="str">
        <f>IFERROR(VLOOKUP($G1207,今日總結!$A:$AJ,35,0),"")</f>
        <v/>
      </c>
      <c r="K1207" s="5" t="str">
        <f>IFERROR(VLOOKUP($G1207,今日總結!$A:$AJ,36,0),"")</f>
        <v/>
      </c>
      <c r="L1207" s="156" t="str">
        <f>IFERROR(VLOOKUP($G1207,今日總結!$A:$AJ,33,0),"")</f>
        <v/>
      </c>
      <c r="M1207" s="340" t="str">
        <f>IFERROR(VLOOKUP($G1207,今日總結!$A:$AJ,34,0),"")</f>
        <v/>
      </c>
      <c r="N1207" s="240" t="str">
        <f t="shared" si="221"/>
        <v/>
      </c>
      <c r="P1207" s="365">
        <f>IFERROR(VLOOKUP($G1207,融外自投!$A:$J,7,0),"無")</f>
        <v>1024</v>
      </c>
      <c r="Q1207" s="79">
        <f>IFERROR(VLOOKUP($G1207,融外自投!$A:$J,9,0),"無")</f>
        <v>395</v>
      </c>
      <c r="R1207" s="346">
        <f>IFERROR(VLOOKUP($G1207,融外自投!$A:$J,8,0),"無")</f>
        <v>800</v>
      </c>
      <c r="S1207" s="81" t="str">
        <f>IFERROR(VLOOKUP($G1207,融外自投!$A:$J,10,0),"無")</f>
        <v>無</v>
      </c>
      <c r="T1207" s="327">
        <f>IFERROR(VLOOKUP($G1207,'321買'!$A:$E,5,0),"'沒有資料'")</f>
        <v>1066</v>
      </c>
      <c r="U1207" s="186">
        <f>IFERROR(VLOOKUP($G1207,基本資料!$A:$J,9,0),"無")</f>
        <v>1</v>
      </c>
      <c r="V1207" s="310">
        <f t="shared" si="222"/>
        <v>2.5974025974025976E-2</v>
      </c>
      <c r="W1207" s="94">
        <f>IFERROR(VLOOKUP($G1207,基本資料!$A:$J,10,0),"無")</f>
        <v>1.24</v>
      </c>
      <c r="X1207" s="36">
        <f>RTD("money.excel",,"8042","Price")</f>
        <v>38.5</v>
      </c>
      <c r="Y1207" s="66"/>
      <c r="Z1207" s="15">
        <f t="shared" si="218"/>
        <v>38.5</v>
      </c>
      <c r="AA1207" s="3" t="e">
        <f t="shared" si="219"/>
        <v>#DIV/0!</v>
      </c>
      <c r="AB1207" s="344">
        <f>IFERROR(VLOOKUP($G1207,基本資料!$A:$M,11,0),"無")</f>
        <v>-31.65</v>
      </c>
      <c r="AC1207" s="397">
        <f>IFERROR(VLOOKUP($G1207,基本資料!$A:$M,12,0),"無")</f>
        <v>16.920000000000002</v>
      </c>
      <c r="AD1207" s="16" t="s">
        <v>4602</v>
      </c>
      <c r="AG1207" s="33">
        <f t="shared" si="220"/>
        <v>0</v>
      </c>
      <c r="AH1207" s="117" t="s">
        <v>2330</v>
      </c>
      <c r="AI1207" s="63">
        <f t="shared" si="223"/>
        <v>4.6367851622874805E-5</v>
      </c>
      <c r="AJ1207" s="284">
        <f>RTD("money.excel",,$G1207,"PredictVolume")</f>
        <v>6</v>
      </c>
      <c r="AK1207" s="399">
        <f>IFERROR(VLOOKUP($G1207,基本資料!$A:$M,13,0),"無")</f>
        <v>1.61</v>
      </c>
    </row>
    <row r="1208" spans="1:37">
      <c r="A1208" s="347">
        <f>IFERROR(VLOOKUP($G1208,基本資料!$A:$J,3,0),"無")</f>
        <v>7.99</v>
      </c>
      <c r="B1208" s="79">
        <f>IFERROR(VLOOKUP($G1208,基本資料!$A:$J,4,0),"無")</f>
        <v>369</v>
      </c>
      <c r="C1208" s="79">
        <f>IFERROR(VLOOKUP($G1208,基本資料!$A:$J,5,0),"無")</f>
        <v>80</v>
      </c>
      <c r="D1208" s="79">
        <f>IFERROR(VLOOKUP($G1208,基本資料!$A:$J,6,0),"無")</f>
        <v>-40</v>
      </c>
      <c r="E1208" s="79">
        <f>IFERROR(VLOOKUP($G1208,基本資料!$A:$J,7,0),"無")</f>
        <v>-26</v>
      </c>
      <c r="F1208" s="6">
        <f>IFERROR(VLOOKUP($G1208,基本資料!$A:$J,8,0),"無")</f>
        <v>2.0699999999999998</v>
      </c>
      <c r="G1208" s="79">
        <v>8043</v>
      </c>
      <c r="H1208" s="8" t="s">
        <v>308</v>
      </c>
      <c r="I1208" s="16" t="s">
        <v>4603</v>
      </c>
      <c r="J1208" s="8" t="str">
        <f>IFERROR(VLOOKUP($G1208,今日總結!$A:$AJ,35,0),"")</f>
        <v/>
      </c>
      <c r="K1208" s="5" t="str">
        <f>IFERROR(VLOOKUP($G1208,今日總結!$A:$AJ,36,0),"")</f>
        <v/>
      </c>
      <c r="L1208" s="156" t="str">
        <f>IFERROR(VLOOKUP($G1208,今日總結!$A:$AJ,33,0),"")</f>
        <v/>
      </c>
      <c r="M1208" s="340" t="str">
        <f>IFERROR(VLOOKUP($G1208,今日總結!$A:$AJ,34,0),"")</f>
        <v/>
      </c>
      <c r="N1208" s="240" t="str">
        <f t="shared" si="221"/>
        <v/>
      </c>
      <c r="P1208" s="365">
        <f>IFERROR(VLOOKUP($G1208,融外自投!$A:$J,7,0),"無")</f>
        <v>792</v>
      </c>
      <c r="Q1208" s="79">
        <f>IFERROR(VLOOKUP($G1208,融外自投!$A:$J,9,0),"無")</f>
        <v>683</v>
      </c>
      <c r="R1208" s="346">
        <f>IFERROR(VLOOKUP($G1208,融外自投!$A:$J,8,0),"無")</f>
        <v>1291</v>
      </c>
      <c r="S1208" s="81" t="str">
        <f>IFERROR(VLOOKUP($G1208,融外自投!$A:$J,10,0),"無")</f>
        <v>無</v>
      </c>
      <c r="T1208" s="327">
        <f>IFERROR(VLOOKUP($G1208,'321買'!$A:$E,5,0),"'沒有資料'")</f>
        <v>1214</v>
      </c>
      <c r="U1208" s="186">
        <f>IFERROR(VLOOKUP($G1208,基本資料!$A:$J,9,0),"無")</f>
        <v>1</v>
      </c>
      <c r="V1208" s="310">
        <f t="shared" si="222"/>
        <v>4.1841004184100423E-2</v>
      </c>
      <c r="W1208" s="94">
        <f>IFERROR(VLOOKUP($G1208,基本資料!$A:$J,10,0),"無")</f>
        <v>1.76</v>
      </c>
      <c r="X1208" s="36">
        <f>RTD("money.excel",,"8043","Price")</f>
        <v>23.9</v>
      </c>
      <c r="Y1208" s="66"/>
      <c r="Z1208" s="15">
        <f t="shared" si="218"/>
        <v>23.9</v>
      </c>
      <c r="AA1208" s="3" t="e">
        <f t="shared" si="219"/>
        <v>#DIV/0!</v>
      </c>
      <c r="AB1208" s="344">
        <f>IFERROR(VLOOKUP($G1208,基本資料!$A:$M,11,0),"無")</f>
        <v>-32.81</v>
      </c>
      <c r="AC1208" s="397">
        <f>IFERROR(VLOOKUP($G1208,基本資料!$A:$M,12,0),"無")</f>
        <v>18.54</v>
      </c>
      <c r="AD1208" s="16" t="s">
        <v>4603</v>
      </c>
      <c r="AG1208" s="33">
        <f t="shared" si="220"/>
        <v>0</v>
      </c>
      <c r="AH1208" s="43" t="s">
        <v>2424</v>
      </c>
      <c r="AI1208" s="63">
        <f t="shared" si="223"/>
        <v>8.5106382978723403E-4</v>
      </c>
      <c r="AJ1208" s="284">
        <f>RTD("money.excel",,$G1208,"PredictVolume")</f>
        <v>68</v>
      </c>
      <c r="AK1208" s="399">
        <f>IFERROR(VLOOKUP($G1208,基本資料!$A:$M,13,0),"無")</f>
        <v>8.41</v>
      </c>
    </row>
    <row r="1209" spans="1:37">
      <c r="A1209" s="347">
        <f>IFERROR(VLOOKUP($G1209,基本資料!$A:$J,3,0),"無")</f>
        <v>64.61</v>
      </c>
      <c r="B1209" s="79">
        <f>IFERROR(VLOOKUP($G1209,基本資料!$A:$J,4,0),"無")</f>
        <v>188</v>
      </c>
      <c r="C1209" s="79">
        <f>IFERROR(VLOOKUP($G1209,基本資料!$A:$J,5,0),"無")</f>
        <v>213</v>
      </c>
      <c r="D1209" s="79">
        <f>IFERROR(VLOOKUP($G1209,基本資料!$A:$J,6,0),"無")</f>
        <v>-14</v>
      </c>
      <c r="E1209" s="79">
        <f>IFERROR(VLOOKUP($G1209,基本資料!$A:$J,7,0),"無")</f>
        <v>7</v>
      </c>
      <c r="F1209" s="6">
        <f>IFERROR(VLOOKUP($G1209,基本資料!$A:$J,8,0),"無")</f>
        <v>24.64</v>
      </c>
      <c r="G1209" s="79">
        <v>8046</v>
      </c>
      <c r="H1209" s="8" t="s">
        <v>308</v>
      </c>
      <c r="I1209" s="22" t="s">
        <v>278</v>
      </c>
      <c r="J1209" s="8" t="str">
        <f>IFERROR(VLOOKUP($G1209,今日總結!$A:$AJ,35,0),"")</f>
        <v>自</v>
      </c>
      <c r="K1209" s="5">
        <f>IFERROR(VLOOKUP($G1209,今日總結!$A:$AJ,36,0),"")</f>
        <v>0</v>
      </c>
      <c r="L1209" s="156">
        <f>IFERROR(VLOOKUP($G1209,今日總結!$A:$AJ,33,0),"")</f>
        <v>1</v>
      </c>
      <c r="M1209" s="340">
        <f>IFERROR(VLOOKUP($G1209,今日總結!$A:$AJ,34,0),"")</f>
        <v>0</v>
      </c>
      <c r="N1209" s="240">
        <f t="shared" si="221"/>
        <v>1</v>
      </c>
      <c r="P1209" s="365">
        <f>IFERROR(VLOOKUP($G1209,融外自投!$A:$J,7,0),"無")</f>
        <v>981</v>
      </c>
      <c r="Q1209" s="79">
        <f>IFERROR(VLOOKUP($G1209,融外自投!$A:$J,9,0),"無")</f>
        <v>233</v>
      </c>
      <c r="R1209" s="346">
        <f>IFERROR(VLOOKUP($G1209,融外自投!$A:$J,8,0),"無")</f>
        <v>500</v>
      </c>
      <c r="S1209" s="81">
        <f>IFERROR(VLOOKUP($G1209,融外自投!$A:$J,10,0),"無")</f>
        <v>42</v>
      </c>
      <c r="T1209" s="327">
        <f>IFERROR(VLOOKUP($G1209,'321買'!$A:$E,5,0),"'沒有資料'")</f>
        <v>200</v>
      </c>
      <c r="U1209" s="186">
        <f>IFERROR(VLOOKUP($G1209,基本資料!$A:$J,9,0),"無")</f>
        <v>10</v>
      </c>
      <c r="V1209" s="310">
        <f t="shared" si="222"/>
        <v>2.557544757033248E-2</v>
      </c>
      <c r="W1209" s="94">
        <f>IFERROR(VLOOKUP($G1209,基本資料!$A:$J,10,0),"無")</f>
        <v>16.38</v>
      </c>
      <c r="X1209" s="36">
        <f>RTD("money.excel",,"8046","Price")</f>
        <v>391</v>
      </c>
      <c r="Y1209" s="66"/>
      <c r="Z1209" s="15">
        <f t="shared" si="218"/>
        <v>391</v>
      </c>
      <c r="AA1209" s="3" t="e">
        <f t="shared" si="219"/>
        <v>#DIV/0!</v>
      </c>
      <c r="AB1209" s="344">
        <f>IFERROR(VLOOKUP($G1209,基本資料!$A:$M,11,0),"無")</f>
        <v>-37.4</v>
      </c>
      <c r="AC1209" s="397">
        <f>IFERROR(VLOOKUP($G1209,基本資料!$A:$M,12,0),"無")</f>
        <v>12.48</v>
      </c>
      <c r="AD1209" s="22" t="s">
        <v>278</v>
      </c>
      <c r="AG1209" s="33">
        <f t="shared" si="220"/>
        <v>0</v>
      </c>
      <c r="AH1209" s="117" t="s">
        <v>2305</v>
      </c>
      <c r="AI1209" s="63">
        <f t="shared" si="223"/>
        <v>5.7669091471908374E-3</v>
      </c>
      <c r="AJ1209" s="284">
        <f>RTD("money.excel",,$G1209,"PredictVolume")</f>
        <v>3726</v>
      </c>
      <c r="AK1209" s="399">
        <f>IFERROR(VLOOKUP($G1209,基本資料!$A:$M,13,0),"無")</f>
        <v>3.92</v>
      </c>
    </row>
    <row r="1210" spans="1:37">
      <c r="A1210" s="347">
        <f>IFERROR(VLOOKUP($G1210,基本資料!$A:$J,3,0),"無")</f>
        <v>5.18</v>
      </c>
      <c r="B1210" s="79">
        <f>IFERROR(VLOOKUP($G1210,基本資料!$A:$J,4,0),"無")</f>
        <v>756</v>
      </c>
      <c r="C1210" s="79">
        <f>IFERROR(VLOOKUP($G1210,基本資料!$A:$J,5,0),"無")</f>
        <v>141</v>
      </c>
      <c r="D1210" s="79">
        <f>IFERROR(VLOOKUP($G1210,基本資料!$A:$J,6,0),"無")</f>
        <v>15</v>
      </c>
      <c r="E1210" s="79">
        <f>IFERROR(VLOOKUP($G1210,基本資料!$A:$J,7,0),"無")</f>
        <v>-40</v>
      </c>
      <c r="F1210" s="6">
        <f>IFERROR(VLOOKUP($G1210,基本資料!$A:$J,8,0),"無")</f>
        <v>3.52</v>
      </c>
      <c r="G1210" s="79">
        <v>8071</v>
      </c>
      <c r="H1210" s="8" t="s">
        <v>308</v>
      </c>
      <c r="I1210" s="16" t="s">
        <v>2966</v>
      </c>
      <c r="J1210" s="8">
        <f>IFERROR(VLOOKUP($G1210,今日總結!$A:$AJ,35,0),"")</f>
        <v>2</v>
      </c>
      <c r="K1210" s="5" t="str">
        <f>IFERROR(VLOOKUP($G1210,今日總結!$A:$AJ,36,0),"")</f>
        <v>借</v>
      </c>
      <c r="L1210" s="156">
        <f>IFERROR(VLOOKUP($G1210,今日總結!$A:$AJ,33,0),"")</f>
        <v>1</v>
      </c>
      <c r="M1210" s="340">
        <f>IFERROR(VLOOKUP($G1210,今日總結!$A:$AJ,34,0),"")</f>
        <v>1</v>
      </c>
      <c r="N1210" s="240">
        <f t="shared" si="221"/>
        <v>0</v>
      </c>
      <c r="P1210" s="365">
        <f>IFERROR(VLOOKUP($G1210,融外自投!$A:$J,7,0),"無")</f>
        <v>17</v>
      </c>
      <c r="Q1210" s="79">
        <f>IFERROR(VLOOKUP($G1210,融外自投!$A:$J,9,0),"無")</f>
        <v>238</v>
      </c>
      <c r="R1210" s="346">
        <f>IFERROR(VLOOKUP($G1210,融外自投!$A:$J,8,0),"無")</f>
        <v>1075</v>
      </c>
      <c r="S1210" s="81" t="str">
        <f>IFERROR(VLOOKUP($G1210,融外自投!$A:$J,10,0),"無")</f>
        <v>無</v>
      </c>
      <c r="T1210" s="327">
        <f>IFERROR(VLOOKUP($G1210,'321買'!$A:$E,5,0),"'沒有資料'")</f>
        <v>379</v>
      </c>
      <c r="U1210" s="186">
        <f>IFERROR(VLOOKUP($G1210,基本資料!$A:$J,9,0),"無")</f>
        <v>0</v>
      </c>
      <c r="V1210" s="310">
        <f t="shared" si="222"/>
        <v>0</v>
      </c>
      <c r="W1210" s="94">
        <f>IFERROR(VLOOKUP($G1210,基本資料!$A:$J,10,0),"無")</f>
        <v>1.1100000000000001</v>
      </c>
      <c r="X1210" s="36">
        <f>RTD("money.excel",,"8071","Price")</f>
        <v>22.6</v>
      </c>
      <c r="Y1210" s="66"/>
      <c r="Z1210" s="15">
        <f t="shared" si="218"/>
        <v>22.6</v>
      </c>
      <c r="AA1210" s="3" t="e">
        <f t="shared" si="219"/>
        <v>#DIV/0!</v>
      </c>
      <c r="AB1210" s="344">
        <f>IFERROR(VLOOKUP($G1210,基本資料!$A:$M,11,0),"無")</f>
        <v>-11.34</v>
      </c>
      <c r="AC1210" s="397">
        <f>IFERROR(VLOOKUP($G1210,基本資料!$A:$M,12,0),"無")</f>
        <v>61.21</v>
      </c>
      <c r="AD1210" s="16" t="s">
        <v>2966</v>
      </c>
      <c r="AG1210" s="33">
        <f t="shared" si="220"/>
        <v>0</v>
      </c>
      <c r="AH1210" s="43" t="s">
        <v>2425</v>
      </c>
      <c r="AI1210" s="63">
        <f t="shared" si="223"/>
        <v>0.1144980694980695</v>
      </c>
      <c r="AJ1210" s="284">
        <f>RTD("money.excel",,$G1210,"PredictVolume")</f>
        <v>5931</v>
      </c>
      <c r="AK1210" s="399">
        <f>IFERROR(VLOOKUP($G1210,基本資料!$A:$M,13,0),"無")</f>
        <v>62.56</v>
      </c>
    </row>
    <row r="1211" spans="1:37">
      <c r="A1211" s="347">
        <f>IFERROR(VLOOKUP($G1211,基本資料!$A:$J,3,0),"無")</f>
        <v>8.4499999999999993</v>
      </c>
      <c r="B1211" s="79">
        <f>IFERROR(VLOOKUP($G1211,基本資料!$A:$J,4,0),"無")</f>
        <v>12</v>
      </c>
      <c r="C1211" s="79">
        <f>IFERROR(VLOOKUP($G1211,基本資料!$A:$J,5,0),"無")</f>
        <v>5</v>
      </c>
      <c r="D1211" s="79">
        <f>IFERROR(VLOOKUP($G1211,基本資料!$A:$J,6,0),"無")</f>
        <v>-27</v>
      </c>
      <c r="E1211" s="79">
        <f>IFERROR(VLOOKUP($G1211,基本資料!$A:$J,7,0),"無")</f>
        <v>-15</v>
      </c>
      <c r="F1211" s="6">
        <f>IFERROR(VLOOKUP($G1211,基本資料!$A:$J,8,0),"無")</f>
        <v>7.89</v>
      </c>
      <c r="G1211" s="79">
        <v>8074</v>
      </c>
      <c r="H1211" s="8" t="s">
        <v>308</v>
      </c>
      <c r="I1211" s="16" t="s">
        <v>440</v>
      </c>
      <c r="J1211" s="8" t="str">
        <f>IFERROR(VLOOKUP($G1211,今日總結!$A:$AJ,35,0),"")</f>
        <v/>
      </c>
      <c r="K1211" s="5" t="str">
        <f>IFERROR(VLOOKUP($G1211,今日總結!$A:$AJ,36,0),"")</f>
        <v/>
      </c>
      <c r="L1211" s="156" t="str">
        <f>IFERROR(VLOOKUP($G1211,今日總結!$A:$AJ,33,0),"")</f>
        <v/>
      </c>
      <c r="M1211" s="340" t="str">
        <f>IFERROR(VLOOKUP($G1211,今日總結!$A:$AJ,34,0),"")</f>
        <v/>
      </c>
      <c r="N1211" s="240" t="str">
        <f t="shared" si="221"/>
        <v/>
      </c>
      <c r="P1211" s="365">
        <f>IFERROR(VLOOKUP($G1211,融外自投!$A:$J,7,0),"無")</f>
        <v>492</v>
      </c>
      <c r="Q1211" s="79">
        <f>IFERROR(VLOOKUP($G1211,融外自投!$A:$J,9,0),"無")</f>
        <v>614</v>
      </c>
      <c r="R1211" s="346">
        <f>IFERROR(VLOOKUP($G1211,融外自投!$A:$J,8,0),"無")</f>
        <v>971</v>
      </c>
      <c r="S1211" s="81" t="str">
        <f>IFERROR(VLOOKUP($G1211,融外自投!$A:$J,10,0),"無")</f>
        <v>無</v>
      </c>
      <c r="T1211" s="327">
        <f>IFERROR(VLOOKUP($G1211,'321買'!$A:$E,5,0),"'沒有資料'")</f>
        <v>1239</v>
      </c>
      <c r="U1211" s="186">
        <f>IFERROR(VLOOKUP($G1211,基本資料!$A:$J,9,0),"無")</f>
        <v>1</v>
      </c>
      <c r="V1211" s="310">
        <f t="shared" si="222"/>
        <v>4.878048780487805E-2</v>
      </c>
      <c r="W1211" s="94">
        <f>IFERROR(VLOOKUP($G1211,基本資料!$A:$J,10,0),"無")</f>
        <v>0.94</v>
      </c>
      <c r="X1211" s="36">
        <f>RTD("money.excel",,"8074","Price")</f>
        <v>20.5</v>
      </c>
      <c r="Y1211" s="66"/>
      <c r="Z1211" s="15">
        <f t="shared" ref="Z1211:Z1225" si="224">X1211-Y1211</f>
        <v>20.5</v>
      </c>
      <c r="AA1211" s="3" t="e">
        <f t="shared" ref="AA1211:AA1225" si="225">Z1211/Y1211</f>
        <v>#DIV/0!</v>
      </c>
      <c r="AB1211" s="344">
        <f>IFERROR(VLOOKUP($G1211,基本資料!$A:$M,11,0),"無")</f>
        <v>-22.12</v>
      </c>
      <c r="AC1211" s="397">
        <f>IFERROR(VLOOKUP($G1211,基本資料!$A:$M,12,0),"無")</f>
        <v>26.21</v>
      </c>
      <c r="AD1211" s="16" t="s">
        <v>440</v>
      </c>
      <c r="AG1211" s="33">
        <f t="shared" ref="AG1211:AG1225" si="226">AF1211-AE1211</f>
        <v>0</v>
      </c>
      <c r="AH1211" s="43" t="s">
        <v>2426</v>
      </c>
      <c r="AI1211" s="63">
        <f t="shared" si="223"/>
        <v>1.3136094674556214E-3</v>
      </c>
      <c r="AJ1211" s="284">
        <f>RTD("money.excel",,$G1211,"PredictVolume")</f>
        <v>111</v>
      </c>
      <c r="AK1211" s="399">
        <f>IFERROR(VLOOKUP($G1211,基本資料!$A:$M,13,0),"無")</f>
        <v>10.63</v>
      </c>
    </row>
    <row r="1212" spans="1:37">
      <c r="A1212" s="347">
        <f>IFERROR(VLOOKUP($G1212,基本資料!$A:$J,3,0),"無")</f>
        <v>2.31</v>
      </c>
      <c r="B1212" s="79">
        <f>IFERROR(VLOOKUP($G1212,基本資料!$A:$J,4,0),"無")</f>
        <v>15</v>
      </c>
      <c r="C1212" s="79">
        <f>IFERROR(VLOOKUP($G1212,基本資料!$A:$J,5,0),"無")</f>
        <v>105</v>
      </c>
      <c r="D1212" s="79">
        <f>IFERROR(VLOOKUP($G1212,基本資料!$A:$J,6,0),"無")</f>
        <v>42</v>
      </c>
      <c r="E1212" s="79">
        <f>IFERROR(VLOOKUP($G1212,基本資料!$A:$J,7,0),"無")</f>
        <v>14</v>
      </c>
      <c r="F1212" s="6">
        <f>IFERROR(VLOOKUP($G1212,基本資料!$A:$J,8,0),"無")</f>
        <v>1.1399999999999999</v>
      </c>
      <c r="G1212" s="79">
        <v>8080</v>
      </c>
      <c r="H1212" s="8" t="s">
        <v>308</v>
      </c>
      <c r="I1212" s="16" t="s">
        <v>2968</v>
      </c>
      <c r="J1212" s="8" t="str">
        <f>IFERROR(VLOOKUP($G1212,今日總結!$A:$AJ,35,0),"")</f>
        <v/>
      </c>
      <c r="K1212" s="5" t="str">
        <f>IFERROR(VLOOKUP($G1212,今日總結!$A:$AJ,36,0),"")</f>
        <v/>
      </c>
      <c r="L1212" s="156" t="str">
        <f>IFERROR(VLOOKUP($G1212,今日總結!$A:$AJ,33,0),"")</f>
        <v/>
      </c>
      <c r="M1212" s="340" t="str">
        <f>IFERROR(VLOOKUP($G1212,今日總結!$A:$AJ,34,0),"")</f>
        <v/>
      </c>
      <c r="N1212" s="240" t="str">
        <f t="shared" ref="N1212:N1225" si="227">IFERROR(L1212-M1212,"")</f>
        <v/>
      </c>
      <c r="P1212" s="365" t="str">
        <f>IFERROR(VLOOKUP($G1212,融外自投!$A:$J,7,0),"無")</f>
        <v>無</v>
      </c>
      <c r="Q1212" s="79" t="str">
        <f>IFERROR(VLOOKUP($G1212,融外自投!$A:$J,9,0),"無")</f>
        <v>無</v>
      </c>
      <c r="R1212" s="346" t="str">
        <f>IFERROR(VLOOKUP($G1212,融外自投!$A:$J,8,0),"無")</f>
        <v>無</v>
      </c>
      <c r="S1212" s="81" t="str">
        <f>IFERROR(VLOOKUP($G1212,融外自投!$A:$J,10,0),"無")</f>
        <v>無</v>
      </c>
      <c r="T1212" s="327" t="str">
        <f>IFERROR(VLOOKUP($G1212,'321買'!$A:$E,5,0),"'沒有資料'")</f>
        <v>'沒有資料'</v>
      </c>
      <c r="U1212" s="186">
        <f>IFERROR(VLOOKUP($G1212,基本資料!$A:$J,9,0),"無")</f>
        <v>0</v>
      </c>
      <c r="V1212" s="310">
        <f t="shared" ref="V1212:V1225" si="228">$U1212/$X1212</f>
        <v>0</v>
      </c>
      <c r="W1212" s="94">
        <f>IFERROR(VLOOKUP($G1212,基本資料!$A:$J,10,0),"無")</f>
        <v>-1.21</v>
      </c>
      <c r="X1212" s="36">
        <f>RTD("money.excel",,"8080","Price")</f>
        <v>11.65</v>
      </c>
      <c r="Y1212" s="66"/>
      <c r="Z1212" s="15">
        <f t="shared" si="224"/>
        <v>11.65</v>
      </c>
      <c r="AA1212" s="3" t="e">
        <f t="shared" si="225"/>
        <v>#DIV/0!</v>
      </c>
      <c r="AB1212" s="344">
        <f>IFERROR(VLOOKUP($G1212,基本資料!$A:$M,11,0),"無")</f>
        <v>-41.35</v>
      </c>
      <c r="AC1212" s="397">
        <f>IFERROR(VLOOKUP($G1212,基本資料!$A:$M,12,0),"無")</f>
        <v>30.42</v>
      </c>
      <c r="AD1212" s="16" t="s">
        <v>2968</v>
      </c>
      <c r="AG1212" s="33">
        <f t="shared" si="226"/>
        <v>0</v>
      </c>
      <c r="AH1212" s="43" t="s">
        <v>2427</v>
      </c>
      <c r="AI1212" s="63">
        <f t="shared" ref="AI1212:AI1225" si="229">AJ1212/(A1212*10000)</f>
        <v>1.7316017316017316E-3</v>
      </c>
      <c r="AJ1212" s="284">
        <f>RTD("money.excel",,$G1212,"PredictVolume")</f>
        <v>40</v>
      </c>
      <c r="AK1212" s="399">
        <f>IFERROR(VLOOKUP($G1212,基本資料!$A:$M,13,0),"無")</f>
        <v>5.0999999999999996</v>
      </c>
    </row>
    <row r="1213" spans="1:37">
      <c r="A1213" s="347">
        <f>IFERROR(VLOOKUP($G1213,基本資料!$A:$J,3,0),"無")</f>
        <v>4.55</v>
      </c>
      <c r="B1213" s="79">
        <f>IFERROR(VLOOKUP($G1213,基本資料!$A:$J,4,0),"無")</f>
        <v>50</v>
      </c>
      <c r="C1213" s="79">
        <f>IFERROR(VLOOKUP($G1213,基本資料!$A:$J,5,0),"無")</f>
        <v>15</v>
      </c>
      <c r="D1213" s="79">
        <f>IFERROR(VLOOKUP($G1213,基本資料!$A:$J,6,0),"無")</f>
        <v>5</v>
      </c>
      <c r="E1213" s="79">
        <f>IFERROR(VLOOKUP($G1213,基本資料!$A:$J,7,0),"無")</f>
        <v>54</v>
      </c>
      <c r="F1213" s="6">
        <f>IFERROR(VLOOKUP($G1213,基本資料!$A:$J,8,0),"無")</f>
        <v>18.2</v>
      </c>
      <c r="G1213" s="79">
        <v>8091</v>
      </c>
      <c r="H1213" s="145" t="s">
        <v>308</v>
      </c>
      <c r="I1213" s="16" t="s">
        <v>162</v>
      </c>
      <c r="J1213" s="8" t="str">
        <f>IFERROR(VLOOKUP($G1213,今日總結!$A:$AJ,35,0),"")</f>
        <v>外</v>
      </c>
      <c r="K1213" s="5" t="str">
        <f>IFERROR(VLOOKUP($G1213,今日總結!$A:$AJ,36,0),"")</f>
        <v>融</v>
      </c>
      <c r="L1213" s="156">
        <f>IFERROR(VLOOKUP($G1213,今日總結!$A:$AJ,33,0),"")</f>
        <v>1</v>
      </c>
      <c r="M1213" s="340">
        <f>IFERROR(VLOOKUP($G1213,今日總結!$A:$AJ,34,0),"")</f>
        <v>1</v>
      </c>
      <c r="N1213" s="240">
        <f t="shared" si="227"/>
        <v>0</v>
      </c>
      <c r="P1213" s="365">
        <f>IFERROR(VLOOKUP($G1213,融外自投!$A:$J,7,0),"無")</f>
        <v>391</v>
      </c>
      <c r="Q1213" s="79">
        <f>IFERROR(VLOOKUP($G1213,融外自投!$A:$J,9,0),"無")</f>
        <v>103</v>
      </c>
      <c r="R1213" s="346">
        <f>IFERROR(VLOOKUP($G1213,融外自投!$A:$J,8,0),"無")</f>
        <v>803</v>
      </c>
      <c r="S1213" s="81">
        <f>IFERROR(VLOOKUP($G1213,融外自投!$A:$J,10,0),"無")</f>
        <v>268</v>
      </c>
      <c r="T1213" s="327">
        <f>IFERROR(VLOOKUP($G1213,'321買'!$A:$E,5,0),"'沒有資料'")</f>
        <v>281</v>
      </c>
      <c r="U1213" s="186">
        <f>IFERROR(VLOOKUP($G1213,基本資料!$A:$J,9,0),"無")</f>
        <v>4</v>
      </c>
      <c r="V1213" s="310">
        <f t="shared" si="228"/>
        <v>4.8543689320388349E-2</v>
      </c>
      <c r="W1213" s="94">
        <f>IFERROR(VLOOKUP($G1213,基本資料!$A:$J,10,0),"無")</f>
        <v>5.92</v>
      </c>
      <c r="X1213" s="36">
        <f>RTD("money.excel",,"8091","Price")</f>
        <v>82.4</v>
      </c>
      <c r="Y1213" s="66"/>
      <c r="Z1213" s="15">
        <f t="shared" si="224"/>
        <v>82.4</v>
      </c>
      <c r="AA1213" s="3" t="e">
        <f t="shared" si="225"/>
        <v>#DIV/0!</v>
      </c>
      <c r="AB1213" s="344">
        <f>IFERROR(VLOOKUP($G1213,基本資料!$A:$M,11,0),"無")</f>
        <v>-18.64</v>
      </c>
      <c r="AC1213" s="397">
        <f>IFERROR(VLOOKUP($G1213,基本資料!$A:$M,12,0),"無")</f>
        <v>28.07</v>
      </c>
      <c r="AD1213" s="16" t="s">
        <v>162</v>
      </c>
      <c r="AG1213" s="33">
        <f t="shared" si="226"/>
        <v>0</v>
      </c>
      <c r="AH1213" s="117" t="s">
        <v>2428</v>
      </c>
      <c r="AI1213" s="63">
        <f t="shared" si="229"/>
        <v>6.7032967032967031E-3</v>
      </c>
      <c r="AJ1213" s="284">
        <f>RTD("money.excel",,$G1213,"PredictVolume")</f>
        <v>305</v>
      </c>
      <c r="AK1213" s="399">
        <f>IFERROR(VLOOKUP($G1213,基本資料!$A:$M,13,0),"無")</f>
        <v>12.63</v>
      </c>
    </row>
    <row r="1214" spans="1:37">
      <c r="A1214" s="347">
        <f>IFERROR(VLOOKUP($G1214,基本資料!$A:$J,3,0),"無")</f>
        <v>6.42</v>
      </c>
      <c r="B1214" s="79">
        <f>IFERROR(VLOOKUP($G1214,基本資料!$A:$J,4,0),"無")</f>
        <v>-371</v>
      </c>
      <c r="C1214" s="79">
        <f>IFERROR(VLOOKUP($G1214,基本資料!$A:$J,5,0),"無")</f>
        <v>-627</v>
      </c>
      <c r="D1214" s="79">
        <f>IFERROR(VLOOKUP($G1214,基本資料!$A:$J,6,0),"無")</f>
        <v>47</v>
      </c>
      <c r="E1214" s="79">
        <f>IFERROR(VLOOKUP($G1214,基本資料!$A:$J,7,0),"無")</f>
        <v>-48</v>
      </c>
      <c r="F1214" s="6">
        <f>IFERROR(VLOOKUP($G1214,基本資料!$A:$J,8,0),"無")</f>
        <v>-14.12</v>
      </c>
      <c r="G1214" s="79">
        <v>8093</v>
      </c>
      <c r="H1214" s="8" t="s">
        <v>308</v>
      </c>
      <c r="I1214" s="16" t="s">
        <v>4604</v>
      </c>
      <c r="J1214" s="8" t="str">
        <f>IFERROR(VLOOKUP($G1214,今日總結!$A:$AJ,35,0),"")</f>
        <v/>
      </c>
      <c r="K1214" s="5" t="str">
        <f>IFERROR(VLOOKUP($G1214,今日總結!$A:$AJ,36,0),"")</f>
        <v/>
      </c>
      <c r="L1214" s="156" t="str">
        <f>IFERROR(VLOOKUP($G1214,今日總結!$A:$AJ,33,0),"")</f>
        <v/>
      </c>
      <c r="M1214" s="340" t="str">
        <f>IFERROR(VLOOKUP($G1214,今日總結!$A:$AJ,34,0),"")</f>
        <v/>
      </c>
      <c r="N1214" s="240" t="str">
        <f t="shared" si="227"/>
        <v/>
      </c>
      <c r="P1214" s="365" t="str">
        <f>IFERROR(VLOOKUP($G1214,融外自投!$A:$J,7,0),"無")</f>
        <v>無</v>
      </c>
      <c r="Q1214" s="79" t="str">
        <f>IFERROR(VLOOKUP($G1214,融外自投!$A:$J,9,0),"無")</f>
        <v>無</v>
      </c>
      <c r="R1214" s="346" t="str">
        <f>IFERROR(VLOOKUP($G1214,融外自投!$A:$J,8,0),"無")</f>
        <v>無</v>
      </c>
      <c r="S1214" s="81" t="str">
        <f>IFERROR(VLOOKUP($G1214,融外自投!$A:$J,10,0),"無")</f>
        <v>無</v>
      </c>
      <c r="T1214" s="327" t="str">
        <f>IFERROR(VLOOKUP($G1214,'321買'!$A:$E,5,0),"'沒有資料'")</f>
        <v>'沒有資料'</v>
      </c>
      <c r="U1214" s="186">
        <f>IFERROR(VLOOKUP($G1214,基本資料!$A:$J,9,0),"無")</f>
        <v>0</v>
      </c>
      <c r="V1214" s="310">
        <f t="shared" si="228"/>
        <v>0</v>
      </c>
      <c r="W1214" s="94">
        <f>IFERROR(VLOOKUP($G1214,基本資料!$A:$J,10,0),"無")</f>
        <v>-0.83</v>
      </c>
      <c r="X1214" s="36">
        <f>RTD("money.excel",,"8093","Price")</f>
        <v>7.7</v>
      </c>
      <c r="Y1214" s="66"/>
      <c r="Z1214" s="15">
        <f t="shared" si="224"/>
        <v>7.7</v>
      </c>
      <c r="AA1214" s="3" t="e">
        <f t="shared" si="225"/>
        <v>#DIV/0!</v>
      </c>
      <c r="AB1214" s="344">
        <f>IFERROR(VLOOKUP($G1214,基本資料!$A:$M,11,0),"無")</f>
        <v>-26.17</v>
      </c>
      <c r="AC1214" s="397">
        <f>IFERROR(VLOOKUP($G1214,基本資料!$A:$M,12,0),"無")</f>
        <v>42.29</v>
      </c>
      <c r="AD1214" s="16" t="s">
        <v>4604</v>
      </c>
      <c r="AG1214" s="33">
        <f t="shared" si="226"/>
        <v>0</v>
      </c>
      <c r="AH1214" s="43" t="s">
        <v>2429</v>
      </c>
      <c r="AI1214" s="63">
        <f t="shared" si="229"/>
        <v>4.3613707165109035E-4</v>
      </c>
      <c r="AJ1214" s="284">
        <f>RTD("money.excel",,$G1214,"PredictVolume")</f>
        <v>28</v>
      </c>
      <c r="AK1214" s="399">
        <f>IFERROR(VLOOKUP($G1214,基本資料!$A:$M,13,0),"無")</f>
        <v>3.06</v>
      </c>
    </row>
    <row r="1215" spans="1:37">
      <c r="A1215" s="347">
        <f>IFERROR(VLOOKUP($G1215,基本資料!$A:$J,3,0),"無")</f>
        <v>7.89</v>
      </c>
      <c r="B1215" s="79">
        <f>IFERROR(VLOOKUP($G1215,基本資料!$A:$J,4,0),"無")</f>
        <v>56</v>
      </c>
      <c r="C1215" s="79">
        <f>IFERROR(VLOOKUP($G1215,基本資料!$A:$J,5,0),"無")</f>
        <v>43</v>
      </c>
      <c r="D1215" s="79">
        <f>IFERROR(VLOOKUP($G1215,基本資料!$A:$J,6,0),"無")</f>
        <v>32</v>
      </c>
      <c r="E1215" s="79">
        <f>IFERROR(VLOOKUP($G1215,基本資料!$A:$J,7,0),"無")</f>
        <v>4</v>
      </c>
      <c r="F1215" s="6">
        <f>IFERROR(VLOOKUP($G1215,基本資料!$A:$J,8,0),"無")</f>
        <v>13.29</v>
      </c>
      <c r="G1215" s="79">
        <v>8103</v>
      </c>
      <c r="H1215" s="8" t="s">
        <v>308</v>
      </c>
      <c r="I1215" s="22" t="s">
        <v>400</v>
      </c>
      <c r="J1215" s="8" t="str">
        <f>IFERROR(VLOOKUP($G1215,今日總結!$A:$AJ,35,0),"")</f>
        <v/>
      </c>
      <c r="K1215" s="5" t="str">
        <f>IFERROR(VLOOKUP($G1215,今日總結!$A:$AJ,36,0),"")</f>
        <v/>
      </c>
      <c r="L1215" s="156" t="str">
        <f>IFERROR(VLOOKUP($G1215,今日總結!$A:$AJ,33,0),"")</f>
        <v/>
      </c>
      <c r="M1215" s="340" t="str">
        <f>IFERROR(VLOOKUP($G1215,今日總結!$A:$AJ,34,0),"")</f>
        <v/>
      </c>
      <c r="N1215" s="240" t="str">
        <f t="shared" si="227"/>
        <v/>
      </c>
      <c r="P1215" s="365">
        <f>IFERROR(VLOOKUP($G1215,融外自投!$A:$J,7,0),"無")</f>
        <v>193</v>
      </c>
      <c r="Q1215" s="79">
        <f>IFERROR(VLOOKUP($G1215,融外自投!$A:$J,9,0),"無")</f>
        <v>189</v>
      </c>
      <c r="R1215" s="346">
        <f>IFERROR(VLOOKUP($G1215,融外自投!$A:$J,8,0),"無")</f>
        <v>390</v>
      </c>
      <c r="S1215" s="81" t="str">
        <f>IFERROR(VLOOKUP($G1215,融外自投!$A:$J,10,0),"無")</f>
        <v>無</v>
      </c>
      <c r="T1215" s="327">
        <f>IFERROR(VLOOKUP($G1215,'321買'!$A:$E,5,0),"'沒有資料'")</f>
        <v>178</v>
      </c>
      <c r="U1215" s="186">
        <f>IFERROR(VLOOKUP($G1215,基本資料!$A:$J,9,0),"無")</f>
        <v>2</v>
      </c>
      <c r="V1215" s="310">
        <f t="shared" si="228"/>
        <v>5.1679586563307491E-2</v>
      </c>
      <c r="W1215" s="94">
        <f>IFERROR(VLOOKUP($G1215,基本資料!$A:$J,10,0),"無")</f>
        <v>4.29</v>
      </c>
      <c r="X1215" s="36">
        <f>RTD("money.excel",,"8103","Price")</f>
        <v>38.700000000000003</v>
      </c>
      <c r="Y1215" s="66"/>
      <c r="Z1215" s="15">
        <f t="shared" si="224"/>
        <v>38.700000000000003</v>
      </c>
      <c r="AA1215" s="3" t="e">
        <f t="shared" si="225"/>
        <v>#DIV/0!</v>
      </c>
      <c r="AB1215" s="344">
        <f>IFERROR(VLOOKUP($G1215,基本資料!$A:$M,11,0),"無")</f>
        <v>-32.299999999999997</v>
      </c>
      <c r="AC1215" s="397">
        <f>IFERROR(VLOOKUP($G1215,基本資料!$A:$M,12,0),"無")</f>
        <v>4.37</v>
      </c>
      <c r="AD1215" s="22" t="s">
        <v>400</v>
      </c>
      <c r="AG1215" s="33">
        <f t="shared" si="226"/>
        <v>0</v>
      </c>
      <c r="AH1215" s="43" t="s">
        <v>1903</v>
      </c>
      <c r="AI1215" s="63">
        <f t="shared" si="229"/>
        <v>4.3346007604562736E-3</v>
      </c>
      <c r="AJ1215" s="284">
        <f>RTD("money.excel",,$G1215,"PredictVolume")</f>
        <v>342</v>
      </c>
      <c r="AK1215" s="399">
        <f>IFERROR(VLOOKUP($G1215,基本資料!$A:$M,13,0),"無")</f>
        <v>30.28</v>
      </c>
    </row>
    <row r="1216" spans="1:37">
      <c r="A1216" s="347">
        <f>IFERROR(VLOOKUP($G1216,基本資料!$A:$J,3,0),"無")</f>
        <v>7.76</v>
      </c>
      <c r="B1216" s="79">
        <f>IFERROR(VLOOKUP($G1216,基本資料!$A:$J,4,0),"無")</f>
        <v>22</v>
      </c>
      <c r="C1216" s="79">
        <f>IFERROR(VLOOKUP($G1216,基本資料!$A:$J,5,0),"無")</f>
        <v>22</v>
      </c>
      <c r="D1216" s="79">
        <f>IFERROR(VLOOKUP($G1216,基本資料!$A:$J,6,0),"無")</f>
        <v>-10</v>
      </c>
      <c r="E1216" s="79">
        <f>IFERROR(VLOOKUP($G1216,基本資料!$A:$J,7,0),"無")</f>
        <v>4</v>
      </c>
      <c r="F1216" s="6">
        <f>IFERROR(VLOOKUP($G1216,基本資料!$A:$J,8,0),"無")</f>
        <v>35.26</v>
      </c>
      <c r="G1216" s="79">
        <v>8109</v>
      </c>
      <c r="H1216" s="8" t="s">
        <v>308</v>
      </c>
      <c r="I1216" s="16" t="s">
        <v>441</v>
      </c>
      <c r="J1216" s="8" t="str">
        <f>IFERROR(VLOOKUP($G1216,今日總結!$A:$AJ,35,0),"")</f>
        <v/>
      </c>
      <c r="K1216" s="5" t="str">
        <f>IFERROR(VLOOKUP($G1216,今日總結!$A:$AJ,36,0),"")</f>
        <v/>
      </c>
      <c r="L1216" s="156" t="str">
        <f>IFERROR(VLOOKUP($G1216,今日總結!$A:$AJ,33,0),"")</f>
        <v/>
      </c>
      <c r="M1216" s="340" t="str">
        <f>IFERROR(VLOOKUP($G1216,今日總結!$A:$AJ,34,0),"")</f>
        <v/>
      </c>
      <c r="N1216" s="240" t="str">
        <f t="shared" si="227"/>
        <v/>
      </c>
      <c r="P1216" s="365">
        <f>IFERROR(VLOOKUP($G1216,融外自投!$A:$J,7,0),"無")</f>
        <v>1363</v>
      </c>
      <c r="Q1216" s="79" t="str">
        <f>IFERROR(VLOOKUP($G1216,融外自投!$A:$J,9,0),"無")</f>
        <v>無</v>
      </c>
      <c r="R1216" s="346">
        <f>IFERROR(VLOOKUP($G1216,融外自投!$A:$J,8,0),"無")</f>
        <v>1170</v>
      </c>
      <c r="S1216" s="81">
        <f>IFERROR(VLOOKUP($G1216,融外自投!$A:$J,10,0),"無")</f>
        <v>257</v>
      </c>
      <c r="T1216" s="327">
        <f>IFERROR(VLOOKUP($G1216,'321買'!$A:$E,5,0),"'沒有資料'")</f>
        <v>1239</v>
      </c>
      <c r="U1216" s="186">
        <f>IFERROR(VLOOKUP($G1216,基本資料!$A:$J,9,0),"無")</f>
        <v>4</v>
      </c>
      <c r="V1216" s="310">
        <f t="shared" si="228"/>
        <v>5.6417489421720729E-2</v>
      </c>
      <c r="W1216" s="94">
        <f>IFERROR(VLOOKUP($G1216,基本資料!$A:$J,10,0),"無")</f>
        <v>5.28</v>
      </c>
      <c r="X1216" s="36">
        <f>RTD("money.excel",,"8109","Price")</f>
        <v>70.900000000000006</v>
      </c>
      <c r="Y1216" s="66"/>
      <c r="Z1216" s="15">
        <f t="shared" si="224"/>
        <v>70.900000000000006</v>
      </c>
      <c r="AA1216" s="3" t="e">
        <f t="shared" si="225"/>
        <v>#DIV/0!</v>
      </c>
      <c r="AB1216" s="344">
        <f>IFERROR(VLOOKUP($G1216,基本資料!$A:$M,11,0),"無")</f>
        <v>-13.71</v>
      </c>
      <c r="AC1216" s="397">
        <f>IFERROR(VLOOKUP($G1216,基本資料!$A:$M,12,0),"無")</f>
        <v>13.86</v>
      </c>
      <c r="AD1216" s="16" t="s">
        <v>441</v>
      </c>
      <c r="AG1216" s="33">
        <f t="shared" si="226"/>
        <v>0</v>
      </c>
      <c r="AH1216" s="43" t="s">
        <v>2429</v>
      </c>
      <c r="AI1216" s="63">
        <f t="shared" si="229"/>
        <v>9.0206185567010309E-5</v>
      </c>
      <c r="AJ1216" s="284">
        <f>RTD("money.excel",,$G1216,"PredictVolume")</f>
        <v>7</v>
      </c>
      <c r="AK1216" s="399">
        <f>IFERROR(VLOOKUP($G1216,基本資料!$A:$M,13,0),"無")</f>
        <v>1.07</v>
      </c>
    </row>
    <row r="1217" spans="1:37">
      <c r="A1217" s="347">
        <f>IFERROR(VLOOKUP($G1217,基本資料!$A:$J,3,0),"無")</f>
        <v>18.29</v>
      </c>
      <c r="B1217" s="79">
        <f>IFERROR(VLOOKUP($G1217,基本資料!$A:$J,4,0),"無")</f>
        <v>142</v>
      </c>
      <c r="C1217" s="79">
        <f>IFERROR(VLOOKUP($G1217,基本資料!$A:$J,5,0),"無")</f>
        <v>53</v>
      </c>
      <c r="D1217" s="79">
        <f>IFERROR(VLOOKUP($G1217,基本資料!$A:$J,6,0),"無")</f>
        <v>-22</v>
      </c>
      <c r="E1217" s="79">
        <f>IFERROR(VLOOKUP($G1217,基本資料!$A:$J,7,0),"無")</f>
        <v>-12</v>
      </c>
      <c r="F1217" s="6">
        <f>IFERROR(VLOOKUP($G1217,基本資料!$A:$J,8,0),"無")</f>
        <v>5.05</v>
      </c>
      <c r="G1217" s="79">
        <v>8121</v>
      </c>
      <c r="H1217" s="8" t="s">
        <v>308</v>
      </c>
      <c r="I1217" s="16" t="s">
        <v>442</v>
      </c>
      <c r="J1217" s="8" t="str">
        <f>IFERROR(VLOOKUP($G1217,今日總結!$A:$AJ,35,0),"")</f>
        <v/>
      </c>
      <c r="K1217" s="5" t="str">
        <f>IFERROR(VLOOKUP($G1217,今日總結!$A:$AJ,36,0),"")</f>
        <v/>
      </c>
      <c r="L1217" s="156" t="str">
        <f>IFERROR(VLOOKUP($G1217,今日總結!$A:$AJ,33,0),"")</f>
        <v/>
      </c>
      <c r="M1217" s="340" t="str">
        <f>IFERROR(VLOOKUP($G1217,今日總結!$A:$AJ,34,0),"")</f>
        <v/>
      </c>
      <c r="N1217" s="240" t="str">
        <f t="shared" si="227"/>
        <v/>
      </c>
      <c r="P1217" s="365" t="str">
        <f>IFERROR(VLOOKUP($G1217,融外自投!$A:$J,7,0),"無")</f>
        <v>無</v>
      </c>
      <c r="Q1217" s="79" t="str">
        <f>IFERROR(VLOOKUP($G1217,融外自投!$A:$J,9,0),"無")</f>
        <v>無</v>
      </c>
      <c r="R1217" s="346" t="str">
        <f>IFERROR(VLOOKUP($G1217,融外自投!$A:$J,8,0),"無")</f>
        <v>無</v>
      </c>
      <c r="S1217" s="81" t="str">
        <f>IFERROR(VLOOKUP($G1217,融外自投!$A:$J,10,0),"無")</f>
        <v>無</v>
      </c>
      <c r="T1217" s="327" t="str">
        <f>IFERROR(VLOOKUP($G1217,'321買'!$A:$E,5,0),"'沒有資料'")</f>
        <v>'沒有資料'</v>
      </c>
      <c r="U1217" s="186">
        <f>IFERROR(VLOOKUP($G1217,基本資料!$A:$J,9,0),"無")</f>
        <v>0</v>
      </c>
      <c r="V1217" s="310">
        <f t="shared" si="228"/>
        <v>0</v>
      </c>
      <c r="W1217" s="94">
        <f>IFERROR(VLOOKUP($G1217,基本資料!$A:$J,10,0),"無")</f>
        <v>0.32</v>
      </c>
      <c r="X1217" s="36">
        <f>RTD("money.excel",,"8121","Price")</f>
        <v>29.2</v>
      </c>
      <c r="Y1217" s="66"/>
      <c r="Z1217" s="15">
        <f t="shared" si="224"/>
        <v>29.2</v>
      </c>
      <c r="AA1217" s="3" t="e">
        <f t="shared" si="225"/>
        <v>#DIV/0!</v>
      </c>
      <c r="AB1217" s="344">
        <f>IFERROR(VLOOKUP($G1217,基本資料!$A:$M,11,0),"無")</f>
        <v>-52.14</v>
      </c>
      <c r="AC1217" s="397">
        <f>IFERROR(VLOOKUP($G1217,基本資料!$A:$M,12,0),"無")</f>
        <v>11.74</v>
      </c>
      <c r="AD1217" s="16" t="s">
        <v>442</v>
      </c>
      <c r="AG1217" s="33">
        <f t="shared" si="226"/>
        <v>0</v>
      </c>
      <c r="AH1217" s="43" t="s">
        <v>2430</v>
      </c>
      <c r="AI1217" s="63">
        <f t="shared" si="229"/>
        <v>3.5811919081465281E-3</v>
      </c>
      <c r="AJ1217" s="284">
        <f>RTD("money.excel",,$G1217,"PredictVolume")</f>
        <v>655</v>
      </c>
      <c r="AK1217" s="399">
        <f>IFERROR(VLOOKUP($G1217,基本資料!$A:$M,13,0),"無")</f>
        <v>39.229999999999997</v>
      </c>
    </row>
    <row r="1218" spans="1:37">
      <c r="A1218" s="347">
        <f>IFERROR(VLOOKUP($G1218,基本資料!$A:$J,3,0),"無")</f>
        <v>3.23</v>
      </c>
      <c r="B1218" s="79">
        <f>IFERROR(VLOOKUP($G1218,基本資料!$A:$J,4,0),"無")</f>
        <v>205</v>
      </c>
      <c r="C1218" s="79">
        <f>IFERROR(VLOOKUP($G1218,基本資料!$A:$J,5,0),"無")</f>
        <v>285</v>
      </c>
      <c r="D1218" s="79">
        <f>IFERROR(VLOOKUP($G1218,基本資料!$A:$J,6,0),"無")</f>
        <v>64</v>
      </c>
      <c r="E1218" s="79">
        <f>IFERROR(VLOOKUP($G1218,基本資料!$A:$J,7,0),"無")</f>
        <v>23</v>
      </c>
      <c r="F1218" s="6">
        <f>IFERROR(VLOOKUP($G1218,基本資料!$A:$J,8,0),"無")</f>
        <v>6.99</v>
      </c>
      <c r="G1218" s="79">
        <v>8147</v>
      </c>
      <c r="H1218" s="8" t="s">
        <v>308</v>
      </c>
      <c r="I1218" s="16" t="s">
        <v>4605</v>
      </c>
      <c r="J1218" s="8" t="str">
        <f>IFERROR(VLOOKUP($G1218,今日總結!$A:$AJ,35,0),"")</f>
        <v/>
      </c>
      <c r="K1218" s="5" t="str">
        <f>IFERROR(VLOOKUP($G1218,今日總結!$A:$AJ,36,0),"")</f>
        <v/>
      </c>
      <c r="L1218" s="156" t="str">
        <f>IFERROR(VLOOKUP($G1218,今日總結!$A:$AJ,33,0),"")</f>
        <v/>
      </c>
      <c r="M1218" s="340" t="str">
        <f>IFERROR(VLOOKUP($G1218,今日總結!$A:$AJ,34,0),"")</f>
        <v/>
      </c>
      <c r="N1218" s="240" t="str">
        <f t="shared" si="227"/>
        <v/>
      </c>
      <c r="P1218" s="365">
        <f>IFERROR(VLOOKUP($G1218,融外自投!$A:$J,7,0),"無")</f>
        <v>499</v>
      </c>
      <c r="Q1218" s="79">
        <f>IFERROR(VLOOKUP($G1218,融外自投!$A:$J,9,0),"無")</f>
        <v>598</v>
      </c>
      <c r="R1218" s="346">
        <f>IFERROR(VLOOKUP($G1218,融外自投!$A:$J,8,0),"無")</f>
        <v>779</v>
      </c>
      <c r="S1218" s="81" t="str">
        <f>IFERROR(VLOOKUP($G1218,融外自投!$A:$J,10,0),"無")</f>
        <v>無</v>
      </c>
      <c r="T1218" s="327">
        <f>IFERROR(VLOOKUP($G1218,'321買'!$A:$E,5,0),"'沒有資料'")</f>
        <v>802</v>
      </c>
      <c r="U1218" s="186">
        <f>IFERROR(VLOOKUP($G1218,基本資料!$A:$J,9,0),"無")</f>
        <v>1.1000000000000001</v>
      </c>
      <c r="V1218" s="310">
        <f t="shared" si="228"/>
        <v>1.7295597484276729E-2</v>
      </c>
      <c r="W1218" s="94">
        <f>IFERROR(VLOOKUP($G1218,基本資料!$A:$J,10,0),"無")</f>
        <v>1.29</v>
      </c>
      <c r="X1218" s="36">
        <f>RTD("money.excel",,"8147","Price")</f>
        <v>63.6</v>
      </c>
      <c r="Y1218" s="66"/>
      <c r="Z1218" s="15">
        <f t="shared" si="224"/>
        <v>63.6</v>
      </c>
      <c r="AA1218" s="3" t="e">
        <f t="shared" si="225"/>
        <v>#DIV/0!</v>
      </c>
      <c r="AB1218" s="344">
        <f>IFERROR(VLOOKUP($G1218,基本資料!$A:$M,11,0),"無")</f>
        <v>-11.94</v>
      </c>
      <c r="AC1218" s="397">
        <f>IFERROR(VLOOKUP($G1218,基本資料!$A:$M,12,0),"無")</f>
        <v>45.58</v>
      </c>
      <c r="AD1218" s="16" t="s">
        <v>4605</v>
      </c>
      <c r="AG1218" s="33">
        <f t="shared" si="226"/>
        <v>0</v>
      </c>
      <c r="AH1218" s="43" t="s">
        <v>1903</v>
      </c>
      <c r="AI1218" s="63">
        <f t="shared" si="229"/>
        <v>2.5696594427244584E-3</v>
      </c>
      <c r="AJ1218" s="284">
        <f>RTD("money.excel",,$G1218,"PredictVolume")</f>
        <v>83</v>
      </c>
      <c r="AK1218" s="399">
        <f>IFERROR(VLOOKUP($G1218,基本資料!$A:$M,13,0),"無")</f>
        <v>14.04</v>
      </c>
    </row>
    <row r="1219" spans="1:37">
      <c r="A1219" s="347">
        <f>IFERROR(VLOOKUP($G1219,基本資料!$A:$J,3,0),"無")</f>
        <v>4.97</v>
      </c>
      <c r="B1219" s="79">
        <f>IFERROR(VLOOKUP($G1219,基本資料!$A:$J,4,0),"無")</f>
        <v>-26</v>
      </c>
      <c r="C1219" s="79">
        <f>IFERROR(VLOOKUP($G1219,基本資料!$A:$J,5,0),"無")</f>
        <v>-29</v>
      </c>
      <c r="D1219" s="79">
        <f>IFERROR(VLOOKUP($G1219,基本資料!$A:$J,6,0),"無")</f>
        <v>1</v>
      </c>
      <c r="E1219" s="79">
        <f>IFERROR(VLOOKUP($G1219,基本資料!$A:$J,7,0),"無")</f>
        <v>37</v>
      </c>
      <c r="F1219" s="6">
        <f>IFERROR(VLOOKUP($G1219,基本資料!$A:$J,8,0),"無")</f>
        <v>15.7</v>
      </c>
      <c r="G1219" s="79">
        <v>8155</v>
      </c>
      <c r="H1219" s="8" t="s">
        <v>308</v>
      </c>
      <c r="I1219" s="16" t="s">
        <v>84</v>
      </c>
      <c r="J1219" s="8">
        <f>IFERROR(VLOOKUP($G1219,今日總結!$A:$AJ,35,0),"")</f>
        <v>69</v>
      </c>
      <c r="K1219" s="5">
        <f>IFERROR(VLOOKUP($G1219,今日總結!$A:$AJ,36,0),"")</f>
        <v>0</v>
      </c>
      <c r="L1219" s="156">
        <f>IFERROR(VLOOKUP($G1219,今日總結!$A:$AJ,33,0),"")</f>
        <v>3</v>
      </c>
      <c r="M1219" s="340">
        <f>IFERROR(VLOOKUP($G1219,今日總結!$A:$AJ,34,0),"")</f>
        <v>0</v>
      </c>
      <c r="N1219" s="240">
        <f t="shared" si="227"/>
        <v>3</v>
      </c>
      <c r="P1219" s="365">
        <f>IFERROR(VLOOKUP($G1219,融外自投!$A:$J,7,0),"無")</f>
        <v>227</v>
      </c>
      <c r="Q1219" s="79">
        <f>IFERROR(VLOOKUP($G1219,融外自投!$A:$J,9,0),"無")</f>
        <v>215</v>
      </c>
      <c r="R1219" s="346">
        <f>IFERROR(VLOOKUP($G1219,融外自投!$A:$J,8,0),"無")</f>
        <v>1113</v>
      </c>
      <c r="S1219" s="81">
        <f>IFERROR(VLOOKUP($G1219,融外自投!$A:$J,10,0),"無")</f>
        <v>1</v>
      </c>
      <c r="T1219" s="327">
        <f>IFERROR(VLOOKUP($G1219,'321買'!$A:$E,5,0),"'沒有資料'")</f>
        <v>32</v>
      </c>
      <c r="U1219" s="186">
        <f>IFERROR(VLOOKUP($G1219,基本資料!$A:$J,9,0),"無")</f>
        <v>6</v>
      </c>
      <c r="V1219" s="310">
        <f t="shared" si="228"/>
        <v>3.5928143712574849E-2</v>
      </c>
      <c r="W1219" s="94">
        <f>IFERROR(VLOOKUP($G1219,基本資料!$A:$J,10,0),"無")</f>
        <v>7.85</v>
      </c>
      <c r="X1219" s="36">
        <f>RTD("money.excel",,"8155","Price")</f>
        <v>167</v>
      </c>
      <c r="Y1219" s="66"/>
      <c r="Z1219" s="15">
        <f t="shared" si="224"/>
        <v>167</v>
      </c>
      <c r="AA1219" s="3" t="e">
        <f t="shared" si="225"/>
        <v>#DIV/0!</v>
      </c>
      <c r="AB1219" s="344">
        <f>IFERROR(VLOOKUP($G1219,基本資料!$A:$M,11,0),"無")</f>
        <v>-29.33</v>
      </c>
      <c r="AC1219" s="397">
        <f>IFERROR(VLOOKUP($G1219,基本資料!$A:$M,12,0),"無")</f>
        <v>22.1</v>
      </c>
      <c r="AD1219" s="16" t="s">
        <v>84</v>
      </c>
      <c r="AG1219" s="33">
        <f t="shared" si="226"/>
        <v>0</v>
      </c>
      <c r="AH1219" s="117" t="s">
        <v>1049</v>
      </c>
      <c r="AI1219" s="63">
        <f t="shared" si="229"/>
        <v>9.4748490945674044E-2</v>
      </c>
      <c r="AJ1219" s="284">
        <f>RTD("money.excel",,$G1219,"PredictVolume")</f>
        <v>4709</v>
      </c>
      <c r="AK1219" s="399">
        <f>IFERROR(VLOOKUP($G1219,基本資料!$A:$M,13,0),"無")</f>
        <v>28.8</v>
      </c>
    </row>
    <row r="1220" spans="1:37">
      <c r="A1220" s="347">
        <f>IFERROR(VLOOKUP($G1220,基本資料!$A:$J,3,0),"無")</f>
        <v>10.7</v>
      </c>
      <c r="B1220" s="79">
        <f>IFERROR(VLOOKUP($G1220,基本資料!$A:$J,4,0),"無")</f>
        <v>128</v>
      </c>
      <c r="C1220" s="79">
        <f>IFERROR(VLOOKUP($G1220,基本資料!$A:$J,5,0),"無")</f>
        <v>104</v>
      </c>
      <c r="D1220" s="79">
        <f>IFERROR(VLOOKUP($G1220,基本資料!$A:$J,6,0),"無")</f>
        <v>13</v>
      </c>
      <c r="E1220" s="79">
        <f>IFERROR(VLOOKUP($G1220,基本資料!$A:$J,7,0),"無")</f>
        <v>-12</v>
      </c>
      <c r="F1220" s="6">
        <f>IFERROR(VLOOKUP($G1220,基本資料!$A:$J,8,0),"無")</f>
        <v>18.23</v>
      </c>
      <c r="G1220" s="79">
        <v>8182</v>
      </c>
      <c r="H1220" s="8" t="s">
        <v>308</v>
      </c>
      <c r="I1220" s="16" t="s">
        <v>443</v>
      </c>
      <c r="J1220" s="8" t="str">
        <f>IFERROR(VLOOKUP($G1220,今日總結!$A:$AJ,35,0),"")</f>
        <v/>
      </c>
      <c r="K1220" s="5" t="str">
        <f>IFERROR(VLOOKUP($G1220,今日總結!$A:$AJ,36,0),"")</f>
        <v/>
      </c>
      <c r="L1220" s="156" t="str">
        <f>IFERROR(VLOOKUP($G1220,今日總結!$A:$AJ,33,0),"")</f>
        <v/>
      </c>
      <c r="M1220" s="340" t="str">
        <f>IFERROR(VLOOKUP($G1220,今日總結!$A:$AJ,34,0),"")</f>
        <v/>
      </c>
      <c r="N1220" s="240" t="str">
        <f t="shared" si="227"/>
        <v/>
      </c>
      <c r="P1220" s="365">
        <f>IFERROR(VLOOKUP($G1220,融外自投!$A:$J,7,0),"無")</f>
        <v>396</v>
      </c>
      <c r="Q1220" s="79">
        <f>IFERROR(VLOOKUP($G1220,融外自投!$A:$J,9,0),"無")</f>
        <v>978</v>
      </c>
      <c r="R1220" s="346">
        <f>IFERROR(VLOOKUP($G1220,融外自投!$A:$J,8,0),"無")</f>
        <v>72</v>
      </c>
      <c r="S1220" s="81" t="str">
        <f>IFERROR(VLOOKUP($G1220,融外自投!$A:$J,10,0),"無")</f>
        <v>無</v>
      </c>
      <c r="T1220" s="327">
        <f>IFERROR(VLOOKUP($G1220,'321買'!$A:$E,5,0),"'沒有資料'")</f>
        <v>683</v>
      </c>
      <c r="U1220" s="186">
        <f>IFERROR(VLOOKUP($G1220,基本資料!$A:$J,9,0),"無")</f>
        <v>3</v>
      </c>
      <c r="V1220" s="310">
        <f t="shared" si="228"/>
        <v>7.1513706793802145E-2</v>
      </c>
      <c r="W1220" s="94">
        <f>IFERROR(VLOOKUP($G1220,基本資料!$A:$J,10,0),"無")</f>
        <v>4.76</v>
      </c>
      <c r="X1220" s="36">
        <f>RTD("money.excel",,"8182","Price")</f>
        <v>41.95</v>
      </c>
      <c r="Y1220" s="66"/>
      <c r="Z1220" s="15">
        <f t="shared" si="224"/>
        <v>41.95</v>
      </c>
      <c r="AA1220" s="3" t="e">
        <f t="shared" si="225"/>
        <v>#DIV/0!</v>
      </c>
      <c r="AB1220" s="344">
        <f>IFERROR(VLOOKUP($G1220,基本資料!$A:$M,11,0),"無")</f>
        <v>-35.04</v>
      </c>
      <c r="AC1220" s="397">
        <f>IFERROR(VLOOKUP($G1220,基本資料!$A:$M,12,0),"無")</f>
        <v>15.26</v>
      </c>
      <c r="AD1220" s="16" t="s">
        <v>443</v>
      </c>
      <c r="AG1220" s="33">
        <f t="shared" si="226"/>
        <v>0</v>
      </c>
      <c r="AH1220" s="43" t="s">
        <v>1407</v>
      </c>
      <c r="AI1220" s="63">
        <f t="shared" si="229"/>
        <v>1.5233644859813085E-3</v>
      </c>
      <c r="AJ1220" s="284">
        <f>RTD("money.excel",,$G1220,"PredictVolume")</f>
        <v>163</v>
      </c>
      <c r="AK1220" s="399">
        <f>IFERROR(VLOOKUP($G1220,基本資料!$A:$M,13,0),"無")</f>
        <v>17.64</v>
      </c>
    </row>
    <row r="1221" spans="1:37">
      <c r="A1221" s="347">
        <f>IFERROR(VLOOKUP($G1221,基本資料!$A:$J,3,0),"無")</f>
        <v>27.12</v>
      </c>
      <c r="B1221" s="79">
        <f>IFERROR(VLOOKUP($G1221,基本資料!$A:$J,4,0),"無")</f>
        <v>21</v>
      </c>
      <c r="C1221" s="79">
        <f>IFERROR(VLOOKUP($G1221,基本資料!$A:$J,5,0),"無")</f>
        <v>32</v>
      </c>
      <c r="D1221" s="79">
        <f>IFERROR(VLOOKUP($G1221,基本資料!$A:$J,6,0),"無")</f>
        <v>20</v>
      </c>
      <c r="E1221" s="79">
        <f>IFERROR(VLOOKUP($G1221,基本資料!$A:$J,7,0),"無")</f>
        <v>8</v>
      </c>
      <c r="F1221" s="6">
        <f>IFERROR(VLOOKUP($G1221,基本資料!$A:$J,8,0),"無")</f>
        <v>7.96</v>
      </c>
      <c r="G1221" s="79">
        <v>8213</v>
      </c>
      <c r="H1221" s="8" t="s">
        <v>308</v>
      </c>
      <c r="I1221" s="22" t="s">
        <v>102</v>
      </c>
      <c r="J1221" s="8" t="str">
        <f>IFERROR(VLOOKUP($G1221,今日總結!$A:$AJ,35,0),"")</f>
        <v>外</v>
      </c>
      <c r="K1221" s="5">
        <f>IFERROR(VLOOKUP($G1221,今日總結!$A:$AJ,36,0),"")</f>
        <v>0</v>
      </c>
      <c r="L1221" s="156">
        <f>IFERROR(VLOOKUP($G1221,今日總結!$A:$AJ,33,0),"")</f>
        <v>1</v>
      </c>
      <c r="M1221" s="340">
        <f>IFERROR(VLOOKUP($G1221,今日總結!$A:$AJ,34,0),"")</f>
        <v>0</v>
      </c>
      <c r="N1221" s="240">
        <f t="shared" si="227"/>
        <v>1</v>
      </c>
      <c r="P1221" s="365">
        <f>IFERROR(VLOOKUP($G1221,融外自投!$A:$J,7,0),"無")</f>
        <v>749</v>
      </c>
      <c r="Q1221" s="79">
        <f>IFERROR(VLOOKUP($G1221,融外自投!$A:$J,9,0),"無")</f>
        <v>734</v>
      </c>
      <c r="R1221" s="346">
        <f>IFERROR(VLOOKUP($G1221,融外自投!$A:$J,8,0),"無")</f>
        <v>247</v>
      </c>
      <c r="S1221" s="81">
        <f>IFERROR(VLOOKUP($G1221,融外自投!$A:$J,10,0),"無")</f>
        <v>351</v>
      </c>
      <c r="T1221" s="327">
        <f>IFERROR(VLOOKUP($G1221,'321買'!$A:$E,5,0),"'沒有資料'")</f>
        <v>584</v>
      </c>
      <c r="U1221" s="186">
        <f>IFERROR(VLOOKUP($G1221,基本資料!$A:$J,9,0),"無")</f>
        <v>5</v>
      </c>
      <c r="V1221" s="310">
        <f t="shared" si="228"/>
        <v>9.8425196850393706E-2</v>
      </c>
      <c r="W1221" s="94">
        <f>IFERROR(VLOOKUP($G1221,基本資料!$A:$J,10,0),"無")</f>
        <v>8.6</v>
      </c>
      <c r="X1221" s="36">
        <f>RTD("money.excel",,"8213","Price")</f>
        <v>50.8</v>
      </c>
      <c r="Y1221" s="66"/>
      <c r="Z1221" s="15">
        <f t="shared" si="224"/>
        <v>50.8</v>
      </c>
      <c r="AA1221" s="3" t="e">
        <f t="shared" si="225"/>
        <v>#DIV/0!</v>
      </c>
      <c r="AB1221" s="344">
        <f>IFERROR(VLOOKUP($G1221,基本資料!$A:$M,11,0),"無")</f>
        <v>-5.54</v>
      </c>
      <c r="AC1221" s="397">
        <f>IFERROR(VLOOKUP($G1221,基本資料!$A:$M,12,0),"無")</f>
        <v>44.18</v>
      </c>
      <c r="AD1221" s="22" t="s">
        <v>102</v>
      </c>
      <c r="AG1221" s="33">
        <f t="shared" si="226"/>
        <v>0</v>
      </c>
      <c r="AH1221" s="117" t="s">
        <v>2547</v>
      </c>
      <c r="AI1221" s="63">
        <f t="shared" si="229"/>
        <v>1.2234513274336284E-2</v>
      </c>
      <c r="AJ1221" s="284">
        <f>RTD("money.excel",,$G1221,"PredictVolume")</f>
        <v>3318</v>
      </c>
      <c r="AK1221" s="399">
        <f>IFERROR(VLOOKUP($G1221,基本資料!$A:$M,13,0),"無")</f>
        <v>3.98</v>
      </c>
    </row>
    <row r="1222" spans="1:37">
      <c r="A1222" s="347">
        <f>IFERROR(VLOOKUP($G1222,基本資料!$A:$J,3,0),"無")</f>
        <v>14.9</v>
      </c>
      <c r="B1222" s="79">
        <f>IFERROR(VLOOKUP($G1222,基本資料!$A:$J,4,0),"無")</f>
        <v>-7</v>
      </c>
      <c r="C1222" s="79">
        <f>IFERROR(VLOOKUP($G1222,基本資料!$A:$J,5,0),"無")</f>
        <v>23</v>
      </c>
      <c r="D1222" s="79">
        <f>IFERROR(VLOOKUP($G1222,基本資料!$A:$J,6,0),"無")</f>
        <v>37</v>
      </c>
      <c r="E1222" s="79">
        <f>IFERROR(VLOOKUP($G1222,基本資料!$A:$J,7,0),"無")</f>
        <v>12</v>
      </c>
      <c r="F1222" s="6">
        <f>IFERROR(VLOOKUP($G1222,基本資料!$A:$J,8,0),"無")</f>
        <v>5.05</v>
      </c>
      <c r="G1222" s="79">
        <v>8249</v>
      </c>
      <c r="H1222" s="8" t="s">
        <v>308</v>
      </c>
      <c r="I1222" s="22" t="s">
        <v>401</v>
      </c>
      <c r="J1222" s="8" t="str">
        <f>IFERROR(VLOOKUP($G1222,今日總結!$A:$AJ,35,0),"")</f>
        <v/>
      </c>
      <c r="K1222" s="5" t="str">
        <f>IFERROR(VLOOKUP($G1222,今日總結!$A:$AJ,36,0),"")</f>
        <v/>
      </c>
      <c r="L1222" s="156" t="str">
        <f>IFERROR(VLOOKUP($G1222,今日總結!$A:$AJ,33,0),"")</f>
        <v/>
      </c>
      <c r="M1222" s="340" t="str">
        <f>IFERROR(VLOOKUP($G1222,今日總結!$A:$AJ,34,0),"")</f>
        <v/>
      </c>
      <c r="N1222" s="240" t="str">
        <f t="shared" si="227"/>
        <v/>
      </c>
      <c r="P1222" s="365">
        <f>IFERROR(VLOOKUP($G1222,融外自投!$A:$J,7,0),"無")</f>
        <v>1048</v>
      </c>
      <c r="Q1222" s="79" t="str">
        <f>IFERROR(VLOOKUP($G1222,融外自投!$A:$J,9,0),"無")</f>
        <v>無</v>
      </c>
      <c r="R1222" s="346">
        <f>IFERROR(VLOOKUP($G1222,融外自投!$A:$J,8,0),"無")</f>
        <v>808</v>
      </c>
      <c r="S1222" s="81" t="str">
        <f>IFERROR(VLOOKUP($G1222,融外自投!$A:$J,10,0),"無")</f>
        <v>無</v>
      </c>
      <c r="T1222" s="327">
        <f>IFERROR(VLOOKUP($G1222,'321買'!$A:$E,5,0),"'沒有資料'")</f>
        <v>802</v>
      </c>
      <c r="U1222" s="186">
        <f>IFERROR(VLOOKUP($G1222,基本資料!$A:$J,9,0),"無")</f>
        <v>1.3</v>
      </c>
      <c r="V1222" s="310">
        <f t="shared" si="228"/>
        <v>6.1032863849765258E-2</v>
      </c>
      <c r="W1222" s="94">
        <f>IFERROR(VLOOKUP($G1222,基本資料!$A:$J,10,0),"無")</f>
        <v>1.5</v>
      </c>
      <c r="X1222" s="36">
        <f>RTD("money.excel",,"8249","Price")</f>
        <v>21.3</v>
      </c>
      <c r="Y1222" s="66"/>
      <c r="Z1222" s="15">
        <f t="shared" si="224"/>
        <v>21.3</v>
      </c>
      <c r="AA1222" s="3" t="e">
        <f t="shared" si="225"/>
        <v>#DIV/0!</v>
      </c>
      <c r="AB1222" s="344">
        <f>IFERROR(VLOOKUP($G1222,基本資料!$A:$M,11,0),"無")</f>
        <v>-36.43</v>
      </c>
      <c r="AC1222" s="397">
        <f>IFERROR(VLOOKUP($G1222,基本資料!$A:$M,12,0),"無")</f>
        <v>26.81</v>
      </c>
      <c r="AD1222" s="22" t="s">
        <v>401</v>
      </c>
      <c r="AG1222" s="33">
        <f t="shared" si="226"/>
        <v>0</v>
      </c>
      <c r="AH1222" s="43" t="s">
        <v>2409</v>
      </c>
      <c r="AI1222" s="63">
        <f t="shared" si="229"/>
        <v>2.6174496644295302E-4</v>
      </c>
      <c r="AJ1222" s="284">
        <f>RTD("money.excel",,$G1222,"PredictVolume")</f>
        <v>39</v>
      </c>
      <c r="AK1222" s="399">
        <f>IFERROR(VLOOKUP($G1222,基本資料!$A:$M,13,0),"無")</f>
        <v>8.5500000000000007</v>
      </c>
    </row>
    <row r="1223" spans="1:37">
      <c r="A1223" s="347">
        <f>IFERROR(VLOOKUP($G1223,基本資料!$A:$J,3,0),"無")</f>
        <v>6.83</v>
      </c>
      <c r="B1223" s="79">
        <f>IFERROR(VLOOKUP($G1223,基本資料!$A:$J,4,0),"無")</f>
        <v>4732</v>
      </c>
      <c r="C1223" s="79">
        <f>IFERROR(VLOOKUP($G1223,基本資料!$A:$J,5,0),"無")</f>
        <v>4429</v>
      </c>
      <c r="D1223" s="79">
        <f>IFERROR(VLOOKUP($G1223,基本資料!$A:$J,6,0),"無")</f>
        <v>-6</v>
      </c>
      <c r="E1223" s="79">
        <f>IFERROR(VLOOKUP($G1223,基本資料!$A:$J,7,0),"無")</f>
        <v>14</v>
      </c>
      <c r="F1223" s="6">
        <f>IFERROR(VLOOKUP($G1223,基本資料!$A:$J,8,0),"無")</f>
        <v>13.34</v>
      </c>
      <c r="G1223" s="79">
        <v>8289</v>
      </c>
      <c r="H1223" s="8" t="s">
        <v>308</v>
      </c>
      <c r="I1223" s="16" t="s">
        <v>4606</v>
      </c>
      <c r="J1223" s="8" t="str">
        <f>IFERROR(VLOOKUP($G1223,今日總結!$A:$AJ,35,0),"")</f>
        <v/>
      </c>
      <c r="K1223" s="5" t="str">
        <f>IFERROR(VLOOKUP($G1223,今日總結!$A:$AJ,36,0),"")</f>
        <v/>
      </c>
      <c r="L1223" s="156" t="str">
        <f>IFERROR(VLOOKUP($G1223,今日總結!$A:$AJ,33,0),"")</f>
        <v/>
      </c>
      <c r="M1223" s="340" t="str">
        <f>IFERROR(VLOOKUP($G1223,今日總結!$A:$AJ,34,0),"")</f>
        <v/>
      </c>
      <c r="N1223" s="240" t="str">
        <f t="shared" si="227"/>
        <v/>
      </c>
      <c r="P1223" s="365">
        <f>IFERROR(VLOOKUP($G1223,融外自投!$A:$J,7,0),"無")</f>
        <v>465</v>
      </c>
      <c r="Q1223" s="79">
        <f>IFERROR(VLOOKUP($G1223,融外自投!$A:$J,9,0),"無")</f>
        <v>406</v>
      </c>
      <c r="R1223" s="346">
        <f>IFERROR(VLOOKUP($G1223,融外自投!$A:$J,8,0),"無")</f>
        <v>592</v>
      </c>
      <c r="S1223" s="81" t="str">
        <f>IFERROR(VLOOKUP($G1223,融外自投!$A:$J,10,0),"無")</f>
        <v>無</v>
      </c>
      <c r="T1223" s="327">
        <f>IFERROR(VLOOKUP($G1223,'321買'!$A:$E,5,0),"'沒有資料'")</f>
        <v>336</v>
      </c>
      <c r="U1223" s="186">
        <f>IFERROR(VLOOKUP($G1223,基本資料!$A:$J,9,0),"無")</f>
        <v>2.1</v>
      </c>
      <c r="V1223" s="310">
        <f t="shared" si="228"/>
        <v>6.0000000000000005E-2</v>
      </c>
      <c r="W1223" s="94">
        <f>IFERROR(VLOOKUP($G1223,基本資料!$A:$J,10,0),"無")</f>
        <v>3.12</v>
      </c>
      <c r="X1223" s="36">
        <f>RTD("money.excel",,"8289","Price")</f>
        <v>35</v>
      </c>
      <c r="Y1223" s="66"/>
      <c r="Z1223" s="15">
        <f t="shared" si="224"/>
        <v>35</v>
      </c>
      <c r="AA1223" s="3" t="e">
        <f t="shared" si="225"/>
        <v>#DIV/0!</v>
      </c>
      <c r="AB1223" s="344">
        <f>IFERROR(VLOOKUP($G1223,基本資料!$A:$M,11,0),"無")</f>
        <v>-25.43</v>
      </c>
      <c r="AC1223" s="397">
        <f>IFERROR(VLOOKUP($G1223,基本資料!$A:$M,12,0),"無")</f>
        <v>49.97</v>
      </c>
      <c r="AD1223" s="16" t="s">
        <v>4606</v>
      </c>
      <c r="AG1223" s="33">
        <f t="shared" si="226"/>
        <v>0</v>
      </c>
      <c r="AH1223" s="43" t="s">
        <v>1408</v>
      </c>
      <c r="AI1223" s="63">
        <f t="shared" si="229"/>
        <v>3.7569546120058563E-2</v>
      </c>
      <c r="AJ1223" s="284">
        <f>RTD("money.excel",,$G1223,"PredictVolume")</f>
        <v>2566</v>
      </c>
      <c r="AK1223" s="399">
        <f>IFERROR(VLOOKUP($G1223,基本資料!$A:$M,13,0),"無")</f>
        <v>46.39</v>
      </c>
    </row>
    <row r="1224" spans="1:37">
      <c r="A1224" s="347">
        <f>IFERROR(VLOOKUP($G1224,基本資料!$A:$J,3,0),"無")</f>
        <v>4.7300000000000004</v>
      </c>
      <c r="B1224" s="79">
        <f>IFERROR(VLOOKUP($G1224,基本資料!$A:$J,4,0),"無")</f>
        <v>43</v>
      </c>
      <c r="C1224" s="79">
        <f>IFERROR(VLOOKUP($G1224,基本資料!$A:$J,5,0),"無")</f>
        <v>42</v>
      </c>
      <c r="D1224" s="79">
        <f>IFERROR(VLOOKUP($G1224,基本資料!$A:$J,6,0),"無")</f>
        <v>3</v>
      </c>
      <c r="E1224" s="79">
        <f>IFERROR(VLOOKUP($G1224,基本資料!$A:$J,7,0),"無")</f>
        <v>-40</v>
      </c>
      <c r="F1224" s="6">
        <f>IFERROR(VLOOKUP($G1224,基本資料!$A:$J,8,0),"無")</f>
        <v>-16.95</v>
      </c>
      <c r="G1224" s="79">
        <v>8291</v>
      </c>
      <c r="H1224" s="8" t="s">
        <v>308</v>
      </c>
      <c r="I1224" s="16" t="s">
        <v>1068</v>
      </c>
      <c r="J1224" s="8" t="str">
        <f>IFERROR(VLOOKUP($G1224,今日總結!$A:$AJ,35,0),"")</f>
        <v/>
      </c>
      <c r="K1224" s="5" t="str">
        <f>IFERROR(VLOOKUP($G1224,今日總結!$A:$AJ,36,0),"")</f>
        <v/>
      </c>
      <c r="L1224" s="156" t="str">
        <f>IFERROR(VLOOKUP($G1224,今日總結!$A:$AJ,33,0),"")</f>
        <v/>
      </c>
      <c r="M1224" s="340" t="str">
        <f>IFERROR(VLOOKUP($G1224,今日總結!$A:$AJ,34,0),"")</f>
        <v/>
      </c>
      <c r="N1224" s="240" t="str">
        <f t="shared" si="227"/>
        <v/>
      </c>
      <c r="P1224" s="365" t="str">
        <f>IFERROR(VLOOKUP($G1224,融外自投!$A:$J,7,0),"無")</f>
        <v>無</v>
      </c>
      <c r="Q1224" s="79" t="str">
        <f>IFERROR(VLOOKUP($G1224,融外自投!$A:$J,9,0),"無")</f>
        <v>無</v>
      </c>
      <c r="R1224" s="346" t="str">
        <f>IFERROR(VLOOKUP($G1224,融外自投!$A:$J,8,0),"無")</f>
        <v>無</v>
      </c>
      <c r="S1224" s="81" t="str">
        <f>IFERROR(VLOOKUP($G1224,融外自投!$A:$J,10,0),"無")</f>
        <v>無</v>
      </c>
      <c r="T1224" s="327" t="str">
        <f>IFERROR(VLOOKUP($G1224,'321買'!$A:$E,5,0),"'沒有資料'")</f>
        <v>'沒有資料'</v>
      </c>
      <c r="U1224" s="186">
        <f>IFERROR(VLOOKUP($G1224,基本資料!$A:$J,9,0),"無")</f>
        <v>0</v>
      </c>
      <c r="V1224" s="310" t="e">
        <f t="shared" si="228"/>
        <v>#VALUE!</v>
      </c>
      <c r="W1224" s="94">
        <f>IFERROR(VLOOKUP($G1224,基本資料!$A:$J,10,0),"無")</f>
        <v>-0.66</v>
      </c>
      <c r="X1224" s="36" t="str">
        <f>RTD("money.excel",,"8291","Price")</f>
        <v>無資料</v>
      </c>
      <c r="Y1224" s="66"/>
      <c r="Z1224" s="15" t="e">
        <f t="shared" si="224"/>
        <v>#VALUE!</v>
      </c>
      <c r="AA1224" s="3" t="e">
        <f t="shared" si="225"/>
        <v>#VALUE!</v>
      </c>
      <c r="AB1224" s="344">
        <f>IFERROR(VLOOKUP($G1224,基本資料!$A:$M,11,0),"無")</f>
        <v>-24.11</v>
      </c>
      <c r="AC1224" s="397">
        <f>IFERROR(VLOOKUP($G1224,基本資料!$A:$M,12,0),"無")</f>
        <v>38.28</v>
      </c>
      <c r="AD1224" s="16" t="s">
        <v>1068</v>
      </c>
      <c r="AG1224" s="33">
        <f t="shared" si="226"/>
        <v>0</v>
      </c>
      <c r="AH1224" s="43" t="s">
        <v>1045</v>
      </c>
      <c r="AI1224" s="63">
        <f t="shared" si="229"/>
        <v>0</v>
      </c>
      <c r="AJ1224" s="284">
        <f>RTD("money.excel",,$G1224,"PredictVolume")</f>
        <v>0</v>
      </c>
      <c r="AK1224" s="399">
        <f>IFERROR(VLOOKUP($G1224,基本資料!$A:$M,13,0),"無")</f>
        <v>0.45</v>
      </c>
    </row>
    <row r="1225" spans="1:37">
      <c r="A1225" s="347">
        <f>IFERROR(VLOOKUP($G1225,基本資料!$A:$J,3,0),"無")</f>
        <v>25.25</v>
      </c>
      <c r="B1225" s="79">
        <f>IFERROR(VLOOKUP($G1225,基本資料!$A:$J,4,0),"無")</f>
        <v>181</v>
      </c>
      <c r="C1225" s="79">
        <f>IFERROR(VLOOKUP($G1225,基本資料!$A:$J,5,0),"無")</f>
        <v>158</v>
      </c>
      <c r="D1225" s="79">
        <f>IFERROR(VLOOKUP($G1225,基本資料!$A:$J,6,0),"無")</f>
        <v>0</v>
      </c>
      <c r="E1225" s="79">
        <f>IFERROR(VLOOKUP($G1225,基本資料!$A:$J,7,0),"無")</f>
        <v>-8</v>
      </c>
      <c r="F1225" s="6">
        <f>IFERROR(VLOOKUP($G1225,基本資料!$A:$J,8,0),"無")</f>
        <v>21.4</v>
      </c>
      <c r="G1225" s="79">
        <v>8358</v>
      </c>
      <c r="H1225" s="8" t="s">
        <v>308</v>
      </c>
      <c r="I1225" s="16" t="s">
        <v>222</v>
      </c>
      <c r="J1225" s="8">
        <f>IFERROR(VLOOKUP($G1225,今日總結!$A:$AJ,35,0),"")</f>
        <v>0</v>
      </c>
      <c r="K1225" s="5">
        <f>IFERROR(VLOOKUP($G1225,今日總結!$A:$AJ,36,0),"")</f>
        <v>6</v>
      </c>
      <c r="L1225" s="156">
        <f>IFERROR(VLOOKUP($G1225,今日總結!$A:$AJ,33,0),"")</f>
        <v>0</v>
      </c>
      <c r="M1225" s="340">
        <f>IFERROR(VLOOKUP($G1225,今日總結!$A:$AJ,34,0),"")</f>
        <v>1</v>
      </c>
      <c r="N1225" s="240">
        <f t="shared" si="227"/>
        <v>-1</v>
      </c>
      <c r="P1225" s="365">
        <f>IFERROR(VLOOKUP($G1225,融外自投!$A:$J,7,0),"無")</f>
        <v>300</v>
      </c>
      <c r="Q1225" s="79">
        <f>IFERROR(VLOOKUP($G1225,融外自投!$A:$J,9,0),"無")</f>
        <v>308</v>
      </c>
      <c r="R1225" s="346">
        <f>IFERROR(VLOOKUP($G1225,融外自投!$A:$J,8,0),"無")</f>
        <v>649</v>
      </c>
      <c r="S1225" s="81">
        <f>IFERROR(VLOOKUP($G1225,融外自投!$A:$J,10,0),"無")</f>
        <v>36</v>
      </c>
      <c r="T1225" s="327">
        <f>IFERROR(VLOOKUP($G1225,'321買'!$A:$E,5,0),"'沒有資料'")</f>
        <v>255</v>
      </c>
      <c r="U1225" s="186">
        <f>IFERROR(VLOOKUP($G1225,基本資料!$A:$J,9,0),"無")</f>
        <v>4.2</v>
      </c>
      <c r="V1225" s="310">
        <f t="shared" si="228"/>
        <v>7.3813708260105457E-2</v>
      </c>
      <c r="W1225" s="94">
        <f>IFERROR(VLOOKUP($G1225,基本資料!$A:$J,10,0),"無")</f>
        <v>6.03</v>
      </c>
      <c r="X1225" s="36">
        <f>RTD("money.excel",,"8358","Price")</f>
        <v>56.9</v>
      </c>
      <c r="Y1225" s="66"/>
      <c r="Z1225" s="15">
        <f t="shared" si="224"/>
        <v>56.9</v>
      </c>
      <c r="AA1225" s="3" t="e">
        <f t="shared" si="225"/>
        <v>#DIV/0!</v>
      </c>
      <c r="AB1225" s="344">
        <f>IFERROR(VLOOKUP($G1225,基本資料!$A:$M,11,0),"無")</f>
        <v>-38.11</v>
      </c>
      <c r="AC1225" s="397">
        <f>IFERROR(VLOOKUP($G1225,基本資料!$A:$M,12,0),"無")</f>
        <v>12.7</v>
      </c>
      <c r="AD1225" s="16" t="s">
        <v>222</v>
      </c>
      <c r="AG1225" s="33">
        <f t="shared" si="226"/>
        <v>0</v>
      </c>
      <c r="AH1225" s="117" t="s">
        <v>2431</v>
      </c>
      <c r="AI1225" s="63">
        <f t="shared" si="229"/>
        <v>8.1782178217821785E-3</v>
      </c>
      <c r="AJ1225" s="284">
        <f>RTD("money.excel",,$G1225,"PredictVolume")</f>
        <v>2065</v>
      </c>
      <c r="AK1225" s="399">
        <f>IFERROR(VLOOKUP($G1225,基本資料!$A:$M,13,0),"無")</f>
        <v>21.83</v>
      </c>
    </row>
    <row r="1226" spans="1:37">
      <c r="B1226" s="79"/>
      <c r="C1226" s="79"/>
      <c r="D1226" s="79"/>
      <c r="E1226" s="79"/>
      <c r="F1226" s="57"/>
      <c r="G1226" s="79"/>
      <c r="H1226" s="8"/>
      <c r="I1226" s="16"/>
      <c r="L1226" s="2"/>
      <c r="S1226" s="26"/>
      <c r="U1226" s="34"/>
      <c r="W1226" s="94"/>
      <c r="X1226" s="36"/>
      <c r="Y1226" s="66"/>
      <c r="Z1226" s="15"/>
      <c r="AA1226" s="3"/>
      <c r="AD1226" s="16"/>
      <c r="AG1226" s="33"/>
      <c r="AH1226" s="117"/>
      <c r="AI1226" s="63"/>
      <c r="AJ1226" s="284"/>
    </row>
    <row r="1227" spans="1:37">
      <c r="A1227" s="127" t="s">
        <v>1673</v>
      </c>
      <c r="B1227" s="90" t="s">
        <v>1572</v>
      </c>
      <c r="C1227" s="90" t="s">
        <v>1573</v>
      </c>
      <c r="D1227" s="90" t="s">
        <v>1574</v>
      </c>
      <c r="E1227" s="90" t="s">
        <v>1575</v>
      </c>
      <c r="F1227" s="8" t="s">
        <v>1060</v>
      </c>
      <c r="G1227" s="27" t="s">
        <v>4711</v>
      </c>
      <c r="H1227" s="55" t="s">
        <v>320</v>
      </c>
      <c r="I1227" s="8" t="s">
        <v>1043</v>
      </c>
      <c r="J1227" s="8" t="s">
        <v>6221</v>
      </c>
      <c r="K1227" s="5" t="s">
        <v>6222</v>
      </c>
      <c r="L1227" s="337" t="s">
        <v>6206</v>
      </c>
      <c r="M1227" s="338" t="s">
        <v>6207</v>
      </c>
      <c r="N1227" s="339" t="s">
        <v>6208</v>
      </c>
      <c r="O1227" s="4" t="s">
        <v>6713</v>
      </c>
      <c r="P1227" s="89" t="s">
        <v>6285</v>
      </c>
      <c r="Q1227" s="293" t="s">
        <v>6284</v>
      </c>
      <c r="R1227" s="354" t="s">
        <v>6283</v>
      </c>
      <c r="S1227" s="26" t="s">
        <v>6286</v>
      </c>
      <c r="T1227" s="321" t="s">
        <v>4716</v>
      </c>
      <c r="U1227" s="10" t="s">
        <v>66</v>
      </c>
      <c r="V1227" s="308" t="s">
        <v>4731</v>
      </c>
      <c r="W1227" s="68" t="s">
        <v>3273</v>
      </c>
      <c r="X1227" s="28" t="s">
        <v>2</v>
      </c>
      <c r="Y1227" s="17" t="s">
        <v>1399</v>
      </c>
      <c r="Z1227" s="14" t="s">
        <v>5</v>
      </c>
      <c r="AA1227" s="21" t="s">
        <v>3</v>
      </c>
      <c r="AB1227" s="96" t="s">
        <v>6174</v>
      </c>
      <c r="AC1227" s="384" t="s">
        <v>6420</v>
      </c>
      <c r="AD1227" s="8" t="s">
        <v>3219</v>
      </c>
      <c r="AE1227" s="71" t="s">
        <v>1400</v>
      </c>
      <c r="AF1227" s="72" t="s">
        <v>1157</v>
      </c>
      <c r="AG1227" s="32" t="s">
        <v>1158</v>
      </c>
      <c r="AH1227" s="25" t="s">
        <v>6209</v>
      </c>
      <c r="AI1227" s="8" t="s">
        <v>6731</v>
      </c>
      <c r="AJ1227" s="50" t="s">
        <v>3361</v>
      </c>
      <c r="AK1227" s="44" t="s">
        <v>6730</v>
      </c>
    </row>
    <row r="1228" spans="1:37">
      <c r="A1228" s="347">
        <f>IFERROR(VLOOKUP($G1228,基本資料!$A:$J,3,0),"無")</f>
        <v>166</v>
      </c>
      <c r="B1228" s="79">
        <f>IFERROR(VLOOKUP($G1228,基本資料!$A:$J,4,0),"無")</f>
        <v>108</v>
      </c>
      <c r="C1228" s="79">
        <f>IFERROR(VLOOKUP($G1228,基本資料!$A:$J,5,0),"無")</f>
        <v>29</v>
      </c>
      <c r="D1228" s="79">
        <f>IFERROR(VLOOKUP($G1228,基本資料!$A:$J,6,0),"無")</f>
        <v>-26</v>
      </c>
      <c r="E1228" s="79">
        <f>IFERROR(VLOOKUP($G1228,基本資料!$A:$J,7,0),"無")</f>
        <v>-6</v>
      </c>
      <c r="F1228" s="6">
        <f>IFERROR(VLOOKUP($G1228,基本資料!$A:$J,8,0),"無")</f>
        <v>2.2799999999999998</v>
      </c>
      <c r="G1228" s="79">
        <v>2347</v>
      </c>
      <c r="H1228" s="8" t="s">
        <v>3219</v>
      </c>
      <c r="I1228" s="22" t="s">
        <v>25</v>
      </c>
      <c r="J1228" s="8" t="str">
        <f>IFERROR(VLOOKUP($G1228,今日總結!$A:$AJ,35,0),"")</f>
        <v>投主</v>
      </c>
      <c r="K1228" s="5">
        <f>IFERROR(VLOOKUP($G1228,今日總結!$A:$AJ,36,0),"")</f>
        <v>0</v>
      </c>
      <c r="L1228" s="156">
        <f>IFERROR(VLOOKUP($G1228,今日總結!$A:$AJ,33,0),"")</f>
        <v>2</v>
      </c>
      <c r="M1228" s="340">
        <f>IFERROR(VLOOKUP($G1228,今日總結!$A:$AJ,34,0),"")</f>
        <v>0</v>
      </c>
      <c r="N1228" s="240">
        <f t="shared" ref="N1228" si="230">IFERROR(L1228-M1228,"")</f>
        <v>2</v>
      </c>
      <c r="P1228" s="365">
        <f>IFERROR(VLOOKUP($G1228,融外自投!$A:$J,7,0),"無")</f>
        <v>1350</v>
      </c>
      <c r="Q1228" s="79">
        <f>IFERROR(VLOOKUP($G1228,融外自投!$A:$J,9,0),"無")</f>
        <v>37</v>
      </c>
      <c r="R1228" s="346">
        <f>IFERROR(VLOOKUP($G1228,融外自投!$A:$J,8,0),"無")</f>
        <v>156</v>
      </c>
      <c r="S1228" s="81">
        <f>IFERROR(VLOOKUP($G1228,融外自投!$A:$J,10,0),"無")</f>
        <v>21</v>
      </c>
      <c r="T1228" s="327">
        <f>IFERROR(VLOOKUP($G1228,'321買'!$A:$E,5,0),"'沒有資料'")</f>
        <v>24</v>
      </c>
      <c r="U1228" s="186">
        <f>IFERROR(VLOOKUP($G1228,基本資料!$A:$J,9,0),"無")</f>
        <v>5</v>
      </c>
      <c r="V1228" s="310">
        <f t="shared" ref="V1228:V1263" si="231">$U1228/$X1228</f>
        <v>7.0323488045007043E-2</v>
      </c>
      <c r="W1228" s="94">
        <f>IFERROR(VLOOKUP($G1228,基本資料!$A:$J,10,0),"無")</f>
        <v>10.35</v>
      </c>
      <c r="X1228" s="36">
        <f>RTD("money.excel",,"2347","Price")</f>
        <v>71.099999999999994</v>
      </c>
      <c r="Y1228" s="66"/>
      <c r="Z1228" s="15">
        <f t="shared" ref="Z1228:Z1263" si="232">X1228-Y1228</f>
        <v>71.099999999999994</v>
      </c>
      <c r="AA1228" s="3" t="e">
        <f t="shared" ref="AA1228:AA1263" si="233">Z1228/Y1228</f>
        <v>#DIV/0!</v>
      </c>
      <c r="AB1228" s="344">
        <f>IFERROR(VLOOKUP($G1228,基本資料!$A:$M,11,0),"無")</f>
        <v>-5.89</v>
      </c>
      <c r="AC1228" s="397">
        <f>IFERROR(VLOOKUP($G1228,基本資料!$A:$M,12,0),"無")</f>
        <v>76.760000000000005</v>
      </c>
      <c r="AD1228" s="22" t="s">
        <v>25</v>
      </c>
      <c r="AG1228" s="33">
        <f t="shared" ref="AG1228:AG1263" si="234">AF1228-AE1228</f>
        <v>0</v>
      </c>
      <c r="AH1228" s="117" t="s">
        <v>2871</v>
      </c>
      <c r="AI1228" s="63">
        <f t="shared" ref="AI1228:AI1263" si="235">AJ1228/(A1228*10000)</f>
        <v>4.1457831325301207E-3</v>
      </c>
      <c r="AJ1228" s="284">
        <f>RTD("money.excel",,$G1228,"PredictVolume")</f>
        <v>6882</v>
      </c>
      <c r="AK1228" s="399">
        <f>IFERROR(VLOOKUP($G1228,基本資料!$A:$M,13,0),"無")</f>
        <v>2.2400000000000002</v>
      </c>
    </row>
    <row r="1229" spans="1:37">
      <c r="A1229" s="347">
        <f>IFERROR(VLOOKUP($G1229,基本資料!$A:$J,3,0),"無")</f>
        <v>16.170000000000002</v>
      </c>
      <c r="B1229" s="79">
        <f>IFERROR(VLOOKUP($G1229,基本資料!$A:$J,4,0),"無")</f>
        <v>54</v>
      </c>
      <c r="C1229" s="79">
        <f>IFERROR(VLOOKUP($G1229,基本資料!$A:$J,5,0),"無")</f>
        <v>58</v>
      </c>
      <c r="D1229" s="79">
        <f>IFERROR(VLOOKUP($G1229,基本資料!$A:$J,6,0),"無")</f>
        <v>43</v>
      </c>
      <c r="E1229" s="79">
        <f>IFERROR(VLOOKUP($G1229,基本資料!$A:$J,7,0),"無")</f>
        <v>11</v>
      </c>
      <c r="F1229" s="6">
        <f>IFERROR(VLOOKUP($G1229,基本資料!$A:$J,8,0),"無")</f>
        <v>3.08</v>
      </c>
      <c r="G1229" s="79">
        <v>2414</v>
      </c>
      <c r="H1229" s="8" t="s">
        <v>3219</v>
      </c>
      <c r="I1229" s="22" t="s">
        <v>829</v>
      </c>
      <c r="J1229" s="8">
        <f>IFERROR(VLOOKUP($G1229,今日總結!$A:$AJ,35,0),"")</f>
        <v>0</v>
      </c>
      <c r="K1229" s="5" t="str">
        <f>IFERROR(VLOOKUP($G1229,今日總結!$A:$AJ,36,0),"")</f>
        <v>外</v>
      </c>
      <c r="L1229" s="156">
        <f>IFERROR(VLOOKUP($G1229,今日總結!$A:$AJ,33,0),"")</f>
        <v>0</v>
      </c>
      <c r="M1229" s="340">
        <f>IFERROR(VLOOKUP($G1229,今日總結!$A:$AJ,34,0),"")</f>
        <v>2</v>
      </c>
      <c r="N1229" s="240">
        <f t="shared" ref="N1229:N1263" si="236">IFERROR(L1229-M1229,"")</f>
        <v>-2</v>
      </c>
      <c r="P1229" s="365">
        <f>IFERROR(VLOOKUP($G1229,融外自投!$A:$J,7,0),"無")</f>
        <v>1324</v>
      </c>
      <c r="Q1229" s="79">
        <f>IFERROR(VLOOKUP($G1229,融外自投!$A:$J,9,0),"無")</f>
        <v>1051</v>
      </c>
      <c r="R1229" s="346">
        <f>IFERROR(VLOOKUP($G1229,融外自投!$A:$J,8,0),"無")</f>
        <v>612</v>
      </c>
      <c r="S1229" s="81" t="str">
        <f>IFERROR(VLOOKUP($G1229,融外自投!$A:$J,10,0),"無")</f>
        <v>無</v>
      </c>
      <c r="T1229" s="327">
        <f>IFERROR(VLOOKUP($G1229,'321買'!$A:$E,5,0),"'沒有資料'")</f>
        <v>915</v>
      </c>
      <c r="U1229" s="186">
        <f>IFERROR(VLOOKUP($G1229,基本資料!$A:$J,9,0),"無")</f>
        <v>2.8</v>
      </c>
      <c r="V1229" s="310">
        <f t="shared" si="231"/>
        <v>8.2474226804123696E-2</v>
      </c>
      <c r="W1229" s="94">
        <f>IFERROR(VLOOKUP($G1229,基本資料!$A:$J,10,0),"無")</f>
        <v>3.44</v>
      </c>
      <c r="X1229" s="36">
        <f>RTD("money.excel",,"2414","Price")</f>
        <v>33.950000000000003</v>
      </c>
      <c r="Y1229" s="66"/>
      <c r="Z1229" s="15">
        <f t="shared" si="232"/>
        <v>33.950000000000003</v>
      </c>
      <c r="AA1229" s="3" t="e">
        <f t="shared" si="233"/>
        <v>#DIV/0!</v>
      </c>
      <c r="AB1229" s="344">
        <f>IFERROR(VLOOKUP($G1229,基本資料!$A:$M,11,0),"無")</f>
        <v>-18.46</v>
      </c>
      <c r="AC1229" s="397">
        <f>IFERROR(VLOOKUP($G1229,基本資料!$A:$M,12,0),"無")</f>
        <v>22.07</v>
      </c>
      <c r="AD1229" s="22" t="s">
        <v>829</v>
      </c>
      <c r="AG1229" s="33">
        <f t="shared" si="234"/>
        <v>0</v>
      </c>
      <c r="AH1229" s="43" t="s">
        <v>2872</v>
      </c>
      <c r="AI1229" s="63">
        <f t="shared" si="235"/>
        <v>1.1811997526283238E-3</v>
      </c>
      <c r="AJ1229" s="284">
        <f>RTD("money.excel",,$G1229,"PredictVolume")</f>
        <v>191</v>
      </c>
      <c r="AK1229" s="399">
        <f>IFERROR(VLOOKUP($G1229,基本資料!$A:$M,13,0),"無")</f>
        <v>6.35</v>
      </c>
    </row>
    <row r="1230" spans="1:37">
      <c r="A1230" s="347">
        <f>IFERROR(VLOOKUP($G1230,基本資料!$A:$J,3,0),"無")</f>
        <v>16.64</v>
      </c>
      <c r="B1230" s="79">
        <f>IFERROR(VLOOKUP($G1230,基本資料!$A:$J,4,0),"無")</f>
        <v>111</v>
      </c>
      <c r="C1230" s="79">
        <f>IFERROR(VLOOKUP($G1230,基本資料!$A:$J,5,0),"無")</f>
        <v>91</v>
      </c>
      <c r="D1230" s="79">
        <f>IFERROR(VLOOKUP($G1230,基本資料!$A:$J,6,0),"無")</f>
        <v>22</v>
      </c>
      <c r="E1230" s="79">
        <f>IFERROR(VLOOKUP($G1230,基本資料!$A:$J,7,0),"無")</f>
        <v>24</v>
      </c>
      <c r="F1230" s="6">
        <f>IFERROR(VLOOKUP($G1230,基本資料!$A:$J,8,0),"無")</f>
        <v>3.58</v>
      </c>
      <c r="G1230" s="79">
        <v>2430</v>
      </c>
      <c r="H1230" s="8" t="s">
        <v>3219</v>
      </c>
      <c r="I1230" s="22" t="s">
        <v>89</v>
      </c>
      <c r="J1230" s="8" t="str">
        <f>IFERROR(VLOOKUP($G1230,今日總結!$A:$AJ,35,0),"")</f>
        <v/>
      </c>
      <c r="K1230" s="5" t="str">
        <f>IFERROR(VLOOKUP($G1230,今日總結!$A:$AJ,36,0),"")</f>
        <v/>
      </c>
      <c r="L1230" s="156" t="str">
        <f>IFERROR(VLOOKUP($G1230,今日總結!$A:$AJ,33,0),"")</f>
        <v/>
      </c>
      <c r="M1230" s="340" t="str">
        <f>IFERROR(VLOOKUP($G1230,今日總結!$A:$AJ,34,0),"")</f>
        <v/>
      </c>
      <c r="N1230" s="240" t="str">
        <f t="shared" si="236"/>
        <v/>
      </c>
      <c r="P1230" s="365">
        <f>IFERROR(VLOOKUP($G1230,融外自投!$A:$J,7,0),"無")</f>
        <v>1058</v>
      </c>
      <c r="Q1230" s="79">
        <f>IFERROR(VLOOKUP($G1230,融外自投!$A:$J,9,0),"無")</f>
        <v>514</v>
      </c>
      <c r="R1230" s="346">
        <f>IFERROR(VLOOKUP($G1230,融外自投!$A:$J,8,0),"無")</f>
        <v>640</v>
      </c>
      <c r="S1230" s="81" t="str">
        <f>IFERROR(VLOOKUP($G1230,融外自投!$A:$J,10,0),"無")</f>
        <v>無</v>
      </c>
      <c r="T1230" s="327">
        <f>IFERROR(VLOOKUP($G1230,'321買'!$A:$E,5,0),"'沒有資料'")</f>
        <v>536</v>
      </c>
      <c r="U1230" s="186">
        <f>IFERROR(VLOOKUP($G1230,基本資料!$A:$J,9,0),"無")</f>
        <v>3.54</v>
      </c>
      <c r="V1230" s="310">
        <f t="shared" si="231"/>
        <v>9.7925311203319501E-2</v>
      </c>
      <c r="W1230" s="94">
        <f>IFERROR(VLOOKUP($G1230,基本資料!$A:$J,10,0),"無")</f>
        <v>3.93</v>
      </c>
      <c r="X1230" s="36">
        <f>RTD("money.excel",,"2430","Price")</f>
        <v>36.15</v>
      </c>
      <c r="Y1230" s="66"/>
      <c r="Z1230" s="15">
        <f t="shared" si="232"/>
        <v>36.15</v>
      </c>
      <c r="AA1230" s="3" t="e">
        <f t="shared" si="233"/>
        <v>#DIV/0!</v>
      </c>
      <c r="AB1230" s="344">
        <f>IFERROR(VLOOKUP($G1230,基本資料!$A:$M,11,0),"無")</f>
        <v>-30.1</v>
      </c>
      <c r="AC1230" s="397">
        <f>IFERROR(VLOOKUP($G1230,基本資料!$A:$M,12,0),"無")</f>
        <v>14.4</v>
      </c>
      <c r="AD1230" s="22" t="s">
        <v>89</v>
      </c>
      <c r="AG1230" s="33">
        <f t="shared" si="234"/>
        <v>0</v>
      </c>
      <c r="AH1230" s="117" t="s">
        <v>2873</v>
      </c>
      <c r="AI1230" s="63">
        <f t="shared" si="235"/>
        <v>1.1057692307692307E-3</v>
      </c>
      <c r="AJ1230" s="284">
        <f>RTD("money.excel",,$G1230,"PredictVolume")</f>
        <v>184</v>
      </c>
      <c r="AK1230" s="399">
        <f>IFERROR(VLOOKUP($G1230,基本資料!$A:$M,13,0),"無")</f>
        <v>7.72</v>
      </c>
    </row>
    <row r="1231" spans="1:37">
      <c r="A1231" s="347">
        <f>IFERROR(VLOOKUP($G1231,基本資料!$A:$J,3,0),"無")</f>
        <v>10.55</v>
      </c>
      <c r="B1231" s="79">
        <f>IFERROR(VLOOKUP($G1231,基本資料!$A:$J,4,0),"無")</f>
        <v>18</v>
      </c>
      <c r="C1231" s="79">
        <f>IFERROR(VLOOKUP($G1231,基本資料!$A:$J,5,0),"無")</f>
        <v>12</v>
      </c>
      <c r="D1231" s="79">
        <f>IFERROR(VLOOKUP($G1231,基本資料!$A:$J,6,0),"無")</f>
        <v>-8</v>
      </c>
      <c r="E1231" s="79">
        <f>IFERROR(VLOOKUP($G1231,基本資料!$A:$J,7,0),"無")</f>
        <v>-13</v>
      </c>
      <c r="F1231" s="6">
        <f>IFERROR(VLOOKUP($G1231,基本資料!$A:$J,8,0),"無")</f>
        <v>10.72</v>
      </c>
      <c r="G1231" s="79">
        <v>2459</v>
      </c>
      <c r="H1231" s="8" t="s">
        <v>3219</v>
      </c>
      <c r="I1231" s="22" t="s">
        <v>830</v>
      </c>
      <c r="J1231" s="8">
        <f>IFERROR(VLOOKUP($G1231,今日總結!$A:$AJ,35,0),"")</f>
        <v>0</v>
      </c>
      <c r="K1231" s="5" t="str">
        <f>IFERROR(VLOOKUP($G1231,今日總結!$A:$AJ,36,0),"")</f>
        <v>外</v>
      </c>
      <c r="L1231" s="156">
        <f>IFERROR(VLOOKUP($G1231,今日總結!$A:$AJ,33,0),"")</f>
        <v>0</v>
      </c>
      <c r="M1231" s="340">
        <f>IFERROR(VLOOKUP($G1231,今日總結!$A:$AJ,34,0),"")</f>
        <v>1</v>
      </c>
      <c r="N1231" s="240">
        <f t="shared" si="236"/>
        <v>-1</v>
      </c>
      <c r="P1231" s="365">
        <f>IFERROR(VLOOKUP($G1231,融外自投!$A:$J,7,0),"無")</f>
        <v>1310</v>
      </c>
      <c r="Q1231" s="79">
        <f>IFERROR(VLOOKUP($G1231,融外自投!$A:$J,9,0),"無")</f>
        <v>395</v>
      </c>
      <c r="R1231" s="346">
        <f>IFERROR(VLOOKUP($G1231,融外自投!$A:$J,8,0),"無")</f>
        <v>312</v>
      </c>
      <c r="S1231" s="81">
        <f>IFERROR(VLOOKUP($G1231,融外自投!$A:$J,10,0),"無")</f>
        <v>491</v>
      </c>
      <c r="T1231" s="327">
        <f>IFERROR(VLOOKUP($G1231,'321買'!$A:$E,5,0),"'沒有資料'")</f>
        <v>939</v>
      </c>
      <c r="U1231" s="186">
        <f>IFERROR(VLOOKUP($G1231,基本資料!$A:$J,9,0),"無")</f>
        <v>3.5</v>
      </c>
      <c r="V1231" s="310">
        <f t="shared" si="231"/>
        <v>7.0140280561122245E-2</v>
      </c>
      <c r="W1231" s="94">
        <f>IFERROR(VLOOKUP($G1231,基本資料!$A:$J,10,0),"無")</f>
        <v>5.01</v>
      </c>
      <c r="X1231" s="36">
        <f>RTD("money.excel",,"2459","Price")</f>
        <v>49.9</v>
      </c>
      <c r="Y1231" s="66"/>
      <c r="Z1231" s="15">
        <f t="shared" si="232"/>
        <v>49.9</v>
      </c>
      <c r="AA1231" s="3" t="e">
        <f t="shared" si="233"/>
        <v>#DIV/0!</v>
      </c>
      <c r="AB1231" s="344">
        <f>IFERROR(VLOOKUP($G1231,基本資料!$A:$M,11,0),"無")</f>
        <v>-17.05</v>
      </c>
      <c r="AC1231" s="397">
        <f>IFERROR(VLOOKUP($G1231,基本資料!$A:$M,12,0),"無")</f>
        <v>9.8000000000000007</v>
      </c>
      <c r="AD1231" s="22" t="s">
        <v>830</v>
      </c>
      <c r="AG1231" s="33">
        <f t="shared" si="234"/>
        <v>0</v>
      </c>
      <c r="AH1231" s="43" t="s">
        <v>2874</v>
      </c>
      <c r="AI1231" s="63">
        <f t="shared" si="235"/>
        <v>1.2985781990521327E-3</v>
      </c>
      <c r="AJ1231" s="284">
        <f>RTD("money.excel",,$G1231,"PredictVolume")</f>
        <v>137</v>
      </c>
      <c r="AK1231" s="399">
        <f>IFERROR(VLOOKUP($G1231,基本資料!$A:$M,13,0),"無")</f>
        <v>0.84</v>
      </c>
    </row>
    <row r="1232" spans="1:37">
      <c r="A1232" s="347">
        <f>IFERROR(VLOOKUP($G1232,基本資料!$A:$J,3,0),"無")</f>
        <v>23.6</v>
      </c>
      <c r="B1232" s="79">
        <f>IFERROR(VLOOKUP($G1232,基本資料!$A:$J,4,0),"無")</f>
        <v>51</v>
      </c>
      <c r="C1232" s="79">
        <f>IFERROR(VLOOKUP($G1232,基本資料!$A:$J,5,0),"無")</f>
        <v>45</v>
      </c>
      <c r="D1232" s="79">
        <f>IFERROR(VLOOKUP($G1232,基本資料!$A:$J,6,0),"無")</f>
        <v>35</v>
      </c>
      <c r="E1232" s="79">
        <f>IFERROR(VLOOKUP($G1232,基本資料!$A:$J,7,0),"無")</f>
        <v>19</v>
      </c>
      <c r="F1232" s="6">
        <f>IFERROR(VLOOKUP($G1232,基本資料!$A:$J,8,0),"無")</f>
        <v>4.3600000000000003</v>
      </c>
      <c r="G1232" s="79">
        <v>3010</v>
      </c>
      <c r="H1232" s="8" t="s">
        <v>3219</v>
      </c>
      <c r="I1232" s="22" t="s">
        <v>96</v>
      </c>
      <c r="J1232" s="8" t="str">
        <f>IFERROR(VLOOKUP($G1232,今日總結!$A:$AJ,35,0),"")</f>
        <v/>
      </c>
      <c r="K1232" s="5" t="str">
        <f>IFERROR(VLOOKUP($G1232,今日總結!$A:$AJ,36,0),"")</f>
        <v/>
      </c>
      <c r="L1232" s="156" t="str">
        <f>IFERROR(VLOOKUP($G1232,今日總結!$A:$AJ,33,0),"")</f>
        <v/>
      </c>
      <c r="M1232" s="340" t="str">
        <f>IFERROR(VLOOKUP($G1232,今日總結!$A:$AJ,34,0),"")</f>
        <v/>
      </c>
      <c r="N1232" s="240" t="str">
        <f t="shared" si="236"/>
        <v/>
      </c>
      <c r="P1232" s="365">
        <f>IFERROR(VLOOKUP($G1232,融外自投!$A:$J,7,0),"無")</f>
        <v>1128</v>
      </c>
      <c r="Q1232" s="79" t="str">
        <f>IFERROR(VLOOKUP($G1232,融外自投!$A:$J,9,0),"無")</f>
        <v>無</v>
      </c>
      <c r="R1232" s="346">
        <f>IFERROR(VLOOKUP($G1232,融外自投!$A:$J,8,0),"無")</f>
        <v>404</v>
      </c>
      <c r="S1232" s="81">
        <f>IFERROR(VLOOKUP($G1232,融外自投!$A:$J,10,0),"無")</f>
        <v>251</v>
      </c>
      <c r="T1232" s="327">
        <f>IFERROR(VLOOKUP($G1232,'321買'!$A:$E,5,0),"'沒有資料'")</f>
        <v>729</v>
      </c>
      <c r="U1232" s="186">
        <f>IFERROR(VLOOKUP($G1232,基本資料!$A:$J,9,0),"無")</f>
        <v>6.8</v>
      </c>
      <c r="V1232" s="310">
        <f t="shared" si="231"/>
        <v>6.834170854271357E-2</v>
      </c>
      <c r="W1232" s="94">
        <f>IFERROR(VLOOKUP($G1232,基本資料!$A:$J,10,0),"無")</f>
        <v>12.05</v>
      </c>
      <c r="X1232" s="36">
        <f>RTD("money.excel",,"3010","Price")</f>
        <v>99.5</v>
      </c>
      <c r="Y1232" s="66"/>
      <c r="Z1232" s="15">
        <f t="shared" si="232"/>
        <v>99.5</v>
      </c>
      <c r="AA1232" s="3" t="e">
        <f t="shared" si="233"/>
        <v>#DIV/0!</v>
      </c>
      <c r="AB1232" s="344">
        <f>IFERROR(VLOOKUP($G1232,基本資料!$A:$M,11,0),"無")</f>
        <v>-12.12</v>
      </c>
      <c r="AC1232" s="397">
        <f>IFERROR(VLOOKUP($G1232,基本資料!$A:$M,12,0),"無")</f>
        <v>25.4</v>
      </c>
      <c r="AD1232" s="22" t="s">
        <v>96</v>
      </c>
      <c r="AG1232" s="33">
        <f t="shared" si="234"/>
        <v>0</v>
      </c>
      <c r="AH1232" s="117" t="s">
        <v>2094</v>
      </c>
      <c r="AI1232" s="63">
        <f t="shared" si="235"/>
        <v>2.7966101694915256E-3</v>
      </c>
      <c r="AJ1232" s="284">
        <f>RTD("money.excel",,$G1232,"PredictVolume")</f>
        <v>660</v>
      </c>
      <c r="AK1232" s="399">
        <f>IFERROR(VLOOKUP($G1232,基本資料!$A:$M,13,0),"無")</f>
        <v>4.37</v>
      </c>
    </row>
    <row r="1233" spans="1:37">
      <c r="A1233" s="347">
        <f>IFERROR(VLOOKUP($G1233,基本資料!$A:$J,3,0),"無")</f>
        <v>21.58</v>
      </c>
      <c r="B1233" s="79">
        <f>IFERROR(VLOOKUP($G1233,基本資料!$A:$J,4,0),"無")</f>
        <v>85</v>
      </c>
      <c r="C1233" s="79">
        <f>IFERROR(VLOOKUP($G1233,基本資料!$A:$J,5,0),"無")</f>
        <v>149</v>
      </c>
      <c r="D1233" s="79">
        <f>IFERROR(VLOOKUP($G1233,基本資料!$A:$J,6,0),"無")</f>
        <v>31</v>
      </c>
      <c r="E1233" s="79">
        <f>IFERROR(VLOOKUP($G1233,基本資料!$A:$J,7,0),"無")</f>
        <v>17</v>
      </c>
      <c r="F1233" s="6">
        <f>IFERROR(VLOOKUP($G1233,基本資料!$A:$J,8,0),"無")</f>
        <v>2.5299999999999998</v>
      </c>
      <c r="G1233" s="79">
        <v>3028</v>
      </c>
      <c r="H1233" s="8" t="s">
        <v>3219</v>
      </c>
      <c r="I1233" s="22" t="s">
        <v>831</v>
      </c>
      <c r="J1233" s="8">
        <f>IFERROR(VLOOKUP($G1233,今日總結!$A:$AJ,35,0),"")</f>
        <v>0</v>
      </c>
      <c r="K1233" s="5">
        <f>IFERROR(VLOOKUP($G1233,今日總結!$A:$AJ,36,0),"")</f>
        <v>0</v>
      </c>
      <c r="L1233" s="156">
        <f>IFERROR(VLOOKUP($G1233,今日總結!$A:$AJ,33,0),"")</f>
        <v>0</v>
      </c>
      <c r="M1233" s="340">
        <f>IFERROR(VLOOKUP($G1233,今日總結!$A:$AJ,34,0),"")</f>
        <v>1</v>
      </c>
      <c r="N1233" s="240">
        <f t="shared" si="236"/>
        <v>-1</v>
      </c>
      <c r="P1233" s="365">
        <f>IFERROR(VLOOKUP($G1233,融外自投!$A:$J,7,0),"無")</f>
        <v>935</v>
      </c>
      <c r="Q1233" s="79" t="str">
        <f>IFERROR(VLOOKUP($G1233,融外自投!$A:$J,9,0),"無")</f>
        <v>無</v>
      </c>
      <c r="R1233" s="346">
        <f>IFERROR(VLOOKUP($G1233,融外自投!$A:$J,8,0),"無")</f>
        <v>644</v>
      </c>
      <c r="S1233" s="81" t="str">
        <f>IFERROR(VLOOKUP($G1233,融外自投!$A:$J,10,0),"無")</f>
        <v>無</v>
      </c>
      <c r="T1233" s="327">
        <f>IFERROR(VLOOKUP($G1233,'321買'!$A:$E,5,0),"'沒有資料'")</f>
        <v>1126</v>
      </c>
      <c r="U1233" s="186">
        <f>IFERROR(VLOOKUP($G1233,基本資料!$A:$J,9,0),"無")</f>
        <v>3.5</v>
      </c>
      <c r="V1233" s="310">
        <f t="shared" si="231"/>
        <v>9.4850948509485097E-2</v>
      </c>
      <c r="W1233" s="94">
        <f>IFERROR(VLOOKUP($G1233,基本資料!$A:$J,10,0),"無")</f>
        <v>4.0999999999999996</v>
      </c>
      <c r="X1233" s="36">
        <f>RTD("money.excel",,"3028","Price")</f>
        <v>36.9</v>
      </c>
      <c r="Y1233" s="66"/>
      <c r="Z1233" s="15">
        <f t="shared" si="232"/>
        <v>36.9</v>
      </c>
      <c r="AA1233" s="3" t="e">
        <f t="shared" si="233"/>
        <v>#DIV/0!</v>
      </c>
      <c r="AB1233" s="344">
        <f>IFERROR(VLOOKUP($G1233,基本資料!$A:$M,11,0),"無")</f>
        <v>-9.2799999999999994</v>
      </c>
      <c r="AC1233" s="397">
        <f>IFERROR(VLOOKUP($G1233,基本資料!$A:$M,12,0),"無")</f>
        <v>46.61</v>
      </c>
      <c r="AD1233" s="22" t="s">
        <v>831</v>
      </c>
      <c r="AG1233" s="33">
        <f t="shared" si="234"/>
        <v>0</v>
      </c>
      <c r="AH1233" s="43" t="s">
        <v>2875</v>
      </c>
      <c r="AI1233" s="63">
        <f t="shared" si="235"/>
        <v>1.8721037998146435E-3</v>
      </c>
      <c r="AJ1233" s="284">
        <f>RTD("money.excel",,$G1233,"PredictVolume")</f>
        <v>404</v>
      </c>
      <c r="AK1233" s="399">
        <f>IFERROR(VLOOKUP($G1233,基本資料!$A:$M,13,0),"無")</f>
        <v>6.02</v>
      </c>
    </row>
    <row r="1234" spans="1:37">
      <c r="A1234" s="347">
        <f>IFERROR(VLOOKUP($G1234,基本資料!$A:$J,3,0),"無")</f>
        <v>42.05</v>
      </c>
      <c r="B1234" s="79">
        <f>IFERROR(VLOOKUP($G1234,基本資料!$A:$J,4,0),"無")</f>
        <v>146</v>
      </c>
      <c r="C1234" s="79">
        <f>IFERROR(VLOOKUP($G1234,基本資料!$A:$J,5,0),"無")</f>
        <v>158</v>
      </c>
      <c r="D1234" s="79">
        <f>IFERROR(VLOOKUP($G1234,基本資料!$A:$J,6,0),"無")</f>
        <v>-18</v>
      </c>
      <c r="E1234" s="79">
        <f>IFERROR(VLOOKUP($G1234,基本資料!$A:$J,7,0),"無")</f>
        <v>-16</v>
      </c>
      <c r="F1234" s="6">
        <f>IFERROR(VLOOKUP($G1234,基本資料!$A:$J,8,0),"無")</f>
        <v>3.49</v>
      </c>
      <c r="G1234" s="79">
        <v>3033</v>
      </c>
      <c r="H1234" s="8" t="s">
        <v>3219</v>
      </c>
      <c r="I1234" s="22" t="s">
        <v>99</v>
      </c>
      <c r="J1234" s="8" t="str">
        <f>IFERROR(VLOOKUP($G1234,今日總結!$A:$AJ,35,0),"")</f>
        <v/>
      </c>
      <c r="K1234" s="5" t="str">
        <f>IFERROR(VLOOKUP($G1234,今日總結!$A:$AJ,36,0),"")</f>
        <v/>
      </c>
      <c r="L1234" s="156" t="str">
        <f>IFERROR(VLOOKUP($G1234,今日總結!$A:$AJ,33,0),"")</f>
        <v/>
      </c>
      <c r="M1234" s="340" t="str">
        <f>IFERROR(VLOOKUP($G1234,今日總結!$A:$AJ,34,0),"")</f>
        <v/>
      </c>
      <c r="N1234" s="240" t="str">
        <f t="shared" si="236"/>
        <v/>
      </c>
      <c r="P1234" s="365">
        <f>IFERROR(VLOOKUP($G1234,融外自投!$A:$J,7,0),"無")</f>
        <v>693</v>
      </c>
      <c r="Q1234" s="79" t="str">
        <f>IFERROR(VLOOKUP($G1234,融外自投!$A:$J,9,0),"無")</f>
        <v>無</v>
      </c>
      <c r="R1234" s="346">
        <f>IFERROR(VLOOKUP($G1234,融外自投!$A:$J,8,0),"無")</f>
        <v>574</v>
      </c>
      <c r="S1234" s="81">
        <f>IFERROR(VLOOKUP($G1234,融外自投!$A:$J,10,0),"無")</f>
        <v>491</v>
      </c>
      <c r="T1234" s="327">
        <f>IFERROR(VLOOKUP($G1234,'321買'!$A:$E,5,0),"'沒有資料'")</f>
        <v>224</v>
      </c>
      <c r="U1234" s="186">
        <f>IFERROR(VLOOKUP($G1234,基本資料!$A:$J,9,0),"無")</f>
        <v>3.02</v>
      </c>
      <c r="V1234" s="310">
        <f t="shared" si="231"/>
        <v>0.1008347245409015</v>
      </c>
      <c r="W1234" s="94">
        <f>IFERROR(VLOOKUP($G1234,基本資料!$A:$J,10,0),"無")</f>
        <v>4.54</v>
      </c>
      <c r="X1234" s="36">
        <f>RTD("money.excel",,"3033","Price")</f>
        <v>29.95</v>
      </c>
      <c r="Y1234" s="66"/>
      <c r="Z1234" s="15">
        <f t="shared" si="232"/>
        <v>29.95</v>
      </c>
      <c r="AA1234" s="3" t="e">
        <f t="shared" si="233"/>
        <v>#DIV/0!</v>
      </c>
      <c r="AB1234" s="344">
        <f>IFERROR(VLOOKUP($G1234,基本資料!$A:$M,11,0),"無")</f>
        <v>-12.66</v>
      </c>
      <c r="AC1234" s="397">
        <f>IFERROR(VLOOKUP($G1234,基本資料!$A:$M,12,0),"無")</f>
        <v>26.58</v>
      </c>
      <c r="AD1234" s="22" t="s">
        <v>99</v>
      </c>
      <c r="AG1234" s="33">
        <f t="shared" si="234"/>
        <v>0</v>
      </c>
      <c r="AH1234" s="117" t="s">
        <v>2876</v>
      </c>
      <c r="AI1234" s="63">
        <f t="shared" si="235"/>
        <v>4.7562425683709865E-3</v>
      </c>
      <c r="AJ1234" s="284">
        <f>RTD("money.excel",,$G1234,"PredictVolume")</f>
        <v>2000</v>
      </c>
      <c r="AK1234" s="399">
        <f>IFERROR(VLOOKUP($G1234,基本資料!$A:$M,13,0),"無")</f>
        <v>25.7</v>
      </c>
    </row>
    <row r="1235" spans="1:37">
      <c r="A1235" s="347">
        <f>IFERROR(VLOOKUP($G1235,基本資料!$A:$J,3,0),"無")</f>
        <v>88.36</v>
      </c>
      <c r="B1235" s="79">
        <f>IFERROR(VLOOKUP($G1235,基本資料!$A:$J,4,0),"無")</f>
        <v>107</v>
      </c>
      <c r="C1235" s="79">
        <f>IFERROR(VLOOKUP($G1235,基本資料!$A:$J,5,0),"無")</f>
        <v>98</v>
      </c>
      <c r="D1235" s="79">
        <f>IFERROR(VLOOKUP($G1235,基本資料!$A:$J,6,0),"無")</f>
        <v>-6</v>
      </c>
      <c r="E1235" s="79">
        <f>IFERROR(VLOOKUP($G1235,基本資料!$A:$J,7,0),"無")</f>
        <v>23</v>
      </c>
      <c r="F1235" s="6">
        <f>IFERROR(VLOOKUP($G1235,基本資料!$A:$J,8,0),"無")</f>
        <v>2.36</v>
      </c>
      <c r="G1235" s="79">
        <v>3036</v>
      </c>
      <c r="H1235" s="8" t="s">
        <v>3219</v>
      </c>
      <c r="I1235" s="22" t="s">
        <v>266</v>
      </c>
      <c r="J1235" s="8">
        <f>IFERROR(VLOOKUP($G1235,今日總結!$A:$AJ,35,0),"")</f>
        <v>0</v>
      </c>
      <c r="K1235" s="5" t="str">
        <f>IFERROR(VLOOKUP($G1235,今日總結!$A:$AJ,36,0),"")</f>
        <v>外</v>
      </c>
      <c r="L1235" s="156">
        <f>IFERROR(VLOOKUP($G1235,今日總結!$A:$AJ,33,0),"")</f>
        <v>0</v>
      </c>
      <c r="M1235" s="340">
        <f>IFERROR(VLOOKUP($G1235,今日總結!$A:$AJ,34,0),"")</f>
        <v>2</v>
      </c>
      <c r="N1235" s="240">
        <f t="shared" si="236"/>
        <v>-2</v>
      </c>
      <c r="P1235" s="365">
        <f>IFERROR(VLOOKUP($G1235,融外自投!$A:$J,7,0),"無")</f>
        <v>1044</v>
      </c>
      <c r="Q1235" s="79">
        <f>IFERROR(VLOOKUP($G1235,融外自投!$A:$J,9,0),"無")</f>
        <v>1110</v>
      </c>
      <c r="R1235" s="346">
        <f>IFERROR(VLOOKUP($G1235,融外自投!$A:$J,8,0),"無")</f>
        <v>268</v>
      </c>
      <c r="S1235" s="81">
        <f>IFERROR(VLOOKUP($G1235,融外自投!$A:$J,10,0),"無")</f>
        <v>262</v>
      </c>
      <c r="T1235" s="327">
        <f>IFERROR(VLOOKUP($G1235,'321買'!$A:$E,5,0),"'沒有資料'")</f>
        <v>232</v>
      </c>
      <c r="U1235" s="186">
        <f>IFERROR(VLOOKUP($G1235,基本資料!$A:$J,9,0),"無")</f>
        <v>5.5</v>
      </c>
      <c r="V1235" s="310">
        <f t="shared" si="231"/>
        <v>8.0058224163027658E-2</v>
      </c>
      <c r="W1235" s="94">
        <f>IFERROR(VLOOKUP($G1235,基本資料!$A:$J,10,0),"無")</f>
        <v>9.9600000000000009</v>
      </c>
      <c r="X1235" s="36">
        <f>RTD("money.excel",,"3036","Price")</f>
        <v>68.7</v>
      </c>
      <c r="Y1235" s="66"/>
      <c r="Z1235" s="15">
        <f t="shared" si="232"/>
        <v>68.7</v>
      </c>
      <c r="AA1235" s="3" t="e">
        <f t="shared" si="233"/>
        <v>#DIV/0!</v>
      </c>
      <c r="AB1235" s="344">
        <f>IFERROR(VLOOKUP($G1235,基本資料!$A:$M,11,0),"無")</f>
        <v>-33.47</v>
      </c>
      <c r="AC1235" s="397">
        <f>IFERROR(VLOOKUP($G1235,基本資料!$A:$M,12,0),"無")</f>
        <v>7.14</v>
      </c>
      <c r="AD1235" s="22" t="s">
        <v>266</v>
      </c>
      <c r="AG1235" s="33">
        <f t="shared" si="234"/>
        <v>0</v>
      </c>
      <c r="AH1235" s="117" t="s">
        <v>2877</v>
      </c>
      <c r="AI1235" s="63">
        <f t="shared" si="235"/>
        <v>5.1573110004526938E-3</v>
      </c>
      <c r="AJ1235" s="284">
        <f>RTD("money.excel",,$G1235,"PredictVolume")</f>
        <v>4557</v>
      </c>
      <c r="AK1235" s="399">
        <f>IFERROR(VLOOKUP($G1235,基本資料!$A:$M,13,0),"無")</f>
        <v>3.31</v>
      </c>
    </row>
    <row r="1236" spans="1:37">
      <c r="A1236" s="347">
        <f>IFERROR(VLOOKUP($G1236,基本資料!$A:$J,3,0),"無")</f>
        <v>26.98</v>
      </c>
      <c r="B1236" s="79">
        <f>IFERROR(VLOOKUP($G1236,基本資料!$A:$J,4,0),"無")</f>
        <v>62</v>
      </c>
      <c r="C1236" s="79">
        <f>IFERROR(VLOOKUP($G1236,基本資料!$A:$J,5,0),"無")</f>
        <v>24</v>
      </c>
      <c r="D1236" s="79">
        <f>IFERROR(VLOOKUP($G1236,基本資料!$A:$J,6,0),"無")</f>
        <v>45</v>
      </c>
      <c r="E1236" s="79">
        <f>IFERROR(VLOOKUP($G1236,基本資料!$A:$J,7,0),"無")</f>
        <v>21</v>
      </c>
      <c r="F1236" s="6">
        <f>IFERROR(VLOOKUP($G1236,基本資料!$A:$J,8,0),"無")</f>
        <v>1.49</v>
      </c>
      <c r="G1236" s="79">
        <v>3048</v>
      </c>
      <c r="H1236" s="8" t="s">
        <v>3219</v>
      </c>
      <c r="I1236" s="22" t="s">
        <v>832</v>
      </c>
      <c r="J1236" s="8">
        <f>IFERROR(VLOOKUP($G1236,今日總結!$A:$AJ,35,0),"")</f>
        <v>0</v>
      </c>
      <c r="K1236" s="5" t="str">
        <f>IFERROR(VLOOKUP($G1236,今日總結!$A:$AJ,36,0),"")</f>
        <v>融</v>
      </c>
      <c r="L1236" s="156">
        <f>IFERROR(VLOOKUP($G1236,今日總結!$A:$AJ,33,0),"")</f>
        <v>0</v>
      </c>
      <c r="M1236" s="340">
        <f>IFERROR(VLOOKUP($G1236,今日總結!$A:$AJ,34,0),"")</f>
        <v>2</v>
      </c>
      <c r="N1236" s="240">
        <f t="shared" si="236"/>
        <v>-2</v>
      </c>
      <c r="P1236" s="365">
        <f>IFERROR(VLOOKUP($G1236,融外自投!$A:$J,7,0),"無")</f>
        <v>667</v>
      </c>
      <c r="Q1236" s="79">
        <f>IFERROR(VLOOKUP($G1236,融外自投!$A:$J,9,0),"無")</f>
        <v>852</v>
      </c>
      <c r="R1236" s="346">
        <f>IFERROR(VLOOKUP($G1236,融外自投!$A:$J,8,0),"無")</f>
        <v>752</v>
      </c>
      <c r="S1236" s="81" t="str">
        <f>IFERROR(VLOOKUP($G1236,融外自投!$A:$J,10,0),"無")</f>
        <v>無</v>
      </c>
      <c r="T1236" s="327">
        <f>IFERROR(VLOOKUP($G1236,'321買'!$A:$E,5,0),"'沒有資料'")</f>
        <v>336</v>
      </c>
      <c r="U1236" s="186">
        <f>IFERROR(VLOOKUP($G1236,基本資料!$A:$J,9,0),"無")</f>
        <v>3.4</v>
      </c>
      <c r="V1236" s="310">
        <f t="shared" si="231"/>
        <v>9.855072463768115E-2</v>
      </c>
      <c r="W1236" s="94">
        <f>IFERROR(VLOOKUP($G1236,基本資料!$A:$J,10,0),"無")</f>
        <v>4.63</v>
      </c>
      <c r="X1236" s="36">
        <f>RTD("money.excel",,"3048","Price")</f>
        <v>34.5</v>
      </c>
      <c r="Y1236" s="66"/>
      <c r="Z1236" s="15">
        <f t="shared" si="232"/>
        <v>34.5</v>
      </c>
      <c r="AA1236" s="3" t="e">
        <f t="shared" si="233"/>
        <v>#DIV/0!</v>
      </c>
      <c r="AB1236" s="344">
        <f>IFERROR(VLOOKUP($G1236,基本資料!$A:$M,11,0),"無")</f>
        <v>-13.48</v>
      </c>
      <c r="AC1236" s="397">
        <f>IFERROR(VLOOKUP($G1236,基本資料!$A:$M,12,0),"無")</f>
        <v>29.16</v>
      </c>
      <c r="AD1236" s="22" t="s">
        <v>832</v>
      </c>
      <c r="AG1236" s="33">
        <f t="shared" si="234"/>
        <v>0</v>
      </c>
      <c r="AH1236" s="43" t="s">
        <v>2876</v>
      </c>
      <c r="AI1236" s="63">
        <f t="shared" si="235"/>
        <v>2.0496664195700518E-3</v>
      </c>
      <c r="AJ1236" s="284">
        <f>RTD("money.excel",,$G1236,"PredictVolume")</f>
        <v>553</v>
      </c>
      <c r="AK1236" s="399">
        <f>IFERROR(VLOOKUP($G1236,基本資料!$A:$M,13,0),"無")</f>
        <v>15.11</v>
      </c>
    </row>
    <row r="1237" spans="1:37">
      <c r="A1237" s="347">
        <f>IFERROR(VLOOKUP($G1237,基本資料!$A:$J,3,0),"無")</f>
        <v>11.87</v>
      </c>
      <c r="B1237" s="79">
        <f>IFERROR(VLOOKUP($G1237,基本資料!$A:$J,4,0),"無")</f>
        <v>-910</v>
      </c>
      <c r="C1237" s="79">
        <f>IFERROR(VLOOKUP($G1237,基本資料!$A:$J,5,0),"無")</f>
        <v>-207</v>
      </c>
      <c r="D1237" s="79">
        <f>IFERROR(VLOOKUP($G1237,基本資料!$A:$J,6,0),"無")</f>
        <v>105</v>
      </c>
      <c r="E1237" s="79">
        <f>IFERROR(VLOOKUP($G1237,基本資料!$A:$J,7,0),"無")</f>
        <v>-41</v>
      </c>
      <c r="F1237" s="6">
        <f>IFERROR(VLOOKUP($G1237,基本資料!$A:$J,8,0),"無")</f>
        <v>-13.37</v>
      </c>
      <c r="G1237" s="79">
        <v>3055</v>
      </c>
      <c r="H1237" s="8" t="s">
        <v>3219</v>
      </c>
      <c r="I1237" s="22" t="s">
        <v>833</v>
      </c>
      <c r="J1237" s="8" t="str">
        <f>IFERROR(VLOOKUP($G1237,今日總結!$A:$AJ,35,0),"")</f>
        <v/>
      </c>
      <c r="K1237" s="5" t="str">
        <f>IFERROR(VLOOKUP($G1237,今日總結!$A:$AJ,36,0),"")</f>
        <v/>
      </c>
      <c r="L1237" s="156" t="str">
        <f>IFERROR(VLOOKUP($G1237,今日總結!$A:$AJ,33,0),"")</f>
        <v/>
      </c>
      <c r="M1237" s="340" t="str">
        <f>IFERROR(VLOOKUP($G1237,今日總結!$A:$AJ,34,0),"")</f>
        <v/>
      </c>
      <c r="N1237" s="240" t="str">
        <f t="shared" si="236"/>
        <v/>
      </c>
      <c r="P1237" s="365">
        <f>IFERROR(VLOOKUP($G1237,融外自投!$A:$J,7,0),"無")</f>
        <v>173</v>
      </c>
      <c r="Q1237" s="79">
        <f>IFERROR(VLOOKUP($G1237,融外自投!$A:$J,9,0),"無")</f>
        <v>936</v>
      </c>
      <c r="R1237" s="346">
        <f>IFERROR(VLOOKUP($G1237,融外自投!$A:$J,8,0),"無")</f>
        <v>1079</v>
      </c>
      <c r="S1237" s="81" t="str">
        <f>IFERROR(VLOOKUP($G1237,融外自投!$A:$J,10,0),"無")</f>
        <v>無</v>
      </c>
      <c r="T1237" s="327">
        <f>IFERROR(VLOOKUP($G1237,'321買'!$A:$E,5,0),"'沒有資料'")</f>
        <v>634</v>
      </c>
      <c r="U1237" s="186">
        <f>IFERROR(VLOOKUP($G1237,基本資料!$A:$J,9,0),"無")</f>
        <v>0.2</v>
      </c>
      <c r="V1237" s="310">
        <f t="shared" si="231"/>
        <v>7.4349442379182161E-3</v>
      </c>
      <c r="W1237" s="94">
        <f>IFERROR(VLOOKUP($G1237,基本資料!$A:$J,10,0),"無")</f>
        <v>-3.7</v>
      </c>
      <c r="X1237" s="36">
        <f>RTD("money.excel",,"3055","Price")</f>
        <v>26.9</v>
      </c>
      <c r="Y1237" s="66"/>
      <c r="Z1237" s="15">
        <f t="shared" si="232"/>
        <v>26.9</v>
      </c>
      <c r="AA1237" s="3" t="e">
        <f t="shared" si="233"/>
        <v>#DIV/0!</v>
      </c>
      <c r="AB1237" s="344">
        <f>IFERROR(VLOOKUP($G1237,基本資料!$A:$M,11,0),"無")</f>
        <v>-25.85</v>
      </c>
      <c r="AC1237" s="397">
        <f>IFERROR(VLOOKUP($G1237,基本資料!$A:$M,12,0),"無")</f>
        <v>25.28</v>
      </c>
      <c r="AD1237" s="22" t="s">
        <v>833</v>
      </c>
      <c r="AG1237" s="33">
        <f t="shared" si="234"/>
        <v>0</v>
      </c>
      <c r="AH1237" s="43" t="s">
        <v>2878</v>
      </c>
      <c r="AI1237" s="63">
        <f t="shared" si="235"/>
        <v>1.0446503791069926E-3</v>
      </c>
      <c r="AJ1237" s="284">
        <f>RTD("money.excel",,$G1237,"PredictVolume")</f>
        <v>124</v>
      </c>
      <c r="AK1237" s="399">
        <f>IFERROR(VLOOKUP($G1237,基本資料!$A:$M,13,0),"無")</f>
        <v>3.7</v>
      </c>
    </row>
    <row r="1238" spans="1:37">
      <c r="A1238" s="347">
        <f>IFERROR(VLOOKUP($G1238,基本資料!$A:$J,3,0),"無")</f>
        <v>20.05</v>
      </c>
      <c r="B1238" s="79">
        <f>IFERROR(VLOOKUP($G1238,基本資料!$A:$J,4,0),"無")</f>
        <v>74</v>
      </c>
      <c r="C1238" s="79">
        <f>IFERROR(VLOOKUP($G1238,基本資料!$A:$J,5,0),"無")</f>
        <v>90</v>
      </c>
      <c r="D1238" s="79">
        <f>IFERROR(VLOOKUP($G1238,基本資料!$A:$J,6,0),"無")</f>
        <v>15</v>
      </c>
      <c r="E1238" s="79">
        <f>IFERROR(VLOOKUP($G1238,基本資料!$A:$J,7,0),"無")</f>
        <v>20</v>
      </c>
      <c r="F1238" s="6">
        <f>IFERROR(VLOOKUP($G1238,基本資料!$A:$J,8,0),"無")</f>
        <v>2.3199999999999998</v>
      </c>
      <c r="G1238" s="79">
        <v>3209</v>
      </c>
      <c r="H1238" s="8" t="s">
        <v>3219</v>
      </c>
      <c r="I1238" s="22" t="s">
        <v>834</v>
      </c>
      <c r="J1238" s="8" t="str">
        <f>IFERROR(VLOOKUP($G1238,今日總結!$A:$AJ,35,0),"")</f>
        <v>外主</v>
      </c>
      <c r="K1238" s="5">
        <f>IFERROR(VLOOKUP($G1238,今日總結!$A:$AJ,36,0),"")</f>
        <v>0</v>
      </c>
      <c r="L1238" s="156">
        <f>IFERROR(VLOOKUP($G1238,今日總結!$A:$AJ,33,0),"")</f>
        <v>2</v>
      </c>
      <c r="M1238" s="340">
        <f>IFERROR(VLOOKUP($G1238,今日總結!$A:$AJ,34,0),"")</f>
        <v>0</v>
      </c>
      <c r="N1238" s="240">
        <f t="shared" si="236"/>
        <v>2</v>
      </c>
      <c r="P1238" s="365">
        <f>IFERROR(VLOOKUP($G1238,融外自投!$A:$J,7,0),"無")</f>
        <v>942</v>
      </c>
      <c r="Q1238" s="79">
        <f>IFERROR(VLOOKUP($G1238,融外自投!$A:$J,9,0),"無")</f>
        <v>896</v>
      </c>
      <c r="R1238" s="346">
        <f>IFERROR(VLOOKUP($G1238,融外自投!$A:$J,8,0),"無")</f>
        <v>657</v>
      </c>
      <c r="S1238" s="81" t="str">
        <f>IFERROR(VLOOKUP($G1238,融外自投!$A:$J,10,0),"無")</f>
        <v>無</v>
      </c>
      <c r="T1238" s="327">
        <f>IFERROR(VLOOKUP($G1238,'321買'!$A:$E,5,0),"'沒有資料'")</f>
        <v>445</v>
      </c>
      <c r="U1238" s="186">
        <f>IFERROR(VLOOKUP($G1238,基本資料!$A:$J,9,0),"無")</f>
        <v>3.2</v>
      </c>
      <c r="V1238" s="310">
        <f t="shared" si="231"/>
        <v>8.2051282051282051E-2</v>
      </c>
      <c r="W1238" s="94">
        <f>IFERROR(VLOOKUP($G1238,基本資料!$A:$J,10,0),"無")</f>
        <v>4.05</v>
      </c>
      <c r="X1238" s="36">
        <f>RTD("money.excel",,"3209","Price")</f>
        <v>39</v>
      </c>
      <c r="Y1238" s="66"/>
      <c r="Z1238" s="15">
        <f t="shared" si="232"/>
        <v>39</v>
      </c>
      <c r="AA1238" s="3" t="e">
        <f t="shared" si="233"/>
        <v>#DIV/0!</v>
      </c>
      <c r="AB1238" s="344">
        <f>IFERROR(VLOOKUP($G1238,基本資料!$A:$M,11,0),"無")</f>
        <v>-5.92</v>
      </c>
      <c r="AC1238" s="397">
        <f>IFERROR(VLOOKUP($G1238,基本資料!$A:$M,12,0),"無")</f>
        <v>69.47</v>
      </c>
      <c r="AD1238" s="22" t="s">
        <v>834</v>
      </c>
      <c r="AG1238" s="33">
        <f t="shared" si="234"/>
        <v>0</v>
      </c>
      <c r="AH1238" s="43" t="s">
        <v>2879</v>
      </c>
      <c r="AI1238" s="63">
        <f t="shared" si="235"/>
        <v>7.077306733167082E-3</v>
      </c>
      <c r="AJ1238" s="284">
        <f>RTD("money.excel",,$G1238,"PredictVolume")</f>
        <v>1419</v>
      </c>
      <c r="AK1238" s="399">
        <f>IFERROR(VLOOKUP($G1238,基本資料!$A:$M,13,0),"無")</f>
        <v>7.93</v>
      </c>
    </row>
    <row r="1239" spans="1:37">
      <c r="A1239" s="347">
        <f>IFERROR(VLOOKUP($G1239,基本資料!$A:$J,3,0),"無")</f>
        <v>6.81</v>
      </c>
      <c r="B1239" s="79">
        <f>IFERROR(VLOOKUP($G1239,基本資料!$A:$J,4,0),"無")</f>
        <v>35</v>
      </c>
      <c r="C1239" s="79">
        <f>IFERROR(VLOOKUP($G1239,基本資料!$A:$J,5,0),"無")</f>
        <v>55</v>
      </c>
      <c r="D1239" s="79">
        <f>IFERROR(VLOOKUP($G1239,基本資料!$A:$J,6,0),"無")</f>
        <v>-24</v>
      </c>
      <c r="E1239" s="79">
        <f>IFERROR(VLOOKUP($G1239,基本資料!$A:$J,7,0),"無")</f>
        <v>36</v>
      </c>
      <c r="F1239" s="6">
        <f>IFERROR(VLOOKUP($G1239,基本資料!$A:$J,8,0),"無")</f>
        <v>-1.79</v>
      </c>
      <c r="G1239" s="79">
        <v>3224</v>
      </c>
      <c r="H1239" s="8" t="s">
        <v>3219</v>
      </c>
      <c r="I1239" s="16" t="s">
        <v>815</v>
      </c>
      <c r="J1239" s="8">
        <f>IFERROR(VLOOKUP($G1239,今日總結!$A:$AJ,35,0),"")</f>
        <v>0</v>
      </c>
      <c r="K1239" s="5">
        <f>IFERROR(VLOOKUP($G1239,今日總結!$A:$AJ,36,0),"")</f>
        <v>0</v>
      </c>
      <c r="L1239" s="156">
        <f>IFERROR(VLOOKUP($G1239,今日總結!$A:$AJ,33,0),"")</f>
        <v>0</v>
      </c>
      <c r="M1239" s="340">
        <f>IFERROR(VLOOKUP($G1239,今日總結!$A:$AJ,34,0),"")</f>
        <v>1</v>
      </c>
      <c r="N1239" s="240">
        <f t="shared" si="236"/>
        <v>-1</v>
      </c>
      <c r="P1239" s="365">
        <f>IFERROR(VLOOKUP($G1239,融外自投!$A:$J,7,0),"無")</f>
        <v>75</v>
      </c>
      <c r="Q1239" s="79">
        <f>IFERROR(VLOOKUP($G1239,融外自投!$A:$J,9,0),"無")</f>
        <v>762</v>
      </c>
      <c r="R1239" s="346">
        <f>IFERROR(VLOOKUP($G1239,融外自投!$A:$J,8,0),"無")</f>
        <v>1110</v>
      </c>
      <c r="S1239" s="81" t="str">
        <f>IFERROR(VLOOKUP($G1239,融外自投!$A:$J,10,0),"無")</f>
        <v>無</v>
      </c>
      <c r="T1239" s="327">
        <f>IFERROR(VLOOKUP($G1239,'321買'!$A:$E,5,0),"'沒有資料'")</f>
        <v>536</v>
      </c>
      <c r="U1239" s="186">
        <f>IFERROR(VLOOKUP($G1239,基本資料!$A:$J,9,0),"無")</f>
        <v>0</v>
      </c>
      <c r="V1239" s="310">
        <f t="shared" si="231"/>
        <v>0</v>
      </c>
      <c r="W1239" s="94">
        <f>IFERROR(VLOOKUP($G1239,基本資料!$A:$J,10,0),"無")</f>
        <v>-0.4</v>
      </c>
      <c r="X1239" s="36">
        <f>RTD("money.excel",,"3224","Price")</f>
        <v>52</v>
      </c>
      <c r="Y1239" s="66"/>
      <c r="Z1239" s="15">
        <f t="shared" si="232"/>
        <v>52</v>
      </c>
      <c r="AA1239" s="3" t="e">
        <f t="shared" si="233"/>
        <v>#DIV/0!</v>
      </c>
      <c r="AB1239" s="344">
        <f>IFERROR(VLOOKUP($G1239,基本資料!$A:$M,11,0),"無")</f>
        <v>-24.6</v>
      </c>
      <c r="AC1239" s="397">
        <f>IFERROR(VLOOKUP($G1239,基本資料!$A:$M,12,0),"無")</f>
        <v>50.48</v>
      </c>
      <c r="AD1239" s="16" t="s">
        <v>815</v>
      </c>
      <c r="AG1239" s="33">
        <f t="shared" si="234"/>
        <v>0</v>
      </c>
      <c r="AH1239" s="43" t="s">
        <v>2651</v>
      </c>
      <c r="AI1239" s="63">
        <f t="shared" si="235"/>
        <v>4.2878120411160058E-3</v>
      </c>
      <c r="AJ1239" s="284">
        <f>RTD("money.excel",,$G1239,"PredictVolume")</f>
        <v>292</v>
      </c>
      <c r="AK1239" s="399">
        <f>IFERROR(VLOOKUP($G1239,基本資料!$A:$M,13,0),"無")</f>
        <v>7.89</v>
      </c>
    </row>
    <row r="1240" spans="1:37">
      <c r="A1240" s="347">
        <f>IFERROR(VLOOKUP($G1240,基本資料!$A:$J,3,0),"無")</f>
        <v>3.65</v>
      </c>
      <c r="B1240" s="79">
        <f>IFERROR(VLOOKUP($G1240,基本資料!$A:$J,4,0),"無")</f>
        <v>104</v>
      </c>
      <c r="C1240" s="79">
        <f>IFERROR(VLOOKUP($G1240,基本資料!$A:$J,5,0),"無")</f>
        <v>657</v>
      </c>
      <c r="D1240" s="79">
        <f>IFERROR(VLOOKUP($G1240,基本資料!$A:$J,6,0),"無")</f>
        <v>-10</v>
      </c>
      <c r="E1240" s="79">
        <f>IFERROR(VLOOKUP($G1240,基本資料!$A:$J,7,0),"無")</f>
        <v>23</v>
      </c>
      <c r="F1240" s="6">
        <f>IFERROR(VLOOKUP($G1240,基本資料!$A:$J,8,0),"無")</f>
        <v>3.78</v>
      </c>
      <c r="G1240" s="79">
        <v>3232</v>
      </c>
      <c r="H1240" s="8" t="s">
        <v>329</v>
      </c>
      <c r="I1240" s="16" t="s">
        <v>816</v>
      </c>
      <c r="J1240" s="8">
        <f>IFERROR(VLOOKUP($G1240,今日總結!$A:$AJ,35,0),"")</f>
        <v>4</v>
      </c>
      <c r="K1240" s="5">
        <f>IFERROR(VLOOKUP($G1240,今日總結!$A:$AJ,36,0),"")</f>
        <v>0</v>
      </c>
      <c r="L1240" s="156">
        <f>IFERROR(VLOOKUP($G1240,今日總結!$A:$AJ,33,0),"")</f>
        <v>1</v>
      </c>
      <c r="M1240" s="340">
        <f>IFERROR(VLOOKUP($G1240,今日總結!$A:$AJ,34,0),"")</f>
        <v>0</v>
      </c>
      <c r="N1240" s="240">
        <f t="shared" si="236"/>
        <v>1</v>
      </c>
      <c r="P1240" s="365">
        <f>IFERROR(VLOOKUP($G1240,融外自投!$A:$J,7,0),"無")</f>
        <v>5</v>
      </c>
      <c r="Q1240" s="79">
        <f>IFERROR(VLOOKUP($G1240,融外自投!$A:$J,9,0),"無")</f>
        <v>978</v>
      </c>
      <c r="R1240" s="346">
        <f>IFERROR(VLOOKUP($G1240,融外自投!$A:$J,8,0),"無")</f>
        <v>691</v>
      </c>
      <c r="S1240" s="81" t="str">
        <f>IFERROR(VLOOKUP($G1240,融外自投!$A:$J,10,0),"無")</f>
        <v>無</v>
      </c>
      <c r="T1240" s="327">
        <f>IFERROR(VLOOKUP($G1240,'321買'!$A:$E,5,0),"'沒有資料'")</f>
        <v>104</v>
      </c>
      <c r="U1240" s="186">
        <f>IFERROR(VLOOKUP($G1240,基本資料!$A:$J,9,0),"無")</f>
        <v>0.5</v>
      </c>
      <c r="V1240" s="310">
        <f t="shared" si="231"/>
        <v>1.443001443001443E-2</v>
      </c>
      <c r="W1240" s="94">
        <f>IFERROR(VLOOKUP($G1240,基本資料!$A:$J,10,0),"無")</f>
        <v>0.84</v>
      </c>
      <c r="X1240" s="36">
        <f>RTD("money.excel",,"3232","Price")</f>
        <v>34.65</v>
      </c>
      <c r="Y1240" s="66"/>
      <c r="Z1240" s="15">
        <f t="shared" si="232"/>
        <v>34.65</v>
      </c>
      <c r="AA1240" s="3" t="e">
        <f t="shared" si="233"/>
        <v>#DIV/0!</v>
      </c>
      <c r="AB1240" s="344">
        <f>IFERROR(VLOOKUP($G1240,基本資料!$A:$M,11,0),"無")</f>
        <v>-25.67</v>
      </c>
      <c r="AC1240" s="397">
        <f>IFERROR(VLOOKUP($G1240,基本資料!$A:$M,12,0),"無")</f>
        <v>79.540000000000006</v>
      </c>
      <c r="AD1240" s="16" t="s">
        <v>816</v>
      </c>
      <c r="AG1240" s="33">
        <f t="shared" si="234"/>
        <v>0</v>
      </c>
      <c r="AH1240" s="43" t="s">
        <v>2652</v>
      </c>
      <c r="AI1240" s="63">
        <f t="shared" si="235"/>
        <v>2.5095890410958905E-2</v>
      </c>
      <c r="AJ1240" s="284">
        <f>RTD("money.excel",,$G1240,"PredictVolume")</f>
        <v>916</v>
      </c>
      <c r="AK1240" s="399">
        <f>IFERROR(VLOOKUP($G1240,基本資料!$A:$M,13,0),"無")</f>
        <v>41.65</v>
      </c>
    </row>
    <row r="1241" spans="1:37">
      <c r="A1241" s="347">
        <f>IFERROR(VLOOKUP($G1241,基本資料!$A:$J,3,0),"無")</f>
        <v>13.76</v>
      </c>
      <c r="B1241" s="79">
        <f>IFERROR(VLOOKUP($G1241,基本資料!$A:$J,4,0),"無")</f>
        <v>125</v>
      </c>
      <c r="C1241" s="79">
        <f>IFERROR(VLOOKUP($G1241,基本資料!$A:$J,5,0),"無")</f>
        <v>98</v>
      </c>
      <c r="D1241" s="79">
        <f>IFERROR(VLOOKUP($G1241,基本資料!$A:$J,6,0),"無")</f>
        <v>-19</v>
      </c>
      <c r="E1241" s="79">
        <f>IFERROR(VLOOKUP($G1241,基本資料!$A:$J,7,0),"無")</f>
        <v>8</v>
      </c>
      <c r="F1241" s="6">
        <f>IFERROR(VLOOKUP($G1241,基本資料!$A:$J,8,0),"無")</f>
        <v>2.9</v>
      </c>
      <c r="G1241" s="79">
        <v>3312</v>
      </c>
      <c r="H1241" s="8" t="s">
        <v>3219</v>
      </c>
      <c r="I1241" s="22" t="s">
        <v>835</v>
      </c>
      <c r="J1241" s="8" t="str">
        <f>IFERROR(VLOOKUP($G1241,今日總結!$A:$AJ,35,0),"")</f>
        <v>主</v>
      </c>
      <c r="K1241" s="5">
        <f>IFERROR(VLOOKUP($G1241,今日總結!$A:$AJ,36,0),"")</f>
        <v>0</v>
      </c>
      <c r="L1241" s="156">
        <f>IFERROR(VLOOKUP($G1241,今日總結!$A:$AJ,33,0),"")</f>
        <v>1</v>
      </c>
      <c r="M1241" s="340">
        <f>IFERROR(VLOOKUP($G1241,今日總結!$A:$AJ,34,0),"")</f>
        <v>0</v>
      </c>
      <c r="N1241" s="240">
        <f t="shared" si="236"/>
        <v>1</v>
      </c>
      <c r="P1241" s="365">
        <f>IFERROR(VLOOKUP($G1241,融外自投!$A:$J,7,0),"無")</f>
        <v>506</v>
      </c>
      <c r="Q1241" s="79">
        <f>IFERROR(VLOOKUP($G1241,融外自投!$A:$J,9,0),"無")</f>
        <v>1110</v>
      </c>
      <c r="R1241" s="346">
        <f>IFERROR(VLOOKUP($G1241,融外自投!$A:$J,8,0),"無")</f>
        <v>810</v>
      </c>
      <c r="S1241" s="81" t="str">
        <f>IFERROR(VLOOKUP($G1241,融外自投!$A:$J,10,0),"無")</f>
        <v>無</v>
      </c>
      <c r="T1241" s="327">
        <f>IFERROR(VLOOKUP($G1241,'321買'!$A:$E,5,0),"'沒有資料'")</f>
        <v>403</v>
      </c>
      <c r="U1241" s="186">
        <f>IFERROR(VLOOKUP($G1241,基本資料!$A:$J,9,0),"無")</f>
        <v>0</v>
      </c>
      <c r="V1241" s="310">
        <f t="shared" si="231"/>
        <v>0</v>
      </c>
      <c r="W1241" s="94">
        <f>IFERROR(VLOOKUP($G1241,基本資料!$A:$J,10,0),"無")</f>
        <v>3.24</v>
      </c>
      <c r="X1241" s="36">
        <f>RTD("money.excel",,"3312","Price")</f>
        <v>24.1</v>
      </c>
      <c r="Y1241" s="66"/>
      <c r="Z1241" s="15">
        <f t="shared" si="232"/>
        <v>24.1</v>
      </c>
      <c r="AA1241" s="3" t="e">
        <f t="shared" si="233"/>
        <v>#DIV/0!</v>
      </c>
      <c r="AB1241" s="344">
        <f>IFERROR(VLOOKUP($G1241,基本資料!$A:$M,11,0),"無")</f>
        <v>-18.07</v>
      </c>
      <c r="AC1241" s="397">
        <f>IFERROR(VLOOKUP($G1241,基本資料!$A:$M,12,0),"無")</f>
        <v>22.87</v>
      </c>
      <c r="AD1241" s="22" t="s">
        <v>835</v>
      </c>
      <c r="AG1241" s="33">
        <f t="shared" si="234"/>
        <v>0</v>
      </c>
      <c r="AH1241" s="43" t="s">
        <v>2880</v>
      </c>
      <c r="AI1241" s="63">
        <f t="shared" si="235"/>
        <v>1.3292151162790698E-2</v>
      </c>
      <c r="AJ1241" s="284">
        <f>RTD("money.excel",,$G1241,"PredictVolume")</f>
        <v>1829</v>
      </c>
      <c r="AK1241" s="399">
        <f>IFERROR(VLOOKUP($G1241,基本資料!$A:$M,13,0),"無")</f>
        <v>20.79</v>
      </c>
    </row>
    <row r="1242" spans="1:37">
      <c r="A1242" s="347">
        <f>IFERROR(VLOOKUP($G1242,基本資料!$A:$J,3,0),"無")</f>
        <v>6.87</v>
      </c>
      <c r="B1242" s="79">
        <f>IFERROR(VLOOKUP($G1242,基本資料!$A:$J,4,0),"無")</f>
        <v>44</v>
      </c>
      <c r="C1242" s="79">
        <f>IFERROR(VLOOKUP($G1242,基本資料!$A:$J,5,0),"無")</f>
        <v>-11</v>
      </c>
      <c r="D1242" s="79">
        <f>IFERROR(VLOOKUP($G1242,基本資料!$A:$J,6,0),"無")</f>
        <v>-30</v>
      </c>
      <c r="E1242" s="79">
        <f>IFERROR(VLOOKUP($G1242,基本資料!$A:$J,7,0),"無")</f>
        <v>-10</v>
      </c>
      <c r="F1242" s="6">
        <f>IFERROR(VLOOKUP($G1242,基本資料!$A:$J,8,0),"無")</f>
        <v>1.45</v>
      </c>
      <c r="G1242" s="79">
        <v>3360</v>
      </c>
      <c r="H1242" s="8" t="s">
        <v>3219</v>
      </c>
      <c r="I1242" s="16" t="s">
        <v>328</v>
      </c>
      <c r="J1242" s="8">
        <f>IFERROR(VLOOKUP($G1242,今日總結!$A:$AJ,35,0),"")</f>
        <v>0</v>
      </c>
      <c r="K1242" s="5">
        <f>IFERROR(VLOOKUP($G1242,今日總結!$A:$AJ,36,0),"")</f>
        <v>0</v>
      </c>
      <c r="L1242" s="156">
        <f>IFERROR(VLOOKUP($G1242,今日總結!$A:$AJ,33,0),"")</f>
        <v>0</v>
      </c>
      <c r="M1242" s="340">
        <f>IFERROR(VLOOKUP($G1242,今日總結!$A:$AJ,34,0),"")</f>
        <v>1</v>
      </c>
      <c r="N1242" s="240">
        <f t="shared" si="236"/>
        <v>-1</v>
      </c>
      <c r="P1242" s="365">
        <f>IFERROR(VLOOKUP($G1242,融外自投!$A:$J,7,0),"無")</f>
        <v>406</v>
      </c>
      <c r="Q1242" s="79" t="str">
        <f>IFERROR(VLOOKUP($G1242,融外自投!$A:$J,9,0),"無")</f>
        <v>無</v>
      </c>
      <c r="R1242" s="346">
        <f>IFERROR(VLOOKUP($G1242,融外自投!$A:$J,8,0),"無")</f>
        <v>1032</v>
      </c>
      <c r="S1242" s="81" t="str">
        <f>IFERROR(VLOOKUP($G1242,融外自投!$A:$J,10,0),"無")</f>
        <v>無</v>
      </c>
      <c r="T1242" s="327">
        <f>IFERROR(VLOOKUP($G1242,'321買'!$A:$E,5,0),"'沒有資料'")</f>
        <v>664</v>
      </c>
      <c r="U1242" s="186">
        <f>IFERROR(VLOOKUP($G1242,基本資料!$A:$J,9,0),"無")</f>
        <v>1.25</v>
      </c>
      <c r="V1242" s="310">
        <f t="shared" si="231"/>
        <v>7.9617834394904469E-2</v>
      </c>
      <c r="W1242" s="94">
        <f>IFERROR(VLOOKUP($G1242,基本資料!$A:$J,10,0),"無")</f>
        <v>1.45</v>
      </c>
      <c r="X1242" s="36">
        <f>RTD("money.excel",,"3360","Price")</f>
        <v>15.7</v>
      </c>
      <c r="Y1242" s="66"/>
      <c r="Z1242" s="15">
        <f t="shared" si="232"/>
        <v>15.7</v>
      </c>
      <c r="AA1242" s="3" t="e">
        <f t="shared" si="233"/>
        <v>#DIV/0!</v>
      </c>
      <c r="AB1242" s="344">
        <f>IFERROR(VLOOKUP($G1242,基本資料!$A:$M,11,0),"無")</f>
        <v>-11.26</v>
      </c>
      <c r="AC1242" s="397">
        <f>IFERROR(VLOOKUP($G1242,基本資料!$A:$M,12,0),"無")</f>
        <v>54.75</v>
      </c>
      <c r="AD1242" s="16" t="s">
        <v>328</v>
      </c>
      <c r="AG1242" s="33">
        <f t="shared" si="234"/>
        <v>0</v>
      </c>
      <c r="AH1242" s="43" t="s">
        <v>2993</v>
      </c>
      <c r="AI1242" s="63">
        <f t="shared" si="235"/>
        <v>1.7947598253275108E-2</v>
      </c>
      <c r="AJ1242" s="284">
        <f>RTD("money.excel",,$G1242,"PredictVolume")</f>
        <v>1233</v>
      </c>
      <c r="AK1242" s="399">
        <f>IFERROR(VLOOKUP($G1242,基本資料!$A:$M,13,0),"無")</f>
        <v>10.58</v>
      </c>
    </row>
    <row r="1243" spans="1:37">
      <c r="A1243" s="347">
        <f>IFERROR(VLOOKUP($G1243,基本資料!$A:$J,3,0),"無")</f>
        <v>3.91</v>
      </c>
      <c r="B1243" s="79">
        <f>IFERROR(VLOOKUP($G1243,基本資料!$A:$J,4,0),"無")</f>
        <v>26</v>
      </c>
      <c r="C1243" s="79">
        <f>IFERROR(VLOOKUP($G1243,基本資料!$A:$J,5,0),"無")</f>
        <v>26</v>
      </c>
      <c r="D1243" s="79">
        <f>IFERROR(VLOOKUP($G1243,基本資料!$A:$J,6,0),"無")</f>
        <v>36</v>
      </c>
      <c r="E1243" s="79">
        <f>IFERROR(VLOOKUP($G1243,基本資料!$A:$J,7,0),"無")</f>
        <v>8</v>
      </c>
      <c r="F1243" s="6">
        <f>IFERROR(VLOOKUP($G1243,基本資料!$A:$J,8,0),"無")</f>
        <v>12.35</v>
      </c>
      <c r="G1243" s="79">
        <v>3444</v>
      </c>
      <c r="H1243" s="8" t="s">
        <v>3219</v>
      </c>
      <c r="I1243" s="16" t="s">
        <v>817</v>
      </c>
      <c r="J1243" s="8" t="str">
        <f>IFERROR(VLOOKUP($G1243,今日總結!$A:$AJ,35,0),"")</f>
        <v>主</v>
      </c>
      <c r="K1243" s="5">
        <f>IFERROR(VLOOKUP($G1243,今日總結!$A:$AJ,36,0),"")</f>
        <v>0</v>
      </c>
      <c r="L1243" s="156">
        <f>IFERROR(VLOOKUP($G1243,今日總結!$A:$AJ,33,0),"")</f>
        <v>1</v>
      </c>
      <c r="M1243" s="340">
        <f>IFERROR(VLOOKUP($G1243,今日總結!$A:$AJ,34,0),"")</f>
        <v>0</v>
      </c>
      <c r="N1243" s="240">
        <f t="shared" si="236"/>
        <v>1</v>
      </c>
      <c r="P1243" s="365">
        <f>IFERROR(VLOOKUP($G1243,融外自投!$A:$J,7,0),"無")</f>
        <v>337</v>
      </c>
      <c r="Q1243" s="79">
        <f>IFERROR(VLOOKUP($G1243,融外自投!$A:$J,9,0),"無")</f>
        <v>324</v>
      </c>
      <c r="R1243" s="346">
        <f>IFERROR(VLOOKUP($G1243,融外自投!$A:$J,8,0),"無")</f>
        <v>519</v>
      </c>
      <c r="S1243" s="81" t="str">
        <f>IFERROR(VLOOKUP($G1243,融外自投!$A:$J,10,0),"無")</f>
        <v>無</v>
      </c>
      <c r="T1243" s="327">
        <f>IFERROR(VLOOKUP($G1243,'321買'!$A:$E,5,0),"'沒有資料'")</f>
        <v>779</v>
      </c>
      <c r="U1243" s="186">
        <f>IFERROR(VLOOKUP($G1243,基本資料!$A:$J,9,0),"無")</f>
        <v>2.2999999999999998</v>
      </c>
      <c r="V1243" s="310">
        <f t="shared" si="231"/>
        <v>4.2047531992687383E-2</v>
      </c>
      <c r="W1243" s="94">
        <f>IFERROR(VLOOKUP($G1243,基本資料!$A:$J,10,0),"無")</f>
        <v>3.44</v>
      </c>
      <c r="X1243" s="36">
        <f>RTD("money.excel",,"3444","Price")</f>
        <v>54.7</v>
      </c>
      <c r="Y1243" s="66"/>
      <c r="Z1243" s="15">
        <f t="shared" si="232"/>
        <v>54.7</v>
      </c>
      <c r="AA1243" s="3" t="e">
        <f t="shared" si="233"/>
        <v>#DIV/0!</v>
      </c>
      <c r="AB1243" s="344">
        <f>IFERROR(VLOOKUP($G1243,基本資料!$A:$M,11,0),"無")</f>
        <v>-27.02</v>
      </c>
      <c r="AC1243" s="397">
        <f>IFERROR(VLOOKUP($G1243,基本資料!$A:$M,12,0),"無")</f>
        <v>68.900000000000006</v>
      </c>
      <c r="AD1243" s="16" t="s">
        <v>817</v>
      </c>
      <c r="AG1243" s="33">
        <f t="shared" si="234"/>
        <v>0</v>
      </c>
      <c r="AH1243" s="43" t="s">
        <v>2653</v>
      </c>
      <c r="AI1243" s="63">
        <f t="shared" si="235"/>
        <v>1.5805626598465475E-2</v>
      </c>
      <c r="AJ1243" s="284">
        <f>RTD("money.excel",,$G1243,"PredictVolume")</f>
        <v>618</v>
      </c>
      <c r="AK1243" s="399">
        <f>IFERROR(VLOOKUP($G1243,基本資料!$A:$M,13,0),"無")</f>
        <v>27.89</v>
      </c>
    </row>
    <row r="1244" spans="1:37">
      <c r="A1244" s="347">
        <f>IFERROR(VLOOKUP($G1244,基本資料!$A:$J,3,0),"無")</f>
        <v>6.61</v>
      </c>
      <c r="B1244" s="79">
        <f>IFERROR(VLOOKUP($G1244,基本資料!$A:$J,4,0),"無")</f>
        <v>43</v>
      </c>
      <c r="C1244" s="79">
        <f>IFERROR(VLOOKUP($G1244,基本資料!$A:$J,5,0),"無")</f>
        <v>63</v>
      </c>
      <c r="D1244" s="79">
        <f>IFERROR(VLOOKUP($G1244,基本資料!$A:$J,6,0),"無")</f>
        <v>36</v>
      </c>
      <c r="E1244" s="79">
        <f>IFERROR(VLOOKUP($G1244,基本資料!$A:$J,7,0),"無")</f>
        <v>3</v>
      </c>
      <c r="F1244" s="6">
        <f>IFERROR(VLOOKUP($G1244,基本資料!$A:$J,8,0),"無")</f>
        <v>5.45</v>
      </c>
      <c r="G1244" s="79">
        <v>3528</v>
      </c>
      <c r="H1244" s="8" t="s">
        <v>3219</v>
      </c>
      <c r="I1244" s="22" t="s">
        <v>836</v>
      </c>
      <c r="J1244" s="8" t="str">
        <f>IFERROR(VLOOKUP($G1244,今日總結!$A:$AJ,35,0),"")</f>
        <v/>
      </c>
      <c r="K1244" s="5" t="str">
        <f>IFERROR(VLOOKUP($G1244,今日總結!$A:$AJ,36,0),"")</f>
        <v/>
      </c>
      <c r="L1244" s="156" t="str">
        <f>IFERROR(VLOOKUP($G1244,今日總結!$A:$AJ,33,0),"")</f>
        <v/>
      </c>
      <c r="M1244" s="340" t="str">
        <f>IFERROR(VLOOKUP($G1244,今日總結!$A:$AJ,34,0),"")</f>
        <v/>
      </c>
      <c r="N1244" s="240" t="str">
        <f t="shared" si="236"/>
        <v/>
      </c>
      <c r="P1244" s="365">
        <f>IFERROR(VLOOKUP($G1244,融外自投!$A:$J,7,0),"無")</f>
        <v>1226</v>
      </c>
      <c r="Q1244" s="79">
        <f>IFERROR(VLOOKUP($G1244,融外自投!$A:$J,9,0),"無")</f>
        <v>978</v>
      </c>
      <c r="R1244" s="346">
        <f>IFERROR(VLOOKUP($G1244,融外自投!$A:$J,8,0),"無")</f>
        <v>976</v>
      </c>
      <c r="S1244" s="81" t="str">
        <f>IFERROR(VLOOKUP($G1244,融外自投!$A:$J,10,0),"無")</f>
        <v>無</v>
      </c>
      <c r="T1244" s="327">
        <f>IFERROR(VLOOKUP($G1244,'321買'!$A:$E,5,0),"'沒有資料'")</f>
        <v>1367</v>
      </c>
      <c r="U1244" s="186">
        <f>IFERROR(VLOOKUP($G1244,基本資料!$A:$J,9,0),"無")</f>
        <v>3.8</v>
      </c>
      <c r="V1244" s="310">
        <f t="shared" si="231"/>
        <v>7.3500967117988383E-2</v>
      </c>
      <c r="W1244" s="94">
        <f>IFERROR(VLOOKUP($G1244,基本資料!$A:$J,10,0),"無")</f>
        <v>4.57</v>
      </c>
      <c r="X1244" s="36">
        <f>RTD("money.excel",,"3528","Price")</f>
        <v>51.7</v>
      </c>
      <c r="Y1244" s="66"/>
      <c r="Z1244" s="15">
        <f t="shared" si="232"/>
        <v>51.7</v>
      </c>
      <c r="AA1244" s="3" t="e">
        <f t="shared" si="233"/>
        <v>#DIV/0!</v>
      </c>
      <c r="AB1244" s="344">
        <f>IFERROR(VLOOKUP($G1244,基本資料!$A:$M,11,0),"無")</f>
        <v>-14.14</v>
      </c>
      <c r="AC1244" s="397">
        <f>IFERROR(VLOOKUP($G1244,基本資料!$A:$M,12,0),"無")</f>
        <v>46.43</v>
      </c>
      <c r="AD1244" s="22" t="s">
        <v>836</v>
      </c>
      <c r="AG1244" s="33">
        <f t="shared" si="234"/>
        <v>0</v>
      </c>
      <c r="AH1244" s="43" t="s">
        <v>2877</v>
      </c>
      <c r="AI1244" s="63">
        <f t="shared" si="235"/>
        <v>3.479576399394856E-4</v>
      </c>
      <c r="AJ1244" s="284">
        <f>RTD("money.excel",,$G1244,"PredictVolume")</f>
        <v>23</v>
      </c>
      <c r="AK1244" s="399">
        <f>IFERROR(VLOOKUP($G1244,基本資料!$A:$M,13,0),"無")</f>
        <v>3.23</v>
      </c>
    </row>
    <row r="1245" spans="1:37">
      <c r="A1245" s="347">
        <f>IFERROR(VLOOKUP($G1245,基本資料!$A:$J,3,0),"無")</f>
        <v>167</v>
      </c>
      <c r="B1245" s="79">
        <f>IFERROR(VLOOKUP($G1245,基本資料!$A:$J,4,0),"無")</f>
        <v>42</v>
      </c>
      <c r="C1245" s="79">
        <f>IFERROR(VLOOKUP($G1245,基本資料!$A:$J,5,0),"無")</f>
        <v>37</v>
      </c>
      <c r="D1245" s="79">
        <f>IFERROR(VLOOKUP($G1245,基本資料!$A:$J,6,0),"無")</f>
        <v>30</v>
      </c>
      <c r="E1245" s="79">
        <f>IFERROR(VLOOKUP($G1245,基本資料!$A:$J,7,0),"無")</f>
        <v>17</v>
      </c>
      <c r="F1245" s="6">
        <f>IFERROR(VLOOKUP($G1245,基本資料!$A:$J,8,0),"無")</f>
        <v>1.77</v>
      </c>
      <c r="G1245" s="79">
        <v>3702</v>
      </c>
      <c r="H1245" s="8" t="s">
        <v>3219</v>
      </c>
      <c r="I1245" s="22" t="s">
        <v>4607</v>
      </c>
      <c r="J1245" s="8" t="str">
        <f>IFERROR(VLOOKUP($G1245,今日總結!$A:$AJ,35,0),"")</f>
        <v>自投</v>
      </c>
      <c r="K1245" s="5">
        <f>IFERROR(VLOOKUP($G1245,今日總結!$A:$AJ,36,0),"")</f>
        <v>0</v>
      </c>
      <c r="L1245" s="156">
        <f>IFERROR(VLOOKUP($G1245,今日總結!$A:$AJ,33,0),"")</f>
        <v>2</v>
      </c>
      <c r="M1245" s="340">
        <f>IFERROR(VLOOKUP($G1245,今日總結!$A:$AJ,34,0),"")</f>
        <v>0</v>
      </c>
      <c r="N1245" s="240">
        <f t="shared" si="236"/>
        <v>2</v>
      </c>
      <c r="P1245" s="365">
        <f>IFERROR(VLOOKUP($G1245,融外自投!$A:$J,7,0),"無")</f>
        <v>1302</v>
      </c>
      <c r="Q1245" s="79">
        <f>IFERROR(VLOOKUP($G1245,融外自投!$A:$J,9,0),"無")</f>
        <v>12</v>
      </c>
      <c r="R1245" s="346">
        <f>IFERROR(VLOOKUP($G1245,融外自投!$A:$J,8,0),"無")</f>
        <v>196</v>
      </c>
      <c r="S1245" s="81">
        <f>IFERROR(VLOOKUP($G1245,融外自投!$A:$J,10,0),"無")</f>
        <v>45</v>
      </c>
      <c r="T1245" s="327">
        <f>IFERROR(VLOOKUP($G1245,'321買'!$A:$E,5,0),"'沒有資料'")</f>
        <v>32</v>
      </c>
      <c r="U1245" s="186">
        <f>IFERROR(VLOOKUP($G1245,基本資料!$A:$J,9,0),"無")</f>
        <v>3.5</v>
      </c>
      <c r="V1245" s="310">
        <f t="shared" si="231"/>
        <v>6.6287878787878785E-2</v>
      </c>
      <c r="W1245" s="94">
        <f>IFERROR(VLOOKUP($G1245,基本資料!$A:$J,10,0),"無")</f>
        <v>6.61</v>
      </c>
      <c r="X1245" s="36">
        <f>RTD("money.excel",,"3702","Price")</f>
        <v>52.8</v>
      </c>
      <c r="Y1245" s="66"/>
      <c r="Z1245" s="15">
        <f t="shared" si="232"/>
        <v>52.8</v>
      </c>
      <c r="AA1245" s="3" t="e">
        <f t="shared" si="233"/>
        <v>#DIV/0!</v>
      </c>
      <c r="AB1245" s="344">
        <f>IFERROR(VLOOKUP($G1245,基本資料!$A:$M,11,0),"無")</f>
        <v>-13.11</v>
      </c>
      <c r="AC1245" s="397">
        <f>IFERROR(VLOOKUP($G1245,基本資料!$A:$M,12,0),"無")</f>
        <v>23.83</v>
      </c>
      <c r="AD1245" s="22" t="s">
        <v>4607</v>
      </c>
      <c r="AG1245" s="33">
        <f t="shared" si="234"/>
        <v>0</v>
      </c>
      <c r="AH1245" s="117" t="s">
        <v>2877</v>
      </c>
      <c r="AI1245" s="63">
        <f t="shared" si="235"/>
        <v>3.1137724550898203E-3</v>
      </c>
      <c r="AJ1245" s="284">
        <f>RTD("money.excel",,$G1245,"PredictVolume")</f>
        <v>5200</v>
      </c>
      <c r="AK1245" s="399">
        <f>IFERROR(VLOOKUP($G1245,基本資料!$A:$M,13,0),"無")</f>
        <v>2.89</v>
      </c>
    </row>
    <row r="1246" spans="1:37">
      <c r="A1246" s="347">
        <f>IFERROR(VLOOKUP($G1246,基本資料!$A:$J,3,0),"無")</f>
        <v>18.16</v>
      </c>
      <c r="B1246" s="79">
        <f>IFERROR(VLOOKUP($G1246,基本資料!$A:$J,4,0),"無")</f>
        <v>11</v>
      </c>
      <c r="C1246" s="79">
        <f>IFERROR(VLOOKUP($G1246,基本資料!$A:$J,5,0),"無")</f>
        <v>23</v>
      </c>
      <c r="D1246" s="79">
        <f>IFERROR(VLOOKUP($G1246,基本資料!$A:$J,6,0),"無")</f>
        <v>26</v>
      </c>
      <c r="E1246" s="79">
        <f>IFERROR(VLOOKUP($G1246,基本資料!$A:$J,7,0),"無")</f>
        <v>32</v>
      </c>
      <c r="F1246" s="6">
        <f>IFERROR(VLOOKUP($G1246,基本資料!$A:$J,8,0),"無")</f>
        <v>5.98</v>
      </c>
      <c r="G1246" s="79">
        <v>5434</v>
      </c>
      <c r="H1246" s="8" t="s">
        <v>3219</v>
      </c>
      <c r="I1246" s="22" t="s">
        <v>4608</v>
      </c>
      <c r="J1246" s="8">
        <f>IFERROR(VLOOKUP($G1246,今日總結!$A:$AJ,35,0),"")</f>
        <v>0</v>
      </c>
      <c r="K1246" s="5" t="str">
        <f>IFERROR(VLOOKUP($G1246,今日總結!$A:$AJ,36,0),"")</f>
        <v>外</v>
      </c>
      <c r="L1246" s="156">
        <f>IFERROR(VLOOKUP($G1246,今日總結!$A:$AJ,33,0),"")</f>
        <v>0</v>
      </c>
      <c r="M1246" s="340">
        <f>IFERROR(VLOOKUP($G1246,今日總結!$A:$AJ,34,0),"")</f>
        <v>1</v>
      </c>
      <c r="N1246" s="240">
        <f t="shared" si="236"/>
        <v>-1</v>
      </c>
      <c r="P1246" s="365">
        <f>IFERROR(VLOOKUP($G1246,融外自投!$A:$J,7,0),"無")</f>
        <v>1146</v>
      </c>
      <c r="Q1246" s="79">
        <f>IFERROR(VLOOKUP($G1246,融外自投!$A:$J,9,0),"無")</f>
        <v>435</v>
      </c>
      <c r="R1246" s="346">
        <f>IFERROR(VLOOKUP($G1246,融外自投!$A:$J,8,0),"無")</f>
        <v>166</v>
      </c>
      <c r="S1246" s="81">
        <f>IFERROR(VLOOKUP($G1246,融外自投!$A:$J,10,0),"無")</f>
        <v>152</v>
      </c>
      <c r="T1246" s="327">
        <f>IFERROR(VLOOKUP($G1246,'321買'!$A:$E,5,0),"'沒有資料'")</f>
        <v>318</v>
      </c>
      <c r="U1246" s="186">
        <f>IFERROR(VLOOKUP($G1246,基本資料!$A:$J,9,0),"無")</f>
        <v>8.8000000000000007</v>
      </c>
      <c r="V1246" s="310">
        <f t="shared" si="231"/>
        <v>5.5172413793103454E-2</v>
      </c>
      <c r="W1246" s="94">
        <f>IFERROR(VLOOKUP($G1246,基本資料!$A:$J,10,0),"無")</f>
        <v>12.63</v>
      </c>
      <c r="X1246" s="36">
        <f>RTD("money.excel",,"5434","Price")</f>
        <v>159.5</v>
      </c>
      <c r="Y1246" s="66"/>
      <c r="Z1246" s="15">
        <f t="shared" si="232"/>
        <v>159.5</v>
      </c>
      <c r="AA1246" s="3" t="e">
        <f t="shared" si="233"/>
        <v>#DIV/0!</v>
      </c>
      <c r="AB1246" s="344">
        <f>IFERROR(VLOOKUP($G1246,基本資料!$A:$M,11,0),"無")</f>
        <v>-12.13</v>
      </c>
      <c r="AC1246" s="397">
        <f>IFERROR(VLOOKUP($G1246,基本資料!$A:$M,12,0),"無")</f>
        <v>22.42</v>
      </c>
      <c r="AD1246" s="22" t="s">
        <v>4608</v>
      </c>
      <c r="AG1246" s="33">
        <f t="shared" si="234"/>
        <v>0</v>
      </c>
      <c r="AH1246" s="117" t="s">
        <v>2881</v>
      </c>
      <c r="AI1246" s="63">
        <f t="shared" si="235"/>
        <v>2.8083700440528635E-3</v>
      </c>
      <c r="AJ1246" s="284">
        <f>RTD("money.excel",,$G1246,"PredictVolume")</f>
        <v>510</v>
      </c>
      <c r="AK1246" s="399">
        <f>IFERROR(VLOOKUP($G1246,基本資料!$A:$M,13,0),"無")</f>
        <v>2.04</v>
      </c>
    </row>
    <row r="1247" spans="1:37">
      <c r="A1247" s="347">
        <f>IFERROR(VLOOKUP($G1247,基本資料!$A:$J,3,0),"無")</f>
        <v>5</v>
      </c>
      <c r="B1247" s="79">
        <f>IFERROR(VLOOKUP($G1247,基本資料!$A:$J,4,0),"無")</f>
        <v>412</v>
      </c>
      <c r="C1247" s="79">
        <f>IFERROR(VLOOKUP($G1247,基本資料!$A:$J,5,0),"無")</f>
        <v>180</v>
      </c>
      <c r="D1247" s="79">
        <f>IFERROR(VLOOKUP($G1247,基本資料!$A:$J,6,0),"無")</f>
        <v>23</v>
      </c>
      <c r="E1247" s="79">
        <f>IFERROR(VLOOKUP($G1247,基本資料!$A:$J,7,0),"無")</f>
        <v>76</v>
      </c>
      <c r="F1247" s="6">
        <f>IFERROR(VLOOKUP($G1247,基本資料!$A:$J,8,0),"無")</f>
        <v>0.88</v>
      </c>
      <c r="G1247" s="79">
        <v>6113</v>
      </c>
      <c r="H1247" s="8" t="s">
        <v>3219</v>
      </c>
      <c r="I1247" s="16" t="s">
        <v>818</v>
      </c>
      <c r="J1247" s="8" t="str">
        <f>IFERROR(VLOOKUP($G1247,今日總結!$A:$AJ,35,0),"")</f>
        <v/>
      </c>
      <c r="K1247" s="5" t="str">
        <f>IFERROR(VLOOKUP($G1247,今日總結!$A:$AJ,36,0),"")</f>
        <v/>
      </c>
      <c r="L1247" s="156" t="str">
        <f>IFERROR(VLOOKUP($G1247,今日總結!$A:$AJ,33,0),"")</f>
        <v/>
      </c>
      <c r="M1247" s="340" t="str">
        <f>IFERROR(VLOOKUP($G1247,今日總結!$A:$AJ,34,0),"")</f>
        <v/>
      </c>
      <c r="N1247" s="240" t="str">
        <f t="shared" si="236"/>
        <v/>
      </c>
      <c r="P1247" s="365">
        <f>IFERROR(VLOOKUP($G1247,融外自投!$A:$J,7,0),"無")</f>
        <v>568</v>
      </c>
      <c r="Q1247" s="79">
        <f>IFERROR(VLOOKUP($G1247,融外自投!$A:$J,9,0),"無")</f>
        <v>447</v>
      </c>
      <c r="R1247" s="346">
        <f>IFERROR(VLOOKUP($G1247,融外自投!$A:$J,8,0),"無")</f>
        <v>1406</v>
      </c>
      <c r="S1247" s="81" t="str">
        <f>IFERROR(VLOOKUP($G1247,融外自投!$A:$J,10,0),"無")</f>
        <v>無</v>
      </c>
      <c r="T1247" s="327" t="str">
        <f>IFERROR(VLOOKUP($G1247,'321買'!$A:$E,5,0),"'沒有資料'")</f>
        <v>'沒有資料'</v>
      </c>
      <c r="U1247" s="186">
        <f>IFERROR(VLOOKUP($G1247,基本資料!$A:$J,9,0),"無")</f>
        <v>0</v>
      </c>
      <c r="V1247" s="310">
        <f t="shared" si="231"/>
        <v>0</v>
      </c>
      <c r="W1247" s="94">
        <f>IFERROR(VLOOKUP($G1247,基本資料!$A:$J,10,0),"無")</f>
        <v>0.85</v>
      </c>
      <c r="X1247" s="36">
        <f>RTD("money.excel",,"6113","Price")</f>
        <v>18.95</v>
      </c>
      <c r="Y1247" s="66"/>
      <c r="Z1247" s="15">
        <f t="shared" si="232"/>
        <v>18.95</v>
      </c>
      <c r="AA1247" s="3" t="e">
        <f t="shared" si="233"/>
        <v>#DIV/0!</v>
      </c>
      <c r="AB1247" s="344">
        <f>IFERROR(VLOOKUP($G1247,基本資料!$A:$M,11,0),"無")</f>
        <v>-1.88</v>
      </c>
      <c r="AC1247" s="397">
        <f>IFERROR(VLOOKUP($G1247,基本資料!$A:$M,12,0),"無")</f>
        <v>72.25</v>
      </c>
      <c r="AD1247" s="16" t="s">
        <v>818</v>
      </c>
      <c r="AG1247" s="33">
        <f t="shared" si="234"/>
        <v>0</v>
      </c>
      <c r="AH1247" s="43" t="s">
        <v>2654</v>
      </c>
      <c r="AI1247" s="63">
        <f t="shared" si="235"/>
        <v>7.528E-2</v>
      </c>
      <c r="AJ1247" s="284">
        <f>RTD("money.excel",,$G1247,"PredictVolume")</f>
        <v>3764</v>
      </c>
      <c r="AK1247" s="399">
        <f>IFERROR(VLOOKUP($G1247,基本資料!$A:$M,13,0),"無")</f>
        <v>11.12</v>
      </c>
    </row>
    <row r="1248" spans="1:37">
      <c r="A1248" s="347">
        <f>IFERROR(VLOOKUP($G1248,基本資料!$A:$J,3,0),"無")</f>
        <v>9.08</v>
      </c>
      <c r="B1248" s="79">
        <f>IFERROR(VLOOKUP($G1248,基本資料!$A:$J,4,0),"無")</f>
        <v>50</v>
      </c>
      <c r="C1248" s="79">
        <f>IFERROR(VLOOKUP($G1248,基本資料!$A:$J,5,0),"無")</f>
        <v>37</v>
      </c>
      <c r="D1248" s="79">
        <f>IFERROR(VLOOKUP($G1248,基本資料!$A:$J,6,0),"無")</f>
        <v>13</v>
      </c>
      <c r="E1248" s="79">
        <f>IFERROR(VLOOKUP($G1248,基本資料!$A:$J,7,0),"無")</f>
        <v>13</v>
      </c>
      <c r="F1248" s="6">
        <f>IFERROR(VLOOKUP($G1248,基本資料!$A:$J,8,0),"無")</f>
        <v>0.46</v>
      </c>
      <c r="G1248" s="79">
        <v>6118</v>
      </c>
      <c r="H1248" s="8" t="s">
        <v>3219</v>
      </c>
      <c r="I1248" s="16" t="s">
        <v>819</v>
      </c>
      <c r="J1248" s="8" t="str">
        <f>IFERROR(VLOOKUP($G1248,今日總結!$A:$AJ,35,0),"")</f>
        <v/>
      </c>
      <c r="K1248" s="5" t="str">
        <f>IFERROR(VLOOKUP($G1248,今日總結!$A:$AJ,36,0),"")</f>
        <v/>
      </c>
      <c r="L1248" s="156" t="str">
        <f>IFERROR(VLOOKUP($G1248,今日總結!$A:$AJ,33,0),"")</f>
        <v/>
      </c>
      <c r="M1248" s="340" t="str">
        <f>IFERROR(VLOOKUP($G1248,今日總結!$A:$AJ,34,0),"")</f>
        <v/>
      </c>
      <c r="N1248" s="240" t="str">
        <f t="shared" si="236"/>
        <v/>
      </c>
      <c r="P1248" s="365">
        <f>IFERROR(VLOOKUP($G1248,融外自投!$A:$J,7,0),"無")</f>
        <v>474</v>
      </c>
      <c r="Q1248" s="79">
        <f>IFERROR(VLOOKUP($G1248,融外自投!$A:$J,9,0),"無")</f>
        <v>155</v>
      </c>
      <c r="R1248" s="346">
        <f>IFERROR(VLOOKUP($G1248,融外自投!$A:$J,8,0),"無")</f>
        <v>1084</v>
      </c>
      <c r="S1248" s="81" t="str">
        <f>IFERROR(VLOOKUP($G1248,融外自投!$A:$J,10,0),"無")</f>
        <v>無</v>
      </c>
      <c r="T1248" s="327">
        <f>IFERROR(VLOOKUP($G1248,'321買'!$A:$E,5,0),"'沒有資料'")</f>
        <v>357</v>
      </c>
      <c r="U1248" s="186">
        <f>IFERROR(VLOOKUP($G1248,基本資料!$A:$J,9,0),"無")</f>
        <v>0.3</v>
      </c>
      <c r="V1248" s="310">
        <f t="shared" si="231"/>
        <v>1.1472275334608031E-2</v>
      </c>
      <c r="W1248" s="94">
        <f>IFERROR(VLOOKUP($G1248,基本資料!$A:$J,10,0),"無")</f>
        <v>0.6</v>
      </c>
      <c r="X1248" s="36">
        <f>RTD("money.excel",,"6118","Price")</f>
        <v>26.15</v>
      </c>
      <c r="Y1248" s="66"/>
      <c r="Z1248" s="15">
        <f t="shared" si="232"/>
        <v>26.15</v>
      </c>
      <c r="AA1248" s="3" t="e">
        <f t="shared" si="233"/>
        <v>#DIV/0!</v>
      </c>
      <c r="AB1248" s="344">
        <f>IFERROR(VLOOKUP($G1248,基本資料!$A:$M,11,0),"無")</f>
        <v>-48.45</v>
      </c>
      <c r="AC1248" s="397">
        <f>IFERROR(VLOOKUP($G1248,基本資料!$A:$M,12,0),"無")</f>
        <v>21.79</v>
      </c>
      <c r="AD1248" s="16" t="s">
        <v>819</v>
      </c>
      <c r="AG1248" s="33">
        <f t="shared" si="234"/>
        <v>0</v>
      </c>
      <c r="AH1248" s="43" t="s">
        <v>2332</v>
      </c>
      <c r="AI1248" s="63">
        <f t="shared" si="235"/>
        <v>6.4537444933920702E-3</v>
      </c>
      <c r="AJ1248" s="284">
        <f>RTD("money.excel",,$G1248,"PredictVolume")</f>
        <v>586</v>
      </c>
      <c r="AK1248" s="399">
        <f>IFERROR(VLOOKUP($G1248,基本資料!$A:$M,13,0),"無")</f>
        <v>58.17</v>
      </c>
    </row>
    <row r="1249" spans="1:37">
      <c r="A1249" s="347">
        <f>IFERROR(VLOOKUP($G1249,基本資料!$A:$J,3,0),"無")</f>
        <v>8</v>
      </c>
      <c r="B1249" s="79">
        <f>IFERROR(VLOOKUP($G1249,基本資料!$A:$J,4,0),"無")</f>
        <v>214</v>
      </c>
      <c r="C1249" s="79">
        <f>IFERROR(VLOOKUP($G1249,基本資料!$A:$J,5,0),"無")</f>
        <v>195</v>
      </c>
      <c r="D1249" s="79">
        <f>IFERROR(VLOOKUP($G1249,基本資料!$A:$J,6,0),"無")</f>
        <v>0</v>
      </c>
      <c r="E1249" s="79">
        <f>IFERROR(VLOOKUP($G1249,基本資料!$A:$J,7,0),"無")</f>
        <v>11</v>
      </c>
      <c r="F1249" s="6">
        <f>IFERROR(VLOOKUP($G1249,基本資料!$A:$J,8,0),"無")</f>
        <v>3.44</v>
      </c>
      <c r="G1249" s="79">
        <v>6154</v>
      </c>
      <c r="H1249" s="8" t="s">
        <v>3219</v>
      </c>
      <c r="I1249" s="16" t="s">
        <v>820</v>
      </c>
      <c r="J1249" s="8" t="str">
        <f>IFERROR(VLOOKUP($G1249,今日總結!$A:$AJ,35,0),"")</f>
        <v/>
      </c>
      <c r="K1249" s="5" t="str">
        <f>IFERROR(VLOOKUP($G1249,今日總結!$A:$AJ,36,0),"")</f>
        <v/>
      </c>
      <c r="L1249" s="156" t="str">
        <f>IFERROR(VLOOKUP($G1249,今日總結!$A:$AJ,33,0),"")</f>
        <v/>
      </c>
      <c r="M1249" s="340" t="str">
        <f>IFERROR(VLOOKUP($G1249,今日總結!$A:$AJ,34,0),"")</f>
        <v/>
      </c>
      <c r="N1249" s="240" t="str">
        <f t="shared" si="236"/>
        <v/>
      </c>
      <c r="P1249" s="365">
        <f>IFERROR(VLOOKUP($G1249,融外自投!$A:$J,7,0),"無")</f>
        <v>1021</v>
      </c>
      <c r="Q1249" s="79" t="str">
        <f>IFERROR(VLOOKUP($G1249,融外自投!$A:$J,9,0),"無")</f>
        <v>無</v>
      </c>
      <c r="R1249" s="346">
        <f>IFERROR(VLOOKUP($G1249,融外自投!$A:$J,8,0),"無")</f>
        <v>1197</v>
      </c>
      <c r="S1249" s="81" t="str">
        <f>IFERROR(VLOOKUP($G1249,融外自投!$A:$J,10,0),"無")</f>
        <v>無</v>
      </c>
      <c r="T1249" s="327">
        <f>IFERROR(VLOOKUP($G1249,'321買'!$A:$E,5,0),"'沒有資料'")</f>
        <v>984</v>
      </c>
      <c r="U1249" s="186">
        <f>IFERROR(VLOOKUP($G1249,基本資料!$A:$J,9,0),"無")</f>
        <v>1.2</v>
      </c>
      <c r="V1249" s="310">
        <f t="shared" si="231"/>
        <v>6.9164265129682989E-2</v>
      </c>
      <c r="W1249" s="94">
        <f>IFERROR(VLOOKUP($G1249,基本資料!$A:$J,10,0),"無")</f>
        <v>1.76</v>
      </c>
      <c r="X1249" s="36">
        <f>RTD("money.excel",,"6154","Price")</f>
        <v>17.350000000000001</v>
      </c>
      <c r="Y1249" s="66"/>
      <c r="Z1249" s="15">
        <f t="shared" si="232"/>
        <v>17.350000000000001</v>
      </c>
      <c r="AA1249" s="3" t="e">
        <f t="shared" si="233"/>
        <v>#DIV/0!</v>
      </c>
      <c r="AB1249" s="344">
        <f>IFERROR(VLOOKUP($G1249,基本資料!$A:$M,11,0),"無")</f>
        <v>-27.37</v>
      </c>
      <c r="AC1249" s="397">
        <f>IFERROR(VLOOKUP($G1249,基本資料!$A:$M,12,0),"無")</f>
        <v>37.18</v>
      </c>
      <c r="AD1249" s="16" t="s">
        <v>820</v>
      </c>
      <c r="AG1249" s="33">
        <f t="shared" si="234"/>
        <v>0</v>
      </c>
      <c r="AH1249" s="43" t="s">
        <v>2655</v>
      </c>
      <c r="AI1249" s="63">
        <f t="shared" si="235"/>
        <v>2.2499999999999999E-4</v>
      </c>
      <c r="AJ1249" s="284">
        <f>RTD("money.excel",,$G1249,"PredictVolume")</f>
        <v>18</v>
      </c>
      <c r="AK1249" s="399">
        <f>IFERROR(VLOOKUP($G1249,基本資料!$A:$M,13,0),"無")</f>
        <v>10.38</v>
      </c>
    </row>
    <row r="1250" spans="1:37">
      <c r="A1250" s="347">
        <f>IFERROR(VLOOKUP($G1250,基本資料!$A:$J,3,0),"無")</f>
        <v>19.82</v>
      </c>
      <c r="B1250" s="79">
        <f>IFERROR(VLOOKUP($G1250,基本資料!$A:$J,4,0),"無")</f>
        <v>40</v>
      </c>
      <c r="C1250" s="79">
        <f>IFERROR(VLOOKUP($G1250,基本資料!$A:$J,5,0),"無")</f>
        <v>19</v>
      </c>
      <c r="D1250" s="79">
        <f>IFERROR(VLOOKUP($G1250,基本資料!$A:$J,6,0),"無")</f>
        <v>-18</v>
      </c>
      <c r="E1250" s="79">
        <f>IFERROR(VLOOKUP($G1250,基本資料!$A:$J,7,0),"無")</f>
        <v>-9</v>
      </c>
      <c r="F1250" s="6">
        <f>IFERROR(VLOOKUP($G1250,基本資料!$A:$J,8,0),"無")</f>
        <v>3.8</v>
      </c>
      <c r="G1250" s="79">
        <v>6189</v>
      </c>
      <c r="H1250" s="8" t="s">
        <v>3219</v>
      </c>
      <c r="I1250" s="22" t="s">
        <v>837</v>
      </c>
      <c r="J1250" s="8">
        <f>IFERROR(VLOOKUP($G1250,今日總結!$A:$AJ,35,0),"")</f>
        <v>0</v>
      </c>
      <c r="K1250" s="5" t="str">
        <f>IFERROR(VLOOKUP($G1250,今日總結!$A:$AJ,36,0),"")</f>
        <v>外</v>
      </c>
      <c r="L1250" s="156">
        <f>IFERROR(VLOOKUP($G1250,今日總結!$A:$AJ,33,0),"")</f>
        <v>0</v>
      </c>
      <c r="M1250" s="340">
        <f>IFERROR(VLOOKUP($G1250,今日總結!$A:$AJ,34,0),"")</f>
        <v>2</v>
      </c>
      <c r="N1250" s="240">
        <f t="shared" si="236"/>
        <v>-2</v>
      </c>
      <c r="P1250" s="365">
        <f>IFERROR(VLOOKUP($G1250,融外自投!$A:$J,7,0),"無")</f>
        <v>1374</v>
      </c>
      <c r="Q1250" s="79" t="str">
        <f>IFERROR(VLOOKUP($G1250,融外自投!$A:$J,9,0),"無")</f>
        <v>無</v>
      </c>
      <c r="R1250" s="346">
        <f>IFERROR(VLOOKUP($G1250,融外自投!$A:$J,8,0),"無")</f>
        <v>621</v>
      </c>
      <c r="S1250" s="81" t="str">
        <f>IFERROR(VLOOKUP($G1250,融外自投!$A:$J,10,0),"無")</f>
        <v>無</v>
      </c>
      <c r="T1250" s="327">
        <f>IFERROR(VLOOKUP($G1250,'321買'!$A:$E,5,0),"'沒有資料'")</f>
        <v>584</v>
      </c>
      <c r="U1250" s="186">
        <f>IFERROR(VLOOKUP($G1250,基本資料!$A:$J,9,0),"無")</f>
        <v>3.78</v>
      </c>
      <c r="V1250" s="310">
        <f t="shared" si="231"/>
        <v>9.021479713603818E-2</v>
      </c>
      <c r="W1250" s="94">
        <f>IFERROR(VLOOKUP($G1250,基本資料!$A:$J,10,0),"無")</f>
        <v>4.3099999999999996</v>
      </c>
      <c r="X1250" s="36">
        <f>RTD("money.excel",,"6189","Price")</f>
        <v>41.9</v>
      </c>
      <c r="Y1250" s="66"/>
      <c r="Z1250" s="15">
        <f t="shared" si="232"/>
        <v>41.9</v>
      </c>
      <c r="AA1250" s="3" t="e">
        <f t="shared" si="233"/>
        <v>#DIV/0!</v>
      </c>
      <c r="AB1250" s="344">
        <f>IFERROR(VLOOKUP($G1250,基本資料!$A:$M,11,0),"無")</f>
        <v>-6.72</v>
      </c>
      <c r="AC1250" s="397">
        <f>IFERROR(VLOOKUP($G1250,基本資料!$A:$M,12,0),"無")</f>
        <v>25.34</v>
      </c>
      <c r="AD1250" s="22" t="s">
        <v>837</v>
      </c>
      <c r="AG1250" s="33">
        <f t="shared" si="234"/>
        <v>0</v>
      </c>
      <c r="AH1250" s="43" t="s">
        <v>2876</v>
      </c>
      <c r="AI1250" s="63">
        <f t="shared" si="235"/>
        <v>1.9021190716448032E-3</v>
      </c>
      <c r="AJ1250" s="284">
        <f>RTD("money.excel",,$G1250,"PredictVolume")</f>
        <v>377</v>
      </c>
      <c r="AK1250" s="399">
        <f>IFERROR(VLOOKUP($G1250,基本資料!$A:$M,13,0),"無")</f>
        <v>1.27</v>
      </c>
    </row>
    <row r="1251" spans="1:37">
      <c r="A1251" s="347">
        <f>IFERROR(VLOOKUP($G1251,基本資料!$A:$J,3,0),"無")</f>
        <v>7.61</v>
      </c>
      <c r="B1251" s="79">
        <f>IFERROR(VLOOKUP($G1251,基本資料!$A:$J,4,0),"無")</f>
        <v>112</v>
      </c>
      <c r="C1251" s="79">
        <f>IFERROR(VLOOKUP($G1251,基本資料!$A:$J,5,0),"無")</f>
        <v>113</v>
      </c>
      <c r="D1251" s="79">
        <f>IFERROR(VLOOKUP($G1251,基本資料!$A:$J,6,0),"無")</f>
        <v>-7</v>
      </c>
      <c r="E1251" s="79">
        <f>IFERROR(VLOOKUP($G1251,基本資料!$A:$J,7,0),"無")</f>
        <v>-18</v>
      </c>
      <c r="F1251" s="6">
        <f>IFERROR(VLOOKUP($G1251,基本資料!$A:$J,8,0),"無")</f>
        <v>3.73</v>
      </c>
      <c r="G1251" s="79">
        <v>6227</v>
      </c>
      <c r="H1251" s="8" t="s">
        <v>3219</v>
      </c>
      <c r="I1251" s="16" t="s">
        <v>821</v>
      </c>
      <c r="J1251" s="8">
        <f>IFERROR(VLOOKUP($G1251,今日總結!$A:$AJ,35,0),"")</f>
        <v>0</v>
      </c>
      <c r="K1251" s="5" t="str">
        <f>IFERROR(VLOOKUP($G1251,今日總結!$A:$AJ,36,0),"")</f>
        <v>融外</v>
      </c>
      <c r="L1251" s="156">
        <f>IFERROR(VLOOKUP($G1251,今日總結!$A:$AJ,33,0),"")</f>
        <v>0</v>
      </c>
      <c r="M1251" s="340">
        <f>IFERROR(VLOOKUP($G1251,今日總結!$A:$AJ,34,0),"")</f>
        <v>3</v>
      </c>
      <c r="N1251" s="240">
        <f t="shared" si="236"/>
        <v>-3</v>
      </c>
      <c r="P1251" s="365">
        <f>IFERROR(VLOOKUP($G1251,融外自投!$A:$J,7,0),"無")</f>
        <v>757</v>
      </c>
      <c r="Q1251" s="79" t="str">
        <f>IFERROR(VLOOKUP($G1251,融外自投!$A:$J,9,0),"無")</f>
        <v>無</v>
      </c>
      <c r="R1251" s="346">
        <f>IFERROR(VLOOKUP($G1251,融外自投!$A:$J,8,0),"無")</f>
        <v>905</v>
      </c>
      <c r="S1251" s="81" t="str">
        <f>IFERROR(VLOOKUP($G1251,融外自投!$A:$J,10,0),"無")</f>
        <v>無</v>
      </c>
      <c r="T1251" s="327">
        <f>IFERROR(VLOOKUP($G1251,'321買'!$A:$E,5,0),"'沒有資料'")</f>
        <v>1038</v>
      </c>
      <c r="U1251" s="186">
        <f>IFERROR(VLOOKUP($G1251,基本資料!$A:$J,9,0),"無")</f>
        <v>3.35</v>
      </c>
      <c r="V1251" s="310">
        <f t="shared" si="231"/>
        <v>9.0785907859078599E-2</v>
      </c>
      <c r="W1251" s="94">
        <f>IFERROR(VLOOKUP($G1251,基本資料!$A:$J,10,0),"無")</f>
        <v>5.56</v>
      </c>
      <c r="X1251" s="36">
        <f>RTD("money.excel",,"6227","Price")</f>
        <v>36.9</v>
      </c>
      <c r="Y1251" s="66"/>
      <c r="Z1251" s="15">
        <f t="shared" si="232"/>
        <v>36.9</v>
      </c>
      <c r="AA1251" s="3" t="e">
        <f t="shared" si="233"/>
        <v>#DIV/0!</v>
      </c>
      <c r="AB1251" s="344">
        <f>IFERROR(VLOOKUP($G1251,基本資料!$A:$M,11,0),"無")</f>
        <v>-21.56</v>
      </c>
      <c r="AC1251" s="397">
        <f>IFERROR(VLOOKUP($G1251,基本資料!$A:$M,12,0),"無")</f>
        <v>31.68</v>
      </c>
      <c r="AD1251" s="16" t="s">
        <v>821</v>
      </c>
      <c r="AG1251" s="33">
        <f t="shared" si="234"/>
        <v>0</v>
      </c>
      <c r="AH1251" s="43" t="s">
        <v>2652</v>
      </c>
      <c r="AI1251" s="63">
        <f t="shared" si="235"/>
        <v>7.7792378449408669E-3</v>
      </c>
      <c r="AJ1251" s="284">
        <f>RTD("money.excel",,$G1251,"PredictVolume")</f>
        <v>592</v>
      </c>
      <c r="AK1251" s="399">
        <f>IFERROR(VLOOKUP($G1251,基本資料!$A:$M,13,0),"無")</f>
        <v>13.07</v>
      </c>
    </row>
    <row r="1252" spans="1:37">
      <c r="A1252" s="347">
        <f>IFERROR(VLOOKUP($G1252,基本資料!$A:$J,3,0),"無")</f>
        <v>11.81</v>
      </c>
      <c r="B1252" s="79">
        <f>IFERROR(VLOOKUP($G1252,基本資料!$A:$J,4,0),"無")</f>
        <v>358</v>
      </c>
      <c r="C1252" s="79">
        <f>IFERROR(VLOOKUP($G1252,基本資料!$A:$J,5,0),"無")</f>
        <v>315</v>
      </c>
      <c r="D1252" s="79">
        <f>IFERROR(VLOOKUP($G1252,基本資料!$A:$J,6,0),"無")</f>
        <v>40</v>
      </c>
      <c r="E1252" s="79">
        <f>IFERROR(VLOOKUP($G1252,基本資料!$A:$J,7,0),"無")</f>
        <v>40</v>
      </c>
      <c r="F1252" s="6">
        <f>IFERROR(VLOOKUP($G1252,基本資料!$A:$J,8,0),"無")</f>
        <v>4.5</v>
      </c>
      <c r="G1252" s="79">
        <v>6265</v>
      </c>
      <c r="H1252" s="8" t="s">
        <v>3219</v>
      </c>
      <c r="I1252" s="16" t="s">
        <v>822</v>
      </c>
      <c r="J1252" s="8" t="str">
        <f>IFERROR(VLOOKUP($G1252,今日總結!$A:$AJ,35,0),"")</f>
        <v/>
      </c>
      <c r="K1252" s="5" t="str">
        <f>IFERROR(VLOOKUP($G1252,今日總結!$A:$AJ,36,0),"")</f>
        <v/>
      </c>
      <c r="L1252" s="156" t="str">
        <f>IFERROR(VLOOKUP($G1252,今日總結!$A:$AJ,33,0),"")</f>
        <v/>
      </c>
      <c r="M1252" s="340" t="str">
        <f>IFERROR(VLOOKUP($G1252,今日總結!$A:$AJ,34,0),"")</f>
        <v/>
      </c>
      <c r="N1252" s="240" t="str">
        <f t="shared" si="236"/>
        <v/>
      </c>
      <c r="P1252" s="365">
        <f>IFERROR(VLOOKUP($G1252,融外自投!$A:$J,7,0),"無")</f>
        <v>255</v>
      </c>
      <c r="Q1252" s="79">
        <f>IFERROR(VLOOKUP($G1252,融外自投!$A:$J,9,0),"無")</f>
        <v>370</v>
      </c>
      <c r="R1252" s="346">
        <f>IFERROR(VLOOKUP($G1252,融外自投!$A:$J,8,0),"無")</f>
        <v>814</v>
      </c>
      <c r="S1252" s="81" t="str">
        <f>IFERROR(VLOOKUP($G1252,融外自投!$A:$J,10,0),"無")</f>
        <v>無</v>
      </c>
      <c r="T1252" s="327">
        <f>IFERROR(VLOOKUP($G1252,'321買'!$A:$E,5,0),"'沒有資料'")</f>
        <v>664</v>
      </c>
      <c r="U1252" s="186">
        <f>IFERROR(VLOOKUP($G1252,基本資料!$A:$J,9,0),"無")</f>
        <v>0</v>
      </c>
      <c r="V1252" s="310">
        <f t="shared" si="231"/>
        <v>0</v>
      </c>
      <c r="W1252" s="94">
        <f>IFERROR(VLOOKUP($G1252,基本資料!$A:$J,10,0),"無")</f>
        <v>0.64</v>
      </c>
      <c r="X1252" s="36">
        <f>RTD("money.excel",,"6265","Price")</f>
        <v>10.35</v>
      </c>
      <c r="Y1252" s="66"/>
      <c r="Z1252" s="15">
        <f t="shared" si="232"/>
        <v>10.35</v>
      </c>
      <c r="AA1252" s="3" t="e">
        <f t="shared" si="233"/>
        <v>#DIV/0!</v>
      </c>
      <c r="AB1252" s="344">
        <f>IFERROR(VLOOKUP($G1252,基本資料!$A:$M,11,0),"無")</f>
        <v>-49.88</v>
      </c>
      <c r="AC1252" s="397">
        <f>IFERROR(VLOOKUP($G1252,基本資料!$A:$M,12,0),"無")</f>
        <v>12.69</v>
      </c>
      <c r="AD1252" s="16" t="s">
        <v>822</v>
      </c>
      <c r="AG1252" s="33">
        <f t="shared" si="234"/>
        <v>0</v>
      </c>
      <c r="AH1252" s="43" t="s">
        <v>2652</v>
      </c>
      <c r="AI1252" s="63">
        <f t="shared" si="235"/>
        <v>3.1329381879762913E-3</v>
      </c>
      <c r="AJ1252" s="284">
        <f>RTD("money.excel",,$G1252,"PredictVolume")</f>
        <v>370</v>
      </c>
      <c r="AK1252" s="399">
        <f>IFERROR(VLOOKUP($G1252,基本資料!$A:$M,13,0),"無")</f>
        <v>37.74</v>
      </c>
    </row>
    <row r="1253" spans="1:37">
      <c r="A1253" s="347">
        <f>IFERROR(VLOOKUP($G1253,基本資料!$A:$J,3,0),"無")</f>
        <v>7.21</v>
      </c>
      <c r="B1253" s="79">
        <f>IFERROR(VLOOKUP($G1253,基本資料!$A:$J,4,0),"無")</f>
        <v>84</v>
      </c>
      <c r="C1253" s="79">
        <f>IFERROR(VLOOKUP($G1253,基本資料!$A:$J,5,0),"無")</f>
        <v>61</v>
      </c>
      <c r="D1253" s="79">
        <f>IFERROR(VLOOKUP($G1253,基本資料!$A:$J,6,0),"無")</f>
        <v>-25</v>
      </c>
      <c r="E1253" s="79">
        <f>IFERROR(VLOOKUP($G1253,基本資料!$A:$J,7,0),"無")</f>
        <v>4</v>
      </c>
      <c r="F1253" s="6">
        <f>IFERROR(VLOOKUP($G1253,基本資料!$A:$J,8,0),"無")</f>
        <v>3.78</v>
      </c>
      <c r="G1253" s="79">
        <v>6270</v>
      </c>
      <c r="H1253" s="8" t="s">
        <v>3219</v>
      </c>
      <c r="I1253" s="16" t="s">
        <v>823</v>
      </c>
      <c r="J1253" s="8" t="str">
        <f>IFERROR(VLOOKUP($G1253,今日總結!$A:$AJ,35,0),"")</f>
        <v/>
      </c>
      <c r="K1253" s="5" t="str">
        <f>IFERROR(VLOOKUP($G1253,今日總結!$A:$AJ,36,0),"")</f>
        <v/>
      </c>
      <c r="L1253" s="156" t="str">
        <f>IFERROR(VLOOKUP($G1253,今日總結!$A:$AJ,33,0),"")</f>
        <v/>
      </c>
      <c r="M1253" s="340" t="str">
        <f>IFERROR(VLOOKUP($G1253,今日總結!$A:$AJ,34,0),"")</f>
        <v/>
      </c>
      <c r="N1253" s="240" t="str">
        <f t="shared" si="236"/>
        <v/>
      </c>
      <c r="P1253" s="365">
        <f>IFERROR(VLOOKUP($G1253,融外自投!$A:$J,7,0),"無")</f>
        <v>893</v>
      </c>
      <c r="Q1253" s="79">
        <f>IFERROR(VLOOKUP($G1253,融外自投!$A:$J,9,0),"無")</f>
        <v>1110</v>
      </c>
      <c r="R1253" s="346">
        <f>IFERROR(VLOOKUP($G1253,融外自投!$A:$J,8,0),"無")</f>
        <v>967</v>
      </c>
      <c r="S1253" s="81" t="str">
        <f>IFERROR(VLOOKUP($G1253,融外自投!$A:$J,10,0),"無")</f>
        <v>無</v>
      </c>
      <c r="T1253" s="327">
        <f>IFERROR(VLOOKUP($G1253,'321買'!$A:$E,5,0),"'沒有資料'")</f>
        <v>869</v>
      </c>
      <c r="U1253" s="186">
        <f>IFERROR(VLOOKUP($G1253,基本資料!$A:$J,9,0),"無")</f>
        <v>2</v>
      </c>
      <c r="V1253" s="310">
        <f t="shared" si="231"/>
        <v>8.1632653061224483E-2</v>
      </c>
      <c r="W1253" s="94">
        <f>IFERROR(VLOOKUP($G1253,基本資料!$A:$J,10,0),"無")</f>
        <v>2.36</v>
      </c>
      <c r="X1253" s="36">
        <f>RTD("money.excel",,"6270","Price")</f>
        <v>24.5</v>
      </c>
      <c r="Y1253" s="66"/>
      <c r="Z1253" s="15">
        <f t="shared" si="232"/>
        <v>24.5</v>
      </c>
      <c r="AA1253" s="3" t="e">
        <f t="shared" si="233"/>
        <v>#DIV/0!</v>
      </c>
      <c r="AB1253" s="344">
        <f>IFERROR(VLOOKUP($G1253,基本資料!$A:$M,11,0),"無")</f>
        <v>-7.33</v>
      </c>
      <c r="AC1253" s="397">
        <f>IFERROR(VLOOKUP($G1253,基本資料!$A:$M,12,0),"無")</f>
        <v>57.34</v>
      </c>
      <c r="AD1253" s="16" t="s">
        <v>823</v>
      </c>
      <c r="AG1253" s="33">
        <f t="shared" si="234"/>
        <v>0</v>
      </c>
      <c r="AH1253" s="43" t="s">
        <v>2656</v>
      </c>
      <c r="AI1253" s="63">
        <f t="shared" si="235"/>
        <v>2.0527045769764217E-3</v>
      </c>
      <c r="AJ1253" s="284">
        <f>RTD("money.excel",,$G1253,"PredictVolume")</f>
        <v>148</v>
      </c>
      <c r="AK1253" s="399">
        <f>IFERROR(VLOOKUP($G1253,基本資料!$A:$M,13,0),"無")</f>
        <v>17.760000000000002</v>
      </c>
    </row>
    <row r="1254" spans="1:37">
      <c r="A1254" s="347">
        <f>IFERROR(VLOOKUP($G1254,基本資料!$A:$J,3,0),"無")</f>
        <v>9.91</v>
      </c>
      <c r="B1254" s="79">
        <f>IFERROR(VLOOKUP($G1254,基本資料!$A:$J,4,0),"無")</f>
        <v>3</v>
      </c>
      <c r="C1254" s="79">
        <f>IFERROR(VLOOKUP($G1254,基本資料!$A:$J,5,0),"無")</f>
        <v>2</v>
      </c>
      <c r="D1254" s="79">
        <f>IFERROR(VLOOKUP($G1254,基本資料!$A:$J,6,0),"無")</f>
        <v>28</v>
      </c>
      <c r="E1254" s="79">
        <f>IFERROR(VLOOKUP($G1254,基本資料!$A:$J,7,0),"無")</f>
        <v>19</v>
      </c>
      <c r="F1254" s="6">
        <f>IFERROR(VLOOKUP($G1254,基本資料!$A:$J,8,0),"無")</f>
        <v>3.64</v>
      </c>
      <c r="G1254" s="79">
        <v>6281</v>
      </c>
      <c r="H1254" s="8" t="s">
        <v>3219</v>
      </c>
      <c r="I1254" s="22" t="s">
        <v>838</v>
      </c>
      <c r="J1254" s="8" t="str">
        <f>IFERROR(VLOOKUP($G1254,今日總結!$A:$AJ,35,0),"")</f>
        <v/>
      </c>
      <c r="K1254" s="5" t="str">
        <f>IFERROR(VLOOKUP($G1254,今日總結!$A:$AJ,36,0),"")</f>
        <v/>
      </c>
      <c r="L1254" s="156" t="str">
        <f>IFERROR(VLOOKUP($G1254,今日總結!$A:$AJ,33,0),"")</f>
        <v/>
      </c>
      <c r="M1254" s="340" t="str">
        <f>IFERROR(VLOOKUP($G1254,今日總結!$A:$AJ,34,0),"")</f>
        <v/>
      </c>
      <c r="N1254" s="240" t="str">
        <f t="shared" si="236"/>
        <v/>
      </c>
      <c r="P1254" s="365">
        <f>IFERROR(VLOOKUP($G1254,融外自投!$A:$J,7,0),"無")</f>
        <v>1460</v>
      </c>
      <c r="Q1254" s="79">
        <f>IFERROR(VLOOKUP($G1254,融外自投!$A:$J,9,0),"無")</f>
        <v>308</v>
      </c>
      <c r="R1254" s="346">
        <f>IFERROR(VLOOKUP($G1254,融外自投!$A:$J,8,0),"無")</f>
        <v>1044</v>
      </c>
      <c r="S1254" s="81" t="str">
        <f>IFERROR(VLOOKUP($G1254,融外自投!$A:$J,10,0),"無")</f>
        <v>無</v>
      </c>
      <c r="T1254" s="327">
        <f>IFERROR(VLOOKUP($G1254,'321買'!$A:$E,5,0),"'沒有資料'")</f>
        <v>1310</v>
      </c>
      <c r="U1254" s="186">
        <f>IFERROR(VLOOKUP($G1254,基本資料!$A:$J,9,0),"無")</f>
        <v>5</v>
      </c>
      <c r="V1254" s="310">
        <f t="shared" si="231"/>
        <v>5.8479532163742687E-2</v>
      </c>
      <c r="W1254" s="94">
        <f>IFERROR(VLOOKUP($G1254,基本資料!$A:$J,10,0),"無")</f>
        <v>6.05</v>
      </c>
      <c r="X1254" s="36">
        <f>RTD("money.excel",,"6281","Price")</f>
        <v>85.5</v>
      </c>
      <c r="Y1254" s="66"/>
      <c r="Z1254" s="15">
        <f t="shared" si="232"/>
        <v>85.5</v>
      </c>
      <c r="AA1254" s="3" t="e">
        <f t="shared" si="233"/>
        <v>#DIV/0!</v>
      </c>
      <c r="AB1254" s="344">
        <f>IFERROR(VLOOKUP($G1254,基本資料!$A:$M,11,0),"無")</f>
        <v>-2.17</v>
      </c>
      <c r="AC1254" s="397">
        <f>IFERROR(VLOOKUP($G1254,基本資料!$A:$M,12,0),"無")</f>
        <v>61.52</v>
      </c>
      <c r="AD1254" s="22" t="s">
        <v>838</v>
      </c>
      <c r="AG1254" s="33">
        <f t="shared" si="234"/>
        <v>0</v>
      </c>
      <c r="AH1254" s="43" t="s">
        <v>2882</v>
      </c>
      <c r="AI1254" s="63">
        <f t="shared" si="235"/>
        <v>1.2108980827447023E-4</v>
      </c>
      <c r="AJ1254" s="284">
        <f>RTD("money.excel",,$G1254,"PredictVolume")</f>
        <v>12</v>
      </c>
      <c r="AK1254" s="399">
        <f>IFERROR(VLOOKUP($G1254,基本資料!$A:$M,13,0),"無")</f>
        <v>0.35</v>
      </c>
    </row>
    <row r="1255" spans="1:37">
      <c r="A1255" s="347">
        <f>IFERROR(VLOOKUP($G1255,基本資料!$A:$J,3,0),"無")</f>
        <v>8.15</v>
      </c>
      <c r="B1255" s="79">
        <f>IFERROR(VLOOKUP($G1255,基本資料!$A:$J,4,0),"無")</f>
        <v>85</v>
      </c>
      <c r="C1255" s="79">
        <f>IFERROR(VLOOKUP($G1255,基本資料!$A:$J,5,0),"無")</f>
        <v>79</v>
      </c>
      <c r="D1255" s="79">
        <f>IFERROR(VLOOKUP($G1255,基本資料!$A:$J,6,0),"無")</f>
        <v>-15</v>
      </c>
      <c r="E1255" s="79">
        <f>IFERROR(VLOOKUP($G1255,基本資料!$A:$J,7,0),"無")</f>
        <v>41</v>
      </c>
      <c r="F1255" s="6">
        <f>IFERROR(VLOOKUP($G1255,基本資料!$A:$J,8,0),"無")</f>
        <v>1.49</v>
      </c>
      <c r="G1255" s="79">
        <v>6776</v>
      </c>
      <c r="H1255" s="8" t="s">
        <v>3219</v>
      </c>
      <c r="I1255" s="22" t="s">
        <v>3092</v>
      </c>
      <c r="J1255" s="8" t="str">
        <f>IFERROR(VLOOKUP($G1255,今日總結!$A:$AJ,35,0),"")</f>
        <v/>
      </c>
      <c r="K1255" s="5" t="str">
        <f>IFERROR(VLOOKUP($G1255,今日總結!$A:$AJ,36,0),"")</f>
        <v/>
      </c>
      <c r="L1255" s="156" t="str">
        <f>IFERROR(VLOOKUP($G1255,今日總結!$A:$AJ,33,0),"")</f>
        <v/>
      </c>
      <c r="M1255" s="340" t="str">
        <f>IFERROR(VLOOKUP($G1255,今日總結!$A:$AJ,34,0),"")</f>
        <v/>
      </c>
      <c r="N1255" s="240" t="str">
        <f t="shared" si="236"/>
        <v/>
      </c>
      <c r="P1255" s="365">
        <f>IFERROR(VLOOKUP($G1255,融外自投!$A:$J,7,0),"無")</f>
        <v>1373</v>
      </c>
      <c r="Q1255" s="79">
        <f>IFERROR(VLOOKUP($G1255,融外自投!$A:$J,9,0),"無")</f>
        <v>1110</v>
      </c>
      <c r="R1255" s="346">
        <f>IFERROR(VLOOKUP($G1255,融外自投!$A:$J,8,0),"無")</f>
        <v>1314</v>
      </c>
      <c r="S1255" s="81" t="str">
        <f>IFERROR(VLOOKUP($G1255,融外自投!$A:$J,10,0),"無")</f>
        <v>無</v>
      </c>
      <c r="T1255" s="327">
        <f>IFERROR(VLOOKUP($G1255,'321買'!$A:$E,5,0),"'沒有資料'")</f>
        <v>1214</v>
      </c>
      <c r="U1255" s="186">
        <f>IFERROR(VLOOKUP($G1255,基本資料!$A:$J,9,0),"無")</f>
        <v>3.2</v>
      </c>
      <c r="V1255" s="310">
        <f t="shared" si="231"/>
        <v>7.5650118203309705E-2</v>
      </c>
      <c r="W1255" s="94">
        <f>IFERROR(VLOOKUP($G1255,基本資料!$A:$J,10,0),"無")</f>
        <v>4.28</v>
      </c>
      <c r="X1255" s="36">
        <f>RTD("money.excel",,"6776","Price")</f>
        <v>42.3</v>
      </c>
      <c r="Y1255" s="66"/>
      <c r="Z1255" s="15">
        <f t="shared" si="232"/>
        <v>42.3</v>
      </c>
      <c r="AA1255" s="3" t="e">
        <f t="shared" si="233"/>
        <v>#DIV/0!</v>
      </c>
      <c r="AB1255" s="344">
        <f>IFERROR(VLOOKUP($G1255,基本資料!$A:$M,11,0),"無")</f>
        <v>-14.9</v>
      </c>
      <c r="AC1255" s="397">
        <f>IFERROR(VLOOKUP($G1255,基本資料!$A:$M,12,0),"無")</f>
        <v>43.47</v>
      </c>
      <c r="AD1255" s="22" t="s">
        <v>3092</v>
      </c>
      <c r="AG1255" s="33">
        <f t="shared" si="234"/>
        <v>0</v>
      </c>
      <c r="AH1255" s="43" t="s">
        <v>1043</v>
      </c>
      <c r="AI1255" s="63">
        <f t="shared" si="235"/>
        <v>3.8036809815950918E-4</v>
      </c>
      <c r="AJ1255" s="284">
        <f>RTD("money.excel",,$G1255,"PredictVolume")</f>
        <v>31</v>
      </c>
      <c r="AK1255" s="399">
        <f>IFERROR(VLOOKUP($G1255,基本資料!$A:$M,13,0),"無")</f>
        <v>3.6</v>
      </c>
    </row>
    <row r="1256" spans="1:37">
      <c r="A1256" s="347">
        <f>IFERROR(VLOOKUP($G1256,基本資料!$A:$J,3,0),"無")</f>
        <v>5.18</v>
      </c>
      <c r="B1256" s="79">
        <f>IFERROR(VLOOKUP($G1256,基本資料!$A:$J,4,0),"無")</f>
        <v>129</v>
      </c>
      <c r="C1256" s="79">
        <f>IFERROR(VLOOKUP($G1256,基本資料!$A:$J,5,0),"無")</f>
        <v>191</v>
      </c>
      <c r="D1256" s="79">
        <f>IFERROR(VLOOKUP($G1256,基本資料!$A:$J,6,0),"無")</f>
        <v>44</v>
      </c>
      <c r="E1256" s="79">
        <f>IFERROR(VLOOKUP($G1256,基本資料!$A:$J,7,0),"無")</f>
        <v>22</v>
      </c>
      <c r="F1256" s="6">
        <f>IFERROR(VLOOKUP($G1256,基本資料!$A:$J,8,0),"無")</f>
        <v>4.95</v>
      </c>
      <c r="G1256" s="79">
        <v>8032</v>
      </c>
      <c r="H1256" s="8" t="s">
        <v>3219</v>
      </c>
      <c r="I1256" s="16" t="s">
        <v>824</v>
      </c>
      <c r="J1256" s="8" t="str">
        <f>IFERROR(VLOOKUP($G1256,今日總結!$A:$AJ,35,0),"")</f>
        <v/>
      </c>
      <c r="K1256" s="5" t="str">
        <f>IFERROR(VLOOKUP($G1256,今日總結!$A:$AJ,36,0),"")</f>
        <v/>
      </c>
      <c r="L1256" s="156" t="str">
        <f>IFERROR(VLOOKUP($G1256,今日總結!$A:$AJ,33,0),"")</f>
        <v/>
      </c>
      <c r="M1256" s="340" t="str">
        <f>IFERROR(VLOOKUP($G1256,今日總結!$A:$AJ,34,0),"")</f>
        <v/>
      </c>
      <c r="N1256" s="240" t="str">
        <f t="shared" si="236"/>
        <v/>
      </c>
      <c r="P1256" s="365">
        <f>IFERROR(VLOOKUP($G1256,融外自投!$A:$J,7,0),"無")</f>
        <v>1094</v>
      </c>
      <c r="Q1256" s="79" t="str">
        <f>IFERROR(VLOOKUP($G1256,融外自投!$A:$J,9,0),"無")</f>
        <v>無</v>
      </c>
      <c r="R1256" s="346">
        <f>IFERROR(VLOOKUP($G1256,融外自投!$A:$J,8,0),"無")</f>
        <v>1351</v>
      </c>
      <c r="S1256" s="81" t="str">
        <f>IFERROR(VLOOKUP($G1256,融外自投!$A:$J,10,0),"無")</f>
        <v>無</v>
      </c>
      <c r="T1256" s="327" t="str">
        <f>IFERROR(VLOOKUP($G1256,'321買'!$A:$E,5,0),"'沒有資料'")</f>
        <v>'沒有資料'</v>
      </c>
      <c r="U1256" s="186">
        <f>IFERROR(VLOOKUP($G1256,基本資料!$A:$J,9,0),"無")</f>
        <v>1.8</v>
      </c>
      <c r="V1256" s="310">
        <f t="shared" si="231"/>
        <v>6.3492063492063489E-2</v>
      </c>
      <c r="W1256" s="94">
        <f>IFERROR(VLOOKUP($G1256,基本資料!$A:$J,10,0),"無")</f>
        <v>2.91</v>
      </c>
      <c r="X1256" s="36">
        <f>RTD("money.excel",,"8032","Price")</f>
        <v>28.35</v>
      </c>
      <c r="Y1256" s="66"/>
      <c r="Z1256" s="15">
        <f t="shared" si="232"/>
        <v>28.35</v>
      </c>
      <c r="AA1256" s="3" t="e">
        <f t="shared" si="233"/>
        <v>#DIV/0!</v>
      </c>
      <c r="AB1256" s="344">
        <f>IFERROR(VLOOKUP($G1256,基本資料!$A:$M,11,0),"無")</f>
        <v>-13.09</v>
      </c>
      <c r="AC1256" s="397">
        <f>IFERROR(VLOOKUP($G1256,基本資料!$A:$M,12,0),"無")</f>
        <v>57.9</v>
      </c>
      <c r="AD1256" s="16" t="s">
        <v>824</v>
      </c>
      <c r="AG1256" s="33">
        <f t="shared" si="234"/>
        <v>0</v>
      </c>
      <c r="AH1256" s="43" t="s">
        <v>2657</v>
      </c>
      <c r="AI1256" s="63">
        <f t="shared" si="235"/>
        <v>3.2818532818532819E-4</v>
      </c>
      <c r="AJ1256" s="284">
        <f>RTD("money.excel",,$G1256,"PredictVolume")</f>
        <v>17</v>
      </c>
      <c r="AK1256" s="399">
        <f>IFERROR(VLOOKUP($G1256,基本資料!$A:$M,13,0),"無")</f>
        <v>6.36</v>
      </c>
    </row>
    <row r="1257" spans="1:37">
      <c r="A1257" s="347">
        <f>IFERROR(VLOOKUP($G1257,基本資料!$A:$J,3,0),"無")</f>
        <v>3</v>
      </c>
      <c r="B1257" s="79">
        <f>IFERROR(VLOOKUP($G1257,基本資料!$A:$J,4,0),"無")</f>
        <v>12</v>
      </c>
      <c r="C1257" s="79">
        <f>IFERROR(VLOOKUP($G1257,基本資料!$A:$J,5,0),"無")</f>
        <v>13</v>
      </c>
      <c r="D1257" s="79">
        <f>IFERROR(VLOOKUP($G1257,基本資料!$A:$J,6,0),"無")</f>
        <v>-61</v>
      </c>
      <c r="E1257" s="79">
        <f>IFERROR(VLOOKUP($G1257,基本資料!$A:$J,7,0),"無")</f>
        <v>-34</v>
      </c>
      <c r="F1257" s="6">
        <f>IFERROR(VLOOKUP($G1257,基本資料!$A:$J,8,0),"無")</f>
        <v>-12.07</v>
      </c>
      <c r="G1257" s="79">
        <v>8067</v>
      </c>
      <c r="H1257" s="8" t="s">
        <v>3219</v>
      </c>
      <c r="I1257" s="16" t="s">
        <v>825</v>
      </c>
      <c r="J1257" s="8" t="str">
        <f>IFERROR(VLOOKUP($G1257,今日總結!$A:$AJ,35,0),"")</f>
        <v/>
      </c>
      <c r="K1257" s="5" t="str">
        <f>IFERROR(VLOOKUP($G1257,今日總結!$A:$AJ,36,0),"")</f>
        <v/>
      </c>
      <c r="L1257" s="156" t="str">
        <f>IFERROR(VLOOKUP($G1257,今日總結!$A:$AJ,33,0),"")</f>
        <v/>
      </c>
      <c r="M1257" s="340" t="str">
        <f>IFERROR(VLOOKUP($G1257,今日總結!$A:$AJ,34,0),"")</f>
        <v/>
      </c>
      <c r="N1257" s="240" t="str">
        <f t="shared" si="236"/>
        <v/>
      </c>
      <c r="P1257" s="365" t="str">
        <f>IFERROR(VLOOKUP($G1257,融外自投!$A:$J,7,0),"無")</f>
        <v>無</v>
      </c>
      <c r="Q1257" s="79" t="str">
        <f>IFERROR(VLOOKUP($G1257,融外自投!$A:$J,9,0),"無")</f>
        <v>無</v>
      </c>
      <c r="R1257" s="346" t="str">
        <f>IFERROR(VLOOKUP($G1257,融外自投!$A:$J,8,0),"無")</f>
        <v>無</v>
      </c>
      <c r="S1257" s="81" t="str">
        <f>IFERROR(VLOOKUP($G1257,融外自投!$A:$J,10,0),"無")</f>
        <v>無</v>
      </c>
      <c r="T1257" s="327" t="str">
        <f>IFERROR(VLOOKUP($G1257,'321買'!$A:$E,5,0),"'沒有資料'")</f>
        <v>'沒有資料'</v>
      </c>
      <c r="U1257" s="186">
        <f>IFERROR(VLOOKUP($G1257,基本資料!$A:$J,9,0),"無")</f>
        <v>0</v>
      </c>
      <c r="V1257" s="310">
        <f t="shared" si="231"/>
        <v>0</v>
      </c>
      <c r="W1257" s="94">
        <f>IFERROR(VLOOKUP($G1257,基本資料!$A:$J,10,0),"無")</f>
        <v>-0.92</v>
      </c>
      <c r="X1257" s="36">
        <f>RTD("money.excel",,"8067","Price")</f>
        <v>8.76</v>
      </c>
      <c r="Y1257" s="66"/>
      <c r="Z1257" s="15">
        <f t="shared" si="232"/>
        <v>8.76</v>
      </c>
      <c r="AA1257" s="3" t="e">
        <f t="shared" si="233"/>
        <v>#DIV/0!</v>
      </c>
      <c r="AB1257" s="344">
        <f>IFERROR(VLOOKUP($G1257,基本資料!$A:$M,11,0),"無")</f>
        <v>-25.02</v>
      </c>
      <c r="AC1257" s="397">
        <f>IFERROR(VLOOKUP($G1257,基本資料!$A:$M,12,0),"無")</f>
        <v>19.22</v>
      </c>
      <c r="AD1257" s="16" t="s">
        <v>825</v>
      </c>
      <c r="AG1257" s="33">
        <f t="shared" si="234"/>
        <v>0</v>
      </c>
      <c r="AH1257" s="43" t="s">
        <v>2658</v>
      </c>
      <c r="AI1257" s="63">
        <f t="shared" si="235"/>
        <v>1.3333333333333334E-4</v>
      </c>
      <c r="AJ1257" s="284">
        <f>RTD("money.excel",,$G1257,"PredictVolume")</f>
        <v>4</v>
      </c>
      <c r="AK1257" s="399">
        <f>IFERROR(VLOOKUP($G1257,基本資料!$A:$M,13,0),"無")</f>
        <v>1.41</v>
      </c>
    </row>
    <row r="1258" spans="1:37">
      <c r="A1258" s="347">
        <f>IFERROR(VLOOKUP($G1258,基本資料!$A:$J,3,0),"無")</f>
        <v>6.86</v>
      </c>
      <c r="B1258" s="79">
        <f>IFERROR(VLOOKUP($G1258,基本資料!$A:$J,4,0),"無")</f>
        <v>-44</v>
      </c>
      <c r="C1258" s="79">
        <f>IFERROR(VLOOKUP($G1258,基本資料!$A:$J,5,0),"無")</f>
        <v>-362</v>
      </c>
      <c r="D1258" s="79">
        <f>IFERROR(VLOOKUP($G1258,基本資料!$A:$J,6,0),"無")</f>
        <v>131</v>
      </c>
      <c r="E1258" s="79">
        <f>IFERROR(VLOOKUP($G1258,基本資料!$A:$J,7,0),"無")</f>
        <v>327</v>
      </c>
      <c r="F1258" s="6">
        <f>IFERROR(VLOOKUP($G1258,基本資料!$A:$J,8,0),"無")</f>
        <v>-12.45</v>
      </c>
      <c r="G1258" s="79">
        <v>8068</v>
      </c>
      <c r="H1258" s="8" t="s">
        <v>3219</v>
      </c>
      <c r="I1258" s="16" t="s">
        <v>826</v>
      </c>
      <c r="J1258" s="8" t="str">
        <f>IFERROR(VLOOKUP($G1258,今日總結!$A:$AJ,35,0),"")</f>
        <v/>
      </c>
      <c r="K1258" s="5" t="str">
        <f>IFERROR(VLOOKUP($G1258,今日總結!$A:$AJ,36,0),"")</f>
        <v/>
      </c>
      <c r="L1258" s="156" t="str">
        <f>IFERROR(VLOOKUP($G1258,今日總結!$A:$AJ,33,0),"")</f>
        <v/>
      </c>
      <c r="M1258" s="340" t="str">
        <f>IFERROR(VLOOKUP($G1258,今日總結!$A:$AJ,34,0),"")</f>
        <v/>
      </c>
      <c r="N1258" s="240" t="str">
        <f t="shared" si="236"/>
        <v/>
      </c>
      <c r="P1258" s="365" t="str">
        <f>IFERROR(VLOOKUP($G1258,融外自投!$A:$J,7,0),"無")</f>
        <v>無</v>
      </c>
      <c r="Q1258" s="79" t="str">
        <f>IFERROR(VLOOKUP($G1258,融外自投!$A:$J,9,0),"無")</f>
        <v>無</v>
      </c>
      <c r="R1258" s="346" t="str">
        <f>IFERROR(VLOOKUP($G1258,融外自投!$A:$J,8,0),"無")</f>
        <v>無</v>
      </c>
      <c r="S1258" s="81" t="str">
        <f>IFERROR(VLOOKUP($G1258,融外自投!$A:$J,10,0),"無")</f>
        <v>無</v>
      </c>
      <c r="T1258" s="327" t="str">
        <f>IFERROR(VLOOKUP($G1258,'321買'!$A:$E,5,0),"'沒有資料'")</f>
        <v>'沒有資料'</v>
      </c>
      <c r="U1258" s="186">
        <f>IFERROR(VLOOKUP($G1258,基本資料!$A:$J,9,0),"無")</f>
        <v>0</v>
      </c>
      <c r="V1258" s="310">
        <f t="shared" si="231"/>
        <v>0</v>
      </c>
      <c r="W1258" s="94">
        <f>IFERROR(VLOOKUP($G1258,基本資料!$A:$J,10,0),"無")</f>
        <v>-0.52</v>
      </c>
      <c r="X1258" s="36">
        <f>RTD("money.excel",,"8068","Price")</f>
        <v>27.25</v>
      </c>
      <c r="Y1258" s="66"/>
      <c r="Z1258" s="15">
        <f t="shared" si="232"/>
        <v>27.25</v>
      </c>
      <c r="AA1258" s="3" t="e">
        <f t="shared" si="233"/>
        <v>#DIV/0!</v>
      </c>
      <c r="AB1258" s="344">
        <f>IFERROR(VLOOKUP($G1258,基本資料!$A:$M,11,0),"無")</f>
        <v>-43.69</v>
      </c>
      <c r="AC1258" s="397">
        <f>IFERROR(VLOOKUP($G1258,基本資料!$A:$M,12,0),"無")</f>
        <v>14.44</v>
      </c>
      <c r="AD1258" s="16" t="s">
        <v>826</v>
      </c>
      <c r="AG1258" s="33">
        <f t="shared" si="234"/>
        <v>0</v>
      </c>
      <c r="AH1258" s="43" t="s">
        <v>2659</v>
      </c>
      <c r="AI1258" s="63">
        <f t="shared" si="235"/>
        <v>2.4781341107871718E-4</v>
      </c>
      <c r="AJ1258" s="284">
        <f>RTD("money.excel",,$G1258,"PredictVolume")</f>
        <v>17</v>
      </c>
      <c r="AK1258" s="399">
        <f>IFERROR(VLOOKUP($G1258,基本資料!$A:$M,13,0),"無")</f>
        <v>1.66</v>
      </c>
    </row>
    <row r="1259" spans="1:37">
      <c r="A1259" s="347">
        <f>IFERROR(VLOOKUP($G1259,基本資料!$A:$J,3,0),"無")</f>
        <v>6.89</v>
      </c>
      <c r="B1259" s="79">
        <f>IFERROR(VLOOKUP($G1259,基本資料!$A:$J,4,0),"無")</f>
        <v>82</v>
      </c>
      <c r="C1259" s="79">
        <f>IFERROR(VLOOKUP($G1259,基本資料!$A:$J,5,0),"無")</f>
        <v>93</v>
      </c>
      <c r="D1259" s="79">
        <f>IFERROR(VLOOKUP($G1259,基本資料!$A:$J,6,0),"無")</f>
        <v>-8</v>
      </c>
      <c r="E1259" s="79">
        <f>IFERROR(VLOOKUP($G1259,基本資料!$A:$J,7,0),"無")</f>
        <v>16</v>
      </c>
      <c r="F1259" s="6">
        <f>IFERROR(VLOOKUP($G1259,基本資料!$A:$J,8,0),"無")</f>
        <v>12.38</v>
      </c>
      <c r="G1259" s="79">
        <v>8070</v>
      </c>
      <c r="H1259" s="8" t="s">
        <v>3219</v>
      </c>
      <c r="I1259" s="22" t="s">
        <v>225</v>
      </c>
      <c r="J1259" s="8" t="str">
        <f>IFERROR(VLOOKUP($G1259,今日總結!$A:$AJ,35,0),"")</f>
        <v/>
      </c>
      <c r="K1259" s="5" t="str">
        <f>IFERROR(VLOOKUP($G1259,今日總結!$A:$AJ,36,0),"")</f>
        <v/>
      </c>
      <c r="L1259" s="156" t="str">
        <f>IFERROR(VLOOKUP($G1259,今日總結!$A:$AJ,33,0),"")</f>
        <v/>
      </c>
      <c r="M1259" s="340" t="str">
        <f>IFERROR(VLOOKUP($G1259,今日總結!$A:$AJ,34,0),"")</f>
        <v/>
      </c>
      <c r="N1259" s="240" t="str">
        <f t="shared" si="236"/>
        <v/>
      </c>
      <c r="P1259" s="365">
        <f>IFERROR(VLOOKUP($G1259,融外自投!$A:$J,7,0),"無")</f>
        <v>722</v>
      </c>
      <c r="Q1259" s="79">
        <f>IFERROR(VLOOKUP($G1259,融外自投!$A:$J,9,0),"無")</f>
        <v>1051</v>
      </c>
      <c r="R1259" s="346">
        <f>IFERROR(VLOOKUP($G1259,融外自投!$A:$J,8,0),"無")</f>
        <v>455</v>
      </c>
      <c r="S1259" s="81" t="str">
        <f>IFERROR(VLOOKUP($G1259,融外自投!$A:$J,10,0),"無")</f>
        <v>無</v>
      </c>
      <c r="T1259" s="327">
        <f>IFERROR(VLOOKUP($G1259,'321買'!$A:$E,5,0),"'沒有資料'")</f>
        <v>97</v>
      </c>
      <c r="U1259" s="186">
        <f>IFERROR(VLOOKUP($G1259,基本資料!$A:$J,9,0),"無")</f>
        <v>2</v>
      </c>
      <c r="V1259" s="310">
        <f t="shared" si="231"/>
        <v>5.5865921787709501E-2</v>
      </c>
      <c r="W1259" s="94">
        <f>IFERROR(VLOOKUP($G1259,基本資料!$A:$J,10,0),"無")</f>
        <v>2.54</v>
      </c>
      <c r="X1259" s="36">
        <f>RTD("money.excel",,"8070","Price")</f>
        <v>35.799999999999997</v>
      </c>
      <c r="Y1259" s="66"/>
      <c r="Z1259" s="15">
        <f t="shared" si="232"/>
        <v>35.799999999999997</v>
      </c>
      <c r="AA1259" s="3" t="e">
        <f t="shared" si="233"/>
        <v>#DIV/0!</v>
      </c>
      <c r="AB1259" s="344">
        <f>IFERROR(VLOOKUP($G1259,基本資料!$A:$M,11,0),"無")</f>
        <v>-13.33</v>
      </c>
      <c r="AC1259" s="397">
        <f>IFERROR(VLOOKUP($G1259,基本資料!$A:$M,12,0),"無")</f>
        <v>35.03</v>
      </c>
      <c r="AD1259" s="22" t="s">
        <v>225</v>
      </c>
      <c r="AG1259" s="33">
        <f t="shared" si="234"/>
        <v>0</v>
      </c>
      <c r="AH1259" s="117" t="s">
        <v>2883</v>
      </c>
      <c r="AI1259" s="63">
        <f t="shared" si="235"/>
        <v>2.1494920174165457E-2</v>
      </c>
      <c r="AJ1259" s="284">
        <f>RTD("money.excel",,$G1259,"PredictVolume")</f>
        <v>1481</v>
      </c>
      <c r="AK1259" s="399">
        <f>IFERROR(VLOOKUP($G1259,基本資料!$A:$M,13,0),"無")</f>
        <v>58.77</v>
      </c>
    </row>
    <row r="1260" spans="1:37">
      <c r="A1260" s="347">
        <f>IFERROR(VLOOKUP($G1260,基本資料!$A:$J,3,0),"無")</f>
        <v>8</v>
      </c>
      <c r="B1260" s="79">
        <f>IFERROR(VLOOKUP($G1260,基本資料!$A:$J,4,0),"無")</f>
        <v>1375</v>
      </c>
      <c r="C1260" s="79">
        <f>IFERROR(VLOOKUP($G1260,基本資料!$A:$J,5,0),"無")</f>
        <v>1036</v>
      </c>
      <c r="D1260" s="79">
        <f>IFERROR(VLOOKUP($G1260,基本資料!$A:$J,6,0),"無")</f>
        <v>42</v>
      </c>
      <c r="E1260" s="79">
        <f>IFERROR(VLOOKUP($G1260,基本資料!$A:$J,7,0),"無")</f>
        <v>-12</v>
      </c>
      <c r="F1260" s="6">
        <f>IFERROR(VLOOKUP($G1260,基本資料!$A:$J,8,0),"無")</f>
        <v>2.42</v>
      </c>
      <c r="G1260" s="79">
        <v>8072</v>
      </c>
      <c r="H1260" s="8" t="s">
        <v>3219</v>
      </c>
      <c r="I1260" s="22" t="s">
        <v>839</v>
      </c>
      <c r="J1260" s="8" t="str">
        <f>IFERROR(VLOOKUP($G1260,今日總結!$A:$AJ,35,0),"")</f>
        <v/>
      </c>
      <c r="K1260" s="5" t="str">
        <f>IFERROR(VLOOKUP($G1260,今日總結!$A:$AJ,36,0),"")</f>
        <v/>
      </c>
      <c r="L1260" s="156" t="str">
        <f>IFERROR(VLOOKUP($G1260,今日總結!$A:$AJ,33,0),"")</f>
        <v/>
      </c>
      <c r="M1260" s="340" t="str">
        <f>IFERROR(VLOOKUP($G1260,今日總結!$A:$AJ,34,0),"")</f>
        <v/>
      </c>
      <c r="N1260" s="240" t="str">
        <f t="shared" si="236"/>
        <v/>
      </c>
      <c r="P1260" s="365">
        <f>IFERROR(VLOOKUP($G1260,融外自投!$A:$J,7,0),"無")</f>
        <v>1129</v>
      </c>
      <c r="Q1260" s="79">
        <f>IFERROR(VLOOKUP($G1260,融外自投!$A:$J,9,0),"無")</f>
        <v>978</v>
      </c>
      <c r="R1260" s="346">
        <f>IFERROR(VLOOKUP($G1260,融外自投!$A:$J,8,0),"無")</f>
        <v>1173</v>
      </c>
      <c r="S1260" s="81" t="str">
        <f>IFERROR(VLOOKUP($G1260,融外自投!$A:$J,10,0),"無")</f>
        <v>無</v>
      </c>
      <c r="T1260" s="327">
        <f>IFERROR(VLOOKUP($G1260,'321買'!$A:$E,5,0),"'沒有資料'")</f>
        <v>1338</v>
      </c>
      <c r="U1260" s="186">
        <f>IFERROR(VLOOKUP($G1260,基本資料!$A:$J,9,0),"無")</f>
        <v>0.35</v>
      </c>
      <c r="V1260" s="310">
        <f t="shared" si="231"/>
        <v>1.4893617021276595E-2</v>
      </c>
      <c r="W1260" s="94">
        <f>IFERROR(VLOOKUP($G1260,基本資料!$A:$J,10,0),"無")</f>
        <v>0.39</v>
      </c>
      <c r="X1260" s="36">
        <f>RTD("money.excel",,"8072","Price")</f>
        <v>23.5</v>
      </c>
      <c r="Y1260" s="66"/>
      <c r="Z1260" s="15">
        <f t="shared" si="232"/>
        <v>23.5</v>
      </c>
      <c r="AA1260" s="3" t="e">
        <f t="shared" si="233"/>
        <v>#DIV/0!</v>
      </c>
      <c r="AB1260" s="344">
        <f>IFERROR(VLOOKUP($G1260,基本資料!$A:$M,11,0),"無")</f>
        <v>-17.36</v>
      </c>
      <c r="AC1260" s="397">
        <f>IFERROR(VLOOKUP($G1260,基本資料!$A:$M,12,0),"無")</f>
        <v>14.51</v>
      </c>
      <c r="AD1260" s="22" t="s">
        <v>839</v>
      </c>
      <c r="AG1260" s="33">
        <f t="shared" si="234"/>
        <v>0</v>
      </c>
      <c r="AH1260" s="43" t="s">
        <v>2884</v>
      </c>
      <c r="AI1260" s="63">
        <f t="shared" si="235"/>
        <v>1.4999999999999999E-4</v>
      </c>
      <c r="AJ1260" s="284">
        <f>RTD("money.excel",,$G1260,"PredictVolume")</f>
        <v>12</v>
      </c>
      <c r="AK1260" s="399">
        <f>IFERROR(VLOOKUP($G1260,基本資料!$A:$M,13,0),"無")</f>
        <v>1.18</v>
      </c>
    </row>
    <row r="1261" spans="1:37">
      <c r="A1261" s="347">
        <f>IFERROR(VLOOKUP($G1261,基本資料!$A:$J,3,0),"無")</f>
        <v>6.95</v>
      </c>
      <c r="B1261" s="79">
        <f>IFERROR(VLOOKUP($G1261,基本資料!$A:$J,4,0),"無")</f>
        <v>62</v>
      </c>
      <c r="C1261" s="79">
        <f>IFERROR(VLOOKUP($G1261,基本資料!$A:$J,5,0),"無")</f>
        <v>64</v>
      </c>
      <c r="D1261" s="79">
        <f>IFERROR(VLOOKUP($G1261,基本資料!$A:$J,6,0),"無")</f>
        <v>4</v>
      </c>
      <c r="E1261" s="79">
        <f>IFERROR(VLOOKUP($G1261,基本資料!$A:$J,7,0),"無")</f>
        <v>16</v>
      </c>
      <c r="F1261" s="6">
        <f>IFERROR(VLOOKUP($G1261,基本資料!$A:$J,8,0),"無")</f>
        <v>-7.56</v>
      </c>
      <c r="G1261" s="79">
        <v>8084</v>
      </c>
      <c r="H1261" s="8" t="s">
        <v>3219</v>
      </c>
      <c r="I1261" s="16" t="s">
        <v>827</v>
      </c>
      <c r="J1261" s="8" t="str">
        <f>IFERROR(VLOOKUP($G1261,今日總結!$A:$AJ,35,0),"")</f>
        <v/>
      </c>
      <c r="K1261" s="5" t="str">
        <f>IFERROR(VLOOKUP($G1261,今日總結!$A:$AJ,36,0),"")</f>
        <v/>
      </c>
      <c r="L1261" s="156" t="str">
        <f>IFERROR(VLOOKUP($G1261,今日總結!$A:$AJ,33,0),"")</f>
        <v/>
      </c>
      <c r="M1261" s="340" t="str">
        <f>IFERROR(VLOOKUP($G1261,今日總結!$A:$AJ,34,0),"")</f>
        <v/>
      </c>
      <c r="N1261" s="240" t="str">
        <f t="shared" si="236"/>
        <v/>
      </c>
      <c r="P1261" s="365" t="str">
        <f>IFERROR(VLOOKUP($G1261,融外自投!$A:$J,7,0),"無")</f>
        <v>無</v>
      </c>
      <c r="Q1261" s="79" t="str">
        <f>IFERROR(VLOOKUP($G1261,融外自投!$A:$J,9,0),"無")</f>
        <v>無</v>
      </c>
      <c r="R1261" s="346" t="str">
        <f>IFERROR(VLOOKUP($G1261,融外自投!$A:$J,8,0),"無")</f>
        <v>無</v>
      </c>
      <c r="S1261" s="81" t="str">
        <f>IFERROR(VLOOKUP($G1261,融外自投!$A:$J,10,0),"無")</f>
        <v>無</v>
      </c>
      <c r="T1261" s="327" t="str">
        <f>IFERROR(VLOOKUP($G1261,'321買'!$A:$E,5,0),"'沒有資料'")</f>
        <v>'沒有資料'</v>
      </c>
      <c r="U1261" s="186">
        <f>IFERROR(VLOOKUP($G1261,基本資料!$A:$J,9,0),"無")</f>
        <v>0</v>
      </c>
      <c r="V1261" s="310">
        <f t="shared" si="231"/>
        <v>0</v>
      </c>
      <c r="W1261" s="94">
        <f>IFERROR(VLOOKUP($G1261,基本資料!$A:$J,10,0),"無")</f>
        <v>-0.83</v>
      </c>
      <c r="X1261" s="36">
        <f>RTD("money.excel",,"8084","Price")</f>
        <v>80.2</v>
      </c>
      <c r="Y1261" s="66"/>
      <c r="Z1261" s="15">
        <f t="shared" si="232"/>
        <v>80.2</v>
      </c>
      <c r="AA1261" s="3" t="e">
        <f t="shared" si="233"/>
        <v>#DIV/0!</v>
      </c>
      <c r="AB1261" s="344">
        <f>IFERROR(VLOOKUP($G1261,基本資料!$A:$M,11,0),"無")</f>
        <v>-9.32</v>
      </c>
      <c r="AC1261" s="397">
        <f>IFERROR(VLOOKUP($G1261,基本資料!$A:$M,12,0),"無")</f>
        <v>86.59</v>
      </c>
      <c r="AD1261" s="16" t="s">
        <v>827</v>
      </c>
      <c r="AG1261" s="33">
        <f t="shared" si="234"/>
        <v>0</v>
      </c>
      <c r="AH1261" s="43" t="s">
        <v>2043</v>
      </c>
      <c r="AI1261" s="63">
        <f t="shared" si="235"/>
        <v>3.7697841726618705E-3</v>
      </c>
      <c r="AJ1261" s="284">
        <f>RTD("money.excel",,$G1261,"PredictVolume")</f>
        <v>262</v>
      </c>
      <c r="AK1261" s="399">
        <f>IFERROR(VLOOKUP($G1261,基本資料!$A:$M,13,0),"無")</f>
        <v>1.81</v>
      </c>
    </row>
    <row r="1262" spans="1:37">
      <c r="A1262" s="347">
        <f>IFERROR(VLOOKUP($G1262,基本資料!$A:$J,3,0),"無")</f>
        <v>14.52</v>
      </c>
      <c r="B1262" s="79">
        <f>IFERROR(VLOOKUP($G1262,基本資料!$A:$J,4,0),"無")</f>
        <v>71</v>
      </c>
      <c r="C1262" s="79">
        <f>IFERROR(VLOOKUP($G1262,基本資料!$A:$J,5,0),"無")</f>
        <v>2</v>
      </c>
      <c r="D1262" s="79">
        <f>IFERROR(VLOOKUP($G1262,基本資料!$A:$J,6,0),"無")</f>
        <v>46</v>
      </c>
      <c r="E1262" s="79">
        <f>IFERROR(VLOOKUP($G1262,基本資料!$A:$J,7,0),"無")</f>
        <v>25</v>
      </c>
      <c r="F1262" s="6">
        <f>IFERROR(VLOOKUP($G1262,基本資料!$A:$J,8,0),"無")</f>
        <v>0.96</v>
      </c>
      <c r="G1262" s="79">
        <v>8096</v>
      </c>
      <c r="H1262" s="8" t="s">
        <v>3219</v>
      </c>
      <c r="I1262" s="16" t="s">
        <v>828</v>
      </c>
      <c r="J1262" s="8" t="str">
        <f>IFERROR(VLOOKUP($G1262,今日總結!$A:$AJ,35,0),"")</f>
        <v/>
      </c>
      <c r="K1262" s="5" t="str">
        <f>IFERROR(VLOOKUP($G1262,今日總結!$A:$AJ,36,0),"")</f>
        <v/>
      </c>
      <c r="L1262" s="156" t="str">
        <f>IFERROR(VLOOKUP($G1262,今日總結!$A:$AJ,33,0),"")</f>
        <v/>
      </c>
      <c r="M1262" s="340" t="str">
        <f>IFERROR(VLOOKUP($G1262,今日總結!$A:$AJ,34,0),"")</f>
        <v/>
      </c>
      <c r="N1262" s="240" t="str">
        <f t="shared" si="236"/>
        <v/>
      </c>
      <c r="P1262" s="365">
        <f>IFERROR(VLOOKUP($G1262,融外自投!$A:$J,7,0),"無")</f>
        <v>465</v>
      </c>
      <c r="Q1262" s="79">
        <f>IFERROR(VLOOKUP($G1262,融外自投!$A:$J,9,0),"無")</f>
        <v>852</v>
      </c>
      <c r="R1262" s="346">
        <f>IFERROR(VLOOKUP($G1262,融外自投!$A:$J,8,0),"無")</f>
        <v>252</v>
      </c>
      <c r="S1262" s="81" t="str">
        <f>IFERROR(VLOOKUP($G1262,融外自投!$A:$J,10,0),"無")</f>
        <v>無</v>
      </c>
      <c r="T1262" s="327">
        <f>IFERROR(VLOOKUP($G1262,'321買'!$A:$E,5,0),"'沒有資料'")</f>
        <v>558</v>
      </c>
      <c r="U1262" s="186">
        <f>IFERROR(VLOOKUP($G1262,基本資料!$A:$J,9,0),"無")</f>
        <v>0.5</v>
      </c>
      <c r="V1262" s="310">
        <f t="shared" si="231"/>
        <v>0.04</v>
      </c>
      <c r="W1262" s="94">
        <f>IFERROR(VLOOKUP($G1262,基本資料!$A:$J,10,0),"無")</f>
        <v>1.1299999999999999</v>
      </c>
      <c r="X1262" s="36">
        <f>RTD("money.excel",,"8096","Price")</f>
        <v>12.5</v>
      </c>
      <c r="Y1262" s="66"/>
      <c r="Z1262" s="15">
        <f t="shared" si="232"/>
        <v>12.5</v>
      </c>
      <c r="AA1262" s="3" t="e">
        <f t="shared" si="233"/>
        <v>#DIV/0!</v>
      </c>
      <c r="AB1262" s="344">
        <f>IFERROR(VLOOKUP($G1262,基本資料!$A:$M,11,0),"無")</f>
        <v>-23.87</v>
      </c>
      <c r="AC1262" s="397">
        <f>IFERROR(VLOOKUP($G1262,基本資料!$A:$M,12,0),"無")</f>
        <v>24.01</v>
      </c>
      <c r="AD1262" s="16" t="s">
        <v>828</v>
      </c>
      <c r="AG1262" s="33">
        <f t="shared" si="234"/>
        <v>0</v>
      </c>
      <c r="AH1262" s="43" t="s">
        <v>2542</v>
      </c>
      <c r="AI1262" s="63">
        <f t="shared" si="235"/>
        <v>1.4393939393939393E-3</v>
      </c>
      <c r="AJ1262" s="284">
        <f>RTD("money.excel",,$G1262,"PredictVolume")</f>
        <v>209</v>
      </c>
      <c r="AK1262" s="399">
        <f>IFERROR(VLOOKUP($G1262,基本資料!$A:$M,13,0),"無")</f>
        <v>19.670000000000002</v>
      </c>
    </row>
    <row r="1263" spans="1:37">
      <c r="A1263" s="347">
        <f>IFERROR(VLOOKUP($G1263,基本資料!$A:$J,3,0),"無")</f>
        <v>42.84</v>
      </c>
      <c r="B1263" s="79">
        <f>IFERROR(VLOOKUP($G1263,基本資料!$A:$J,4,0),"無")</f>
        <v>71</v>
      </c>
      <c r="C1263" s="79">
        <f>IFERROR(VLOOKUP($G1263,基本資料!$A:$J,5,0),"無")</f>
        <v>93</v>
      </c>
      <c r="D1263" s="79">
        <f>IFERROR(VLOOKUP($G1263,基本資料!$A:$J,6,0),"無")</f>
        <v>-19</v>
      </c>
      <c r="E1263" s="79">
        <f>IFERROR(VLOOKUP($G1263,基本資料!$A:$J,7,0),"無")</f>
        <v>-3</v>
      </c>
      <c r="F1263" s="6">
        <f>IFERROR(VLOOKUP($G1263,基本資料!$A:$J,8,0),"無")</f>
        <v>2.15</v>
      </c>
      <c r="G1263" s="79">
        <v>8112</v>
      </c>
      <c r="H1263" s="8" t="s">
        <v>3219</v>
      </c>
      <c r="I1263" s="22" t="s">
        <v>120</v>
      </c>
      <c r="J1263" s="8" t="str">
        <f>IFERROR(VLOOKUP($G1263,今日總結!$A:$AJ,35,0),"")</f>
        <v/>
      </c>
      <c r="K1263" s="5" t="str">
        <f>IFERROR(VLOOKUP($G1263,今日總結!$A:$AJ,36,0),"")</f>
        <v/>
      </c>
      <c r="L1263" s="156" t="str">
        <f>IFERROR(VLOOKUP($G1263,今日總結!$A:$AJ,33,0),"")</f>
        <v/>
      </c>
      <c r="M1263" s="340" t="str">
        <f>IFERROR(VLOOKUP($G1263,今日總結!$A:$AJ,34,0),"")</f>
        <v/>
      </c>
      <c r="N1263" s="240" t="str">
        <f t="shared" si="236"/>
        <v/>
      </c>
      <c r="P1263" s="365">
        <f>IFERROR(VLOOKUP($G1263,融外自投!$A:$J,7,0),"無")</f>
        <v>747</v>
      </c>
      <c r="Q1263" s="79">
        <f>IFERROR(VLOOKUP($G1263,融外自投!$A:$J,9,0),"無")</f>
        <v>57</v>
      </c>
      <c r="R1263" s="346">
        <f>IFERROR(VLOOKUP($G1263,融外自投!$A:$J,8,0),"無")</f>
        <v>335</v>
      </c>
      <c r="S1263" s="81">
        <f>IFERROR(VLOOKUP($G1263,融外自投!$A:$J,10,0),"無")</f>
        <v>437</v>
      </c>
      <c r="T1263" s="327">
        <f>IFERROR(VLOOKUP($G1263,'321買'!$A:$E,5,0),"'沒有資料'")</f>
        <v>131</v>
      </c>
      <c r="U1263" s="186">
        <f>IFERROR(VLOOKUP($G1263,基本資料!$A:$J,9,0),"無")</f>
        <v>4</v>
      </c>
      <c r="V1263" s="310">
        <f t="shared" si="231"/>
        <v>8.5836909871244635E-2</v>
      </c>
      <c r="W1263" s="94">
        <f>IFERROR(VLOOKUP($G1263,基本資料!$A:$J,10,0),"無")</f>
        <v>7.02</v>
      </c>
      <c r="X1263" s="36">
        <f>RTD("money.excel",,"8112","Price")</f>
        <v>46.6</v>
      </c>
      <c r="Y1263" s="66"/>
      <c r="Z1263" s="15">
        <f t="shared" si="232"/>
        <v>46.6</v>
      </c>
      <c r="AA1263" s="3" t="e">
        <f t="shared" si="233"/>
        <v>#DIV/0!</v>
      </c>
      <c r="AB1263" s="344">
        <f>IFERROR(VLOOKUP($G1263,基本資料!$A:$M,11,0),"無")</f>
        <v>-19.420000000000002</v>
      </c>
      <c r="AC1263" s="397">
        <f>IFERROR(VLOOKUP($G1263,基本資料!$A:$M,12,0),"無")</f>
        <v>20.94</v>
      </c>
      <c r="AD1263" s="22" t="s">
        <v>120</v>
      </c>
      <c r="AG1263" s="33">
        <f t="shared" si="234"/>
        <v>0</v>
      </c>
      <c r="AH1263" s="117" t="s">
        <v>1965</v>
      </c>
      <c r="AI1263" s="63">
        <f t="shared" si="235"/>
        <v>4.1013071895424835E-3</v>
      </c>
      <c r="AJ1263" s="284">
        <f>RTD("money.excel",,$G1263,"PredictVolume")</f>
        <v>1757</v>
      </c>
      <c r="AK1263" s="399">
        <f>IFERROR(VLOOKUP($G1263,基本資料!$A:$M,13,0),"無")</f>
        <v>14.47</v>
      </c>
    </row>
    <row r="1264" spans="1:37">
      <c r="A1264" s="142"/>
      <c r="B1264" s="79"/>
      <c r="C1264" s="79"/>
      <c r="D1264" s="79"/>
      <c r="E1264" s="79"/>
      <c r="F1264" s="6"/>
      <c r="G1264" s="79"/>
      <c r="H1264" s="8"/>
      <c r="I1264" s="22"/>
      <c r="L1264" s="2"/>
      <c r="S1264" s="26"/>
      <c r="U1264" s="66"/>
      <c r="W1264" s="94"/>
      <c r="X1264" s="36"/>
      <c r="Y1264" s="66"/>
      <c r="Z1264" s="15"/>
      <c r="AA1264" s="3"/>
      <c r="AD1264" s="22"/>
      <c r="AG1264" s="33"/>
      <c r="AH1264" s="117"/>
      <c r="AI1264" s="63"/>
      <c r="AJ1264" s="284"/>
    </row>
    <row r="1265" spans="1:37">
      <c r="A1265" s="127" t="s">
        <v>1673</v>
      </c>
      <c r="B1265" s="90" t="s">
        <v>1572</v>
      </c>
      <c r="C1265" s="90" t="s">
        <v>1573</v>
      </c>
      <c r="D1265" s="90" t="s">
        <v>1574</v>
      </c>
      <c r="E1265" s="90" t="s">
        <v>1575</v>
      </c>
      <c r="F1265" s="8" t="s">
        <v>1060</v>
      </c>
      <c r="G1265" s="27" t="s">
        <v>991</v>
      </c>
      <c r="H1265" s="55" t="s">
        <v>320</v>
      </c>
      <c r="I1265" s="8" t="s">
        <v>313</v>
      </c>
      <c r="J1265" s="8" t="s">
        <v>6221</v>
      </c>
      <c r="K1265" s="5" t="s">
        <v>6222</v>
      </c>
      <c r="L1265" s="337" t="s">
        <v>6206</v>
      </c>
      <c r="M1265" s="338" t="s">
        <v>6207</v>
      </c>
      <c r="N1265" s="339" t="s">
        <v>6208</v>
      </c>
      <c r="O1265" s="4" t="s">
        <v>6713</v>
      </c>
      <c r="P1265" s="89" t="s">
        <v>6285</v>
      </c>
      <c r="Q1265" s="293" t="s">
        <v>6284</v>
      </c>
      <c r="R1265" s="354" t="s">
        <v>6283</v>
      </c>
      <c r="S1265" s="26" t="s">
        <v>6286</v>
      </c>
      <c r="T1265" s="321" t="s">
        <v>4716</v>
      </c>
      <c r="U1265" s="10" t="s">
        <v>66</v>
      </c>
      <c r="V1265" s="308" t="s">
        <v>4731</v>
      </c>
      <c r="W1265" s="68" t="s">
        <v>3273</v>
      </c>
      <c r="X1265" s="28" t="s">
        <v>2</v>
      </c>
      <c r="Y1265" s="17" t="s">
        <v>1399</v>
      </c>
      <c r="Z1265" s="14" t="s">
        <v>5</v>
      </c>
      <c r="AA1265" s="21" t="s">
        <v>3</v>
      </c>
      <c r="AB1265" s="96" t="s">
        <v>6174</v>
      </c>
      <c r="AC1265" s="384" t="s">
        <v>6420</v>
      </c>
      <c r="AD1265" s="8" t="s">
        <v>313</v>
      </c>
      <c r="AE1265" s="71" t="s">
        <v>1400</v>
      </c>
      <c r="AF1265" s="72" t="s">
        <v>1157</v>
      </c>
      <c r="AG1265" s="32" t="s">
        <v>1158</v>
      </c>
      <c r="AH1265" s="25" t="s">
        <v>6209</v>
      </c>
      <c r="AI1265" s="8" t="s">
        <v>6731</v>
      </c>
      <c r="AJ1265" s="50" t="s">
        <v>3361</v>
      </c>
      <c r="AK1265" s="44" t="s">
        <v>6730</v>
      </c>
    </row>
    <row r="1266" spans="1:37">
      <c r="A1266" s="347">
        <f>IFERROR(VLOOKUP($G1266,基本資料!$A:$J,3,0),"無")</f>
        <v>18.43</v>
      </c>
      <c r="B1266" s="79">
        <f>IFERROR(VLOOKUP($G1266,基本資料!$A:$J,4,0),"無")</f>
        <v>29</v>
      </c>
      <c r="C1266" s="79">
        <f>IFERROR(VLOOKUP($G1266,基本資料!$A:$J,5,0),"無")</f>
        <v>34</v>
      </c>
      <c r="D1266" s="79">
        <f>IFERROR(VLOOKUP($G1266,基本資料!$A:$J,6,0),"無")</f>
        <v>-27</v>
      </c>
      <c r="E1266" s="79">
        <f>IFERROR(VLOOKUP($G1266,基本資料!$A:$J,7,0),"無")</f>
        <v>-11</v>
      </c>
      <c r="F1266" s="6">
        <f>IFERROR(VLOOKUP($G1266,基本資料!$A:$J,8,0),"無")</f>
        <v>4.3499999999999996</v>
      </c>
      <c r="G1266" s="79">
        <v>2427</v>
      </c>
      <c r="H1266" s="8" t="s">
        <v>313</v>
      </c>
      <c r="I1266" s="22" t="s">
        <v>1014</v>
      </c>
      <c r="J1266" s="8" t="str">
        <f>IFERROR(VLOOKUP($G1266,今日總結!$A:$AJ,35,0),"")</f>
        <v/>
      </c>
      <c r="K1266" s="5" t="str">
        <f>IFERROR(VLOOKUP($G1266,今日總結!$A:$AJ,36,0),"")</f>
        <v/>
      </c>
      <c r="L1266" s="156" t="str">
        <f>IFERROR(VLOOKUP($G1266,今日總結!$A:$AJ,33,0),"")</f>
        <v/>
      </c>
      <c r="M1266" s="340" t="str">
        <f>IFERROR(VLOOKUP($G1266,今日總結!$A:$AJ,34,0),"")</f>
        <v/>
      </c>
      <c r="N1266" s="240" t="str">
        <f t="shared" ref="N1266:N1267" si="237">IFERROR(L1266-M1266,"")</f>
        <v/>
      </c>
      <c r="P1266" s="365">
        <f>IFERROR(VLOOKUP($G1266,融外自投!$A:$J,7,0),"無")</f>
        <v>593</v>
      </c>
      <c r="Q1266" s="79">
        <f>IFERROR(VLOOKUP($G1266,融外自投!$A:$J,9,0),"無")</f>
        <v>852</v>
      </c>
      <c r="R1266" s="346">
        <f>IFERROR(VLOOKUP($G1266,融外自投!$A:$J,8,0),"無")</f>
        <v>947</v>
      </c>
      <c r="S1266" s="81" t="str">
        <f>IFERROR(VLOOKUP($G1266,融外自投!$A:$J,10,0),"無")</f>
        <v>無</v>
      </c>
      <c r="T1266" s="327">
        <f>IFERROR(VLOOKUP($G1266,'321買'!$A:$E,5,0),"'沒有資料'")</f>
        <v>584</v>
      </c>
      <c r="U1266" s="186">
        <f>IFERROR(VLOOKUP($G1266,基本資料!$A:$J,9,0),"無")</f>
        <v>0.35</v>
      </c>
      <c r="V1266" s="310">
        <f t="shared" ref="V1266:V1305" si="238">$U1266/$X1266</f>
        <v>2.8688524590163935E-2</v>
      </c>
      <c r="W1266" s="94">
        <f>IFERROR(VLOOKUP($G1266,基本資料!$A:$J,10,0),"無")</f>
        <v>0.81</v>
      </c>
      <c r="X1266" s="36">
        <f>RTD("money.excel",,"2427","Price")</f>
        <v>12.2</v>
      </c>
      <c r="Y1266" s="66"/>
      <c r="Z1266" s="15">
        <f t="shared" ref="Z1266:Z1305" si="239">X1266-Y1266</f>
        <v>12.2</v>
      </c>
      <c r="AA1266" s="3" t="e">
        <f t="shared" ref="AA1266:AA1305" si="240">Z1266/Y1266</f>
        <v>#DIV/0!</v>
      </c>
      <c r="AB1266" s="344">
        <f>IFERROR(VLOOKUP($G1266,基本資料!$A:$M,11,0),"無")</f>
        <v>-12.89</v>
      </c>
      <c r="AC1266" s="397">
        <f>IFERROR(VLOOKUP($G1266,基本資料!$A:$M,12,0),"無")</f>
        <v>47.58</v>
      </c>
      <c r="AD1266" s="22" t="s">
        <v>1014</v>
      </c>
      <c r="AG1266" s="33">
        <f t="shared" ref="AG1266:AG1305" si="241">AF1266-AE1266</f>
        <v>0</v>
      </c>
      <c r="AH1266" s="43" t="s">
        <v>304</v>
      </c>
      <c r="AI1266" s="63">
        <f t="shared" ref="AI1266:AI1305" si="242">AJ1266/(A1266*10000)</f>
        <v>1.6277807921866521E-3</v>
      </c>
      <c r="AJ1266" s="284">
        <f>RTD("money.excel",,$G1266,"PredictVolume")</f>
        <v>300</v>
      </c>
      <c r="AK1266" s="399">
        <f>IFERROR(VLOOKUP($G1266,基本資料!$A:$M,13,0),"無")</f>
        <v>5.28</v>
      </c>
    </row>
    <row r="1267" spans="1:37">
      <c r="A1267" s="347">
        <f>IFERROR(VLOOKUP($G1267,基本資料!$A:$J,3,0),"無")</f>
        <v>10</v>
      </c>
      <c r="B1267" s="79">
        <f>IFERROR(VLOOKUP($G1267,基本資料!$A:$J,4,0),"無")</f>
        <v>28</v>
      </c>
      <c r="C1267" s="79">
        <f>IFERROR(VLOOKUP($G1267,基本資料!$A:$J,5,0),"無")</f>
        <v>56</v>
      </c>
      <c r="D1267" s="79">
        <f>IFERROR(VLOOKUP($G1267,基本資料!$A:$J,6,0),"無")</f>
        <v>2</v>
      </c>
      <c r="E1267" s="79">
        <f>IFERROR(VLOOKUP($G1267,基本資料!$A:$J,7,0),"無")</f>
        <v>0</v>
      </c>
      <c r="F1267" s="6">
        <f>IFERROR(VLOOKUP($G1267,基本資料!$A:$J,8,0),"無")</f>
        <v>4.34</v>
      </c>
      <c r="G1267" s="79">
        <v>2453</v>
      </c>
      <c r="H1267" s="8" t="s">
        <v>313</v>
      </c>
      <c r="I1267" s="22" t="s">
        <v>1015</v>
      </c>
      <c r="J1267" s="8" t="str">
        <f>IFERROR(VLOOKUP($G1267,今日總結!$A:$AJ,35,0),"")</f>
        <v/>
      </c>
      <c r="K1267" s="5" t="str">
        <f>IFERROR(VLOOKUP($G1267,今日總結!$A:$AJ,36,0),"")</f>
        <v/>
      </c>
      <c r="L1267" s="156" t="str">
        <f>IFERROR(VLOOKUP($G1267,今日總結!$A:$AJ,33,0),"")</f>
        <v/>
      </c>
      <c r="M1267" s="340" t="str">
        <f>IFERROR(VLOOKUP($G1267,今日總結!$A:$AJ,34,0),"")</f>
        <v/>
      </c>
      <c r="N1267" s="240" t="str">
        <f t="shared" si="237"/>
        <v/>
      </c>
      <c r="P1267" s="365">
        <f>IFERROR(VLOOKUP($G1267,融外自投!$A:$J,7,0),"無")</f>
        <v>711</v>
      </c>
      <c r="Q1267" s="79">
        <f>IFERROR(VLOOKUP($G1267,融外自投!$A:$J,9,0),"無")</f>
        <v>207</v>
      </c>
      <c r="R1267" s="346">
        <f>IFERROR(VLOOKUP($G1267,融外自投!$A:$J,8,0),"無")</f>
        <v>673</v>
      </c>
      <c r="S1267" s="81">
        <f>IFERROR(VLOOKUP($G1267,融外自投!$A:$J,10,0),"無")</f>
        <v>383</v>
      </c>
      <c r="T1267" s="327">
        <f>IFERROR(VLOOKUP($G1267,'321買'!$A:$E,5,0),"'沒有資料'")</f>
        <v>1007</v>
      </c>
      <c r="U1267" s="186">
        <f>IFERROR(VLOOKUP($G1267,基本資料!$A:$J,9,0),"無")</f>
        <v>1.9</v>
      </c>
      <c r="V1267" s="310">
        <f t="shared" si="238"/>
        <v>7.1294559099437146E-2</v>
      </c>
      <c r="W1267" s="94">
        <f>IFERROR(VLOOKUP($G1267,基本資料!$A:$J,10,0),"無")</f>
        <v>2.16</v>
      </c>
      <c r="X1267" s="36">
        <f>RTD("money.excel",,"2453","Price")</f>
        <v>26.65</v>
      </c>
      <c r="Y1267" s="66"/>
      <c r="Z1267" s="15">
        <f t="shared" si="239"/>
        <v>26.65</v>
      </c>
      <c r="AA1267" s="3" t="e">
        <f t="shared" si="240"/>
        <v>#DIV/0!</v>
      </c>
      <c r="AB1267" s="344">
        <f>IFERROR(VLOOKUP($G1267,基本資料!$A:$M,11,0),"無")</f>
        <v>-17.77</v>
      </c>
      <c r="AC1267" s="397">
        <f>IFERROR(VLOOKUP($G1267,基本資料!$A:$M,12,0),"無")</f>
        <v>54.59</v>
      </c>
      <c r="AD1267" s="22" t="s">
        <v>1015</v>
      </c>
      <c r="AG1267" s="33">
        <f t="shared" si="241"/>
        <v>0</v>
      </c>
      <c r="AH1267" s="43" t="s">
        <v>304</v>
      </c>
      <c r="AI1267" s="63">
        <f t="shared" si="242"/>
        <v>1.1199999999999999E-3</v>
      </c>
      <c r="AJ1267" s="284">
        <f>RTD("money.excel",,$G1267,"PredictVolume")</f>
        <v>112</v>
      </c>
      <c r="AK1267" s="399">
        <f>IFERROR(VLOOKUP($G1267,基本資料!$A:$M,13,0),"無")</f>
        <v>14.68</v>
      </c>
    </row>
    <row r="1268" spans="1:37">
      <c r="A1268" s="347">
        <f>IFERROR(VLOOKUP($G1268,基本資料!$A:$J,3,0),"無")</f>
        <v>6.99</v>
      </c>
      <c r="B1268" s="79">
        <f>IFERROR(VLOOKUP($G1268,基本資料!$A:$J,4,0),"無")</f>
        <v>15</v>
      </c>
      <c r="C1268" s="79">
        <f>IFERROR(VLOOKUP($G1268,基本資料!$A:$J,5,0),"無")</f>
        <v>12</v>
      </c>
      <c r="D1268" s="79">
        <f>IFERROR(VLOOKUP($G1268,基本資料!$A:$J,6,0),"無")</f>
        <v>54</v>
      </c>
      <c r="E1268" s="79">
        <f>IFERROR(VLOOKUP($G1268,基本資料!$A:$J,7,0),"無")</f>
        <v>-1</v>
      </c>
      <c r="F1268" s="6">
        <f>IFERROR(VLOOKUP($G1268,基本資料!$A:$J,8,0),"無")</f>
        <v>2.4700000000000002</v>
      </c>
      <c r="G1268" s="79">
        <v>2468</v>
      </c>
      <c r="H1268" s="8" t="s">
        <v>313</v>
      </c>
      <c r="I1268" s="22" t="s">
        <v>1016</v>
      </c>
      <c r="J1268" s="8" t="str">
        <f>IFERROR(VLOOKUP($G1268,今日總結!$A:$AJ,35,0),"")</f>
        <v/>
      </c>
      <c r="K1268" s="5" t="str">
        <f>IFERROR(VLOOKUP($G1268,今日總結!$A:$AJ,36,0),"")</f>
        <v/>
      </c>
      <c r="L1268" s="156" t="str">
        <f>IFERROR(VLOOKUP($G1268,今日總結!$A:$AJ,33,0),"")</f>
        <v/>
      </c>
      <c r="M1268" s="340" t="str">
        <f>IFERROR(VLOOKUP($G1268,今日總結!$A:$AJ,34,0),"")</f>
        <v/>
      </c>
      <c r="N1268" s="240" t="str">
        <f t="shared" ref="N1268:N1305" si="243">IFERROR(L1268-M1268,"")</f>
        <v/>
      </c>
      <c r="P1268" s="365">
        <f>IFERROR(VLOOKUP($G1268,融外自投!$A:$J,7,0),"無")</f>
        <v>362</v>
      </c>
      <c r="Q1268" s="79">
        <f>IFERROR(VLOOKUP($G1268,融外自投!$A:$J,9,0),"無")</f>
        <v>978</v>
      </c>
      <c r="R1268" s="346">
        <f>IFERROR(VLOOKUP($G1268,融外自投!$A:$J,8,0),"無")</f>
        <v>1395</v>
      </c>
      <c r="S1268" s="81" t="str">
        <f>IFERROR(VLOOKUP($G1268,融外自投!$A:$J,10,0),"無")</f>
        <v>無</v>
      </c>
      <c r="T1268" s="327">
        <f>IFERROR(VLOOKUP($G1268,'321買'!$A:$E,5,0),"'沒有資料'")</f>
        <v>1338</v>
      </c>
      <c r="U1268" s="186">
        <f>IFERROR(VLOOKUP($G1268,基本資料!$A:$J,9,0),"無")</f>
        <v>0.4</v>
      </c>
      <c r="V1268" s="310">
        <f t="shared" si="238"/>
        <v>3.0888030888030892E-2</v>
      </c>
      <c r="W1268" s="94">
        <f>IFERROR(VLOOKUP($G1268,基本資料!$A:$J,10,0),"無")</f>
        <v>0.64</v>
      </c>
      <c r="X1268" s="36">
        <f>RTD("money.excel",,"2468","Price")</f>
        <v>12.95</v>
      </c>
      <c r="Y1268" s="66"/>
      <c r="Z1268" s="15">
        <f t="shared" si="239"/>
        <v>12.95</v>
      </c>
      <c r="AA1268" s="3" t="e">
        <f t="shared" si="240"/>
        <v>#DIV/0!</v>
      </c>
      <c r="AB1268" s="344">
        <f>IFERROR(VLOOKUP($G1268,基本資料!$A:$M,11,0),"無")</f>
        <v>-13.38</v>
      </c>
      <c r="AC1268" s="397">
        <f>IFERROR(VLOOKUP($G1268,基本資料!$A:$M,12,0),"無")</f>
        <v>29.96</v>
      </c>
      <c r="AD1268" s="22" t="s">
        <v>1016</v>
      </c>
      <c r="AG1268" s="33">
        <f t="shared" si="241"/>
        <v>0</v>
      </c>
      <c r="AH1268" s="43" t="s">
        <v>2048</v>
      </c>
      <c r="AI1268" s="63">
        <f t="shared" si="242"/>
        <v>1.1444921316165951E-4</v>
      </c>
      <c r="AJ1268" s="284">
        <f>RTD("money.excel",,$G1268,"PredictVolume")</f>
        <v>8</v>
      </c>
      <c r="AK1268" s="399">
        <f>IFERROR(VLOOKUP($G1268,基本資料!$A:$M,13,0),"無")</f>
        <v>10.28</v>
      </c>
    </row>
    <row r="1269" spans="1:37">
      <c r="A1269" s="347">
        <f>IFERROR(VLOOKUP($G1269,基本資料!$A:$J,3,0),"無")</f>
        <v>4.72</v>
      </c>
      <c r="B1269" s="79">
        <f>IFERROR(VLOOKUP($G1269,基本資料!$A:$J,4,0),"無")</f>
        <v>17</v>
      </c>
      <c r="C1269" s="79">
        <f>IFERROR(VLOOKUP($G1269,基本資料!$A:$J,5,0),"無")</f>
        <v>49</v>
      </c>
      <c r="D1269" s="79">
        <f>IFERROR(VLOOKUP($G1269,基本資料!$A:$J,6,0),"無")</f>
        <v>23</v>
      </c>
      <c r="E1269" s="79">
        <f>IFERROR(VLOOKUP($G1269,基本資料!$A:$J,7,0),"無")</f>
        <v>32</v>
      </c>
      <c r="F1269" s="6">
        <f>IFERROR(VLOOKUP($G1269,基本資料!$A:$J,8,0),"無")</f>
        <v>15.42</v>
      </c>
      <c r="G1269" s="79">
        <v>2471</v>
      </c>
      <c r="H1269" s="8" t="s">
        <v>313</v>
      </c>
      <c r="I1269" s="22" t="s">
        <v>1017</v>
      </c>
      <c r="J1269" s="8">
        <f>IFERROR(VLOOKUP($G1269,今日總結!$A:$AJ,35,0),"")</f>
        <v>0</v>
      </c>
      <c r="K1269" s="5">
        <f>IFERROR(VLOOKUP($G1269,今日總結!$A:$AJ,36,0),"")</f>
        <v>0</v>
      </c>
      <c r="L1269" s="156">
        <f>IFERROR(VLOOKUP($G1269,今日總結!$A:$AJ,33,0),"")</f>
        <v>0</v>
      </c>
      <c r="M1269" s="340">
        <f>IFERROR(VLOOKUP($G1269,今日總結!$A:$AJ,34,0),"")</f>
        <v>1</v>
      </c>
      <c r="N1269" s="240">
        <f t="shared" si="243"/>
        <v>-1</v>
      </c>
      <c r="P1269" s="365">
        <f>IFERROR(VLOOKUP($G1269,融外自投!$A:$J,7,0),"無")</f>
        <v>897</v>
      </c>
      <c r="Q1269" s="79">
        <f>IFERROR(VLOOKUP($G1269,融外自投!$A:$J,9,0),"無")</f>
        <v>558</v>
      </c>
      <c r="R1269" s="346">
        <f>IFERROR(VLOOKUP($G1269,融外自投!$A:$J,8,0),"無")</f>
        <v>974</v>
      </c>
      <c r="S1269" s="81" t="str">
        <f>IFERROR(VLOOKUP($G1269,融外自投!$A:$J,10,0),"無")</f>
        <v>無</v>
      </c>
      <c r="T1269" s="327">
        <f>IFERROR(VLOOKUP($G1269,'321買'!$A:$E,5,0),"'沒有資料'")</f>
        <v>964</v>
      </c>
      <c r="U1269" s="186">
        <f>IFERROR(VLOOKUP($G1269,基本資料!$A:$J,9,0),"無")</f>
        <v>2.2400000000000002</v>
      </c>
      <c r="V1269" s="310">
        <f t="shared" si="238"/>
        <v>8.3582089552238809E-2</v>
      </c>
      <c r="W1269" s="94">
        <f>IFERROR(VLOOKUP($G1269,基本資料!$A:$J,10,0),"無")</f>
        <v>2.42</v>
      </c>
      <c r="X1269" s="36">
        <f>RTD("money.excel",,"2471","Price")</f>
        <v>26.8</v>
      </c>
      <c r="Y1269" s="66"/>
      <c r="Z1269" s="15">
        <f t="shared" si="239"/>
        <v>26.8</v>
      </c>
      <c r="AA1269" s="3" t="e">
        <f t="shared" si="240"/>
        <v>#DIV/0!</v>
      </c>
      <c r="AB1269" s="344">
        <f>IFERROR(VLOOKUP($G1269,基本資料!$A:$M,11,0),"無")</f>
        <v>-7.72</v>
      </c>
      <c r="AC1269" s="397">
        <f>IFERROR(VLOOKUP($G1269,基本資料!$A:$M,12,0),"無")</f>
        <v>62.78</v>
      </c>
      <c r="AD1269" s="22" t="s">
        <v>1017</v>
      </c>
      <c r="AG1269" s="33">
        <f t="shared" si="241"/>
        <v>0</v>
      </c>
      <c r="AH1269" s="43" t="s">
        <v>304</v>
      </c>
      <c r="AI1269" s="63">
        <f t="shared" si="242"/>
        <v>8.8983050847457623E-4</v>
      </c>
      <c r="AJ1269" s="284">
        <f>RTD("money.excel",,$G1269,"PredictVolume")</f>
        <v>42</v>
      </c>
      <c r="AK1269" s="399">
        <f>IFERROR(VLOOKUP($G1269,基本資料!$A:$M,13,0),"無")</f>
        <v>3.31</v>
      </c>
    </row>
    <row r="1270" spans="1:37">
      <c r="A1270" s="347">
        <f>IFERROR(VLOOKUP($G1270,基本資料!$A:$J,3,0),"無")</f>
        <v>10.63</v>
      </c>
      <c r="B1270" s="79">
        <f>IFERROR(VLOOKUP($G1270,基本資料!$A:$J,4,0),"無")</f>
        <v>28</v>
      </c>
      <c r="C1270" s="79">
        <f>IFERROR(VLOOKUP($G1270,基本資料!$A:$J,5,0),"無")</f>
        <v>39</v>
      </c>
      <c r="D1270" s="79">
        <f>IFERROR(VLOOKUP($G1270,基本資料!$A:$J,6,0),"無")</f>
        <v>16</v>
      </c>
      <c r="E1270" s="79">
        <f>IFERROR(VLOOKUP($G1270,基本資料!$A:$J,7,0),"無")</f>
        <v>3</v>
      </c>
      <c r="F1270" s="6">
        <f>IFERROR(VLOOKUP($G1270,基本資料!$A:$J,8,0),"無")</f>
        <v>11.56</v>
      </c>
      <c r="G1270" s="79">
        <v>2480</v>
      </c>
      <c r="H1270" s="8" t="s">
        <v>313</v>
      </c>
      <c r="I1270" s="22" t="s">
        <v>1018</v>
      </c>
      <c r="J1270" s="8">
        <f>IFERROR(VLOOKUP($G1270,今日總結!$A:$AJ,35,0),"")</f>
        <v>0</v>
      </c>
      <c r="K1270" s="5" t="str">
        <f>IFERROR(VLOOKUP($G1270,今日總結!$A:$AJ,36,0),"")</f>
        <v>外</v>
      </c>
      <c r="L1270" s="156">
        <f>IFERROR(VLOOKUP($G1270,今日總結!$A:$AJ,33,0),"")</f>
        <v>0</v>
      </c>
      <c r="M1270" s="340">
        <f>IFERROR(VLOOKUP($G1270,今日總結!$A:$AJ,34,0),"")</f>
        <v>2</v>
      </c>
      <c r="N1270" s="240">
        <f t="shared" si="243"/>
        <v>-2</v>
      </c>
      <c r="P1270" s="365">
        <f>IFERROR(VLOOKUP($G1270,融外自投!$A:$J,7,0),"無")</f>
        <v>1159</v>
      </c>
      <c r="Q1270" s="79">
        <f>IFERROR(VLOOKUP($G1270,融外自投!$A:$J,9,0),"無")</f>
        <v>194</v>
      </c>
      <c r="R1270" s="346">
        <f>IFERROR(VLOOKUP($G1270,融外自投!$A:$J,8,0),"無")</f>
        <v>565</v>
      </c>
      <c r="S1270" s="81">
        <f>IFERROR(VLOOKUP($G1270,融外自投!$A:$J,10,0),"無")</f>
        <v>289</v>
      </c>
      <c r="T1270" s="327">
        <f>IFERROR(VLOOKUP($G1270,'321買'!$A:$E,5,0),"'沒有資料'")</f>
        <v>480</v>
      </c>
      <c r="U1270" s="186">
        <f>IFERROR(VLOOKUP($G1270,基本資料!$A:$J,9,0),"無")</f>
        <v>5.62</v>
      </c>
      <c r="V1270" s="310">
        <f t="shared" si="238"/>
        <v>6.2375138734739183E-2</v>
      </c>
      <c r="W1270" s="94">
        <f>IFERROR(VLOOKUP($G1270,基本資料!$A:$J,10,0),"無")</f>
        <v>6</v>
      </c>
      <c r="X1270" s="36">
        <f>RTD("money.excel",,"2480","Price")</f>
        <v>90.1</v>
      </c>
      <c r="Y1270" s="66"/>
      <c r="Z1270" s="15">
        <f t="shared" si="239"/>
        <v>90.1</v>
      </c>
      <c r="AA1270" s="3" t="e">
        <f t="shared" si="240"/>
        <v>#DIV/0!</v>
      </c>
      <c r="AB1270" s="344">
        <f>IFERROR(VLOOKUP($G1270,基本資料!$A:$M,11,0),"無")</f>
        <v>-11.13</v>
      </c>
      <c r="AC1270" s="397">
        <f>IFERROR(VLOOKUP($G1270,基本資料!$A:$M,12,0),"無")</f>
        <v>23.41</v>
      </c>
      <c r="AD1270" s="22" t="s">
        <v>1018</v>
      </c>
      <c r="AG1270" s="33">
        <f t="shared" si="241"/>
        <v>0</v>
      </c>
      <c r="AH1270" s="43" t="s">
        <v>2687</v>
      </c>
      <c r="AI1270" s="63">
        <f t="shared" si="242"/>
        <v>1.2793979303857006E-3</v>
      </c>
      <c r="AJ1270" s="284">
        <f>RTD("money.excel",,$G1270,"PredictVolume")</f>
        <v>136</v>
      </c>
      <c r="AK1270" s="399">
        <f>IFERROR(VLOOKUP($G1270,基本資料!$A:$M,13,0),"無")</f>
        <v>2.64</v>
      </c>
    </row>
    <row r="1271" spans="1:37">
      <c r="A1271" s="347">
        <f>IFERROR(VLOOKUP($G1271,基本資料!$A:$J,3,0),"無")</f>
        <v>15.24</v>
      </c>
      <c r="B1271" s="79">
        <f>IFERROR(VLOOKUP($G1271,基本資料!$A:$J,4,0),"無")</f>
        <v>21</v>
      </c>
      <c r="C1271" s="79">
        <f>IFERROR(VLOOKUP($G1271,基本資料!$A:$J,5,0),"無")</f>
        <v>24</v>
      </c>
      <c r="D1271" s="79">
        <f>IFERROR(VLOOKUP($G1271,基本資料!$A:$J,6,0),"無")</f>
        <v>-16</v>
      </c>
      <c r="E1271" s="79">
        <f>IFERROR(VLOOKUP($G1271,基本資料!$A:$J,7,0),"無")</f>
        <v>0</v>
      </c>
      <c r="F1271" s="6">
        <f>IFERROR(VLOOKUP($G1271,基本資料!$A:$J,8,0),"無")</f>
        <v>4.8600000000000003</v>
      </c>
      <c r="G1271" s="79">
        <v>3029</v>
      </c>
      <c r="H1271" s="8" t="s">
        <v>313</v>
      </c>
      <c r="I1271" s="22" t="s">
        <v>1019</v>
      </c>
      <c r="J1271" s="8" t="str">
        <f>IFERROR(VLOOKUP($G1271,今日總結!$A:$AJ,35,0),"")</f>
        <v/>
      </c>
      <c r="K1271" s="5" t="str">
        <f>IFERROR(VLOOKUP($G1271,今日總結!$A:$AJ,36,0),"")</f>
        <v/>
      </c>
      <c r="L1271" s="156" t="str">
        <f>IFERROR(VLOOKUP($G1271,今日總結!$A:$AJ,33,0),"")</f>
        <v/>
      </c>
      <c r="M1271" s="340" t="str">
        <f>IFERROR(VLOOKUP($G1271,今日總結!$A:$AJ,34,0),"")</f>
        <v/>
      </c>
      <c r="N1271" s="240" t="str">
        <f t="shared" si="243"/>
        <v/>
      </c>
      <c r="P1271" s="365">
        <f>IFERROR(VLOOKUP($G1271,融外自投!$A:$J,7,0),"無")</f>
        <v>926</v>
      </c>
      <c r="Q1271" s="79">
        <f>IFERROR(VLOOKUP($G1271,融外自投!$A:$J,9,0),"無")</f>
        <v>350</v>
      </c>
      <c r="R1271" s="346">
        <f>IFERROR(VLOOKUP($G1271,融外自投!$A:$J,8,0),"無")</f>
        <v>816</v>
      </c>
      <c r="S1271" s="81" t="str">
        <f>IFERROR(VLOOKUP($G1271,融外自投!$A:$J,10,0),"無")</f>
        <v>無</v>
      </c>
      <c r="T1271" s="327">
        <f>IFERROR(VLOOKUP($G1271,'321買'!$A:$E,5,0),"'沒有資料'")</f>
        <v>664</v>
      </c>
      <c r="U1271" s="186">
        <f>IFERROR(VLOOKUP($G1271,基本資料!$A:$J,9,0),"無")</f>
        <v>3.6</v>
      </c>
      <c r="V1271" s="310">
        <f t="shared" si="238"/>
        <v>8.7061668681983076E-2</v>
      </c>
      <c r="W1271" s="94">
        <f>IFERROR(VLOOKUP($G1271,基本資料!$A:$J,10,0),"無")</f>
        <v>4.24</v>
      </c>
      <c r="X1271" s="36">
        <f>RTD("money.excel",,"3029","Price")</f>
        <v>41.35</v>
      </c>
      <c r="Y1271" s="66"/>
      <c r="Z1271" s="15">
        <f t="shared" si="239"/>
        <v>41.35</v>
      </c>
      <c r="AA1271" s="3" t="e">
        <f t="shared" si="240"/>
        <v>#DIV/0!</v>
      </c>
      <c r="AB1271" s="344">
        <f>IFERROR(VLOOKUP($G1271,基本資料!$A:$M,11,0),"無")</f>
        <v>-17.03</v>
      </c>
      <c r="AC1271" s="397">
        <f>IFERROR(VLOOKUP($G1271,基本資料!$A:$M,12,0),"無")</f>
        <v>11.68</v>
      </c>
      <c r="AD1271" s="22" t="s">
        <v>1019</v>
      </c>
      <c r="AG1271" s="33">
        <f t="shared" si="241"/>
        <v>0</v>
      </c>
      <c r="AH1271" s="43" t="s">
        <v>1544</v>
      </c>
      <c r="AI1271" s="63">
        <f t="shared" si="242"/>
        <v>1.036745406824147E-3</v>
      </c>
      <c r="AJ1271" s="284">
        <f>RTD("money.excel",,$G1271,"PredictVolume")</f>
        <v>158</v>
      </c>
      <c r="AK1271" s="399">
        <f>IFERROR(VLOOKUP($G1271,基本資料!$A:$M,13,0),"無")</f>
        <v>6.68</v>
      </c>
    </row>
    <row r="1272" spans="1:37">
      <c r="A1272" s="347">
        <f>IFERROR(VLOOKUP($G1272,基本資料!$A:$J,3,0),"無")</f>
        <v>3.31</v>
      </c>
      <c r="B1272" s="79">
        <f>IFERROR(VLOOKUP($G1272,基本資料!$A:$J,4,0),"無")</f>
        <v>43</v>
      </c>
      <c r="C1272" s="79">
        <f>IFERROR(VLOOKUP($G1272,基本資料!$A:$J,5,0),"無")</f>
        <v>37</v>
      </c>
      <c r="D1272" s="79">
        <f>IFERROR(VLOOKUP($G1272,基本資料!$A:$J,6,0),"無")</f>
        <v>36</v>
      </c>
      <c r="E1272" s="79">
        <f>IFERROR(VLOOKUP($G1272,基本資料!$A:$J,7,0),"無")</f>
        <v>19</v>
      </c>
      <c r="F1272" s="6">
        <f>IFERROR(VLOOKUP($G1272,基本資料!$A:$J,8,0),"無")</f>
        <v>21.34</v>
      </c>
      <c r="G1272" s="79">
        <v>3130</v>
      </c>
      <c r="H1272" s="8" t="s">
        <v>313</v>
      </c>
      <c r="I1272" s="22" t="s">
        <v>1020</v>
      </c>
      <c r="J1272" s="8">
        <f>IFERROR(VLOOKUP($G1272,今日總結!$A:$AJ,35,0),"")</f>
        <v>0</v>
      </c>
      <c r="K1272" s="5" t="str">
        <f>IFERROR(VLOOKUP($G1272,今日總結!$A:$AJ,36,0),"")</f>
        <v>外</v>
      </c>
      <c r="L1272" s="156">
        <f>IFERROR(VLOOKUP($G1272,今日總結!$A:$AJ,33,0),"")</f>
        <v>0</v>
      </c>
      <c r="M1272" s="340">
        <f>IFERROR(VLOOKUP($G1272,今日總結!$A:$AJ,34,0),"")</f>
        <v>1</v>
      </c>
      <c r="N1272" s="240">
        <f t="shared" si="243"/>
        <v>-1</v>
      </c>
      <c r="P1272" s="365">
        <f>IFERROR(VLOOKUP($G1272,融外自投!$A:$J,7,0),"無")</f>
        <v>1460</v>
      </c>
      <c r="Q1272" s="79">
        <f>IFERROR(VLOOKUP($G1272,融外自投!$A:$J,9,0),"無")</f>
        <v>117</v>
      </c>
      <c r="R1272" s="346">
        <f>IFERROR(VLOOKUP($G1272,融外自投!$A:$J,8,0),"無")</f>
        <v>122</v>
      </c>
      <c r="S1272" s="81" t="str">
        <f>IFERROR(VLOOKUP($G1272,融外自投!$A:$J,10,0),"無")</f>
        <v>無</v>
      </c>
      <c r="T1272" s="327">
        <f>IFERROR(VLOOKUP($G1272,'321買'!$A:$E,5,0),"'沒有資料'")</f>
        <v>1281</v>
      </c>
      <c r="U1272" s="186">
        <f>IFERROR(VLOOKUP($G1272,基本資料!$A:$J,9,0),"無")</f>
        <v>11.16</v>
      </c>
      <c r="V1272" s="310">
        <f t="shared" si="238"/>
        <v>5.6221662468513851E-2</v>
      </c>
      <c r="W1272" s="94">
        <f>IFERROR(VLOOKUP($G1272,基本資料!$A:$J,10,0),"無")</f>
        <v>11.16</v>
      </c>
      <c r="X1272" s="36">
        <f>RTD("money.excel",,"3130","Price")</f>
        <v>198.5</v>
      </c>
      <c r="Y1272" s="66"/>
      <c r="Z1272" s="15">
        <f t="shared" si="239"/>
        <v>198.5</v>
      </c>
      <c r="AA1272" s="3" t="e">
        <f t="shared" si="240"/>
        <v>#DIV/0!</v>
      </c>
      <c r="AB1272" s="344">
        <f>IFERROR(VLOOKUP($G1272,基本資料!$A:$M,11,0),"無")</f>
        <v>-2.7</v>
      </c>
      <c r="AC1272" s="397">
        <f>IFERROR(VLOOKUP($G1272,基本資料!$A:$M,12,0),"無")</f>
        <v>59.95</v>
      </c>
      <c r="AD1272" s="22" t="s">
        <v>1020</v>
      </c>
      <c r="AG1272" s="33">
        <f t="shared" si="241"/>
        <v>0</v>
      </c>
      <c r="AH1272" s="43" t="s">
        <v>2777</v>
      </c>
      <c r="AI1272" s="63">
        <f t="shared" si="242"/>
        <v>3.5951661631419942E-3</v>
      </c>
      <c r="AJ1272" s="284">
        <f>RTD("money.excel",,$G1272,"PredictVolume")</f>
        <v>119</v>
      </c>
      <c r="AK1272" s="399">
        <f>IFERROR(VLOOKUP($G1272,基本資料!$A:$M,13,0),"無")</f>
        <v>0.24</v>
      </c>
    </row>
    <row r="1273" spans="1:37">
      <c r="A1273" s="347">
        <f>IFERROR(VLOOKUP($G1273,基本資料!$A:$J,3,0),"無")</f>
        <v>1.7</v>
      </c>
      <c r="B1273" s="79">
        <f>IFERROR(VLOOKUP($G1273,基本資料!$A:$J,4,0),"無")</f>
        <v>6</v>
      </c>
      <c r="C1273" s="79">
        <f>IFERROR(VLOOKUP($G1273,基本資料!$A:$J,5,0),"無")</f>
        <v>9</v>
      </c>
      <c r="D1273" s="79">
        <f>IFERROR(VLOOKUP($G1273,基本資料!$A:$J,6,0),"無")</f>
        <v>96</v>
      </c>
      <c r="E1273" s="79">
        <f>IFERROR(VLOOKUP($G1273,基本資料!$A:$J,7,0),"無")</f>
        <v>35</v>
      </c>
      <c r="F1273" s="6">
        <f>IFERROR(VLOOKUP($G1273,基本資料!$A:$J,8,0),"無")</f>
        <v>13.63</v>
      </c>
      <c r="G1273" s="79">
        <v>3570</v>
      </c>
      <c r="H1273" s="8" t="s">
        <v>313</v>
      </c>
      <c r="I1273" s="16" t="s">
        <v>995</v>
      </c>
      <c r="J1273" s="8" t="str">
        <f>IFERROR(VLOOKUP($G1273,今日總結!$A:$AJ,35,0),"")</f>
        <v/>
      </c>
      <c r="K1273" s="5" t="str">
        <f>IFERROR(VLOOKUP($G1273,今日總結!$A:$AJ,36,0),"")</f>
        <v/>
      </c>
      <c r="L1273" s="156" t="str">
        <f>IFERROR(VLOOKUP($G1273,今日總結!$A:$AJ,33,0),"")</f>
        <v/>
      </c>
      <c r="M1273" s="340" t="str">
        <f>IFERROR(VLOOKUP($G1273,今日總結!$A:$AJ,34,0),"")</f>
        <v/>
      </c>
      <c r="N1273" s="240" t="str">
        <f t="shared" si="243"/>
        <v/>
      </c>
      <c r="P1273" s="365" t="str">
        <f>IFERROR(VLOOKUP($G1273,融外自投!$A:$J,7,0),"無")</f>
        <v>無</v>
      </c>
      <c r="Q1273" s="79" t="str">
        <f>IFERROR(VLOOKUP($G1273,融外自投!$A:$J,9,0),"無")</f>
        <v>無</v>
      </c>
      <c r="R1273" s="346" t="str">
        <f>IFERROR(VLOOKUP($G1273,融外自投!$A:$J,8,0),"無")</f>
        <v>無</v>
      </c>
      <c r="S1273" s="81" t="str">
        <f>IFERROR(VLOOKUP($G1273,融外自投!$A:$J,10,0),"無")</f>
        <v>無</v>
      </c>
      <c r="T1273" s="327" t="str">
        <f>IFERROR(VLOOKUP($G1273,'321買'!$A:$E,5,0),"'沒有資料'")</f>
        <v>'沒有資料'</v>
      </c>
      <c r="U1273" s="186">
        <f>IFERROR(VLOOKUP($G1273,基本資料!$A:$J,9,0),"無")</f>
        <v>6</v>
      </c>
      <c r="V1273" s="310">
        <f t="shared" si="238"/>
        <v>7.0339976553341149E-2</v>
      </c>
      <c r="W1273" s="94">
        <f>IFERROR(VLOOKUP($G1273,基本資料!$A:$J,10,0),"無")</f>
        <v>8.5</v>
      </c>
      <c r="X1273" s="36">
        <f>RTD("money.excel",,"3570","Price")</f>
        <v>85.3</v>
      </c>
      <c r="Y1273" s="66"/>
      <c r="Z1273" s="15">
        <f t="shared" si="239"/>
        <v>85.3</v>
      </c>
      <c r="AA1273" s="3" t="e">
        <f t="shared" si="240"/>
        <v>#DIV/0!</v>
      </c>
      <c r="AB1273" s="344">
        <f>IFERROR(VLOOKUP($G1273,基本資料!$A:$M,11,0),"無")</f>
        <v>-4.7300000000000004</v>
      </c>
      <c r="AC1273" s="397">
        <f>IFERROR(VLOOKUP($G1273,基本資料!$A:$M,12,0),"無")</f>
        <v>63.2</v>
      </c>
      <c r="AD1273" s="16" t="s">
        <v>995</v>
      </c>
      <c r="AG1273" s="33">
        <f t="shared" si="241"/>
        <v>0</v>
      </c>
      <c r="AH1273" s="43" t="s">
        <v>3000</v>
      </c>
      <c r="AI1273" s="63">
        <f t="shared" si="242"/>
        <v>4.1176470588235297E-3</v>
      </c>
      <c r="AJ1273" s="284">
        <f>RTD("money.excel",,$G1273,"PredictVolume")</f>
        <v>70</v>
      </c>
      <c r="AK1273" s="399">
        <f>IFERROR(VLOOKUP($G1273,基本資料!$A:$M,13,0),"無")</f>
        <v>1.8</v>
      </c>
    </row>
    <row r="1274" spans="1:37">
      <c r="A1274" s="347">
        <f>IFERROR(VLOOKUP($G1274,基本資料!$A:$J,3,0),"無")</f>
        <v>6.69</v>
      </c>
      <c r="B1274" s="79">
        <f>IFERROR(VLOOKUP($G1274,基本資料!$A:$J,4,0),"無")</f>
        <v>-2</v>
      </c>
      <c r="C1274" s="79">
        <f>IFERROR(VLOOKUP($G1274,基本資料!$A:$J,5,0),"無")</f>
        <v>-5</v>
      </c>
      <c r="D1274" s="79">
        <f>IFERROR(VLOOKUP($G1274,基本資料!$A:$J,6,0),"無")</f>
        <v>-1</v>
      </c>
      <c r="E1274" s="79">
        <f>IFERROR(VLOOKUP($G1274,基本資料!$A:$J,7,0),"無")</f>
        <v>33</v>
      </c>
      <c r="F1274" s="6">
        <f>IFERROR(VLOOKUP($G1274,基本資料!$A:$J,8,0),"無")</f>
        <v>7.44</v>
      </c>
      <c r="G1274" s="79">
        <v>4953</v>
      </c>
      <c r="H1274" s="8" t="s">
        <v>313</v>
      </c>
      <c r="I1274" s="16" t="s">
        <v>996</v>
      </c>
      <c r="J1274" s="8">
        <f>IFERROR(VLOOKUP($G1274,今日總結!$A:$AJ,35,0),"")</f>
        <v>0</v>
      </c>
      <c r="K1274" s="5" t="str">
        <f>IFERROR(VLOOKUP($G1274,今日總結!$A:$AJ,36,0),"")</f>
        <v>借</v>
      </c>
      <c r="L1274" s="156">
        <f>IFERROR(VLOOKUP($G1274,今日總結!$A:$AJ,33,0),"")</f>
        <v>0</v>
      </c>
      <c r="M1274" s="340">
        <f>IFERROR(VLOOKUP($G1274,今日總結!$A:$AJ,34,0),"")</f>
        <v>1</v>
      </c>
      <c r="N1274" s="240">
        <f t="shared" si="243"/>
        <v>-1</v>
      </c>
      <c r="P1274" s="365">
        <f>IFERROR(VLOOKUP($G1274,融外自投!$A:$J,7,0),"無")</f>
        <v>350</v>
      </c>
      <c r="Q1274" s="79">
        <f>IFERROR(VLOOKUP($G1274,融外自投!$A:$J,9,0),"無")</f>
        <v>187</v>
      </c>
      <c r="R1274" s="346">
        <f>IFERROR(VLOOKUP($G1274,融外自投!$A:$J,8,0),"無")</f>
        <v>498</v>
      </c>
      <c r="S1274" s="81">
        <f>IFERROR(VLOOKUP($G1274,融外自投!$A:$J,10,0),"無")</f>
        <v>209</v>
      </c>
      <c r="T1274" s="327">
        <f>IFERROR(VLOOKUP($G1274,'321買'!$A:$E,5,0),"'沒有資料'")</f>
        <v>852</v>
      </c>
      <c r="U1274" s="186">
        <f>IFERROR(VLOOKUP($G1274,基本資料!$A:$J,9,0),"無")</f>
        <v>4.5999999999999996</v>
      </c>
      <c r="V1274" s="310">
        <f t="shared" si="238"/>
        <v>5.5089820359281436E-2</v>
      </c>
      <c r="W1274" s="94">
        <f>IFERROR(VLOOKUP($G1274,基本資料!$A:$J,10,0),"無")</f>
        <v>6.91</v>
      </c>
      <c r="X1274" s="36">
        <f>RTD("money.excel",,"4953","Price")</f>
        <v>83.5</v>
      </c>
      <c r="Y1274" s="66"/>
      <c r="Z1274" s="15">
        <f t="shared" si="239"/>
        <v>83.5</v>
      </c>
      <c r="AA1274" s="3" t="e">
        <f t="shared" si="240"/>
        <v>#DIV/0!</v>
      </c>
      <c r="AB1274" s="344">
        <f>IFERROR(VLOOKUP($G1274,基本資料!$A:$M,11,0),"無")</f>
        <v>-20.66</v>
      </c>
      <c r="AC1274" s="397">
        <f>IFERROR(VLOOKUP($G1274,基本資料!$A:$M,12,0),"無")</f>
        <v>25.66</v>
      </c>
      <c r="AD1274" s="16" t="s">
        <v>996</v>
      </c>
      <c r="AG1274" s="33">
        <f t="shared" si="241"/>
        <v>0</v>
      </c>
      <c r="AH1274" s="43" t="s">
        <v>1958</v>
      </c>
      <c r="AI1274" s="63">
        <f t="shared" si="242"/>
        <v>2.6457399103139013E-3</v>
      </c>
      <c r="AJ1274" s="284">
        <f>RTD("money.excel",,$G1274,"PredictVolume")</f>
        <v>177</v>
      </c>
      <c r="AK1274" s="399">
        <f>IFERROR(VLOOKUP($G1274,基本資料!$A:$M,13,0),"無")</f>
        <v>2.2799999999999998</v>
      </c>
    </row>
    <row r="1275" spans="1:37">
      <c r="A1275" s="347">
        <f>IFERROR(VLOOKUP($G1275,基本資料!$A:$J,3,0),"無")</f>
        <v>11.06</v>
      </c>
      <c r="B1275" s="79">
        <f>IFERROR(VLOOKUP($G1275,基本資料!$A:$J,4,0),"無")</f>
        <v>-68</v>
      </c>
      <c r="C1275" s="79">
        <f>IFERROR(VLOOKUP($G1275,基本資料!$A:$J,5,0),"無")</f>
        <v>-39</v>
      </c>
      <c r="D1275" s="79">
        <f>IFERROR(VLOOKUP($G1275,基本資料!$A:$J,6,0),"無")</f>
        <v>4</v>
      </c>
      <c r="E1275" s="79">
        <f>IFERROR(VLOOKUP($G1275,基本資料!$A:$J,7,0),"無")</f>
        <v>-27</v>
      </c>
      <c r="F1275" s="6">
        <f>IFERROR(VLOOKUP($G1275,基本資料!$A:$J,8,0),"無")</f>
        <v>11.58</v>
      </c>
      <c r="G1275" s="79">
        <v>4994</v>
      </c>
      <c r="H1275" s="8" t="s">
        <v>313</v>
      </c>
      <c r="I1275" s="22" t="s">
        <v>1021</v>
      </c>
      <c r="J1275" s="8" t="str">
        <f>IFERROR(VLOOKUP($G1275,今日總結!$A:$AJ,35,0),"")</f>
        <v/>
      </c>
      <c r="K1275" s="5" t="str">
        <f>IFERROR(VLOOKUP($G1275,今日總結!$A:$AJ,36,0),"")</f>
        <v/>
      </c>
      <c r="L1275" s="156" t="str">
        <f>IFERROR(VLOOKUP($G1275,今日總結!$A:$AJ,33,0),"")</f>
        <v/>
      </c>
      <c r="M1275" s="340" t="str">
        <f>IFERROR(VLOOKUP($G1275,今日總結!$A:$AJ,34,0),"")</f>
        <v/>
      </c>
      <c r="N1275" s="240" t="str">
        <f t="shared" si="243"/>
        <v/>
      </c>
      <c r="P1275" s="365">
        <f>IFERROR(VLOOKUP($G1275,融外自投!$A:$J,7,0),"無")</f>
        <v>702</v>
      </c>
      <c r="Q1275" s="79">
        <f>IFERROR(VLOOKUP($G1275,融外自投!$A:$J,9,0),"無")</f>
        <v>708</v>
      </c>
      <c r="R1275" s="346">
        <f>IFERROR(VLOOKUP($G1275,融外自投!$A:$J,8,0),"無")</f>
        <v>1197</v>
      </c>
      <c r="S1275" s="81" t="str">
        <f>IFERROR(VLOOKUP($G1275,融外自投!$A:$J,10,0),"無")</f>
        <v>無</v>
      </c>
      <c r="T1275" s="327">
        <f>IFERROR(VLOOKUP($G1275,'321買'!$A:$E,5,0),"'沒有資料'")</f>
        <v>1038</v>
      </c>
      <c r="U1275" s="186">
        <f>IFERROR(VLOOKUP($G1275,基本資料!$A:$J,9,0),"無")</f>
        <v>1.5</v>
      </c>
      <c r="V1275" s="310">
        <f t="shared" si="238"/>
        <v>3.4443168771526984E-2</v>
      </c>
      <c r="W1275" s="94">
        <f>IFERROR(VLOOKUP($G1275,基本資料!$A:$J,10,0),"無")</f>
        <v>1.23</v>
      </c>
      <c r="X1275" s="36">
        <f>RTD("money.excel",,"4994","Price")</f>
        <v>43.55</v>
      </c>
      <c r="Y1275" s="66"/>
      <c r="Z1275" s="15">
        <f t="shared" si="239"/>
        <v>43.55</v>
      </c>
      <c r="AA1275" s="3" t="e">
        <f t="shared" si="240"/>
        <v>#DIV/0!</v>
      </c>
      <c r="AB1275" s="344">
        <f>IFERROR(VLOOKUP($G1275,基本資料!$A:$M,11,0),"無")</f>
        <v>-41.62</v>
      </c>
      <c r="AC1275" s="397">
        <f>IFERROR(VLOOKUP($G1275,基本資料!$A:$M,12,0),"無")</f>
        <v>24.01</v>
      </c>
      <c r="AD1275" s="22" t="s">
        <v>1021</v>
      </c>
      <c r="AG1275" s="33">
        <f t="shared" si="241"/>
        <v>0</v>
      </c>
      <c r="AH1275" s="43" t="s">
        <v>2319</v>
      </c>
      <c r="AI1275" s="63">
        <f t="shared" si="242"/>
        <v>1.6184448462929475E-3</v>
      </c>
      <c r="AJ1275" s="284">
        <f>RTD("money.excel",,$G1275,"PredictVolume")</f>
        <v>179</v>
      </c>
      <c r="AK1275" s="399">
        <f>IFERROR(VLOOKUP($G1275,基本資料!$A:$M,13,0),"無")</f>
        <v>7</v>
      </c>
    </row>
    <row r="1276" spans="1:37">
      <c r="A1276" s="347">
        <f>IFERROR(VLOOKUP($G1276,基本資料!$A:$J,3,0),"無")</f>
        <v>3.06</v>
      </c>
      <c r="B1276" s="79">
        <f>IFERROR(VLOOKUP($G1276,基本資料!$A:$J,4,0),"無")</f>
        <v>-49</v>
      </c>
      <c r="C1276" s="79">
        <f>IFERROR(VLOOKUP($G1276,基本資料!$A:$J,5,0),"無")</f>
        <v>-80</v>
      </c>
      <c r="D1276" s="79">
        <f>IFERROR(VLOOKUP($G1276,基本資料!$A:$J,6,0),"無")</f>
        <v>-34</v>
      </c>
      <c r="E1276" s="79">
        <f>IFERROR(VLOOKUP($G1276,基本資料!$A:$J,7,0),"無")</f>
        <v>15</v>
      </c>
      <c r="F1276" s="6">
        <f>IFERROR(VLOOKUP($G1276,基本資料!$A:$J,8,0),"無")</f>
        <v>7.45</v>
      </c>
      <c r="G1276" s="79">
        <v>5201</v>
      </c>
      <c r="H1276" s="8" t="s">
        <v>313</v>
      </c>
      <c r="I1276" s="16" t="s">
        <v>997</v>
      </c>
      <c r="J1276" s="8" t="str">
        <f>IFERROR(VLOOKUP($G1276,今日總結!$A:$AJ,35,0),"")</f>
        <v/>
      </c>
      <c r="K1276" s="5" t="str">
        <f>IFERROR(VLOOKUP($G1276,今日總結!$A:$AJ,36,0),"")</f>
        <v/>
      </c>
      <c r="L1276" s="156" t="str">
        <f>IFERROR(VLOOKUP($G1276,今日總結!$A:$AJ,33,0),"")</f>
        <v/>
      </c>
      <c r="M1276" s="340" t="str">
        <f>IFERROR(VLOOKUP($G1276,今日總結!$A:$AJ,34,0),"")</f>
        <v/>
      </c>
      <c r="N1276" s="240" t="str">
        <f t="shared" si="243"/>
        <v/>
      </c>
      <c r="P1276" s="365">
        <f>IFERROR(VLOOKUP($G1276,融外自投!$A:$J,7,0),"無")</f>
        <v>182</v>
      </c>
      <c r="Q1276" s="79">
        <f>IFERROR(VLOOKUP($G1276,融外自投!$A:$J,9,0),"無")</f>
        <v>667</v>
      </c>
      <c r="R1276" s="346">
        <f>IFERROR(VLOOKUP($G1276,融外自投!$A:$J,8,0),"無")</f>
        <v>727</v>
      </c>
      <c r="S1276" s="81" t="str">
        <f>IFERROR(VLOOKUP($G1276,融外自投!$A:$J,10,0),"無")</f>
        <v>無</v>
      </c>
      <c r="T1276" s="327">
        <f>IFERROR(VLOOKUP($G1276,'321買'!$A:$E,5,0),"'沒有資料'")</f>
        <v>1214</v>
      </c>
      <c r="U1276" s="186">
        <f>IFERROR(VLOOKUP($G1276,基本資料!$A:$J,9,0),"無")</f>
        <v>1.5</v>
      </c>
      <c r="V1276" s="310">
        <f t="shared" si="238"/>
        <v>5.3763440860215055E-2</v>
      </c>
      <c r="W1276" s="94">
        <f>IFERROR(VLOOKUP($G1276,基本資料!$A:$J,10,0),"無")</f>
        <v>1.56</v>
      </c>
      <c r="X1276" s="36">
        <f>RTD("money.excel",,"5201","Price")</f>
        <v>27.9</v>
      </c>
      <c r="Y1276" s="66"/>
      <c r="Z1276" s="15">
        <f t="shared" si="239"/>
        <v>27.9</v>
      </c>
      <c r="AA1276" s="3" t="e">
        <f t="shared" si="240"/>
        <v>#DIV/0!</v>
      </c>
      <c r="AB1276" s="344">
        <f>IFERROR(VLOOKUP($G1276,基本資料!$A:$M,11,0),"無")</f>
        <v>-18.600000000000001</v>
      </c>
      <c r="AC1276" s="397">
        <f>IFERROR(VLOOKUP($G1276,基本資料!$A:$M,12,0),"無")</f>
        <v>26.62</v>
      </c>
      <c r="AD1276" s="16" t="s">
        <v>997</v>
      </c>
      <c r="AG1276" s="33">
        <f t="shared" si="241"/>
        <v>0</v>
      </c>
      <c r="AH1276" s="43" t="s">
        <v>2685</v>
      </c>
      <c r="AI1276" s="63">
        <f t="shared" si="242"/>
        <v>1.6666666666666668E-3</v>
      </c>
      <c r="AJ1276" s="284">
        <f>RTD("money.excel",,$G1276,"PredictVolume")</f>
        <v>51</v>
      </c>
      <c r="AK1276" s="399">
        <f>IFERROR(VLOOKUP($G1276,基本資料!$A:$M,13,0),"無")</f>
        <v>2.88</v>
      </c>
    </row>
    <row r="1277" spans="1:37">
      <c r="A1277" s="347">
        <f>IFERROR(VLOOKUP($G1277,基本資料!$A:$J,3,0),"無")</f>
        <v>8.9</v>
      </c>
      <c r="B1277" s="79">
        <f>IFERROR(VLOOKUP($G1277,基本資料!$A:$J,4,0),"無")</f>
        <v>14</v>
      </c>
      <c r="C1277" s="79">
        <f>IFERROR(VLOOKUP($G1277,基本資料!$A:$J,5,0),"無")</f>
        <v>-37</v>
      </c>
      <c r="D1277" s="79">
        <f>IFERROR(VLOOKUP($G1277,基本資料!$A:$J,6,0),"無")</f>
        <v>-10</v>
      </c>
      <c r="E1277" s="79">
        <f>IFERROR(VLOOKUP($G1277,基本資料!$A:$J,7,0),"無")</f>
        <v>22</v>
      </c>
      <c r="F1277" s="6">
        <f>IFERROR(VLOOKUP($G1277,基本資料!$A:$J,8,0),"無")</f>
        <v>-56.73</v>
      </c>
      <c r="G1277" s="79">
        <v>5202</v>
      </c>
      <c r="H1277" s="8" t="s">
        <v>313</v>
      </c>
      <c r="I1277" s="16" t="s">
        <v>998</v>
      </c>
      <c r="J1277" s="8" t="str">
        <f>IFERROR(VLOOKUP($G1277,今日總結!$A:$AJ,35,0),"")</f>
        <v/>
      </c>
      <c r="K1277" s="5" t="str">
        <f>IFERROR(VLOOKUP($G1277,今日總結!$A:$AJ,36,0),"")</f>
        <v/>
      </c>
      <c r="L1277" s="156" t="str">
        <f>IFERROR(VLOOKUP($G1277,今日總結!$A:$AJ,33,0),"")</f>
        <v/>
      </c>
      <c r="M1277" s="340" t="str">
        <f>IFERROR(VLOOKUP($G1277,今日總結!$A:$AJ,34,0),"")</f>
        <v/>
      </c>
      <c r="N1277" s="240" t="str">
        <f t="shared" si="243"/>
        <v/>
      </c>
      <c r="P1277" s="365">
        <f>IFERROR(VLOOKUP($G1277,融外自投!$A:$J,7,0),"無")</f>
        <v>242</v>
      </c>
      <c r="Q1277" s="79" t="str">
        <f>IFERROR(VLOOKUP($G1277,融外自投!$A:$J,9,0),"無")</f>
        <v>無</v>
      </c>
      <c r="R1277" s="346">
        <f>IFERROR(VLOOKUP($G1277,融外自投!$A:$J,8,0),"無")</f>
        <v>1351</v>
      </c>
      <c r="S1277" s="81" t="str">
        <f>IFERROR(VLOOKUP($G1277,融外自投!$A:$J,10,0),"無")</f>
        <v>無</v>
      </c>
      <c r="T1277" s="327">
        <f>IFERROR(VLOOKUP($G1277,'321買'!$A:$E,5,0),"'沒有資料'")</f>
        <v>1099</v>
      </c>
      <c r="U1277" s="186">
        <f>IFERROR(VLOOKUP($G1277,基本資料!$A:$J,9,0),"無")</f>
        <v>1.1399999999999999</v>
      </c>
      <c r="V1277" s="310">
        <f t="shared" si="238"/>
        <v>6.3333333333333325E-2</v>
      </c>
      <c r="W1277" s="94">
        <f>IFERROR(VLOOKUP($G1277,基本資料!$A:$J,10,0),"無")</f>
        <v>-0.32</v>
      </c>
      <c r="X1277" s="36">
        <f>RTD("money.excel",,"5202","Price")</f>
        <v>18</v>
      </c>
      <c r="Y1277" s="66"/>
      <c r="Z1277" s="15">
        <f t="shared" si="239"/>
        <v>18</v>
      </c>
      <c r="AA1277" s="3" t="e">
        <f t="shared" si="240"/>
        <v>#DIV/0!</v>
      </c>
      <c r="AB1277" s="344">
        <f>IFERROR(VLOOKUP($G1277,基本資料!$A:$M,11,0),"無")</f>
        <v>-28.4</v>
      </c>
      <c r="AC1277" s="397">
        <f>IFERROR(VLOOKUP($G1277,基本資料!$A:$M,12,0),"無")</f>
        <v>20.83</v>
      </c>
      <c r="AD1277" s="16" t="s">
        <v>998</v>
      </c>
      <c r="AG1277" s="33">
        <f t="shared" si="241"/>
        <v>0</v>
      </c>
      <c r="AH1277" s="43" t="s">
        <v>2048</v>
      </c>
      <c r="AI1277" s="63">
        <f t="shared" si="242"/>
        <v>1.3483146067415729E-4</v>
      </c>
      <c r="AJ1277" s="284">
        <f>RTD("money.excel",,$G1277,"PredictVolume")</f>
        <v>12</v>
      </c>
      <c r="AK1277" s="399">
        <f>IFERROR(VLOOKUP($G1277,基本資料!$A:$M,13,0),"無")</f>
        <v>1.48</v>
      </c>
    </row>
    <row r="1278" spans="1:37">
      <c r="A1278" s="347">
        <f>IFERROR(VLOOKUP($G1278,基本資料!$A:$J,3,0),"無")</f>
        <v>7.88</v>
      </c>
      <c r="B1278" s="79">
        <f>IFERROR(VLOOKUP($G1278,基本資料!$A:$J,4,0),"無")</f>
        <v>-398</v>
      </c>
      <c r="C1278" s="79">
        <f>IFERROR(VLOOKUP($G1278,基本資料!$A:$J,5,0),"無")</f>
        <v>-17</v>
      </c>
      <c r="D1278" s="79">
        <f>IFERROR(VLOOKUP($G1278,基本資料!$A:$J,6,0),"無")</f>
        <v>20</v>
      </c>
      <c r="E1278" s="79">
        <f>IFERROR(VLOOKUP($G1278,基本資料!$A:$J,7,0),"無")</f>
        <v>-7</v>
      </c>
      <c r="F1278" s="6">
        <f>IFERROR(VLOOKUP($G1278,基本資料!$A:$J,8,0),"無")</f>
        <v>12.48</v>
      </c>
      <c r="G1278" s="79">
        <v>5203</v>
      </c>
      <c r="H1278" s="8" t="s">
        <v>313</v>
      </c>
      <c r="I1278" s="22" t="s">
        <v>100</v>
      </c>
      <c r="J1278" s="8" t="str">
        <f>IFERROR(VLOOKUP($G1278,今日總結!$A:$AJ,35,0),"")</f>
        <v>主</v>
      </c>
      <c r="K1278" s="5" t="str">
        <f>IFERROR(VLOOKUP($G1278,今日總結!$A:$AJ,36,0),"")</f>
        <v>融外</v>
      </c>
      <c r="L1278" s="156">
        <f>IFERROR(VLOOKUP($G1278,今日總結!$A:$AJ,33,0),"")</f>
        <v>1</v>
      </c>
      <c r="M1278" s="340">
        <f>IFERROR(VLOOKUP($G1278,今日總結!$A:$AJ,34,0),"")</f>
        <v>2</v>
      </c>
      <c r="N1278" s="240">
        <f t="shared" si="243"/>
        <v>-1</v>
      </c>
      <c r="P1278" s="365">
        <f>IFERROR(VLOOKUP($G1278,融外自投!$A:$J,7,0),"無")</f>
        <v>614</v>
      </c>
      <c r="Q1278" s="79">
        <f>IFERROR(VLOOKUP($G1278,融外自投!$A:$J,9,0),"無")</f>
        <v>852</v>
      </c>
      <c r="R1278" s="346">
        <f>IFERROR(VLOOKUP($G1278,融外自投!$A:$J,8,0),"無")</f>
        <v>362</v>
      </c>
      <c r="S1278" s="81">
        <f>IFERROR(VLOOKUP($G1278,融外自投!$A:$J,10,0),"無")</f>
        <v>437</v>
      </c>
      <c r="T1278" s="327">
        <f>IFERROR(VLOOKUP($G1278,'321買'!$A:$E,5,0),"'沒有資料'")</f>
        <v>445</v>
      </c>
      <c r="U1278" s="186">
        <f>IFERROR(VLOOKUP($G1278,基本資料!$A:$J,9,0),"無")</f>
        <v>1.72</v>
      </c>
      <c r="V1278" s="310">
        <f t="shared" si="238"/>
        <v>2.0549581839904421E-2</v>
      </c>
      <c r="W1278" s="94">
        <f>IFERROR(VLOOKUP($G1278,基本資料!$A:$J,10,0),"無")</f>
        <v>-7.21</v>
      </c>
      <c r="X1278" s="36">
        <f>RTD("money.excel",,"5203","Price")</f>
        <v>83.7</v>
      </c>
      <c r="Y1278" s="66"/>
      <c r="Z1278" s="15">
        <f t="shared" si="239"/>
        <v>83.7</v>
      </c>
      <c r="AA1278" s="3" t="e">
        <f t="shared" si="240"/>
        <v>#DIV/0!</v>
      </c>
      <c r="AB1278" s="344">
        <f>IFERROR(VLOOKUP($G1278,基本資料!$A:$M,11,0),"無")</f>
        <v>-24.33</v>
      </c>
      <c r="AC1278" s="397">
        <f>IFERROR(VLOOKUP($G1278,基本資料!$A:$M,12,0),"無")</f>
        <v>19</v>
      </c>
      <c r="AD1278" s="22" t="s">
        <v>100</v>
      </c>
      <c r="AG1278" s="33">
        <f t="shared" si="241"/>
        <v>0</v>
      </c>
      <c r="AH1278" s="117" t="s">
        <v>2051</v>
      </c>
      <c r="AI1278" s="63">
        <f t="shared" si="242"/>
        <v>1.6243654822335025E-3</v>
      </c>
      <c r="AJ1278" s="284">
        <f>RTD("money.excel",,$G1278,"PredictVolume")</f>
        <v>128</v>
      </c>
      <c r="AK1278" s="399">
        <f>IFERROR(VLOOKUP($G1278,基本資料!$A:$M,13,0),"無")</f>
        <v>4.29</v>
      </c>
    </row>
    <row r="1279" spans="1:37">
      <c r="A1279" s="347">
        <f>IFERROR(VLOOKUP($G1279,基本資料!$A:$J,3,0),"無")</f>
        <v>2.76</v>
      </c>
      <c r="B1279" s="79">
        <f>IFERROR(VLOOKUP($G1279,基本資料!$A:$J,4,0),"無")</f>
        <v>101</v>
      </c>
      <c r="C1279" s="79">
        <f>IFERROR(VLOOKUP($G1279,基本資料!$A:$J,5,0),"無")</f>
        <v>-1</v>
      </c>
      <c r="D1279" s="79">
        <f>IFERROR(VLOOKUP($G1279,基本資料!$A:$J,6,0),"無")</f>
        <v>2</v>
      </c>
      <c r="E1279" s="79">
        <f>IFERROR(VLOOKUP($G1279,基本資料!$A:$J,7,0),"無")</f>
        <v>-36</v>
      </c>
      <c r="F1279" s="6">
        <f>IFERROR(VLOOKUP($G1279,基本資料!$A:$J,8,0),"無")</f>
        <v>3.92</v>
      </c>
      <c r="G1279" s="79">
        <v>5209</v>
      </c>
      <c r="H1279" s="8" t="s">
        <v>313</v>
      </c>
      <c r="I1279" s="16" t="s">
        <v>999</v>
      </c>
      <c r="J1279" s="8" t="str">
        <f>IFERROR(VLOOKUP($G1279,今日總結!$A:$AJ,35,0),"")</f>
        <v/>
      </c>
      <c r="K1279" s="5" t="str">
        <f>IFERROR(VLOOKUP($G1279,今日總結!$A:$AJ,36,0),"")</f>
        <v/>
      </c>
      <c r="L1279" s="156" t="str">
        <f>IFERROR(VLOOKUP($G1279,今日總結!$A:$AJ,33,0),"")</f>
        <v/>
      </c>
      <c r="M1279" s="340" t="str">
        <f>IFERROR(VLOOKUP($G1279,今日總結!$A:$AJ,34,0),"")</f>
        <v/>
      </c>
      <c r="N1279" s="240" t="str">
        <f t="shared" si="243"/>
        <v/>
      </c>
      <c r="P1279" s="365" t="str">
        <f>IFERROR(VLOOKUP($G1279,融外自投!$A:$J,7,0),"無")</f>
        <v>無</v>
      </c>
      <c r="Q1279" s="79" t="str">
        <f>IFERROR(VLOOKUP($G1279,融外自投!$A:$J,9,0),"無")</f>
        <v>無</v>
      </c>
      <c r="R1279" s="346" t="str">
        <f>IFERROR(VLOOKUP($G1279,融外自投!$A:$J,8,0),"無")</f>
        <v>無</v>
      </c>
      <c r="S1279" s="81" t="str">
        <f>IFERROR(VLOOKUP($G1279,融外自投!$A:$J,10,0),"無")</f>
        <v>無</v>
      </c>
      <c r="T1279" s="327" t="str">
        <f>IFERROR(VLOOKUP($G1279,'321買'!$A:$E,5,0),"'沒有資料'")</f>
        <v>'沒有資料'</v>
      </c>
      <c r="U1279" s="186">
        <f>IFERROR(VLOOKUP($G1279,基本資料!$A:$J,9,0),"無")</f>
        <v>8.89</v>
      </c>
      <c r="V1279" s="310">
        <f t="shared" si="238"/>
        <v>0.11806108897742365</v>
      </c>
      <c r="W1279" s="94">
        <f>IFERROR(VLOOKUP($G1279,基本資料!$A:$J,10,0),"無")</f>
        <v>10.02</v>
      </c>
      <c r="X1279" s="36">
        <f>RTD("money.excel",,"5209","Price")</f>
        <v>75.3</v>
      </c>
      <c r="Y1279" s="66"/>
      <c r="Z1279" s="15">
        <f t="shared" si="239"/>
        <v>75.3</v>
      </c>
      <c r="AA1279" s="3" t="e">
        <f t="shared" si="240"/>
        <v>#DIV/0!</v>
      </c>
      <c r="AB1279" s="344">
        <f>IFERROR(VLOOKUP($G1279,基本資料!$A:$M,11,0),"無")</f>
        <v>-7.62</v>
      </c>
      <c r="AC1279" s="397">
        <f>IFERROR(VLOOKUP($G1279,基本資料!$A:$M,12,0),"無")</f>
        <v>43.24</v>
      </c>
      <c r="AD1279" s="16" t="s">
        <v>999</v>
      </c>
      <c r="AG1279" s="33">
        <f t="shared" si="241"/>
        <v>0</v>
      </c>
      <c r="AH1279" s="43" t="s">
        <v>2143</v>
      </c>
      <c r="AI1279" s="63">
        <f t="shared" si="242"/>
        <v>9.4202898550724647E-4</v>
      </c>
      <c r="AJ1279" s="284">
        <f>RTD("money.excel",,$G1279,"PredictVolume")</f>
        <v>26</v>
      </c>
      <c r="AK1279" s="399">
        <f>IFERROR(VLOOKUP($G1279,基本資料!$A:$M,13,0),"無")</f>
        <v>3.46</v>
      </c>
    </row>
    <row r="1280" spans="1:37">
      <c r="A1280" s="347">
        <f>IFERROR(VLOOKUP($G1280,基本資料!$A:$J,3,0),"無")</f>
        <v>6.21</v>
      </c>
      <c r="B1280" s="79">
        <f>IFERROR(VLOOKUP($G1280,基本資料!$A:$J,4,0),"無")</f>
        <v>70</v>
      </c>
      <c r="C1280" s="79">
        <f>IFERROR(VLOOKUP($G1280,基本資料!$A:$J,5,0),"無")</f>
        <v>63</v>
      </c>
      <c r="D1280" s="79">
        <f>IFERROR(VLOOKUP($G1280,基本資料!$A:$J,6,0),"無")</f>
        <v>21</v>
      </c>
      <c r="E1280" s="79">
        <f>IFERROR(VLOOKUP($G1280,基本資料!$A:$J,7,0),"無")</f>
        <v>90</v>
      </c>
      <c r="F1280" s="6">
        <f>IFERROR(VLOOKUP($G1280,基本資料!$A:$J,8,0),"無")</f>
        <v>-14.75</v>
      </c>
      <c r="G1280" s="79">
        <v>5210</v>
      </c>
      <c r="H1280" s="8" t="s">
        <v>313</v>
      </c>
      <c r="I1280" s="16" t="s">
        <v>1000</v>
      </c>
      <c r="J1280" s="8" t="str">
        <f>IFERROR(VLOOKUP($G1280,今日總結!$A:$AJ,35,0),"")</f>
        <v/>
      </c>
      <c r="K1280" s="5" t="str">
        <f>IFERROR(VLOOKUP($G1280,今日總結!$A:$AJ,36,0),"")</f>
        <v/>
      </c>
      <c r="L1280" s="156" t="str">
        <f>IFERROR(VLOOKUP($G1280,今日總結!$A:$AJ,33,0),"")</f>
        <v/>
      </c>
      <c r="M1280" s="340" t="str">
        <f>IFERROR(VLOOKUP($G1280,今日總結!$A:$AJ,34,0),"")</f>
        <v/>
      </c>
      <c r="N1280" s="240" t="str">
        <f t="shared" si="243"/>
        <v/>
      </c>
      <c r="P1280" s="365" t="str">
        <f>IFERROR(VLOOKUP($G1280,融外自投!$A:$J,7,0),"無")</f>
        <v>無</v>
      </c>
      <c r="Q1280" s="79" t="str">
        <f>IFERROR(VLOOKUP($G1280,融外自投!$A:$J,9,0),"無")</f>
        <v>無</v>
      </c>
      <c r="R1280" s="346" t="str">
        <f>IFERROR(VLOOKUP($G1280,融外自投!$A:$J,8,0),"無")</f>
        <v>無</v>
      </c>
      <c r="S1280" s="81" t="str">
        <f>IFERROR(VLOOKUP($G1280,融外自投!$A:$J,10,0),"無")</f>
        <v>無</v>
      </c>
      <c r="T1280" s="327" t="str">
        <f>IFERROR(VLOOKUP($G1280,'321買'!$A:$E,5,0),"'沒有資料'")</f>
        <v>'沒有資料'</v>
      </c>
      <c r="U1280" s="186">
        <f>IFERROR(VLOOKUP($G1280,基本資料!$A:$J,9,0),"無")</f>
        <v>0</v>
      </c>
      <c r="V1280" s="310">
        <f t="shared" si="238"/>
        <v>0</v>
      </c>
      <c r="W1280" s="94">
        <f>IFERROR(VLOOKUP($G1280,基本資料!$A:$J,10,0),"無")</f>
        <v>-0.37</v>
      </c>
      <c r="X1280" s="36">
        <f>RTD("money.excel",,"5210","Price")</f>
        <v>19</v>
      </c>
      <c r="Y1280" s="66"/>
      <c r="Z1280" s="15">
        <f t="shared" si="239"/>
        <v>19</v>
      </c>
      <c r="AA1280" s="3" t="e">
        <f t="shared" si="240"/>
        <v>#DIV/0!</v>
      </c>
      <c r="AB1280" s="344">
        <f>IFERROR(VLOOKUP($G1280,基本資料!$A:$M,11,0),"無")</f>
        <v>-32.46</v>
      </c>
      <c r="AC1280" s="397">
        <f>IFERROR(VLOOKUP($G1280,基本資料!$A:$M,12,0),"無")</f>
        <v>45.54</v>
      </c>
      <c r="AD1280" s="16" t="s">
        <v>1000</v>
      </c>
      <c r="AG1280" s="33">
        <f t="shared" si="241"/>
        <v>0</v>
      </c>
      <c r="AH1280" s="43" t="s">
        <v>2685</v>
      </c>
      <c r="AI1280" s="63">
        <f t="shared" si="242"/>
        <v>1.8599033816425119E-2</v>
      </c>
      <c r="AJ1280" s="284">
        <f>RTD("money.excel",,$G1280,"PredictVolume")</f>
        <v>1155</v>
      </c>
      <c r="AK1280" s="399">
        <f>IFERROR(VLOOKUP($G1280,基本資料!$A:$M,13,0),"無")</f>
        <v>20.61</v>
      </c>
    </row>
    <row r="1281" spans="1:37">
      <c r="A1281" s="347">
        <f>IFERROR(VLOOKUP($G1281,基本資料!$A:$J,3,0),"無")</f>
        <v>3.2</v>
      </c>
      <c r="B1281" s="79">
        <f>IFERROR(VLOOKUP($G1281,基本資料!$A:$J,4,0),"無")</f>
        <v>428</v>
      </c>
      <c r="C1281" s="79">
        <f>IFERROR(VLOOKUP($G1281,基本資料!$A:$J,5,0),"無")</f>
        <v>328</v>
      </c>
      <c r="D1281" s="79">
        <f>IFERROR(VLOOKUP($G1281,基本資料!$A:$J,6,0),"無")</f>
        <v>-17</v>
      </c>
      <c r="E1281" s="79">
        <f>IFERROR(VLOOKUP($G1281,基本資料!$A:$J,7,0),"無")</f>
        <v>7</v>
      </c>
      <c r="F1281" s="6">
        <f>IFERROR(VLOOKUP($G1281,基本資料!$A:$J,8,0),"無")</f>
        <v>36.4</v>
      </c>
      <c r="G1281" s="79">
        <v>5211</v>
      </c>
      <c r="H1281" s="8" t="s">
        <v>313</v>
      </c>
      <c r="I1281" s="16" t="s">
        <v>1001</v>
      </c>
      <c r="J1281" s="8" t="str">
        <f>IFERROR(VLOOKUP($G1281,今日總結!$A:$AJ,35,0),"")</f>
        <v/>
      </c>
      <c r="K1281" s="5" t="str">
        <f>IFERROR(VLOOKUP($G1281,今日總結!$A:$AJ,36,0),"")</f>
        <v/>
      </c>
      <c r="L1281" s="156" t="str">
        <f>IFERROR(VLOOKUP($G1281,今日總結!$A:$AJ,33,0),"")</f>
        <v/>
      </c>
      <c r="M1281" s="340" t="str">
        <f>IFERROR(VLOOKUP($G1281,今日總結!$A:$AJ,34,0),"")</f>
        <v/>
      </c>
      <c r="N1281" s="240" t="str">
        <f t="shared" si="243"/>
        <v/>
      </c>
      <c r="P1281" s="365">
        <f>IFERROR(VLOOKUP($G1281,融外自投!$A:$J,7,0),"無")</f>
        <v>555</v>
      </c>
      <c r="Q1281" s="79" t="str">
        <f>IFERROR(VLOOKUP($G1281,融外自投!$A:$J,9,0),"無")</f>
        <v>無</v>
      </c>
      <c r="R1281" s="346">
        <f>IFERROR(VLOOKUP($G1281,融外自投!$A:$J,8,0),"無")</f>
        <v>541</v>
      </c>
      <c r="S1281" s="81" t="str">
        <f>IFERROR(VLOOKUP($G1281,融外自投!$A:$J,10,0),"無")</f>
        <v>無</v>
      </c>
      <c r="T1281" s="327">
        <f>IFERROR(VLOOKUP($G1281,'321買'!$A:$E,5,0),"'沒有資料'")</f>
        <v>1066</v>
      </c>
      <c r="U1281" s="186">
        <f>IFERROR(VLOOKUP($G1281,基本資料!$A:$J,9,0),"無")</f>
        <v>0.7</v>
      </c>
      <c r="V1281" s="310">
        <f t="shared" si="238"/>
        <v>4.2168674698795178E-2</v>
      </c>
      <c r="W1281" s="94">
        <f>IFERROR(VLOOKUP($G1281,基本資料!$A:$J,10,0),"無")</f>
        <v>1.48</v>
      </c>
      <c r="X1281" s="36">
        <f>RTD("money.excel",,"5211","Price")</f>
        <v>16.600000000000001</v>
      </c>
      <c r="Y1281" s="66"/>
      <c r="Z1281" s="15">
        <f t="shared" si="239"/>
        <v>16.600000000000001</v>
      </c>
      <c r="AA1281" s="3" t="e">
        <f t="shared" si="240"/>
        <v>#DIV/0!</v>
      </c>
      <c r="AB1281" s="344">
        <f>IFERROR(VLOOKUP($G1281,基本資料!$A:$M,11,0),"無")</f>
        <v>-36.729999999999997</v>
      </c>
      <c r="AC1281" s="397">
        <f>IFERROR(VLOOKUP($G1281,基本資料!$A:$M,12,0),"無")</f>
        <v>6.67</v>
      </c>
      <c r="AD1281" s="16" t="s">
        <v>1001</v>
      </c>
      <c r="AG1281" s="33">
        <f t="shared" si="241"/>
        <v>0</v>
      </c>
      <c r="AH1281" s="43" t="s">
        <v>2686</v>
      </c>
      <c r="AI1281" s="63">
        <f t="shared" si="242"/>
        <v>1E-3</v>
      </c>
      <c r="AJ1281" s="284">
        <f>RTD("money.excel",,$G1281,"PredictVolume")</f>
        <v>32</v>
      </c>
      <c r="AK1281" s="399">
        <f>IFERROR(VLOOKUP($G1281,基本資料!$A:$M,13,0),"無")</f>
        <v>31.3</v>
      </c>
    </row>
    <row r="1282" spans="1:37">
      <c r="A1282" s="347">
        <f>IFERROR(VLOOKUP($G1282,基本資料!$A:$J,3,0),"無")</f>
        <v>3.46</v>
      </c>
      <c r="B1282" s="79">
        <f>IFERROR(VLOOKUP($G1282,基本資料!$A:$J,4,0),"無")</f>
        <v>-17</v>
      </c>
      <c r="C1282" s="79">
        <f>IFERROR(VLOOKUP($G1282,基本資料!$A:$J,5,0),"無")</f>
        <v>-15</v>
      </c>
      <c r="D1282" s="79">
        <f>IFERROR(VLOOKUP($G1282,基本資料!$A:$J,6,0),"無")</f>
        <v>46</v>
      </c>
      <c r="E1282" s="79">
        <f>IFERROR(VLOOKUP($G1282,基本資料!$A:$J,7,0),"無")</f>
        <v>8</v>
      </c>
      <c r="F1282" s="6">
        <f>IFERROR(VLOOKUP($G1282,基本資料!$A:$J,8,0),"無")</f>
        <v>11.13</v>
      </c>
      <c r="G1282" s="79">
        <v>5212</v>
      </c>
      <c r="H1282" s="8" t="s">
        <v>313</v>
      </c>
      <c r="I1282" s="16" t="s">
        <v>1002</v>
      </c>
      <c r="J1282" s="8" t="str">
        <f>IFERROR(VLOOKUP($G1282,今日總結!$A:$AJ,35,0),"")</f>
        <v/>
      </c>
      <c r="K1282" s="5" t="str">
        <f>IFERROR(VLOOKUP($G1282,今日總結!$A:$AJ,36,0),"")</f>
        <v/>
      </c>
      <c r="L1282" s="156" t="str">
        <f>IFERROR(VLOOKUP($G1282,今日總結!$A:$AJ,33,0),"")</f>
        <v/>
      </c>
      <c r="M1282" s="340" t="str">
        <f>IFERROR(VLOOKUP($G1282,今日總結!$A:$AJ,34,0),"")</f>
        <v/>
      </c>
      <c r="N1282" s="240" t="str">
        <f t="shared" si="243"/>
        <v/>
      </c>
      <c r="P1282" s="365">
        <f>IFERROR(VLOOKUP($G1282,融外自投!$A:$J,7,0),"無")</f>
        <v>1237</v>
      </c>
      <c r="Q1282" s="79">
        <f>IFERROR(VLOOKUP($G1282,融外自投!$A:$J,9,0),"無")</f>
        <v>5</v>
      </c>
      <c r="R1282" s="346">
        <f>IFERROR(VLOOKUP($G1282,融外自投!$A:$J,8,0),"無")</f>
        <v>147</v>
      </c>
      <c r="S1282" s="81" t="str">
        <f>IFERROR(VLOOKUP($G1282,融外自投!$A:$J,10,0),"無")</f>
        <v>無</v>
      </c>
      <c r="T1282" s="327">
        <f>IFERROR(VLOOKUP($G1282,'321買'!$A:$E,5,0),"'沒有資料'")</f>
        <v>1367</v>
      </c>
      <c r="U1282" s="186">
        <f>IFERROR(VLOOKUP($G1282,基本資料!$A:$J,9,0),"無")</f>
        <v>2.5</v>
      </c>
      <c r="V1282" s="310">
        <f t="shared" si="238"/>
        <v>5.4054054054054057E-2</v>
      </c>
      <c r="W1282" s="94">
        <f>IFERROR(VLOOKUP($G1282,基本資料!$A:$J,10,0),"無")</f>
        <v>2.68</v>
      </c>
      <c r="X1282" s="36">
        <f>RTD("money.excel",,"5212","Price")</f>
        <v>46.25</v>
      </c>
      <c r="Y1282" s="66"/>
      <c r="Z1282" s="15">
        <f t="shared" si="239"/>
        <v>46.25</v>
      </c>
      <c r="AA1282" s="3" t="e">
        <f t="shared" si="240"/>
        <v>#DIV/0!</v>
      </c>
      <c r="AB1282" s="344">
        <f>IFERROR(VLOOKUP($G1282,基本資料!$A:$M,11,0),"無")</f>
        <v>-22.77</v>
      </c>
      <c r="AC1282" s="397">
        <f>IFERROR(VLOOKUP($G1282,基本資料!$A:$M,12,0),"無")</f>
        <v>18.8</v>
      </c>
      <c r="AD1282" s="16" t="s">
        <v>1002</v>
      </c>
      <c r="AG1282" s="33">
        <f t="shared" si="241"/>
        <v>0</v>
      </c>
      <c r="AH1282" s="43" t="s">
        <v>2687</v>
      </c>
      <c r="AI1282" s="63">
        <f t="shared" si="242"/>
        <v>1.531791907514451E-3</v>
      </c>
      <c r="AJ1282" s="284">
        <f>RTD("money.excel",,$G1282,"PredictVolume")</f>
        <v>53</v>
      </c>
      <c r="AK1282" s="399">
        <f>IFERROR(VLOOKUP($G1282,基本資料!$A:$M,13,0),"無")</f>
        <v>5.23</v>
      </c>
    </row>
    <row r="1283" spans="1:37">
      <c r="A1283" s="347">
        <f>IFERROR(VLOOKUP($G1283,基本資料!$A:$J,3,0),"無")</f>
        <v>2.89</v>
      </c>
      <c r="B1283" s="79">
        <f>IFERROR(VLOOKUP($G1283,基本資料!$A:$J,4,0),"無")</f>
        <v>73</v>
      </c>
      <c r="C1283" s="79">
        <f>IFERROR(VLOOKUP($G1283,基本資料!$A:$J,5,0),"無")</f>
        <v>71</v>
      </c>
      <c r="D1283" s="79">
        <f>IFERROR(VLOOKUP($G1283,基本資料!$A:$J,6,0),"無")</f>
        <v>-77</v>
      </c>
      <c r="E1283" s="79">
        <f>IFERROR(VLOOKUP($G1283,基本資料!$A:$J,7,0),"無")</f>
        <v>82</v>
      </c>
      <c r="F1283" s="6">
        <f>IFERROR(VLOOKUP($G1283,基本資料!$A:$J,8,0),"無")</f>
        <v>-72.2</v>
      </c>
      <c r="G1283" s="79">
        <v>5310</v>
      </c>
      <c r="H1283" s="8" t="s">
        <v>313</v>
      </c>
      <c r="I1283" s="16" t="s">
        <v>1003</v>
      </c>
      <c r="J1283" s="8" t="str">
        <f>IFERROR(VLOOKUP($G1283,今日總結!$A:$AJ,35,0),"")</f>
        <v/>
      </c>
      <c r="K1283" s="5" t="str">
        <f>IFERROR(VLOOKUP($G1283,今日總結!$A:$AJ,36,0),"")</f>
        <v/>
      </c>
      <c r="L1283" s="156" t="str">
        <f>IFERROR(VLOOKUP($G1283,今日總結!$A:$AJ,33,0),"")</f>
        <v/>
      </c>
      <c r="M1283" s="340" t="str">
        <f>IFERROR(VLOOKUP($G1283,今日總結!$A:$AJ,34,0),"")</f>
        <v/>
      </c>
      <c r="N1283" s="240" t="str">
        <f t="shared" si="243"/>
        <v/>
      </c>
      <c r="P1283" s="365" t="str">
        <f>IFERROR(VLOOKUP($G1283,融外自投!$A:$J,7,0),"無")</f>
        <v>無</v>
      </c>
      <c r="Q1283" s="79" t="str">
        <f>IFERROR(VLOOKUP($G1283,融外自投!$A:$J,9,0),"無")</f>
        <v>無</v>
      </c>
      <c r="R1283" s="346" t="str">
        <f>IFERROR(VLOOKUP($G1283,融外自投!$A:$J,8,0),"無")</f>
        <v>無</v>
      </c>
      <c r="S1283" s="81" t="str">
        <f>IFERROR(VLOOKUP($G1283,融外自投!$A:$J,10,0),"無")</f>
        <v>無</v>
      </c>
      <c r="T1283" s="327" t="str">
        <f>IFERROR(VLOOKUP($G1283,'321買'!$A:$E,5,0),"'沒有資料'")</f>
        <v>'沒有資料'</v>
      </c>
      <c r="U1283" s="186">
        <f>IFERROR(VLOOKUP($G1283,基本資料!$A:$J,9,0),"無")</f>
        <v>0</v>
      </c>
      <c r="V1283" s="310">
        <f t="shared" si="238"/>
        <v>0</v>
      </c>
      <c r="W1283" s="94">
        <f>IFERROR(VLOOKUP($G1283,基本資料!$A:$J,10,0),"無")</f>
        <v>-1.22</v>
      </c>
      <c r="X1283" s="36">
        <f>RTD("money.excel",,"5310","Price")</f>
        <v>28.25</v>
      </c>
      <c r="Y1283" s="66"/>
      <c r="Z1283" s="15">
        <f t="shared" si="239"/>
        <v>28.25</v>
      </c>
      <c r="AA1283" s="3" t="e">
        <f t="shared" si="240"/>
        <v>#DIV/0!</v>
      </c>
      <c r="AB1283" s="344">
        <f>IFERROR(VLOOKUP($G1283,基本資料!$A:$M,11,0),"無")</f>
        <v>-24.51</v>
      </c>
      <c r="AC1283" s="397">
        <f>IFERROR(VLOOKUP($G1283,基本資料!$A:$M,12,0),"無")</f>
        <v>52.84</v>
      </c>
      <c r="AD1283" s="16" t="s">
        <v>1003</v>
      </c>
      <c r="AG1283" s="33">
        <f t="shared" si="241"/>
        <v>0</v>
      </c>
      <c r="AH1283" s="43" t="s">
        <v>2319</v>
      </c>
      <c r="AI1283" s="63">
        <f t="shared" si="242"/>
        <v>4.152249134948097E-4</v>
      </c>
      <c r="AJ1283" s="284">
        <f>RTD("money.excel",,$G1283,"PredictVolume")</f>
        <v>12</v>
      </c>
      <c r="AK1283" s="399">
        <f>IFERROR(VLOOKUP($G1283,基本資料!$A:$M,13,0),"無")</f>
        <v>8.76</v>
      </c>
    </row>
    <row r="1284" spans="1:37">
      <c r="A1284" s="347">
        <f>IFERROR(VLOOKUP($G1284,基本資料!$A:$J,3,0),"無")</f>
        <v>7.08</v>
      </c>
      <c r="B1284" s="79">
        <f>IFERROR(VLOOKUP($G1284,基本資料!$A:$J,4,0),"無")</f>
        <v>26</v>
      </c>
      <c r="C1284" s="79">
        <f>IFERROR(VLOOKUP($G1284,基本資料!$A:$J,5,0),"無")</f>
        <v>48</v>
      </c>
      <c r="D1284" s="79">
        <f>IFERROR(VLOOKUP($G1284,基本資料!$A:$J,6,0),"無")</f>
        <v>-12</v>
      </c>
      <c r="E1284" s="79">
        <f>IFERROR(VLOOKUP($G1284,基本資料!$A:$J,7,0),"無")</f>
        <v>10</v>
      </c>
      <c r="F1284" s="6">
        <f>IFERROR(VLOOKUP($G1284,基本資料!$A:$J,8,0),"無")</f>
        <v>12.62</v>
      </c>
      <c r="G1284" s="79">
        <v>5403</v>
      </c>
      <c r="H1284" s="8" t="s">
        <v>313</v>
      </c>
      <c r="I1284" s="16" t="s">
        <v>1004</v>
      </c>
      <c r="J1284" s="8" t="str">
        <f>IFERROR(VLOOKUP($G1284,今日總結!$A:$AJ,35,0),"")</f>
        <v/>
      </c>
      <c r="K1284" s="5" t="str">
        <f>IFERROR(VLOOKUP($G1284,今日總結!$A:$AJ,36,0),"")</f>
        <v/>
      </c>
      <c r="L1284" s="156" t="str">
        <f>IFERROR(VLOOKUP($G1284,今日總結!$A:$AJ,33,0),"")</f>
        <v/>
      </c>
      <c r="M1284" s="340" t="str">
        <f>IFERROR(VLOOKUP($G1284,今日總結!$A:$AJ,34,0),"")</f>
        <v/>
      </c>
      <c r="N1284" s="240" t="str">
        <f t="shared" si="243"/>
        <v/>
      </c>
      <c r="P1284" s="365">
        <f>IFERROR(VLOOKUP($G1284,融外自投!$A:$J,7,0),"無")</f>
        <v>1392</v>
      </c>
      <c r="Q1284" s="79" t="str">
        <f>IFERROR(VLOOKUP($G1284,融外自投!$A:$J,9,0),"無")</f>
        <v>無</v>
      </c>
      <c r="R1284" s="346">
        <f>IFERROR(VLOOKUP($G1284,融外自投!$A:$J,8,0),"無")</f>
        <v>678</v>
      </c>
      <c r="S1284" s="81" t="str">
        <f>IFERROR(VLOOKUP($G1284,融外自投!$A:$J,10,0),"無")</f>
        <v>無</v>
      </c>
      <c r="T1284" s="327">
        <f>IFERROR(VLOOKUP($G1284,'321買'!$A:$E,5,0),"'沒有資料'")</f>
        <v>729</v>
      </c>
      <c r="U1284" s="186">
        <f>IFERROR(VLOOKUP($G1284,基本資料!$A:$J,9,0),"無")</f>
        <v>4.5</v>
      </c>
      <c r="V1284" s="310">
        <f t="shared" si="238"/>
        <v>6.364922206506364E-2</v>
      </c>
      <c r="W1284" s="94">
        <f>IFERROR(VLOOKUP($G1284,基本資料!$A:$J,10,0),"無")</f>
        <v>5.88</v>
      </c>
      <c r="X1284" s="36">
        <f>RTD("money.excel",,"5403","Price")</f>
        <v>70.7</v>
      </c>
      <c r="Y1284" s="66"/>
      <c r="Z1284" s="15">
        <f t="shared" si="239"/>
        <v>70.7</v>
      </c>
      <c r="AA1284" s="3" t="e">
        <f t="shared" si="240"/>
        <v>#DIV/0!</v>
      </c>
      <c r="AB1284" s="344">
        <f>IFERROR(VLOOKUP($G1284,基本資料!$A:$M,11,0),"無")</f>
        <v>-7.29</v>
      </c>
      <c r="AC1284" s="397">
        <f>IFERROR(VLOOKUP($G1284,基本資料!$A:$M,12,0),"無")</f>
        <v>56.63</v>
      </c>
      <c r="AD1284" s="16" t="s">
        <v>1004</v>
      </c>
      <c r="AG1284" s="33">
        <f t="shared" si="241"/>
        <v>0</v>
      </c>
      <c r="AH1284" s="43" t="s">
        <v>304</v>
      </c>
      <c r="AI1284" s="63">
        <f t="shared" si="242"/>
        <v>2.1186440677966101E-4</v>
      </c>
      <c r="AJ1284" s="284">
        <f>RTD("money.excel",,$G1284,"PredictVolume")</f>
        <v>15</v>
      </c>
      <c r="AK1284" s="399">
        <f>IFERROR(VLOOKUP($G1284,基本資料!$A:$M,13,0),"無")</f>
        <v>0.93</v>
      </c>
    </row>
    <row r="1285" spans="1:37">
      <c r="A1285" s="347">
        <f>IFERROR(VLOOKUP($G1285,基本資料!$A:$J,3,0),"無")</f>
        <v>8.81</v>
      </c>
      <c r="B1285" s="79">
        <f>IFERROR(VLOOKUP($G1285,基本資料!$A:$J,4,0),"無")</f>
        <v>7</v>
      </c>
      <c r="C1285" s="79">
        <f>IFERROR(VLOOKUP($G1285,基本資料!$A:$J,5,0),"無")</f>
        <v>25</v>
      </c>
      <c r="D1285" s="79">
        <f>IFERROR(VLOOKUP($G1285,基本資料!$A:$J,6,0),"無")</f>
        <v>-10</v>
      </c>
      <c r="E1285" s="79">
        <f>IFERROR(VLOOKUP($G1285,基本資料!$A:$J,7,0),"無")</f>
        <v>-24</v>
      </c>
      <c r="F1285" s="6">
        <f>IFERROR(VLOOKUP($G1285,基本資料!$A:$J,8,0),"無")</f>
        <v>5.01</v>
      </c>
      <c r="G1285" s="79">
        <v>5410</v>
      </c>
      <c r="H1285" s="8" t="s">
        <v>313</v>
      </c>
      <c r="I1285" s="16" t="s">
        <v>1005</v>
      </c>
      <c r="J1285" s="8">
        <f>IFERROR(VLOOKUP($G1285,今日總結!$A:$AJ,35,0),"")</f>
        <v>0</v>
      </c>
      <c r="K1285" s="5" t="str">
        <f>IFERROR(VLOOKUP($G1285,今日總結!$A:$AJ,36,0),"")</f>
        <v>融借</v>
      </c>
      <c r="L1285" s="156">
        <f>IFERROR(VLOOKUP($G1285,今日總結!$A:$AJ,33,0),"")</f>
        <v>0</v>
      </c>
      <c r="M1285" s="340">
        <f>IFERROR(VLOOKUP($G1285,今日總結!$A:$AJ,34,0),"")</f>
        <v>3</v>
      </c>
      <c r="N1285" s="240">
        <f t="shared" si="243"/>
        <v>-3</v>
      </c>
      <c r="P1285" s="365">
        <f>IFERROR(VLOOKUP($G1285,融外自投!$A:$J,7,0),"無")</f>
        <v>1085</v>
      </c>
      <c r="Q1285" s="79">
        <f>IFERROR(VLOOKUP($G1285,融外自投!$A:$J,9,0),"無")</f>
        <v>1110</v>
      </c>
      <c r="R1285" s="346">
        <f>IFERROR(VLOOKUP($G1285,融外自投!$A:$J,8,0),"無")</f>
        <v>1056</v>
      </c>
      <c r="S1285" s="81" t="str">
        <f>IFERROR(VLOOKUP($G1285,融外自投!$A:$J,10,0),"無")</f>
        <v>無</v>
      </c>
      <c r="T1285" s="327">
        <f>IFERROR(VLOOKUP($G1285,'321買'!$A:$E,5,0),"'沒有資料'")</f>
        <v>683</v>
      </c>
      <c r="U1285" s="186">
        <f>IFERROR(VLOOKUP($G1285,基本資料!$A:$J,9,0),"無")</f>
        <v>1.85</v>
      </c>
      <c r="V1285" s="310">
        <f t="shared" si="238"/>
        <v>7.3122529644268783E-2</v>
      </c>
      <c r="W1285" s="94">
        <f>IFERROR(VLOOKUP($G1285,基本資料!$A:$J,10,0),"無")</f>
        <v>2.14</v>
      </c>
      <c r="X1285" s="36">
        <f>RTD("money.excel",,"5410","Price")</f>
        <v>25.3</v>
      </c>
      <c r="Y1285" s="66"/>
      <c r="Z1285" s="15">
        <f t="shared" si="239"/>
        <v>25.3</v>
      </c>
      <c r="AA1285" s="3" t="e">
        <f t="shared" si="240"/>
        <v>#DIV/0!</v>
      </c>
      <c r="AB1285" s="344">
        <f>IFERROR(VLOOKUP($G1285,基本資料!$A:$M,11,0),"無")</f>
        <v>-10.56</v>
      </c>
      <c r="AC1285" s="397">
        <f>IFERROR(VLOOKUP($G1285,基本資料!$A:$M,12,0),"無")</f>
        <v>35.68</v>
      </c>
      <c r="AD1285" s="16" t="s">
        <v>1005</v>
      </c>
      <c r="AG1285" s="33">
        <f t="shared" si="241"/>
        <v>0</v>
      </c>
      <c r="AH1285" s="43" t="s">
        <v>2688</v>
      </c>
      <c r="AI1285" s="63">
        <f t="shared" si="242"/>
        <v>1.6004540295119184E-3</v>
      </c>
      <c r="AJ1285" s="284">
        <f>RTD("money.excel",,$G1285,"PredictVolume")</f>
        <v>141</v>
      </c>
      <c r="AK1285" s="399">
        <f>IFERROR(VLOOKUP($G1285,基本資料!$A:$M,13,0),"無")</f>
        <v>10.039999999999999</v>
      </c>
    </row>
    <row r="1286" spans="1:37">
      <c r="A1286" s="347">
        <f>IFERROR(VLOOKUP($G1286,基本資料!$A:$J,3,0),"無")</f>
        <v>18.829999999999998</v>
      </c>
      <c r="B1286" s="79">
        <f>IFERROR(VLOOKUP($G1286,基本資料!$A:$J,4,0),"無")</f>
        <v>6</v>
      </c>
      <c r="C1286" s="79">
        <f>IFERROR(VLOOKUP($G1286,基本資料!$A:$J,5,0),"無")</f>
        <v>-27</v>
      </c>
      <c r="D1286" s="79">
        <f>IFERROR(VLOOKUP($G1286,基本資料!$A:$J,6,0),"無")</f>
        <v>-5</v>
      </c>
      <c r="E1286" s="79">
        <f>IFERROR(VLOOKUP($G1286,基本資料!$A:$J,7,0),"無")</f>
        <v>6</v>
      </c>
      <c r="F1286" s="6">
        <f>IFERROR(VLOOKUP($G1286,基本資料!$A:$J,8,0),"無")</f>
        <v>4.07</v>
      </c>
      <c r="G1286" s="79">
        <v>6112</v>
      </c>
      <c r="H1286" s="8" t="s">
        <v>313</v>
      </c>
      <c r="I1286" s="22" t="s">
        <v>1022</v>
      </c>
      <c r="J1286" s="8">
        <f>IFERROR(VLOOKUP($G1286,今日總結!$A:$AJ,35,0),"")</f>
        <v>0</v>
      </c>
      <c r="K1286" s="5">
        <f>IFERROR(VLOOKUP($G1286,今日總結!$A:$AJ,36,0),"")</f>
        <v>0</v>
      </c>
      <c r="L1286" s="156">
        <f>IFERROR(VLOOKUP($G1286,今日總結!$A:$AJ,33,0),"")</f>
        <v>0</v>
      </c>
      <c r="M1286" s="340">
        <f>IFERROR(VLOOKUP($G1286,今日總結!$A:$AJ,34,0),"")</f>
        <v>1</v>
      </c>
      <c r="N1286" s="240">
        <f t="shared" si="243"/>
        <v>-1</v>
      </c>
      <c r="P1286" s="365">
        <f>IFERROR(VLOOKUP($G1286,融外自投!$A:$J,7,0),"無")</f>
        <v>1224</v>
      </c>
      <c r="Q1286" s="79">
        <f>IFERROR(VLOOKUP($G1286,融外自投!$A:$J,9,0),"無")</f>
        <v>1110</v>
      </c>
      <c r="R1286" s="346">
        <f>IFERROR(VLOOKUP($G1286,融外自投!$A:$J,8,0),"無")</f>
        <v>1020</v>
      </c>
      <c r="S1286" s="81" t="str">
        <f>IFERROR(VLOOKUP($G1286,融外自投!$A:$J,10,0),"無")</f>
        <v>無</v>
      </c>
      <c r="T1286" s="327">
        <f>IFERROR(VLOOKUP($G1286,'321買'!$A:$E,5,0),"'沒有資料'")</f>
        <v>558</v>
      </c>
      <c r="U1286" s="186">
        <f>IFERROR(VLOOKUP($G1286,基本資料!$A:$J,9,0),"無")</f>
        <v>2.5</v>
      </c>
      <c r="V1286" s="310">
        <f t="shared" si="238"/>
        <v>7.0821529745042494E-2</v>
      </c>
      <c r="W1286" s="94">
        <f>IFERROR(VLOOKUP($G1286,基本資料!$A:$J,10,0),"無")</f>
        <v>3.07</v>
      </c>
      <c r="X1286" s="36">
        <f>RTD("money.excel",,"6112","Price")</f>
        <v>35.299999999999997</v>
      </c>
      <c r="Y1286" s="66"/>
      <c r="Z1286" s="15">
        <f t="shared" si="239"/>
        <v>35.299999999999997</v>
      </c>
      <c r="AA1286" s="3" t="e">
        <f t="shared" si="240"/>
        <v>#DIV/0!</v>
      </c>
      <c r="AB1286" s="344">
        <f>IFERROR(VLOOKUP($G1286,基本資料!$A:$M,11,0),"無")</f>
        <v>-16.78</v>
      </c>
      <c r="AC1286" s="397">
        <f>IFERROR(VLOOKUP($G1286,基本資料!$A:$M,12,0),"無")</f>
        <v>20.96</v>
      </c>
      <c r="AD1286" s="22" t="s">
        <v>1022</v>
      </c>
      <c r="AG1286" s="33">
        <f t="shared" si="241"/>
        <v>0</v>
      </c>
      <c r="AH1286" s="43" t="s">
        <v>2004</v>
      </c>
      <c r="AI1286" s="63">
        <f t="shared" si="242"/>
        <v>7.4349442379182166E-4</v>
      </c>
      <c r="AJ1286" s="284">
        <f>RTD("money.excel",,$G1286,"PredictVolume")</f>
        <v>140</v>
      </c>
      <c r="AK1286" s="399">
        <f>IFERROR(VLOOKUP($G1286,基本資料!$A:$M,13,0),"無")</f>
        <v>0.77</v>
      </c>
    </row>
    <row r="1287" spans="1:37">
      <c r="A1287" s="347">
        <f>IFERROR(VLOOKUP($G1287,基本資料!$A:$J,3,0),"無")</f>
        <v>3.83</v>
      </c>
      <c r="B1287" s="79">
        <f>IFERROR(VLOOKUP($G1287,基本資料!$A:$J,4,0),"無")</f>
        <v>-53</v>
      </c>
      <c r="C1287" s="79">
        <f>IFERROR(VLOOKUP($G1287,基本資料!$A:$J,5,0),"無")</f>
        <v>-39</v>
      </c>
      <c r="D1287" s="79">
        <f>IFERROR(VLOOKUP($G1287,基本資料!$A:$J,6,0),"無")</f>
        <v>8</v>
      </c>
      <c r="E1287" s="79">
        <f>IFERROR(VLOOKUP($G1287,基本資料!$A:$J,7,0),"無")</f>
        <v>-18</v>
      </c>
      <c r="F1287" s="6">
        <f>IFERROR(VLOOKUP($G1287,基本資料!$A:$J,8,0),"無")</f>
        <v>1.58</v>
      </c>
      <c r="G1287" s="79">
        <v>6140</v>
      </c>
      <c r="H1287" s="8" t="s">
        <v>313</v>
      </c>
      <c r="I1287" s="16" t="s">
        <v>1006</v>
      </c>
      <c r="J1287" s="8" t="str">
        <f>IFERROR(VLOOKUP($G1287,今日總結!$A:$AJ,35,0),"")</f>
        <v>融</v>
      </c>
      <c r="K1287" s="5">
        <f>IFERROR(VLOOKUP($G1287,今日總結!$A:$AJ,36,0),"")</f>
        <v>0</v>
      </c>
      <c r="L1287" s="156">
        <f>IFERROR(VLOOKUP($G1287,今日總結!$A:$AJ,33,0),"")</f>
        <v>1</v>
      </c>
      <c r="M1287" s="340">
        <f>IFERROR(VLOOKUP($G1287,今日總結!$A:$AJ,34,0),"")</f>
        <v>0</v>
      </c>
      <c r="N1287" s="240">
        <f t="shared" si="243"/>
        <v>1</v>
      </c>
      <c r="P1287" s="365">
        <f>IFERROR(VLOOKUP($G1287,融外自投!$A:$J,7,0),"無")</f>
        <v>91</v>
      </c>
      <c r="Q1287" s="79">
        <f>IFERROR(VLOOKUP($G1287,融外自投!$A:$J,9,0),"無")</f>
        <v>435</v>
      </c>
      <c r="R1287" s="346">
        <f>IFERROR(VLOOKUP($G1287,融外自投!$A:$J,8,0),"無")</f>
        <v>1344</v>
      </c>
      <c r="S1287" s="81" t="str">
        <f>IFERROR(VLOOKUP($G1287,融外自投!$A:$J,10,0),"無")</f>
        <v>無</v>
      </c>
      <c r="T1287" s="327">
        <f>IFERROR(VLOOKUP($G1287,'321買'!$A:$E,5,0),"'沒有資料'")</f>
        <v>1296</v>
      </c>
      <c r="U1287" s="186">
        <f>IFERROR(VLOOKUP($G1287,基本資料!$A:$J,9,0),"無")</f>
        <v>0</v>
      </c>
      <c r="V1287" s="310">
        <f t="shared" si="238"/>
        <v>0</v>
      </c>
      <c r="W1287" s="94">
        <f>IFERROR(VLOOKUP($G1287,基本資料!$A:$J,10,0),"無")</f>
        <v>0.68</v>
      </c>
      <c r="X1287" s="36">
        <f>RTD("money.excel",,"6140","Price")</f>
        <v>16.399999999999999</v>
      </c>
      <c r="Y1287" s="66"/>
      <c r="Z1287" s="15">
        <f t="shared" si="239"/>
        <v>16.399999999999999</v>
      </c>
      <c r="AA1287" s="3" t="e">
        <f t="shared" si="240"/>
        <v>#DIV/0!</v>
      </c>
      <c r="AB1287" s="344">
        <f>IFERROR(VLOOKUP($G1287,基本資料!$A:$M,11,0),"無")</f>
        <v>-35.380000000000003</v>
      </c>
      <c r="AC1287" s="397">
        <f>IFERROR(VLOOKUP($G1287,基本資料!$A:$M,12,0),"無")</f>
        <v>28.79</v>
      </c>
      <c r="AD1287" s="16" t="s">
        <v>1006</v>
      </c>
      <c r="AG1287" s="33">
        <f t="shared" si="241"/>
        <v>0</v>
      </c>
      <c r="AH1287" s="43" t="s">
        <v>304</v>
      </c>
      <c r="AI1287" s="63">
        <f t="shared" si="242"/>
        <v>3.6553524804177544E-4</v>
      </c>
      <c r="AJ1287" s="284">
        <f>RTD("money.excel",,$G1287,"PredictVolume")</f>
        <v>14</v>
      </c>
      <c r="AK1287" s="399">
        <f>IFERROR(VLOOKUP($G1287,基本資料!$A:$M,13,0),"無")</f>
        <v>22.7</v>
      </c>
    </row>
    <row r="1288" spans="1:37">
      <c r="A1288" s="347">
        <f>IFERROR(VLOOKUP($G1288,基本資料!$A:$J,3,0),"無")</f>
        <v>4.66</v>
      </c>
      <c r="B1288" s="79">
        <f>IFERROR(VLOOKUP($G1288,基本資料!$A:$J,4,0),"無")</f>
        <v>-12</v>
      </c>
      <c r="C1288" s="79">
        <f>IFERROR(VLOOKUP($G1288,基本資料!$A:$J,5,0),"無")</f>
        <v>-24</v>
      </c>
      <c r="D1288" s="79">
        <f>IFERROR(VLOOKUP($G1288,基本資料!$A:$J,6,0),"無")</f>
        <v>13</v>
      </c>
      <c r="E1288" s="79">
        <f>IFERROR(VLOOKUP($G1288,基本資料!$A:$J,7,0),"無")</f>
        <v>57</v>
      </c>
      <c r="F1288" s="6">
        <f>IFERROR(VLOOKUP($G1288,基本資料!$A:$J,8,0),"無")</f>
        <v>5.78</v>
      </c>
      <c r="G1288" s="79">
        <v>6148</v>
      </c>
      <c r="H1288" s="8" t="s">
        <v>313</v>
      </c>
      <c r="I1288" s="16" t="s">
        <v>1007</v>
      </c>
      <c r="J1288" s="8">
        <f>IFERROR(VLOOKUP($G1288,今日總結!$A:$AJ,35,0),"")</f>
        <v>0</v>
      </c>
      <c r="K1288" s="5" t="str">
        <f>IFERROR(VLOOKUP($G1288,今日總結!$A:$AJ,36,0),"")</f>
        <v>融外</v>
      </c>
      <c r="L1288" s="156">
        <f>IFERROR(VLOOKUP($G1288,今日總結!$A:$AJ,33,0),"")</f>
        <v>0</v>
      </c>
      <c r="M1288" s="340">
        <f>IFERROR(VLOOKUP($G1288,今日總結!$A:$AJ,34,0),"")</f>
        <v>2</v>
      </c>
      <c r="N1288" s="240">
        <f t="shared" si="243"/>
        <v>-2</v>
      </c>
      <c r="P1288" s="365">
        <f>IFERROR(VLOOKUP($G1288,融外自投!$A:$J,7,0),"無")</f>
        <v>428</v>
      </c>
      <c r="Q1288" s="79">
        <f>IFERROR(VLOOKUP($G1288,融外自投!$A:$J,9,0),"無")</f>
        <v>537</v>
      </c>
      <c r="R1288" s="346">
        <f>IFERROR(VLOOKUP($G1288,融外自投!$A:$J,8,0),"無")</f>
        <v>1256</v>
      </c>
      <c r="S1288" s="81" t="str">
        <f>IFERROR(VLOOKUP($G1288,融外自投!$A:$J,10,0),"無")</f>
        <v>無</v>
      </c>
      <c r="T1288" s="327">
        <f>IFERROR(VLOOKUP($G1288,'321買'!$A:$E,5,0),"'沒有資料'")</f>
        <v>802</v>
      </c>
      <c r="U1288" s="186">
        <f>IFERROR(VLOOKUP($G1288,基本資料!$A:$J,9,0),"無")</f>
        <v>1</v>
      </c>
      <c r="V1288" s="310">
        <f t="shared" si="238"/>
        <v>7.9051383399209488E-2</v>
      </c>
      <c r="W1288" s="94">
        <f>IFERROR(VLOOKUP($G1288,基本資料!$A:$J,10,0),"無")</f>
        <v>0.98</v>
      </c>
      <c r="X1288" s="36">
        <f>RTD("money.excel",,"6148","Price")</f>
        <v>12.65</v>
      </c>
      <c r="Y1288" s="66"/>
      <c r="Z1288" s="15">
        <f t="shared" si="239"/>
        <v>12.65</v>
      </c>
      <c r="AA1288" s="3" t="e">
        <f t="shared" si="240"/>
        <v>#DIV/0!</v>
      </c>
      <c r="AB1288" s="344">
        <f>IFERROR(VLOOKUP($G1288,基本資料!$A:$M,11,0),"無")</f>
        <v>-30.08</v>
      </c>
      <c r="AC1288" s="397">
        <f>IFERROR(VLOOKUP($G1288,基本資料!$A:$M,12,0),"無")</f>
        <v>13.78</v>
      </c>
      <c r="AD1288" s="16" t="s">
        <v>1007</v>
      </c>
      <c r="AG1288" s="33">
        <f t="shared" si="241"/>
        <v>0</v>
      </c>
      <c r="AH1288" s="43" t="s">
        <v>304</v>
      </c>
      <c r="AI1288" s="63">
        <f t="shared" si="242"/>
        <v>8.7982832618025753E-4</v>
      </c>
      <c r="AJ1288" s="284">
        <f>RTD("money.excel",,$G1288,"PredictVolume")</f>
        <v>41</v>
      </c>
      <c r="AK1288" s="399">
        <f>IFERROR(VLOOKUP($G1288,基本資料!$A:$M,13,0),"無")</f>
        <v>31.93</v>
      </c>
    </row>
    <row r="1289" spans="1:37">
      <c r="A1289" s="347">
        <f>IFERROR(VLOOKUP($G1289,基本資料!$A:$J,3,0),"無")</f>
        <v>15</v>
      </c>
      <c r="B1289" s="79">
        <f>IFERROR(VLOOKUP($G1289,基本資料!$A:$J,4,0),"無")</f>
        <v>26</v>
      </c>
      <c r="C1289" s="79">
        <f>IFERROR(VLOOKUP($G1289,基本資料!$A:$J,5,0),"無")</f>
        <v>22</v>
      </c>
      <c r="D1289" s="79">
        <f>IFERROR(VLOOKUP($G1289,基本資料!$A:$J,6,0),"無")</f>
        <v>-5</v>
      </c>
      <c r="E1289" s="79">
        <f>IFERROR(VLOOKUP($G1289,基本資料!$A:$J,7,0),"無")</f>
        <v>16</v>
      </c>
      <c r="F1289" s="6">
        <f>IFERROR(VLOOKUP($G1289,基本資料!$A:$J,8,0),"無")</f>
        <v>23.1</v>
      </c>
      <c r="G1289" s="79">
        <v>6183</v>
      </c>
      <c r="H1289" s="8" t="s">
        <v>313</v>
      </c>
      <c r="I1289" s="22" t="s">
        <v>1023</v>
      </c>
      <c r="J1289" s="8">
        <f>IFERROR(VLOOKUP($G1289,今日總結!$A:$AJ,35,0),"")</f>
        <v>0</v>
      </c>
      <c r="K1289" s="5" t="str">
        <f>IFERROR(VLOOKUP($G1289,今日總結!$A:$AJ,36,0),"")</f>
        <v>外</v>
      </c>
      <c r="L1289" s="156">
        <f>IFERROR(VLOOKUP($G1289,今日總結!$A:$AJ,33,0),"")</f>
        <v>0</v>
      </c>
      <c r="M1289" s="340">
        <f>IFERROR(VLOOKUP($G1289,今日總結!$A:$AJ,34,0),"")</f>
        <v>1</v>
      </c>
      <c r="N1289" s="240">
        <f t="shared" si="243"/>
        <v>-1</v>
      </c>
      <c r="P1289" s="365">
        <f>IFERROR(VLOOKUP($G1289,融外自投!$A:$J,7,0),"無")</f>
        <v>1356</v>
      </c>
      <c r="Q1289" s="79">
        <f>IFERROR(VLOOKUP($G1289,融外自投!$A:$J,9,0),"無")</f>
        <v>896</v>
      </c>
      <c r="R1289" s="346">
        <f>IFERROR(VLOOKUP($G1289,融外自投!$A:$J,8,0),"無")</f>
        <v>1210</v>
      </c>
      <c r="S1289" s="81" t="str">
        <f>IFERROR(VLOOKUP($G1289,融外自投!$A:$J,10,0),"無")</f>
        <v>無</v>
      </c>
      <c r="T1289" s="327">
        <f>IFERROR(VLOOKUP($G1289,'321買'!$A:$E,5,0),"'沒有資料'")</f>
        <v>1281</v>
      </c>
      <c r="U1289" s="186">
        <f>IFERROR(VLOOKUP($G1289,基本資料!$A:$J,9,0),"無")</f>
        <v>2.0499999999999998</v>
      </c>
      <c r="V1289" s="310">
        <f t="shared" si="238"/>
        <v>3.824626865671641E-2</v>
      </c>
      <c r="W1289" s="94">
        <f>IFERROR(VLOOKUP($G1289,基本資料!$A:$J,10,0),"無")</f>
        <v>2.84</v>
      </c>
      <c r="X1289" s="36">
        <f>RTD("money.excel",,"6183","Price")</f>
        <v>53.6</v>
      </c>
      <c r="Y1289" s="66"/>
      <c r="Z1289" s="15">
        <f t="shared" si="239"/>
        <v>53.6</v>
      </c>
      <c r="AA1289" s="3" t="e">
        <f t="shared" si="240"/>
        <v>#DIV/0!</v>
      </c>
      <c r="AB1289" s="344">
        <f>IFERROR(VLOOKUP($G1289,基本資料!$A:$M,11,0),"無")</f>
        <v>-3.96</v>
      </c>
      <c r="AC1289" s="397">
        <f>IFERROR(VLOOKUP($G1289,基本資料!$A:$M,12,0),"無")</f>
        <v>71.180000000000007</v>
      </c>
      <c r="AD1289" s="22" t="s">
        <v>1023</v>
      </c>
      <c r="AG1289" s="33">
        <f t="shared" si="241"/>
        <v>0</v>
      </c>
      <c r="AH1289" s="43" t="s">
        <v>2778</v>
      </c>
      <c r="AI1289" s="63">
        <f t="shared" si="242"/>
        <v>3.2666666666666667E-4</v>
      </c>
      <c r="AJ1289" s="284">
        <f>RTD("money.excel",,$G1289,"PredictVolume")</f>
        <v>49</v>
      </c>
      <c r="AK1289" s="399">
        <f>IFERROR(VLOOKUP($G1289,基本資料!$A:$M,13,0),"無")</f>
        <v>0.48</v>
      </c>
    </row>
    <row r="1290" spans="1:37">
      <c r="A1290" s="347">
        <f>IFERROR(VLOOKUP($G1290,基本資料!$A:$J,3,0),"無")</f>
        <v>26.93</v>
      </c>
      <c r="B1290" s="79">
        <f>IFERROR(VLOOKUP($G1290,基本資料!$A:$J,4,0),"無")</f>
        <v>-27</v>
      </c>
      <c r="C1290" s="79">
        <f>IFERROR(VLOOKUP($G1290,基本資料!$A:$J,5,0),"無")</f>
        <v>22</v>
      </c>
      <c r="D1290" s="79">
        <f>IFERROR(VLOOKUP($G1290,基本資料!$A:$J,6,0),"無")</f>
        <v>-22</v>
      </c>
      <c r="E1290" s="79">
        <f>IFERROR(VLOOKUP($G1290,基本資料!$A:$J,7,0),"無")</f>
        <v>-1</v>
      </c>
      <c r="F1290" s="6">
        <f>IFERROR(VLOOKUP($G1290,基本資料!$A:$J,8,0),"無")</f>
        <v>3.84</v>
      </c>
      <c r="G1290" s="79">
        <v>6214</v>
      </c>
      <c r="H1290" s="8" t="s">
        <v>313</v>
      </c>
      <c r="I1290" s="153" t="s">
        <v>279</v>
      </c>
      <c r="J1290" s="8">
        <f>IFERROR(VLOOKUP($G1290,今日總結!$A:$AJ,35,0),"")</f>
        <v>0</v>
      </c>
      <c r="K1290" s="5" t="str">
        <f>IFERROR(VLOOKUP($G1290,今日總結!$A:$AJ,36,0),"")</f>
        <v>外</v>
      </c>
      <c r="L1290" s="156">
        <f>IFERROR(VLOOKUP($G1290,今日總結!$A:$AJ,33,0),"")</f>
        <v>0</v>
      </c>
      <c r="M1290" s="340">
        <f>IFERROR(VLOOKUP($G1290,今日總結!$A:$AJ,34,0),"")</f>
        <v>2</v>
      </c>
      <c r="N1290" s="240">
        <f t="shared" si="243"/>
        <v>-2</v>
      </c>
      <c r="P1290" s="365">
        <f>IFERROR(VLOOKUP($G1290,融外自投!$A:$J,7,0),"無")</f>
        <v>1281</v>
      </c>
      <c r="Q1290" s="79">
        <f>IFERROR(VLOOKUP($G1290,融外自投!$A:$J,9,0),"無")</f>
        <v>667</v>
      </c>
      <c r="R1290" s="346">
        <f>IFERROR(VLOOKUP($G1290,融外自投!$A:$J,8,0),"無")</f>
        <v>432</v>
      </c>
      <c r="S1290" s="81" t="str">
        <f>IFERROR(VLOOKUP($G1290,融外自投!$A:$J,10,0),"無")</f>
        <v>無</v>
      </c>
      <c r="T1290" s="327">
        <f>IFERROR(VLOOKUP($G1290,'321買'!$A:$E,5,0),"'沒有資料'")</f>
        <v>1007</v>
      </c>
      <c r="U1290" s="186">
        <f>IFERROR(VLOOKUP($G1290,基本資料!$A:$J,9,0),"無")</f>
        <v>5</v>
      </c>
      <c r="V1290" s="310">
        <f t="shared" si="238"/>
        <v>6.4850843060959798E-2</v>
      </c>
      <c r="W1290" s="94">
        <f>IFERROR(VLOOKUP($G1290,基本資料!$A:$J,10,0),"無")</f>
        <v>4.9000000000000004</v>
      </c>
      <c r="X1290" s="36">
        <f>RTD("money.excel",,"6214","Price")</f>
        <v>77.099999999999994</v>
      </c>
      <c r="Y1290" s="66"/>
      <c r="Z1290" s="15">
        <f t="shared" si="239"/>
        <v>77.099999999999994</v>
      </c>
      <c r="AA1290" s="3" t="e">
        <f t="shared" si="240"/>
        <v>#DIV/0!</v>
      </c>
      <c r="AB1290" s="344">
        <f>IFERROR(VLOOKUP($G1290,基本資料!$A:$M,11,0),"無")</f>
        <v>-14.32</v>
      </c>
      <c r="AC1290" s="397">
        <f>IFERROR(VLOOKUP($G1290,基本資料!$A:$M,12,0),"無")</f>
        <v>16.62</v>
      </c>
      <c r="AD1290" s="22" t="s">
        <v>279</v>
      </c>
      <c r="AG1290" s="33">
        <f t="shared" si="241"/>
        <v>0</v>
      </c>
      <c r="AH1290" s="117" t="s">
        <v>1544</v>
      </c>
      <c r="AI1290" s="63">
        <f t="shared" si="242"/>
        <v>9.7660601559598965E-4</v>
      </c>
      <c r="AJ1290" s="284">
        <f>RTD("money.excel",,$G1290,"PredictVolume")</f>
        <v>263</v>
      </c>
      <c r="AK1290" s="399">
        <f>IFERROR(VLOOKUP($G1290,基本資料!$A:$M,13,0),"無")</f>
        <v>0.9</v>
      </c>
    </row>
    <row r="1291" spans="1:37">
      <c r="A1291" s="347">
        <f>IFERROR(VLOOKUP($G1291,基本資料!$A:$J,3,0),"無")</f>
        <v>7.16</v>
      </c>
      <c r="B1291" s="79">
        <f>IFERROR(VLOOKUP($G1291,基本資料!$A:$J,4,0),"無")</f>
        <v>-3</v>
      </c>
      <c r="C1291" s="79">
        <f>IFERROR(VLOOKUP($G1291,基本資料!$A:$J,5,0),"無")</f>
        <v>-11</v>
      </c>
      <c r="D1291" s="79">
        <f>IFERROR(VLOOKUP($G1291,基本資料!$A:$J,6,0),"無")</f>
        <v>0</v>
      </c>
      <c r="E1291" s="79">
        <f>IFERROR(VLOOKUP($G1291,基本資料!$A:$J,7,0),"無")</f>
        <v>62</v>
      </c>
      <c r="F1291" s="6">
        <f>IFERROR(VLOOKUP($G1291,基本資料!$A:$J,8,0),"無")</f>
        <v>6.72</v>
      </c>
      <c r="G1291" s="79">
        <v>6221</v>
      </c>
      <c r="H1291" s="8" t="s">
        <v>313</v>
      </c>
      <c r="I1291" s="16" t="s">
        <v>1008</v>
      </c>
      <c r="J1291" s="8" t="str">
        <f>IFERROR(VLOOKUP($G1291,今日總結!$A:$AJ,35,0),"")</f>
        <v/>
      </c>
      <c r="K1291" s="5" t="str">
        <f>IFERROR(VLOOKUP($G1291,今日總結!$A:$AJ,36,0),"")</f>
        <v/>
      </c>
      <c r="L1291" s="156" t="str">
        <f>IFERROR(VLOOKUP($G1291,今日總結!$A:$AJ,33,0),"")</f>
        <v/>
      </c>
      <c r="M1291" s="340" t="str">
        <f>IFERROR(VLOOKUP($G1291,今日總結!$A:$AJ,34,0),"")</f>
        <v/>
      </c>
      <c r="N1291" s="240" t="str">
        <f t="shared" si="243"/>
        <v/>
      </c>
      <c r="P1291" s="365">
        <f>IFERROR(VLOOKUP($G1291,融外自投!$A:$J,7,0),"無")</f>
        <v>392</v>
      </c>
      <c r="Q1291" s="79" t="str">
        <f>IFERROR(VLOOKUP($G1291,融外自投!$A:$J,9,0),"無")</f>
        <v>無</v>
      </c>
      <c r="R1291" s="346">
        <f>IFERROR(VLOOKUP($G1291,融外自投!$A:$J,8,0),"無")</f>
        <v>1406</v>
      </c>
      <c r="S1291" s="81" t="str">
        <f>IFERROR(VLOOKUP($G1291,融外自投!$A:$J,10,0),"無")</f>
        <v>無</v>
      </c>
      <c r="T1291" s="327" t="str">
        <f>IFERROR(VLOOKUP($G1291,'321買'!$A:$E,5,0),"'沒有資料'")</f>
        <v>'沒有資料'</v>
      </c>
      <c r="U1291" s="186">
        <f>IFERROR(VLOOKUP($G1291,基本資料!$A:$J,9,0),"無")</f>
        <v>2.5</v>
      </c>
      <c r="V1291" s="310">
        <f t="shared" si="238"/>
        <v>5.3191489361702128E-2</v>
      </c>
      <c r="W1291" s="94">
        <f>IFERROR(VLOOKUP($G1291,基本資料!$A:$J,10,0),"無")</f>
        <v>2.95</v>
      </c>
      <c r="X1291" s="36">
        <f>RTD("money.excel",,"6221","Price")</f>
        <v>47</v>
      </c>
      <c r="Y1291" s="66"/>
      <c r="Z1291" s="15">
        <f t="shared" si="239"/>
        <v>47</v>
      </c>
      <c r="AA1291" s="3" t="e">
        <f t="shared" si="240"/>
        <v>#DIV/0!</v>
      </c>
      <c r="AB1291" s="344">
        <f>IFERROR(VLOOKUP($G1291,基本資料!$A:$M,11,0),"無")</f>
        <v>-35.590000000000003</v>
      </c>
      <c r="AC1291" s="397">
        <f>IFERROR(VLOOKUP($G1291,基本資料!$A:$M,12,0),"無")</f>
        <v>38.619999999999997</v>
      </c>
      <c r="AD1291" s="16" t="s">
        <v>1008</v>
      </c>
      <c r="AG1291" s="33">
        <f t="shared" si="241"/>
        <v>0</v>
      </c>
      <c r="AH1291" s="43" t="s">
        <v>2689</v>
      </c>
      <c r="AI1291" s="63">
        <f t="shared" si="242"/>
        <v>4.1899441340782123E-5</v>
      </c>
      <c r="AJ1291" s="284">
        <f>RTD("money.excel",,$G1291,"PredictVolume")</f>
        <v>3</v>
      </c>
      <c r="AK1291" s="399">
        <f>IFERROR(VLOOKUP($G1291,基本資料!$A:$M,13,0),"無")</f>
        <v>3.28</v>
      </c>
    </row>
    <row r="1292" spans="1:37">
      <c r="A1292" s="347">
        <f>IFERROR(VLOOKUP($G1292,基本資料!$A:$J,3,0),"無")</f>
        <v>3.8</v>
      </c>
      <c r="B1292" s="79">
        <f>IFERROR(VLOOKUP($G1292,基本資料!$A:$J,4,0),"無")</f>
        <v>46</v>
      </c>
      <c r="C1292" s="79">
        <f>IFERROR(VLOOKUP($G1292,基本資料!$A:$J,5,0),"無")</f>
        <v>43</v>
      </c>
      <c r="D1292" s="79">
        <f>IFERROR(VLOOKUP($G1292,基本資料!$A:$J,6,0),"無")</f>
        <v>27</v>
      </c>
      <c r="E1292" s="79">
        <f>IFERROR(VLOOKUP($G1292,基本資料!$A:$J,7,0),"無")</f>
        <v>25</v>
      </c>
      <c r="F1292" s="6">
        <f>IFERROR(VLOOKUP($G1292,基本資料!$A:$J,8,0),"無")</f>
        <v>22.68</v>
      </c>
      <c r="G1292" s="79">
        <v>6231</v>
      </c>
      <c r="H1292" s="8" t="s">
        <v>313</v>
      </c>
      <c r="I1292" s="16" t="s">
        <v>1009</v>
      </c>
      <c r="J1292" s="8" t="str">
        <f>IFERROR(VLOOKUP($G1292,今日總結!$A:$AJ,35,0),"")</f>
        <v/>
      </c>
      <c r="K1292" s="5" t="str">
        <f>IFERROR(VLOOKUP($G1292,今日總結!$A:$AJ,36,0),"")</f>
        <v/>
      </c>
      <c r="L1292" s="156" t="str">
        <f>IFERROR(VLOOKUP($G1292,今日總結!$A:$AJ,33,0),"")</f>
        <v/>
      </c>
      <c r="M1292" s="340" t="str">
        <f>IFERROR(VLOOKUP($G1292,今日總結!$A:$AJ,34,0),"")</f>
        <v/>
      </c>
      <c r="N1292" s="240" t="str">
        <f t="shared" si="243"/>
        <v/>
      </c>
      <c r="P1292" s="365">
        <f>IFERROR(VLOOKUP($G1292,融外自投!$A:$J,7,0),"無")</f>
        <v>126</v>
      </c>
      <c r="Q1292" s="79">
        <f>IFERROR(VLOOKUP($G1292,融外自投!$A:$J,9,0),"無")</f>
        <v>337</v>
      </c>
      <c r="R1292" s="346">
        <f>IFERROR(VLOOKUP($G1292,融外自投!$A:$J,8,0),"無")</f>
        <v>345</v>
      </c>
      <c r="S1292" s="81">
        <f>IFERROR(VLOOKUP($G1292,融外自投!$A:$J,10,0),"無")</f>
        <v>211</v>
      </c>
      <c r="T1292" s="327">
        <f>IFERROR(VLOOKUP($G1292,'321買'!$A:$E,5,0),"'沒有資料'")</f>
        <v>683</v>
      </c>
      <c r="U1292" s="186">
        <f>IFERROR(VLOOKUP($G1292,基本資料!$A:$J,9,0),"無")</f>
        <v>5.2</v>
      </c>
      <c r="V1292" s="310">
        <f t="shared" si="238"/>
        <v>5.8624577226606536E-2</v>
      </c>
      <c r="W1292" s="94">
        <f>IFERROR(VLOOKUP($G1292,基本資料!$A:$J,10,0),"無")</f>
        <v>5.94</v>
      </c>
      <c r="X1292" s="36">
        <f>RTD("money.excel",,"6231","Price")</f>
        <v>88.7</v>
      </c>
      <c r="Y1292" s="66"/>
      <c r="Z1292" s="15">
        <f t="shared" si="239"/>
        <v>88.7</v>
      </c>
      <c r="AA1292" s="3" t="e">
        <f t="shared" si="240"/>
        <v>#DIV/0!</v>
      </c>
      <c r="AB1292" s="344">
        <f>IFERROR(VLOOKUP($G1292,基本資料!$A:$M,11,0),"無")</f>
        <v>-25.3</v>
      </c>
      <c r="AC1292" s="397">
        <f>IFERROR(VLOOKUP($G1292,基本資料!$A:$M,12,0),"無")</f>
        <v>28.03</v>
      </c>
      <c r="AD1292" s="16" t="s">
        <v>1009</v>
      </c>
      <c r="AG1292" s="33">
        <f t="shared" si="241"/>
        <v>0</v>
      </c>
      <c r="AH1292" s="43" t="s">
        <v>2160</v>
      </c>
      <c r="AI1292" s="63">
        <f t="shared" si="242"/>
        <v>2.3710526315789474E-2</v>
      </c>
      <c r="AJ1292" s="284">
        <f>RTD("money.excel",,$G1292,"PredictVolume")</f>
        <v>901</v>
      </c>
      <c r="AK1292" s="399">
        <f>IFERROR(VLOOKUP($G1292,基本資料!$A:$M,13,0),"無")</f>
        <v>21.39</v>
      </c>
    </row>
    <row r="1293" spans="1:37">
      <c r="A1293" s="347">
        <f>IFERROR(VLOOKUP($G1293,基本資料!$A:$J,3,0),"無")</f>
        <v>2.2799999999999998</v>
      </c>
      <c r="B1293" s="79">
        <f>IFERROR(VLOOKUP($G1293,基本資料!$A:$J,4,0),"無")</f>
        <v>3048</v>
      </c>
      <c r="C1293" s="79">
        <f>IFERROR(VLOOKUP($G1293,基本資料!$A:$J,5,0),"無")</f>
        <v>-177</v>
      </c>
      <c r="D1293" s="79">
        <f>IFERROR(VLOOKUP($G1293,基本資料!$A:$J,6,0),"無")</f>
        <v>0</v>
      </c>
      <c r="E1293" s="79">
        <f>IFERROR(VLOOKUP($G1293,基本資料!$A:$J,7,0),"無")</f>
        <v>-3</v>
      </c>
      <c r="F1293" s="6">
        <f>IFERROR(VLOOKUP($G1293,基本資料!$A:$J,8,0),"無")</f>
        <v>-50.06</v>
      </c>
      <c r="G1293" s="79">
        <v>6240</v>
      </c>
      <c r="H1293" s="8" t="s">
        <v>313</v>
      </c>
      <c r="I1293" s="16" t="s">
        <v>1010</v>
      </c>
      <c r="J1293" s="8" t="str">
        <f>IFERROR(VLOOKUP($G1293,今日總結!$A:$AJ,35,0),"")</f>
        <v/>
      </c>
      <c r="K1293" s="5" t="str">
        <f>IFERROR(VLOOKUP($G1293,今日總結!$A:$AJ,36,0),"")</f>
        <v/>
      </c>
      <c r="L1293" s="156" t="str">
        <f>IFERROR(VLOOKUP($G1293,今日總結!$A:$AJ,33,0),"")</f>
        <v/>
      </c>
      <c r="M1293" s="340" t="str">
        <f>IFERROR(VLOOKUP($G1293,今日總結!$A:$AJ,34,0),"")</f>
        <v/>
      </c>
      <c r="N1293" s="240" t="str">
        <f t="shared" si="243"/>
        <v/>
      </c>
      <c r="P1293" s="365">
        <f>IFERROR(VLOOKUP($G1293,融外自投!$A:$J,7,0),"無")</f>
        <v>904</v>
      </c>
      <c r="Q1293" s="79" t="str">
        <f>IFERROR(VLOOKUP($G1293,融外自投!$A:$J,9,0),"無")</f>
        <v>無</v>
      </c>
      <c r="R1293" s="346">
        <f>IFERROR(VLOOKUP($G1293,融外自投!$A:$J,8,0),"無")</f>
        <v>1420</v>
      </c>
      <c r="S1293" s="81" t="str">
        <f>IFERROR(VLOOKUP($G1293,融外自投!$A:$J,10,0),"無")</f>
        <v>無</v>
      </c>
      <c r="T1293" s="327">
        <f>IFERROR(VLOOKUP($G1293,'321買'!$A:$E,5,0),"'沒有資料'")</f>
        <v>1296</v>
      </c>
      <c r="U1293" s="186">
        <f>IFERROR(VLOOKUP($G1293,基本資料!$A:$J,9,0),"無")</f>
        <v>0</v>
      </c>
      <c r="V1293" s="310">
        <f t="shared" si="238"/>
        <v>0</v>
      </c>
      <c r="W1293" s="94">
        <f>IFERROR(VLOOKUP($G1293,基本資料!$A:$J,10,0),"無")</f>
        <v>1.1299999999999999</v>
      </c>
      <c r="X1293" s="36">
        <f>RTD("money.excel",,"6240","Price")</f>
        <v>19.899999999999999</v>
      </c>
      <c r="Y1293" s="66"/>
      <c r="Z1293" s="15">
        <f t="shared" si="239"/>
        <v>19.899999999999999</v>
      </c>
      <c r="AA1293" s="3" t="e">
        <f t="shared" si="240"/>
        <v>#DIV/0!</v>
      </c>
      <c r="AB1293" s="344">
        <f>IFERROR(VLOOKUP($G1293,基本資料!$A:$M,11,0),"無")</f>
        <v>-35.06</v>
      </c>
      <c r="AC1293" s="397">
        <f>IFERROR(VLOOKUP($G1293,基本資料!$A:$M,12,0),"無")</f>
        <v>41.94</v>
      </c>
      <c r="AD1293" s="16" t="s">
        <v>1010</v>
      </c>
      <c r="AG1293" s="33">
        <f t="shared" si="241"/>
        <v>0</v>
      </c>
      <c r="AH1293" s="43" t="s">
        <v>2690</v>
      </c>
      <c r="AI1293" s="63">
        <f t="shared" si="242"/>
        <v>7.4561403508771943E-4</v>
      </c>
      <c r="AJ1293" s="284">
        <f>RTD("money.excel",,$G1293,"PredictVolume")</f>
        <v>17</v>
      </c>
      <c r="AK1293" s="399">
        <f>IFERROR(VLOOKUP($G1293,基本資料!$A:$M,13,0),"無")</f>
        <v>14.67</v>
      </c>
    </row>
    <row r="1294" spans="1:37">
      <c r="A1294" s="347">
        <f>IFERROR(VLOOKUP($G1294,基本資料!$A:$J,3,0),"無")</f>
        <v>1.61</v>
      </c>
      <c r="B1294" s="79">
        <f>IFERROR(VLOOKUP($G1294,基本資料!$A:$J,4,0),"無")</f>
        <v>38</v>
      </c>
      <c r="C1294" s="79">
        <f>IFERROR(VLOOKUP($G1294,基本資料!$A:$J,5,0),"無")</f>
        <v>35</v>
      </c>
      <c r="D1294" s="79">
        <f>IFERROR(VLOOKUP($G1294,基本資料!$A:$J,6,0),"無")</f>
        <v>13</v>
      </c>
      <c r="E1294" s="79">
        <f>IFERROR(VLOOKUP($G1294,基本資料!$A:$J,7,0),"無")</f>
        <v>-86</v>
      </c>
      <c r="F1294" s="6">
        <f>IFERROR(VLOOKUP($G1294,基本資料!$A:$J,8,0),"無")</f>
        <v>-156.71</v>
      </c>
      <c r="G1294" s="79">
        <v>6404</v>
      </c>
      <c r="H1294" s="8" t="s">
        <v>313</v>
      </c>
      <c r="I1294" s="16" t="s">
        <v>1011</v>
      </c>
      <c r="J1294" s="8" t="str">
        <f>IFERROR(VLOOKUP($G1294,今日總結!$A:$AJ,35,0),"")</f>
        <v/>
      </c>
      <c r="K1294" s="5" t="str">
        <f>IFERROR(VLOOKUP($G1294,今日總結!$A:$AJ,36,0),"")</f>
        <v/>
      </c>
      <c r="L1294" s="156" t="str">
        <f>IFERROR(VLOOKUP($G1294,今日總結!$A:$AJ,33,0),"")</f>
        <v/>
      </c>
      <c r="M1294" s="340" t="str">
        <f>IFERROR(VLOOKUP($G1294,今日總結!$A:$AJ,34,0),"")</f>
        <v/>
      </c>
      <c r="N1294" s="240" t="str">
        <f t="shared" si="243"/>
        <v/>
      </c>
      <c r="P1294" s="365" t="str">
        <f>IFERROR(VLOOKUP($G1294,融外自投!$A:$J,7,0),"無")</f>
        <v>無</v>
      </c>
      <c r="Q1294" s="79" t="str">
        <f>IFERROR(VLOOKUP($G1294,融外自投!$A:$J,9,0),"無")</f>
        <v>無</v>
      </c>
      <c r="R1294" s="346" t="str">
        <f>IFERROR(VLOOKUP($G1294,融外自投!$A:$J,8,0),"無")</f>
        <v>無</v>
      </c>
      <c r="S1294" s="81" t="str">
        <f>IFERROR(VLOOKUP($G1294,融外自投!$A:$J,10,0),"無")</f>
        <v>無</v>
      </c>
      <c r="T1294" s="327" t="str">
        <f>IFERROR(VLOOKUP($G1294,'321買'!$A:$E,5,0),"'沒有資料'")</f>
        <v>'沒有資料'</v>
      </c>
      <c r="U1294" s="186">
        <f>IFERROR(VLOOKUP($G1294,基本資料!$A:$J,9,0),"無")</f>
        <v>0</v>
      </c>
      <c r="V1294" s="310" t="e">
        <f t="shared" si="238"/>
        <v>#VALUE!</v>
      </c>
      <c r="W1294" s="94">
        <f>IFERROR(VLOOKUP($G1294,基本資料!$A:$J,10,0),"無")</f>
        <v>-2.41</v>
      </c>
      <c r="X1294" s="36" t="str">
        <f>RTD("money.excel",,"6404","Price")</f>
        <v>無資料</v>
      </c>
      <c r="Y1294" s="66"/>
      <c r="Z1294" s="15" t="e">
        <f t="shared" si="239"/>
        <v>#VALUE!</v>
      </c>
      <c r="AA1294" s="3" t="e">
        <f t="shared" si="240"/>
        <v>#VALUE!</v>
      </c>
      <c r="AB1294" s="344">
        <f>IFERROR(VLOOKUP($G1294,基本資料!$A:$M,11,0),"無")</f>
        <v>-34.159999999999997</v>
      </c>
      <c r="AC1294" s="397">
        <f>IFERROR(VLOOKUP($G1294,基本資料!$A:$M,12,0),"無")</f>
        <v>52.53</v>
      </c>
      <c r="AD1294" s="16" t="s">
        <v>1011</v>
      </c>
      <c r="AG1294" s="33">
        <f t="shared" si="241"/>
        <v>0</v>
      </c>
      <c r="AH1294" s="43" t="s">
        <v>2319</v>
      </c>
      <c r="AI1294" s="63">
        <f t="shared" si="242"/>
        <v>0</v>
      </c>
      <c r="AJ1294" s="284">
        <f>RTD("money.excel",,$G1294,"PredictVolume")</f>
        <v>0</v>
      </c>
      <c r="AK1294" s="399">
        <f>IFERROR(VLOOKUP($G1294,基本資料!$A:$M,13,0),"無")</f>
        <v>22.34</v>
      </c>
    </row>
    <row r="1295" spans="1:37">
      <c r="A1295" s="347">
        <f>IFERROR(VLOOKUP($G1295,基本資料!$A:$J,3,0),"無")</f>
        <v>4.24</v>
      </c>
      <c r="B1295" s="79">
        <f>IFERROR(VLOOKUP($G1295,基本資料!$A:$J,4,0),"無")</f>
        <v>751</v>
      </c>
      <c r="C1295" s="79">
        <f>IFERROR(VLOOKUP($G1295,基本資料!$A:$J,5,0),"無")</f>
        <v>260</v>
      </c>
      <c r="D1295" s="79">
        <f>IFERROR(VLOOKUP($G1295,基本資料!$A:$J,6,0),"無")</f>
        <v>51</v>
      </c>
      <c r="E1295" s="79">
        <f>IFERROR(VLOOKUP($G1295,基本資料!$A:$J,7,0),"無")</f>
        <v>73</v>
      </c>
      <c r="F1295" s="6">
        <f>IFERROR(VLOOKUP($G1295,基本資料!$A:$J,8,0),"無")</f>
        <v>9.35</v>
      </c>
      <c r="G1295" s="79">
        <v>6516</v>
      </c>
      <c r="H1295" s="8" t="s">
        <v>313</v>
      </c>
      <c r="I1295" s="16" t="s">
        <v>1795</v>
      </c>
      <c r="J1295" s="8" t="str">
        <f>IFERROR(VLOOKUP($G1295,今日總結!$A:$AJ,35,0),"")</f>
        <v/>
      </c>
      <c r="K1295" s="5" t="str">
        <f>IFERROR(VLOOKUP($G1295,今日總結!$A:$AJ,36,0),"")</f>
        <v/>
      </c>
      <c r="L1295" s="156" t="str">
        <f>IFERROR(VLOOKUP($G1295,今日總結!$A:$AJ,33,0),"")</f>
        <v/>
      </c>
      <c r="M1295" s="340" t="str">
        <f>IFERROR(VLOOKUP($G1295,今日總結!$A:$AJ,34,0),"")</f>
        <v/>
      </c>
      <c r="N1295" s="240" t="str">
        <f t="shared" si="243"/>
        <v/>
      </c>
      <c r="P1295" s="365">
        <f>IFERROR(VLOOKUP($G1295,融外自投!$A:$J,7,0),"無")</f>
        <v>344</v>
      </c>
      <c r="Q1295" s="79" t="str">
        <f>IFERROR(VLOOKUP($G1295,融外自投!$A:$J,9,0),"無")</f>
        <v>無</v>
      </c>
      <c r="R1295" s="346">
        <f>IFERROR(VLOOKUP($G1295,融外自投!$A:$J,8,0),"無")</f>
        <v>1375</v>
      </c>
      <c r="S1295" s="81" t="str">
        <f>IFERROR(VLOOKUP($G1295,融外自投!$A:$J,10,0),"無")</f>
        <v>無</v>
      </c>
      <c r="T1295" s="327">
        <f>IFERROR(VLOOKUP($G1295,'321買'!$A:$E,5,0),"'沒有資料'")</f>
        <v>1198</v>
      </c>
      <c r="U1295" s="186">
        <f>IFERROR(VLOOKUP($G1295,基本資料!$A:$J,9,0),"無")</f>
        <v>1.88</v>
      </c>
      <c r="V1295" s="310">
        <f t="shared" si="238"/>
        <v>2.1609195402298848E-2</v>
      </c>
      <c r="W1295" s="94">
        <f>IFERROR(VLOOKUP($G1295,基本資料!$A:$J,10,0),"無")</f>
        <v>1.0900000000000001</v>
      </c>
      <c r="X1295" s="36">
        <f>RTD("money.excel",,"6516","Price")</f>
        <v>87</v>
      </c>
      <c r="Y1295" s="66"/>
      <c r="Z1295" s="15">
        <f t="shared" si="239"/>
        <v>87</v>
      </c>
      <c r="AA1295" s="3" t="e">
        <f t="shared" si="240"/>
        <v>#DIV/0!</v>
      </c>
      <c r="AB1295" s="344">
        <f>IFERROR(VLOOKUP($G1295,基本資料!$A:$M,11,0),"無")</f>
        <v>-40.619999999999997</v>
      </c>
      <c r="AC1295" s="397">
        <f>IFERROR(VLOOKUP($G1295,基本資料!$A:$M,12,0),"無")</f>
        <v>31.93</v>
      </c>
      <c r="AD1295" s="16" t="s">
        <v>1795</v>
      </c>
      <c r="AG1295" s="33">
        <f t="shared" si="241"/>
        <v>0</v>
      </c>
      <c r="AH1295" s="43" t="s">
        <v>1796</v>
      </c>
      <c r="AI1295" s="63">
        <f t="shared" si="242"/>
        <v>1.1792452830188679E-4</v>
      </c>
      <c r="AJ1295" s="284">
        <f>RTD("money.excel",,$G1295,"PredictVolume")</f>
        <v>5</v>
      </c>
      <c r="AK1295" s="399">
        <f>IFERROR(VLOOKUP($G1295,基本資料!$A:$M,13,0),"無")</f>
        <v>6.34</v>
      </c>
    </row>
    <row r="1296" spans="1:37">
      <c r="A1296" s="347">
        <f>IFERROR(VLOOKUP($G1296,基本資料!$A:$J,3,0),"無")</f>
        <v>1.82</v>
      </c>
      <c r="B1296" s="79">
        <f>IFERROR(VLOOKUP($G1296,基本資料!$A:$J,4,0),"無")</f>
        <v>25</v>
      </c>
      <c r="C1296" s="79">
        <f>IFERROR(VLOOKUP($G1296,基本資料!$A:$J,5,0),"無")</f>
        <v>-6</v>
      </c>
      <c r="D1296" s="79">
        <f>IFERROR(VLOOKUP($G1296,基本資料!$A:$J,6,0),"無")</f>
        <v>-13</v>
      </c>
      <c r="E1296" s="79">
        <f>IFERROR(VLOOKUP($G1296,基本資料!$A:$J,7,0),"無")</f>
        <v>2</v>
      </c>
      <c r="F1296" s="6">
        <f>IFERROR(VLOOKUP($G1296,基本資料!$A:$J,8,0),"無")</f>
        <v>19.05</v>
      </c>
      <c r="G1296" s="79">
        <v>6590</v>
      </c>
      <c r="H1296" s="8" t="s">
        <v>313</v>
      </c>
      <c r="I1296" s="16" t="s">
        <v>2029</v>
      </c>
      <c r="J1296" s="8" t="str">
        <f>IFERROR(VLOOKUP($G1296,今日總結!$A:$AJ,35,0),"")</f>
        <v/>
      </c>
      <c r="K1296" s="5" t="str">
        <f>IFERROR(VLOOKUP($G1296,今日總結!$A:$AJ,36,0),"")</f>
        <v/>
      </c>
      <c r="L1296" s="156" t="str">
        <f>IFERROR(VLOOKUP($G1296,今日總結!$A:$AJ,33,0),"")</f>
        <v/>
      </c>
      <c r="M1296" s="340" t="str">
        <f>IFERROR(VLOOKUP($G1296,今日總結!$A:$AJ,34,0),"")</f>
        <v/>
      </c>
      <c r="N1296" s="240" t="str">
        <f t="shared" si="243"/>
        <v/>
      </c>
      <c r="P1296" s="365" t="str">
        <f>IFERROR(VLOOKUP($G1296,融外自投!$A:$J,7,0),"無")</f>
        <v>無</v>
      </c>
      <c r="Q1296" s="79" t="str">
        <f>IFERROR(VLOOKUP($G1296,融外自投!$A:$J,9,0),"無")</f>
        <v>無</v>
      </c>
      <c r="R1296" s="346" t="str">
        <f>IFERROR(VLOOKUP($G1296,融外自投!$A:$J,8,0),"無")</f>
        <v>無</v>
      </c>
      <c r="S1296" s="81" t="str">
        <f>IFERROR(VLOOKUP($G1296,融外自投!$A:$J,10,0),"無")</f>
        <v>無</v>
      </c>
      <c r="T1296" s="327" t="str">
        <f>IFERROR(VLOOKUP($G1296,'321買'!$A:$E,5,0),"'沒有資料'")</f>
        <v>'沒有資料'</v>
      </c>
      <c r="U1296" s="186">
        <f>IFERROR(VLOOKUP($G1296,基本資料!$A:$J,9,0),"無")</f>
        <v>3.8</v>
      </c>
      <c r="V1296" s="310">
        <f t="shared" si="238"/>
        <v>0.10919540229885058</v>
      </c>
      <c r="W1296" s="94">
        <f>IFERROR(VLOOKUP($G1296,基本資料!$A:$J,10,0),"無")</f>
        <v>4.6399999999999997</v>
      </c>
      <c r="X1296" s="36">
        <f>RTD("money.excel",,"6593","Price")</f>
        <v>34.799999999999997</v>
      </c>
      <c r="Y1296" s="66"/>
      <c r="Z1296" s="15">
        <f t="shared" si="239"/>
        <v>34.799999999999997</v>
      </c>
      <c r="AA1296" s="3" t="e">
        <f t="shared" si="240"/>
        <v>#DIV/0!</v>
      </c>
      <c r="AB1296" s="344">
        <f>IFERROR(VLOOKUP($G1296,基本資料!$A:$M,11,0),"無")</f>
        <v>-16</v>
      </c>
      <c r="AC1296" s="397">
        <f>IFERROR(VLOOKUP($G1296,基本資料!$A:$M,12,0),"無")</f>
        <v>9.8699999999999992</v>
      </c>
      <c r="AD1296" s="16" t="s">
        <v>2029</v>
      </c>
      <c r="AG1296" s="33">
        <f t="shared" si="241"/>
        <v>0</v>
      </c>
      <c r="AH1296" s="43" t="s">
        <v>2030</v>
      </c>
      <c r="AI1296" s="63">
        <f t="shared" si="242"/>
        <v>5.4945054945054945E-5</v>
      </c>
      <c r="AJ1296" s="284">
        <f>RTD("money.excel",,$G1296,"PredictVolume")</f>
        <v>1</v>
      </c>
      <c r="AK1296" s="399">
        <f>IFERROR(VLOOKUP($G1296,基本資料!$A:$M,13,0),"無")</f>
        <v>0.86</v>
      </c>
    </row>
    <row r="1297" spans="1:37">
      <c r="A1297" s="347">
        <f>IFERROR(VLOOKUP($G1297,基本資料!$A:$J,3,0),"無")</f>
        <v>2.0299999999999998</v>
      </c>
      <c r="B1297" s="79">
        <f>IFERROR(VLOOKUP($G1297,基本資料!$A:$J,4,0),"無")</f>
        <v>464</v>
      </c>
      <c r="C1297" s="79">
        <f>IFERROR(VLOOKUP($G1297,基本資料!$A:$J,5,0),"無")</f>
        <v>688</v>
      </c>
      <c r="D1297" s="79">
        <f>IFERROR(VLOOKUP($G1297,基本資料!$A:$J,6,0),"無")</f>
        <v>22</v>
      </c>
      <c r="E1297" s="79">
        <f>IFERROR(VLOOKUP($G1297,基本資料!$A:$J,7,0),"無")</f>
        <v>-15</v>
      </c>
      <c r="F1297" s="6">
        <f>IFERROR(VLOOKUP($G1297,基本資料!$A:$J,8,0),"無")</f>
        <v>4.18</v>
      </c>
      <c r="G1297" s="79">
        <v>6593</v>
      </c>
      <c r="H1297" s="8" t="s">
        <v>313</v>
      </c>
      <c r="I1297" s="16" t="s">
        <v>1012</v>
      </c>
      <c r="J1297" s="8" t="str">
        <f>IFERROR(VLOOKUP($G1297,今日總結!$A:$AJ,35,0),"")</f>
        <v/>
      </c>
      <c r="K1297" s="5" t="str">
        <f>IFERROR(VLOOKUP($G1297,今日總結!$A:$AJ,36,0),"")</f>
        <v/>
      </c>
      <c r="L1297" s="156" t="str">
        <f>IFERROR(VLOOKUP($G1297,今日總結!$A:$AJ,33,0),"")</f>
        <v/>
      </c>
      <c r="M1297" s="340" t="str">
        <f>IFERROR(VLOOKUP($G1297,今日總結!$A:$AJ,34,0),"")</f>
        <v/>
      </c>
      <c r="N1297" s="240" t="str">
        <f t="shared" si="243"/>
        <v/>
      </c>
      <c r="P1297" s="365" t="str">
        <f>IFERROR(VLOOKUP($G1297,融外自投!$A:$J,7,0),"無")</f>
        <v>無</v>
      </c>
      <c r="Q1297" s="79" t="str">
        <f>IFERROR(VLOOKUP($G1297,融外自投!$A:$J,9,0),"無")</f>
        <v>無</v>
      </c>
      <c r="R1297" s="346" t="str">
        <f>IFERROR(VLOOKUP($G1297,融外自投!$A:$J,8,0),"無")</f>
        <v>無</v>
      </c>
      <c r="S1297" s="81" t="str">
        <f>IFERROR(VLOOKUP($G1297,融外自投!$A:$J,10,0),"無")</f>
        <v>無</v>
      </c>
      <c r="T1297" s="327" t="str">
        <f>IFERROR(VLOOKUP($G1297,'321買'!$A:$E,5,0),"'沒有資料'")</f>
        <v>'沒有資料'</v>
      </c>
      <c r="U1297" s="186">
        <f>IFERROR(VLOOKUP($G1297,基本資料!$A:$J,9,0),"無")</f>
        <v>0.7</v>
      </c>
      <c r="V1297" s="310">
        <f t="shared" si="238"/>
        <v>2.0114942528735632E-2</v>
      </c>
      <c r="W1297" s="94">
        <f>IFERROR(VLOOKUP($G1297,基本資料!$A:$J,10,0),"無")</f>
        <v>0.84</v>
      </c>
      <c r="X1297" s="36">
        <f>RTD("money.excel",,"6593","Price")</f>
        <v>34.799999999999997</v>
      </c>
      <c r="Y1297" s="66"/>
      <c r="Z1297" s="15">
        <f t="shared" si="239"/>
        <v>34.799999999999997</v>
      </c>
      <c r="AA1297" s="3" t="e">
        <f t="shared" si="240"/>
        <v>#DIV/0!</v>
      </c>
      <c r="AB1297" s="344">
        <f>IFERROR(VLOOKUP($G1297,基本資料!$A:$M,11,0),"無")</f>
        <v>-32.99</v>
      </c>
      <c r="AC1297" s="397">
        <f>IFERROR(VLOOKUP($G1297,基本資料!$A:$M,12,0),"無")</f>
        <v>22.53</v>
      </c>
      <c r="AD1297" s="16" t="s">
        <v>1012</v>
      </c>
      <c r="AG1297" s="33">
        <f t="shared" si="241"/>
        <v>0</v>
      </c>
      <c r="AH1297" s="43" t="s">
        <v>2691</v>
      </c>
      <c r="AI1297" s="63">
        <f t="shared" si="242"/>
        <v>3.4482758620689663E-4</v>
      </c>
      <c r="AJ1297" s="284">
        <f>RTD("money.excel",,$G1297,"PredictVolume")</f>
        <v>7</v>
      </c>
      <c r="AK1297" s="399">
        <f>IFERROR(VLOOKUP($G1297,基本資料!$A:$M,13,0),"無")</f>
        <v>4.1399999999999997</v>
      </c>
    </row>
    <row r="1298" spans="1:37">
      <c r="A1298" s="347">
        <f>IFERROR(VLOOKUP($G1298,基本資料!$A:$J,3,0),"無")</f>
        <v>1.72</v>
      </c>
      <c r="B1298" s="79">
        <f>IFERROR(VLOOKUP($G1298,基本資料!$A:$J,4,0),"無")</f>
        <v>5</v>
      </c>
      <c r="C1298" s="79">
        <f>IFERROR(VLOOKUP($G1298,基本資料!$A:$J,5,0),"無")</f>
        <v>3</v>
      </c>
      <c r="D1298" s="79">
        <f>IFERROR(VLOOKUP($G1298,基本資料!$A:$J,6,0),"無")</f>
        <v>-16</v>
      </c>
      <c r="E1298" s="79">
        <f>IFERROR(VLOOKUP($G1298,基本資料!$A:$J,7,0),"無")</f>
        <v>119</v>
      </c>
      <c r="F1298" s="6">
        <f>IFERROR(VLOOKUP($G1298,基本資料!$A:$J,8,0),"無")</f>
        <v>12.23</v>
      </c>
      <c r="G1298" s="79">
        <v>6690</v>
      </c>
      <c r="H1298" s="8" t="s">
        <v>313</v>
      </c>
      <c r="I1298" s="16" t="s">
        <v>1904</v>
      </c>
      <c r="J1298" s="8" t="str">
        <f>IFERROR(VLOOKUP($G1298,今日總結!$A:$AJ,35,0),"")</f>
        <v/>
      </c>
      <c r="K1298" s="5" t="str">
        <f>IFERROR(VLOOKUP($G1298,今日總結!$A:$AJ,36,0),"")</f>
        <v/>
      </c>
      <c r="L1298" s="156" t="str">
        <f>IFERROR(VLOOKUP($G1298,今日總結!$A:$AJ,33,0),"")</f>
        <v/>
      </c>
      <c r="M1298" s="340" t="str">
        <f>IFERROR(VLOOKUP($G1298,今日總結!$A:$AJ,34,0),"")</f>
        <v/>
      </c>
      <c r="N1298" s="240" t="str">
        <f t="shared" si="243"/>
        <v/>
      </c>
      <c r="P1298" s="365" t="str">
        <f>IFERROR(VLOOKUP($G1298,融外自投!$A:$J,7,0),"無")</f>
        <v>無</v>
      </c>
      <c r="Q1298" s="79" t="str">
        <f>IFERROR(VLOOKUP($G1298,融外自投!$A:$J,9,0),"無")</f>
        <v>無</v>
      </c>
      <c r="R1298" s="346" t="str">
        <f>IFERROR(VLOOKUP($G1298,融外自投!$A:$J,8,0),"無")</f>
        <v>無</v>
      </c>
      <c r="S1298" s="81" t="str">
        <f>IFERROR(VLOOKUP($G1298,融外自投!$A:$J,10,0),"無")</f>
        <v>無</v>
      </c>
      <c r="T1298" s="327" t="str">
        <f>IFERROR(VLOOKUP($G1298,'321買'!$A:$E,5,0),"'沒有資料'")</f>
        <v>'沒有資料'</v>
      </c>
      <c r="U1298" s="186">
        <f>IFERROR(VLOOKUP($G1298,基本資料!$A:$J,9,0),"無")</f>
        <v>3.7</v>
      </c>
      <c r="V1298" s="310">
        <f t="shared" si="238"/>
        <v>3.2173913043478261E-2</v>
      </c>
      <c r="W1298" s="94">
        <f>IFERROR(VLOOKUP($G1298,基本資料!$A:$J,10,0),"無")</f>
        <v>5.1100000000000003</v>
      </c>
      <c r="X1298" s="36">
        <f>RTD("money.excel",,"6690","Price")</f>
        <v>115</v>
      </c>
      <c r="Y1298" s="66"/>
      <c r="Z1298" s="15">
        <f t="shared" si="239"/>
        <v>115</v>
      </c>
      <c r="AA1298" s="3" t="e">
        <f t="shared" si="240"/>
        <v>#DIV/0!</v>
      </c>
      <c r="AB1298" s="344">
        <f>IFERROR(VLOOKUP($G1298,基本資料!$A:$M,11,0),"無")</f>
        <v>-11.36</v>
      </c>
      <c r="AC1298" s="397">
        <f>IFERROR(VLOOKUP($G1298,基本資料!$A:$M,12,0),"無")</f>
        <v>30.42</v>
      </c>
      <c r="AD1298" s="16" t="s">
        <v>1904</v>
      </c>
      <c r="AG1298" s="33">
        <f t="shared" si="241"/>
        <v>0</v>
      </c>
      <c r="AH1298" s="43" t="s">
        <v>1905</v>
      </c>
      <c r="AI1298" s="63">
        <f t="shared" si="242"/>
        <v>5.2325581395348841E-4</v>
      </c>
      <c r="AJ1298" s="284">
        <f>RTD("money.excel",,$G1298,"PredictVolume")</f>
        <v>9</v>
      </c>
      <c r="AK1298" s="399">
        <f>IFERROR(VLOOKUP($G1298,基本資料!$A:$M,13,0),"無")</f>
        <v>0.98</v>
      </c>
    </row>
    <row r="1299" spans="1:37">
      <c r="A1299" s="347">
        <f>IFERROR(VLOOKUP($G1299,基本資料!$A:$J,3,0),"無")</f>
        <v>2.73</v>
      </c>
      <c r="B1299" s="79">
        <f>IFERROR(VLOOKUP($G1299,基本資料!$A:$J,4,0),"無")</f>
        <v>10</v>
      </c>
      <c r="C1299" s="79">
        <f>IFERROR(VLOOKUP($G1299,基本資料!$A:$J,5,0),"無")</f>
        <v>23</v>
      </c>
      <c r="D1299" s="79">
        <f>IFERROR(VLOOKUP($G1299,基本資料!$A:$J,6,0),"無")</f>
        <v>-12</v>
      </c>
      <c r="E1299" s="79">
        <f>IFERROR(VLOOKUP($G1299,基本資料!$A:$J,7,0),"無")</f>
        <v>4</v>
      </c>
      <c r="F1299" s="6">
        <f>IFERROR(VLOOKUP($G1299,基本資料!$A:$J,8,0),"無")</f>
        <v>6.13</v>
      </c>
      <c r="G1299" s="79">
        <v>6697</v>
      </c>
      <c r="H1299" s="8" t="s">
        <v>313</v>
      </c>
      <c r="I1299" s="16" t="s">
        <v>2099</v>
      </c>
      <c r="J1299" s="8" t="str">
        <f>IFERROR(VLOOKUP($G1299,今日總結!$A:$AJ,35,0),"")</f>
        <v/>
      </c>
      <c r="K1299" s="5" t="str">
        <f>IFERROR(VLOOKUP($G1299,今日總結!$A:$AJ,36,0),"")</f>
        <v/>
      </c>
      <c r="L1299" s="156" t="str">
        <f>IFERROR(VLOOKUP($G1299,今日總結!$A:$AJ,33,0),"")</f>
        <v/>
      </c>
      <c r="M1299" s="340" t="str">
        <f>IFERROR(VLOOKUP($G1299,今日總結!$A:$AJ,34,0),"")</f>
        <v/>
      </c>
      <c r="N1299" s="240" t="str">
        <f t="shared" si="243"/>
        <v/>
      </c>
      <c r="P1299" s="365" t="str">
        <f>IFERROR(VLOOKUP($G1299,融外自投!$A:$J,7,0),"無")</f>
        <v>無</v>
      </c>
      <c r="Q1299" s="79" t="str">
        <f>IFERROR(VLOOKUP($G1299,融外自投!$A:$J,9,0),"無")</f>
        <v>無</v>
      </c>
      <c r="R1299" s="346" t="str">
        <f>IFERROR(VLOOKUP($G1299,融外自投!$A:$J,8,0),"無")</f>
        <v>無</v>
      </c>
      <c r="S1299" s="81" t="str">
        <f>IFERROR(VLOOKUP($G1299,融外自投!$A:$J,10,0),"無")</f>
        <v>無</v>
      </c>
      <c r="T1299" s="327" t="str">
        <f>IFERROR(VLOOKUP($G1299,'321買'!$A:$E,5,0),"'沒有資料'")</f>
        <v>'沒有資料'</v>
      </c>
      <c r="U1299" s="186">
        <f>IFERROR(VLOOKUP($G1299,基本資料!$A:$J,9,0),"無")</f>
        <v>2</v>
      </c>
      <c r="V1299" s="310">
        <f t="shared" si="238"/>
        <v>5.2562417871222081E-2</v>
      </c>
      <c r="W1299" s="94">
        <f>IFERROR(VLOOKUP($G1299,基本資料!$A:$J,10,0),"無")</f>
        <v>2.65</v>
      </c>
      <c r="X1299" s="36">
        <f>RTD("money.excel",,"6697","Price")</f>
        <v>38.049999999999997</v>
      </c>
      <c r="Y1299" s="66"/>
      <c r="Z1299" s="15">
        <f t="shared" si="239"/>
        <v>38.049999999999997</v>
      </c>
      <c r="AA1299" s="3" t="e">
        <f t="shared" si="240"/>
        <v>#DIV/0!</v>
      </c>
      <c r="AB1299" s="344">
        <f>IFERROR(VLOOKUP($G1299,基本資料!$A:$M,11,0),"無")</f>
        <v>-10.74</v>
      </c>
      <c r="AC1299" s="397">
        <f>IFERROR(VLOOKUP($G1299,基本資料!$A:$M,12,0),"無")</f>
        <v>47.38</v>
      </c>
      <c r="AD1299" s="16" t="s">
        <v>2099</v>
      </c>
      <c r="AG1299" s="33">
        <f t="shared" si="241"/>
        <v>0</v>
      </c>
      <c r="AH1299" s="43" t="s">
        <v>2100</v>
      </c>
      <c r="AI1299" s="63">
        <f t="shared" si="242"/>
        <v>3.663003663003663E-5</v>
      </c>
      <c r="AJ1299" s="284">
        <f>RTD("money.excel",,$G1299,"PredictVolume")</f>
        <v>1</v>
      </c>
      <c r="AK1299" s="399">
        <f>IFERROR(VLOOKUP($G1299,基本資料!$A:$M,13,0),"無")</f>
        <v>0.33</v>
      </c>
    </row>
    <row r="1300" spans="1:37">
      <c r="A1300" s="347">
        <f>IFERROR(VLOOKUP($G1300,基本資料!$A:$J,3,0),"無")</f>
        <v>2</v>
      </c>
      <c r="B1300" s="79">
        <f>IFERROR(VLOOKUP($G1300,基本資料!$A:$J,4,0),"無")</f>
        <v>3</v>
      </c>
      <c r="C1300" s="79">
        <f>IFERROR(VLOOKUP($G1300,基本資料!$A:$J,5,0),"無")</f>
        <v>-4</v>
      </c>
      <c r="D1300" s="79">
        <f>IFERROR(VLOOKUP($G1300,基本資料!$A:$J,6,0),"無")</f>
        <v>0</v>
      </c>
      <c r="E1300" s="79">
        <f>IFERROR(VLOOKUP($G1300,基本資料!$A:$J,7,0),"無")</f>
        <v>39</v>
      </c>
      <c r="F1300" s="6">
        <f>IFERROR(VLOOKUP($G1300,基本資料!$A:$J,8,0),"無")</f>
        <v>3.12</v>
      </c>
      <c r="G1300" s="79">
        <v>6751</v>
      </c>
      <c r="H1300" s="8" t="s">
        <v>313</v>
      </c>
      <c r="I1300" s="16" t="s">
        <v>2139</v>
      </c>
      <c r="J1300" s="8" t="str">
        <f>IFERROR(VLOOKUP($G1300,今日總結!$A:$AJ,35,0),"")</f>
        <v/>
      </c>
      <c r="K1300" s="5" t="str">
        <f>IFERROR(VLOOKUP($G1300,今日總結!$A:$AJ,36,0),"")</f>
        <v/>
      </c>
      <c r="L1300" s="156" t="str">
        <f>IFERROR(VLOOKUP($G1300,今日總結!$A:$AJ,33,0),"")</f>
        <v/>
      </c>
      <c r="M1300" s="340" t="str">
        <f>IFERROR(VLOOKUP($G1300,今日總結!$A:$AJ,34,0),"")</f>
        <v/>
      </c>
      <c r="N1300" s="240" t="str">
        <f t="shared" si="243"/>
        <v/>
      </c>
      <c r="P1300" s="365" t="str">
        <f>IFERROR(VLOOKUP($G1300,融外自投!$A:$J,7,0),"無")</f>
        <v>無</v>
      </c>
      <c r="Q1300" s="79" t="str">
        <f>IFERROR(VLOOKUP($G1300,融外自投!$A:$J,9,0),"無")</f>
        <v>無</v>
      </c>
      <c r="R1300" s="346" t="str">
        <f>IFERROR(VLOOKUP($G1300,融外自投!$A:$J,8,0),"無")</f>
        <v>無</v>
      </c>
      <c r="S1300" s="81" t="str">
        <f>IFERROR(VLOOKUP($G1300,融外自投!$A:$J,10,0),"無")</f>
        <v>無</v>
      </c>
      <c r="T1300" s="327" t="str">
        <f>IFERROR(VLOOKUP($G1300,'321買'!$A:$E,5,0),"'沒有資料'")</f>
        <v>'沒有資料'</v>
      </c>
      <c r="U1300" s="186">
        <f>IFERROR(VLOOKUP($G1300,基本資料!$A:$J,9,0),"無")</f>
        <v>2.1</v>
      </c>
      <c r="V1300" s="310">
        <f t="shared" si="238"/>
        <v>5.2238805970149252E-2</v>
      </c>
      <c r="W1300" s="94">
        <f>IFERROR(VLOOKUP($G1300,基本資料!$A:$J,10,0),"無")</f>
        <v>2.44</v>
      </c>
      <c r="X1300" s="36">
        <f>RTD("money.excel",,"6751","Price")</f>
        <v>40.200000000000003</v>
      </c>
      <c r="Y1300" s="66"/>
      <c r="Z1300" s="15">
        <f t="shared" si="239"/>
        <v>40.200000000000003</v>
      </c>
      <c r="AA1300" s="3" t="e">
        <f t="shared" si="240"/>
        <v>#DIV/0!</v>
      </c>
      <c r="AB1300" s="344">
        <f>IFERROR(VLOOKUP($G1300,基本資料!$A:$M,11,0),"無")</f>
        <v>-42.23</v>
      </c>
      <c r="AC1300" s="397">
        <f>IFERROR(VLOOKUP($G1300,基本資料!$A:$M,12,0),"無")</f>
        <v>13.48</v>
      </c>
      <c r="AD1300" s="16" t="s">
        <v>2139</v>
      </c>
      <c r="AG1300" s="33">
        <f t="shared" si="241"/>
        <v>0</v>
      </c>
      <c r="AH1300" s="43" t="s">
        <v>2140</v>
      </c>
      <c r="AI1300" s="63">
        <f t="shared" si="242"/>
        <v>4.5999999999999999E-3</v>
      </c>
      <c r="AJ1300" s="284">
        <f>RTD("money.excel",,$G1300,"PredictVolume")</f>
        <v>92</v>
      </c>
      <c r="AK1300" s="399">
        <f>IFERROR(VLOOKUP($G1300,基本資料!$A:$M,13,0),"無")</f>
        <v>1.02</v>
      </c>
    </row>
    <row r="1301" spans="1:37">
      <c r="A1301" s="347">
        <f>IFERROR(VLOOKUP($G1301,基本資料!$A:$J,3,0),"無")</f>
        <v>2.83</v>
      </c>
      <c r="B1301" s="79">
        <f>IFERROR(VLOOKUP($G1301,基本資料!$A:$J,4,0),"無")</f>
        <v>10</v>
      </c>
      <c r="C1301" s="79">
        <f>IFERROR(VLOOKUP($G1301,基本資料!$A:$J,5,0),"無")</f>
        <v>7</v>
      </c>
      <c r="D1301" s="79">
        <f>IFERROR(VLOOKUP($G1301,基本資料!$A:$J,6,0),"無")</f>
        <v>-7</v>
      </c>
      <c r="E1301" s="79">
        <f>IFERROR(VLOOKUP($G1301,基本資料!$A:$J,7,0),"無")</f>
        <v>9</v>
      </c>
      <c r="F1301" s="6">
        <f>IFERROR(VLOOKUP($G1301,基本資料!$A:$J,8,0),"無")</f>
        <v>12.07</v>
      </c>
      <c r="G1301" s="79">
        <v>6752</v>
      </c>
      <c r="H1301" s="8" t="s">
        <v>313</v>
      </c>
      <c r="I1301" s="16" t="s">
        <v>3001</v>
      </c>
      <c r="J1301" s="8" t="str">
        <f>IFERROR(VLOOKUP($G1301,今日總結!$A:$AJ,35,0),"")</f>
        <v/>
      </c>
      <c r="K1301" s="5" t="str">
        <f>IFERROR(VLOOKUP($G1301,今日總結!$A:$AJ,36,0),"")</f>
        <v/>
      </c>
      <c r="L1301" s="156" t="str">
        <f>IFERROR(VLOOKUP($G1301,今日總結!$A:$AJ,33,0),"")</f>
        <v/>
      </c>
      <c r="M1301" s="340" t="str">
        <f>IFERROR(VLOOKUP($G1301,今日總結!$A:$AJ,34,0),"")</f>
        <v/>
      </c>
      <c r="N1301" s="240" t="str">
        <f t="shared" si="243"/>
        <v/>
      </c>
      <c r="P1301" s="365" t="str">
        <f>IFERROR(VLOOKUP($G1301,融外自投!$A:$J,7,0),"無")</f>
        <v>無</v>
      </c>
      <c r="Q1301" s="79" t="str">
        <f>IFERROR(VLOOKUP($G1301,融外自投!$A:$J,9,0),"無")</f>
        <v>無</v>
      </c>
      <c r="R1301" s="346" t="str">
        <f>IFERROR(VLOOKUP($G1301,融外自投!$A:$J,8,0),"無")</f>
        <v>無</v>
      </c>
      <c r="S1301" s="81" t="str">
        <f>IFERROR(VLOOKUP($G1301,融外自投!$A:$J,10,0),"無")</f>
        <v>無</v>
      </c>
      <c r="T1301" s="327" t="str">
        <f>IFERROR(VLOOKUP($G1301,'321買'!$A:$E,5,0),"'沒有資料'")</f>
        <v>'沒有資料'</v>
      </c>
      <c r="U1301" s="186">
        <f>IFERROR(VLOOKUP($G1301,基本資料!$A:$J,9,0),"無")</f>
        <v>2.8</v>
      </c>
      <c r="V1301" s="310">
        <f t="shared" si="238"/>
        <v>5.2631578947368418E-2</v>
      </c>
      <c r="W1301" s="94">
        <f>IFERROR(VLOOKUP($G1301,基本資料!$A:$J,10,0),"無")</f>
        <v>4.7</v>
      </c>
      <c r="X1301" s="36">
        <f>RTD("money.excel",,"6752","Price")</f>
        <v>53.2</v>
      </c>
      <c r="Y1301" s="66"/>
      <c r="Z1301" s="15">
        <f t="shared" si="239"/>
        <v>53.2</v>
      </c>
      <c r="AA1301" s="3" t="e">
        <f t="shared" si="240"/>
        <v>#DIV/0!</v>
      </c>
      <c r="AB1301" s="344">
        <f>IFERROR(VLOOKUP($G1301,基本資料!$A:$M,11,0),"無")</f>
        <v>-21.45</v>
      </c>
      <c r="AC1301" s="397">
        <f>IFERROR(VLOOKUP($G1301,基本資料!$A:$M,12,0),"無")</f>
        <v>55.54</v>
      </c>
      <c r="AD1301" s="16" t="s">
        <v>3001</v>
      </c>
      <c r="AG1301" s="33">
        <f t="shared" si="241"/>
        <v>0</v>
      </c>
      <c r="AH1301" s="43" t="s">
        <v>2121</v>
      </c>
      <c r="AI1301" s="63">
        <f t="shared" si="242"/>
        <v>2.1201413427561838E-4</v>
      </c>
      <c r="AJ1301" s="284">
        <f>RTD("money.excel",,$G1301,"PredictVolume")</f>
        <v>6</v>
      </c>
      <c r="AK1301" s="399">
        <f>IFERROR(VLOOKUP($G1301,基本資料!$A:$M,13,0),"無")</f>
        <v>0.57999999999999996</v>
      </c>
    </row>
    <row r="1302" spans="1:37">
      <c r="A1302" s="347">
        <f>IFERROR(VLOOKUP($G1302,基本資料!$A:$J,3,0),"無")</f>
        <v>8.85</v>
      </c>
      <c r="B1302" s="79">
        <f>IFERROR(VLOOKUP($G1302,基本資料!$A:$J,4,0),"無")</f>
        <v>22</v>
      </c>
      <c r="C1302" s="79">
        <f>IFERROR(VLOOKUP($G1302,基本資料!$A:$J,5,0),"無")</f>
        <v>36</v>
      </c>
      <c r="D1302" s="79">
        <f>IFERROR(VLOOKUP($G1302,基本資料!$A:$J,6,0),"無")</f>
        <v>-32</v>
      </c>
      <c r="E1302" s="79">
        <f>IFERROR(VLOOKUP($G1302,基本資料!$A:$J,7,0),"無")</f>
        <v>-12</v>
      </c>
      <c r="F1302" s="6">
        <f>IFERROR(VLOOKUP($G1302,基本資料!$A:$J,8,0),"無")</f>
        <v>5.01</v>
      </c>
      <c r="G1302" s="79">
        <v>8099</v>
      </c>
      <c r="H1302" s="8" t="s">
        <v>313</v>
      </c>
      <c r="I1302" s="16" t="s">
        <v>1013</v>
      </c>
      <c r="J1302" s="8" t="str">
        <f>IFERROR(VLOOKUP($G1302,今日總結!$A:$AJ,35,0),"")</f>
        <v>外</v>
      </c>
      <c r="K1302" s="5">
        <f>IFERROR(VLOOKUP($G1302,今日總結!$A:$AJ,36,0),"")</f>
        <v>0</v>
      </c>
      <c r="L1302" s="156">
        <f>IFERROR(VLOOKUP($G1302,今日總結!$A:$AJ,33,0),"")</f>
        <v>1</v>
      </c>
      <c r="M1302" s="340">
        <f>IFERROR(VLOOKUP($G1302,今日總結!$A:$AJ,34,0),"")</f>
        <v>0</v>
      </c>
      <c r="N1302" s="240">
        <f t="shared" si="243"/>
        <v>1</v>
      </c>
      <c r="P1302" s="365">
        <f>IFERROR(VLOOKUP($G1302,融外自投!$A:$J,7,0),"無")</f>
        <v>64</v>
      </c>
      <c r="Q1302" s="79">
        <f>IFERROR(VLOOKUP($G1302,融外自投!$A:$J,9,0),"無")</f>
        <v>474</v>
      </c>
      <c r="R1302" s="346">
        <f>IFERROR(VLOOKUP($G1302,融外自投!$A:$J,8,0),"無")</f>
        <v>1063</v>
      </c>
      <c r="S1302" s="81" t="str">
        <f>IFERROR(VLOOKUP($G1302,融外自投!$A:$J,10,0),"無")</f>
        <v>無</v>
      </c>
      <c r="T1302" s="327">
        <f>IFERROR(VLOOKUP($G1302,'321買'!$A:$E,5,0),"'沒有資料'")</f>
        <v>634</v>
      </c>
      <c r="U1302" s="186">
        <f>IFERROR(VLOOKUP($G1302,基本資料!$A:$J,9,0),"無")</f>
        <v>1.8</v>
      </c>
      <c r="V1302" s="310">
        <f t="shared" si="238"/>
        <v>4.6272493573264788E-2</v>
      </c>
      <c r="W1302" s="94">
        <f>IFERROR(VLOOKUP($G1302,基本資料!$A:$J,10,0),"無")</f>
        <v>2.0099999999999998</v>
      </c>
      <c r="X1302" s="36">
        <f>RTD("money.excel",,"8099","Price")</f>
        <v>38.9</v>
      </c>
      <c r="Y1302" s="66"/>
      <c r="Z1302" s="15">
        <f t="shared" si="239"/>
        <v>38.9</v>
      </c>
      <c r="AA1302" s="3" t="e">
        <f t="shared" si="240"/>
        <v>#DIV/0!</v>
      </c>
      <c r="AB1302" s="344">
        <f>IFERROR(VLOOKUP($G1302,基本資料!$A:$M,11,0),"無")</f>
        <v>-18.03</v>
      </c>
      <c r="AC1302" s="397">
        <f>IFERROR(VLOOKUP($G1302,基本資料!$A:$M,12,0),"無")</f>
        <v>48.35</v>
      </c>
      <c r="AD1302" s="16" t="s">
        <v>1013</v>
      </c>
      <c r="AG1302" s="33">
        <f t="shared" si="241"/>
        <v>0</v>
      </c>
      <c r="AH1302" s="43" t="s">
        <v>2271</v>
      </c>
      <c r="AI1302" s="63">
        <f t="shared" si="242"/>
        <v>2.3728813559322035E-4</v>
      </c>
      <c r="AJ1302" s="284">
        <f>RTD("money.excel",,$G1302,"PredictVolume")</f>
        <v>21</v>
      </c>
      <c r="AK1302" s="399">
        <f>IFERROR(VLOOKUP($G1302,基本資料!$A:$M,13,0),"無")</f>
        <v>5.86</v>
      </c>
    </row>
    <row r="1303" spans="1:37">
      <c r="A1303" s="347">
        <f>IFERROR(VLOOKUP($G1303,基本資料!$A:$J,3,0),"無")</f>
        <v>4.63</v>
      </c>
      <c r="B1303" s="79">
        <f>IFERROR(VLOOKUP($G1303,基本資料!$A:$J,4,0),"無")</f>
        <v>54</v>
      </c>
      <c r="C1303" s="79">
        <f>IFERROR(VLOOKUP($G1303,基本資料!$A:$J,5,0),"無")</f>
        <v>41</v>
      </c>
      <c r="D1303" s="79">
        <f>IFERROR(VLOOKUP($G1303,基本資料!$A:$J,6,0),"無")</f>
        <v>31</v>
      </c>
      <c r="E1303" s="79">
        <f>IFERROR(VLOOKUP($G1303,基本資料!$A:$J,7,0),"無")</f>
        <v>21</v>
      </c>
      <c r="F1303" s="6">
        <f>IFERROR(VLOOKUP($G1303,基本資料!$A:$J,8,0),"無")</f>
        <v>10.43</v>
      </c>
      <c r="G1303" s="79">
        <v>8284</v>
      </c>
      <c r="H1303" s="8" t="s">
        <v>313</v>
      </c>
      <c r="I1303" s="16" t="s">
        <v>1899</v>
      </c>
      <c r="J1303" s="8" t="str">
        <f>IFERROR(VLOOKUP($G1303,今日總結!$A:$AJ,35,0),"")</f>
        <v/>
      </c>
      <c r="K1303" s="5" t="str">
        <f>IFERROR(VLOOKUP($G1303,今日總結!$A:$AJ,36,0),"")</f>
        <v/>
      </c>
      <c r="L1303" s="156" t="str">
        <f>IFERROR(VLOOKUP($G1303,今日總結!$A:$AJ,33,0),"")</f>
        <v/>
      </c>
      <c r="M1303" s="340" t="str">
        <f>IFERROR(VLOOKUP($G1303,今日總結!$A:$AJ,34,0),"")</f>
        <v/>
      </c>
      <c r="N1303" s="240" t="str">
        <f t="shared" si="243"/>
        <v/>
      </c>
      <c r="P1303" s="365">
        <f>IFERROR(VLOOKUP($G1303,融外自投!$A:$J,7,0),"無")</f>
        <v>976</v>
      </c>
      <c r="Q1303" s="79">
        <f>IFERROR(VLOOKUP($G1303,融外自投!$A:$J,9,0),"無")</f>
        <v>1051</v>
      </c>
      <c r="R1303" s="346">
        <f>IFERROR(VLOOKUP($G1303,融外自投!$A:$J,8,0),"無")</f>
        <v>1129</v>
      </c>
      <c r="S1303" s="81" t="str">
        <f>IFERROR(VLOOKUP($G1303,融外自投!$A:$J,10,0),"無")</f>
        <v>無</v>
      </c>
      <c r="T1303" s="327">
        <f>IFERROR(VLOOKUP($G1303,'321買'!$A:$E,5,0),"'沒有資料'")</f>
        <v>1259</v>
      </c>
      <c r="U1303" s="186">
        <f>IFERROR(VLOOKUP($G1303,基本資料!$A:$J,9,0),"無")</f>
        <v>3</v>
      </c>
      <c r="V1303" s="310">
        <f t="shared" si="238"/>
        <v>5.3763440860215055E-2</v>
      </c>
      <c r="W1303" s="94">
        <f>IFERROR(VLOOKUP($G1303,基本資料!$A:$J,10,0),"無")</f>
        <v>4.0599999999999996</v>
      </c>
      <c r="X1303" s="36">
        <f>RTD("money.excel",,"8284","Price")</f>
        <v>55.8</v>
      </c>
      <c r="Y1303" s="66"/>
      <c r="Z1303" s="15">
        <f t="shared" si="239"/>
        <v>55.8</v>
      </c>
      <c r="AA1303" s="3" t="e">
        <f t="shared" si="240"/>
        <v>#DIV/0!</v>
      </c>
      <c r="AB1303" s="344">
        <f>IFERROR(VLOOKUP($G1303,基本資料!$A:$M,11,0),"無")</f>
        <v>-9.08</v>
      </c>
      <c r="AC1303" s="397">
        <f>IFERROR(VLOOKUP($G1303,基本資料!$A:$M,12,0),"無")</f>
        <v>67.739999999999995</v>
      </c>
      <c r="AD1303" s="16" t="s">
        <v>1899</v>
      </c>
      <c r="AG1303" s="33">
        <f t="shared" si="241"/>
        <v>0</v>
      </c>
      <c r="AH1303" s="43" t="s">
        <v>304</v>
      </c>
      <c r="AI1303" s="63">
        <f t="shared" si="242"/>
        <v>2.9373650107991363E-3</v>
      </c>
      <c r="AJ1303" s="284">
        <f>RTD("money.excel",,$G1303,"PredictVolume")</f>
        <v>136</v>
      </c>
      <c r="AK1303" s="399">
        <f>IFERROR(VLOOKUP($G1303,基本資料!$A:$M,13,0),"無")</f>
        <v>8.76</v>
      </c>
    </row>
    <row r="1304" spans="1:37">
      <c r="A1304" s="347">
        <f>IFERROR(VLOOKUP($G1304,基本資料!$A:$J,3,0),"無")</f>
        <v>2.82</v>
      </c>
      <c r="B1304" s="79">
        <f>IFERROR(VLOOKUP($G1304,基本資料!$A:$J,4,0),"無")</f>
        <v>14</v>
      </c>
      <c r="C1304" s="79">
        <f>IFERROR(VLOOKUP($G1304,基本資料!$A:$J,5,0),"無")</f>
        <v>12</v>
      </c>
      <c r="D1304" s="79">
        <f>IFERROR(VLOOKUP($G1304,基本資料!$A:$J,6,0),"無")</f>
        <v>93</v>
      </c>
      <c r="E1304" s="79">
        <f>IFERROR(VLOOKUP($G1304,基本資料!$A:$J,7,0),"無")</f>
        <v>23</v>
      </c>
      <c r="F1304" s="6">
        <f>IFERROR(VLOOKUP($G1304,基本資料!$A:$J,8,0),"無")</f>
        <v>27.91</v>
      </c>
      <c r="G1304" s="79">
        <v>8416</v>
      </c>
      <c r="H1304" s="145" t="s">
        <v>313</v>
      </c>
      <c r="I1304" s="16" t="s">
        <v>151</v>
      </c>
      <c r="J1304" s="8" t="str">
        <f>IFERROR(VLOOKUP($G1304,今日總結!$A:$AJ,35,0),"")</f>
        <v/>
      </c>
      <c r="K1304" s="5" t="str">
        <f>IFERROR(VLOOKUP($G1304,今日總結!$A:$AJ,36,0),"")</f>
        <v/>
      </c>
      <c r="L1304" s="156" t="str">
        <f>IFERROR(VLOOKUP($G1304,今日總結!$A:$AJ,33,0),"")</f>
        <v/>
      </c>
      <c r="M1304" s="340" t="str">
        <f>IFERROR(VLOOKUP($G1304,今日總結!$A:$AJ,34,0),"")</f>
        <v/>
      </c>
      <c r="N1304" s="240" t="str">
        <f t="shared" si="243"/>
        <v/>
      </c>
      <c r="P1304" s="365" t="str">
        <f>IFERROR(VLOOKUP($G1304,融外自投!$A:$J,7,0),"無")</f>
        <v>無</v>
      </c>
      <c r="Q1304" s="79" t="str">
        <f>IFERROR(VLOOKUP($G1304,融外自投!$A:$J,9,0),"無")</f>
        <v>無</v>
      </c>
      <c r="R1304" s="346" t="str">
        <f>IFERROR(VLOOKUP($G1304,融外自投!$A:$J,8,0),"無")</f>
        <v>無</v>
      </c>
      <c r="S1304" s="81" t="str">
        <f>IFERROR(VLOOKUP($G1304,融外自投!$A:$J,10,0),"無")</f>
        <v>無</v>
      </c>
      <c r="T1304" s="327" t="str">
        <f>IFERROR(VLOOKUP($G1304,'321買'!$A:$E,5,0),"'沒有資料'")</f>
        <v>'沒有資料'</v>
      </c>
      <c r="U1304" s="186">
        <f>IFERROR(VLOOKUP($G1304,基本資料!$A:$J,9,0),"無")</f>
        <v>8</v>
      </c>
      <c r="V1304" s="310">
        <f t="shared" si="238"/>
        <v>6.1538461538461542E-2</v>
      </c>
      <c r="W1304" s="94">
        <f>IFERROR(VLOOKUP($G1304,基本資料!$A:$J,10,0),"無")</f>
        <v>11.35</v>
      </c>
      <c r="X1304" s="36">
        <f>RTD("money.excel",,"8416","Price")</f>
        <v>130</v>
      </c>
      <c r="Y1304" s="66"/>
      <c r="Z1304" s="15">
        <f t="shared" si="239"/>
        <v>130</v>
      </c>
      <c r="AA1304" s="3" t="e">
        <f t="shared" si="240"/>
        <v>#DIV/0!</v>
      </c>
      <c r="AB1304" s="344">
        <f>IFERROR(VLOOKUP($G1304,基本資料!$A:$M,11,0),"無")</f>
        <v>-1.52</v>
      </c>
      <c r="AC1304" s="397">
        <f>IFERROR(VLOOKUP($G1304,基本資料!$A:$M,12,0),"無")</f>
        <v>81.760000000000005</v>
      </c>
      <c r="AD1304" s="16" t="s">
        <v>151</v>
      </c>
      <c r="AG1304" s="33">
        <f t="shared" si="241"/>
        <v>0</v>
      </c>
      <c r="AH1304" s="117" t="s">
        <v>2692</v>
      </c>
      <c r="AI1304" s="63">
        <f t="shared" si="242"/>
        <v>1.773049645390071E-4</v>
      </c>
      <c r="AJ1304" s="284">
        <f>RTD("money.excel",,$G1304,"PredictVolume")</f>
        <v>5</v>
      </c>
      <c r="AK1304" s="399">
        <f>IFERROR(VLOOKUP($G1304,基本資料!$A:$M,13,0),"無")</f>
        <v>0.25</v>
      </c>
    </row>
    <row r="1305" spans="1:37">
      <c r="A1305" s="347" t="str">
        <f>IFERROR(VLOOKUP($G1305,基本資料!$A:$J,3,0),"無")</f>
        <v>無</v>
      </c>
      <c r="B1305" s="79" t="str">
        <f>IFERROR(VLOOKUP($G1305,基本資料!$A:$J,4,0),"無")</f>
        <v>無</v>
      </c>
      <c r="C1305" s="79" t="str">
        <f>IFERROR(VLOOKUP($G1305,基本資料!$A:$J,5,0),"無")</f>
        <v>無</v>
      </c>
      <c r="D1305" s="79" t="str">
        <f>IFERROR(VLOOKUP($G1305,基本資料!$A:$J,6,0),"無")</f>
        <v>無</v>
      </c>
      <c r="E1305" s="79" t="str">
        <f>IFERROR(VLOOKUP($G1305,基本資料!$A:$J,7,0),"無")</f>
        <v>無</v>
      </c>
      <c r="F1305" s="6" t="str">
        <f>IFERROR(VLOOKUP($G1305,基本資料!$A:$J,8,0),"無")</f>
        <v>無</v>
      </c>
      <c r="G1305" s="41" t="s">
        <v>993</v>
      </c>
      <c r="H1305" s="8" t="s">
        <v>313</v>
      </c>
      <c r="I1305" s="16" t="s">
        <v>994</v>
      </c>
      <c r="J1305" s="8" t="str">
        <f>IFERROR(VLOOKUP($G1305,今日總結!$A:$AJ,35,0),"")</f>
        <v/>
      </c>
      <c r="K1305" s="5" t="str">
        <f>IFERROR(VLOOKUP($G1305,今日總結!$A:$AJ,36,0),"")</f>
        <v/>
      </c>
      <c r="L1305" s="156" t="str">
        <f>IFERROR(VLOOKUP($G1305,今日總結!$A:$AJ,33,0),"")</f>
        <v/>
      </c>
      <c r="M1305" s="340" t="str">
        <f>IFERROR(VLOOKUP($G1305,今日總結!$A:$AJ,34,0),"")</f>
        <v/>
      </c>
      <c r="N1305" s="240" t="str">
        <f t="shared" si="243"/>
        <v/>
      </c>
      <c r="P1305" s="365" t="str">
        <f>IFERROR(VLOOKUP($G1305,融外自投!$A:$J,7,0),"無")</f>
        <v>無</v>
      </c>
      <c r="Q1305" s="79" t="str">
        <f>IFERROR(VLOOKUP($G1305,融外自投!$A:$J,9,0),"無")</f>
        <v>無</v>
      </c>
      <c r="R1305" s="346" t="str">
        <f>IFERROR(VLOOKUP($G1305,融外自投!$A:$J,8,0),"無")</f>
        <v>無</v>
      </c>
      <c r="S1305" s="81" t="str">
        <f>IFERROR(VLOOKUP($G1305,融外自投!$A:$J,10,0),"無")</f>
        <v>無</v>
      </c>
      <c r="T1305" s="327" t="str">
        <f>IFERROR(VLOOKUP($G1305,'321買'!$A:$E,5,0),"'沒有資料'")</f>
        <v>'沒有資料'</v>
      </c>
      <c r="U1305" s="186" t="str">
        <f>IFERROR(VLOOKUP($G1305,基本資料!$A:$J,9,0),"無")</f>
        <v>無</v>
      </c>
      <c r="V1305" s="310" t="e">
        <f t="shared" si="238"/>
        <v>#VALUE!</v>
      </c>
      <c r="W1305" s="94" t="str">
        <f>IFERROR(VLOOKUP($G1305,基本資料!$A:$J,10,0),"無")</f>
        <v>無</v>
      </c>
      <c r="X1305" s="36">
        <f>RTD("money.excel",,"3147","Price")</f>
        <v>44.7</v>
      </c>
      <c r="Y1305" s="66"/>
      <c r="Z1305" s="15">
        <f t="shared" si="239"/>
        <v>44.7</v>
      </c>
      <c r="AA1305" s="3" t="e">
        <f t="shared" si="240"/>
        <v>#DIV/0!</v>
      </c>
      <c r="AB1305" s="344" t="str">
        <f>IFERROR(VLOOKUP($G1305,基本資料!$A:$M,11,0),"無")</f>
        <v>無</v>
      </c>
      <c r="AC1305" s="397" t="str">
        <f>IFERROR(VLOOKUP($G1305,基本資料!$A:$M,12,0),"無")</f>
        <v>無</v>
      </c>
      <c r="AD1305" s="16" t="s">
        <v>994</v>
      </c>
      <c r="AG1305" s="33">
        <f t="shared" si="241"/>
        <v>0</v>
      </c>
      <c r="AH1305" s="43" t="s">
        <v>2684</v>
      </c>
      <c r="AI1305" s="63" t="e">
        <f t="shared" si="242"/>
        <v>#VALUE!</v>
      </c>
      <c r="AJ1305" s="284">
        <f>RTD("money.excel",,$G1305,"PredictVolume")</f>
        <v>31</v>
      </c>
      <c r="AK1305" s="399" t="str">
        <f>IFERROR(VLOOKUP($G1305,基本資料!$A:$M,13,0),"無")</f>
        <v>無</v>
      </c>
    </row>
    <row r="1306" spans="1:37">
      <c r="A1306" s="142"/>
      <c r="B1306" s="79"/>
      <c r="C1306" s="79"/>
      <c r="D1306" s="79"/>
      <c r="E1306" s="79"/>
      <c r="F1306" s="6"/>
      <c r="H1306" s="8"/>
      <c r="I1306" s="16"/>
      <c r="L1306" s="2"/>
      <c r="S1306" s="26"/>
      <c r="U1306" s="34"/>
      <c r="W1306" s="94"/>
      <c r="X1306" s="36"/>
      <c r="Y1306" s="66"/>
      <c r="Z1306" s="15"/>
      <c r="AA1306" s="3"/>
      <c r="AD1306" s="16"/>
      <c r="AG1306" s="33"/>
      <c r="AH1306" s="43"/>
      <c r="AI1306" s="63"/>
      <c r="AJ1306" s="284"/>
    </row>
    <row r="1307" spans="1:37">
      <c r="A1307" s="127" t="s">
        <v>1673</v>
      </c>
      <c r="B1307" s="90" t="s">
        <v>1572</v>
      </c>
      <c r="C1307" s="90" t="s">
        <v>1573</v>
      </c>
      <c r="D1307" s="90" t="s">
        <v>1574</v>
      </c>
      <c r="E1307" s="90" t="s">
        <v>1575</v>
      </c>
      <c r="F1307" s="8" t="s">
        <v>1060</v>
      </c>
      <c r="G1307" s="27" t="s">
        <v>4712</v>
      </c>
      <c r="H1307" s="55" t="s">
        <v>320</v>
      </c>
      <c r="I1307" s="8" t="s">
        <v>235</v>
      </c>
      <c r="J1307" s="8" t="s">
        <v>6221</v>
      </c>
      <c r="K1307" s="5" t="s">
        <v>6222</v>
      </c>
      <c r="L1307" s="337" t="s">
        <v>6206</v>
      </c>
      <c r="M1307" s="338" t="s">
        <v>6207</v>
      </c>
      <c r="N1307" s="339" t="s">
        <v>6208</v>
      </c>
      <c r="O1307" s="4" t="s">
        <v>6713</v>
      </c>
      <c r="P1307" s="89" t="s">
        <v>6285</v>
      </c>
      <c r="Q1307" s="293" t="s">
        <v>6284</v>
      </c>
      <c r="R1307" s="354" t="s">
        <v>6283</v>
      </c>
      <c r="S1307" s="26" t="s">
        <v>6286</v>
      </c>
      <c r="T1307" s="321" t="s">
        <v>4716</v>
      </c>
      <c r="U1307" s="10" t="s">
        <v>66</v>
      </c>
      <c r="V1307" s="308" t="s">
        <v>4731</v>
      </c>
      <c r="W1307" s="68" t="s">
        <v>3273</v>
      </c>
      <c r="X1307" s="28" t="s">
        <v>2</v>
      </c>
      <c r="Y1307" s="17" t="s">
        <v>1399</v>
      </c>
      <c r="Z1307" s="14" t="s">
        <v>5</v>
      </c>
      <c r="AA1307" s="21" t="s">
        <v>3</v>
      </c>
      <c r="AB1307" s="96" t="s">
        <v>6174</v>
      </c>
      <c r="AC1307" s="384" t="s">
        <v>6420</v>
      </c>
      <c r="AD1307" s="8" t="s">
        <v>235</v>
      </c>
      <c r="AE1307" s="71" t="s">
        <v>1400</v>
      </c>
      <c r="AF1307" s="72" t="s">
        <v>1157</v>
      </c>
      <c r="AG1307" s="32" t="s">
        <v>1158</v>
      </c>
      <c r="AH1307" s="25" t="s">
        <v>6209</v>
      </c>
      <c r="AI1307" s="8" t="s">
        <v>6731</v>
      </c>
      <c r="AJ1307" s="50" t="s">
        <v>3361</v>
      </c>
      <c r="AK1307" s="44" t="s">
        <v>6730</v>
      </c>
    </row>
    <row r="1308" spans="1:37">
      <c r="A1308" s="347">
        <f>IFERROR(VLOOKUP($G1308,基本資料!$A:$J,3,0),"無")</f>
        <v>6.78</v>
      </c>
      <c r="B1308" s="79">
        <f>IFERROR(VLOOKUP($G1308,基本資料!$A:$J,4,0),"無")</f>
        <v>35</v>
      </c>
      <c r="C1308" s="79">
        <f>IFERROR(VLOOKUP($G1308,基本資料!$A:$J,5,0),"無")</f>
        <v>26</v>
      </c>
      <c r="D1308" s="79">
        <f>IFERROR(VLOOKUP($G1308,基本資料!$A:$J,6,0),"無")</f>
        <v>0</v>
      </c>
      <c r="E1308" s="79">
        <f>IFERROR(VLOOKUP($G1308,基本資料!$A:$J,7,0),"無")</f>
        <v>58</v>
      </c>
      <c r="F1308" s="6">
        <f>IFERROR(VLOOKUP($G1308,基本資料!$A:$J,8,0),"無")</f>
        <v>15.28</v>
      </c>
      <c r="G1308" s="79">
        <v>1342</v>
      </c>
      <c r="H1308" s="8" t="s">
        <v>1960</v>
      </c>
      <c r="I1308" s="22" t="s">
        <v>2077</v>
      </c>
      <c r="J1308" s="8" t="str">
        <f>IFERROR(VLOOKUP($G1308,今日總結!$A:$AJ,35,0),"")</f>
        <v/>
      </c>
      <c r="K1308" s="5" t="str">
        <f>IFERROR(VLOOKUP($G1308,今日總結!$A:$AJ,36,0),"")</f>
        <v/>
      </c>
      <c r="L1308" s="156" t="str">
        <f>IFERROR(VLOOKUP($G1308,今日總結!$A:$AJ,33,0),"")</f>
        <v/>
      </c>
      <c r="M1308" s="340" t="str">
        <f>IFERROR(VLOOKUP($G1308,今日總結!$A:$AJ,34,0),"")</f>
        <v/>
      </c>
      <c r="N1308" s="240" t="str">
        <f t="shared" ref="N1308" si="244">IFERROR(L1308-M1308,"")</f>
        <v/>
      </c>
      <c r="P1308" s="365">
        <f>IFERROR(VLOOKUP($G1308,融外自投!$A:$J,7,0),"無")</f>
        <v>988</v>
      </c>
      <c r="Q1308" s="79">
        <f>IFERROR(VLOOKUP($G1308,融外自投!$A:$J,9,0),"無")</f>
        <v>537</v>
      </c>
      <c r="R1308" s="346">
        <f>IFERROR(VLOOKUP($G1308,融外自投!$A:$J,8,0),"無")</f>
        <v>60</v>
      </c>
      <c r="S1308" s="81" t="str">
        <f>IFERROR(VLOOKUP($G1308,融外自投!$A:$J,10,0),"無")</f>
        <v>無</v>
      </c>
      <c r="T1308" s="327">
        <f>IFERROR(VLOOKUP($G1308,'321買'!$A:$E,5,0),"'沒有資料'")</f>
        <v>480</v>
      </c>
      <c r="U1308" s="186">
        <f>IFERROR(VLOOKUP($G1308,基本資料!$A:$J,9,0),"無")</f>
        <v>3</v>
      </c>
      <c r="V1308" s="310">
        <f t="shared" ref="V1308:V1371" si="245">$U1308/$X1308</f>
        <v>4.3859649122807015E-2</v>
      </c>
      <c r="W1308" s="94">
        <f>IFERROR(VLOOKUP($G1308,基本資料!$A:$J,10,0),"無")</f>
        <v>3.92</v>
      </c>
      <c r="X1308" s="36">
        <f>RTD("money.excel",,"1342","Price")</f>
        <v>68.400000000000006</v>
      </c>
      <c r="Y1308" s="66"/>
      <c r="Z1308" s="15">
        <f t="shared" ref="Z1308:Z1375" si="246">X1308-Y1308</f>
        <v>68.400000000000006</v>
      </c>
      <c r="AA1308" s="3" t="e">
        <f t="shared" ref="AA1308:AA1375" si="247">Z1308/Y1308</f>
        <v>#DIV/0!</v>
      </c>
      <c r="AB1308" s="344">
        <f>IFERROR(VLOOKUP($G1308,基本資料!$A:$M,11,0),"無")</f>
        <v>-7.88</v>
      </c>
      <c r="AC1308" s="397">
        <f>IFERROR(VLOOKUP($G1308,基本資料!$A:$M,12,0),"無")</f>
        <v>68.319999999999993</v>
      </c>
      <c r="AD1308" s="22" t="s">
        <v>2077</v>
      </c>
      <c r="AG1308" s="33">
        <f t="shared" ref="AG1308:AG1375" si="248">AF1308-AE1308</f>
        <v>0</v>
      </c>
      <c r="AH1308" s="43" t="s">
        <v>3351</v>
      </c>
      <c r="AI1308" s="63">
        <f t="shared" ref="AI1308:AI1356" si="249">AJ1308/(A1308*10000)</f>
        <v>2.374631268436578E-3</v>
      </c>
      <c r="AJ1308" s="284">
        <f>RTD("money.excel",,$G1308,"PredictVolume")</f>
        <v>161</v>
      </c>
      <c r="AK1308" s="399">
        <f>IFERROR(VLOOKUP($G1308,基本資料!$A:$M,13,0),"無")</f>
        <v>1.59</v>
      </c>
    </row>
    <row r="1309" spans="1:37">
      <c r="A1309" s="347">
        <f>IFERROR(VLOOKUP($G1309,基本資料!$A:$J,3,0),"無")</f>
        <v>18.53</v>
      </c>
      <c r="B1309" s="79">
        <f>IFERROR(VLOOKUP($G1309,基本資料!$A:$J,4,0),"無")</f>
        <v>123</v>
      </c>
      <c r="C1309" s="79">
        <f>IFERROR(VLOOKUP($G1309,基本資料!$A:$J,5,0),"無")</f>
        <v>68</v>
      </c>
      <c r="D1309" s="79">
        <f>IFERROR(VLOOKUP($G1309,基本資料!$A:$J,6,0),"無")</f>
        <v>-2</v>
      </c>
      <c r="E1309" s="79">
        <f>IFERROR(VLOOKUP($G1309,基本資料!$A:$J,7,0),"無")</f>
        <v>-34</v>
      </c>
      <c r="F1309" s="6">
        <f>IFERROR(VLOOKUP($G1309,基本資料!$A:$J,8,0),"無")</f>
        <v>-23.06</v>
      </c>
      <c r="G1309" s="79">
        <v>1416</v>
      </c>
      <c r="H1309" s="8" t="s">
        <v>1960</v>
      </c>
      <c r="I1309" s="22" t="s">
        <v>722</v>
      </c>
      <c r="J1309" s="8" t="str">
        <f>IFERROR(VLOOKUP($G1309,今日總結!$A:$AJ,35,0),"")</f>
        <v/>
      </c>
      <c r="K1309" s="5" t="str">
        <f>IFERROR(VLOOKUP($G1309,今日總結!$A:$AJ,36,0),"")</f>
        <v/>
      </c>
      <c r="L1309" s="156" t="str">
        <f>IFERROR(VLOOKUP($G1309,今日總結!$A:$AJ,33,0),"")</f>
        <v/>
      </c>
      <c r="M1309" s="340" t="str">
        <f>IFERROR(VLOOKUP($G1309,今日總結!$A:$AJ,34,0),"")</f>
        <v/>
      </c>
      <c r="N1309" s="240" t="str">
        <f t="shared" ref="N1309:N1372" si="250">IFERROR(L1309-M1309,"")</f>
        <v/>
      </c>
      <c r="P1309" s="365">
        <f>IFERROR(VLOOKUP($G1309,融外自投!$A:$J,7,0),"無")</f>
        <v>691</v>
      </c>
      <c r="Q1309" s="79">
        <f>IFERROR(VLOOKUP($G1309,融外自投!$A:$J,9,0),"無")</f>
        <v>978</v>
      </c>
      <c r="R1309" s="346">
        <f>IFERROR(VLOOKUP($G1309,融外自投!$A:$J,8,0),"無")</f>
        <v>536</v>
      </c>
      <c r="S1309" s="81" t="str">
        <f>IFERROR(VLOOKUP($G1309,融外自投!$A:$J,10,0),"無")</f>
        <v>無</v>
      </c>
      <c r="T1309" s="327">
        <f>IFERROR(VLOOKUP($G1309,'321買'!$A:$E,5,0),"'沒有資料'")</f>
        <v>827</v>
      </c>
      <c r="U1309" s="186">
        <f>IFERROR(VLOOKUP($G1309,基本資料!$A:$J,9,0),"無")</f>
        <v>0.5</v>
      </c>
      <c r="V1309" s="310">
        <f t="shared" si="245"/>
        <v>2.2222222222222223E-2</v>
      </c>
      <c r="W1309" s="94">
        <f>IFERROR(VLOOKUP($G1309,基本資料!$A:$J,10,0),"無")</f>
        <v>0.44</v>
      </c>
      <c r="X1309" s="36">
        <f>RTD("money.excel",,"1516","Price")</f>
        <v>22.5</v>
      </c>
      <c r="Y1309" s="66"/>
      <c r="Z1309" s="15">
        <f t="shared" si="246"/>
        <v>22.5</v>
      </c>
      <c r="AA1309" s="3" t="e">
        <f t="shared" si="247"/>
        <v>#DIV/0!</v>
      </c>
      <c r="AB1309" s="344">
        <f>IFERROR(VLOOKUP($G1309,基本資料!$A:$M,11,0),"無")</f>
        <v>-10.199999999999999</v>
      </c>
      <c r="AC1309" s="397">
        <f>IFERROR(VLOOKUP($G1309,基本資料!$A:$M,12,0),"無")</f>
        <v>22.44</v>
      </c>
      <c r="AD1309" s="22" t="s">
        <v>722</v>
      </c>
      <c r="AG1309" s="33">
        <f t="shared" si="248"/>
        <v>0</v>
      </c>
      <c r="AH1309" s="43" t="s">
        <v>3008</v>
      </c>
      <c r="AI1309" s="63">
        <f t="shared" si="249"/>
        <v>3.7776578521316783E-4</v>
      </c>
      <c r="AJ1309" s="284">
        <f>RTD("money.excel",,$G1309,"PredictVolume")</f>
        <v>70</v>
      </c>
      <c r="AK1309" s="399">
        <f>IFERROR(VLOOKUP($G1309,基本資料!$A:$M,13,0),"無")</f>
        <v>3.32</v>
      </c>
    </row>
    <row r="1310" spans="1:37">
      <c r="A1310" s="347">
        <f>IFERROR(VLOOKUP($G1310,基本資料!$A:$J,3,0),"無")</f>
        <v>13.97</v>
      </c>
      <c r="B1310" s="79">
        <f>IFERROR(VLOOKUP($G1310,基本資料!$A:$J,4,0),"無")</f>
        <v>131</v>
      </c>
      <c r="C1310" s="79">
        <f>IFERROR(VLOOKUP($G1310,基本資料!$A:$J,5,0),"無")</f>
        <v>-65</v>
      </c>
      <c r="D1310" s="79">
        <f>IFERROR(VLOOKUP($G1310,基本資料!$A:$J,6,0),"無")</f>
        <v>-4</v>
      </c>
      <c r="E1310" s="79">
        <f>IFERROR(VLOOKUP($G1310,基本資料!$A:$J,7,0),"無")</f>
        <v>-16</v>
      </c>
      <c r="F1310" s="6">
        <f>IFERROR(VLOOKUP($G1310,基本資料!$A:$J,8,0),"無")</f>
        <v>-238.38</v>
      </c>
      <c r="G1310" s="79">
        <v>1435</v>
      </c>
      <c r="H1310" s="8" t="s">
        <v>1960</v>
      </c>
      <c r="I1310" s="22" t="s">
        <v>670</v>
      </c>
      <c r="J1310" s="8" t="str">
        <f>IFERROR(VLOOKUP($G1310,今日總結!$A:$AJ,35,0),"")</f>
        <v/>
      </c>
      <c r="K1310" s="5" t="str">
        <f>IFERROR(VLOOKUP($G1310,今日總結!$A:$AJ,36,0),"")</f>
        <v/>
      </c>
      <c r="L1310" s="156" t="str">
        <f>IFERROR(VLOOKUP($G1310,今日總結!$A:$AJ,33,0),"")</f>
        <v/>
      </c>
      <c r="M1310" s="340" t="str">
        <f>IFERROR(VLOOKUP($G1310,今日總結!$A:$AJ,34,0),"")</f>
        <v/>
      </c>
      <c r="N1310" s="240" t="str">
        <f t="shared" si="250"/>
        <v/>
      </c>
      <c r="P1310" s="365" t="str">
        <f>IFERROR(VLOOKUP($G1310,融外自投!$A:$J,7,0),"無")</f>
        <v>無</v>
      </c>
      <c r="Q1310" s="79" t="str">
        <f>IFERROR(VLOOKUP($G1310,融外自投!$A:$J,9,0),"無")</f>
        <v>無</v>
      </c>
      <c r="R1310" s="346" t="str">
        <f>IFERROR(VLOOKUP($G1310,融外自投!$A:$J,8,0),"無")</f>
        <v>無</v>
      </c>
      <c r="S1310" s="81" t="str">
        <f>IFERROR(VLOOKUP($G1310,融外自投!$A:$J,10,0),"無")</f>
        <v>無</v>
      </c>
      <c r="T1310" s="327" t="str">
        <f>IFERROR(VLOOKUP($G1310,'321買'!$A:$E,5,0),"'沒有資料'")</f>
        <v>'沒有資料'</v>
      </c>
      <c r="U1310" s="186">
        <f>IFERROR(VLOOKUP($G1310,基本資料!$A:$J,9,0),"無")</f>
        <v>0</v>
      </c>
      <c r="V1310" s="310">
        <f t="shared" si="245"/>
        <v>0</v>
      </c>
      <c r="W1310" s="94">
        <f>IFERROR(VLOOKUP($G1310,基本資料!$A:$J,10,0),"無")</f>
        <v>0.05</v>
      </c>
      <c r="X1310" s="36">
        <f>RTD("money.excel",,"1435","Price")</f>
        <v>47.7</v>
      </c>
      <c r="Y1310" s="66"/>
      <c r="Z1310" s="15">
        <f t="shared" si="246"/>
        <v>47.7</v>
      </c>
      <c r="AA1310" s="3" t="e">
        <f t="shared" si="247"/>
        <v>#DIV/0!</v>
      </c>
      <c r="AB1310" s="344">
        <f>IFERROR(VLOOKUP($G1310,基本資料!$A:$M,11,0),"無")</f>
        <v>-30.08</v>
      </c>
      <c r="AC1310" s="397">
        <f>IFERROR(VLOOKUP($G1310,基本資料!$A:$M,12,0),"無")</f>
        <v>42.76</v>
      </c>
      <c r="AD1310" s="22" t="s">
        <v>670</v>
      </c>
      <c r="AG1310" s="33">
        <f t="shared" si="248"/>
        <v>0</v>
      </c>
      <c r="AH1310" s="43" t="s">
        <v>2811</v>
      </c>
      <c r="AI1310" s="63">
        <f t="shared" si="249"/>
        <v>1.0021474588403722E-4</v>
      </c>
      <c r="AJ1310" s="284">
        <f>RTD("money.excel",,$G1310,"PredictVolume")</f>
        <v>14</v>
      </c>
      <c r="AK1310" s="399">
        <f>IFERROR(VLOOKUP($G1310,基本資料!$A:$M,13,0),"無")</f>
        <v>0.95</v>
      </c>
    </row>
    <row r="1311" spans="1:37">
      <c r="A1311" s="347">
        <f>IFERROR(VLOOKUP($G1311,基本資料!$A:$J,3,0),"無")</f>
        <v>20.329999999999998</v>
      </c>
      <c r="B1311" s="79">
        <f>IFERROR(VLOOKUP($G1311,基本資料!$A:$J,4,0),"無")</f>
        <v>28</v>
      </c>
      <c r="C1311" s="79">
        <f>IFERROR(VLOOKUP($G1311,基本資料!$A:$J,5,0),"無")</f>
        <v>1</v>
      </c>
      <c r="D1311" s="79">
        <f>IFERROR(VLOOKUP($G1311,基本資料!$A:$J,6,0),"無")</f>
        <v>0</v>
      </c>
      <c r="E1311" s="79">
        <f>IFERROR(VLOOKUP($G1311,基本資料!$A:$J,7,0),"無")</f>
        <v>22</v>
      </c>
      <c r="F1311" s="6">
        <f>IFERROR(VLOOKUP($G1311,基本資料!$A:$J,8,0),"無")</f>
        <v>52.71</v>
      </c>
      <c r="G1311" s="79">
        <v>1437</v>
      </c>
      <c r="H1311" s="8" t="s">
        <v>1960</v>
      </c>
      <c r="I1311" s="22" t="s">
        <v>671</v>
      </c>
      <c r="J1311" s="8">
        <f>IFERROR(VLOOKUP($G1311,今日總結!$A:$AJ,35,0),"")</f>
        <v>0</v>
      </c>
      <c r="K1311" s="5" t="str">
        <f>IFERROR(VLOOKUP($G1311,今日總結!$A:$AJ,36,0),"")</f>
        <v>外</v>
      </c>
      <c r="L1311" s="156">
        <f>IFERROR(VLOOKUP($G1311,今日總結!$A:$AJ,33,0),"")</f>
        <v>0</v>
      </c>
      <c r="M1311" s="340">
        <f>IFERROR(VLOOKUP($G1311,今日總結!$A:$AJ,34,0),"")</f>
        <v>1</v>
      </c>
      <c r="N1311" s="240">
        <f t="shared" si="250"/>
        <v>-1</v>
      </c>
      <c r="P1311" s="365">
        <f>IFERROR(VLOOKUP($G1311,融外自投!$A:$J,7,0),"無")</f>
        <v>1002</v>
      </c>
      <c r="Q1311" s="79">
        <f>IFERROR(VLOOKUP($G1311,融外自投!$A:$J,9,0),"無")</f>
        <v>1110</v>
      </c>
      <c r="R1311" s="346">
        <f>IFERROR(VLOOKUP($G1311,融外自投!$A:$J,8,0),"無")</f>
        <v>701</v>
      </c>
      <c r="S1311" s="81">
        <f>IFERROR(VLOOKUP($G1311,融外自投!$A:$J,10,0),"無")</f>
        <v>383</v>
      </c>
      <c r="T1311" s="327">
        <f>IFERROR(VLOOKUP($G1311,'321買'!$A:$E,5,0),"'沒有資料'")</f>
        <v>1259</v>
      </c>
      <c r="U1311" s="186">
        <f>IFERROR(VLOOKUP($G1311,基本資料!$A:$J,9,0),"無")</f>
        <v>0.9</v>
      </c>
      <c r="V1311" s="310">
        <f t="shared" si="245"/>
        <v>3.6000000000000004E-2</v>
      </c>
      <c r="W1311" s="94">
        <f>IFERROR(VLOOKUP($G1311,基本資料!$A:$J,10,0),"無")</f>
        <v>2.25</v>
      </c>
      <c r="X1311" s="36">
        <f>RTD("money.excel",,"1437","Price")</f>
        <v>25</v>
      </c>
      <c r="Y1311" s="66"/>
      <c r="Z1311" s="15">
        <f t="shared" si="246"/>
        <v>25</v>
      </c>
      <c r="AA1311" s="3" t="e">
        <f t="shared" si="247"/>
        <v>#DIV/0!</v>
      </c>
      <c r="AB1311" s="344">
        <f>IFERROR(VLOOKUP($G1311,基本資料!$A:$M,11,0),"無")</f>
        <v>-17.07</v>
      </c>
      <c r="AC1311" s="397">
        <f>IFERROR(VLOOKUP($G1311,基本資料!$A:$M,12,0),"無")</f>
        <v>22.81</v>
      </c>
      <c r="AD1311" s="22" t="s">
        <v>671</v>
      </c>
      <c r="AG1311" s="33">
        <f t="shared" si="248"/>
        <v>0</v>
      </c>
      <c r="AH1311" s="43" t="s">
        <v>2812</v>
      </c>
      <c r="AI1311" s="63">
        <f t="shared" si="249"/>
        <v>2.6610919822921794E-3</v>
      </c>
      <c r="AJ1311" s="284">
        <f>RTD("money.excel",,$G1311,"PredictVolume")</f>
        <v>541</v>
      </c>
      <c r="AK1311" s="399">
        <f>IFERROR(VLOOKUP($G1311,基本資料!$A:$M,13,0),"無")</f>
        <v>5.26</v>
      </c>
    </row>
    <row r="1312" spans="1:37">
      <c r="A1312" s="347">
        <f>IFERROR(VLOOKUP($G1312,基本資料!$A:$J,3,0),"無")</f>
        <v>3.56</v>
      </c>
      <c r="B1312" s="79">
        <f>IFERROR(VLOOKUP($G1312,基本資料!$A:$J,4,0),"無")</f>
        <v>114</v>
      </c>
      <c r="C1312" s="79">
        <f>IFERROR(VLOOKUP($G1312,基本資料!$A:$J,5,0),"無")</f>
        <v>55</v>
      </c>
      <c r="D1312" s="79">
        <f>IFERROR(VLOOKUP($G1312,基本資料!$A:$J,6,0),"無")</f>
        <v>-99</v>
      </c>
      <c r="E1312" s="79">
        <f>IFERROR(VLOOKUP($G1312,基本資料!$A:$J,7,0),"無")</f>
        <v>-99</v>
      </c>
      <c r="F1312" s="6">
        <f>IFERROR(VLOOKUP($G1312,基本資料!$A:$J,8,0),"無")</f>
        <v>3.71</v>
      </c>
      <c r="G1312" s="79">
        <v>1516</v>
      </c>
      <c r="H1312" s="8" t="s">
        <v>1960</v>
      </c>
      <c r="I1312" s="22" t="s">
        <v>672</v>
      </c>
      <c r="J1312" s="8">
        <f>IFERROR(VLOOKUP($G1312,今日總結!$A:$AJ,35,0),"")</f>
        <v>0</v>
      </c>
      <c r="K1312" s="5" t="str">
        <f>IFERROR(VLOOKUP($G1312,今日總結!$A:$AJ,36,0),"")</f>
        <v>5融</v>
      </c>
      <c r="L1312" s="156">
        <f>IFERROR(VLOOKUP($G1312,今日總結!$A:$AJ,33,0),"")</f>
        <v>0</v>
      </c>
      <c r="M1312" s="340">
        <f>IFERROR(VLOOKUP($G1312,今日總結!$A:$AJ,34,0),"")</f>
        <v>2</v>
      </c>
      <c r="N1312" s="240">
        <f t="shared" si="250"/>
        <v>-2</v>
      </c>
      <c r="P1312" s="365">
        <f>IFERROR(VLOOKUP($G1312,融外自投!$A:$J,7,0),"無")</f>
        <v>292</v>
      </c>
      <c r="Q1312" s="79">
        <f>IFERROR(VLOOKUP($G1312,融外自投!$A:$J,9,0),"無")</f>
        <v>370</v>
      </c>
      <c r="R1312" s="346">
        <f>IFERROR(VLOOKUP($G1312,融外自投!$A:$J,8,0),"無")</f>
        <v>846</v>
      </c>
      <c r="S1312" s="81">
        <f>IFERROR(VLOOKUP($G1312,融外自投!$A:$J,10,0),"無")</f>
        <v>383</v>
      </c>
      <c r="T1312" s="327">
        <f>IFERROR(VLOOKUP($G1312,'321買'!$A:$E,5,0),"'沒有資料'")</f>
        <v>752</v>
      </c>
      <c r="U1312" s="186">
        <f>IFERROR(VLOOKUP($G1312,基本資料!$A:$J,9,0),"無")</f>
        <v>1.55</v>
      </c>
      <c r="V1312" s="310">
        <f t="shared" si="245"/>
        <v>6.8888888888888888E-2</v>
      </c>
      <c r="W1312" s="94">
        <f>IFERROR(VLOOKUP($G1312,基本資料!$A:$J,10,0),"無")</f>
        <v>1.72</v>
      </c>
      <c r="X1312" s="36">
        <f>RTD("money.excel",,"1516","Price")</f>
        <v>22.5</v>
      </c>
      <c r="Y1312" s="66"/>
      <c r="Z1312" s="15">
        <f t="shared" si="246"/>
        <v>22.5</v>
      </c>
      <c r="AA1312" s="3" t="e">
        <f t="shared" si="247"/>
        <v>#DIV/0!</v>
      </c>
      <c r="AB1312" s="344">
        <f>IFERROR(VLOOKUP($G1312,基本資料!$A:$M,11,0),"無")</f>
        <v>-31.07</v>
      </c>
      <c r="AC1312" s="397">
        <f>IFERROR(VLOOKUP($G1312,基本資料!$A:$M,12,0),"無")</f>
        <v>20.23</v>
      </c>
      <c r="AD1312" s="22" t="s">
        <v>672</v>
      </c>
      <c r="AG1312" s="33">
        <f t="shared" si="248"/>
        <v>0</v>
      </c>
      <c r="AH1312" s="43" t="s">
        <v>2813</v>
      </c>
      <c r="AI1312" s="63">
        <f t="shared" si="249"/>
        <v>2.3314606741573034E-2</v>
      </c>
      <c r="AJ1312" s="284">
        <f>RTD("money.excel",,$G1312,"PredictVolume")</f>
        <v>830</v>
      </c>
      <c r="AK1312" s="399">
        <f>IFERROR(VLOOKUP($G1312,基本資料!$A:$M,13,0),"無")</f>
        <v>31.16</v>
      </c>
    </row>
    <row r="1313" spans="1:37">
      <c r="A1313" s="347">
        <f>IFERROR(VLOOKUP($G1313,基本資料!$A:$J,3,0),"無")</f>
        <v>12.24</v>
      </c>
      <c r="B1313" s="79">
        <f>IFERROR(VLOOKUP($G1313,基本資料!$A:$J,4,0),"無")</f>
        <v>62</v>
      </c>
      <c r="C1313" s="79">
        <f>IFERROR(VLOOKUP($G1313,基本資料!$A:$J,5,0),"無")</f>
        <v>230</v>
      </c>
      <c r="D1313" s="79">
        <f>IFERROR(VLOOKUP($G1313,基本資料!$A:$J,6,0),"無")</f>
        <v>65</v>
      </c>
      <c r="E1313" s="79">
        <f>IFERROR(VLOOKUP($G1313,基本資料!$A:$J,7,0),"無")</f>
        <v>85</v>
      </c>
      <c r="F1313" s="6">
        <f>IFERROR(VLOOKUP($G1313,基本資料!$A:$J,8,0),"無")</f>
        <v>1.26</v>
      </c>
      <c r="G1313" s="79">
        <v>1584</v>
      </c>
      <c r="H1313" s="8" t="s">
        <v>1960</v>
      </c>
      <c r="I1313" s="16" t="s">
        <v>637</v>
      </c>
      <c r="J1313" s="8">
        <f>IFERROR(VLOOKUP($G1313,今日總結!$A:$AJ,35,0),"")</f>
        <v>4</v>
      </c>
      <c r="K1313" s="5">
        <f>IFERROR(VLOOKUP($G1313,今日總結!$A:$AJ,36,0),"")</f>
        <v>2</v>
      </c>
      <c r="L1313" s="156">
        <f>IFERROR(VLOOKUP($G1313,今日總結!$A:$AJ,33,0),"")</f>
        <v>1</v>
      </c>
      <c r="M1313" s="340">
        <f>IFERROR(VLOOKUP($G1313,今日總結!$A:$AJ,34,0),"")</f>
        <v>1</v>
      </c>
      <c r="N1313" s="240">
        <f t="shared" si="250"/>
        <v>0</v>
      </c>
      <c r="P1313" s="365">
        <f>IFERROR(VLOOKUP($G1313,融外自投!$A:$J,7,0),"無")</f>
        <v>166</v>
      </c>
      <c r="Q1313" s="79">
        <f>IFERROR(VLOOKUP($G1313,融外自投!$A:$J,9,0),"無")</f>
        <v>329</v>
      </c>
      <c r="R1313" s="346">
        <f>IFERROR(VLOOKUP($G1313,融外自投!$A:$J,8,0),"無")</f>
        <v>1144</v>
      </c>
      <c r="S1313" s="81" t="str">
        <f>IFERROR(VLOOKUP($G1313,融外自投!$A:$J,10,0),"無")</f>
        <v>無</v>
      </c>
      <c r="T1313" s="327">
        <f>IFERROR(VLOOKUP($G1313,'321買'!$A:$E,5,0),"'沒有資料'")</f>
        <v>634</v>
      </c>
      <c r="U1313" s="186">
        <f>IFERROR(VLOOKUP($G1313,基本資料!$A:$J,9,0),"無")</f>
        <v>0.2</v>
      </c>
      <c r="V1313" s="310">
        <f t="shared" si="245"/>
        <v>8.0482897384305842E-3</v>
      </c>
      <c r="W1313" s="94">
        <f>IFERROR(VLOOKUP($G1313,基本資料!$A:$J,10,0),"無")</f>
        <v>0.46</v>
      </c>
      <c r="X1313" s="36">
        <f>RTD("money.excel",,"1584","Price")</f>
        <v>24.85</v>
      </c>
      <c r="Y1313" s="66"/>
      <c r="Z1313" s="15">
        <f t="shared" si="246"/>
        <v>24.85</v>
      </c>
      <c r="AA1313" s="3" t="e">
        <f t="shared" si="247"/>
        <v>#DIV/0!</v>
      </c>
      <c r="AB1313" s="344">
        <f>IFERROR(VLOOKUP($G1313,基本資料!$A:$M,11,0),"無")</f>
        <v>-8.93</v>
      </c>
      <c r="AC1313" s="397">
        <f>IFERROR(VLOOKUP($G1313,基本資料!$A:$M,12,0),"無")</f>
        <v>73.099999999999994</v>
      </c>
      <c r="AD1313" s="16" t="s">
        <v>637</v>
      </c>
      <c r="AG1313" s="33">
        <f t="shared" si="248"/>
        <v>0</v>
      </c>
      <c r="AH1313" s="43" t="s">
        <v>2459</v>
      </c>
      <c r="AI1313" s="63">
        <f t="shared" si="249"/>
        <v>0.26866830065359476</v>
      </c>
      <c r="AJ1313" s="284">
        <f>RTD("money.excel",,$G1313,"PredictVolume")</f>
        <v>32885</v>
      </c>
      <c r="AK1313" s="399">
        <f>IFERROR(VLOOKUP($G1313,基本資料!$A:$M,13,0),"無")</f>
        <v>40.42</v>
      </c>
    </row>
    <row r="1314" spans="1:37">
      <c r="A1314" s="347">
        <f>IFERROR(VLOOKUP($G1314,基本資料!$A:$J,3,0),"無")</f>
        <v>19.989999999999998</v>
      </c>
      <c r="B1314" s="79">
        <f>IFERROR(VLOOKUP($G1314,基本資料!$A:$J,4,0),"無")</f>
        <v>662</v>
      </c>
      <c r="C1314" s="79">
        <f>IFERROR(VLOOKUP($G1314,基本資料!$A:$J,5,0),"無")</f>
        <v>5365</v>
      </c>
      <c r="D1314" s="79">
        <f>IFERROR(VLOOKUP($G1314,基本資料!$A:$J,6,0),"無")</f>
        <v>-13</v>
      </c>
      <c r="E1314" s="79">
        <f>IFERROR(VLOOKUP($G1314,基本資料!$A:$J,7,0),"無")</f>
        <v>3</v>
      </c>
      <c r="F1314" s="6">
        <f>IFERROR(VLOOKUP($G1314,基本資料!$A:$J,8,0),"無")</f>
        <v>5.81</v>
      </c>
      <c r="G1314" s="79">
        <v>2062</v>
      </c>
      <c r="H1314" s="8" t="s">
        <v>1960</v>
      </c>
      <c r="I1314" s="22" t="s">
        <v>673</v>
      </c>
      <c r="J1314" s="8">
        <f>IFERROR(VLOOKUP($G1314,今日總結!$A:$AJ,35,0),"")</f>
        <v>0</v>
      </c>
      <c r="K1314" s="5" t="str">
        <f>IFERROR(VLOOKUP($G1314,今日總結!$A:$AJ,36,0),"")</f>
        <v>外</v>
      </c>
      <c r="L1314" s="156">
        <f>IFERROR(VLOOKUP($G1314,今日總結!$A:$AJ,33,0),"")</f>
        <v>0</v>
      </c>
      <c r="M1314" s="340">
        <f>IFERROR(VLOOKUP($G1314,今日總結!$A:$AJ,34,0),"")</f>
        <v>1</v>
      </c>
      <c r="N1314" s="240">
        <f t="shared" si="250"/>
        <v>-1</v>
      </c>
      <c r="P1314" s="365">
        <f>IFERROR(VLOOKUP($G1314,融外自投!$A:$J,7,0),"無")</f>
        <v>755</v>
      </c>
      <c r="Q1314" s="79">
        <f>IFERROR(VLOOKUP($G1314,融外自投!$A:$J,9,0),"無")</f>
        <v>414</v>
      </c>
      <c r="R1314" s="346">
        <f>IFERROR(VLOOKUP($G1314,融外自投!$A:$J,8,0),"無")</f>
        <v>517</v>
      </c>
      <c r="S1314" s="81">
        <f>IFERROR(VLOOKUP($G1314,融外自投!$A:$J,10,0),"無")</f>
        <v>268</v>
      </c>
      <c r="T1314" s="327">
        <f>IFERROR(VLOOKUP($G1314,'321買'!$A:$E,5,0),"'沒有資料'")</f>
        <v>463</v>
      </c>
      <c r="U1314" s="186">
        <f>IFERROR(VLOOKUP($G1314,基本資料!$A:$J,9,0),"無")</f>
        <v>0.5</v>
      </c>
      <c r="V1314" s="310">
        <f t="shared" si="245"/>
        <v>1.9801980198019802E-2</v>
      </c>
      <c r="W1314" s="94">
        <f>IFERROR(VLOOKUP($G1314,基本資料!$A:$J,10,0),"無")</f>
        <v>2.48</v>
      </c>
      <c r="X1314" s="36">
        <f>RTD("money.excel",,"2062","Price")</f>
        <v>25.25</v>
      </c>
      <c r="Y1314" s="66"/>
      <c r="Z1314" s="15">
        <f t="shared" si="246"/>
        <v>25.25</v>
      </c>
      <c r="AA1314" s="3" t="e">
        <f t="shared" si="247"/>
        <v>#DIV/0!</v>
      </c>
      <c r="AB1314" s="344">
        <f>IFERROR(VLOOKUP($G1314,基本資料!$A:$M,11,0),"無")</f>
        <v>-28.57</v>
      </c>
      <c r="AC1314" s="397">
        <f>IFERROR(VLOOKUP($G1314,基本資料!$A:$M,12,0),"無")</f>
        <v>21.75</v>
      </c>
      <c r="AD1314" s="22" t="s">
        <v>673</v>
      </c>
      <c r="AG1314" s="33">
        <f t="shared" si="248"/>
        <v>0</v>
      </c>
      <c r="AH1314" s="43" t="s">
        <v>2814</v>
      </c>
      <c r="AI1314" s="63">
        <f t="shared" si="249"/>
        <v>7.4037018509254639E-4</v>
      </c>
      <c r="AJ1314" s="284">
        <f>RTD("money.excel",,$G1314,"PredictVolume")</f>
        <v>148</v>
      </c>
      <c r="AK1314" s="399">
        <f>IFERROR(VLOOKUP($G1314,基本資料!$A:$M,13,0),"無")</f>
        <v>2.83</v>
      </c>
    </row>
    <row r="1315" spans="1:37">
      <c r="A1315" s="347">
        <f>IFERROR(VLOOKUP($G1315,基本資料!$A:$J,3,0),"無")</f>
        <v>4.2300000000000004</v>
      </c>
      <c r="B1315" s="79">
        <f>IFERROR(VLOOKUP($G1315,基本資料!$A:$J,4,0),"無")</f>
        <v>172</v>
      </c>
      <c r="C1315" s="79">
        <f>IFERROR(VLOOKUP($G1315,基本資料!$A:$J,5,0),"無")</f>
        <v>162</v>
      </c>
      <c r="D1315" s="79">
        <f>IFERROR(VLOOKUP($G1315,基本資料!$A:$J,6,0),"無")</f>
        <v>25</v>
      </c>
      <c r="E1315" s="79">
        <f>IFERROR(VLOOKUP($G1315,基本資料!$A:$J,7,0),"無")</f>
        <v>36</v>
      </c>
      <c r="F1315" s="6">
        <f>IFERROR(VLOOKUP($G1315,基本資料!$A:$J,8,0),"無")</f>
        <v>15.11</v>
      </c>
      <c r="G1315" s="79">
        <v>2221</v>
      </c>
      <c r="H1315" s="8" t="s">
        <v>1960</v>
      </c>
      <c r="I1315" s="16" t="s">
        <v>527</v>
      </c>
      <c r="J1315" s="8">
        <f>IFERROR(VLOOKUP($G1315,今日總結!$A:$AJ,35,0),"")</f>
        <v>0</v>
      </c>
      <c r="K1315" s="5">
        <f>IFERROR(VLOOKUP($G1315,今日總結!$A:$AJ,36,0),"")</f>
        <v>0</v>
      </c>
      <c r="L1315" s="156">
        <f>IFERROR(VLOOKUP($G1315,今日總結!$A:$AJ,33,0),"")</f>
        <v>0</v>
      </c>
      <c r="M1315" s="340">
        <f>IFERROR(VLOOKUP($G1315,今日總結!$A:$AJ,34,0),"")</f>
        <v>1</v>
      </c>
      <c r="N1315" s="240">
        <f t="shared" si="250"/>
        <v>-1</v>
      </c>
      <c r="P1315" s="365">
        <f>IFERROR(VLOOKUP($G1315,融外自投!$A:$J,7,0),"無")</f>
        <v>665</v>
      </c>
      <c r="Q1315" s="79">
        <f>IFERROR(VLOOKUP($G1315,融外自投!$A:$J,9,0),"無")</f>
        <v>936</v>
      </c>
      <c r="R1315" s="346">
        <f>IFERROR(VLOOKUP($G1315,融外自投!$A:$J,8,0),"無")</f>
        <v>785</v>
      </c>
      <c r="S1315" s="81" t="str">
        <f>IFERROR(VLOOKUP($G1315,融外自投!$A:$J,10,0),"無")</f>
        <v>無</v>
      </c>
      <c r="T1315" s="327">
        <f>IFERROR(VLOOKUP($G1315,'321買'!$A:$E,5,0),"'沒有資料'")</f>
        <v>852</v>
      </c>
      <c r="U1315" s="186">
        <f>IFERROR(VLOOKUP($G1315,基本資料!$A:$J,9,0),"無")</f>
        <v>3</v>
      </c>
      <c r="V1315" s="310">
        <f t="shared" si="245"/>
        <v>8.0645161290322578E-2</v>
      </c>
      <c r="W1315" s="94">
        <f>IFERROR(VLOOKUP($G1315,基本資料!$A:$J,10,0),"無")</f>
        <v>4.2699999999999996</v>
      </c>
      <c r="X1315" s="36">
        <f>RTD("money.excel",,"2221","Price")</f>
        <v>37.200000000000003</v>
      </c>
      <c r="Y1315" s="66"/>
      <c r="Z1315" s="15">
        <f t="shared" si="246"/>
        <v>37.200000000000003</v>
      </c>
      <c r="AA1315" s="3" t="e">
        <f t="shared" si="247"/>
        <v>#DIV/0!</v>
      </c>
      <c r="AB1315" s="344">
        <f>IFERROR(VLOOKUP($G1315,基本資料!$A:$M,11,0),"無")</f>
        <v>-24.55</v>
      </c>
      <c r="AC1315" s="397">
        <f>IFERROR(VLOOKUP($G1315,基本資料!$A:$M,12,0),"無")</f>
        <v>49.41</v>
      </c>
      <c r="AD1315" s="16" t="s">
        <v>527</v>
      </c>
      <c r="AG1315" s="33">
        <f t="shared" si="248"/>
        <v>0</v>
      </c>
      <c r="AH1315" s="43" t="s">
        <v>2458</v>
      </c>
      <c r="AI1315" s="63">
        <f t="shared" si="249"/>
        <v>4.3971631205673755E-3</v>
      </c>
      <c r="AJ1315" s="284">
        <f>RTD("money.excel",,$G1315,"PredictVolume")</f>
        <v>186</v>
      </c>
      <c r="AK1315" s="399">
        <f>IFERROR(VLOOKUP($G1315,基本資料!$A:$M,13,0),"無")</f>
        <v>38.67</v>
      </c>
    </row>
    <row r="1316" spans="1:37">
      <c r="A1316" s="347">
        <f>IFERROR(VLOOKUP($G1316,基本資料!$A:$J,3,0),"無")</f>
        <v>10.64</v>
      </c>
      <c r="B1316" s="79">
        <f>IFERROR(VLOOKUP($G1316,基本資料!$A:$J,4,0),"無")</f>
        <v>22</v>
      </c>
      <c r="C1316" s="79">
        <f>IFERROR(VLOOKUP($G1316,基本資料!$A:$J,5,0),"無")</f>
        <v>47</v>
      </c>
      <c r="D1316" s="79">
        <f>IFERROR(VLOOKUP($G1316,基本資料!$A:$J,6,0),"無")</f>
        <v>1</v>
      </c>
      <c r="E1316" s="79">
        <f>IFERROR(VLOOKUP($G1316,基本資料!$A:$J,7,0),"無")</f>
        <v>16</v>
      </c>
      <c r="F1316" s="6">
        <f>IFERROR(VLOOKUP($G1316,基本資料!$A:$J,8,0),"無")</f>
        <v>38.020000000000003</v>
      </c>
      <c r="G1316" s="79">
        <v>2348</v>
      </c>
      <c r="H1316" s="8" t="s">
        <v>1960</v>
      </c>
      <c r="I1316" s="22" t="s">
        <v>674</v>
      </c>
      <c r="J1316" s="8" t="str">
        <f>IFERROR(VLOOKUP($G1316,今日總結!$A:$AJ,35,0),"")</f>
        <v/>
      </c>
      <c r="K1316" s="5" t="str">
        <f>IFERROR(VLOOKUP($G1316,今日總結!$A:$AJ,36,0),"")</f>
        <v/>
      </c>
      <c r="L1316" s="156" t="str">
        <f>IFERROR(VLOOKUP($G1316,今日總結!$A:$AJ,33,0),"")</f>
        <v/>
      </c>
      <c r="M1316" s="340" t="str">
        <f>IFERROR(VLOOKUP($G1316,今日總結!$A:$AJ,34,0),"")</f>
        <v/>
      </c>
      <c r="N1316" s="240" t="str">
        <f t="shared" si="250"/>
        <v/>
      </c>
      <c r="P1316" s="365">
        <f>IFERROR(VLOOKUP($G1316,融外自投!$A:$J,7,0),"無")</f>
        <v>829</v>
      </c>
      <c r="Q1316" s="79">
        <f>IFERROR(VLOOKUP($G1316,融外自投!$A:$J,9,0),"無")</f>
        <v>1110</v>
      </c>
      <c r="R1316" s="346">
        <f>IFERROR(VLOOKUP($G1316,融外自投!$A:$J,8,0),"無")</f>
        <v>1156</v>
      </c>
      <c r="S1316" s="81" t="str">
        <f>IFERROR(VLOOKUP($G1316,融外自投!$A:$J,10,0),"無")</f>
        <v>無</v>
      </c>
      <c r="T1316" s="327">
        <f>IFERROR(VLOOKUP($G1316,'321買'!$A:$E,5,0),"'沒有資料'")</f>
        <v>634</v>
      </c>
      <c r="U1316" s="186">
        <f>IFERROR(VLOOKUP($G1316,基本資料!$A:$J,9,0),"無")</f>
        <v>8</v>
      </c>
      <c r="V1316" s="310">
        <f t="shared" si="245"/>
        <v>8.4925690021231418E-2</v>
      </c>
      <c r="W1316" s="94">
        <f>IFERROR(VLOOKUP($G1316,基本資料!$A:$J,10,0),"無")</f>
        <v>15.58</v>
      </c>
      <c r="X1316" s="36">
        <f>RTD("money.excel",,"2348","Price")</f>
        <v>94.2</v>
      </c>
      <c r="Y1316" s="66"/>
      <c r="Z1316" s="15">
        <f t="shared" si="246"/>
        <v>94.2</v>
      </c>
      <c r="AA1316" s="3" t="e">
        <f t="shared" si="247"/>
        <v>#DIV/0!</v>
      </c>
      <c r="AB1316" s="344">
        <f>IFERROR(VLOOKUP($G1316,基本資料!$A:$M,11,0),"無")</f>
        <v>-21.34</v>
      </c>
      <c r="AC1316" s="397">
        <f>IFERROR(VLOOKUP($G1316,基本資料!$A:$M,12,0),"無")</f>
        <v>9.01</v>
      </c>
      <c r="AD1316" s="22" t="s">
        <v>674</v>
      </c>
      <c r="AG1316" s="33">
        <f t="shared" si="248"/>
        <v>0</v>
      </c>
      <c r="AH1316" s="43" t="s">
        <v>2389</v>
      </c>
      <c r="AI1316" s="63">
        <f t="shared" si="249"/>
        <v>4.1353383458646618E-4</v>
      </c>
      <c r="AJ1316" s="284">
        <f>RTD("money.excel",,$G1316,"PredictVolume")</f>
        <v>44</v>
      </c>
      <c r="AK1316" s="399">
        <f>IFERROR(VLOOKUP($G1316,基本資料!$A:$M,13,0),"無")</f>
        <v>1.87</v>
      </c>
    </row>
    <row r="1317" spans="1:37">
      <c r="A1317" s="347">
        <f>IFERROR(VLOOKUP($G1317,基本資料!$A:$J,3,0),"無")</f>
        <v>12.46</v>
      </c>
      <c r="B1317" s="79">
        <f>IFERROR(VLOOKUP($G1317,基本資料!$A:$J,4,0),"無")</f>
        <v>1282</v>
      </c>
      <c r="C1317" s="79">
        <f>IFERROR(VLOOKUP($G1317,基本資料!$A:$J,5,0),"無")</f>
        <v>255</v>
      </c>
      <c r="D1317" s="79">
        <f>IFERROR(VLOOKUP($G1317,基本資料!$A:$J,6,0),"無")</f>
        <v>96</v>
      </c>
      <c r="E1317" s="79">
        <f>IFERROR(VLOOKUP($G1317,基本資料!$A:$J,7,0),"無")</f>
        <v>32</v>
      </c>
      <c r="F1317" s="6">
        <f>IFERROR(VLOOKUP($G1317,基本資料!$A:$J,8,0),"無")</f>
        <v>8.4</v>
      </c>
      <c r="G1317" s="79">
        <v>2358</v>
      </c>
      <c r="H1317" s="8" t="s">
        <v>1960</v>
      </c>
      <c r="I1317" s="22" t="s">
        <v>675</v>
      </c>
      <c r="J1317" s="8">
        <f>IFERROR(VLOOKUP($G1317,今日總結!$A:$AJ,35,0),"")</f>
        <v>4</v>
      </c>
      <c r="K1317" s="5">
        <f>IFERROR(VLOOKUP($G1317,今日總結!$A:$AJ,36,0),"")</f>
        <v>0</v>
      </c>
      <c r="L1317" s="156">
        <f>IFERROR(VLOOKUP($G1317,今日總結!$A:$AJ,33,0),"")</f>
        <v>1</v>
      </c>
      <c r="M1317" s="340">
        <f>IFERROR(VLOOKUP($G1317,今日總結!$A:$AJ,34,0),"")</f>
        <v>0</v>
      </c>
      <c r="N1317" s="240">
        <f t="shared" si="250"/>
        <v>1</v>
      </c>
      <c r="P1317" s="365">
        <f>IFERROR(VLOOKUP($G1317,融外自投!$A:$J,7,0),"無")</f>
        <v>66</v>
      </c>
      <c r="Q1317" s="79">
        <f>IFERROR(VLOOKUP($G1317,融外自投!$A:$J,9,0),"無")</f>
        <v>1051</v>
      </c>
      <c r="R1317" s="346">
        <f>IFERROR(VLOOKUP($G1317,融外自投!$A:$J,8,0),"無")</f>
        <v>1129</v>
      </c>
      <c r="S1317" s="81" t="str">
        <f>IFERROR(VLOOKUP($G1317,融外自投!$A:$J,10,0),"無")</f>
        <v>無</v>
      </c>
      <c r="T1317" s="327">
        <f>IFERROR(VLOOKUP($G1317,'321買'!$A:$E,5,0),"'沒有資料'")</f>
        <v>349</v>
      </c>
      <c r="U1317" s="186">
        <f>IFERROR(VLOOKUP($G1317,基本資料!$A:$J,9,0),"無")</f>
        <v>0.3</v>
      </c>
      <c r="V1317" s="310">
        <f t="shared" si="245"/>
        <v>1.6393442622950817E-2</v>
      </c>
      <c r="W1317" s="94">
        <f>IFERROR(VLOOKUP($G1317,基本資料!$A:$J,10,0),"無")</f>
        <v>1.29</v>
      </c>
      <c r="X1317" s="36">
        <f>RTD("money.excel",,"2358","Price")</f>
        <v>18.3</v>
      </c>
      <c r="Y1317" s="66"/>
      <c r="Z1317" s="15">
        <f t="shared" si="246"/>
        <v>18.3</v>
      </c>
      <c r="AA1317" s="3" t="e">
        <f t="shared" si="247"/>
        <v>#DIV/0!</v>
      </c>
      <c r="AB1317" s="344">
        <f>IFERROR(VLOOKUP($G1317,基本資料!$A:$M,11,0),"無")</f>
        <v>-39.200000000000003</v>
      </c>
      <c r="AC1317" s="397">
        <f>IFERROR(VLOOKUP($G1317,基本資料!$A:$M,12,0),"無")</f>
        <v>6.78</v>
      </c>
      <c r="AD1317" s="22" t="s">
        <v>675</v>
      </c>
      <c r="AG1317" s="33">
        <f t="shared" si="248"/>
        <v>0</v>
      </c>
      <c r="AH1317" s="43" t="s">
        <v>2815</v>
      </c>
      <c r="AI1317" s="63">
        <f t="shared" si="249"/>
        <v>5.1845906902086673E-3</v>
      </c>
      <c r="AJ1317" s="284">
        <f>RTD("money.excel",,$G1317,"PredictVolume")</f>
        <v>646</v>
      </c>
      <c r="AK1317" s="399">
        <f>IFERROR(VLOOKUP($G1317,基本資料!$A:$M,13,0),"無")</f>
        <v>72.02</v>
      </c>
    </row>
    <row r="1318" spans="1:37">
      <c r="A1318" s="347">
        <f>IFERROR(VLOOKUP($G1318,基本資料!$A:$J,3,0),"無")</f>
        <v>14.56</v>
      </c>
      <c r="B1318" s="79">
        <f>IFERROR(VLOOKUP($G1318,基本資料!$A:$J,4,0),"無")</f>
        <v>75</v>
      </c>
      <c r="C1318" s="79">
        <f>IFERROR(VLOOKUP($G1318,基本資料!$A:$J,5,0),"無")</f>
        <v>70</v>
      </c>
      <c r="D1318" s="79">
        <f>IFERROR(VLOOKUP($G1318,基本資料!$A:$J,6,0),"無")</f>
        <v>336</v>
      </c>
      <c r="E1318" s="79">
        <f>IFERROR(VLOOKUP($G1318,基本資料!$A:$J,7,0),"無")</f>
        <v>-96</v>
      </c>
      <c r="F1318" s="6">
        <f>IFERROR(VLOOKUP($G1318,基本資料!$A:$J,8,0),"無")</f>
        <v>-61.07</v>
      </c>
      <c r="G1318" s="79">
        <v>2443</v>
      </c>
      <c r="H1318" s="8" t="s">
        <v>1960</v>
      </c>
      <c r="I1318" s="22" t="s">
        <v>3211</v>
      </c>
      <c r="J1318" s="8" t="str">
        <f>IFERROR(VLOOKUP($G1318,今日總結!$A:$AJ,35,0),"")</f>
        <v/>
      </c>
      <c r="K1318" s="5" t="str">
        <f>IFERROR(VLOOKUP($G1318,今日總結!$A:$AJ,36,0),"")</f>
        <v/>
      </c>
      <c r="L1318" s="156" t="str">
        <f>IFERROR(VLOOKUP($G1318,今日總結!$A:$AJ,33,0),"")</f>
        <v/>
      </c>
      <c r="M1318" s="340" t="str">
        <f>IFERROR(VLOOKUP($G1318,今日總結!$A:$AJ,34,0),"")</f>
        <v/>
      </c>
      <c r="N1318" s="240" t="str">
        <f t="shared" si="250"/>
        <v/>
      </c>
      <c r="P1318" s="365" t="str">
        <f>IFERROR(VLOOKUP($G1318,融外自投!$A:$J,7,0),"無")</f>
        <v>無</v>
      </c>
      <c r="Q1318" s="79" t="str">
        <f>IFERROR(VLOOKUP($G1318,融外自投!$A:$J,9,0),"無")</f>
        <v>無</v>
      </c>
      <c r="R1318" s="346" t="str">
        <f>IFERROR(VLOOKUP($G1318,融外自投!$A:$J,8,0),"無")</f>
        <v>無</v>
      </c>
      <c r="S1318" s="81" t="str">
        <f>IFERROR(VLOOKUP($G1318,融外自投!$A:$J,10,0),"無")</f>
        <v>無</v>
      </c>
      <c r="T1318" s="327" t="str">
        <f>IFERROR(VLOOKUP($G1318,'321買'!$A:$E,5,0),"'沒有資料'")</f>
        <v>'沒有資料'</v>
      </c>
      <c r="U1318" s="186">
        <f>IFERROR(VLOOKUP($G1318,基本資料!$A:$J,9,0),"無")</f>
        <v>0</v>
      </c>
      <c r="V1318" s="310">
        <f t="shared" si="245"/>
        <v>0</v>
      </c>
      <c r="W1318" s="94">
        <f>IFERROR(VLOOKUP($G1318,基本資料!$A:$J,10,0),"無")</f>
        <v>-0.73</v>
      </c>
      <c r="X1318" s="36">
        <f>RTD("money.excel",,"2443","Price")</f>
        <v>3.46</v>
      </c>
      <c r="Y1318" s="66"/>
      <c r="Z1318" s="15">
        <f t="shared" si="246"/>
        <v>3.46</v>
      </c>
      <c r="AA1318" s="3" t="e">
        <f t="shared" si="247"/>
        <v>#DIV/0!</v>
      </c>
      <c r="AB1318" s="344">
        <f>IFERROR(VLOOKUP($G1318,基本資料!$A:$M,11,0),"無")</f>
        <v>-30.52</v>
      </c>
      <c r="AC1318" s="397">
        <f>IFERROR(VLOOKUP($G1318,基本資料!$A:$M,12,0),"無")</f>
        <v>42.79</v>
      </c>
      <c r="AD1318" s="22" t="s">
        <v>3211</v>
      </c>
      <c r="AG1318" s="33">
        <f t="shared" si="248"/>
        <v>0</v>
      </c>
      <c r="AH1318" s="43" t="s">
        <v>2816</v>
      </c>
      <c r="AI1318" s="63">
        <f t="shared" si="249"/>
        <v>1.6002747252747253E-3</v>
      </c>
      <c r="AJ1318" s="284">
        <f>RTD("money.excel",,$G1318,"PredictVolume")</f>
        <v>233</v>
      </c>
      <c r="AK1318" s="399">
        <f>IFERROR(VLOOKUP($G1318,基本資料!$A:$M,13,0),"無")</f>
        <v>2.8</v>
      </c>
    </row>
    <row r="1319" spans="1:37">
      <c r="A1319" s="347">
        <f>IFERROR(VLOOKUP($G1319,基本資料!$A:$J,3,0),"無")</f>
        <v>1.91</v>
      </c>
      <c r="B1319" s="79">
        <f>IFERROR(VLOOKUP($G1319,基本資料!$A:$J,4,0),"無")</f>
        <v>-10</v>
      </c>
      <c r="C1319" s="79">
        <f>IFERROR(VLOOKUP($G1319,基本資料!$A:$J,5,0),"無")</f>
        <v>7</v>
      </c>
      <c r="D1319" s="79">
        <f>IFERROR(VLOOKUP($G1319,基本資料!$A:$J,6,0),"無")</f>
        <v>-1</v>
      </c>
      <c r="E1319" s="79">
        <f>IFERROR(VLOOKUP($G1319,基本資料!$A:$J,7,0),"無")</f>
        <v>0</v>
      </c>
      <c r="F1319" s="6">
        <f>IFERROR(VLOOKUP($G1319,基本資料!$A:$J,8,0),"無")</f>
        <v>11.66</v>
      </c>
      <c r="G1319" s="79">
        <v>2496</v>
      </c>
      <c r="H1319" s="8" t="s">
        <v>1960</v>
      </c>
      <c r="I1319" s="22" t="s">
        <v>522</v>
      </c>
      <c r="J1319" s="8" t="str">
        <f>IFERROR(VLOOKUP($G1319,今日總結!$A:$AJ,35,0),"")</f>
        <v/>
      </c>
      <c r="K1319" s="5" t="str">
        <f>IFERROR(VLOOKUP($G1319,今日總結!$A:$AJ,36,0),"")</f>
        <v/>
      </c>
      <c r="L1319" s="156" t="str">
        <f>IFERROR(VLOOKUP($G1319,今日總結!$A:$AJ,33,0),"")</f>
        <v/>
      </c>
      <c r="M1319" s="340" t="str">
        <f>IFERROR(VLOOKUP($G1319,今日總結!$A:$AJ,34,0),"")</f>
        <v/>
      </c>
      <c r="N1319" s="240" t="str">
        <f t="shared" si="250"/>
        <v/>
      </c>
      <c r="P1319" s="365">
        <f>IFERROR(VLOOKUP($G1319,融外自投!$A:$J,7,0),"無")</f>
        <v>1006</v>
      </c>
      <c r="Q1319" s="79">
        <f>IFERROR(VLOOKUP($G1319,融外自投!$A:$J,9,0),"無")</f>
        <v>978</v>
      </c>
      <c r="R1319" s="346">
        <f>IFERROR(VLOOKUP($G1319,融外自投!$A:$J,8,0),"無")</f>
        <v>170</v>
      </c>
      <c r="S1319" s="81" t="str">
        <f>IFERROR(VLOOKUP($G1319,融外自投!$A:$J,10,0),"無")</f>
        <v>無</v>
      </c>
      <c r="T1319" s="327">
        <f>IFERROR(VLOOKUP($G1319,'321買'!$A:$E,5,0),"'沒有資料'")</f>
        <v>1359</v>
      </c>
      <c r="U1319" s="186">
        <f>IFERROR(VLOOKUP($G1319,基本資料!$A:$J,9,0),"無")</f>
        <v>3</v>
      </c>
      <c r="V1319" s="310" t="e">
        <f t="shared" si="245"/>
        <v>#VALUE!</v>
      </c>
      <c r="W1319" s="94">
        <f>IFERROR(VLOOKUP($G1319,基本資料!$A:$J,10,0),"無")</f>
        <v>3.02</v>
      </c>
      <c r="X1319" s="36" t="str">
        <f>RTD("money.excel",,"2496","Price")</f>
        <v>無資料</v>
      </c>
      <c r="Y1319" s="66"/>
      <c r="Z1319" s="15" t="e">
        <f t="shared" si="246"/>
        <v>#VALUE!</v>
      </c>
      <c r="AA1319" s="3" t="e">
        <f t="shared" si="247"/>
        <v>#VALUE!</v>
      </c>
      <c r="AB1319" s="344">
        <f>IFERROR(VLOOKUP($G1319,基本資料!$A:$M,11,0),"無")</f>
        <v>-20.29</v>
      </c>
      <c r="AC1319" s="397">
        <f>IFERROR(VLOOKUP($G1319,基本資料!$A:$M,12,0),"無")</f>
        <v>11.4</v>
      </c>
      <c r="AD1319" s="22" t="s">
        <v>522</v>
      </c>
      <c r="AG1319" s="33">
        <f t="shared" si="248"/>
        <v>0</v>
      </c>
      <c r="AH1319" s="43" t="s">
        <v>2817</v>
      </c>
      <c r="AI1319" s="63">
        <f t="shared" si="249"/>
        <v>0</v>
      </c>
      <c r="AJ1319" s="284">
        <f>RTD("money.excel",,$G1319,"PredictVolume")</f>
        <v>0</v>
      </c>
      <c r="AK1319" s="399">
        <f>IFERROR(VLOOKUP($G1319,基本資料!$A:$M,13,0),"無")</f>
        <v>0.86</v>
      </c>
    </row>
    <row r="1320" spans="1:37">
      <c r="A1320" s="347">
        <f>IFERROR(VLOOKUP($G1320,基本資料!$A:$J,3,0),"無")</f>
        <v>39.47</v>
      </c>
      <c r="B1320" s="79">
        <f>IFERROR(VLOOKUP($G1320,基本資料!$A:$J,4,0),"無")</f>
        <v>-19</v>
      </c>
      <c r="C1320" s="79">
        <f>IFERROR(VLOOKUP($G1320,基本資料!$A:$J,5,0),"無")</f>
        <v>-3</v>
      </c>
      <c r="D1320" s="79">
        <f>IFERROR(VLOOKUP($G1320,基本資料!$A:$J,6,0),"無")</f>
        <v>4</v>
      </c>
      <c r="E1320" s="79">
        <f>IFERROR(VLOOKUP($G1320,基本資料!$A:$J,7,0),"無")</f>
        <v>-23</v>
      </c>
      <c r="F1320" s="6">
        <f>IFERROR(VLOOKUP($G1320,基本資料!$A:$J,8,0),"無")</f>
        <v>2.85</v>
      </c>
      <c r="G1320" s="79">
        <v>2514</v>
      </c>
      <c r="H1320" s="8" t="s">
        <v>1960</v>
      </c>
      <c r="I1320" s="22" t="s">
        <v>676</v>
      </c>
      <c r="J1320" s="8" t="str">
        <f>IFERROR(VLOOKUP($G1320,今日總結!$A:$AJ,35,0),"")</f>
        <v/>
      </c>
      <c r="K1320" s="5" t="str">
        <f>IFERROR(VLOOKUP($G1320,今日總結!$A:$AJ,36,0),"")</f>
        <v/>
      </c>
      <c r="L1320" s="156" t="str">
        <f>IFERROR(VLOOKUP($G1320,今日總結!$A:$AJ,33,0),"")</f>
        <v/>
      </c>
      <c r="M1320" s="340" t="str">
        <f>IFERROR(VLOOKUP($G1320,今日總結!$A:$AJ,34,0),"")</f>
        <v/>
      </c>
      <c r="N1320" s="240" t="str">
        <f t="shared" si="250"/>
        <v/>
      </c>
      <c r="P1320" s="365">
        <f>IFERROR(VLOOKUP($G1320,融外自投!$A:$J,7,0),"無")</f>
        <v>986</v>
      </c>
      <c r="Q1320" s="79">
        <f>IFERROR(VLOOKUP($G1320,融外自投!$A:$J,9,0),"無")</f>
        <v>145</v>
      </c>
      <c r="R1320" s="346">
        <f>IFERROR(VLOOKUP($G1320,融外自投!$A:$J,8,0),"無")</f>
        <v>1113</v>
      </c>
      <c r="S1320" s="81" t="str">
        <f>IFERROR(VLOOKUP($G1320,融外自投!$A:$J,10,0),"無")</f>
        <v>無</v>
      </c>
      <c r="T1320" s="327">
        <f>IFERROR(VLOOKUP($G1320,'321買'!$A:$E,5,0),"'沒有資料'")</f>
        <v>752</v>
      </c>
      <c r="U1320" s="186">
        <f>IFERROR(VLOOKUP($G1320,基本資料!$A:$J,9,0),"無")</f>
        <v>0</v>
      </c>
      <c r="V1320" s="310">
        <f t="shared" si="245"/>
        <v>0</v>
      </c>
      <c r="W1320" s="94">
        <f>IFERROR(VLOOKUP($G1320,基本資料!$A:$J,10,0),"無")</f>
        <v>2.4500000000000002</v>
      </c>
      <c r="X1320" s="36">
        <f>RTD("money.excel",,"2514","Price")</f>
        <v>16.899999999999999</v>
      </c>
      <c r="Y1320" s="66"/>
      <c r="Z1320" s="15">
        <f t="shared" si="246"/>
        <v>16.899999999999999</v>
      </c>
      <c r="AA1320" s="3" t="e">
        <f t="shared" si="247"/>
        <v>#DIV/0!</v>
      </c>
      <c r="AB1320" s="344">
        <f>IFERROR(VLOOKUP($G1320,基本資料!$A:$M,11,0),"無")</f>
        <v>-12.6</v>
      </c>
      <c r="AC1320" s="397">
        <f>IFERROR(VLOOKUP($G1320,基本資料!$A:$M,12,0),"無")</f>
        <v>28.76</v>
      </c>
      <c r="AD1320" s="22" t="s">
        <v>676</v>
      </c>
      <c r="AG1320" s="33">
        <f t="shared" si="248"/>
        <v>0</v>
      </c>
      <c r="AH1320" s="43" t="s">
        <v>4003</v>
      </c>
      <c r="AI1320" s="63">
        <f t="shared" si="249"/>
        <v>8.8674942994679506E-5</v>
      </c>
      <c r="AJ1320" s="284">
        <f>RTD("money.excel",,$G1320,"PredictVolume")</f>
        <v>35</v>
      </c>
      <c r="AK1320" s="399">
        <f>IFERROR(VLOOKUP($G1320,基本資料!$A:$M,13,0),"無")</f>
        <v>2.77</v>
      </c>
    </row>
    <row r="1321" spans="1:37">
      <c r="A1321" s="347">
        <f>IFERROR(VLOOKUP($G1321,基本資料!$A:$J,3,0),"無")</f>
        <v>5.92</v>
      </c>
      <c r="B1321" s="79">
        <f>IFERROR(VLOOKUP($G1321,基本資料!$A:$J,4,0),"無")</f>
        <v>-19</v>
      </c>
      <c r="C1321" s="79">
        <f>IFERROR(VLOOKUP($G1321,基本資料!$A:$J,5,0),"無")</f>
        <v>-21</v>
      </c>
      <c r="D1321" s="79">
        <f>IFERROR(VLOOKUP($G1321,基本資料!$A:$J,6,0),"無")</f>
        <v>-7</v>
      </c>
      <c r="E1321" s="79">
        <f>IFERROR(VLOOKUP($G1321,基本資料!$A:$J,7,0),"無")</f>
        <v>6</v>
      </c>
      <c r="F1321" s="6">
        <f>IFERROR(VLOOKUP($G1321,基本資料!$A:$J,8,0),"無")</f>
        <v>15.76</v>
      </c>
      <c r="G1321" s="79">
        <v>2640</v>
      </c>
      <c r="H1321" s="8" t="s">
        <v>1960</v>
      </c>
      <c r="I1321" s="16" t="s">
        <v>4609</v>
      </c>
      <c r="J1321" s="8" t="str">
        <f>IFERROR(VLOOKUP($G1321,今日總結!$A:$AJ,35,0),"")</f>
        <v/>
      </c>
      <c r="K1321" s="5" t="str">
        <f>IFERROR(VLOOKUP($G1321,今日總結!$A:$AJ,36,0),"")</f>
        <v/>
      </c>
      <c r="L1321" s="156" t="str">
        <f>IFERROR(VLOOKUP($G1321,今日總結!$A:$AJ,33,0),"")</f>
        <v/>
      </c>
      <c r="M1321" s="340" t="str">
        <f>IFERROR(VLOOKUP($G1321,今日總結!$A:$AJ,34,0),"")</f>
        <v/>
      </c>
      <c r="N1321" s="240" t="str">
        <f t="shared" si="250"/>
        <v/>
      </c>
      <c r="P1321" s="365">
        <f>IFERROR(VLOOKUP($G1321,融外自投!$A:$J,7,0),"無")</f>
        <v>523</v>
      </c>
      <c r="Q1321" s="79">
        <f>IFERROR(VLOOKUP($G1321,融外自投!$A:$J,9,0),"無")</f>
        <v>1110</v>
      </c>
      <c r="R1321" s="346">
        <f>IFERROR(VLOOKUP($G1321,融外自投!$A:$J,8,0),"無")</f>
        <v>718</v>
      </c>
      <c r="S1321" s="81">
        <f>IFERROR(VLOOKUP($G1321,融外自投!$A:$J,10,0),"無")</f>
        <v>233</v>
      </c>
      <c r="T1321" s="327">
        <f>IFERROR(VLOOKUP($G1321,'321買'!$A:$E,5,0),"'沒有資料'")</f>
        <v>1007</v>
      </c>
      <c r="U1321" s="186">
        <f>IFERROR(VLOOKUP($G1321,基本資料!$A:$J,9,0),"無")</f>
        <v>3.5</v>
      </c>
      <c r="V1321" s="310" t="e">
        <f t="shared" si="245"/>
        <v>#VALUE!</v>
      </c>
      <c r="W1321" s="94">
        <f>IFERROR(VLOOKUP($G1321,基本資料!$A:$J,10,0),"無")</f>
        <v>4.1100000000000003</v>
      </c>
      <c r="X1321" s="36" t="str">
        <f>RTD("money.excel",,"2640","Price")</f>
        <v>無資料</v>
      </c>
      <c r="Y1321" s="66"/>
      <c r="Z1321" s="15" t="e">
        <f t="shared" si="246"/>
        <v>#VALUE!</v>
      </c>
      <c r="AA1321" s="3" t="e">
        <f t="shared" si="247"/>
        <v>#VALUE!</v>
      </c>
      <c r="AB1321" s="344">
        <f>IFERROR(VLOOKUP($G1321,基本資料!$A:$M,11,0),"無")</f>
        <v>-11.37</v>
      </c>
      <c r="AC1321" s="397">
        <f>IFERROR(VLOOKUP($G1321,基本資料!$A:$M,12,0),"無")</f>
        <v>19.63</v>
      </c>
      <c r="AD1321" s="16" t="s">
        <v>4609</v>
      </c>
      <c r="AG1321" s="33">
        <f t="shared" si="248"/>
        <v>0</v>
      </c>
      <c r="AH1321" s="117" t="s">
        <v>2456</v>
      </c>
      <c r="AI1321" s="63">
        <f t="shared" si="249"/>
        <v>0</v>
      </c>
      <c r="AJ1321" s="284">
        <f>RTD("money.excel",,$G1321,"PredictVolume")</f>
        <v>0</v>
      </c>
      <c r="AK1321" s="399">
        <f>IFERROR(VLOOKUP($G1321,基本資料!$A:$M,13,0),"無")</f>
        <v>1.88</v>
      </c>
    </row>
    <row r="1322" spans="1:37">
      <c r="A1322" s="347">
        <f>IFERROR(VLOOKUP($G1322,基本資料!$A:$J,3,0),"無")</f>
        <v>6.9</v>
      </c>
      <c r="B1322" s="79">
        <f>IFERROR(VLOOKUP($G1322,基本資料!$A:$J,4,0),"無")</f>
        <v>-55</v>
      </c>
      <c r="C1322" s="79">
        <f>IFERROR(VLOOKUP($G1322,基本資料!$A:$J,5,0),"無")</f>
        <v>-51</v>
      </c>
      <c r="D1322" s="79">
        <f>IFERROR(VLOOKUP($G1322,基本資料!$A:$J,6,0),"無")</f>
        <v>5</v>
      </c>
      <c r="E1322" s="79">
        <f>IFERROR(VLOOKUP($G1322,基本資料!$A:$J,7,0),"無")</f>
        <v>2</v>
      </c>
      <c r="F1322" s="6">
        <f>IFERROR(VLOOKUP($G1322,基本資料!$A:$J,8,0),"無")</f>
        <v>18.98</v>
      </c>
      <c r="G1322" s="79">
        <v>2904</v>
      </c>
      <c r="H1322" s="8" t="s">
        <v>1960</v>
      </c>
      <c r="I1322" s="22" t="s">
        <v>677</v>
      </c>
      <c r="J1322" s="8" t="str">
        <f>IFERROR(VLOOKUP($G1322,今日總結!$A:$AJ,35,0),"")</f>
        <v/>
      </c>
      <c r="K1322" s="5" t="str">
        <f>IFERROR(VLOOKUP($G1322,今日總結!$A:$AJ,36,0),"")</f>
        <v/>
      </c>
      <c r="L1322" s="156" t="str">
        <f>IFERROR(VLOOKUP($G1322,今日總結!$A:$AJ,33,0),"")</f>
        <v/>
      </c>
      <c r="M1322" s="340" t="str">
        <f>IFERROR(VLOOKUP($G1322,今日總結!$A:$AJ,34,0),"")</f>
        <v/>
      </c>
      <c r="N1322" s="240" t="str">
        <f t="shared" si="250"/>
        <v/>
      </c>
      <c r="P1322" s="365">
        <f>IFERROR(VLOOKUP($G1322,融外自投!$A:$J,7,0),"無")</f>
        <v>1416</v>
      </c>
      <c r="Q1322" s="79">
        <f>IFERROR(VLOOKUP($G1322,融外自投!$A:$J,9,0),"無")</f>
        <v>978</v>
      </c>
      <c r="R1322" s="346">
        <f>IFERROR(VLOOKUP($G1322,融外自投!$A:$J,8,0),"無")</f>
        <v>1331</v>
      </c>
      <c r="S1322" s="81" t="str">
        <f>IFERROR(VLOOKUP($G1322,融外自投!$A:$J,10,0),"無")</f>
        <v>無</v>
      </c>
      <c r="T1322" s="327">
        <f>IFERROR(VLOOKUP($G1322,'321買'!$A:$E,5,0),"'沒有資料'")</f>
        <v>1383</v>
      </c>
      <c r="U1322" s="186">
        <f>IFERROR(VLOOKUP($G1322,基本資料!$A:$J,9,0),"無")</f>
        <v>0.8</v>
      </c>
      <c r="V1322" s="310">
        <f t="shared" si="245"/>
        <v>3.6446469248291577E-2</v>
      </c>
      <c r="W1322" s="94">
        <f>IFERROR(VLOOKUP($G1322,基本資料!$A:$J,10,0),"無")</f>
        <v>1.03</v>
      </c>
      <c r="X1322" s="36">
        <f>RTD("money.excel",,"2904","Price")</f>
        <v>21.95</v>
      </c>
      <c r="Y1322" s="66"/>
      <c r="Z1322" s="15">
        <f t="shared" si="246"/>
        <v>21.95</v>
      </c>
      <c r="AA1322" s="3" t="e">
        <f t="shared" si="247"/>
        <v>#DIV/0!</v>
      </c>
      <c r="AB1322" s="344">
        <f>IFERROR(VLOOKUP($G1322,基本資料!$A:$M,11,0),"無")</f>
        <v>-27.17</v>
      </c>
      <c r="AC1322" s="397">
        <f>IFERROR(VLOOKUP($G1322,基本資料!$A:$M,12,0),"無")</f>
        <v>8.27</v>
      </c>
      <c r="AD1322" s="22" t="s">
        <v>677</v>
      </c>
      <c r="AG1322" s="33">
        <f t="shared" si="248"/>
        <v>0</v>
      </c>
      <c r="AH1322" s="43" t="s">
        <v>2818</v>
      </c>
      <c r="AI1322" s="63">
        <f t="shared" si="249"/>
        <v>3.6231884057971015E-4</v>
      </c>
      <c r="AJ1322" s="284">
        <f>RTD("money.excel",,$G1322,"PredictVolume")</f>
        <v>25</v>
      </c>
      <c r="AK1322" s="399">
        <f>IFERROR(VLOOKUP($G1322,基本資料!$A:$M,13,0),"無")</f>
        <v>1.8</v>
      </c>
    </row>
    <row r="1323" spans="1:37">
      <c r="A1323" s="347">
        <f>IFERROR(VLOOKUP($G1323,基本資料!$A:$J,3,0),"無")</f>
        <v>6.3</v>
      </c>
      <c r="B1323" s="79">
        <f>IFERROR(VLOOKUP($G1323,基本資料!$A:$J,4,0),"無")</f>
        <v>-68</v>
      </c>
      <c r="C1323" s="79">
        <f>IFERROR(VLOOKUP($G1323,基本資料!$A:$J,5,0),"無")</f>
        <v>72</v>
      </c>
      <c r="D1323" s="79">
        <f>IFERROR(VLOOKUP($G1323,基本資料!$A:$J,6,0),"無")</f>
        <v>-10</v>
      </c>
      <c r="E1323" s="79">
        <f>IFERROR(VLOOKUP($G1323,基本資料!$A:$J,7,0),"無")</f>
        <v>-9</v>
      </c>
      <c r="F1323" s="6">
        <f>IFERROR(VLOOKUP($G1323,基本資料!$A:$J,8,0),"無")</f>
        <v>39.6</v>
      </c>
      <c r="G1323" s="79">
        <v>3040</v>
      </c>
      <c r="H1323" s="8" t="s">
        <v>1960</v>
      </c>
      <c r="I1323" s="22" t="s">
        <v>678</v>
      </c>
      <c r="J1323" s="8" t="str">
        <f>IFERROR(VLOOKUP($G1323,今日總結!$A:$AJ,35,0),"")</f>
        <v/>
      </c>
      <c r="K1323" s="5" t="str">
        <f>IFERROR(VLOOKUP($G1323,今日總結!$A:$AJ,36,0),"")</f>
        <v/>
      </c>
      <c r="L1323" s="156" t="str">
        <f>IFERROR(VLOOKUP($G1323,今日總結!$A:$AJ,33,0),"")</f>
        <v/>
      </c>
      <c r="M1323" s="340" t="str">
        <f>IFERROR(VLOOKUP($G1323,今日總結!$A:$AJ,34,0),"")</f>
        <v/>
      </c>
      <c r="N1323" s="240" t="str">
        <f t="shared" si="250"/>
        <v/>
      </c>
      <c r="P1323" s="365">
        <f>IFERROR(VLOOKUP($G1323,融外自投!$A:$J,7,0),"無")</f>
        <v>993</v>
      </c>
      <c r="Q1323" s="79">
        <f>IFERROR(VLOOKUP($G1323,融外自投!$A:$J,9,0),"無")</f>
        <v>614</v>
      </c>
      <c r="R1323" s="346">
        <f>IFERROR(VLOOKUP($G1323,融外自投!$A:$J,8,0),"無")</f>
        <v>360</v>
      </c>
      <c r="S1323" s="81" t="str">
        <f>IFERROR(VLOOKUP($G1323,融外自投!$A:$J,10,0),"無")</f>
        <v>無</v>
      </c>
      <c r="T1323" s="327">
        <f>IFERROR(VLOOKUP($G1323,'321買'!$A:$E,5,0),"'沒有資料'")</f>
        <v>1214</v>
      </c>
      <c r="U1323" s="186">
        <f>IFERROR(VLOOKUP($G1323,基本資料!$A:$J,9,0),"無")</f>
        <v>2</v>
      </c>
      <c r="V1323" s="310">
        <f t="shared" si="245"/>
        <v>5.8997050147492625E-2</v>
      </c>
      <c r="W1323" s="94">
        <f>IFERROR(VLOOKUP($G1323,基本資料!$A:$J,10,0),"無")</f>
        <v>1.97</v>
      </c>
      <c r="X1323" s="36">
        <f>RTD("money.excel",,"3040","Price")</f>
        <v>33.9</v>
      </c>
      <c r="Y1323" s="66"/>
      <c r="Z1323" s="15">
        <f t="shared" si="246"/>
        <v>33.9</v>
      </c>
      <c r="AA1323" s="3" t="e">
        <f t="shared" si="247"/>
        <v>#DIV/0!</v>
      </c>
      <c r="AB1323" s="344">
        <f>IFERROR(VLOOKUP($G1323,基本資料!$A:$M,11,0),"無")</f>
        <v>-35.700000000000003</v>
      </c>
      <c r="AC1323" s="397">
        <f>IFERROR(VLOOKUP($G1323,基本資料!$A:$M,12,0),"無")</f>
        <v>10.67</v>
      </c>
      <c r="AD1323" s="22" t="s">
        <v>678</v>
      </c>
      <c r="AG1323" s="33">
        <f t="shared" si="248"/>
        <v>0</v>
      </c>
      <c r="AH1323" s="43" t="s">
        <v>2819</v>
      </c>
      <c r="AI1323" s="63">
        <f t="shared" si="249"/>
        <v>3.4920634920634918E-4</v>
      </c>
      <c r="AJ1323" s="284">
        <f>RTD("money.excel",,$G1323,"PredictVolume")</f>
        <v>22</v>
      </c>
      <c r="AK1323" s="399">
        <f>IFERROR(VLOOKUP($G1323,基本資料!$A:$M,13,0),"無")</f>
        <v>2.5099999999999998</v>
      </c>
    </row>
    <row r="1324" spans="1:37">
      <c r="A1324" s="347">
        <f>IFERROR(VLOOKUP($G1324,基本資料!$A:$J,3,0),"無")</f>
        <v>6.89</v>
      </c>
      <c r="B1324" s="79">
        <f>IFERROR(VLOOKUP($G1324,基本資料!$A:$J,4,0),"無")</f>
        <v>34</v>
      </c>
      <c r="C1324" s="79">
        <f>IFERROR(VLOOKUP($G1324,基本資料!$A:$J,5,0),"無")</f>
        <v>-80</v>
      </c>
      <c r="D1324" s="79">
        <f>IFERROR(VLOOKUP($G1324,基本資料!$A:$J,6,0),"無")</f>
        <v>8</v>
      </c>
      <c r="E1324" s="79">
        <f>IFERROR(VLOOKUP($G1324,基本資料!$A:$J,7,0),"無")</f>
        <v>6</v>
      </c>
      <c r="F1324" s="6">
        <f>IFERROR(VLOOKUP($G1324,基本資料!$A:$J,8,0),"無")</f>
        <v>-9.23</v>
      </c>
      <c r="G1324" s="79">
        <v>3284</v>
      </c>
      <c r="H1324" s="8" t="s">
        <v>1960</v>
      </c>
      <c r="I1324" s="16" t="s">
        <v>638</v>
      </c>
      <c r="J1324" s="8" t="str">
        <f>IFERROR(VLOOKUP($G1324,今日總結!$A:$AJ,35,0),"")</f>
        <v/>
      </c>
      <c r="K1324" s="5" t="str">
        <f>IFERROR(VLOOKUP($G1324,今日總結!$A:$AJ,36,0),"")</f>
        <v/>
      </c>
      <c r="L1324" s="156" t="str">
        <f>IFERROR(VLOOKUP($G1324,今日總結!$A:$AJ,33,0),"")</f>
        <v/>
      </c>
      <c r="M1324" s="340" t="str">
        <f>IFERROR(VLOOKUP($G1324,今日總結!$A:$AJ,34,0),"")</f>
        <v/>
      </c>
      <c r="N1324" s="240" t="str">
        <f t="shared" si="250"/>
        <v/>
      </c>
      <c r="P1324" s="365">
        <f>IFERROR(VLOOKUP($G1324,融外自投!$A:$J,7,0),"無")</f>
        <v>421</v>
      </c>
      <c r="Q1324" s="79">
        <f>IFERROR(VLOOKUP($G1324,融外自投!$A:$J,9,0),"無")</f>
        <v>683</v>
      </c>
      <c r="R1324" s="346">
        <f>IFERROR(VLOOKUP($G1324,融外自投!$A:$J,8,0),"無")</f>
        <v>1314</v>
      </c>
      <c r="S1324" s="81" t="str">
        <f>IFERROR(VLOOKUP($G1324,融外自投!$A:$J,10,0),"無")</f>
        <v>無</v>
      </c>
      <c r="T1324" s="327">
        <f>IFERROR(VLOOKUP($G1324,'321買'!$A:$E,5,0),"'沒有資料'")</f>
        <v>1367</v>
      </c>
      <c r="U1324" s="186">
        <f>IFERROR(VLOOKUP($G1324,基本資料!$A:$J,9,0),"無")</f>
        <v>0</v>
      </c>
      <c r="V1324" s="310">
        <f t="shared" si="245"/>
        <v>0</v>
      </c>
      <c r="W1324" s="94">
        <f>IFERROR(VLOOKUP($G1324,基本資料!$A:$J,10,0),"無")</f>
        <v>-0.86</v>
      </c>
      <c r="X1324" s="36">
        <f>RTD("money.excel",,"3284","Price")</f>
        <v>13.15</v>
      </c>
      <c r="Y1324" s="66"/>
      <c r="Z1324" s="15">
        <f t="shared" si="246"/>
        <v>13.15</v>
      </c>
      <c r="AA1324" s="3" t="e">
        <f t="shared" si="247"/>
        <v>#DIV/0!</v>
      </c>
      <c r="AB1324" s="344">
        <f>IFERROR(VLOOKUP($G1324,基本資料!$A:$M,11,0),"無")</f>
        <v>-13.59</v>
      </c>
      <c r="AC1324" s="397">
        <f>IFERROR(VLOOKUP($G1324,基本資料!$A:$M,12,0),"無")</f>
        <v>22.57</v>
      </c>
      <c r="AD1324" s="16" t="s">
        <v>638</v>
      </c>
      <c r="AG1324" s="33">
        <f t="shared" si="248"/>
        <v>0</v>
      </c>
      <c r="AH1324" s="43" t="s">
        <v>2457</v>
      </c>
      <c r="AI1324" s="63">
        <f t="shared" si="249"/>
        <v>3.9187227866473151E-4</v>
      </c>
      <c r="AJ1324" s="284">
        <f>RTD("money.excel",,$G1324,"PredictVolume")</f>
        <v>27</v>
      </c>
      <c r="AK1324" s="399">
        <f>IFERROR(VLOOKUP($G1324,基本資料!$A:$M,13,0),"無")</f>
        <v>2.0299999999999998</v>
      </c>
    </row>
    <row r="1325" spans="1:37">
      <c r="A1325" s="347">
        <f>IFERROR(VLOOKUP($G1325,基本資料!$A:$J,3,0),"無")</f>
        <v>8.0299999999999994</v>
      </c>
      <c r="B1325" s="79">
        <f>IFERROR(VLOOKUP($G1325,基本資料!$A:$J,4,0),"無")</f>
        <v>-19</v>
      </c>
      <c r="C1325" s="79">
        <f>IFERROR(VLOOKUP($G1325,基本資料!$A:$J,5,0),"無")</f>
        <v>-19</v>
      </c>
      <c r="D1325" s="79">
        <f>IFERROR(VLOOKUP($G1325,基本資料!$A:$J,6,0),"無")</f>
        <v>-6</v>
      </c>
      <c r="E1325" s="79">
        <f>IFERROR(VLOOKUP($G1325,基本資料!$A:$J,7,0),"無")</f>
        <v>17</v>
      </c>
      <c r="F1325" s="6">
        <f>IFERROR(VLOOKUP($G1325,基本資料!$A:$J,8,0),"無")</f>
        <v>11.85</v>
      </c>
      <c r="G1325" s="79">
        <v>3557</v>
      </c>
      <c r="H1325" s="8" t="s">
        <v>235</v>
      </c>
      <c r="I1325" s="22" t="s">
        <v>445</v>
      </c>
      <c r="J1325" s="8" t="str">
        <f>IFERROR(VLOOKUP($G1325,今日總結!$A:$AJ,35,0),"")</f>
        <v>9外</v>
      </c>
      <c r="K1325" s="5">
        <f>IFERROR(VLOOKUP($G1325,今日總結!$A:$AJ,36,0),"")</f>
        <v>0</v>
      </c>
      <c r="L1325" s="156">
        <f>IFERROR(VLOOKUP($G1325,今日總結!$A:$AJ,33,0),"")</f>
        <v>2</v>
      </c>
      <c r="M1325" s="340">
        <f>IFERROR(VLOOKUP($G1325,今日總結!$A:$AJ,34,0),"")</f>
        <v>0</v>
      </c>
      <c r="N1325" s="240">
        <f t="shared" si="250"/>
        <v>2</v>
      </c>
      <c r="P1325" s="365">
        <f>IFERROR(VLOOKUP($G1325,融外自投!$A:$J,7,0),"無")</f>
        <v>263</v>
      </c>
      <c r="Q1325" s="79" t="str">
        <f>IFERROR(VLOOKUP($G1325,融外自投!$A:$J,9,0),"無")</f>
        <v>無</v>
      </c>
      <c r="R1325" s="346">
        <f>IFERROR(VLOOKUP($G1325,融外自投!$A:$J,8,0),"無")</f>
        <v>292</v>
      </c>
      <c r="S1325" s="81" t="str">
        <f>IFERROR(VLOOKUP($G1325,融外自投!$A:$J,10,0),"無")</f>
        <v>無</v>
      </c>
      <c r="T1325" s="327">
        <f>IFERROR(VLOOKUP($G1325,'321買'!$A:$E,5,0),"'沒有資料'")</f>
        <v>306</v>
      </c>
      <c r="U1325" s="186">
        <f>IFERROR(VLOOKUP($G1325,基本資料!$A:$J,9,0),"無")</f>
        <v>6</v>
      </c>
      <c r="V1325" s="310">
        <f t="shared" si="245"/>
        <v>8.2644628099173556E-2</v>
      </c>
      <c r="W1325" s="94">
        <f>IFERROR(VLOOKUP($G1325,基本資料!$A:$J,10,0),"無")</f>
        <v>7.74</v>
      </c>
      <c r="X1325" s="36">
        <f>RTD("money.excel",,"3557","Price")</f>
        <v>72.599999999999994</v>
      </c>
      <c r="Y1325" s="66"/>
      <c r="Z1325" s="15">
        <f t="shared" si="246"/>
        <v>72.599999999999994</v>
      </c>
      <c r="AA1325" s="3" t="e">
        <f t="shared" si="247"/>
        <v>#DIV/0!</v>
      </c>
      <c r="AB1325" s="344">
        <f>IFERROR(VLOOKUP($G1325,基本資料!$A:$M,11,0),"無")</f>
        <v>-19.059999999999999</v>
      </c>
      <c r="AC1325" s="397">
        <f>IFERROR(VLOOKUP($G1325,基本資料!$A:$M,12,0),"無")</f>
        <v>27.97</v>
      </c>
      <c r="AD1325" s="22" t="s">
        <v>445</v>
      </c>
      <c r="AG1325" s="33">
        <f t="shared" si="248"/>
        <v>0</v>
      </c>
      <c r="AH1325" s="43" t="s">
        <v>3404</v>
      </c>
      <c r="AI1325" s="63">
        <f t="shared" si="249"/>
        <v>8.7173100871731012E-4</v>
      </c>
      <c r="AJ1325" s="284">
        <f>RTD("money.excel",,$G1325,"PredictVolume")</f>
        <v>70</v>
      </c>
      <c r="AK1325" s="399">
        <f>IFERROR(VLOOKUP($G1325,基本資料!$A:$M,13,0),"無")</f>
        <v>2.84</v>
      </c>
    </row>
    <row r="1326" spans="1:37">
      <c r="A1326" s="347">
        <f>IFERROR(VLOOKUP($G1326,基本資料!$A:$J,3,0),"無")</f>
        <v>5.62</v>
      </c>
      <c r="B1326" s="79">
        <f>IFERROR(VLOOKUP($G1326,基本資料!$A:$J,4,0),"無")</f>
        <v>412</v>
      </c>
      <c r="C1326" s="79">
        <f>IFERROR(VLOOKUP($G1326,基本資料!$A:$J,5,0),"無")</f>
        <v>544</v>
      </c>
      <c r="D1326" s="79">
        <f>IFERROR(VLOOKUP($G1326,基本資料!$A:$J,6,0),"無")</f>
        <v>37</v>
      </c>
      <c r="E1326" s="79">
        <f>IFERROR(VLOOKUP($G1326,基本資料!$A:$J,7,0),"無")</f>
        <v>14</v>
      </c>
      <c r="F1326" s="6">
        <f>IFERROR(VLOOKUP($G1326,基本資料!$A:$J,8,0),"無")</f>
        <v>0.77</v>
      </c>
      <c r="G1326" s="79">
        <v>4430</v>
      </c>
      <c r="H1326" s="8" t="s">
        <v>1960</v>
      </c>
      <c r="I1326" s="16" t="s">
        <v>639</v>
      </c>
      <c r="J1326" s="8" t="str">
        <f>IFERROR(VLOOKUP($G1326,今日總結!$A:$AJ,35,0),"")</f>
        <v/>
      </c>
      <c r="K1326" s="5" t="str">
        <f>IFERROR(VLOOKUP($G1326,今日總結!$A:$AJ,36,0),"")</f>
        <v/>
      </c>
      <c r="L1326" s="156" t="str">
        <f>IFERROR(VLOOKUP($G1326,今日總結!$A:$AJ,33,0),"")</f>
        <v/>
      </c>
      <c r="M1326" s="340" t="str">
        <f>IFERROR(VLOOKUP($G1326,今日總結!$A:$AJ,34,0),"")</f>
        <v/>
      </c>
      <c r="N1326" s="240" t="str">
        <f t="shared" si="250"/>
        <v/>
      </c>
      <c r="P1326" s="365">
        <f>IFERROR(VLOOKUP($G1326,融外自投!$A:$J,7,0),"無")</f>
        <v>1267</v>
      </c>
      <c r="Q1326" s="79">
        <f>IFERROR(VLOOKUP($G1326,融外自投!$A:$J,9,0),"無")</f>
        <v>936</v>
      </c>
      <c r="R1326" s="346">
        <f>IFERROR(VLOOKUP($G1326,融外自投!$A:$J,8,0),"無")</f>
        <v>994</v>
      </c>
      <c r="S1326" s="81" t="str">
        <f>IFERROR(VLOOKUP($G1326,融外自投!$A:$J,10,0),"無")</f>
        <v>無</v>
      </c>
      <c r="T1326" s="327" t="str">
        <f>IFERROR(VLOOKUP($G1326,'321買'!$A:$E,5,0),"'沒有資料'")</f>
        <v>'沒有資料'</v>
      </c>
      <c r="U1326" s="186">
        <f>IFERROR(VLOOKUP($G1326,基本資料!$A:$J,9,0),"無")</f>
        <v>0.5</v>
      </c>
      <c r="V1326" s="310">
        <f t="shared" si="245"/>
        <v>2.1141649048625793E-2</v>
      </c>
      <c r="W1326" s="94">
        <f>IFERROR(VLOOKUP($G1326,基本資料!$A:$J,10,0),"無")</f>
        <v>0.75</v>
      </c>
      <c r="X1326" s="36">
        <f>RTD("money.excel",,"4430","Price")</f>
        <v>23.65</v>
      </c>
      <c r="Y1326" s="66"/>
      <c r="Z1326" s="15">
        <f t="shared" si="246"/>
        <v>23.65</v>
      </c>
      <c r="AA1326" s="3" t="e">
        <f t="shared" si="247"/>
        <v>#DIV/0!</v>
      </c>
      <c r="AB1326" s="344">
        <f>IFERROR(VLOOKUP($G1326,基本資料!$A:$M,11,0),"無")</f>
        <v>-10.84</v>
      </c>
      <c r="AC1326" s="397">
        <f>IFERROR(VLOOKUP($G1326,基本資料!$A:$M,12,0),"無")</f>
        <v>46.92</v>
      </c>
      <c r="AD1326" s="16" t="s">
        <v>639</v>
      </c>
      <c r="AG1326" s="33">
        <f t="shared" si="248"/>
        <v>0</v>
      </c>
      <c r="AH1326" s="43" t="s">
        <v>2460</v>
      </c>
      <c r="AI1326" s="63">
        <f t="shared" si="249"/>
        <v>3.5587188612099643E-5</v>
      </c>
      <c r="AJ1326" s="284">
        <f>RTD("money.excel",,$G1326,"PredictVolume")</f>
        <v>2</v>
      </c>
      <c r="AK1326" s="399">
        <f>IFERROR(VLOOKUP($G1326,基本資料!$A:$M,13,0),"無")</f>
        <v>1.36</v>
      </c>
    </row>
    <row r="1327" spans="1:37">
      <c r="A1327" s="347">
        <f>IFERROR(VLOOKUP($G1327,基本資料!$A:$J,3,0),"無")</f>
        <v>8.4499999999999993</v>
      </c>
      <c r="B1327" s="79">
        <f>IFERROR(VLOOKUP($G1327,基本資料!$A:$J,4,0),"無")</f>
        <v>-95</v>
      </c>
      <c r="C1327" s="79">
        <f>IFERROR(VLOOKUP($G1327,基本資料!$A:$J,5,0),"無")</f>
        <v>27</v>
      </c>
      <c r="D1327" s="79">
        <f>IFERROR(VLOOKUP($G1327,基本資料!$A:$J,6,0),"無")</f>
        <v>23</v>
      </c>
      <c r="E1327" s="79">
        <f>IFERROR(VLOOKUP($G1327,基本資料!$A:$J,7,0),"無")</f>
        <v>66</v>
      </c>
      <c r="F1327" s="6">
        <f>IFERROR(VLOOKUP($G1327,基本資料!$A:$J,8,0),"無")</f>
        <v>-3521.05</v>
      </c>
      <c r="G1327" s="79">
        <v>4529</v>
      </c>
      <c r="H1327" s="8" t="s">
        <v>1960</v>
      </c>
      <c r="I1327" s="16" t="s">
        <v>640</v>
      </c>
      <c r="J1327" s="8" t="str">
        <f>IFERROR(VLOOKUP($G1327,今日總結!$A:$AJ,35,0),"")</f>
        <v/>
      </c>
      <c r="K1327" s="5" t="str">
        <f>IFERROR(VLOOKUP($G1327,今日總結!$A:$AJ,36,0),"")</f>
        <v/>
      </c>
      <c r="L1327" s="156" t="str">
        <f>IFERROR(VLOOKUP($G1327,今日總結!$A:$AJ,33,0),"")</f>
        <v/>
      </c>
      <c r="M1327" s="340" t="str">
        <f>IFERROR(VLOOKUP($G1327,今日總結!$A:$AJ,34,0),"")</f>
        <v/>
      </c>
      <c r="N1327" s="240" t="str">
        <f t="shared" si="250"/>
        <v/>
      </c>
      <c r="P1327" s="365">
        <f>IFERROR(VLOOKUP($G1327,融外自投!$A:$J,7,0),"無")</f>
        <v>734</v>
      </c>
      <c r="Q1327" s="79">
        <f>IFERROR(VLOOKUP($G1327,融外自投!$A:$J,9,0),"無")</f>
        <v>1051</v>
      </c>
      <c r="R1327" s="346">
        <f>IFERROR(VLOOKUP($G1327,融外自投!$A:$J,8,0),"無")</f>
        <v>336</v>
      </c>
      <c r="S1327" s="81" t="str">
        <f>IFERROR(VLOOKUP($G1327,融外自投!$A:$J,10,0),"無")</f>
        <v>無</v>
      </c>
      <c r="T1327" s="327">
        <f>IFERROR(VLOOKUP($G1327,'321買'!$A:$E,5,0),"'沒有資料'")</f>
        <v>1296</v>
      </c>
      <c r="U1327" s="186">
        <f>IFERROR(VLOOKUP($G1327,基本資料!$A:$J,9,0),"無")</f>
        <v>0</v>
      </c>
      <c r="V1327" s="310">
        <f t="shared" si="245"/>
        <v>0</v>
      </c>
      <c r="W1327" s="94">
        <f>IFERROR(VLOOKUP($G1327,基本資料!$A:$J,10,0),"無")</f>
        <v>-6.09</v>
      </c>
      <c r="X1327" s="36">
        <f>RTD("money.excel",,"4529","Price")</f>
        <v>10.5</v>
      </c>
      <c r="Y1327" s="66"/>
      <c r="Z1327" s="15">
        <f t="shared" si="246"/>
        <v>10.5</v>
      </c>
      <c r="AA1327" s="3" t="e">
        <f t="shared" si="247"/>
        <v>#DIV/0!</v>
      </c>
      <c r="AB1327" s="344">
        <f>IFERROR(VLOOKUP($G1327,基本資料!$A:$M,11,0),"無")</f>
        <v>-44.65</v>
      </c>
      <c r="AC1327" s="397">
        <f>IFERROR(VLOOKUP($G1327,基本資料!$A:$M,12,0),"無")</f>
        <v>13.17</v>
      </c>
      <c r="AD1327" s="16" t="s">
        <v>640</v>
      </c>
      <c r="AG1327" s="33">
        <f t="shared" si="248"/>
        <v>0</v>
      </c>
      <c r="AH1327" s="43" t="s">
        <v>2461</v>
      </c>
      <c r="AI1327" s="63">
        <f t="shared" si="249"/>
        <v>1.3727810650887573E-3</v>
      </c>
      <c r="AJ1327" s="284">
        <f>RTD("money.excel",,$G1327,"PredictVolume")</f>
        <v>116</v>
      </c>
      <c r="AK1327" s="399">
        <f>IFERROR(VLOOKUP($G1327,基本資料!$A:$M,13,0),"無")</f>
        <v>13.17</v>
      </c>
    </row>
    <row r="1328" spans="1:37">
      <c r="A1328" s="347">
        <f>IFERROR(VLOOKUP($G1328,基本資料!$A:$J,3,0),"無")</f>
        <v>9.08</v>
      </c>
      <c r="B1328" s="79">
        <f>IFERROR(VLOOKUP($G1328,基本資料!$A:$J,4,0),"無")</f>
        <v>17</v>
      </c>
      <c r="C1328" s="79">
        <f>IFERROR(VLOOKUP($G1328,基本資料!$A:$J,5,0),"無")</f>
        <v>1</v>
      </c>
      <c r="D1328" s="79">
        <f>IFERROR(VLOOKUP($G1328,基本資料!$A:$J,6,0),"無")</f>
        <v>35</v>
      </c>
      <c r="E1328" s="79">
        <f>IFERROR(VLOOKUP($G1328,基本資料!$A:$J,7,0),"無")</f>
        <v>10</v>
      </c>
      <c r="F1328" s="6">
        <f>IFERROR(VLOOKUP($G1328,基本資料!$A:$J,8,0),"無")</f>
        <v>16.55</v>
      </c>
      <c r="G1328" s="79">
        <v>4536</v>
      </c>
      <c r="H1328" s="8" t="s">
        <v>1960</v>
      </c>
      <c r="I1328" s="22" t="s">
        <v>679</v>
      </c>
      <c r="J1328" s="8">
        <f>IFERROR(VLOOKUP($G1328,今日總結!$A:$AJ,35,0),"")</f>
        <v>0</v>
      </c>
      <c r="K1328" s="5" t="str">
        <f>IFERROR(VLOOKUP($G1328,今日總結!$A:$AJ,36,0),"")</f>
        <v>投</v>
      </c>
      <c r="L1328" s="156">
        <f>IFERROR(VLOOKUP($G1328,今日總結!$A:$AJ,33,0),"")</f>
        <v>0</v>
      </c>
      <c r="M1328" s="340">
        <f>IFERROR(VLOOKUP($G1328,今日總結!$A:$AJ,34,0),"")</f>
        <v>1</v>
      </c>
      <c r="N1328" s="240">
        <f t="shared" si="250"/>
        <v>-1</v>
      </c>
      <c r="P1328" s="365">
        <f>IFERROR(VLOOKUP($G1328,融外自投!$A:$J,7,0),"無")</f>
        <v>1098</v>
      </c>
      <c r="Q1328" s="79">
        <f>IFERROR(VLOOKUP($G1328,融外自投!$A:$J,9,0),"無")</f>
        <v>762</v>
      </c>
      <c r="R1328" s="346">
        <f>IFERROR(VLOOKUP($G1328,融外自投!$A:$J,8,0),"無")</f>
        <v>350</v>
      </c>
      <c r="S1328" s="81">
        <f>IFERROR(VLOOKUP($G1328,融外自投!$A:$J,10,0),"無")</f>
        <v>222</v>
      </c>
      <c r="T1328" s="327">
        <f>IFERROR(VLOOKUP($G1328,'321買'!$A:$E,5,0),"'沒有資料'")</f>
        <v>1161</v>
      </c>
      <c r="U1328" s="186">
        <f>IFERROR(VLOOKUP($G1328,基本資料!$A:$J,9,0),"無")</f>
        <v>6</v>
      </c>
      <c r="V1328" s="310">
        <f t="shared" si="245"/>
        <v>4.9586776859504134E-2</v>
      </c>
      <c r="W1328" s="94">
        <f>IFERROR(VLOOKUP($G1328,基本資料!$A:$J,10,0),"無")</f>
        <v>9.16</v>
      </c>
      <c r="X1328" s="36">
        <f>RTD("money.excel",,"4536","Price")</f>
        <v>121</v>
      </c>
      <c r="Y1328" s="66"/>
      <c r="Z1328" s="15">
        <f t="shared" si="246"/>
        <v>121</v>
      </c>
      <c r="AA1328" s="3" t="e">
        <f t="shared" si="247"/>
        <v>#DIV/0!</v>
      </c>
      <c r="AB1328" s="344">
        <f>IFERROR(VLOOKUP($G1328,基本資料!$A:$M,11,0),"無")</f>
        <v>-26.54</v>
      </c>
      <c r="AC1328" s="397">
        <f>IFERROR(VLOOKUP($G1328,基本資料!$A:$M,12,0),"無")</f>
        <v>15.83</v>
      </c>
      <c r="AD1328" s="22" t="s">
        <v>679</v>
      </c>
      <c r="AG1328" s="33">
        <f t="shared" si="248"/>
        <v>0</v>
      </c>
      <c r="AH1328" s="43" t="s">
        <v>2108</v>
      </c>
      <c r="AI1328" s="63">
        <f t="shared" si="249"/>
        <v>5.1762114537444936E-4</v>
      </c>
      <c r="AJ1328" s="284">
        <f>RTD("money.excel",,$G1328,"PredictVolume")</f>
        <v>47</v>
      </c>
      <c r="AK1328" s="399">
        <f>IFERROR(VLOOKUP($G1328,基本資料!$A:$M,13,0),"無")</f>
        <v>1.02</v>
      </c>
    </row>
    <row r="1329" spans="1:37">
      <c r="A1329" s="347">
        <f>IFERROR(VLOOKUP($G1329,基本資料!$A:$J,3,0),"無")</f>
        <v>6.76</v>
      </c>
      <c r="B1329" s="79">
        <f>IFERROR(VLOOKUP($G1329,基本資料!$A:$J,4,0),"無")</f>
        <v>100</v>
      </c>
      <c r="C1329" s="79">
        <f>IFERROR(VLOOKUP($G1329,基本資料!$A:$J,5,0),"無")</f>
        <v>75</v>
      </c>
      <c r="D1329" s="79">
        <f>IFERROR(VLOOKUP($G1329,基本資料!$A:$J,6,0),"無")</f>
        <v>-10</v>
      </c>
      <c r="E1329" s="79">
        <f>IFERROR(VLOOKUP($G1329,基本資料!$A:$J,7,0),"無")</f>
        <v>45</v>
      </c>
      <c r="F1329" s="6">
        <f>IFERROR(VLOOKUP($G1329,基本資料!$A:$J,8,0),"無")</f>
        <v>-3.6</v>
      </c>
      <c r="G1329" s="79">
        <v>4541</v>
      </c>
      <c r="H1329" s="8" t="s">
        <v>1960</v>
      </c>
      <c r="I1329" s="16" t="s">
        <v>641</v>
      </c>
      <c r="J1329" s="8" t="str">
        <f>IFERROR(VLOOKUP($G1329,今日總結!$A:$AJ,35,0),"")</f>
        <v/>
      </c>
      <c r="K1329" s="5" t="str">
        <f>IFERROR(VLOOKUP($G1329,今日總結!$A:$AJ,36,0),"")</f>
        <v/>
      </c>
      <c r="L1329" s="156" t="str">
        <f>IFERROR(VLOOKUP($G1329,今日總結!$A:$AJ,33,0),"")</f>
        <v/>
      </c>
      <c r="M1329" s="340" t="str">
        <f>IFERROR(VLOOKUP($G1329,今日總結!$A:$AJ,34,0),"")</f>
        <v/>
      </c>
      <c r="N1329" s="240" t="str">
        <f t="shared" si="250"/>
        <v/>
      </c>
      <c r="P1329" s="365">
        <f>IFERROR(VLOOKUP($G1329,融外自投!$A:$J,7,0),"無")</f>
        <v>951</v>
      </c>
      <c r="Q1329" s="79">
        <f>IFERROR(VLOOKUP($G1329,融外自投!$A:$J,9,0),"無")</f>
        <v>978</v>
      </c>
      <c r="R1329" s="346">
        <f>IFERROR(VLOOKUP($G1329,融外自投!$A:$J,8,0),"無")</f>
        <v>903</v>
      </c>
      <c r="S1329" s="81" t="str">
        <f>IFERROR(VLOOKUP($G1329,融外自投!$A:$J,10,0),"無")</f>
        <v>無</v>
      </c>
      <c r="T1329" s="327">
        <f>IFERROR(VLOOKUP($G1329,'321買'!$A:$E,5,0),"'沒有資料'")</f>
        <v>1126</v>
      </c>
      <c r="U1329" s="186">
        <f>IFERROR(VLOOKUP($G1329,基本資料!$A:$J,9,0),"無")</f>
        <v>0.4</v>
      </c>
      <c r="V1329" s="310">
        <f t="shared" si="245"/>
        <v>1.6771488469601678E-2</v>
      </c>
      <c r="W1329" s="94">
        <f>IFERROR(VLOOKUP($G1329,基本資料!$A:$J,10,0),"無")</f>
        <v>0</v>
      </c>
      <c r="X1329" s="36">
        <f>RTD("money.excel",,"4541","Price")</f>
        <v>23.85</v>
      </c>
      <c r="Y1329" s="66"/>
      <c r="Z1329" s="15">
        <f t="shared" si="246"/>
        <v>23.85</v>
      </c>
      <c r="AA1329" s="3" t="e">
        <f t="shared" si="247"/>
        <v>#DIV/0!</v>
      </c>
      <c r="AB1329" s="344">
        <f>IFERROR(VLOOKUP($G1329,基本資料!$A:$M,11,0),"無")</f>
        <v>-16.170000000000002</v>
      </c>
      <c r="AC1329" s="397">
        <f>IFERROR(VLOOKUP($G1329,基本資料!$A:$M,12,0),"無")</f>
        <v>52.84</v>
      </c>
      <c r="AD1329" s="16" t="s">
        <v>641</v>
      </c>
      <c r="AG1329" s="33">
        <f t="shared" si="248"/>
        <v>0</v>
      </c>
      <c r="AH1329" s="43" t="s">
        <v>2462</v>
      </c>
      <c r="AI1329" s="63">
        <f t="shared" si="249"/>
        <v>4.4378698224852069E-4</v>
      </c>
      <c r="AJ1329" s="284">
        <f>RTD("money.excel",,$G1329,"PredictVolume")</f>
        <v>30</v>
      </c>
      <c r="AK1329" s="399">
        <f>IFERROR(VLOOKUP($G1329,基本資料!$A:$M,13,0),"無")</f>
        <v>3.67</v>
      </c>
    </row>
    <row r="1330" spans="1:37">
      <c r="A1330" s="347">
        <f>IFERROR(VLOOKUP($G1330,基本資料!$A:$J,3,0),"無")</f>
        <v>4.18</v>
      </c>
      <c r="B1330" s="79">
        <f>IFERROR(VLOOKUP($G1330,基本資料!$A:$J,4,0),"無")</f>
        <v>-40</v>
      </c>
      <c r="C1330" s="79">
        <f>IFERROR(VLOOKUP($G1330,基本資料!$A:$J,5,0),"無")</f>
        <v>9</v>
      </c>
      <c r="D1330" s="79">
        <f>IFERROR(VLOOKUP($G1330,基本資料!$A:$J,6,0),"無")</f>
        <v>43</v>
      </c>
      <c r="E1330" s="79">
        <f>IFERROR(VLOOKUP($G1330,基本資料!$A:$J,7,0),"無")</f>
        <v>51</v>
      </c>
      <c r="F1330" s="6">
        <f>IFERROR(VLOOKUP($G1330,基本資料!$A:$J,8,0),"無")</f>
        <v>5.32</v>
      </c>
      <c r="G1330" s="79">
        <v>4556</v>
      </c>
      <c r="H1330" s="8" t="s">
        <v>1960</v>
      </c>
      <c r="I1330" s="16" t="s">
        <v>642</v>
      </c>
      <c r="J1330" s="8" t="str">
        <f>IFERROR(VLOOKUP($G1330,今日總結!$A:$AJ,35,0),"")</f>
        <v/>
      </c>
      <c r="K1330" s="5" t="str">
        <f>IFERROR(VLOOKUP($G1330,今日總結!$A:$AJ,36,0),"")</f>
        <v/>
      </c>
      <c r="L1330" s="156" t="str">
        <f>IFERROR(VLOOKUP($G1330,今日總結!$A:$AJ,33,0),"")</f>
        <v/>
      </c>
      <c r="M1330" s="340" t="str">
        <f>IFERROR(VLOOKUP($G1330,今日總結!$A:$AJ,34,0),"")</f>
        <v/>
      </c>
      <c r="N1330" s="240" t="str">
        <f t="shared" si="250"/>
        <v/>
      </c>
      <c r="P1330" s="365">
        <f>IFERROR(VLOOKUP($G1330,融外自投!$A:$J,7,0),"無")</f>
        <v>1256</v>
      </c>
      <c r="Q1330" s="79" t="str">
        <f>IFERROR(VLOOKUP($G1330,融外自投!$A:$J,9,0),"無")</f>
        <v>無</v>
      </c>
      <c r="R1330" s="346">
        <f>IFERROR(VLOOKUP($G1330,融外自投!$A:$J,8,0),"無")</f>
        <v>439</v>
      </c>
      <c r="S1330" s="81" t="str">
        <f>IFERROR(VLOOKUP($G1330,融外自投!$A:$J,10,0),"無")</f>
        <v>無</v>
      </c>
      <c r="T1330" s="327" t="str">
        <f>IFERROR(VLOOKUP($G1330,'321買'!$A:$E,5,0),"'沒有資料'")</f>
        <v>'沒有資料'</v>
      </c>
      <c r="U1330" s="186">
        <f>IFERROR(VLOOKUP($G1330,基本資料!$A:$J,9,0),"無")</f>
        <v>0.35</v>
      </c>
      <c r="V1330" s="310" t="e">
        <f t="shared" si="245"/>
        <v>#VALUE!</v>
      </c>
      <c r="W1330" s="94">
        <f>IFERROR(VLOOKUP($G1330,基本資料!$A:$J,10,0),"無")</f>
        <v>0.3</v>
      </c>
      <c r="X1330" s="36" t="str">
        <f>RTD("money.excel",,"4556","Price")</f>
        <v>無資料</v>
      </c>
      <c r="Y1330" s="66"/>
      <c r="Z1330" s="15" t="e">
        <f t="shared" si="246"/>
        <v>#VALUE!</v>
      </c>
      <c r="AA1330" s="3" t="e">
        <f t="shared" si="247"/>
        <v>#VALUE!</v>
      </c>
      <c r="AB1330" s="344">
        <f>IFERROR(VLOOKUP($G1330,基本資料!$A:$M,11,0),"無")</f>
        <v>-7.38</v>
      </c>
      <c r="AC1330" s="397">
        <f>IFERROR(VLOOKUP($G1330,基本資料!$A:$M,12,0),"無")</f>
        <v>66.56</v>
      </c>
      <c r="AD1330" s="16" t="s">
        <v>642</v>
      </c>
      <c r="AG1330" s="33">
        <f t="shared" si="248"/>
        <v>0</v>
      </c>
      <c r="AH1330" s="43" t="s">
        <v>2463</v>
      </c>
      <c r="AI1330" s="63">
        <f t="shared" si="249"/>
        <v>0</v>
      </c>
      <c r="AJ1330" s="284">
        <f>RTD("money.excel",,$G1330,"PredictVolume")</f>
        <v>0</v>
      </c>
      <c r="AK1330" s="399">
        <f>IFERROR(VLOOKUP($G1330,基本資料!$A:$M,13,0),"無")</f>
        <v>0.2</v>
      </c>
    </row>
    <row r="1331" spans="1:37">
      <c r="A1331" s="347">
        <f>IFERROR(VLOOKUP($G1331,基本資料!$A:$J,3,0),"無")</f>
        <v>4.67</v>
      </c>
      <c r="B1331" s="79">
        <f>IFERROR(VLOOKUP($G1331,基本資料!$A:$J,4,0),"無")</f>
        <v>111</v>
      </c>
      <c r="C1331" s="79">
        <f>IFERROR(VLOOKUP($G1331,基本資料!$A:$J,5,0),"無")</f>
        <v>124</v>
      </c>
      <c r="D1331" s="79">
        <f>IFERROR(VLOOKUP($G1331,基本資料!$A:$J,6,0),"無")</f>
        <v>97</v>
      </c>
      <c r="E1331" s="79">
        <f>IFERROR(VLOOKUP($G1331,基本資料!$A:$J,7,0),"無")</f>
        <v>69</v>
      </c>
      <c r="F1331" s="6">
        <f>IFERROR(VLOOKUP($G1331,基本資料!$A:$J,8,0),"無")</f>
        <v>3.07</v>
      </c>
      <c r="G1331" s="79">
        <v>4950</v>
      </c>
      <c r="H1331" s="8" t="s">
        <v>1960</v>
      </c>
      <c r="I1331" s="16" t="s">
        <v>643</v>
      </c>
      <c r="J1331" s="8" t="str">
        <f>IFERROR(VLOOKUP($G1331,今日總結!$A:$AJ,35,0),"")</f>
        <v/>
      </c>
      <c r="K1331" s="5" t="str">
        <f>IFERROR(VLOOKUP($G1331,今日總結!$A:$AJ,36,0),"")</f>
        <v/>
      </c>
      <c r="L1331" s="156" t="str">
        <f>IFERROR(VLOOKUP($G1331,今日總結!$A:$AJ,33,0),"")</f>
        <v/>
      </c>
      <c r="M1331" s="340" t="str">
        <f>IFERROR(VLOOKUP($G1331,今日總結!$A:$AJ,34,0),"")</f>
        <v/>
      </c>
      <c r="N1331" s="240" t="str">
        <f t="shared" si="250"/>
        <v/>
      </c>
      <c r="P1331" s="365" t="str">
        <f>IFERROR(VLOOKUP($G1331,融外自投!$A:$J,7,0),"無")</f>
        <v>無</v>
      </c>
      <c r="Q1331" s="79" t="str">
        <f>IFERROR(VLOOKUP($G1331,融外自投!$A:$J,9,0),"無")</f>
        <v>無</v>
      </c>
      <c r="R1331" s="346" t="str">
        <f>IFERROR(VLOOKUP($G1331,融外自投!$A:$J,8,0),"無")</f>
        <v>無</v>
      </c>
      <c r="S1331" s="81" t="str">
        <f>IFERROR(VLOOKUP($G1331,融外自投!$A:$J,10,0),"無")</f>
        <v>無</v>
      </c>
      <c r="T1331" s="327" t="str">
        <f>IFERROR(VLOOKUP($G1331,'321買'!$A:$E,5,0),"'沒有資料'")</f>
        <v>'沒有資料'</v>
      </c>
      <c r="U1331" s="186">
        <f>IFERROR(VLOOKUP($G1331,基本資料!$A:$J,9,0),"無")</f>
        <v>0</v>
      </c>
      <c r="V1331" s="310">
        <f t="shared" si="245"/>
        <v>0</v>
      </c>
      <c r="W1331" s="94">
        <f>IFERROR(VLOOKUP($G1331,基本資料!$A:$J,10,0),"無")</f>
        <v>0.49</v>
      </c>
      <c r="X1331" s="36">
        <f>RTD("money.excel",,"4950","Price")</f>
        <v>24.8</v>
      </c>
      <c r="Y1331" s="66"/>
      <c r="Z1331" s="15">
        <f t="shared" si="246"/>
        <v>24.8</v>
      </c>
      <c r="AA1331" s="3" t="e">
        <f t="shared" si="247"/>
        <v>#DIV/0!</v>
      </c>
      <c r="AB1331" s="344">
        <f>IFERROR(VLOOKUP($G1331,基本資料!$A:$M,11,0),"無")</f>
        <v>-7.33</v>
      </c>
      <c r="AC1331" s="397">
        <f>IFERROR(VLOOKUP($G1331,基本資料!$A:$M,12,0),"無")</f>
        <v>72.95</v>
      </c>
      <c r="AD1331" s="16" t="s">
        <v>643</v>
      </c>
      <c r="AG1331" s="33">
        <f t="shared" si="248"/>
        <v>0</v>
      </c>
      <c r="AH1331" s="43" t="s">
        <v>2464</v>
      </c>
      <c r="AI1331" s="63">
        <f t="shared" si="249"/>
        <v>1.7665952890792293E-2</v>
      </c>
      <c r="AJ1331" s="284">
        <f>RTD("money.excel",,$G1331,"PredictVolume")</f>
        <v>825</v>
      </c>
      <c r="AK1331" s="399">
        <f>IFERROR(VLOOKUP($G1331,基本資料!$A:$M,13,0),"無")</f>
        <v>8.4</v>
      </c>
    </row>
    <row r="1332" spans="1:37">
      <c r="A1332" s="347">
        <f>IFERROR(VLOOKUP($G1332,基本資料!$A:$J,3,0),"無")</f>
        <v>3.95</v>
      </c>
      <c r="B1332" s="79">
        <f>IFERROR(VLOOKUP($G1332,基本資料!$A:$J,4,0),"無")</f>
        <v>207</v>
      </c>
      <c r="C1332" s="79">
        <f>IFERROR(VLOOKUP($G1332,基本資料!$A:$J,5,0),"無")</f>
        <v>310</v>
      </c>
      <c r="D1332" s="79">
        <f>IFERROR(VLOOKUP($G1332,基本資料!$A:$J,6,0),"無")</f>
        <v>6</v>
      </c>
      <c r="E1332" s="79">
        <f>IFERROR(VLOOKUP($G1332,基本資料!$A:$J,7,0),"無")</f>
        <v>4</v>
      </c>
      <c r="F1332" s="6">
        <f>IFERROR(VLOOKUP($G1332,基本資料!$A:$J,8,0),"無")</f>
        <v>4.01</v>
      </c>
      <c r="G1332" s="79">
        <v>5276</v>
      </c>
      <c r="H1332" s="8" t="s">
        <v>1960</v>
      </c>
      <c r="I1332" s="16" t="s">
        <v>644</v>
      </c>
      <c r="J1332" s="8" t="str">
        <f>IFERROR(VLOOKUP($G1332,今日總結!$A:$AJ,35,0),"")</f>
        <v/>
      </c>
      <c r="K1332" s="5" t="str">
        <f>IFERROR(VLOOKUP($G1332,今日總結!$A:$AJ,36,0),"")</f>
        <v/>
      </c>
      <c r="L1332" s="156" t="str">
        <f>IFERROR(VLOOKUP($G1332,今日總結!$A:$AJ,33,0),"")</f>
        <v/>
      </c>
      <c r="M1332" s="340" t="str">
        <f>IFERROR(VLOOKUP($G1332,今日總結!$A:$AJ,34,0),"")</f>
        <v/>
      </c>
      <c r="N1332" s="240" t="str">
        <f t="shared" si="250"/>
        <v/>
      </c>
      <c r="P1332" s="365" t="str">
        <f>IFERROR(VLOOKUP($G1332,融外自投!$A:$J,7,0),"無")</f>
        <v>無</v>
      </c>
      <c r="Q1332" s="79" t="str">
        <f>IFERROR(VLOOKUP($G1332,融外自投!$A:$J,9,0),"無")</f>
        <v>無</v>
      </c>
      <c r="R1332" s="346" t="str">
        <f>IFERROR(VLOOKUP($G1332,融外自投!$A:$J,8,0),"無")</f>
        <v>無</v>
      </c>
      <c r="S1332" s="81" t="str">
        <f>IFERROR(VLOOKUP($G1332,融外自投!$A:$J,10,0),"無")</f>
        <v>無</v>
      </c>
      <c r="T1332" s="327" t="str">
        <f>IFERROR(VLOOKUP($G1332,'321買'!$A:$E,5,0),"'沒有資料'")</f>
        <v>'沒有資料'</v>
      </c>
      <c r="U1332" s="186">
        <f>IFERROR(VLOOKUP($G1332,基本資料!$A:$J,9,0),"無")</f>
        <v>0.11</v>
      </c>
      <c r="V1332" s="310">
        <f t="shared" si="245"/>
        <v>8.870967741935484E-3</v>
      </c>
      <c r="W1332" s="94">
        <f>IFERROR(VLOOKUP($G1332,基本資料!$A:$J,10,0),"無")</f>
        <v>0.57999999999999996</v>
      </c>
      <c r="X1332" s="36">
        <f>RTD("money.excel",,"5276","Price")</f>
        <v>12.4</v>
      </c>
      <c r="Y1332" s="66"/>
      <c r="Z1332" s="15">
        <f t="shared" si="246"/>
        <v>12.4</v>
      </c>
      <c r="AA1332" s="3" t="e">
        <f t="shared" si="247"/>
        <v>#DIV/0!</v>
      </c>
      <c r="AB1332" s="344">
        <f>IFERROR(VLOOKUP($G1332,基本資料!$A:$M,11,0),"無")</f>
        <v>-29.75</v>
      </c>
      <c r="AC1332" s="397">
        <f>IFERROR(VLOOKUP($G1332,基本資料!$A:$M,12,0),"無")</f>
        <v>38.67</v>
      </c>
      <c r="AD1332" s="16" t="s">
        <v>644</v>
      </c>
      <c r="AG1332" s="33">
        <f t="shared" si="248"/>
        <v>0</v>
      </c>
      <c r="AH1332" s="43" t="s">
        <v>2465</v>
      </c>
      <c r="AI1332" s="63">
        <f t="shared" si="249"/>
        <v>1.0126582278481013E-4</v>
      </c>
      <c r="AJ1332" s="284">
        <f>RTD("money.excel",,$G1332,"PredictVolume")</f>
        <v>4</v>
      </c>
      <c r="AK1332" s="399">
        <f>IFERROR(VLOOKUP($G1332,基本資料!$A:$M,13,0),"無")</f>
        <v>0.37</v>
      </c>
    </row>
    <row r="1333" spans="1:37">
      <c r="A1333" s="347">
        <f>IFERROR(VLOOKUP($G1333,基本資料!$A:$J,3,0),"無")</f>
        <v>4.3600000000000003</v>
      </c>
      <c r="B1333" s="79">
        <f>IFERROR(VLOOKUP($G1333,基本資料!$A:$J,4,0),"無")</f>
        <v>6</v>
      </c>
      <c r="C1333" s="79">
        <f>IFERROR(VLOOKUP($G1333,基本資料!$A:$J,5,0),"無")</f>
        <v>45</v>
      </c>
      <c r="D1333" s="79">
        <f>IFERROR(VLOOKUP($G1333,基本資料!$A:$J,6,0),"無")</f>
        <v>-3</v>
      </c>
      <c r="E1333" s="79">
        <f>IFERROR(VLOOKUP($G1333,基本資料!$A:$J,7,0),"無")</f>
        <v>20</v>
      </c>
      <c r="F1333" s="6">
        <f>IFERROR(VLOOKUP($G1333,基本資料!$A:$J,8,0),"無")</f>
        <v>12.22</v>
      </c>
      <c r="G1333" s="79">
        <v>5284</v>
      </c>
      <c r="H1333" s="8" t="s">
        <v>1960</v>
      </c>
      <c r="I1333" s="22" t="s">
        <v>144</v>
      </c>
      <c r="J1333" s="8">
        <f>IFERROR(VLOOKUP($G1333,今日總結!$A:$AJ,35,0),"")</f>
        <v>0</v>
      </c>
      <c r="K1333" s="5" t="str">
        <f>IFERROR(VLOOKUP($G1333,今日總結!$A:$AJ,36,0),"")</f>
        <v>投</v>
      </c>
      <c r="L1333" s="156">
        <f>IFERROR(VLOOKUP($G1333,今日總結!$A:$AJ,33,0),"")</f>
        <v>0</v>
      </c>
      <c r="M1333" s="340">
        <f>IFERROR(VLOOKUP($G1333,今日總結!$A:$AJ,34,0),"")</f>
        <v>1</v>
      </c>
      <c r="N1333" s="240">
        <f t="shared" si="250"/>
        <v>-1</v>
      </c>
      <c r="P1333" s="365">
        <f>IFERROR(VLOOKUP($G1333,融外自投!$A:$J,7,0),"無")</f>
        <v>1177</v>
      </c>
      <c r="Q1333" s="79">
        <f>IFERROR(VLOOKUP($G1333,融外自投!$A:$J,9,0),"無")</f>
        <v>1051</v>
      </c>
      <c r="R1333" s="346">
        <f>IFERROR(VLOOKUP($G1333,融外自投!$A:$J,8,0),"無")</f>
        <v>46</v>
      </c>
      <c r="S1333" s="81">
        <f>IFERROR(VLOOKUP($G1333,融外自投!$A:$J,10,0),"無")</f>
        <v>340</v>
      </c>
      <c r="T1333" s="327">
        <f>IFERROR(VLOOKUP($G1333,'321買'!$A:$E,5,0),"'沒有資料'")</f>
        <v>1397</v>
      </c>
      <c r="U1333" s="186">
        <f>IFERROR(VLOOKUP($G1333,基本資料!$A:$J,9,0),"無")</f>
        <v>2.2999999999999998</v>
      </c>
      <c r="V1333" s="310">
        <f t="shared" si="245"/>
        <v>5.2934407364787106E-2</v>
      </c>
      <c r="W1333" s="94">
        <f>IFERROR(VLOOKUP($G1333,基本資料!$A:$J,10,0),"無")</f>
        <v>3</v>
      </c>
      <c r="X1333" s="36">
        <f>RTD("money.excel",,"5284","Price")</f>
        <v>43.45</v>
      </c>
      <c r="Y1333" s="66"/>
      <c r="Z1333" s="15">
        <f t="shared" si="246"/>
        <v>43.45</v>
      </c>
      <c r="AA1333" s="3" t="e">
        <f t="shared" si="247"/>
        <v>#DIV/0!</v>
      </c>
      <c r="AB1333" s="344">
        <f>IFERROR(VLOOKUP($G1333,基本資料!$A:$M,11,0),"無")</f>
        <v>-8.58</v>
      </c>
      <c r="AC1333" s="397">
        <f>IFERROR(VLOOKUP($G1333,基本資料!$A:$M,12,0),"無")</f>
        <v>25.85</v>
      </c>
      <c r="AD1333" s="22" t="s">
        <v>144</v>
      </c>
      <c r="AG1333" s="33">
        <f t="shared" si="248"/>
        <v>0</v>
      </c>
      <c r="AH1333" s="117" t="s">
        <v>2820</v>
      </c>
      <c r="AI1333" s="63">
        <f t="shared" si="249"/>
        <v>4.3577981651376146E-4</v>
      </c>
      <c r="AJ1333" s="284">
        <f>RTD("money.excel",,$G1333,"PredictVolume")</f>
        <v>19</v>
      </c>
      <c r="AK1333" s="399">
        <f>IFERROR(VLOOKUP($G1333,基本資料!$A:$M,13,0),"無")</f>
        <v>1.0900000000000001</v>
      </c>
    </row>
    <row r="1334" spans="1:37">
      <c r="A1334" s="347">
        <f>IFERROR(VLOOKUP($G1334,基本資料!$A:$J,3,0),"無")</f>
        <v>12.6</v>
      </c>
      <c r="B1334" s="79">
        <f>IFERROR(VLOOKUP($G1334,基本資料!$A:$J,4,0),"無")</f>
        <v>32</v>
      </c>
      <c r="C1334" s="79">
        <f>IFERROR(VLOOKUP($G1334,基本資料!$A:$J,5,0),"無")</f>
        <v>30</v>
      </c>
      <c r="D1334" s="79">
        <f>IFERROR(VLOOKUP($G1334,基本資料!$A:$J,6,0),"無")</f>
        <v>30</v>
      </c>
      <c r="E1334" s="79">
        <f>IFERROR(VLOOKUP($G1334,基本資料!$A:$J,7,0),"無")</f>
        <v>1</v>
      </c>
      <c r="F1334" s="6">
        <f>IFERROR(VLOOKUP($G1334,基本資料!$A:$J,8,0),"無")</f>
        <v>33.24</v>
      </c>
      <c r="G1334" s="79">
        <v>5306</v>
      </c>
      <c r="H1334" s="8" t="s">
        <v>1960</v>
      </c>
      <c r="I1334" s="16" t="s">
        <v>39</v>
      </c>
      <c r="J1334" s="8" t="str">
        <f>IFERROR(VLOOKUP($G1334,今日總結!$A:$AJ,35,0),"")</f>
        <v/>
      </c>
      <c r="K1334" s="5" t="str">
        <f>IFERROR(VLOOKUP($G1334,今日總結!$A:$AJ,36,0),"")</f>
        <v/>
      </c>
      <c r="L1334" s="156" t="str">
        <f>IFERROR(VLOOKUP($G1334,今日總結!$A:$AJ,33,0),"")</f>
        <v/>
      </c>
      <c r="M1334" s="340" t="str">
        <f>IFERROR(VLOOKUP($G1334,今日總結!$A:$AJ,34,0),"")</f>
        <v/>
      </c>
      <c r="N1334" s="240" t="str">
        <f t="shared" si="250"/>
        <v/>
      </c>
      <c r="P1334" s="365">
        <f>IFERROR(VLOOKUP($G1334,融外自投!$A:$J,7,0),"無")</f>
        <v>1304</v>
      </c>
      <c r="Q1334" s="79">
        <f>IFERROR(VLOOKUP($G1334,融外自投!$A:$J,9,0),"無")</f>
        <v>734</v>
      </c>
      <c r="R1334" s="346">
        <f>IFERROR(VLOOKUP($G1334,融外自投!$A:$J,8,0),"無")</f>
        <v>234</v>
      </c>
      <c r="S1334" s="81">
        <f>IFERROR(VLOOKUP($G1334,融外自投!$A:$J,10,0),"無")</f>
        <v>473</v>
      </c>
      <c r="T1334" s="327">
        <f>IFERROR(VLOOKUP($G1334,'321買'!$A:$E,5,0),"'沒有資料'")</f>
        <v>683</v>
      </c>
      <c r="U1334" s="186">
        <f>IFERROR(VLOOKUP($G1334,基本資料!$A:$J,9,0),"無")</f>
        <v>9</v>
      </c>
      <c r="V1334" s="310">
        <f t="shared" si="245"/>
        <v>5.4380664652567974E-2</v>
      </c>
      <c r="W1334" s="94">
        <f>IFERROR(VLOOKUP($G1334,基本資料!$A:$J,10,0),"無")</f>
        <v>15.94</v>
      </c>
      <c r="X1334" s="36">
        <f>RTD("money.excel",,"5306","Price")</f>
        <v>165.5</v>
      </c>
      <c r="Y1334" s="66"/>
      <c r="Z1334" s="15">
        <f t="shared" si="246"/>
        <v>165.5</v>
      </c>
      <c r="AA1334" s="3" t="e">
        <f t="shared" si="247"/>
        <v>#DIV/0!</v>
      </c>
      <c r="AB1334" s="344">
        <f>IFERROR(VLOOKUP($G1334,基本資料!$A:$M,11,0),"無")</f>
        <v>-33.33</v>
      </c>
      <c r="AC1334" s="397">
        <f>IFERROR(VLOOKUP($G1334,基本資料!$A:$M,12,0),"無")</f>
        <v>28.85</v>
      </c>
      <c r="AD1334" s="16" t="s">
        <v>39</v>
      </c>
      <c r="AG1334" s="33">
        <f t="shared" si="248"/>
        <v>0</v>
      </c>
      <c r="AH1334" s="117" t="s">
        <v>2466</v>
      </c>
      <c r="AI1334" s="63">
        <f t="shared" si="249"/>
        <v>4.3650793650793651E-4</v>
      </c>
      <c r="AJ1334" s="284">
        <f>RTD("money.excel",,$G1334,"PredictVolume")</f>
        <v>55</v>
      </c>
      <c r="AK1334" s="399">
        <f>IFERROR(VLOOKUP($G1334,基本資料!$A:$M,13,0),"無")</f>
        <v>2.14</v>
      </c>
    </row>
    <row r="1335" spans="1:37">
      <c r="A1335" s="347">
        <f>IFERROR(VLOOKUP($G1335,基本資料!$A:$J,3,0),"無")</f>
        <v>4.99</v>
      </c>
      <c r="B1335" s="79">
        <f>IFERROR(VLOOKUP($G1335,基本資料!$A:$J,4,0),"無")</f>
        <v>-2</v>
      </c>
      <c r="C1335" s="79">
        <f>IFERROR(VLOOKUP($G1335,基本資料!$A:$J,5,0),"無")</f>
        <v>93</v>
      </c>
      <c r="D1335" s="79">
        <f>IFERROR(VLOOKUP($G1335,基本資料!$A:$J,6,0),"無")</f>
        <v>57</v>
      </c>
      <c r="E1335" s="79">
        <f>IFERROR(VLOOKUP($G1335,基本資料!$A:$J,7,0),"無")</f>
        <v>-35</v>
      </c>
      <c r="F1335" s="6">
        <f>IFERROR(VLOOKUP($G1335,基本資料!$A:$J,8,0),"無")</f>
        <v>6.77</v>
      </c>
      <c r="G1335" s="79">
        <v>5398</v>
      </c>
      <c r="H1335" s="8" t="s">
        <v>1960</v>
      </c>
      <c r="I1335" s="16" t="s">
        <v>2986</v>
      </c>
      <c r="J1335" s="8" t="str">
        <f>IFERROR(VLOOKUP($G1335,今日總結!$A:$AJ,35,0),"")</f>
        <v/>
      </c>
      <c r="K1335" s="5" t="str">
        <f>IFERROR(VLOOKUP($G1335,今日總結!$A:$AJ,36,0),"")</f>
        <v/>
      </c>
      <c r="L1335" s="156" t="str">
        <f>IFERROR(VLOOKUP($G1335,今日總結!$A:$AJ,33,0),"")</f>
        <v/>
      </c>
      <c r="M1335" s="340" t="str">
        <f>IFERROR(VLOOKUP($G1335,今日總結!$A:$AJ,34,0),"")</f>
        <v/>
      </c>
      <c r="N1335" s="240" t="str">
        <f t="shared" si="250"/>
        <v/>
      </c>
      <c r="P1335" s="365">
        <f>IFERROR(VLOOKUP($G1335,融外自投!$A:$J,7,0),"無")</f>
        <v>619</v>
      </c>
      <c r="Q1335" s="79" t="str">
        <f>IFERROR(VLOOKUP($G1335,融外自投!$A:$J,9,0),"無")</f>
        <v>無</v>
      </c>
      <c r="R1335" s="346">
        <f>IFERROR(VLOOKUP($G1335,融外自投!$A:$J,8,0),"無")</f>
        <v>973</v>
      </c>
      <c r="S1335" s="81" t="str">
        <f>IFERROR(VLOOKUP($G1335,融外自投!$A:$J,10,0),"無")</f>
        <v>無</v>
      </c>
      <c r="T1335" s="327">
        <f>IFERROR(VLOOKUP($G1335,'321買'!$A:$E,5,0),"'沒有資料'")</f>
        <v>1338</v>
      </c>
      <c r="U1335" s="186">
        <f>IFERROR(VLOOKUP($G1335,基本資料!$A:$J,9,0),"無")</f>
        <v>0.14000000000000001</v>
      </c>
      <c r="V1335" s="310">
        <f t="shared" si="245"/>
        <v>6.8292682926829277E-3</v>
      </c>
      <c r="W1335" s="94">
        <f>IFERROR(VLOOKUP($G1335,基本資料!$A:$J,10,0),"無")</f>
        <v>0.33</v>
      </c>
      <c r="X1335" s="36">
        <f>RTD("money.excel",,"5398","Price")</f>
        <v>20.5</v>
      </c>
      <c r="Y1335" s="66"/>
      <c r="Z1335" s="15">
        <f t="shared" si="246"/>
        <v>20.5</v>
      </c>
      <c r="AA1335" s="3" t="e">
        <f t="shared" si="247"/>
        <v>#DIV/0!</v>
      </c>
      <c r="AB1335" s="344">
        <f>IFERROR(VLOOKUP($G1335,基本資料!$A:$M,11,0),"無")</f>
        <v>-4.29</v>
      </c>
      <c r="AC1335" s="397">
        <f>IFERROR(VLOOKUP($G1335,基本資料!$A:$M,12,0),"無")</f>
        <v>67.260000000000005</v>
      </c>
      <c r="AD1335" s="16" t="s">
        <v>2986</v>
      </c>
      <c r="AG1335" s="33">
        <f t="shared" si="248"/>
        <v>0</v>
      </c>
      <c r="AH1335" s="43" t="s">
        <v>2989</v>
      </c>
      <c r="AI1335" s="63">
        <f t="shared" si="249"/>
        <v>8.2164328657314634E-4</v>
      </c>
      <c r="AJ1335" s="284">
        <f>RTD("money.excel",,$G1335,"PredictVolume")</f>
        <v>41</v>
      </c>
      <c r="AK1335" s="399">
        <f>IFERROR(VLOOKUP($G1335,基本資料!$A:$M,13,0),"無")</f>
        <v>0.73</v>
      </c>
    </row>
    <row r="1336" spans="1:37">
      <c r="A1336" s="347">
        <f>IFERROR(VLOOKUP($G1336,基本資料!$A:$J,3,0),"無")</f>
        <v>12.23</v>
      </c>
      <c r="B1336" s="79">
        <f>IFERROR(VLOOKUP($G1336,基本資料!$A:$J,4,0),"無")</f>
        <v>126</v>
      </c>
      <c r="C1336" s="79">
        <f>IFERROR(VLOOKUP($G1336,基本資料!$A:$J,5,0),"無")</f>
        <v>68</v>
      </c>
      <c r="D1336" s="79">
        <f>IFERROR(VLOOKUP($G1336,基本資料!$A:$J,6,0),"無")</f>
        <v>63</v>
      </c>
      <c r="E1336" s="79">
        <f>IFERROR(VLOOKUP($G1336,基本資料!$A:$J,7,0),"無")</f>
        <v>19</v>
      </c>
      <c r="F1336" s="6">
        <f>IFERROR(VLOOKUP($G1336,基本資料!$A:$J,8,0),"無")</f>
        <v>5.69</v>
      </c>
      <c r="G1336" s="79">
        <v>5450</v>
      </c>
      <c r="H1336" s="8" t="s">
        <v>1960</v>
      </c>
      <c r="I1336" s="16" t="s">
        <v>2987</v>
      </c>
      <c r="J1336" s="8" t="str">
        <f>IFERROR(VLOOKUP($G1336,今日總結!$A:$AJ,35,0),"")</f>
        <v/>
      </c>
      <c r="K1336" s="5" t="str">
        <f>IFERROR(VLOOKUP($G1336,今日總結!$A:$AJ,36,0),"")</f>
        <v/>
      </c>
      <c r="L1336" s="156" t="str">
        <f>IFERROR(VLOOKUP($G1336,今日總結!$A:$AJ,33,0),"")</f>
        <v/>
      </c>
      <c r="M1336" s="340" t="str">
        <f>IFERROR(VLOOKUP($G1336,今日總結!$A:$AJ,34,0),"")</f>
        <v/>
      </c>
      <c r="N1336" s="240" t="str">
        <f t="shared" si="250"/>
        <v/>
      </c>
      <c r="P1336" s="365">
        <f>IFERROR(VLOOKUP($G1336,融外自投!$A:$J,7,0),"無")</f>
        <v>622</v>
      </c>
      <c r="Q1336" s="79" t="str">
        <f>IFERROR(VLOOKUP($G1336,融外自投!$A:$J,9,0),"無")</f>
        <v>無</v>
      </c>
      <c r="R1336" s="346">
        <f>IFERROR(VLOOKUP($G1336,融外自投!$A:$J,8,0),"無")</f>
        <v>1420</v>
      </c>
      <c r="S1336" s="81" t="str">
        <f>IFERROR(VLOOKUP($G1336,融外自投!$A:$J,10,0),"無")</f>
        <v>無</v>
      </c>
      <c r="T1336" s="327">
        <f>IFERROR(VLOOKUP($G1336,'321買'!$A:$E,5,0),"'沒有資料'")</f>
        <v>1296</v>
      </c>
      <c r="U1336" s="186">
        <f>IFERROR(VLOOKUP($G1336,基本資料!$A:$J,9,0),"無")</f>
        <v>0.6</v>
      </c>
      <c r="V1336" s="310">
        <f t="shared" si="245"/>
        <v>3.4285714285714287E-2</v>
      </c>
      <c r="W1336" s="94">
        <f>IFERROR(VLOOKUP($G1336,基本資料!$A:$J,10,0),"無")</f>
        <v>1.23</v>
      </c>
      <c r="X1336" s="36">
        <f>RTD("money.excel",,"5450","Price")</f>
        <v>17.5</v>
      </c>
      <c r="Y1336" s="66"/>
      <c r="Z1336" s="15">
        <f t="shared" si="246"/>
        <v>17.5</v>
      </c>
      <c r="AA1336" s="3" t="e">
        <f t="shared" si="247"/>
        <v>#DIV/0!</v>
      </c>
      <c r="AB1336" s="344">
        <f>IFERROR(VLOOKUP($G1336,基本資料!$A:$M,11,0),"無")</f>
        <v>-25.22</v>
      </c>
      <c r="AC1336" s="397">
        <f>IFERROR(VLOOKUP($G1336,基本資料!$A:$M,12,0),"無")</f>
        <v>34.18</v>
      </c>
      <c r="AD1336" s="16" t="s">
        <v>2987</v>
      </c>
      <c r="AG1336" s="33">
        <f t="shared" si="248"/>
        <v>0</v>
      </c>
      <c r="AH1336" s="43" t="s">
        <v>2990</v>
      </c>
      <c r="AI1336" s="63">
        <f t="shared" si="249"/>
        <v>1.9623875715453801E-4</v>
      </c>
      <c r="AJ1336" s="284">
        <f>RTD("money.excel",,$G1336,"PredictVolume")</f>
        <v>24</v>
      </c>
      <c r="AK1336" s="399">
        <f>IFERROR(VLOOKUP($G1336,基本資料!$A:$M,13,0),"無")</f>
        <v>3.28</v>
      </c>
    </row>
    <row r="1337" spans="1:37">
      <c r="A1337" s="347">
        <f>IFERROR(VLOOKUP($G1337,基本資料!$A:$J,3,0),"無")</f>
        <v>7.34</v>
      </c>
      <c r="B1337" s="79">
        <f>IFERROR(VLOOKUP($G1337,基本資料!$A:$J,4,0),"無")</f>
        <v>-70</v>
      </c>
      <c r="C1337" s="79">
        <f>IFERROR(VLOOKUP($G1337,基本資料!$A:$J,5,0),"無")</f>
        <v>28</v>
      </c>
      <c r="D1337" s="79">
        <f>IFERROR(VLOOKUP($G1337,基本資料!$A:$J,6,0),"無")</f>
        <v>-9</v>
      </c>
      <c r="E1337" s="79">
        <f>IFERROR(VLOOKUP($G1337,基本資料!$A:$J,7,0),"無")</f>
        <v>-9</v>
      </c>
      <c r="F1337" s="6">
        <f>IFERROR(VLOOKUP($G1337,基本資料!$A:$J,8,0),"無")</f>
        <v>-27.72</v>
      </c>
      <c r="G1337" s="79">
        <v>5481</v>
      </c>
      <c r="H1337" s="8" t="s">
        <v>1960</v>
      </c>
      <c r="I1337" s="16" t="s">
        <v>2988</v>
      </c>
      <c r="J1337" s="8" t="str">
        <f>IFERROR(VLOOKUP($G1337,今日總結!$A:$AJ,35,0),"")</f>
        <v/>
      </c>
      <c r="K1337" s="5" t="str">
        <f>IFERROR(VLOOKUP($G1337,今日總結!$A:$AJ,36,0),"")</f>
        <v/>
      </c>
      <c r="L1337" s="156" t="str">
        <f>IFERROR(VLOOKUP($G1337,今日總結!$A:$AJ,33,0),"")</f>
        <v/>
      </c>
      <c r="M1337" s="340" t="str">
        <f>IFERROR(VLOOKUP($G1337,今日總結!$A:$AJ,34,0),"")</f>
        <v/>
      </c>
      <c r="N1337" s="240" t="str">
        <f t="shared" si="250"/>
        <v/>
      </c>
      <c r="P1337" s="365">
        <f>IFERROR(VLOOKUP($G1337,融外自投!$A:$J,7,0),"無")</f>
        <v>536</v>
      </c>
      <c r="Q1337" s="79">
        <f>IFERROR(VLOOKUP($G1337,融外自投!$A:$J,9,0),"無")</f>
        <v>936</v>
      </c>
      <c r="R1337" s="346">
        <f>IFERROR(VLOOKUP($G1337,融外自投!$A:$J,8,0),"無")</f>
        <v>204</v>
      </c>
      <c r="S1337" s="81" t="str">
        <f>IFERROR(VLOOKUP($G1337,融外自投!$A:$J,10,0),"無")</f>
        <v>無</v>
      </c>
      <c r="T1337" s="327">
        <f>IFERROR(VLOOKUP($G1337,'321買'!$A:$E,5,0),"'沒有資料'")</f>
        <v>1007</v>
      </c>
      <c r="U1337" s="186">
        <f>IFERROR(VLOOKUP($G1337,基本資料!$A:$J,9,0),"無")</f>
        <v>0.6</v>
      </c>
      <c r="V1337" s="310">
        <f t="shared" si="245"/>
        <v>4.6692607003891051E-2</v>
      </c>
      <c r="W1337" s="94">
        <f>IFERROR(VLOOKUP($G1337,基本資料!$A:$J,10,0),"無")</f>
        <v>1.81</v>
      </c>
      <c r="X1337" s="36">
        <f>RTD("money.excel",,"5481","Price")</f>
        <v>12.85</v>
      </c>
      <c r="Y1337" s="66"/>
      <c r="Z1337" s="15">
        <f t="shared" si="246"/>
        <v>12.85</v>
      </c>
      <c r="AA1337" s="3" t="e">
        <f t="shared" si="247"/>
        <v>#DIV/0!</v>
      </c>
      <c r="AB1337" s="344">
        <f>IFERROR(VLOOKUP($G1337,基本資料!$A:$M,11,0),"無")</f>
        <v>-8.8699999999999992</v>
      </c>
      <c r="AC1337" s="397">
        <f>IFERROR(VLOOKUP($G1337,基本資料!$A:$M,12,0),"無")</f>
        <v>33.520000000000003</v>
      </c>
      <c r="AD1337" s="16" t="s">
        <v>2988</v>
      </c>
      <c r="AG1337" s="33">
        <f t="shared" si="248"/>
        <v>0</v>
      </c>
      <c r="AH1337" s="43" t="s">
        <v>2991</v>
      </c>
      <c r="AI1337" s="63">
        <f t="shared" si="249"/>
        <v>7.0844686648501368E-4</v>
      </c>
      <c r="AJ1337" s="284">
        <f>RTD("money.excel",,$G1337,"PredictVolume")</f>
        <v>52</v>
      </c>
      <c r="AK1337" s="399">
        <f>IFERROR(VLOOKUP($G1337,基本資料!$A:$M,13,0),"無")</f>
        <v>8.3800000000000008</v>
      </c>
    </row>
    <row r="1338" spans="1:37">
      <c r="A1338" s="347">
        <f>IFERROR(VLOOKUP($G1338,基本資料!$A:$J,3,0),"無")</f>
        <v>42</v>
      </c>
      <c r="B1338" s="79">
        <f>IFERROR(VLOOKUP($G1338,基本資料!$A:$J,4,0),"無")</f>
        <v>5</v>
      </c>
      <c r="C1338" s="79">
        <f>IFERROR(VLOOKUP($G1338,基本資料!$A:$J,5,0),"無")</f>
        <v>-19</v>
      </c>
      <c r="D1338" s="79">
        <f>IFERROR(VLOOKUP($G1338,基本資料!$A:$J,6,0),"無")</f>
        <v>73</v>
      </c>
      <c r="E1338" s="79">
        <f>IFERROR(VLOOKUP($G1338,基本資料!$A:$J,7,0),"無")</f>
        <v>9</v>
      </c>
      <c r="F1338" s="6">
        <f>IFERROR(VLOOKUP($G1338,基本資料!$A:$J,8,0),"無")</f>
        <v>32.69</v>
      </c>
      <c r="G1338" s="79">
        <v>5530</v>
      </c>
      <c r="H1338" s="8" t="s">
        <v>1960</v>
      </c>
      <c r="I1338" s="16" t="s">
        <v>146</v>
      </c>
      <c r="J1338" s="8" t="str">
        <f>IFERROR(VLOOKUP($G1338,今日總結!$A:$AJ,35,0),"")</f>
        <v>融</v>
      </c>
      <c r="K1338" s="5">
        <f>IFERROR(VLOOKUP($G1338,今日總結!$A:$AJ,36,0),"")</f>
        <v>9</v>
      </c>
      <c r="L1338" s="156">
        <f>IFERROR(VLOOKUP($G1338,今日總結!$A:$AJ,33,0),"")</f>
        <v>1</v>
      </c>
      <c r="M1338" s="340">
        <f>IFERROR(VLOOKUP($G1338,今日總結!$A:$AJ,34,0),"")</f>
        <v>1</v>
      </c>
      <c r="N1338" s="240">
        <f t="shared" si="250"/>
        <v>0</v>
      </c>
      <c r="P1338" s="365">
        <f>IFERROR(VLOOKUP($G1338,融外自投!$A:$J,7,0),"無")</f>
        <v>1055</v>
      </c>
      <c r="Q1338" s="79" t="str">
        <f>IFERROR(VLOOKUP($G1338,融外自投!$A:$J,9,0),"無")</f>
        <v>無</v>
      </c>
      <c r="R1338" s="346">
        <f>IFERROR(VLOOKUP($G1338,融外自投!$A:$J,8,0),"無")</f>
        <v>55</v>
      </c>
      <c r="S1338" s="81" t="str">
        <f>IFERROR(VLOOKUP($G1338,融外自投!$A:$J,10,0),"無")</f>
        <v>無</v>
      </c>
      <c r="T1338" s="327">
        <f>IFERROR(VLOOKUP($G1338,'321買'!$A:$E,5,0),"'沒有資料'")</f>
        <v>248</v>
      </c>
      <c r="U1338" s="186">
        <f>IFERROR(VLOOKUP($G1338,基本資料!$A:$J,9,0),"無")</f>
        <v>0</v>
      </c>
      <c r="V1338" s="310">
        <f t="shared" si="245"/>
        <v>0</v>
      </c>
      <c r="W1338" s="94">
        <f>IFERROR(VLOOKUP($G1338,基本資料!$A:$J,10,0),"無")</f>
        <v>3.36</v>
      </c>
      <c r="X1338" s="36">
        <f>RTD("money.excel",,"5530","Price")</f>
        <v>45.9</v>
      </c>
      <c r="Y1338" s="66"/>
      <c r="Z1338" s="15">
        <f t="shared" si="246"/>
        <v>45.9</v>
      </c>
      <c r="AA1338" s="3" t="e">
        <f t="shared" si="247"/>
        <v>#DIV/0!</v>
      </c>
      <c r="AB1338" s="344">
        <f>IFERROR(VLOOKUP($G1338,基本資料!$A:$M,11,0),"無")</f>
        <v>-15.25</v>
      </c>
      <c r="AC1338" s="397">
        <f>IFERROR(VLOOKUP($G1338,基本資料!$A:$M,12,0),"無")</f>
        <v>75.73</v>
      </c>
      <c r="AD1338" s="16" t="s">
        <v>146</v>
      </c>
      <c r="AG1338" s="33">
        <f t="shared" si="248"/>
        <v>0</v>
      </c>
      <c r="AH1338" s="117" t="s">
        <v>2467</v>
      </c>
      <c r="AI1338" s="63">
        <f t="shared" si="249"/>
        <v>3.8738095238095237E-3</v>
      </c>
      <c r="AJ1338" s="284">
        <f>RTD("money.excel",,$G1338,"PredictVolume")</f>
        <v>1627</v>
      </c>
      <c r="AK1338" s="399">
        <f>IFERROR(VLOOKUP($G1338,基本資料!$A:$M,13,0),"無")</f>
        <v>8.25</v>
      </c>
    </row>
    <row r="1339" spans="1:37">
      <c r="A1339" s="347">
        <f>IFERROR(VLOOKUP($G1339,基本資料!$A:$J,3,0),"無")</f>
        <v>145</v>
      </c>
      <c r="B1339" s="79">
        <f>IFERROR(VLOOKUP($G1339,基本資料!$A:$J,4,0),"無")</f>
        <v>29</v>
      </c>
      <c r="C1339" s="79">
        <f>IFERROR(VLOOKUP($G1339,基本資料!$A:$J,5,0),"無")</f>
        <v>41</v>
      </c>
      <c r="D1339" s="79">
        <f>IFERROR(VLOOKUP($G1339,基本資料!$A:$J,6,0),"無")</f>
        <v>19</v>
      </c>
      <c r="E1339" s="79">
        <f>IFERROR(VLOOKUP($G1339,基本資料!$A:$J,7,0),"無")</f>
        <v>23</v>
      </c>
      <c r="F1339" s="6">
        <f>IFERROR(VLOOKUP($G1339,基本資料!$A:$J,8,0),"無")</f>
        <v>46.4</v>
      </c>
      <c r="G1339" s="79">
        <v>5871</v>
      </c>
      <c r="H1339" s="8" t="s">
        <v>235</v>
      </c>
      <c r="I1339" s="22" t="s">
        <v>255</v>
      </c>
      <c r="J1339" s="8" t="str">
        <f>IFERROR(VLOOKUP($G1339,今日總結!$A:$AJ,35,0),"")</f>
        <v/>
      </c>
      <c r="K1339" s="5" t="str">
        <f>IFERROR(VLOOKUP($G1339,今日總結!$A:$AJ,36,0),"")</f>
        <v/>
      </c>
      <c r="L1339" s="156" t="str">
        <f>IFERROR(VLOOKUP($G1339,今日總結!$A:$AJ,33,0),"")</f>
        <v/>
      </c>
      <c r="M1339" s="340" t="str">
        <f>IFERROR(VLOOKUP($G1339,今日總結!$A:$AJ,34,0),"")</f>
        <v/>
      </c>
      <c r="N1339" s="240" t="str">
        <f t="shared" si="250"/>
        <v/>
      </c>
      <c r="P1339" s="365">
        <f>IFERROR(VLOOKUP($G1339,融外自投!$A:$J,7,0),"無")</f>
        <v>1319</v>
      </c>
      <c r="Q1339" s="79">
        <f>IFERROR(VLOOKUP($G1339,融外自投!$A:$J,9,0),"無")</f>
        <v>667</v>
      </c>
      <c r="R1339" s="346">
        <f>IFERROR(VLOOKUP($G1339,融外自投!$A:$J,8,0),"無")</f>
        <v>11</v>
      </c>
      <c r="S1339" s="81">
        <f>IFERROR(VLOOKUP($G1339,融外自投!$A:$J,10,0),"無")</f>
        <v>180</v>
      </c>
      <c r="T1339" s="327">
        <f>IFERROR(VLOOKUP($G1339,'321買'!$A:$E,5,0),"'沒有資料'")</f>
        <v>122</v>
      </c>
      <c r="U1339" s="186">
        <f>IFERROR(VLOOKUP($G1339,基本資料!$A:$J,9,0),"無")</f>
        <v>6.5</v>
      </c>
      <c r="V1339" s="310">
        <f t="shared" si="245"/>
        <v>3.0588235294117649E-2</v>
      </c>
      <c r="W1339" s="94">
        <f>IFERROR(VLOOKUP($G1339,基本資料!$A:$J,10,0),"無")</f>
        <v>14.8</v>
      </c>
      <c r="X1339" s="36">
        <f>RTD("money.excel",,"5871","Price")</f>
        <v>212.5</v>
      </c>
      <c r="Y1339" s="66"/>
      <c r="Z1339" s="15">
        <f t="shared" si="246"/>
        <v>212.5</v>
      </c>
      <c r="AA1339" s="3" t="e">
        <f t="shared" si="247"/>
        <v>#DIV/0!</v>
      </c>
      <c r="AB1339" s="344">
        <f>IFERROR(VLOOKUP($G1339,基本資料!$A:$M,11,0),"無")</f>
        <v>-20.63</v>
      </c>
      <c r="AC1339" s="397">
        <f>IFERROR(VLOOKUP($G1339,基本資料!$A:$M,12,0),"無")</f>
        <v>28</v>
      </c>
      <c r="AD1339" s="22" t="s">
        <v>255</v>
      </c>
      <c r="AG1339" s="33">
        <f t="shared" si="248"/>
        <v>0</v>
      </c>
      <c r="AH1339" s="117" t="s">
        <v>2821</v>
      </c>
      <c r="AI1339" s="63">
        <f t="shared" si="249"/>
        <v>4.6503448275862069E-3</v>
      </c>
      <c r="AJ1339" s="284">
        <f>RTD("money.excel",,$G1339,"PredictVolume")</f>
        <v>6743</v>
      </c>
      <c r="AK1339" s="399">
        <f>IFERROR(VLOOKUP($G1339,基本資料!$A:$M,13,0),"無")</f>
        <v>2.94</v>
      </c>
    </row>
    <row r="1340" spans="1:37">
      <c r="A1340" s="347">
        <f>IFERROR(VLOOKUP($G1340,基本資料!$A:$J,3,0),"無")</f>
        <v>8.81</v>
      </c>
      <c r="B1340" s="79">
        <f>IFERROR(VLOOKUP($G1340,基本資料!$A:$J,4,0),"無")</f>
        <v>-17</v>
      </c>
      <c r="C1340" s="79">
        <f>IFERROR(VLOOKUP($G1340,基本資料!$A:$J,5,0),"無")</f>
        <v>-28</v>
      </c>
      <c r="D1340" s="79">
        <f>IFERROR(VLOOKUP($G1340,基本資料!$A:$J,6,0),"無")</f>
        <v>13</v>
      </c>
      <c r="E1340" s="79">
        <f>IFERROR(VLOOKUP($G1340,基本資料!$A:$J,7,0),"無")</f>
        <v>-15</v>
      </c>
      <c r="F1340" s="6">
        <f>IFERROR(VLOOKUP($G1340,基本資料!$A:$J,8,0),"無")</f>
        <v>6.45</v>
      </c>
      <c r="G1340" s="79">
        <v>6179</v>
      </c>
      <c r="H1340" s="8" t="s">
        <v>1960</v>
      </c>
      <c r="I1340" s="16" t="s">
        <v>645</v>
      </c>
      <c r="J1340" s="8" t="str">
        <f>IFERROR(VLOOKUP($G1340,今日總結!$A:$AJ,35,0),"")</f>
        <v/>
      </c>
      <c r="K1340" s="5" t="str">
        <f>IFERROR(VLOOKUP($G1340,今日總結!$A:$AJ,36,0),"")</f>
        <v/>
      </c>
      <c r="L1340" s="156" t="str">
        <f>IFERROR(VLOOKUP($G1340,今日總結!$A:$AJ,33,0),"")</f>
        <v/>
      </c>
      <c r="M1340" s="340" t="str">
        <f>IFERROR(VLOOKUP($G1340,今日總結!$A:$AJ,34,0),"")</f>
        <v/>
      </c>
      <c r="N1340" s="240" t="str">
        <f t="shared" si="250"/>
        <v/>
      </c>
      <c r="P1340" s="365">
        <f>IFERROR(VLOOKUP($G1340,融外自投!$A:$J,7,0),"無")</f>
        <v>313</v>
      </c>
      <c r="Q1340" s="79" t="str">
        <f>IFERROR(VLOOKUP($G1340,融外自投!$A:$J,9,0),"無")</f>
        <v>無</v>
      </c>
      <c r="R1340" s="346">
        <f>IFERROR(VLOOKUP($G1340,融外自投!$A:$J,8,0),"無")</f>
        <v>1263</v>
      </c>
      <c r="S1340" s="81" t="str">
        <f>IFERROR(VLOOKUP($G1340,融外自投!$A:$J,10,0),"無")</f>
        <v>無</v>
      </c>
      <c r="T1340" s="327">
        <f>IFERROR(VLOOKUP($G1340,'321買'!$A:$E,5,0),"'沒有資料'")</f>
        <v>827</v>
      </c>
      <c r="U1340" s="186">
        <f>IFERROR(VLOOKUP($G1340,基本資料!$A:$J,9,0),"無")</f>
        <v>1.5</v>
      </c>
      <c r="V1340" s="310">
        <f t="shared" si="245"/>
        <v>0.05</v>
      </c>
      <c r="W1340" s="94">
        <f>IFERROR(VLOOKUP($G1340,基本資料!$A:$J,10,0),"無")</f>
        <v>1.84</v>
      </c>
      <c r="X1340" s="36">
        <f>RTD("money.excel",,"6179","Price")</f>
        <v>30</v>
      </c>
      <c r="Y1340" s="66"/>
      <c r="Z1340" s="15">
        <f t="shared" si="246"/>
        <v>30</v>
      </c>
      <c r="AA1340" s="3" t="e">
        <f t="shared" si="247"/>
        <v>#DIV/0!</v>
      </c>
      <c r="AB1340" s="344">
        <f>IFERROR(VLOOKUP($G1340,基本資料!$A:$M,11,0),"無")</f>
        <v>-12.86</v>
      </c>
      <c r="AC1340" s="397">
        <f>IFERROR(VLOOKUP($G1340,基本資料!$A:$M,12,0),"無")</f>
        <v>67.45</v>
      </c>
      <c r="AD1340" s="16" t="s">
        <v>645</v>
      </c>
      <c r="AG1340" s="33">
        <f t="shared" si="248"/>
        <v>0</v>
      </c>
      <c r="AH1340" s="43" t="s">
        <v>2468</v>
      </c>
      <c r="AI1340" s="63">
        <f t="shared" si="249"/>
        <v>1.0329171396140748E-3</v>
      </c>
      <c r="AJ1340" s="284">
        <f>RTD("money.excel",,$G1340,"PredictVolume")</f>
        <v>91</v>
      </c>
      <c r="AK1340" s="399">
        <f>IFERROR(VLOOKUP($G1340,基本資料!$A:$M,13,0),"無")</f>
        <v>4.28</v>
      </c>
    </row>
    <row r="1341" spans="1:37">
      <c r="A1341" s="347">
        <f>IFERROR(VLOOKUP($G1341,基本資料!$A:$J,3,0),"無")</f>
        <v>15.82</v>
      </c>
      <c r="B1341" s="79">
        <f>IFERROR(VLOOKUP($G1341,基本資料!$A:$J,4,0),"無")</f>
        <v>3</v>
      </c>
      <c r="C1341" s="79">
        <f>IFERROR(VLOOKUP($G1341,基本資料!$A:$J,5,0),"無")</f>
        <v>-10</v>
      </c>
      <c r="D1341" s="79">
        <f>IFERROR(VLOOKUP($G1341,基本資料!$A:$J,6,0),"無")</f>
        <v>0</v>
      </c>
      <c r="E1341" s="79">
        <f>IFERROR(VLOOKUP($G1341,基本資料!$A:$J,7,0),"無")</f>
        <v>1</v>
      </c>
      <c r="F1341" s="6">
        <f>IFERROR(VLOOKUP($G1341,基本資料!$A:$J,8,0),"無")</f>
        <v>29.61</v>
      </c>
      <c r="G1341" s="79">
        <v>6184</v>
      </c>
      <c r="H1341" s="8" t="s">
        <v>1960</v>
      </c>
      <c r="I1341" s="22" t="s">
        <v>680</v>
      </c>
      <c r="J1341" s="8" t="str">
        <f>IFERROR(VLOOKUP($G1341,今日總結!$A:$AJ,35,0),"")</f>
        <v/>
      </c>
      <c r="K1341" s="5" t="str">
        <f>IFERROR(VLOOKUP($G1341,今日總結!$A:$AJ,36,0),"")</f>
        <v/>
      </c>
      <c r="L1341" s="156" t="str">
        <f>IFERROR(VLOOKUP($G1341,今日總結!$A:$AJ,33,0),"")</f>
        <v/>
      </c>
      <c r="M1341" s="340" t="str">
        <f>IFERROR(VLOOKUP($G1341,今日總結!$A:$AJ,34,0),"")</f>
        <v/>
      </c>
      <c r="N1341" s="240" t="str">
        <f t="shared" si="250"/>
        <v/>
      </c>
      <c r="P1341" s="365">
        <f>IFERROR(VLOOKUP($G1341,融外自投!$A:$J,7,0),"無")</f>
        <v>1454</v>
      </c>
      <c r="Q1341" s="79">
        <f>IFERROR(VLOOKUP($G1341,融外自投!$A:$J,9,0),"無")</f>
        <v>978</v>
      </c>
      <c r="R1341" s="346">
        <f>IFERROR(VLOOKUP($G1341,融外自投!$A:$J,8,0),"無")</f>
        <v>960</v>
      </c>
      <c r="S1341" s="81" t="str">
        <f>IFERROR(VLOOKUP($G1341,融外自投!$A:$J,10,0),"無")</f>
        <v>無</v>
      </c>
      <c r="T1341" s="327">
        <f>IFERROR(VLOOKUP($G1341,'321買'!$A:$E,5,0),"'沒有資料'")</f>
        <v>1179</v>
      </c>
      <c r="U1341" s="186">
        <f>IFERROR(VLOOKUP($G1341,基本資料!$A:$J,9,0),"無")</f>
        <v>3</v>
      </c>
      <c r="V1341" s="310">
        <f t="shared" si="245"/>
        <v>6.3357972544878557E-2</v>
      </c>
      <c r="W1341" s="94">
        <f>IFERROR(VLOOKUP($G1341,基本資料!$A:$J,10,0),"無")</f>
        <v>3.51</v>
      </c>
      <c r="X1341" s="36">
        <f>RTD("money.excel",,"6184","Price")</f>
        <v>47.35</v>
      </c>
      <c r="Y1341" s="66"/>
      <c r="Z1341" s="15">
        <f t="shared" si="246"/>
        <v>47.35</v>
      </c>
      <c r="AA1341" s="3" t="e">
        <f t="shared" si="247"/>
        <v>#DIV/0!</v>
      </c>
      <c r="AB1341" s="344">
        <f>IFERROR(VLOOKUP($G1341,基本資料!$A:$M,11,0),"無")</f>
        <v>-1.1499999999999999</v>
      </c>
      <c r="AC1341" s="397">
        <f>IFERROR(VLOOKUP($G1341,基本資料!$A:$M,12,0),"無")</f>
        <v>80.27</v>
      </c>
      <c r="AD1341" s="22" t="s">
        <v>680</v>
      </c>
      <c r="AG1341" s="33">
        <f t="shared" si="248"/>
        <v>0</v>
      </c>
      <c r="AH1341" s="43" t="s">
        <v>2822</v>
      </c>
      <c r="AI1341" s="63">
        <f t="shared" si="249"/>
        <v>2.6548672566371683E-4</v>
      </c>
      <c r="AJ1341" s="284">
        <f>RTD("money.excel",,$G1341,"PredictVolume")</f>
        <v>42</v>
      </c>
      <c r="AK1341" s="399">
        <f>IFERROR(VLOOKUP($G1341,基本資料!$A:$M,13,0),"無")</f>
        <v>0.37</v>
      </c>
    </row>
    <row r="1342" spans="1:37">
      <c r="A1342" s="347">
        <f>IFERROR(VLOOKUP($G1342,基本資料!$A:$J,3,0),"無")</f>
        <v>6.17</v>
      </c>
      <c r="B1342" s="79">
        <f>IFERROR(VLOOKUP($G1342,基本資料!$A:$J,4,0),"無")</f>
        <v>23</v>
      </c>
      <c r="C1342" s="79">
        <f>IFERROR(VLOOKUP($G1342,基本資料!$A:$J,5,0),"無")</f>
        <v>120</v>
      </c>
      <c r="D1342" s="79">
        <f>IFERROR(VLOOKUP($G1342,基本資料!$A:$J,6,0),"無")</f>
        <v>12</v>
      </c>
      <c r="E1342" s="79">
        <f>IFERROR(VLOOKUP($G1342,基本資料!$A:$J,7,0),"無")</f>
        <v>42</v>
      </c>
      <c r="F1342" s="6">
        <f>IFERROR(VLOOKUP($G1342,基本資料!$A:$J,8,0),"無")</f>
        <v>3</v>
      </c>
      <c r="G1342" s="79">
        <v>6199</v>
      </c>
      <c r="H1342" s="8" t="s">
        <v>1960</v>
      </c>
      <c r="I1342" s="16" t="s">
        <v>646</v>
      </c>
      <c r="J1342" s="8" t="str">
        <f>IFERROR(VLOOKUP($G1342,今日總結!$A:$AJ,35,0),"")</f>
        <v/>
      </c>
      <c r="K1342" s="5" t="str">
        <f>IFERROR(VLOOKUP($G1342,今日總結!$A:$AJ,36,0),"")</f>
        <v/>
      </c>
      <c r="L1342" s="156" t="str">
        <f>IFERROR(VLOOKUP($G1342,今日總結!$A:$AJ,33,0),"")</f>
        <v/>
      </c>
      <c r="M1342" s="340" t="str">
        <f>IFERROR(VLOOKUP($G1342,今日總結!$A:$AJ,34,0),"")</f>
        <v/>
      </c>
      <c r="N1342" s="240" t="str">
        <f t="shared" si="250"/>
        <v/>
      </c>
      <c r="P1342" s="365" t="str">
        <f>IFERROR(VLOOKUP($G1342,融外自投!$A:$J,7,0),"無")</f>
        <v>無</v>
      </c>
      <c r="Q1342" s="79" t="str">
        <f>IFERROR(VLOOKUP($G1342,融外自投!$A:$J,9,0),"無")</f>
        <v>無</v>
      </c>
      <c r="R1342" s="346" t="str">
        <f>IFERROR(VLOOKUP($G1342,融外自投!$A:$J,8,0),"無")</f>
        <v>無</v>
      </c>
      <c r="S1342" s="81" t="str">
        <f>IFERROR(VLOOKUP($G1342,融外自投!$A:$J,10,0),"無")</f>
        <v>無</v>
      </c>
      <c r="T1342" s="327" t="str">
        <f>IFERROR(VLOOKUP($G1342,'321買'!$A:$E,5,0),"'沒有資料'")</f>
        <v>'沒有資料'</v>
      </c>
      <c r="U1342" s="186">
        <f>IFERROR(VLOOKUP($G1342,基本資料!$A:$J,9,0),"無")</f>
        <v>0</v>
      </c>
      <c r="V1342" s="310">
        <f t="shared" si="245"/>
        <v>0</v>
      </c>
      <c r="W1342" s="94">
        <f>IFERROR(VLOOKUP($G1342,基本資料!$A:$J,10,0),"無")</f>
        <v>0.68</v>
      </c>
      <c r="X1342" s="36">
        <f>RTD("money.excel",,"6199","Price")</f>
        <v>24.9</v>
      </c>
      <c r="Y1342" s="66"/>
      <c r="Z1342" s="15">
        <f t="shared" si="246"/>
        <v>24.9</v>
      </c>
      <c r="AA1342" s="3" t="e">
        <f t="shared" si="247"/>
        <v>#DIV/0!</v>
      </c>
      <c r="AB1342" s="344">
        <f>IFERROR(VLOOKUP($G1342,基本資料!$A:$M,11,0),"無")</f>
        <v>-0.18</v>
      </c>
      <c r="AC1342" s="397">
        <f>IFERROR(VLOOKUP($G1342,基本資料!$A:$M,12,0),"無")</f>
        <v>81.7</v>
      </c>
      <c r="AD1342" s="16" t="s">
        <v>646</v>
      </c>
      <c r="AG1342" s="33">
        <f t="shared" si="248"/>
        <v>0</v>
      </c>
      <c r="AH1342" s="43" t="s">
        <v>2469</v>
      </c>
      <c r="AI1342" s="63">
        <f t="shared" si="249"/>
        <v>1.8476499189627228E-3</v>
      </c>
      <c r="AJ1342" s="284">
        <f>RTD("money.excel",,$G1342,"PredictVolume")</f>
        <v>114</v>
      </c>
      <c r="AK1342" s="399">
        <f>IFERROR(VLOOKUP($G1342,基本資料!$A:$M,13,0),"無")</f>
        <v>1.97</v>
      </c>
    </row>
    <row r="1343" spans="1:37">
      <c r="A1343" s="347">
        <f>IFERROR(VLOOKUP($G1343,基本資料!$A:$J,3,0),"無")</f>
        <v>3.16</v>
      </c>
      <c r="B1343" s="79">
        <f>IFERROR(VLOOKUP($G1343,基本資料!$A:$J,4,0),"無")</f>
        <v>50</v>
      </c>
      <c r="C1343" s="79">
        <f>IFERROR(VLOOKUP($G1343,基本資料!$A:$J,5,0),"無")</f>
        <v>32</v>
      </c>
      <c r="D1343" s="79">
        <f>IFERROR(VLOOKUP($G1343,基本資料!$A:$J,6,0),"無")</f>
        <v>131</v>
      </c>
      <c r="E1343" s="79">
        <f>IFERROR(VLOOKUP($G1343,基本資料!$A:$J,7,0),"無")</f>
        <v>118</v>
      </c>
      <c r="F1343" s="6">
        <f>IFERROR(VLOOKUP($G1343,基本資料!$A:$J,8,0),"無")</f>
        <v>-29.29</v>
      </c>
      <c r="G1343" s="79">
        <v>6236</v>
      </c>
      <c r="H1343" s="8" t="s">
        <v>1960</v>
      </c>
      <c r="I1343" s="16" t="s">
        <v>647</v>
      </c>
      <c r="J1343" s="8" t="str">
        <f>IFERROR(VLOOKUP($G1343,今日總結!$A:$AJ,35,0),"")</f>
        <v/>
      </c>
      <c r="K1343" s="5" t="str">
        <f>IFERROR(VLOOKUP($G1343,今日總結!$A:$AJ,36,0),"")</f>
        <v/>
      </c>
      <c r="L1343" s="156" t="str">
        <f>IFERROR(VLOOKUP($G1343,今日總結!$A:$AJ,33,0),"")</f>
        <v/>
      </c>
      <c r="M1343" s="340" t="str">
        <f>IFERROR(VLOOKUP($G1343,今日總結!$A:$AJ,34,0),"")</f>
        <v/>
      </c>
      <c r="N1343" s="240" t="str">
        <f t="shared" si="250"/>
        <v/>
      </c>
      <c r="P1343" s="365" t="str">
        <f>IFERROR(VLOOKUP($G1343,融外自投!$A:$J,7,0),"無")</f>
        <v>無</v>
      </c>
      <c r="Q1343" s="79" t="str">
        <f>IFERROR(VLOOKUP($G1343,融外自投!$A:$J,9,0),"無")</f>
        <v>無</v>
      </c>
      <c r="R1343" s="346" t="str">
        <f>IFERROR(VLOOKUP($G1343,融外自投!$A:$J,8,0),"無")</f>
        <v>無</v>
      </c>
      <c r="S1343" s="81" t="str">
        <f>IFERROR(VLOOKUP($G1343,融外自投!$A:$J,10,0),"無")</f>
        <v>無</v>
      </c>
      <c r="T1343" s="327" t="str">
        <f>IFERROR(VLOOKUP($G1343,'321買'!$A:$E,5,0),"'沒有資料'")</f>
        <v>'沒有資料'</v>
      </c>
      <c r="U1343" s="186">
        <f>IFERROR(VLOOKUP($G1343,基本資料!$A:$J,9,0),"無")</f>
        <v>0</v>
      </c>
      <c r="V1343" s="310">
        <f t="shared" si="245"/>
        <v>0</v>
      </c>
      <c r="W1343" s="94">
        <f>IFERROR(VLOOKUP($G1343,基本資料!$A:$J,10,0),"無")</f>
        <v>-0.17</v>
      </c>
      <c r="X1343" s="36">
        <f>RTD("money.excel",,"6236","Price")</f>
        <v>19</v>
      </c>
      <c r="Y1343" s="66"/>
      <c r="Z1343" s="15">
        <f t="shared" si="246"/>
        <v>19</v>
      </c>
      <c r="AA1343" s="3" t="e">
        <f t="shared" si="247"/>
        <v>#DIV/0!</v>
      </c>
      <c r="AB1343" s="344">
        <f>IFERROR(VLOOKUP($G1343,基本資料!$A:$M,11,0),"無")</f>
        <v>-16.28</v>
      </c>
      <c r="AC1343" s="397">
        <f>IFERROR(VLOOKUP($G1343,基本資料!$A:$M,12,0),"無")</f>
        <v>94.93</v>
      </c>
      <c r="AD1343" s="16" t="s">
        <v>647</v>
      </c>
      <c r="AG1343" s="33">
        <f t="shared" si="248"/>
        <v>0</v>
      </c>
      <c r="AH1343" s="43" t="s">
        <v>2453</v>
      </c>
      <c r="AI1343" s="63">
        <f t="shared" si="249"/>
        <v>2.5316455696202533E-4</v>
      </c>
      <c r="AJ1343" s="284">
        <f>RTD("money.excel",,$G1343,"PredictVolume")</f>
        <v>8</v>
      </c>
      <c r="AK1343" s="399">
        <f>IFERROR(VLOOKUP($G1343,基本資料!$A:$M,13,0),"無")</f>
        <v>0.65</v>
      </c>
    </row>
    <row r="1344" spans="1:37">
      <c r="A1344" s="347">
        <f>IFERROR(VLOOKUP($G1344,基本資料!$A:$J,3,0),"無")</f>
        <v>13.03</v>
      </c>
      <c r="B1344" s="79">
        <f>IFERROR(VLOOKUP($G1344,基本資料!$A:$J,4,0),"無")</f>
        <v>1</v>
      </c>
      <c r="C1344" s="79">
        <f>IFERROR(VLOOKUP($G1344,基本資料!$A:$J,5,0),"無")</f>
        <v>2</v>
      </c>
      <c r="D1344" s="79">
        <f>IFERROR(VLOOKUP($G1344,基本資料!$A:$J,6,0),"無")</f>
        <v>0</v>
      </c>
      <c r="E1344" s="79">
        <f>IFERROR(VLOOKUP($G1344,基本資料!$A:$J,7,0),"無")</f>
        <v>0</v>
      </c>
      <c r="F1344" s="6">
        <f>IFERROR(VLOOKUP($G1344,基本資料!$A:$J,8,0),"無")</f>
        <v>34.99</v>
      </c>
      <c r="G1344" s="79">
        <v>6464</v>
      </c>
      <c r="H1344" s="8" t="s">
        <v>1960</v>
      </c>
      <c r="I1344" s="22" t="s">
        <v>681</v>
      </c>
      <c r="J1344" s="8" t="str">
        <f>IFERROR(VLOOKUP($G1344,今日總結!$A:$AJ,35,0),"")</f>
        <v/>
      </c>
      <c r="K1344" s="5" t="str">
        <f>IFERROR(VLOOKUP($G1344,今日總結!$A:$AJ,36,0),"")</f>
        <v/>
      </c>
      <c r="L1344" s="156" t="str">
        <f>IFERROR(VLOOKUP($G1344,今日總結!$A:$AJ,33,0),"")</f>
        <v/>
      </c>
      <c r="M1344" s="340" t="str">
        <f>IFERROR(VLOOKUP($G1344,今日總結!$A:$AJ,34,0),"")</f>
        <v/>
      </c>
      <c r="N1344" s="240" t="str">
        <f t="shared" si="250"/>
        <v/>
      </c>
      <c r="P1344" s="365">
        <f>IFERROR(VLOOKUP($G1344,融外自投!$A:$J,7,0),"無")</f>
        <v>1439</v>
      </c>
      <c r="Q1344" s="79">
        <f>IFERROR(VLOOKUP($G1344,融外自投!$A:$J,9,0),"無")</f>
        <v>1110</v>
      </c>
      <c r="R1344" s="346">
        <f>IFERROR(VLOOKUP($G1344,融外自投!$A:$J,8,0),"無")</f>
        <v>1298</v>
      </c>
      <c r="S1344" s="81" t="str">
        <f>IFERROR(VLOOKUP($G1344,融外自投!$A:$J,10,0),"無")</f>
        <v>無</v>
      </c>
      <c r="T1344" s="327">
        <f>IFERROR(VLOOKUP($G1344,'321買'!$A:$E,5,0),"'沒有資料'")</f>
        <v>1214</v>
      </c>
      <c r="U1344" s="186">
        <f>IFERROR(VLOOKUP($G1344,基本資料!$A:$J,9,0),"無")</f>
        <v>4.5999999999999996</v>
      </c>
      <c r="V1344" s="310">
        <f t="shared" si="245"/>
        <v>5.19774011299435E-2</v>
      </c>
      <c r="W1344" s="94">
        <f>IFERROR(VLOOKUP($G1344,基本資料!$A:$J,10,0),"無")</f>
        <v>8.27</v>
      </c>
      <c r="X1344" s="36">
        <f>RTD("money.excel",,"6464","Price")</f>
        <v>88.5</v>
      </c>
      <c r="Y1344" s="66"/>
      <c r="Z1344" s="15">
        <f t="shared" si="246"/>
        <v>88.5</v>
      </c>
      <c r="AA1344" s="3" t="e">
        <f t="shared" si="247"/>
        <v>#DIV/0!</v>
      </c>
      <c r="AB1344" s="344">
        <f>IFERROR(VLOOKUP($G1344,基本資料!$A:$M,11,0),"無")</f>
        <v>-21.79</v>
      </c>
      <c r="AC1344" s="397">
        <f>IFERROR(VLOOKUP($G1344,基本資料!$A:$M,12,0),"無")</f>
        <v>18.71</v>
      </c>
      <c r="AD1344" s="22" t="s">
        <v>681</v>
      </c>
      <c r="AG1344" s="33">
        <f t="shared" si="248"/>
        <v>0</v>
      </c>
      <c r="AH1344" s="43" t="s">
        <v>2822</v>
      </c>
      <c r="AI1344" s="63">
        <f t="shared" si="249"/>
        <v>6.1396776669224871E-5</v>
      </c>
      <c r="AJ1344" s="284">
        <f>RTD("money.excel",,$G1344,"PredictVolume")</f>
        <v>8</v>
      </c>
      <c r="AK1344" s="399">
        <f>IFERROR(VLOOKUP($G1344,基本資料!$A:$M,13,0),"無")</f>
        <v>0.46</v>
      </c>
    </row>
    <row r="1345" spans="1:37">
      <c r="A1345" s="347">
        <f>IFERROR(VLOOKUP($G1345,基本資料!$A:$J,3,0),"無")</f>
        <v>7.26</v>
      </c>
      <c r="B1345" s="79">
        <f>IFERROR(VLOOKUP($G1345,基本資料!$A:$J,4,0),"無")</f>
        <v>-91</v>
      </c>
      <c r="C1345" s="79">
        <f>IFERROR(VLOOKUP($G1345,基本資料!$A:$J,5,0),"無")</f>
        <v>-87</v>
      </c>
      <c r="D1345" s="79">
        <f>IFERROR(VLOOKUP($G1345,基本資料!$A:$J,6,0),"無")</f>
        <v>-3</v>
      </c>
      <c r="E1345" s="79">
        <f>IFERROR(VLOOKUP($G1345,基本資料!$A:$J,7,0),"無")</f>
        <v>-20</v>
      </c>
      <c r="F1345" s="6">
        <f>IFERROR(VLOOKUP($G1345,基本資料!$A:$J,8,0),"無")</f>
        <v>3.89</v>
      </c>
      <c r="G1345" s="79">
        <v>6504</v>
      </c>
      <c r="H1345" s="8" t="s">
        <v>1960</v>
      </c>
      <c r="I1345" s="22" t="s">
        <v>682</v>
      </c>
      <c r="J1345" s="8" t="str">
        <f>IFERROR(VLOOKUP($G1345,今日總結!$A:$AJ,35,0),"")</f>
        <v/>
      </c>
      <c r="K1345" s="5" t="str">
        <f>IFERROR(VLOOKUP($G1345,今日總結!$A:$AJ,36,0),"")</f>
        <v/>
      </c>
      <c r="L1345" s="156" t="str">
        <f>IFERROR(VLOOKUP($G1345,今日總結!$A:$AJ,33,0),"")</f>
        <v/>
      </c>
      <c r="M1345" s="340" t="str">
        <f>IFERROR(VLOOKUP($G1345,今日總結!$A:$AJ,34,0),"")</f>
        <v/>
      </c>
      <c r="N1345" s="240" t="str">
        <f t="shared" si="250"/>
        <v/>
      </c>
      <c r="P1345" s="365">
        <f>IFERROR(VLOOKUP($G1345,融外自投!$A:$J,7,0),"無")</f>
        <v>1020</v>
      </c>
      <c r="Q1345" s="79">
        <f>IFERROR(VLOOKUP($G1345,融外自投!$A:$J,9,0),"無")</f>
        <v>379</v>
      </c>
      <c r="R1345" s="346">
        <f>IFERROR(VLOOKUP($G1345,融外自投!$A:$J,8,0),"無")</f>
        <v>779</v>
      </c>
      <c r="S1345" s="81" t="str">
        <f>IFERROR(VLOOKUP($G1345,融外自投!$A:$J,10,0),"無")</f>
        <v>無</v>
      </c>
      <c r="T1345" s="327">
        <f>IFERROR(VLOOKUP($G1345,'321買'!$A:$E,5,0),"'沒有資料'")</f>
        <v>558</v>
      </c>
      <c r="U1345" s="186">
        <f>IFERROR(VLOOKUP($G1345,基本資料!$A:$J,9,0),"無")</f>
        <v>1.2</v>
      </c>
      <c r="V1345" s="310">
        <f t="shared" si="245"/>
        <v>1.3636363636363636E-2</v>
      </c>
      <c r="W1345" s="94">
        <f>IFERROR(VLOOKUP($G1345,基本資料!$A:$J,10,0),"無")</f>
        <v>1.62</v>
      </c>
      <c r="X1345" s="36">
        <f>RTD("money.excel",,"6504","Price")</f>
        <v>88</v>
      </c>
      <c r="Y1345" s="66"/>
      <c r="Z1345" s="15">
        <f t="shared" si="246"/>
        <v>88</v>
      </c>
      <c r="AA1345" s="3" t="e">
        <f t="shared" si="247"/>
        <v>#DIV/0!</v>
      </c>
      <c r="AB1345" s="344">
        <f>IFERROR(VLOOKUP($G1345,基本資料!$A:$M,11,0),"無")</f>
        <v>-45.63</v>
      </c>
      <c r="AC1345" s="397">
        <f>IFERROR(VLOOKUP($G1345,基本資料!$A:$M,12,0),"無")</f>
        <v>12</v>
      </c>
      <c r="AD1345" s="22" t="s">
        <v>682</v>
      </c>
      <c r="AG1345" s="33">
        <f t="shared" si="248"/>
        <v>0</v>
      </c>
      <c r="AH1345" s="43" t="s">
        <v>2535</v>
      </c>
      <c r="AI1345" s="63">
        <f t="shared" si="249"/>
        <v>1.1707988980716253E-3</v>
      </c>
      <c r="AJ1345" s="284">
        <f>RTD("money.excel",,$G1345,"PredictVolume")</f>
        <v>85</v>
      </c>
      <c r="AK1345" s="399">
        <f>IFERROR(VLOOKUP($G1345,基本資料!$A:$M,13,0),"無")</f>
        <v>9.4700000000000006</v>
      </c>
    </row>
    <row r="1346" spans="1:37">
      <c r="A1346" s="347">
        <f>IFERROR(VLOOKUP($G1346,基本資料!$A:$J,3,0),"無")</f>
        <v>11.12</v>
      </c>
      <c r="B1346" s="79">
        <f>IFERROR(VLOOKUP($G1346,基本資料!$A:$J,4,0),"無")</f>
        <v>38</v>
      </c>
      <c r="C1346" s="79">
        <f>IFERROR(VLOOKUP($G1346,基本資料!$A:$J,5,0),"無")</f>
        <v>37</v>
      </c>
      <c r="D1346" s="79">
        <f>IFERROR(VLOOKUP($G1346,基本資料!$A:$J,6,0),"無")</f>
        <v>79</v>
      </c>
      <c r="E1346" s="79">
        <f>IFERROR(VLOOKUP($G1346,基本資料!$A:$J,7,0),"無")</f>
        <v>69</v>
      </c>
      <c r="F1346" s="6">
        <f>IFERROR(VLOOKUP($G1346,基本資料!$A:$J,8,0),"無")</f>
        <v>39.31</v>
      </c>
      <c r="G1346" s="79">
        <v>6581</v>
      </c>
      <c r="H1346" s="8" t="s">
        <v>1960</v>
      </c>
      <c r="I1346" s="22" t="s">
        <v>683</v>
      </c>
      <c r="J1346" s="8" t="str">
        <f>IFERROR(VLOOKUP($G1346,今日總結!$A:$AJ,35,0),"")</f>
        <v/>
      </c>
      <c r="K1346" s="5" t="str">
        <f>IFERROR(VLOOKUP($G1346,今日總結!$A:$AJ,36,0),"")</f>
        <v/>
      </c>
      <c r="L1346" s="156" t="str">
        <f>IFERROR(VLOOKUP($G1346,今日總結!$A:$AJ,33,0),"")</f>
        <v/>
      </c>
      <c r="M1346" s="340" t="str">
        <f>IFERROR(VLOOKUP($G1346,今日總結!$A:$AJ,34,0),"")</f>
        <v/>
      </c>
      <c r="N1346" s="240" t="str">
        <f t="shared" si="250"/>
        <v/>
      </c>
      <c r="P1346" s="365">
        <f>IFERROR(VLOOKUP($G1346,融外自投!$A:$J,7,0),"無")</f>
        <v>1012</v>
      </c>
      <c r="Q1346" s="79">
        <f>IFERROR(VLOOKUP($G1346,融外自投!$A:$J,9,0),"無")</f>
        <v>978</v>
      </c>
      <c r="R1346" s="346">
        <f>IFERROR(VLOOKUP($G1346,融外自投!$A:$J,8,0),"無")</f>
        <v>1160</v>
      </c>
      <c r="S1346" s="81" t="str">
        <f>IFERROR(VLOOKUP($G1346,融外自投!$A:$J,10,0),"無")</f>
        <v>無</v>
      </c>
      <c r="T1346" s="327">
        <f>IFERROR(VLOOKUP($G1346,'321買'!$A:$E,5,0),"'沒有資料'")</f>
        <v>939</v>
      </c>
      <c r="U1346" s="186">
        <f>IFERROR(VLOOKUP($G1346,基本資料!$A:$J,9,0),"無")</f>
        <v>4</v>
      </c>
      <c r="V1346" s="310">
        <f t="shared" si="245"/>
        <v>4.7225501770956316E-2</v>
      </c>
      <c r="W1346" s="94">
        <f>IFERROR(VLOOKUP($G1346,基本資料!$A:$J,10,0),"無")</f>
        <v>5.08</v>
      </c>
      <c r="X1346" s="36">
        <f>RTD("money.excel",,"6581","Price")</f>
        <v>84.7</v>
      </c>
      <c r="Y1346" s="66"/>
      <c r="Z1346" s="15">
        <f t="shared" si="246"/>
        <v>84.7</v>
      </c>
      <c r="AA1346" s="3" t="e">
        <f t="shared" si="247"/>
        <v>#DIV/0!</v>
      </c>
      <c r="AB1346" s="344">
        <f>IFERROR(VLOOKUP($G1346,基本資料!$A:$M,11,0),"無")</f>
        <v>-22.43</v>
      </c>
      <c r="AC1346" s="397">
        <f>IFERROR(VLOOKUP($G1346,基本資料!$A:$M,12,0),"無")</f>
        <v>44.5</v>
      </c>
      <c r="AD1346" s="22" t="s">
        <v>683</v>
      </c>
      <c r="AG1346" s="33">
        <f t="shared" si="248"/>
        <v>0</v>
      </c>
      <c r="AH1346" s="43" t="s">
        <v>2823</v>
      </c>
      <c r="AI1346" s="63">
        <f t="shared" si="249"/>
        <v>5.4406474820143892E-3</v>
      </c>
      <c r="AJ1346" s="284">
        <f>RTD("money.excel",,$G1346,"PredictVolume")</f>
        <v>605</v>
      </c>
      <c r="AK1346" s="399">
        <f>IFERROR(VLOOKUP($G1346,基本資料!$A:$M,13,0),"無")</f>
        <v>3.56</v>
      </c>
    </row>
    <row r="1347" spans="1:37">
      <c r="A1347" s="347" t="str">
        <f>IFERROR(VLOOKUP($G1347,基本資料!$A:$J,3,0),"無")</f>
        <v>無</v>
      </c>
      <c r="B1347" s="79" t="str">
        <f>IFERROR(VLOOKUP($G1347,基本資料!$A:$J,4,0),"無")</f>
        <v>無</v>
      </c>
      <c r="C1347" s="79" t="str">
        <f>IFERROR(VLOOKUP($G1347,基本資料!$A:$J,5,0),"無")</f>
        <v>無</v>
      </c>
      <c r="D1347" s="79" t="str">
        <f>IFERROR(VLOOKUP($G1347,基本資料!$A:$J,6,0),"無")</f>
        <v>無</v>
      </c>
      <c r="E1347" s="79" t="str">
        <f>IFERROR(VLOOKUP($G1347,基本資料!$A:$J,7,0),"無")</f>
        <v>無</v>
      </c>
      <c r="F1347" s="6" t="str">
        <f>IFERROR(VLOOKUP($G1347,基本資料!$A:$J,8,0),"無")</f>
        <v>無</v>
      </c>
      <c r="G1347" s="79">
        <v>6585</v>
      </c>
      <c r="H1347" s="8" t="s">
        <v>235</v>
      </c>
      <c r="I1347" s="22" t="s">
        <v>6728</v>
      </c>
      <c r="J1347" s="8" t="str">
        <f>IFERROR(VLOOKUP($G1347,今日總結!$A:$AJ,35,0),"")</f>
        <v/>
      </c>
      <c r="K1347" s="5" t="str">
        <f>IFERROR(VLOOKUP($G1347,今日總結!$A:$AJ,36,0),"")</f>
        <v/>
      </c>
      <c r="L1347" s="156" t="str">
        <f>IFERROR(VLOOKUP($G1347,今日總結!$A:$AJ,33,0),"")</f>
        <v/>
      </c>
      <c r="M1347" s="340" t="str">
        <f>IFERROR(VLOOKUP($G1347,今日總結!$A:$AJ,34,0),"")</f>
        <v/>
      </c>
      <c r="N1347" s="240" t="str">
        <f t="shared" si="250"/>
        <v/>
      </c>
      <c r="P1347" s="365" t="str">
        <f>IFERROR(VLOOKUP($G1347,融外自投!$A:$J,7,0),"無")</f>
        <v>無</v>
      </c>
      <c r="Q1347" s="79" t="str">
        <f>IFERROR(VLOOKUP($G1347,融外自投!$A:$J,9,0),"無")</f>
        <v>無</v>
      </c>
      <c r="R1347" s="346" t="str">
        <f>IFERROR(VLOOKUP($G1347,融外自投!$A:$J,8,0),"無")</f>
        <v>無</v>
      </c>
      <c r="S1347" s="81" t="str">
        <f>IFERROR(VLOOKUP($G1347,融外自投!$A:$J,10,0),"無")</f>
        <v>無</v>
      </c>
      <c r="T1347" s="327" t="str">
        <f>IFERROR(VLOOKUP($G1347,'321買'!$A:$E,5,0),"'沒有資料'")</f>
        <v>'沒有資料'</v>
      </c>
      <c r="U1347" s="186" t="str">
        <f>IFERROR(VLOOKUP($G1347,基本資料!$A:$J,9,0),"無")</f>
        <v>無</v>
      </c>
      <c r="V1347" s="310" t="e">
        <f t="shared" si="245"/>
        <v>#VALUE!</v>
      </c>
      <c r="W1347" s="94" t="str">
        <f>IFERROR(VLOOKUP($G1347,基本資料!$A:$J,10,0),"無")</f>
        <v>無</v>
      </c>
      <c r="X1347" s="36">
        <f>RTD("money.excel",,"6585","Price")</f>
        <v>69</v>
      </c>
      <c r="Y1347" s="66"/>
      <c r="Z1347" s="15">
        <f t="shared" ref="Z1347" si="251">X1347-Y1347</f>
        <v>69</v>
      </c>
      <c r="AA1347" s="3" t="e">
        <f t="shared" ref="AA1347" si="252">Z1347/Y1347</f>
        <v>#DIV/0!</v>
      </c>
      <c r="AB1347" s="344" t="str">
        <f>IFERROR(VLOOKUP($G1347,基本資料!$A:$M,11,0),"無")</f>
        <v>無</v>
      </c>
      <c r="AC1347" s="397" t="str">
        <f>IFERROR(VLOOKUP($G1347,基本資料!$A:$M,12,0),"無")</f>
        <v>無</v>
      </c>
      <c r="AD1347" s="22" t="s">
        <v>6728</v>
      </c>
      <c r="AG1347" s="33">
        <f t="shared" ref="AG1347" si="253">AF1347-AE1347</f>
        <v>0</v>
      </c>
      <c r="AH1347" s="43" t="s">
        <v>6729</v>
      </c>
      <c r="AI1347" s="63" t="e">
        <f t="shared" ref="AI1347" si="254">AJ1347/(A1347*10000)</f>
        <v>#VALUE!</v>
      </c>
      <c r="AJ1347" s="284">
        <f>RTD("money.excel",,$G1347,"PredictVolume")</f>
        <v>88</v>
      </c>
      <c r="AK1347" s="399" t="str">
        <f>IFERROR(VLOOKUP($G1347,基本資料!$A:$M,13,0),"無")</f>
        <v>無</v>
      </c>
    </row>
    <row r="1348" spans="1:37">
      <c r="A1348" s="347">
        <f>IFERROR(VLOOKUP($G1348,基本資料!$A:$J,3,0),"無")</f>
        <v>51.5</v>
      </c>
      <c r="B1348" s="79">
        <f>IFERROR(VLOOKUP($G1348,基本資料!$A:$J,4,0),"無")</f>
        <v>26</v>
      </c>
      <c r="C1348" s="79">
        <f>IFERROR(VLOOKUP($G1348,基本資料!$A:$J,5,0),"無")</f>
        <v>34</v>
      </c>
      <c r="D1348" s="79">
        <f>IFERROR(VLOOKUP($G1348,基本資料!$A:$J,6,0),"無")</f>
        <v>-1</v>
      </c>
      <c r="E1348" s="79">
        <f>IFERROR(VLOOKUP($G1348,基本資料!$A:$J,7,0),"無")</f>
        <v>24</v>
      </c>
      <c r="F1348" s="6">
        <f>IFERROR(VLOOKUP($G1348,基本資料!$A:$J,8,0),"無")</f>
        <v>24.07</v>
      </c>
      <c r="G1348" s="79">
        <v>6592</v>
      </c>
      <c r="H1348" s="8" t="s">
        <v>1960</v>
      </c>
      <c r="I1348" s="153" t="s">
        <v>1736</v>
      </c>
      <c r="J1348" s="8" t="str">
        <f>IFERROR(VLOOKUP($G1348,今日總結!$A:$AJ,35,0),"")</f>
        <v/>
      </c>
      <c r="K1348" s="5" t="str">
        <f>IFERROR(VLOOKUP($G1348,今日總結!$A:$AJ,36,0),"")</f>
        <v/>
      </c>
      <c r="L1348" s="156" t="str">
        <f>IFERROR(VLOOKUP($G1348,今日總結!$A:$AJ,33,0),"")</f>
        <v/>
      </c>
      <c r="M1348" s="340" t="str">
        <f>IFERROR(VLOOKUP($G1348,今日總結!$A:$AJ,34,0),"")</f>
        <v/>
      </c>
      <c r="N1348" s="240" t="str">
        <f t="shared" si="250"/>
        <v/>
      </c>
      <c r="P1348" s="365">
        <f>IFERROR(VLOOKUP($G1348,融外自投!$A:$J,7,0),"無")</f>
        <v>1228</v>
      </c>
      <c r="Q1348" s="79">
        <f>IFERROR(VLOOKUP($G1348,融外自投!$A:$J,9,0),"無")</f>
        <v>824</v>
      </c>
      <c r="R1348" s="346">
        <f>IFERROR(VLOOKUP($G1348,融外自投!$A:$J,8,0),"無")</f>
        <v>197</v>
      </c>
      <c r="S1348" s="81">
        <f>IFERROR(VLOOKUP($G1348,融外自投!$A:$J,10,0),"無")</f>
        <v>383</v>
      </c>
      <c r="T1348" s="327">
        <f>IFERROR(VLOOKUP($G1348,'321買'!$A:$E,5,0),"'沒有資料'")</f>
        <v>802</v>
      </c>
      <c r="U1348" s="186">
        <f>IFERROR(VLOOKUP($G1348,基本資料!$A:$J,9,0),"無")</f>
        <v>4.2</v>
      </c>
      <c r="V1348" s="310">
        <f t="shared" si="245"/>
        <v>4.2084168336673347E-2</v>
      </c>
      <c r="W1348" s="94">
        <f>IFERROR(VLOOKUP($G1348,基本資料!$A:$J,10,0),"無")</f>
        <v>6.1</v>
      </c>
      <c r="X1348" s="36">
        <f>RTD("money.excel",,"6592","Price")</f>
        <v>99.8</v>
      </c>
      <c r="Y1348" s="66"/>
      <c r="Z1348" s="15">
        <f t="shared" si="246"/>
        <v>99.8</v>
      </c>
      <c r="AA1348" s="3" t="e">
        <f t="shared" si="247"/>
        <v>#DIV/0!</v>
      </c>
      <c r="AB1348" s="344">
        <f>IFERROR(VLOOKUP($G1348,基本資料!$A:$M,11,0),"無")</f>
        <v>-21.62</v>
      </c>
      <c r="AC1348" s="397">
        <f>IFERROR(VLOOKUP($G1348,基本資料!$A:$M,12,0),"無")</f>
        <v>17.64</v>
      </c>
      <c r="AD1348" s="22" t="s">
        <v>1736</v>
      </c>
      <c r="AE1348" s="115"/>
      <c r="AF1348" s="126"/>
      <c r="AG1348" s="33">
        <f t="shared" si="248"/>
        <v>0</v>
      </c>
      <c r="AH1348" s="119" t="s">
        <v>1773</v>
      </c>
      <c r="AI1348" s="63">
        <f t="shared" si="249"/>
        <v>2.6019417475728157E-3</v>
      </c>
      <c r="AJ1348" s="284">
        <f>RTD("money.excel",,$G1348,"PredictVolume")</f>
        <v>1340</v>
      </c>
      <c r="AK1348" s="399">
        <f>IFERROR(VLOOKUP($G1348,基本資料!$A:$M,13,0),"無")</f>
        <v>1.1200000000000001</v>
      </c>
    </row>
    <row r="1349" spans="1:37">
      <c r="A1349" s="347">
        <f>IFERROR(VLOOKUP($G1349,基本資料!$A:$J,3,0),"無")</f>
        <v>2.86</v>
      </c>
      <c r="B1349" s="79">
        <f>IFERROR(VLOOKUP($G1349,基本資料!$A:$J,4,0),"無")</f>
        <v>-163</v>
      </c>
      <c r="C1349" s="79">
        <f>IFERROR(VLOOKUP($G1349,基本資料!$A:$J,5,0),"無")</f>
        <v>-78</v>
      </c>
      <c r="D1349" s="79">
        <f>IFERROR(VLOOKUP($G1349,基本資料!$A:$J,6,0),"無")</f>
        <v>29</v>
      </c>
      <c r="E1349" s="79">
        <f>IFERROR(VLOOKUP($G1349,基本資料!$A:$J,7,0),"無")</f>
        <v>14</v>
      </c>
      <c r="F1349" s="6">
        <f>IFERROR(VLOOKUP($G1349,基本資料!$A:$J,8,0),"無")</f>
        <v>2.38</v>
      </c>
      <c r="G1349" s="79">
        <v>6616</v>
      </c>
      <c r="H1349" s="8" t="s">
        <v>1960</v>
      </c>
      <c r="I1349" s="16" t="s">
        <v>648</v>
      </c>
      <c r="J1349" s="8" t="str">
        <f>IFERROR(VLOOKUP($G1349,今日總結!$A:$AJ,35,0),"")</f>
        <v/>
      </c>
      <c r="K1349" s="5" t="str">
        <f>IFERROR(VLOOKUP($G1349,今日總結!$A:$AJ,36,0),"")</f>
        <v/>
      </c>
      <c r="L1349" s="156" t="str">
        <f>IFERROR(VLOOKUP($G1349,今日總結!$A:$AJ,33,0),"")</f>
        <v/>
      </c>
      <c r="M1349" s="340" t="str">
        <f>IFERROR(VLOOKUP($G1349,今日總結!$A:$AJ,34,0),"")</f>
        <v/>
      </c>
      <c r="N1349" s="240" t="str">
        <f t="shared" si="250"/>
        <v/>
      </c>
      <c r="P1349" s="365" t="str">
        <f>IFERROR(VLOOKUP($G1349,融外自投!$A:$J,7,0),"無")</f>
        <v>無</v>
      </c>
      <c r="Q1349" s="79" t="str">
        <f>IFERROR(VLOOKUP($G1349,融外自投!$A:$J,9,0),"無")</f>
        <v>無</v>
      </c>
      <c r="R1349" s="346" t="str">
        <f>IFERROR(VLOOKUP($G1349,融外自投!$A:$J,8,0),"無")</f>
        <v>無</v>
      </c>
      <c r="S1349" s="81" t="str">
        <f>IFERROR(VLOOKUP($G1349,融外自投!$A:$J,10,0),"無")</f>
        <v>無</v>
      </c>
      <c r="T1349" s="327" t="str">
        <f>IFERROR(VLOOKUP($G1349,'321買'!$A:$E,5,0),"'沒有資料'")</f>
        <v>'沒有資料'</v>
      </c>
      <c r="U1349" s="186">
        <f>IFERROR(VLOOKUP($G1349,基本資料!$A:$J,9,0),"無")</f>
        <v>0</v>
      </c>
      <c r="V1349" s="310">
        <f t="shared" si="245"/>
        <v>0</v>
      </c>
      <c r="W1349" s="94">
        <f>IFERROR(VLOOKUP($G1349,基本資料!$A:$J,10,0),"無")</f>
        <v>-1.08</v>
      </c>
      <c r="X1349" s="36">
        <f>RTD("money.excel",,"6616","Price")</f>
        <v>20.5</v>
      </c>
      <c r="Y1349" s="66"/>
      <c r="Z1349" s="15">
        <f t="shared" si="246"/>
        <v>20.5</v>
      </c>
      <c r="AA1349" s="3" t="e">
        <f t="shared" si="247"/>
        <v>#DIV/0!</v>
      </c>
      <c r="AB1349" s="344">
        <f>IFERROR(VLOOKUP($G1349,基本資料!$A:$M,11,0),"無")</f>
        <v>-17.41</v>
      </c>
      <c r="AC1349" s="397">
        <f>IFERROR(VLOOKUP($G1349,基本資料!$A:$M,12,0),"無")</f>
        <v>74.819999999999993</v>
      </c>
      <c r="AD1349" s="16" t="s">
        <v>648</v>
      </c>
      <c r="AG1349" s="33">
        <f t="shared" si="248"/>
        <v>0</v>
      </c>
      <c r="AH1349" s="43" t="s">
        <v>2470</v>
      </c>
      <c r="AI1349" s="63">
        <f t="shared" si="249"/>
        <v>2.7972027972027972E-3</v>
      </c>
      <c r="AJ1349" s="284">
        <f>RTD("money.excel",,$G1349,"PredictVolume")</f>
        <v>80</v>
      </c>
      <c r="AK1349" s="399">
        <f>IFERROR(VLOOKUP($G1349,基本資料!$A:$M,13,0),"無")</f>
        <v>3.94</v>
      </c>
    </row>
    <row r="1350" spans="1:37">
      <c r="A1350" s="347">
        <f>IFERROR(VLOOKUP($G1350,基本資料!$A:$J,3,0),"無")</f>
        <v>1.8</v>
      </c>
      <c r="B1350" s="79">
        <f>IFERROR(VLOOKUP($G1350,基本資料!$A:$J,4,0),"無")</f>
        <v>104</v>
      </c>
      <c r="C1350" s="79">
        <f>IFERROR(VLOOKUP($G1350,基本資料!$A:$J,5,0),"無")</f>
        <v>176</v>
      </c>
      <c r="D1350" s="79">
        <f>IFERROR(VLOOKUP($G1350,基本資料!$A:$J,6,0),"無")</f>
        <v>3</v>
      </c>
      <c r="E1350" s="79">
        <f>IFERROR(VLOOKUP($G1350,基本資料!$A:$J,7,0),"無")</f>
        <v>-52</v>
      </c>
      <c r="F1350" s="6">
        <f>IFERROR(VLOOKUP($G1350,基本資料!$A:$J,8,0),"無")</f>
        <v>2.57</v>
      </c>
      <c r="G1350" s="79">
        <v>6624</v>
      </c>
      <c r="H1350" s="8" t="s">
        <v>1960</v>
      </c>
      <c r="I1350" s="16" t="s">
        <v>2095</v>
      </c>
      <c r="J1350" s="8" t="str">
        <f>IFERROR(VLOOKUP($G1350,今日總結!$A:$AJ,35,0),"")</f>
        <v/>
      </c>
      <c r="K1350" s="5" t="str">
        <f>IFERROR(VLOOKUP($G1350,今日總結!$A:$AJ,36,0),"")</f>
        <v/>
      </c>
      <c r="L1350" s="156" t="str">
        <f>IFERROR(VLOOKUP($G1350,今日總結!$A:$AJ,33,0),"")</f>
        <v/>
      </c>
      <c r="M1350" s="340" t="str">
        <f>IFERROR(VLOOKUP($G1350,今日總結!$A:$AJ,34,0),"")</f>
        <v/>
      </c>
      <c r="N1350" s="240" t="str">
        <f t="shared" si="250"/>
        <v/>
      </c>
      <c r="P1350" s="365" t="str">
        <f>IFERROR(VLOOKUP($G1350,融外自投!$A:$J,7,0),"無")</f>
        <v>無</v>
      </c>
      <c r="Q1350" s="79" t="str">
        <f>IFERROR(VLOOKUP($G1350,融外自投!$A:$J,9,0),"無")</f>
        <v>無</v>
      </c>
      <c r="R1350" s="346" t="str">
        <f>IFERROR(VLOOKUP($G1350,融外自投!$A:$J,8,0),"無")</f>
        <v>無</v>
      </c>
      <c r="S1350" s="81" t="str">
        <f>IFERROR(VLOOKUP($G1350,融外自投!$A:$J,10,0),"無")</f>
        <v>無</v>
      </c>
      <c r="T1350" s="327" t="str">
        <f>IFERROR(VLOOKUP($G1350,'321買'!$A:$E,5,0),"'沒有資料'")</f>
        <v>'沒有資料'</v>
      </c>
      <c r="U1350" s="186">
        <f>IFERROR(VLOOKUP($G1350,基本資料!$A:$J,9,0),"無")</f>
        <v>0</v>
      </c>
      <c r="V1350" s="310">
        <f t="shared" si="245"/>
        <v>0</v>
      </c>
      <c r="W1350" s="94">
        <f>IFERROR(VLOOKUP($G1350,基本資料!$A:$J,10,0),"無")</f>
        <v>0.04</v>
      </c>
      <c r="X1350" s="36">
        <f>RTD("money.excel",,"6624","Price")</f>
        <v>40.9</v>
      </c>
      <c r="Y1350" s="66"/>
      <c r="Z1350" s="15">
        <f t="shared" si="246"/>
        <v>40.9</v>
      </c>
      <c r="AA1350" s="3" t="e">
        <f t="shared" si="247"/>
        <v>#DIV/0!</v>
      </c>
      <c r="AB1350" s="344">
        <f>IFERROR(VLOOKUP($G1350,基本資料!$A:$M,11,0),"無")</f>
        <v>-4.88</v>
      </c>
      <c r="AC1350" s="397">
        <f>IFERROR(VLOOKUP($G1350,基本資料!$A:$M,12,0),"無")</f>
        <v>49.06</v>
      </c>
      <c r="AD1350" s="16" t="s">
        <v>2095</v>
      </c>
      <c r="AG1350" s="33">
        <f t="shared" si="248"/>
        <v>0</v>
      </c>
      <c r="AH1350" s="43" t="s">
        <v>2096</v>
      </c>
      <c r="AI1350" s="63">
        <f t="shared" si="249"/>
        <v>2.7777777777777778E-4</v>
      </c>
      <c r="AJ1350" s="284">
        <f>RTD("money.excel",,$G1350,"PredictVolume")</f>
        <v>5</v>
      </c>
      <c r="AK1350" s="399">
        <f>IFERROR(VLOOKUP($G1350,基本資料!$A:$M,13,0),"無")</f>
        <v>1.31</v>
      </c>
    </row>
    <row r="1351" spans="1:37">
      <c r="A1351" s="347">
        <f>IFERROR(VLOOKUP($G1351,基本資料!$A:$J,3,0),"無")</f>
        <v>4.43</v>
      </c>
      <c r="B1351" s="79">
        <f>IFERROR(VLOOKUP($G1351,基本資料!$A:$J,4,0),"無")</f>
        <v>29</v>
      </c>
      <c r="C1351" s="79">
        <f>IFERROR(VLOOKUP($G1351,基本資料!$A:$J,5,0),"無")</f>
        <v>44</v>
      </c>
      <c r="D1351" s="79">
        <f>IFERROR(VLOOKUP($G1351,基本資料!$A:$J,6,0),"無")</f>
        <v>-27</v>
      </c>
      <c r="E1351" s="79">
        <f>IFERROR(VLOOKUP($G1351,基本資料!$A:$J,7,0),"無")</f>
        <v>-52</v>
      </c>
      <c r="F1351" s="6">
        <f>IFERROR(VLOOKUP($G1351,基本資料!$A:$J,8,0),"無")</f>
        <v>-9.7899999999999991</v>
      </c>
      <c r="G1351" s="79">
        <v>6625</v>
      </c>
      <c r="H1351" s="8" t="s">
        <v>1960</v>
      </c>
      <c r="I1351" s="22" t="s">
        <v>684</v>
      </c>
      <c r="J1351" s="8" t="str">
        <f>IFERROR(VLOOKUP($G1351,今日總結!$A:$AJ,35,0),"")</f>
        <v/>
      </c>
      <c r="K1351" s="5" t="str">
        <f>IFERROR(VLOOKUP($G1351,今日總結!$A:$AJ,36,0),"")</f>
        <v/>
      </c>
      <c r="L1351" s="156" t="str">
        <f>IFERROR(VLOOKUP($G1351,今日總結!$A:$AJ,33,0),"")</f>
        <v/>
      </c>
      <c r="M1351" s="340" t="str">
        <f>IFERROR(VLOOKUP($G1351,今日總結!$A:$AJ,34,0),"")</f>
        <v/>
      </c>
      <c r="N1351" s="240" t="str">
        <f t="shared" si="250"/>
        <v/>
      </c>
      <c r="P1351" s="365">
        <f>IFERROR(VLOOKUP($G1351,融外自投!$A:$J,7,0),"無")</f>
        <v>1047</v>
      </c>
      <c r="Q1351" s="79">
        <f>IFERROR(VLOOKUP($G1351,融外自投!$A:$J,9,0),"無")</f>
        <v>1051</v>
      </c>
      <c r="R1351" s="346">
        <f>IFERROR(VLOOKUP($G1351,融外自投!$A:$J,8,0),"無")</f>
        <v>1063</v>
      </c>
      <c r="S1351" s="81" t="str">
        <f>IFERROR(VLOOKUP($G1351,融外自投!$A:$J,10,0),"無")</f>
        <v>無</v>
      </c>
      <c r="T1351" s="327">
        <f>IFERROR(VLOOKUP($G1351,'321買'!$A:$E,5,0),"'沒有資料'")</f>
        <v>1383</v>
      </c>
      <c r="U1351" s="186">
        <f>IFERROR(VLOOKUP($G1351,基本資料!$A:$J,9,0),"無")</f>
        <v>0</v>
      </c>
      <c r="V1351" s="310">
        <f t="shared" si="245"/>
        <v>0</v>
      </c>
      <c r="W1351" s="94">
        <f>IFERROR(VLOOKUP($G1351,基本資料!$A:$J,10,0),"無")</f>
        <v>-2</v>
      </c>
      <c r="X1351" s="36">
        <f>RTD("money.excel",,"6625","Price")</f>
        <v>27.2</v>
      </c>
      <c r="Y1351" s="66"/>
      <c r="Z1351" s="15">
        <f t="shared" si="246"/>
        <v>27.2</v>
      </c>
      <c r="AA1351" s="3" t="e">
        <f t="shared" si="247"/>
        <v>#DIV/0!</v>
      </c>
      <c r="AB1351" s="344">
        <f>IFERROR(VLOOKUP($G1351,基本資料!$A:$M,11,0),"無")</f>
        <v>-25.63</v>
      </c>
      <c r="AC1351" s="397">
        <f>IFERROR(VLOOKUP($G1351,基本資料!$A:$M,12,0),"無")</f>
        <v>11.83</v>
      </c>
      <c r="AD1351" s="22" t="s">
        <v>684</v>
      </c>
      <c r="AG1351" s="33">
        <f t="shared" si="248"/>
        <v>0</v>
      </c>
      <c r="AH1351" s="43" t="s">
        <v>2824</v>
      </c>
      <c r="AI1351" s="63">
        <f t="shared" si="249"/>
        <v>2.9345372460496614E-4</v>
      </c>
      <c r="AJ1351" s="284">
        <f>RTD("money.excel",,$G1351,"PredictVolume")</f>
        <v>13</v>
      </c>
      <c r="AK1351" s="399">
        <f>IFERROR(VLOOKUP($G1351,基本資料!$A:$M,13,0),"無")</f>
        <v>2.97</v>
      </c>
    </row>
    <row r="1352" spans="1:37">
      <c r="A1352" s="347">
        <f>IFERROR(VLOOKUP($G1352,基本資料!$A:$J,3,0),"無")</f>
        <v>3.57</v>
      </c>
      <c r="B1352" s="79">
        <f>IFERROR(VLOOKUP($G1352,基本資料!$A:$J,4,0),"無")</f>
        <v>3</v>
      </c>
      <c r="C1352" s="79">
        <f>IFERROR(VLOOKUP($G1352,基本資料!$A:$J,5,0),"無")</f>
        <v>17</v>
      </c>
      <c r="D1352" s="79">
        <f>IFERROR(VLOOKUP($G1352,基本資料!$A:$J,6,0),"無")</f>
        <v>-2</v>
      </c>
      <c r="E1352" s="79">
        <f>IFERROR(VLOOKUP($G1352,基本資料!$A:$J,7,0),"無")</f>
        <v>0</v>
      </c>
      <c r="F1352" s="6">
        <f>IFERROR(VLOOKUP($G1352,基本資料!$A:$J,8,0),"無")</f>
        <v>20.94</v>
      </c>
      <c r="G1352" s="79">
        <v>6629</v>
      </c>
      <c r="H1352" s="8" t="s">
        <v>1960</v>
      </c>
      <c r="I1352" s="16" t="s">
        <v>2097</v>
      </c>
      <c r="J1352" s="8" t="str">
        <f>IFERROR(VLOOKUP($G1352,今日總結!$A:$AJ,35,0),"")</f>
        <v/>
      </c>
      <c r="K1352" s="5" t="str">
        <f>IFERROR(VLOOKUP($G1352,今日總結!$A:$AJ,36,0),"")</f>
        <v/>
      </c>
      <c r="L1352" s="156" t="str">
        <f>IFERROR(VLOOKUP($G1352,今日總結!$A:$AJ,33,0),"")</f>
        <v/>
      </c>
      <c r="M1352" s="340" t="str">
        <f>IFERROR(VLOOKUP($G1352,今日總結!$A:$AJ,34,0),"")</f>
        <v/>
      </c>
      <c r="N1352" s="240" t="str">
        <f t="shared" si="250"/>
        <v/>
      </c>
      <c r="P1352" s="365" t="str">
        <f>IFERROR(VLOOKUP($G1352,融外自投!$A:$J,7,0),"無")</f>
        <v>無</v>
      </c>
      <c r="Q1352" s="79" t="str">
        <f>IFERROR(VLOOKUP($G1352,融外自投!$A:$J,9,0),"無")</f>
        <v>無</v>
      </c>
      <c r="R1352" s="346" t="str">
        <f>IFERROR(VLOOKUP($G1352,融外自投!$A:$J,8,0),"無")</f>
        <v>無</v>
      </c>
      <c r="S1352" s="81" t="str">
        <f>IFERROR(VLOOKUP($G1352,融外自投!$A:$J,10,0),"無")</f>
        <v>無</v>
      </c>
      <c r="T1352" s="327" t="str">
        <f>IFERROR(VLOOKUP($G1352,'321買'!$A:$E,5,0),"'沒有資料'")</f>
        <v>'沒有資料'</v>
      </c>
      <c r="U1352" s="186">
        <f>IFERROR(VLOOKUP($G1352,基本資料!$A:$J,9,0),"無")</f>
        <v>3.2</v>
      </c>
      <c r="V1352" s="310" t="e">
        <f t="shared" si="245"/>
        <v>#VALUE!</v>
      </c>
      <c r="W1352" s="94">
        <f>IFERROR(VLOOKUP($G1352,基本資料!$A:$J,10,0),"無")</f>
        <v>6.51</v>
      </c>
      <c r="X1352" s="36" t="str">
        <f>RTD("money.excel",,"6629","Price")</f>
        <v>無資料</v>
      </c>
      <c r="Y1352" s="66"/>
      <c r="Z1352" s="15" t="e">
        <f t="shared" si="246"/>
        <v>#VALUE!</v>
      </c>
      <c r="AA1352" s="3" t="e">
        <f t="shared" si="247"/>
        <v>#VALUE!</v>
      </c>
      <c r="AB1352" s="344">
        <f>IFERROR(VLOOKUP($G1352,基本資料!$A:$M,11,0),"無")</f>
        <v>-14.85</v>
      </c>
      <c r="AC1352" s="397">
        <f>IFERROR(VLOOKUP($G1352,基本資料!$A:$M,12,0),"無")</f>
        <v>45.55</v>
      </c>
      <c r="AD1352" s="16" t="s">
        <v>2097</v>
      </c>
      <c r="AG1352" s="33">
        <f t="shared" si="248"/>
        <v>0</v>
      </c>
      <c r="AH1352" s="43" t="s">
        <v>2098</v>
      </c>
      <c r="AI1352" s="63">
        <f t="shared" si="249"/>
        <v>0</v>
      </c>
      <c r="AJ1352" s="284">
        <f>RTD("money.excel",,$G1352,"PredictVolume")</f>
        <v>0</v>
      </c>
      <c r="AK1352" s="399">
        <f>IFERROR(VLOOKUP($G1352,基本資料!$A:$M,13,0),"無")</f>
        <v>0.67</v>
      </c>
    </row>
    <row r="1353" spans="1:37">
      <c r="A1353" s="347">
        <f>IFERROR(VLOOKUP($G1353,基本資料!$A:$J,3,0),"無")</f>
        <v>3.7</v>
      </c>
      <c r="B1353" s="79">
        <f>IFERROR(VLOOKUP($G1353,基本資料!$A:$J,4,0),"無")</f>
        <v>-1</v>
      </c>
      <c r="C1353" s="79">
        <f>IFERROR(VLOOKUP($G1353,基本資料!$A:$J,5,0),"無")</f>
        <v>-22</v>
      </c>
      <c r="D1353" s="79">
        <f>IFERROR(VLOOKUP($G1353,基本資料!$A:$J,6,0),"無")</f>
        <v>-8</v>
      </c>
      <c r="E1353" s="79">
        <f>IFERROR(VLOOKUP($G1353,基本資料!$A:$J,7,0),"無")</f>
        <v>-28</v>
      </c>
      <c r="F1353" s="6">
        <f>IFERROR(VLOOKUP($G1353,基本資料!$A:$J,8,0),"無")</f>
        <v>10.37</v>
      </c>
      <c r="G1353" s="79">
        <v>6641</v>
      </c>
      <c r="H1353" s="8" t="s">
        <v>1960</v>
      </c>
      <c r="I1353" s="22" t="s">
        <v>1089</v>
      </c>
      <c r="J1353" s="8" t="str">
        <f>IFERROR(VLOOKUP($G1353,今日總結!$A:$AJ,35,0),"")</f>
        <v/>
      </c>
      <c r="K1353" s="5" t="str">
        <f>IFERROR(VLOOKUP($G1353,今日總結!$A:$AJ,36,0),"")</f>
        <v/>
      </c>
      <c r="L1353" s="156" t="str">
        <f>IFERROR(VLOOKUP($G1353,今日總結!$A:$AJ,33,0),"")</f>
        <v/>
      </c>
      <c r="M1353" s="340" t="str">
        <f>IFERROR(VLOOKUP($G1353,今日總結!$A:$AJ,34,0),"")</f>
        <v/>
      </c>
      <c r="N1353" s="240" t="str">
        <f t="shared" si="250"/>
        <v/>
      </c>
      <c r="P1353" s="365">
        <f>IFERROR(VLOOKUP($G1353,融外自投!$A:$J,7,0),"無")</f>
        <v>1135</v>
      </c>
      <c r="Q1353" s="79" t="str">
        <f>IFERROR(VLOOKUP($G1353,融外自投!$A:$J,9,0),"無")</f>
        <v>無</v>
      </c>
      <c r="R1353" s="346">
        <f>IFERROR(VLOOKUP($G1353,融外自投!$A:$J,8,0),"無")</f>
        <v>174</v>
      </c>
      <c r="S1353" s="81" t="str">
        <f>IFERROR(VLOOKUP($G1353,融外自投!$A:$J,10,0),"無")</f>
        <v>無</v>
      </c>
      <c r="T1353" s="327">
        <f>IFERROR(VLOOKUP($G1353,'321買'!$A:$E,5,0),"'沒有資料'")</f>
        <v>1367</v>
      </c>
      <c r="U1353" s="186">
        <f>IFERROR(VLOOKUP($G1353,基本資料!$A:$J,9,0),"無")</f>
        <v>4.5</v>
      </c>
      <c r="V1353" s="310">
        <f t="shared" si="245"/>
        <v>7.3649754500818329E-2</v>
      </c>
      <c r="W1353" s="94">
        <f>IFERROR(VLOOKUP($G1353,基本資料!$A:$J,10,0),"無")</f>
        <v>6.3</v>
      </c>
      <c r="X1353" s="36">
        <f>RTD("money.excel",,"6641","Price")</f>
        <v>61.1</v>
      </c>
      <c r="Y1353" s="66"/>
      <c r="Z1353" s="15">
        <f t="shared" si="246"/>
        <v>61.1</v>
      </c>
      <c r="AA1353" s="3" t="e">
        <f t="shared" si="247"/>
        <v>#DIV/0!</v>
      </c>
      <c r="AB1353" s="344">
        <f>IFERROR(VLOOKUP($G1353,基本資料!$A:$M,11,0),"無")</f>
        <v>-11.13</v>
      </c>
      <c r="AC1353" s="397">
        <f>IFERROR(VLOOKUP($G1353,基本資料!$A:$M,12,0),"無")</f>
        <v>30.37</v>
      </c>
      <c r="AD1353" s="22" t="s">
        <v>1089</v>
      </c>
      <c r="AG1353" s="33">
        <f t="shared" si="248"/>
        <v>0</v>
      </c>
      <c r="AH1353" s="43" t="s">
        <v>2825</v>
      </c>
      <c r="AI1353" s="63">
        <f t="shared" si="249"/>
        <v>3.2432432432432431E-4</v>
      </c>
      <c r="AJ1353" s="284">
        <f>RTD("money.excel",,$G1353,"PredictVolume")</f>
        <v>12</v>
      </c>
      <c r="AK1353" s="399">
        <f>IFERROR(VLOOKUP($G1353,基本資料!$A:$M,13,0),"無")</f>
        <v>0.97</v>
      </c>
    </row>
    <row r="1354" spans="1:37">
      <c r="A1354" s="347">
        <f>IFERROR(VLOOKUP($G1354,基本資料!$A:$J,3,0),"無")</f>
        <v>7.4</v>
      </c>
      <c r="B1354" s="79">
        <f>IFERROR(VLOOKUP($G1354,基本資料!$A:$J,4,0),"無")</f>
        <v>82</v>
      </c>
      <c r="C1354" s="79">
        <f>IFERROR(VLOOKUP($G1354,基本資料!$A:$J,5,0),"無")</f>
        <v>52</v>
      </c>
      <c r="D1354" s="79">
        <f>IFERROR(VLOOKUP($G1354,基本資料!$A:$J,6,0),"無")</f>
        <v>87</v>
      </c>
      <c r="E1354" s="79">
        <f>IFERROR(VLOOKUP($G1354,基本資料!$A:$J,7,0),"無")</f>
        <v>3</v>
      </c>
      <c r="F1354" s="6">
        <f>IFERROR(VLOOKUP($G1354,基本資料!$A:$J,8,0),"無")</f>
        <v>24.99</v>
      </c>
      <c r="G1354" s="79">
        <v>6655</v>
      </c>
      <c r="H1354" s="8" t="s">
        <v>1960</v>
      </c>
      <c r="I1354" s="22" t="s">
        <v>1090</v>
      </c>
      <c r="J1354" s="8" t="str">
        <f>IFERROR(VLOOKUP($G1354,今日總結!$A:$AJ,35,0),"")</f>
        <v/>
      </c>
      <c r="K1354" s="5" t="str">
        <f>IFERROR(VLOOKUP($G1354,今日總結!$A:$AJ,36,0),"")</f>
        <v/>
      </c>
      <c r="L1354" s="156" t="str">
        <f>IFERROR(VLOOKUP($G1354,今日總結!$A:$AJ,33,0),"")</f>
        <v/>
      </c>
      <c r="M1354" s="340" t="str">
        <f>IFERROR(VLOOKUP($G1354,今日總結!$A:$AJ,34,0),"")</f>
        <v/>
      </c>
      <c r="N1354" s="240" t="str">
        <f t="shared" si="250"/>
        <v/>
      </c>
      <c r="P1354" s="365">
        <f>IFERROR(VLOOKUP($G1354,融外自投!$A:$J,7,0),"無")</f>
        <v>1367</v>
      </c>
      <c r="Q1354" s="79">
        <f>IFERROR(VLOOKUP($G1354,融外自投!$A:$J,9,0),"無")</f>
        <v>978</v>
      </c>
      <c r="R1354" s="346">
        <f>IFERROR(VLOOKUP($G1354,融外自投!$A:$J,8,0),"無")</f>
        <v>1372</v>
      </c>
      <c r="S1354" s="81" t="str">
        <f>IFERROR(VLOOKUP($G1354,融外自投!$A:$J,10,0),"無")</f>
        <v>無</v>
      </c>
      <c r="T1354" s="327">
        <f>IFERROR(VLOOKUP($G1354,'321買'!$A:$E,5,0),"'沒有資料'")</f>
        <v>1099</v>
      </c>
      <c r="U1354" s="186">
        <f>IFERROR(VLOOKUP($G1354,基本資料!$A:$J,9,0),"無")</f>
        <v>12</v>
      </c>
      <c r="V1354" s="310">
        <f t="shared" si="245"/>
        <v>0.10909090909090909</v>
      </c>
      <c r="W1354" s="94">
        <f>IFERROR(VLOOKUP($G1354,基本資料!$A:$J,10,0),"無")</f>
        <v>7.68</v>
      </c>
      <c r="X1354" s="36">
        <f>RTD("money.excel",,"6655","Price")</f>
        <v>110</v>
      </c>
      <c r="Y1354" s="66"/>
      <c r="Z1354" s="15">
        <f t="shared" si="246"/>
        <v>110</v>
      </c>
      <c r="AA1354" s="3" t="e">
        <f t="shared" si="247"/>
        <v>#DIV/0!</v>
      </c>
      <c r="AB1354" s="344">
        <f>IFERROR(VLOOKUP($G1354,基本資料!$A:$M,11,0),"無")</f>
        <v>-11.65</v>
      </c>
      <c r="AC1354" s="397">
        <f>IFERROR(VLOOKUP($G1354,基本資料!$A:$M,12,0),"無")</f>
        <v>70.040000000000006</v>
      </c>
      <c r="AD1354" s="22" t="s">
        <v>1090</v>
      </c>
      <c r="AG1354" s="33">
        <f t="shared" si="248"/>
        <v>0</v>
      </c>
      <c r="AH1354" s="43" t="s">
        <v>2826</v>
      </c>
      <c r="AI1354" s="63">
        <f t="shared" si="249"/>
        <v>5.0000000000000001E-4</v>
      </c>
      <c r="AJ1354" s="284">
        <f>RTD("money.excel",,$G1354,"PredictVolume")</f>
        <v>37</v>
      </c>
      <c r="AK1354" s="399">
        <f>IFERROR(VLOOKUP($G1354,基本資料!$A:$M,13,0),"無")</f>
        <v>0.66</v>
      </c>
    </row>
    <row r="1355" spans="1:37">
      <c r="A1355" s="347">
        <f>IFERROR(VLOOKUP($G1355,基本資料!$A:$J,3,0),"無")</f>
        <v>13.1</v>
      </c>
      <c r="B1355" s="79">
        <f>IFERROR(VLOOKUP($G1355,基本資料!$A:$J,4,0),"無")</f>
        <v>108</v>
      </c>
      <c r="C1355" s="79">
        <f>IFERROR(VLOOKUP($G1355,基本資料!$A:$J,5,0),"無")</f>
        <v>91</v>
      </c>
      <c r="D1355" s="79">
        <f>IFERROR(VLOOKUP($G1355,基本資料!$A:$J,6,0),"無")</f>
        <v>-3</v>
      </c>
      <c r="E1355" s="79">
        <f>IFERROR(VLOOKUP($G1355,基本資料!$A:$J,7,0),"無")</f>
        <v>38</v>
      </c>
      <c r="F1355" s="6">
        <f>IFERROR(VLOOKUP($G1355,基本資料!$A:$J,8,0),"無")</f>
        <v>13.53</v>
      </c>
      <c r="G1355" s="79">
        <v>6670</v>
      </c>
      <c r="H1355" s="8" t="s">
        <v>235</v>
      </c>
      <c r="I1355" s="22" t="s">
        <v>1091</v>
      </c>
      <c r="J1355" s="8" t="str">
        <f>IFERROR(VLOOKUP($G1355,今日總結!$A:$AJ,35,0),"")</f>
        <v/>
      </c>
      <c r="K1355" s="5" t="str">
        <f>IFERROR(VLOOKUP($G1355,今日總結!$A:$AJ,36,0),"")</f>
        <v/>
      </c>
      <c r="L1355" s="156" t="str">
        <f>IFERROR(VLOOKUP($G1355,今日總結!$A:$AJ,33,0),"")</f>
        <v/>
      </c>
      <c r="M1355" s="340" t="str">
        <f>IFERROR(VLOOKUP($G1355,今日總結!$A:$AJ,34,0),"")</f>
        <v/>
      </c>
      <c r="N1355" s="240" t="str">
        <f t="shared" si="250"/>
        <v/>
      </c>
      <c r="P1355" s="365">
        <f>IFERROR(VLOOKUP($G1355,融外自投!$A:$J,7,0),"無")</f>
        <v>1148</v>
      </c>
      <c r="Q1355" s="79">
        <f>IFERROR(VLOOKUP($G1355,融外自投!$A:$J,9,0),"無")</f>
        <v>526</v>
      </c>
      <c r="R1355" s="346">
        <f>IFERROR(VLOOKUP($G1355,融外自投!$A:$J,8,0),"無")</f>
        <v>254</v>
      </c>
      <c r="S1355" s="81">
        <f>IFERROR(VLOOKUP($G1355,融外自投!$A:$J,10,0),"無")</f>
        <v>253</v>
      </c>
      <c r="T1355" s="327">
        <f>IFERROR(VLOOKUP($G1355,'321買'!$A:$E,5,0),"'沒有資料'")</f>
        <v>710</v>
      </c>
      <c r="U1355" s="186">
        <f>IFERROR(VLOOKUP($G1355,基本資料!$A:$J,9,0),"無")</f>
        <v>12</v>
      </c>
      <c r="V1355" s="310">
        <f t="shared" si="245"/>
        <v>5.7831325301204821E-2</v>
      </c>
      <c r="W1355" s="94">
        <f>IFERROR(VLOOKUP($G1355,基本資料!$A:$J,10,0),"無")</f>
        <v>18.03</v>
      </c>
      <c r="X1355" s="36">
        <f>RTD("money.excel",,"6670","Price")</f>
        <v>207.5</v>
      </c>
      <c r="Y1355" s="66"/>
      <c r="Z1355" s="15">
        <f t="shared" si="246"/>
        <v>207.5</v>
      </c>
      <c r="AA1355" s="3" t="e">
        <f t="shared" si="247"/>
        <v>#DIV/0!</v>
      </c>
      <c r="AB1355" s="344">
        <f>IFERROR(VLOOKUP($G1355,基本資料!$A:$M,11,0),"無")</f>
        <v>-10.15</v>
      </c>
      <c r="AC1355" s="397">
        <f>IFERROR(VLOOKUP($G1355,基本資料!$A:$M,12,0),"無")</f>
        <v>72.94</v>
      </c>
      <c r="AD1355" s="22" t="s">
        <v>1091</v>
      </c>
      <c r="AG1355" s="33">
        <f t="shared" si="248"/>
        <v>0</v>
      </c>
      <c r="AH1355" s="43" t="s">
        <v>3060</v>
      </c>
      <c r="AI1355" s="63">
        <f t="shared" si="249"/>
        <v>1.9770992366412213E-3</v>
      </c>
      <c r="AJ1355" s="284">
        <f>RTD("money.excel",,$G1355,"PredictVolume")</f>
        <v>259</v>
      </c>
      <c r="AK1355" s="399">
        <f>IFERROR(VLOOKUP($G1355,基本資料!$A:$M,13,0),"無")</f>
        <v>1.26</v>
      </c>
    </row>
    <row r="1356" spans="1:37">
      <c r="A1356" s="347">
        <f>IFERROR(VLOOKUP($G1356,基本資料!$A:$J,3,0),"無")</f>
        <v>6.07</v>
      </c>
      <c r="B1356" s="79">
        <f>IFERROR(VLOOKUP($G1356,基本資料!$A:$J,4,0),"無")</f>
        <v>-5</v>
      </c>
      <c r="C1356" s="79">
        <f>IFERROR(VLOOKUP($G1356,基本資料!$A:$J,5,0),"無")</f>
        <v>-9</v>
      </c>
      <c r="D1356" s="79">
        <f>IFERROR(VLOOKUP($G1356,基本資料!$A:$J,6,0),"無")</f>
        <v>-2</v>
      </c>
      <c r="E1356" s="79">
        <f>IFERROR(VLOOKUP($G1356,基本資料!$A:$J,7,0),"無")</f>
        <v>-9</v>
      </c>
      <c r="F1356" s="6">
        <f>IFERROR(VLOOKUP($G1356,基本資料!$A:$J,8,0),"無")</f>
        <v>12.05</v>
      </c>
      <c r="G1356" s="79">
        <v>6671</v>
      </c>
      <c r="H1356" s="8" t="s">
        <v>1960</v>
      </c>
      <c r="I1356" s="22" t="s">
        <v>1092</v>
      </c>
      <c r="J1356" s="8" t="str">
        <f>IFERROR(VLOOKUP($G1356,今日總結!$A:$AJ,35,0),"")</f>
        <v/>
      </c>
      <c r="K1356" s="5" t="str">
        <f>IFERROR(VLOOKUP($G1356,今日總結!$A:$AJ,36,0),"")</f>
        <v/>
      </c>
      <c r="L1356" s="156" t="str">
        <f>IFERROR(VLOOKUP($G1356,今日總結!$A:$AJ,33,0),"")</f>
        <v/>
      </c>
      <c r="M1356" s="340" t="str">
        <f>IFERROR(VLOOKUP($G1356,今日總結!$A:$AJ,34,0),"")</f>
        <v/>
      </c>
      <c r="N1356" s="240" t="str">
        <f t="shared" si="250"/>
        <v/>
      </c>
      <c r="P1356" s="365">
        <f>IFERROR(VLOOKUP($G1356,融外自投!$A:$J,7,0),"無")</f>
        <v>1326</v>
      </c>
      <c r="Q1356" s="79">
        <f>IFERROR(VLOOKUP($G1356,融外自投!$A:$J,9,0),"無")</f>
        <v>978</v>
      </c>
      <c r="R1356" s="346">
        <f>IFERROR(VLOOKUP($G1356,融外自投!$A:$J,8,0),"無")</f>
        <v>59</v>
      </c>
      <c r="S1356" s="81" t="str">
        <f>IFERROR(VLOOKUP($G1356,融外自投!$A:$J,10,0),"無")</f>
        <v>無</v>
      </c>
      <c r="T1356" s="327">
        <f>IFERROR(VLOOKUP($G1356,'321買'!$A:$E,5,0),"'沒有資料'")</f>
        <v>1310</v>
      </c>
      <c r="U1356" s="186">
        <f>IFERROR(VLOOKUP($G1356,基本資料!$A:$J,9,0),"無")</f>
        <v>3</v>
      </c>
      <c r="V1356" s="310">
        <f t="shared" si="245"/>
        <v>6.4516129032258063E-2</v>
      </c>
      <c r="W1356" s="94">
        <f>IFERROR(VLOOKUP($G1356,基本資料!$A:$J,10,0),"無")</f>
        <v>3.5</v>
      </c>
      <c r="X1356" s="36">
        <f>RTD("money.excel",,"6671","Price")</f>
        <v>46.5</v>
      </c>
      <c r="Y1356" s="66"/>
      <c r="Z1356" s="15">
        <f t="shared" si="246"/>
        <v>46.5</v>
      </c>
      <c r="AA1356" s="3" t="e">
        <f t="shared" si="247"/>
        <v>#DIV/0!</v>
      </c>
      <c r="AB1356" s="344">
        <f>IFERROR(VLOOKUP($G1356,基本資料!$A:$M,11,0),"無")</f>
        <v>-11.32</v>
      </c>
      <c r="AC1356" s="397">
        <f>IFERROR(VLOOKUP($G1356,基本資料!$A:$M,12,0),"無")</f>
        <v>55.58</v>
      </c>
      <c r="AD1356" s="22" t="s">
        <v>1092</v>
      </c>
      <c r="AG1356" s="33">
        <f t="shared" si="248"/>
        <v>0</v>
      </c>
      <c r="AH1356" s="43" t="s">
        <v>2827</v>
      </c>
      <c r="AI1356" s="63">
        <f t="shared" si="249"/>
        <v>8.731466227347611E-4</v>
      </c>
      <c r="AJ1356" s="284">
        <f>RTD("money.excel",,$G1356,"PredictVolume")</f>
        <v>53</v>
      </c>
      <c r="AK1356" s="399">
        <f>IFERROR(VLOOKUP($G1356,基本資料!$A:$M,13,0),"無")</f>
        <v>0.69</v>
      </c>
    </row>
    <row r="1357" spans="1:37">
      <c r="A1357" s="347" t="str">
        <f>IFERROR(VLOOKUP($G1357,基本資料!$A:$J,3,0),"無")</f>
        <v>無</v>
      </c>
      <c r="B1357" s="79" t="str">
        <f>IFERROR(VLOOKUP($G1357,基本資料!$A:$J,4,0),"無")</f>
        <v>無</v>
      </c>
      <c r="C1357" s="79" t="str">
        <f>IFERROR(VLOOKUP($G1357,基本資料!$A:$J,5,0),"無")</f>
        <v>無</v>
      </c>
      <c r="D1357" s="79" t="str">
        <f>IFERROR(VLOOKUP($G1357,基本資料!$A:$J,6,0),"無")</f>
        <v>無</v>
      </c>
      <c r="E1357" s="79" t="str">
        <f>IFERROR(VLOOKUP($G1357,基本資料!$A:$J,7,0),"無")</f>
        <v>無</v>
      </c>
      <c r="F1357" s="6" t="str">
        <f>IFERROR(VLOOKUP($G1357,基本資料!$A:$J,8,0),"無")</f>
        <v>無</v>
      </c>
      <c r="G1357" s="79">
        <v>6721</v>
      </c>
      <c r="H1357" s="8" t="s">
        <v>235</v>
      </c>
      <c r="I1357" s="16" t="s">
        <v>6230</v>
      </c>
      <c r="J1357" s="8" t="str">
        <f>IFERROR(VLOOKUP($G1357,今日總結!$A:$AJ,35,0),"")</f>
        <v/>
      </c>
      <c r="K1357" s="5" t="str">
        <f>IFERROR(VLOOKUP($G1357,今日總結!$A:$AJ,36,0),"")</f>
        <v/>
      </c>
      <c r="L1357" s="156" t="str">
        <f>IFERROR(VLOOKUP($G1357,今日總結!$A:$AJ,33,0),"")</f>
        <v/>
      </c>
      <c r="M1357" s="340" t="str">
        <f>IFERROR(VLOOKUP($G1357,今日總結!$A:$AJ,34,0),"")</f>
        <v/>
      </c>
      <c r="N1357" s="240" t="str">
        <f t="shared" si="250"/>
        <v/>
      </c>
      <c r="P1357" s="365" t="str">
        <f>IFERROR(VLOOKUP($G1357,融外自投!$A:$J,7,0),"無")</f>
        <v>無</v>
      </c>
      <c r="Q1357" s="79" t="str">
        <f>IFERROR(VLOOKUP($G1357,融外自投!$A:$J,9,0),"無")</f>
        <v>無</v>
      </c>
      <c r="R1357" s="346" t="str">
        <f>IFERROR(VLOOKUP($G1357,融外自投!$A:$J,8,0),"無")</f>
        <v>無</v>
      </c>
      <c r="S1357" s="81" t="str">
        <f>IFERROR(VLOOKUP($G1357,融外自投!$A:$J,10,0),"無")</f>
        <v>無</v>
      </c>
      <c r="T1357" s="327" t="str">
        <f>IFERROR(VLOOKUP($G1357,'321買'!$A:$E,5,0),"'沒有資料'")</f>
        <v>'沒有資料'</v>
      </c>
      <c r="U1357" s="186" t="str">
        <f>IFERROR(VLOOKUP($G1357,基本資料!$A:$J,9,0),"無")</f>
        <v>無</v>
      </c>
      <c r="V1357" s="310" t="e">
        <f t="shared" si="245"/>
        <v>#VALUE!</v>
      </c>
      <c r="W1357" s="94" t="str">
        <f>IFERROR(VLOOKUP($G1357,基本資料!$A:$J,10,0),"無")</f>
        <v>無</v>
      </c>
      <c r="X1357" s="36">
        <f>RTD("money.excel",,"6721","Price")</f>
        <v>52.8</v>
      </c>
      <c r="Y1357" s="66"/>
      <c r="Z1357" s="15">
        <f>X1357-Y1357</f>
        <v>52.8</v>
      </c>
      <c r="AA1357" s="3" t="e">
        <f>Z1357/Y1357</f>
        <v>#DIV/0!</v>
      </c>
      <c r="AB1357" s="344" t="str">
        <f>IFERROR(VLOOKUP($G1357,基本資料!$A:$M,11,0),"無")</f>
        <v>無</v>
      </c>
      <c r="AC1357" s="397" t="str">
        <f>IFERROR(VLOOKUP($G1357,基本資料!$A:$M,12,0),"無")</f>
        <v>無</v>
      </c>
      <c r="AD1357" s="16" t="s">
        <v>6230</v>
      </c>
      <c r="AG1357" s="33">
        <f>AF1357-AE1357</f>
        <v>0</v>
      </c>
      <c r="AH1357" s="117" t="s">
        <v>6231</v>
      </c>
      <c r="AI1357" s="63" t="e">
        <f t="shared" ref="AI1357:AI1363" si="255">AJ1357/(A1357*10000)</f>
        <v>#VALUE!</v>
      </c>
      <c r="AJ1357" s="284">
        <f>RTD("money.excel",,$G1357,"PredictVolume")</f>
        <v>75</v>
      </c>
      <c r="AK1357" s="399" t="str">
        <f>IFERROR(VLOOKUP($G1357,基本資料!$A:$M,13,0),"無")</f>
        <v>無</v>
      </c>
    </row>
    <row r="1358" spans="1:37">
      <c r="A1358" s="347">
        <f>IFERROR(VLOOKUP($G1358,基本資料!$A:$J,3,0),"無")</f>
        <v>6.6</v>
      </c>
      <c r="B1358" s="79">
        <f>IFERROR(VLOOKUP($G1358,基本資料!$A:$J,4,0),"無")</f>
        <v>8</v>
      </c>
      <c r="C1358" s="79">
        <f>IFERROR(VLOOKUP($G1358,基本資料!$A:$J,5,0),"無")</f>
        <v>-2</v>
      </c>
      <c r="D1358" s="79">
        <f>IFERROR(VLOOKUP($G1358,基本資料!$A:$J,6,0),"無")</f>
        <v>-3</v>
      </c>
      <c r="E1358" s="79">
        <f>IFERROR(VLOOKUP($G1358,基本資料!$A:$J,7,0),"無")</f>
        <v>0</v>
      </c>
      <c r="F1358" s="6">
        <f>IFERROR(VLOOKUP($G1358,基本資料!$A:$J,8,0),"無")</f>
        <v>8.36</v>
      </c>
      <c r="G1358" s="79">
        <v>6754</v>
      </c>
      <c r="H1358" s="8" t="s">
        <v>1960</v>
      </c>
      <c r="I1358" s="22" t="s">
        <v>1959</v>
      </c>
      <c r="J1358" s="8" t="str">
        <f>IFERROR(VLOOKUP($G1358,今日總結!$A:$AJ,35,0),"")</f>
        <v/>
      </c>
      <c r="K1358" s="5" t="str">
        <f>IFERROR(VLOOKUP($G1358,今日總結!$A:$AJ,36,0),"")</f>
        <v/>
      </c>
      <c r="L1358" s="156" t="str">
        <f>IFERROR(VLOOKUP($G1358,今日總結!$A:$AJ,33,0),"")</f>
        <v/>
      </c>
      <c r="M1358" s="340" t="str">
        <f>IFERROR(VLOOKUP($G1358,今日總結!$A:$AJ,34,0),"")</f>
        <v/>
      </c>
      <c r="N1358" s="240" t="str">
        <f t="shared" si="250"/>
        <v/>
      </c>
      <c r="P1358" s="365">
        <f>IFERROR(VLOOKUP($G1358,融外自投!$A:$J,7,0),"無")</f>
        <v>1193</v>
      </c>
      <c r="Q1358" s="79" t="str">
        <f>IFERROR(VLOOKUP($G1358,融外自投!$A:$J,9,0),"無")</f>
        <v>無</v>
      </c>
      <c r="R1358" s="346">
        <f>IFERROR(VLOOKUP($G1358,融外自投!$A:$J,8,0),"無")</f>
        <v>258</v>
      </c>
      <c r="S1358" s="81" t="str">
        <f>IFERROR(VLOOKUP($G1358,融外自投!$A:$J,10,0),"無")</f>
        <v>無</v>
      </c>
      <c r="T1358" s="327">
        <f>IFERROR(VLOOKUP($G1358,'321買'!$A:$E,5,0),"'沒有資料'")</f>
        <v>1338</v>
      </c>
      <c r="U1358" s="186">
        <f>IFERROR(VLOOKUP($G1358,基本資料!$A:$J,9,0),"無")</f>
        <v>3.5</v>
      </c>
      <c r="V1358" s="310">
        <f t="shared" si="245"/>
        <v>7.6670317634173063E-2</v>
      </c>
      <c r="W1358" s="94">
        <f>IFERROR(VLOOKUP($G1358,基本資料!$A:$J,10,0),"無")</f>
        <v>3.52</v>
      </c>
      <c r="X1358" s="36">
        <f>RTD("money.excel",,"6754","Price")</f>
        <v>45.65</v>
      </c>
      <c r="Y1358" s="66"/>
      <c r="Z1358" s="15">
        <f t="shared" si="246"/>
        <v>45.65</v>
      </c>
      <c r="AA1358" s="35" t="e">
        <f t="shared" si="247"/>
        <v>#DIV/0!</v>
      </c>
      <c r="AB1358" s="344">
        <f>IFERROR(VLOOKUP($G1358,基本資料!$A:$M,11,0),"無")</f>
        <v>-7.12</v>
      </c>
      <c r="AC1358" s="397">
        <f>IFERROR(VLOOKUP($G1358,基本資料!$A:$M,12,0),"無")</f>
        <v>84.27</v>
      </c>
      <c r="AD1358" s="22" t="s">
        <v>1959</v>
      </c>
      <c r="AG1358" s="33">
        <f t="shared" si="248"/>
        <v>0</v>
      </c>
      <c r="AH1358" s="59" t="s">
        <v>1961</v>
      </c>
      <c r="AI1358" s="63">
        <f t="shared" si="255"/>
        <v>4.5454545454545455E-4</v>
      </c>
      <c r="AJ1358" s="284">
        <f>RTD("money.excel",,$G1358,"PredictVolume")</f>
        <v>30</v>
      </c>
      <c r="AK1358" s="399">
        <f>IFERROR(VLOOKUP($G1358,基本資料!$A:$M,13,0),"無")</f>
        <v>6.28</v>
      </c>
    </row>
    <row r="1359" spans="1:37">
      <c r="A1359" s="347">
        <f>IFERROR(VLOOKUP($G1359,基本資料!$A:$J,3,0),"無")</f>
        <v>19.600000000000001</v>
      </c>
      <c r="B1359" s="79">
        <f>IFERROR(VLOOKUP($G1359,基本資料!$A:$J,4,0),"無")</f>
        <v>57</v>
      </c>
      <c r="C1359" s="79">
        <f>IFERROR(VLOOKUP($G1359,基本資料!$A:$J,5,0),"無")</f>
        <v>0</v>
      </c>
      <c r="D1359" s="79">
        <f>IFERROR(VLOOKUP($G1359,基本資料!$A:$J,6,0),"無")</f>
        <v>2</v>
      </c>
      <c r="E1359" s="79">
        <f>IFERROR(VLOOKUP($G1359,基本資料!$A:$J,7,0),"無")</f>
        <v>0</v>
      </c>
      <c r="F1359" s="6">
        <f>IFERROR(VLOOKUP($G1359,基本資料!$A:$J,8,0),"無")</f>
        <v>6.45</v>
      </c>
      <c r="G1359" s="79">
        <v>6768</v>
      </c>
      <c r="H1359" s="8" t="s">
        <v>1960</v>
      </c>
      <c r="I1359" s="22" t="s">
        <v>3212</v>
      </c>
      <c r="J1359" s="8" t="str">
        <f>IFERROR(VLOOKUP($G1359,今日總結!$A:$AJ,35,0),"")</f>
        <v/>
      </c>
      <c r="K1359" s="5" t="str">
        <f>IFERROR(VLOOKUP($G1359,今日總結!$A:$AJ,36,0),"")</f>
        <v/>
      </c>
      <c r="L1359" s="156" t="str">
        <f>IFERROR(VLOOKUP($G1359,今日總結!$A:$AJ,33,0),"")</f>
        <v/>
      </c>
      <c r="M1359" s="340" t="str">
        <f>IFERROR(VLOOKUP($G1359,今日總結!$A:$AJ,34,0),"")</f>
        <v/>
      </c>
      <c r="N1359" s="240" t="str">
        <f t="shared" si="250"/>
        <v/>
      </c>
      <c r="P1359" s="365">
        <f>IFERROR(VLOOKUP($G1359,融外自投!$A:$J,7,0),"無")</f>
        <v>1060</v>
      </c>
      <c r="Q1359" s="79">
        <f>IFERROR(VLOOKUP($G1359,融外自投!$A:$J,9,0),"無")</f>
        <v>1051</v>
      </c>
      <c r="R1359" s="346">
        <f>IFERROR(VLOOKUP($G1359,融外自投!$A:$J,8,0),"無")</f>
        <v>12</v>
      </c>
      <c r="S1359" s="81" t="str">
        <f>IFERROR(VLOOKUP($G1359,融外自投!$A:$J,10,0),"無")</f>
        <v>無</v>
      </c>
      <c r="T1359" s="327">
        <f>IFERROR(VLOOKUP($G1359,'321買'!$A:$E,5,0),"'沒有資料'")</f>
        <v>852</v>
      </c>
      <c r="U1359" s="186">
        <f>IFERROR(VLOOKUP($G1359,基本資料!$A:$J,9,0),"無")</f>
        <v>3.5</v>
      </c>
      <c r="V1359" s="310">
        <f t="shared" si="245"/>
        <v>4.9365303244005634E-2</v>
      </c>
      <c r="W1359" s="94">
        <f>IFERROR(VLOOKUP($G1359,基本資料!$A:$J,10,0),"無")</f>
        <v>3.42</v>
      </c>
      <c r="X1359" s="36">
        <f>RTD("money.excel",,"6768","Price")</f>
        <v>70.900000000000006</v>
      </c>
      <c r="Y1359" s="66"/>
      <c r="Z1359" s="15">
        <f t="shared" si="246"/>
        <v>70.900000000000006</v>
      </c>
      <c r="AA1359" s="3" t="e">
        <f t="shared" si="247"/>
        <v>#DIV/0!</v>
      </c>
      <c r="AB1359" s="344" t="str">
        <f>IFERROR(VLOOKUP($G1359,基本資料!$A:$M,11,0),"無")</f>
        <v>無</v>
      </c>
      <c r="AC1359" s="397" t="str">
        <f>IFERROR(VLOOKUP($G1359,基本資料!$A:$M,12,0),"無")</f>
        <v>無</v>
      </c>
      <c r="AD1359" s="22" t="s">
        <v>3212</v>
      </c>
      <c r="AG1359" s="33">
        <f t="shared" si="248"/>
        <v>0</v>
      </c>
      <c r="AH1359" s="43" t="s">
        <v>3213</v>
      </c>
      <c r="AI1359" s="63">
        <f t="shared" si="255"/>
        <v>3.0612244897959182E-5</v>
      </c>
      <c r="AJ1359" s="284">
        <f>RTD("money.excel",,$G1359,"PredictVolume")</f>
        <v>6</v>
      </c>
      <c r="AK1359" s="399" t="str">
        <f>IFERROR(VLOOKUP($G1359,基本資料!$A:$M,13,0),"無")</f>
        <v>無</v>
      </c>
    </row>
    <row r="1360" spans="1:37">
      <c r="A1360" s="347">
        <f>IFERROR(VLOOKUP($G1360,基本資料!$A:$J,3,0),"無")</f>
        <v>26.71</v>
      </c>
      <c r="B1360" s="79">
        <f>IFERROR(VLOOKUP($G1360,基本資料!$A:$J,4,0),"無")</f>
        <v>-28</v>
      </c>
      <c r="C1360" s="79">
        <f>IFERROR(VLOOKUP($G1360,基本資料!$A:$J,5,0),"無")</f>
        <v>-19</v>
      </c>
      <c r="D1360" s="79">
        <f>IFERROR(VLOOKUP($G1360,基本資料!$A:$J,6,0),"無")</f>
        <v>13</v>
      </c>
      <c r="E1360" s="79">
        <f>IFERROR(VLOOKUP($G1360,基本資料!$A:$J,7,0),"無")</f>
        <v>-11</v>
      </c>
      <c r="F1360" s="6">
        <f>IFERROR(VLOOKUP($G1360,基本資料!$A:$J,8,0),"無")</f>
        <v>12.51</v>
      </c>
      <c r="G1360" s="79">
        <v>6790</v>
      </c>
      <c r="H1360" s="8" t="s">
        <v>235</v>
      </c>
      <c r="I1360" s="22" t="s">
        <v>3438</v>
      </c>
      <c r="J1360" s="8">
        <f>IFERROR(VLOOKUP($G1360,今日總結!$A:$AJ,35,0),"")</f>
        <v>0</v>
      </c>
      <c r="K1360" s="5">
        <f>IFERROR(VLOOKUP($G1360,今日總結!$A:$AJ,36,0),"")</f>
        <v>0</v>
      </c>
      <c r="L1360" s="156">
        <f>IFERROR(VLOOKUP($G1360,今日總結!$A:$AJ,33,0),"")</f>
        <v>0</v>
      </c>
      <c r="M1360" s="340">
        <f>IFERROR(VLOOKUP($G1360,今日總結!$A:$AJ,34,0),"")</f>
        <v>1</v>
      </c>
      <c r="N1360" s="240">
        <f t="shared" si="250"/>
        <v>-1</v>
      </c>
      <c r="P1360" s="365">
        <f>IFERROR(VLOOKUP($G1360,融外自投!$A:$J,7,0),"無")</f>
        <v>1466</v>
      </c>
      <c r="Q1360" s="79">
        <f>IFERROR(VLOOKUP($G1360,融外自投!$A:$J,9,0),"無")</f>
        <v>466</v>
      </c>
      <c r="R1360" s="346">
        <f>IFERROR(VLOOKUP($G1360,融外自投!$A:$J,8,0),"無")</f>
        <v>898</v>
      </c>
      <c r="S1360" s="81" t="str">
        <f>IFERROR(VLOOKUP($G1360,融外自投!$A:$J,10,0),"無")</f>
        <v>無</v>
      </c>
      <c r="T1360" s="327">
        <f>IFERROR(VLOOKUP($G1360,'321買'!$A:$E,5,0),"'沒有資料'")</f>
        <v>1198</v>
      </c>
      <c r="U1360" s="186">
        <f>IFERROR(VLOOKUP($G1360,基本資料!$A:$J,9,0),"無")</f>
        <v>3</v>
      </c>
      <c r="V1360" s="310">
        <f t="shared" si="245"/>
        <v>6.7873303167420809E-2</v>
      </c>
      <c r="W1360" s="94">
        <f>IFERROR(VLOOKUP($G1360,基本資料!$A:$J,10,0),"無")</f>
        <v>4.24</v>
      </c>
      <c r="X1360" s="36">
        <f>RTD("money.excel",,"6790","Price")</f>
        <v>44.2</v>
      </c>
      <c r="Y1360" s="66"/>
      <c r="Z1360" s="15">
        <f t="shared" si="246"/>
        <v>44.2</v>
      </c>
      <c r="AA1360" s="3" t="e">
        <f t="shared" si="247"/>
        <v>#DIV/0!</v>
      </c>
      <c r="AB1360" s="344" t="str">
        <f>IFERROR(VLOOKUP($G1360,基本資料!$A:$M,11,0),"無")</f>
        <v>無</v>
      </c>
      <c r="AC1360" s="397" t="str">
        <f>IFERROR(VLOOKUP($G1360,基本資料!$A:$M,12,0),"無")</f>
        <v>無</v>
      </c>
      <c r="AD1360" s="22" t="s">
        <v>3438</v>
      </c>
      <c r="AG1360" s="33">
        <f t="shared" si="248"/>
        <v>0</v>
      </c>
      <c r="AH1360" s="43" t="s">
        <v>3439</v>
      </c>
      <c r="AI1360" s="63">
        <f t="shared" si="255"/>
        <v>1.2017970797454137E-3</v>
      </c>
      <c r="AJ1360" s="284">
        <f>RTD("money.excel",,$G1360,"PredictVolume")</f>
        <v>321</v>
      </c>
      <c r="AK1360" s="399" t="str">
        <f>IFERROR(VLOOKUP($G1360,基本資料!$A:$M,13,0),"無")</f>
        <v>無</v>
      </c>
    </row>
    <row r="1361" spans="1:42">
      <c r="A1361" s="347">
        <f>IFERROR(VLOOKUP($G1361,基本資料!$A:$J,3,0),"無")</f>
        <v>6.97</v>
      </c>
      <c r="B1361" s="79">
        <f>IFERROR(VLOOKUP($G1361,基本資料!$A:$J,4,0),"無")</f>
        <v>2</v>
      </c>
      <c r="C1361" s="79">
        <f>IFERROR(VLOOKUP($G1361,基本資料!$A:$J,5,0),"無")</f>
        <v>4</v>
      </c>
      <c r="D1361" s="79">
        <f>IFERROR(VLOOKUP($G1361,基本資料!$A:$J,6,0),"無")</f>
        <v>-4</v>
      </c>
      <c r="E1361" s="79">
        <f>IFERROR(VLOOKUP($G1361,基本資料!$A:$J,7,0),"無")</f>
        <v>12</v>
      </c>
      <c r="F1361" s="6">
        <f>IFERROR(VLOOKUP($G1361,基本資料!$A:$J,8,0),"無")</f>
        <v>21.33</v>
      </c>
      <c r="G1361" s="79">
        <v>6803</v>
      </c>
      <c r="H1361" s="8" t="s">
        <v>1960</v>
      </c>
      <c r="I1361" s="16" t="s">
        <v>41</v>
      </c>
      <c r="J1361" s="8">
        <f>IFERROR(VLOOKUP($G1361,今日總結!$A:$AJ,35,0),"")</f>
        <v>0</v>
      </c>
      <c r="K1361" s="5">
        <f>IFERROR(VLOOKUP($G1361,今日總結!$A:$AJ,36,0),"")</f>
        <v>0</v>
      </c>
      <c r="L1361" s="156">
        <f>IFERROR(VLOOKUP($G1361,今日總結!$A:$AJ,33,0),"")</f>
        <v>0</v>
      </c>
      <c r="M1361" s="340">
        <f>IFERROR(VLOOKUP($G1361,今日總結!$A:$AJ,34,0),"")</f>
        <v>1</v>
      </c>
      <c r="N1361" s="240">
        <f t="shared" si="250"/>
        <v>-1</v>
      </c>
      <c r="P1361" s="365">
        <f>IFERROR(VLOOKUP($G1361,融外自投!$A:$J,7,0),"無")</f>
        <v>1458</v>
      </c>
      <c r="Q1361" s="79">
        <f>IFERROR(VLOOKUP($G1361,融外自投!$A:$J,9,0),"無")</f>
        <v>276</v>
      </c>
      <c r="R1361" s="346">
        <f>IFERROR(VLOOKUP($G1361,融外自投!$A:$J,8,0),"無")</f>
        <v>1032</v>
      </c>
      <c r="S1361" s="81">
        <f>IFERROR(VLOOKUP($G1361,融外自投!$A:$J,10,0),"無")</f>
        <v>345</v>
      </c>
      <c r="T1361" s="327">
        <f>IFERROR(VLOOKUP($G1361,'321買'!$A:$E,5,0),"'沒有資料'")</f>
        <v>1099</v>
      </c>
      <c r="U1361" s="186">
        <f>IFERROR(VLOOKUP($G1361,基本資料!$A:$J,9,0),"無")</f>
        <v>11.99</v>
      </c>
      <c r="V1361" s="310">
        <f t="shared" si="245"/>
        <v>4.9751037344398341E-2</v>
      </c>
      <c r="W1361" s="94">
        <f>IFERROR(VLOOKUP($G1361,基本資料!$A:$J,10,0),"無")</f>
        <v>13.15</v>
      </c>
      <c r="X1361" s="36">
        <f>RTD("money.excel",,"6803","Price")</f>
        <v>241</v>
      </c>
      <c r="Y1361" s="66"/>
      <c r="Z1361" s="15">
        <f t="shared" si="246"/>
        <v>241</v>
      </c>
      <c r="AA1361" s="3" t="e">
        <f t="shared" si="247"/>
        <v>#DIV/0!</v>
      </c>
      <c r="AB1361" s="344">
        <f>IFERROR(VLOOKUP($G1361,基本資料!$A:$M,11,0),"無")</f>
        <v>-6.77</v>
      </c>
      <c r="AC1361" s="397">
        <f>IFERROR(VLOOKUP($G1361,基本資料!$A:$M,12,0),"無")</f>
        <v>36.42</v>
      </c>
      <c r="AD1361" s="16" t="s">
        <v>41</v>
      </c>
      <c r="AG1361" s="33">
        <f t="shared" si="248"/>
        <v>0</v>
      </c>
      <c r="AH1361" s="117" t="s">
        <v>1415</v>
      </c>
      <c r="AI1361" s="63">
        <f t="shared" si="255"/>
        <v>3.4433285509325682E-4</v>
      </c>
      <c r="AJ1361" s="284">
        <f>RTD("money.excel",,$G1361,"PredictVolume")</f>
        <v>24</v>
      </c>
      <c r="AK1361" s="399">
        <f>IFERROR(VLOOKUP($G1361,基本資料!$A:$M,13,0),"無")</f>
        <v>0.38</v>
      </c>
    </row>
    <row r="1362" spans="1:42">
      <c r="A1362" s="347" t="str">
        <f>IFERROR(VLOOKUP($G1362,基本資料!$A:$J,3,0),"無")</f>
        <v>無</v>
      </c>
      <c r="B1362" s="79" t="str">
        <f>IFERROR(VLOOKUP($G1362,基本資料!$A:$J,4,0),"無")</f>
        <v>無</v>
      </c>
      <c r="C1362" s="79" t="str">
        <f>IFERROR(VLOOKUP($G1362,基本資料!$A:$J,5,0),"無")</f>
        <v>無</v>
      </c>
      <c r="D1362" s="79" t="str">
        <f>IFERROR(VLOOKUP($G1362,基本資料!$A:$J,6,0),"無")</f>
        <v>無</v>
      </c>
      <c r="E1362" s="79" t="str">
        <f>IFERROR(VLOOKUP($G1362,基本資料!$A:$J,7,0),"無")</f>
        <v>無</v>
      </c>
      <c r="F1362" s="6" t="str">
        <f>IFERROR(VLOOKUP($G1362,基本資料!$A:$J,8,0),"無")</f>
        <v>無</v>
      </c>
      <c r="G1362" s="79">
        <v>6804</v>
      </c>
      <c r="H1362" s="8" t="s">
        <v>235</v>
      </c>
      <c r="I1362" s="16" t="s">
        <v>6142</v>
      </c>
      <c r="J1362" s="8" t="str">
        <f>IFERROR(VLOOKUP($G1362,今日總結!$A:$AJ,35,0),"")</f>
        <v/>
      </c>
      <c r="K1362" s="5" t="str">
        <f>IFERROR(VLOOKUP($G1362,今日總結!$A:$AJ,36,0),"")</f>
        <v/>
      </c>
      <c r="L1362" s="156" t="str">
        <f>IFERROR(VLOOKUP($G1362,今日總結!$A:$AJ,33,0),"")</f>
        <v/>
      </c>
      <c r="M1362" s="340" t="str">
        <f>IFERROR(VLOOKUP($G1362,今日總結!$A:$AJ,34,0),"")</f>
        <v/>
      </c>
      <c r="N1362" s="240" t="str">
        <f t="shared" si="250"/>
        <v/>
      </c>
      <c r="P1362" s="365" t="str">
        <f>IFERROR(VLOOKUP($G1362,融外自投!$A:$J,7,0),"無")</f>
        <v>無</v>
      </c>
      <c r="Q1362" s="79" t="str">
        <f>IFERROR(VLOOKUP($G1362,融外自投!$A:$J,9,0),"無")</f>
        <v>無</v>
      </c>
      <c r="R1362" s="346" t="str">
        <f>IFERROR(VLOOKUP($G1362,融外自投!$A:$J,8,0),"無")</f>
        <v>無</v>
      </c>
      <c r="S1362" s="81" t="str">
        <f>IFERROR(VLOOKUP($G1362,融外自投!$A:$J,10,0),"無")</f>
        <v>無</v>
      </c>
      <c r="T1362" s="327" t="str">
        <f>IFERROR(VLOOKUP($G1362,'321買'!$A:$E,5,0),"'沒有資料'")</f>
        <v>'沒有資料'</v>
      </c>
      <c r="U1362" s="186" t="str">
        <f>IFERROR(VLOOKUP($G1362,基本資料!$A:$J,9,0),"無")</f>
        <v>無</v>
      </c>
      <c r="V1362" s="310" t="e">
        <f t="shared" si="245"/>
        <v>#VALUE!</v>
      </c>
      <c r="W1362" s="94" t="str">
        <f>IFERROR(VLOOKUP($G1362,基本資料!$A:$J,10,0),"無")</f>
        <v>無</v>
      </c>
      <c r="X1362" s="36">
        <f>RTD("money.excel",,"6804","Price")</f>
        <v>58.1</v>
      </c>
      <c r="Y1362" s="66"/>
      <c r="Z1362" s="15">
        <f t="shared" ref="Z1362:Z1363" si="256">X1362-Y1362</f>
        <v>58.1</v>
      </c>
      <c r="AA1362" s="3" t="e">
        <f t="shared" ref="AA1362:AA1363" si="257">Z1362/Y1362</f>
        <v>#DIV/0!</v>
      </c>
      <c r="AB1362" s="344" t="str">
        <f>IFERROR(VLOOKUP($G1362,基本資料!$A:$M,11,0),"無")</f>
        <v>無</v>
      </c>
      <c r="AC1362" s="397" t="str">
        <f>IFERROR(VLOOKUP($G1362,基本資料!$A:$M,12,0),"無")</f>
        <v>無</v>
      </c>
      <c r="AD1362" s="16" t="s">
        <v>6142</v>
      </c>
      <c r="AG1362" s="33">
        <f t="shared" ref="AG1362:AG1363" si="258">AF1362-AE1362</f>
        <v>0</v>
      </c>
      <c r="AH1362" s="117" t="s">
        <v>6143</v>
      </c>
      <c r="AI1362" s="63" t="e">
        <f t="shared" si="255"/>
        <v>#VALUE!</v>
      </c>
      <c r="AJ1362" s="284">
        <f>RTD("money.excel",,$G1362,"PredictVolume")</f>
        <v>484</v>
      </c>
      <c r="AK1362" s="399" t="str">
        <f>IFERROR(VLOOKUP($G1362,基本資料!$A:$M,13,0),"無")</f>
        <v>無</v>
      </c>
    </row>
    <row r="1363" spans="1:42">
      <c r="A1363" s="347">
        <f>IFERROR(VLOOKUP($G1363,基本資料!$A:$J,3,0),"無")</f>
        <v>19.649999999999999</v>
      </c>
      <c r="B1363" s="79">
        <f>IFERROR(VLOOKUP($G1363,基本資料!$A:$J,4,0),"無")</f>
        <v>86</v>
      </c>
      <c r="C1363" s="79">
        <f>IFERROR(VLOOKUP($G1363,基本資料!$A:$J,5,0),"無")</f>
        <v>5378</v>
      </c>
      <c r="D1363" s="79">
        <f>IFERROR(VLOOKUP($G1363,基本資料!$A:$J,6,0),"無")</f>
        <v>32</v>
      </c>
      <c r="E1363" s="79">
        <f>IFERROR(VLOOKUP($G1363,基本資料!$A:$J,7,0),"無")</f>
        <v>-20</v>
      </c>
      <c r="F1363" s="6">
        <f>IFERROR(VLOOKUP($G1363,基本資料!$A:$J,8,0),"無")</f>
        <v>14.05</v>
      </c>
      <c r="G1363" s="79">
        <v>6806</v>
      </c>
      <c r="H1363" s="8" t="s">
        <v>1960</v>
      </c>
      <c r="I1363" s="22" t="s">
        <v>3511</v>
      </c>
      <c r="J1363" s="8" t="str">
        <f>IFERROR(VLOOKUP($G1363,今日總結!$A:$AJ,35,0),"")</f>
        <v/>
      </c>
      <c r="K1363" s="5" t="str">
        <f>IFERROR(VLOOKUP($G1363,今日總結!$A:$AJ,36,0),"")</f>
        <v/>
      </c>
      <c r="L1363" s="156" t="str">
        <f>IFERROR(VLOOKUP($G1363,今日總結!$A:$AJ,33,0),"")</f>
        <v/>
      </c>
      <c r="M1363" s="340" t="str">
        <f>IFERROR(VLOOKUP($G1363,今日總結!$A:$AJ,34,0),"")</f>
        <v/>
      </c>
      <c r="N1363" s="240" t="str">
        <f t="shared" si="250"/>
        <v/>
      </c>
      <c r="P1363" s="365" t="str">
        <f>IFERROR(VLOOKUP($G1363,融外自投!$A:$J,7,0),"無")</f>
        <v>無</v>
      </c>
      <c r="Q1363" s="79" t="str">
        <f>IFERROR(VLOOKUP($G1363,融外自投!$A:$J,9,0),"無")</f>
        <v>無</v>
      </c>
      <c r="R1363" s="346" t="str">
        <f>IFERROR(VLOOKUP($G1363,融外自投!$A:$J,8,0),"無")</f>
        <v>無</v>
      </c>
      <c r="S1363" s="81" t="str">
        <f>IFERROR(VLOOKUP($G1363,融外自投!$A:$J,10,0),"無")</f>
        <v>無</v>
      </c>
      <c r="T1363" s="327" t="str">
        <f>IFERROR(VLOOKUP($G1363,'321買'!$A:$E,5,0),"'沒有資料'")</f>
        <v>'沒有資料'</v>
      </c>
      <c r="U1363" s="186">
        <f>IFERROR(VLOOKUP($G1363,基本資料!$A:$J,9,0),"無")</f>
        <v>2.68</v>
      </c>
      <c r="V1363" s="310">
        <f t="shared" si="245"/>
        <v>2.8240252897787144E-2</v>
      </c>
      <c r="W1363" s="94">
        <f>IFERROR(VLOOKUP($G1363,基本資料!$A:$J,10,0),"無")</f>
        <v>3.78</v>
      </c>
      <c r="X1363" s="36">
        <f>RTD("money.excel",,"6806","Price")</f>
        <v>94.9</v>
      </c>
      <c r="Y1363" s="66"/>
      <c r="Z1363" s="15">
        <f t="shared" si="256"/>
        <v>94.9</v>
      </c>
      <c r="AA1363" s="3" t="e">
        <f t="shared" si="257"/>
        <v>#DIV/0!</v>
      </c>
      <c r="AB1363" s="344" t="str">
        <f>IFERROR(VLOOKUP($G1363,基本資料!$A:$M,11,0),"無")</f>
        <v>無</v>
      </c>
      <c r="AC1363" s="397" t="str">
        <f>IFERROR(VLOOKUP($G1363,基本資料!$A:$M,12,0),"無")</f>
        <v>無</v>
      </c>
      <c r="AD1363" s="22" t="s">
        <v>3511</v>
      </c>
      <c r="AG1363" s="33">
        <f t="shared" si="258"/>
        <v>0</v>
      </c>
      <c r="AH1363" s="43" t="s">
        <v>3512</v>
      </c>
      <c r="AI1363" s="63">
        <f t="shared" si="255"/>
        <v>5.1857506361323155E-3</v>
      </c>
      <c r="AJ1363" s="284">
        <f>RTD("money.excel",,$G1363,"PredictVolume")</f>
        <v>1019</v>
      </c>
      <c r="AK1363" s="399" t="str">
        <f>IFERROR(VLOOKUP($G1363,基本資料!$A:$M,13,0),"無")</f>
        <v>無</v>
      </c>
    </row>
    <row r="1364" spans="1:42">
      <c r="A1364" s="347" t="str">
        <f>IFERROR(VLOOKUP($G1364,基本資料!$A:$J,3,0),"無")</f>
        <v>無</v>
      </c>
      <c r="B1364" s="79" t="str">
        <f>IFERROR(VLOOKUP($G1364,基本資料!$A:$J,4,0),"無")</f>
        <v>無</v>
      </c>
      <c r="C1364" s="79" t="str">
        <f>IFERROR(VLOOKUP($G1364,基本資料!$A:$J,5,0),"無")</f>
        <v>無</v>
      </c>
      <c r="D1364" s="79" t="str">
        <f>IFERROR(VLOOKUP($G1364,基本資料!$A:$J,6,0),"無")</f>
        <v>無</v>
      </c>
      <c r="E1364" s="79" t="str">
        <f>IFERROR(VLOOKUP($G1364,基本資料!$A:$J,7,0),"無")</f>
        <v>無</v>
      </c>
      <c r="F1364" s="6" t="str">
        <f>IFERROR(VLOOKUP($G1364,基本資料!$A:$J,8,0),"無")</f>
        <v>無</v>
      </c>
      <c r="G1364" s="79">
        <v>6807</v>
      </c>
      <c r="H1364" s="8" t="s">
        <v>235</v>
      </c>
      <c r="I1364" s="22" t="s">
        <v>6227</v>
      </c>
      <c r="J1364" s="8" t="str">
        <f>IFERROR(VLOOKUP($G1364,今日總結!$A:$AJ,35,0),"")</f>
        <v/>
      </c>
      <c r="K1364" s="5" t="str">
        <f>IFERROR(VLOOKUP($G1364,今日總結!$A:$AJ,36,0),"")</f>
        <v/>
      </c>
      <c r="L1364" s="156" t="str">
        <f>IFERROR(VLOOKUP($G1364,今日總結!$A:$AJ,33,0),"")</f>
        <v/>
      </c>
      <c r="M1364" s="340" t="str">
        <f>IFERROR(VLOOKUP($G1364,今日總結!$A:$AJ,34,0),"")</f>
        <v/>
      </c>
      <c r="N1364" s="240" t="str">
        <f t="shared" si="250"/>
        <v/>
      </c>
      <c r="P1364" s="365" t="str">
        <f>IFERROR(VLOOKUP($G1364,融外自投!$A:$J,7,0),"無")</f>
        <v>無</v>
      </c>
      <c r="Q1364" s="79" t="str">
        <f>IFERROR(VLOOKUP($G1364,融外自投!$A:$J,9,0),"無")</f>
        <v>無</v>
      </c>
      <c r="R1364" s="346" t="str">
        <f>IFERROR(VLOOKUP($G1364,融外自投!$A:$J,8,0),"無")</f>
        <v>無</v>
      </c>
      <c r="S1364" s="81" t="str">
        <f>IFERROR(VLOOKUP($G1364,融外自投!$A:$J,10,0),"無")</f>
        <v>無</v>
      </c>
      <c r="T1364" s="327" t="str">
        <f>IFERROR(VLOOKUP($G1364,'321買'!$A:$E,5,0),"'沒有資料'")</f>
        <v>'沒有資料'</v>
      </c>
      <c r="U1364" s="186" t="str">
        <f>IFERROR(VLOOKUP($G1364,基本資料!$A:$J,9,0),"無")</f>
        <v>無</v>
      </c>
      <c r="V1364" s="310" t="e">
        <f t="shared" si="245"/>
        <v>#VALUE!</v>
      </c>
      <c r="W1364" s="94" t="str">
        <f>IFERROR(VLOOKUP($G1364,基本資料!$A:$J,10,0),"無")</f>
        <v>無</v>
      </c>
      <c r="X1364" s="36">
        <f>RTD("money.excel",,"6807","Price")</f>
        <v>34.450000000000003</v>
      </c>
      <c r="Y1364" s="66"/>
      <c r="Z1364" s="15">
        <f t="shared" ref="Z1364" si="259">X1364-Y1364</f>
        <v>34.450000000000003</v>
      </c>
      <c r="AA1364" s="3" t="e">
        <f t="shared" ref="AA1364" si="260">Z1364/Y1364</f>
        <v>#DIV/0!</v>
      </c>
      <c r="AB1364" s="344" t="str">
        <f>IFERROR(VLOOKUP($G1364,基本資料!$A:$M,11,0),"無")</f>
        <v>無</v>
      </c>
      <c r="AC1364" s="397" t="str">
        <f>IFERROR(VLOOKUP($G1364,基本資料!$A:$M,12,0),"無")</f>
        <v>無</v>
      </c>
      <c r="AD1364" s="22" t="s">
        <v>6227</v>
      </c>
      <c r="AG1364" s="33">
        <f>AF1364-AE1364</f>
        <v>0</v>
      </c>
      <c r="AH1364" s="43" t="s">
        <v>6275</v>
      </c>
      <c r="AI1364" s="63" t="e">
        <f t="shared" ref="AI1364:AI1395" si="261">AJ1364/(A1364*10000)</f>
        <v>#VALUE!</v>
      </c>
      <c r="AJ1364" s="284">
        <f>RTD("money.excel",,$G1364,"PredictVolume")</f>
        <v>44</v>
      </c>
      <c r="AK1364" s="399" t="str">
        <f>IFERROR(VLOOKUP($G1364,基本資料!$A:$M,13,0),"無")</f>
        <v>無</v>
      </c>
      <c r="AL1364" s="63"/>
      <c r="AM1364" s="284"/>
      <c r="AN1364" s="302"/>
      <c r="AO1364" s="333"/>
      <c r="AP1364" s="285"/>
    </row>
    <row r="1365" spans="1:42">
      <c r="A1365" s="347">
        <f>IFERROR(VLOOKUP($G1365,基本資料!$A:$J,3,0),"無")</f>
        <v>13.26</v>
      </c>
      <c r="B1365" s="79">
        <f>IFERROR(VLOOKUP($G1365,基本資料!$A:$J,4,0),"無")</f>
        <v>5</v>
      </c>
      <c r="C1365" s="79">
        <f>IFERROR(VLOOKUP($G1365,基本資料!$A:$J,5,0),"無")</f>
        <v>2686</v>
      </c>
      <c r="D1365" s="79">
        <f>IFERROR(VLOOKUP($G1365,基本資料!$A:$J,6,0),"無")</f>
        <v>-11</v>
      </c>
      <c r="E1365" s="79">
        <f>IFERROR(VLOOKUP($G1365,基本資料!$A:$J,7,0),"無")</f>
        <v>-22</v>
      </c>
      <c r="F1365" s="6">
        <f>IFERROR(VLOOKUP($G1365,基本資料!$A:$J,8,0),"無")</f>
        <v>6.19</v>
      </c>
      <c r="G1365" s="79">
        <v>8033</v>
      </c>
      <c r="H1365" s="8" t="s">
        <v>1960</v>
      </c>
      <c r="I1365" s="22" t="s">
        <v>685</v>
      </c>
      <c r="J1365" s="8" t="str">
        <f>IFERROR(VLOOKUP($G1365,今日總結!$A:$AJ,35,0),"")</f>
        <v/>
      </c>
      <c r="K1365" s="5" t="str">
        <f>IFERROR(VLOOKUP($G1365,今日總結!$A:$AJ,36,0),"")</f>
        <v/>
      </c>
      <c r="L1365" s="156" t="str">
        <f>IFERROR(VLOOKUP($G1365,今日總結!$A:$AJ,33,0),"")</f>
        <v/>
      </c>
      <c r="M1365" s="340" t="str">
        <f>IFERROR(VLOOKUP($G1365,今日總結!$A:$AJ,34,0),"")</f>
        <v/>
      </c>
      <c r="N1365" s="240" t="str">
        <f t="shared" si="250"/>
        <v/>
      </c>
      <c r="P1365" s="365" t="str">
        <f>IFERROR(VLOOKUP($G1365,融外自投!$A:$J,7,0),"無")</f>
        <v>無</v>
      </c>
      <c r="Q1365" s="79" t="str">
        <f>IFERROR(VLOOKUP($G1365,融外自投!$A:$J,9,0),"無")</f>
        <v>無</v>
      </c>
      <c r="R1365" s="346" t="str">
        <f>IFERROR(VLOOKUP($G1365,融外自投!$A:$J,8,0),"無")</f>
        <v>無</v>
      </c>
      <c r="S1365" s="81" t="str">
        <f>IFERROR(VLOOKUP($G1365,融外自投!$A:$J,10,0),"無")</f>
        <v>無</v>
      </c>
      <c r="T1365" s="327" t="str">
        <f>IFERROR(VLOOKUP($G1365,'321買'!$A:$E,5,0),"'沒有資料'")</f>
        <v>'沒有資料'</v>
      </c>
      <c r="U1365" s="186">
        <f>IFERROR(VLOOKUP($G1365,基本資料!$A:$J,9,0),"無")</f>
        <v>0</v>
      </c>
      <c r="V1365" s="310">
        <f t="shared" si="245"/>
        <v>0</v>
      </c>
      <c r="W1365" s="94">
        <f>IFERROR(VLOOKUP($G1365,基本資料!$A:$J,10,0),"無")</f>
        <v>0.18</v>
      </c>
      <c r="X1365" s="36">
        <f>RTD("money.excel",,"8033","Price")</f>
        <v>18</v>
      </c>
      <c r="Y1365" s="66"/>
      <c r="Z1365" s="15">
        <f t="shared" si="246"/>
        <v>18</v>
      </c>
      <c r="AA1365" s="3" t="e">
        <f t="shared" si="247"/>
        <v>#DIV/0!</v>
      </c>
      <c r="AB1365" s="344">
        <f>IFERROR(VLOOKUP($G1365,基本資料!$A:$M,11,0),"無")</f>
        <v>-15</v>
      </c>
      <c r="AC1365" s="397">
        <f>IFERROR(VLOOKUP($G1365,基本資料!$A:$M,12,0),"無")</f>
        <v>76.290000000000006</v>
      </c>
      <c r="AD1365" s="22" t="s">
        <v>685</v>
      </c>
      <c r="AG1365" s="33">
        <f t="shared" si="248"/>
        <v>0</v>
      </c>
      <c r="AH1365" s="43" t="s">
        <v>2193</v>
      </c>
      <c r="AI1365" s="63">
        <f t="shared" si="261"/>
        <v>1.2956259426847663E-2</v>
      </c>
      <c r="AJ1365" s="284">
        <f>RTD("money.excel",,$G1365,"PredictVolume")</f>
        <v>1718</v>
      </c>
      <c r="AK1365" s="399">
        <f>IFERROR(VLOOKUP($G1365,基本資料!$A:$M,13,0),"無")</f>
        <v>9.5500000000000007</v>
      </c>
    </row>
    <row r="1366" spans="1:42">
      <c r="A1366" s="347">
        <f>IFERROR(VLOOKUP($G1366,基本資料!$A:$J,3,0),"無")</f>
        <v>11.15</v>
      </c>
      <c r="B1366" s="79">
        <f>IFERROR(VLOOKUP($G1366,基本資料!$A:$J,4,0),"無")</f>
        <v>-5</v>
      </c>
      <c r="C1366" s="79">
        <f>IFERROR(VLOOKUP($G1366,基本資料!$A:$J,5,0),"無")</f>
        <v>-3</v>
      </c>
      <c r="D1366" s="79">
        <f>IFERROR(VLOOKUP($G1366,基本資料!$A:$J,6,0),"無")</f>
        <v>3</v>
      </c>
      <c r="E1366" s="79">
        <f>IFERROR(VLOOKUP($G1366,基本資料!$A:$J,7,0),"無")</f>
        <v>19</v>
      </c>
      <c r="F1366" s="6">
        <f>IFERROR(VLOOKUP($G1366,基本資料!$A:$J,8,0),"無")</f>
        <v>35.94</v>
      </c>
      <c r="G1366" s="79">
        <v>8341</v>
      </c>
      <c r="H1366" s="8" t="s">
        <v>1960</v>
      </c>
      <c r="I1366" s="22" t="s">
        <v>686</v>
      </c>
      <c r="J1366" s="8" t="str">
        <f>IFERROR(VLOOKUP($G1366,今日總結!$A:$AJ,35,0),"")</f>
        <v/>
      </c>
      <c r="K1366" s="5" t="str">
        <f>IFERROR(VLOOKUP($G1366,今日總結!$A:$AJ,36,0),"")</f>
        <v/>
      </c>
      <c r="L1366" s="156" t="str">
        <f>IFERROR(VLOOKUP($G1366,今日總結!$A:$AJ,33,0),"")</f>
        <v/>
      </c>
      <c r="M1366" s="340" t="str">
        <f>IFERROR(VLOOKUP($G1366,今日總結!$A:$AJ,34,0),"")</f>
        <v/>
      </c>
      <c r="N1366" s="240" t="str">
        <f t="shared" si="250"/>
        <v/>
      </c>
      <c r="P1366" s="365">
        <f>IFERROR(VLOOKUP($G1366,融外自投!$A:$J,7,0),"無")</f>
        <v>1046</v>
      </c>
      <c r="Q1366" s="79">
        <f>IFERROR(VLOOKUP($G1366,融外自投!$A:$J,9,0),"無")</f>
        <v>635</v>
      </c>
      <c r="R1366" s="346">
        <f>IFERROR(VLOOKUP($G1366,融外自投!$A:$J,8,0),"無")</f>
        <v>287</v>
      </c>
      <c r="S1366" s="81">
        <f>IFERROR(VLOOKUP($G1366,融外自投!$A:$J,10,0),"無")</f>
        <v>167</v>
      </c>
      <c r="T1366" s="327">
        <f>IFERROR(VLOOKUP($G1366,'321買'!$A:$E,5,0),"'沒有資料'")</f>
        <v>558</v>
      </c>
      <c r="U1366" s="186">
        <f>IFERROR(VLOOKUP($G1366,基本資料!$A:$J,9,0),"無")</f>
        <v>8</v>
      </c>
      <c r="V1366" s="310">
        <f t="shared" si="245"/>
        <v>3.7735849056603772E-2</v>
      </c>
      <c r="W1366" s="94">
        <f>IFERROR(VLOOKUP($G1366,基本資料!$A:$J,10,0),"無")</f>
        <v>8.4700000000000006</v>
      </c>
      <c r="X1366" s="36">
        <f>RTD("money.excel",,"8341","Price")</f>
        <v>212</v>
      </c>
      <c r="Y1366" s="66"/>
      <c r="Z1366" s="15">
        <f t="shared" si="246"/>
        <v>212</v>
      </c>
      <c r="AA1366" s="3" t="e">
        <f t="shared" si="247"/>
        <v>#DIV/0!</v>
      </c>
      <c r="AB1366" s="344">
        <f>IFERROR(VLOOKUP($G1366,基本資料!$A:$M,11,0),"無")</f>
        <v>-11.84</v>
      </c>
      <c r="AC1366" s="397">
        <f>IFERROR(VLOOKUP($G1366,基本資料!$A:$M,12,0),"無")</f>
        <v>56.56</v>
      </c>
      <c r="AD1366" s="22" t="s">
        <v>686</v>
      </c>
      <c r="AG1366" s="33">
        <f t="shared" si="248"/>
        <v>0</v>
      </c>
      <c r="AH1366" s="43" t="s">
        <v>1449</v>
      </c>
      <c r="AI1366" s="63">
        <f t="shared" si="261"/>
        <v>1.4708520179372198E-3</v>
      </c>
      <c r="AJ1366" s="284">
        <f>RTD("money.excel",,$G1366,"PredictVolume")</f>
        <v>164</v>
      </c>
      <c r="AK1366" s="399">
        <f>IFERROR(VLOOKUP($G1366,基本資料!$A:$M,13,0),"無")</f>
        <v>1.47</v>
      </c>
    </row>
    <row r="1367" spans="1:42">
      <c r="A1367" s="347">
        <f>IFERROR(VLOOKUP($G1367,基本資料!$A:$J,3,0),"無")</f>
        <v>3.35</v>
      </c>
      <c r="B1367" s="79">
        <f>IFERROR(VLOOKUP($G1367,基本資料!$A:$J,4,0),"無")</f>
        <v>-33</v>
      </c>
      <c r="C1367" s="79">
        <f>IFERROR(VLOOKUP($G1367,基本資料!$A:$J,5,0),"無")</f>
        <v>9</v>
      </c>
      <c r="D1367" s="79">
        <f>IFERROR(VLOOKUP($G1367,基本資料!$A:$J,6,0),"無")</f>
        <v>-15</v>
      </c>
      <c r="E1367" s="79">
        <f>IFERROR(VLOOKUP($G1367,基本資料!$A:$J,7,0),"無")</f>
        <v>56</v>
      </c>
      <c r="F1367" s="6">
        <f>IFERROR(VLOOKUP($G1367,基本資料!$A:$J,8,0),"無")</f>
        <v>9.5299999999999994</v>
      </c>
      <c r="G1367" s="79">
        <v>8342</v>
      </c>
      <c r="H1367" s="8" t="s">
        <v>1960</v>
      </c>
      <c r="I1367" s="16" t="s">
        <v>649</v>
      </c>
      <c r="J1367" s="8" t="str">
        <f>IFERROR(VLOOKUP($G1367,今日總結!$A:$AJ,35,0),"")</f>
        <v/>
      </c>
      <c r="K1367" s="5" t="str">
        <f>IFERROR(VLOOKUP($G1367,今日總結!$A:$AJ,36,0),"")</f>
        <v/>
      </c>
      <c r="L1367" s="156" t="str">
        <f>IFERROR(VLOOKUP($G1367,今日總結!$A:$AJ,33,0),"")</f>
        <v/>
      </c>
      <c r="M1367" s="340" t="str">
        <f>IFERROR(VLOOKUP($G1367,今日總結!$A:$AJ,34,0),"")</f>
        <v/>
      </c>
      <c r="N1367" s="240" t="str">
        <f t="shared" si="250"/>
        <v/>
      </c>
      <c r="P1367" s="365">
        <f>IFERROR(VLOOKUP($G1367,融外自投!$A:$J,7,0),"無")</f>
        <v>1319</v>
      </c>
      <c r="Q1367" s="79">
        <f>IFERROR(VLOOKUP($G1367,融外自投!$A:$J,9,0),"無")</f>
        <v>598</v>
      </c>
      <c r="R1367" s="346">
        <f>IFERROR(VLOOKUP($G1367,融外自投!$A:$J,8,0),"無")</f>
        <v>1417</v>
      </c>
      <c r="S1367" s="81" t="str">
        <f>IFERROR(VLOOKUP($G1367,融外自投!$A:$J,10,0),"無")</f>
        <v>無</v>
      </c>
      <c r="T1367" s="327">
        <f>IFERROR(VLOOKUP($G1367,'321買'!$A:$E,5,0),"'沒有資料'")</f>
        <v>1408</v>
      </c>
      <c r="U1367" s="186">
        <f>IFERROR(VLOOKUP($G1367,基本資料!$A:$J,9,0),"無")</f>
        <v>3.4</v>
      </c>
      <c r="V1367" s="310">
        <f t="shared" si="245"/>
        <v>6.4638783269961975E-2</v>
      </c>
      <c r="W1367" s="94">
        <f>IFERROR(VLOOKUP($G1367,基本資料!$A:$J,10,0),"無")</f>
        <v>3.73</v>
      </c>
      <c r="X1367" s="36">
        <f>RTD("money.excel",,"8342","Price")</f>
        <v>52.6</v>
      </c>
      <c r="Y1367" s="66"/>
      <c r="Z1367" s="15">
        <f t="shared" si="246"/>
        <v>52.6</v>
      </c>
      <c r="AA1367" s="3" t="e">
        <f t="shared" si="247"/>
        <v>#DIV/0!</v>
      </c>
      <c r="AB1367" s="344">
        <f>IFERROR(VLOOKUP($G1367,基本資料!$A:$M,11,0),"無")</f>
        <v>-1.45</v>
      </c>
      <c r="AC1367" s="397">
        <f>IFERROR(VLOOKUP($G1367,基本資料!$A:$M,12,0),"無")</f>
        <v>63.3</v>
      </c>
      <c r="AD1367" s="16" t="s">
        <v>649</v>
      </c>
      <c r="AG1367" s="33">
        <f t="shared" si="248"/>
        <v>0</v>
      </c>
      <c r="AH1367" s="43" t="s">
        <v>2471</v>
      </c>
      <c r="AI1367" s="63">
        <f t="shared" si="261"/>
        <v>1.253731343283582E-3</v>
      </c>
      <c r="AJ1367" s="284">
        <f>RTD("money.excel",,$G1367,"PredictVolume")</f>
        <v>42</v>
      </c>
      <c r="AK1367" s="399">
        <f>IFERROR(VLOOKUP($G1367,基本資料!$A:$M,13,0),"無")</f>
        <v>0.89</v>
      </c>
    </row>
    <row r="1368" spans="1:42">
      <c r="A1368" s="347">
        <f>IFERROR(VLOOKUP($G1368,基本資料!$A:$J,3,0),"無")</f>
        <v>11.99</v>
      </c>
      <c r="B1368" s="79">
        <f>IFERROR(VLOOKUP($G1368,基本資料!$A:$J,4,0),"無")</f>
        <v>57</v>
      </c>
      <c r="C1368" s="79">
        <f>IFERROR(VLOOKUP($G1368,基本資料!$A:$J,5,0),"無")</f>
        <v>79</v>
      </c>
      <c r="D1368" s="79">
        <f>IFERROR(VLOOKUP($G1368,基本資料!$A:$J,6,0),"無")</f>
        <v>49</v>
      </c>
      <c r="E1368" s="79">
        <f>IFERROR(VLOOKUP($G1368,基本資料!$A:$J,7,0),"無")</f>
        <v>-5</v>
      </c>
      <c r="F1368" s="6">
        <f>IFERROR(VLOOKUP($G1368,基本資料!$A:$J,8,0),"無")</f>
        <v>16.21</v>
      </c>
      <c r="G1368" s="79">
        <v>8390</v>
      </c>
      <c r="H1368" s="8" t="s">
        <v>1960</v>
      </c>
      <c r="I1368" s="16" t="s">
        <v>650</v>
      </c>
      <c r="J1368" s="8">
        <f>IFERROR(VLOOKUP($G1368,今日總結!$A:$AJ,35,0),"")</f>
        <v>0</v>
      </c>
      <c r="K1368" s="5" t="str">
        <f>IFERROR(VLOOKUP($G1368,今日總結!$A:$AJ,36,0),"")</f>
        <v>融借</v>
      </c>
      <c r="L1368" s="156">
        <f>IFERROR(VLOOKUP($G1368,今日總結!$A:$AJ,33,0),"")</f>
        <v>0</v>
      </c>
      <c r="M1368" s="340">
        <f>IFERROR(VLOOKUP($G1368,今日總結!$A:$AJ,34,0),"")</f>
        <v>2</v>
      </c>
      <c r="N1368" s="240">
        <f t="shared" si="250"/>
        <v>-2</v>
      </c>
      <c r="P1368" s="365">
        <f>IFERROR(VLOOKUP($G1368,融外自投!$A:$J,7,0),"無")</f>
        <v>273</v>
      </c>
      <c r="Q1368" s="79">
        <f>IFERROR(VLOOKUP($G1368,融外自投!$A:$J,9,0),"無")</f>
        <v>355</v>
      </c>
      <c r="R1368" s="346">
        <f>IFERROR(VLOOKUP($G1368,融外自投!$A:$J,8,0),"無")</f>
        <v>331</v>
      </c>
      <c r="S1368" s="81" t="str">
        <f>IFERROR(VLOOKUP($G1368,融外自投!$A:$J,10,0),"無")</f>
        <v>無</v>
      </c>
      <c r="T1368" s="327">
        <f>IFERROR(VLOOKUP($G1368,'321買'!$A:$E,5,0),"'沒有資料'")</f>
        <v>1099</v>
      </c>
      <c r="U1368" s="186">
        <f>IFERROR(VLOOKUP($G1368,基本資料!$A:$J,9,0),"無")</f>
        <v>1.8</v>
      </c>
      <c r="V1368" s="310">
        <f t="shared" si="245"/>
        <v>5.6074766355140186E-2</v>
      </c>
      <c r="W1368" s="94">
        <f>IFERROR(VLOOKUP($G1368,基本資料!$A:$J,10,0),"無")</f>
        <v>3.47</v>
      </c>
      <c r="X1368" s="36">
        <f>RTD("money.excel",,"8390","Price")</f>
        <v>32.1</v>
      </c>
      <c r="Y1368" s="66"/>
      <c r="Z1368" s="15">
        <f t="shared" si="246"/>
        <v>32.1</v>
      </c>
      <c r="AA1368" s="3" t="e">
        <f t="shared" si="247"/>
        <v>#DIV/0!</v>
      </c>
      <c r="AB1368" s="344">
        <f>IFERROR(VLOOKUP($G1368,基本資料!$A:$M,11,0),"無")</f>
        <v>-29.39</v>
      </c>
      <c r="AC1368" s="397">
        <f>IFERROR(VLOOKUP($G1368,基本資料!$A:$M,12,0),"無")</f>
        <v>17.7</v>
      </c>
      <c r="AD1368" s="16" t="s">
        <v>650</v>
      </c>
      <c r="AG1368" s="33">
        <f t="shared" si="248"/>
        <v>0</v>
      </c>
      <c r="AH1368" s="43" t="s">
        <v>3045</v>
      </c>
      <c r="AI1368" s="63">
        <f t="shared" si="261"/>
        <v>5.479566305254379E-3</v>
      </c>
      <c r="AJ1368" s="284">
        <f>RTD("money.excel",,$G1368,"PredictVolume")</f>
        <v>657</v>
      </c>
      <c r="AK1368" s="399">
        <f>IFERROR(VLOOKUP($G1368,基本資料!$A:$M,13,0),"無")</f>
        <v>32.39</v>
      </c>
    </row>
    <row r="1369" spans="1:42">
      <c r="A1369" s="347">
        <f>IFERROR(VLOOKUP($G1369,基本資料!$A:$J,3,0),"無")</f>
        <v>6</v>
      </c>
      <c r="B1369" s="79">
        <f>IFERROR(VLOOKUP($G1369,基本資料!$A:$J,4,0),"無")</f>
        <v>155</v>
      </c>
      <c r="C1369" s="79">
        <f>IFERROR(VLOOKUP($G1369,基本資料!$A:$J,5,0),"無")</f>
        <v>71</v>
      </c>
      <c r="D1369" s="79">
        <f>IFERROR(VLOOKUP($G1369,基本資料!$A:$J,6,0),"無")</f>
        <v>-8</v>
      </c>
      <c r="E1369" s="79">
        <f>IFERROR(VLOOKUP($G1369,基本資料!$A:$J,7,0),"無")</f>
        <v>-2</v>
      </c>
      <c r="F1369" s="6">
        <f>IFERROR(VLOOKUP($G1369,基本資料!$A:$J,8,0),"無")</f>
        <v>7.86</v>
      </c>
      <c r="G1369" s="79">
        <v>8401</v>
      </c>
      <c r="H1369" s="8" t="s">
        <v>1960</v>
      </c>
      <c r="I1369" s="16" t="s">
        <v>651</v>
      </c>
      <c r="J1369" s="8" t="str">
        <f>IFERROR(VLOOKUP($G1369,今日總結!$A:$AJ,35,0),"")</f>
        <v/>
      </c>
      <c r="K1369" s="5" t="str">
        <f>IFERROR(VLOOKUP($G1369,今日總結!$A:$AJ,36,0),"")</f>
        <v/>
      </c>
      <c r="L1369" s="156" t="str">
        <f>IFERROR(VLOOKUP($G1369,今日總結!$A:$AJ,33,0),"")</f>
        <v/>
      </c>
      <c r="M1369" s="340" t="str">
        <f>IFERROR(VLOOKUP($G1369,今日總結!$A:$AJ,34,0),"")</f>
        <v/>
      </c>
      <c r="N1369" s="240" t="str">
        <f t="shared" si="250"/>
        <v/>
      </c>
      <c r="P1369" s="365">
        <f>IFERROR(VLOOKUP($G1369,融外自投!$A:$J,7,0),"無")</f>
        <v>889</v>
      </c>
      <c r="Q1369" s="79">
        <f>IFERROR(VLOOKUP($G1369,融外自投!$A:$J,9,0),"無")</f>
        <v>896</v>
      </c>
      <c r="R1369" s="346">
        <f>IFERROR(VLOOKUP($G1369,融外自投!$A:$J,8,0),"無")</f>
        <v>1149</v>
      </c>
      <c r="S1369" s="81" t="str">
        <f>IFERROR(VLOOKUP($G1369,融外自投!$A:$J,10,0),"無")</f>
        <v>無</v>
      </c>
      <c r="T1369" s="327">
        <f>IFERROR(VLOOKUP($G1369,'321買'!$A:$E,5,0),"'沒有資料'")</f>
        <v>1099</v>
      </c>
      <c r="U1369" s="186">
        <f>IFERROR(VLOOKUP($G1369,基本資料!$A:$J,9,0),"無")</f>
        <v>1.73</v>
      </c>
      <c r="V1369" s="310">
        <f t="shared" si="245"/>
        <v>0.10914826498422713</v>
      </c>
      <c r="W1369" s="94">
        <f>IFERROR(VLOOKUP($G1369,基本資料!$A:$J,10,0),"無")</f>
        <v>1.96</v>
      </c>
      <c r="X1369" s="36">
        <f>RTD("money.excel",,"8401","Price")</f>
        <v>15.85</v>
      </c>
      <c r="Y1369" s="66"/>
      <c r="Z1369" s="15">
        <f t="shared" si="246"/>
        <v>15.85</v>
      </c>
      <c r="AA1369" s="3" t="e">
        <f t="shared" si="247"/>
        <v>#DIV/0!</v>
      </c>
      <c r="AB1369" s="344">
        <f>IFERROR(VLOOKUP($G1369,基本資料!$A:$M,11,0),"無")</f>
        <v>-26.67</v>
      </c>
      <c r="AC1369" s="397">
        <f>IFERROR(VLOOKUP($G1369,基本資料!$A:$M,12,0),"無")</f>
        <v>13.41</v>
      </c>
      <c r="AD1369" s="16" t="s">
        <v>651</v>
      </c>
      <c r="AG1369" s="33">
        <f t="shared" si="248"/>
        <v>0</v>
      </c>
      <c r="AH1369" s="43" t="s">
        <v>2472</v>
      </c>
      <c r="AI1369" s="63">
        <f t="shared" si="261"/>
        <v>2.5500000000000002E-3</v>
      </c>
      <c r="AJ1369" s="284">
        <f>RTD("money.excel",,$G1369,"PredictVolume")</f>
        <v>153</v>
      </c>
      <c r="AK1369" s="399">
        <f>IFERROR(VLOOKUP($G1369,基本資料!$A:$M,13,0),"無")</f>
        <v>18.21</v>
      </c>
    </row>
    <row r="1370" spans="1:42">
      <c r="A1370" s="347">
        <f>IFERROR(VLOOKUP($G1370,基本資料!$A:$J,3,0),"無")</f>
        <v>31.51</v>
      </c>
      <c r="B1370" s="79">
        <f>IFERROR(VLOOKUP($G1370,基本資料!$A:$J,4,0),"無")</f>
        <v>128</v>
      </c>
      <c r="C1370" s="79">
        <f>IFERROR(VLOOKUP($G1370,基本資料!$A:$J,5,0),"無")</f>
        <v>95</v>
      </c>
      <c r="D1370" s="79">
        <f>IFERROR(VLOOKUP($G1370,基本資料!$A:$J,6,0),"無")</f>
        <v>31</v>
      </c>
      <c r="E1370" s="79">
        <f>IFERROR(VLOOKUP($G1370,基本資料!$A:$J,7,0),"無")</f>
        <v>-50</v>
      </c>
      <c r="F1370" s="6">
        <f>IFERROR(VLOOKUP($G1370,基本資料!$A:$J,8,0),"無")</f>
        <v>20.54</v>
      </c>
      <c r="G1370" s="79">
        <v>8404</v>
      </c>
      <c r="H1370" s="8" t="s">
        <v>1960</v>
      </c>
      <c r="I1370" s="22" t="s">
        <v>1093</v>
      </c>
      <c r="J1370" s="8" t="str">
        <f>IFERROR(VLOOKUP($G1370,今日總結!$A:$AJ,35,0),"")</f>
        <v/>
      </c>
      <c r="K1370" s="5" t="str">
        <f>IFERROR(VLOOKUP($G1370,今日總結!$A:$AJ,36,0),"")</f>
        <v/>
      </c>
      <c r="L1370" s="156" t="str">
        <f>IFERROR(VLOOKUP($G1370,今日總結!$A:$AJ,33,0),"")</f>
        <v/>
      </c>
      <c r="M1370" s="340" t="str">
        <f>IFERROR(VLOOKUP($G1370,今日總結!$A:$AJ,34,0),"")</f>
        <v/>
      </c>
      <c r="N1370" s="240" t="str">
        <f t="shared" si="250"/>
        <v/>
      </c>
      <c r="P1370" s="365">
        <f>IFERROR(VLOOKUP($G1370,融外自投!$A:$J,7,0),"無")</f>
        <v>1060</v>
      </c>
      <c r="Q1370" s="79" t="str">
        <f>IFERROR(VLOOKUP($G1370,融外自投!$A:$J,9,0),"無")</f>
        <v>無</v>
      </c>
      <c r="R1370" s="346">
        <f>IFERROR(VLOOKUP($G1370,融外自投!$A:$J,8,0),"無")</f>
        <v>58</v>
      </c>
      <c r="S1370" s="81" t="str">
        <f>IFERROR(VLOOKUP($G1370,融外自投!$A:$J,10,0),"無")</f>
        <v>無</v>
      </c>
      <c r="T1370" s="327">
        <f>IFERROR(VLOOKUP($G1370,'321買'!$A:$E,5,0),"'沒有資料'")</f>
        <v>1143</v>
      </c>
      <c r="U1370" s="186">
        <f>IFERROR(VLOOKUP($G1370,基本資料!$A:$J,9,0),"無")</f>
        <v>2.5</v>
      </c>
      <c r="V1370" s="310">
        <f t="shared" si="245"/>
        <v>7.1839080459770124E-2</v>
      </c>
      <c r="W1370" s="94">
        <f>IFERROR(VLOOKUP($G1370,基本資料!$A:$J,10,0),"無")</f>
        <v>3.96</v>
      </c>
      <c r="X1370" s="36">
        <f>RTD("money.excel",,"8404","Price")</f>
        <v>34.799999999999997</v>
      </c>
      <c r="Y1370" s="66"/>
      <c r="Z1370" s="15">
        <f t="shared" si="246"/>
        <v>34.799999999999997</v>
      </c>
      <c r="AA1370" s="3" t="e">
        <f t="shared" si="247"/>
        <v>#DIV/0!</v>
      </c>
      <c r="AB1370" s="344">
        <f>IFERROR(VLOOKUP($G1370,基本資料!$A:$M,11,0),"無")</f>
        <v>-31.21</v>
      </c>
      <c r="AC1370" s="397">
        <f>IFERROR(VLOOKUP($G1370,基本資料!$A:$M,12,0),"無")</f>
        <v>47.86</v>
      </c>
      <c r="AD1370" s="22" t="s">
        <v>1093</v>
      </c>
      <c r="AG1370" s="33">
        <f t="shared" si="248"/>
        <v>0</v>
      </c>
      <c r="AH1370" s="119" t="s">
        <v>2828</v>
      </c>
      <c r="AI1370" s="63">
        <f t="shared" si="261"/>
        <v>4.8873373532211991E-4</v>
      </c>
      <c r="AJ1370" s="284">
        <f>RTD("money.excel",,$G1370,"PredictVolume")</f>
        <v>154</v>
      </c>
      <c r="AK1370" s="399">
        <f>IFERROR(VLOOKUP($G1370,基本資料!$A:$M,13,0),"無")</f>
        <v>2.75</v>
      </c>
    </row>
    <row r="1371" spans="1:42">
      <c r="A1371" s="347">
        <f>IFERROR(VLOOKUP($G1371,基本資料!$A:$J,3,0),"無")</f>
        <v>17.53</v>
      </c>
      <c r="B1371" s="79">
        <f>IFERROR(VLOOKUP($G1371,基本資料!$A:$J,4,0),"無")</f>
        <v>480</v>
      </c>
      <c r="C1371" s="79">
        <f>IFERROR(VLOOKUP($G1371,基本資料!$A:$J,5,0),"無")</f>
        <v>46</v>
      </c>
      <c r="D1371" s="79">
        <f>IFERROR(VLOOKUP($G1371,基本資料!$A:$J,6,0),"無")</f>
        <v>-16</v>
      </c>
      <c r="E1371" s="79">
        <f>IFERROR(VLOOKUP($G1371,基本資料!$A:$J,7,0),"無")</f>
        <v>20</v>
      </c>
      <c r="F1371" s="6">
        <f>IFERROR(VLOOKUP($G1371,基本資料!$A:$J,8,0),"無")</f>
        <v>2.56</v>
      </c>
      <c r="G1371" s="79">
        <v>8411</v>
      </c>
      <c r="H1371" s="8" t="s">
        <v>1960</v>
      </c>
      <c r="I1371" s="22" t="s">
        <v>687</v>
      </c>
      <c r="J1371" s="8" t="str">
        <f>IFERROR(VLOOKUP($G1371,今日總結!$A:$AJ,35,0),"")</f>
        <v/>
      </c>
      <c r="K1371" s="5" t="str">
        <f>IFERROR(VLOOKUP($G1371,今日總結!$A:$AJ,36,0),"")</f>
        <v/>
      </c>
      <c r="L1371" s="156" t="str">
        <f>IFERROR(VLOOKUP($G1371,今日總結!$A:$AJ,33,0),"")</f>
        <v/>
      </c>
      <c r="M1371" s="340" t="str">
        <f>IFERROR(VLOOKUP($G1371,今日總結!$A:$AJ,34,0),"")</f>
        <v/>
      </c>
      <c r="N1371" s="240" t="str">
        <f t="shared" si="250"/>
        <v/>
      </c>
      <c r="P1371" s="365">
        <f>IFERROR(VLOOKUP($G1371,融外自投!$A:$J,7,0),"無")</f>
        <v>1059</v>
      </c>
      <c r="Q1371" s="79">
        <f>IFERROR(VLOOKUP($G1371,融外自投!$A:$J,9,0),"無")</f>
        <v>936</v>
      </c>
      <c r="R1371" s="346">
        <f>IFERROR(VLOOKUP($G1371,融外自投!$A:$J,8,0),"無")</f>
        <v>43</v>
      </c>
      <c r="S1371" s="81" t="str">
        <f>IFERROR(VLOOKUP($G1371,融外自投!$A:$J,10,0),"無")</f>
        <v>無</v>
      </c>
      <c r="T1371" s="327">
        <f>IFERROR(VLOOKUP($G1371,'321買'!$A:$E,5,0),"'沒有資料'")</f>
        <v>1259</v>
      </c>
      <c r="U1371" s="186">
        <f>IFERROR(VLOOKUP($G1371,基本資料!$A:$J,9,0),"無")</f>
        <v>0.4</v>
      </c>
      <c r="V1371" s="310">
        <f t="shared" si="245"/>
        <v>2.4767801857585144E-2</v>
      </c>
      <c r="W1371" s="94">
        <f>IFERROR(VLOOKUP($G1371,基本資料!$A:$J,10,0),"無")</f>
        <v>2.2200000000000002</v>
      </c>
      <c r="X1371" s="36">
        <f>RTD("money.excel",,"8411","Price")</f>
        <v>16.149999999999999</v>
      </c>
      <c r="Y1371" s="66"/>
      <c r="Z1371" s="15">
        <f t="shared" si="246"/>
        <v>16.149999999999999</v>
      </c>
      <c r="AA1371" s="3" t="e">
        <f t="shared" si="247"/>
        <v>#DIV/0!</v>
      </c>
      <c r="AB1371" s="344">
        <f>IFERROR(VLOOKUP($G1371,基本資料!$A:$M,11,0),"無")</f>
        <v>-15.87</v>
      </c>
      <c r="AC1371" s="397">
        <f>IFERROR(VLOOKUP($G1371,基本資料!$A:$M,12,0),"無")</f>
        <v>42.3</v>
      </c>
      <c r="AD1371" s="22" t="s">
        <v>687</v>
      </c>
      <c r="AG1371" s="33">
        <f t="shared" si="248"/>
        <v>0</v>
      </c>
      <c r="AH1371" s="43" t="s">
        <v>2829</v>
      </c>
      <c r="AI1371" s="63">
        <f t="shared" si="261"/>
        <v>1.7683970336565888E-4</v>
      </c>
      <c r="AJ1371" s="284">
        <f>RTD("money.excel",,$G1371,"PredictVolume")</f>
        <v>31</v>
      </c>
      <c r="AK1371" s="399">
        <f>IFERROR(VLOOKUP($G1371,基本資料!$A:$M,13,0),"無")</f>
        <v>1.91</v>
      </c>
    </row>
    <row r="1372" spans="1:42">
      <c r="A1372" s="347">
        <f>IFERROR(VLOOKUP($G1372,基本資料!$A:$J,3,0),"無")</f>
        <v>7.83</v>
      </c>
      <c r="B1372" s="79">
        <f>IFERROR(VLOOKUP($G1372,基本資料!$A:$J,4,0),"無")</f>
        <v>-13</v>
      </c>
      <c r="C1372" s="79">
        <f>IFERROR(VLOOKUP($G1372,基本資料!$A:$J,5,0),"無")</f>
        <v>30</v>
      </c>
      <c r="D1372" s="79">
        <f>IFERROR(VLOOKUP($G1372,基本資料!$A:$J,6,0),"無")</f>
        <v>-29</v>
      </c>
      <c r="E1372" s="79">
        <f>IFERROR(VLOOKUP($G1372,基本資料!$A:$J,7,0),"無")</f>
        <v>-13</v>
      </c>
      <c r="F1372" s="6">
        <f>IFERROR(VLOOKUP($G1372,基本資料!$A:$J,8,0),"無")</f>
        <v>-5.65</v>
      </c>
      <c r="G1372" s="79">
        <v>8418</v>
      </c>
      <c r="H1372" s="8" t="s">
        <v>1960</v>
      </c>
      <c r="I1372" s="16" t="s">
        <v>1098</v>
      </c>
      <c r="J1372" s="8" t="str">
        <f>IFERROR(VLOOKUP($G1372,今日總結!$A:$AJ,35,0),"")</f>
        <v/>
      </c>
      <c r="K1372" s="5" t="str">
        <f>IFERROR(VLOOKUP($G1372,今日總結!$A:$AJ,36,0),"")</f>
        <v/>
      </c>
      <c r="L1372" s="156" t="str">
        <f>IFERROR(VLOOKUP($G1372,今日總結!$A:$AJ,33,0),"")</f>
        <v/>
      </c>
      <c r="M1372" s="340" t="str">
        <f>IFERROR(VLOOKUP($G1372,今日總結!$A:$AJ,34,0),"")</f>
        <v/>
      </c>
      <c r="N1372" s="240" t="str">
        <f t="shared" si="250"/>
        <v/>
      </c>
      <c r="P1372" s="365">
        <f>IFERROR(VLOOKUP($G1372,融外自投!$A:$J,7,0),"無")</f>
        <v>1172</v>
      </c>
      <c r="Q1372" s="79" t="str">
        <f>IFERROR(VLOOKUP($G1372,融外自投!$A:$J,9,0),"無")</f>
        <v>無</v>
      </c>
      <c r="R1372" s="346">
        <f>IFERROR(VLOOKUP($G1372,融外自投!$A:$J,8,0),"無")</f>
        <v>4</v>
      </c>
      <c r="S1372" s="81" t="str">
        <f>IFERROR(VLOOKUP($G1372,融外自投!$A:$J,10,0),"無")</f>
        <v>無</v>
      </c>
      <c r="T1372" s="327" t="str">
        <f>IFERROR(VLOOKUP($G1372,'321買'!$A:$E,5,0),"'沒有資料'")</f>
        <v>'沒有資料'</v>
      </c>
      <c r="U1372" s="186">
        <f>IFERROR(VLOOKUP($G1372,基本資料!$A:$J,9,0),"無")</f>
        <v>0</v>
      </c>
      <c r="V1372" s="310">
        <f t="shared" ref="V1372:V1435" si="262">$U1372/$X1372</f>
        <v>0</v>
      </c>
      <c r="W1372" s="94">
        <f>IFERROR(VLOOKUP($G1372,基本資料!$A:$J,10,0),"無")</f>
        <v>-1.97</v>
      </c>
      <c r="X1372" s="36">
        <f>RTD("money.excel",,"8418","Price")</f>
        <v>9.91</v>
      </c>
      <c r="Y1372" s="66"/>
      <c r="Z1372" s="15">
        <f t="shared" si="246"/>
        <v>9.91</v>
      </c>
      <c r="AA1372" s="3" t="e">
        <f t="shared" si="247"/>
        <v>#DIV/0!</v>
      </c>
      <c r="AB1372" s="344">
        <f>IFERROR(VLOOKUP($G1372,基本資料!$A:$M,11,0),"無")</f>
        <v>-19.600000000000001</v>
      </c>
      <c r="AC1372" s="397">
        <f>IFERROR(VLOOKUP($G1372,基本資料!$A:$M,12,0),"無")</f>
        <v>8.76</v>
      </c>
      <c r="AD1372" s="16" t="s">
        <v>1098</v>
      </c>
      <c r="AG1372" s="33">
        <f t="shared" si="248"/>
        <v>0</v>
      </c>
      <c r="AH1372" s="43" t="s">
        <v>2473</v>
      </c>
      <c r="AI1372" s="63">
        <f t="shared" si="261"/>
        <v>3.3205619412515964E-4</v>
      </c>
      <c r="AJ1372" s="284">
        <f>RTD("money.excel",,$G1372,"PredictVolume")</f>
        <v>26</v>
      </c>
      <c r="AK1372" s="399">
        <f>IFERROR(VLOOKUP($G1372,基本資料!$A:$M,13,0),"無")</f>
        <v>1.49</v>
      </c>
    </row>
    <row r="1373" spans="1:42">
      <c r="A1373" s="347">
        <f>IFERROR(VLOOKUP($G1373,基本資料!$A:$J,3,0),"無")</f>
        <v>5.09</v>
      </c>
      <c r="B1373" s="79">
        <f>IFERROR(VLOOKUP($G1373,基本資料!$A:$J,4,0),"無")</f>
        <v>213</v>
      </c>
      <c r="C1373" s="79">
        <f>IFERROR(VLOOKUP($G1373,基本資料!$A:$J,5,0),"無")</f>
        <v>264</v>
      </c>
      <c r="D1373" s="79">
        <f>IFERROR(VLOOKUP($G1373,基本資料!$A:$J,6,0),"無")</f>
        <v>7</v>
      </c>
      <c r="E1373" s="79">
        <f>IFERROR(VLOOKUP($G1373,基本資料!$A:$J,7,0),"無")</f>
        <v>45</v>
      </c>
      <c r="F1373" s="6">
        <f>IFERROR(VLOOKUP($G1373,基本資料!$A:$J,8,0),"無")</f>
        <v>11.16</v>
      </c>
      <c r="G1373" s="79">
        <v>8420</v>
      </c>
      <c r="H1373" s="8" t="s">
        <v>1960</v>
      </c>
      <c r="I1373" s="16" t="s">
        <v>4610</v>
      </c>
      <c r="J1373" s="8" t="str">
        <f>IFERROR(VLOOKUP($G1373,今日總結!$A:$AJ,35,0),"")</f>
        <v/>
      </c>
      <c r="K1373" s="5" t="str">
        <f>IFERROR(VLOOKUP($G1373,今日總結!$A:$AJ,36,0),"")</f>
        <v/>
      </c>
      <c r="L1373" s="156" t="str">
        <f>IFERROR(VLOOKUP($G1373,今日總結!$A:$AJ,33,0),"")</f>
        <v/>
      </c>
      <c r="M1373" s="340" t="str">
        <f>IFERROR(VLOOKUP($G1373,今日總結!$A:$AJ,34,0),"")</f>
        <v/>
      </c>
      <c r="N1373" s="240" t="str">
        <f t="shared" ref="N1373:N1436" si="263">IFERROR(L1373-M1373,"")</f>
        <v/>
      </c>
      <c r="P1373" s="365">
        <f>IFERROR(VLOOKUP($G1373,融外自投!$A:$J,7,0),"無")</f>
        <v>741</v>
      </c>
      <c r="Q1373" s="79">
        <f>IFERROR(VLOOKUP($G1373,融外自投!$A:$J,9,0),"無")</f>
        <v>978</v>
      </c>
      <c r="R1373" s="346">
        <f>IFERROR(VLOOKUP($G1373,融外自投!$A:$J,8,0),"無")</f>
        <v>1227</v>
      </c>
      <c r="S1373" s="81" t="str">
        <f>IFERROR(VLOOKUP($G1373,融外自投!$A:$J,10,0),"無")</f>
        <v>無</v>
      </c>
      <c r="T1373" s="327">
        <f>IFERROR(VLOOKUP($G1373,'321買'!$A:$E,5,0),"'沒有資料'")</f>
        <v>1038</v>
      </c>
      <c r="U1373" s="186">
        <f>IFERROR(VLOOKUP($G1373,基本資料!$A:$J,9,0),"無")</f>
        <v>2.5</v>
      </c>
      <c r="V1373" s="310">
        <f t="shared" si="262"/>
        <v>5.0301810865191143E-2</v>
      </c>
      <c r="W1373" s="94">
        <f>IFERROR(VLOOKUP($G1373,基本資料!$A:$J,10,0),"無")</f>
        <v>4.6399999999999997</v>
      </c>
      <c r="X1373" s="36">
        <f>RTD("money.excel",,"8420","Price")</f>
        <v>49.7</v>
      </c>
      <c r="Y1373" s="66"/>
      <c r="Z1373" s="15">
        <f t="shared" si="246"/>
        <v>49.7</v>
      </c>
      <c r="AA1373" s="3" t="e">
        <f t="shared" si="247"/>
        <v>#DIV/0!</v>
      </c>
      <c r="AB1373" s="344">
        <f>IFERROR(VLOOKUP($G1373,基本資料!$A:$M,11,0),"無")</f>
        <v>-10.44</v>
      </c>
      <c r="AC1373" s="397">
        <f>IFERROR(VLOOKUP($G1373,基本資料!$A:$M,12,0),"無")</f>
        <v>69.88</v>
      </c>
      <c r="AD1373" s="16" t="s">
        <v>4610</v>
      </c>
      <c r="AG1373" s="33">
        <f t="shared" si="248"/>
        <v>0</v>
      </c>
      <c r="AH1373" s="117" t="s">
        <v>1733</v>
      </c>
      <c r="AI1373" s="63">
        <f t="shared" si="261"/>
        <v>7.9371316306483305E-3</v>
      </c>
      <c r="AJ1373" s="284">
        <f>RTD("money.excel",,$G1373,"PredictVolume")</f>
        <v>404</v>
      </c>
      <c r="AK1373" s="399">
        <f>IFERROR(VLOOKUP($G1373,基本資料!$A:$M,13,0),"無")</f>
        <v>6.01</v>
      </c>
    </row>
    <row r="1374" spans="1:42">
      <c r="A1374" s="347">
        <f>IFERROR(VLOOKUP($G1374,基本資料!$A:$J,3,0),"無")</f>
        <v>5.48</v>
      </c>
      <c r="B1374" s="79">
        <f>IFERROR(VLOOKUP($G1374,基本資料!$A:$J,4,0),"無")</f>
        <v>-4</v>
      </c>
      <c r="C1374" s="79">
        <f>IFERROR(VLOOKUP($G1374,基本資料!$A:$J,5,0),"無")</f>
        <v>-101</v>
      </c>
      <c r="D1374" s="79">
        <f>IFERROR(VLOOKUP($G1374,基本資料!$A:$J,6,0),"無")</f>
        <v>-14</v>
      </c>
      <c r="E1374" s="79">
        <f>IFERROR(VLOOKUP($G1374,基本資料!$A:$J,7,0),"無")</f>
        <v>0</v>
      </c>
      <c r="F1374" s="6">
        <f>IFERROR(VLOOKUP($G1374,基本資料!$A:$J,8,0),"無")</f>
        <v>-1.86</v>
      </c>
      <c r="G1374" s="79">
        <v>8421</v>
      </c>
      <c r="H1374" s="8" t="s">
        <v>1960</v>
      </c>
      <c r="I1374" s="16" t="s">
        <v>652</v>
      </c>
      <c r="J1374" s="8" t="str">
        <f>IFERROR(VLOOKUP($G1374,今日總結!$A:$AJ,35,0),"")</f>
        <v/>
      </c>
      <c r="K1374" s="5" t="str">
        <f>IFERROR(VLOOKUP($G1374,今日總結!$A:$AJ,36,0),"")</f>
        <v/>
      </c>
      <c r="L1374" s="156" t="str">
        <f>IFERROR(VLOOKUP($G1374,今日總結!$A:$AJ,33,0),"")</f>
        <v/>
      </c>
      <c r="M1374" s="340" t="str">
        <f>IFERROR(VLOOKUP($G1374,今日總結!$A:$AJ,34,0),"")</f>
        <v/>
      </c>
      <c r="N1374" s="240" t="str">
        <f t="shared" si="263"/>
        <v/>
      </c>
      <c r="P1374" s="365" t="str">
        <f>IFERROR(VLOOKUP($G1374,融外自投!$A:$J,7,0),"無")</f>
        <v>無</v>
      </c>
      <c r="Q1374" s="79" t="str">
        <f>IFERROR(VLOOKUP($G1374,融外自投!$A:$J,9,0),"無")</f>
        <v>無</v>
      </c>
      <c r="R1374" s="346" t="str">
        <f>IFERROR(VLOOKUP($G1374,融外自投!$A:$J,8,0),"無")</f>
        <v>無</v>
      </c>
      <c r="S1374" s="81" t="str">
        <f>IFERROR(VLOOKUP($G1374,融外自投!$A:$J,10,0),"無")</f>
        <v>無</v>
      </c>
      <c r="T1374" s="327" t="str">
        <f>IFERROR(VLOOKUP($G1374,'321買'!$A:$E,5,0),"'沒有資料'")</f>
        <v>'沒有資料'</v>
      </c>
      <c r="U1374" s="186">
        <f>IFERROR(VLOOKUP($G1374,基本資料!$A:$J,9,0),"無")</f>
        <v>0</v>
      </c>
      <c r="V1374" s="310">
        <f t="shared" si="262"/>
        <v>0</v>
      </c>
      <c r="W1374" s="94">
        <f>IFERROR(VLOOKUP($G1374,基本資料!$A:$J,10,0),"無")</f>
        <v>-2.0699999999999998</v>
      </c>
      <c r="X1374" s="36">
        <f>RTD("money.excel",,"8421","Price")</f>
        <v>15.35</v>
      </c>
      <c r="Y1374" s="66"/>
      <c r="Z1374" s="15">
        <f t="shared" si="246"/>
        <v>15.35</v>
      </c>
      <c r="AA1374" s="3" t="e">
        <f t="shared" si="247"/>
        <v>#DIV/0!</v>
      </c>
      <c r="AB1374" s="344">
        <f>IFERROR(VLOOKUP($G1374,基本資料!$A:$M,11,0),"無")</f>
        <v>-4.63</v>
      </c>
      <c r="AC1374" s="397">
        <f>IFERROR(VLOOKUP($G1374,基本資料!$A:$M,12,0),"無")</f>
        <v>68.63</v>
      </c>
      <c r="AD1374" s="16" t="s">
        <v>652</v>
      </c>
      <c r="AG1374" s="33">
        <f t="shared" si="248"/>
        <v>0</v>
      </c>
      <c r="AH1374" s="43" t="s">
        <v>2474</v>
      </c>
      <c r="AI1374" s="63">
        <f t="shared" si="261"/>
        <v>8.1386861313868606E-3</v>
      </c>
      <c r="AJ1374" s="284">
        <f>RTD("money.excel",,$G1374,"PredictVolume")</f>
        <v>446</v>
      </c>
      <c r="AK1374" s="399">
        <f>IFERROR(VLOOKUP($G1374,基本資料!$A:$M,13,0),"無")</f>
        <v>4.38</v>
      </c>
    </row>
    <row r="1375" spans="1:42">
      <c r="A1375" s="347">
        <f>IFERROR(VLOOKUP($G1375,基本資料!$A:$J,3,0),"無")</f>
        <v>10.88</v>
      </c>
      <c r="B1375" s="79">
        <f>IFERROR(VLOOKUP($G1375,基本資料!$A:$J,4,0),"無")</f>
        <v>-1</v>
      </c>
      <c r="C1375" s="79">
        <f>IFERROR(VLOOKUP($G1375,基本資料!$A:$J,5,0),"無")</f>
        <v>0</v>
      </c>
      <c r="D1375" s="79">
        <f>IFERROR(VLOOKUP($G1375,基本資料!$A:$J,6,0),"無")</f>
        <v>10</v>
      </c>
      <c r="E1375" s="79">
        <f>IFERROR(VLOOKUP($G1375,基本資料!$A:$J,7,0),"無")</f>
        <v>82</v>
      </c>
      <c r="F1375" s="6">
        <f>IFERROR(VLOOKUP($G1375,基本資料!$A:$J,8,0),"無")</f>
        <v>47.84</v>
      </c>
      <c r="G1375" s="79">
        <v>8422</v>
      </c>
      <c r="H1375" s="8" t="s">
        <v>1960</v>
      </c>
      <c r="I1375" s="22" t="s">
        <v>688</v>
      </c>
      <c r="J1375" s="8" t="str">
        <f>IFERROR(VLOOKUP($G1375,今日總結!$A:$AJ,35,0),"")</f>
        <v>借</v>
      </c>
      <c r="K1375" s="5" t="str">
        <f>IFERROR(VLOOKUP($G1375,今日總結!$A:$AJ,36,0),"")</f>
        <v>融外</v>
      </c>
      <c r="L1375" s="156">
        <f>IFERROR(VLOOKUP($G1375,今日總結!$A:$AJ,33,0),"")</f>
        <v>1</v>
      </c>
      <c r="M1375" s="340">
        <f>IFERROR(VLOOKUP($G1375,今日總結!$A:$AJ,34,0),"")</f>
        <v>3</v>
      </c>
      <c r="N1375" s="240">
        <f t="shared" si="263"/>
        <v>-2</v>
      </c>
      <c r="P1375" s="365">
        <f>IFERROR(VLOOKUP($G1375,融外自投!$A:$J,7,0),"無")</f>
        <v>880</v>
      </c>
      <c r="Q1375" s="79">
        <f>IFERROR(VLOOKUP($G1375,融外自投!$A:$J,9,0),"無")</f>
        <v>370</v>
      </c>
      <c r="R1375" s="346">
        <f>IFERROR(VLOOKUP($G1375,融外自投!$A:$J,8,0),"無")</f>
        <v>213</v>
      </c>
      <c r="S1375" s="81">
        <f>IFERROR(VLOOKUP($G1375,融外自投!$A:$J,10,0),"無")</f>
        <v>278</v>
      </c>
      <c r="T1375" s="327">
        <f>IFERROR(VLOOKUP($G1375,'321買'!$A:$E,5,0),"'沒有資料'")</f>
        <v>336</v>
      </c>
      <c r="U1375" s="186">
        <f>IFERROR(VLOOKUP($G1375,基本資料!$A:$J,9,0),"無")</f>
        <v>10</v>
      </c>
      <c r="V1375" s="310">
        <f t="shared" si="262"/>
        <v>5.181347150259067E-2</v>
      </c>
      <c r="W1375" s="94">
        <f>IFERROR(VLOOKUP($G1375,基本資料!$A:$J,10,0),"無")</f>
        <v>10.59</v>
      </c>
      <c r="X1375" s="36">
        <f>RTD("money.excel",,"8422","Price")</f>
        <v>193</v>
      </c>
      <c r="Y1375" s="66"/>
      <c r="Z1375" s="15">
        <f t="shared" si="246"/>
        <v>193</v>
      </c>
      <c r="AA1375" s="3" t="e">
        <f t="shared" si="247"/>
        <v>#DIV/0!</v>
      </c>
      <c r="AB1375" s="344">
        <f>IFERROR(VLOOKUP($G1375,基本資料!$A:$M,11,0),"無")</f>
        <v>-24.06</v>
      </c>
      <c r="AC1375" s="397">
        <f>IFERROR(VLOOKUP($G1375,基本資料!$A:$M,12,0),"無")</f>
        <v>15.12</v>
      </c>
      <c r="AD1375" s="22" t="s">
        <v>688</v>
      </c>
      <c r="AG1375" s="33">
        <f t="shared" si="248"/>
        <v>0</v>
      </c>
      <c r="AH1375" s="43" t="s">
        <v>2830</v>
      </c>
      <c r="AI1375" s="63">
        <f t="shared" si="261"/>
        <v>1.810661764705882E-3</v>
      </c>
      <c r="AJ1375" s="284">
        <f>RTD("money.excel",,$G1375,"PredictVolume")</f>
        <v>197</v>
      </c>
      <c r="AK1375" s="399">
        <f>IFERROR(VLOOKUP($G1375,基本資料!$A:$M,13,0),"無")</f>
        <v>9.8699999999999992</v>
      </c>
    </row>
    <row r="1376" spans="1:42">
      <c r="A1376" s="347">
        <f>IFERROR(VLOOKUP($G1376,基本資料!$A:$J,3,0),"無")</f>
        <v>2.41</v>
      </c>
      <c r="B1376" s="79">
        <f>IFERROR(VLOOKUP($G1376,基本資料!$A:$J,4,0),"無")</f>
        <v>-14</v>
      </c>
      <c r="C1376" s="79">
        <f>IFERROR(VLOOKUP($G1376,基本資料!$A:$J,5,0),"無")</f>
        <v>-26</v>
      </c>
      <c r="D1376" s="79">
        <f>IFERROR(VLOOKUP($G1376,基本資料!$A:$J,6,0),"無")</f>
        <v>-18</v>
      </c>
      <c r="E1376" s="79">
        <f>IFERROR(VLOOKUP($G1376,基本資料!$A:$J,7,0),"無")</f>
        <v>-19</v>
      </c>
      <c r="F1376" s="6">
        <f>IFERROR(VLOOKUP($G1376,基本資料!$A:$J,8,0),"無")</f>
        <v>8.61</v>
      </c>
      <c r="G1376" s="79">
        <v>8423</v>
      </c>
      <c r="H1376" s="8" t="s">
        <v>1960</v>
      </c>
      <c r="I1376" s="16" t="s">
        <v>653</v>
      </c>
      <c r="J1376" s="8" t="str">
        <f>IFERROR(VLOOKUP($G1376,今日總結!$A:$AJ,35,0),"")</f>
        <v/>
      </c>
      <c r="K1376" s="5" t="str">
        <f>IFERROR(VLOOKUP($G1376,今日總結!$A:$AJ,36,0),"")</f>
        <v/>
      </c>
      <c r="L1376" s="156" t="str">
        <f>IFERROR(VLOOKUP($G1376,今日總結!$A:$AJ,33,0),"")</f>
        <v/>
      </c>
      <c r="M1376" s="340" t="str">
        <f>IFERROR(VLOOKUP($G1376,今日總結!$A:$AJ,34,0),"")</f>
        <v/>
      </c>
      <c r="N1376" s="240" t="str">
        <f t="shared" si="263"/>
        <v/>
      </c>
      <c r="P1376" s="365" t="str">
        <f>IFERROR(VLOOKUP($G1376,融外自投!$A:$J,7,0),"無")</f>
        <v>無</v>
      </c>
      <c r="Q1376" s="79" t="str">
        <f>IFERROR(VLOOKUP($G1376,融外自投!$A:$J,9,0),"無")</f>
        <v>無</v>
      </c>
      <c r="R1376" s="346" t="str">
        <f>IFERROR(VLOOKUP($G1376,融外自投!$A:$J,8,0),"無")</f>
        <v>無</v>
      </c>
      <c r="S1376" s="81" t="str">
        <f>IFERROR(VLOOKUP($G1376,融外自投!$A:$J,10,0),"無")</f>
        <v>無</v>
      </c>
      <c r="T1376" s="327" t="str">
        <f>IFERROR(VLOOKUP($G1376,'321買'!$A:$E,5,0),"'沒有資料'")</f>
        <v>'沒有資料'</v>
      </c>
      <c r="U1376" s="186">
        <f>IFERROR(VLOOKUP($G1376,基本資料!$A:$J,9,0),"無")</f>
        <v>0.6</v>
      </c>
      <c r="V1376" s="310">
        <f t="shared" si="262"/>
        <v>3.2786885245901634E-2</v>
      </c>
      <c r="W1376" s="94">
        <f>IFERROR(VLOOKUP($G1376,基本資料!$A:$J,10,0),"無")</f>
        <v>0.75</v>
      </c>
      <c r="X1376" s="36">
        <f>RTD("money.excel",,"8423","Price")</f>
        <v>18.3</v>
      </c>
      <c r="Y1376" s="66"/>
      <c r="Z1376" s="15">
        <f t="shared" ref="Z1376:Z1437" si="264">X1376-Y1376</f>
        <v>18.3</v>
      </c>
      <c r="AA1376" s="3" t="e">
        <f t="shared" ref="AA1376:AA1437" si="265">Z1376/Y1376</f>
        <v>#DIV/0!</v>
      </c>
      <c r="AB1376" s="344">
        <f>IFERROR(VLOOKUP($G1376,基本資料!$A:$M,11,0),"無")</f>
        <v>-8.4600000000000009</v>
      </c>
      <c r="AC1376" s="397">
        <f>IFERROR(VLOOKUP($G1376,基本資料!$A:$M,12,0),"無")</f>
        <v>34.200000000000003</v>
      </c>
      <c r="AD1376" s="16" t="s">
        <v>653</v>
      </c>
      <c r="AG1376" s="33">
        <f t="shared" ref="AG1376:AG1437" si="266">AF1376-AE1376</f>
        <v>0</v>
      </c>
      <c r="AH1376" s="43" t="s">
        <v>2475</v>
      </c>
      <c r="AI1376" s="63">
        <f t="shared" si="261"/>
        <v>2.9045643153526973E-4</v>
      </c>
      <c r="AJ1376" s="284">
        <f>RTD("money.excel",,$G1376,"PredictVolume")</f>
        <v>7</v>
      </c>
      <c r="AK1376" s="399">
        <f>IFERROR(VLOOKUP($G1376,基本資料!$A:$M,13,0),"無")</f>
        <v>0.32</v>
      </c>
    </row>
    <row r="1377" spans="1:37">
      <c r="A1377" s="347">
        <f>IFERROR(VLOOKUP($G1377,基本資料!$A:$J,3,0),"無")</f>
        <v>5.0199999999999996</v>
      </c>
      <c r="B1377" s="79">
        <f>IFERROR(VLOOKUP($G1377,基本資料!$A:$J,4,0),"無")</f>
        <v>104</v>
      </c>
      <c r="C1377" s="79">
        <f>IFERROR(VLOOKUP($G1377,基本資料!$A:$J,5,0),"無")</f>
        <v>85</v>
      </c>
      <c r="D1377" s="79">
        <f>IFERROR(VLOOKUP($G1377,基本資料!$A:$J,6,0),"無")</f>
        <v>19</v>
      </c>
      <c r="E1377" s="79">
        <f>IFERROR(VLOOKUP($G1377,基本資料!$A:$J,7,0),"無")</f>
        <v>-12</v>
      </c>
      <c r="F1377" s="6">
        <f>IFERROR(VLOOKUP($G1377,基本資料!$A:$J,8,0),"無")</f>
        <v>-2.25</v>
      </c>
      <c r="G1377" s="79">
        <v>8426</v>
      </c>
      <c r="H1377" s="8" t="s">
        <v>1960</v>
      </c>
      <c r="I1377" s="16" t="s">
        <v>654</v>
      </c>
      <c r="J1377" s="8" t="str">
        <f>IFERROR(VLOOKUP($G1377,今日總結!$A:$AJ,35,0),"")</f>
        <v/>
      </c>
      <c r="K1377" s="5" t="str">
        <f>IFERROR(VLOOKUP($G1377,今日總結!$A:$AJ,36,0),"")</f>
        <v/>
      </c>
      <c r="L1377" s="156" t="str">
        <f>IFERROR(VLOOKUP($G1377,今日總結!$A:$AJ,33,0),"")</f>
        <v/>
      </c>
      <c r="M1377" s="340" t="str">
        <f>IFERROR(VLOOKUP($G1377,今日總結!$A:$AJ,34,0),"")</f>
        <v/>
      </c>
      <c r="N1377" s="240" t="str">
        <f t="shared" si="263"/>
        <v/>
      </c>
      <c r="P1377" s="365">
        <f>IFERROR(VLOOKUP($G1377,融外自投!$A:$J,7,0),"無")</f>
        <v>990</v>
      </c>
      <c r="Q1377" s="79" t="str">
        <f>IFERROR(VLOOKUP($G1377,融外自投!$A:$J,9,0),"無")</f>
        <v>無</v>
      </c>
      <c r="R1377" s="346">
        <f>IFERROR(VLOOKUP($G1377,融外自投!$A:$J,8,0),"無")</f>
        <v>26</v>
      </c>
      <c r="S1377" s="81" t="str">
        <f>IFERROR(VLOOKUP($G1377,融外自投!$A:$J,10,0),"無")</f>
        <v>無</v>
      </c>
      <c r="T1377" s="327" t="str">
        <f>IFERROR(VLOOKUP($G1377,'321買'!$A:$E,5,0),"'沒有資料'")</f>
        <v>'沒有資料'</v>
      </c>
      <c r="U1377" s="186">
        <f>IFERROR(VLOOKUP($G1377,基本資料!$A:$J,9,0),"無")</f>
        <v>0</v>
      </c>
      <c r="V1377" s="310">
        <f t="shared" si="262"/>
        <v>0</v>
      </c>
      <c r="W1377" s="94">
        <f>IFERROR(VLOOKUP($G1377,基本資料!$A:$J,10,0),"無")</f>
        <v>0.12</v>
      </c>
      <c r="X1377" s="36">
        <f>RTD("money.excel",,"8426","Price")</f>
        <v>15.4</v>
      </c>
      <c r="Y1377" s="66"/>
      <c r="Z1377" s="15">
        <f t="shared" si="264"/>
        <v>15.4</v>
      </c>
      <c r="AA1377" s="3" t="e">
        <f t="shared" si="265"/>
        <v>#DIV/0!</v>
      </c>
      <c r="AB1377" s="344">
        <f>IFERROR(VLOOKUP($G1377,基本資料!$A:$M,11,0),"無")</f>
        <v>-17.11</v>
      </c>
      <c r="AC1377" s="397">
        <f>IFERROR(VLOOKUP($G1377,基本資料!$A:$M,12,0),"無")</f>
        <v>28.77</v>
      </c>
      <c r="AD1377" s="16" t="s">
        <v>654</v>
      </c>
      <c r="AG1377" s="33">
        <f t="shared" si="266"/>
        <v>0</v>
      </c>
      <c r="AH1377" s="43" t="s">
        <v>2476</v>
      </c>
      <c r="AI1377" s="63">
        <f t="shared" si="261"/>
        <v>5.9760956175298814E-5</v>
      </c>
      <c r="AJ1377" s="284">
        <f>RTD("money.excel",,$G1377,"PredictVolume")</f>
        <v>3</v>
      </c>
      <c r="AK1377" s="399">
        <f>IFERROR(VLOOKUP($G1377,基本資料!$A:$M,13,0),"無")</f>
        <v>1.51</v>
      </c>
    </row>
    <row r="1378" spans="1:37">
      <c r="A1378" s="347">
        <f>IFERROR(VLOOKUP($G1378,基本資料!$A:$J,3,0),"無")</f>
        <v>3.17</v>
      </c>
      <c r="B1378" s="79">
        <f>IFERROR(VLOOKUP($G1378,基本資料!$A:$J,4,0),"無")</f>
        <v>13</v>
      </c>
      <c r="C1378" s="79">
        <f>IFERROR(VLOOKUP($G1378,基本資料!$A:$J,5,0),"無")</f>
        <v>8</v>
      </c>
      <c r="D1378" s="79">
        <f>IFERROR(VLOOKUP($G1378,基本資料!$A:$J,6,0),"無")</f>
        <v>-13</v>
      </c>
      <c r="E1378" s="79">
        <f>IFERROR(VLOOKUP($G1378,基本資料!$A:$J,7,0),"無")</f>
        <v>-4</v>
      </c>
      <c r="F1378" s="6">
        <f>IFERROR(VLOOKUP($G1378,基本資料!$A:$J,8,0),"無")</f>
        <v>21.51</v>
      </c>
      <c r="G1378" s="79">
        <v>8435</v>
      </c>
      <c r="H1378" s="8" t="s">
        <v>1960</v>
      </c>
      <c r="I1378" s="16" t="s">
        <v>655</v>
      </c>
      <c r="J1378" s="8" t="str">
        <f>IFERROR(VLOOKUP($G1378,今日總結!$A:$AJ,35,0),"")</f>
        <v/>
      </c>
      <c r="K1378" s="5" t="str">
        <f>IFERROR(VLOOKUP($G1378,今日總結!$A:$AJ,36,0),"")</f>
        <v/>
      </c>
      <c r="L1378" s="156" t="str">
        <f>IFERROR(VLOOKUP($G1378,今日總結!$A:$AJ,33,0),"")</f>
        <v/>
      </c>
      <c r="M1378" s="340" t="str">
        <f>IFERROR(VLOOKUP($G1378,今日總結!$A:$AJ,34,0),"")</f>
        <v/>
      </c>
      <c r="N1378" s="240" t="str">
        <f t="shared" si="263"/>
        <v/>
      </c>
      <c r="P1378" s="365">
        <f>IFERROR(VLOOKUP($G1378,融外自投!$A:$J,7,0),"無")</f>
        <v>1256</v>
      </c>
      <c r="Q1378" s="79">
        <f>IFERROR(VLOOKUP($G1378,融外自投!$A:$J,9,0),"無")</f>
        <v>1051</v>
      </c>
      <c r="R1378" s="346">
        <f>IFERROR(VLOOKUP($G1378,融外自投!$A:$J,8,0),"無")</f>
        <v>1246</v>
      </c>
      <c r="S1378" s="81" t="str">
        <f>IFERROR(VLOOKUP($G1378,融外自投!$A:$J,10,0),"無")</f>
        <v>無</v>
      </c>
      <c r="T1378" s="327">
        <f>IFERROR(VLOOKUP($G1378,'321買'!$A:$E,5,0),"'沒有資料'")</f>
        <v>1259</v>
      </c>
      <c r="U1378" s="186">
        <f>IFERROR(VLOOKUP($G1378,基本資料!$A:$J,9,0),"無")</f>
        <v>3.8</v>
      </c>
      <c r="V1378" s="310">
        <f t="shared" si="262"/>
        <v>6.2809917355371891E-2</v>
      </c>
      <c r="W1378" s="94">
        <f>IFERROR(VLOOKUP($G1378,基本資料!$A:$J,10,0),"無")</f>
        <v>4.03</v>
      </c>
      <c r="X1378" s="36">
        <f>RTD("money.excel",,"8435","Price")</f>
        <v>60.5</v>
      </c>
      <c r="Y1378" s="66"/>
      <c r="Z1378" s="15">
        <f t="shared" si="264"/>
        <v>60.5</v>
      </c>
      <c r="AA1378" s="3" t="e">
        <f t="shared" si="265"/>
        <v>#DIV/0!</v>
      </c>
      <c r="AB1378" s="344">
        <f>IFERROR(VLOOKUP($G1378,基本資料!$A:$M,11,0),"無")</f>
        <v>-9.91</v>
      </c>
      <c r="AC1378" s="397">
        <f>IFERROR(VLOOKUP($G1378,基本資料!$A:$M,12,0),"無")</f>
        <v>25.71</v>
      </c>
      <c r="AD1378" s="16" t="s">
        <v>655</v>
      </c>
      <c r="AG1378" s="33">
        <f t="shared" si="266"/>
        <v>0</v>
      </c>
      <c r="AH1378" s="43" t="s">
        <v>2477</v>
      </c>
      <c r="AI1378" s="63">
        <f t="shared" si="261"/>
        <v>1.5457413249211356E-3</v>
      </c>
      <c r="AJ1378" s="284">
        <f>RTD("money.excel",,$G1378,"PredictVolume")</f>
        <v>49</v>
      </c>
      <c r="AK1378" s="399">
        <f>IFERROR(VLOOKUP($G1378,基本資料!$A:$M,13,0),"無")</f>
        <v>0.93</v>
      </c>
    </row>
    <row r="1379" spans="1:37">
      <c r="A1379" s="347">
        <f>IFERROR(VLOOKUP($G1379,基本資料!$A:$J,3,0),"無")</f>
        <v>4.78</v>
      </c>
      <c r="B1379" s="79">
        <f>IFERROR(VLOOKUP($G1379,基本資料!$A:$J,4,0),"無")</f>
        <v>96</v>
      </c>
      <c r="C1379" s="79">
        <f>IFERROR(VLOOKUP($G1379,基本資料!$A:$J,5,0),"無")</f>
        <v>192</v>
      </c>
      <c r="D1379" s="79">
        <f>IFERROR(VLOOKUP($G1379,基本資料!$A:$J,6,0),"無")</f>
        <v>-46</v>
      </c>
      <c r="E1379" s="79">
        <f>IFERROR(VLOOKUP($G1379,基本資料!$A:$J,7,0),"無")</f>
        <v>8</v>
      </c>
      <c r="F1379" s="6">
        <f>IFERROR(VLOOKUP($G1379,基本資料!$A:$J,8,0),"無")</f>
        <v>48.53</v>
      </c>
      <c r="G1379" s="79">
        <v>8437</v>
      </c>
      <c r="H1379" s="8" t="s">
        <v>1960</v>
      </c>
      <c r="I1379" s="16" t="s">
        <v>656</v>
      </c>
      <c r="J1379" s="8">
        <f>IFERROR(VLOOKUP($G1379,今日總結!$A:$AJ,35,0),"")</f>
        <v>0</v>
      </c>
      <c r="K1379" s="5" t="str">
        <f>IFERROR(VLOOKUP($G1379,今日總結!$A:$AJ,36,0),"")</f>
        <v>外</v>
      </c>
      <c r="L1379" s="156">
        <f>IFERROR(VLOOKUP($G1379,今日總結!$A:$AJ,33,0),"")</f>
        <v>0</v>
      </c>
      <c r="M1379" s="340">
        <f>IFERROR(VLOOKUP($G1379,今日總結!$A:$AJ,34,0),"")</f>
        <v>2</v>
      </c>
      <c r="N1379" s="240">
        <f t="shared" si="263"/>
        <v>-2</v>
      </c>
      <c r="P1379" s="365">
        <f>IFERROR(VLOOKUP($G1379,融外自投!$A:$J,7,0),"無")</f>
        <v>1290</v>
      </c>
      <c r="Q1379" s="79" t="str">
        <f>IFERROR(VLOOKUP($G1379,融外自投!$A:$J,9,0),"無")</f>
        <v>無</v>
      </c>
      <c r="R1379" s="346">
        <f>IFERROR(VLOOKUP($G1379,融外自投!$A:$J,8,0),"無")</f>
        <v>119</v>
      </c>
      <c r="S1379" s="81" t="str">
        <f>IFERROR(VLOOKUP($G1379,融外自投!$A:$J,10,0),"無")</f>
        <v>無</v>
      </c>
      <c r="T1379" s="327">
        <f>IFERROR(VLOOKUP($G1379,'321買'!$A:$E,5,0),"'沒有資料'")</f>
        <v>1143</v>
      </c>
      <c r="U1379" s="186">
        <f>IFERROR(VLOOKUP($G1379,基本資料!$A:$J,9,0),"無")</f>
        <v>4</v>
      </c>
      <c r="V1379" s="310">
        <f t="shared" si="262"/>
        <v>3.8461538461538464E-2</v>
      </c>
      <c r="W1379" s="94">
        <f>IFERROR(VLOOKUP($G1379,基本資料!$A:$J,10,0),"無")</f>
        <v>5.36</v>
      </c>
      <c r="X1379" s="36">
        <f>RTD("money.excel",,"8437","Price")</f>
        <v>104</v>
      </c>
      <c r="Y1379" s="66"/>
      <c r="Z1379" s="15">
        <f t="shared" si="264"/>
        <v>104</v>
      </c>
      <c r="AA1379" s="3" t="e">
        <f t="shared" si="265"/>
        <v>#DIV/0!</v>
      </c>
      <c r="AB1379" s="344">
        <f>IFERROR(VLOOKUP($G1379,基本資料!$A:$M,11,0),"無")</f>
        <v>-43.7</v>
      </c>
      <c r="AC1379" s="397">
        <f>IFERROR(VLOOKUP($G1379,基本資料!$A:$M,12,0),"無")</f>
        <v>6.53</v>
      </c>
      <c r="AD1379" s="16" t="s">
        <v>656</v>
      </c>
      <c r="AG1379" s="33">
        <f t="shared" si="266"/>
        <v>0</v>
      </c>
      <c r="AH1379" s="43" t="s">
        <v>2478</v>
      </c>
      <c r="AI1379" s="63">
        <f t="shared" si="261"/>
        <v>4.1841004184100416E-4</v>
      </c>
      <c r="AJ1379" s="284">
        <f>RTD("money.excel",,$G1379,"PredictVolume")</f>
        <v>20</v>
      </c>
      <c r="AK1379" s="399">
        <f>IFERROR(VLOOKUP($G1379,基本資料!$A:$M,13,0),"無")</f>
        <v>0.28999999999999998</v>
      </c>
    </row>
    <row r="1380" spans="1:37">
      <c r="A1380" s="347" t="str">
        <f>IFERROR(VLOOKUP($G1380,基本資料!$A:$J,3,0),"無")</f>
        <v>無</v>
      </c>
      <c r="B1380" s="79" t="str">
        <f>IFERROR(VLOOKUP($G1380,基本資料!$A:$J,4,0),"無")</f>
        <v>無</v>
      </c>
      <c r="C1380" s="79" t="str">
        <f>IFERROR(VLOOKUP($G1380,基本資料!$A:$J,5,0),"無")</f>
        <v>無</v>
      </c>
      <c r="D1380" s="79" t="str">
        <f>IFERROR(VLOOKUP($G1380,基本資料!$A:$J,6,0),"無")</f>
        <v>無</v>
      </c>
      <c r="E1380" s="79" t="str">
        <f>IFERROR(VLOOKUP($G1380,基本資料!$A:$J,7,0),"無")</f>
        <v>無</v>
      </c>
      <c r="F1380" s="6" t="str">
        <f>IFERROR(VLOOKUP($G1380,基本資料!$A:$J,8,0),"無")</f>
        <v>無</v>
      </c>
      <c r="G1380" s="79">
        <v>8438</v>
      </c>
      <c r="H1380" s="8" t="s">
        <v>1960</v>
      </c>
      <c r="I1380" s="22" t="s">
        <v>4762</v>
      </c>
      <c r="J1380" s="8" t="str">
        <f>IFERROR(VLOOKUP($G1380,今日總結!$A:$AJ,35,0),"")</f>
        <v/>
      </c>
      <c r="K1380" s="5" t="str">
        <f>IFERROR(VLOOKUP($G1380,今日總結!$A:$AJ,36,0),"")</f>
        <v/>
      </c>
      <c r="L1380" s="156" t="str">
        <f>IFERROR(VLOOKUP($G1380,今日總結!$A:$AJ,33,0),"")</f>
        <v/>
      </c>
      <c r="M1380" s="340" t="str">
        <f>IFERROR(VLOOKUP($G1380,今日總結!$A:$AJ,34,0),"")</f>
        <v/>
      </c>
      <c r="N1380" s="240" t="str">
        <f t="shared" si="263"/>
        <v/>
      </c>
      <c r="P1380" s="365" t="str">
        <f>IFERROR(VLOOKUP($G1380,融外自投!$A:$J,7,0),"無")</f>
        <v>無</v>
      </c>
      <c r="Q1380" s="79" t="str">
        <f>IFERROR(VLOOKUP($G1380,融外自投!$A:$J,9,0),"無")</f>
        <v>無</v>
      </c>
      <c r="R1380" s="346" t="str">
        <f>IFERROR(VLOOKUP($G1380,融外自投!$A:$J,8,0),"無")</f>
        <v>無</v>
      </c>
      <c r="S1380" s="81" t="str">
        <f>IFERROR(VLOOKUP($G1380,融外自投!$A:$J,10,0),"無")</f>
        <v>無</v>
      </c>
      <c r="T1380" s="327" t="str">
        <f>IFERROR(VLOOKUP($G1380,'321買'!$A:$E,5,0),"'沒有資料'")</f>
        <v>'沒有資料'</v>
      </c>
      <c r="U1380" s="186" t="str">
        <f>IFERROR(VLOOKUP($G1380,基本資料!$A:$J,9,0),"無")</f>
        <v>無</v>
      </c>
      <c r="V1380" s="310" t="e">
        <f t="shared" si="262"/>
        <v>#VALUE!</v>
      </c>
      <c r="W1380" s="94" t="str">
        <f>IFERROR(VLOOKUP($G1380,基本資料!$A:$J,10,0),"無")</f>
        <v>無</v>
      </c>
      <c r="X1380" s="36">
        <f>RTD("money.excel",,"8438","Price")</f>
        <v>38.4</v>
      </c>
      <c r="Y1380" s="66"/>
      <c r="Z1380" s="15">
        <f>X1380-Y1380</f>
        <v>38.4</v>
      </c>
      <c r="AA1380" s="3" t="e">
        <f>Z1380/Y1380</f>
        <v>#DIV/0!</v>
      </c>
      <c r="AB1380" s="344" t="str">
        <f>IFERROR(VLOOKUP($G1380,基本資料!$A:$M,11,0),"無")</f>
        <v>無</v>
      </c>
      <c r="AC1380" s="397" t="str">
        <f>IFERROR(VLOOKUP($G1380,基本資料!$A:$M,12,0),"無")</f>
        <v>無</v>
      </c>
      <c r="AD1380" s="22" t="s">
        <v>4762</v>
      </c>
      <c r="AG1380" s="33">
        <f>AF1380-AE1380</f>
        <v>0</v>
      </c>
      <c r="AH1380" s="123" t="s">
        <v>4767</v>
      </c>
      <c r="AI1380" s="63" t="e">
        <f t="shared" si="261"/>
        <v>#VALUE!</v>
      </c>
      <c r="AJ1380" s="284">
        <f>RTD("money.excel",,$G1380,"PredictVolume")</f>
        <v>72</v>
      </c>
      <c r="AK1380" s="399" t="str">
        <f>IFERROR(VLOOKUP($G1380,基本資料!$A:$M,13,0),"無")</f>
        <v>無</v>
      </c>
    </row>
    <row r="1381" spans="1:37">
      <c r="A1381" s="347">
        <f>IFERROR(VLOOKUP($G1381,基本資料!$A:$J,3,0),"無")</f>
        <v>3.8</v>
      </c>
      <c r="B1381" s="79">
        <f>IFERROR(VLOOKUP($G1381,基本資料!$A:$J,4,0),"無")</f>
        <v>127</v>
      </c>
      <c r="C1381" s="79">
        <f>IFERROR(VLOOKUP($G1381,基本資料!$A:$J,5,0),"無")</f>
        <v>243</v>
      </c>
      <c r="D1381" s="79">
        <f>IFERROR(VLOOKUP($G1381,基本資料!$A:$J,6,0),"無")</f>
        <v>-10</v>
      </c>
      <c r="E1381" s="79">
        <f>IFERROR(VLOOKUP($G1381,基本資料!$A:$J,7,0),"無")</f>
        <v>12</v>
      </c>
      <c r="F1381" s="6">
        <f>IFERROR(VLOOKUP($G1381,基本資料!$A:$J,8,0),"無")</f>
        <v>6.26</v>
      </c>
      <c r="G1381" s="79">
        <v>8440</v>
      </c>
      <c r="H1381" s="8" t="s">
        <v>1960</v>
      </c>
      <c r="I1381" s="16" t="s">
        <v>657</v>
      </c>
      <c r="J1381" s="8">
        <f>IFERROR(VLOOKUP($G1381,今日總結!$A:$AJ,35,0),"")</f>
        <v>0</v>
      </c>
      <c r="K1381" s="5">
        <f>IFERROR(VLOOKUP($G1381,今日總結!$A:$AJ,36,0),"")</f>
        <v>42</v>
      </c>
      <c r="L1381" s="156">
        <f>IFERROR(VLOOKUP($G1381,今日總結!$A:$AJ,33,0),"")</f>
        <v>0</v>
      </c>
      <c r="M1381" s="340">
        <f>IFERROR(VLOOKUP($G1381,今日總結!$A:$AJ,34,0),"")</f>
        <v>2</v>
      </c>
      <c r="N1381" s="240">
        <f t="shared" si="263"/>
        <v>-2</v>
      </c>
      <c r="P1381" s="365">
        <f>IFERROR(VLOOKUP($G1381,融外自投!$A:$J,7,0),"無")</f>
        <v>144</v>
      </c>
      <c r="Q1381" s="79">
        <f>IFERROR(VLOOKUP($G1381,融外自投!$A:$J,9,0),"無")</f>
        <v>136</v>
      </c>
      <c r="R1381" s="346">
        <f>IFERROR(VLOOKUP($G1381,融外自投!$A:$J,8,0),"無")</f>
        <v>953</v>
      </c>
      <c r="S1381" s="81" t="str">
        <f>IFERROR(VLOOKUP($G1381,融外自投!$A:$J,10,0),"無")</f>
        <v>無</v>
      </c>
      <c r="T1381" s="327">
        <f>IFERROR(VLOOKUP($G1381,'321買'!$A:$E,5,0),"'沒有資料'")</f>
        <v>318</v>
      </c>
      <c r="U1381" s="186">
        <f>IFERROR(VLOOKUP($G1381,基本資料!$A:$J,9,0),"無")</f>
        <v>0.6</v>
      </c>
      <c r="V1381" s="310">
        <f t="shared" si="262"/>
        <v>9.1463414634146353E-3</v>
      </c>
      <c r="W1381" s="94">
        <f>IFERROR(VLOOKUP($G1381,基本資料!$A:$J,10,0),"無")</f>
        <v>1.37</v>
      </c>
      <c r="X1381" s="36">
        <f>RTD("money.excel",,"8440","Price")</f>
        <v>65.599999999999994</v>
      </c>
      <c r="Y1381" s="66"/>
      <c r="Z1381" s="15">
        <f t="shared" si="264"/>
        <v>65.599999999999994</v>
      </c>
      <c r="AA1381" s="3" t="e">
        <f t="shared" si="265"/>
        <v>#DIV/0!</v>
      </c>
      <c r="AB1381" s="344">
        <f>IFERROR(VLOOKUP($G1381,基本資料!$A:$M,11,0),"無")</f>
        <v>-32.39</v>
      </c>
      <c r="AC1381" s="397">
        <f>IFERROR(VLOOKUP($G1381,基本資料!$A:$M,12,0),"無")</f>
        <v>59.94</v>
      </c>
      <c r="AD1381" s="16" t="s">
        <v>657</v>
      </c>
      <c r="AG1381" s="33">
        <f t="shared" si="266"/>
        <v>0</v>
      </c>
      <c r="AH1381" s="43" t="s">
        <v>2479</v>
      </c>
      <c r="AI1381" s="63">
        <f t="shared" si="261"/>
        <v>0.12663157894736843</v>
      </c>
      <c r="AJ1381" s="284">
        <f>RTD("money.excel",,$G1381,"PredictVolume")</f>
        <v>4812</v>
      </c>
      <c r="AK1381" s="399">
        <f>IFERROR(VLOOKUP($G1381,基本資料!$A:$M,13,0),"無")</f>
        <v>208.71</v>
      </c>
    </row>
    <row r="1382" spans="1:37">
      <c r="A1382" s="347">
        <f>IFERROR(VLOOKUP($G1382,基本資料!$A:$J,3,0),"無")</f>
        <v>5.99</v>
      </c>
      <c r="B1382" s="79">
        <f>IFERROR(VLOOKUP($G1382,基本資料!$A:$J,4,0),"無")</f>
        <v>149</v>
      </c>
      <c r="C1382" s="79">
        <f>IFERROR(VLOOKUP($G1382,基本資料!$A:$J,5,0),"無")</f>
        <v>167</v>
      </c>
      <c r="D1382" s="79">
        <f>IFERROR(VLOOKUP($G1382,基本資料!$A:$J,6,0),"無")</f>
        <v>24</v>
      </c>
      <c r="E1382" s="79">
        <f>IFERROR(VLOOKUP($G1382,基本資料!$A:$J,7,0),"無")</f>
        <v>64</v>
      </c>
      <c r="F1382" s="6">
        <f>IFERROR(VLOOKUP($G1382,基本資料!$A:$J,8,0),"無")</f>
        <v>1.41</v>
      </c>
      <c r="G1382" s="79">
        <v>8442</v>
      </c>
      <c r="H1382" s="8" t="s">
        <v>1960</v>
      </c>
      <c r="I1382" s="22" t="s">
        <v>709</v>
      </c>
      <c r="J1382" s="8" t="str">
        <f>IFERROR(VLOOKUP($G1382,今日總結!$A:$AJ,35,0),"")</f>
        <v>融</v>
      </c>
      <c r="K1382" s="5">
        <f>IFERROR(VLOOKUP($G1382,今日總結!$A:$AJ,36,0),"")</f>
        <v>0</v>
      </c>
      <c r="L1382" s="156">
        <f>IFERROR(VLOOKUP($G1382,今日總結!$A:$AJ,33,0),"")</f>
        <v>1</v>
      </c>
      <c r="M1382" s="340">
        <f>IFERROR(VLOOKUP($G1382,今日總結!$A:$AJ,34,0),"")</f>
        <v>0</v>
      </c>
      <c r="N1382" s="240">
        <f t="shared" si="263"/>
        <v>1</v>
      </c>
      <c r="P1382" s="365">
        <f>IFERROR(VLOOKUP($G1382,融外自投!$A:$J,7,0),"無")</f>
        <v>1092</v>
      </c>
      <c r="Q1382" s="79">
        <f>IFERROR(VLOOKUP($G1382,融外自投!$A:$J,9,0),"無")</f>
        <v>896</v>
      </c>
      <c r="R1382" s="346">
        <f>IFERROR(VLOOKUP($G1382,融外自投!$A:$J,8,0),"無")</f>
        <v>38</v>
      </c>
      <c r="S1382" s="81" t="str">
        <f>IFERROR(VLOOKUP($G1382,融外自投!$A:$J,10,0),"無")</f>
        <v>無</v>
      </c>
      <c r="T1382" s="327">
        <f>IFERROR(VLOOKUP($G1382,'321買'!$A:$E,5,0),"'沒有資料'")</f>
        <v>1239</v>
      </c>
      <c r="U1382" s="186">
        <f>IFERROR(VLOOKUP($G1382,基本資料!$A:$J,9,0),"無")</f>
        <v>1</v>
      </c>
      <c r="V1382" s="310">
        <f t="shared" si="262"/>
        <v>1.8518518518518517E-2</v>
      </c>
      <c r="W1382" s="94">
        <f>IFERROR(VLOOKUP($G1382,基本資料!$A:$J,10,0),"無")</f>
        <v>1.26</v>
      </c>
      <c r="X1382" s="36">
        <f>RTD("money.excel",,"8442","Price")</f>
        <v>54</v>
      </c>
      <c r="Y1382" s="66"/>
      <c r="Z1382" s="15">
        <f t="shared" si="264"/>
        <v>54</v>
      </c>
      <c r="AA1382" s="3" t="e">
        <f t="shared" si="265"/>
        <v>#DIV/0!</v>
      </c>
      <c r="AB1382" s="344">
        <f>IFERROR(VLOOKUP($G1382,基本資料!$A:$M,11,0),"無")</f>
        <v>-6.53</v>
      </c>
      <c r="AC1382" s="397">
        <f>IFERROR(VLOOKUP($G1382,基本資料!$A:$M,12,0),"無")</f>
        <v>60.9</v>
      </c>
      <c r="AD1382" s="22" t="s">
        <v>709</v>
      </c>
      <c r="AG1382" s="33">
        <f t="shared" si="266"/>
        <v>0</v>
      </c>
      <c r="AH1382" s="43" t="s">
        <v>2166</v>
      </c>
      <c r="AI1382" s="63">
        <f t="shared" si="261"/>
        <v>7.3455759599332223E-4</v>
      </c>
      <c r="AJ1382" s="284">
        <f>RTD("money.excel",,$G1382,"PredictVolume")</f>
        <v>44</v>
      </c>
      <c r="AK1382" s="399">
        <f>IFERROR(VLOOKUP($G1382,基本資料!$A:$M,13,0),"無")</f>
        <v>0.94</v>
      </c>
    </row>
    <row r="1383" spans="1:37">
      <c r="A1383" s="347">
        <f>IFERROR(VLOOKUP($G1383,基本資料!$A:$J,3,0),"無")</f>
        <v>8.9700000000000006</v>
      </c>
      <c r="B1383" s="79">
        <f>IFERROR(VLOOKUP($G1383,基本資料!$A:$J,4,0),"無")</f>
        <v>1231</v>
      </c>
      <c r="C1383" s="79">
        <f>IFERROR(VLOOKUP($G1383,基本資料!$A:$J,5,0),"無")</f>
        <v>591</v>
      </c>
      <c r="D1383" s="79">
        <f>IFERROR(VLOOKUP($G1383,基本資料!$A:$J,6,0),"無")</f>
        <v>41</v>
      </c>
      <c r="E1383" s="79">
        <f>IFERROR(VLOOKUP($G1383,基本資料!$A:$J,7,0),"無")</f>
        <v>-3</v>
      </c>
      <c r="F1383" s="6">
        <f>IFERROR(VLOOKUP($G1383,基本資料!$A:$J,8,0),"無")</f>
        <v>7.19</v>
      </c>
      <c r="G1383" s="79">
        <v>8444</v>
      </c>
      <c r="H1383" s="8" t="s">
        <v>1960</v>
      </c>
      <c r="I1383" s="16" t="s">
        <v>4611</v>
      </c>
      <c r="J1383" s="8" t="str">
        <f>IFERROR(VLOOKUP($G1383,今日總結!$A:$AJ,35,0),"")</f>
        <v/>
      </c>
      <c r="K1383" s="5" t="str">
        <f>IFERROR(VLOOKUP($G1383,今日總結!$A:$AJ,36,0),"")</f>
        <v/>
      </c>
      <c r="L1383" s="156" t="str">
        <f>IFERROR(VLOOKUP($G1383,今日總結!$A:$AJ,33,0),"")</f>
        <v/>
      </c>
      <c r="M1383" s="340" t="str">
        <f>IFERROR(VLOOKUP($G1383,今日總結!$A:$AJ,34,0),"")</f>
        <v/>
      </c>
      <c r="N1383" s="240" t="str">
        <f t="shared" si="263"/>
        <v/>
      </c>
      <c r="P1383" s="365">
        <f>IFERROR(VLOOKUP($G1383,融外自投!$A:$J,7,0),"無")</f>
        <v>601</v>
      </c>
      <c r="Q1383" s="79" t="str">
        <f>IFERROR(VLOOKUP($G1383,融外自投!$A:$J,9,0),"無")</f>
        <v>無</v>
      </c>
      <c r="R1383" s="346">
        <f>IFERROR(VLOOKUP($G1383,融外自投!$A:$J,8,0),"無")</f>
        <v>35</v>
      </c>
      <c r="S1383" s="81" t="str">
        <f>IFERROR(VLOOKUP($G1383,融外自投!$A:$J,10,0),"無")</f>
        <v>無</v>
      </c>
      <c r="T1383" s="327">
        <f>IFERROR(VLOOKUP($G1383,'321買'!$A:$E,5,0),"'沒有資料'")</f>
        <v>515</v>
      </c>
      <c r="U1383" s="186">
        <f>IFERROR(VLOOKUP($G1383,基本資料!$A:$J,9,0),"無")</f>
        <v>0</v>
      </c>
      <c r="V1383" s="310">
        <f t="shared" si="262"/>
        <v>0</v>
      </c>
      <c r="W1383" s="94">
        <f>IFERROR(VLOOKUP($G1383,基本資料!$A:$J,10,0),"無")</f>
        <v>4.62</v>
      </c>
      <c r="X1383" s="36">
        <f>RTD("money.excel",,"8444","Price")</f>
        <v>66</v>
      </c>
      <c r="Y1383" s="66"/>
      <c r="Z1383" s="15">
        <f t="shared" si="264"/>
        <v>66</v>
      </c>
      <c r="AA1383" s="3" t="e">
        <f t="shared" si="265"/>
        <v>#DIV/0!</v>
      </c>
      <c r="AB1383" s="344">
        <f>IFERROR(VLOOKUP($G1383,基本資料!$A:$M,11,0),"無")</f>
        <v>-55.77</v>
      </c>
      <c r="AC1383" s="397">
        <f>IFERROR(VLOOKUP($G1383,基本資料!$A:$M,12,0),"無")</f>
        <v>9.34</v>
      </c>
      <c r="AD1383" s="16" t="s">
        <v>4611</v>
      </c>
      <c r="AG1383" s="33">
        <f t="shared" si="266"/>
        <v>0</v>
      </c>
      <c r="AH1383" s="117" t="s">
        <v>2480</v>
      </c>
      <c r="AI1383" s="63">
        <f t="shared" si="261"/>
        <v>4.4593088071348938E-5</v>
      </c>
      <c r="AJ1383" s="284">
        <f>RTD("money.excel",,$G1383,"PredictVolume")</f>
        <v>4</v>
      </c>
      <c r="AK1383" s="399">
        <f>IFERROR(VLOOKUP($G1383,基本資料!$A:$M,13,0),"無")</f>
        <v>0.59</v>
      </c>
    </row>
    <row r="1384" spans="1:37">
      <c r="A1384" s="347">
        <f>IFERROR(VLOOKUP($G1384,基本資料!$A:$J,3,0),"無")</f>
        <v>15</v>
      </c>
      <c r="B1384" s="79">
        <f>IFERROR(VLOOKUP($G1384,基本資料!$A:$J,4,0),"無")</f>
        <v>-172</v>
      </c>
      <c r="C1384" s="79">
        <f>IFERROR(VLOOKUP($G1384,基本資料!$A:$J,5,0),"無")</f>
        <v>-76</v>
      </c>
      <c r="D1384" s="79">
        <f>IFERROR(VLOOKUP($G1384,基本資料!$A:$J,6,0),"無")</f>
        <v>51</v>
      </c>
      <c r="E1384" s="79">
        <f>IFERROR(VLOOKUP($G1384,基本資料!$A:$J,7,0),"無")</f>
        <v>2</v>
      </c>
      <c r="F1384" s="6">
        <f>IFERROR(VLOOKUP($G1384,基本資料!$A:$J,8,0),"無")</f>
        <v>1.07</v>
      </c>
      <c r="G1384" s="79">
        <v>8463</v>
      </c>
      <c r="H1384" s="8" t="s">
        <v>1960</v>
      </c>
      <c r="I1384" s="22" t="s">
        <v>689</v>
      </c>
      <c r="J1384" s="8">
        <f>IFERROR(VLOOKUP($G1384,今日總結!$A:$AJ,35,0),"")</f>
        <v>0</v>
      </c>
      <c r="K1384" s="5" t="str">
        <f>IFERROR(VLOOKUP($G1384,今日總結!$A:$AJ,36,0),"")</f>
        <v>借</v>
      </c>
      <c r="L1384" s="156">
        <f>IFERROR(VLOOKUP($G1384,今日總結!$A:$AJ,33,0),"")</f>
        <v>0</v>
      </c>
      <c r="M1384" s="340">
        <f>IFERROR(VLOOKUP($G1384,今日總結!$A:$AJ,34,0),"")</f>
        <v>1</v>
      </c>
      <c r="N1384" s="240">
        <f t="shared" si="263"/>
        <v>-1</v>
      </c>
      <c r="P1384" s="365">
        <f>IFERROR(VLOOKUP($G1384,融外自投!$A:$J,7,0),"無")</f>
        <v>938</v>
      </c>
      <c r="Q1384" s="79">
        <f>IFERROR(VLOOKUP($G1384,融外自投!$A:$J,9,0),"無")</f>
        <v>896</v>
      </c>
      <c r="R1384" s="346">
        <f>IFERROR(VLOOKUP($G1384,融外自投!$A:$J,8,0),"無")</f>
        <v>1406</v>
      </c>
      <c r="S1384" s="81" t="str">
        <f>IFERROR(VLOOKUP($G1384,融外自投!$A:$J,10,0),"無")</f>
        <v>無</v>
      </c>
      <c r="T1384" s="327">
        <f>IFERROR(VLOOKUP($G1384,'321買'!$A:$E,5,0),"'沒有資料'")</f>
        <v>827</v>
      </c>
      <c r="U1384" s="186">
        <f>IFERROR(VLOOKUP($G1384,基本資料!$A:$J,9,0),"無")</f>
        <v>0</v>
      </c>
      <c r="V1384" s="310">
        <f t="shared" si="262"/>
        <v>0</v>
      </c>
      <c r="W1384" s="94">
        <f>IFERROR(VLOOKUP($G1384,基本資料!$A:$J,10,0),"無")</f>
        <v>-0.69</v>
      </c>
      <c r="X1384" s="36">
        <f>RTD("money.excel",,"8463","Price")</f>
        <v>31.6</v>
      </c>
      <c r="Y1384" s="66"/>
      <c r="Z1384" s="15">
        <f t="shared" si="264"/>
        <v>31.6</v>
      </c>
      <c r="AA1384" s="3" t="e">
        <f t="shared" si="265"/>
        <v>#DIV/0!</v>
      </c>
      <c r="AB1384" s="344">
        <f>IFERROR(VLOOKUP($G1384,基本資料!$A:$M,11,0),"無")</f>
        <v>-30.33</v>
      </c>
      <c r="AC1384" s="397">
        <f>IFERROR(VLOOKUP($G1384,基本資料!$A:$M,12,0),"無")</f>
        <v>60.84</v>
      </c>
      <c r="AD1384" s="22" t="s">
        <v>689</v>
      </c>
      <c r="AG1384" s="33">
        <f t="shared" si="266"/>
        <v>0</v>
      </c>
      <c r="AH1384" s="43" t="s">
        <v>2831</v>
      </c>
      <c r="AI1384" s="63">
        <f t="shared" si="261"/>
        <v>3.6933333333333332E-3</v>
      </c>
      <c r="AJ1384" s="284">
        <f>RTD("money.excel",,$G1384,"PredictVolume")</f>
        <v>554</v>
      </c>
      <c r="AK1384" s="399">
        <f>IFERROR(VLOOKUP($G1384,基本資料!$A:$M,13,0),"無")</f>
        <v>3.99</v>
      </c>
    </row>
    <row r="1385" spans="1:37">
      <c r="A1385" s="347">
        <f>IFERROR(VLOOKUP($G1385,基本資料!$A:$J,3,0),"無")</f>
        <v>29.3</v>
      </c>
      <c r="B1385" s="79">
        <f>IFERROR(VLOOKUP($G1385,基本資料!$A:$J,4,0),"無")</f>
        <v>11</v>
      </c>
      <c r="C1385" s="79">
        <f>IFERROR(VLOOKUP($G1385,基本資料!$A:$J,5,0),"無")</f>
        <v>11</v>
      </c>
      <c r="D1385" s="79">
        <f>IFERROR(VLOOKUP($G1385,基本資料!$A:$J,6,0),"無")</f>
        <v>11</v>
      </c>
      <c r="E1385" s="79">
        <f>IFERROR(VLOOKUP($G1385,基本資料!$A:$J,7,0),"無")</f>
        <v>-7</v>
      </c>
      <c r="F1385" s="6">
        <f>IFERROR(VLOOKUP($G1385,基本資料!$A:$J,8,0),"無")</f>
        <v>26.71</v>
      </c>
      <c r="G1385" s="79">
        <v>8464</v>
      </c>
      <c r="H1385" s="192" t="s">
        <v>235</v>
      </c>
      <c r="I1385" s="22" t="s">
        <v>257</v>
      </c>
      <c r="J1385" s="8" t="str">
        <f>IFERROR(VLOOKUP($G1385,今日總結!$A:$AJ,35,0),"")</f>
        <v>借</v>
      </c>
      <c r="K1385" s="5">
        <f>IFERROR(VLOOKUP($G1385,今日總結!$A:$AJ,36,0),"")</f>
        <v>0</v>
      </c>
      <c r="L1385" s="156">
        <f>IFERROR(VLOOKUP($G1385,今日總結!$A:$AJ,33,0),"")</f>
        <v>1</v>
      </c>
      <c r="M1385" s="340">
        <f>IFERROR(VLOOKUP($G1385,今日總結!$A:$AJ,34,0),"")</f>
        <v>0</v>
      </c>
      <c r="N1385" s="240">
        <f t="shared" si="263"/>
        <v>1</v>
      </c>
      <c r="P1385" s="365">
        <f>IFERROR(VLOOKUP($G1385,融外自投!$A:$J,7,0),"無")</f>
        <v>700</v>
      </c>
      <c r="Q1385" s="79">
        <f>IFERROR(VLOOKUP($G1385,融外自投!$A:$J,9,0),"無")</f>
        <v>683</v>
      </c>
      <c r="R1385" s="346">
        <f>IFERROR(VLOOKUP($G1385,融外自投!$A:$J,8,0),"無")</f>
        <v>88</v>
      </c>
      <c r="S1385" s="81">
        <f>IFERROR(VLOOKUP($G1385,融外自投!$A:$J,10,0),"無")</f>
        <v>293</v>
      </c>
      <c r="T1385" s="327">
        <f>IFERROR(VLOOKUP($G1385,'321買'!$A:$E,5,0),"'沒有資料'")</f>
        <v>318</v>
      </c>
      <c r="U1385" s="186">
        <f>IFERROR(VLOOKUP($G1385,基本資料!$A:$J,9,0),"無")</f>
        <v>11</v>
      </c>
      <c r="V1385" s="310">
        <f t="shared" si="262"/>
        <v>3.6243822075782535E-2</v>
      </c>
      <c r="W1385" s="94">
        <f>IFERROR(VLOOKUP($G1385,基本資料!$A:$J,10,0),"無")</f>
        <v>18.149999999999999</v>
      </c>
      <c r="X1385" s="36">
        <f>RTD("money.excel",,"8464","Price")</f>
        <v>303.5</v>
      </c>
      <c r="Y1385" s="66"/>
      <c r="Z1385" s="15">
        <f t="shared" si="264"/>
        <v>303.5</v>
      </c>
      <c r="AA1385" s="3" t="e">
        <f t="shared" si="265"/>
        <v>#DIV/0!</v>
      </c>
      <c r="AB1385" s="344">
        <f>IFERROR(VLOOKUP($G1385,基本資料!$A:$M,11,0),"無")</f>
        <v>-38.74</v>
      </c>
      <c r="AC1385" s="397">
        <f>IFERROR(VLOOKUP($G1385,基本資料!$A:$M,12,0),"無")</f>
        <v>17.489999999999998</v>
      </c>
      <c r="AD1385" s="22" t="s">
        <v>257</v>
      </c>
      <c r="AG1385" s="33">
        <f t="shared" si="266"/>
        <v>0</v>
      </c>
      <c r="AH1385" s="117" t="s">
        <v>1418</v>
      </c>
      <c r="AI1385" s="63">
        <f t="shared" si="261"/>
        <v>1.2969283276450512E-3</v>
      </c>
      <c r="AJ1385" s="284">
        <f>RTD("money.excel",,$G1385,"PredictVolume")</f>
        <v>380</v>
      </c>
      <c r="AK1385" s="399">
        <f>IFERROR(VLOOKUP($G1385,基本資料!$A:$M,13,0),"無")</f>
        <v>0.79</v>
      </c>
    </row>
    <row r="1386" spans="1:37">
      <c r="A1386" s="347">
        <f>IFERROR(VLOOKUP($G1386,基本資料!$A:$J,3,0),"無")</f>
        <v>6.6</v>
      </c>
      <c r="B1386" s="79">
        <f>IFERROR(VLOOKUP($G1386,基本資料!$A:$J,4,0),"無")</f>
        <v>-77</v>
      </c>
      <c r="C1386" s="79">
        <f>IFERROR(VLOOKUP($G1386,基本資料!$A:$J,5,0),"無")</f>
        <v>-78</v>
      </c>
      <c r="D1386" s="79">
        <f>IFERROR(VLOOKUP($G1386,基本資料!$A:$J,6,0),"無")</f>
        <v>0</v>
      </c>
      <c r="E1386" s="79">
        <f>IFERROR(VLOOKUP($G1386,基本資料!$A:$J,7,0),"無")</f>
        <v>29</v>
      </c>
      <c r="F1386" s="6">
        <f>IFERROR(VLOOKUP($G1386,基本資料!$A:$J,8,0),"無")</f>
        <v>2.4</v>
      </c>
      <c r="G1386" s="79">
        <v>8466</v>
      </c>
      <c r="H1386" s="8" t="s">
        <v>1960</v>
      </c>
      <c r="I1386" s="22" t="s">
        <v>1094</v>
      </c>
      <c r="J1386" s="8" t="str">
        <f>IFERROR(VLOOKUP($G1386,今日總結!$A:$AJ,35,0),"")</f>
        <v/>
      </c>
      <c r="K1386" s="5" t="str">
        <f>IFERROR(VLOOKUP($G1386,今日總結!$A:$AJ,36,0),"")</f>
        <v/>
      </c>
      <c r="L1386" s="156" t="str">
        <f>IFERROR(VLOOKUP($G1386,今日總結!$A:$AJ,33,0),"")</f>
        <v/>
      </c>
      <c r="M1386" s="340" t="str">
        <f>IFERROR(VLOOKUP($G1386,今日總結!$A:$AJ,34,0),"")</f>
        <v/>
      </c>
      <c r="N1386" s="240" t="str">
        <f t="shared" si="263"/>
        <v/>
      </c>
      <c r="P1386" s="365">
        <f>IFERROR(VLOOKUP($G1386,融外自投!$A:$J,7,0),"無")</f>
        <v>1042</v>
      </c>
      <c r="Q1386" s="79">
        <f>IFERROR(VLOOKUP($G1386,融外自投!$A:$J,9,0),"無")</f>
        <v>978</v>
      </c>
      <c r="R1386" s="346">
        <f>IFERROR(VLOOKUP($G1386,融外自投!$A:$J,8,0),"無")</f>
        <v>45</v>
      </c>
      <c r="S1386" s="81" t="str">
        <f>IFERROR(VLOOKUP($G1386,融外自投!$A:$J,10,0),"無")</f>
        <v>無</v>
      </c>
      <c r="T1386" s="327">
        <f>IFERROR(VLOOKUP($G1386,'321買'!$A:$E,5,0),"'沒有資料'")</f>
        <v>1038</v>
      </c>
      <c r="U1386" s="186">
        <f>IFERROR(VLOOKUP($G1386,基本資料!$A:$J,9,0),"無")</f>
        <v>0.7</v>
      </c>
      <c r="V1386" s="310">
        <f t="shared" si="262"/>
        <v>1.6928657799274483E-2</v>
      </c>
      <c r="W1386" s="94">
        <f>IFERROR(VLOOKUP($G1386,基本資料!$A:$J,10,0),"無")</f>
        <v>1.04</v>
      </c>
      <c r="X1386" s="36">
        <f>RTD("money.excel",,"8466","Price")</f>
        <v>41.35</v>
      </c>
      <c r="Y1386" s="66"/>
      <c r="Z1386" s="15">
        <f t="shared" si="264"/>
        <v>41.35</v>
      </c>
      <c r="AA1386" s="3" t="e">
        <f t="shared" si="265"/>
        <v>#DIV/0!</v>
      </c>
      <c r="AB1386" s="344">
        <f>IFERROR(VLOOKUP($G1386,基本資料!$A:$M,11,0),"無")</f>
        <v>-30.18</v>
      </c>
      <c r="AC1386" s="397">
        <f>IFERROR(VLOOKUP($G1386,基本資料!$A:$M,12,0),"無")</f>
        <v>14.81</v>
      </c>
      <c r="AD1386" s="22" t="s">
        <v>1094</v>
      </c>
      <c r="AG1386" s="33">
        <f t="shared" si="266"/>
        <v>0</v>
      </c>
      <c r="AH1386" s="43" t="s">
        <v>2832</v>
      </c>
      <c r="AI1386" s="63">
        <f t="shared" si="261"/>
        <v>1.9393939393939393E-3</v>
      </c>
      <c r="AJ1386" s="284">
        <f>RTD("money.excel",,$G1386,"PredictVolume")</f>
        <v>128</v>
      </c>
      <c r="AK1386" s="399">
        <f>IFERROR(VLOOKUP($G1386,基本資料!$A:$M,13,0),"無")</f>
        <v>0.31</v>
      </c>
    </row>
    <row r="1387" spans="1:37">
      <c r="A1387" s="347">
        <f>IFERROR(VLOOKUP($G1387,基本資料!$A:$J,3,0),"無")</f>
        <v>4.95</v>
      </c>
      <c r="B1387" s="79">
        <f>IFERROR(VLOOKUP($G1387,基本資料!$A:$J,4,0),"無")</f>
        <v>311</v>
      </c>
      <c r="C1387" s="79">
        <f>IFERROR(VLOOKUP($G1387,基本資料!$A:$J,5,0),"無")</f>
        <v>397</v>
      </c>
      <c r="D1387" s="79">
        <f>IFERROR(VLOOKUP($G1387,基本資料!$A:$J,6,0),"無")</f>
        <v>128</v>
      </c>
      <c r="E1387" s="79">
        <f>IFERROR(VLOOKUP($G1387,基本資料!$A:$J,7,0),"無")</f>
        <v>135</v>
      </c>
      <c r="F1387" s="6">
        <f>IFERROR(VLOOKUP($G1387,基本資料!$A:$J,8,0),"無")</f>
        <v>9.59</v>
      </c>
      <c r="G1387" s="79">
        <v>8467</v>
      </c>
      <c r="H1387" s="8" t="s">
        <v>1960</v>
      </c>
      <c r="I1387" s="22" t="s">
        <v>690</v>
      </c>
      <c r="J1387" s="8" t="str">
        <f>IFERROR(VLOOKUP($G1387,今日總結!$A:$AJ,35,0),"")</f>
        <v/>
      </c>
      <c r="K1387" s="5" t="str">
        <f>IFERROR(VLOOKUP($G1387,今日總結!$A:$AJ,36,0),"")</f>
        <v/>
      </c>
      <c r="L1387" s="156" t="str">
        <f>IFERROR(VLOOKUP($G1387,今日總結!$A:$AJ,33,0),"")</f>
        <v/>
      </c>
      <c r="M1387" s="340" t="str">
        <f>IFERROR(VLOOKUP($G1387,今日總結!$A:$AJ,34,0),"")</f>
        <v/>
      </c>
      <c r="N1387" s="240" t="str">
        <f t="shared" si="263"/>
        <v/>
      </c>
      <c r="P1387" s="365">
        <f>IFERROR(VLOOKUP($G1387,融外自投!$A:$J,7,0),"無")</f>
        <v>1316</v>
      </c>
      <c r="Q1387" s="79">
        <f>IFERROR(VLOOKUP($G1387,融外自投!$A:$J,9,0),"無")</f>
        <v>1051</v>
      </c>
      <c r="R1387" s="346">
        <f>IFERROR(VLOOKUP($G1387,融外自投!$A:$J,8,0),"無")</f>
        <v>92</v>
      </c>
      <c r="S1387" s="81">
        <f>IFERROR(VLOOKUP($G1387,融外自投!$A:$J,10,0),"無")</f>
        <v>491</v>
      </c>
      <c r="T1387" s="327">
        <f>IFERROR(VLOOKUP($G1387,'321買'!$A:$E,5,0),"'沒有資料'")</f>
        <v>1383</v>
      </c>
      <c r="U1387" s="186">
        <f>IFERROR(VLOOKUP($G1387,基本資料!$A:$J,9,0),"無")</f>
        <v>0</v>
      </c>
      <c r="V1387" s="310">
        <f t="shared" si="262"/>
        <v>0</v>
      </c>
      <c r="W1387" s="94">
        <f>IFERROR(VLOOKUP($G1387,基本資料!$A:$J,10,0),"無")</f>
        <v>1.98</v>
      </c>
      <c r="X1387" s="36">
        <f>RTD("money.excel",,"8467","Price")</f>
        <v>39.35</v>
      </c>
      <c r="Y1387" s="66"/>
      <c r="Z1387" s="15">
        <f t="shared" si="264"/>
        <v>39.35</v>
      </c>
      <c r="AA1387" s="3" t="e">
        <f t="shared" si="265"/>
        <v>#DIV/0!</v>
      </c>
      <c r="AB1387" s="344">
        <f>IFERROR(VLOOKUP($G1387,基本資料!$A:$M,11,0),"無")</f>
        <v>-18.690000000000001</v>
      </c>
      <c r="AC1387" s="397">
        <f>IFERROR(VLOOKUP($G1387,基本資料!$A:$M,12,0),"無")</f>
        <v>28.09</v>
      </c>
      <c r="AD1387" s="22" t="s">
        <v>690</v>
      </c>
      <c r="AG1387" s="33">
        <f t="shared" si="266"/>
        <v>0</v>
      </c>
      <c r="AH1387" s="43" t="s">
        <v>3324</v>
      </c>
      <c r="AI1387" s="63">
        <f t="shared" si="261"/>
        <v>9.6969696969696967E-4</v>
      </c>
      <c r="AJ1387" s="284">
        <f>RTD("money.excel",,$G1387,"PredictVolume")</f>
        <v>48</v>
      </c>
      <c r="AK1387" s="399">
        <f>IFERROR(VLOOKUP($G1387,基本資料!$A:$M,13,0),"無")</f>
        <v>0.28999999999999998</v>
      </c>
    </row>
    <row r="1388" spans="1:37">
      <c r="A1388" s="347">
        <f>IFERROR(VLOOKUP($G1388,基本資料!$A:$J,3,0),"無")</f>
        <v>14.42</v>
      </c>
      <c r="B1388" s="79">
        <f>IFERROR(VLOOKUP($G1388,基本資料!$A:$J,4,0),"無")</f>
        <v>27</v>
      </c>
      <c r="C1388" s="79">
        <f>IFERROR(VLOOKUP($G1388,基本資料!$A:$J,5,0),"無")</f>
        <v>22</v>
      </c>
      <c r="D1388" s="79">
        <f>IFERROR(VLOOKUP($G1388,基本資料!$A:$J,6,0),"無")</f>
        <v>-15</v>
      </c>
      <c r="E1388" s="79">
        <f>IFERROR(VLOOKUP($G1388,基本資料!$A:$J,7,0),"無")</f>
        <v>-45</v>
      </c>
      <c r="F1388" s="6">
        <f>IFERROR(VLOOKUP($G1388,基本資料!$A:$J,8,0),"無")</f>
        <v>17.329999999999998</v>
      </c>
      <c r="G1388" s="79">
        <v>8473</v>
      </c>
      <c r="H1388" s="8" t="s">
        <v>1960</v>
      </c>
      <c r="I1388" s="22" t="s">
        <v>691</v>
      </c>
      <c r="J1388" s="8">
        <f>IFERROR(VLOOKUP($G1388,今日總結!$A:$AJ,35,0),"")</f>
        <v>0</v>
      </c>
      <c r="K1388" s="5" t="str">
        <f>IFERROR(VLOOKUP($G1388,今日總結!$A:$AJ,36,0),"")</f>
        <v>外</v>
      </c>
      <c r="L1388" s="156">
        <f>IFERROR(VLOOKUP($G1388,今日總結!$A:$AJ,33,0),"")</f>
        <v>0</v>
      </c>
      <c r="M1388" s="340">
        <f>IFERROR(VLOOKUP($G1388,今日總結!$A:$AJ,34,0),"")</f>
        <v>2</v>
      </c>
      <c r="N1388" s="240">
        <f t="shared" si="263"/>
        <v>-2</v>
      </c>
      <c r="P1388" s="365">
        <f>IFERROR(VLOOKUP($G1388,融外自投!$A:$J,7,0),"無")</f>
        <v>1276</v>
      </c>
      <c r="Q1388" s="79">
        <f>IFERROR(VLOOKUP($G1388,融外自投!$A:$J,9,0),"無")</f>
        <v>1110</v>
      </c>
      <c r="R1388" s="346">
        <f>IFERROR(VLOOKUP($G1388,融外自投!$A:$J,8,0),"無")</f>
        <v>1284</v>
      </c>
      <c r="S1388" s="81" t="str">
        <f>IFERROR(VLOOKUP($G1388,融外自投!$A:$J,10,0),"無")</f>
        <v>無</v>
      </c>
      <c r="T1388" s="327">
        <f>IFERROR(VLOOKUP($G1388,'321買'!$A:$E,5,0),"'沒有資料'")</f>
        <v>1066</v>
      </c>
      <c r="U1388" s="186">
        <f>IFERROR(VLOOKUP($G1388,基本資料!$A:$J,9,0),"無")</f>
        <v>0.85</v>
      </c>
      <c r="V1388" s="310">
        <f t="shared" si="262"/>
        <v>2.8239202657807307E-2</v>
      </c>
      <c r="W1388" s="94">
        <f>IFERROR(VLOOKUP($G1388,基本資料!$A:$J,10,0),"無")</f>
        <v>1.36</v>
      </c>
      <c r="X1388" s="36">
        <f>RTD("money.excel",,"8473","Price")</f>
        <v>30.1</v>
      </c>
      <c r="Y1388" s="66"/>
      <c r="Z1388" s="15">
        <f t="shared" si="264"/>
        <v>30.1</v>
      </c>
      <c r="AA1388" s="3" t="e">
        <f t="shared" si="265"/>
        <v>#DIV/0!</v>
      </c>
      <c r="AB1388" s="344">
        <f>IFERROR(VLOOKUP($G1388,基本資料!$A:$M,11,0),"無")</f>
        <v>-23.85</v>
      </c>
      <c r="AC1388" s="397">
        <f>IFERROR(VLOOKUP($G1388,基本資料!$A:$M,12,0),"無")</f>
        <v>17.920000000000002</v>
      </c>
      <c r="AD1388" s="22" t="s">
        <v>691</v>
      </c>
      <c r="AG1388" s="33">
        <f t="shared" si="266"/>
        <v>0</v>
      </c>
      <c r="AH1388" s="43" t="s">
        <v>2833</v>
      </c>
      <c r="AI1388" s="63">
        <f t="shared" si="261"/>
        <v>1.5950069348127601E-4</v>
      </c>
      <c r="AJ1388" s="284">
        <f>RTD("money.excel",,$G1388,"PredictVolume")</f>
        <v>23</v>
      </c>
      <c r="AK1388" s="399">
        <f>IFERROR(VLOOKUP($G1388,基本資料!$A:$M,13,0),"無")</f>
        <v>1.08</v>
      </c>
    </row>
    <row r="1389" spans="1:37">
      <c r="A1389" s="347">
        <f>IFERROR(VLOOKUP($G1389,基本資料!$A:$J,3,0),"無")</f>
        <v>7.05</v>
      </c>
      <c r="B1389" s="79">
        <f>IFERROR(VLOOKUP($G1389,基本資料!$A:$J,4,0),"無")</f>
        <v>53</v>
      </c>
      <c r="C1389" s="79">
        <f>IFERROR(VLOOKUP($G1389,基本資料!$A:$J,5,0),"無")</f>
        <v>162</v>
      </c>
      <c r="D1389" s="79">
        <f>IFERROR(VLOOKUP($G1389,基本資料!$A:$J,6,0),"無")</f>
        <v>11</v>
      </c>
      <c r="E1389" s="79">
        <f>IFERROR(VLOOKUP($G1389,基本資料!$A:$J,7,0),"無")</f>
        <v>163</v>
      </c>
      <c r="F1389" s="6">
        <f>IFERROR(VLOOKUP($G1389,基本資料!$A:$J,8,0),"無")</f>
        <v>2.8</v>
      </c>
      <c r="G1389" s="79">
        <v>8476</v>
      </c>
      <c r="H1389" s="8" t="s">
        <v>1960</v>
      </c>
      <c r="I1389" s="16" t="s">
        <v>658</v>
      </c>
      <c r="J1389" s="8">
        <f>IFERROR(VLOOKUP($G1389,今日總結!$A:$AJ,35,0),"")</f>
        <v>0</v>
      </c>
      <c r="K1389" s="5">
        <f>IFERROR(VLOOKUP($G1389,今日總結!$A:$AJ,36,0),"")</f>
        <v>9</v>
      </c>
      <c r="L1389" s="156">
        <f>IFERROR(VLOOKUP($G1389,今日總結!$A:$AJ,33,0),"")</f>
        <v>0</v>
      </c>
      <c r="M1389" s="340">
        <f>IFERROR(VLOOKUP($G1389,今日總結!$A:$AJ,34,0),"")</f>
        <v>1</v>
      </c>
      <c r="N1389" s="240">
        <f t="shared" si="263"/>
        <v>-1</v>
      </c>
      <c r="P1389" s="365">
        <f>IFERROR(VLOOKUP($G1389,融外自投!$A:$J,7,0),"無")</f>
        <v>749</v>
      </c>
      <c r="Q1389" s="79" t="str">
        <f>IFERROR(VLOOKUP($G1389,融外自投!$A:$J,9,0),"無")</f>
        <v>無</v>
      </c>
      <c r="R1389" s="346">
        <f>IFERROR(VLOOKUP($G1389,融外自投!$A:$J,8,0),"無")</f>
        <v>1341</v>
      </c>
      <c r="S1389" s="81" t="str">
        <f>IFERROR(VLOOKUP($G1389,融外自投!$A:$J,10,0),"無")</f>
        <v>無</v>
      </c>
      <c r="T1389" s="327">
        <f>IFERROR(VLOOKUP($G1389,'321買'!$A:$E,5,0),"'沒有資料'")</f>
        <v>939</v>
      </c>
      <c r="U1389" s="186">
        <f>IFERROR(VLOOKUP($G1389,基本資料!$A:$J,9,0),"無")</f>
        <v>0</v>
      </c>
      <c r="V1389" s="310">
        <f t="shared" si="262"/>
        <v>0</v>
      </c>
      <c r="W1389" s="94">
        <f>IFERROR(VLOOKUP($G1389,基本資料!$A:$J,10,0),"無")</f>
        <v>-0.49</v>
      </c>
      <c r="X1389" s="36">
        <f>RTD("money.excel",,"8476","Price")</f>
        <v>58.1</v>
      </c>
      <c r="Y1389" s="66"/>
      <c r="Z1389" s="15">
        <f t="shared" si="264"/>
        <v>58.1</v>
      </c>
      <c r="AA1389" s="3" t="e">
        <f t="shared" si="265"/>
        <v>#DIV/0!</v>
      </c>
      <c r="AB1389" s="344">
        <f>IFERROR(VLOOKUP($G1389,基本資料!$A:$M,11,0),"無")</f>
        <v>-17</v>
      </c>
      <c r="AC1389" s="397">
        <f>IFERROR(VLOOKUP($G1389,基本資料!$A:$M,12,0),"無")</f>
        <v>35.700000000000003</v>
      </c>
      <c r="AD1389" s="16" t="s">
        <v>658</v>
      </c>
      <c r="AG1389" s="33">
        <f t="shared" si="266"/>
        <v>0</v>
      </c>
      <c r="AH1389" s="43" t="s">
        <v>2481</v>
      </c>
      <c r="AI1389" s="63">
        <f t="shared" si="261"/>
        <v>8.936170212765957E-4</v>
      </c>
      <c r="AJ1389" s="284">
        <f>RTD("money.excel",,$G1389,"PredictVolume")</f>
        <v>63</v>
      </c>
      <c r="AK1389" s="399">
        <f>IFERROR(VLOOKUP($G1389,基本資料!$A:$M,13,0),"無")</f>
        <v>2.35</v>
      </c>
    </row>
    <row r="1390" spans="1:37">
      <c r="A1390" s="347">
        <f>IFERROR(VLOOKUP($G1390,基本資料!$A:$J,3,0),"無")</f>
        <v>8.8800000000000008</v>
      </c>
      <c r="B1390" s="79">
        <f>IFERROR(VLOOKUP($G1390,基本資料!$A:$J,4,0),"無")</f>
        <v>804</v>
      </c>
      <c r="C1390" s="79">
        <f>IFERROR(VLOOKUP($G1390,基本資料!$A:$J,5,0),"無")</f>
        <v>317</v>
      </c>
      <c r="D1390" s="79">
        <f>IFERROR(VLOOKUP($G1390,基本資料!$A:$J,6,0),"無")</f>
        <v>-30</v>
      </c>
      <c r="E1390" s="79">
        <f>IFERROR(VLOOKUP($G1390,基本資料!$A:$J,7,0),"無")</f>
        <v>31</v>
      </c>
      <c r="F1390" s="6">
        <f>IFERROR(VLOOKUP($G1390,基本資料!$A:$J,8,0),"無")</f>
        <v>20.85</v>
      </c>
      <c r="G1390" s="79">
        <v>8478</v>
      </c>
      <c r="H1390" s="8" t="s">
        <v>235</v>
      </c>
      <c r="I1390" s="22" t="s">
        <v>1095</v>
      </c>
      <c r="J1390" s="8">
        <f>IFERROR(VLOOKUP($G1390,今日總結!$A:$AJ,35,0),"")</f>
        <v>4</v>
      </c>
      <c r="K1390" s="5">
        <f>IFERROR(VLOOKUP($G1390,今日總結!$A:$AJ,36,0),"")</f>
        <v>0</v>
      </c>
      <c r="L1390" s="156">
        <f>IFERROR(VLOOKUP($G1390,今日總結!$A:$AJ,33,0),"")</f>
        <v>1</v>
      </c>
      <c r="M1390" s="340">
        <f>IFERROR(VLOOKUP($G1390,今日總結!$A:$AJ,34,0),"")</f>
        <v>0</v>
      </c>
      <c r="N1390" s="240">
        <f t="shared" si="263"/>
        <v>1</v>
      </c>
      <c r="P1390" s="365">
        <f>IFERROR(VLOOKUP($G1390,融外自投!$A:$J,7,0),"無")</f>
        <v>691</v>
      </c>
      <c r="Q1390" s="79">
        <f>IFERROR(VLOOKUP($G1390,融外自投!$A:$J,9,0),"無")</f>
        <v>466</v>
      </c>
      <c r="R1390" s="346">
        <f>IFERROR(VLOOKUP($G1390,融外自投!$A:$J,8,0),"無")</f>
        <v>101</v>
      </c>
      <c r="S1390" s="81">
        <f>IFERROR(VLOOKUP($G1390,融外自投!$A:$J,10,0),"無")</f>
        <v>215</v>
      </c>
      <c r="T1390" s="327">
        <f>IFERROR(VLOOKUP($G1390,'321買'!$A:$E,5,0),"'沒有資料'")</f>
        <v>255</v>
      </c>
      <c r="U1390" s="186">
        <f>IFERROR(VLOOKUP($G1390,基本資料!$A:$J,9,0),"無")</f>
        <v>5</v>
      </c>
      <c r="V1390" s="310">
        <f t="shared" si="262"/>
        <v>2.9498525073746312E-2</v>
      </c>
      <c r="W1390" s="94">
        <f>IFERROR(VLOOKUP($G1390,基本資料!$A:$J,10,0),"無")</f>
        <v>9.5500000000000007</v>
      </c>
      <c r="X1390" s="36">
        <f>RTD("money.excel",,"8478","Price")</f>
        <v>169.5</v>
      </c>
      <c r="Y1390" s="66"/>
      <c r="Z1390" s="15">
        <f t="shared" si="264"/>
        <v>169.5</v>
      </c>
      <c r="AA1390" s="3" t="e">
        <f t="shared" si="265"/>
        <v>#DIV/0!</v>
      </c>
      <c r="AB1390" s="344">
        <f>IFERROR(VLOOKUP($G1390,基本資料!$A:$M,11,0),"無")</f>
        <v>-11.64</v>
      </c>
      <c r="AC1390" s="397">
        <f>IFERROR(VLOOKUP($G1390,基本資料!$A:$M,12,0),"無")</f>
        <v>63.22</v>
      </c>
      <c r="AD1390" s="22" t="s">
        <v>1095</v>
      </c>
      <c r="AG1390" s="33">
        <f t="shared" si="266"/>
        <v>0</v>
      </c>
      <c r="AH1390" s="43" t="s">
        <v>2834</v>
      </c>
      <c r="AI1390" s="63">
        <f t="shared" si="261"/>
        <v>6.4448198198198192E-2</v>
      </c>
      <c r="AJ1390" s="284">
        <f>RTD("money.excel",,$G1390,"PredictVolume")</f>
        <v>5723</v>
      </c>
      <c r="AK1390" s="399">
        <f>IFERROR(VLOOKUP($G1390,基本資料!$A:$M,13,0),"無")</f>
        <v>16.07</v>
      </c>
    </row>
    <row r="1391" spans="1:37">
      <c r="A1391" s="347">
        <f>IFERROR(VLOOKUP($G1391,基本資料!$A:$J,3,0),"無")</f>
        <v>3.92</v>
      </c>
      <c r="B1391" s="79">
        <f>IFERROR(VLOOKUP($G1391,基本資料!$A:$J,4,0),"無")</f>
        <v>-28</v>
      </c>
      <c r="C1391" s="79">
        <f>IFERROR(VLOOKUP($G1391,基本資料!$A:$J,5,0),"無")</f>
        <v>-34</v>
      </c>
      <c r="D1391" s="79">
        <f>IFERROR(VLOOKUP($G1391,基本資料!$A:$J,6,0),"無")</f>
        <v>0</v>
      </c>
      <c r="E1391" s="79">
        <f>IFERROR(VLOOKUP($G1391,基本資料!$A:$J,7,0),"無")</f>
        <v>-12</v>
      </c>
      <c r="F1391" s="6">
        <f>IFERROR(VLOOKUP($G1391,基本資料!$A:$J,8,0),"無")</f>
        <v>13.72</v>
      </c>
      <c r="G1391" s="79">
        <v>8480</v>
      </c>
      <c r="H1391" s="8" t="s">
        <v>1960</v>
      </c>
      <c r="I1391" s="22" t="s">
        <v>692</v>
      </c>
      <c r="J1391" s="8" t="str">
        <f>IFERROR(VLOOKUP($G1391,今日總結!$A:$AJ,35,0),"")</f>
        <v/>
      </c>
      <c r="K1391" s="5" t="str">
        <f>IFERROR(VLOOKUP($G1391,今日總結!$A:$AJ,36,0),"")</f>
        <v/>
      </c>
      <c r="L1391" s="156" t="str">
        <f>IFERROR(VLOOKUP($G1391,今日總結!$A:$AJ,33,0),"")</f>
        <v/>
      </c>
      <c r="M1391" s="340" t="str">
        <f>IFERROR(VLOOKUP($G1391,今日總結!$A:$AJ,34,0),"")</f>
        <v/>
      </c>
      <c r="N1391" s="240" t="str">
        <f t="shared" si="263"/>
        <v/>
      </c>
      <c r="P1391" s="365">
        <f>IFERROR(VLOOKUP($G1391,融外自投!$A:$J,7,0),"無")</f>
        <v>1394</v>
      </c>
      <c r="Q1391" s="79">
        <f>IFERROR(VLOOKUP($G1391,融外自投!$A:$J,9,0),"無")</f>
        <v>896</v>
      </c>
      <c r="R1391" s="346">
        <f>IFERROR(VLOOKUP($G1391,融外自投!$A:$J,8,0),"無")</f>
        <v>6</v>
      </c>
      <c r="S1391" s="81" t="str">
        <f>IFERROR(VLOOKUP($G1391,融外自投!$A:$J,10,0),"無")</f>
        <v>無</v>
      </c>
      <c r="T1391" s="327">
        <f>IFERROR(VLOOKUP($G1391,'321買'!$A:$E,5,0),"'沒有資料'")</f>
        <v>1338</v>
      </c>
      <c r="U1391" s="186">
        <f>IFERROR(VLOOKUP($G1391,基本資料!$A:$J,9,0),"無")</f>
        <v>3.2</v>
      </c>
      <c r="V1391" s="310">
        <f t="shared" si="262"/>
        <v>4.6715328467153289E-2</v>
      </c>
      <c r="W1391" s="94">
        <f>IFERROR(VLOOKUP($G1391,基本資料!$A:$J,10,0),"無")</f>
        <v>7.08</v>
      </c>
      <c r="X1391" s="36">
        <f>RTD("money.excel",,"8480","Price")</f>
        <v>68.5</v>
      </c>
      <c r="Y1391" s="66"/>
      <c r="Z1391" s="15">
        <f t="shared" si="264"/>
        <v>68.5</v>
      </c>
      <c r="AA1391" s="3" t="e">
        <f t="shared" si="265"/>
        <v>#DIV/0!</v>
      </c>
      <c r="AB1391" s="344">
        <f>IFERROR(VLOOKUP($G1391,基本資料!$A:$M,11,0),"無")</f>
        <v>-41.76</v>
      </c>
      <c r="AC1391" s="397">
        <f>IFERROR(VLOOKUP($G1391,基本資料!$A:$M,12,0),"無")</f>
        <v>9.16</v>
      </c>
      <c r="AD1391" s="22" t="s">
        <v>692</v>
      </c>
      <c r="AG1391" s="33">
        <f t="shared" si="266"/>
        <v>0</v>
      </c>
      <c r="AH1391" s="43" t="s">
        <v>2535</v>
      </c>
      <c r="AI1391" s="63">
        <f t="shared" si="261"/>
        <v>3.0612244897959182E-4</v>
      </c>
      <c r="AJ1391" s="284">
        <f>RTD("money.excel",,$G1391,"PredictVolume")</f>
        <v>12</v>
      </c>
      <c r="AK1391" s="399">
        <f>IFERROR(VLOOKUP($G1391,基本資料!$A:$M,13,0),"無")</f>
        <v>0.35</v>
      </c>
    </row>
    <row r="1392" spans="1:37">
      <c r="A1392" s="347">
        <f>IFERROR(VLOOKUP($G1392,基本資料!$A:$J,3,0),"無")</f>
        <v>6.66</v>
      </c>
      <c r="B1392" s="79">
        <f>IFERROR(VLOOKUP($G1392,基本資料!$A:$J,4,0),"無")</f>
        <v>-51</v>
      </c>
      <c r="C1392" s="79">
        <f>IFERROR(VLOOKUP($G1392,基本資料!$A:$J,5,0),"無")</f>
        <v>54</v>
      </c>
      <c r="D1392" s="79">
        <f>IFERROR(VLOOKUP($G1392,基本資料!$A:$J,6,0),"無")</f>
        <v>-11</v>
      </c>
      <c r="E1392" s="79">
        <f>IFERROR(VLOOKUP($G1392,基本資料!$A:$J,7,0),"無")</f>
        <v>2</v>
      </c>
      <c r="F1392" s="6">
        <f>IFERROR(VLOOKUP($G1392,基本資料!$A:$J,8,0),"無")</f>
        <v>28.05</v>
      </c>
      <c r="G1392" s="79">
        <v>8481</v>
      </c>
      <c r="H1392" s="8" t="s">
        <v>235</v>
      </c>
      <c r="I1392" s="22" t="s">
        <v>693</v>
      </c>
      <c r="J1392" s="8" t="str">
        <f>IFERROR(VLOOKUP($G1392,今日總結!$A:$AJ,35,0),"")</f>
        <v/>
      </c>
      <c r="K1392" s="5" t="str">
        <f>IFERROR(VLOOKUP($G1392,今日總結!$A:$AJ,36,0),"")</f>
        <v/>
      </c>
      <c r="L1392" s="156" t="str">
        <f>IFERROR(VLOOKUP($G1392,今日總結!$A:$AJ,33,0),"")</f>
        <v/>
      </c>
      <c r="M1392" s="340" t="str">
        <f>IFERROR(VLOOKUP($G1392,今日總結!$A:$AJ,34,0),"")</f>
        <v/>
      </c>
      <c r="N1392" s="240" t="str">
        <f t="shared" si="263"/>
        <v/>
      </c>
      <c r="P1392" s="365">
        <f>IFERROR(VLOOKUP($G1392,融外自投!$A:$J,7,0),"無")</f>
        <v>1319</v>
      </c>
      <c r="Q1392" s="79">
        <f>IFERROR(VLOOKUP($G1392,融外自投!$A:$J,9,0),"無")</f>
        <v>1051</v>
      </c>
      <c r="R1392" s="346">
        <f>IFERROR(VLOOKUP($G1392,融外自投!$A:$J,8,0),"無")</f>
        <v>1375</v>
      </c>
      <c r="S1392" s="81" t="str">
        <f>IFERROR(VLOOKUP($G1392,融外自投!$A:$J,10,0),"無")</f>
        <v>無</v>
      </c>
      <c r="T1392" s="327">
        <f>IFERROR(VLOOKUP($G1392,'321買'!$A:$E,5,0),"'沒有資料'")</f>
        <v>1338</v>
      </c>
      <c r="U1392" s="186">
        <f>IFERROR(VLOOKUP($G1392,基本資料!$A:$J,9,0),"無")</f>
        <v>6.5</v>
      </c>
      <c r="V1392" s="310">
        <f t="shared" si="262"/>
        <v>9.7597597597597605E-2</v>
      </c>
      <c r="W1392" s="94">
        <f>IFERROR(VLOOKUP($G1392,基本資料!$A:$J,10,0),"無")</f>
        <v>6.1</v>
      </c>
      <c r="X1392" s="36">
        <f>RTD("money.excel",,"8481","Price")</f>
        <v>66.599999999999994</v>
      </c>
      <c r="Y1392" s="66"/>
      <c r="Z1392" s="15">
        <f t="shared" si="264"/>
        <v>66.599999999999994</v>
      </c>
      <c r="AA1392" s="3" t="e">
        <f t="shared" si="265"/>
        <v>#DIV/0!</v>
      </c>
      <c r="AB1392" s="344">
        <f>IFERROR(VLOOKUP($G1392,基本資料!$A:$M,11,0),"無")</f>
        <v>-26.14</v>
      </c>
      <c r="AC1392" s="397">
        <f>IFERROR(VLOOKUP($G1392,基本資料!$A:$M,12,0),"無")</f>
        <v>56.65</v>
      </c>
      <c r="AD1392" s="22" t="s">
        <v>693</v>
      </c>
      <c r="AG1392" s="33">
        <f t="shared" si="266"/>
        <v>0</v>
      </c>
      <c r="AH1392" s="43" t="s">
        <v>2835</v>
      </c>
      <c r="AI1392" s="63">
        <f t="shared" si="261"/>
        <v>1.8018018018018018E-4</v>
      </c>
      <c r="AJ1392" s="284">
        <f>RTD("money.excel",,$G1392,"PredictVolume")</f>
        <v>12</v>
      </c>
      <c r="AK1392" s="399">
        <f>IFERROR(VLOOKUP($G1392,基本資料!$A:$M,13,0),"無")</f>
        <v>0.65</v>
      </c>
    </row>
    <row r="1393" spans="1:37">
      <c r="A1393" s="347">
        <f>IFERROR(VLOOKUP($G1393,基本資料!$A:$J,3,0),"無")</f>
        <v>11.04</v>
      </c>
      <c r="B1393" s="79">
        <f>IFERROR(VLOOKUP($G1393,基本資料!$A:$J,4,0),"無")</f>
        <v>31</v>
      </c>
      <c r="C1393" s="79">
        <f>IFERROR(VLOOKUP($G1393,基本資料!$A:$J,5,0),"無")</f>
        <v>24</v>
      </c>
      <c r="D1393" s="79">
        <f>IFERROR(VLOOKUP($G1393,基本資料!$A:$J,6,0),"無")</f>
        <v>42</v>
      </c>
      <c r="E1393" s="79">
        <f>IFERROR(VLOOKUP($G1393,基本資料!$A:$J,7,0),"無")</f>
        <v>16</v>
      </c>
      <c r="F1393" s="6">
        <f>IFERROR(VLOOKUP($G1393,基本資料!$A:$J,8,0),"無")</f>
        <v>16.829999999999998</v>
      </c>
      <c r="G1393" s="79">
        <v>8482</v>
      </c>
      <c r="H1393" s="8" t="s">
        <v>1960</v>
      </c>
      <c r="I1393" s="22" t="s">
        <v>1077</v>
      </c>
      <c r="J1393" s="8" t="str">
        <f>IFERROR(VLOOKUP($G1393,今日總結!$A:$AJ,35,0),"")</f>
        <v/>
      </c>
      <c r="K1393" s="5" t="str">
        <f>IFERROR(VLOOKUP($G1393,今日總結!$A:$AJ,36,0),"")</f>
        <v/>
      </c>
      <c r="L1393" s="156" t="str">
        <f>IFERROR(VLOOKUP($G1393,今日總結!$A:$AJ,33,0),"")</f>
        <v/>
      </c>
      <c r="M1393" s="340" t="str">
        <f>IFERROR(VLOOKUP($G1393,今日總結!$A:$AJ,34,0),"")</f>
        <v/>
      </c>
      <c r="N1393" s="240" t="str">
        <f t="shared" si="263"/>
        <v/>
      </c>
      <c r="P1393" s="365">
        <f>IFERROR(VLOOKUP($G1393,融外自投!$A:$J,7,0),"無")</f>
        <v>1287</v>
      </c>
      <c r="Q1393" s="79" t="str">
        <f>IFERROR(VLOOKUP($G1393,融外自投!$A:$J,9,0),"無")</f>
        <v>無</v>
      </c>
      <c r="R1393" s="346">
        <f>IFERROR(VLOOKUP($G1393,融外自投!$A:$J,8,0),"無")</f>
        <v>3</v>
      </c>
      <c r="S1393" s="81" t="str">
        <f>IFERROR(VLOOKUP($G1393,融外自投!$A:$J,10,0),"無")</f>
        <v>無</v>
      </c>
      <c r="T1393" s="327">
        <f>IFERROR(VLOOKUP($G1393,'321買'!$A:$E,5,0),"'沒有資料'")</f>
        <v>1367</v>
      </c>
      <c r="U1393" s="186">
        <f>IFERROR(VLOOKUP($G1393,基本資料!$A:$J,9,0),"無")</f>
        <v>5.87</v>
      </c>
      <c r="V1393" s="310">
        <f t="shared" si="262"/>
        <v>8.3026874115983029E-2</v>
      </c>
      <c r="W1393" s="94">
        <f>IFERROR(VLOOKUP($G1393,基本資料!$A:$J,10,0),"無")</f>
        <v>7.97</v>
      </c>
      <c r="X1393" s="36">
        <f>RTD("money.excel",,"8482","Price")</f>
        <v>70.7</v>
      </c>
      <c r="Y1393" s="66"/>
      <c r="Z1393" s="15">
        <f t="shared" si="264"/>
        <v>70.7</v>
      </c>
      <c r="AA1393" s="3" t="e">
        <f t="shared" si="265"/>
        <v>#DIV/0!</v>
      </c>
      <c r="AB1393" s="344">
        <f>IFERROR(VLOOKUP($G1393,基本資料!$A:$M,11,0),"無")</f>
        <v>-15.11</v>
      </c>
      <c r="AC1393" s="397">
        <f>IFERROR(VLOOKUP($G1393,基本資料!$A:$M,12,0),"無")</f>
        <v>16.86</v>
      </c>
      <c r="AD1393" s="22" t="s">
        <v>1077</v>
      </c>
      <c r="AG1393" s="33">
        <f t="shared" si="266"/>
        <v>0</v>
      </c>
      <c r="AH1393" s="43" t="s">
        <v>2470</v>
      </c>
      <c r="AI1393" s="63">
        <f t="shared" si="261"/>
        <v>3.8949275362318845E-4</v>
      </c>
      <c r="AJ1393" s="284">
        <f>RTD("money.excel",,$G1393,"PredictVolume")</f>
        <v>43</v>
      </c>
      <c r="AK1393" s="399">
        <f>IFERROR(VLOOKUP($G1393,基本資料!$A:$M,13,0),"無")</f>
        <v>0.32</v>
      </c>
    </row>
    <row r="1394" spans="1:37">
      <c r="A1394" s="347">
        <f>IFERROR(VLOOKUP($G1394,基本資料!$A:$J,3,0),"無")</f>
        <v>6.75</v>
      </c>
      <c r="B1394" s="79">
        <f>IFERROR(VLOOKUP($G1394,基本資料!$A:$J,4,0),"無")</f>
        <v>0</v>
      </c>
      <c r="C1394" s="79">
        <f>IFERROR(VLOOKUP($G1394,基本資料!$A:$J,5,0),"無")</f>
        <v>-53</v>
      </c>
      <c r="D1394" s="79">
        <f>IFERROR(VLOOKUP($G1394,基本資料!$A:$J,6,0),"無")</f>
        <v>-35</v>
      </c>
      <c r="E1394" s="79">
        <f>IFERROR(VLOOKUP($G1394,基本資料!$A:$J,7,0),"無")</f>
        <v>-15</v>
      </c>
      <c r="F1394" s="6">
        <f>IFERROR(VLOOKUP($G1394,基本資料!$A:$J,8,0),"無")</f>
        <v>1.79</v>
      </c>
      <c r="G1394" s="79">
        <v>8488</v>
      </c>
      <c r="H1394" s="8" t="s">
        <v>1960</v>
      </c>
      <c r="I1394" s="22" t="s">
        <v>694</v>
      </c>
      <c r="J1394" s="8" t="str">
        <f>IFERROR(VLOOKUP($G1394,今日總結!$A:$AJ,35,0),"")</f>
        <v/>
      </c>
      <c r="K1394" s="5" t="str">
        <f>IFERROR(VLOOKUP($G1394,今日總結!$A:$AJ,36,0),"")</f>
        <v/>
      </c>
      <c r="L1394" s="156" t="str">
        <f>IFERROR(VLOOKUP($G1394,今日總結!$A:$AJ,33,0),"")</f>
        <v/>
      </c>
      <c r="M1394" s="340" t="str">
        <f>IFERROR(VLOOKUP($G1394,今日總結!$A:$AJ,34,0),"")</f>
        <v/>
      </c>
      <c r="N1394" s="240" t="str">
        <f t="shared" si="263"/>
        <v/>
      </c>
      <c r="P1394" s="365">
        <f>IFERROR(VLOOKUP($G1394,融外自投!$A:$J,7,0),"無")</f>
        <v>1270</v>
      </c>
      <c r="Q1394" s="79">
        <f>IFERROR(VLOOKUP($G1394,融外自投!$A:$J,9,0),"無")</f>
        <v>1051</v>
      </c>
      <c r="R1394" s="346">
        <f>IFERROR(VLOOKUP($G1394,融外自投!$A:$J,8,0),"無")</f>
        <v>13</v>
      </c>
      <c r="S1394" s="81" t="str">
        <f>IFERROR(VLOOKUP($G1394,融外自投!$A:$J,10,0),"無")</f>
        <v>無</v>
      </c>
      <c r="T1394" s="327">
        <f>IFERROR(VLOOKUP($G1394,'321買'!$A:$E,5,0),"'沒有資料'")</f>
        <v>1397</v>
      </c>
      <c r="U1394" s="186">
        <f>IFERROR(VLOOKUP($G1394,基本資料!$A:$J,9,0),"無")</f>
        <v>0.3</v>
      </c>
      <c r="V1394" s="310">
        <f t="shared" si="262"/>
        <v>1.7964071856287425E-2</v>
      </c>
      <c r="W1394" s="94">
        <f>IFERROR(VLOOKUP($G1394,基本資料!$A:$J,10,0),"無")</f>
        <v>0.75</v>
      </c>
      <c r="X1394" s="36">
        <f>RTD("money.excel",,"8488","Price")</f>
        <v>16.7</v>
      </c>
      <c r="Y1394" s="66"/>
      <c r="Z1394" s="15">
        <f t="shared" si="264"/>
        <v>16.7</v>
      </c>
      <c r="AA1394" s="3" t="e">
        <f t="shared" si="265"/>
        <v>#DIV/0!</v>
      </c>
      <c r="AB1394" s="344">
        <f>IFERROR(VLOOKUP($G1394,基本資料!$A:$M,11,0),"無")</f>
        <v>-16.37</v>
      </c>
      <c r="AC1394" s="397">
        <f>IFERROR(VLOOKUP($G1394,基本資料!$A:$M,12,0),"無")</f>
        <v>17.27</v>
      </c>
      <c r="AD1394" s="22" t="s">
        <v>694</v>
      </c>
      <c r="AG1394" s="33">
        <f t="shared" si="266"/>
        <v>0</v>
      </c>
      <c r="AH1394" s="43" t="s">
        <v>2836</v>
      </c>
      <c r="AI1394" s="63">
        <f t="shared" si="261"/>
        <v>1.4814814814814815E-5</v>
      </c>
      <c r="AJ1394" s="284">
        <f>RTD("money.excel",,$G1394,"PredictVolume")</f>
        <v>1</v>
      </c>
      <c r="AK1394" s="399">
        <f>IFERROR(VLOOKUP($G1394,基本資料!$A:$M,13,0),"無")</f>
        <v>0.75</v>
      </c>
    </row>
    <row r="1395" spans="1:37">
      <c r="A1395" s="347">
        <f>IFERROR(VLOOKUP($G1395,基本資料!$A:$J,3,0),"無")</f>
        <v>5.18</v>
      </c>
      <c r="B1395" s="79">
        <f>IFERROR(VLOOKUP($G1395,基本資料!$A:$J,4,0),"無")</f>
        <v>25</v>
      </c>
      <c r="C1395" s="79">
        <f>IFERROR(VLOOKUP($G1395,基本資料!$A:$J,5,0),"無")</f>
        <v>17</v>
      </c>
      <c r="D1395" s="79">
        <f>IFERROR(VLOOKUP($G1395,基本資料!$A:$J,6,0),"無")</f>
        <v>-8</v>
      </c>
      <c r="E1395" s="79">
        <f>IFERROR(VLOOKUP($G1395,基本資料!$A:$J,7,0),"無")</f>
        <v>-5</v>
      </c>
      <c r="F1395" s="6">
        <f>IFERROR(VLOOKUP($G1395,基本資料!$A:$J,8,0),"無")</f>
        <v>38.28</v>
      </c>
      <c r="G1395" s="79">
        <v>8499</v>
      </c>
      <c r="H1395" s="195" t="s">
        <v>1960</v>
      </c>
      <c r="I1395" s="22" t="s">
        <v>4612</v>
      </c>
      <c r="J1395" s="8" t="str">
        <f>IFERROR(VLOOKUP($G1395,今日總結!$A:$AJ,35,0),"")</f>
        <v/>
      </c>
      <c r="K1395" s="5" t="str">
        <f>IFERROR(VLOOKUP($G1395,今日總結!$A:$AJ,36,0),"")</f>
        <v/>
      </c>
      <c r="L1395" s="156" t="str">
        <f>IFERROR(VLOOKUP($G1395,今日總結!$A:$AJ,33,0),"")</f>
        <v/>
      </c>
      <c r="M1395" s="340" t="str">
        <f>IFERROR(VLOOKUP($G1395,今日總結!$A:$AJ,34,0),"")</f>
        <v/>
      </c>
      <c r="N1395" s="240" t="str">
        <f t="shared" si="263"/>
        <v/>
      </c>
      <c r="P1395" s="365">
        <f>IFERROR(VLOOKUP($G1395,融外自投!$A:$J,7,0),"無")</f>
        <v>782</v>
      </c>
      <c r="Q1395" s="79">
        <f>IFERROR(VLOOKUP($G1395,融外自投!$A:$J,9,0),"無")</f>
        <v>762</v>
      </c>
      <c r="R1395" s="346">
        <f>IFERROR(VLOOKUP($G1395,融外自投!$A:$J,8,0),"無")</f>
        <v>23</v>
      </c>
      <c r="S1395" s="81" t="str">
        <f>IFERROR(VLOOKUP($G1395,融外自投!$A:$J,10,0),"無")</f>
        <v>無</v>
      </c>
      <c r="T1395" s="327">
        <f>IFERROR(VLOOKUP($G1395,'321買'!$A:$E,5,0),"'沒有資料'")</f>
        <v>1126</v>
      </c>
      <c r="U1395" s="186">
        <f>IFERROR(VLOOKUP($G1395,基本資料!$A:$J,9,0),"無")</f>
        <v>8</v>
      </c>
      <c r="V1395" s="310">
        <f t="shared" si="262"/>
        <v>7.3059360730593603E-2</v>
      </c>
      <c r="W1395" s="94">
        <f>IFERROR(VLOOKUP($G1395,基本資料!$A:$J,10,0),"無")</f>
        <v>14.14</v>
      </c>
      <c r="X1395" s="36">
        <f>RTD("money.excel",,"8499","Price")</f>
        <v>109.5</v>
      </c>
      <c r="Y1395" s="66"/>
      <c r="Z1395" s="15">
        <f t="shared" si="264"/>
        <v>109.5</v>
      </c>
      <c r="AA1395" s="3" t="e">
        <f t="shared" si="265"/>
        <v>#DIV/0!</v>
      </c>
      <c r="AB1395" s="344">
        <f>IFERROR(VLOOKUP($G1395,基本資料!$A:$M,11,0),"無")</f>
        <v>-25.68</v>
      </c>
      <c r="AC1395" s="397">
        <f>IFERROR(VLOOKUP($G1395,基本資料!$A:$M,12,0),"無")</f>
        <v>13.84</v>
      </c>
      <c r="AD1395" s="22" t="s">
        <v>4612</v>
      </c>
      <c r="AG1395" s="33">
        <f t="shared" si="266"/>
        <v>0</v>
      </c>
      <c r="AH1395" s="119" t="s">
        <v>1881</v>
      </c>
      <c r="AI1395" s="63">
        <f t="shared" si="261"/>
        <v>1.332046332046332E-3</v>
      </c>
      <c r="AJ1395" s="284">
        <f>RTD("money.excel",,$G1395,"PredictVolume")</f>
        <v>69</v>
      </c>
      <c r="AK1395" s="399">
        <f>IFERROR(VLOOKUP($G1395,基本資料!$A:$M,13,0),"無")</f>
        <v>1.38</v>
      </c>
    </row>
    <row r="1396" spans="1:37">
      <c r="A1396" s="347">
        <f>IFERROR(VLOOKUP($G1396,基本資料!$A:$J,3,0),"無")</f>
        <v>11.94</v>
      </c>
      <c r="B1396" s="79">
        <f>IFERROR(VLOOKUP($G1396,基本資料!$A:$J,4,0),"無")</f>
        <v>304</v>
      </c>
      <c r="C1396" s="79">
        <f>IFERROR(VLOOKUP($G1396,基本資料!$A:$J,5,0),"無")</f>
        <v>332</v>
      </c>
      <c r="D1396" s="79">
        <f>IFERROR(VLOOKUP($G1396,基本資料!$A:$J,6,0),"無")</f>
        <v>5</v>
      </c>
      <c r="E1396" s="79">
        <f>IFERROR(VLOOKUP($G1396,基本資料!$A:$J,7,0),"無")</f>
        <v>-10</v>
      </c>
      <c r="F1396" s="6">
        <f>IFERROR(VLOOKUP($G1396,基本資料!$A:$J,8,0),"無")</f>
        <v>12.89</v>
      </c>
      <c r="G1396" s="79">
        <v>8905</v>
      </c>
      <c r="H1396" s="8" t="s">
        <v>1960</v>
      </c>
      <c r="I1396" s="16" t="s">
        <v>659</v>
      </c>
      <c r="J1396" s="8" t="str">
        <f>IFERROR(VLOOKUP($G1396,今日總結!$A:$AJ,35,0),"")</f>
        <v>券</v>
      </c>
      <c r="K1396" s="5" t="str">
        <f>IFERROR(VLOOKUP($G1396,今日總結!$A:$AJ,36,0),"")</f>
        <v>融</v>
      </c>
      <c r="L1396" s="156">
        <f>IFERROR(VLOOKUP($G1396,今日總結!$A:$AJ,33,0),"")</f>
        <v>1</v>
      </c>
      <c r="M1396" s="340">
        <f>IFERROR(VLOOKUP($G1396,今日總結!$A:$AJ,34,0),"")</f>
        <v>1</v>
      </c>
      <c r="N1396" s="240">
        <f t="shared" si="263"/>
        <v>0</v>
      </c>
      <c r="P1396" s="365">
        <f>IFERROR(VLOOKUP($G1396,融外自投!$A:$J,7,0),"無")</f>
        <v>690</v>
      </c>
      <c r="Q1396" s="79">
        <f>IFERROR(VLOOKUP($G1396,融外自投!$A:$J,9,0),"無")</f>
        <v>789</v>
      </c>
      <c r="R1396" s="346">
        <f>IFERROR(VLOOKUP($G1396,融外自投!$A:$J,8,0),"無")</f>
        <v>1134</v>
      </c>
      <c r="S1396" s="81" t="str">
        <f>IFERROR(VLOOKUP($G1396,融外自投!$A:$J,10,0),"無")</f>
        <v>無</v>
      </c>
      <c r="T1396" s="327">
        <f>IFERROR(VLOOKUP($G1396,'321買'!$A:$E,5,0),"'沒有資料'")</f>
        <v>939</v>
      </c>
      <c r="U1396" s="186">
        <f>IFERROR(VLOOKUP($G1396,基本資料!$A:$J,9,0),"無")</f>
        <v>1.9</v>
      </c>
      <c r="V1396" s="310">
        <f t="shared" si="262"/>
        <v>8.0168776371308009E-2</v>
      </c>
      <c r="W1396" s="94">
        <f>IFERROR(VLOOKUP($G1396,基本資料!$A:$J,10,0),"無")</f>
        <v>2.5299999999999998</v>
      </c>
      <c r="X1396" s="36">
        <f>RTD("money.excel",,"8905","Price")</f>
        <v>23.7</v>
      </c>
      <c r="Y1396" s="66"/>
      <c r="Z1396" s="15">
        <f t="shared" si="264"/>
        <v>23.7</v>
      </c>
      <c r="AA1396" s="3" t="e">
        <f t="shared" si="265"/>
        <v>#DIV/0!</v>
      </c>
      <c r="AB1396" s="344">
        <f>IFERROR(VLOOKUP($G1396,基本資料!$A:$M,11,0),"無")</f>
        <v>-33.57</v>
      </c>
      <c r="AC1396" s="397">
        <f>IFERROR(VLOOKUP($G1396,基本資料!$A:$M,12,0),"無")</f>
        <v>43.04</v>
      </c>
      <c r="AD1396" s="16" t="s">
        <v>659</v>
      </c>
      <c r="AG1396" s="33">
        <f t="shared" si="266"/>
        <v>0</v>
      </c>
      <c r="AH1396" s="43" t="s">
        <v>2482</v>
      </c>
      <c r="AI1396" s="63">
        <f t="shared" ref="AI1396:AI1427" si="267">AJ1396/(A1396*10000)</f>
        <v>2.914572864321608E-3</v>
      </c>
      <c r="AJ1396" s="284">
        <f>RTD("money.excel",,$G1396,"PredictVolume")</f>
        <v>348</v>
      </c>
      <c r="AK1396" s="399">
        <f>IFERROR(VLOOKUP($G1396,基本資料!$A:$M,13,0),"無")</f>
        <v>14.93</v>
      </c>
    </row>
    <row r="1397" spans="1:37">
      <c r="A1397" s="347">
        <f>IFERROR(VLOOKUP($G1397,基本資料!$A:$J,3,0),"無")</f>
        <v>3.4</v>
      </c>
      <c r="B1397" s="79">
        <f>IFERROR(VLOOKUP($G1397,基本資料!$A:$J,4,0),"無")</f>
        <v>29</v>
      </c>
      <c r="C1397" s="79">
        <f>IFERROR(VLOOKUP($G1397,基本資料!$A:$J,5,0),"無")</f>
        <v>141</v>
      </c>
      <c r="D1397" s="79">
        <f>IFERROR(VLOOKUP($G1397,基本資料!$A:$J,6,0),"無")</f>
        <v>17</v>
      </c>
      <c r="E1397" s="79">
        <f>IFERROR(VLOOKUP($G1397,基本資料!$A:$J,7,0),"無")</f>
        <v>43</v>
      </c>
      <c r="F1397" s="6">
        <f>IFERROR(VLOOKUP($G1397,基本資料!$A:$J,8,0),"無")</f>
        <v>0.94</v>
      </c>
      <c r="G1397" s="79">
        <v>8906</v>
      </c>
      <c r="H1397" s="8" t="s">
        <v>1960</v>
      </c>
      <c r="I1397" s="16" t="s">
        <v>660</v>
      </c>
      <c r="J1397" s="8" t="str">
        <f>IFERROR(VLOOKUP($G1397,今日總結!$A:$AJ,35,0),"")</f>
        <v/>
      </c>
      <c r="K1397" s="5" t="str">
        <f>IFERROR(VLOOKUP($G1397,今日總結!$A:$AJ,36,0),"")</f>
        <v/>
      </c>
      <c r="L1397" s="156" t="str">
        <f>IFERROR(VLOOKUP($G1397,今日總結!$A:$AJ,33,0),"")</f>
        <v/>
      </c>
      <c r="M1397" s="340" t="str">
        <f>IFERROR(VLOOKUP($G1397,今日總結!$A:$AJ,34,0),"")</f>
        <v/>
      </c>
      <c r="N1397" s="240" t="str">
        <f t="shared" si="263"/>
        <v/>
      </c>
      <c r="P1397" s="365">
        <f>IFERROR(VLOOKUP($G1397,融外自投!$A:$J,7,0),"無")</f>
        <v>486</v>
      </c>
      <c r="Q1397" s="79" t="str">
        <f>IFERROR(VLOOKUP($G1397,融外自投!$A:$J,9,0),"無")</f>
        <v>無</v>
      </c>
      <c r="R1397" s="346">
        <f>IFERROR(VLOOKUP($G1397,融外自投!$A:$J,8,0),"無")</f>
        <v>1451</v>
      </c>
      <c r="S1397" s="81">
        <f>IFERROR(VLOOKUP($G1397,融外自投!$A:$J,10,0),"無")</f>
        <v>251</v>
      </c>
      <c r="T1397" s="327">
        <f>IFERROR(VLOOKUP($G1397,'321買'!$A:$E,5,0),"'沒有資料'")</f>
        <v>1126</v>
      </c>
      <c r="U1397" s="186">
        <f>IFERROR(VLOOKUP($G1397,基本資料!$A:$J,9,0),"無")</f>
        <v>0.1</v>
      </c>
      <c r="V1397" s="310">
        <f t="shared" si="262"/>
        <v>5.3763440860215049E-3</v>
      </c>
      <c r="W1397" s="94">
        <f>IFERROR(VLOOKUP($G1397,基本資料!$A:$J,10,0),"無")</f>
        <v>0.1</v>
      </c>
      <c r="X1397" s="36">
        <f>RTD("money.excel",,"8906","Price")</f>
        <v>18.600000000000001</v>
      </c>
      <c r="Y1397" s="66"/>
      <c r="Z1397" s="15">
        <f t="shared" si="264"/>
        <v>18.600000000000001</v>
      </c>
      <c r="AA1397" s="3" t="e">
        <f t="shared" si="265"/>
        <v>#DIV/0!</v>
      </c>
      <c r="AB1397" s="344">
        <f>IFERROR(VLOOKUP($G1397,基本資料!$A:$M,11,0),"無")</f>
        <v>-9.52</v>
      </c>
      <c r="AC1397" s="397">
        <f>IFERROR(VLOOKUP($G1397,基本資料!$A:$M,12,0),"無")</f>
        <v>33.54</v>
      </c>
      <c r="AD1397" s="16" t="s">
        <v>660</v>
      </c>
      <c r="AG1397" s="33">
        <f t="shared" si="266"/>
        <v>0</v>
      </c>
      <c r="AH1397" s="43" t="s">
        <v>2483</v>
      </c>
      <c r="AI1397" s="63">
        <f t="shared" si="267"/>
        <v>5.8823529411764708E-5</v>
      </c>
      <c r="AJ1397" s="284">
        <f>RTD("money.excel",,$G1397,"PredictVolume")</f>
        <v>2</v>
      </c>
      <c r="AK1397" s="399">
        <f>IFERROR(VLOOKUP($G1397,基本資料!$A:$M,13,0),"無")</f>
        <v>5.84</v>
      </c>
    </row>
    <row r="1398" spans="1:37">
      <c r="A1398" s="347">
        <f>IFERROR(VLOOKUP($G1398,基本資料!$A:$J,3,0),"無")</f>
        <v>13.15</v>
      </c>
      <c r="B1398" s="79">
        <f>IFERROR(VLOOKUP($G1398,基本資料!$A:$J,4,0),"無")</f>
        <v>55</v>
      </c>
      <c r="C1398" s="79">
        <f>IFERROR(VLOOKUP($G1398,基本資料!$A:$J,5,0),"無")</f>
        <v>-50</v>
      </c>
      <c r="D1398" s="79">
        <f>IFERROR(VLOOKUP($G1398,基本資料!$A:$J,6,0),"無")</f>
        <v>59</v>
      </c>
      <c r="E1398" s="79">
        <f>IFERROR(VLOOKUP($G1398,基本資料!$A:$J,7,0),"無")</f>
        <v>22</v>
      </c>
      <c r="F1398" s="6">
        <f>IFERROR(VLOOKUP($G1398,基本資料!$A:$J,8,0),"無")</f>
        <v>2.33</v>
      </c>
      <c r="G1398" s="79">
        <v>8916</v>
      </c>
      <c r="H1398" s="8" t="s">
        <v>1960</v>
      </c>
      <c r="I1398" s="16" t="s">
        <v>153</v>
      </c>
      <c r="J1398" s="8">
        <f>IFERROR(VLOOKUP($G1398,今日總結!$A:$AJ,35,0),"")</f>
        <v>0</v>
      </c>
      <c r="K1398" s="5">
        <f>IFERROR(VLOOKUP($G1398,今日總結!$A:$AJ,36,0),"")</f>
        <v>0</v>
      </c>
      <c r="L1398" s="156">
        <f>IFERROR(VLOOKUP($G1398,今日總結!$A:$AJ,33,0),"")</f>
        <v>0</v>
      </c>
      <c r="M1398" s="340">
        <f>IFERROR(VLOOKUP($G1398,今日總結!$A:$AJ,34,0),"")</f>
        <v>1</v>
      </c>
      <c r="N1398" s="240">
        <f t="shared" si="263"/>
        <v>-1</v>
      </c>
      <c r="P1398" s="365">
        <f>IFERROR(VLOOKUP($G1398,融外自投!$A:$J,7,0),"無")</f>
        <v>1260</v>
      </c>
      <c r="Q1398" s="79">
        <f>IFERROR(VLOOKUP($G1398,融外自投!$A:$J,9,0),"無")</f>
        <v>571</v>
      </c>
      <c r="R1398" s="346">
        <f>IFERROR(VLOOKUP($G1398,融外自投!$A:$J,8,0),"無")</f>
        <v>891</v>
      </c>
      <c r="S1398" s="81" t="str">
        <f>IFERROR(VLOOKUP($G1398,融外自投!$A:$J,10,0),"無")</f>
        <v>無</v>
      </c>
      <c r="T1398" s="327">
        <f>IFERROR(VLOOKUP($G1398,'321買'!$A:$E,5,0),"'沒有資料'")</f>
        <v>852</v>
      </c>
      <c r="U1398" s="186">
        <f>IFERROR(VLOOKUP($G1398,基本資料!$A:$J,9,0),"無")</f>
        <v>3</v>
      </c>
      <c r="V1398" s="310">
        <f t="shared" si="262"/>
        <v>6.9364161849710976E-2</v>
      </c>
      <c r="W1398" s="94">
        <f>IFERROR(VLOOKUP($G1398,基本資料!$A:$J,10,0),"無")</f>
        <v>3.58</v>
      </c>
      <c r="X1398" s="36">
        <f>RTD("money.excel",,"8916","Price")</f>
        <v>43.25</v>
      </c>
      <c r="Y1398" s="66"/>
      <c r="Z1398" s="15">
        <f t="shared" si="264"/>
        <v>43.25</v>
      </c>
      <c r="AA1398" s="3" t="e">
        <f t="shared" si="265"/>
        <v>#DIV/0!</v>
      </c>
      <c r="AB1398" s="344">
        <f>IFERROR(VLOOKUP($G1398,基本資料!$A:$M,11,0),"無")</f>
        <v>-3.48</v>
      </c>
      <c r="AC1398" s="397">
        <f>IFERROR(VLOOKUP($G1398,基本資料!$A:$M,12,0),"無")</f>
        <v>58.65</v>
      </c>
      <c r="AD1398" s="16" t="s">
        <v>153</v>
      </c>
      <c r="AG1398" s="33">
        <f t="shared" si="266"/>
        <v>0</v>
      </c>
      <c r="AH1398" s="117" t="s">
        <v>1419</v>
      </c>
      <c r="AI1398" s="63">
        <f t="shared" si="267"/>
        <v>3.7794676806083651E-3</v>
      </c>
      <c r="AJ1398" s="284">
        <f>RTD("money.excel",,$G1398,"PredictVolume")</f>
        <v>497</v>
      </c>
      <c r="AK1398" s="399">
        <f>IFERROR(VLOOKUP($G1398,基本資料!$A:$M,13,0),"無")</f>
        <v>1.31</v>
      </c>
    </row>
    <row r="1399" spans="1:37">
      <c r="A1399" s="347">
        <f>IFERROR(VLOOKUP($G1399,基本資料!$A:$J,3,0),"無")</f>
        <v>4.6500000000000004</v>
      </c>
      <c r="B1399" s="79">
        <f>IFERROR(VLOOKUP($G1399,基本資料!$A:$J,4,0),"無")</f>
        <v>-24</v>
      </c>
      <c r="C1399" s="79">
        <f>IFERROR(VLOOKUP($G1399,基本資料!$A:$J,5,0),"無")</f>
        <v>-99</v>
      </c>
      <c r="D1399" s="79">
        <f>IFERROR(VLOOKUP($G1399,基本資料!$A:$J,6,0),"無")</f>
        <v>-1</v>
      </c>
      <c r="E1399" s="79">
        <f>IFERROR(VLOOKUP($G1399,基本資料!$A:$J,7,0),"無")</f>
        <v>22</v>
      </c>
      <c r="F1399" s="6">
        <f>IFERROR(VLOOKUP($G1399,基本資料!$A:$J,8,0),"無")</f>
        <v>0.01</v>
      </c>
      <c r="G1399" s="79">
        <v>8921</v>
      </c>
      <c r="H1399" s="8" t="s">
        <v>1960</v>
      </c>
      <c r="I1399" s="16" t="s">
        <v>661</v>
      </c>
      <c r="J1399" s="8" t="str">
        <f>IFERROR(VLOOKUP($G1399,今日總結!$A:$AJ,35,0),"")</f>
        <v/>
      </c>
      <c r="K1399" s="5" t="str">
        <f>IFERROR(VLOOKUP($G1399,今日總結!$A:$AJ,36,0),"")</f>
        <v/>
      </c>
      <c r="L1399" s="156" t="str">
        <f>IFERROR(VLOOKUP($G1399,今日總結!$A:$AJ,33,0),"")</f>
        <v/>
      </c>
      <c r="M1399" s="340" t="str">
        <f>IFERROR(VLOOKUP($G1399,今日總結!$A:$AJ,34,0),"")</f>
        <v/>
      </c>
      <c r="N1399" s="240" t="str">
        <f t="shared" si="263"/>
        <v/>
      </c>
      <c r="P1399" s="365" t="str">
        <f>IFERROR(VLOOKUP($G1399,融外自投!$A:$J,7,0),"無")</f>
        <v>無</v>
      </c>
      <c r="Q1399" s="79" t="str">
        <f>IFERROR(VLOOKUP($G1399,融外自投!$A:$J,9,0),"無")</f>
        <v>無</v>
      </c>
      <c r="R1399" s="346" t="str">
        <f>IFERROR(VLOOKUP($G1399,融外自投!$A:$J,8,0),"無")</f>
        <v>無</v>
      </c>
      <c r="S1399" s="81" t="str">
        <f>IFERROR(VLOOKUP($G1399,融外自投!$A:$J,10,0),"無")</f>
        <v>無</v>
      </c>
      <c r="T1399" s="327" t="str">
        <f>IFERROR(VLOOKUP($G1399,'321買'!$A:$E,5,0),"'沒有資料'")</f>
        <v>'沒有資料'</v>
      </c>
      <c r="U1399" s="186">
        <f>IFERROR(VLOOKUP($G1399,基本資料!$A:$J,9,0),"無")</f>
        <v>0.45</v>
      </c>
      <c r="V1399" s="310">
        <f t="shared" si="262"/>
        <v>2.931596091205212E-2</v>
      </c>
      <c r="W1399" s="94">
        <f>IFERROR(VLOOKUP($G1399,基本資料!$A:$J,10,0),"無")</f>
        <v>0.31</v>
      </c>
      <c r="X1399" s="36">
        <f>RTD("money.excel",,"8921","Price")</f>
        <v>15.35</v>
      </c>
      <c r="Y1399" s="66"/>
      <c r="Z1399" s="15">
        <f t="shared" si="264"/>
        <v>15.35</v>
      </c>
      <c r="AA1399" s="3" t="e">
        <f t="shared" si="265"/>
        <v>#DIV/0!</v>
      </c>
      <c r="AB1399" s="344">
        <f>IFERROR(VLOOKUP($G1399,基本資料!$A:$M,11,0),"無")</f>
        <v>-5.04</v>
      </c>
      <c r="AC1399" s="397">
        <f>IFERROR(VLOOKUP($G1399,基本資料!$A:$M,12,0),"無")</f>
        <v>78.23</v>
      </c>
      <c r="AD1399" s="16" t="s">
        <v>661</v>
      </c>
      <c r="AG1399" s="33">
        <f t="shared" si="266"/>
        <v>0</v>
      </c>
      <c r="AH1399" s="43" t="s">
        <v>2484</v>
      </c>
      <c r="AI1399" s="63">
        <f t="shared" si="267"/>
        <v>2.150537634408602E-5</v>
      </c>
      <c r="AJ1399" s="284">
        <f>RTD("money.excel",,$G1399,"PredictVolume")</f>
        <v>1</v>
      </c>
      <c r="AK1399" s="399">
        <f>IFERROR(VLOOKUP($G1399,基本資料!$A:$M,13,0),"無")</f>
        <v>0.56000000000000005</v>
      </c>
    </row>
    <row r="1400" spans="1:37">
      <c r="A1400" s="347">
        <f>IFERROR(VLOOKUP($G1400,基本資料!$A:$J,3,0),"無")</f>
        <v>8.3800000000000008</v>
      </c>
      <c r="B1400" s="79">
        <f>IFERROR(VLOOKUP($G1400,基本資料!$A:$J,4,0),"無")</f>
        <v>252</v>
      </c>
      <c r="C1400" s="79">
        <f>IFERROR(VLOOKUP($G1400,基本資料!$A:$J,5,0),"無")</f>
        <v>192</v>
      </c>
      <c r="D1400" s="79">
        <f>IFERROR(VLOOKUP($G1400,基本資料!$A:$J,6,0),"無")</f>
        <v>4</v>
      </c>
      <c r="E1400" s="79">
        <f>IFERROR(VLOOKUP($G1400,基本資料!$A:$J,7,0),"無")</f>
        <v>21</v>
      </c>
      <c r="F1400" s="6">
        <f>IFERROR(VLOOKUP($G1400,基本資料!$A:$J,8,0),"無")</f>
        <v>25.36</v>
      </c>
      <c r="G1400" s="79">
        <v>8924</v>
      </c>
      <c r="H1400" s="8" t="s">
        <v>1960</v>
      </c>
      <c r="I1400" s="16" t="s">
        <v>662</v>
      </c>
      <c r="J1400" s="8" t="str">
        <f>IFERROR(VLOOKUP($G1400,今日總結!$A:$AJ,35,0),"")</f>
        <v/>
      </c>
      <c r="K1400" s="5" t="str">
        <f>IFERROR(VLOOKUP($G1400,今日總結!$A:$AJ,36,0),"")</f>
        <v/>
      </c>
      <c r="L1400" s="156" t="str">
        <f>IFERROR(VLOOKUP($G1400,今日總結!$A:$AJ,33,0),"")</f>
        <v/>
      </c>
      <c r="M1400" s="340" t="str">
        <f>IFERROR(VLOOKUP($G1400,今日總結!$A:$AJ,34,0),"")</f>
        <v/>
      </c>
      <c r="N1400" s="240" t="str">
        <f t="shared" si="263"/>
        <v/>
      </c>
      <c r="P1400" s="365">
        <f>IFERROR(VLOOKUP($G1400,融外自投!$A:$J,7,0),"無")</f>
        <v>460</v>
      </c>
      <c r="Q1400" s="79">
        <f>IFERROR(VLOOKUP($G1400,融外自投!$A:$J,9,0),"無")</f>
        <v>129</v>
      </c>
      <c r="R1400" s="346">
        <f>IFERROR(VLOOKUP($G1400,融外自投!$A:$J,8,0),"無")</f>
        <v>905</v>
      </c>
      <c r="S1400" s="81">
        <f>IFERROR(VLOOKUP($G1400,融外自投!$A:$J,10,0),"無")</f>
        <v>88</v>
      </c>
      <c r="T1400" s="327">
        <f>IFERROR(VLOOKUP($G1400,'321買'!$A:$E,5,0),"'沒有資料'")</f>
        <v>336</v>
      </c>
      <c r="U1400" s="186">
        <f>IFERROR(VLOOKUP($G1400,基本資料!$A:$J,9,0),"無")</f>
        <v>13.7</v>
      </c>
      <c r="V1400" s="310">
        <f t="shared" si="262"/>
        <v>0.10073529411764705</v>
      </c>
      <c r="W1400" s="94">
        <f>IFERROR(VLOOKUP($G1400,基本資料!$A:$J,10,0),"無")</f>
        <v>20.149999999999999</v>
      </c>
      <c r="X1400" s="36">
        <f>RTD("money.excel",,"8924","Price")</f>
        <v>136</v>
      </c>
      <c r="Y1400" s="66"/>
      <c r="Z1400" s="15">
        <f t="shared" si="264"/>
        <v>136</v>
      </c>
      <c r="AA1400" s="3" t="e">
        <f t="shared" si="265"/>
        <v>#DIV/0!</v>
      </c>
      <c r="AB1400" s="344">
        <f>IFERROR(VLOOKUP($G1400,基本資料!$A:$M,11,0),"無")</f>
        <v>-25.47</v>
      </c>
      <c r="AC1400" s="397">
        <f>IFERROR(VLOOKUP($G1400,基本資料!$A:$M,12,0),"無")</f>
        <v>28.54</v>
      </c>
      <c r="AD1400" s="16" t="s">
        <v>662</v>
      </c>
      <c r="AG1400" s="33">
        <f t="shared" si="266"/>
        <v>0</v>
      </c>
      <c r="AH1400" s="43" t="s">
        <v>3060</v>
      </c>
      <c r="AI1400" s="63">
        <f t="shared" si="267"/>
        <v>3.8902147971360376E-3</v>
      </c>
      <c r="AJ1400" s="284">
        <f>RTD("money.excel",,$G1400,"PredictVolume")</f>
        <v>326</v>
      </c>
      <c r="AK1400" s="399">
        <f>IFERROR(VLOOKUP($G1400,基本資料!$A:$M,13,0),"無")</f>
        <v>15.77</v>
      </c>
    </row>
    <row r="1401" spans="1:37">
      <c r="A1401" s="347">
        <f>IFERROR(VLOOKUP($G1401,基本資料!$A:$J,3,0),"無")</f>
        <v>5.08</v>
      </c>
      <c r="B1401" s="79">
        <f>IFERROR(VLOOKUP($G1401,基本資料!$A:$J,4,0),"無")</f>
        <v>87</v>
      </c>
      <c r="C1401" s="79">
        <f>IFERROR(VLOOKUP($G1401,基本資料!$A:$J,5,0),"無")</f>
        <v>112</v>
      </c>
      <c r="D1401" s="79">
        <f>IFERROR(VLOOKUP($G1401,基本資料!$A:$J,6,0),"無")</f>
        <v>25</v>
      </c>
      <c r="E1401" s="79">
        <f>IFERROR(VLOOKUP($G1401,基本資料!$A:$J,7,0),"無")</f>
        <v>46</v>
      </c>
      <c r="F1401" s="6">
        <f>IFERROR(VLOOKUP($G1401,基本資料!$A:$J,8,0),"無")</f>
        <v>10.14</v>
      </c>
      <c r="G1401" s="79">
        <v>8928</v>
      </c>
      <c r="H1401" s="8" t="s">
        <v>1960</v>
      </c>
      <c r="I1401" s="16" t="s">
        <v>663</v>
      </c>
      <c r="J1401" s="8" t="str">
        <f>IFERROR(VLOOKUP($G1401,今日總結!$A:$AJ,35,0),"")</f>
        <v>342主</v>
      </c>
      <c r="K1401" s="5">
        <f>IFERROR(VLOOKUP($G1401,今日總結!$A:$AJ,36,0),"")</f>
        <v>0</v>
      </c>
      <c r="L1401" s="156">
        <f>IFERROR(VLOOKUP($G1401,今日總結!$A:$AJ,33,0),"")</f>
        <v>4</v>
      </c>
      <c r="M1401" s="340">
        <f>IFERROR(VLOOKUP($G1401,今日總結!$A:$AJ,34,0),"")</f>
        <v>0</v>
      </c>
      <c r="N1401" s="240">
        <f t="shared" si="263"/>
        <v>4</v>
      </c>
      <c r="P1401" s="365">
        <f>IFERROR(VLOOKUP($G1401,融外自投!$A:$J,7,0),"無")</f>
        <v>322</v>
      </c>
      <c r="Q1401" s="79">
        <f>IFERROR(VLOOKUP($G1401,融外自投!$A:$J,9,0),"無")</f>
        <v>936</v>
      </c>
      <c r="R1401" s="346">
        <f>IFERROR(VLOOKUP($G1401,融外自投!$A:$J,8,0),"無")</f>
        <v>1227</v>
      </c>
      <c r="S1401" s="81">
        <f>IFERROR(VLOOKUP($G1401,融外自投!$A:$J,10,0),"無")</f>
        <v>241</v>
      </c>
      <c r="T1401" s="327">
        <f>IFERROR(VLOOKUP($G1401,'321買'!$A:$E,5,0),"'沒有資料'")</f>
        <v>1126</v>
      </c>
      <c r="U1401" s="186">
        <f>IFERROR(VLOOKUP($G1401,基本資料!$A:$J,9,0),"無")</f>
        <v>2.5</v>
      </c>
      <c r="V1401" s="310">
        <f t="shared" si="262"/>
        <v>5.6433408577878111E-2</v>
      </c>
      <c r="W1401" s="94">
        <f>IFERROR(VLOOKUP($G1401,基本資料!$A:$J,10,0),"無")</f>
        <v>4.7</v>
      </c>
      <c r="X1401" s="36">
        <f>RTD("money.excel",,"8928","Price")</f>
        <v>44.3</v>
      </c>
      <c r="Y1401" s="66"/>
      <c r="Z1401" s="15">
        <f t="shared" si="264"/>
        <v>44.3</v>
      </c>
      <c r="AA1401" s="3" t="e">
        <f t="shared" si="265"/>
        <v>#DIV/0!</v>
      </c>
      <c r="AB1401" s="344">
        <f>IFERROR(VLOOKUP($G1401,基本資料!$A:$M,11,0),"無")</f>
        <v>-6.89</v>
      </c>
      <c r="AC1401" s="397">
        <f>IFERROR(VLOOKUP($G1401,基本資料!$A:$M,12,0),"無")</f>
        <v>69.11</v>
      </c>
      <c r="AD1401" s="16" t="s">
        <v>663</v>
      </c>
      <c r="AG1401" s="33">
        <f t="shared" si="266"/>
        <v>0</v>
      </c>
      <c r="AH1401" s="43" t="s">
        <v>3060</v>
      </c>
      <c r="AI1401" s="63">
        <f t="shared" si="267"/>
        <v>0.12409448818897638</v>
      </c>
      <c r="AJ1401" s="284">
        <f>RTD("money.excel",,$G1401,"PredictVolume")</f>
        <v>6304</v>
      </c>
      <c r="AK1401" s="399">
        <f>IFERROR(VLOOKUP($G1401,基本資料!$A:$M,13,0),"無")</f>
        <v>13.53</v>
      </c>
    </row>
    <row r="1402" spans="1:37">
      <c r="A1402" s="347">
        <f>IFERROR(VLOOKUP($G1402,基本資料!$A:$J,3,0),"無")</f>
        <v>5.05</v>
      </c>
      <c r="B1402" s="79">
        <f>IFERROR(VLOOKUP($G1402,基本資料!$A:$J,4,0),"無")</f>
        <v>-484</v>
      </c>
      <c r="C1402" s="79">
        <f>IFERROR(VLOOKUP($G1402,基本資料!$A:$J,5,0),"無")</f>
        <v>-296</v>
      </c>
      <c r="D1402" s="79">
        <f>IFERROR(VLOOKUP($G1402,基本資料!$A:$J,6,0),"無")</f>
        <v>22</v>
      </c>
      <c r="E1402" s="79">
        <f>IFERROR(VLOOKUP($G1402,基本資料!$A:$J,7,0),"無")</f>
        <v>-28</v>
      </c>
      <c r="F1402" s="6">
        <f>IFERROR(VLOOKUP($G1402,基本資料!$A:$J,8,0),"無")</f>
        <v>-8.27</v>
      </c>
      <c r="G1402" s="79">
        <v>8929</v>
      </c>
      <c r="H1402" s="8" t="s">
        <v>1960</v>
      </c>
      <c r="I1402" s="16" t="s">
        <v>664</v>
      </c>
      <c r="J1402" s="8">
        <f>IFERROR(VLOOKUP($G1402,今日總結!$A:$AJ,35,0),"")</f>
        <v>0</v>
      </c>
      <c r="K1402" s="5">
        <f>IFERROR(VLOOKUP($G1402,今日總結!$A:$AJ,36,0),"")</f>
        <v>0</v>
      </c>
      <c r="L1402" s="156">
        <f>IFERROR(VLOOKUP($G1402,今日總結!$A:$AJ,33,0),"")</f>
        <v>0</v>
      </c>
      <c r="M1402" s="340">
        <f>IFERROR(VLOOKUP($G1402,今日總結!$A:$AJ,34,0),"")</f>
        <v>1</v>
      </c>
      <c r="N1402" s="240">
        <f t="shared" si="263"/>
        <v>-1</v>
      </c>
      <c r="P1402" s="365">
        <f>IFERROR(VLOOKUP($G1402,融外自投!$A:$J,7,0),"無")</f>
        <v>1172</v>
      </c>
      <c r="Q1402" s="79" t="str">
        <f>IFERROR(VLOOKUP($G1402,融外自投!$A:$J,9,0),"無")</f>
        <v>無</v>
      </c>
      <c r="R1402" s="346">
        <f>IFERROR(VLOOKUP($G1402,融外自投!$A:$J,8,0),"無")</f>
        <v>1412</v>
      </c>
      <c r="S1402" s="81" t="str">
        <f>IFERROR(VLOOKUP($G1402,融外自投!$A:$J,10,0),"無")</f>
        <v>無</v>
      </c>
      <c r="T1402" s="327">
        <f>IFERROR(VLOOKUP($G1402,'321買'!$A:$E,5,0),"'沒有資料'")</f>
        <v>1397</v>
      </c>
      <c r="U1402" s="186">
        <f>IFERROR(VLOOKUP($G1402,基本資料!$A:$J,9,0),"無")</f>
        <v>0</v>
      </c>
      <c r="V1402" s="310">
        <f t="shared" si="262"/>
        <v>0</v>
      </c>
      <c r="W1402" s="94">
        <f>IFERROR(VLOOKUP($G1402,基本資料!$A:$J,10,0),"無")</f>
        <v>-1.32</v>
      </c>
      <c r="X1402" s="36">
        <f>RTD("money.excel",,"8929","Price")</f>
        <v>20.6</v>
      </c>
      <c r="Y1402" s="66"/>
      <c r="Z1402" s="15">
        <f t="shared" si="264"/>
        <v>20.6</v>
      </c>
      <c r="AA1402" s="3" t="e">
        <f t="shared" si="265"/>
        <v>#DIV/0!</v>
      </c>
      <c r="AB1402" s="344">
        <f>IFERROR(VLOOKUP($G1402,基本資料!$A:$M,11,0),"無")</f>
        <v>-18.489999999999998</v>
      </c>
      <c r="AC1402" s="397">
        <f>IFERROR(VLOOKUP($G1402,基本資料!$A:$M,12,0),"無")</f>
        <v>18.34</v>
      </c>
      <c r="AD1402" s="16" t="s">
        <v>664</v>
      </c>
      <c r="AG1402" s="33">
        <f t="shared" si="266"/>
        <v>0</v>
      </c>
      <c r="AH1402" s="43" t="s">
        <v>2485</v>
      </c>
      <c r="AI1402" s="63">
        <f t="shared" si="267"/>
        <v>1.9801980198019803E-4</v>
      </c>
      <c r="AJ1402" s="284">
        <f>RTD("money.excel",,$G1402,"PredictVolume")</f>
        <v>10</v>
      </c>
      <c r="AK1402" s="399">
        <f>IFERROR(VLOOKUP($G1402,基本資料!$A:$M,13,0),"無")</f>
        <v>2.63</v>
      </c>
    </row>
    <row r="1403" spans="1:37">
      <c r="A1403" s="347">
        <f>IFERROR(VLOOKUP($G1403,基本資料!$A:$J,3,0),"無")</f>
        <v>6.01</v>
      </c>
      <c r="B1403" s="79">
        <f>IFERROR(VLOOKUP($G1403,基本資料!$A:$J,4,0),"無")</f>
        <v>-37</v>
      </c>
      <c r="C1403" s="79">
        <f>IFERROR(VLOOKUP($G1403,基本資料!$A:$J,5,0),"無")</f>
        <v>7</v>
      </c>
      <c r="D1403" s="79">
        <f>IFERROR(VLOOKUP($G1403,基本資料!$A:$J,6,0),"無")</f>
        <v>108</v>
      </c>
      <c r="E1403" s="79">
        <f>IFERROR(VLOOKUP($G1403,基本資料!$A:$J,7,0),"無")</f>
        <v>5</v>
      </c>
      <c r="F1403" s="6">
        <f>IFERROR(VLOOKUP($G1403,基本資料!$A:$J,8,0),"無")</f>
        <v>-4.7699999999999996</v>
      </c>
      <c r="G1403" s="79">
        <v>8932</v>
      </c>
      <c r="H1403" s="8" t="s">
        <v>1960</v>
      </c>
      <c r="I1403" s="16" t="s">
        <v>665</v>
      </c>
      <c r="J1403" s="8" t="str">
        <f>IFERROR(VLOOKUP($G1403,今日總結!$A:$AJ,35,0),"")</f>
        <v/>
      </c>
      <c r="K1403" s="5" t="str">
        <f>IFERROR(VLOOKUP($G1403,今日總結!$A:$AJ,36,0),"")</f>
        <v/>
      </c>
      <c r="L1403" s="156" t="str">
        <f>IFERROR(VLOOKUP($G1403,今日總結!$A:$AJ,33,0),"")</f>
        <v/>
      </c>
      <c r="M1403" s="340" t="str">
        <f>IFERROR(VLOOKUP($G1403,今日總結!$A:$AJ,34,0),"")</f>
        <v/>
      </c>
      <c r="N1403" s="240" t="str">
        <f t="shared" si="263"/>
        <v/>
      </c>
      <c r="P1403" s="365">
        <f>IFERROR(VLOOKUP($G1403,融外自投!$A:$J,7,0),"無")</f>
        <v>644</v>
      </c>
      <c r="Q1403" s="79" t="str">
        <f>IFERROR(VLOOKUP($G1403,融外自投!$A:$J,9,0),"無")</f>
        <v>無</v>
      </c>
      <c r="R1403" s="346">
        <f>IFERROR(VLOOKUP($G1403,融外自投!$A:$J,8,0),"無")</f>
        <v>377</v>
      </c>
      <c r="S1403" s="81" t="str">
        <f>IFERROR(VLOOKUP($G1403,融外自投!$A:$J,10,0),"無")</f>
        <v>無</v>
      </c>
      <c r="T1403" s="327">
        <f>IFERROR(VLOOKUP($G1403,'321買'!$A:$E,5,0),"'沒有資料'")</f>
        <v>1007</v>
      </c>
      <c r="U1403" s="186">
        <f>IFERROR(VLOOKUP($G1403,基本資料!$A:$J,9,0),"無")</f>
        <v>0</v>
      </c>
      <c r="V1403" s="310">
        <f t="shared" si="262"/>
        <v>0</v>
      </c>
      <c r="W1403" s="94">
        <f>IFERROR(VLOOKUP($G1403,基本資料!$A:$J,10,0),"無")</f>
        <v>-1.21</v>
      </c>
      <c r="X1403" s="36">
        <f>RTD("money.excel",,"8932","Price")</f>
        <v>26.35</v>
      </c>
      <c r="Y1403" s="66"/>
      <c r="Z1403" s="15">
        <f t="shared" si="264"/>
        <v>26.35</v>
      </c>
      <c r="AA1403" s="3" t="e">
        <f t="shared" si="265"/>
        <v>#DIV/0!</v>
      </c>
      <c r="AB1403" s="344">
        <f>IFERROR(VLOOKUP($G1403,基本資料!$A:$M,11,0),"無")</f>
        <v>-7.54</v>
      </c>
      <c r="AC1403" s="397">
        <f>IFERROR(VLOOKUP($G1403,基本資料!$A:$M,12,0),"無")</f>
        <v>61.71</v>
      </c>
      <c r="AD1403" s="16" t="s">
        <v>665</v>
      </c>
      <c r="AG1403" s="33">
        <f t="shared" si="266"/>
        <v>0</v>
      </c>
      <c r="AH1403" s="43" t="s">
        <v>2486</v>
      </c>
      <c r="AI1403" s="63">
        <f t="shared" si="267"/>
        <v>2.4958402662229618E-4</v>
      </c>
      <c r="AJ1403" s="284">
        <f>RTD("money.excel",,$G1403,"PredictVolume")</f>
        <v>15</v>
      </c>
      <c r="AK1403" s="399">
        <f>IFERROR(VLOOKUP($G1403,基本資料!$A:$M,13,0),"無")</f>
        <v>6.09</v>
      </c>
    </row>
    <row r="1404" spans="1:37">
      <c r="A1404" s="347">
        <f>IFERROR(VLOOKUP($G1404,基本資料!$A:$J,3,0),"無")</f>
        <v>30.13</v>
      </c>
      <c r="B1404" s="79">
        <f>IFERROR(VLOOKUP($G1404,基本資料!$A:$J,4,0),"無")</f>
        <v>640</v>
      </c>
      <c r="C1404" s="79">
        <f>IFERROR(VLOOKUP($G1404,基本資料!$A:$J,5,0),"無")</f>
        <v>1602</v>
      </c>
      <c r="D1404" s="79">
        <f>IFERROR(VLOOKUP($G1404,基本資料!$A:$J,6,0),"無")</f>
        <v>40</v>
      </c>
      <c r="E1404" s="79">
        <f>IFERROR(VLOOKUP($G1404,基本資料!$A:$J,7,0),"無")</f>
        <v>34</v>
      </c>
      <c r="F1404" s="6">
        <f>IFERROR(VLOOKUP($G1404,基本資料!$A:$J,8,0),"無")</f>
        <v>2.77</v>
      </c>
      <c r="G1404" s="79">
        <v>8933</v>
      </c>
      <c r="H1404" s="8" t="s">
        <v>1960</v>
      </c>
      <c r="I1404" s="16" t="s">
        <v>666</v>
      </c>
      <c r="J1404" s="8">
        <f>IFERROR(VLOOKUP($G1404,今日總結!$A:$AJ,35,0),"")</f>
        <v>0</v>
      </c>
      <c r="K1404" s="5" t="str">
        <f>IFERROR(VLOOKUP($G1404,今日總結!$A:$AJ,36,0),"")</f>
        <v>外</v>
      </c>
      <c r="L1404" s="156">
        <f>IFERROR(VLOOKUP($G1404,今日總結!$A:$AJ,33,0),"")</f>
        <v>0</v>
      </c>
      <c r="M1404" s="340">
        <f>IFERROR(VLOOKUP($G1404,今日總結!$A:$AJ,34,0),"")</f>
        <v>1</v>
      </c>
      <c r="N1404" s="240">
        <f t="shared" si="263"/>
        <v>-1</v>
      </c>
      <c r="P1404" s="365" t="str">
        <f>IFERROR(VLOOKUP($G1404,融外自投!$A:$J,7,0),"無")</f>
        <v>無</v>
      </c>
      <c r="Q1404" s="79" t="str">
        <f>IFERROR(VLOOKUP($G1404,融外自投!$A:$J,9,0),"無")</f>
        <v>無</v>
      </c>
      <c r="R1404" s="346" t="str">
        <f>IFERROR(VLOOKUP($G1404,融外自投!$A:$J,8,0),"無")</f>
        <v>無</v>
      </c>
      <c r="S1404" s="81" t="str">
        <f>IFERROR(VLOOKUP($G1404,融外自投!$A:$J,10,0),"無")</f>
        <v>無</v>
      </c>
      <c r="T1404" s="327" t="str">
        <f>IFERROR(VLOOKUP($G1404,'321買'!$A:$E,5,0),"'沒有資料'")</f>
        <v>'沒有資料'</v>
      </c>
      <c r="U1404" s="186">
        <f>IFERROR(VLOOKUP($G1404,基本資料!$A:$J,9,0),"無")</f>
        <v>0</v>
      </c>
      <c r="V1404" s="310">
        <f t="shared" si="262"/>
        <v>0</v>
      </c>
      <c r="W1404" s="94">
        <f>IFERROR(VLOOKUP($G1404,基本資料!$A:$J,10,0),"無")</f>
        <v>0.28999999999999998</v>
      </c>
      <c r="X1404" s="36">
        <f>RTD("money.excel",,"8933","Price")</f>
        <v>12</v>
      </c>
      <c r="Y1404" s="66"/>
      <c r="Z1404" s="15">
        <f t="shared" si="264"/>
        <v>12</v>
      </c>
      <c r="AA1404" s="3" t="e">
        <f t="shared" si="265"/>
        <v>#DIV/0!</v>
      </c>
      <c r="AB1404" s="344">
        <f>IFERROR(VLOOKUP($G1404,基本資料!$A:$M,11,0),"無")</f>
        <v>-18.73</v>
      </c>
      <c r="AC1404" s="397">
        <f>IFERROR(VLOOKUP($G1404,基本資料!$A:$M,12,0),"無")</f>
        <v>14.35</v>
      </c>
      <c r="AD1404" s="16" t="s">
        <v>666</v>
      </c>
      <c r="AG1404" s="33">
        <f t="shared" si="266"/>
        <v>0</v>
      </c>
      <c r="AH1404" s="43" t="s">
        <v>2372</v>
      </c>
      <c r="AI1404" s="63">
        <f t="shared" si="267"/>
        <v>9.3594424161964819E-4</v>
      </c>
      <c r="AJ1404" s="284">
        <f>RTD("money.excel",,$G1404,"PredictVolume")</f>
        <v>282</v>
      </c>
      <c r="AK1404" s="399">
        <f>IFERROR(VLOOKUP($G1404,基本資料!$A:$M,13,0),"無")</f>
        <v>4.4000000000000004</v>
      </c>
    </row>
    <row r="1405" spans="1:37">
      <c r="A1405" s="347">
        <f>IFERROR(VLOOKUP($G1405,基本資料!$A:$J,3,0),"無")</f>
        <v>8.43</v>
      </c>
      <c r="B1405" s="79">
        <f>IFERROR(VLOOKUP($G1405,基本資料!$A:$J,4,0),"無")</f>
        <v>288</v>
      </c>
      <c r="C1405" s="79">
        <f>IFERROR(VLOOKUP($G1405,基本資料!$A:$J,5,0),"無")</f>
        <v>575</v>
      </c>
      <c r="D1405" s="79">
        <f>IFERROR(VLOOKUP($G1405,基本資料!$A:$J,6,0),"無")</f>
        <v>28</v>
      </c>
      <c r="E1405" s="79">
        <f>IFERROR(VLOOKUP($G1405,基本資料!$A:$J,7,0),"無")</f>
        <v>-8</v>
      </c>
      <c r="F1405" s="6">
        <f>IFERROR(VLOOKUP($G1405,基本資料!$A:$J,8,0),"無")</f>
        <v>3.29</v>
      </c>
      <c r="G1405" s="79">
        <v>8935</v>
      </c>
      <c r="H1405" s="8" t="s">
        <v>1960</v>
      </c>
      <c r="I1405" s="16" t="s">
        <v>667</v>
      </c>
      <c r="J1405" s="8" t="str">
        <f>IFERROR(VLOOKUP($G1405,今日總結!$A:$AJ,35,0),"")</f>
        <v/>
      </c>
      <c r="K1405" s="5" t="str">
        <f>IFERROR(VLOOKUP($G1405,今日總結!$A:$AJ,36,0),"")</f>
        <v/>
      </c>
      <c r="L1405" s="156" t="str">
        <f>IFERROR(VLOOKUP($G1405,今日總結!$A:$AJ,33,0),"")</f>
        <v/>
      </c>
      <c r="M1405" s="340" t="str">
        <f>IFERROR(VLOOKUP($G1405,今日總結!$A:$AJ,34,0),"")</f>
        <v/>
      </c>
      <c r="N1405" s="240" t="str">
        <f t="shared" si="263"/>
        <v/>
      </c>
      <c r="P1405" s="365" t="str">
        <f>IFERROR(VLOOKUP($G1405,融外自投!$A:$J,7,0),"無")</f>
        <v>無</v>
      </c>
      <c r="Q1405" s="79" t="str">
        <f>IFERROR(VLOOKUP($G1405,融外自投!$A:$J,9,0),"無")</f>
        <v>無</v>
      </c>
      <c r="R1405" s="346" t="str">
        <f>IFERROR(VLOOKUP($G1405,融外自投!$A:$J,8,0),"無")</f>
        <v>無</v>
      </c>
      <c r="S1405" s="81" t="str">
        <f>IFERROR(VLOOKUP($G1405,融外自投!$A:$J,10,0),"無")</f>
        <v>無</v>
      </c>
      <c r="T1405" s="327" t="str">
        <f>IFERROR(VLOOKUP($G1405,'321買'!$A:$E,5,0),"'沒有資料'")</f>
        <v>'沒有資料'</v>
      </c>
      <c r="U1405" s="186">
        <f>IFERROR(VLOOKUP($G1405,基本資料!$A:$J,9,0),"無")</f>
        <v>0</v>
      </c>
      <c r="V1405" s="310">
        <f t="shared" si="262"/>
        <v>0</v>
      </c>
      <c r="W1405" s="94">
        <f>IFERROR(VLOOKUP($G1405,基本資料!$A:$J,10,0),"無")</f>
        <v>0.52</v>
      </c>
      <c r="X1405" s="36">
        <f>RTD("money.excel",,"8935","Price")</f>
        <v>13.4</v>
      </c>
      <c r="Y1405" s="66"/>
      <c r="Z1405" s="15">
        <f t="shared" si="264"/>
        <v>13.4</v>
      </c>
      <c r="AA1405" s="3" t="e">
        <f t="shared" si="265"/>
        <v>#DIV/0!</v>
      </c>
      <c r="AB1405" s="344">
        <f>IFERROR(VLOOKUP($G1405,基本資料!$A:$M,11,0),"無")</f>
        <v>-29.66</v>
      </c>
      <c r="AC1405" s="397">
        <f>IFERROR(VLOOKUP($G1405,基本資料!$A:$M,12,0),"無")</f>
        <v>19.54</v>
      </c>
      <c r="AD1405" s="16" t="s">
        <v>667</v>
      </c>
      <c r="AG1405" s="33">
        <f t="shared" si="266"/>
        <v>0</v>
      </c>
      <c r="AH1405" s="43" t="s">
        <v>2487</v>
      </c>
      <c r="AI1405" s="63">
        <f t="shared" si="267"/>
        <v>5.9311981020166071E-5</v>
      </c>
      <c r="AJ1405" s="284">
        <f>RTD("money.excel",,$G1405,"PredictVolume")</f>
        <v>5</v>
      </c>
      <c r="AK1405" s="399">
        <f>IFERROR(VLOOKUP($G1405,基本資料!$A:$M,13,0),"無")</f>
        <v>5.35</v>
      </c>
    </row>
    <row r="1406" spans="1:37">
      <c r="A1406" s="347">
        <f>IFERROR(VLOOKUP($G1406,基本資料!$A:$J,3,0),"無")</f>
        <v>24.8</v>
      </c>
      <c r="B1406" s="79">
        <f>IFERROR(VLOOKUP($G1406,基本資料!$A:$J,4,0),"無")</f>
        <v>184</v>
      </c>
      <c r="C1406" s="79">
        <f>IFERROR(VLOOKUP($G1406,基本資料!$A:$J,5,0),"無")</f>
        <v>62</v>
      </c>
      <c r="D1406" s="79">
        <f>IFERROR(VLOOKUP($G1406,基本資料!$A:$J,6,0),"無")</f>
        <v>13</v>
      </c>
      <c r="E1406" s="79">
        <f>IFERROR(VLOOKUP($G1406,基本資料!$A:$J,7,0),"無")</f>
        <v>9</v>
      </c>
      <c r="F1406" s="6">
        <f>IFERROR(VLOOKUP($G1406,基本資料!$A:$J,8,0),"無")</f>
        <v>12.89</v>
      </c>
      <c r="G1406" s="79">
        <v>8936</v>
      </c>
      <c r="H1406" s="8" t="s">
        <v>1960</v>
      </c>
      <c r="I1406" s="16" t="s">
        <v>668</v>
      </c>
      <c r="J1406" s="8">
        <f>IFERROR(VLOOKUP($G1406,今日總結!$A:$AJ,35,0),"")</f>
        <v>0</v>
      </c>
      <c r="K1406" s="5">
        <f>IFERROR(VLOOKUP($G1406,今日總結!$A:$AJ,36,0),"")</f>
        <v>0</v>
      </c>
      <c r="L1406" s="156">
        <f>IFERROR(VLOOKUP($G1406,今日總結!$A:$AJ,33,0),"")</f>
        <v>0</v>
      </c>
      <c r="M1406" s="340">
        <f>IFERROR(VLOOKUP($G1406,今日總結!$A:$AJ,34,0),"")</f>
        <v>1</v>
      </c>
      <c r="N1406" s="240">
        <f t="shared" si="263"/>
        <v>-1</v>
      </c>
      <c r="P1406" s="365">
        <f>IFERROR(VLOOKUP($G1406,融外自投!$A:$J,7,0),"無")</f>
        <v>217</v>
      </c>
      <c r="Q1406" s="79">
        <f>IFERROR(VLOOKUP($G1406,融外自投!$A:$J,9,0),"無")</f>
        <v>1051</v>
      </c>
      <c r="R1406" s="346">
        <f>IFERROR(VLOOKUP($G1406,融外自投!$A:$J,8,0),"無")</f>
        <v>704</v>
      </c>
      <c r="S1406" s="81" t="str">
        <f>IFERROR(VLOOKUP($G1406,融外自投!$A:$J,10,0),"無")</f>
        <v>無</v>
      </c>
      <c r="T1406" s="327">
        <f>IFERROR(VLOOKUP($G1406,'321買'!$A:$E,5,0),"'沒有資料'")</f>
        <v>984</v>
      </c>
      <c r="U1406" s="186">
        <f>IFERROR(VLOOKUP($G1406,基本資料!$A:$J,9,0),"無")</f>
        <v>0.5</v>
      </c>
      <c r="V1406" s="310">
        <f t="shared" si="262"/>
        <v>2.4390243902439025E-2</v>
      </c>
      <c r="W1406" s="94">
        <f>IFERROR(VLOOKUP($G1406,基本資料!$A:$J,10,0),"無")</f>
        <v>1.81</v>
      </c>
      <c r="X1406" s="36">
        <f>RTD("money.excel",,"8936","Price")</f>
        <v>20.5</v>
      </c>
      <c r="Y1406" s="66"/>
      <c r="Z1406" s="15">
        <f t="shared" si="264"/>
        <v>20.5</v>
      </c>
      <c r="AA1406" s="3" t="e">
        <f t="shared" si="265"/>
        <v>#DIV/0!</v>
      </c>
      <c r="AB1406" s="344">
        <f>IFERROR(VLOOKUP($G1406,基本資料!$A:$M,11,0),"無")</f>
        <v>-25.05</v>
      </c>
      <c r="AC1406" s="397">
        <f>IFERROR(VLOOKUP($G1406,基本資料!$A:$M,12,0),"無")</f>
        <v>36.29</v>
      </c>
      <c r="AD1406" s="16" t="s">
        <v>668</v>
      </c>
      <c r="AG1406" s="33">
        <f t="shared" si="266"/>
        <v>0</v>
      </c>
      <c r="AH1406" s="43" t="s">
        <v>3044</v>
      </c>
      <c r="AI1406" s="63">
        <f t="shared" si="267"/>
        <v>2.0120967741935484E-3</v>
      </c>
      <c r="AJ1406" s="284">
        <f>RTD("money.excel",,$G1406,"PredictVolume")</f>
        <v>499</v>
      </c>
      <c r="AK1406" s="399">
        <f>IFERROR(VLOOKUP($G1406,基本資料!$A:$M,13,0),"無")</f>
        <v>9.19</v>
      </c>
    </row>
    <row r="1407" spans="1:37">
      <c r="A1407" s="347">
        <f>IFERROR(VLOOKUP($G1407,基本資料!$A:$J,3,0),"無")</f>
        <v>7.24</v>
      </c>
      <c r="B1407" s="79">
        <f>IFERROR(VLOOKUP($G1407,基本資料!$A:$J,4,0),"無")</f>
        <v>-1543</v>
      </c>
      <c r="C1407" s="79">
        <f>IFERROR(VLOOKUP($G1407,基本資料!$A:$J,5,0),"無")</f>
        <v>-123</v>
      </c>
      <c r="D1407" s="79">
        <f>IFERROR(VLOOKUP($G1407,基本資料!$A:$J,6,0),"無")</f>
        <v>23</v>
      </c>
      <c r="E1407" s="79">
        <f>IFERROR(VLOOKUP($G1407,基本資料!$A:$J,7,0),"無")</f>
        <v>157</v>
      </c>
      <c r="F1407" s="6">
        <f>IFERROR(VLOOKUP($G1407,基本資料!$A:$J,8,0),"無")</f>
        <v>-54.71</v>
      </c>
      <c r="G1407" s="79">
        <v>8937</v>
      </c>
      <c r="H1407" s="8" t="s">
        <v>1960</v>
      </c>
      <c r="I1407" s="16" t="s">
        <v>669</v>
      </c>
      <c r="J1407" s="8" t="str">
        <f>IFERROR(VLOOKUP($G1407,今日總結!$A:$AJ,35,0),"")</f>
        <v/>
      </c>
      <c r="K1407" s="5" t="str">
        <f>IFERROR(VLOOKUP($G1407,今日總結!$A:$AJ,36,0),"")</f>
        <v/>
      </c>
      <c r="L1407" s="156" t="str">
        <f>IFERROR(VLOOKUP($G1407,今日總結!$A:$AJ,33,0),"")</f>
        <v/>
      </c>
      <c r="M1407" s="340" t="str">
        <f>IFERROR(VLOOKUP($G1407,今日總結!$A:$AJ,34,0),"")</f>
        <v/>
      </c>
      <c r="N1407" s="240" t="str">
        <f t="shared" si="263"/>
        <v/>
      </c>
      <c r="P1407" s="365" t="str">
        <f>IFERROR(VLOOKUP($G1407,融外自投!$A:$J,7,0),"無")</f>
        <v>無</v>
      </c>
      <c r="Q1407" s="79" t="str">
        <f>IFERROR(VLOOKUP($G1407,融外自投!$A:$J,9,0),"無")</f>
        <v>無</v>
      </c>
      <c r="R1407" s="346" t="str">
        <f>IFERROR(VLOOKUP($G1407,融外自投!$A:$J,8,0),"無")</f>
        <v>無</v>
      </c>
      <c r="S1407" s="81" t="str">
        <f>IFERROR(VLOOKUP($G1407,融外自投!$A:$J,10,0),"無")</f>
        <v>無</v>
      </c>
      <c r="T1407" s="327" t="str">
        <f>IFERROR(VLOOKUP($G1407,'321買'!$A:$E,5,0),"'沒有資料'")</f>
        <v>'沒有資料'</v>
      </c>
      <c r="U1407" s="186">
        <f>IFERROR(VLOOKUP($G1407,基本資料!$A:$J,9,0),"無")</f>
        <v>0</v>
      </c>
      <c r="V1407" s="310">
        <f t="shared" si="262"/>
        <v>0</v>
      </c>
      <c r="W1407" s="94">
        <f>IFERROR(VLOOKUP($G1407,基本資料!$A:$J,10,0),"無")</f>
        <v>-0.79</v>
      </c>
      <c r="X1407" s="36">
        <f>RTD("money.excel",,"8937","Price")</f>
        <v>13.05</v>
      </c>
      <c r="Y1407" s="66"/>
      <c r="Z1407" s="15">
        <f t="shared" si="264"/>
        <v>13.05</v>
      </c>
      <c r="AA1407" s="3" t="e">
        <f t="shared" si="265"/>
        <v>#DIV/0!</v>
      </c>
      <c r="AB1407" s="344">
        <f>IFERROR(VLOOKUP($G1407,基本資料!$A:$M,11,0),"無")</f>
        <v>-10.96</v>
      </c>
      <c r="AC1407" s="397">
        <f>IFERROR(VLOOKUP($G1407,基本資料!$A:$M,12,0),"無")</f>
        <v>53.66</v>
      </c>
      <c r="AD1407" s="16" t="s">
        <v>669</v>
      </c>
      <c r="AG1407" s="33">
        <f t="shared" si="266"/>
        <v>0</v>
      </c>
      <c r="AH1407" s="43" t="s">
        <v>2488</v>
      </c>
      <c r="AI1407" s="63">
        <f t="shared" si="267"/>
        <v>2.9005524861878452E-4</v>
      </c>
      <c r="AJ1407" s="284">
        <f>RTD("money.excel",,$G1407,"PredictVolume")</f>
        <v>21</v>
      </c>
      <c r="AK1407" s="399">
        <f>IFERROR(VLOOKUP($G1407,基本資料!$A:$M,13,0),"無")</f>
        <v>0.6</v>
      </c>
    </row>
    <row r="1408" spans="1:37">
      <c r="A1408" s="347">
        <f>IFERROR(VLOOKUP($G1408,基本資料!$A:$J,3,0),"無")</f>
        <v>13.53</v>
      </c>
      <c r="B1408" s="79">
        <f>IFERROR(VLOOKUP($G1408,基本資料!$A:$J,4,0),"無")</f>
        <v>103</v>
      </c>
      <c r="C1408" s="79">
        <f>IFERROR(VLOOKUP($G1408,基本資料!$A:$J,5,0),"無")</f>
        <v>70</v>
      </c>
      <c r="D1408" s="79">
        <f>IFERROR(VLOOKUP($G1408,基本資料!$A:$J,6,0),"無")</f>
        <v>30</v>
      </c>
      <c r="E1408" s="79">
        <f>IFERROR(VLOOKUP($G1408,基本資料!$A:$J,7,0),"無")</f>
        <v>34</v>
      </c>
      <c r="F1408" s="6">
        <f>IFERROR(VLOOKUP($G1408,基本資料!$A:$J,8,0),"無")</f>
        <v>11.51</v>
      </c>
      <c r="G1408" s="79">
        <v>8938</v>
      </c>
      <c r="H1408" s="8" t="s">
        <v>1960</v>
      </c>
      <c r="I1408" s="16" t="s">
        <v>86</v>
      </c>
      <c r="J1408" s="8" t="str">
        <f>IFERROR(VLOOKUP($G1408,今日總結!$A:$AJ,35,0),"")</f>
        <v/>
      </c>
      <c r="K1408" s="5" t="str">
        <f>IFERROR(VLOOKUP($G1408,今日總結!$A:$AJ,36,0),"")</f>
        <v/>
      </c>
      <c r="L1408" s="156" t="str">
        <f>IFERROR(VLOOKUP($G1408,今日總結!$A:$AJ,33,0),"")</f>
        <v/>
      </c>
      <c r="M1408" s="340" t="str">
        <f>IFERROR(VLOOKUP($G1408,今日總結!$A:$AJ,34,0),"")</f>
        <v/>
      </c>
      <c r="N1408" s="240" t="str">
        <f t="shared" si="263"/>
        <v/>
      </c>
      <c r="P1408" s="365">
        <f>IFERROR(VLOOKUP($G1408,融外自投!$A:$J,7,0),"無")</f>
        <v>683</v>
      </c>
      <c r="Q1408" s="79">
        <f>IFERROR(VLOOKUP($G1408,融外自投!$A:$J,9,0),"無")</f>
        <v>122</v>
      </c>
      <c r="R1408" s="346">
        <f>IFERROR(VLOOKUP($G1408,融外自投!$A:$J,8,0),"無")</f>
        <v>423</v>
      </c>
      <c r="S1408" s="81">
        <f>IFERROR(VLOOKUP($G1408,融外自投!$A:$J,10,0),"無")</f>
        <v>284</v>
      </c>
      <c r="T1408" s="327">
        <f>IFERROR(VLOOKUP($G1408,'321買'!$A:$E,5,0),"'沒有資料'")</f>
        <v>779</v>
      </c>
      <c r="U1408" s="186">
        <f>IFERROR(VLOOKUP($G1408,基本資料!$A:$J,9,0),"無")</f>
        <v>5.5</v>
      </c>
      <c r="V1408" s="310">
        <f t="shared" si="262"/>
        <v>6.1867266591676039E-2</v>
      </c>
      <c r="W1408" s="94">
        <f>IFERROR(VLOOKUP($G1408,基本資料!$A:$J,10,0),"無")</f>
        <v>10.01</v>
      </c>
      <c r="X1408" s="36">
        <f>RTD("money.excel",,"8938","Price")</f>
        <v>88.9</v>
      </c>
      <c r="Y1408" s="66"/>
      <c r="Z1408" s="15">
        <f t="shared" si="264"/>
        <v>88.9</v>
      </c>
      <c r="AA1408" s="3" t="e">
        <f t="shared" si="265"/>
        <v>#DIV/0!</v>
      </c>
      <c r="AB1408" s="344">
        <f>IFERROR(VLOOKUP($G1408,基本資料!$A:$M,11,0),"無")</f>
        <v>-7.78</v>
      </c>
      <c r="AC1408" s="397">
        <f>IFERROR(VLOOKUP($G1408,基本資料!$A:$M,12,0),"無")</f>
        <v>70.87</v>
      </c>
      <c r="AD1408" s="16" t="s">
        <v>86</v>
      </c>
      <c r="AG1408" s="33">
        <f t="shared" si="266"/>
        <v>0</v>
      </c>
      <c r="AH1408" s="43" t="s">
        <v>3060</v>
      </c>
      <c r="AI1408" s="63">
        <f t="shared" si="267"/>
        <v>2.1204730229120474E-2</v>
      </c>
      <c r="AJ1408" s="284">
        <f>RTD("money.excel",,$G1408,"PredictVolume")</f>
        <v>2869</v>
      </c>
      <c r="AK1408" s="399">
        <f>IFERROR(VLOOKUP($G1408,基本資料!$A:$M,13,0),"無")</f>
        <v>11.53</v>
      </c>
    </row>
    <row r="1409" spans="1:37">
      <c r="A1409" s="347">
        <f>IFERROR(VLOOKUP($G1409,基本資料!$A:$J,3,0),"無")</f>
        <v>16.579999999999998</v>
      </c>
      <c r="B1409" s="79">
        <f>IFERROR(VLOOKUP($G1409,基本資料!$A:$J,4,0),"無")</f>
        <v>36</v>
      </c>
      <c r="C1409" s="79">
        <f>IFERROR(VLOOKUP($G1409,基本資料!$A:$J,5,0),"無")</f>
        <v>67</v>
      </c>
      <c r="D1409" s="79">
        <f>IFERROR(VLOOKUP($G1409,基本資料!$A:$J,6,0),"無")</f>
        <v>-5</v>
      </c>
      <c r="E1409" s="79">
        <f>IFERROR(VLOOKUP($G1409,基本資料!$A:$J,7,0),"無")</f>
        <v>12</v>
      </c>
      <c r="F1409" s="6">
        <f>IFERROR(VLOOKUP($G1409,基本資料!$A:$J,8,0),"無")</f>
        <v>15.49</v>
      </c>
      <c r="G1409" s="79">
        <v>8942</v>
      </c>
      <c r="H1409" s="8" t="s">
        <v>1960</v>
      </c>
      <c r="I1409" s="16" t="s">
        <v>4613</v>
      </c>
      <c r="J1409" s="8">
        <f>IFERROR(VLOOKUP($G1409,今日總結!$A:$AJ,35,0),"")</f>
        <v>0</v>
      </c>
      <c r="K1409" s="5" t="str">
        <f>IFERROR(VLOOKUP($G1409,今日總結!$A:$AJ,36,0),"")</f>
        <v>外</v>
      </c>
      <c r="L1409" s="156">
        <f>IFERROR(VLOOKUP($G1409,今日總結!$A:$AJ,33,0),"")</f>
        <v>0</v>
      </c>
      <c r="M1409" s="340">
        <f>IFERROR(VLOOKUP($G1409,今日總結!$A:$AJ,34,0),"")</f>
        <v>1</v>
      </c>
      <c r="N1409" s="240">
        <f t="shared" si="263"/>
        <v>-1</v>
      </c>
      <c r="P1409" s="365">
        <f>IFERROR(VLOOKUP($G1409,融外自投!$A:$J,7,0),"無")</f>
        <v>1162</v>
      </c>
      <c r="Q1409" s="79">
        <f>IFERROR(VLOOKUP($G1409,融外自投!$A:$J,9,0),"無")</f>
        <v>708</v>
      </c>
      <c r="R1409" s="346">
        <f>IFERROR(VLOOKUP($G1409,融外自投!$A:$J,8,0),"無")</f>
        <v>230</v>
      </c>
      <c r="S1409" s="81">
        <f>IFERROR(VLOOKUP($G1409,融外自投!$A:$J,10,0),"無")</f>
        <v>383</v>
      </c>
      <c r="T1409" s="327">
        <f>IFERROR(VLOOKUP($G1409,'321買'!$A:$E,5,0),"'沒有資料'")</f>
        <v>1099</v>
      </c>
      <c r="U1409" s="186">
        <f>IFERROR(VLOOKUP($G1409,基本資料!$A:$J,9,0),"無")</f>
        <v>4</v>
      </c>
      <c r="V1409" s="310">
        <f t="shared" si="262"/>
        <v>6.0790273556231005E-2</v>
      </c>
      <c r="W1409" s="94">
        <f>IFERROR(VLOOKUP($G1409,基本資料!$A:$J,10,0),"無")</f>
        <v>7.81</v>
      </c>
      <c r="X1409" s="36">
        <f>RTD("money.excel",,"8942","Price")</f>
        <v>65.8</v>
      </c>
      <c r="Y1409" s="66"/>
      <c r="Z1409" s="15">
        <f t="shared" si="264"/>
        <v>65.8</v>
      </c>
      <c r="AA1409" s="3" t="e">
        <f t="shared" si="265"/>
        <v>#DIV/0!</v>
      </c>
      <c r="AB1409" s="344">
        <f>IFERROR(VLOOKUP($G1409,基本資料!$A:$M,11,0),"無")</f>
        <v>-19.66</v>
      </c>
      <c r="AC1409" s="397">
        <f>IFERROR(VLOOKUP($G1409,基本資料!$A:$M,12,0),"無")</f>
        <v>25.6</v>
      </c>
      <c r="AD1409" s="16" t="s">
        <v>4613</v>
      </c>
      <c r="AG1409" s="33">
        <f t="shared" si="266"/>
        <v>0</v>
      </c>
      <c r="AH1409" s="117" t="s">
        <v>2489</v>
      </c>
      <c r="AI1409" s="63">
        <f t="shared" si="267"/>
        <v>7.7804583835946941E-4</v>
      </c>
      <c r="AJ1409" s="284">
        <f>RTD("money.excel",,$G1409,"PredictVolume")</f>
        <v>129</v>
      </c>
      <c r="AK1409" s="399">
        <f>IFERROR(VLOOKUP($G1409,基本資料!$A:$M,13,0),"無")</f>
        <v>2.9</v>
      </c>
    </row>
    <row r="1410" spans="1:37">
      <c r="A1410" s="347">
        <f>IFERROR(VLOOKUP($G1410,基本資料!$A:$J,3,0),"無")</f>
        <v>18.61</v>
      </c>
      <c r="B1410" s="79">
        <f>IFERROR(VLOOKUP($G1410,基本資料!$A:$J,4,0),"無")</f>
        <v>32</v>
      </c>
      <c r="C1410" s="79">
        <f>IFERROR(VLOOKUP($G1410,基本資料!$A:$J,5,0),"無")</f>
        <v>15</v>
      </c>
      <c r="D1410" s="79">
        <f>IFERROR(VLOOKUP($G1410,基本資料!$A:$J,6,0),"無")</f>
        <v>-9</v>
      </c>
      <c r="E1410" s="79">
        <f>IFERROR(VLOOKUP($G1410,基本資料!$A:$J,7,0),"無")</f>
        <v>57</v>
      </c>
      <c r="F1410" s="6">
        <f>IFERROR(VLOOKUP($G1410,基本資料!$A:$J,8,0),"無")</f>
        <v>9.4600000000000009</v>
      </c>
      <c r="G1410" s="79">
        <v>9802</v>
      </c>
      <c r="H1410" s="8" t="s">
        <v>1960</v>
      </c>
      <c r="I1410" s="22" t="s">
        <v>1096</v>
      </c>
      <c r="J1410" s="8" t="str">
        <f>IFERROR(VLOOKUP($G1410,今日總結!$A:$AJ,35,0),"")</f>
        <v/>
      </c>
      <c r="K1410" s="5" t="str">
        <f>IFERROR(VLOOKUP($G1410,今日總結!$A:$AJ,36,0),"")</f>
        <v/>
      </c>
      <c r="L1410" s="156" t="str">
        <f>IFERROR(VLOOKUP($G1410,今日總結!$A:$AJ,33,0),"")</f>
        <v/>
      </c>
      <c r="M1410" s="340" t="str">
        <f>IFERROR(VLOOKUP($G1410,今日總結!$A:$AJ,34,0),"")</f>
        <v/>
      </c>
      <c r="N1410" s="240" t="str">
        <f t="shared" si="263"/>
        <v/>
      </c>
      <c r="P1410" s="365">
        <f>IFERROR(VLOOKUP($G1410,融外自投!$A:$J,7,0),"無")</f>
        <v>134</v>
      </c>
      <c r="Q1410" s="79">
        <f>IFERROR(VLOOKUP($G1410,融外自投!$A:$J,9,0),"無")</f>
        <v>296</v>
      </c>
      <c r="R1410" s="346">
        <f>IFERROR(VLOOKUP($G1410,融外自投!$A:$J,8,0),"無")</f>
        <v>94</v>
      </c>
      <c r="S1410" s="81">
        <f>IFERROR(VLOOKUP($G1410,融外自投!$A:$J,10,0),"無")</f>
        <v>61</v>
      </c>
      <c r="T1410" s="327">
        <f>IFERROR(VLOOKUP($G1410,'321買'!$A:$E,5,0),"'沒有資料'")</f>
        <v>74</v>
      </c>
      <c r="U1410" s="186">
        <f>IFERROR(VLOOKUP($G1410,基本資料!$A:$J,9,0),"無")</f>
        <v>4.2300000000000004</v>
      </c>
      <c r="V1410" s="310">
        <f t="shared" si="262"/>
        <v>2.9072164948453612E-2</v>
      </c>
      <c r="W1410" s="94">
        <f>IFERROR(VLOOKUP($G1410,基本資料!$A:$J,10,0),"無")</f>
        <v>6.39</v>
      </c>
      <c r="X1410" s="36">
        <f>RTD("money.excel",,"9802","Price")</f>
        <v>145.5</v>
      </c>
      <c r="Y1410" s="66"/>
      <c r="Z1410" s="15">
        <f t="shared" si="264"/>
        <v>145.5</v>
      </c>
      <c r="AA1410" s="3" t="e">
        <f t="shared" si="265"/>
        <v>#DIV/0!</v>
      </c>
      <c r="AB1410" s="344">
        <f>IFERROR(VLOOKUP($G1410,基本資料!$A:$M,11,0),"無")</f>
        <v>-4.1900000000000004</v>
      </c>
      <c r="AC1410" s="397">
        <f>IFERROR(VLOOKUP($G1410,基本資料!$A:$M,12,0),"無")</f>
        <v>91.03</v>
      </c>
      <c r="AD1410" s="22" t="s">
        <v>1096</v>
      </c>
      <c r="AG1410" s="33">
        <f t="shared" si="266"/>
        <v>0</v>
      </c>
      <c r="AH1410" s="43" t="s">
        <v>1950</v>
      </c>
      <c r="AI1410" s="63">
        <f t="shared" si="267"/>
        <v>8.3449758194519084E-3</v>
      </c>
      <c r="AJ1410" s="284">
        <f>RTD("money.excel",,$G1410,"PredictVolume")</f>
        <v>1553</v>
      </c>
      <c r="AK1410" s="399">
        <f>IFERROR(VLOOKUP($G1410,基本資料!$A:$M,13,0),"無")</f>
        <v>3.33</v>
      </c>
    </row>
    <row r="1411" spans="1:37">
      <c r="A1411" s="347">
        <f>IFERROR(VLOOKUP($G1411,基本資料!$A:$J,3,0),"無")</f>
        <v>9.8000000000000007</v>
      </c>
      <c r="B1411" s="79">
        <f>IFERROR(VLOOKUP($G1411,基本資料!$A:$J,4,0),"無")</f>
        <v>248</v>
      </c>
      <c r="C1411" s="79">
        <f>IFERROR(VLOOKUP($G1411,基本資料!$A:$J,5,0),"無")</f>
        <v>-93</v>
      </c>
      <c r="D1411" s="79">
        <f>IFERROR(VLOOKUP($G1411,基本資料!$A:$J,6,0),"無")</f>
        <v>3673</v>
      </c>
      <c r="E1411" s="79">
        <f>IFERROR(VLOOKUP($G1411,基本資料!$A:$J,7,0),"無")</f>
        <v>-34</v>
      </c>
      <c r="F1411" s="6">
        <f>IFERROR(VLOOKUP($G1411,基本資料!$A:$J,8,0),"無")</f>
        <v>-5.31</v>
      </c>
      <c r="G1411" s="79">
        <v>9902</v>
      </c>
      <c r="H1411" s="8" t="s">
        <v>1960</v>
      </c>
      <c r="I1411" s="22" t="s">
        <v>695</v>
      </c>
      <c r="J1411" s="8">
        <f>IFERROR(VLOOKUP($G1411,今日總結!$A:$AJ,35,0),"")</f>
        <v>0</v>
      </c>
      <c r="K1411" s="5" t="str">
        <f>IFERROR(VLOOKUP($G1411,今日總結!$A:$AJ,36,0),"")</f>
        <v>外</v>
      </c>
      <c r="L1411" s="156">
        <f>IFERROR(VLOOKUP($G1411,今日總結!$A:$AJ,33,0),"")</f>
        <v>0</v>
      </c>
      <c r="M1411" s="340">
        <f>IFERROR(VLOOKUP($G1411,今日總結!$A:$AJ,34,0),"")</f>
        <v>2</v>
      </c>
      <c r="N1411" s="240">
        <f t="shared" si="263"/>
        <v>-2</v>
      </c>
      <c r="P1411" s="365">
        <f>IFERROR(VLOOKUP($G1411,融外自投!$A:$J,7,0),"無")</f>
        <v>302</v>
      </c>
      <c r="Q1411" s="79">
        <f>IFERROR(VLOOKUP($G1411,融外自投!$A:$J,9,0),"無")</f>
        <v>514</v>
      </c>
      <c r="R1411" s="346">
        <f>IFERROR(VLOOKUP($G1411,融外自投!$A:$J,8,0),"無")</f>
        <v>1282</v>
      </c>
      <c r="S1411" s="81" t="str">
        <f>IFERROR(VLOOKUP($G1411,融外自投!$A:$J,10,0),"無")</f>
        <v>無</v>
      </c>
      <c r="T1411" s="327">
        <f>IFERROR(VLOOKUP($G1411,'321買'!$A:$E,5,0),"'沒有資料'")</f>
        <v>939</v>
      </c>
      <c r="U1411" s="186">
        <f>IFERROR(VLOOKUP($G1411,基本資料!$A:$J,9,0),"無")</f>
        <v>0.5</v>
      </c>
      <c r="V1411" s="310">
        <f t="shared" si="262"/>
        <v>4.4247787610619468E-2</v>
      </c>
      <c r="W1411" s="94">
        <f>IFERROR(VLOOKUP($G1411,基本資料!$A:$J,10,0),"無")</f>
        <v>1.1499999999999999</v>
      </c>
      <c r="X1411" s="36">
        <f>RTD("money.excel",,"9902","Price")</f>
        <v>11.3</v>
      </c>
      <c r="Y1411" s="66"/>
      <c r="Z1411" s="15">
        <f t="shared" si="264"/>
        <v>11.3</v>
      </c>
      <c r="AA1411" s="3" t="e">
        <f t="shared" si="265"/>
        <v>#DIV/0!</v>
      </c>
      <c r="AB1411" s="344">
        <f>IFERROR(VLOOKUP($G1411,基本資料!$A:$M,11,0),"無")</f>
        <v>-22.97</v>
      </c>
      <c r="AC1411" s="397">
        <f>IFERROR(VLOOKUP($G1411,基本資料!$A:$M,12,0),"無")</f>
        <v>15.52</v>
      </c>
      <c r="AD1411" s="22" t="s">
        <v>695</v>
      </c>
      <c r="AG1411" s="33">
        <f t="shared" si="266"/>
        <v>0</v>
      </c>
      <c r="AH1411" s="43" t="s">
        <v>2837</v>
      </c>
      <c r="AI1411" s="63">
        <f t="shared" si="267"/>
        <v>2.295918367346939E-3</v>
      </c>
      <c r="AJ1411" s="284">
        <f>RTD("money.excel",,$G1411,"PredictVolume")</f>
        <v>225</v>
      </c>
      <c r="AK1411" s="399">
        <f>IFERROR(VLOOKUP($G1411,基本資料!$A:$M,13,0),"無")</f>
        <v>11.37</v>
      </c>
    </row>
    <row r="1412" spans="1:37">
      <c r="A1412" s="347">
        <f>IFERROR(VLOOKUP($G1412,基本資料!$A:$J,3,0),"無")</f>
        <v>294</v>
      </c>
      <c r="B1412" s="79">
        <f>IFERROR(VLOOKUP($G1412,基本資料!$A:$J,4,0),"無")</f>
        <v>323</v>
      </c>
      <c r="C1412" s="79">
        <f>IFERROR(VLOOKUP($G1412,基本資料!$A:$J,5,0),"無")</f>
        <v>217</v>
      </c>
      <c r="D1412" s="79">
        <f>IFERROR(VLOOKUP($G1412,基本資料!$A:$J,6,0),"無")</f>
        <v>21</v>
      </c>
      <c r="E1412" s="79">
        <f>IFERROR(VLOOKUP($G1412,基本資料!$A:$J,7,0),"無")</f>
        <v>-10</v>
      </c>
      <c r="F1412" s="6">
        <f>IFERROR(VLOOKUP($G1412,基本資料!$A:$J,8,0),"無")</f>
        <v>1.03</v>
      </c>
      <c r="G1412" s="79">
        <v>9904</v>
      </c>
      <c r="H1412" s="8" t="s">
        <v>1960</v>
      </c>
      <c r="I1412" s="22" t="s">
        <v>268</v>
      </c>
      <c r="J1412" s="8">
        <f>IFERROR(VLOOKUP($G1412,今日總結!$A:$AJ,35,0),"")</f>
        <v>0</v>
      </c>
      <c r="K1412" s="5" t="str">
        <f>IFERROR(VLOOKUP($G1412,今日總結!$A:$AJ,36,0),"")</f>
        <v>融自</v>
      </c>
      <c r="L1412" s="156">
        <f>IFERROR(VLOOKUP($G1412,今日總結!$A:$AJ,33,0),"")</f>
        <v>0</v>
      </c>
      <c r="M1412" s="340">
        <f>IFERROR(VLOOKUP($G1412,今日總結!$A:$AJ,34,0),"")</f>
        <v>2</v>
      </c>
      <c r="N1412" s="240">
        <f t="shared" si="263"/>
        <v>-2</v>
      </c>
      <c r="P1412" s="365">
        <f>IFERROR(VLOOKUP($G1412,融外自投!$A:$J,7,0),"無")</f>
        <v>1193</v>
      </c>
      <c r="Q1412" s="79">
        <f>IFERROR(VLOOKUP($G1412,融外自投!$A:$J,9,0),"無")</f>
        <v>233</v>
      </c>
      <c r="R1412" s="346">
        <f>IFERROR(VLOOKUP($G1412,融外自投!$A:$J,8,0),"無")</f>
        <v>73</v>
      </c>
      <c r="S1412" s="81">
        <f>IFERROR(VLOOKUP($G1412,融外自投!$A:$J,10,0),"無")</f>
        <v>201</v>
      </c>
      <c r="T1412" s="327">
        <f>IFERROR(VLOOKUP($G1412,'321買'!$A:$E,5,0),"'沒有資料'")</f>
        <v>271</v>
      </c>
      <c r="U1412" s="186">
        <f>IFERROR(VLOOKUP($G1412,基本資料!$A:$J,9,0),"無")</f>
        <v>1.5</v>
      </c>
      <c r="V1412" s="310">
        <f t="shared" si="262"/>
        <v>5.0847457627118647E-2</v>
      </c>
      <c r="W1412" s="94">
        <f>IFERROR(VLOOKUP($G1412,基本資料!$A:$J,10,0),"無")</f>
        <v>4.9000000000000004</v>
      </c>
      <c r="X1412" s="36">
        <f>RTD("money.excel",,"9904","Price")</f>
        <v>29.5</v>
      </c>
      <c r="Y1412" s="66"/>
      <c r="Z1412" s="15">
        <f t="shared" si="264"/>
        <v>29.5</v>
      </c>
      <c r="AA1412" s="3" t="e">
        <f t="shared" si="265"/>
        <v>#DIV/0!</v>
      </c>
      <c r="AB1412" s="344">
        <f>IFERROR(VLOOKUP($G1412,基本資料!$A:$M,11,0),"無")</f>
        <v>-25.93</v>
      </c>
      <c r="AC1412" s="397">
        <f>IFERROR(VLOOKUP($G1412,基本資料!$A:$M,12,0),"無")</f>
        <v>31.87</v>
      </c>
      <c r="AD1412" s="22" t="s">
        <v>268</v>
      </c>
      <c r="AG1412" s="33">
        <f t="shared" si="266"/>
        <v>0</v>
      </c>
      <c r="AH1412" s="117" t="s">
        <v>1420</v>
      </c>
      <c r="AI1412" s="63">
        <f t="shared" si="267"/>
        <v>2.663605442176871E-3</v>
      </c>
      <c r="AJ1412" s="284">
        <f>RTD("money.excel",,$G1412,"PredictVolume")</f>
        <v>7831</v>
      </c>
      <c r="AK1412" s="399">
        <f>IFERROR(VLOOKUP($G1412,基本資料!$A:$M,13,0),"無")</f>
        <v>1.1000000000000001</v>
      </c>
    </row>
    <row r="1413" spans="1:37">
      <c r="A1413" s="347">
        <f>IFERROR(VLOOKUP($G1413,基本資料!$A:$J,3,0),"無")</f>
        <v>30.5</v>
      </c>
      <c r="B1413" s="79">
        <f>IFERROR(VLOOKUP($G1413,基本資料!$A:$J,4,0),"無")</f>
        <v>7</v>
      </c>
      <c r="C1413" s="79">
        <f>IFERROR(VLOOKUP($G1413,基本資料!$A:$J,5,0),"無")</f>
        <v>11</v>
      </c>
      <c r="D1413" s="79">
        <f>IFERROR(VLOOKUP($G1413,基本資料!$A:$J,6,0),"無")</f>
        <v>22</v>
      </c>
      <c r="E1413" s="79">
        <f>IFERROR(VLOOKUP($G1413,基本資料!$A:$J,7,0),"無")</f>
        <v>-3</v>
      </c>
      <c r="F1413" s="6">
        <f>IFERROR(VLOOKUP($G1413,基本資料!$A:$J,8,0),"無")</f>
        <v>8.1199999999999992</v>
      </c>
      <c r="G1413" s="79">
        <v>9905</v>
      </c>
      <c r="H1413" s="8" t="s">
        <v>1960</v>
      </c>
      <c r="I1413" s="22" t="s">
        <v>696</v>
      </c>
      <c r="J1413" s="8">
        <f>IFERROR(VLOOKUP($G1413,今日總結!$A:$AJ,35,0),"")</f>
        <v>0</v>
      </c>
      <c r="K1413" s="5" t="str">
        <f>IFERROR(VLOOKUP($G1413,今日總結!$A:$AJ,36,0),"")</f>
        <v>外</v>
      </c>
      <c r="L1413" s="156">
        <f>IFERROR(VLOOKUP($G1413,今日總結!$A:$AJ,33,0),"")</f>
        <v>0</v>
      </c>
      <c r="M1413" s="340">
        <f>IFERROR(VLOOKUP($G1413,今日總結!$A:$AJ,34,0),"")</f>
        <v>1</v>
      </c>
      <c r="N1413" s="240">
        <f t="shared" si="263"/>
        <v>-1</v>
      </c>
      <c r="P1413" s="365">
        <f>IFERROR(VLOOKUP($G1413,融外自投!$A:$J,7,0),"無")</f>
        <v>1448</v>
      </c>
      <c r="Q1413" s="79">
        <f>IFERROR(VLOOKUP($G1413,融外自投!$A:$J,9,0),"無")</f>
        <v>1110</v>
      </c>
      <c r="R1413" s="346">
        <f>IFERROR(VLOOKUP($G1413,融外自投!$A:$J,8,0),"無")</f>
        <v>931</v>
      </c>
      <c r="S1413" s="81">
        <f>IFERROR(VLOOKUP($G1413,融外自投!$A:$J,10,0),"無")</f>
        <v>416</v>
      </c>
      <c r="T1413" s="327">
        <f>IFERROR(VLOOKUP($G1413,'321買'!$A:$E,5,0),"'沒有資料'")</f>
        <v>1214</v>
      </c>
      <c r="U1413" s="186">
        <f>IFERROR(VLOOKUP($G1413,基本資料!$A:$J,9,0),"無")</f>
        <v>1.5</v>
      </c>
      <c r="V1413" s="310">
        <f t="shared" si="262"/>
        <v>5.7692307692307696E-2</v>
      </c>
      <c r="W1413" s="94">
        <f>IFERROR(VLOOKUP($G1413,基本資料!$A:$J,10,0),"無")</f>
        <v>1.97</v>
      </c>
      <c r="X1413" s="36">
        <f>RTD("money.excel",,"9905","Price")</f>
        <v>26</v>
      </c>
      <c r="Y1413" s="66"/>
      <c r="Z1413" s="15">
        <f t="shared" si="264"/>
        <v>26</v>
      </c>
      <c r="AA1413" s="3" t="e">
        <f t="shared" si="265"/>
        <v>#DIV/0!</v>
      </c>
      <c r="AB1413" s="344">
        <f>IFERROR(VLOOKUP($G1413,基本資料!$A:$M,11,0),"無")</f>
        <v>-16.190000000000001</v>
      </c>
      <c r="AC1413" s="397">
        <f>IFERROR(VLOOKUP($G1413,基本資料!$A:$M,12,0),"無")</f>
        <v>26.8</v>
      </c>
      <c r="AD1413" s="22" t="s">
        <v>696</v>
      </c>
      <c r="AG1413" s="33">
        <f t="shared" si="266"/>
        <v>0</v>
      </c>
      <c r="AH1413" s="43" t="s">
        <v>2838</v>
      </c>
      <c r="AI1413" s="63">
        <f t="shared" si="267"/>
        <v>3.2131147540983608E-4</v>
      </c>
      <c r="AJ1413" s="284">
        <f>RTD("money.excel",,$G1413,"PredictVolume")</f>
        <v>98</v>
      </c>
      <c r="AK1413" s="399">
        <f>IFERROR(VLOOKUP($G1413,基本資料!$A:$M,13,0),"無")</f>
        <v>1.26</v>
      </c>
    </row>
    <row r="1414" spans="1:37">
      <c r="A1414" s="347">
        <f>IFERROR(VLOOKUP($G1414,基本資料!$A:$J,3,0),"無")</f>
        <v>157</v>
      </c>
      <c r="B1414" s="79">
        <f>IFERROR(VLOOKUP($G1414,基本資料!$A:$J,4,0),"無")</f>
        <v>102</v>
      </c>
      <c r="C1414" s="79">
        <f>IFERROR(VLOOKUP($G1414,基本資料!$A:$J,5,0),"無")</f>
        <v>97</v>
      </c>
      <c r="D1414" s="79">
        <f>IFERROR(VLOOKUP($G1414,基本資料!$A:$J,6,0),"無")</f>
        <v>19</v>
      </c>
      <c r="E1414" s="79">
        <f>IFERROR(VLOOKUP($G1414,基本資料!$A:$J,7,0),"無")</f>
        <v>17</v>
      </c>
      <c r="F1414" s="6">
        <f>IFERROR(VLOOKUP($G1414,基本資料!$A:$J,8,0),"無")</f>
        <v>5.62</v>
      </c>
      <c r="G1414" s="79">
        <v>9907</v>
      </c>
      <c r="H1414" s="17" t="s">
        <v>1960</v>
      </c>
      <c r="I1414" s="153" t="s">
        <v>65</v>
      </c>
      <c r="J1414" s="8" t="str">
        <f>IFERROR(VLOOKUP($G1414,今日總結!$A:$AJ,35,0),"")</f>
        <v>借</v>
      </c>
      <c r="K1414" s="5" t="str">
        <f>IFERROR(VLOOKUP($G1414,今日總結!$A:$AJ,36,0),"")</f>
        <v>外</v>
      </c>
      <c r="L1414" s="156">
        <f>IFERROR(VLOOKUP($G1414,今日總結!$A:$AJ,33,0),"")</f>
        <v>1</v>
      </c>
      <c r="M1414" s="340">
        <f>IFERROR(VLOOKUP($G1414,今日總結!$A:$AJ,34,0),"")</f>
        <v>1</v>
      </c>
      <c r="N1414" s="240">
        <f t="shared" si="263"/>
        <v>0</v>
      </c>
      <c r="P1414" s="365">
        <f>IFERROR(VLOOKUP($G1414,融外自投!$A:$J,7,0),"無")</f>
        <v>1123</v>
      </c>
      <c r="Q1414" s="79">
        <f>IFERROR(VLOOKUP($G1414,融外自投!$A:$J,9,0),"無")</f>
        <v>936</v>
      </c>
      <c r="R1414" s="346">
        <f>IFERROR(VLOOKUP($G1414,融外自投!$A:$J,8,0),"無")</f>
        <v>327</v>
      </c>
      <c r="S1414" s="81">
        <f>IFERROR(VLOOKUP($G1414,融外自投!$A:$J,10,0),"無")</f>
        <v>401</v>
      </c>
      <c r="T1414" s="327">
        <f>IFERROR(VLOOKUP($G1414,'321買'!$A:$E,5,0),"'沒有資料'")</f>
        <v>515</v>
      </c>
      <c r="U1414" s="186">
        <f>IFERROR(VLOOKUP($G1414,基本資料!$A:$J,9,0),"無")</f>
        <v>1</v>
      </c>
      <c r="V1414" s="310">
        <f t="shared" si="262"/>
        <v>6.269592476489029E-2</v>
      </c>
      <c r="W1414" s="94">
        <f>IFERROR(VLOOKUP($G1414,基本資料!$A:$J,10,0),"無")</f>
        <v>1.17</v>
      </c>
      <c r="X1414" s="36">
        <f>RTD("money.excel",,"9907","Price")</f>
        <v>15.95</v>
      </c>
      <c r="Y1414" s="66"/>
      <c r="Z1414" s="15">
        <f t="shared" si="264"/>
        <v>15.95</v>
      </c>
      <c r="AA1414" s="3" t="e">
        <f t="shared" si="265"/>
        <v>#DIV/0!</v>
      </c>
      <c r="AB1414" s="344">
        <f>IFERROR(VLOOKUP($G1414,基本資料!$A:$M,11,0),"無")</f>
        <v>-16.62</v>
      </c>
      <c r="AC1414" s="397">
        <f>IFERROR(VLOOKUP($G1414,基本資料!$A:$M,12,0),"無")</f>
        <v>36.369999999999997</v>
      </c>
      <c r="AD1414" s="22" t="s">
        <v>65</v>
      </c>
      <c r="AG1414" s="33">
        <f t="shared" si="266"/>
        <v>0</v>
      </c>
      <c r="AH1414" s="117" t="s">
        <v>2839</v>
      </c>
      <c r="AI1414" s="63">
        <f t="shared" si="267"/>
        <v>4.885350318471338E-3</v>
      </c>
      <c r="AJ1414" s="284">
        <f>RTD("money.excel",,$G1414,"PredictVolume")</f>
        <v>7670</v>
      </c>
      <c r="AK1414" s="399">
        <f>IFERROR(VLOOKUP($G1414,基本資料!$A:$M,13,0),"無")</f>
        <v>2.92</v>
      </c>
    </row>
    <row r="1415" spans="1:37">
      <c r="A1415" s="347">
        <f>IFERROR(VLOOKUP($G1415,基本資料!$A:$J,3,0),"無")</f>
        <v>88.16</v>
      </c>
      <c r="B1415" s="79">
        <f>IFERROR(VLOOKUP($G1415,基本資料!$A:$J,4,0),"無")</f>
        <v>-7</v>
      </c>
      <c r="C1415" s="79">
        <f>IFERROR(VLOOKUP($G1415,基本資料!$A:$J,5,0),"無")</f>
        <v>-9</v>
      </c>
      <c r="D1415" s="79">
        <f>IFERROR(VLOOKUP($G1415,基本資料!$A:$J,6,0),"無")</f>
        <v>-3</v>
      </c>
      <c r="E1415" s="79">
        <f>IFERROR(VLOOKUP($G1415,基本資料!$A:$J,7,0),"無")</f>
        <v>19</v>
      </c>
      <c r="F1415" s="6">
        <f>IFERROR(VLOOKUP($G1415,基本資料!$A:$J,8,0),"無")</f>
        <v>9.06</v>
      </c>
      <c r="G1415" s="79">
        <v>9910</v>
      </c>
      <c r="H1415" s="8" t="s">
        <v>235</v>
      </c>
      <c r="I1415" s="22" t="s">
        <v>4614</v>
      </c>
      <c r="J1415" s="8" t="str">
        <f>IFERROR(VLOOKUP($G1415,今日總結!$A:$AJ,35,0),"")</f>
        <v/>
      </c>
      <c r="K1415" s="5" t="str">
        <f>IFERROR(VLOOKUP($G1415,今日總結!$A:$AJ,36,0),"")</f>
        <v/>
      </c>
      <c r="L1415" s="156" t="str">
        <f>IFERROR(VLOOKUP($G1415,今日總結!$A:$AJ,33,0),"")</f>
        <v/>
      </c>
      <c r="M1415" s="340" t="str">
        <f>IFERROR(VLOOKUP($G1415,今日總結!$A:$AJ,34,0),"")</f>
        <v/>
      </c>
      <c r="N1415" s="240" t="str">
        <f t="shared" si="263"/>
        <v/>
      </c>
      <c r="P1415" s="365">
        <f>IFERROR(VLOOKUP($G1415,融外自投!$A:$J,7,0),"無")</f>
        <v>1424</v>
      </c>
      <c r="Q1415" s="79">
        <f>IFERROR(VLOOKUP($G1415,融外自投!$A:$J,9,0),"無")</f>
        <v>762</v>
      </c>
      <c r="R1415" s="346">
        <f>IFERROR(VLOOKUP($G1415,融外自投!$A:$J,8,0),"無")</f>
        <v>306</v>
      </c>
      <c r="S1415" s="81">
        <f>IFERROR(VLOOKUP($G1415,融外自投!$A:$J,10,0),"無")</f>
        <v>201</v>
      </c>
      <c r="T1415" s="327">
        <f>IFERROR(VLOOKUP($G1415,'321買'!$A:$E,5,0),"'沒有資料'")</f>
        <v>207</v>
      </c>
      <c r="U1415" s="186">
        <f>IFERROR(VLOOKUP($G1415,基本資料!$A:$J,9,0),"無")</f>
        <v>4.0999999999999996</v>
      </c>
      <c r="V1415" s="310">
        <f t="shared" si="262"/>
        <v>2.3837209302325579E-2</v>
      </c>
      <c r="W1415" s="94">
        <f>IFERROR(VLOOKUP($G1415,基本資料!$A:$J,10,0),"無")</f>
        <v>5.15</v>
      </c>
      <c r="X1415" s="36">
        <f>RTD("money.excel",,"9910","Price")</f>
        <v>172</v>
      </c>
      <c r="Y1415" s="66"/>
      <c r="Z1415" s="15">
        <f t="shared" si="264"/>
        <v>172</v>
      </c>
      <c r="AA1415" s="3" t="e">
        <f t="shared" si="265"/>
        <v>#DIV/0!</v>
      </c>
      <c r="AB1415" s="344">
        <f>IFERROR(VLOOKUP($G1415,基本資料!$A:$M,11,0),"無")</f>
        <v>-31.04</v>
      </c>
      <c r="AC1415" s="397">
        <f>IFERROR(VLOOKUP($G1415,基本資料!$A:$M,12,0),"無")</f>
        <v>24.69</v>
      </c>
      <c r="AD1415" s="22" t="s">
        <v>4614</v>
      </c>
      <c r="AG1415" s="33">
        <f t="shared" si="266"/>
        <v>0</v>
      </c>
      <c r="AH1415" s="117" t="s">
        <v>1420</v>
      </c>
      <c r="AI1415" s="63">
        <f t="shared" si="267"/>
        <v>1.0560344827586206E-3</v>
      </c>
      <c r="AJ1415" s="284">
        <f>RTD("money.excel",,$G1415,"PredictVolume")</f>
        <v>931</v>
      </c>
      <c r="AK1415" s="399">
        <f>IFERROR(VLOOKUP($G1415,基本資料!$A:$M,13,0),"無")</f>
        <v>0.63</v>
      </c>
    </row>
    <row r="1416" spans="1:37">
      <c r="A1416" s="347">
        <f>IFERROR(VLOOKUP($G1416,基本資料!$A:$J,3,0),"無")</f>
        <v>22.11</v>
      </c>
      <c r="B1416" s="79">
        <f>IFERROR(VLOOKUP($G1416,基本資料!$A:$J,4,0),"無")</f>
        <v>12</v>
      </c>
      <c r="C1416" s="79">
        <f>IFERROR(VLOOKUP($G1416,基本資料!$A:$J,5,0),"無")</f>
        <v>8</v>
      </c>
      <c r="D1416" s="79">
        <f>IFERROR(VLOOKUP($G1416,基本資料!$A:$J,6,0),"無")</f>
        <v>-7</v>
      </c>
      <c r="E1416" s="79">
        <f>IFERROR(VLOOKUP($G1416,基本資料!$A:$J,7,0),"無")</f>
        <v>15</v>
      </c>
      <c r="F1416" s="6">
        <f>IFERROR(VLOOKUP($G1416,基本資料!$A:$J,8,0),"無")</f>
        <v>15.33</v>
      </c>
      <c r="G1416" s="79">
        <v>9911</v>
      </c>
      <c r="H1416" s="8" t="s">
        <v>1960</v>
      </c>
      <c r="I1416" s="22" t="s">
        <v>697</v>
      </c>
      <c r="J1416" s="8" t="str">
        <f>IFERROR(VLOOKUP($G1416,今日總結!$A:$AJ,35,0),"")</f>
        <v/>
      </c>
      <c r="K1416" s="5" t="str">
        <f>IFERROR(VLOOKUP($G1416,今日總結!$A:$AJ,36,0),"")</f>
        <v/>
      </c>
      <c r="L1416" s="156" t="str">
        <f>IFERROR(VLOOKUP($G1416,今日總結!$A:$AJ,33,0),"")</f>
        <v/>
      </c>
      <c r="M1416" s="340" t="str">
        <f>IFERROR(VLOOKUP($G1416,今日總結!$A:$AJ,34,0),"")</f>
        <v/>
      </c>
      <c r="N1416" s="240" t="str">
        <f t="shared" si="263"/>
        <v/>
      </c>
      <c r="P1416" s="365">
        <f>IFERROR(VLOOKUP($G1416,融外自投!$A:$J,7,0),"無")</f>
        <v>1205</v>
      </c>
      <c r="Q1416" s="79">
        <f>IFERROR(VLOOKUP($G1416,融外自投!$A:$J,9,0),"無")</f>
        <v>789</v>
      </c>
      <c r="R1416" s="346">
        <f>IFERROR(VLOOKUP($G1416,融外自投!$A:$J,8,0),"無")</f>
        <v>276</v>
      </c>
      <c r="S1416" s="81">
        <f>IFERROR(VLOOKUP($G1416,融外自投!$A:$J,10,0),"無")</f>
        <v>428</v>
      </c>
      <c r="T1416" s="327">
        <f>IFERROR(VLOOKUP($G1416,'321買'!$A:$E,5,0),"'沒有資料'")</f>
        <v>1310</v>
      </c>
      <c r="U1416" s="186">
        <f>IFERROR(VLOOKUP($G1416,基本資料!$A:$J,9,0),"無")</f>
        <v>0</v>
      </c>
      <c r="V1416" s="310">
        <f t="shared" si="262"/>
        <v>0</v>
      </c>
      <c r="W1416" s="94">
        <f>IFERROR(VLOOKUP($G1416,基本資料!$A:$J,10,0),"無")</f>
        <v>4.62</v>
      </c>
      <c r="X1416" s="36">
        <f>RTD("money.excel",,"9911","Price")</f>
        <v>62.5</v>
      </c>
      <c r="Y1416" s="66"/>
      <c r="Z1416" s="15">
        <f t="shared" si="264"/>
        <v>62.5</v>
      </c>
      <c r="AA1416" s="3" t="e">
        <f t="shared" si="265"/>
        <v>#DIV/0!</v>
      </c>
      <c r="AB1416" s="344">
        <f>IFERROR(VLOOKUP($G1416,基本資料!$A:$M,11,0),"無")</f>
        <v>-14.8</v>
      </c>
      <c r="AC1416" s="397">
        <f>IFERROR(VLOOKUP($G1416,基本資料!$A:$M,12,0),"無")</f>
        <v>32.229999999999997</v>
      </c>
      <c r="AD1416" s="22" t="s">
        <v>697</v>
      </c>
      <c r="AG1416" s="33">
        <f t="shared" si="266"/>
        <v>0</v>
      </c>
      <c r="AH1416" s="43" t="s">
        <v>2840</v>
      </c>
      <c r="AI1416" s="63">
        <f t="shared" si="267"/>
        <v>8.2315694255992759E-4</v>
      </c>
      <c r="AJ1416" s="284">
        <f>RTD("money.excel",,$G1416,"PredictVolume")</f>
        <v>182</v>
      </c>
      <c r="AK1416" s="399">
        <f>IFERROR(VLOOKUP($G1416,基本資料!$A:$M,13,0),"無")</f>
        <v>0.64</v>
      </c>
    </row>
    <row r="1417" spans="1:37">
      <c r="A1417" s="347">
        <f>IFERROR(VLOOKUP($G1417,基本資料!$A:$J,3,0),"無")</f>
        <v>29.89</v>
      </c>
      <c r="B1417" s="79">
        <f>IFERROR(VLOOKUP($G1417,基本資料!$A:$J,4,0),"無")</f>
        <v>16</v>
      </c>
      <c r="C1417" s="79">
        <f>IFERROR(VLOOKUP($G1417,基本資料!$A:$J,5,0),"無")</f>
        <v>-15</v>
      </c>
      <c r="D1417" s="79">
        <f>IFERROR(VLOOKUP($G1417,基本資料!$A:$J,6,0),"無")</f>
        <v>45</v>
      </c>
      <c r="E1417" s="79">
        <f>IFERROR(VLOOKUP($G1417,基本資料!$A:$J,7,0),"無")</f>
        <v>4</v>
      </c>
      <c r="F1417" s="6">
        <f>IFERROR(VLOOKUP($G1417,基本資料!$A:$J,8,0),"無")</f>
        <v>5.41</v>
      </c>
      <c r="G1417" s="79">
        <v>9914</v>
      </c>
      <c r="H1417" s="8" t="s">
        <v>1960</v>
      </c>
      <c r="I1417" s="22" t="s">
        <v>31</v>
      </c>
      <c r="J1417" s="8" t="str">
        <f>IFERROR(VLOOKUP($G1417,今日總結!$A:$AJ,35,0),"")</f>
        <v/>
      </c>
      <c r="K1417" s="5" t="str">
        <f>IFERROR(VLOOKUP($G1417,今日總結!$A:$AJ,36,0),"")</f>
        <v/>
      </c>
      <c r="L1417" s="156" t="str">
        <f>IFERROR(VLOOKUP($G1417,今日總結!$A:$AJ,33,0),"")</f>
        <v/>
      </c>
      <c r="M1417" s="340" t="str">
        <f>IFERROR(VLOOKUP($G1417,今日總結!$A:$AJ,34,0),"")</f>
        <v/>
      </c>
      <c r="N1417" s="240" t="str">
        <f t="shared" si="263"/>
        <v/>
      </c>
      <c r="P1417" s="365">
        <f>IFERROR(VLOOKUP($G1417,融外自投!$A:$J,7,0),"無")</f>
        <v>1328</v>
      </c>
      <c r="Q1417" s="79">
        <f>IFERROR(VLOOKUP($G1417,融外自投!$A:$J,9,0),"無")</f>
        <v>507</v>
      </c>
      <c r="R1417" s="346">
        <f>IFERROR(VLOOKUP($G1417,融外自投!$A:$J,8,0),"無")</f>
        <v>112</v>
      </c>
      <c r="S1417" s="81">
        <f>IFERROR(VLOOKUP($G1417,融外自投!$A:$J,10,0),"無")</f>
        <v>128</v>
      </c>
      <c r="T1417" s="327">
        <f>IFERROR(VLOOKUP($G1417,'321買'!$A:$E,5,0),"'沒有資料'")</f>
        <v>536</v>
      </c>
      <c r="U1417" s="186">
        <f>IFERROR(VLOOKUP($G1417,基本資料!$A:$J,9,0),"無")</f>
        <v>8</v>
      </c>
      <c r="V1417" s="310">
        <f t="shared" si="262"/>
        <v>3.4408602150537634E-2</v>
      </c>
      <c r="W1417" s="94">
        <f>IFERROR(VLOOKUP($G1417,基本資料!$A:$J,10,0),"無")</f>
        <v>15.55</v>
      </c>
      <c r="X1417" s="36">
        <f>RTD("money.excel",,"9914","Price")</f>
        <v>232.5</v>
      </c>
      <c r="Y1417" s="66"/>
      <c r="Z1417" s="15">
        <f t="shared" si="264"/>
        <v>232.5</v>
      </c>
      <c r="AA1417" s="3" t="e">
        <f t="shared" si="265"/>
        <v>#DIV/0!</v>
      </c>
      <c r="AB1417" s="344">
        <f>IFERROR(VLOOKUP($G1417,基本資料!$A:$M,11,0),"無")</f>
        <v>-33.619999999999997</v>
      </c>
      <c r="AC1417" s="397">
        <f>IFERROR(VLOOKUP($G1417,基本資料!$A:$M,12,0),"無")</f>
        <v>26.8</v>
      </c>
      <c r="AD1417" s="22" t="s">
        <v>31</v>
      </c>
      <c r="AG1417" s="33">
        <f t="shared" si="266"/>
        <v>0</v>
      </c>
      <c r="AH1417" s="117" t="s">
        <v>2372</v>
      </c>
      <c r="AI1417" s="63">
        <f t="shared" si="267"/>
        <v>2.6764804282368685E-3</v>
      </c>
      <c r="AJ1417" s="284">
        <f>RTD("money.excel",,$G1417,"PredictVolume")</f>
        <v>800</v>
      </c>
      <c r="AK1417" s="399">
        <f>IFERROR(VLOOKUP($G1417,基本資料!$A:$M,13,0),"無")</f>
        <v>1.55</v>
      </c>
    </row>
    <row r="1418" spans="1:37">
      <c r="A1418" s="347">
        <f>IFERROR(VLOOKUP($G1418,基本資料!$A:$J,3,0),"無")</f>
        <v>45.11</v>
      </c>
      <c r="B1418" s="79">
        <f>IFERROR(VLOOKUP($G1418,基本資料!$A:$J,4,0),"無")</f>
        <v>5</v>
      </c>
      <c r="C1418" s="79">
        <f>IFERROR(VLOOKUP($G1418,基本資料!$A:$J,5,0),"無")</f>
        <v>0</v>
      </c>
      <c r="D1418" s="79">
        <f>IFERROR(VLOOKUP($G1418,基本資料!$A:$J,6,0),"無")</f>
        <v>4</v>
      </c>
      <c r="E1418" s="79">
        <f>IFERROR(VLOOKUP($G1418,基本資料!$A:$J,7,0),"無")</f>
        <v>3</v>
      </c>
      <c r="F1418" s="6">
        <f>IFERROR(VLOOKUP($G1418,基本資料!$A:$J,8,0),"無")</f>
        <v>18.86</v>
      </c>
      <c r="G1418" s="79">
        <v>9917</v>
      </c>
      <c r="H1418" s="8" t="s">
        <v>1960</v>
      </c>
      <c r="I1418" s="22" t="s">
        <v>1732</v>
      </c>
      <c r="J1418" s="8" t="str">
        <f>IFERROR(VLOOKUP($G1418,今日總結!$A:$AJ,35,0),"")</f>
        <v/>
      </c>
      <c r="K1418" s="5" t="str">
        <f>IFERROR(VLOOKUP($G1418,今日總結!$A:$AJ,36,0),"")</f>
        <v/>
      </c>
      <c r="L1418" s="156" t="str">
        <f>IFERROR(VLOOKUP($G1418,今日總結!$A:$AJ,33,0),"")</f>
        <v/>
      </c>
      <c r="M1418" s="340" t="str">
        <f>IFERROR(VLOOKUP($G1418,今日總結!$A:$AJ,34,0),"")</f>
        <v/>
      </c>
      <c r="N1418" s="240" t="str">
        <f t="shared" si="263"/>
        <v/>
      </c>
      <c r="P1418" s="365">
        <f>IFERROR(VLOOKUP($G1418,融外自投!$A:$J,7,0),"無")</f>
        <v>1466</v>
      </c>
      <c r="Q1418" s="79">
        <f>IFERROR(VLOOKUP($G1418,融外自投!$A:$J,9,0),"無")</f>
        <v>598</v>
      </c>
      <c r="R1418" s="346">
        <f>IFERROR(VLOOKUP($G1418,融外自投!$A:$J,8,0),"無")</f>
        <v>116</v>
      </c>
      <c r="S1418" s="81">
        <f>IFERROR(VLOOKUP($G1418,融外自投!$A:$J,10,0),"無")</f>
        <v>262</v>
      </c>
      <c r="T1418" s="327">
        <f>IFERROR(VLOOKUP($G1418,'321買'!$A:$E,5,0),"'沒有資料'")</f>
        <v>463</v>
      </c>
      <c r="U1418" s="186">
        <f>IFERROR(VLOOKUP($G1418,基本資料!$A:$J,9,0),"無")</f>
        <v>5</v>
      </c>
      <c r="V1418" s="310">
        <f t="shared" si="262"/>
        <v>4.6296296296296294E-2</v>
      </c>
      <c r="W1418" s="94">
        <f>IFERROR(VLOOKUP($G1418,基本資料!$A:$J,10,0),"無")</f>
        <v>5.73</v>
      </c>
      <c r="X1418" s="36">
        <f>RTD("money.excel",,"9917","Price")</f>
        <v>108</v>
      </c>
      <c r="Y1418" s="66"/>
      <c r="Z1418" s="15">
        <f t="shared" si="264"/>
        <v>108</v>
      </c>
      <c r="AA1418" s="3" t="e">
        <f t="shared" si="265"/>
        <v>#DIV/0!</v>
      </c>
      <c r="AB1418" s="344">
        <f>IFERROR(VLOOKUP($G1418,基本資料!$A:$M,11,0),"無")</f>
        <v>-7.42</v>
      </c>
      <c r="AC1418" s="397">
        <f>IFERROR(VLOOKUP($G1418,基本資料!$A:$M,12,0),"無")</f>
        <v>55.28</v>
      </c>
      <c r="AD1418" s="22" t="s">
        <v>1732</v>
      </c>
      <c r="AG1418" s="33">
        <f t="shared" si="266"/>
        <v>0</v>
      </c>
      <c r="AH1418" s="117" t="s">
        <v>2841</v>
      </c>
      <c r="AI1418" s="63">
        <f t="shared" si="267"/>
        <v>3.3917091553979162E-4</v>
      </c>
      <c r="AJ1418" s="284">
        <f>RTD("money.excel",,$G1418,"PredictVolume")</f>
        <v>153</v>
      </c>
      <c r="AK1418" s="399">
        <f>IFERROR(VLOOKUP($G1418,基本資料!$A:$M,13,0),"無")</f>
        <v>0.28999999999999998</v>
      </c>
    </row>
    <row r="1419" spans="1:37">
      <c r="A1419" s="347">
        <f>IFERROR(VLOOKUP($G1419,基本資料!$A:$J,3,0),"無")</f>
        <v>19.53</v>
      </c>
      <c r="B1419" s="79">
        <f>IFERROR(VLOOKUP($G1419,基本資料!$A:$J,4,0),"無")</f>
        <v>-88</v>
      </c>
      <c r="C1419" s="79">
        <f>IFERROR(VLOOKUP($G1419,基本資料!$A:$J,5,0),"無")</f>
        <v>-81</v>
      </c>
      <c r="D1419" s="79">
        <f>IFERROR(VLOOKUP($G1419,基本資料!$A:$J,6,0),"無")</f>
        <v>16</v>
      </c>
      <c r="E1419" s="79">
        <f>IFERROR(VLOOKUP($G1419,基本資料!$A:$J,7,0),"無")</f>
        <v>-6</v>
      </c>
      <c r="F1419" s="6">
        <f>IFERROR(VLOOKUP($G1419,基本資料!$A:$J,8,0),"無")</f>
        <v>3.83</v>
      </c>
      <c r="G1419" s="79">
        <v>9919</v>
      </c>
      <c r="H1419" s="8" t="s">
        <v>1960</v>
      </c>
      <c r="I1419" s="22" t="s">
        <v>698</v>
      </c>
      <c r="J1419" s="8" t="str">
        <f>IFERROR(VLOOKUP($G1419,今日總結!$A:$AJ,35,0),"")</f>
        <v>主</v>
      </c>
      <c r="K1419" s="5">
        <f>IFERROR(VLOOKUP($G1419,今日總結!$A:$AJ,36,0),"")</f>
        <v>0</v>
      </c>
      <c r="L1419" s="156">
        <f>IFERROR(VLOOKUP($G1419,今日總結!$A:$AJ,33,0),"")</f>
        <v>1</v>
      </c>
      <c r="M1419" s="340">
        <f>IFERROR(VLOOKUP($G1419,今日總結!$A:$AJ,34,0),"")</f>
        <v>0</v>
      </c>
      <c r="N1419" s="240">
        <f t="shared" si="263"/>
        <v>1</v>
      </c>
      <c r="P1419" s="365">
        <f>IFERROR(VLOOKUP($G1419,融外自投!$A:$J,7,0),"無")</f>
        <v>463</v>
      </c>
      <c r="Q1419" s="79">
        <f>IFERROR(VLOOKUP($G1419,融外自投!$A:$J,9,0),"無")</f>
        <v>122</v>
      </c>
      <c r="R1419" s="346">
        <f>IFERROR(VLOOKUP($G1419,融外自投!$A:$J,8,0),"無")</f>
        <v>930</v>
      </c>
      <c r="S1419" s="81">
        <f>IFERROR(VLOOKUP($G1419,融外自投!$A:$J,10,0),"無")</f>
        <v>458</v>
      </c>
      <c r="T1419" s="327">
        <f>IFERROR(VLOOKUP($G1419,'321買'!$A:$E,5,0),"'沒有資料'")</f>
        <v>255</v>
      </c>
      <c r="U1419" s="186">
        <f>IFERROR(VLOOKUP($G1419,基本資料!$A:$J,9,0),"無")</f>
        <v>0.3</v>
      </c>
      <c r="V1419" s="310">
        <f t="shared" si="262"/>
        <v>1.3888888888888888E-2</v>
      </c>
      <c r="W1419" s="94">
        <f>IFERROR(VLOOKUP($G1419,基本資料!$A:$J,10,0),"無")</f>
        <v>0.5</v>
      </c>
      <c r="X1419" s="36">
        <f>RTD("money.excel",,"9919","Price")</f>
        <v>21.6</v>
      </c>
      <c r="Y1419" s="66"/>
      <c r="Z1419" s="15">
        <f t="shared" si="264"/>
        <v>21.6</v>
      </c>
      <c r="AA1419" s="3" t="e">
        <f t="shared" si="265"/>
        <v>#DIV/0!</v>
      </c>
      <c r="AB1419" s="344">
        <f>IFERROR(VLOOKUP($G1419,基本資料!$A:$M,11,0),"無")</f>
        <v>-39.020000000000003</v>
      </c>
      <c r="AC1419" s="397">
        <f>IFERROR(VLOOKUP($G1419,基本資料!$A:$M,12,0),"無")</f>
        <v>27.7</v>
      </c>
      <c r="AD1419" s="22" t="s">
        <v>698</v>
      </c>
      <c r="AG1419" s="33">
        <f t="shared" si="266"/>
        <v>0</v>
      </c>
      <c r="AH1419" s="43" t="s">
        <v>2538</v>
      </c>
      <c r="AI1419" s="63">
        <f t="shared" si="267"/>
        <v>7.4091141833077315E-3</v>
      </c>
      <c r="AJ1419" s="284">
        <f>RTD("money.excel",,$G1419,"PredictVolume")</f>
        <v>1447</v>
      </c>
      <c r="AK1419" s="399">
        <f>IFERROR(VLOOKUP($G1419,基本資料!$A:$M,13,0),"無")</f>
        <v>62.6</v>
      </c>
    </row>
    <row r="1420" spans="1:37">
      <c r="A1420" s="347">
        <f>IFERROR(VLOOKUP($G1420,基本資料!$A:$J,3,0),"無")</f>
        <v>37.5</v>
      </c>
      <c r="B1420" s="79">
        <f>IFERROR(VLOOKUP($G1420,基本資料!$A:$J,4,0),"無")</f>
        <v>21</v>
      </c>
      <c r="C1420" s="79">
        <f>IFERROR(VLOOKUP($G1420,基本資料!$A:$J,5,0),"無")</f>
        <v>26</v>
      </c>
      <c r="D1420" s="79">
        <f>IFERROR(VLOOKUP($G1420,基本資料!$A:$J,6,0),"無")</f>
        <v>33</v>
      </c>
      <c r="E1420" s="79">
        <f>IFERROR(VLOOKUP($G1420,基本資料!$A:$J,7,0),"無")</f>
        <v>6</v>
      </c>
      <c r="F1420" s="6">
        <f>IFERROR(VLOOKUP($G1420,基本資料!$A:$J,8,0),"無")</f>
        <v>10.64</v>
      </c>
      <c r="G1420" s="79">
        <v>9921</v>
      </c>
      <c r="H1420" s="8" t="s">
        <v>1960</v>
      </c>
      <c r="I1420" s="22" t="s">
        <v>4615</v>
      </c>
      <c r="J1420" s="8" t="str">
        <f>IFERROR(VLOOKUP($G1420,今日總結!$A:$AJ,35,0),"")</f>
        <v/>
      </c>
      <c r="K1420" s="5" t="str">
        <f>IFERROR(VLOOKUP($G1420,今日總結!$A:$AJ,36,0),"")</f>
        <v/>
      </c>
      <c r="L1420" s="156" t="str">
        <f>IFERROR(VLOOKUP($G1420,今日總結!$A:$AJ,33,0),"")</f>
        <v/>
      </c>
      <c r="M1420" s="340" t="str">
        <f>IFERROR(VLOOKUP($G1420,今日總結!$A:$AJ,34,0),"")</f>
        <v/>
      </c>
      <c r="N1420" s="240" t="str">
        <f t="shared" si="263"/>
        <v/>
      </c>
      <c r="P1420" s="365">
        <f>IFERROR(VLOOKUP($G1420,融外自投!$A:$J,7,0),"無")</f>
        <v>1341</v>
      </c>
      <c r="Q1420" s="79">
        <f>IFERROR(VLOOKUP($G1420,融外自投!$A:$J,9,0),"無")</f>
        <v>852</v>
      </c>
      <c r="R1420" s="346">
        <f>IFERROR(VLOOKUP($G1420,融外自投!$A:$J,8,0),"無")</f>
        <v>70</v>
      </c>
      <c r="S1420" s="81">
        <f>IFERROR(VLOOKUP($G1420,融外自投!$A:$J,10,0),"無")</f>
        <v>374</v>
      </c>
      <c r="T1420" s="327">
        <f>IFERROR(VLOOKUP($G1420,'321買'!$A:$E,5,0),"'沒有資料'")</f>
        <v>515</v>
      </c>
      <c r="U1420" s="186">
        <f>IFERROR(VLOOKUP($G1420,基本資料!$A:$J,9,0),"無")</f>
        <v>10</v>
      </c>
      <c r="V1420" s="310">
        <f t="shared" si="262"/>
        <v>4.3956043956043959E-2</v>
      </c>
      <c r="W1420" s="94">
        <f>IFERROR(VLOOKUP($G1420,基本資料!$A:$J,10,0),"無")</f>
        <v>15.81</v>
      </c>
      <c r="X1420" s="36">
        <f>RTD("money.excel",,"9921","Price")</f>
        <v>227.5</v>
      </c>
      <c r="Y1420" s="66"/>
      <c r="Z1420" s="15">
        <f t="shared" si="264"/>
        <v>227.5</v>
      </c>
      <c r="AA1420" s="3" t="e">
        <f t="shared" si="265"/>
        <v>#DIV/0!</v>
      </c>
      <c r="AB1420" s="344">
        <f>IFERROR(VLOOKUP($G1420,基本資料!$A:$M,11,0),"無")</f>
        <v>-33.049999999999997</v>
      </c>
      <c r="AC1420" s="397">
        <f>IFERROR(VLOOKUP($G1420,基本資料!$A:$M,12,0),"無")</f>
        <v>10.16</v>
      </c>
      <c r="AD1420" s="22" t="s">
        <v>4615</v>
      </c>
      <c r="AG1420" s="33">
        <f t="shared" si="266"/>
        <v>0</v>
      </c>
      <c r="AH1420" s="117" t="s">
        <v>2372</v>
      </c>
      <c r="AI1420" s="63">
        <f t="shared" si="267"/>
        <v>6.626666666666667E-3</v>
      </c>
      <c r="AJ1420" s="284">
        <f>RTD("money.excel",,$G1420,"PredictVolume")</f>
        <v>2485</v>
      </c>
      <c r="AK1420" s="399">
        <f>IFERROR(VLOOKUP($G1420,基本資料!$A:$M,13,0),"無")</f>
        <v>0.75</v>
      </c>
    </row>
    <row r="1421" spans="1:37">
      <c r="A1421" s="347">
        <f>IFERROR(VLOOKUP($G1421,基本資料!$A:$J,3,0),"無")</f>
        <v>18.84</v>
      </c>
      <c r="B1421" s="79">
        <f>IFERROR(VLOOKUP($G1421,基本資料!$A:$J,4,0),"無")</f>
        <v>-19</v>
      </c>
      <c r="C1421" s="79">
        <f>IFERROR(VLOOKUP($G1421,基本資料!$A:$J,5,0),"無")</f>
        <v>-37</v>
      </c>
      <c r="D1421" s="79">
        <f>IFERROR(VLOOKUP($G1421,基本資料!$A:$J,6,0),"無")</f>
        <v>16</v>
      </c>
      <c r="E1421" s="79">
        <f>IFERROR(VLOOKUP($G1421,基本資料!$A:$J,7,0),"無")</f>
        <v>-17</v>
      </c>
      <c r="F1421" s="6">
        <f>IFERROR(VLOOKUP($G1421,基本資料!$A:$J,8,0),"無")</f>
        <v>7.88</v>
      </c>
      <c r="G1421" s="79">
        <v>9924</v>
      </c>
      <c r="H1421" s="8" t="s">
        <v>1960</v>
      </c>
      <c r="I1421" s="22" t="s">
        <v>699</v>
      </c>
      <c r="J1421" s="8" t="str">
        <f>IFERROR(VLOOKUP($G1421,今日總結!$A:$AJ,35,0),"")</f>
        <v/>
      </c>
      <c r="K1421" s="5" t="str">
        <f>IFERROR(VLOOKUP($G1421,今日總結!$A:$AJ,36,0),"")</f>
        <v/>
      </c>
      <c r="L1421" s="156" t="str">
        <f>IFERROR(VLOOKUP($G1421,今日總結!$A:$AJ,33,0),"")</f>
        <v/>
      </c>
      <c r="M1421" s="340" t="str">
        <f>IFERROR(VLOOKUP($G1421,今日總結!$A:$AJ,34,0),"")</f>
        <v/>
      </c>
      <c r="N1421" s="240" t="str">
        <f t="shared" si="263"/>
        <v/>
      </c>
      <c r="P1421" s="365">
        <f>IFERROR(VLOOKUP($G1421,融外自投!$A:$J,7,0),"無")</f>
        <v>1123</v>
      </c>
      <c r="Q1421" s="79">
        <f>IFERROR(VLOOKUP($G1421,融外自投!$A:$J,9,0),"無")</f>
        <v>474</v>
      </c>
      <c r="R1421" s="346">
        <f>IFERROR(VLOOKUP($G1421,融外自投!$A:$J,8,0),"無")</f>
        <v>400</v>
      </c>
      <c r="S1421" s="81">
        <f>IFERROR(VLOOKUP($G1421,融外自投!$A:$J,10,0),"無")</f>
        <v>395</v>
      </c>
      <c r="T1421" s="327">
        <f>IFERROR(VLOOKUP($G1421,'321買'!$A:$E,5,0),"'沒有資料'")</f>
        <v>357</v>
      </c>
      <c r="U1421" s="186">
        <f>IFERROR(VLOOKUP($G1421,基本資料!$A:$J,9,0),"無")</f>
        <v>2.4</v>
      </c>
      <c r="V1421" s="310">
        <f t="shared" si="262"/>
        <v>5.8823529411764705E-2</v>
      </c>
      <c r="W1421" s="94">
        <f>IFERROR(VLOOKUP($G1421,基本資料!$A:$J,10,0),"無")</f>
        <v>3.54</v>
      </c>
      <c r="X1421" s="36">
        <f>RTD("money.excel",,"9924","Price")</f>
        <v>40.799999999999997</v>
      </c>
      <c r="Y1421" s="66"/>
      <c r="Z1421" s="15">
        <f t="shared" si="264"/>
        <v>40.799999999999997</v>
      </c>
      <c r="AA1421" s="3" t="e">
        <f t="shared" si="265"/>
        <v>#DIV/0!</v>
      </c>
      <c r="AB1421" s="344">
        <f>IFERROR(VLOOKUP($G1421,基本資料!$A:$M,11,0),"無")</f>
        <v>-11.3</v>
      </c>
      <c r="AC1421" s="397">
        <f>IFERROR(VLOOKUP($G1421,基本資料!$A:$M,12,0),"無")</f>
        <v>17.989999999999998</v>
      </c>
      <c r="AD1421" s="22" t="s">
        <v>699</v>
      </c>
      <c r="AG1421" s="33">
        <f t="shared" si="266"/>
        <v>0</v>
      </c>
      <c r="AH1421" s="43" t="s">
        <v>2842</v>
      </c>
      <c r="AI1421" s="63">
        <f t="shared" si="267"/>
        <v>9.4479830148619956E-4</v>
      </c>
      <c r="AJ1421" s="284">
        <f>RTD("money.excel",,$G1421,"PredictVolume")</f>
        <v>178</v>
      </c>
      <c r="AK1421" s="399">
        <f>IFERROR(VLOOKUP($G1421,基本資料!$A:$M,13,0),"無")</f>
        <v>1.26</v>
      </c>
    </row>
    <row r="1422" spans="1:37">
      <c r="A1422" s="347">
        <f>IFERROR(VLOOKUP($G1422,基本資料!$A:$J,3,0),"無")</f>
        <v>38.74</v>
      </c>
      <c r="B1422" s="79">
        <f>IFERROR(VLOOKUP($G1422,基本資料!$A:$J,4,0),"無")</f>
        <v>9</v>
      </c>
      <c r="C1422" s="79">
        <f>IFERROR(VLOOKUP($G1422,基本資料!$A:$J,5,0),"無")</f>
        <v>14</v>
      </c>
      <c r="D1422" s="79">
        <f>IFERROR(VLOOKUP($G1422,基本資料!$A:$J,6,0),"無")</f>
        <v>2</v>
      </c>
      <c r="E1422" s="79">
        <f>IFERROR(VLOOKUP($G1422,基本資料!$A:$J,7,0),"無")</f>
        <v>-5</v>
      </c>
      <c r="F1422" s="6">
        <f>IFERROR(VLOOKUP($G1422,基本資料!$A:$J,8,0),"無")</f>
        <v>12.94</v>
      </c>
      <c r="G1422" s="79">
        <v>9925</v>
      </c>
      <c r="H1422" s="8" t="s">
        <v>1960</v>
      </c>
      <c r="I1422" s="22" t="s">
        <v>4616</v>
      </c>
      <c r="J1422" s="8">
        <f>IFERROR(VLOOKUP($G1422,今日總結!$A:$AJ,35,0),"")</f>
        <v>0</v>
      </c>
      <c r="K1422" s="5">
        <f>IFERROR(VLOOKUP($G1422,今日總結!$A:$AJ,36,0),"")</f>
        <v>0</v>
      </c>
      <c r="L1422" s="156">
        <f>IFERROR(VLOOKUP($G1422,今日總結!$A:$AJ,33,0),"")</f>
        <v>0</v>
      </c>
      <c r="M1422" s="340">
        <f>IFERROR(VLOOKUP($G1422,今日總結!$A:$AJ,34,0),"")</f>
        <v>1</v>
      </c>
      <c r="N1422" s="240">
        <f t="shared" si="263"/>
        <v>-1</v>
      </c>
      <c r="P1422" s="365" t="str">
        <f>IFERROR(VLOOKUP($G1422,融外自投!$A:$J,7,0),"無")</f>
        <v>無</v>
      </c>
      <c r="Q1422" s="79">
        <f>IFERROR(VLOOKUP($G1422,融外自投!$A:$J,9,0),"無")</f>
        <v>1110</v>
      </c>
      <c r="R1422" s="346">
        <f>IFERROR(VLOOKUP($G1422,融外自投!$A:$J,8,0),"無")</f>
        <v>325</v>
      </c>
      <c r="S1422" s="81" t="str">
        <f>IFERROR(VLOOKUP($G1422,融外自投!$A:$J,10,0),"無")</f>
        <v>無</v>
      </c>
      <c r="T1422" s="327">
        <f>IFERROR(VLOOKUP($G1422,'321買'!$A:$E,5,0),"'沒有資料'")</f>
        <v>1239</v>
      </c>
      <c r="U1422" s="186">
        <f>IFERROR(VLOOKUP($G1422,基本資料!$A:$J,9,0),"無")</f>
        <v>2</v>
      </c>
      <c r="V1422" s="310">
        <f t="shared" si="262"/>
        <v>5.0955414012738856E-2</v>
      </c>
      <c r="W1422" s="94">
        <f>IFERROR(VLOOKUP($G1422,基本資料!$A:$J,10,0),"無")</f>
        <v>2.5</v>
      </c>
      <c r="X1422" s="36">
        <f>RTD("money.excel",,"9925","Price")</f>
        <v>39.25</v>
      </c>
      <c r="Y1422" s="66"/>
      <c r="Z1422" s="15">
        <f t="shared" si="264"/>
        <v>39.25</v>
      </c>
      <c r="AA1422" s="3" t="e">
        <f t="shared" si="265"/>
        <v>#DIV/0!</v>
      </c>
      <c r="AB1422" s="344">
        <f>IFERROR(VLOOKUP($G1422,基本資料!$A:$M,11,0),"無")</f>
        <v>-2.23</v>
      </c>
      <c r="AC1422" s="397">
        <f>IFERROR(VLOOKUP($G1422,基本資料!$A:$M,12,0),"無")</f>
        <v>51.46</v>
      </c>
      <c r="AD1422" s="22" t="s">
        <v>4616</v>
      </c>
      <c r="AG1422" s="33">
        <f t="shared" si="266"/>
        <v>0</v>
      </c>
      <c r="AH1422" s="117" t="s">
        <v>2843</v>
      </c>
      <c r="AI1422" s="63">
        <f t="shared" si="267"/>
        <v>4.2591636551368093E-4</v>
      </c>
      <c r="AJ1422" s="284">
        <f>RTD("money.excel",,$G1422,"PredictVolume")</f>
        <v>165</v>
      </c>
      <c r="AK1422" s="399">
        <f>IFERROR(VLOOKUP($G1422,基本資料!$A:$M,13,0),"無")</f>
        <v>0.33</v>
      </c>
    </row>
    <row r="1423" spans="1:37">
      <c r="A1423" s="347">
        <f>IFERROR(VLOOKUP($G1423,基本資料!$A:$J,3,0),"無")</f>
        <v>16.73</v>
      </c>
      <c r="B1423" s="79">
        <f>IFERROR(VLOOKUP($G1423,基本資料!$A:$J,4,0),"無")</f>
        <v>122</v>
      </c>
      <c r="C1423" s="79">
        <f>IFERROR(VLOOKUP($G1423,基本資料!$A:$J,5,0),"無")</f>
        <v>122</v>
      </c>
      <c r="D1423" s="79">
        <f>IFERROR(VLOOKUP($G1423,基本資料!$A:$J,6,0),"無")</f>
        <v>49</v>
      </c>
      <c r="E1423" s="79">
        <f>IFERROR(VLOOKUP($G1423,基本資料!$A:$J,7,0),"無")</f>
        <v>37</v>
      </c>
      <c r="F1423" s="6">
        <f>IFERROR(VLOOKUP($G1423,基本資料!$A:$J,8,0),"無")</f>
        <v>12.03</v>
      </c>
      <c r="G1423" s="79">
        <v>9927</v>
      </c>
      <c r="H1423" s="8" t="s">
        <v>1960</v>
      </c>
      <c r="I1423" s="22" t="s">
        <v>700</v>
      </c>
      <c r="J1423" s="8" t="str">
        <f>IFERROR(VLOOKUP($G1423,今日總結!$A:$AJ,35,0),"")</f>
        <v/>
      </c>
      <c r="K1423" s="5" t="str">
        <f>IFERROR(VLOOKUP($G1423,今日總結!$A:$AJ,36,0),"")</f>
        <v/>
      </c>
      <c r="L1423" s="156" t="str">
        <f>IFERROR(VLOOKUP($G1423,今日總結!$A:$AJ,33,0),"")</f>
        <v/>
      </c>
      <c r="M1423" s="340" t="str">
        <f>IFERROR(VLOOKUP($G1423,今日總結!$A:$AJ,34,0),"")</f>
        <v/>
      </c>
      <c r="N1423" s="240" t="str">
        <f t="shared" si="263"/>
        <v/>
      </c>
      <c r="P1423" s="365">
        <f>IFERROR(VLOOKUP($G1423,融外自投!$A:$J,7,0),"無")</f>
        <v>1056</v>
      </c>
      <c r="Q1423" s="79">
        <f>IFERROR(VLOOKUP($G1423,融外自投!$A:$J,9,0),"無")</f>
        <v>447</v>
      </c>
      <c r="R1423" s="346">
        <f>IFERROR(VLOOKUP($G1423,融外自投!$A:$J,8,0),"無")</f>
        <v>388</v>
      </c>
      <c r="S1423" s="81">
        <f>IFERROR(VLOOKUP($G1423,融外自投!$A:$J,10,0),"無")</f>
        <v>491</v>
      </c>
      <c r="T1423" s="327">
        <f>IFERROR(VLOOKUP($G1423,'321買'!$A:$E,5,0),"'沒有資料'")</f>
        <v>964</v>
      </c>
      <c r="U1423" s="186">
        <f>IFERROR(VLOOKUP($G1423,基本資料!$A:$J,9,0),"無")</f>
        <v>4.5</v>
      </c>
      <c r="V1423" s="310">
        <f t="shared" si="262"/>
        <v>9.8146128680479824E-2</v>
      </c>
      <c r="W1423" s="94">
        <f>IFERROR(VLOOKUP($G1423,基本資料!$A:$J,10,0),"無")</f>
        <v>4</v>
      </c>
      <c r="X1423" s="36">
        <f>RTD("money.excel",,"9927","Price")</f>
        <v>45.85</v>
      </c>
      <c r="Y1423" s="66"/>
      <c r="Z1423" s="15">
        <f t="shared" si="264"/>
        <v>45.85</v>
      </c>
      <c r="AA1423" s="3" t="e">
        <f t="shared" si="265"/>
        <v>#DIV/0!</v>
      </c>
      <c r="AB1423" s="344">
        <f>IFERROR(VLOOKUP($G1423,基本資料!$A:$M,11,0),"無")</f>
        <v>-4.1100000000000003</v>
      </c>
      <c r="AC1423" s="397">
        <f>IFERROR(VLOOKUP($G1423,基本資料!$A:$M,12,0),"無")</f>
        <v>83.41</v>
      </c>
      <c r="AD1423" s="22" t="s">
        <v>700</v>
      </c>
      <c r="AG1423" s="33">
        <f t="shared" si="266"/>
        <v>0</v>
      </c>
      <c r="AH1423" s="43" t="s">
        <v>2844</v>
      </c>
      <c r="AI1423" s="63">
        <f t="shared" si="267"/>
        <v>5.3078302450687391E-3</v>
      </c>
      <c r="AJ1423" s="284">
        <f>RTD("money.excel",,$G1423,"PredictVolume")</f>
        <v>888</v>
      </c>
      <c r="AK1423" s="399">
        <f>IFERROR(VLOOKUP($G1423,基本資料!$A:$M,13,0),"無")</f>
        <v>4.9000000000000004</v>
      </c>
    </row>
    <row r="1424" spans="1:37">
      <c r="A1424" s="347">
        <f>IFERROR(VLOOKUP($G1424,基本資料!$A:$J,3,0),"無")</f>
        <v>6.07</v>
      </c>
      <c r="B1424" s="79">
        <f>IFERROR(VLOOKUP($G1424,基本資料!$A:$J,4,0),"無")</f>
        <v>-3</v>
      </c>
      <c r="C1424" s="79">
        <f>IFERROR(VLOOKUP($G1424,基本資料!$A:$J,5,0),"無")</f>
        <v>0</v>
      </c>
      <c r="D1424" s="79">
        <f>IFERROR(VLOOKUP($G1424,基本資料!$A:$J,6,0),"無")</f>
        <v>-4</v>
      </c>
      <c r="E1424" s="79">
        <f>IFERROR(VLOOKUP($G1424,基本資料!$A:$J,7,0),"無")</f>
        <v>2</v>
      </c>
      <c r="F1424" s="6">
        <f>IFERROR(VLOOKUP($G1424,基本資料!$A:$J,8,0),"無")</f>
        <v>-12.19</v>
      </c>
      <c r="G1424" s="79">
        <v>9928</v>
      </c>
      <c r="H1424" s="8" t="s">
        <v>1960</v>
      </c>
      <c r="I1424" s="22" t="s">
        <v>701</v>
      </c>
      <c r="J1424" s="8" t="str">
        <f>IFERROR(VLOOKUP($G1424,今日總結!$A:$AJ,35,0),"")</f>
        <v/>
      </c>
      <c r="K1424" s="5" t="str">
        <f>IFERROR(VLOOKUP($G1424,今日總結!$A:$AJ,36,0),"")</f>
        <v/>
      </c>
      <c r="L1424" s="156" t="str">
        <f>IFERROR(VLOOKUP($G1424,今日總結!$A:$AJ,33,0),"")</f>
        <v/>
      </c>
      <c r="M1424" s="340" t="str">
        <f>IFERROR(VLOOKUP($G1424,今日總結!$A:$AJ,34,0),"")</f>
        <v/>
      </c>
      <c r="N1424" s="240" t="str">
        <f t="shared" si="263"/>
        <v/>
      </c>
      <c r="P1424" s="365" t="str">
        <f>IFERROR(VLOOKUP($G1424,融外自投!$A:$J,7,0),"無")</f>
        <v>無</v>
      </c>
      <c r="Q1424" s="79" t="str">
        <f>IFERROR(VLOOKUP($G1424,融外自投!$A:$J,9,0),"無")</f>
        <v>無</v>
      </c>
      <c r="R1424" s="346" t="str">
        <f>IFERROR(VLOOKUP($G1424,融外自投!$A:$J,8,0),"無")</f>
        <v>無</v>
      </c>
      <c r="S1424" s="81" t="str">
        <f>IFERROR(VLOOKUP($G1424,融外自投!$A:$J,10,0),"無")</f>
        <v>無</v>
      </c>
      <c r="T1424" s="327" t="str">
        <f>IFERROR(VLOOKUP($G1424,'321買'!$A:$E,5,0),"'沒有資料'")</f>
        <v>'沒有資料'</v>
      </c>
      <c r="U1424" s="186">
        <f>IFERROR(VLOOKUP($G1424,基本資料!$A:$J,9,0),"無")</f>
        <v>0</v>
      </c>
      <c r="V1424" s="310">
        <f t="shared" si="262"/>
        <v>0</v>
      </c>
      <c r="W1424" s="94">
        <f>IFERROR(VLOOKUP($G1424,基本資料!$A:$J,10,0),"無")</f>
        <v>-0.46</v>
      </c>
      <c r="X1424" s="36">
        <f>RTD("money.excel",,"9928","Price")</f>
        <v>17.25</v>
      </c>
      <c r="Y1424" s="66"/>
      <c r="Z1424" s="15">
        <f t="shared" si="264"/>
        <v>17.25</v>
      </c>
      <c r="AA1424" s="3" t="e">
        <f t="shared" si="265"/>
        <v>#DIV/0!</v>
      </c>
      <c r="AB1424" s="344">
        <f>IFERROR(VLOOKUP($G1424,基本資料!$A:$M,11,0),"無")</f>
        <v>-9.43</v>
      </c>
      <c r="AC1424" s="397">
        <f>IFERROR(VLOOKUP($G1424,基本資料!$A:$M,12,0),"無")</f>
        <v>87.77</v>
      </c>
      <c r="AD1424" s="22" t="s">
        <v>701</v>
      </c>
      <c r="AG1424" s="33">
        <f t="shared" si="266"/>
        <v>0</v>
      </c>
      <c r="AH1424" s="43" t="s">
        <v>2845</v>
      </c>
      <c r="AI1424" s="63">
        <f t="shared" si="267"/>
        <v>1.6474464579901152E-5</v>
      </c>
      <c r="AJ1424" s="284">
        <f>RTD("money.excel",,$G1424,"PredictVolume")</f>
        <v>1</v>
      </c>
      <c r="AK1424" s="399">
        <f>IFERROR(VLOOKUP($G1424,基本資料!$A:$M,13,0),"無")</f>
        <v>0.52</v>
      </c>
    </row>
    <row r="1425" spans="1:37">
      <c r="A1425" s="347">
        <f>IFERROR(VLOOKUP($G1425,基本資料!$A:$J,3,0),"無")</f>
        <v>10.119999999999999</v>
      </c>
      <c r="B1425" s="79">
        <f>IFERROR(VLOOKUP($G1425,基本資料!$A:$J,4,0),"無")</f>
        <v>-99</v>
      </c>
      <c r="C1425" s="79">
        <f>IFERROR(VLOOKUP($G1425,基本資料!$A:$J,5,0),"無")</f>
        <v>-22</v>
      </c>
      <c r="D1425" s="79">
        <f>IFERROR(VLOOKUP($G1425,基本資料!$A:$J,6,0),"無")</f>
        <v>-19</v>
      </c>
      <c r="E1425" s="79">
        <f>IFERROR(VLOOKUP($G1425,基本資料!$A:$J,7,0),"無")</f>
        <v>-17</v>
      </c>
      <c r="F1425" s="6">
        <f>IFERROR(VLOOKUP($G1425,基本資料!$A:$J,8,0),"無")</f>
        <v>3.44</v>
      </c>
      <c r="G1425" s="79">
        <v>9929</v>
      </c>
      <c r="H1425" s="8" t="s">
        <v>1960</v>
      </c>
      <c r="I1425" s="22" t="s">
        <v>702</v>
      </c>
      <c r="J1425" s="8" t="str">
        <f>IFERROR(VLOOKUP($G1425,今日總結!$A:$AJ,35,0),"")</f>
        <v/>
      </c>
      <c r="K1425" s="5" t="str">
        <f>IFERROR(VLOOKUP($G1425,今日總結!$A:$AJ,36,0),"")</f>
        <v/>
      </c>
      <c r="L1425" s="156" t="str">
        <f>IFERROR(VLOOKUP($G1425,今日總結!$A:$AJ,33,0),"")</f>
        <v/>
      </c>
      <c r="M1425" s="340" t="str">
        <f>IFERROR(VLOOKUP($G1425,今日總結!$A:$AJ,34,0),"")</f>
        <v/>
      </c>
      <c r="N1425" s="240" t="str">
        <f t="shared" si="263"/>
        <v/>
      </c>
      <c r="P1425" s="365" t="str">
        <f>IFERROR(VLOOKUP($G1425,融外自投!$A:$J,7,0),"無")</f>
        <v>無</v>
      </c>
      <c r="Q1425" s="79" t="str">
        <f>IFERROR(VLOOKUP($G1425,融外自投!$A:$J,9,0),"無")</f>
        <v>無</v>
      </c>
      <c r="R1425" s="346" t="str">
        <f>IFERROR(VLOOKUP($G1425,融外自投!$A:$J,8,0),"無")</f>
        <v>無</v>
      </c>
      <c r="S1425" s="81" t="str">
        <f>IFERROR(VLOOKUP($G1425,融外自投!$A:$J,10,0),"無")</f>
        <v>無</v>
      </c>
      <c r="T1425" s="327" t="str">
        <f>IFERROR(VLOOKUP($G1425,'321買'!$A:$E,5,0),"'沒有資料'")</f>
        <v>'沒有資料'</v>
      </c>
      <c r="U1425" s="186">
        <f>IFERROR(VLOOKUP($G1425,基本資料!$A:$J,9,0),"無")</f>
        <v>0</v>
      </c>
      <c r="V1425" s="310">
        <f t="shared" si="262"/>
        <v>0</v>
      </c>
      <c r="W1425" s="94">
        <f>IFERROR(VLOOKUP($G1425,基本資料!$A:$J,10,0),"無")</f>
        <v>0.05</v>
      </c>
      <c r="X1425" s="36">
        <f>RTD("money.excel",,"9929","Price")</f>
        <v>8.94</v>
      </c>
      <c r="Y1425" s="66"/>
      <c r="Z1425" s="15">
        <f t="shared" si="264"/>
        <v>8.94</v>
      </c>
      <c r="AA1425" s="3" t="e">
        <f t="shared" si="265"/>
        <v>#DIV/0!</v>
      </c>
      <c r="AB1425" s="344">
        <f>IFERROR(VLOOKUP($G1425,基本資料!$A:$M,11,0),"無")</f>
        <v>-27.39</v>
      </c>
      <c r="AC1425" s="397">
        <f>IFERROR(VLOOKUP($G1425,基本資料!$A:$M,12,0),"無")</f>
        <v>31.18</v>
      </c>
      <c r="AD1425" s="22" t="s">
        <v>702</v>
      </c>
      <c r="AG1425" s="33">
        <f t="shared" si="266"/>
        <v>0</v>
      </c>
      <c r="AH1425" s="43" t="s">
        <v>2472</v>
      </c>
      <c r="AI1425" s="63">
        <f t="shared" si="267"/>
        <v>4.8418972332015816E-4</v>
      </c>
      <c r="AJ1425" s="284">
        <f>RTD("money.excel",,$G1425,"PredictVolume")</f>
        <v>49</v>
      </c>
      <c r="AK1425" s="399">
        <f>IFERROR(VLOOKUP($G1425,基本資料!$A:$M,13,0),"無")</f>
        <v>0.24</v>
      </c>
    </row>
    <row r="1426" spans="1:37">
      <c r="A1426" s="347">
        <f>IFERROR(VLOOKUP($G1426,基本資料!$A:$J,3,0),"無")</f>
        <v>24.85</v>
      </c>
      <c r="B1426" s="79">
        <f>IFERROR(VLOOKUP($G1426,基本資料!$A:$J,4,0),"無")</f>
        <v>-6</v>
      </c>
      <c r="C1426" s="79">
        <f>IFERROR(VLOOKUP($G1426,基本資料!$A:$J,5,0),"無")</f>
        <v>-7</v>
      </c>
      <c r="D1426" s="79">
        <f>IFERROR(VLOOKUP($G1426,基本資料!$A:$J,6,0),"無")</f>
        <v>3</v>
      </c>
      <c r="E1426" s="79">
        <f>IFERROR(VLOOKUP($G1426,基本資料!$A:$J,7,0),"無")</f>
        <v>16</v>
      </c>
      <c r="F1426" s="6">
        <f>IFERROR(VLOOKUP($G1426,基本資料!$A:$J,8,0),"無")</f>
        <v>8.2899999999999991</v>
      </c>
      <c r="G1426" s="79">
        <v>9930</v>
      </c>
      <c r="H1426" s="8" t="s">
        <v>1960</v>
      </c>
      <c r="I1426" s="22" t="s">
        <v>1097</v>
      </c>
      <c r="J1426" s="8">
        <f>IFERROR(VLOOKUP($G1426,今日總結!$A:$AJ,35,0),"")</f>
        <v>0</v>
      </c>
      <c r="K1426" s="5" t="str">
        <f>IFERROR(VLOOKUP($G1426,今日總結!$A:$AJ,36,0),"")</f>
        <v>外</v>
      </c>
      <c r="L1426" s="156">
        <f>IFERROR(VLOOKUP($G1426,今日總結!$A:$AJ,33,0),"")</f>
        <v>0</v>
      </c>
      <c r="M1426" s="340">
        <f>IFERROR(VLOOKUP($G1426,今日總結!$A:$AJ,34,0),"")</f>
        <v>1</v>
      </c>
      <c r="N1426" s="240">
        <f t="shared" si="263"/>
        <v>-1</v>
      </c>
      <c r="P1426" s="365">
        <f>IFERROR(VLOOKUP($G1426,融外自投!$A:$J,7,0),"無")</f>
        <v>1434</v>
      </c>
      <c r="Q1426" s="79">
        <f>IFERROR(VLOOKUP($G1426,融外自投!$A:$J,9,0),"無")</f>
        <v>789</v>
      </c>
      <c r="R1426" s="346">
        <f>IFERROR(VLOOKUP($G1426,融外自投!$A:$J,8,0),"無")</f>
        <v>1048</v>
      </c>
      <c r="S1426" s="81" t="str">
        <f>IFERROR(VLOOKUP($G1426,融外自投!$A:$J,10,0),"無")</f>
        <v>無</v>
      </c>
      <c r="T1426" s="327">
        <f>IFERROR(VLOOKUP($G1426,'321買'!$A:$E,5,0),"'沒有資料'")</f>
        <v>1143</v>
      </c>
      <c r="U1426" s="186">
        <f>IFERROR(VLOOKUP($G1426,基本資料!$A:$J,9,0),"無")</f>
        <v>2.5</v>
      </c>
      <c r="V1426" s="310">
        <f t="shared" si="262"/>
        <v>5.2966101694915252E-2</v>
      </c>
      <c r="W1426" s="94">
        <f>IFERROR(VLOOKUP($G1426,基本資料!$A:$J,10,0),"無")</f>
        <v>2.86</v>
      </c>
      <c r="X1426" s="36">
        <f>RTD("money.excel",,"9930","Price")</f>
        <v>47.2</v>
      </c>
      <c r="Y1426" s="66"/>
      <c r="Z1426" s="15">
        <f t="shared" si="264"/>
        <v>47.2</v>
      </c>
      <c r="AA1426" s="3" t="e">
        <f t="shared" si="265"/>
        <v>#DIV/0!</v>
      </c>
      <c r="AB1426" s="344">
        <f>IFERROR(VLOOKUP($G1426,基本資料!$A:$M,11,0),"無")</f>
        <v>-4.07</v>
      </c>
      <c r="AC1426" s="397">
        <f>IFERROR(VLOOKUP($G1426,基本資料!$A:$M,12,0),"無")</f>
        <v>50.67</v>
      </c>
      <c r="AD1426" s="22" t="s">
        <v>1097</v>
      </c>
      <c r="AG1426" s="33">
        <f t="shared" si="266"/>
        <v>0</v>
      </c>
      <c r="AH1426" s="43" t="s">
        <v>2846</v>
      </c>
      <c r="AI1426" s="63">
        <f t="shared" si="267"/>
        <v>3.0181086519114687E-4</v>
      </c>
      <c r="AJ1426" s="284">
        <f>RTD("money.excel",,$G1426,"PredictVolume")</f>
        <v>75</v>
      </c>
      <c r="AK1426" s="399">
        <f>IFERROR(VLOOKUP($G1426,基本資料!$A:$M,13,0),"無")</f>
        <v>0.41</v>
      </c>
    </row>
    <row r="1427" spans="1:37">
      <c r="A1427" s="347">
        <f>IFERROR(VLOOKUP($G1427,基本資料!$A:$J,3,0),"無")</f>
        <v>78.25</v>
      </c>
      <c r="B1427" s="79">
        <f>IFERROR(VLOOKUP($G1427,基本資料!$A:$J,4,0),"無")</f>
        <v>84</v>
      </c>
      <c r="C1427" s="79">
        <f>IFERROR(VLOOKUP($G1427,基本資料!$A:$J,5,0),"無")</f>
        <v>5</v>
      </c>
      <c r="D1427" s="79">
        <f>IFERROR(VLOOKUP($G1427,基本資料!$A:$J,6,0),"無")</f>
        <v>7</v>
      </c>
      <c r="E1427" s="79">
        <f>IFERROR(VLOOKUP($G1427,基本資料!$A:$J,7,0),"無")</f>
        <v>46</v>
      </c>
      <c r="F1427" s="6">
        <f>IFERROR(VLOOKUP($G1427,基本資料!$A:$J,8,0),"無")</f>
        <v>3.08</v>
      </c>
      <c r="G1427" s="79">
        <v>9933</v>
      </c>
      <c r="H1427" s="8" t="s">
        <v>1960</v>
      </c>
      <c r="I1427" s="22" t="s">
        <v>122</v>
      </c>
      <c r="J1427" s="8" t="str">
        <f>IFERROR(VLOOKUP($G1427,今日總結!$A:$AJ,35,0),"")</f>
        <v/>
      </c>
      <c r="K1427" s="5" t="str">
        <f>IFERROR(VLOOKUP($G1427,今日總結!$A:$AJ,36,0),"")</f>
        <v/>
      </c>
      <c r="L1427" s="156" t="str">
        <f>IFERROR(VLOOKUP($G1427,今日總結!$A:$AJ,33,0),"")</f>
        <v/>
      </c>
      <c r="M1427" s="340" t="str">
        <f>IFERROR(VLOOKUP($G1427,今日總結!$A:$AJ,34,0),"")</f>
        <v/>
      </c>
      <c r="N1427" s="240" t="str">
        <f t="shared" si="263"/>
        <v/>
      </c>
      <c r="P1427" s="365">
        <f>IFERROR(VLOOKUP($G1427,融外自投!$A:$J,7,0),"無")</f>
        <v>1138</v>
      </c>
      <c r="Q1427" s="79">
        <f>IFERROR(VLOOKUP($G1427,融外自投!$A:$J,9,0),"無")</f>
        <v>276</v>
      </c>
      <c r="R1427" s="346">
        <f>IFERROR(VLOOKUP($G1427,融外自投!$A:$J,8,0),"無")</f>
        <v>256</v>
      </c>
      <c r="S1427" s="81">
        <f>IFERROR(VLOOKUP($G1427,融外自投!$A:$J,10,0),"無")</f>
        <v>277</v>
      </c>
      <c r="T1427" s="327">
        <f>IFERROR(VLOOKUP($G1427,'321買'!$A:$E,5,0),"'沒有資料'")</f>
        <v>200</v>
      </c>
      <c r="U1427" s="186">
        <f>IFERROR(VLOOKUP($G1427,基本資料!$A:$J,9,0),"無")</f>
        <v>2.2999999999999998</v>
      </c>
      <c r="V1427" s="310">
        <f t="shared" si="262"/>
        <v>4.8319327731092432E-2</v>
      </c>
      <c r="W1427" s="94">
        <f>IFERROR(VLOOKUP($G1427,基本資料!$A:$J,10,0),"無")</f>
        <v>2.15</v>
      </c>
      <c r="X1427" s="36">
        <f>RTD("money.excel",,"9933","Price")</f>
        <v>47.6</v>
      </c>
      <c r="Y1427" s="66"/>
      <c r="Z1427" s="15">
        <f t="shared" si="264"/>
        <v>47.6</v>
      </c>
      <c r="AA1427" s="3" t="e">
        <f t="shared" si="265"/>
        <v>#DIV/0!</v>
      </c>
      <c r="AB1427" s="344">
        <f>IFERROR(VLOOKUP($G1427,基本資料!$A:$M,11,0),"無")</f>
        <v>-3.02</v>
      </c>
      <c r="AC1427" s="397">
        <f>IFERROR(VLOOKUP($G1427,基本資料!$A:$M,12,0),"無")</f>
        <v>84.02</v>
      </c>
      <c r="AD1427" s="22" t="s">
        <v>122</v>
      </c>
      <c r="AG1427" s="33">
        <f t="shared" si="266"/>
        <v>0</v>
      </c>
      <c r="AH1427" s="117" t="s">
        <v>2847</v>
      </c>
      <c r="AI1427" s="63">
        <f t="shared" si="267"/>
        <v>2.0332268370607028E-3</v>
      </c>
      <c r="AJ1427" s="284">
        <f>RTD("money.excel",,$G1427,"PredictVolume")</f>
        <v>1591</v>
      </c>
      <c r="AK1427" s="399">
        <f>IFERROR(VLOOKUP($G1427,基本資料!$A:$M,13,0),"無")</f>
        <v>1.25</v>
      </c>
    </row>
    <row r="1428" spans="1:37">
      <c r="A1428" s="347">
        <f>IFERROR(VLOOKUP($G1428,基本資料!$A:$J,3,0),"無")</f>
        <v>35.81</v>
      </c>
      <c r="B1428" s="79">
        <f>IFERROR(VLOOKUP($G1428,基本資料!$A:$J,4,0),"無")</f>
        <v>-95</v>
      </c>
      <c r="C1428" s="79">
        <f>IFERROR(VLOOKUP($G1428,基本資料!$A:$J,5,0),"無")</f>
        <v>-66</v>
      </c>
      <c r="D1428" s="79">
        <f>IFERROR(VLOOKUP($G1428,基本資料!$A:$J,6,0),"無")</f>
        <v>-8</v>
      </c>
      <c r="E1428" s="79">
        <f>IFERROR(VLOOKUP($G1428,基本資料!$A:$J,7,0),"無")</f>
        <v>-3</v>
      </c>
      <c r="F1428" s="6">
        <f>IFERROR(VLOOKUP($G1428,基本資料!$A:$J,8,0),"無")</f>
        <v>0.81</v>
      </c>
      <c r="G1428" s="79">
        <v>9934</v>
      </c>
      <c r="H1428" s="8" t="s">
        <v>1960</v>
      </c>
      <c r="I1428" s="22" t="s">
        <v>703</v>
      </c>
      <c r="J1428" s="8" t="str">
        <f>IFERROR(VLOOKUP($G1428,今日總結!$A:$AJ,35,0),"")</f>
        <v>融</v>
      </c>
      <c r="K1428" s="5">
        <f>IFERROR(VLOOKUP($G1428,今日總結!$A:$AJ,36,0),"")</f>
        <v>0</v>
      </c>
      <c r="L1428" s="156">
        <f>IFERROR(VLOOKUP($G1428,今日總結!$A:$AJ,33,0),"")</f>
        <v>1</v>
      </c>
      <c r="M1428" s="340">
        <f>IFERROR(VLOOKUP($G1428,今日總結!$A:$AJ,34,0),"")</f>
        <v>0</v>
      </c>
      <c r="N1428" s="240">
        <f t="shared" si="263"/>
        <v>1</v>
      </c>
      <c r="P1428" s="365">
        <f>IFERROR(VLOOKUP($G1428,融外自投!$A:$J,7,0),"無")</f>
        <v>907</v>
      </c>
      <c r="Q1428" s="79">
        <f>IFERROR(VLOOKUP($G1428,融外自投!$A:$J,9,0),"無")</f>
        <v>896</v>
      </c>
      <c r="R1428" s="346">
        <f>IFERROR(VLOOKUP($G1428,融外自投!$A:$J,8,0),"無")</f>
        <v>322</v>
      </c>
      <c r="S1428" s="81" t="str">
        <f>IFERROR(VLOOKUP($G1428,融外自投!$A:$J,10,0),"無")</f>
        <v>無</v>
      </c>
      <c r="T1428" s="327">
        <f>IFERROR(VLOOKUP($G1428,'321買'!$A:$E,5,0),"'沒有資料'")</f>
        <v>379</v>
      </c>
      <c r="U1428" s="186">
        <f>IFERROR(VLOOKUP($G1428,基本資料!$A:$J,9,0),"無")</f>
        <v>0</v>
      </c>
      <c r="V1428" s="310">
        <f t="shared" si="262"/>
        <v>0</v>
      </c>
      <c r="W1428" s="94">
        <f>IFERROR(VLOOKUP($G1428,基本資料!$A:$J,10,0),"無")</f>
        <v>0.04</v>
      </c>
      <c r="X1428" s="36">
        <f>RTD("money.excel",,"9934","Price")</f>
        <v>12</v>
      </c>
      <c r="Y1428" s="66"/>
      <c r="Z1428" s="15">
        <f t="shared" si="264"/>
        <v>12</v>
      </c>
      <c r="AA1428" s="3" t="e">
        <f t="shared" si="265"/>
        <v>#DIV/0!</v>
      </c>
      <c r="AB1428" s="344">
        <f>IFERROR(VLOOKUP($G1428,基本資料!$A:$M,11,0),"無")</f>
        <v>-33.43</v>
      </c>
      <c r="AC1428" s="397">
        <f>IFERROR(VLOOKUP($G1428,基本資料!$A:$M,12,0),"無")</f>
        <v>6.72</v>
      </c>
      <c r="AD1428" s="22" t="s">
        <v>703</v>
      </c>
      <c r="AG1428" s="33">
        <f t="shared" si="266"/>
        <v>0</v>
      </c>
      <c r="AH1428" s="43" t="s">
        <v>2848</v>
      </c>
      <c r="AI1428" s="63">
        <f t="shared" ref="AI1428:AI1437" si="268">AJ1428/(A1428*10000)</f>
        <v>8.8243507400167555E-4</v>
      </c>
      <c r="AJ1428" s="284">
        <f>RTD("money.excel",,$G1428,"PredictVolume")</f>
        <v>316</v>
      </c>
      <c r="AK1428" s="399">
        <f>IFERROR(VLOOKUP($G1428,基本資料!$A:$M,13,0),"無")</f>
        <v>3.86</v>
      </c>
    </row>
    <row r="1429" spans="1:37">
      <c r="A1429" s="347">
        <f>IFERROR(VLOOKUP($G1429,基本資料!$A:$J,3,0),"無")</f>
        <v>16.96</v>
      </c>
      <c r="B1429" s="79">
        <f>IFERROR(VLOOKUP($G1429,基本資料!$A:$J,4,0),"無")</f>
        <v>-78</v>
      </c>
      <c r="C1429" s="79">
        <f>IFERROR(VLOOKUP($G1429,基本資料!$A:$J,5,0),"無")</f>
        <v>-69</v>
      </c>
      <c r="D1429" s="79">
        <f>IFERROR(VLOOKUP($G1429,基本資料!$A:$J,6,0),"無")</f>
        <v>24</v>
      </c>
      <c r="E1429" s="79">
        <f>IFERROR(VLOOKUP($G1429,基本資料!$A:$J,7,0),"無")</f>
        <v>3</v>
      </c>
      <c r="F1429" s="6">
        <f>IFERROR(VLOOKUP($G1429,基本資料!$A:$J,8,0),"無")</f>
        <v>3.7</v>
      </c>
      <c r="G1429" s="79">
        <v>9935</v>
      </c>
      <c r="H1429" s="8" t="s">
        <v>1960</v>
      </c>
      <c r="I1429" s="22" t="s">
        <v>704</v>
      </c>
      <c r="J1429" s="8" t="str">
        <f>IFERROR(VLOOKUP($G1429,今日總結!$A:$AJ,35,0),"")</f>
        <v/>
      </c>
      <c r="K1429" s="5" t="str">
        <f>IFERROR(VLOOKUP($G1429,今日總結!$A:$AJ,36,0),"")</f>
        <v/>
      </c>
      <c r="L1429" s="156" t="str">
        <f>IFERROR(VLOOKUP($G1429,今日總結!$A:$AJ,33,0),"")</f>
        <v/>
      </c>
      <c r="M1429" s="340" t="str">
        <f>IFERROR(VLOOKUP($G1429,今日總結!$A:$AJ,34,0),"")</f>
        <v/>
      </c>
      <c r="N1429" s="240" t="str">
        <f t="shared" si="263"/>
        <v/>
      </c>
      <c r="P1429" s="365">
        <f>IFERROR(VLOOKUP($G1429,融外自投!$A:$J,7,0),"無")</f>
        <v>969</v>
      </c>
      <c r="Q1429" s="79">
        <f>IFERROR(VLOOKUP($G1429,融外自投!$A:$J,9,0),"無")</f>
        <v>762</v>
      </c>
      <c r="R1429" s="346">
        <f>IFERROR(VLOOKUP($G1429,融外自投!$A:$J,8,0),"無")</f>
        <v>773</v>
      </c>
      <c r="S1429" s="81" t="str">
        <f>IFERROR(VLOOKUP($G1429,融外自投!$A:$J,10,0),"無")</f>
        <v>無</v>
      </c>
      <c r="T1429" s="327">
        <f>IFERROR(VLOOKUP($G1429,'321買'!$A:$E,5,0),"'沒有資料'")</f>
        <v>729</v>
      </c>
      <c r="U1429" s="186">
        <f>IFERROR(VLOOKUP($G1429,基本資料!$A:$J,9,0),"無")</f>
        <v>0.51</v>
      </c>
      <c r="V1429" s="310">
        <f t="shared" si="262"/>
        <v>2.9142857142857144E-2</v>
      </c>
      <c r="W1429" s="94">
        <f>IFERROR(VLOOKUP($G1429,基本資料!$A:$J,10,0),"無")</f>
        <v>0.46</v>
      </c>
      <c r="X1429" s="36">
        <f>RTD("money.excel",,"9935","Price")</f>
        <v>17.5</v>
      </c>
      <c r="Y1429" s="66"/>
      <c r="Z1429" s="15">
        <f t="shared" si="264"/>
        <v>17.5</v>
      </c>
      <c r="AA1429" s="3" t="e">
        <f t="shared" si="265"/>
        <v>#DIV/0!</v>
      </c>
      <c r="AB1429" s="344">
        <f>IFERROR(VLOOKUP($G1429,基本資料!$A:$M,11,0),"無")</f>
        <v>0</v>
      </c>
      <c r="AC1429" s="397">
        <f>IFERROR(VLOOKUP($G1429,基本資料!$A:$M,12,0),"無")</f>
        <v>0</v>
      </c>
      <c r="AD1429" s="22" t="s">
        <v>704</v>
      </c>
      <c r="AG1429" s="33">
        <f t="shared" si="266"/>
        <v>0</v>
      </c>
      <c r="AH1429" s="43" t="s">
        <v>1418</v>
      </c>
      <c r="AI1429" s="63">
        <f t="shared" si="268"/>
        <v>8.8443396226415096E-4</v>
      </c>
      <c r="AJ1429" s="284">
        <f>RTD("money.excel",,$G1429,"PredictVolume")</f>
        <v>150</v>
      </c>
      <c r="AK1429" s="399">
        <f>IFERROR(VLOOKUP($G1429,基本資料!$A:$M,13,0),"無")</f>
        <v>0</v>
      </c>
    </row>
    <row r="1430" spans="1:37">
      <c r="A1430" s="347">
        <f>IFERROR(VLOOKUP($G1430,基本資料!$A:$J,3,0),"無")</f>
        <v>29.79</v>
      </c>
      <c r="B1430" s="79">
        <f>IFERROR(VLOOKUP($G1430,基本資料!$A:$J,4,0),"無")</f>
        <v>48</v>
      </c>
      <c r="C1430" s="79">
        <f>IFERROR(VLOOKUP($G1430,基本資料!$A:$J,5,0),"無")</f>
        <v>41</v>
      </c>
      <c r="D1430" s="79">
        <f>IFERROR(VLOOKUP($G1430,基本資料!$A:$J,6,0),"無")</f>
        <v>6</v>
      </c>
      <c r="E1430" s="79">
        <f>IFERROR(VLOOKUP($G1430,基本資料!$A:$J,7,0),"無")</f>
        <v>-37</v>
      </c>
      <c r="F1430" s="6">
        <f>IFERROR(VLOOKUP($G1430,基本資料!$A:$J,8,0),"無")</f>
        <v>21.75</v>
      </c>
      <c r="G1430" s="79">
        <v>9938</v>
      </c>
      <c r="H1430" s="8" t="s">
        <v>235</v>
      </c>
      <c r="I1430" s="22" t="s">
        <v>136</v>
      </c>
      <c r="J1430" s="8">
        <f>IFERROR(VLOOKUP($G1430,今日總結!$A:$AJ,35,0),"")</f>
        <v>0</v>
      </c>
      <c r="K1430" s="5">
        <f>IFERROR(VLOOKUP($G1430,今日總結!$A:$AJ,36,0),"")</f>
        <v>0</v>
      </c>
      <c r="L1430" s="156">
        <f>IFERROR(VLOOKUP($G1430,今日總結!$A:$AJ,33,0),"")</f>
        <v>0</v>
      </c>
      <c r="M1430" s="340">
        <f>IFERROR(VLOOKUP($G1430,今日總結!$A:$AJ,34,0),"")</f>
        <v>1</v>
      </c>
      <c r="N1430" s="240">
        <f t="shared" si="263"/>
        <v>-1</v>
      </c>
      <c r="P1430" s="365">
        <f>IFERROR(VLOOKUP($G1430,融外自投!$A:$J,7,0),"無")</f>
        <v>1072</v>
      </c>
      <c r="Q1430" s="79">
        <f>IFERROR(VLOOKUP($G1430,融外自投!$A:$J,9,0),"無")</f>
        <v>435</v>
      </c>
      <c r="R1430" s="346">
        <f>IFERROR(VLOOKUP($G1430,融外自投!$A:$J,8,0),"無")</f>
        <v>177</v>
      </c>
      <c r="S1430" s="81">
        <f>IFERROR(VLOOKUP($G1430,融外自投!$A:$J,10,0),"無")</f>
        <v>491</v>
      </c>
      <c r="T1430" s="327">
        <f>IFERROR(VLOOKUP($G1430,'321買'!$A:$E,5,0),"'沒有資料'")</f>
        <v>710</v>
      </c>
      <c r="U1430" s="186">
        <f>IFERROR(VLOOKUP($G1430,基本資料!$A:$J,9,0),"無")</f>
        <v>3.5</v>
      </c>
      <c r="V1430" s="310">
        <f t="shared" si="262"/>
        <v>5.4095826893353939E-2</v>
      </c>
      <c r="W1430" s="94">
        <f>IFERROR(VLOOKUP($G1430,基本資料!$A:$J,10,0),"無")</f>
        <v>6.91</v>
      </c>
      <c r="X1430" s="36">
        <f>RTD("money.excel",,"9938","Price")</f>
        <v>64.7</v>
      </c>
      <c r="Y1430" s="66"/>
      <c r="Z1430" s="15">
        <f t="shared" si="264"/>
        <v>64.7</v>
      </c>
      <c r="AA1430" s="3" t="e">
        <f t="shared" si="265"/>
        <v>#DIV/0!</v>
      </c>
      <c r="AB1430" s="344">
        <f>IFERROR(VLOOKUP($G1430,基本資料!$A:$M,11,0),"無")</f>
        <v>0</v>
      </c>
      <c r="AC1430" s="397">
        <f>IFERROR(VLOOKUP($G1430,基本資料!$A:$M,12,0),"無")</f>
        <v>0</v>
      </c>
      <c r="AD1430" s="22" t="s">
        <v>136</v>
      </c>
      <c r="AG1430" s="33">
        <f t="shared" si="266"/>
        <v>0</v>
      </c>
      <c r="AH1430" s="117" t="s">
        <v>2849</v>
      </c>
      <c r="AI1430" s="63">
        <f t="shared" si="268"/>
        <v>1.7623363544813696E-3</v>
      </c>
      <c r="AJ1430" s="284">
        <f>RTD("money.excel",,$G1430,"PredictVolume")</f>
        <v>525</v>
      </c>
      <c r="AK1430" s="399">
        <f>IFERROR(VLOOKUP($G1430,基本資料!$A:$M,13,0),"無")</f>
        <v>0</v>
      </c>
    </row>
    <row r="1431" spans="1:37">
      <c r="A1431" s="347">
        <f>IFERROR(VLOOKUP($G1431,基本資料!$A:$J,3,0),"無")</f>
        <v>28.77</v>
      </c>
      <c r="B1431" s="79">
        <f>IFERROR(VLOOKUP($G1431,基本資料!$A:$J,4,0),"無")</f>
        <v>17</v>
      </c>
      <c r="C1431" s="79">
        <f>IFERROR(VLOOKUP($G1431,基本資料!$A:$J,5,0),"無")</f>
        <v>29</v>
      </c>
      <c r="D1431" s="79">
        <f>IFERROR(VLOOKUP($G1431,基本資料!$A:$J,6,0),"無")</f>
        <v>38</v>
      </c>
      <c r="E1431" s="79">
        <f>IFERROR(VLOOKUP($G1431,基本資料!$A:$J,7,0),"無")</f>
        <v>6</v>
      </c>
      <c r="F1431" s="6">
        <f>IFERROR(VLOOKUP($G1431,基本資料!$A:$J,8,0),"無")</f>
        <v>13.23</v>
      </c>
      <c r="G1431" s="79">
        <v>9939</v>
      </c>
      <c r="H1431" s="8" t="s">
        <v>1960</v>
      </c>
      <c r="I1431" s="22" t="s">
        <v>705</v>
      </c>
      <c r="J1431" s="8" t="str">
        <f>IFERROR(VLOOKUP($G1431,今日總結!$A:$AJ,35,0),"")</f>
        <v/>
      </c>
      <c r="K1431" s="5" t="str">
        <f>IFERROR(VLOOKUP($G1431,今日總結!$A:$AJ,36,0),"")</f>
        <v/>
      </c>
      <c r="L1431" s="156" t="str">
        <f>IFERROR(VLOOKUP($G1431,今日總結!$A:$AJ,33,0),"")</f>
        <v/>
      </c>
      <c r="M1431" s="340" t="str">
        <f>IFERROR(VLOOKUP($G1431,今日總結!$A:$AJ,34,0),"")</f>
        <v/>
      </c>
      <c r="N1431" s="240" t="str">
        <f t="shared" si="263"/>
        <v/>
      </c>
      <c r="P1431" s="365">
        <f>IFERROR(VLOOKUP($G1431,融外自投!$A:$J,7,0),"無")</f>
        <v>1080</v>
      </c>
      <c r="Q1431" s="79">
        <f>IFERROR(VLOOKUP($G1431,融外自投!$A:$J,9,0),"無")</f>
        <v>155</v>
      </c>
      <c r="R1431" s="346">
        <f>IFERROR(VLOOKUP($G1431,融外自投!$A:$J,8,0),"無")</f>
        <v>162</v>
      </c>
      <c r="S1431" s="81">
        <f>IFERROR(VLOOKUP($G1431,融外自投!$A:$J,10,0),"無")</f>
        <v>278</v>
      </c>
      <c r="T1431" s="327">
        <f>IFERROR(VLOOKUP($G1431,'321買'!$A:$E,5,0),"'沒有資料'")</f>
        <v>138</v>
      </c>
      <c r="U1431" s="186">
        <f>IFERROR(VLOOKUP($G1431,基本資料!$A:$J,9,0),"無")</f>
        <v>4.3</v>
      </c>
      <c r="V1431" s="310">
        <f t="shared" si="262"/>
        <v>5.7951482479784364E-2</v>
      </c>
      <c r="W1431" s="94">
        <f>IFERROR(VLOOKUP($G1431,基本資料!$A:$J,10,0),"無")</f>
        <v>6.83</v>
      </c>
      <c r="X1431" s="36">
        <f>RTD("money.excel",,"9939","Price")</f>
        <v>74.2</v>
      </c>
      <c r="Y1431" s="66"/>
      <c r="Z1431" s="15">
        <f t="shared" si="264"/>
        <v>74.2</v>
      </c>
      <c r="AA1431" s="3" t="e">
        <f t="shared" si="265"/>
        <v>#DIV/0!</v>
      </c>
      <c r="AB1431" s="344">
        <f>IFERROR(VLOOKUP($G1431,基本資料!$A:$M,11,0),"無")</f>
        <v>0</v>
      </c>
      <c r="AC1431" s="397">
        <f>IFERROR(VLOOKUP($G1431,基本資料!$A:$M,12,0),"無")</f>
        <v>0</v>
      </c>
      <c r="AD1431" s="22" t="s">
        <v>705</v>
      </c>
      <c r="AG1431" s="33">
        <f t="shared" si="266"/>
        <v>0</v>
      </c>
      <c r="AH1431" s="43" t="s">
        <v>2836</v>
      </c>
      <c r="AI1431" s="63">
        <f t="shared" si="268"/>
        <v>2.5964546402502606E-3</v>
      </c>
      <c r="AJ1431" s="284">
        <f>RTD("money.excel",,$G1431,"PredictVolume")</f>
        <v>747</v>
      </c>
      <c r="AK1431" s="399">
        <f>IFERROR(VLOOKUP($G1431,基本資料!$A:$M,13,0),"無")</f>
        <v>0</v>
      </c>
    </row>
    <row r="1432" spans="1:37">
      <c r="A1432" s="347">
        <f>IFERROR(VLOOKUP($G1432,基本資料!$A:$J,3,0),"無")</f>
        <v>73.680000000000007</v>
      </c>
      <c r="B1432" s="79">
        <f>IFERROR(VLOOKUP($G1432,基本資料!$A:$J,4,0),"無")</f>
        <v>51</v>
      </c>
      <c r="C1432" s="79">
        <f>IFERROR(VLOOKUP($G1432,基本資料!$A:$J,5,0),"無")</f>
        <v>48</v>
      </c>
      <c r="D1432" s="79">
        <f>IFERROR(VLOOKUP($G1432,基本資料!$A:$J,6,0),"無")</f>
        <v>80</v>
      </c>
      <c r="E1432" s="79">
        <f>IFERROR(VLOOKUP($G1432,基本資料!$A:$J,7,0),"無")</f>
        <v>2</v>
      </c>
      <c r="F1432" s="6">
        <f>IFERROR(VLOOKUP($G1432,基本資料!$A:$J,8,0),"無")</f>
        <v>16.670000000000002</v>
      </c>
      <c r="G1432" s="79">
        <v>9940</v>
      </c>
      <c r="H1432" s="8" t="s">
        <v>1960</v>
      </c>
      <c r="I1432" s="22" t="s">
        <v>92</v>
      </c>
      <c r="J1432" s="8">
        <f>IFERROR(VLOOKUP($G1432,今日總結!$A:$AJ,35,0),"")</f>
        <v>0</v>
      </c>
      <c r="K1432" s="5">
        <f>IFERROR(VLOOKUP($G1432,今日總結!$A:$AJ,36,0),"")</f>
        <v>0</v>
      </c>
      <c r="L1432" s="156">
        <f>IFERROR(VLOOKUP($G1432,今日總結!$A:$AJ,33,0),"")</f>
        <v>0</v>
      </c>
      <c r="M1432" s="340">
        <f>IFERROR(VLOOKUP($G1432,今日總結!$A:$AJ,34,0),"")</f>
        <v>1</v>
      </c>
      <c r="N1432" s="240">
        <f t="shared" si="263"/>
        <v>-1</v>
      </c>
      <c r="P1432" s="365">
        <f>IFERROR(VLOOKUP($G1432,融外自投!$A:$J,7,0),"無")</f>
        <v>1367</v>
      </c>
      <c r="Q1432" s="79">
        <f>IFERROR(VLOOKUP($G1432,融外自投!$A:$J,9,0),"無")</f>
        <v>824</v>
      </c>
      <c r="R1432" s="346">
        <f>IFERROR(VLOOKUP($G1432,融外自投!$A:$J,8,0),"無")</f>
        <v>712</v>
      </c>
      <c r="S1432" s="81">
        <f>IFERROR(VLOOKUP($G1432,融外自投!$A:$J,10,0),"無")</f>
        <v>278</v>
      </c>
      <c r="T1432" s="327">
        <f>IFERROR(VLOOKUP($G1432,'321買'!$A:$E,5,0),"'沒有資料'")</f>
        <v>515</v>
      </c>
      <c r="U1432" s="186">
        <f>IFERROR(VLOOKUP($G1432,基本資料!$A:$J,9,0),"無")</f>
        <v>2.8</v>
      </c>
      <c r="V1432" s="310">
        <f t="shared" si="262"/>
        <v>8.223201174743025E-2</v>
      </c>
      <c r="W1432" s="94">
        <f>IFERROR(VLOOKUP($G1432,基本資料!$A:$J,10,0),"無")</f>
        <v>3.19</v>
      </c>
      <c r="X1432" s="36">
        <f>RTD("money.excel",,"9940","Price")</f>
        <v>34.049999999999997</v>
      </c>
      <c r="Y1432" s="66"/>
      <c r="Z1432" s="15">
        <f t="shared" si="264"/>
        <v>34.049999999999997</v>
      </c>
      <c r="AA1432" s="3" t="e">
        <f t="shared" si="265"/>
        <v>#DIV/0!</v>
      </c>
      <c r="AB1432" s="344">
        <f>IFERROR(VLOOKUP($G1432,基本資料!$A:$M,11,0),"無")</f>
        <v>0</v>
      </c>
      <c r="AC1432" s="397">
        <f>IFERROR(VLOOKUP($G1432,基本資料!$A:$M,12,0),"無")</f>
        <v>0</v>
      </c>
      <c r="AD1432" s="22" t="s">
        <v>92</v>
      </c>
      <c r="AG1432" s="33">
        <f t="shared" si="266"/>
        <v>0</v>
      </c>
      <c r="AH1432" s="117" t="s">
        <v>1421</v>
      </c>
      <c r="AI1432" s="63">
        <f t="shared" si="268"/>
        <v>3.881650380021715E-4</v>
      </c>
      <c r="AJ1432" s="284">
        <f>RTD("money.excel",,$G1432,"PredictVolume")</f>
        <v>286</v>
      </c>
      <c r="AK1432" s="399">
        <f>IFERROR(VLOOKUP($G1432,基本資料!$A:$M,13,0),"無")</f>
        <v>0</v>
      </c>
    </row>
    <row r="1433" spans="1:37">
      <c r="A1433" s="347">
        <f>IFERROR(VLOOKUP($G1433,基本資料!$A:$J,3,0),"無")</f>
        <v>38.21</v>
      </c>
      <c r="B1433" s="79">
        <f>IFERROR(VLOOKUP($G1433,基本資料!$A:$J,4,0),"無")</f>
        <v>84</v>
      </c>
      <c r="C1433" s="79">
        <f>IFERROR(VLOOKUP($G1433,基本資料!$A:$J,5,0),"無")</f>
        <v>90</v>
      </c>
      <c r="D1433" s="79">
        <f>IFERROR(VLOOKUP($G1433,基本資料!$A:$J,6,0),"無")</f>
        <v>0</v>
      </c>
      <c r="E1433" s="79">
        <f>IFERROR(VLOOKUP($G1433,基本資料!$A:$J,7,0),"無")</f>
        <v>8</v>
      </c>
      <c r="F1433" s="6">
        <f>IFERROR(VLOOKUP($G1433,基本資料!$A:$J,8,0),"無")</f>
        <v>21.32</v>
      </c>
      <c r="G1433" s="79">
        <v>9941</v>
      </c>
      <c r="H1433" s="8" t="s">
        <v>1960</v>
      </c>
      <c r="I1433" s="22" t="s">
        <v>123</v>
      </c>
      <c r="J1433" s="8">
        <f>IFERROR(VLOOKUP($G1433,今日總結!$A:$AJ,35,0),"")</f>
        <v>0</v>
      </c>
      <c r="K1433" s="5">
        <f>IFERROR(VLOOKUP($G1433,今日總結!$A:$AJ,36,0),"")</f>
        <v>0</v>
      </c>
      <c r="L1433" s="156">
        <f>IFERROR(VLOOKUP($G1433,今日總結!$A:$AJ,33,0),"")</f>
        <v>0</v>
      </c>
      <c r="M1433" s="340">
        <f>IFERROR(VLOOKUP($G1433,今日總結!$A:$AJ,34,0),"")</f>
        <v>1</v>
      </c>
      <c r="N1433" s="240">
        <f t="shared" si="263"/>
        <v>-1</v>
      </c>
      <c r="P1433" s="365">
        <f>IFERROR(VLOOKUP($G1433,融外自投!$A:$J,7,0),"無")</f>
        <v>1316</v>
      </c>
      <c r="Q1433" s="79">
        <f>IFERROR(VLOOKUP($G1433,融外自投!$A:$J,9,0),"無")</f>
        <v>936</v>
      </c>
      <c r="R1433" s="346">
        <f>IFERROR(VLOOKUP($G1433,融外自投!$A:$J,8,0),"無")</f>
        <v>641</v>
      </c>
      <c r="S1433" s="81">
        <f>IFERROR(VLOOKUP($G1433,融外自投!$A:$J,10,0),"無")</f>
        <v>334</v>
      </c>
      <c r="T1433" s="327">
        <f>IFERROR(VLOOKUP($G1433,'321買'!$A:$E,5,0),"'沒有資料'")</f>
        <v>463</v>
      </c>
      <c r="U1433" s="186">
        <f>IFERROR(VLOOKUP($G1433,基本資料!$A:$J,9,0),"無")</f>
        <v>7.2</v>
      </c>
      <c r="V1433" s="310">
        <f t="shared" si="262"/>
        <v>3.4782608695652174E-2</v>
      </c>
      <c r="W1433" s="94">
        <f>IFERROR(VLOOKUP($G1433,基本資料!$A:$J,10,0),"無")</f>
        <v>12.96</v>
      </c>
      <c r="X1433" s="36">
        <f>RTD("money.excel",,"9941","Price")</f>
        <v>207</v>
      </c>
      <c r="Y1433" s="66"/>
      <c r="Z1433" s="15">
        <f t="shared" si="264"/>
        <v>207</v>
      </c>
      <c r="AA1433" s="3" t="e">
        <f t="shared" si="265"/>
        <v>#DIV/0!</v>
      </c>
      <c r="AB1433" s="344">
        <f>IFERROR(VLOOKUP($G1433,基本資料!$A:$M,11,0),"無")</f>
        <v>0</v>
      </c>
      <c r="AC1433" s="397">
        <f>IFERROR(VLOOKUP($G1433,基本資料!$A:$M,12,0),"無")</f>
        <v>0</v>
      </c>
      <c r="AD1433" s="22" t="s">
        <v>123</v>
      </c>
      <c r="AG1433" s="33">
        <f t="shared" si="266"/>
        <v>0</v>
      </c>
      <c r="AH1433" s="117" t="s">
        <v>2109</v>
      </c>
      <c r="AI1433" s="63">
        <f t="shared" si="268"/>
        <v>2.9756608217744048E-3</v>
      </c>
      <c r="AJ1433" s="284">
        <f>RTD("money.excel",,$G1433,"PredictVolume")</f>
        <v>1137</v>
      </c>
      <c r="AK1433" s="399">
        <f>IFERROR(VLOOKUP($G1433,基本資料!$A:$M,13,0),"無")</f>
        <v>0</v>
      </c>
    </row>
    <row r="1434" spans="1:37">
      <c r="A1434" s="347">
        <f>IFERROR(VLOOKUP($G1434,基本資料!$A:$J,3,0),"無")</f>
        <v>8.31</v>
      </c>
      <c r="B1434" s="79">
        <f>IFERROR(VLOOKUP($G1434,基本資料!$A:$J,4,0),"無")</f>
        <v>39</v>
      </c>
      <c r="C1434" s="79">
        <f>IFERROR(VLOOKUP($G1434,基本資料!$A:$J,5,0),"無")</f>
        <v>64</v>
      </c>
      <c r="D1434" s="79">
        <f>IFERROR(VLOOKUP($G1434,基本資料!$A:$J,6,0),"無")</f>
        <v>-28</v>
      </c>
      <c r="E1434" s="79">
        <f>IFERROR(VLOOKUP($G1434,基本資料!$A:$J,7,0),"無")</f>
        <v>-21</v>
      </c>
      <c r="F1434" s="6">
        <f>IFERROR(VLOOKUP($G1434,基本資料!$A:$J,8,0),"無")</f>
        <v>20.48</v>
      </c>
      <c r="G1434" s="79">
        <v>9942</v>
      </c>
      <c r="H1434" s="8" t="s">
        <v>1960</v>
      </c>
      <c r="I1434" s="22" t="s">
        <v>706</v>
      </c>
      <c r="J1434" s="8" t="str">
        <f>IFERROR(VLOOKUP($G1434,今日總結!$A:$AJ,35,0),"")</f>
        <v>外</v>
      </c>
      <c r="K1434" s="5">
        <f>IFERROR(VLOOKUP($G1434,今日總結!$A:$AJ,36,0),"")</f>
        <v>0</v>
      </c>
      <c r="L1434" s="156">
        <f>IFERROR(VLOOKUP($G1434,今日總結!$A:$AJ,33,0),"")</f>
        <v>1</v>
      </c>
      <c r="M1434" s="340">
        <f>IFERROR(VLOOKUP($G1434,今日總結!$A:$AJ,34,0),"")</f>
        <v>0</v>
      </c>
      <c r="N1434" s="240">
        <f t="shared" si="263"/>
        <v>1</v>
      </c>
      <c r="P1434" s="365">
        <f>IFERROR(VLOOKUP($G1434,融外自投!$A:$J,7,0),"無")</f>
        <v>980</v>
      </c>
      <c r="Q1434" s="79" t="str">
        <f>IFERROR(VLOOKUP($G1434,融外自投!$A:$J,9,0),"無")</f>
        <v>無</v>
      </c>
      <c r="R1434" s="346">
        <f>IFERROR(VLOOKUP($G1434,融外自投!$A:$J,8,0),"無")</f>
        <v>912</v>
      </c>
      <c r="S1434" s="81" t="str">
        <f>IFERROR(VLOOKUP($G1434,融外自投!$A:$J,10,0),"無")</f>
        <v>無</v>
      </c>
      <c r="T1434" s="327">
        <f>IFERROR(VLOOKUP($G1434,'321買'!$A:$E,5,0),"'沒有資料'")</f>
        <v>1161</v>
      </c>
      <c r="U1434" s="186">
        <f>IFERROR(VLOOKUP($G1434,基本資料!$A:$J,9,0),"無")</f>
        <v>5</v>
      </c>
      <c r="V1434" s="310">
        <f t="shared" si="262"/>
        <v>5.9808612440191394E-2</v>
      </c>
      <c r="W1434" s="94">
        <f>IFERROR(VLOOKUP($G1434,基本資料!$A:$J,10,0),"無")</f>
        <v>6.49</v>
      </c>
      <c r="X1434" s="36">
        <f>RTD("money.excel",,"9942","Price")</f>
        <v>83.6</v>
      </c>
      <c r="Y1434" s="66"/>
      <c r="Z1434" s="15">
        <f t="shared" si="264"/>
        <v>83.6</v>
      </c>
      <c r="AA1434" s="3" t="e">
        <f t="shared" si="265"/>
        <v>#DIV/0!</v>
      </c>
      <c r="AB1434" s="344">
        <f>IFERROR(VLOOKUP($G1434,基本資料!$A:$M,11,0),"無")</f>
        <v>0</v>
      </c>
      <c r="AC1434" s="397">
        <f>IFERROR(VLOOKUP($G1434,基本資料!$A:$M,12,0),"無")</f>
        <v>0</v>
      </c>
      <c r="AD1434" s="22" t="s">
        <v>706</v>
      </c>
      <c r="AG1434" s="33">
        <f t="shared" si="266"/>
        <v>0</v>
      </c>
      <c r="AH1434" s="43" t="s">
        <v>2850</v>
      </c>
      <c r="AI1434" s="63">
        <f t="shared" si="268"/>
        <v>1.97352587244284E-3</v>
      </c>
      <c r="AJ1434" s="284">
        <f>RTD("money.excel",,$G1434,"PredictVolume")</f>
        <v>164</v>
      </c>
      <c r="AK1434" s="399">
        <f>IFERROR(VLOOKUP($G1434,基本資料!$A:$M,13,0),"無")</f>
        <v>0</v>
      </c>
    </row>
    <row r="1435" spans="1:37">
      <c r="A1435" s="347">
        <f>IFERROR(VLOOKUP($G1435,基本資料!$A:$J,3,0),"無")</f>
        <v>10.91</v>
      </c>
      <c r="B1435" s="79">
        <f>IFERROR(VLOOKUP($G1435,基本資料!$A:$J,4,0),"無")</f>
        <v>483</v>
      </c>
      <c r="C1435" s="79">
        <f>IFERROR(VLOOKUP($G1435,基本資料!$A:$J,5,0),"無")</f>
        <v>-50</v>
      </c>
      <c r="D1435" s="79">
        <f>IFERROR(VLOOKUP($G1435,基本資料!$A:$J,6,0),"無")</f>
        <v>27</v>
      </c>
      <c r="E1435" s="79">
        <f>IFERROR(VLOOKUP($G1435,基本資料!$A:$J,7,0),"無")</f>
        <v>7</v>
      </c>
      <c r="F1435" s="6">
        <f>IFERROR(VLOOKUP($G1435,基本資料!$A:$J,8,0),"無")</f>
        <v>1.82</v>
      </c>
      <c r="G1435" s="79">
        <v>9944</v>
      </c>
      <c r="H1435" s="8" t="s">
        <v>1960</v>
      </c>
      <c r="I1435" s="22" t="s">
        <v>707</v>
      </c>
      <c r="J1435" s="8">
        <f>IFERROR(VLOOKUP($G1435,今日總結!$A:$AJ,35,0),"")</f>
        <v>0</v>
      </c>
      <c r="K1435" s="5" t="str">
        <f>IFERROR(VLOOKUP($G1435,今日總結!$A:$AJ,36,0),"")</f>
        <v>外</v>
      </c>
      <c r="L1435" s="156">
        <f>IFERROR(VLOOKUP($G1435,今日總結!$A:$AJ,33,0),"")</f>
        <v>0</v>
      </c>
      <c r="M1435" s="340">
        <f>IFERROR(VLOOKUP($G1435,今日總結!$A:$AJ,34,0),"")</f>
        <v>2</v>
      </c>
      <c r="N1435" s="240">
        <f t="shared" si="263"/>
        <v>-2</v>
      </c>
      <c r="P1435" s="365">
        <f>IFERROR(VLOOKUP($G1435,融外自投!$A:$J,7,0),"無")</f>
        <v>141</v>
      </c>
      <c r="Q1435" s="79">
        <f>IFERROR(VLOOKUP($G1435,融外自投!$A:$J,9,0),"無")</f>
        <v>395</v>
      </c>
      <c r="R1435" s="346">
        <f>IFERROR(VLOOKUP($G1435,融外自投!$A:$J,8,0),"無")</f>
        <v>1056</v>
      </c>
      <c r="S1435" s="81" t="str">
        <f>IFERROR(VLOOKUP($G1435,融外自投!$A:$J,10,0),"無")</f>
        <v>無</v>
      </c>
      <c r="T1435" s="327">
        <f>IFERROR(VLOOKUP($G1435,'321買'!$A:$E,5,0),"'沒有資料'")</f>
        <v>224</v>
      </c>
      <c r="U1435" s="186">
        <f>IFERROR(VLOOKUP($G1435,基本資料!$A:$J,9,0),"無")</f>
        <v>1</v>
      </c>
      <c r="V1435" s="310">
        <f t="shared" si="262"/>
        <v>4.8426150121065381E-2</v>
      </c>
      <c r="W1435" s="94">
        <f>IFERROR(VLOOKUP($G1435,基本資料!$A:$J,10,0),"無")</f>
        <v>4.71</v>
      </c>
      <c r="X1435" s="36">
        <f>RTD("money.excel",,"9944","Price")</f>
        <v>20.65</v>
      </c>
      <c r="Y1435" s="66"/>
      <c r="Z1435" s="15">
        <f t="shared" si="264"/>
        <v>20.65</v>
      </c>
      <c r="AA1435" s="3" t="e">
        <f t="shared" si="265"/>
        <v>#DIV/0!</v>
      </c>
      <c r="AB1435" s="344">
        <f>IFERROR(VLOOKUP($G1435,基本資料!$A:$M,11,0),"無")</f>
        <v>0</v>
      </c>
      <c r="AC1435" s="397">
        <f>IFERROR(VLOOKUP($G1435,基本資料!$A:$M,12,0),"無")</f>
        <v>0</v>
      </c>
      <c r="AD1435" s="22" t="s">
        <v>707</v>
      </c>
      <c r="AG1435" s="33">
        <f t="shared" si="266"/>
        <v>0</v>
      </c>
      <c r="AH1435" s="43" t="s">
        <v>2851</v>
      </c>
      <c r="AI1435" s="63">
        <f t="shared" si="268"/>
        <v>1.2465627864344639E-3</v>
      </c>
      <c r="AJ1435" s="284">
        <f>RTD("money.excel",,$G1435,"PredictVolume")</f>
        <v>136</v>
      </c>
      <c r="AK1435" s="399">
        <f>IFERROR(VLOOKUP($G1435,基本資料!$A:$M,13,0),"無")</f>
        <v>0</v>
      </c>
    </row>
    <row r="1436" spans="1:37">
      <c r="A1436" s="347">
        <f>IFERROR(VLOOKUP($G1436,基本資料!$A:$J,3,0),"無")</f>
        <v>210</v>
      </c>
      <c r="B1436" s="79">
        <f>IFERROR(VLOOKUP($G1436,基本資料!$A:$J,4,0),"無")</f>
        <v>88</v>
      </c>
      <c r="C1436" s="79">
        <f>IFERROR(VLOOKUP($G1436,基本資料!$A:$J,5,0),"無")</f>
        <v>72</v>
      </c>
      <c r="D1436" s="79">
        <f>IFERROR(VLOOKUP($G1436,基本資料!$A:$J,6,0),"無")</f>
        <v>55</v>
      </c>
      <c r="E1436" s="79">
        <f>IFERROR(VLOOKUP($G1436,基本資料!$A:$J,7,0),"無")</f>
        <v>43</v>
      </c>
      <c r="F1436" s="6">
        <f>IFERROR(VLOOKUP($G1436,基本資料!$A:$J,8,0),"無")</f>
        <v>13.18</v>
      </c>
      <c r="G1436" s="79">
        <v>9945</v>
      </c>
      <c r="H1436" s="8" t="s">
        <v>1960</v>
      </c>
      <c r="I1436" s="22" t="s">
        <v>29</v>
      </c>
      <c r="J1436" s="8" t="str">
        <f>IFERROR(VLOOKUP($G1436,今日總結!$A:$AJ,35,0),"")</f>
        <v/>
      </c>
      <c r="K1436" s="5" t="str">
        <f>IFERROR(VLOOKUP($G1436,今日總結!$A:$AJ,36,0),"")</f>
        <v/>
      </c>
      <c r="L1436" s="156" t="str">
        <f>IFERROR(VLOOKUP($G1436,今日總結!$A:$AJ,33,0),"")</f>
        <v/>
      </c>
      <c r="M1436" s="340" t="str">
        <f>IFERROR(VLOOKUP($G1436,今日總結!$A:$AJ,34,0),"")</f>
        <v/>
      </c>
      <c r="N1436" s="240" t="str">
        <f t="shared" si="263"/>
        <v/>
      </c>
      <c r="P1436" s="365">
        <f>IFERROR(VLOOKUP($G1436,融外自投!$A:$J,7,0),"無")</f>
        <v>1123</v>
      </c>
      <c r="Q1436" s="79">
        <f>IFERROR(VLOOKUP($G1436,融外自投!$A:$J,9,0),"無")</f>
        <v>824</v>
      </c>
      <c r="R1436" s="346">
        <f>IFERROR(VLOOKUP($G1436,融外自投!$A:$J,8,0),"無")</f>
        <v>353</v>
      </c>
      <c r="S1436" s="81">
        <f>IFERROR(VLOOKUP($G1436,融外自投!$A:$J,10,0),"無")</f>
        <v>473</v>
      </c>
      <c r="T1436" s="327">
        <f>IFERROR(VLOOKUP($G1436,'321買'!$A:$E,5,0),"'沒有資料'")</f>
        <v>463</v>
      </c>
      <c r="U1436" s="186">
        <f>IFERROR(VLOOKUP($G1436,基本資料!$A:$J,9,0),"無")</f>
        <v>7</v>
      </c>
      <c r="V1436" s="310">
        <f t="shared" ref="V1436:V1437" si="269">$U1436/$X1436</f>
        <v>9.5367847411444134E-2</v>
      </c>
      <c r="W1436" s="94">
        <f>IFERROR(VLOOKUP($G1436,基本資料!$A:$J,10,0),"無")</f>
        <v>7.98</v>
      </c>
      <c r="X1436" s="36">
        <f>RTD("money.excel",,"9945","Price")</f>
        <v>73.400000000000006</v>
      </c>
      <c r="Y1436" s="66"/>
      <c r="Z1436" s="15">
        <f t="shared" si="264"/>
        <v>73.400000000000006</v>
      </c>
      <c r="AA1436" s="3" t="e">
        <f t="shared" si="265"/>
        <v>#DIV/0!</v>
      </c>
      <c r="AB1436" s="344">
        <f>IFERROR(VLOOKUP($G1436,基本資料!$A:$M,11,0),"無")</f>
        <v>0</v>
      </c>
      <c r="AC1436" s="397">
        <f>IFERROR(VLOOKUP($G1436,基本資料!$A:$M,12,0),"無")</f>
        <v>0</v>
      </c>
      <c r="AD1436" s="22" t="s">
        <v>29</v>
      </c>
      <c r="AG1436" s="33">
        <f t="shared" si="266"/>
        <v>0</v>
      </c>
      <c r="AH1436" s="117" t="s">
        <v>1446</v>
      </c>
      <c r="AI1436" s="63">
        <f t="shared" si="268"/>
        <v>3.6861904761904762E-3</v>
      </c>
      <c r="AJ1436" s="284">
        <f>RTD("money.excel",,$G1436,"PredictVolume")</f>
        <v>7741</v>
      </c>
      <c r="AK1436" s="399">
        <f>IFERROR(VLOOKUP($G1436,基本資料!$A:$M,13,0),"無")</f>
        <v>0</v>
      </c>
    </row>
    <row r="1437" spans="1:37">
      <c r="A1437" s="347">
        <f>IFERROR(VLOOKUP($G1437,基本資料!$A:$J,3,0),"無")</f>
        <v>10.32</v>
      </c>
      <c r="B1437" s="79">
        <f>IFERROR(VLOOKUP($G1437,基本資料!$A:$J,4,0),"無")</f>
        <v>20</v>
      </c>
      <c r="C1437" s="79">
        <f>IFERROR(VLOOKUP($G1437,基本資料!$A:$J,5,0),"無")</f>
        <v>33</v>
      </c>
      <c r="D1437" s="79">
        <f>IFERROR(VLOOKUP($G1437,基本資料!$A:$J,6,0),"無")</f>
        <v>-25</v>
      </c>
      <c r="E1437" s="79">
        <f>IFERROR(VLOOKUP($G1437,基本資料!$A:$J,7,0),"無")</f>
        <v>-7</v>
      </c>
      <c r="F1437" s="6">
        <f>IFERROR(VLOOKUP($G1437,基本資料!$A:$J,8,0),"無")</f>
        <v>-5.82</v>
      </c>
      <c r="G1437" s="79">
        <v>9955</v>
      </c>
      <c r="H1437" s="8" t="s">
        <v>1960</v>
      </c>
      <c r="I1437" s="22" t="s">
        <v>708</v>
      </c>
      <c r="J1437" s="8" t="str">
        <f>IFERROR(VLOOKUP($G1437,今日總結!$A:$AJ,35,0),"")</f>
        <v/>
      </c>
      <c r="K1437" s="5" t="str">
        <f>IFERROR(VLOOKUP($G1437,今日總結!$A:$AJ,36,0),"")</f>
        <v/>
      </c>
      <c r="L1437" s="156" t="str">
        <f>IFERROR(VLOOKUP($G1437,今日總結!$A:$AJ,33,0),"")</f>
        <v/>
      </c>
      <c r="M1437" s="340" t="str">
        <f>IFERROR(VLOOKUP($G1437,今日總結!$A:$AJ,34,0),"")</f>
        <v/>
      </c>
      <c r="N1437" s="240" t="str">
        <f t="shared" ref="N1437" si="270">IFERROR(L1437-M1437,"")</f>
        <v/>
      </c>
      <c r="P1437" s="365">
        <f>IFERROR(VLOOKUP($G1437,融外自投!$A:$J,7,0),"無")</f>
        <v>580</v>
      </c>
      <c r="Q1437" s="79">
        <f>IFERROR(VLOOKUP($G1437,融外自投!$A:$J,9,0),"無")</f>
        <v>447</v>
      </c>
      <c r="R1437" s="346">
        <f>IFERROR(VLOOKUP($G1437,融外自投!$A:$J,8,0),"無")</f>
        <v>1035</v>
      </c>
      <c r="S1437" s="81" t="str">
        <f>IFERROR(VLOOKUP($G1437,融外自投!$A:$J,10,0),"無")</f>
        <v>無</v>
      </c>
      <c r="T1437" s="327">
        <f>IFERROR(VLOOKUP($G1437,'321買'!$A:$E,5,0),"'沒有資料'")</f>
        <v>939</v>
      </c>
      <c r="U1437" s="186">
        <f>IFERROR(VLOOKUP($G1437,基本資料!$A:$J,9,0),"無")</f>
        <v>0</v>
      </c>
      <c r="V1437" s="310">
        <f t="shared" si="269"/>
        <v>0</v>
      </c>
      <c r="W1437" s="94">
        <f>IFERROR(VLOOKUP($G1437,基本資料!$A:$J,10,0),"無")</f>
        <v>-0.95</v>
      </c>
      <c r="X1437" s="36">
        <f>RTD("money.excel",,"9955","Price")</f>
        <v>23.15</v>
      </c>
      <c r="Y1437" s="66"/>
      <c r="Z1437" s="15">
        <f t="shared" si="264"/>
        <v>23.15</v>
      </c>
      <c r="AA1437" s="3" t="e">
        <f t="shared" si="265"/>
        <v>#DIV/0!</v>
      </c>
      <c r="AB1437" s="344">
        <f>IFERROR(VLOOKUP($G1437,基本資料!$A:$M,11,0),"無")</f>
        <v>0</v>
      </c>
      <c r="AC1437" s="397">
        <f>IFERROR(VLOOKUP($G1437,基本資料!$A:$M,12,0),"無")</f>
        <v>0</v>
      </c>
      <c r="AD1437" s="22" t="s">
        <v>708</v>
      </c>
      <c r="AG1437" s="33">
        <f t="shared" si="266"/>
        <v>0</v>
      </c>
      <c r="AH1437" s="43" t="s">
        <v>2830</v>
      </c>
      <c r="AI1437" s="63">
        <f t="shared" si="268"/>
        <v>7.3352713178294572E-3</v>
      </c>
      <c r="AJ1437" s="284">
        <f>RTD("money.excel",,$G1437,"PredictVolume")</f>
        <v>757</v>
      </c>
      <c r="AK1437" s="399">
        <f>IFERROR(VLOOKUP($G1437,基本資料!$A:$M,13,0),"無")</f>
        <v>0</v>
      </c>
    </row>
    <row r="1438" spans="1:37">
      <c r="A1438" s="142"/>
      <c r="B1438" s="90"/>
      <c r="C1438" s="90"/>
      <c r="D1438" s="90"/>
      <c r="E1438" s="90"/>
      <c r="F1438" s="6"/>
      <c r="G1438" s="79"/>
      <c r="H1438" s="8"/>
      <c r="I1438" s="22"/>
      <c r="L1438" s="2"/>
      <c r="S1438" s="26"/>
      <c r="U1438" s="34"/>
      <c r="W1438" s="94"/>
      <c r="X1438" s="36"/>
      <c r="Y1438" s="66"/>
      <c r="Z1438" s="15"/>
      <c r="AA1438" s="3"/>
      <c r="AD1438" s="22"/>
      <c r="AG1438" s="33"/>
      <c r="AH1438" s="43"/>
      <c r="AI1438" s="8"/>
      <c r="AJ1438" s="50"/>
    </row>
    <row r="1439" spans="1:37">
      <c r="A1439" s="127" t="s">
        <v>1673</v>
      </c>
      <c r="B1439" s="90" t="s">
        <v>1572</v>
      </c>
      <c r="C1439" s="90" t="s">
        <v>1573</v>
      </c>
      <c r="D1439" s="90" t="s">
        <v>1574</v>
      </c>
      <c r="E1439" s="90" t="s">
        <v>1575</v>
      </c>
      <c r="F1439" s="8" t="s">
        <v>1060</v>
      </c>
      <c r="G1439" s="27" t="s">
        <v>877</v>
      </c>
      <c r="H1439" s="55" t="s">
        <v>320</v>
      </c>
      <c r="I1439" s="8" t="s">
        <v>876</v>
      </c>
      <c r="J1439" s="8" t="s">
        <v>6221</v>
      </c>
      <c r="K1439" s="5" t="s">
        <v>6222</v>
      </c>
      <c r="L1439" s="337" t="s">
        <v>6206</v>
      </c>
      <c r="M1439" s="338" t="s">
        <v>6207</v>
      </c>
      <c r="N1439" s="339" t="s">
        <v>6208</v>
      </c>
      <c r="O1439" s="4" t="s">
        <v>6713</v>
      </c>
      <c r="P1439" s="89" t="s">
        <v>6285</v>
      </c>
      <c r="Q1439" s="293" t="s">
        <v>6284</v>
      </c>
      <c r="R1439" s="354" t="s">
        <v>6283</v>
      </c>
      <c r="S1439" s="26" t="s">
        <v>6286</v>
      </c>
      <c r="T1439" s="321" t="s">
        <v>4716</v>
      </c>
      <c r="U1439" s="10" t="s">
        <v>66</v>
      </c>
      <c r="V1439" s="308" t="s">
        <v>4731</v>
      </c>
      <c r="W1439" s="68" t="s">
        <v>3273</v>
      </c>
      <c r="X1439" s="28" t="s">
        <v>2</v>
      </c>
      <c r="Y1439" s="17" t="s">
        <v>1399</v>
      </c>
      <c r="Z1439" s="14" t="s">
        <v>5</v>
      </c>
      <c r="AA1439" s="21" t="s">
        <v>3</v>
      </c>
      <c r="AB1439" s="96" t="s">
        <v>6174</v>
      </c>
      <c r="AC1439" s="384" t="s">
        <v>6420</v>
      </c>
      <c r="AD1439" s="8" t="s">
        <v>876</v>
      </c>
      <c r="AE1439" s="71" t="s">
        <v>1400</v>
      </c>
      <c r="AF1439" s="72" t="s">
        <v>1157</v>
      </c>
      <c r="AG1439" s="32" t="s">
        <v>1158</v>
      </c>
      <c r="AH1439" s="25" t="s">
        <v>6209</v>
      </c>
      <c r="AI1439" s="8" t="s">
        <v>6731</v>
      </c>
      <c r="AJ1439" s="50" t="s">
        <v>3361</v>
      </c>
      <c r="AK1439" s="44" t="s">
        <v>6730</v>
      </c>
    </row>
    <row r="1440" spans="1:37">
      <c r="A1440" s="347">
        <f>IFERROR(VLOOKUP($G1440,基本資料!$A:$J,3,0),"無")</f>
        <v>23.97</v>
      </c>
      <c r="B1440" s="79">
        <f>IFERROR(VLOOKUP($G1440,基本資料!$A:$J,4,0),"無")</f>
        <v>-143</v>
      </c>
      <c r="C1440" s="79">
        <f>IFERROR(VLOOKUP($G1440,基本資料!$A:$J,5,0),"無")</f>
        <v>-210</v>
      </c>
      <c r="D1440" s="79">
        <f>IFERROR(VLOOKUP($G1440,基本資料!$A:$J,6,0),"無")</f>
        <v>72</v>
      </c>
      <c r="E1440" s="79">
        <f>IFERROR(VLOOKUP($G1440,基本資料!$A:$J,7,0),"無")</f>
        <v>138</v>
      </c>
      <c r="F1440" s="6">
        <f>IFERROR(VLOOKUP($G1440,基本資料!$A:$J,8,0),"無")</f>
        <v>-9.58</v>
      </c>
      <c r="G1440" s="79">
        <v>1316</v>
      </c>
      <c r="H1440" s="8" t="s">
        <v>876</v>
      </c>
      <c r="I1440" s="22" t="s">
        <v>756</v>
      </c>
      <c r="J1440" s="8" t="str">
        <f>IFERROR(VLOOKUP($G1440,今日總結!$A:$AJ,35,0),"")</f>
        <v>融</v>
      </c>
      <c r="K1440" s="5">
        <f>IFERROR(VLOOKUP($G1440,今日總結!$A:$AJ,36,0),"")</f>
        <v>0</v>
      </c>
      <c r="L1440" s="156">
        <f>IFERROR(VLOOKUP($G1440,今日總結!$A:$AJ,33,0),"")</f>
        <v>1</v>
      </c>
      <c r="M1440" s="340">
        <f>IFERROR(VLOOKUP($G1440,今日總結!$A:$AJ,34,0),"")</f>
        <v>0</v>
      </c>
      <c r="N1440" s="240">
        <f t="shared" ref="N1440:N1503" si="271">IFERROR(L1440-M1440,"")</f>
        <v>1</v>
      </c>
      <c r="P1440" s="365">
        <f>IFERROR(VLOOKUP($G1440,融外自投!$A:$J,7,0),"無")</f>
        <v>34</v>
      </c>
      <c r="Q1440" s="79">
        <f>IFERROR(VLOOKUP($G1440,融外自投!$A:$J,9,0),"無")</f>
        <v>1110</v>
      </c>
      <c r="R1440" s="346">
        <f>IFERROR(VLOOKUP($G1440,融外自投!$A:$J,8,0),"無")</f>
        <v>857</v>
      </c>
      <c r="S1440" s="81" t="str">
        <f>IFERROR(VLOOKUP($G1440,融外自投!$A:$J,10,0),"無")</f>
        <v>無</v>
      </c>
      <c r="T1440" s="327">
        <f>IFERROR(VLOOKUP($G1440,'321買'!$A:$E,5,0),"'沒有資料'")</f>
        <v>138</v>
      </c>
      <c r="U1440" s="186">
        <f>IFERROR(VLOOKUP($G1440,基本資料!$A:$J,9,0),"無")</f>
        <v>0</v>
      </c>
      <c r="V1440" s="310">
        <f t="shared" ref="V1440:V1503" si="272">$U1440/$X1440</f>
        <v>0</v>
      </c>
      <c r="W1440" s="94">
        <f>IFERROR(VLOOKUP($G1440,基本資料!$A:$J,10,0),"無")</f>
        <v>-0.5</v>
      </c>
      <c r="X1440" s="36">
        <f>RTD("money.excel",,"1316","Price")</f>
        <v>19.850000000000001</v>
      </c>
      <c r="Y1440" s="66"/>
      <c r="Z1440" s="15">
        <f>X1440-Y1440</f>
        <v>19.850000000000001</v>
      </c>
      <c r="AA1440" s="3" t="e">
        <f>Z1440/Y1440</f>
        <v>#DIV/0!</v>
      </c>
      <c r="AB1440" s="344">
        <f>IFERROR(VLOOKUP($G1440,基本資料!$A:$M,11,0),"無")</f>
        <v>-30.99</v>
      </c>
      <c r="AC1440" s="397">
        <f>IFERROR(VLOOKUP($G1440,基本資料!$A:$M,12,0),"無")</f>
        <v>39.020000000000003</v>
      </c>
      <c r="AD1440" s="22" t="s">
        <v>756</v>
      </c>
      <c r="AG1440" s="33">
        <f>AF1440-AE1440</f>
        <v>0</v>
      </c>
      <c r="AH1440" s="43" t="s">
        <v>2381</v>
      </c>
      <c r="AI1440" s="63">
        <f t="shared" ref="AI1440:AI1471" si="273">AJ1440/(A1440*10000)</f>
        <v>5.4255319148936172E-2</v>
      </c>
      <c r="AJ1440" s="284">
        <f>RTD("money.excel",,$G1440,"PredictVolume")</f>
        <v>13005</v>
      </c>
      <c r="AK1440" s="399">
        <f>IFERROR(VLOOKUP($G1440,基本資料!$A:$M,13,0),"無")</f>
        <v>49.5</v>
      </c>
    </row>
    <row r="1441" spans="1:37">
      <c r="A1441" s="347">
        <f>IFERROR(VLOOKUP($G1441,基本資料!$A:$J,3,0),"無")</f>
        <v>9.61</v>
      </c>
      <c r="B1441" s="79">
        <f>IFERROR(VLOOKUP($G1441,基本資料!$A:$J,4,0),"無")</f>
        <v>170</v>
      </c>
      <c r="C1441" s="79">
        <f>IFERROR(VLOOKUP($G1441,基本資料!$A:$J,5,0),"無")</f>
        <v>96</v>
      </c>
      <c r="D1441" s="79">
        <f>IFERROR(VLOOKUP($G1441,基本資料!$A:$J,6,0),"無")</f>
        <v>64</v>
      </c>
      <c r="E1441" s="79">
        <f>IFERROR(VLOOKUP($G1441,基本資料!$A:$J,7,0),"無")</f>
        <v>-99</v>
      </c>
      <c r="F1441" s="6">
        <f>IFERROR(VLOOKUP($G1441,基本資料!$A:$J,8,0),"無")</f>
        <v>20.82</v>
      </c>
      <c r="G1441" s="79">
        <v>1436</v>
      </c>
      <c r="H1441" s="8" t="s">
        <v>876</v>
      </c>
      <c r="I1441" s="22" t="s">
        <v>898</v>
      </c>
      <c r="J1441" s="8" t="str">
        <f>IFERROR(VLOOKUP($G1441,今日總結!$A:$AJ,35,0),"")</f>
        <v/>
      </c>
      <c r="K1441" s="5" t="str">
        <f>IFERROR(VLOOKUP($G1441,今日總結!$A:$AJ,36,0),"")</f>
        <v/>
      </c>
      <c r="L1441" s="156" t="str">
        <f>IFERROR(VLOOKUP($G1441,今日總結!$A:$AJ,33,0),"")</f>
        <v/>
      </c>
      <c r="M1441" s="340" t="str">
        <f>IFERROR(VLOOKUP($G1441,今日總結!$A:$AJ,34,0),"")</f>
        <v/>
      </c>
      <c r="N1441" s="240" t="str">
        <f t="shared" si="271"/>
        <v/>
      </c>
      <c r="P1441" s="365">
        <f>IFERROR(VLOOKUP($G1441,融外自投!$A:$J,7,0),"無")</f>
        <v>1116</v>
      </c>
      <c r="Q1441" s="79">
        <f>IFERROR(VLOOKUP($G1441,融外自投!$A:$J,9,0),"無")</f>
        <v>1110</v>
      </c>
      <c r="R1441" s="346">
        <f>IFERROR(VLOOKUP($G1441,融外自投!$A:$J,8,0),"無")</f>
        <v>1305</v>
      </c>
      <c r="S1441" s="81" t="str">
        <f>IFERROR(VLOOKUP($G1441,融外自投!$A:$J,10,0),"無")</f>
        <v>無</v>
      </c>
      <c r="T1441" s="327">
        <f>IFERROR(VLOOKUP($G1441,'321買'!$A:$E,5,0),"'沒有資料'")</f>
        <v>1143</v>
      </c>
      <c r="U1441" s="186">
        <f>IFERROR(VLOOKUP($G1441,基本資料!$A:$J,9,0),"無")</f>
        <v>4.16</v>
      </c>
      <c r="V1441" s="310">
        <f t="shared" si="272"/>
        <v>6.3705972434915784E-2</v>
      </c>
      <c r="W1441" s="94">
        <f>IFERROR(VLOOKUP($G1441,基本資料!$A:$J,10,0),"無")</f>
        <v>5.08</v>
      </c>
      <c r="X1441" s="36">
        <f>RTD("money.excel",,"1436","Price")</f>
        <v>65.3</v>
      </c>
      <c r="Y1441" s="66"/>
      <c r="Z1441" s="15">
        <f t="shared" ref="Z1441:Z1503" si="274">X1441-Y1441</f>
        <v>65.3</v>
      </c>
      <c r="AA1441" s="3" t="e">
        <f t="shared" ref="AA1441:AA1503" si="275">Z1441/Y1441</f>
        <v>#DIV/0!</v>
      </c>
      <c r="AB1441" s="344">
        <f>IFERROR(VLOOKUP($G1441,基本資料!$A:$M,11,0),"無")</f>
        <v>-6.34</v>
      </c>
      <c r="AC1441" s="397">
        <f>IFERROR(VLOOKUP($G1441,基本資料!$A:$M,12,0),"無")</f>
        <v>72.650000000000006</v>
      </c>
      <c r="AD1441" s="22" t="s">
        <v>898</v>
      </c>
      <c r="AG1441" s="33">
        <f t="shared" ref="AG1441:AG1503" si="276">AF1441-AE1441</f>
        <v>0</v>
      </c>
      <c r="AH1441" s="43" t="s">
        <v>1533</v>
      </c>
      <c r="AI1441" s="63">
        <f t="shared" si="273"/>
        <v>1.9771071800208116E-4</v>
      </c>
      <c r="AJ1441" s="284">
        <f>RTD("money.excel",,$G1441,"PredictVolume")</f>
        <v>19</v>
      </c>
      <c r="AK1441" s="399">
        <f>IFERROR(VLOOKUP($G1441,基本資料!$A:$M,13,0),"無")</f>
        <v>3.73</v>
      </c>
    </row>
    <row r="1442" spans="1:37">
      <c r="A1442" s="347">
        <f>IFERROR(VLOOKUP($G1442,基本資料!$A:$J,3,0),"無")</f>
        <v>7.12</v>
      </c>
      <c r="B1442" s="79">
        <f>IFERROR(VLOOKUP($G1442,基本資料!$A:$J,4,0),"無")</f>
        <v>-34</v>
      </c>
      <c r="C1442" s="79">
        <f>IFERROR(VLOOKUP($G1442,基本資料!$A:$J,5,0),"無")</f>
        <v>-120</v>
      </c>
      <c r="D1442" s="79">
        <f>IFERROR(VLOOKUP($G1442,基本資料!$A:$J,6,0),"無")</f>
        <v>-100</v>
      </c>
      <c r="E1442" s="79">
        <f>IFERROR(VLOOKUP($G1442,基本資料!$A:$J,7,0),"無")</f>
        <v>-100</v>
      </c>
      <c r="F1442" s="6">
        <f>IFERROR(VLOOKUP($G1442,基本資料!$A:$J,8,0),"無")</f>
        <v>-77.83</v>
      </c>
      <c r="G1442" s="79">
        <v>1438</v>
      </c>
      <c r="H1442" s="8" t="s">
        <v>876</v>
      </c>
      <c r="I1442" s="22" t="s">
        <v>3012</v>
      </c>
      <c r="J1442" s="8" t="str">
        <f>IFERROR(VLOOKUP($G1442,今日總結!$A:$AJ,35,0),"")</f>
        <v>融</v>
      </c>
      <c r="K1442" s="5">
        <f>IFERROR(VLOOKUP($G1442,今日總結!$A:$AJ,36,0),"")</f>
        <v>0</v>
      </c>
      <c r="L1442" s="156">
        <f>IFERROR(VLOOKUP($G1442,今日總結!$A:$AJ,33,0),"")</f>
        <v>1</v>
      </c>
      <c r="M1442" s="340">
        <f>IFERROR(VLOOKUP($G1442,今日總結!$A:$AJ,34,0),"")</f>
        <v>0</v>
      </c>
      <c r="N1442" s="240">
        <f t="shared" si="271"/>
        <v>1</v>
      </c>
      <c r="P1442" s="365">
        <f>IFERROR(VLOOKUP($G1442,融外自投!$A:$J,7,0),"無")</f>
        <v>785</v>
      </c>
      <c r="Q1442" s="79" t="str">
        <f>IFERROR(VLOOKUP($G1442,融外自投!$A:$J,9,0),"無")</f>
        <v>無</v>
      </c>
      <c r="R1442" s="346">
        <f>IFERROR(VLOOKUP($G1442,融外自投!$A:$J,8,0),"無")</f>
        <v>1276</v>
      </c>
      <c r="S1442" s="81" t="str">
        <f>IFERROR(VLOOKUP($G1442,融外自投!$A:$J,10,0),"無")</f>
        <v>無</v>
      </c>
      <c r="T1442" s="327">
        <f>IFERROR(VLOOKUP($G1442,'321買'!$A:$E,5,0),"'沒有資料'")</f>
        <v>1038</v>
      </c>
      <c r="U1442" s="186">
        <f>IFERROR(VLOOKUP($G1442,基本資料!$A:$J,9,0),"無")</f>
        <v>0</v>
      </c>
      <c r="V1442" s="310">
        <f t="shared" si="272"/>
        <v>0</v>
      </c>
      <c r="W1442" s="94">
        <f>IFERROR(VLOOKUP($G1442,基本資料!$A:$J,10,0),"無")</f>
        <v>0.56999999999999995</v>
      </c>
      <c r="X1442" s="36">
        <f>RTD("money.excel",,"1438","Price")</f>
        <v>32.5</v>
      </c>
      <c r="Y1442" s="66"/>
      <c r="Z1442" s="15">
        <f t="shared" si="274"/>
        <v>32.5</v>
      </c>
      <c r="AA1442" s="3" t="e">
        <f t="shared" si="275"/>
        <v>#DIV/0!</v>
      </c>
      <c r="AB1442" s="344">
        <f>IFERROR(VLOOKUP($G1442,基本資料!$A:$M,11,0),"無")</f>
        <v>-17.97</v>
      </c>
      <c r="AC1442" s="397">
        <f>IFERROR(VLOOKUP($G1442,基本資料!$A:$M,12,0),"無")</f>
        <v>59.37</v>
      </c>
      <c r="AD1442" s="22" t="s">
        <v>3012</v>
      </c>
      <c r="AG1442" s="33">
        <f t="shared" si="276"/>
        <v>0</v>
      </c>
      <c r="AH1442" s="43" t="s">
        <v>4003</v>
      </c>
      <c r="AI1442" s="63">
        <f t="shared" si="273"/>
        <v>6.4606741573033704E-4</v>
      </c>
      <c r="AJ1442" s="284">
        <f>RTD("money.excel",,$G1442,"PredictVolume")</f>
        <v>46</v>
      </c>
      <c r="AK1442" s="399">
        <f>IFERROR(VLOOKUP($G1442,基本資料!$A:$M,13,0),"無")</f>
        <v>1.78</v>
      </c>
    </row>
    <row r="1443" spans="1:37">
      <c r="A1443" s="347">
        <f>IFERROR(VLOOKUP($G1443,基本資料!$A:$J,3,0),"無")</f>
        <v>36.619999999999997</v>
      </c>
      <c r="B1443" s="79">
        <f>IFERROR(VLOOKUP($G1443,基本資料!$A:$J,4,0),"無")</f>
        <v>570</v>
      </c>
      <c r="C1443" s="79">
        <f>IFERROR(VLOOKUP($G1443,基本資料!$A:$J,5,0),"無")</f>
        <v>365</v>
      </c>
      <c r="D1443" s="79">
        <f>IFERROR(VLOOKUP($G1443,基本資料!$A:$J,6,0),"無")</f>
        <v>288</v>
      </c>
      <c r="E1443" s="79">
        <f>IFERROR(VLOOKUP($G1443,基本資料!$A:$J,7,0),"無")</f>
        <v>2</v>
      </c>
      <c r="F1443" s="6">
        <f>IFERROR(VLOOKUP($G1443,基本資料!$A:$J,8,0),"無")</f>
        <v>14.8</v>
      </c>
      <c r="G1443" s="79">
        <v>1442</v>
      </c>
      <c r="H1443" s="8" t="s">
        <v>876</v>
      </c>
      <c r="I1443" s="22" t="s">
        <v>899</v>
      </c>
      <c r="J1443" s="8">
        <f>IFERROR(VLOOKUP($G1443,今日總結!$A:$AJ,35,0),"")</f>
        <v>0</v>
      </c>
      <c r="K1443" s="5" t="str">
        <f>IFERROR(VLOOKUP($G1443,今日總結!$A:$AJ,36,0),"")</f>
        <v>外</v>
      </c>
      <c r="L1443" s="156">
        <f>IFERROR(VLOOKUP($G1443,今日總結!$A:$AJ,33,0),"")</f>
        <v>0</v>
      </c>
      <c r="M1443" s="340">
        <f>IFERROR(VLOOKUP($G1443,今日總結!$A:$AJ,34,0),"")</f>
        <v>1</v>
      </c>
      <c r="N1443" s="240">
        <f t="shared" si="271"/>
        <v>-1</v>
      </c>
      <c r="P1443" s="365">
        <f>IFERROR(VLOOKUP($G1443,融外自投!$A:$J,7,0),"無")</f>
        <v>762</v>
      </c>
      <c r="Q1443" s="79" t="str">
        <f>IFERROR(VLOOKUP($G1443,融外自投!$A:$J,9,0),"無")</f>
        <v>無</v>
      </c>
      <c r="R1443" s="346">
        <f>IFERROR(VLOOKUP($G1443,融外自投!$A:$J,8,0),"無")</f>
        <v>890</v>
      </c>
      <c r="S1443" s="81" t="str">
        <f>IFERROR(VLOOKUP($G1443,融外自投!$A:$J,10,0),"無")</f>
        <v>無</v>
      </c>
      <c r="T1443" s="327">
        <f>IFERROR(VLOOKUP($G1443,'321買'!$A:$E,5,0),"'沒有資料'")</f>
        <v>463</v>
      </c>
      <c r="U1443" s="186">
        <f>IFERROR(VLOOKUP($G1443,基本資料!$A:$J,9,0),"無")</f>
        <v>1.2</v>
      </c>
      <c r="V1443" s="310">
        <f t="shared" si="272"/>
        <v>5.3811659192825108E-2</v>
      </c>
      <c r="W1443" s="94">
        <f>IFERROR(VLOOKUP($G1443,基本資料!$A:$J,10,0),"無")</f>
        <v>1.41</v>
      </c>
      <c r="X1443" s="36">
        <f>RTD("money.excel",,"1442","Price")</f>
        <v>22.3</v>
      </c>
      <c r="Y1443" s="66"/>
      <c r="Z1443" s="15">
        <f t="shared" si="274"/>
        <v>22.3</v>
      </c>
      <c r="AA1443" s="3" t="e">
        <f t="shared" si="275"/>
        <v>#DIV/0!</v>
      </c>
      <c r="AB1443" s="344">
        <f>IFERROR(VLOOKUP($G1443,基本資料!$A:$M,11,0),"無")</f>
        <v>-18.579999999999998</v>
      </c>
      <c r="AC1443" s="397">
        <f>IFERROR(VLOOKUP($G1443,基本資料!$A:$M,12,0),"無")</f>
        <v>36.47</v>
      </c>
      <c r="AD1443" s="22" t="s">
        <v>899</v>
      </c>
      <c r="AG1443" s="33">
        <f t="shared" si="276"/>
        <v>0</v>
      </c>
      <c r="AH1443" s="43" t="s">
        <v>2317</v>
      </c>
      <c r="AI1443" s="63">
        <f t="shared" si="273"/>
        <v>6.0895685417804483E-4</v>
      </c>
      <c r="AJ1443" s="284">
        <f>RTD("money.excel",,$G1443,"PredictVolume")</f>
        <v>223</v>
      </c>
      <c r="AK1443" s="399">
        <f>IFERROR(VLOOKUP($G1443,基本資料!$A:$M,13,0),"無")</f>
        <v>3.09</v>
      </c>
    </row>
    <row r="1444" spans="1:37">
      <c r="A1444" s="347">
        <f>IFERROR(VLOOKUP($G1444,基本資料!$A:$J,3,0),"無")</f>
        <v>10.02</v>
      </c>
      <c r="B1444" s="79">
        <f>IFERROR(VLOOKUP($G1444,基本資料!$A:$J,4,0),"無")</f>
        <v>45</v>
      </c>
      <c r="C1444" s="79">
        <f>IFERROR(VLOOKUP($G1444,基本資料!$A:$J,5,0),"無")</f>
        <v>36</v>
      </c>
      <c r="D1444" s="79">
        <f>IFERROR(VLOOKUP($G1444,基本資料!$A:$J,6,0),"無")</f>
        <v>207</v>
      </c>
      <c r="E1444" s="79">
        <f>IFERROR(VLOOKUP($G1444,基本資料!$A:$J,7,0),"無")</f>
        <v>3785</v>
      </c>
      <c r="F1444" s="6">
        <f>IFERROR(VLOOKUP($G1444,基本資料!$A:$J,8,0),"無")</f>
        <v>-18.28</v>
      </c>
      <c r="G1444" s="79">
        <v>1805</v>
      </c>
      <c r="H1444" s="8" t="s">
        <v>876</v>
      </c>
      <c r="I1444" s="22" t="s">
        <v>900</v>
      </c>
      <c r="J1444" s="8" t="str">
        <f>IFERROR(VLOOKUP($G1444,今日總結!$A:$AJ,35,0),"")</f>
        <v/>
      </c>
      <c r="K1444" s="5" t="str">
        <f>IFERROR(VLOOKUP($G1444,今日總結!$A:$AJ,36,0),"")</f>
        <v/>
      </c>
      <c r="L1444" s="156" t="str">
        <f>IFERROR(VLOOKUP($G1444,今日總結!$A:$AJ,33,0),"")</f>
        <v/>
      </c>
      <c r="M1444" s="340" t="str">
        <f>IFERROR(VLOOKUP($G1444,今日總結!$A:$AJ,34,0),"")</f>
        <v/>
      </c>
      <c r="N1444" s="240" t="str">
        <f t="shared" si="271"/>
        <v/>
      </c>
      <c r="P1444" s="365" t="str">
        <f>IFERROR(VLOOKUP($G1444,融外自投!$A:$J,7,0),"無")</f>
        <v>無</v>
      </c>
      <c r="Q1444" s="79" t="str">
        <f>IFERROR(VLOOKUP($G1444,融外自投!$A:$J,9,0),"無")</f>
        <v>無</v>
      </c>
      <c r="R1444" s="346" t="str">
        <f>IFERROR(VLOOKUP($G1444,融外自投!$A:$J,8,0),"無")</f>
        <v>無</v>
      </c>
      <c r="S1444" s="81" t="str">
        <f>IFERROR(VLOOKUP($G1444,融外自投!$A:$J,10,0),"無")</f>
        <v>無</v>
      </c>
      <c r="T1444" s="327" t="str">
        <f>IFERROR(VLOOKUP($G1444,'321買'!$A:$E,5,0),"'沒有資料'")</f>
        <v>'沒有資料'</v>
      </c>
      <c r="U1444" s="186">
        <f>IFERROR(VLOOKUP($G1444,基本資料!$A:$J,9,0),"無")</f>
        <v>0</v>
      </c>
      <c r="V1444" s="310">
        <f t="shared" si="272"/>
        <v>0</v>
      </c>
      <c r="W1444" s="94">
        <f>IFERROR(VLOOKUP($G1444,基本資料!$A:$J,10,0),"無")</f>
        <v>-0.34</v>
      </c>
      <c r="X1444" s="36">
        <f>RTD("money.excel",,"1805","Price")</f>
        <v>12.35</v>
      </c>
      <c r="Y1444" s="66"/>
      <c r="Z1444" s="15">
        <f t="shared" si="274"/>
        <v>12.35</v>
      </c>
      <c r="AA1444" s="3" t="e">
        <f t="shared" si="275"/>
        <v>#DIV/0!</v>
      </c>
      <c r="AB1444" s="344">
        <f>IFERROR(VLOOKUP($G1444,基本資料!$A:$M,11,0),"無")</f>
        <v>-18.829999999999998</v>
      </c>
      <c r="AC1444" s="397">
        <f>IFERROR(VLOOKUP($G1444,基本資料!$A:$M,12,0),"無")</f>
        <v>19.82</v>
      </c>
      <c r="AD1444" s="22" t="s">
        <v>900</v>
      </c>
      <c r="AG1444" s="33">
        <f t="shared" si="276"/>
        <v>0</v>
      </c>
      <c r="AH1444" s="43" t="s">
        <v>1534</v>
      </c>
      <c r="AI1444" s="63">
        <f t="shared" si="273"/>
        <v>6.9860279441117759E-5</v>
      </c>
      <c r="AJ1444" s="284">
        <f>RTD("money.excel",,$G1444,"PredictVolume")</f>
        <v>7</v>
      </c>
      <c r="AK1444" s="399">
        <f>IFERROR(VLOOKUP($G1444,基本資料!$A:$M,13,0),"無")</f>
        <v>4.21</v>
      </c>
    </row>
    <row r="1445" spans="1:37">
      <c r="A1445" s="347">
        <f>IFERROR(VLOOKUP($G1445,基本資料!$A:$J,3,0),"無")</f>
        <v>39.21</v>
      </c>
      <c r="B1445" s="79">
        <f>IFERROR(VLOOKUP($G1445,基本資料!$A:$J,4,0),"無")</f>
        <v>1325</v>
      </c>
      <c r="C1445" s="79">
        <f>IFERROR(VLOOKUP($G1445,基本資料!$A:$J,5,0),"無")</f>
        <v>416</v>
      </c>
      <c r="D1445" s="79">
        <f>IFERROR(VLOOKUP($G1445,基本資料!$A:$J,6,0),"無")</f>
        <v>166</v>
      </c>
      <c r="E1445" s="79">
        <f>IFERROR(VLOOKUP($G1445,基本資料!$A:$J,7,0),"無")</f>
        <v>-86</v>
      </c>
      <c r="F1445" s="6">
        <f>IFERROR(VLOOKUP($G1445,基本資料!$A:$J,8,0),"無")</f>
        <v>19.940000000000001</v>
      </c>
      <c r="G1445" s="79">
        <v>1808</v>
      </c>
      <c r="H1445" s="8" t="s">
        <v>876</v>
      </c>
      <c r="I1445" s="22" t="s">
        <v>901</v>
      </c>
      <c r="J1445" s="8" t="str">
        <f>IFERROR(VLOOKUP($G1445,今日總結!$A:$AJ,35,0),"")</f>
        <v>主</v>
      </c>
      <c r="K1445" s="5">
        <f>IFERROR(VLOOKUP($G1445,今日總結!$A:$AJ,36,0),"")</f>
        <v>0</v>
      </c>
      <c r="L1445" s="156">
        <f>IFERROR(VLOOKUP($G1445,今日總結!$A:$AJ,33,0),"")</f>
        <v>1</v>
      </c>
      <c r="M1445" s="340">
        <f>IFERROR(VLOOKUP($G1445,今日總結!$A:$AJ,34,0),"")</f>
        <v>0</v>
      </c>
      <c r="N1445" s="240">
        <f t="shared" si="271"/>
        <v>1</v>
      </c>
      <c r="P1445" s="365">
        <f>IFERROR(VLOOKUP($G1445,融外自投!$A:$J,7,0),"無")</f>
        <v>966</v>
      </c>
      <c r="Q1445" s="79">
        <f>IFERROR(VLOOKUP($G1445,融外自投!$A:$J,9,0),"無")</f>
        <v>635</v>
      </c>
      <c r="R1445" s="346">
        <f>IFERROR(VLOOKUP($G1445,融外自投!$A:$J,8,0),"無")</f>
        <v>883</v>
      </c>
      <c r="S1445" s="81" t="str">
        <f>IFERROR(VLOOKUP($G1445,融外自投!$A:$J,10,0),"無")</f>
        <v>無</v>
      </c>
      <c r="T1445" s="327">
        <f>IFERROR(VLOOKUP($G1445,'321買'!$A:$E,5,0),"'沒有資料'")</f>
        <v>802</v>
      </c>
      <c r="U1445" s="186">
        <f>IFERROR(VLOOKUP($G1445,基本資料!$A:$J,9,0),"無")</f>
        <v>3.5</v>
      </c>
      <c r="V1445" s="310">
        <f t="shared" si="272"/>
        <v>5.0071530758226034E-2</v>
      </c>
      <c r="W1445" s="94">
        <f>IFERROR(VLOOKUP($G1445,基本資料!$A:$J,10,0),"無")</f>
        <v>4.26</v>
      </c>
      <c r="X1445" s="36">
        <f>RTD("money.excel",,"1808","Price")</f>
        <v>69.900000000000006</v>
      </c>
      <c r="Y1445" s="66"/>
      <c r="Z1445" s="15">
        <f t="shared" si="274"/>
        <v>69.900000000000006</v>
      </c>
      <c r="AA1445" s="3" t="e">
        <f t="shared" si="275"/>
        <v>#DIV/0!</v>
      </c>
      <c r="AB1445" s="344">
        <f>IFERROR(VLOOKUP($G1445,基本資料!$A:$M,11,0),"無")</f>
        <v>-1.39</v>
      </c>
      <c r="AC1445" s="397">
        <f>IFERROR(VLOOKUP($G1445,基本資料!$A:$M,12,0),"無")</f>
        <v>78.489999999999995</v>
      </c>
      <c r="AD1445" s="22" t="s">
        <v>901</v>
      </c>
      <c r="AG1445" s="33">
        <f t="shared" si="276"/>
        <v>0</v>
      </c>
      <c r="AH1445" s="43" t="s">
        <v>3279</v>
      </c>
      <c r="AI1445" s="63">
        <f t="shared" si="273"/>
        <v>5.9347105330272891E-3</v>
      </c>
      <c r="AJ1445" s="284">
        <f>RTD("money.excel",,$G1445,"PredictVolume")</f>
        <v>2327</v>
      </c>
      <c r="AK1445" s="399">
        <f>IFERROR(VLOOKUP($G1445,基本資料!$A:$M,13,0),"無")</f>
        <v>2.36</v>
      </c>
    </row>
    <row r="1446" spans="1:37">
      <c r="A1446" s="347">
        <f>IFERROR(VLOOKUP($G1446,基本資料!$A:$J,3,0),"無")</f>
        <v>115</v>
      </c>
      <c r="B1446" s="79">
        <f>IFERROR(VLOOKUP($G1446,基本資料!$A:$J,4,0),"無")</f>
        <v>-44</v>
      </c>
      <c r="C1446" s="79">
        <f>IFERROR(VLOOKUP($G1446,基本資料!$A:$J,5,0),"無")</f>
        <v>-43</v>
      </c>
      <c r="D1446" s="79">
        <f>IFERROR(VLOOKUP($G1446,基本資料!$A:$J,6,0),"無")</f>
        <v>-8</v>
      </c>
      <c r="E1446" s="79">
        <f>IFERROR(VLOOKUP($G1446,基本資料!$A:$J,7,0),"無")</f>
        <v>-50</v>
      </c>
      <c r="F1446" s="6">
        <f>IFERROR(VLOOKUP($G1446,基本資料!$A:$J,8,0),"無")</f>
        <v>7.02</v>
      </c>
      <c r="G1446" s="79">
        <v>2501</v>
      </c>
      <c r="H1446" s="8" t="s">
        <v>876</v>
      </c>
      <c r="I1446" s="22" t="s">
        <v>902</v>
      </c>
      <c r="J1446" s="8" t="str">
        <f>IFERROR(VLOOKUP($G1446,今日總結!$A:$AJ,35,0),"")</f>
        <v/>
      </c>
      <c r="K1446" s="5" t="str">
        <f>IFERROR(VLOOKUP($G1446,今日總結!$A:$AJ,36,0),"")</f>
        <v/>
      </c>
      <c r="L1446" s="156" t="str">
        <f>IFERROR(VLOOKUP($G1446,今日總結!$A:$AJ,33,0),"")</f>
        <v/>
      </c>
      <c r="M1446" s="340" t="str">
        <f>IFERROR(VLOOKUP($G1446,今日總結!$A:$AJ,34,0),"")</f>
        <v/>
      </c>
      <c r="N1446" s="240" t="str">
        <f t="shared" si="271"/>
        <v/>
      </c>
      <c r="P1446" s="365">
        <f>IFERROR(VLOOKUP($G1446,融外自投!$A:$J,7,0),"無")</f>
        <v>1339</v>
      </c>
      <c r="Q1446" s="79">
        <f>IFERROR(VLOOKUP($G1446,融外自投!$A:$J,9,0),"無")</f>
        <v>708</v>
      </c>
      <c r="R1446" s="346">
        <f>IFERROR(VLOOKUP($G1446,融外自投!$A:$J,8,0),"無")</f>
        <v>599</v>
      </c>
      <c r="S1446" s="81" t="str">
        <f>IFERROR(VLOOKUP($G1446,融外自投!$A:$J,10,0),"無")</f>
        <v>無</v>
      </c>
      <c r="T1446" s="327">
        <f>IFERROR(VLOOKUP($G1446,'321買'!$A:$E,5,0),"'沒有資料'")</f>
        <v>1099</v>
      </c>
      <c r="U1446" s="186">
        <f>IFERROR(VLOOKUP($G1446,基本資料!$A:$J,9,0),"無")</f>
        <v>0.6</v>
      </c>
      <c r="V1446" s="310">
        <f t="shared" si="272"/>
        <v>3.3519553072625698E-2</v>
      </c>
      <c r="W1446" s="94">
        <f>IFERROR(VLOOKUP($G1446,基本資料!$A:$J,10,0),"無")</f>
        <v>0.73</v>
      </c>
      <c r="X1446" s="36">
        <f>RTD("money.excel",,"2501","Price")</f>
        <v>17.899999999999999</v>
      </c>
      <c r="Y1446" s="66"/>
      <c r="Z1446" s="15">
        <f t="shared" si="274"/>
        <v>17.899999999999999</v>
      </c>
      <c r="AA1446" s="3" t="e">
        <f t="shared" si="275"/>
        <v>#DIV/0!</v>
      </c>
      <c r="AB1446" s="344">
        <f>IFERROR(VLOOKUP($G1446,基本資料!$A:$M,11,0),"無")</f>
        <v>-14.45</v>
      </c>
      <c r="AC1446" s="397">
        <f>IFERROR(VLOOKUP($G1446,基本資料!$A:$M,12,0),"無")</f>
        <v>16.329999999999998</v>
      </c>
      <c r="AD1446" s="22" t="s">
        <v>902</v>
      </c>
      <c r="AG1446" s="33">
        <f t="shared" si="276"/>
        <v>0</v>
      </c>
      <c r="AH1446" s="43" t="s">
        <v>1422</v>
      </c>
      <c r="AI1446" s="63">
        <f t="shared" si="273"/>
        <v>3.4347826086956524E-4</v>
      </c>
      <c r="AJ1446" s="284">
        <f>RTD("money.excel",,$G1446,"PredictVolume")</f>
        <v>395</v>
      </c>
      <c r="AK1446" s="399">
        <f>IFERROR(VLOOKUP($G1446,基本資料!$A:$M,13,0),"無")</f>
        <v>0.76</v>
      </c>
    </row>
    <row r="1447" spans="1:37">
      <c r="A1447" s="347">
        <f>IFERROR(VLOOKUP($G1447,基本資料!$A:$J,3,0),"無")</f>
        <v>118</v>
      </c>
      <c r="B1447" s="79">
        <f>IFERROR(VLOOKUP($G1447,基本資料!$A:$J,4,0),"無")</f>
        <v>14</v>
      </c>
      <c r="C1447" s="79">
        <f>IFERROR(VLOOKUP($G1447,基本資料!$A:$J,5,0),"無")</f>
        <v>39</v>
      </c>
      <c r="D1447" s="79">
        <f>IFERROR(VLOOKUP($G1447,基本資料!$A:$J,6,0),"無")</f>
        <v>-3</v>
      </c>
      <c r="E1447" s="79">
        <f>IFERROR(VLOOKUP($G1447,基本資料!$A:$J,7,0),"無")</f>
        <v>-7</v>
      </c>
      <c r="F1447" s="6">
        <f>IFERROR(VLOOKUP($G1447,基本資料!$A:$J,8,0),"無")</f>
        <v>14.88</v>
      </c>
      <c r="G1447" s="79">
        <v>2504</v>
      </c>
      <c r="H1447" s="8" t="s">
        <v>876</v>
      </c>
      <c r="I1447" s="22" t="s">
        <v>903</v>
      </c>
      <c r="J1447" s="8">
        <f>IFERROR(VLOOKUP($G1447,今日總結!$A:$AJ,35,0),"")</f>
        <v>9</v>
      </c>
      <c r="K1447" s="5">
        <f>IFERROR(VLOOKUP($G1447,今日總結!$A:$AJ,36,0),"")</f>
        <v>0</v>
      </c>
      <c r="L1447" s="156">
        <f>IFERROR(VLOOKUP($G1447,今日總結!$A:$AJ,33,0),"")</f>
        <v>1</v>
      </c>
      <c r="M1447" s="340">
        <f>IFERROR(VLOOKUP($G1447,今日總結!$A:$AJ,34,0),"")</f>
        <v>0</v>
      </c>
      <c r="N1447" s="240">
        <f t="shared" si="271"/>
        <v>1</v>
      </c>
      <c r="P1447" s="365">
        <f>IFERROR(VLOOKUP($G1447,融外自投!$A:$J,7,0),"無")</f>
        <v>1004</v>
      </c>
      <c r="Q1447" s="79">
        <f>IFERROR(VLOOKUP($G1447,融外自投!$A:$J,9,0),"無")</f>
        <v>65</v>
      </c>
      <c r="R1447" s="346">
        <f>IFERROR(VLOOKUP($G1447,融外自投!$A:$J,8,0),"無")</f>
        <v>347</v>
      </c>
      <c r="S1447" s="81">
        <f>IFERROR(VLOOKUP($G1447,融外自投!$A:$J,10,0),"無")</f>
        <v>309</v>
      </c>
      <c r="T1447" s="327">
        <f>IFERROR(VLOOKUP($G1447,'321買'!$A:$E,5,0),"'沒有資料'")</f>
        <v>292</v>
      </c>
      <c r="U1447" s="186">
        <f>IFERROR(VLOOKUP($G1447,基本資料!$A:$J,9,0),"無")</f>
        <v>1.8</v>
      </c>
      <c r="V1447" s="310">
        <f t="shared" si="272"/>
        <v>6.8311195445920306E-2</v>
      </c>
      <c r="W1447" s="94">
        <f>IFERROR(VLOOKUP($G1447,基本資料!$A:$J,10,0),"無")</f>
        <v>2.42</v>
      </c>
      <c r="X1447" s="36">
        <f>RTD("money.excel",,"2504","Price")</f>
        <v>26.35</v>
      </c>
      <c r="Y1447" s="66"/>
      <c r="Z1447" s="15">
        <f t="shared" si="274"/>
        <v>26.35</v>
      </c>
      <c r="AA1447" s="3" t="e">
        <f t="shared" si="275"/>
        <v>#DIV/0!</v>
      </c>
      <c r="AB1447" s="344">
        <f>IFERROR(VLOOKUP($G1447,基本資料!$A:$M,11,0),"無")</f>
        <v>-17.559999999999999</v>
      </c>
      <c r="AC1447" s="397">
        <f>IFERROR(VLOOKUP($G1447,基本資料!$A:$M,12,0),"無")</f>
        <v>42.74</v>
      </c>
      <c r="AD1447" s="22" t="s">
        <v>903</v>
      </c>
      <c r="AG1447" s="33">
        <f t="shared" si="276"/>
        <v>0</v>
      </c>
      <c r="AH1447" s="43" t="s">
        <v>1957</v>
      </c>
      <c r="AI1447" s="63">
        <f t="shared" si="273"/>
        <v>3.2966101694915256E-3</v>
      </c>
      <c r="AJ1447" s="284">
        <f>RTD("money.excel",,$G1447,"PredictVolume")</f>
        <v>3890</v>
      </c>
      <c r="AK1447" s="399">
        <f>IFERROR(VLOOKUP($G1447,基本資料!$A:$M,13,0),"無")</f>
        <v>3.4</v>
      </c>
    </row>
    <row r="1448" spans="1:37">
      <c r="A1448" s="347">
        <f>IFERROR(VLOOKUP($G1448,基本資料!$A:$J,3,0),"無")</f>
        <v>38</v>
      </c>
      <c r="B1448" s="79">
        <f>IFERROR(VLOOKUP($G1448,基本資料!$A:$J,4,0),"無")</f>
        <v>-80</v>
      </c>
      <c r="C1448" s="79">
        <f>IFERROR(VLOOKUP($G1448,基本資料!$A:$J,5,0),"無")</f>
        <v>-81</v>
      </c>
      <c r="D1448" s="79">
        <f>IFERROR(VLOOKUP($G1448,基本資料!$A:$J,6,0),"無")</f>
        <v>-84</v>
      </c>
      <c r="E1448" s="79">
        <f>IFERROR(VLOOKUP($G1448,基本資料!$A:$J,7,0),"無")</f>
        <v>-82</v>
      </c>
      <c r="F1448" s="6">
        <f>IFERROR(VLOOKUP($G1448,基本資料!$A:$J,8,0),"無")</f>
        <v>18.350000000000001</v>
      </c>
      <c r="G1448" s="79">
        <v>2505</v>
      </c>
      <c r="H1448" s="8" t="s">
        <v>876</v>
      </c>
      <c r="I1448" s="22" t="s">
        <v>904</v>
      </c>
      <c r="J1448" s="8" t="str">
        <f>IFERROR(VLOOKUP($G1448,今日總結!$A:$AJ,35,0),"")</f>
        <v>外</v>
      </c>
      <c r="K1448" s="5">
        <f>IFERROR(VLOOKUP($G1448,今日總結!$A:$AJ,36,0),"")</f>
        <v>0</v>
      </c>
      <c r="L1448" s="156">
        <f>IFERROR(VLOOKUP($G1448,今日總結!$A:$AJ,33,0),"")</f>
        <v>1</v>
      </c>
      <c r="M1448" s="340">
        <f>IFERROR(VLOOKUP($G1448,今日總結!$A:$AJ,34,0),"")</f>
        <v>0</v>
      </c>
      <c r="N1448" s="240">
        <f t="shared" si="271"/>
        <v>1</v>
      </c>
      <c r="P1448" s="365">
        <f>IFERROR(VLOOKUP($G1448,融外自投!$A:$J,7,0),"無")</f>
        <v>838</v>
      </c>
      <c r="Q1448" s="79">
        <f>IFERROR(VLOOKUP($G1448,融外自投!$A:$J,9,0),"無")</f>
        <v>287</v>
      </c>
      <c r="R1448" s="346">
        <f>IFERROR(VLOOKUP($G1448,融外自投!$A:$J,8,0),"無")</f>
        <v>739</v>
      </c>
      <c r="S1448" s="81" t="str">
        <f>IFERROR(VLOOKUP($G1448,融外自投!$A:$J,10,0),"無")</f>
        <v>無</v>
      </c>
      <c r="T1448" s="327">
        <f>IFERROR(VLOOKUP($G1448,'321買'!$A:$E,5,0),"'沒有資料'")</f>
        <v>683</v>
      </c>
      <c r="U1448" s="186">
        <f>IFERROR(VLOOKUP($G1448,基本資料!$A:$J,9,0),"無")</f>
        <v>0</v>
      </c>
      <c r="V1448" s="310">
        <f t="shared" si="272"/>
        <v>0</v>
      </c>
      <c r="W1448" s="94">
        <f>IFERROR(VLOOKUP($G1448,基本資料!$A:$J,10,0),"無")</f>
        <v>2.58</v>
      </c>
      <c r="X1448" s="36">
        <f>RTD("money.excel",,"2505","Price")</f>
        <v>19.850000000000001</v>
      </c>
      <c r="Y1448" s="66"/>
      <c r="Z1448" s="15">
        <f t="shared" si="274"/>
        <v>19.850000000000001</v>
      </c>
      <c r="AA1448" s="3" t="e">
        <f t="shared" si="275"/>
        <v>#DIV/0!</v>
      </c>
      <c r="AB1448" s="344">
        <f>IFERROR(VLOOKUP($G1448,基本資料!$A:$M,11,0),"無")</f>
        <v>-37.89</v>
      </c>
      <c r="AC1448" s="397">
        <f>IFERROR(VLOOKUP($G1448,基本資料!$A:$M,12,0),"無")</f>
        <v>8.6199999999999992</v>
      </c>
      <c r="AD1448" s="22" t="s">
        <v>904</v>
      </c>
      <c r="AG1448" s="33">
        <f t="shared" si="276"/>
        <v>0</v>
      </c>
      <c r="AH1448" s="43" t="s">
        <v>2012</v>
      </c>
      <c r="AI1448" s="63">
        <f t="shared" si="273"/>
        <v>2.9473684210526316E-4</v>
      </c>
      <c r="AJ1448" s="284">
        <f>RTD("money.excel",,$G1448,"PredictVolume")</f>
        <v>112</v>
      </c>
      <c r="AK1448" s="399">
        <f>IFERROR(VLOOKUP($G1448,基本資料!$A:$M,13,0),"無")</f>
        <v>1.53</v>
      </c>
    </row>
    <row r="1449" spans="1:37">
      <c r="A1449" s="347">
        <f>IFERROR(VLOOKUP($G1449,基本資料!$A:$J,3,0),"無")</f>
        <v>38.700000000000003</v>
      </c>
      <c r="B1449" s="79">
        <f>IFERROR(VLOOKUP($G1449,基本資料!$A:$J,4,0),"無")</f>
        <v>213</v>
      </c>
      <c r="C1449" s="79">
        <f>IFERROR(VLOOKUP($G1449,基本資料!$A:$J,5,0),"無")</f>
        <v>563</v>
      </c>
      <c r="D1449" s="79">
        <f>IFERROR(VLOOKUP($G1449,基本資料!$A:$J,6,0),"無")</f>
        <v>63</v>
      </c>
      <c r="E1449" s="79">
        <f>IFERROR(VLOOKUP($G1449,基本資料!$A:$J,7,0),"無")</f>
        <v>-26</v>
      </c>
      <c r="F1449" s="6">
        <f>IFERROR(VLOOKUP($G1449,基本資料!$A:$J,8,0),"無")</f>
        <v>6.54</v>
      </c>
      <c r="G1449" s="79">
        <v>2506</v>
      </c>
      <c r="H1449" s="8" t="s">
        <v>876</v>
      </c>
      <c r="I1449" s="22" t="s">
        <v>905</v>
      </c>
      <c r="J1449" s="8" t="str">
        <f>IFERROR(VLOOKUP($G1449,今日總結!$A:$AJ,35,0),"")</f>
        <v/>
      </c>
      <c r="K1449" s="5" t="str">
        <f>IFERROR(VLOOKUP($G1449,今日總結!$A:$AJ,36,0),"")</f>
        <v/>
      </c>
      <c r="L1449" s="156" t="str">
        <f>IFERROR(VLOOKUP($G1449,今日總結!$A:$AJ,33,0),"")</f>
        <v/>
      </c>
      <c r="M1449" s="340" t="str">
        <f>IFERROR(VLOOKUP($G1449,今日總結!$A:$AJ,34,0),"")</f>
        <v/>
      </c>
      <c r="N1449" s="240" t="str">
        <f t="shared" si="271"/>
        <v/>
      </c>
      <c r="P1449" s="365">
        <f>IFERROR(VLOOKUP($G1449,融外自投!$A:$J,7,0),"無")</f>
        <v>922</v>
      </c>
      <c r="Q1449" s="79">
        <f>IFERROR(VLOOKUP($G1449,融外自投!$A:$J,9,0),"無")</f>
        <v>824</v>
      </c>
      <c r="R1449" s="346">
        <f>IFERROR(VLOOKUP($G1449,融外自投!$A:$J,8,0),"無")</f>
        <v>908</v>
      </c>
      <c r="S1449" s="81" t="str">
        <f>IFERROR(VLOOKUP($G1449,融外自投!$A:$J,10,0),"無")</f>
        <v>無</v>
      </c>
      <c r="T1449" s="327">
        <f>IFERROR(VLOOKUP($G1449,'321買'!$A:$E,5,0),"'沒有資料'")</f>
        <v>939</v>
      </c>
      <c r="U1449" s="186">
        <f>IFERROR(VLOOKUP($G1449,基本資料!$A:$J,9,0),"無")</f>
        <v>0.1</v>
      </c>
      <c r="V1449" s="310">
        <f t="shared" si="272"/>
        <v>1.0438413361169102E-2</v>
      </c>
      <c r="W1449" s="94">
        <f>IFERROR(VLOOKUP($G1449,基本資料!$A:$J,10,0),"無")</f>
        <v>0.13</v>
      </c>
      <c r="X1449" s="36">
        <f>RTD("money.excel",,"2506","Price")</f>
        <v>9.58</v>
      </c>
      <c r="Y1449" s="66"/>
      <c r="Z1449" s="15">
        <f t="shared" si="274"/>
        <v>9.58</v>
      </c>
      <c r="AA1449" s="3" t="e">
        <f t="shared" si="275"/>
        <v>#DIV/0!</v>
      </c>
      <c r="AB1449" s="344">
        <f>IFERROR(VLOOKUP($G1449,基本資料!$A:$M,11,0),"無")</f>
        <v>-12.48</v>
      </c>
      <c r="AC1449" s="397">
        <f>IFERROR(VLOOKUP($G1449,基本資料!$A:$M,12,0),"無")</f>
        <v>45.52</v>
      </c>
      <c r="AD1449" s="22" t="s">
        <v>905</v>
      </c>
      <c r="AG1449" s="33">
        <f t="shared" si="276"/>
        <v>0</v>
      </c>
      <c r="AH1449" s="43" t="s">
        <v>1535</v>
      </c>
      <c r="AI1449" s="63">
        <f t="shared" si="273"/>
        <v>6.4341085271317825E-4</v>
      </c>
      <c r="AJ1449" s="284">
        <f>RTD("money.excel",,$G1449,"PredictVolume")</f>
        <v>249</v>
      </c>
      <c r="AK1449" s="399">
        <f>IFERROR(VLOOKUP($G1449,基本資料!$A:$M,13,0),"無")</f>
        <v>2.69</v>
      </c>
    </row>
    <row r="1450" spans="1:37">
      <c r="A1450" s="347">
        <f>IFERROR(VLOOKUP($G1450,基本資料!$A:$J,3,0),"無")</f>
        <v>22.45</v>
      </c>
      <c r="B1450" s="79">
        <f>IFERROR(VLOOKUP($G1450,基本資料!$A:$J,4,0),"無")</f>
        <v>-81</v>
      </c>
      <c r="C1450" s="79">
        <f>IFERROR(VLOOKUP($G1450,基本資料!$A:$J,5,0),"無")</f>
        <v>-74</v>
      </c>
      <c r="D1450" s="79">
        <f>IFERROR(VLOOKUP($G1450,基本資料!$A:$J,6,0),"無")</f>
        <v>0</v>
      </c>
      <c r="E1450" s="79">
        <f>IFERROR(VLOOKUP($G1450,基本資料!$A:$J,7,0),"無")</f>
        <v>-83</v>
      </c>
      <c r="F1450" s="6">
        <f>IFERROR(VLOOKUP($G1450,基本資料!$A:$J,8,0),"無")</f>
        <v>10.8</v>
      </c>
      <c r="G1450" s="79">
        <v>2509</v>
      </c>
      <c r="H1450" s="8" t="s">
        <v>876</v>
      </c>
      <c r="I1450" s="22" t="s">
        <v>906</v>
      </c>
      <c r="J1450" s="8">
        <f>IFERROR(VLOOKUP($G1450,今日總結!$A:$AJ,35,0),"")</f>
        <v>0</v>
      </c>
      <c r="K1450" s="5">
        <f>IFERROR(VLOOKUP($G1450,今日總結!$A:$AJ,36,0),"")</f>
        <v>0</v>
      </c>
      <c r="L1450" s="156">
        <f>IFERROR(VLOOKUP($G1450,今日總結!$A:$AJ,33,0),"")</f>
        <v>0</v>
      </c>
      <c r="M1450" s="340">
        <f>IFERROR(VLOOKUP($G1450,今日總結!$A:$AJ,34,0),"")</f>
        <v>1</v>
      </c>
      <c r="N1450" s="240">
        <f t="shared" si="271"/>
        <v>-1</v>
      </c>
      <c r="P1450" s="365">
        <f>IFERROR(VLOOKUP($G1450,融外自投!$A:$J,7,0),"無")</f>
        <v>1043</v>
      </c>
      <c r="Q1450" s="79">
        <f>IFERROR(VLOOKUP($G1450,融外自投!$A:$J,9,0),"無")</f>
        <v>978</v>
      </c>
      <c r="R1450" s="346">
        <f>IFERROR(VLOOKUP($G1450,融外自投!$A:$J,8,0),"無")</f>
        <v>1166</v>
      </c>
      <c r="S1450" s="81" t="str">
        <f>IFERROR(VLOOKUP($G1450,融外自投!$A:$J,10,0),"無")</f>
        <v>無</v>
      </c>
      <c r="T1450" s="327">
        <f>IFERROR(VLOOKUP($G1450,'321買'!$A:$E,5,0),"'沒有資料'")</f>
        <v>515</v>
      </c>
      <c r="U1450" s="186">
        <f>IFERROR(VLOOKUP($G1450,基本資料!$A:$J,9,0),"無")</f>
        <v>0</v>
      </c>
      <c r="V1450" s="310">
        <f t="shared" si="272"/>
        <v>0</v>
      </c>
      <c r="W1450" s="94">
        <f>IFERROR(VLOOKUP($G1450,基本資料!$A:$J,10,0),"無")</f>
        <v>0.2</v>
      </c>
      <c r="X1450" s="36">
        <f>RTD("money.excel",,"2509","Price")</f>
        <v>15.1</v>
      </c>
      <c r="Y1450" s="66"/>
      <c r="Z1450" s="15">
        <f t="shared" si="274"/>
        <v>15.1</v>
      </c>
      <c r="AA1450" s="3" t="e">
        <f t="shared" si="275"/>
        <v>#DIV/0!</v>
      </c>
      <c r="AB1450" s="344">
        <f>IFERROR(VLOOKUP($G1450,基本資料!$A:$M,11,0),"無")</f>
        <v>-29.61</v>
      </c>
      <c r="AC1450" s="397">
        <f>IFERROR(VLOOKUP($G1450,基本資料!$A:$M,12,0),"無")</f>
        <v>6.32</v>
      </c>
      <c r="AD1450" s="22" t="s">
        <v>906</v>
      </c>
      <c r="AG1450" s="33">
        <f t="shared" si="276"/>
        <v>0</v>
      </c>
      <c r="AH1450" s="43" t="s">
        <v>2012</v>
      </c>
      <c r="AI1450" s="63">
        <f t="shared" si="273"/>
        <v>3.3407572383073496E-4</v>
      </c>
      <c r="AJ1450" s="284">
        <f>RTD("money.excel",,$G1450,"PredictVolume")</f>
        <v>75</v>
      </c>
      <c r="AK1450" s="399">
        <f>IFERROR(VLOOKUP($G1450,基本資料!$A:$M,13,0),"無")</f>
        <v>6.37</v>
      </c>
    </row>
    <row r="1451" spans="1:37">
      <c r="A1451" s="347">
        <f>IFERROR(VLOOKUP($G1451,基本資料!$A:$J,3,0),"無")</f>
        <v>162</v>
      </c>
      <c r="B1451" s="79">
        <f>IFERROR(VLOOKUP($G1451,基本資料!$A:$J,4,0),"無")</f>
        <v>100</v>
      </c>
      <c r="C1451" s="79">
        <f>IFERROR(VLOOKUP($G1451,基本資料!$A:$J,5,0),"無")</f>
        <v>485</v>
      </c>
      <c r="D1451" s="79">
        <f>IFERROR(VLOOKUP($G1451,基本資料!$A:$J,6,0),"無")</f>
        <v>-17</v>
      </c>
      <c r="E1451" s="79">
        <f>IFERROR(VLOOKUP($G1451,基本資料!$A:$J,7,0),"無")</f>
        <v>29</v>
      </c>
      <c r="F1451" s="6">
        <f>IFERROR(VLOOKUP($G1451,基本資料!$A:$J,8,0),"無")</f>
        <v>8.0399999999999991</v>
      </c>
      <c r="G1451" s="79">
        <v>2511</v>
      </c>
      <c r="H1451" s="8" t="s">
        <v>876</v>
      </c>
      <c r="I1451" s="22" t="s">
        <v>907</v>
      </c>
      <c r="J1451" s="8">
        <f>IFERROR(VLOOKUP($G1451,今日總結!$A:$AJ,35,0),"")</f>
        <v>0</v>
      </c>
      <c r="K1451" s="5" t="str">
        <f>IFERROR(VLOOKUP($G1451,今日總結!$A:$AJ,36,0),"")</f>
        <v>外</v>
      </c>
      <c r="L1451" s="156">
        <f>IFERROR(VLOOKUP($G1451,今日總結!$A:$AJ,33,0),"")</f>
        <v>0</v>
      </c>
      <c r="M1451" s="340">
        <f>IFERROR(VLOOKUP($G1451,今日總結!$A:$AJ,34,0),"")</f>
        <v>2</v>
      </c>
      <c r="N1451" s="240">
        <f t="shared" si="271"/>
        <v>-2</v>
      </c>
      <c r="P1451" s="365">
        <f>IFERROR(VLOOKUP($G1451,融外自投!$A:$J,7,0),"無")</f>
        <v>1051</v>
      </c>
      <c r="Q1451" s="79">
        <f>IFERROR(VLOOKUP($G1451,融外自投!$A:$J,9,0),"無")</f>
        <v>762</v>
      </c>
      <c r="R1451" s="346">
        <f>IFERROR(VLOOKUP($G1451,融外自投!$A:$J,8,0),"無")</f>
        <v>550</v>
      </c>
      <c r="S1451" s="81">
        <f>IFERROR(VLOOKUP($G1451,融外自投!$A:$J,10,0),"無")</f>
        <v>491</v>
      </c>
      <c r="T1451" s="327">
        <f>IFERROR(VLOOKUP($G1451,'321買'!$A:$E,5,0),"'沒有資料'")</f>
        <v>584</v>
      </c>
      <c r="U1451" s="186">
        <f>IFERROR(VLOOKUP($G1451,基本資料!$A:$J,9,0),"無")</f>
        <v>0.5</v>
      </c>
      <c r="V1451" s="310">
        <f t="shared" si="272"/>
        <v>4.2016806722689072E-2</v>
      </c>
      <c r="W1451" s="94">
        <f>IFERROR(VLOOKUP($G1451,基本資料!$A:$J,10,0),"無")</f>
        <v>0.95</v>
      </c>
      <c r="X1451" s="36">
        <f>RTD("money.excel",,"2511","Price")</f>
        <v>11.9</v>
      </c>
      <c r="Y1451" s="66"/>
      <c r="Z1451" s="15">
        <f t="shared" si="274"/>
        <v>11.9</v>
      </c>
      <c r="AA1451" s="3" t="e">
        <f t="shared" si="275"/>
        <v>#DIV/0!</v>
      </c>
      <c r="AB1451" s="344">
        <f>IFERROR(VLOOKUP($G1451,基本資料!$A:$M,11,0),"無")</f>
        <v>-17.809999999999999</v>
      </c>
      <c r="AC1451" s="397">
        <f>IFERROR(VLOOKUP($G1451,基本資料!$A:$M,12,0),"無")</f>
        <v>10.47</v>
      </c>
      <c r="AD1451" s="22" t="s">
        <v>907</v>
      </c>
      <c r="AG1451" s="33">
        <f t="shared" si="276"/>
        <v>0</v>
      </c>
      <c r="AH1451" s="43" t="s">
        <v>1537</v>
      </c>
      <c r="AI1451" s="63">
        <f t="shared" si="273"/>
        <v>2.9074074074074072E-4</v>
      </c>
      <c r="AJ1451" s="284">
        <f>RTD("money.excel",,$G1451,"PredictVolume")</f>
        <v>471</v>
      </c>
      <c r="AK1451" s="399">
        <f>IFERROR(VLOOKUP($G1451,基本資料!$A:$M,13,0),"無")</f>
        <v>1.48</v>
      </c>
    </row>
    <row r="1452" spans="1:37">
      <c r="A1452" s="347">
        <f>IFERROR(VLOOKUP($G1452,基本資料!$A:$J,3,0),"無")</f>
        <v>22.62</v>
      </c>
      <c r="B1452" s="79">
        <f>IFERROR(VLOOKUP($G1452,基本資料!$A:$J,4,0),"無")</f>
        <v>114</v>
      </c>
      <c r="C1452" s="79">
        <f>IFERROR(VLOOKUP($G1452,基本資料!$A:$J,5,0),"無")</f>
        <v>106</v>
      </c>
      <c r="D1452" s="79">
        <f>IFERROR(VLOOKUP($G1452,基本資料!$A:$J,6,0),"無")</f>
        <v>-3</v>
      </c>
      <c r="E1452" s="79">
        <f>IFERROR(VLOOKUP($G1452,基本資料!$A:$J,7,0),"無")</f>
        <v>2</v>
      </c>
      <c r="F1452" s="6">
        <f>IFERROR(VLOOKUP($G1452,基本資料!$A:$J,8,0),"無")</f>
        <v>0.72</v>
      </c>
      <c r="G1452" s="79">
        <v>2516</v>
      </c>
      <c r="H1452" s="8" t="s">
        <v>876</v>
      </c>
      <c r="I1452" s="22" t="s">
        <v>908</v>
      </c>
      <c r="J1452" s="8" t="str">
        <f>IFERROR(VLOOKUP($G1452,今日總結!$A:$AJ,35,0),"")</f>
        <v/>
      </c>
      <c r="K1452" s="5" t="str">
        <f>IFERROR(VLOOKUP($G1452,今日總結!$A:$AJ,36,0),"")</f>
        <v/>
      </c>
      <c r="L1452" s="156" t="str">
        <f>IFERROR(VLOOKUP($G1452,今日總結!$A:$AJ,33,0),"")</f>
        <v/>
      </c>
      <c r="M1452" s="340" t="str">
        <f>IFERROR(VLOOKUP($G1452,今日總結!$A:$AJ,34,0),"")</f>
        <v/>
      </c>
      <c r="N1452" s="240" t="str">
        <f t="shared" si="271"/>
        <v/>
      </c>
      <c r="P1452" s="365" t="str">
        <f>IFERROR(VLOOKUP($G1452,融外自投!$A:$J,7,0),"無")</f>
        <v>無</v>
      </c>
      <c r="Q1452" s="79" t="str">
        <f>IFERROR(VLOOKUP($G1452,融外自投!$A:$J,9,0),"無")</f>
        <v>無</v>
      </c>
      <c r="R1452" s="346" t="str">
        <f>IFERROR(VLOOKUP($G1452,融外自投!$A:$J,8,0),"無")</f>
        <v>無</v>
      </c>
      <c r="S1452" s="81" t="str">
        <f>IFERROR(VLOOKUP($G1452,融外自投!$A:$J,10,0),"無")</f>
        <v>無</v>
      </c>
      <c r="T1452" s="327" t="str">
        <f>IFERROR(VLOOKUP($G1452,'321買'!$A:$E,5,0),"'沒有資料'")</f>
        <v>'沒有資料'</v>
      </c>
      <c r="U1452" s="186">
        <f>IFERROR(VLOOKUP($G1452,基本資料!$A:$J,9,0),"無")</f>
        <v>0</v>
      </c>
      <c r="V1452" s="310">
        <f t="shared" si="272"/>
        <v>0</v>
      </c>
      <c r="W1452" s="94">
        <f>IFERROR(VLOOKUP($G1452,基本資料!$A:$J,10,0),"無")</f>
        <v>0.47</v>
      </c>
      <c r="X1452" s="36">
        <f>RTD("money.excel",,"2516","Price")</f>
        <v>5.28</v>
      </c>
      <c r="Y1452" s="66"/>
      <c r="Z1452" s="15">
        <f t="shared" si="274"/>
        <v>5.28</v>
      </c>
      <c r="AA1452" s="3" t="e">
        <f t="shared" si="275"/>
        <v>#DIV/0!</v>
      </c>
      <c r="AB1452" s="344">
        <f>IFERROR(VLOOKUP($G1452,基本資料!$A:$M,11,0),"無")</f>
        <v>-23.28</v>
      </c>
      <c r="AC1452" s="397">
        <f>IFERROR(VLOOKUP($G1452,基本資料!$A:$M,12,0),"無")</f>
        <v>11.85</v>
      </c>
      <c r="AD1452" s="22" t="s">
        <v>908</v>
      </c>
      <c r="AG1452" s="33">
        <f t="shared" si="276"/>
        <v>0</v>
      </c>
      <c r="AH1452" s="43" t="s">
        <v>1539</v>
      </c>
      <c r="AI1452" s="63">
        <f t="shared" si="273"/>
        <v>1.2908930150309461E-3</v>
      </c>
      <c r="AJ1452" s="284">
        <f>RTD("money.excel",,$G1452,"PredictVolume")</f>
        <v>292</v>
      </c>
      <c r="AK1452" s="399">
        <f>IFERROR(VLOOKUP($G1452,基本資料!$A:$M,13,0),"無")</f>
        <v>4.26</v>
      </c>
    </row>
    <row r="1453" spans="1:37">
      <c r="A1453" s="347">
        <f>IFERROR(VLOOKUP($G1453,基本資料!$A:$J,3,0),"無")</f>
        <v>55.41</v>
      </c>
      <c r="B1453" s="79">
        <f>IFERROR(VLOOKUP($G1453,基本資料!$A:$J,4,0),"無")</f>
        <v>4</v>
      </c>
      <c r="C1453" s="79">
        <f>IFERROR(VLOOKUP($G1453,基本資料!$A:$J,5,0),"無")</f>
        <v>0</v>
      </c>
      <c r="D1453" s="79">
        <f>IFERROR(VLOOKUP($G1453,基本資料!$A:$J,6,0),"無")</f>
        <v>31</v>
      </c>
      <c r="E1453" s="79">
        <f>IFERROR(VLOOKUP($G1453,基本資料!$A:$J,7,0),"無")</f>
        <v>-12</v>
      </c>
      <c r="F1453" s="6">
        <f>IFERROR(VLOOKUP($G1453,基本資料!$A:$J,8,0),"無")</f>
        <v>20.5</v>
      </c>
      <c r="G1453" s="79">
        <v>2520</v>
      </c>
      <c r="H1453" s="8" t="s">
        <v>876</v>
      </c>
      <c r="I1453" s="22" t="s">
        <v>909</v>
      </c>
      <c r="J1453" s="8" t="str">
        <f>IFERROR(VLOOKUP($G1453,今日總結!$A:$AJ,35,0),"")</f>
        <v/>
      </c>
      <c r="K1453" s="5" t="str">
        <f>IFERROR(VLOOKUP($G1453,今日總結!$A:$AJ,36,0),"")</f>
        <v/>
      </c>
      <c r="L1453" s="156" t="str">
        <f>IFERROR(VLOOKUP($G1453,今日總結!$A:$AJ,33,0),"")</f>
        <v/>
      </c>
      <c r="M1453" s="340" t="str">
        <f>IFERROR(VLOOKUP($G1453,今日總結!$A:$AJ,34,0),"")</f>
        <v/>
      </c>
      <c r="N1453" s="240" t="str">
        <f t="shared" si="271"/>
        <v/>
      </c>
      <c r="P1453" s="365">
        <f>IFERROR(VLOOKUP($G1453,融外自投!$A:$J,7,0),"無")</f>
        <v>1014</v>
      </c>
      <c r="Q1453" s="79">
        <f>IFERROR(VLOOKUP($G1453,融外自投!$A:$J,9,0),"無")</f>
        <v>526</v>
      </c>
      <c r="R1453" s="346">
        <f>IFERROR(VLOOKUP($G1453,融外自投!$A:$J,8,0),"無")</f>
        <v>289</v>
      </c>
      <c r="S1453" s="81">
        <f>IFERROR(VLOOKUP($G1453,融外自投!$A:$J,10,0),"無")</f>
        <v>312</v>
      </c>
      <c r="T1453" s="327">
        <f>IFERROR(VLOOKUP($G1453,'321買'!$A:$E,5,0),"'沒有資料'")</f>
        <v>292</v>
      </c>
      <c r="U1453" s="186">
        <f>IFERROR(VLOOKUP($G1453,基本資料!$A:$J,9,0),"無")</f>
        <v>2.5</v>
      </c>
      <c r="V1453" s="310">
        <f t="shared" si="272"/>
        <v>7.3421439060205582E-2</v>
      </c>
      <c r="W1453" s="94">
        <f>IFERROR(VLOOKUP($G1453,基本資料!$A:$J,10,0),"無")</f>
        <v>6.47</v>
      </c>
      <c r="X1453" s="36">
        <f>RTD("money.excel",,"2520","Price")</f>
        <v>34.049999999999997</v>
      </c>
      <c r="Y1453" s="66"/>
      <c r="Z1453" s="15">
        <f t="shared" si="274"/>
        <v>34.049999999999997</v>
      </c>
      <c r="AA1453" s="3" t="e">
        <f t="shared" si="275"/>
        <v>#DIV/0!</v>
      </c>
      <c r="AB1453" s="344">
        <f>IFERROR(VLOOKUP($G1453,基本資料!$A:$M,11,0),"無")</f>
        <v>-23.56</v>
      </c>
      <c r="AC1453" s="397">
        <f>IFERROR(VLOOKUP($G1453,基本資料!$A:$M,12,0),"無")</f>
        <v>12.25</v>
      </c>
      <c r="AD1453" s="22" t="s">
        <v>909</v>
      </c>
      <c r="AG1453" s="33">
        <f t="shared" si="276"/>
        <v>0</v>
      </c>
      <c r="AH1453" s="43" t="s">
        <v>2012</v>
      </c>
      <c r="AI1453" s="63">
        <f t="shared" si="273"/>
        <v>1.4022739577693557E-3</v>
      </c>
      <c r="AJ1453" s="284">
        <f>RTD("money.excel",,$G1453,"PredictVolume")</f>
        <v>777</v>
      </c>
      <c r="AK1453" s="399">
        <f>IFERROR(VLOOKUP($G1453,基本資料!$A:$M,13,0),"無")</f>
        <v>1.9</v>
      </c>
    </row>
    <row r="1454" spans="1:37">
      <c r="A1454" s="347">
        <f>IFERROR(VLOOKUP($G1454,基本資料!$A:$J,3,0),"無")</f>
        <v>37.17</v>
      </c>
      <c r="B1454" s="79">
        <f>IFERROR(VLOOKUP($G1454,基本資料!$A:$J,4,0),"無")</f>
        <v>0</v>
      </c>
      <c r="C1454" s="79">
        <f>IFERROR(VLOOKUP($G1454,基本資料!$A:$J,5,0),"無")</f>
        <v>-4</v>
      </c>
      <c r="D1454" s="79">
        <f>IFERROR(VLOOKUP($G1454,基本資料!$A:$J,6,0),"無")</f>
        <v>-30</v>
      </c>
      <c r="E1454" s="79">
        <f>IFERROR(VLOOKUP($G1454,基本資料!$A:$J,7,0),"無")</f>
        <v>-55</v>
      </c>
      <c r="F1454" s="6">
        <f>IFERROR(VLOOKUP($G1454,基本資料!$A:$J,8,0),"無")</f>
        <v>31.15</v>
      </c>
      <c r="G1454" s="79">
        <v>2524</v>
      </c>
      <c r="H1454" s="8" t="s">
        <v>876</v>
      </c>
      <c r="I1454" s="22" t="s">
        <v>910</v>
      </c>
      <c r="J1454" s="8" t="str">
        <f>IFERROR(VLOOKUP($G1454,今日總結!$A:$AJ,35,0),"")</f>
        <v/>
      </c>
      <c r="K1454" s="5" t="str">
        <f>IFERROR(VLOOKUP($G1454,今日總結!$A:$AJ,36,0),"")</f>
        <v/>
      </c>
      <c r="L1454" s="156" t="str">
        <f>IFERROR(VLOOKUP($G1454,今日總結!$A:$AJ,33,0),"")</f>
        <v/>
      </c>
      <c r="M1454" s="340" t="str">
        <f>IFERROR(VLOOKUP($G1454,今日總結!$A:$AJ,34,0),"")</f>
        <v/>
      </c>
      <c r="N1454" s="240" t="str">
        <f t="shared" si="271"/>
        <v/>
      </c>
      <c r="P1454" s="365">
        <f>IFERROR(VLOOKUP($G1454,融外自投!$A:$J,7,0),"無")</f>
        <v>575</v>
      </c>
      <c r="Q1454" s="79">
        <f>IFERROR(VLOOKUP($G1454,融外自投!$A:$J,9,0),"無")</f>
        <v>1110</v>
      </c>
      <c r="R1454" s="346">
        <f>IFERROR(VLOOKUP($G1454,融外自投!$A:$J,8,0),"無")</f>
        <v>1238</v>
      </c>
      <c r="S1454" s="81" t="str">
        <f>IFERROR(VLOOKUP($G1454,融外自投!$A:$J,10,0),"無")</f>
        <v>無</v>
      </c>
      <c r="T1454" s="327">
        <f>IFERROR(VLOOKUP($G1454,'321買'!$A:$E,5,0),"'沒有資料'")</f>
        <v>1038</v>
      </c>
      <c r="U1454" s="186">
        <f>IFERROR(VLOOKUP($G1454,基本資料!$A:$J,9,0),"無")</f>
        <v>0</v>
      </c>
      <c r="V1454" s="310">
        <f t="shared" si="272"/>
        <v>0</v>
      </c>
      <c r="W1454" s="94">
        <f>IFERROR(VLOOKUP($G1454,基本資料!$A:$J,10,0),"無")</f>
        <v>4.54</v>
      </c>
      <c r="X1454" s="36">
        <f>RTD("money.excel",,"2524","Price")</f>
        <v>33.450000000000003</v>
      </c>
      <c r="Y1454" s="66"/>
      <c r="Z1454" s="15">
        <f t="shared" si="274"/>
        <v>33.450000000000003</v>
      </c>
      <c r="AA1454" s="3" t="e">
        <f t="shared" si="275"/>
        <v>#DIV/0!</v>
      </c>
      <c r="AB1454" s="344">
        <f>IFERROR(VLOOKUP($G1454,基本資料!$A:$M,11,0),"無")</f>
        <v>-36.51</v>
      </c>
      <c r="AC1454" s="397">
        <f>IFERROR(VLOOKUP($G1454,基本資料!$A:$M,12,0),"無")</f>
        <v>22.59</v>
      </c>
      <c r="AD1454" s="22" t="s">
        <v>910</v>
      </c>
      <c r="AG1454" s="33">
        <f t="shared" si="276"/>
        <v>0</v>
      </c>
      <c r="AH1454" s="43" t="s">
        <v>2012</v>
      </c>
      <c r="AI1454" s="63">
        <f t="shared" si="273"/>
        <v>4.4121603443637343E-4</v>
      </c>
      <c r="AJ1454" s="284">
        <f>RTD("money.excel",,$G1454,"PredictVolume")</f>
        <v>164</v>
      </c>
      <c r="AK1454" s="399">
        <f>IFERROR(VLOOKUP($G1454,基本資料!$A:$M,13,0),"無")</f>
        <v>1.33</v>
      </c>
    </row>
    <row r="1455" spans="1:37">
      <c r="A1455" s="347">
        <f>IFERROR(VLOOKUP($G1455,基本資料!$A:$J,3,0),"無")</f>
        <v>27.03</v>
      </c>
      <c r="B1455" s="79">
        <f>IFERROR(VLOOKUP($G1455,基本資料!$A:$J,4,0),"無")</f>
        <v>329</v>
      </c>
      <c r="C1455" s="79">
        <f>IFERROR(VLOOKUP($G1455,基本資料!$A:$J,5,0),"無")</f>
        <v>236</v>
      </c>
      <c r="D1455" s="79">
        <f>IFERROR(VLOOKUP($G1455,基本資料!$A:$J,6,0),"無")</f>
        <v>49</v>
      </c>
      <c r="E1455" s="79">
        <f>IFERROR(VLOOKUP($G1455,基本資料!$A:$J,7,0),"無")</f>
        <v>-50</v>
      </c>
      <c r="F1455" s="6">
        <f>IFERROR(VLOOKUP($G1455,基本資料!$A:$J,8,0),"無")</f>
        <v>25.06</v>
      </c>
      <c r="G1455" s="79">
        <v>2527</v>
      </c>
      <c r="H1455" s="8" t="s">
        <v>876</v>
      </c>
      <c r="I1455" s="22" t="s">
        <v>911</v>
      </c>
      <c r="J1455" s="8">
        <f>IFERROR(VLOOKUP($G1455,今日總結!$A:$AJ,35,0),"")</f>
        <v>0</v>
      </c>
      <c r="K1455" s="5">
        <f>IFERROR(VLOOKUP($G1455,今日總結!$A:$AJ,36,0),"")</f>
        <v>0</v>
      </c>
      <c r="L1455" s="156">
        <f>IFERROR(VLOOKUP($G1455,今日總結!$A:$AJ,33,0),"")</f>
        <v>0</v>
      </c>
      <c r="M1455" s="340">
        <f>IFERROR(VLOOKUP($G1455,今日總結!$A:$AJ,34,0),"")</f>
        <v>1</v>
      </c>
      <c r="N1455" s="240">
        <f t="shared" si="271"/>
        <v>-1</v>
      </c>
      <c r="P1455" s="365">
        <f>IFERROR(VLOOKUP($G1455,融外自投!$A:$J,7,0),"無")</f>
        <v>956</v>
      </c>
      <c r="Q1455" s="79" t="str">
        <f>IFERROR(VLOOKUP($G1455,融外自投!$A:$J,9,0),"無")</f>
        <v>無</v>
      </c>
      <c r="R1455" s="346">
        <f>IFERROR(VLOOKUP($G1455,融外自投!$A:$J,8,0),"無")</f>
        <v>99</v>
      </c>
      <c r="S1455" s="81">
        <f>IFERROR(VLOOKUP($G1455,融外自投!$A:$J,10,0),"無")</f>
        <v>407</v>
      </c>
      <c r="T1455" s="327">
        <f>IFERROR(VLOOKUP($G1455,'321買'!$A:$E,5,0),"'沒有資料'")</f>
        <v>852</v>
      </c>
      <c r="U1455" s="186">
        <f>IFERROR(VLOOKUP($G1455,基本資料!$A:$J,9,0),"無")</f>
        <v>3</v>
      </c>
      <c r="V1455" s="310">
        <f t="shared" si="272"/>
        <v>0.11090573012939002</v>
      </c>
      <c r="W1455" s="94">
        <f>IFERROR(VLOOKUP($G1455,基本資料!$A:$J,10,0),"無")</f>
        <v>6.19</v>
      </c>
      <c r="X1455" s="36">
        <f>RTD("money.excel",,"2527","Price")</f>
        <v>27.05</v>
      </c>
      <c r="Y1455" s="66"/>
      <c r="Z1455" s="15">
        <f t="shared" si="274"/>
        <v>27.05</v>
      </c>
      <c r="AA1455" s="3" t="e">
        <f t="shared" si="275"/>
        <v>#DIV/0!</v>
      </c>
      <c r="AB1455" s="344">
        <f>IFERROR(VLOOKUP($G1455,基本資料!$A:$M,11,0),"無")</f>
        <v>-22.27</v>
      </c>
      <c r="AC1455" s="397">
        <f>IFERROR(VLOOKUP($G1455,基本資料!$A:$M,12,0),"無")</f>
        <v>10.62</v>
      </c>
      <c r="AD1455" s="22" t="s">
        <v>911</v>
      </c>
      <c r="AG1455" s="33">
        <f t="shared" si="276"/>
        <v>0</v>
      </c>
      <c r="AH1455" s="43" t="s">
        <v>1540</v>
      </c>
      <c r="AI1455" s="63">
        <f t="shared" si="273"/>
        <v>9.581945985941546E-4</v>
      </c>
      <c r="AJ1455" s="284">
        <f>RTD("money.excel",,$G1455,"PredictVolume")</f>
        <v>259</v>
      </c>
      <c r="AK1455" s="399">
        <f>IFERROR(VLOOKUP($G1455,基本資料!$A:$M,13,0),"無")</f>
        <v>5.65</v>
      </c>
    </row>
    <row r="1456" spans="1:37">
      <c r="A1456" s="347">
        <f>IFERROR(VLOOKUP($G1456,基本資料!$A:$J,3,0),"無")</f>
        <v>37.99</v>
      </c>
      <c r="B1456" s="79">
        <f>IFERROR(VLOOKUP($G1456,基本資料!$A:$J,4,0),"無")</f>
        <v>332</v>
      </c>
      <c r="C1456" s="79">
        <f>IFERROR(VLOOKUP($G1456,基本資料!$A:$J,5,0),"無")</f>
        <v>374</v>
      </c>
      <c r="D1456" s="79">
        <f>IFERROR(VLOOKUP($G1456,基本資料!$A:$J,6,0),"無")</f>
        <v>-43</v>
      </c>
      <c r="E1456" s="79">
        <f>IFERROR(VLOOKUP($G1456,基本資料!$A:$J,7,0),"無")</f>
        <v>130</v>
      </c>
      <c r="F1456" s="6">
        <f>IFERROR(VLOOKUP($G1456,基本資料!$A:$J,8,0),"無")</f>
        <v>17.77</v>
      </c>
      <c r="G1456" s="79">
        <v>2528</v>
      </c>
      <c r="H1456" s="8" t="s">
        <v>876</v>
      </c>
      <c r="I1456" s="22" t="s">
        <v>912</v>
      </c>
      <c r="J1456" s="8" t="str">
        <f>IFERROR(VLOOKUP($G1456,今日總結!$A:$AJ,35,0),"")</f>
        <v/>
      </c>
      <c r="K1456" s="5" t="str">
        <f>IFERROR(VLOOKUP($G1456,今日總結!$A:$AJ,36,0),"")</f>
        <v/>
      </c>
      <c r="L1456" s="156" t="str">
        <f>IFERROR(VLOOKUP($G1456,今日總結!$A:$AJ,33,0),"")</f>
        <v/>
      </c>
      <c r="M1456" s="340" t="str">
        <f>IFERROR(VLOOKUP($G1456,今日總結!$A:$AJ,34,0),"")</f>
        <v/>
      </c>
      <c r="N1456" s="240" t="str">
        <f t="shared" si="271"/>
        <v/>
      </c>
      <c r="P1456" s="365">
        <f>IFERROR(VLOOKUP($G1456,融外自投!$A:$J,7,0),"無")</f>
        <v>1121</v>
      </c>
      <c r="Q1456" s="79">
        <f>IFERROR(VLOOKUP($G1456,融外自投!$A:$J,9,0),"無")</f>
        <v>708</v>
      </c>
      <c r="R1456" s="346">
        <f>IFERROR(VLOOKUP($G1456,融外自投!$A:$J,8,0),"無")</f>
        <v>1438</v>
      </c>
      <c r="S1456" s="81" t="str">
        <f>IFERROR(VLOOKUP($G1456,融外自投!$A:$J,10,0),"無")</f>
        <v>無</v>
      </c>
      <c r="T1456" s="327">
        <f>IFERROR(VLOOKUP($G1456,'321買'!$A:$E,5,0),"'沒有資料'")</f>
        <v>1198</v>
      </c>
      <c r="U1456" s="186">
        <f>IFERROR(VLOOKUP($G1456,基本資料!$A:$J,9,0),"無")</f>
        <v>0.47</v>
      </c>
      <c r="V1456" s="310">
        <f t="shared" si="272"/>
        <v>2.5201072386058981E-2</v>
      </c>
      <c r="W1456" s="94">
        <f>IFERROR(VLOOKUP($G1456,基本資料!$A:$J,10,0),"無")</f>
        <v>1.49</v>
      </c>
      <c r="X1456" s="36">
        <f>RTD("money.excel",,"2528","Price")</f>
        <v>18.649999999999999</v>
      </c>
      <c r="Y1456" s="66"/>
      <c r="Z1456" s="15">
        <f t="shared" si="274"/>
        <v>18.649999999999999</v>
      </c>
      <c r="AA1456" s="3" t="e">
        <f t="shared" si="275"/>
        <v>#DIV/0!</v>
      </c>
      <c r="AB1456" s="344">
        <f>IFERROR(VLOOKUP($G1456,基本資料!$A:$M,11,0),"無")</f>
        <v>-15.43</v>
      </c>
      <c r="AC1456" s="397">
        <f>IFERROR(VLOOKUP($G1456,基本資料!$A:$M,12,0),"無")</f>
        <v>15.72</v>
      </c>
      <c r="AD1456" s="22" t="s">
        <v>912</v>
      </c>
      <c r="AG1456" s="33">
        <f t="shared" si="276"/>
        <v>0</v>
      </c>
      <c r="AH1456" s="43" t="s">
        <v>1536</v>
      </c>
      <c r="AI1456" s="63">
        <f t="shared" si="273"/>
        <v>7.0808107396683336E-4</v>
      </c>
      <c r="AJ1456" s="284">
        <f>RTD("money.excel",,$G1456,"PredictVolume")</f>
        <v>269</v>
      </c>
      <c r="AK1456" s="399">
        <f>IFERROR(VLOOKUP($G1456,基本資料!$A:$M,13,0),"無")</f>
        <v>3.52</v>
      </c>
    </row>
    <row r="1457" spans="1:37">
      <c r="A1457" s="347">
        <f>IFERROR(VLOOKUP($G1457,基本資料!$A:$J,3,0),"無")</f>
        <v>83.99</v>
      </c>
      <c r="B1457" s="79">
        <f>IFERROR(VLOOKUP($G1457,基本資料!$A:$J,4,0),"無")</f>
        <v>-26</v>
      </c>
      <c r="C1457" s="79">
        <f>IFERROR(VLOOKUP($G1457,基本資料!$A:$J,5,0),"無")</f>
        <v>-36</v>
      </c>
      <c r="D1457" s="79">
        <f>IFERROR(VLOOKUP($G1457,基本資料!$A:$J,6,0),"無")</f>
        <v>-38</v>
      </c>
      <c r="E1457" s="79">
        <f>IFERROR(VLOOKUP($G1457,基本資料!$A:$J,7,0),"無")</f>
        <v>18740</v>
      </c>
      <c r="F1457" s="6">
        <f>IFERROR(VLOOKUP($G1457,基本資料!$A:$J,8,0),"無")</f>
        <v>-997.9</v>
      </c>
      <c r="G1457" s="79">
        <v>2530</v>
      </c>
      <c r="H1457" s="8" t="s">
        <v>876</v>
      </c>
      <c r="I1457" s="22" t="s">
        <v>913</v>
      </c>
      <c r="J1457" s="8">
        <f>IFERROR(VLOOKUP($G1457,今日總結!$A:$AJ,35,0),"")</f>
        <v>0</v>
      </c>
      <c r="K1457" s="5" t="str">
        <f>IFERROR(VLOOKUP($G1457,今日總結!$A:$AJ,36,0),"")</f>
        <v>外</v>
      </c>
      <c r="L1457" s="156">
        <f>IFERROR(VLOOKUP($G1457,今日總結!$A:$AJ,33,0),"")</f>
        <v>0</v>
      </c>
      <c r="M1457" s="340">
        <f>IFERROR(VLOOKUP($G1457,今日總結!$A:$AJ,34,0),"")</f>
        <v>1</v>
      </c>
      <c r="N1457" s="240">
        <f t="shared" si="271"/>
        <v>-1</v>
      </c>
      <c r="P1457" s="365">
        <f>IFERROR(VLOOKUP($G1457,融外自投!$A:$J,7,0),"無")</f>
        <v>866</v>
      </c>
      <c r="Q1457" s="79" t="str">
        <f>IFERROR(VLOOKUP($G1457,融外自投!$A:$J,9,0),"無")</f>
        <v>無</v>
      </c>
      <c r="R1457" s="346">
        <f>IFERROR(VLOOKUP($G1457,融外自投!$A:$J,8,0),"無")</f>
        <v>1291</v>
      </c>
      <c r="S1457" s="81" t="str">
        <f>IFERROR(VLOOKUP($G1457,融外自投!$A:$J,10,0),"無")</f>
        <v>無</v>
      </c>
      <c r="T1457" s="327">
        <f>IFERROR(VLOOKUP($G1457,'321買'!$A:$E,5,0),"'沒有資料'")</f>
        <v>827</v>
      </c>
      <c r="U1457" s="186">
        <f>IFERROR(VLOOKUP($G1457,基本資料!$A:$J,9,0),"無")</f>
        <v>0</v>
      </c>
      <c r="V1457" s="310">
        <f t="shared" si="272"/>
        <v>0</v>
      </c>
      <c r="W1457" s="94">
        <f>IFERROR(VLOOKUP($G1457,基本資料!$A:$J,10,0),"無")</f>
        <v>-0.2</v>
      </c>
      <c r="X1457" s="36">
        <f>RTD("money.excel",,"2530","Price")</f>
        <v>14.45</v>
      </c>
      <c r="Y1457" s="66"/>
      <c r="Z1457" s="15">
        <f t="shared" si="274"/>
        <v>14.45</v>
      </c>
      <c r="AA1457" s="3" t="e">
        <f t="shared" si="275"/>
        <v>#DIV/0!</v>
      </c>
      <c r="AB1457" s="344">
        <f>IFERROR(VLOOKUP($G1457,基本資料!$A:$M,11,0),"無")</f>
        <v>-9.52</v>
      </c>
      <c r="AC1457" s="397">
        <f>IFERROR(VLOOKUP($G1457,基本資料!$A:$M,12,0),"無")</f>
        <v>17.82</v>
      </c>
      <c r="AD1457" s="22" t="s">
        <v>913</v>
      </c>
      <c r="AG1457" s="33">
        <f t="shared" si="276"/>
        <v>0</v>
      </c>
      <c r="AH1457" s="43" t="s">
        <v>2012</v>
      </c>
      <c r="AI1457" s="63">
        <f t="shared" si="273"/>
        <v>4.9767829503512327E-4</v>
      </c>
      <c r="AJ1457" s="284">
        <f>RTD("money.excel",,$G1457,"PredictVolume")</f>
        <v>418</v>
      </c>
      <c r="AK1457" s="399">
        <f>IFERROR(VLOOKUP($G1457,基本資料!$A:$M,13,0),"無")</f>
        <v>0.93</v>
      </c>
    </row>
    <row r="1458" spans="1:37">
      <c r="A1458" s="347">
        <f>IFERROR(VLOOKUP($G1458,基本資料!$A:$J,3,0),"無")</f>
        <v>47.42</v>
      </c>
      <c r="B1458" s="79">
        <f>IFERROR(VLOOKUP($G1458,基本資料!$A:$J,4,0),"無")</f>
        <v>38</v>
      </c>
      <c r="C1458" s="79">
        <f>IFERROR(VLOOKUP($G1458,基本資料!$A:$J,5,0),"無")</f>
        <v>41</v>
      </c>
      <c r="D1458" s="79">
        <f>IFERROR(VLOOKUP($G1458,基本資料!$A:$J,6,0),"無")</f>
        <v>84</v>
      </c>
      <c r="E1458" s="79">
        <f>IFERROR(VLOOKUP($G1458,基本資料!$A:$J,7,0),"無")</f>
        <v>57</v>
      </c>
      <c r="F1458" s="6">
        <f>IFERROR(VLOOKUP($G1458,基本資料!$A:$J,8,0),"無")</f>
        <v>26.69</v>
      </c>
      <c r="G1458" s="79">
        <v>2534</v>
      </c>
      <c r="H1458" s="8" t="s">
        <v>876</v>
      </c>
      <c r="I1458" s="22" t="s">
        <v>914</v>
      </c>
      <c r="J1458" s="8" t="str">
        <f>IFERROR(VLOOKUP($G1458,今日總結!$A:$AJ,35,0),"")</f>
        <v/>
      </c>
      <c r="K1458" s="5" t="str">
        <f>IFERROR(VLOOKUP($G1458,今日總結!$A:$AJ,36,0),"")</f>
        <v/>
      </c>
      <c r="L1458" s="156" t="str">
        <f>IFERROR(VLOOKUP($G1458,今日總結!$A:$AJ,33,0),"")</f>
        <v/>
      </c>
      <c r="M1458" s="340" t="str">
        <f>IFERROR(VLOOKUP($G1458,今日總結!$A:$AJ,34,0),"")</f>
        <v/>
      </c>
      <c r="N1458" s="240" t="str">
        <f t="shared" si="271"/>
        <v/>
      </c>
      <c r="P1458" s="365">
        <f>IFERROR(VLOOKUP($G1458,融外自投!$A:$J,7,0),"無")</f>
        <v>530</v>
      </c>
      <c r="Q1458" s="79">
        <f>IFERROR(VLOOKUP($G1458,融外自投!$A:$J,9,0),"無")</f>
        <v>526</v>
      </c>
      <c r="R1458" s="346">
        <f>IFERROR(VLOOKUP($G1458,融外自投!$A:$J,8,0),"無")</f>
        <v>549</v>
      </c>
      <c r="S1458" s="81" t="str">
        <f>IFERROR(VLOOKUP($G1458,融外自投!$A:$J,10,0),"無")</f>
        <v>無</v>
      </c>
      <c r="T1458" s="327">
        <f>IFERROR(VLOOKUP($G1458,'321買'!$A:$E,5,0),"'沒有資料'")</f>
        <v>63</v>
      </c>
      <c r="U1458" s="186">
        <f>IFERROR(VLOOKUP($G1458,基本資料!$A:$J,9,0),"無")</f>
        <v>1.2</v>
      </c>
      <c r="V1458" s="310">
        <f t="shared" si="272"/>
        <v>5.0104384133611693E-2</v>
      </c>
      <c r="W1458" s="94">
        <f>IFERROR(VLOOKUP($G1458,基本資料!$A:$J,10,0),"無")</f>
        <v>1.78</v>
      </c>
      <c r="X1458" s="36">
        <f>RTD("money.excel",,"2534","Price")</f>
        <v>23.95</v>
      </c>
      <c r="Y1458" s="66"/>
      <c r="Z1458" s="15">
        <f t="shared" si="274"/>
        <v>23.95</v>
      </c>
      <c r="AA1458" s="3" t="e">
        <f t="shared" si="275"/>
        <v>#DIV/0!</v>
      </c>
      <c r="AB1458" s="344">
        <f>IFERROR(VLOOKUP($G1458,基本資料!$A:$M,11,0),"無")</f>
        <v>-3.52</v>
      </c>
      <c r="AC1458" s="397">
        <f>IFERROR(VLOOKUP($G1458,基本資料!$A:$M,12,0),"無")</f>
        <v>69.06</v>
      </c>
      <c r="AD1458" s="22" t="s">
        <v>914</v>
      </c>
      <c r="AG1458" s="33">
        <f t="shared" si="276"/>
        <v>0</v>
      </c>
      <c r="AH1458" s="43" t="s">
        <v>3017</v>
      </c>
      <c r="AI1458" s="63">
        <f t="shared" si="273"/>
        <v>1.9548713622943906E-3</v>
      </c>
      <c r="AJ1458" s="284">
        <f>RTD("money.excel",,$G1458,"PredictVolume")</f>
        <v>927</v>
      </c>
      <c r="AK1458" s="399">
        <f>IFERROR(VLOOKUP($G1458,基本資料!$A:$M,13,0),"無")</f>
        <v>1.65</v>
      </c>
    </row>
    <row r="1459" spans="1:37">
      <c r="A1459" s="347">
        <f>IFERROR(VLOOKUP($G1459,基本資料!$A:$J,3,0),"無")</f>
        <v>33.840000000000003</v>
      </c>
      <c r="B1459" s="79">
        <f>IFERROR(VLOOKUP($G1459,基本資料!$A:$J,4,0),"無")</f>
        <v>7</v>
      </c>
      <c r="C1459" s="79">
        <f>IFERROR(VLOOKUP($G1459,基本資料!$A:$J,5,0),"無")</f>
        <v>14</v>
      </c>
      <c r="D1459" s="79">
        <f>IFERROR(VLOOKUP($G1459,基本資料!$A:$J,6,0),"無")</f>
        <v>-18</v>
      </c>
      <c r="E1459" s="79">
        <f>IFERROR(VLOOKUP($G1459,基本資料!$A:$J,7,0),"無")</f>
        <v>-2</v>
      </c>
      <c r="F1459" s="6">
        <f>IFERROR(VLOOKUP($G1459,基本資料!$A:$J,8,0),"無")</f>
        <v>9.89</v>
      </c>
      <c r="G1459" s="79">
        <v>2535</v>
      </c>
      <c r="H1459" s="8" t="s">
        <v>876</v>
      </c>
      <c r="I1459" s="22" t="s">
        <v>915</v>
      </c>
      <c r="J1459" s="8" t="str">
        <f>IFERROR(VLOOKUP($G1459,今日總結!$A:$AJ,35,0),"")</f>
        <v/>
      </c>
      <c r="K1459" s="5" t="str">
        <f>IFERROR(VLOOKUP($G1459,今日總結!$A:$AJ,36,0),"")</f>
        <v/>
      </c>
      <c r="L1459" s="156" t="str">
        <f>IFERROR(VLOOKUP($G1459,今日總結!$A:$AJ,33,0),"")</f>
        <v/>
      </c>
      <c r="M1459" s="340" t="str">
        <f>IFERROR(VLOOKUP($G1459,今日總結!$A:$AJ,34,0),"")</f>
        <v/>
      </c>
      <c r="N1459" s="240" t="str">
        <f t="shared" si="271"/>
        <v/>
      </c>
      <c r="P1459" s="365">
        <f>IFERROR(VLOOKUP($G1459,融外自投!$A:$J,7,0),"無")</f>
        <v>1307</v>
      </c>
      <c r="Q1459" s="79">
        <f>IFERROR(VLOOKUP($G1459,融外自投!$A:$J,9,0),"無")</f>
        <v>10</v>
      </c>
      <c r="R1459" s="346">
        <f>IFERROR(VLOOKUP($G1459,融外自投!$A:$J,8,0),"無")</f>
        <v>515</v>
      </c>
      <c r="S1459" s="81">
        <f>IFERROR(VLOOKUP($G1459,融外自投!$A:$J,10,0),"無")</f>
        <v>362</v>
      </c>
      <c r="T1459" s="327">
        <f>IFERROR(VLOOKUP($G1459,'321買'!$A:$E,5,0),"'沒有資料'")</f>
        <v>664</v>
      </c>
      <c r="U1459" s="186">
        <f>IFERROR(VLOOKUP($G1459,基本資料!$A:$J,9,0),"無")</f>
        <v>2.5</v>
      </c>
      <c r="V1459" s="310">
        <f t="shared" si="272"/>
        <v>8.0645161290322578E-2</v>
      </c>
      <c r="W1459" s="94">
        <f>IFERROR(VLOOKUP($G1459,基本資料!$A:$J,10,0),"無")</f>
        <v>3.78</v>
      </c>
      <c r="X1459" s="36">
        <f>RTD("money.excel",,"2535","Price")</f>
        <v>31</v>
      </c>
      <c r="Y1459" s="66"/>
      <c r="Z1459" s="15">
        <f t="shared" si="274"/>
        <v>31</v>
      </c>
      <c r="AA1459" s="3" t="e">
        <f t="shared" si="275"/>
        <v>#DIV/0!</v>
      </c>
      <c r="AB1459" s="344">
        <f>IFERROR(VLOOKUP($G1459,基本資料!$A:$M,11,0),"無")</f>
        <v>-14.13</v>
      </c>
      <c r="AC1459" s="397">
        <f>IFERROR(VLOOKUP($G1459,基本資料!$A:$M,12,0),"無")</f>
        <v>17.559999999999999</v>
      </c>
      <c r="AD1459" s="22" t="s">
        <v>915</v>
      </c>
      <c r="AG1459" s="33">
        <f t="shared" si="276"/>
        <v>0</v>
      </c>
      <c r="AH1459" s="43" t="s">
        <v>2066</v>
      </c>
      <c r="AI1459" s="63">
        <f t="shared" si="273"/>
        <v>9.3085106382978706E-4</v>
      </c>
      <c r="AJ1459" s="284">
        <f>RTD("money.excel",,$G1459,"PredictVolume")</f>
        <v>315</v>
      </c>
      <c r="AK1459" s="399">
        <f>IFERROR(VLOOKUP($G1459,基本資料!$A:$M,13,0),"無")</f>
        <v>2.5299999999999998</v>
      </c>
    </row>
    <row r="1460" spans="1:37">
      <c r="A1460" s="347">
        <f>IFERROR(VLOOKUP($G1460,基本資料!$A:$J,3,0),"無")</f>
        <v>33.28</v>
      </c>
      <c r="B1460" s="79">
        <f>IFERROR(VLOOKUP($G1460,基本資料!$A:$J,4,0),"無")</f>
        <v>-105</v>
      </c>
      <c r="C1460" s="79">
        <f>IFERROR(VLOOKUP($G1460,基本資料!$A:$J,5,0),"無")</f>
        <v>-92</v>
      </c>
      <c r="D1460" s="79">
        <f>IFERROR(VLOOKUP($G1460,基本資料!$A:$J,6,0),"無")</f>
        <v>0</v>
      </c>
      <c r="E1460" s="79">
        <f>IFERROR(VLOOKUP($G1460,基本資料!$A:$J,7,0),"無")</f>
        <v>-43</v>
      </c>
      <c r="F1460" s="6">
        <f>IFERROR(VLOOKUP($G1460,基本資料!$A:$J,8,0),"無")</f>
        <v>20.18</v>
      </c>
      <c r="G1460" s="79">
        <v>2536</v>
      </c>
      <c r="H1460" s="8" t="s">
        <v>876</v>
      </c>
      <c r="I1460" s="22" t="s">
        <v>916</v>
      </c>
      <c r="J1460" s="8">
        <f>IFERROR(VLOOKUP($G1460,今日總結!$A:$AJ,35,0),"")</f>
        <v>0</v>
      </c>
      <c r="K1460" s="5" t="str">
        <f>IFERROR(VLOOKUP($G1460,今日總結!$A:$AJ,36,0),"")</f>
        <v>外</v>
      </c>
      <c r="L1460" s="156">
        <f>IFERROR(VLOOKUP($G1460,今日總結!$A:$AJ,33,0),"")</f>
        <v>0</v>
      </c>
      <c r="M1460" s="340">
        <f>IFERROR(VLOOKUP($G1460,今日總結!$A:$AJ,34,0),"")</f>
        <v>1</v>
      </c>
      <c r="N1460" s="240">
        <f t="shared" si="271"/>
        <v>-1</v>
      </c>
      <c r="P1460" s="365">
        <f>IFERROR(VLOOKUP($G1460,融外自投!$A:$J,7,0),"無")</f>
        <v>1367</v>
      </c>
      <c r="Q1460" s="79">
        <f>IFERROR(VLOOKUP($G1460,融外自投!$A:$J,9,0),"無")</f>
        <v>395</v>
      </c>
      <c r="R1460" s="346">
        <f>IFERROR(VLOOKUP($G1460,融外自投!$A:$J,8,0),"無")</f>
        <v>505</v>
      </c>
      <c r="S1460" s="81">
        <f>IFERROR(VLOOKUP($G1460,融外自投!$A:$J,10,0),"無")</f>
        <v>458</v>
      </c>
      <c r="T1460" s="327">
        <f>IFERROR(VLOOKUP($G1460,'321買'!$A:$E,5,0),"'沒有資料'")</f>
        <v>1038</v>
      </c>
      <c r="U1460" s="186">
        <f>IFERROR(VLOOKUP($G1460,基本資料!$A:$J,9,0),"無")</f>
        <v>0</v>
      </c>
      <c r="V1460" s="310">
        <f t="shared" si="272"/>
        <v>0</v>
      </c>
      <c r="W1460" s="94">
        <f>IFERROR(VLOOKUP($G1460,基本資料!$A:$J,10,0),"無")</f>
        <v>-0.1</v>
      </c>
      <c r="X1460" s="36">
        <f>RTD("money.excel",,"2536","Price")</f>
        <v>20.6</v>
      </c>
      <c r="Y1460" s="66"/>
      <c r="Z1460" s="15">
        <f t="shared" si="274"/>
        <v>20.6</v>
      </c>
      <c r="AA1460" s="3" t="e">
        <f t="shared" si="275"/>
        <v>#DIV/0!</v>
      </c>
      <c r="AB1460" s="344">
        <f>IFERROR(VLOOKUP($G1460,基本資料!$A:$M,11,0),"無")</f>
        <v>-11.91</v>
      </c>
      <c r="AC1460" s="397">
        <f>IFERROR(VLOOKUP($G1460,基本資料!$A:$M,12,0),"無")</f>
        <v>11.26</v>
      </c>
      <c r="AD1460" s="22" t="s">
        <v>916</v>
      </c>
      <c r="AG1460" s="33">
        <f t="shared" si="276"/>
        <v>0</v>
      </c>
      <c r="AH1460" s="43" t="s">
        <v>2012</v>
      </c>
      <c r="AI1460" s="63">
        <f t="shared" si="273"/>
        <v>8.2331730769230767E-4</v>
      </c>
      <c r="AJ1460" s="284">
        <f>RTD("money.excel",,$G1460,"PredictVolume")</f>
        <v>274</v>
      </c>
      <c r="AK1460" s="399">
        <f>IFERROR(VLOOKUP($G1460,基本資料!$A:$M,13,0),"無")</f>
        <v>1.2</v>
      </c>
    </row>
    <row r="1461" spans="1:37">
      <c r="A1461" s="347">
        <f>IFERROR(VLOOKUP($G1461,基本資料!$A:$J,3,0),"無")</f>
        <v>30.05</v>
      </c>
      <c r="B1461" s="79">
        <f>IFERROR(VLOOKUP($G1461,基本資料!$A:$J,4,0),"無")</f>
        <v>135</v>
      </c>
      <c r="C1461" s="79">
        <f>IFERROR(VLOOKUP($G1461,基本資料!$A:$J,5,0),"無")</f>
        <v>146</v>
      </c>
      <c r="D1461" s="79">
        <f>IFERROR(VLOOKUP($G1461,基本資料!$A:$J,6,0),"無")</f>
        <v>-79</v>
      </c>
      <c r="E1461" s="79">
        <f>IFERROR(VLOOKUP($G1461,基本資料!$A:$J,7,0),"無")</f>
        <v>131564</v>
      </c>
      <c r="F1461" s="6">
        <f>IFERROR(VLOOKUP($G1461,基本資料!$A:$J,8,0),"無")</f>
        <v>22.32</v>
      </c>
      <c r="G1461" s="79">
        <v>2537</v>
      </c>
      <c r="H1461" s="8" t="s">
        <v>876</v>
      </c>
      <c r="I1461" s="22" t="s">
        <v>917</v>
      </c>
      <c r="J1461" s="8">
        <f>IFERROR(VLOOKUP($G1461,今日總結!$A:$AJ,35,0),"")</f>
        <v>0</v>
      </c>
      <c r="K1461" s="5">
        <f>IFERROR(VLOOKUP($G1461,今日總結!$A:$AJ,36,0),"")</f>
        <v>0</v>
      </c>
      <c r="L1461" s="156">
        <f>IFERROR(VLOOKUP($G1461,今日總結!$A:$AJ,33,0),"")</f>
        <v>0</v>
      </c>
      <c r="M1461" s="340">
        <f>IFERROR(VLOOKUP($G1461,今日總結!$A:$AJ,34,0),"")</f>
        <v>1</v>
      </c>
      <c r="N1461" s="240">
        <f t="shared" si="271"/>
        <v>-1</v>
      </c>
      <c r="P1461" s="365">
        <f>IFERROR(VLOOKUP($G1461,融外自投!$A:$J,7,0),"無")</f>
        <v>533</v>
      </c>
      <c r="Q1461" s="79">
        <f>IFERROR(VLOOKUP($G1461,融外自投!$A:$J,9,0),"無")</f>
        <v>708</v>
      </c>
      <c r="R1461" s="346">
        <f>IFERROR(VLOOKUP($G1461,融外自投!$A:$J,8,0),"無")</f>
        <v>555</v>
      </c>
      <c r="S1461" s="81" t="str">
        <f>IFERROR(VLOOKUP($G1461,融外自投!$A:$J,10,0),"無")</f>
        <v>無</v>
      </c>
      <c r="T1461" s="327">
        <f>IFERROR(VLOOKUP($G1461,'321買'!$A:$E,5,0),"'沒有資料'")</f>
        <v>584</v>
      </c>
      <c r="U1461" s="186">
        <f>IFERROR(VLOOKUP($G1461,基本資料!$A:$J,9,0),"無")</f>
        <v>0.9</v>
      </c>
      <c r="V1461" s="310">
        <f t="shared" si="272"/>
        <v>8.9552238805970144E-2</v>
      </c>
      <c r="W1461" s="94">
        <f>IFERROR(VLOOKUP($G1461,基本資料!$A:$J,10,0),"無")</f>
        <v>1.38</v>
      </c>
      <c r="X1461" s="36">
        <f>RTD("money.excel",,"2537","Price")</f>
        <v>10.050000000000001</v>
      </c>
      <c r="Y1461" s="66"/>
      <c r="Z1461" s="15">
        <f t="shared" si="274"/>
        <v>10.050000000000001</v>
      </c>
      <c r="AA1461" s="3" t="e">
        <f t="shared" si="275"/>
        <v>#DIV/0!</v>
      </c>
      <c r="AB1461" s="344">
        <f>IFERROR(VLOOKUP($G1461,基本資料!$A:$M,11,0),"無")</f>
        <v>-12.07</v>
      </c>
      <c r="AC1461" s="397">
        <f>IFERROR(VLOOKUP($G1461,基本資料!$A:$M,12,0),"無")</f>
        <v>46.7</v>
      </c>
      <c r="AD1461" s="22" t="s">
        <v>917</v>
      </c>
      <c r="AG1461" s="33">
        <f t="shared" si="276"/>
        <v>0</v>
      </c>
      <c r="AH1461" s="43" t="s">
        <v>2117</v>
      </c>
      <c r="AI1461" s="63">
        <f t="shared" si="273"/>
        <v>7.5806988352745425E-3</v>
      </c>
      <c r="AJ1461" s="284">
        <f>RTD("money.excel",,$G1461,"PredictVolume")</f>
        <v>2278</v>
      </c>
      <c r="AK1461" s="399">
        <f>IFERROR(VLOOKUP($G1461,基本資料!$A:$M,13,0),"無")</f>
        <v>4.57</v>
      </c>
    </row>
    <row r="1462" spans="1:37">
      <c r="A1462" s="347">
        <f>IFERROR(VLOOKUP($G1462,基本資料!$A:$J,3,0),"無")</f>
        <v>43.84</v>
      </c>
      <c r="B1462" s="79">
        <f>IFERROR(VLOOKUP($G1462,基本資料!$A:$J,4,0),"無")</f>
        <v>2</v>
      </c>
      <c r="C1462" s="79">
        <f>IFERROR(VLOOKUP($G1462,基本資料!$A:$J,5,0),"無")</f>
        <v>-15</v>
      </c>
      <c r="D1462" s="79">
        <f>IFERROR(VLOOKUP($G1462,基本資料!$A:$J,6,0),"無")</f>
        <v>40</v>
      </c>
      <c r="E1462" s="79">
        <f>IFERROR(VLOOKUP($G1462,基本資料!$A:$J,7,0),"無")</f>
        <v>98</v>
      </c>
      <c r="F1462" s="6">
        <f>IFERROR(VLOOKUP($G1462,基本資料!$A:$J,8,0),"無")</f>
        <v>-11.7</v>
      </c>
      <c r="G1462" s="79">
        <v>2538</v>
      </c>
      <c r="H1462" s="8" t="s">
        <v>876</v>
      </c>
      <c r="I1462" s="22" t="s">
        <v>918</v>
      </c>
      <c r="J1462" s="8" t="str">
        <f>IFERROR(VLOOKUP($G1462,今日總結!$A:$AJ,35,0),"")</f>
        <v/>
      </c>
      <c r="K1462" s="5" t="str">
        <f>IFERROR(VLOOKUP($G1462,今日總結!$A:$AJ,36,0),"")</f>
        <v/>
      </c>
      <c r="L1462" s="156" t="str">
        <f>IFERROR(VLOOKUP($G1462,今日總結!$A:$AJ,33,0),"")</f>
        <v/>
      </c>
      <c r="M1462" s="340" t="str">
        <f>IFERROR(VLOOKUP($G1462,今日總結!$A:$AJ,34,0),"")</f>
        <v/>
      </c>
      <c r="N1462" s="240" t="str">
        <f t="shared" si="271"/>
        <v/>
      </c>
      <c r="P1462" s="365">
        <f>IFERROR(VLOOKUP($G1462,融外自投!$A:$J,7,0),"無")</f>
        <v>781</v>
      </c>
      <c r="Q1462" s="79">
        <f>IFERROR(VLOOKUP($G1462,融外自投!$A:$J,9,0),"無")</f>
        <v>852</v>
      </c>
      <c r="R1462" s="346">
        <f>IFERROR(VLOOKUP($G1462,融外自投!$A:$J,8,0),"無")</f>
        <v>453</v>
      </c>
      <c r="S1462" s="81">
        <f>IFERROR(VLOOKUP($G1462,融外自投!$A:$J,10,0),"無")</f>
        <v>383</v>
      </c>
      <c r="T1462" s="327">
        <f>IFERROR(VLOOKUP($G1462,'321買'!$A:$E,5,0),"'沒有資料'")</f>
        <v>729</v>
      </c>
      <c r="U1462" s="186">
        <f>IFERROR(VLOOKUP($G1462,基本資料!$A:$J,9,0),"無")</f>
        <v>0.5</v>
      </c>
      <c r="V1462" s="310">
        <f t="shared" si="272"/>
        <v>4.0816326530612242E-2</v>
      </c>
      <c r="W1462" s="94">
        <f>IFERROR(VLOOKUP($G1462,基本資料!$A:$J,10,0),"無")</f>
        <v>-0.31</v>
      </c>
      <c r="X1462" s="36">
        <f>RTD("money.excel",,"2538","Price")</f>
        <v>12.25</v>
      </c>
      <c r="Y1462" s="66"/>
      <c r="Z1462" s="15">
        <f t="shared" si="274"/>
        <v>12.25</v>
      </c>
      <c r="AA1462" s="3" t="e">
        <f t="shared" si="275"/>
        <v>#DIV/0!</v>
      </c>
      <c r="AB1462" s="344">
        <f>IFERROR(VLOOKUP($G1462,基本資料!$A:$M,11,0),"無")</f>
        <v>-23.42</v>
      </c>
      <c r="AC1462" s="397">
        <f>IFERROR(VLOOKUP($G1462,基本資料!$A:$M,12,0),"無")</f>
        <v>25.73</v>
      </c>
      <c r="AD1462" s="22" t="s">
        <v>918</v>
      </c>
      <c r="AG1462" s="33">
        <f t="shared" si="276"/>
        <v>0</v>
      </c>
      <c r="AH1462" s="43" t="s">
        <v>2012</v>
      </c>
      <c r="AI1462" s="63">
        <f t="shared" si="273"/>
        <v>1.7586678832116787E-3</v>
      </c>
      <c r="AJ1462" s="284">
        <f>RTD("money.excel",,$G1462,"PredictVolume")</f>
        <v>771</v>
      </c>
      <c r="AK1462" s="399">
        <f>IFERROR(VLOOKUP($G1462,基本資料!$A:$M,13,0),"無")</f>
        <v>7.59</v>
      </c>
    </row>
    <row r="1463" spans="1:37">
      <c r="A1463" s="347">
        <f>IFERROR(VLOOKUP($G1463,基本資料!$A:$J,3,0),"無")</f>
        <v>64.47</v>
      </c>
      <c r="B1463" s="79">
        <f>IFERROR(VLOOKUP($G1463,基本資料!$A:$J,4,0),"無")</f>
        <v>-8</v>
      </c>
      <c r="C1463" s="79">
        <f>IFERROR(VLOOKUP($G1463,基本資料!$A:$J,5,0),"無")</f>
        <v>-6</v>
      </c>
      <c r="D1463" s="79">
        <f>IFERROR(VLOOKUP($G1463,基本資料!$A:$J,6,0),"無")</f>
        <v>-100</v>
      </c>
      <c r="E1463" s="79">
        <f>IFERROR(VLOOKUP($G1463,基本資料!$A:$J,7,0),"無")</f>
        <v>-100</v>
      </c>
      <c r="F1463" s="6">
        <f>IFERROR(VLOOKUP($G1463,基本資料!$A:$J,8,0),"無")</f>
        <v>23.03</v>
      </c>
      <c r="G1463" s="79">
        <v>2539</v>
      </c>
      <c r="H1463" s="8" t="s">
        <v>876</v>
      </c>
      <c r="I1463" s="22" t="s">
        <v>919</v>
      </c>
      <c r="J1463" s="8">
        <f>IFERROR(VLOOKUP($G1463,今日總結!$A:$AJ,35,0),"")</f>
        <v>0</v>
      </c>
      <c r="K1463" s="5">
        <f>IFERROR(VLOOKUP($G1463,今日總結!$A:$AJ,36,0),"")</f>
        <v>0</v>
      </c>
      <c r="L1463" s="156">
        <f>IFERROR(VLOOKUP($G1463,今日總結!$A:$AJ,33,0),"")</f>
        <v>0</v>
      </c>
      <c r="M1463" s="340">
        <f>IFERROR(VLOOKUP($G1463,今日總結!$A:$AJ,34,0),"")</f>
        <v>1</v>
      </c>
      <c r="N1463" s="240">
        <f t="shared" si="271"/>
        <v>-1</v>
      </c>
      <c r="P1463" s="365">
        <f>IFERROR(VLOOKUP($G1463,融外自投!$A:$J,7,0),"無")</f>
        <v>1159</v>
      </c>
      <c r="Q1463" s="79">
        <f>IFERROR(VLOOKUP($G1463,融外自投!$A:$J,9,0),"無")</f>
        <v>1110</v>
      </c>
      <c r="R1463" s="346">
        <f>IFERROR(VLOOKUP($G1463,融外自投!$A:$J,8,0),"無")</f>
        <v>1326</v>
      </c>
      <c r="S1463" s="81" t="str">
        <f>IFERROR(VLOOKUP($G1463,融外自投!$A:$J,10,0),"無")</f>
        <v>無</v>
      </c>
      <c r="T1463" s="327">
        <f>IFERROR(VLOOKUP($G1463,'321買'!$A:$E,5,0),"'沒有資料'")</f>
        <v>392</v>
      </c>
      <c r="U1463" s="186">
        <f>IFERROR(VLOOKUP($G1463,基本資料!$A:$J,9,0),"無")</f>
        <v>1.6</v>
      </c>
      <c r="V1463" s="310">
        <f t="shared" si="272"/>
        <v>4.9766718506998452E-2</v>
      </c>
      <c r="W1463" s="94">
        <f>IFERROR(VLOOKUP($G1463,基本資料!$A:$J,10,0),"無")</f>
        <v>1.18</v>
      </c>
      <c r="X1463" s="36">
        <f>RTD("money.excel",,"2539","Price")</f>
        <v>32.15</v>
      </c>
      <c r="Y1463" s="66"/>
      <c r="Z1463" s="15">
        <f t="shared" si="274"/>
        <v>32.15</v>
      </c>
      <c r="AA1463" s="3" t="e">
        <f t="shared" si="275"/>
        <v>#DIV/0!</v>
      </c>
      <c r="AB1463" s="344">
        <f>IFERROR(VLOOKUP($G1463,基本資料!$A:$M,11,0),"無")</f>
        <v>-9.26</v>
      </c>
      <c r="AC1463" s="397">
        <f>IFERROR(VLOOKUP($G1463,基本資料!$A:$M,12,0),"無")</f>
        <v>59.41</v>
      </c>
      <c r="AD1463" s="22" t="s">
        <v>919</v>
      </c>
      <c r="AG1463" s="33">
        <f t="shared" si="276"/>
        <v>0</v>
      </c>
      <c r="AH1463" s="43" t="s">
        <v>2012</v>
      </c>
      <c r="AI1463" s="63">
        <f t="shared" si="273"/>
        <v>2.574841011323096E-4</v>
      </c>
      <c r="AJ1463" s="284">
        <f>RTD("money.excel",,$G1463,"PredictVolume")</f>
        <v>166</v>
      </c>
      <c r="AK1463" s="399">
        <f>IFERROR(VLOOKUP($G1463,基本資料!$A:$M,13,0),"無")</f>
        <v>0.27</v>
      </c>
    </row>
    <row r="1464" spans="1:37">
      <c r="A1464" s="347">
        <f>IFERROR(VLOOKUP($G1464,基本資料!$A:$J,3,0),"無")</f>
        <v>16.12</v>
      </c>
      <c r="B1464" s="79">
        <f>IFERROR(VLOOKUP($G1464,基本資料!$A:$J,4,0),"無")</f>
        <v>24</v>
      </c>
      <c r="C1464" s="79">
        <f>IFERROR(VLOOKUP($G1464,基本資料!$A:$J,5,0),"無")</f>
        <v>26</v>
      </c>
      <c r="D1464" s="79">
        <f>IFERROR(VLOOKUP($G1464,基本資料!$A:$J,6,0),"無")</f>
        <v>11</v>
      </c>
      <c r="E1464" s="79">
        <f>IFERROR(VLOOKUP($G1464,基本資料!$A:$J,7,0),"無")</f>
        <v>11</v>
      </c>
      <c r="F1464" s="6">
        <f>IFERROR(VLOOKUP($G1464,基本資料!$A:$J,8,0),"無")</f>
        <v>29.96</v>
      </c>
      <c r="G1464" s="79">
        <v>2540</v>
      </c>
      <c r="H1464" s="8" t="s">
        <v>876</v>
      </c>
      <c r="I1464" s="22" t="s">
        <v>920</v>
      </c>
      <c r="J1464" s="8" t="str">
        <f>IFERROR(VLOOKUP($G1464,今日總結!$A:$AJ,35,0),"")</f>
        <v/>
      </c>
      <c r="K1464" s="5" t="str">
        <f>IFERROR(VLOOKUP($G1464,今日總結!$A:$AJ,36,0),"")</f>
        <v/>
      </c>
      <c r="L1464" s="156" t="str">
        <f>IFERROR(VLOOKUP($G1464,今日總結!$A:$AJ,33,0),"")</f>
        <v/>
      </c>
      <c r="M1464" s="340" t="str">
        <f>IFERROR(VLOOKUP($G1464,今日總結!$A:$AJ,34,0),"")</f>
        <v/>
      </c>
      <c r="N1464" s="240" t="str">
        <f t="shared" si="271"/>
        <v/>
      </c>
      <c r="P1464" s="365">
        <f>IFERROR(VLOOKUP($G1464,融外自投!$A:$J,7,0),"無")</f>
        <v>1196</v>
      </c>
      <c r="Q1464" s="79">
        <f>IFERROR(VLOOKUP($G1464,融外自投!$A:$J,9,0),"無")</f>
        <v>824</v>
      </c>
      <c r="R1464" s="346">
        <f>IFERROR(VLOOKUP($G1464,融外自投!$A:$J,8,0),"無")</f>
        <v>1387</v>
      </c>
      <c r="S1464" s="81" t="str">
        <f>IFERROR(VLOOKUP($G1464,融外自投!$A:$J,10,0),"無")</f>
        <v>無</v>
      </c>
      <c r="T1464" s="327">
        <f>IFERROR(VLOOKUP($G1464,'321買'!$A:$E,5,0),"'沒有資料'")</f>
        <v>894</v>
      </c>
      <c r="U1464" s="186">
        <f>IFERROR(VLOOKUP($G1464,基本資料!$A:$J,9,0),"無")</f>
        <v>10</v>
      </c>
      <c r="V1464" s="310">
        <f t="shared" si="272"/>
        <v>8.8888888888888892E-2</v>
      </c>
      <c r="W1464" s="94">
        <f>IFERROR(VLOOKUP($G1464,基本資料!$A:$J,10,0),"無")</f>
        <v>7.02</v>
      </c>
      <c r="X1464" s="36">
        <f>RTD("money.excel",,"2540","Price")</f>
        <v>112.5</v>
      </c>
      <c r="Y1464" s="66"/>
      <c r="Z1464" s="15">
        <f t="shared" si="274"/>
        <v>112.5</v>
      </c>
      <c r="AA1464" s="3" t="e">
        <f t="shared" si="275"/>
        <v>#DIV/0!</v>
      </c>
      <c r="AB1464" s="344">
        <f>IFERROR(VLOOKUP($G1464,基本資料!$A:$M,11,0),"無")</f>
        <v>-20.21</v>
      </c>
      <c r="AC1464" s="397">
        <f>IFERROR(VLOOKUP($G1464,基本資料!$A:$M,12,0),"無")</f>
        <v>56.83</v>
      </c>
      <c r="AD1464" s="22" t="s">
        <v>920</v>
      </c>
      <c r="AG1464" s="33">
        <f t="shared" si="276"/>
        <v>0</v>
      </c>
      <c r="AH1464" s="43" t="s">
        <v>2046</v>
      </c>
      <c r="AI1464" s="63">
        <f t="shared" si="273"/>
        <v>5.7071960297766749E-4</v>
      </c>
      <c r="AJ1464" s="284">
        <f>RTD("money.excel",,$G1464,"PredictVolume")</f>
        <v>92</v>
      </c>
      <c r="AK1464" s="399">
        <f>IFERROR(VLOOKUP($G1464,基本資料!$A:$M,13,0),"無")</f>
        <v>1.1599999999999999</v>
      </c>
    </row>
    <row r="1465" spans="1:37">
      <c r="A1465" s="347">
        <f>IFERROR(VLOOKUP($G1465,基本資料!$A:$J,3,0),"無")</f>
        <v>155</v>
      </c>
      <c r="B1465" s="79">
        <f>IFERROR(VLOOKUP($G1465,基本資料!$A:$J,4,0),"無")</f>
        <v>239</v>
      </c>
      <c r="C1465" s="79">
        <f>IFERROR(VLOOKUP($G1465,基本資料!$A:$J,5,0),"無")</f>
        <v>142</v>
      </c>
      <c r="D1465" s="79">
        <f>IFERROR(VLOOKUP($G1465,基本資料!$A:$J,6,0),"無")</f>
        <v>90</v>
      </c>
      <c r="E1465" s="79">
        <f>IFERROR(VLOOKUP($G1465,基本資料!$A:$J,7,0),"無")</f>
        <v>-59</v>
      </c>
      <c r="F1465" s="6">
        <f>IFERROR(VLOOKUP($G1465,基本資料!$A:$J,8,0),"無")</f>
        <v>22.62</v>
      </c>
      <c r="G1465" s="79">
        <v>2542</v>
      </c>
      <c r="H1465" s="8" t="s">
        <v>876</v>
      </c>
      <c r="I1465" s="22" t="s">
        <v>28</v>
      </c>
      <c r="J1465" s="8">
        <f>IFERROR(VLOOKUP($G1465,今日總結!$A:$AJ,35,0),"")</f>
        <v>0</v>
      </c>
      <c r="K1465" s="5">
        <f>IFERROR(VLOOKUP($G1465,今日總結!$A:$AJ,36,0),"")</f>
        <v>0</v>
      </c>
      <c r="L1465" s="156">
        <f>IFERROR(VLOOKUP($G1465,今日總結!$A:$AJ,33,0),"")</f>
        <v>0</v>
      </c>
      <c r="M1465" s="340">
        <f>IFERROR(VLOOKUP($G1465,今日總結!$A:$AJ,34,0),"")</f>
        <v>1</v>
      </c>
      <c r="N1465" s="240">
        <f t="shared" si="271"/>
        <v>-1</v>
      </c>
      <c r="P1465" s="365">
        <f>IFERROR(VLOOKUP($G1465,融外自投!$A:$J,7,0),"無")</f>
        <v>1066</v>
      </c>
      <c r="Q1465" s="79">
        <f>IFERROR(VLOOKUP($G1465,融外自投!$A:$J,9,0),"無")</f>
        <v>614</v>
      </c>
      <c r="R1465" s="346">
        <f>IFERROR(VLOOKUP($G1465,融外自投!$A:$J,8,0),"無")</f>
        <v>569</v>
      </c>
      <c r="S1465" s="81">
        <f>IFERROR(VLOOKUP($G1465,融外自投!$A:$J,10,0),"無")</f>
        <v>67</v>
      </c>
      <c r="T1465" s="327">
        <f>IFERROR(VLOOKUP($G1465,'321買'!$A:$E,5,0),"'沒有資料'")</f>
        <v>30</v>
      </c>
      <c r="U1465" s="186">
        <f>IFERROR(VLOOKUP($G1465,基本資料!$A:$J,9,0),"無")</f>
        <v>5.2</v>
      </c>
      <c r="V1465" s="310">
        <f t="shared" si="272"/>
        <v>0.11243243243243244</v>
      </c>
      <c r="W1465" s="94">
        <f>IFERROR(VLOOKUP($G1465,基本資料!$A:$J,10,0),"無")</f>
        <v>6.45</v>
      </c>
      <c r="X1465" s="36">
        <f>RTD("money.excel",,"2542","Price")</f>
        <v>46.25</v>
      </c>
      <c r="Y1465" s="66"/>
      <c r="Z1465" s="15">
        <f t="shared" si="274"/>
        <v>46.25</v>
      </c>
      <c r="AA1465" s="3" t="e">
        <f t="shared" si="275"/>
        <v>#DIV/0!</v>
      </c>
      <c r="AB1465" s="344">
        <f>IFERROR(VLOOKUP($G1465,基本資料!$A:$M,11,0),"無")</f>
        <v>-8.64</v>
      </c>
      <c r="AC1465" s="397">
        <f>IFERROR(VLOOKUP($G1465,基本資料!$A:$M,12,0),"無")</f>
        <v>32.229999999999997</v>
      </c>
      <c r="AD1465" s="22" t="s">
        <v>28</v>
      </c>
      <c r="AG1465" s="33">
        <f t="shared" si="276"/>
        <v>0</v>
      </c>
      <c r="AH1465" s="117" t="s">
        <v>2012</v>
      </c>
      <c r="AI1465" s="63">
        <f t="shared" si="273"/>
        <v>2.16E-3</v>
      </c>
      <c r="AJ1465" s="284">
        <f>RTD("money.excel",,$G1465,"PredictVolume")</f>
        <v>3348</v>
      </c>
      <c r="AK1465" s="399">
        <f>IFERROR(VLOOKUP($G1465,基本資料!$A:$M,13,0),"無")</f>
        <v>4.71</v>
      </c>
    </row>
    <row r="1466" spans="1:37">
      <c r="A1466" s="347">
        <f>IFERROR(VLOOKUP($G1466,基本資料!$A:$J,3,0),"無")</f>
        <v>23.74</v>
      </c>
      <c r="B1466" s="79">
        <f>IFERROR(VLOOKUP($G1466,基本資料!$A:$J,4,0),"無")</f>
        <v>678</v>
      </c>
      <c r="C1466" s="79">
        <f>IFERROR(VLOOKUP($G1466,基本資料!$A:$J,5,0),"無")</f>
        <v>-228</v>
      </c>
      <c r="D1466" s="79">
        <f>IFERROR(VLOOKUP($G1466,基本資料!$A:$J,6,0),"無")</f>
        <v>80</v>
      </c>
      <c r="E1466" s="79">
        <f>IFERROR(VLOOKUP($G1466,基本資料!$A:$J,7,0),"無")</f>
        <v>29</v>
      </c>
      <c r="F1466" s="6">
        <f>IFERROR(VLOOKUP($G1466,基本資料!$A:$J,8,0),"無")</f>
        <v>-1.29</v>
      </c>
      <c r="G1466" s="79">
        <v>2543</v>
      </c>
      <c r="H1466" s="8" t="s">
        <v>876</v>
      </c>
      <c r="I1466" s="22" t="s">
        <v>921</v>
      </c>
      <c r="J1466" s="8" t="str">
        <f>IFERROR(VLOOKUP($G1466,今日總結!$A:$AJ,35,0),"")</f>
        <v/>
      </c>
      <c r="K1466" s="5" t="str">
        <f>IFERROR(VLOOKUP($G1466,今日總結!$A:$AJ,36,0),"")</f>
        <v/>
      </c>
      <c r="L1466" s="156" t="str">
        <f>IFERROR(VLOOKUP($G1466,今日總結!$A:$AJ,33,0),"")</f>
        <v/>
      </c>
      <c r="M1466" s="340" t="str">
        <f>IFERROR(VLOOKUP($G1466,今日總結!$A:$AJ,34,0),"")</f>
        <v/>
      </c>
      <c r="N1466" s="240" t="str">
        <f t="shared" si="271"/>
        <v/>
      </c>
      <c r="P1466" s="365" t="str">
        <f>IFERROR(VLOOKUP($G1466,融外自投!$A:$J,7,0),"無")</f>
        <v>無</v>
      </c>
      <c r="Q1466" s="79" t="str">
        <f>IFERROR(VLOOKUP($G1466,融外自投!$A:$J,9,0),"無")</f>
        <v>無</v>
      </c>
      <c r="R1466" s="346" t="str">
        <f>IFERROR(VLOOKUP($G1466,融外自投!$A:$J,8,0),"無")</f>
        <v>無</v>
      </c>
      <c r="S1466" s="81" t="str">
        <f>IFERROR(VLOOKUP($G1466,融外自投!$A:$J,10,0),"無")</f>
        <v>無</v>
      </c>
      <c r="T1466" s="327" t="str">
        <f>IFERROR(VLOOKUP($G1466,'321買'!$A:$E,5,0),"'沒有資料'")</f>
        <v>'沒有資料'</v>
      </c>
      <c r="U1466" s="186">
        <f>IFERROR(VLOOKUP($G1466,基本資料!$A:$J,9,0),"無")</f>
        <v>0</v>
      </c>
      <c r="V1466" s="310">
        <f t="shared" si="272"/>
        <v>0</v>
      </c>
      <c r="W1466" s="94">
        <f>IFERROR(VLOOKUP($G1466,基本資料!$A:$J,10,0),"無")</f>
        <v>1.56</v>
      </c>
      <c r="X1466" s="36">
        <f>RTD("money.excel",,"2543","Price")</f>
        <v>8.01</v>
      </c>
      <c r="Y1466" s="66"/>
      <c r="Z1466" s="15">
        <f t="shared" si="274"/>
        <v>8.01</v>
      </c>
      <c r="AA1466" s="3" t="e">
        <f t="shared" si="275"/>
        <v>#DIV/0!</v>
      </c>
      <c r="AB1466" s="344">
        <f>IFERROR(VLOOKUP($G1466,基本資料!$A:$M,11,0),"無")</f>
        <v>-31.85</v>
      </c>
      <c r="AC1466" s="397">
        <f>IFERROR(VLOOKUP($G1466,基本資料!$A:$M,12,0),"無")</f>
        <v>24.01</v>
      </c>
      <c r="AD1466" s="22" t="s">
        <v>921</v>
      </c>
      <c r="AG1466" s="33">
        <f t="shared" si="276"/>
        <v>0</v>
      </c>
      <c r="AH1466" s="43" t="s">
        <v>324</v>
      </c>
      <c r="AI1466" s="63">
        <f t="shared" si="273"/>
        <v>1.0572872788542546E-3</v>
      </c>
      <c r="AJ1466" s="284">
        <f>RTD("money.excel",,$G1466,"PredictVolume")</f>
        <v>251</v>
      </c>
      <c r="AK1466" s="399">
        <f>IFERROR(VLOOKUP($G1466,基本資料!$A:$M,13,0),"無")</f>
        <v>2.14</v>
      </c>
    </row>
    <row r="1467" spans="1:37">
      <c r="A1467" s="347">
        <f>IFERROR(VLOOKUP($G1467,基本資料!$A:$J,3,0),"無")</f>
        <v>32.770000000000003</v>
      </c>
      <c r="B1467" s="79">
        <f>IFERROR(VLOOKUP($G1467,基本資料!$A:$J,4,0),"無")</f>
        <v>40</v>
      </c>
      <c r="C1467" s="79">
        <f>IFERROR(VLOOKUP($G1467,基本資料!$A:$J,5,0),"無")</f>
        <v>37</v>
      </c>
      <c r="D1467" s="79">
        <f>IFERROR(VLOOKUP($G1467,基本資料!$A:$J,6,0),"無")</f>
        <v>-16</v>
      </c>
      <c r="E1467" s="79">
        <f>IFERROR(VLOOKUP($G1467,基本資料!$A:$J,7,0),"無")</f>
        <v>-36</v>
      </c>
      <c r="F1467" s="6">
        <f>IFERROR(VLOOKUP($G1467,基本資料!$A:$J,8,0),"無")</f>
        <v>36.29</v>
      </c>
      <c r="G1467" s="79">
        <v>2545</v>
      </c>
      <c r="H1467" s="8" t="s">
        <v>876</v>
      </c>
      <c r="I1467" s="22" t="s">
        <v>922</v>
      </c>
      <c r="J1467" s="8" t="str">
        <f>IFERROR(VLOOKUP($G1467,今日總結!$A:$AJ,35,0),"")</f>
        <v/>
      </c>
      <c r="K1467" s="5" t="str">
        <f>IFERROR(VLOOKUP($G1467,今日總結!$A:$AJ,36,0),"")</f>
        <v/>
      </c>
      <c r="L1467" s="156" t="str">
        <f>IFERROR(VLOOKUP($G1467,今日總結!$A:$AJ,33,0),"")</f>
        <v/>
      </c>
      <c r="M1467" s="340" t="str">
        <f>IFERROR(VLOOKUP($G1467,今日總結!$A:$AJ,34,0),"")</f>
        <v/>
      </c>
      <c r="N1467" s="240" t="str">
        <f t="shared" si="271"/>
        <v/>
      </c>
      <c r="P1467" s="365">
        <f>IFERROR(VLOOKUP($G1467,融外自投!$A:$J,7,0),"無")</f>
        <v>1007</v>
      </c>
      <c r="Q1467" s="79">
        <f>IFERROR(VLOOKUP($G1467,融外自投!$A:$J,9,0),"無")</f>
        <v>598</v>
      </c>
      <c r="R1467" s="346">
        <f>IFERROR(VLOOKUP($G1467,融外自投!$A:$J,8,0),"無")</f>
        <v>670</v>
      </c>
      <c r="S1467" s="81">
        <f>IFERROR(VLOOKUP($G1467,融外自投!$A:$J,10,0),"無")</f>
        <v>407</v>
      </c>
      <c r="T1467" s="327">
        <f>IFERROR(VLOOKUP($G1467,'321買'!$A:$E,5,0),"'沒有資料'")</f>
        <v>357</v>
      </c>
      <c r="U1467" s="186">
        <f>IFERROR(VLOOKUP($G1467,基本資料!$A:$J,9,0),"無")</f>
        <v>6.3</v>
      </c>
      <c r="V1467" s="310">
        <f t="shared" si="272"/>
        <v>0.1171003717472119</v>
      </c>
      <c r="W1467" s="94">
        <f>IFERROR(VLOOKUP($G1467,基本資料!$A:$J,10,0),"無")</f>
        <v>7.46</v>
      </c>
      <c r="X1467" s="36">
        <f>RTD("money.excel",,"2545","Price")</f>
        <v>53.8</v>
      </c>
      <c r="Y1467" s="66"/>
      <c r="Z1467" s="15">
        <f t="shared" si="274"/>
        <v>53.8</v>
      </c>
      <c r="AA1467" s="3" t="e">
        <f t="shared" si="275"/>
        <v>#DIV/0!</v>
      </c>
      <c r="AB1467" s="344">
        <f>IFERROR(VLOOKUP($G1467,基本資料!$A:$M,11,0),"無")</f>
        <v>-11.06</v>
      </c>
      <c r="AC1467" s="397">
        <f>IFERROR(VLOOKUP($G1467,基本資料!$A:$M,12,0),"無")</f>
        <v>76.25</v>
      </c>
      <c r="AD1467" s="22" t="s">
        <v>922</v>
      </c>
      <c r="AG1467" s="33">
        <f t="shared" si="276"/>
        <v>0</v>
      </c>
      <c r="AH1467" s="43" t="s">
        <v>2012</v>
      </c>
      <c r="AI1467" s="63">
        <f t="shared" si="273"/>
        <v>1.9804699420201402E-3</v>
      </c>
      <c r="AJ1467" s="284">
        <f>RTD("money.excel",,$G1467,"PredictVolume")</f>
        <v>649</v>
      </c>
      <c r="AK1467" s="399">
        <f>IFERROR(VLOOKUP($G1467,基本資料!$A:$M,13,0),"無")</f>
        <v>3.72</v>
      </c>
    </row>
    <row r="1468" spans="1:37">
      <c r="A1468" s="347">
        <f>IFERROR(VLOOKUP($G1468,基本資料!$A:$J,3,0),"無")</f>
        <v>10.6</v>
      </c>
      <c r="B1468" s="79">
        <f>IFERROR(VLOOKUP($G1468,基本資料!$A:$J,4,0),"無")</f>
        <v>18</v>
      </c>
      <c r="C1468" s="79">
        <f>IFERROR(VLOOKUP($G1468,基本資料!$A:$J,5,0),"無")</f>
        <v>13</v>
      </c>
      <c r="D1468" s="79">
        <f>IFERROR(VLOOKUP($G1468,基本資料!$A:$J,6,0),"無")</f>
        <v>46</v>
      </c>
      <c r="E1468" s="79">
        <f>IFERROR(VLOOKUP($G1468,基本資料!$A:$J,7,0),"無")</f>
        <v>-5</v>
      </c>
      <c r="F1468" s="6">
        <f>IFERROR(VLOOKUP($G1468,基本資料!$A:$J,8,0),"無")</f>
        <v>8.1300000000000008</v>
      </c>
      <c r="G1468" s="79">
        <v>2546</v>
      </c>
      <c r="H1468" s="8" t="s">
        <v>876</v>
      </c>
      <c r="I1468" s="22" t="s">
        <v>923</v>
      </c>
      <c r="J1468" s="8">
        <f>IFERROR(VLOOKUP($G1468,今日總結!$A:$AJ,35,0),"")</f>
        <v>0</v>
      </c>
      <c r="K1468" s="5">
        <f>IFERROR(VLOOKUP($G1468,今日總結!$A:$AJ,36,0),"")</f>
        <v>0</v>
      </c>
      <c r="L1468" s="156">
        <f>IFERROR(VLOOKUP($G1468,今日總結!$A:$AJ,33,0),"")</f>
        <v>0</v>
      </c>
      <c r="M1468" s="340">
        <f>IFERROR(VLOOKUP($G1468,今日總結!$A:$AJ,34,0),"")</f>
        <v>1</v>
      </c>
      <c r="N1468" s="240">
        <f t="shared" si="271"/>
        <v>-1</v>
      </c>
      <c r="P1468" s="365">
        <f>IFERROR(VLOOKUP($G1468,融外自投!$A:$J,7,0),"無")</f>
        <v>1383</v>
      </c>
      <c r="Q1468" s="79">
        <f>IFERROR(VLOOKUP($G1468,融外自投!$A:$J,9,0),"無")</f>
        <v>233</v>
      </c>
      <c r="R1468" s="346">
        <f>IFERROR(VLOOKUP($G1468,融外自投!$A:$J,8,0),"無")</f>
        <v>819</v>
      </c>
      <c r="S1468" s="81" t="str">
        <f>IFERROR(VLOOKUP($G1468,融外自投!$A:$J,10,0),"無")</f>
        <v>無</v>
      </c>
      <c r="T1468" s="327">
        <f>IFERROR(VLOOKUP($G1468,'321買'!$A:$E,5,0),"'沒有資料'")</f>
        <v>964</v>
      </c>
      <c r="U1468" s="186">
        <f>IFERROR(VLOOKUP($G1468,基本資料!$A:$J,9,0),"無")</f>
        <v>3.6</v>
      </c>
      <c r="V1468" s="310">
        <f t="shared" si="272"/>
        <v>6.8965517241379309E-2</v>
      </c>
      <c r="W1468" s="94">
        <f>IFERROR(VLOOKUP($G1468,基本資料!$A:$J,10,0),"無")</f>
        <v>6.98</v>
      </c>
      <c r="X1468" s="36">
        <f>RTD("money.excel",,"2546","Price")</f>
        <v>52.2</v>
      </c>
      <c r="Y1468" s="66"/>
      <c r="Z1468" s="15">
        <f t="shared" si="274"/>
        <v>52.2</v>
      </c>
      <c r="AA1468" s="3" t="e">
        <f t="shared" si="275"/>
        <v>#DIV/0!</v>
      </c>
      <c r="AB1468" s="344">
        <f>IFERROR(VLOOKUP($G1468,基本資料!$A:$M,11,0),"無")</f>
        <v>-12.17</v>
      </c>
      <c r="AC1468" s="397">
        <f>IFERROR(VLOOKUP($G1468,基本資料!$A:$M,12,0),"無")</f>
        <v>45.12</v>
      </c>
      <c r="AD1468" s="22" t="s">
        <v>923</v>
      </c>
      <c r="AG1468" s="33">
        <f t="shared" si="276"/>
        <v>0</v>
      </c>
      <c r="AH1468" s="43" t="s">
        <v>3016</v>
      </c>
      <c r="AI1468" s="63">
        <f t="shared" si="273"/>
        <v>8.3962264150943394E-4</v>
      </c>
      <c r="AJ1468" s="284">
        <f>RTD("money.excel",,$G1468,"PredictVolume")</f>
        <v>89</v>
      </c>
      <c r="AK1468" s="399">
        <f>IFERROR(VLOOKUP($G1468,基本資料!$A:$M,13,0),"無")</f>
        <v>0.73</v>
      </c>
    </row>
    <row r="1469" spans="1:37">
      <c r="A1469" s="347">
        <f>IFERROR(VLOOKUP($G1469,基本資料!$A:$J,3,0),"無")</f>
        <v>88</v>
      </c>
      <c r="B1469" s="79">
        <f>IFERROR(VLOOKUP($G1469,基本資料!$A:$J,4,0),"無")</f>
        <v>-90</v>
      </c>
      <c r="C1469" s="79">
        <f>IFERROR(VLOOKUP($G1469,基本資料!$A:$J,5,0),"無")</f>
        <v>-52</v>
      </c>
      <c r="D1469" s="79">
        <f>IFERROR(VLOOKUP($G1469,基本資料!$A:$J,6,0),"無")</f>
        <v>-9</v>
      </c>
      <c r="E1469" s="79">
        <f>IFERROR(VLOOKUP($G1469,基本資料!$A:$J,7,0),"無")</f>
        <v>-2</v>
      </c>
      <c r="F1469" s="6">
        <f>IFERROR(VLOOKUP($G1469,基本資料!$A:$J,8,0),"無")</f>
        <v>3.44</v>
      </c>
      <c r="G1469" s="79">
        <v>2547</v>
      </c>
      <c r="H1469" s="8" t="s">
        <v>876</v>
      </c>
      <c r="I1469" s="22" t="s">
        <v>924</v>
      </c>
      <c r="J1469" s="8">
        <f>IFERROR(VLOOKUP($G1469,今日總結!$A:$AJ,35,0),"")</f>
        <v>0</v>
      </c>
      <c r="K1469" s="5" t="str">
        <f>IFERROR(VLOOKUP($G1469,今日總結!$A:$AJ,36,0),"")</f>
        <v>外</v>
      </c>
      <c r="L1469" s="156">
        <f>IFERROR(VLOOKUP($G1469,今日總結!$A:$AJ,33,0),"")</f>
        <v>0</v>
      </c>
      <c r="M1469" s="340">
        <f>IFERROR(VLOOKUP($G1469,今日總結!$A:$AJ,34,0),"")</f>
        <v>2</v>
      </c>
      <c r="N1469" s="240">
        <f t="shared" si="271"/>
        <v>-2</v>
      </c>
      <c r="P1469" s="365">
        <f>IFERROR(VLOOKUP($G1469,融外自投!$A:$J,7,0),"無")</f>
        <v>984</v>
      </c>
      <c r="Q1469" s="79">
        <f>IFERROR(VLOOKUP($G1469,融外自投!$A:$J,9,0),"無")</f>
        <v>789</v>
      </c>
      <c r="R1469" s="346">
        <f>IFERROR(VLOOKUP($G1469,融外自投!$A:$J,8,0),"無")</f>
        <v>286</v>
      </c>
      <c r="S1469" s="81" t="str">
        <f>IFERROR(VLOOKUP($G1469,融外自投!$A:$J,10,0),"無")</f>
        <v>無</v>
      </c>
      <c r="T1469" s="327">
        <f>IFERROR(VLOOKUP($G1469,'321買'!$A:$E,5,0),"'沒有資料'")</f>
        <v>894</v>
      </c>
      <c r="U1469" s="186">
        <f>IFERROR(VLOOKUP($G1469,基本資料!$A:$J,9,0),"無")</f>
        <v>0.2</v>
      </c>
      <c r="V1469" s="310">
        <f t="shared" si="272"/>
        <v>2.100840336134454E-2</v>
      </c>
      <c r="W1469" s="94">
        <f>IFERROR(VLOOKUP($G1469,基本資料!$A:$J,10,0),"無")</f>
        <v>7.0000000000000007E-2</v>
      </c>
      <c r="X1469" s="36">
        <f>RTD("money.excel",,"2547","Price")</f>
        <v>9.52</v>
      </c>
      <c r="Y1469" s="66"/>
      <c r="Z1469" s="15">
        <f t="shared" si="274"/>
        <v>9.52</v>
      </c>
      <c r="AA1469" s="3" t="e">
        <f t="shared" si="275"/>
        <v>#DIV/0!</v>
      </c>
      <c r="AB1469" s="344">
        <f>IFERROR(VLOOKUP($G1469,基本資料!$A:$M,11,0),"無")</f>
        <v>-17.45</v>
      </c>
      <c r="AC1469" s="397">
        <f>IFERROR(VLOOKUP($G1469,基本資料!$A:$M,12,0),"無")</f>
        <v>10.47</v>
      </c>
      <c r="AD1469" s="22" t="s">
        <v>924</v>
      </c>
      <c r="AG1469" s="33">
        <f t="shared" si="276"/>
        <v>0</v>
      </c>
      <c r="AH1469" s="43" t="s">
        <v>2012</v>
      </c>
      <c r="AI1469" s="63">
        <f t="shared" si="273"/>
        <v>1.1113636363636365E-3</v>
      </c>
      <c r="AJ1469" s="284">
        <f>RTD("money.excel",,$G1469,"PredictVolume")</f>
        <v>978</v>
      </c>
      <c r="AK1469" s="399">
        <f>IFERROR(VLOOKUP($G1469,基本資料!$A:$M,13,0),"無")</f>
        <v>2.17</v>
      </c>
    </row>
    <row r="1470" spans="1:37">
      <c r="A1470" s="347">
        <f>IFERROR(VLOOKUP($G1470,基本資料!$A:$J,3,0),"無")</f>
        <v>27.68</v>
      </c>
      <c r="B1470" s="79">
        <f>IFERROR(VLOOKUP($G1470,基本資料!$A:$J,4,0),"無")</f>
        <v>5</v>
      </c>
      <c r="C1470" s="79">
        <f>IFERROR(VLOOKUP($G1470,基本資料!$A:$J,5,0),"無")</f>
        <v>13</v>
      </c>
      <c r="D1470" s="79">
        <f>IFERROR(VLOOKUP($G1470,基本資料!$A:$J,6,0),"無")</f>
        <v>102</v>
      </c>
      <c r="E1470" s="79">
        <f>IFERROR(VLOOKUP($G1470,基本資料!$A:$J,7,0),"無")</f>
        <v>84</v>
      </c>
      <c r="F1470" s="6">
        <f>IFERROR(VLOOKUP($G1470,基本資料!$A:$J,8,0),"無")</f>
        <v>26.08</v>
      </c>
      <c r="G1470" s="79">
        <v>2548</v>
      </c>
      <c r="H1470" s="8" t="s">
        <v>876</v>
      </c>
      <c r="I1470" s="22" t="s">
        <v>925</v>
      </c>
      <c r="J1470" s="8" t="str">
        <f>IFERROR(VLOOKUP($G1470,今日總結!$A:$AJ,35,0),"")</f>
        <v/>
      </c>
      <c r="K1470" s="5" t="str">
        <f>IFERROR(VLOOKUP($G1470,今日總結!$A:$AJ,36,0),"")</f>
        <v/>
      </c>
      <c r="L1470" s="156" t="str">
        <f>IFERROR(VLOOKUP($G1470,今日總結!$A:$AJ,33,0),"")</f>
        <v/>
      </c>
      <c r="M1470" s="340" t="str">
        <f>IFERROR(VLOOKUP($G1470,今日總結!$A:$AJ,34,0),"")</f>
        <v/>
      </c>
      <c r="N1470" s="240" t="str">
        <f t="shared" si="271"/>
        <v/>
      </c>
      <c r="P1470" s="365">
        <f>IFERROR(VLOOKUP($G1470,融外自投!$A:$J,7,0),"無")</f>
        <v>1333</v>
      </c>
      <c r="Q1470" s="79">
        <f>IFERROR(VLOOKUP($G1470,融外自投!$A:$J,9,0),"無")</f>
        <v>59</v>
      </c>
      <c r="R1470" s="346">
        <f>IFERROR(VLOOKUP($G1470,融外自投!$A:$J,8,0),"無")</f>
        <v>290</v>
      </c>
      <c r="S1470" s="81">
        <f>IFERROR(VLOOKUP($G1470,融外自投!$A:$J,10,0),"無")</f>
        <v>295</v>
      </c>
      <c r="T1470" s="327">
        <f>IFERROR(VLOOKUP($G1470,'321買'!$A:$E,5,0),"'沒有資料'")</f>
        <v>503</v>
      </c>
      <c r="U1470" s="186">
        <f>IFERROR(VLOOKUP($G1470,基本資料!$A:$J,9,0),"無")</f>
        <v>7.5</v>
      </c>
      <c r="V1470" s="310">
        <f t="shared" si="272"/>
        <v>8.1699346405228759E-2</v>
      </c>
      <c r="W1470" s="94">
        <f>IFERROR(VLOOKUP($G1470,基本資料!$A:$J,10,0),"無")</f>
        <v>10.56</v>
      </c>
      <c r="X1470" s="36">
        <f>RTD("money.excel",,"2548","Price")</f>
        <v>91.8</v>
      </c>
      <c r="Y1470" s="66"/>
      <c r="Z1470" s="15">
        <f t="shared" si="274"/>
        <v>91.8</v>
      </c>
      <c r="AA1470" s="3" t="e">
        <f t="shared" si="275"/>
        <v>#DIV/0!</v>
      </c>
      <c r="AB1470" s="344">
        <f>IFERROR(VLOOKUP($G1470,基本資料!$A:$M,11,0),"無")</f>
        <v>-3.07</v>
      </c>
      <c r="AC1470" s="397">
        <f>IFERROR(VLOOKUP($G1470,基本資料!$A:$M,12,0),"無")</f>
        <v>50.72</v>
      </c>
      <c r="AD1470" s="22" t="s">
        <v>925</v>
      </c>
      <c r="AG1470" s="33">
        <f t="shared" si="276"/>
        <v>0</v>
      </c>
      <c r="AH1470" s="43" t="s">
        <v>2012</v>
      </c>
      <c r="AI1470" s="63">
        <f t="shared" si="273"/>
        <v>1.7377167630057803E-3</v>
      </c>
      <c r="AJ1470" s="284">
        <f>RTD("money.excel",,$G1470,"PredictVolume")</f>
        <v>481</v>
      </c>
      <c r="AK1470" s="399">
        <f>IFERROR(VLOOKUP($G1470,基本資料!$A:$M,13,0),"無")</f>
        <v>1.68</v>
      </c>
    </row>
    <row r="1471" spans="1:37">
      <c r="A1471" s="347">
        <f>IFERROR(VLOOKUP($G1471,基本資料!$A:$J,3,0),"無")</f>
        <v>10</v>
      </c>
      <c r="B1471" s="79">
        <f>IFERROR(VLOOKUP($G1471,基本資料!$A:$J,4,0),"無")</f>
        <v>60</v>
      </c>
      <c r="C1471" s="79">
        <f>IFERROR(VLOOKUP($G1471,基本資料!$A:$J,5,0),"無")</f>
        <v>44</v>
      </c>
      <c r="D1471" s="79">
        <f>IFERROR(VLOOKUP($G1471,基本資料!$A:$J,6,0),"無")</f>
        <v>27626</v>
      </c>
      <c r="E1471" s="79">
        <f>IFERROR(VLOOKUP($G1471,基本資料!$A:$J,7,0),"無")</f>
        <v>-65</v>
      </c>
      <c r="F1471" s="6">
        <f>IFERROR(VLOOKUP($G1471,基本資料!$A:$J,8,0),"無")</f>
        <v>23.62</v>
      </c>
      <c r="G1471" s="79">
        <v>2596</v>
      </c>
      <c r="H1471" s="8" t="s">
        <v>876</v>
      </c>
      <c r="I1471" s="16" t="s">
        <v>878</v>
      </c>
      <c r="J1471" s="8">
        <f>IFERROR(VLOOKUP($G1471,今日總結!$A:$AJ,35,0),"")</f>
        <v>0</v>
      </c>
      <c r="K1471" s="5" t="str">
        <f>IFERROR(VLOOKUP($G1471,今日總結!$A:$AJ,36,0),"")</f>
        <v>外</v>
      </c>
      <c r="L1471" s="156">
        <f>IFERROR(VLOOKUP($G1471,今日總結!$A:$AJ,33,0),"")</f>
        <v>0</v>
      </c>
      <c r="M1471" s="340">
        <f>IFERROR(VLOOKUP($G1471,今日總結!$A:$AJ,34,0),"")</f>
        <v>2</v>
      </c>
      <c r="N1471" s="240">
        <f t="shared" si="271"/>
        <v>-2</v>
      </c>
      <c r="P1471" s="365">
        <f>IFERROR(VLOOKUP($G1471,融外自投!$A:$J,7,0),"無")</f>
        <v>899</v>
      </c>
      <c r="Q1471" s="79" t="str">
        <f>IFERROR(VLOOKUP($G1471,融外自投!$A:$J,9,0),"無")</f>
        <v>無</v>
      </c>
      <c r="R1471" s="346">
        <f>IFERROR(VLOOKUP($G1471,融外自投!$A:$J,8,0),"無")</f>
        <v>1305</v>
      </c>
      <c r="S1471" s="81" t="str">
        <f>IFERROR(VLOOKUP($G1471,融外自投!$A:$J,10,0),"無")</f>
        <v>無</v>
      </c>
      <c r="T1471" s="327">
        <f>IFERROR(VLOOKUP($G1471,'321買'!$A:$E,5,0),"'沒有資料'")</f>
        <v>1126</v>
      </c>
      <c r="U1471" s="186">
        <f>IFERROR(VLOOKUP($G1471,基本資料!$A:$J,9,0),"無")</f>
        <v>1.5</v>
      </c>
      <c r="V1471" s="310">
        <f t="shared" si="272"/>
        <v>7.389162561576354E-2</v>
      </c>
      <c r="W1471" s="94">
        <f>IFERROR(VLOOKUP($G1471,基本資料!$A:$J,10,0),"無")</f>
        <v>3.05</v>
      </c>
      <c r="X1471" s="36">
        <f>RTD("money.excel",,"2596","Price")</f>
        <v>20.3</v>
      </c>
      <c r="Y1471" s="66"/>
      <c r="Z1471" s="15">
        <f t="shared" si="274"/>
        <v>20.3</v>
      </c>
      <c r="AA1471" s="3" t="e">
        <f t="shared" si="275"/>
        <v>#DIV/0!</v>
      </c>
      <c r="AB1471" s="344">
        <f>IFERROR(VLOOKUP($G1471,基本資料!$A:$M,11,0),"無")</f>
        <v>-21.9</v>
      </c>
      <c r="AC1471" s="397">
        <f>IFERROR(VLOOKUP($G1471,基本資料!$A:$M,12,0),"無")</f>
        <v>18.27</v>
      </c>
      <c r="AD1471" s="16" t="s">
        <v>878</v>
      </c>
      <c r="AG1471" s="33">
        <f t="shared" si="276"/>
        <v>0</v>
      </c>
      <c r="AH1471" s="43" t="s">
        <v>2012</v>
      </c>
      <c r="AI1471" s="63">
        <f t="shared" si="273"/>
        <v>5.1000000000000004E-4</v>
      </c>
      <c r="AJ1471" s="284">
        <f>RTD("money.excel",,$G1471,"PredictVolume")</f>
        <v>51</v>
      </c>
      <c r="AK1471" s="399">
        <f>IFERROR(VLOOKUP($G1471,基本資料!$A:$M,13,0),"無")</f>
        <v>0.91</v>
      </c>
    </row>
    <row r="1472" spans="1:37">
      <c r="A1472" s="347">
        <f>IFERROR(VLOOKUP($G1472,基本資料!$A:$J,3,0),"無")</f>
        <v>18.489999999999998</v>
      </c>
      <c r="B1472" s="79">
        <f>IFERROR(VLOOKUP($G1472,基本資料!$A:$J,4,0),"無")</f>
        <v>63</v>
      </c>
      <c r="C1472" s="79">
        <f>IFERROR(VLOOKUP($G1472,基本資料!$A:$J,5,0),"無")</f>
        <v>100</v>
      </c>
      <c r="D1472" s="79">
        <f>IFERROR(VLOOKUP($G1472,基本資料!$A:$J,6,0),"無")</f>
        <v>53</v>
      </c>
      <c r="E1472" s="79">
        <f>IFERROR(VLOOKUP($G1472,基本資料!$A:$J,7,0),"無")</f>
        <v>29</v>
      </c>
      <c r="F1472" s="6">
        <f>IFERROR(VLOOKUP($G1472,基本資料!$A:$J,8,0),"無")</f>
        <v>10.84</v>
      </c>
      <c r="G1472" s="79">
        <v>2597</v>
      </c>
      <c r="H1472" s="8" t="s">
        <v>876</v>
      </c>
      <c r="I1472" s="22" t="s">
        <v>926</v>
      </c>
      <c r="J1472" s="8" t="str">
        <f>IFERROR(VLOOKUP($G1472,今日總結!$A:$AJ,35,0),"")</f>
        <v/>
      </c>
      <c r="K1472" s="5" t="str">
        <f>IFERROR(VLOOKUP($G1472,今日總結!$A:$AJ,36,0),"")</f>
        <v/>
      </c>
      <c r="L1472" s="156" t="str">
        <f>IFERROR(VLOOKUP($G1472,今日總結!$A:$AJ,33,0),"")</f>
        <v/>
      </c>
      <c r="M1472" s="340" t="str">
        <f>IFERROR(VLOOKUP($G1472,今日總結!$A:$AJ,34,0),"")</f>
        <v/>
      </c>
      <c r="N1472" s="240" t="str">
        <f t="shared" si="271"/>
        <v/>
      </c>
      <c r="P1472" s="365">
        <f>IFERROR(VLOOKUP($G1472,融外自投!$A:$J,7,0),"無")</f>
        <v>1205</v>
      </c>
      <c r="Q1472" s="79">
        <f>IFERROR(VLOOKUP($G1472,融外自投!$A:$J,9,0),"無")</f>
        <v>1110</v>
      </c>
      <c r="R1472" s="346">
        <f>IFERROR(VLOOKUP($G1472,融外自投!$A:$J,8,0),"無")</f>
        <v>1166</v>
      </c>
      <c r="S1472" s="81">
        <f>IFERROR(VLOOKUP($G1472,融外自投!$A:$J,10,0),"無")</f>
        <v>437</v>
      </c>
      <c r="T1472" s="327">
        <f>IFERROR(VLOOKUP($G1472,'321買'!$A:$E,5,0),"'沒有資料'")</f>
        <v>623</v>
      </c>
      <c r="U1472" s="186">
        <f>IFERROR(VLOOKUP($G1472,基本資料!$A:$J,9,0),"無")</f>
        <v>9</v>
      </c>
      <c r="V1472" s="310">
        <f t="shared" si="272"/>
        <v>7.43801652892562E-2</v>
      </c>
      <c r="W1472" s="94">
        <f>IFERROR(VLOOKUP($G1472,基本資料!$A:$J,10,0),"無")</f>
        <v>9.9600000000000009</v>
      </c>
      <c r="X1472" s="36">
        <f>RTD("money.excel",,"2597","Price")</f>
        <v>121</v>
      </c>
      <c r="Y1472" s="66"/>
      <c r="Z1472" s="15">
        <f t="shared" si="274"/>
        <v>121</v>
      </c>
      <c r="AA1472" s="3" t="e">
        <f t="shared" si="275"/>
        <v>#DIV/0!</v>
      </c>
      <c r="AB1472" s="344">
        <f>IFERROR(VLOOKUP($G1472,基本資料!$A:$M,11,0),"無")</f>
        <v>-34.229999999999997</v>
      </c>
      <c r="AC1472" s="397">
        <f>IFERROR(VLOOKUP($G1472,基本資料!$A:$M,12,0),"無")</f>
        <v>14.85</v>
      </c>
      <c r="AD1472" s="22" t="s">
        <v>926</v>
      </c>
      <c r="AG1472" s="33">
        <f t="shared" si="276"/>
        <v>0</v>
      </c>
      <c r="AH1472" s="43" t="s">
        <v>3015</v>
      </c>
      <c r="AI1472" s="63">
        <f t="shared" ref="AI1472:AI1503" si="277">AJ1472/(A1472*10000)</f>
        <v>2.9745808545159552E-4</v>
      </c>
      <c r="AJ1472" s="284">
        <f>RTD("money.excel",,$G1472,"PredictVolume")</f>
        <v>55</v>
      </c>
      <c r="AK1472" s="399">
        <f>IFERROR(VLOOKUP($G1472,基本資料!$A:$M,13,0),"無")</f>
        <v>1.18</v>
      </c>
    </row>
    <row r="1473" spans="1:37">
      <c r="A1473" s="347" t="str">
        <f>IFERROR(VLOOKUP($G1473,基本資料!$A:$J,3,0),"無")</f>
        <v>無</v>
      </c>
      <c r="B1473" s="79" t="str">
        <f>IFERROR(VLOOKUP($G1473,基本資料!$A:$J,4,0),"無")</f>
        <v>無</v>
      </c>
      <c r="C1473" s="79" t="str">
        <f>IFERROR(VLOOKUP($G1473,基本資料!$A:$J,5,0),"無")</f>
        <v>無</v>
      </c>
      <c r="D1473" s="79" t="str">
        <f>IFERROR(VLOOKUP($G1473,基本資料!$A:$J,6,0),"無")</f>
        <v>無</v>
      </c>
      <c r="E1473" s="79" t="str">
        <f>IFERROR(VLOOKUP($G1473,基本資料!$A:$J,7,0),"無")</f>
        <v>無</v>
      </c>
      <c r="F1473" s="6" t="str">
        <f>IFERROR(VLOOKUP($G1473,基本資料!$A:$J,8,0),"無")</f>
        <v>無</v>
      </c>
      <c r="G1473" s="79">
        <v>2841</v>
      </c>
      <c r="H1473" s="8" t="s">
        <v>876</v>
      </c>
      <c r="I1473" s="22" t="s">
        <v>927</v>
      </c>
      <c r="J1473" s="8" t="str">
        <f>IFERROR(VLOOKUP($G1473,今日總結!$A:$AJ,35,0),"")</f>
        <v/>
      </c>
      <c r="K1473" s="5" t="str">
        <f>IFERROR(VLOOKUP($G1473,今日總結!$A:$AJ,36,0),"")</f>
        <v/>
      </c>
      <c r="L1473" s="156" t="str">
        <f>IFERROR(VLOOKUP($G1473,今日總結!$A:$AJ,33,0),"")</f>
        <v/>
      </c>
      <c r="M1473" s="340" t="str">
        <f>IFERROR(VLOOKUP($G1473,今日總結!$A:$AJ,34,0),"")</f>
        <v/>
      </c>
      <c r="N1473" s="240" t="str">
        <f t="shared" si="271"/>
        <v/>
      </c>
      <c r="P1473" s="365" t="str">
        <f>IFERROR(VLOOKUP($G1473,融外自投!$A:$J,7,0),"無")</f>
        <v>無</v>
      </c>
      <c r="Q1473" s="79" t="str">
        <f>IFERROR(VLOOKUP($G1473,融外自投!$A:$J,9,0),"無")</f>
        <v>無</v>
      </c>
      <c r="R1473" s="346" t="str">
        <f>IFERROR(VLOOKUP($G1473,融外自投!$A:$J,8,0),"無")</f>
        <v>無</v>
      </c>
      <c r="S1473" s="81" t="str">
        <f>IFERROR(VLOOKUP($G1473,融外自投!$A:$J,10,0),"無")</f>
        <v>無</v>
      </c>
      <c r="T1473" s="327" t="str">
        <f>IFERROR(VLOOKUP($G1473,'321買'!$A:$E,5,0),"'沒有資料'")</f>
        <v>'沒有資料'</v>
      </c>
      <c r="U1473" s="186" t="str">
        <f>IFERROR(VLOOKUP($G1473,基本資料!$A:$J,9,0),"無")</f>
        <v>無</v>
      </c>
      <c r="V1473" s="310" t="e">
        <f t="shared" si="272"/>
        <v>#VALUE!</v>
      </c>
      <c r="W1473" s="94" t="str">
        <f>IFERROR(VLOOKUP($G1473,基本資料!$A:$J,10,0),"無")</f>
        <v>無</v>
      </c>
      <c r="X1473" s="36" t="str">
        <f>RTD("money.excel",,"2841","Price")</f>
        <v>商品錯誤</v>
      </c>
      <c r="Y1473" s="66"/>
      <c r="Z1473" s="15" t="e">
        <f t="shared" si="274"/>
        <v>#VALUE!</v>
      </c>
      <c r="AA1473" s="3" t="e">
        <f t="shared" si="275"/>
        <v>#VALUE!</v>
      </c>
      <c r="AB1473" s="344" t="str">
        <f>IFERROR(VLOOKUP($G1473,基本資料!$A:$M,11,0),"無")</f>
        <v>無</v>
      </c>
      <c r="AC1473" s="397" t="str">
        <f>IFERROR(VLOOKUP($G1473,基本資料!$A:$M,12,0),"無")</f>
        <v>無</v>
      </c>
      <c r="AD1473" s="22" t="s">
        <v>927</v>
      </c>
      <c r="AG1473" s="33">
        <f t="shared" si="276"/>
        <v>0</v>
      </c>
      <c r="AH1473" s="43" t="s">
        <v>3169</v>
      </c>
      <c r="AI1473" s="63" t="e">
        <f t="shared" si="277"/>
        <v>#VALUE!</v>
      </c>
      <c r="AJ1473" s="284" t="str">
        <f>RTD("money.excel",,$G1473,"PredictVolume")</f>
        <v>商品錯誤</v>
      </c>
      <c r="AK1473" s="399" t="str">
        <f>IFERROR(VLOOKUP($G1473,基本資料!$A:$M,13,0),"無")</f>
        <v>無</v>
      </c>
    </row>
    <row r="1474" spans="1:37">
      <c r="A1474" s="347">
        <f>IFERROR(VLOOKUP($G1474,基本資料!$A:$J,3,0),"無")</f>
        <v>174</v>
      </c>
      <c r="B1474" s="79">
        <f>IFERROR(VLOOKUP($G1474,基本資料!$A:$J,4,0),"無")</f>
        <v>0</v>
      </c>
      <c r="C1474" s="79">
        <f>IFERROR(VLOOKUP($G1474,基本資料!$A:$J,5,0),"無")</f>
        <v>-44</v>
      </c>
      <c r="D1474" s="79">
        <f>IFERROR(VLOOKUP($G1474,基本資料!$A:$J,6,0),"無")</f>
        <v>-4</v>
      </c>
      <c r="E1474" s="79">
        <f>IFERROR(VLOOKUP($G1474,基本資料!$A:$J,7,0),"無")</f>
        <v>362</v>
      </c>
      <c r="F1474" s="6">
        <f>IFERROR(VLOOKUP($G1474,基本資料!$A:$J,8,0),"無")</f>
        <v>38</v>
      </c>
      <c r="G1474" s="79">
        <v>2923</v>
      </c>
      <c r="H1474" s="8" t="s">
        <v>876</v>
      </c>
      <c r="I1474" s="22" t="s">
        <v>940</v>
      </c>
      <c r="J1474" s="8" t="str">
        <f>IFERROR(VLOOKUP($G1474,今日總結!$A:$AJ,35,0),"")</f>
        <v/>
      </c>
      <c r="K1474" s="5" t="str">
        <f>IFERROR(VLOOKUP($G1474,今日總結!$A:$AJ,36,0),"")</f>
        <v/>
      </c>
      <c r="L1474" s="156" t="str">
        <f>IFERROR(VLOOKUP($G1474,今日總結!$A:$AJ,33,0),"")</f>
        <v/>
      </c>
      <c r="M1474" s="340" t="str">
        <f>IFERROR(VLOOKUP($G1474,今日總結!$A:$AJ,34,0),"")</f>
        <v/>
      </c>
      <c r="N1474" s="240" t="str">
        <f t="shared" si="271"/>
        <v/>
      </c>
      <c r="P1474" s="365" t="str">
        <f>IFERROR(VLOOKUP($G1474,融外自投!$A:$J,7,0),"無")</f>
        <v>無</v>
      </c>
      <c r="Q1474" s="79" t="str">
        <f>IFERROR(VLOOKUP($G1474,融外自投!$A:$J,9,0),"無")</f>
        <v>無</v>
      </c>
      <c r="R1474" s="346" t="str">
        <f>IFERROR(VLOOKUP($G1474,融外自投!$A:$J,8,0),"無")</f>
        <v>無</v>
      </c>
      <c r="S1474" s="81" t="str">
        <f>IFERROR(VLOOKUP($G1474,融外自投!$A:$J,10,0),"無")</f>
        <v>無</v>
      </c>
      <c r="T1474" s="327" t="str">
        <f>IFERROR(VLOOKUP($G1474,'321買'!$A:$E,5,0),"'沒有資料'")</f>
        <v>'沒有資料'</v>
      </c>
      <c r="U1474" s="186">
        <f>IFERROR(VLOOKUP($G1474,基本資料!$A:$J,9,0),"無")</f>
        <v>1.2</v>
      </c>
      <c r="V1474" s="310">
        <f t="shared" si="272"/>
        <v>4.9281314168377818E-2</v>
      </c>
      <c r="W1474" s="94">
        <f>IFERROR(VLOOKUP($G1474,基本資料!$A:$J,10,0),"無")</f>
        <v>0.67</v>
      </c>
      <c r="X1474" s="36">
        <f>RTD("money.excel",,"2923","Price")</f>
        <v>24.35</v>
      </c>
      <c r="Y1474" s="66"/>
      <c r="Z1474" s="15">
        <f t="shared" si="274"/>
        <v>24.35</v>
      </c>
      <c r="AA1474" s="3" t="e">
        <f t="shared" si="275"/>
        <v>#DIV/0!</v>
      </c>
      <c r="AB1474" s="344">
        <f>IFERROR(VLOOKUP($G1474,基本資料!$A:$M,11,0),"無")</f>
        <v>-22.42</v>
      </c>
      <c r="AC1474" s="397">
        <f>IFERROR(VLOOKUP($G1474,基本資料!$A:$M,12,0),"無")</f>
        <v>27.02</v>
      </c>
      <c r="AD1474" s="22" t="s">
        <v>940</v>
      </c>
      <c r="AG1474" s="33">
        <f t="shared" si="276"/>
        <v>0</v>
      </c>
      <c r="AH1474" s="43" t="s">
        <v>3014</v>
      </c>
      <c r="AI1474" s="63">
        <f t="shared" si="277"/>
        <v>1.9540229885057472E-5</v>
      </c>
      <c r="AJ1474" s="284">
        <f>RTD("money.excel",,$G1474,"PredictVolume")</f>
        <v>34</v>
      </c>
      <c r="AK1474" s="399">
        <f>IFERROR(VLOOKUP($G1474,基本資料!$A:$M,13,0),"無")</f>
        <v>0.05</v>
      </c>
    </row>
    <row r="1475" spans="1:37">
      <c r="A1475" s="347">
        <f>IFERROR(VLOOKUP($G1475,基本資料!$A:$J,3,0),"無")</f>
        <v>22.87</v>
      </c>
      <c r="B1475" s="79">
        <f>IFERROR(VLOOKUP($G1475,基本資料!$A:$J,4,0),"無")</f>
        <v>-67</v>
      </c>
      <c r="C1475" s="79">
        <f>IFERROR(VLOOKUP($G1475,基本資料!$A:$J,5,0),"無")</f>
        <v>-76</v>
      </c>
      <c r="D1475" s="79">
        <f>IFERROR(VLOOKUP($G1475,基本資料!$A:$J,6,0),"無")</f>
        <v>40</v>
      </c>
      <c r="E1475" s="79">
        <f>IFERROR(VLOOKUP($G1475,基本資料!$A:$J,7,0),"無")</f>
        <v>-25</v>
      </c>
      <c r="F1475" s="6">
        <f>IFERROR(VLOOKUP($G1475,基本資料!$A:$J,8,0),"無")</f>
        <v>1.88</v>
      </c>
      <c r="G1475" s="79">
        <v>3052</v>
      </c>
      <c r="H1475" s="8" t="s">
        <v>876</v>
      </c>
      <c r="I1475" s="22" t="s">
        <v>928</v>
      </c>
      <c r="J1475" s="8" t="str">
        <f>IFERROR(VLOOKUP($G1475,今日總結!$A:$AJ,35,0),"")</f>
        <v>主</v>
      </c>
      <c r="K1475" s="5">
        <f>IFERROR(VLOOKUP($G1475,今日總結!$A:$AJ,36,0),"")</f>
        <v>0</v>
      </c>
      <c r="L1475" s="156">
        <f>IFERROR(VLOOKUP($G1475,今日總結!$A:$AJ,33,0),"")</f>
        <v>1</v>
      </c>
      <c r="M1475" s="340">
        <f>IFERROR(VLOOKUP($G1475,今日總結!$A:$AJ,34,0),"")</f>
        <v>0</v>
      </c>
      <c r="N1475" s="240">
        <f t="shared" si="271"/>
        <v>1</v>
      </c>
      <c r="P1475" s="365">
        <f>IFERROR(VLOOKUP($G1475,融外自投!$A:$J,7,0),"無")</f>
        <v>1003</v>
      </c>
      <c r="Q1475" s="79">
        <f>IFERROR(VLOOKUP($G1475,融外自投!$A:$J,9,0),"無")</f>
        <v>896</v>
      </c>
      <c r="R1475" s="346">
        <f>IFERROR(VLOOKUP($G1475,融外自投!$A:$J,8,0),"無")</f>
        <v>1205</v>
      </c>
      <c r="S1475" s="81" t="str">
        <f>IFERROR(VLOOKUP($G1475,融外自投!$A:$J,10,0),"無")</f>
        <v>無</v>
      </c>
      <c r="T1475" s="327">
        <f>IFERROR(VLOOKUP($G1475,'321買'!$A:$E,5,0),"'沒有資料'")</f>
        <v>752</v>
      </c>
      <c r="U1475" s="186">
        <f>IFERROR(VLOOKUP($G1475,基本資料!$A:$J,9,0),"無")</f>
        <v>0.25</v>
      </c>
      <c r="V1475" s="310">
        <f t="shared" si="272"/>
        <v>2.5000000000000001E-2</v>
      </c>
      <c r="W1475" s="94">
        <f>IFERROR(VLOOKUP($G1475,基本資料!$A:$J,10,0),"無")</f>
        <v>0.52</v>
      </c>
      <c r="X1475" s="36">
        <f>RTD("money.excel",,"3052","Price")</f>
        <v>10</v>
      </c>
      <c r="Y1475" s="66"/>
      <c r="Z1475" s="15">
        <f t="shared" si="274"/>
        <v>10</v>
      </c>
      <c r="AA1475" s="3" t="e">
        <f t="shared" si="275"/>
        <v>#DIV/0!</v>
      </c>
      <c r="AB1475" s="344">
        <f>IFERROR(VLOOKUP($G1475,基本資料!$A:$M,11,0),"無")</f>
        <v>-22.39</v>
      </c>
      <c r="AC1475" s="397">
        <f>IFERROR(VLOOKUP($G1475,基本資料!$A:$M,12,0),"無")</f>
        <v>30.01</v>
      </c>
      <c r="AD1475" s="22" t="s">
        <v>928</v>
      </c>
      <c r="AG1475" s="33">
        <f t="shared" si="276"/>
        <v>0</v>
      </c>
      <c r="AH1475" s="43" t="s">
        <v>1541</v>
      </c>
      <c r="AI1475" s="63">
        <f t="shared" si="277"/>
        <v>4.6786182772190645E-4</v>
      </c>
      <c r="AJ1475" s="284">
        <f>RTD("money.excel",,$G1475,"PredictVolume")</f>
        <v>107</v>
      </c>
      <c r="AK1475" s="399">
        <f>IFERROR(VLOOKUP($G1475,基本資料!$A:$M,13,0),"無")</f>
        <v>1.98</v>
      </c>
    </row>
    <row r="1476" spans="1:37">
      <c r="A1476" s="347">
        <f>IFERROR(VLOOKUP($G1476,基本資料!$A:$J,3,0),"無")</f>
        <v>21.17</v>
      </c>
      <c r="B1476" s="79">
        <f>IFERROR(VLOOKUP($G1476,基本資料!$A:$J,4,0),"無")</f>
        <v>-37</v>
      </c>
      <c r="C1476" s="79">
        <f>IFERROR(VLOOKUP($G1476,基本資料!$A:$J,5,0),"無")</f>
        <v>-37</v>
      </c>
      <c r="D1476" s="79">
        <f>IFERROR(VLOOKUP($G1476,基本資料!$A:$J,6,0),"無")</f>
        <v>-29</v>
      </c>
      <c r="E1476" s="79">
        <f>IFERROR(VLOOKUP($G1476,基本資料!$A:$J,7,0),"無")</f>
        <v>-61</v>
      </c>
      <c r="F1476" s="6">
        <f>IFERROR(VLOOKUP($G1476,基本資料!$A:$J,8,0),"無")</f>
        <v>21.73</v>
      </c>
      <c r="G1476" s="79">
        <v>3056</v>
      </c>
      <c r="H1476" s="8" t="s">
        <v>876</v>
      </c>
      <c r="I1476" s="22" t="s">
        <v>929</v>
      </c>
      <c r="J1476" s="8" t="str">
        <f>IFERROR(VLOOKUP($G1476,今日總結!$A:$AJ,35,0),"")</f>
        <v/>
      </c>
      <c r="K1476" s="5" t="str">
        <f>IFERROR(VLOOKUP($G1476,今日總結!$A:$AJ,36,0),"")</f>
        <v/>
      </c>
      <c r="L1476" s="156" t="str">
        <f>IFERROR(VLOOKUP($G1476,今日總結!$A:$AJ,33,0),"")</f>
        <v/>
      </c>
      <c r="M1476" s="340" t="str">
        <f>IFERROR(VLOOKUP($G1476,今日總結!$A:$AJ,34,0),"")</f>
        <v/>
      </c>
      <c r="N1476" s="240" t="str">
        <f t="shared" si="271"/>
        <v/>
      </c>
      <c r="P1476" s="365">
        <f>IFERROR(VLOOKUP($G1476,融外自投!$A:$J,7,0),"無")</f>
        <v>351</v>
      </c>
      <c r="Q1476" s="79">
        <f>IFERROR(VLOOKUP($G1476,融外自投!$A:$J,9,0),"無")</f>
        <v>852</v>
      </c>
      <c r="R1476" s="346">
        <f>IFERROR(VLOOKUP($G1476,融外自投!$A:$J,8,0),"無")</f>
        <v>796</v>
      </c>
      <c r="S1476" s="81">
        <f>IFERROR(VLOOKUP($G1476,融外自投!$A:$J,10,0),"無")</f>
        <v>458</v>
      </c>
      <c r="T1476" s="327">
        <f>IFERROR(VLOOKUP($G1476,'321買'!$A:$E,5,0),"'沒有資料'")</f>
        <v>122</v>
      </c>
      <c r="U1476" s="186">
        <f>IFERROR(VLOOKUP($G1476,基本資料!$A:$J,9,0),"無")</f>
        <v>1.5</v>
      </c>
      <c r="V1476" s="310">
        <f t="shared" si="272"/>
        <v>4.3352601156069363E-2</v>
      </c>
      <c r="W1476" s="94">
        <f>IFERROR(VLOOKUP($G1476,基本資料!$A:$J,10,0),"無")</f>
        <v>3.01</v>
      </c>
      <c r="X1476" s="36">
        <f>RTD("money.excel",,"3056","Price")</f>
        <v>34.6</v>
      </c>
      <c r="Y1476" s="66"/>
      <c r="Z1476" s="15">
        <f t="shared" si="274"/>
        <v>34.6</v>
      </c>
      <c r="AA1476" s="3" t="e">
        <f t="shared" si="275"/>
        <v>#DIV/0!</v>
      </c>
      <c r="AB1476" s="344">
        <f>IFERROR(VLOOKUP($G1476,基本資料!$A:$M,11,0),"無")</f>
        <v>-24.25</v>
      </c>
      <c r="AC1476" s="397">
        <f>IFERROR(VLOOKUP($G1476,基本資料!$A:$M,12,0),"無")</f>
        <v>14.11</v>
      </c>
      <c r="AD1476" s="22" t="s">
        <v>929</v>
      </c>
      <c r="AG1476" s="33">
        <f t="shared" si="276"/>
        <v>0</v>
      </c>
      <c r="AH1476" s="43" t="s">
        <v>2012</v>
      </c>
      <c r="AI1476" s="63">
        <f t="shared" si="277"/>
        <v>3.7316957959376471E-3</v>
      </c>
      <c r="AJ1476" s="284">
        <f>RTD("money.excel",,$G1476,"PredictVolume")</f>
        <v>790</v>
      </c>
      <c r="AK1476" s="399">
        <f>IFERROR(VLOOKUP($G1476,基本資料!$A:$M,13,0),"無")</f>
        <v>4.47</v>
      </c>
    </row>
    <row r="1477" spans="1:37">
      <c r="A1477" s="347">
        <f>IFERROR(VLOOKUP($G1477,基本資料!$A:$J,3,0),"無")</f>
        <v>12.02</v>
      </c>
      <c r="B1477" s="79">
        <f>IFERROR(VLOOKUP($G1477,基本資料!$A:$J,4,0),"無")</f>
        <v>266</v>
      </c>
      <c r="C1477" s="79">
        <f>IFERROR(VLOOKUP($G1477,基本資料!$A:$J,5,0),"無")</f>
        <v>239</v>
      </c>
      <c r="D1477" s="79">
        <f>IFERROR(VLOOKUP($G1477,基本資料!$A:$J,6,0),"無")</f>
        <v>-2</v>
      </c>
      <c r="E1477" s="79">
        <f>IFERROR(VLOOKUP($G1477,基本資料!$A:$J,7,0),"無")</f>
        <v>-91</v>
      </c>
      <c r="F1477" s="6">
        <f>IFERROR(VLOOKUP($G1477,基本資料!$A:$J,8,0),"無")</f>
        <v>18.12</v>
      </c>
      <c r="G1477" s="79">
        <v>3188</v>
      </c>
      <c r="H1477" s="8" t="s">
        <v>876</v>
      </c>
      <c r="I1477" s="16" t="s">
        <v>879</v>
      </c>
      <c r="J1477" s="8" t="str">
        <f>IFERROR(VLOOKUP($G1477,今日總結!$A:$AJ,35,0),"")</f>
        <v/>
      </c>
      <c r="K1477" s="5" t="str">
        <f>IFERROR(VLOOKUP($G1477,今日總結!$A:$AJ,36,0),"")</f>
        <v/>
      </c>
      <c r="L1477" s="156" t="str">
        <f>IFERROR(VLOOKUP($G1477,今日總結!$A:$AJ,33,0),"")</f>
        <v/>
      </c>
      <c r="M1477" s="340" t="str">
        <f>IFERROR(VLOOKUP($G1477,今日總結!$A:$AJ,34,0),"")</f>
        <v/>
      </c>
      <c r="N1477" s="240" t="str">
        <f t="shared" si="271"/>
        <v/>
      </c>
      <c r="P1477" s="365">
        <f>IFERROR(VLOOKUP($G1477,融外自投!$A:$J,7,0),"無")</f>
        <v>662</v>
      </c>
      <c r="Q1477" s="79">
        <f>IFERROR(VLOOKUP($G1477,融外自投!$A:$J,9,0),"無")</f>
        <v>978</v>
      </c>
      <c r="R1477" s="346">
        <f>IFERROR(VLOOKUP($G1477,融外自投!$A:$J,8,0),"無")</f>
        <v>1403</v>
      </c>
      <c r="S1477" s="81" t="str">
        <f>IFERROR(VLOOKUP($G1477,融外自投!$A:$J,10,0),"無")</f>
        <v>無</v>
      </c>
      <c r="T1477" s="327" t="str">
        <f>IFERROR(VLOOKUP($G1477,'321買'!$A:$E,5,0),"'沒有資料'")</f>
        <v>'沒有資料'</v>
      </c>
      <c r="U1477" s="186">
        <f>IFERROR(VLOOKUP($G1477,基本資料!$A:$J,9,0),"無")</f>
        <v>1</v>
      </c>
      <c r="V1477" s="310">
        <f t="shared" si="272"/>
        <v>6.3291139240506319E-2</v>
      </c>
      <c r="W1477" s="94">
        <f>IFERROR(VLOOKUP($G1477,基本資料!$A:$J,10,0),"無")</f>
        <v>1.78</v>
      </c>
      <c r="X1477" s="36">
        <f>RTD("money.excel",,"3188","Price")</f>
        <v>15.8</v>
      </c>
      <c r="Y1477" s="66"/>
      <c r="Z1477" s="15">
        <f t="shared" si="274"/>
        <v>15.8</v>
      </c>
      <c r="AA1477" s="3" t="e">
        <f t="shared" si="275"/>
        <v>#DIV/0!</v>
      </c>
      <c r="AB1477" s="344">
        <f>IFERROR(VLOOKUP($G1477,基本資料!$A:$M,11,0),"無")</f>
        <v>-16.88</v>
      </c>
      <c r="AC1477" s="397">
        <f>IFERROR(VLOOKUP($G1477,基本資料!$A:$M,12,0),"無")</f>
        <v>40.64</v>
      </c>
      <c r="AD1477" s="16" t="s">
        <v>879</v>
      </c>
      <c r="AG1477" s="33">
        <f t="shared" si="276"/>
        <v>0</v>
      </c>
      <c r="AH1477" s="43" t="s">
        <v>2665</v>
      </c>
      <c r="AI1477" s="63">
        <f t="shared" si="277"/>
        <v>4.1597337770382697E-5</v>
      </c>
      <c r="AJ1477" s="284">
        <f>RTD("money.excel",,$G1477,"PredictVolume")</f>
        <v>5</v>
      </c>
      <c r="AK1477" s="399">
        <f>IFERROR(VLOOKUP($G1477,基本資料!$A:$M,13,0),"無")</f>
        <v>2.85</v>
      </c>
    </row>
    <row r="1478" spans="1:37">
      <c r="A1478" s="347">
        <f>IFERROR(VLOOKUP($G1478,基本資料!$A:$J,3,0),"無")</f>
        <v>35.229999999999997</v>
      </c>
      <c r="B1478" s="79">
        <f>IFERROR(VLOOKUP($G1478,基本資料!$A:$J,4,0),"無")</f>
        <v>-71</v>
      </c>
      <c r="C1478" s="79">
        <f>IFERROR(VLOOKUP($G1478,基本資料!$A:$J,5,0),"無")</f>
        <v>-83</v>
      </c>
      <c r="D1478" s="79">
        <f>IFERROR(VLOOKUP($G1478,基本資料!$A:$J,6,0),"無")</f>
        <v>-84</v>
      </c>
      <c r="E1478" s="79">
        <f>IFERROR(VLOOKUP($G1478,基本資料!$A:$J,7,0),"無")</f>
        <v>322</v>
      </c>
      <c r="F1478" s="6">
        <f>IFERROR(VLOOKUP($G1478,基本資料!$A:$J,8,0),"無")</f>
        <v>2.64</v>
      </c>
      <c r="G1478" s="79">
        <v>3266</v>
      </c>
      <c r="H1478" s="8" t="s">
        <v>876</v>
      </c>
      <c r="I1478" s="22" t="s">
        <v>930</v>
      </c>
      <c r="J1478" s="8">
        <f>IFERROR(VLOOKUP($G1478,今日總結!$A:$AJ,35,0),"")</f>
        <v>0</v>
      </c>
      <c r="K1478" s="5" t="str">
        <f>IFERROR(VLOOKUP($G1478,今日總結!$A:$AJ,36,0),"")</f>
        <v>融</v>
      </c>
      <c r="L1478" s="156">
        <f>IFERROR(VLOOKUP($G1478,今日總結!$A:$AJ,33,0),"")</f>
        <v>0</v>
      </c>
      <c r="M1478" s="340">
        <f>IFERROR(VLOOKUP($G1478,今日總結!$A:$AJ,34,0),"")</f>
        <v>1</v>
      </c>
      <c r="N1478" s="240">
        <f t="shared" si="271"/>
        <v>-1</v>
      </c>
      <c r="P1478" s="365">
        <f>IFERROR(VLOOKUP($G1478,融外自投!$A:$J,7,0),"無")</f>
        <v>1191</v>
      </c>
      <c r="Q1478" s="79">
        <f>IFERROR(VLOOKUP($G1478,融外自投!$A:$J,9,0),"無")</f>
        <v>1110</v>
      </c>
      <c r="R1478" s="346">
        <f>IFERROR(VLOOKUP($G1478,融外自投!$A:$J,8,0),"無")</f>
        <v>631</v>
      </c>
      <c r="S1478" s="81" t="str">
        <f>IFERROR(VLOOKUP($G1478,融外自投!$A:$J,10,0),"無")</f>
        <v>無</v>
      </c>
      <c r="T1478" s="327">
        <f>IFERROR(VLOOKUP($G1478,'321買'!$A:$E,5,0),"'沒有資料'")</f>
        <v>1179</v>
      </c>
      <c r="U1478" s="186">
        <f>IFERROR(VLOOKUP($G1478,基本資料!$A:$J,9,0),"無")</f>
        <v>0</v>
      </c>
      <c r="V1478" s="310">
        <f t="shared" si="272"/>
        <v>0</v>
      </c>
      <c r="W1478" s="94">
        <f>IFERROR(VLOOKUP($G1478,基本資料!$A:$J,10,0),"無")</f>
        <v>0.25</v>
      </c>
      <c r="X1478" s="36">
        <f>RTD("money.excel",,"3266","Price")</f>
        <v>13.05</v>
      </c>
      <c r="Y1478" s="66"/>
      <c r="Z1478" s="15">
        <f t="shared" si="274"/>
        <v>13.05</v>
      </c>
      <c r="AA1478" s="3" t="e">
        <f t="shared" si="275"/>
        <v>#DIV/0!</v>
      </c>
      <c r="AB1478" s="344">
        <f>IFERROR(VLOOKUP($G1478,基本資料!$A:$M,11,0),"無")</f>
        <v>-22.51</v>
      </c>
      <c r="AC1478" s="397">
        <f>IFERROR(VLOOKUP($G1478,基本資料!$A:$M,12,0),"無")</f>
        <v>22.38</v>
      </c>
      <c r="AD1478" s="22" t="s">
        <v>930</v>
      </c>
      <c r="AG1478" s="33">
        <f t="shared" si="276"/>
        <v>0</v>
      </c>
      <c r="AH1478" s="43" t="s">
        <v>2012</v>
      </c>
      <c r="AI1478" s="63">
        <f t="shared" si="277"/>
        <v>1.1779733181947207E-3</v>
      </c>
      <c r="AJ1478" s="284">
        <f>RTD("money.excel",,$G1478,"PredictVolume")</f>
        <v>415</v>
      </c>
      <c r="AK1478" s="399">
        <f>IFERROR(VLOOKUP($G1478,基本資料!$A:$M,13,0),"無")</f>
        <v>2.72</v>
      </c>
    </row>
    <row r="1479" spans="1:37">
      <c r="A1479" s="347">
        <f>IFERROR(VLOOKUP($G1479,基本資料!$A:$J,3,0),"無")</f>
        <v>8.31</v>
      </c>
      <c r="B1479" s="79">
        <f>IFERROR(VLOOKUP($G1479,基本資料!$A:$J,4,0),"無")</f>
        <v>79</v>
      </c>
      <c r="C1479" s="79">
        <f>IFERROR(VLOOKUP($G1479,基本資料!$A:$J,5,0),"無")</f>
        <v>110</v>
      </c>
      <c r="D1479" s="79">
        <f>IFERROR(VLOOKUP($G1479,基本資料!$A:$J,6,0),"無")</f>
        <v>-37</v>
      </c>
      <c r="E1479" s="79">
        <f>IFERROR(VLOOKUP($G1479,基本資料!$A:$J,7,0),"無")</f>
        <v>-78</v>
      </c>
      <c r="F1479" s="6">
        <f>IFERROR(VLOOKUP($G1479,基本資料!$A:$J,8,0),"無")</f>
        <v>3.51</v>
      </c>
      <c r="G1479" s="79">
        <v>3489</v>
      </c>
      <c r="H1479" s="8" t="s">
        <v>876</v>
      </c>
      <c r="I1479" s="16" t="s">
        <v>880</v>
      </c>
      <c r="J1479" s="8" t="str">
        <f>IFERROR(VLOOKUP($G1479,今日總結!$A:$AJ,35,0),"")</f>
        <v/>
      </c>
      <c r="K1479" s="5" t="str">
        <f>IFERROR(VLOOKUP($G1479,今日總結!$A:$AJ,36,0),"")</f>
        <v/>
      </c>
      <c r="L1479" s="156" t="str">
        <f>IFERROR(VLOOKUP($G1479,今日總結!$A:$AJ,33,0),"")</f>
        <v/>
      </c>
      <c r="M1479" s="340" t="str">
        <f>IFERROR(VLOOKUP($G1479,今日總結!$A:$AJ,34,0),"")</f>
        <v/>
      </c>
      <c r="N1479" s="240" t="str">
        <f t="shared" si="271"/>
        <v/>
      </c>
      <c r="P1479" s="365">
        <f>IFERROR(VLOOKUP($G1479,融外自投!$A:$J,7,0),"無")</f>
        <v>787</v>
      </c>
      <c r="Q1479" s="79">
        <f>IFERROR(VLOOKUP($G1479,融外自投!$A:$J,9,0),"無")</f>
        <v>667</v>
      </c>
      <c r="R1479" s="346">
        <f>IFERROR(VLOOKUP($G1479,融外自投!$A:$J,8,0),"無")</f>
        <v>1420</v>
      </c>
      <c r="S1479" s="81" t="str">
        <f>IFERROR(VLOOKUP($G1479,融外自投!$A:$J,10,0),"無")</f>
        <v>無</v>
      </c>
      <c r="T1479" s="327">
        <f>IFERROR(VLOOKUP($G1479,'321買'!$A:$E,5,0),"'沒有資料'")</f>
        <v>1066</v>
      </c>
      <c r="U1479" s="186">
        <f>IFERROR(VLOOKUP($G1479,基本資料!$A:$J,9,0),"無")</f>
        <v>0.5</v>
      </c>
      <c r="V1479" s="310">
        <f t="shared" si="272"/>
        <v>4.7619047619047616E-2</v>
      </c>
      <c r="W1479" s="94">
        <f>IFERROR(VLOOKUP($G1479,基本資料!$A:$J,10,0),"無")</f>
        <v>0.56999999999999995</v>
      </c>
      <c r="X1479" s="36">
        <f>RTD("money.excel",,"3489","Price")</f>
        <v>10.5</v>
      </c>
      <c r="Y1479" s="66"/>
      <c r="Z1479" s="15">
        <f t="shared" si="274"/>
        <v>10.5</v>
      </c>
      <c r="AA1479" s="3" t="e">
        <f t="shared" si="275"/>
        <v>#DIV/0!</v>
      </c>
      <c r="AB1479" s="344">
        <f>IFERROR(VLOOKUP($G1479,基本資料!$A:$M,11,0),"無")</f>
        <v>-30.72</v>
      </c>
      <c r="AC1479" s="397">
        <f>IFERROR(VLOOKUP($G1479,基本資料!$A:$M,12,0),"無")</f>
        <v>49.98</v>
      </c>
      <c r="AD1479" s="16" t="s">
        <v>880</v>
      </c>
      <c r="AG1479" s="33">
        <f t="shared" si="276"/>
        <v>0</v>
      </c>
      <c r="AH1479" s="43" t="s">
        <v>2012</v>
      </c>
      <c r="AI1479" s="63">
        <f t="shared" si="277"/>
        <v>3.0084235860409147E-4</v>
      </c>
      <c r="AJ1479" s="284">
        <f>RTD("money.excel",,$G1479,"PredictVolume")</f>
        <v>25</v>
      </c>
      <c r="AK1479" s="399">
        <f>IFERROR(VLOOKUP($G1479,基本資料!$A:$M,13,0),"無")</f>
        <v>7.54</v>
      </c>
    </row>
    <row r="1480" spans="1:37">
      <c r="A1480" s="347">
        <f>IFERROR(VLOOKUP($G1480,基本資料!$A:$J,3,0),"無")</f>
        <v>82.32</v>
      </c>
      <c r="B1480" s="79">
        <f>IFERROR(VLOOKUP($G1480,基本資料!$A:$J,4,0),"無")</f>
        <v>14</v>
      </c>
      <c r="C1480" s="79">
        <f>IFERROR(VLOOKUP($G1480,基本資料!$A:$J,5,0),"無")</f>
        <v>30</v>
      </c>
      <c r="D1480" s="79">
        <f>IFERROR(VLOOKUP($G1480,基本資料!$A:$J,6,0),"無")</f>
        <v>25</v>
      </c>
      <c r="E1480" s="79">
        <f>IFERROR(VLOOKUP($G1480,基本資料!$A:$J,7,0),"無")</f>
        <v>73</v>
      </c>
      <c r="F1480" s="6">
        <f>IFERROR(VLOOKUP($G1480,基本資料!$A:$J,8,0),"無")</f>
        <v>8.58</v>
      </c>
      <c r="G1480" s="79">
        <v>3703</v>
      </c>
      <c r="H1480" s="8" t="s">
        <v>876</v>
      </c>
      <c r="I1480" s="22" t="s">
        <v>4617</v>
      </c>
      <c r="J1480" s="8" t="str">
        <f>IFERROR(VLOOKUP($G1480,今日總結!$A:$AJ,35,0),"")</f>
        <v>外主</v>
      </c>
      <c r="K1480" s="5">
        <f>IFERROR(VLOOKUP($G1480,今日總結!$A:$AJ,36,0),"")</f>
        <v>0</v>
      </c>
      <c r="L1480" s="156">
        <f>IFERROR(VLOOKUP($G1480,今日總結!$A:$AJ,33,0),"")</f>
        <v>2</v>
      </c>
      <c r="M1480" s="340">
        <f>IFERROR(VLOOKUP($G1480,今日總結!$A:$AJ,34,0),"")</f>
        <v>0</v>
      </c>
      <c r="N1480" s="240">
        <f t="shared" si="271"/>
        <v>2</v>
      </c>
      <c r="P1480" s="365">
        <f>IFERROR(VLOOKUP($G1480,融外自投!$A:$J,7,0),"無")</f>
        <v>1108</v>
      </c>
      <c r="Q1480" s="79">
        <f>IFERROR(VLOOKUP($G1480,融外自投!$A:$J,9,0),"無")</f>
        <v>355</v>
      </c>
      <c r="R1480" s="346">
        <f>IFERROR(VLOOKUP($G1480,融外自投!$A:$J,8,0),"無")</f>
        <v>221</v>
      </c>
      <c r="S1480" s="81">
        <f>IFERROR(VLOOKUP($G1480,融外自投!$A:$J,10,0),"無")</f>
        <v>401</v>
      </c>
      <c r="T1480" s="327">
        <f>IFERROR(VLOOKUP($G1480,'321買'!$A:$E,5,0),"'沒有資料'")</f>
        <v>217</v>
      </c>
      <c r="U1480" s="186">
        <f>IFERROR(VLOOKUP($G1480,基本資料!$A:$J,9,0),"無")</f>
        <v>1.68</v>
      </c>
      <c r="V1480" s="310">
        <f t="shared" si="272"/>
        <v>5.7240204429301528E-2</v>
      </c>
      <c r="W1480" s="94">
        <f>IFERROR(VLOOKUP($G1480,基本資料!$A:$J,10,0),"無")</f>
        <v>2.2200000000000002</v>
      </c>
      <c r="X1480" s="36">
        <f>RTD("money.excel",,"3703","Price")</f>
        <v>29.35</v>
      </c>
      <c r="Y1480" s="66"/>
      <c r="Z1480" s="15">
        <f t="shared" si="274"/>
        <v>29.35</v>
      </c>
      <c r="AA1480" s="3" t="e">
        <f t="shared" si="275"/>
        <v>#DIV/0!</v>
      </c>
      <c r="AB1480" s="344">
        <f>IFERROR(VLOOKUP($G1480,基本資料!$A:$M,11,0),"無")</f>
        <v>-4.58</v>
      </c>
      <c r="AC1480" s="397">
        <f>IFERROR(VLOOKUP($G1480,基本資料!$A:$M,12,0),"無")</f>
        <v>87.14</v>
      </c>
      <c r="AD1480" s="22" t="s">
        <v>4617</v>
      </c>
      <c r="AG1480" s="33">
        <f t="shared" si="276"/>
        <v>0</v>
      </c>
      <c r="AH1480" s="117" t="s">
        <v>2042</v>
      </c>
      <c r="AI1480" s="63">
        <f t="shared" si="277"/>
        <v>1.1825801749271139E-2</v>
      </c>
      <c r="AJ1480" s="284">
        <f>RTD("money.excel",,$G1480,"PredictVolume")</f>
        <v>9735</v>
      </c>
      <c r="AK1480" s="399">
        <f>IFERROR(VLOOKUP($G1480,基本資料!$A:$M,13,0),"無")</f>
        <v>3.7</v>
      </c>
    </row>
    <row r="1481" spans="1:37">
      <c r="A1481" s="347">
        <f>IFERROR(VLOOKUP($G1481,基本資料!$A:$J,3,0),"無")</f>
        <v>21.11</v>
      </c>
      <c r="B1481" s="79">
        <f>IFERROR(VLOOKUP($G1481,基本資料!$A:$J,4,0),"無")</f>
        <v>226</v>
      </c>
      <c r="C1481" s="79">
        <f>IFERROR(VLOOKUP($G1481,基本資料!$A:$J,5,0),"無")</f>
        <v>555</v>
      </c>
      <c r="D1481" s="79">
        <f>IFERROR(VLOOKUP($G1481,基本資料!$A:$J,6,0),"無")</f>
        <v>1</v>
      </c>
      <c r="E1481" s="79">
        <f>IFERROR(VLOOKUP($G1481,基本資料!$A:$J,7,0),"無")</f>
        <v>-9</v>
      </c>
      <c r="F1481" s="6">
        <f>IFERROR(VLOOKUP($G1481,基本資料!$A:$J,8,0),"無")</f>
        <v>13.84</v>
      </c>
      <c r="G1481" s="79">
        <v>4113</v>
      </c>
      <c r="H1481" s="8" t="s">
        <v>876</v>
      </c>
      <c r="I1481" s="16" t="s">
        <v>881</v>
      </c>
      <c r="J1481" s="8">
        <f>IFERROR(VLOOKUP($G1481,今日總結!$A:$AJ,35,0),"")</f>
        <v>0</v>
      </c>
      <c r="K1481" s="5" t="str">
        <f>IFERROR(VLOOKUP($G1481,今日總結!$A:$AJ,36,0),"")</f>
        <v>外</v>
      </c>
      <c r="L1481" s="156">
        <f>IFERROR(VLOOKUP($G1481,今日總結!$A:$AJ,33,0),"")</f>
        <v>0</v>
      </c>
      <c r="M1481" s="340">
        <f>IFERROR(VLOOKUP($G1481,今日總結!$A:$AJ,34,0),"")</f>
        <v>1</v>
      </c>
      <c r="N1481" s="240">
        <f t="shared" si="271"/>
        <v>-1</v>
      </c>
      <c r="P1481" s="365">
        <f>IFERROR(VLOOKUP($G1481,融外自投!$A:$J,7,0),"無")</f>
        <v>989</v>
      </c>
      <c r="Q1481" s="79" t="str">
        <f>IFERROR(VLOOKUP($G1481,融外自投!$A:$J,9,0),"無")</f>
        <v>無</v>
      </c>
      <c r="R1481" s="346">
        <f>IFERROR(VLOOKUP($G1481,融外自投!$A:$J,8,0),"無")</f>
        <v>1390</v>
      </c>
      <c r="S1481" s="81" t="str">
        <f>IFERROR(VLOOKUP($G1481,融外自投!$A:$J,10,0),"無")</f>
        <v>無</v>
      </c>
      <c r="T1481" s="327">
        <f>IFERROR(VLOOKUP($G1481,'321買'!$A:$E,5,0),"'沒有資料'")</f>
        <v>827</v>
      </c>
      <c r="U1481" s="186">
        <f>IFERROR(VLOOKUP($G1481,基本資料!$A:$J,9,0),"無")</f>
        <v>0.4</v>
      </c>
      <c r="V1481" s="310">
        <f t="shared" si="272"/>
        <v>3.0188679245283019E-2</v>
      </c>
      <c r="W1481" s="94">
        <f>IFERROR(VLOOKUP($G1481,基本資料!$A:$J,10,0),"無")</f>
        <v>0.63</v>
      </c>
      <c r="X1481" s="36">
        <f>RTD("money.excel",,"4113","Price")</f>
        <v>13.25</v>
      </c>
      <c r="Y1481" s="66"/>
      <c r="Z1481" s="15">
        <f t="shared" si="274"/>
        <v>13.25</v>
      </c>
      <c r="AA1481" s="3" t="e">
        <f t="shared" si="275"/>
        <v>#DIV/0!</v>
      </c>
      <c r="AB1481" s="344">
        <f>IFERROR(VLOOKUP($G1481,基本資料!$A:$M,11,0),"無")</f>
        <v>-13.07</v>
      </c>
      <c r="AC1481" s="397">
        <f>IFERROR(VLOOKUP($G1481,基本資料!$A:$M,12,0),"無")</f>
        <v>17.21</v>
      </c>
      <c r="AD1481" s="16" t="s">
        <v>881</v>
      </c>
      <c r="AG1481" s="33">
        <f t="shared" si="276"/>
        <v>0</v>
      </c>
      <c r="AH1481" s="43" t="s">
        <v>2117</v>
      </c>
      <c r="AI1481" s="63">
        <f t="shared" si="277"/>
        <v>5.6371387967787782E-4</v>
      </c>
      <c r="AJ1481" s="284">
        <f>RTD("money.excel",,$G1481,"PredictVolume")</f>
        <v>119</v>
      </c>
      <c r="AK1481" s="399">
        <f>IFERROR(VLOOKUP($G1481,基本資料!$A:$M,13,0),"無")</f>
        <v>0.59</v>
      </c>
    </row>
    <row r="1482" spans="1:37">
      <c r="A1482" s="347">
        <f>IFERROR(VLOOKUP($G1482,基本資料!$A:$J,3,0),"無")</f>
        <v>6.15</v>
      </c>
      <c r="B1482" s="79">
        <f>IFERROR(VLOOKUP($G1482,基本資料!$A:$J,4,0),"無")</f>
        <v>998</v>
      </c>
      <c r="C1482" s="79">
        <f>IFERROR(VLOOKUP($G1482,基本資料!$A:$J,5,0),"無")</f>
        <v>-2462</v>
      </c>
      <c r="D1482" s="79">
        <f>IFERROR(VLOOKUP($G1482,基本資料!$A:$J,6,0),"無")</f>
        <v>0</v>
      </c>
      <c r="E1482" s="79">
        <f>IFERROR(VLOOKUP($G1482,基本資料!$A:$J,7,0),"無")</f>
        <v>0</v>
      </c>
      <c r="F1482" s="6">
        <f>IFERROR(VLOOKUP($G1482,基本資料!$A:$J,8,0),"無")</f>
        <v>-41.63</v>
      </c>
      <c r="G1482" s="79">
        <v>4416</v>
      </c>
      <c r="H1482" s="8" t="s">
        <v>876</v>
      </c>
      <c r="I1482" s="16" t="s">
        <v>882</v>
      </c>
      <c r="J1482" s="8" t="str">
        <f>IFERROR(VLOOKUP($G1482,今日總結!$A:$AJ,35,0),"")</f>
        <v/>
      </c>
      <c r="K1482" s="5" t="str">
        <f>IFERROR(VLOOKUP($G1482,今日總結!$A:$AJ,36,0),"")</f>
        <v/>
      </c>
      <c r="L1482" s="156" t="str">
        <f>IFERROR(VLOOKUP($G1482,今日總結!$A:$AJ,33,0),"")</f>
        <v/>
      </c>
      <c r="M1482" s="340" t="str">
        <f>IFERROR(VLOOKUP($G1482,今日總結!$A:$AJ,34,0),"")</f>
        <v/>
      </c>
      <c r="N1482" s="240" t="str">
        <f t="shared" si="271"/>
        <v/>
      </c>
      <c r="P1482" s="365">
        <f>IFERROR(VLOOKUP($G1482,融外自投!$A:$J,7,0),"無")</f>
        <v>1236</v>
      </c>
      <c r="Q1482" s="79" t="str">
        <f>IFERROR(VLOOKUP($G1482,融外自投!$A:$J,9,0),"無")</f>
        <v>無</v>
      </c>
      <c r="R1482" s="346">
        <f>IFERROR(VLOOKUP($G1482,融外自投!$A:$J,8,0),"無")</f>
        <v>1470</v>
      </c>
      <c r="S1482" s="81" t="str">
        <f>IFERROR(VLOOKUP($G1482,融外自投!$A:$J,10,0),"無")</f>
        <v>無</v>
      </c>
      <c r="T1482" s="327">
        <f>IFERROR(VLOOKUP($G1482,'321買'!$A:$E,5,0),"'沒有資料'")</f>
        <v>1099</v>
      </c>
      <c r="U1482" s="186">
        <f>IFERROR(VLOOKUP($G1482,基本資料!$A:$J,9,0),"無")</f>
        <v>5</v>
      </c>
      <c r="V1482" s="310">
        <f t="shared" si="272"/>
        <v>5.3191489361702128E-2</v>
      </c>
      <c r="W1482" s="94">
        <f>IFERROR(VLOOKUP($G1482,基本資料!$A:$J,10,0),"無")</f>
        <v>17.34</v>
      </c>
      <c r="X1482" s="36">
        <f>RTD("money.excel",,"4416","Price")</f>
        <v>94</v>
      </c>
      <c r="Y1482" s="66"/>
      <c r="Z1482" s="15">
        <f t="shared" si="274"/>
        <v>94</v>
      </c>
      <c r="AA1482" s="3" t="e">
        <f t="shared" si="275"/>
        <v>#DIV/0!</v>
      </c>
      <c r="AB1482" s="344">
        <f>IFERROR(VLOOKUP($G1482,基本資料!$A:$M,11,0),"無")</f>
        <v>-23.58</v>
      </c>
      <c r="AC1482" s="397">
        <f>IFERROR(VLOOKUP($G1482,基本資料!$A:$M,12,0),"無")</f>
        <v>8.25</v>
      </c>
      <c r="AD1482" s="16" t="s">
        <v>882</v>
      </c>
      <c r="AG1482" s="33">
        <f t="shared" si="276"/>
        <v>0</v>
      </c>
      <c r="AH1482" s="43" t="s">
        <v>2666</v>
      </c>
      <c r="AI1482" s="63">
        <f t="shared" si="277"/>
        <v>8.1300813008130081E-5</v>
      </c>
      <c r="AJ1482" s="284">
        <f>RTD("money.excel",,$G1482,"PredictVolume")</f>
        <v>5</v>
      </c>
      <c r="AK1482" s="399">
        <f>IFERROR(VLOOKUP($G1482,基本資料!$A:$M,13,0),"無")</f>
        <v>0.25</v>
      </c>
    </row>
    <row r="1483" spans="1:37">
      <c r="A1483" s="347">
        <f>IFERROR(VLOOKUP($G1483,基本資料!$A:$J,3,0),"無")</f>
        <v>11.81</v>
      </c>
      <c r="B1483" s="79">
        <f>IFERROR(VLOOKUP($G1483,基本資料!$A:$J,4,0),"無")</f>
        <v>46</v>
      </c>
      <c r="C1483" s="79">
        <f>IFERROR(VLOOKUP($G1483,基本資料!$A:$J,5,0),"無")</f>
        <v>45</v>
      </c>
      <c r="D1483" s="79">
        <f>IFERROR(VLOOKUP($G1483,基本資料!$A:$J,6,0),"無")</f>
        <v>-83</v>
      </c>
      <c r="E1483" s="79">
        <f>IFERROR(VLOOKUP($G1483,基本資料!$A:$J,7,0),"無")</f>
        <v>53</v>
      </c>
      <c r="F1483" s="6">
        <f>IFERROR(VLOOKUP($G1483,基本資料!$A:$J,8,0),"無")</f>
        <v>17.670000000000002</v>
      </c>
      <c r="G1483" s="79">
        <v>4907</v>
      </c>
      <c r="H1483" s="8" t="s">
        <v>876</v>
      </c>
      <c r="I1483" s="16" t="s">
        <v>883</v>
      </c>
      <c r="J1483" s="8" t="str">
        <f>IFERROR(VLOOKUP($G1483,今日總結!$A:$AJ,35,0),"")</f>
        <v/>
      </c>
      <c r="K1483" s="5" t="str">
        <f>IFERROR(VLOOKUP($G1483,今日總結!$A:$AJ,36,0),"")</f>
        <v/>
      </c>
      <c r="L1483" s="156" t="str">
        <f>IFERROR(VLOOKUP($G1483,今日總結!$A:$AJ,33,0),"")</f>
        <v/>
      </c>
      <c r="M1483" s="340" t="str">
        <f>IFERROR(VLOOKUP($G1483,今日總結!$A:$AJ,34,0),"")</f>
        <v/>
      </c>
      <c r="N1483" s="240" t="str">
        <f t="shared" si="271"/>
        <v/>
      </c>
      <c r="P1483" s="365">
        <f>IFERROR(VLOOKUP($G1483,融外自投!$A:$J,7,0),"無")</f>
        <v>1333</v>
      </c>
      <c r="Q1483" s="79" t="str">
        <f>IFERROR(VLOOKUP($G1483,融外自投!$A:$J,9,0),"無")</f>
        <v>無</v>
      </c>
      <c r="R1483" s="346">
        <f>IFERROR(VLOOKUP($G1483,融外自投!$A:$J,8,0),"無")</f>
        <v>1453</v>
      </c>
      <c r="S1483" s="81" t="str">
        <f>IFERROR(VLOOKUP($G1483,融外自投!$A:$J,10,0),"無")</f>
        <v>無</v>
      </c>
      <c r="T1483" s="327" t="str">
        <f>IFERROR(VLOOKUP($G1483,'321買'!$A:$E,5,0),"'沒有資料'")</f>
        <v>'沒有資料'</v>
      </c>
      <c r="U1483" s="186">
        <f>IFERROR(VLOOKUP($G1483,基本資料!$A:$J,9,0),"無")</f>
        <v>1.3</v>
      </c>
      <c r="V1483" s="310">
        <f t="shared" si="272"/>
        <v>5.3278688524590168E-2</v>
      </c>
      <c r="W1483" s="94">
        <f>IFERROR(VLOOKUP($G1483,基本資料!$A:$J,10,0),"無")</f>
        <v>1.75</v>
      </c>
      <c r="X1483" s="36">
        <f>RTD("money.excel",,"4907","Price")</f>
        <v>24.4</v>
      </c>
      <c r="Y1483" s="66"/>
      <c r="Z1483" s="15">
        <f t="shared" si="274"/>
        <v>24.4</v>
      </c>
      <c r="AA1483" s="3" t="e">
        <f t="shared" si="275"/>
        <v>#DIV/0!</v>
      </c>
      <c r="AB1483" s="344">
        <f>IFERROR(VLOOKUP($G1483,基本資料!$A:$M,11,0),"無")</f>
        <v>-7.79</v>
      </c>
      <c r="AC1483" s="397">
        <f>IFERROR(VLOOKUP($G1483,基本資料!$A:$M,12,0),"無")</f>
        <v>68.53</v>
      </c>
      <c r="AD1483" s="16" t="s">
        <v>883</v>
      </c>
      <c r="AG1483" s="33">
        <f t="shared" si="276"/>
        <v>0</v>
      </c>
      <c r="AH1483" s="43" t="s">
        <v>2667</v>
      </c>
      <c r="AI1483" s="63">
        <f t="shared" si="277"/>
        <v>2.540220152413209E-5</v>
      </c>
      <c r="AJ1483" s="284">
        <f>RTD("money.excel",,$G1483,"PredictVolume")</f>
        <v>3</v>
      </c>
      <c r="AK1483" s="399">
        <f>IFERROR(VLOOKUP($G1483,基本資料!$A:$M,13,0),"無")</f>
        <v>0.21</v>
      </c>
    </row>
    <row r="1484" spans="1:37">
      <c r="A1484" s="347">
        <f>IFERROR(VLOOKUP($G1484,基本資料!$A:$J,3,0),"無")</f>
        <v>15.59</v>
      </c>
      <c r="B1484" s="79">
        <f>IFERROR(VLOOKUP($G1484,基本資料!$A:$J,4,0),"無")</f>
        <v>-82</v>
      </c>
      <c r="C1484" s="79">
        <f>IFERROR(VLOOKUP($G1484,基本資料!$A:$J,5,0),"無")</f>
        <v>-82</v>
      </c>
      <c r="D1484" s="79">
        <f>IFERROR(VLOOKUP($G1484,基本資料!$A:$J,6,0),"無")</f>
        <v>0</v>
      </c>
      <c r="E1484" s="79">
        <f>IFERROR(VLOOKUP($G1484,基本資料!$A:$J,7,0),"無")</f>
        <v>-88</v>
      </c>
      <c r="F1484" s="6">
        <f>IFERROR(VLOOKUP($G1484,基本資料!$A:$J,8,0),"無")</f>
        <v>4.95</v>
      </c>
      <c r="G1484" s="79">
        <v>5206</v>
      </c>
      <c r="H1484" s="8" t="s">
        <v>876</v>
      </c>
      <c r="I1484" s="16" t="s">
        <v>884</v>
      </c>
      <c r="J1484" s="8" t="str">
        <f>IFERROR(VLOOKUP($G1484,今日總結!$A:$AJ,35,0),"")</f>
        <v/>
      </c>
      <c r="K1484" s="5" t="str">
        <f>IFERROR(VLOOKUP($G1484,今日總結!$A:$AJ,36,0),"")</f>
        <v/>
      </c>
      <c r="L1484" s="156" t="str">
        <f>IFERROR(VLOOKUP($G1484,今日總結!$A:$AJ,33,0),"")</f>
        <v/>
      </c>
      <c r="M1484" s="340" t="str">
        <f>IFERROR(VLOOKUP($G1484,今日總結!$A:$AJ,34,0),"")</f>
        <v/>
      </c>
      <c r="N1484" s="240" t="str">
        <f t="shared" si="271"/>
        <v/>
      </c>
      <c r="P1484" s="365">
        <f>IFERROR(VLOOKUP($G1484,融外自投!$A:$J,7,0),"無")</f>
        <v>1394</v>
      </c>
      <c r="Q1484" s="79" t="str">
        <f>IFERROR(VLOOKUP($G1484,融外自投!$A:$J,9,0),"無")</f>
        <v>無</v>
      </c>
      <c r="R1484" s="346">
        <f>IFERROR(VLOOKUP($G1484,融外自投!$A:$J,8,0),"無")</f>
        <v>708</v>
      </c>
      <c r="S1484" s="81" t="str">
        <f>IFERROR(VLOOKUP($G1484,融外自投!$A:$J,10,0),"無")</f>
        <v>無</v>
      </c>
      <c r="T1484" s="327">
        <f>IFERROR(VLOOKUP($G1484,'321買'!$A:$E,5,0),"'沒有資料'")</f>
        <v>1239</v>
      </c>
      <c r="U1484" s="186">
        <f>IFERROR(VLOOKUP($G1484,基本資料!$A:$J,9,0),"無")</f>
        <v>0.48</v>
      </c>
      <c r="V1484" s="310">
        <f t="shared" si="272"/>
        <v>3.3922261484098937E-2</v>
      </c>
      <c r="W1484" s="94">
        <f>IFERROR(VLOOKUP($G1484,基本資料!$A:$J,10,0),"無")</f>
        <v>0.54</v>
      </c>
      <c r="X1484" s="36">
        <f>RTD("money.excel",,"5206","Price")</f>
        <v>14.15</v>
      </c>
      <c r="Y1484" s="66"/>
      <c r="Z1484" s="15">
        <f t="shared" si="274"/>
        <v>14.15</v>
      </c>
      <c r="AA1484" s="3" t="e">
        <f t="shared" si="275"/>
        <v>#DIV/0!</v>
      </c>
      <c r="AB1484" s="344">
        <f>IFERROR(VLOOKUP($G1484,基本資料!$A:$M,11,0),"無")</f>
        <v>-22.65</v>
      </c>
      <c r="AC1484" s="397">
        <f>IFERROR(VLOOKUP($G1484,基本資料!$A:$M,12,0),"無")</f>
        <v>22.25</v>
      </c>
      <c r="AD1484" s="16" t="s">
        <v>884</v>
      </c>
      <c r="AG1484" s="33">
        <f t="shared" si="276"/>
        <v>0</v>
      </c>
      <c r="AH1484" s="43" t="s">
        <v>2012</v>
      </c>
      <c r="AI1484" s="63">
        <f t="shared" si="277"/>
        <v>4.4900577293136628E-5</v>
      </c>
      <c r="AJ1484" s="284">
        <f>RTD("money.excel",,$G1484,"PredictVolume")</f>
        <v>7</v>
      </c>
      <c r="AK1484" s="399">
        <f>IFERROR(VLOOKUP($G1484,基本資料!$A:$M,13,0),"無")</f>
        <v>7.62</v>
      </c>
    </row>
    <row r="1485" spans="1:37">
      <c r="A1485" s="347">
        <f>IFERROR(VLOOKUP($G1485,基本資料!$A:$J,3,0),"無")</f>
        <v>34.69</v>
      </c>
      <c r="B1485" s="79">
        <f>IFERROR(VLOOKUP($G1485,基本資料!$A:$J,4,0),"無")</f>
        <v>-56</v>
      </c>
      <c r="C1485" s="79">
        <f>IFERROR(VLOOKUP($G1485,基本資料!$A:$J,5,0),"無")</f>
        <v>-60</v>
      </c>
      <c r="D1485" s="79">
        <f>IFERROR(VLOOKUP($G1485,基本資料!$A:$J,6,0),"無")</f>
        <v>8498</v>
      </c>
      <c r="E1485" s="79">
        <f>IFERROR(VLOOKUP($G1485,基本資料!$A:$J,7,0),"無")</f>
        <v>1409</v>
      </c>
      <c r="F1485" s="6">
        <f>IFERROR(VLOOKUP($G1485,基本資料!$A:$J,8,0),"無")</f>
        <v>9.61</v>
      </c>
      <c r="G1485" s="79">
        <v>5213</v>
      </c>
      <c r="H1485" s="8" t="s">
        <v>876</v>
      </c>
      <c r="I1485" s="16" t="s">
        <v>885</v>
      </c>
      <c r="J1485" s="8">
        <f>IFERROR(VLOOKUP($G1485,今日總結!$A:$AJ,35,0),"")</f>
        <v>0</v>
      </c>
      <c r="K1485" s="5" t="str">
        <f>IFERROR(VLOOKUP($G1485,今日總結!$A:$AJ,36,0),"")</f>
        <v>外</v>
      </c>
      <c r="L1485" s="156">
        <f>IFERROR(VLOOKUP($G1485,今日總結!$A:$AJ,33,0),"")</f>
        <v>0</v>
      </c>
      <c r="M1485" s="340">
        <f>IFERROR(VLOOKUP($G1485,今日總結!$A:$AJ,34,0),"")</f>
        <v>1</v>
      </c>
      <c r="N1485" s="240">
        <f t="shared" si="271"/>
        <v>-1</v>
      </c>
      <c r="P1485" s="365">
        <f>IFERROR(VLOOKUP($G1485,融外自投!$A:$J,7,0),"無")</f>
        <v>1179</v>
      </c>
      <c r="Q1485" s="79" t="str">
        <f>IFERROR(VLOOKUP($G1485,融外自投!$A:$J,9,0),"無")</f>
        <v>無</v>
      </c>
      <c r="R1485" s="346">
        <f>IFERROR(VLOOKUP($G1485,融外自投!$A:$J,8,0),"無")</f>
        <v>1158</v>
      </c>
      <c r="S1485" s="81" t="str">
        <f>IFERROR(VLOOKUP($G1485,融外自投!$A:$J,10,0),"無")</f>
        <v>無</v>
      </c>
      <c r="T1485" s="327">
        <f>IFERROR(VLOOKUP($G1485,'321買'!$A:$E,5,0),"'沒有資料'")</f>
        <v>984</v>
      </c>
      <c r="U1485" s="186">
        <f>IFERROR(VLOOKUP($G1485,基本資料!$A:$J,9,0),"無")</f>
        <v>2</v>
      </c>
      <c r="V1485" s="310">
        <f t="shared" si="272"/>
        <v>8.4566596194503171E-2</v>
      </c>
      <c r="W1485" s="94">
        <f>IFERROR(VLOOKUP($G1485,基本資料!$A:$J,10,0),"無")</f>
        <v>0.73</v>
      </c>
      <c r="X1485" s="36">
        <f>RTD("money.excel",,"5213","Price")</f>
        <v>23.65</v>
      </c>
      <c r="Y1485" s="66"/>
      <c r="Z1485" s="15">
        <f t="shared" si="274"/>
        <v>23.65</v>
      </c>
      <c r="AA1485" s="3" t="e">
        <f t="shared" si="275"/>
        <v>#DIV/0!</v>
      </c>
      <c r="AB1485" s="344">
        <f>IFERROR(VLOOKUP($G1485,基本資料!$A:$M,11,0),"無")</f>
        <v>-8.51</v>
      </c>
      <c r="AC1485" s="397">
        <f>IFERROR(VLOOKUP($G1485,基本資料!$A:$M,12,0),"無")</f>
        <v>41.17</v>
      </c>
      <c r="AD1485" s="16" t="s">
        <v>885</v>
      </c>
      <c r="AG1485" s="33">
        <f t="shared" si="276"/>
        <v>0</v>
      </c>
      <c r="AH1485" s="43" t="s">
        <v>2012</v>
      </c>
      <c r="AI1485" s="63">
        <f t="shared" si="277"/>
        <v>4.4393196886710867E-4</v>
      </c>
      <c r="AJ1485" s="284">
        <f>RTD("money.excel",,$G1485,"PredictVolume")</f>
        <v>154</v>
      </c>
      <c r="AK1485" s="399">
        <f>IFERROR(VLOOKUP($G1485,基本資料!$A:$M,13,0),"無")</f>
        <v>1.74</v>
      </c>
    </row>
    <row r="1486" spans="1:37">
      <c r="A1486" s="347">
        <f>IFERROR(VLOOKUP($G1486,基本資料!$A:$J,3,0),"無")</f>
        <v>22.63</v>
      </c>
      <c r="B1486" s="79">
        <f>IFERROR(VLOOKUP($G1486,基本資料!$A:$J,4,0),"無")</f>
        <v>-146</v>
      </c>
      <c r="C1486" s="79">
        <f>IFERROR(VLOOKUP($G1486,基本資料!$A:$J,5,0),"無")</f>
        <v>38</v>
      </c>
      <c r="D1486" s="79">
        <f>IFERROR(VLOOKUP($G1486,基本資料!$A:$J,6,0),"無")</f>
        <v>-7</v>
      </c>
      <c r="E1486" s="79">
        <f>IFERROR(VLOOKUP($G1486,基本資料!$A:$J,7,0),"無")</f>
        <v>-20</v>
      </c>
      <c r="F1486" s="6">
        <f>IFERROR(VLOOKUP($G1486,基本資料!$A:$J,8,0),"無")</f>
        <v>-24.6</v>
      </c>
      <c r="G1486" s="79">
        <v>5324</v>
      </c>
      <c r="H1486" s="8" t="s">
        <v>876</v>
      </c>
      <c r="I1486" s="16" t="s">
        <v>886</v>
      </c>
      <c r="J1486" s="8" t="str">
        <f>IFERROR(VLOOKUP($G1486,今日總結!$A:$AJ,35,0),"")</f>
        <v/>
      </c>
      <c r="K1486" s="5" t="str">
        <f>IFERROR(VLOOKUP($G1486,今日總結!$A:$AJ,36,0),"")</f>
        <v/>
      </c>
      <c r="L1486" s="156" t="str">
        <f>IFERROR(VLOOKUP($G1486,今日總結!$A:$AJ,33,0),"")</f>
        <v/>
      </c>
      <c r="M1486" s="340" t="str">
        <f>IFERROR(VLOOKUP($G1486,今日總結!$A:$AJ,34,0),"")</f>
        <v/>
      </c>
      <c r="N1486" s="240" t="str">
        <f t="shared" si="271"/>
        <v/>
      </c>
      <c r="P1486" s="365" t="str">
        <f>IFERROR(VLOOKUP($G1486,融外自投!$A:$J,7,0),"無")</f>
        <v>無</v>
      </c>
      <c r="Q1486" s="79" t="str">
        <f>IFERROR(VLOOKUP($G1486,融外自投!$A:$J,9,0),"無")</f>
        <v>無</v>
      </c>
      <c r="R1486" s="346" t="str">
        <f>IFERROR(VLOOKUP($G1486,融外自投!$A:$J,8,0),"無")</f>
        <v>無</v>
      </c>
      <c r="S1486" s="81" t="str">
        <f>IFERROR(VLOOKUP($G1486,融外自投!$A:$J,10,0),"無")</f>
        <v>無</v>
      </c>
      <c r="T1486" s="327" t="str">
        <f>IFERROR(VLOOKUP($G1486,'321買'!$A:$E,5,0),"'沒有資料'")</f>
        <v>'沒有資料'</v>
      </c>
      <c r="U1486" s="186">
        <f>IFERROR(VLOOKUP($G1486,基本資料!$A:$J,9,0),"無")</f>
        <v>0</v>
      </c>
      <c r="V1486" s="310">
        <f t="shared" si="272"/>
        <v>0</v>
      </c>
      <c r="W1486" s="94">
        <f>IFERROR(VLOOKUP($G1486,基本資料!$A:$J,10,0),"無")</f>
        <v>-0.64</v>
      </c>
      <c r="X1486" s="36">
        <f>RTD("money.excel",,"5324","Price")</f>
        <v>9.39</v>
      </c>
      <c r="Y1486" s="66"/>
      <c r="Z1486" s="15">
        <f t="shared" si="274"/>
        <v>9.39</v>
      </c>
      <c r="AA1486" s="3" t="e">
        <f t="shared" si="275"/>
        <v>#DIV/0!</v>
      </c>
      <c r="AB1486" s="344">
        <f>IFERROR(VLOOKUP($G1486,基本資料!$A:$M,11,0),"無")</f>
        <v>-10.47</v>
      </c>
      <c r="AC1486" s="397">
        <f>IFERROR(VLOOKUP($G1486,基本資料!$A:$M,12,0),"無")</f>
        <v>64.510000000000005</v>
      </c>
      <c r="AD1486" s="16" t="s">
        <v>886</v>
      </c>
      <c r="AG1486" s="33">
        <f t="shared" si="276"/>
        <v>0</v>
      </c>
      <c r="AH1486" s="43" t="s">
        <v>2668</v>
      </c>
      <c r="AI1486" s="63">
        <f t="shared" si="277"/>
        <v>2.9164825452938578E-4</v>
      </c>
      <c r="AJ1486" s="284">
        <f>RTD("money.excel",,$G1486,"PredictVolume")</f>
        <v>66</v>
      </c>
      <c r="AK1486" s="399">
        <f>IFERROR(VLOOKUP($G1486,基本資料!$A:$M,13,0),"無")</f>
        <v>1.02</v>
      </c>
    </row>
    <row r="1487" spans="1:37">
      <c r="A1487" s="347">
        <f>IFERROR(VLOOKUP($G1487,基本資料!$A:$J,3,0),"無")</f>
        <v>6.55</v>
      </c>
      <c r="B1487" s="79">
        <f>IFERROR(VLOOKUP($G1487,基本資料!$A:$J,4,0),"無")</f>
        <v>55</v>
      </c>
      <c r="C1487" s="79">
        <f>IFERROR(VLOOKUP($G1487,基本資料!$A:$J,5,0),"無")</f>
        <v>48</v>
      </c>
      <c r="D1487" s="79">
        <f>IFERROR(VLOOKUP($G1487,基本資料!$A:$J,6,0),"無")</f>
        <v>-97</v>
      </c>
      <c r="E1487" s="79">
        <f>IFERROR(VLOOKUP($G1487,基本資料!$A:$J,7,0),"無")</f>
        <v>6458</v>
      </c>
      <c r="F1487" s="6">
        <f>IFERROR(VLOOKUP($G1487,基本資料!$A:$J,8,0),"無")</f>
        <v>-15.65</v>
      </c>
      <c r="G1487" s="79">
        <v>5455</v>
      </c>
      <c r="H1487" s="8" t="s">
        <v>876</v>
      </c>
      <c r="I1487" s="16" t="s">
        <v>2995</v>
      </c>
      <c r="J1487" s="8" t="str">
        <f>IFERROR(VLOOKUP($G1487,今日總結!$A:$AJ,35,0),"")</f>
        <v/>
      </c>
      <c r="K1487" s="5" t="str">
        <f>IFERROR(VLOOKUP($G1487,今日總結!$A:$AJ,36,0),"")</f>
        <v/>
      </c>
      <c r="L1487" s="156" t="str">
        <f>IFERROR(VLOOKUP($G1487,今日總結!$A:$AJ,33,0),"")</f>
        <v/>
      </c>
      <c r="M1487" s="340" t="str">
        <f>IFERROR(VLOOKUP($G1487,今日總結!$A:$AJ,34,0),"")</f>
        <v/>
      </c>
      <c r="N1487" s="240" t="str">
        <f t="shared" si="271"/>
        <v/>
      </c>
      <c r="P1487" s="365" t="str">
        <f>IFERROR(VLOOKUP($G1487,融外自投!$A:$J,7,0),"無")</f>
        <v>無</v>
      </c>
      <c r="Q1487" s="79" t="str">
        <f>IFERROR(VLOOKUP($G1487,融外自投!$A:$J,9,0),"無")</f>
        <v>無</v>
      </c>
      <c r="R1487" s="346" t="str">
        <f>IFERROR(VLOOKUP($G1487,融外自投!$A:$J,8,0),"無")</f>
        <v>無</v>
      </c>
      <c r="S1487" s="81" t="str">
        <f>IFERROR(VLOOKUP($G1487,融外自投!$A:$J,10,0),"無")</f>
        <v>無</v>
      </c>
      <c r="T1487" s="327" t="str">
        <f>IFERROR(VLOOKUP($G1487,'321買'!$A:$E,5,0),"'沒有資料'")</f>
        <v>'沒有資料'</v>
      </c>
      <c r="U1487" s="186">
        <f>IFERROR(VLOOKUP($G1487,基本資料!$A:$J,9,0),"無")</f>
        <v>0</v>
      </c>
      <c r="V1487" s="310" t="e">
        <f t="shared" si="272"/>
        <v>#VALUE!</v>
      </c>
      <c r="W1487" s="94">
        <f>IFERROR(VLOOKUP($G1487,基本資料!$A:$J,10,0),"無")</f>
        <v>-0.09</v>
      </c>
      <c r="X1487" s="36" t="str">
        <f>RTD("money.excel",,"5455","Price")</f>
        <v>無資料</v>
      </c>
      <c r="Y1487" s="66"/>
      <c r="Z1487" s="15" t="e">
        <f t="shared" si="274"/>
        <v>#VALUE!</v>
      </c>
      <c r="AA1487" s="3" t="e">
        <f t="shared" si="275"/>
        <v>#VALUE!</v>
      </c>
      <c r="AB1487" s="344">
        <f>IFERROR(VLOOKUP($G1487,基本資料!$A:$M,11,0),"無")</f>
        <v>-22.1</v>
      </c>
      <c r="AC1487" s="397">
        <f>IFERROR(VLOOKUP($G1487,基本資料!$A:$M,12,0),"無")</f>
        <v>19.73</v>
      </c>
      <c r="AD1487" s="16" t="s">
        <v>2995</v>
      </c>
      <c r="AG1487" s="33">
        <f t="shared" si="276"/>
        <v>0</v>
      </c>
      <c r="AH1487" s="43" t="s">
        <v>2996</v>
      </c>
      <c r="AI1487" s="63">
        <f t="shared" si="277"/>
        <v>0</v>
      </c>
      <c r="AJ1487" s="284">
        <f>RTD("money.excel",,$G1487,"PredictVolume")</f>
        <v>0</v>
      </c>
      <c r="AK1487" s="399">
        <f>IFERROR(VLOOKUP($G1487,基本資料!$A:$M,13,0),"無")</f>
        <v>0.08</v>
      </c>
    </row>
    <row r="1488" spans="1:37">
      <c r="A1488" s="347">
        <f>IFERROR(VLOOKUP($G1488,基本資料!$A:$J,3,0),"無")</f>
        <v>21.74</v>
      </c>
      <c r="B1488" s="79">
        <f>IFERROR(VLOOKUP($G1488,基本資料!$A:$J,4,0),"無")</f>
        <v>139</v>
      </c>
      <c r="C1488" s="79">
        <f>IFERROR(VLOOKUP($G1488,基本資料!$A:$J,5,0),"無")</f>
        <v>167</v>
      </c>
      <c r="D1488" s="79">
        <f>IFERROR(VLOOKUP($G1488,基本資料!$A:$J,6,0),"無")</f>
        <v>-69</v>
      </c>
      <c r="E1488" s="79">
        <f>IFERROR(VLOOKUP($G1488,基本資料!$A:$J,7,0),"無")</f>
        <v>-67</v>
      </c>
      <c r="F1488" s="6">
        <f>IFERROR(VLOOKUP($G1488,基本資料!$A:$J,8,0),"無")</f>
        <v>37.229999999999997</v>
      </c>
      <c r="G1488" s="79">
        <v>5508</v>
      </c>
      <c r="H1488" s="8" t="s">
        <v>876</v>
      </c>
      <c r="I1488" s="16" t="s">
        <v>1079</v>
      </c>
      <c r="J1488" s="8" t="str">
        <f>IFERROR(VLOOKUP($G1488,今日總結!$A:$AJ,35,0),"")</f>
        <v>融</v>
      </c>
      <c r="K1488" s="5" t="str">
        <f>IFERROR(VLOOKUP($G1488,今日總結!$A:$AJ,36,0),"")</f>
        <v>借</v>
      </c>
      <c r="L1488" s="156">
        <f>IFERROR(VLOOKUP($G1488,今日總結!$A:$AJ,33,0),"")</f>
        <v>1</v>
      </c>
      <c r="M1488" s="340">
        <f>IFERROR(VLOOKUP($G1488,今日總結!$A:$AJ,34,0),"")</f>
        <v>1</v>
      </c>
      <c r="N1488" s="240">
        <f t="shared" si="271"/>
        <v>0</v>
      </c>
      <c r="P1488" s="365">
        <f>IFERROR(VLOOKUP($G1488,融外自投!$A:$J,7,0),"無")</f>
        <v>759</v>
      </c>
      <c r="Q1488" s="79" t="str">
        <f>IFERROR(VLOOKUP($G1488,融外自投!$A:$J,9,0),"無")</f>
        <v>無</v>
      </c>
      <c r="R1488" s="346">
        <f>IFERROR(VLOOKUP($G1488,融外自投!$A:$J,8,0),"無")</f>
        <v>1118</v>
      </c>
      <c r="S1488" s="81" t="str">
        <f>IFERROR(VLOOKUP($G1488,融外自投!$A:$J,10,0),"無")</f>
        <v>無</v>
      </c>
      <c r="T1488" s="327">
        <f>IFERROR(VLOOKUP($G1488,'321買'!$A:$E,5,0),"'沒有資料'")</f>
        <v>939</v>
      </c>
      <c r="U1488" s="186">
        <f>IFERROR(VLOOKUP($G1488,基本資料!$A:$J,9,0),"無")</f>
        <v>8.01</v>
      </c>
      <c r="V1488" s="310">
        <f t="shared" si="272"/>
        <v>0.11866666666666667</v>
      </c>
      <c r="W1488" s="94">
        <f>IFERROR(VLOOKUP($G1488,基本資料!$A:$J,10,0),"無")</f>
        <v>8.9</v>
      </c>
      <c r="X1488" s="36">
        <f>RTD("money.excel",,"5508","Price")</f>
        <v>67.5</v>
      </c>
      <c r="Y1488" s="66"/>
      <c r="Z1488" s="15">
        <f t="shared" si="274"/>
        <v>67.5</v>
      </c>
      <c r="AA1488" s="3" t="e">
        <f t="shared" si="275"/>
        <v>#DIV/0!</v>
      </c>
      <c r="AB1488" s="344">
        <f>IFERROR(VLOOKUP($G1488,基本資料!$A:$M,11,0),"無")</f>
        <v>-12.09</v>
      </c>
      <c r="AC1488" s="397">
        <f>IFERROR(VLOOKUP($G1488,基本資料!$A:$M,12,0),"無")</f>
        <v>18.64</v>
      </c>
      <c r="AD1488" s="16" t="s">
        <v>1079</v>
      </c>
      <c r="AG1488" s="33">
        <f t="shared" si="276"/>
        <v>0</v>
      </c>
      <c r="AH1488" s="43" t="s">
        <v>2012</v>
      </c>
      <c r="AI1488" s="63">
        <f t="shared" si="277"/>
        <v>9.8436062557497712E-4</v>
      </c>
      <c r="AJ1488" s="284">
        <f>RTD("money.excel",,$G1488,"PredictVolume")</f>
        <v>214</v>
      </c>
      <c r="AK1488" s="399">
        <f>IFERROR(VLOOKUP($G1488,基本資料!$A:$M,13,0),"無")</f>
        <v>1.0900000000000001</v>
      </c>
    </row>
    <row r="1489" spans="1:37">
      <c r="A1489" s="347">
        <f>IFERROR(VLOOKUP($G1489,基本資料!$A:$J,3,0),"無")</f>
        <v>11.34</v>
      </c>
      <c r="B1489" s="79">
        <f>IFERROR(VLOOKUP($G1489,基本資料!$A:$J,4,0),"無")</f>
        <v>-1</v>
      </c>
      <c r="C1489" s="79">
        <f>IFERROR(VLOOKUP($G1489,基本資料!$A:$J,5,0),"無")</f>
        <v>14</v>
      </c>
      <c r="D1489" s="79">
        <f>IFERROR(VLOOKUP($G1489,基本資料!$A:$J,6,0),"無")</f>
        <v>-18</v>
      </c>
      <c r="E1489" s="79">
        <f>IFERROR(VLOOKUP($G1489,基本資料!$A:$J,7,0),"無")</f>
        <v>26</v>
      </c>
      <c r="F1489" s="6">
        <f>IFERROR(VLOOKUP($G1489,基本資料!$A:$J,8,0),"無")</f>
        <v>8.52</v>
      </c>
      <c r="G1489" s="79">
        <v>5511</v>
      </c>
      <c r="H1489" s="8" t="s">
        <v>876</v>
      </c>
      <c r="I1489" s="16" t="s">
        <v>887</v>
      </c>
      <c r="J1489" s="8" t="str">
        <f>IFERROR(VLOOKUP($G1489,今日總結!$A:$AJ,35,0),"")</f>
        <v/>
      </c>
      <c r="K1489" s="5" t="str">
        <f>IFERROR(VLOOKUP($G1489,今日總結!$A:$AJ,36,0),"")</f>
        <v/>
      </c>
      <c r="L1489" s="156" t="str">
        <f>IFERROR(VLOOKUP($G1489,今日總結!$A:$AJ,33,0),"")</f>
        <v/>
      </c>
      <c r="M1489" s="340" t="str">
        <f>IFERROR(VLOOKUP($G1489,今日總結!$A:$AJ,34,0),"")</f>
        <v/>
      </c>
      <c r="N1489" s="240" t="str">
        <f t="shared" si="271"/>
        <v/>
      </c>
      <c r="P1489" s="365">
        <f>IFERROR(VLOOKUP($G1489,融外自投!$A:$J,7,0),"無")</f>
        <v>1448</v>
      </c>
      <c r="Q1489" s="79" t="str">
        <f>IFERROR(VLOOKUP($G1489,融外自投!$A:$J,9,0),"無")</f>
        <v>無</v>
      </c>
      <c r="R1489" s="346">
        <f>IFERROR(VLOOKUP($G1489,融外自投!$A:$J,8,0),"無")</f>
        <v>1035</v>
      </c>
      <c r="S1489" s="81" t="str">
        <f>IFERROR(VLOOKUP($G1489,融外自投!$A:$J,10,0),"無")</f>
        <v>無</v>
      </c>
      <c r="T1489" s="327">
        <f>IFERROR(VLOOKUP($G1489,'321買'!$A:$E,5,0),"'沒有資料'")</f>
        <v>1359</v>
      </c>
      <c r="U1489" s="186">
        <f>IFERROR(VLOOKUP($G1489,基本資料!$A:$J,9,0),"無")</f>
        <v>2</v>
      </c>
      <c r="V1489" s="310">
        <f t="shared" si="272"/>
        <v>6.6006600660066E-2</v>
      </c>
      <c r="W1489" s="94">
        <f>IFERROR(VLOOKUP($G1489,基本資料!$A:$J,10,0),"無")</f>
        <v>4.1500000000000004</v>
      </c>
      <c r="X1489" s="36">
        <f>RTD("money.excel",,"5511","Price")</f>
        <v>30.3</v>
      </c>
      <c r="Y1489" s="66"/>
      <c r="Z1489" s="15">
        <f t="shared" si="274"/>
        <v>30.3</v>
      </c>
      <c r="AA1489" s="3" t="e">
        <f t="shared" si="275"/>
        <v>#DIV/0!</v>
      </c>
      <c r="AB1489" s="344">
        <f>IFERROR(VLOOKUP($G1489,基本資料!$A:$M,11,0),"無")</f>
        <v>-4.75</v>
      </c>
      <c r="AC1489" s="397">
        <f>IFERROR(VLOOKUP($G1489,基本資料!$A:$M,12,0),"無")</f>
        <v>32.5</v>
      </c>
      <c r="AD1489" s="16" t="s">
        <v>887</v>
      </c>
      <c r="AG1489" s="33">
        <f t="shared" si="276"/>
        <v>0</v>
      </c>
      <c r="AH1489" s="43" t="s">
        <v>324</v>
      </c>
      <c r="AI1489" s="63">
        <f t="shared" si="277"/>
        <v>4.4091710758377428E-5</v>
      </c>
      <c r="AJ1489" s="284">
        <f>RTD("money.excel",,$G1489,"PredictVolume")</f>
        <v>5</v>
      </c>
      <c r="AK1489" s="399">
        <f>IFERROR(VLOOKUP($G1489,基本資料!$A:$M,13,0),"無")</f>
        <v>0.36</v>
      </c>
    </row>
    <row r="1490" spans="1:37">
      <c r="A1490" s="347">
        <f>IFERROR(VLOOKUP($G1490,基本資料!$A:$J,3,0),"無")</f>
        <v>74.39</v>
      </c>
      <c r="B1490" s="79">
        <f>IFERROR(VLOOKUP($G1490,基本資料!$A:$J,4,0),"無")</f>
        <v>47</v>
      </c>
      <c r="C1490" s="79">
        <f>IFERROR(VLOOKUP($G1490,基本資料!$A:$J,5,0),"無")</f>
        <v>59</v>
      </c>
      <c r="D1490" s="79">
        <f>IFERROR(VLOOKUP($G1490,基本資料!$A:$J,6,0),"無")</f>
        <v>2</v>
      </c>
      <c r="E1490" s="79">
        <f>IFERROR(VLOOKUP($G1490,基本資料!$A:$J,7,0),"無")</f>
        <v>4</v>
      </c>
      <c r="F1490" s="6">
        <f>IFERROR(VLOOKUP($G1490,基本資料!$A:$J,8,0),"無")</f>
        <v>16.899999999999999</v>
      </c>
      <c r="G1490" s="79">
        <v>5512</v>
      </c>
      <c r="H1490" s="8" t="s">
        <v>876</v>
      </c>
      <c r="I1490" s="16" t="s">
        <v>4618</v>
      </c>
      <c r="J1490" s="8">
        <f>IFERROR(VLOOKUP($G1490,今日總結!$A:$AJ,35,0),"")</f>
        <v>0</v>
      </c>
      <c r="K1490" s="5">
        <f>IFERROR(VLOOKUP($G1490,今日總結!$A:$AJ,36,0),"")</f>
        <v>0</v>
      </c>
      <c r="L1490" s="156">
        <f>IFERROR(VLOOKUP($G1490,今日總結!$A:$AJ,33,0),"")</f>
        <v>0</v>
      </c>
      <c r="M1490" s="340">
        <f>IFERROR(VLOOKUP($G1490,今日總結!$A:$AJ,34,0),"")</f>
        <v>1</v>
      </c>
      <c r="N1490" s="240">
        <f t="shared" si="271"/>
        <v>-1</v>
      </c>
      <c r="P1490" s="365">
        <f>IFERROR(VLOOKUP($G1490,融外自投!$A:$J,7,0),"無")</f>
        <v>975</v>
      </c>
      <c r="Q1490" s="79">
        <f>IFERROR(VLOOKUP($G1490,融外自投!$A:$J,9,0),"無")</f>
        <v>1051</v>
      </c>
      <c r="R1490" s="346">
        <f>IFERROR(VLOOKUP($G1490,融外自投!$A:$J,8,0),"無")</f>
        <v>672</v>
      </c>
      <c r="S1490" s="81" t="str">
        <f>IFERROR(VLOOKUP($G1490,融外自投!$A:$J,10,0),"無")</f>
        <v>無</v>
      </c>
      <c r="T1490" s="327">
        <f>IFERROR(VLOOKUP($G1490,'321買'!$A:$E,5,0),"'沒有資料'")</f>
        <v>392</v>
      </c>
      <c r="U1490" s="186">
        <f>IFERROR(VLOOKUP($G1490,基本資料!$A:$J,9,0),"無")</f>
        <v>0.3</v>
      </c>
      <c r="V1490" s="310">
        <f t="shared" si="272"/>
        <v>3.3707865168539325E-2</v>
      </c>
      <c r="W1490" s="94">
        <f>IFERROR(VLOOKUP($G1490,基本資料!$A:$J,10,0),"無")</f>
        <v>0.42</v>
      </c>
      <c r="X1490" s="36">
        <f>RTD("money.excel",,"5512","Price")</f>
        <v>8.9</v>
      </c>
      <c r="Y1490" s="66"/>
      <c r="Z1490" s="15">
        <f t="shared" si="274"/>
        <v>8.9</v>
      </c>
      <c r="AA1490" s="3" t="e">
        <f t="shared" si="275"/>
        <v>#DIV/0!</v>
      </c>
      <c r="AB1490" s="344">
        <f>IFERROR(VLOOKUP($G1490,基本資料!$A:$M,11,0),"無")</f>
        <v>-10.23</v>
      </c>
      <c r="AC1490" s="397">
        <f>IFERROR(VLOOKUP($G1490,基本資料!$A:$M,12,0),"無")</f>
        <v>30.04</v>
      </c>
      <c r="AD1490" s="16" t="s">
        <v>4618</v>
      </c>
      <c r="AG1490" s="33">
        <f t="shared" si="276"/>
        <v>0</v>
      </c>
      <c r="AH1490" s="117" t="s">
        <v>2012</v>
      </c>
      <c r="AI1490" s="63">
        <f t="shared" si="277"/>
        <v>5.6996908186584215E-4</v>
      </c>
      <c r="AJ1490" s="284">
        <f>RTD("money.excel",,$G1490,"PredictVolume")</f>
        <v>424</v>
      </c>
      <c r="AK1490" s="399">
        <f>IFERROR(VLOOKUP($G1490,基本資料!$A:$M,13,0),"無")</f>
        <v>3.56</v>
      </c>
    </row>
    <row r="1491" spans="1:37">
      <c r="A1491" s="347">
        <f>IFERROR(VLOOKUP($G1491,基本資料!$A:$J,3,0),"無")</f>
        <v>20.79</v>
      </c>
      <c r="B1491" s="79">
        <f>IFERROR(VLOOKUP($G1491,基本資料!$A:$J,4,0),"無")</f>
        <v>-103</v>
      </c>
      <c r="C1491" s="79">
        <f>IFERROR(VLOOKUP($G1491,基本資料!$A:$J,5,0),"無")</f>
        <v>-121</v>
      </c>
      <c r="D1491" s="79">
        <f>IFERROR(VLOOKUP($G1491,基本資料!$A:$J,6,0),"無")</f>
        <v>8</v>
      </c>
      <c r="E1491" s="79">
        <f>IFERROR(VLOOKUP($G1491,基本資料!$A:$J,7,0),"無")</f>
        <v>13</v>
      </c>
      <c r="F1491" s="6">
        <f>IFERROR(VLOOKUP($G1491,基本資料!$A:$J,8,0),"無")</f>
        <v>-786.51</v>
      </c>
      <c r="G1491" s="79">
        <v>5514</v>
      </c>
      <c r="H1491" s="8" t="s">
        <v>876</v>
      </c>
      <c r="I1491" s="16" t="s">
        <v>888</v>
      </c>
      <c r="J1491" s="8" t="str">
        <f>IFERROR(VLOOKUP($G1491,今日總結!$A:$AJ,35,0),"")</f>
        <v/>
      </c>
      <c r="K1491" s="5" t="str">
        <f>IFERROR(VLOOKUP($G1491,今日總結!$A:$AJ,36,0),"")</f>
        <v/>
      </c>
      <c r="L1491" s="156" t="str">
        <f>IFERROR(VLOOKUP($G1491,今日總結!$A:$AJ,33,0),"")</f>
        <v/>
      </c>
      <c r="M1491" s="340" t="str">
        <f>IFERROR(VLOOKUP($G1491,今日總結!$A:$AJ,34,0),"")</f>
        <v/>
      </c>
      <c r="N1491" s="240" t="str">
        <f t="shared" si="271"/>
        <v/>
      </c>
      <c r="P1491" s="365">
        <f>IFERROR(VLOOKUP($G1491,融外自投!$A:$J,7,0),"無")</f>
        <v>1416</v>
      </c>
      <c r="Q1491" s="79" t="str">
        <f>IFERROR(VLOOKUP($G1491,融外自投!$A:$J,9,0),"無")</f>
        <v>無</v>
      </c>
      <c r="R1491" s="346">
        <f>IFERROR(VLOOKUP($G1491,融外自投!$A:$J,8,0),"無")</f>
        <v>1470</v>
      </c>
      <c r="S1491" s="81" t="str">
        <f>IFERROR(VLOOKUP($G1491,融外自投!$A:$J,10,0),"無")</f>
        <v>無</v>
      </c>
      <c r="T1491" s="327" t="str">
        <f>IFERROR(VLOOKUP($G1491,'321買'!$A:$E,5,0),"'沒有資料'")</f>
        <v>'沒有資料'</v>
      </c>
      <c r="U1491" s="186">
        <f>IFERROR(VLOOKUP($G1491,基本資料!$A:$J,9,0),"無")</f>
        <v>0.4</v>
      </c>
      <c r="V1491" s="310">
        <f t="shared" si="272"/>
        <v>1.9900497512437811E-2</v>
      </c>
      <c r="W1491" s="94">
        <f>IFERROR(VLOOKUP($G1491,基本資料!$A:$J,10,0),"無")</f>
        <v>-0.04</v>
      </c>
      <c r="X1491" s="36">
        <f>RTD("money.excel",,"5514","Price")</f>
        <v>20.100000000000001</v>
      </c>
      <c r="Y1491" s="66"/>
      <c r="Z1491" s="15">
        <f t="shared" si="274"/>
        <v>20.100000000000001</v>
      </c>
      <c r="AA1491" s="3" t="e">
        <f t="shared" si="275"/>
        <v>#DIV/0!</v>
      </c>
      <c r="AB1491" s="344">
        <f>IFERROR(VLOOKUP($G1491,基本資料!$A:$M,11,0),"無")</f>
        <v>-9.91</v>
      </c>
      <c r="AC1491" s="397">
        <f>IFERROR(VLOOKUP($G1491,基本資料!$A:$M,12,0),"無")</f>
        <v>60.47</v>
      </c>
      <c r="AD1491" s="16" t="s">
        <v>888</v>
      </c>
      <c r="AG1491" s="33">
        <f t="shared" si="276"/>
        <v>0</v>
      </c>
      <c r="AH1491" s="43" t="s">
        <v>2012</v>
      </c>
      <c r="AI1491" s="63">
        <f t="shared" si="277"/>
        <v>2.5493025493025491E-4</v>
      </c>
      <c r="AJ1491" s="284">
        <f>RTD("money.excel",,$G1491,"PredictVolume")</f>
        <v>53</v>
      </c>
      <c r="AK1491" s="399">
        <f>IFERROR(VLOOKUP($G1491,基本資料!$A:$M,13,0),"無")</f>
        <v>0.12</v>
      </c>
    </row>
    <row r="1492" spans="1:37">
      <c r="A1492" s="347">
        <f>IFERROR(VLOOKUP($G1492,基本資料!$A:$J,3,0),"無")</f>
        <v>25.74</v>
      </c>
      <c r="B1492" s="79">
        <f>IFERROR(VLOOKUP($G1492,基本資料!$A:$J,4,0),"無")</f>
        <v>8</v>
      </c>
      <c r="C1492" s="79">
        <f>IFERROR(VLOOKUP($G1492,基本資料!$A:$J,5,0),"無")</f>
        <v>28</v>
      </c>
      <c r="D1492" s="79">
        <f>IFERROR(VLOOKUP($G1492,基本資料!$A:$J,6,0),"無")</f>
        <v>-3</v>
      </c>
      <c r="E1492" s="79">
        <f>IFERROR(VLOOKUP($G1492,基本資料!$A:$J,7,0),"無")</f>
        <v>-10</v>
      </c>
      <c r="F1492" s="6">
        <f>IFERROR(VLOOKUP($G1492,基本資料!$A:$J,8,0),"無")</f>
        <v>5.37</v>
      </c>
      <c r="G1492" s="79">
        <v>5515</v>
      </c>
      <c r="H1492" s="8" t="s">
        <v>876</v>
      </c>
      <c r="I1492" s="22" t="s">
        <v>931</v>
      </c>
      <c r="J1492" s="8">
        <f>IFERROR(VLOOKUP($G1492,今日總結!$A:$AJ,35,0),"")</f>
        <v>0</v>
      </c>
      <c r="K1492" s="5" t="str">
        <f>IFERROR(VLOOKUP($G1492,今日總結!$A:$AJ,36,0),"")</f>
        <v>外</v>
      </c>
      <c r="L1492" s="156">
        <f>IFERROR(VLOOKUP($G1492,今日總結!$A:$AJ,33,0),"")</f>
        <v>0</v>
      </c>
      <c r="M1492" s="340">
        <f>IFERROR(VLOOKUP($G1492,今日總結!$A:$AJ,34,0),"")</f>
        <v>1</v>
      </c>
      <c r="N1492" s="240">
        <f t="shared" si="271"/>
        <v>-1</v>
      </c>
      <c r="P1492" s="365">
        <f>IFERROR(VLOOKUP($G1492,融外自投!$A:$J,7,0),"無")</f>
        <v>1154</v>
      </c>
      <c r="Q1492" s="79">
        <f>IFERROR(VLOOKUP($G1492,融外自投!$A:$J,9,0),"無")</f>
        <v>978</v>
      </c>
      <c r="R1492" s="346">
        <f>IFERROR(VLOOKUP($G1492,融外自投!$A:$J,8,0),"無")</f>
        <v>710</v>
      </c>
      <c r="S1492" s="81" t="str">
        <f>IFERROR(VLOOKUP($G1492,融外自投!$A:$J,10,0),"無")</f>
        <v>無</v>
      </c>
      <c r="T1492" s="327">
        <f>IFERROR(VLOOKUP($G1492,'321買'!$A:$E,5,0),"'沒有資料'")</f>
        <v>1161</v>
      </c>
      <c r="U1492" s="186">
        <f>IFERROR(VLOOKUP($G1492,基本資料!$A:$J,9,0),"無")</f>
        <v>1</v>
      </c>
      <c r="V1492" s="310">
        <f t="shared" si="272"/>
        <v>7.2202166064981949E-2</v>
      </c>
      <c r="W1492" s="94">
        <f>IFERROR(VLOOKUP($G1492,基本資料!$A:$J,10,0),"無")</f>
        <v>1.57</v>
      </c>
      <c r="X1492" s="36">
        <f>RTD("money.excel",,"5515","Price")</f>
        <v>13.85</v>
      </c>
      <c r="Y1492" s="66"/>
      <c r="Z1492" s="15">
        <f t="shared" si="274"/>
        <v>13.85</v>
      </c>
      <c r="AA1492" s="3" t="e">
        <f t="shared" si="275"/>
        <v>#DIV/0!</v>
      </c>
      <c r="AB1492" s="344">
        <f>IFERROR(VLOOKUP($G1492,基本資料!$A:$M,11,0),"無")</f>
        <v>-10.46</v>
      </c>
      <c r="AC1492" s="397">
        <f>IFERROR(VLOOKUP($G1492,基本資料!$A:$M,12,0),"無")</f>
        <v>42.17</v>
      </c>
      <c r="AD1492" s="22" t="s">
        <v>931</v>
      </c>
      <c r="AG1492" s="33">
        <f t="shared" si="276"/>
        <v>0</v>
      </c>
      <c r="AH1492" s="43" t="s">
        <v>1989</v>
      </c>
      <c r="AI1492" s="63">
        <f t="shared" si="277"/>
        <v>3.2789432789432794E-3</v>
      </c>
      <c r="AJ1492" s="284">
        <f>RTD("money.excel",,$G1492,"PredictVolume")</f>
        <v>844</v>
      </c>
      <c r="AK1492" s="399">
        <f>IFERROR(VLOOKUP($G1492,基本資料!$A:$M,13,0),"無")</f>
        <v>8.83</v>
      </c>
    </row>
    <row r="1493" spans="1:37">
      <c r="A1493" s="347">
        <f>IFERROR(VLOOKUP($G1493,基本資料!$A:$J,3,0),"無")</f>
        <v>4.13</v>
      </c>
      <c r="B1493" s="79">
        <f>IFERROR(VLOOKUP($G1493,基本資料!$A:$J,4,0),"無")</f>
        <v>5</v>
      </c>
      <c r="C1493" s="79">
        <f>IFERROR(VLOOKUP($G1493,基本資料!$A:$J,5,0),"無")</f>
        <v>41</v>
      </c>
      <c r="D1493" s="79">
        <f>IFERROR(VLOOKUP($G1493,基本資料!$A:$J,6,0),"無")</f>
        <v>-2</v>
      </c>
      <c r="E1493" s="79">
        <f>IFERROR(VLOOKUP($G1493,基本資料!$A:$J,7,0),"無")</f>
        <v>43</v>
      </c>
      <c r="F1493" s="6">
        <f>IFERROR(VLOOKUP($G1493,基本資料!$A:$J,8,0),"無")</f>
        <v>8.08</v>
      </c>
      <c r="G1493" s="79">
        <v>5516</v>
      </c>
      <c r="H1493" s="8" t="s">
        <v>876</v>
      </c>
      <c r="I1493" s="16" t="s">
        <v>889</v>
      </c>
      <c r="J1493" s="8">
        <f>IFERROR(VLOOKUP($G1493,今日總結!$A:$AJ,35,0),"")</f>
        <v>0</v>
      </c>
      <c r="K1493" s="5" t="str">
        <f>IFERROR(VLOOKUP($G1493,今日總結!$A:$AJ,36,0),"")</f>
        <v>融</v>
      </c>
      <c r="L1493" s="156">
        <f>IFERROR(VLOOKUP($G1493,今日總結!$A:$AJ,33,0),"")</f>
        <v>0</v>
      </c>
      <c r="M1493" s="340">
        <f>IFERROR(VLOOKUP($G1493,今日總結!$A:$AJ,34,0),"")</f>
        <v>1</v>
      </c>
      <c r="N1493" s="240">
        <f t="shared" si="271"/>
        <v>-1</v>
      </c>
      <c r="P1493" s="365">
        <f>IFERROR(VLOOKUP($G1493,融外自投!$A:$J,7,0),"無")</f>
        <v>494</v>
      </c>
      <c r="Q1493" s="79" t="str">
        <f>IFERROR(VLOOKUP($G1493,融外自投!$A:$J,9,0),"無")</f>
        <v>無</v>
      </c>
      <c r="R1493" s="346">
        <f>IFERROR(VLOOKUP($G1493,融外自投!$A:$J,8,0),"無")</f>
        <v>1417</v>
      </c>
      <c r="S1493" s="81" t="str">
        <f>IFERROR(VLOOKUP($G1493,融外自投!$A:$J,10,0),"無")</f>
        <v>無</v>
      </c>
      <c r="T1493" s="327">
        <f>IFERROR(VLOOKUP($G1493,'321買'!$A:$E,5,0),"'沒有資料'")</f>
        <v>1281</v>
      </c>
      <c r="U1493" s="186">
        <f>IFERROR(VLOOKUP($G1493,基本資料!$A:$J,9,0),"無")</f>
        <v>1.5</v>
      </c>
      <c r="V1493" s="310">
        <f t="shared" si="272"/>
        <v>8.8495575221238937E-2</v>
      </c>
      <c r="W1493" s="94">
        <f>IFERROR(VLOOKUP($G1493,基本資料!$A:$J,10,0),"無")</f>
        <v>2.91</v>
      </c>
      <c r="X1493" s="36">
        <f>RTD("money.excel",,"5516","Price")</f>
        <v>16.95</v>
      </c>
      <c r="Y1493" s="66"/>
      <c r="Z1493" s="15">
        <f t="shared" si="274"/>
        <v>16.95</v>
      </c>
      <c r="AA1493" s="3" t="e">
        <f t="shared" si="275"/>
        <v>#DIV/0!</v>
      </c>
      <c r="AB1493" s="344">
        <f>IFERROR(VLOOKUP($G1493,基本資料!$A:$M,11,0),"無")</f>
        <v>-5.21</v>
      </c>
      <c r="AC1493" s="397">
        <f>IFERROR(VLOOKUP($G1493,基本資料!$A:$M,12,0),"無")</f>
        <v>78.08</v>
      </c>
      <c r="AD1493" s="16" t="s">
        <v>889</v>
      </c>
      <c r="AG1493" s="33">
        <f t="shared" si="276"/>
        <v>0</v>
      </c>
      <c r="AH1493" s="43" t="s">
        <v>324</v>
      </c>
      <c r="AI1493" s="63">
        <f t="shared" si="277"/>
        <v>2.9539951573849879E-3</v>
      </c>
      <c r="AJ1493" s="284">
        <f>RTD("money.excel",,$G1493,"PredictVolume")</f>
        <v>122</v>
      </c>
      <c r="AK1493" s="399">
        <f>IFERROR(VLOOKUP($G1493,基本資料!$A:$M,13,0),"無")</f>
        <v>3.31</v>
      </c>
    </row>
    <row r="1494" spans="1:37">
      <c r="A1494" s="347">
        <f>IFERROR(VLOOKUP($G1494,基本資料!$A:$J,3,0),"無")</f>
        <v>21.91</v>
      </c>
      <c r="B1494" s="79">
        <f>IFERROR(VLOOKUP($G1494,基本資料!$A:$J,4,0),"無")</f>
        <v>32</v>
      </c>
      <c r="C1494" s="79">
        <f>IFERROR(VLOOKUP($G1494,基本資料!$A:$J,5,0),"無")</f>
        <v>43</v>
      </c>
      <c r="D1494" s="79">
        <f>IFERROR(VLOOKUP($G1494,基本資料!$A:$J,6,0),"無")</f>
        <v>895</v>
      </c>
      <c r="E1494" s="79">
        <f>IFERROR(VLOOKUP($G1494,基本資料!$A:$J,7,0),"無")</f>
        <v>-45</v>
      </c>
      <c r="F1494" s="6">
        <f>IFERROR(VLOOKUP($G1494,基本資料!$A:$J,8,0),"無")</f>
        <v>15.57</v>
      </c>
      <c r="G1494" s="79">
        <v>5519</v>
      </c>
      <c r="H1494" s="8" t="s">
        <v>876</v>
      </c>
      <c r="I1494" s="22" t="s">
        <v>932</v>
      </c>
      <c r="J1494" s="8">
        <f>IFERROR(VLOOKUP($G1494,今日總結!$A:$AJ,35,0),"")</f>
        <v>0</v>
      </c>
      <c r="K1494" s="5" t="str">
        <f>IFERROR(VLOOKUP($G1494,今日總結!$A:$AJ,36,0),"")</f>
        <v>外</v>
      </c>
      <c r="L1494" s="156">
        <f>IFERROR(VLOOKUP($G1494,今日總結!$A:$AJ,33,0),"")</f>
        <v>0</v>
      </c>
      <c r="M1494" s="340">
        <f>IFERROR(VLOOKUP($G1494,今日總結!$A:$AJ,34,0),"")</f>
        <v>2</v>
      </c>
      <c r="N1494" s="240">
        <f t="shared" si="271"/>
        <v>-2</v>
      </c>
      <c r="P1494" s="365">
        <f>IFERROR(VLOOKUP($G1494,融外自投!$A:$J,7,0),"無")</f>
        <v>997</v>
      </c>
      <c r="Q1494" s="79">
        <f>IFERROR(VLOOKUP($G1494,融外自投!$A:$J,9,0),"無")</f>
        <v>395</v>
      </c>
      <c r="R1494" s="346">
        <f>IFERROR(VLOOKUP($G1494,融外自投!$A:$J,8,0),"無")</f>
        <v>825</v>
      </c>
      <c r="S1494" s="81" t="str">
        <f>IFERROR(VLOOKUP($G1494,融外自投!$A:$J,10,0),"無")</f>
        <v>無</v>
      </c>
      <c r="T1494" s="327">
        <f>IFERROR(VLOOKUP($G1494,'321買'!$A:$E,5,0),"'沒有資料'")</f>
        <v>503</v>
      </c>
      <c r="U1494" s="186">
        <f>IFERROR(VLOOKUP($G1494,基本資料!$A:$J,9,0),"無")</f>
        <v>2</v>
      </c>
      <c r="V1494" s="310">
        <f t="shared" si="272"/>
        <v>9.0702947845804988E-2</v>
      </c>
      <c r="W1494" s="94">
        <f>IFERROR(VLOOKUP($G1494,基本資料!$A:$J,10,0),"無")</f>
        <v>2.73</v>
      </c>
      <c r="X1494" s="36">
        <f>RTD("money.excel",,"5519","Price")</f>
        <v>22.05</v>
      </c>
      <c r="Y1494" s="66"/>
      <c r="Z1494" s="15">
        <f t="shared" si="274"/>
        <v>22.05</v>
      </c>
      <c r="AA1494" s="3" t="e">
        <f t="shared" si="275"/>
        <v>#DIV/0!</v>
      </c>
      <c r="AB1494" s="344">
        <f>IFERROR(VLOOKUP($G1494,基本資料!$A:$M,11,0),"無")</f>
        <v>-12.82</v>
      </c>
      <c r="AC1494" s="397">
        <f>IFERROR(VLOOKUP($G1494,基本資料!$A:$M,12,0),"無")</f>
        <v>27.42</v>
      </c>
      <c r="AD1494" s="22" t="s">
        <v>932</v>
      </c>
      <c r="AG1494" s="33">
        <f t="shared" si="276"/>
        <v>0</v>
      </c>
      <c r="AH1494" s="43" t="s">
        <v>324</v>
      </c>
      <c r="AI1494" s="63">
        <f t="shared" si="277"/>
        <v>1.3692377909630307E-3</v>
      </c>
      <c r="AJ1494" s="284">
        <f>RTD("money.excel",,$G1494,"PredictVolume")</f>
        <v>300</v>
      </c>
      <c r="AK1494" s="399">
        <f>IFERROR(VLOOKUP($G1494,基本資料!$A:$M,13,0),"無")</f>
        <v>6.07</v>
      </c>
    </row>
    <row r="1495" spans="1:37">
      <c r="A1495" s="347">
        <f>IFERROR(VLOOKUP($G1495,基本資料!$A:$J,3,0),"無")</f>
        <v>6.03</v>
      </c>
      <c r="B1495" s="79">
        <f>IFERROR(VLOOKUP($G1495,基本資料!$A:$J,4,0),"無")</f>
        <v>17</v>
      </c>
      <c r="C1495" s="79">
        <f>IFERROR(VLOOKUP($G1495,基本資料!$A:$J,5,0),"無")</f>
        <v>21</v>
      </c>
      <c r="D1495" s="79">
        <f>IFERROR(VLOOKUP($G1495,基本資料!$A:$J,6,0),"無")</f>
        <v>-11</v>
      </c>
      <c r="E1495" s="79">
        <f>IFERROR(VLOOKUP($G1495,基本資料!$A:$J,7,0),"無")</f>
        <v>28</v>
      </c>
      <c r="F1495" s="6">
        <f>IFERROR(VLOOKUP($G1495,基本資料!$A:$J,8,0),"無")</f>
        <v>15.34</v>
      </c>
      <c r="G1495" s="79">
        <v>5520</v>
      </c>
      <c r="H1495" s="8" t="s">
        <v>876</v>
      </c>
      <c r="I1495" s="16" t="s">
        <v>890</v>
      </c>
      <c r="J1495" s="8" t="str">
        <f>IFERROR(VLOOKUP($G1495,今日總結!$A:$AJ,35,0),"")</f>
        <v/>
      </c>
      <c r="K1495" s="5" t="str">
        <f>IFERROR(VLOOKUP($G1495,今日總結!$A:$AJ,36,0),"")</f>
        <v/>
      </c>
      <c r="L1495" s="156" t="str">
        <f>IFERROR(VLOOKUP($G1495,今日總結!$A:$AJ,33,0),"")</f>
        <v/>
      </c>
      <c r="M1495" s="340" t="str">
        <f>IFERROR(VLOOKUP($G1495,今日總結!$A:$AJ,34,0),"")</f>
        <v/>
      </c>
      <c r="N1495" s="240" t="str">
        <f t="shared" si="271"/>
        <v/>
      </c>
      <c r="P1495" s="365">
        <f>IFERROR(VLOOKUP($G1495,融外自投!$A:$J,7,0),"無")</f>
        <v>1420</v>
      </c>
      <c r="Q1495" s="79" t="str">
        <f>IFERROR(VLOOKUP($G1495,融外自投!$A:$J,9,0),"無")</f>
        <v>無</v>
      </c>
      <c r="R1495" s="346">
        <f>IFERROR(VLOOKUP($G1495,融外自投!$A:$J,8,0),"無")</f>
        <v>1466</v>
      </c>
      <c r="S1495" s="81" t="str">
        <f>IFERROR(VLOOKUP($G1495,融外自投!$A:$J,10,0),"無")</f>
        <v>無</v>
      </c>
      <c r="T1495" s="327">
        <f>IFERROR(VLOOKUP($G1495,'321買'!$A:$E,5,0),"'沒有資料'")</f>
        <v>1408</v>
      </c>
      <c r="U1495" s="186">
        <f>IFERROR(VLOOKUP($G1495,基本資料!$A:$J,9,0),"無")</f>
        <v>3.9</v>
      </c>
      <c r="V1495" s="310">
        <f t="shared" si="272"/>
        <v>7.1297989031078604E-2</v>
      </c>
      <c r="W1495" s="94">
        <f>IFERROR(VLOOKUP($G1495,基本資料!$A:$J,10,0),"無")</f>
        <v>5.56</v>
      </c>
      <c r="X1495" s="36">
        <f>RTD("money.excel",,"5520","Price")</f>
        <v>54.7</v>
      </c>
      <c r="Y1495" s="66"/>
      <c r="Z1495" s="15">
        <f t="shared" si="274"/>
        <v>54.7</v>
      </c>
      <c r="AA1495" s="3" t="e">
        <f t="shared" si="275"/>
        <v>#DIV/0!</v>
      </c>
      <c r="AB1495" s="344">
        <f>IFERROR(VLOOKUP($G1495,基本資料!$A:$M,11,0),"無")</f>
        <v>-13.07</v>
      </c>
      <c r="AC1495" s="397">
        <f>IFERROR(VLOOKUP($G1495,基本資料!$A:$M,12,0),"無")</f>
        <v>35.119999999999997</v>
      </c>
      <c r="AD1495" s="16" t="s">
        <v>890</v>
      </c>
      <c r="AG1495" s="33">
        <f t="shared" si="276"/>
        <v>0</v>
      </c>
      <c r="AH1495" s="43" t="s">
        <v>2669</v>
      </c>
      <c r="AI1495" s="63">
        <f t="shared" si="277"/>
        <v>5.1409618573797678E-4</v>
      </c>
      <c r="AJ1495" s="284">
        <f>RTD("money.excel",,$G1495,"PredictVolume")</f>
        <v>31</v>
      </c>
      <c r="AK1495" s="399">
        <f>IFERROR(VLOOKUP($G1495,基本資料!$A:$M,13,0),"無")</f>
        <v>0.08</v>
      </c>
    </row>
    <row r="1496" spans="1:37">
      <c r="A1496" s="347">
        <f>IFERROR(VLOOKUP($G1496,基本資料!$A:$J,3,0),"無")</f>
        <v>49.22</v>
      </c>
      <c r="B1496" s="79">
        <f>IFERROR(VLOOKUP($G1496,基本資料!$A:$J,4,0),"無")</f>
        <v>-96</v>
      </c>
      <c r="C1496" s="79">
        <f>IFERROR(VLOOKUP($G1496,基本資料!$A:$J,5,0),"無")</f>
        <v>-93</v>
      </c>
      <c r="D1496" s="79">
        <f>IFERROR(VLOOKUP($G1496,基本資料!$A:$J,6,0),"無")</f>
        <v>19</v>
      </c>
      <c r="E1496" s="79">
        <f>IFERROR(VLOOKUP($G1496,基本資料!$A:$J,7,0),"無")</f>
        <v>213</v>
      </c>
      <c r="F1496" s="6">
        <f>IFERROR(VLOOKUP($G1496,基本資料!$A:$J,8,0),"無")</f>
        <v>1.96</v>
      </c>
      <c r="G1496" s="79">
        <v>5521</v>
      </c>
      <c r="H1496" s="8" t="s">
        <v>876</v>
      </c>
      <c r="I1496" s="22" t="s">
        <v>933</v>
      </c>
      <c r="J1496" s="8">
        <f>IFERROR(VLOOKUP($G1496,今日總結!$A:$AJ,35,0),"")</f>
        <v>0</v>
      </c>
      <c r="K1496" s="5" t="str">
        <f>IFERROR(VLOOKUP($G1496,今日總結!$A:$AJ,36,0),"")</f>
        <v>融</v>
      </c>
      <c r="L1496" s="156">
        <f>IFERROR(VLOOKUP($G1496,今日總結!$A:$AJ,33,0),"")</f>
        <v>0</v>
      </c>
      <c r="M1496" s="340">
        <f>IFERROR(VLOOKUP($G1496,今日總結!$A:$AJ,34,0),"")</f>
        <v>1</v>
      </c>
      <c r="N1496" s="240">
        <f t="shared" si="271"/>
        <v>-1</v>
      </c>
      <c r="P1496" s="365">
        <f>IFERROR(VLOOKUP($G1496,融外自投!$A:$J,7,0),"無")</f>
        <v>771</v>
      </c>
      <c r="Q1496" s="79">
        <f>IFERROR(VLOOKUP($G1496,融外自投!$A:$J,9,0),"無")</f>
        <v>667</v>
      </c>
      <c r="R1496" s="346">
        <f>IFERROR(VLOOKUP($G1496,融外自投!$A:$J,8,0),"無")</f>
        <v>784</v>
      </c>
      <c r="S1496" s="81">
        <f>IFERROR(VLOOKUP($G1496,融外自投!$A:$J,10,0),"無")</f>
        <v>437</v>
      </c>
      <c r="T1496" s="327">
        <f>IFERROR(VLOOKUP($G1496,'321買'!$A:$E,5,0),"'沒有資料'")</f>
        <v>664</v>
      </c>
      <c r="U1496" s="186">
        <f>IFERROR(VLOOKUP($G1496,基本資料!$A:$J,9,0),"無")</f>
        <v>0</v>
      </c>
      <c r="V1496" s="310">
        <f t="shared" si="272"/>
        <v>0</v>
      </c>
      <c r="W1496" s="94">
        <f>IFERROR(VLOOKUP($G1496,基本資料!$A:$J,10,0),"無")</f>
        <v>7.0000000000000007E-2</v>
      </c>
      <c r="X1496" s="36">
        <f>RTD("money.excel",,"5521","Price")</f>
        <v>7.7</v>
      </c>
      <c r="Y1496" s="66"/>
      <c r="Z1496" s="15">
        <f t="shared" si="274"/>
        <v>7.7</v>
      </c>
      <c r="AA1496" s="3" t="e">
        <f t="shared" si="275"/>
        <v>#DIV/0!</v>
      </c>
      <c r="AB1496" s="344">
        <f>IFERROR(VLOOKUP($G1496,基本資料!$A:$M,11,0),"無")</f>
        <v>-24.71</v>
      </c>
      <c r="AC1496" s="397">
        <f>IFERROR(VLOOKUP($G1496,基本資料!$A:$M,12,0),"無")</f>
        <v>14.92</v>
      </c>
      <c r="AD1496" s="22" t="s">
        <v>933</v>
      </c>
      <c r="AG1496" s="33">
        <f t="shared" si="276"/>
        <v>0</v>
      </c>
      <c r="AH1496" s="43" t="s">
        <v>324</v>
      </c>
      <c r="AI1496" s="63">
        <f t="shared" si="277"/>
        <v>1.3734254368143032E-3</v>
      </c>
      <c r="AJ1496" s="284">
        <f>RTD("money.excel",,$G1496,"PredictVolume")</f>
        <v>676</v>
      </c>
      <c r="AK1496" s="399">
        <f>IFERROR(VLOOKUP($G1496,基本資料!$A:$M,13,0),"無")</f>
        <v>5.77</v>
      </c>
    </row>
    <row r="1497" spans="1:37">
      <c r="A1497" s="347">
        <f>IFERROR(VLOOKUP($G1497,基本資料!$A:$J,3,0),"無")</f>
        <v>15.5</v>
      </c>
      <c r="B1497" s="79">
        <f>IFERROR(VLOOKUP($G1497,基本資料!$A:$J,4,0),"無")</f>
        <v>2090</v>
      </c>
      <c r="C1497" s="79">
        <f>IFERROR(VLOOKUP($G1497,基本資料!$A:$J,5,0),"無")</f>
        <v>1394</v>
      </c>
      <c r="D1497" s="79">
        <f>IFERROR(VLOOKUP($G1497,基本資料!$A:$J,6,0),"無")</f>
        <v>7659</v>
      </c>
      <c r="E1497" s="79">
        <f>IFERROR(VLOOKUP($G1497,基本資料!$A:$J,7,0),"無")</f>
        <v>-93</v>
      </c>
      <c r="F1497" s="6">
        <f>IFERROR(VLOOKUP($G1497,基本資料!$A:$J,8,0),"無")</f>
        <v>22.58</v>
      </c>
      <c r="G1497" s="79">
        <v>5523</v>
      </c>
      <c r="H1497" s="8" t="s">
        <v>876</v>
      </c>
      <c r="I1497" s="16" t="s">
        <v>891</v>
      </c>
      <c r="J1497" s="8" t="str">
        <f>IFERROR(VLOOKUP($G1497,今日總結!$A:$AJ,35,0),"")</f>
        <v/>
      </c>
      <c r="K1497" s="5" t="str">
        <f>IFERROR(VLOOKUP($G1497,今日總結!$A:$AJ,36,0),"")</f>
        <v/>
      </c>
      <c r="L1497" s="156" t="str">
        <f>IFERROR(VLOOKUP($G1497,今日總結!$A:$AJ,33,0),"")</f>
        <v/>
      </c>
      <c r="M1497" s="340" t="str">
        <f>IFERROR(VLOOKUP($G1497,今日總結!$A:$AJ,34,0),"")</f>
        <v/>
      </c>
      <c r="N1497" s="240" t="str">
        <f t="shared" si="271"/>
        <v/>
      </c>
      <c r="P1497" s="365">
        <f>IFERROR(VLOOKUP($G1497,融外自投!$A:$J,7,0),"無")</f>
        <v>1027</v>
      </c>
      <c r="Q1497" s="79" t="str">
        <f>IFERROR(VLOOKUP($G1497,融外自投!$A:$J,9,0),"無")</f>
        <v>無</v>
      </c>
      <c r="R1497" s="346">
        <f>IFERROR(VLOOKUP($G1497,融外自投!$A:$J,8,0),"無")</f>
        <v>1451</v>
      </c>
      <c r="S1497" s="81" t="str">
        <f>IFERROR(VLOOKUP($G1497,融外自投!$A:$J,10,0),"無")</f>
        <v>無</v>
      </c>
      <c r="T1497" s="327">
        <f>IFERROR(VLOOKUP($G1497,'321買'!$A:$E,5,0),"'沒有資料'")</f>
        <v>1214</v>
      </c>
      <c r="U1497" s="186">
        <f>IFERROR(VLOOKUP($G1497,基本資料!$A:$J,9,0),"無")</f>
        <v>1.8</v>
      </c>
      <c r="V1497" s="310">
        <f t="shared" si="272"/>
        <v>7.1570576540755479E-2</v>
      </c>
      <c r="W1497" s="94">
        <f>IFERROR(VLOOKUP($G1497,基本資料!$A:$J,10,0),"無")</f>
        <v>5.91</v>
      </c>
      <c r="X1497" s="36">
        <f>RTD("money.excel",,"5523","Price")</f>
        <v>25.15</v>
      </c>
      <c r="Y1497" s="66"/>
      <c r="Z1497" s="15">
        <f t="shared" si="274"/>
        <v>25.15</v>
      </c>
      <c r="AA1497" s="3" t="e">
        <f t="shared" si="275"/>
        <v>#DIV/0!</v>
      </c>
      <c r="AB1497" s="344">
        <f>IFERROR(VLOOKUP($G1497,基本資料!$A:$M,11,0),"無")</f>
        <v>-32.520000000000003</v>
      </c>
      <c r="AC1497" s="397">
        <f>IFERROR(VLOOKUP($G1497,基本資料!$A:$M,12,0),"無")</f>
        <v>31.03</v>
      </c>
      <c r="AD1497" s="16" t="s">
        <v>891</v>
      </c>
      <c r="AG1497" s="33">
        <f t="shared" si="276"/>
        <v>0</v>
      </c>
      <c r="AH1497" s="43" t="s">
        <v>2012</v>
      </c>
      <c r="AI1497" s="63">
        <f t="shared" si="277"/>
        <v>3.8709677419354838E-4</v>
      </c>
      <c r="AJ1497" s="284">
        <f>RTD("money.excel",,$G1497,"PredictVolume")</f>
        <v>60</v>
      </c>
      <c r="AK1497" s="399">
        <f>IFERROR(VLOOKUP($G1497,基本資料!$A:$M,13,0),"無")</f>
        <v>1.88</v>
      </c>
    </row>
    <row r="1498" spans="1:37">
      <c r="A1498" s="347">
        <f>IFERROR(VLOOKUP($G1498,基本資料!$A:$J,3,0),"無")</f>
        <v>26.45</v>
      </c>
      <c r="B1498" s="79">
        <f>IFERROR(VLOOKUP($G1498,基本資料!$A:$J,4,0),"無")</f>
        <v>-228</v>
      </c>
      <c r="C1498" s="79">
        <f>IFERROR(VLOOKUP($G1498,基本資料!$A:$J,5,0),"無")</f>
        <v>-509</v>
      </c>
      <c r="D1498" s="79">
        <f>IFERROR(VLOOKUP($G1498,基本資料!$A:$J,6,0),"無")</f>
        <v>-38</v>
      </c>
      <c r="E1498" s="79">
        <f>IFERROR(VLOOKUP($G1498,基本資料!$A:$J,7,0),"無")</f>
        <v>1569</v>
      </c>
      <c r="F1498" s="6">
        <f>IFERROR(VLOOKUP($G1498,基本資料!$A:$J,8,0),"無")</f>
        <v>-9.06</v>
      </c>
      <c r="G1498" s="79">
        <v>5525</v>
      </c>
      <c r="H1498" s="8" t="s">
        <v>876</v>
      </c>
      <c r="I1498" s="22" t="s">
        <v>934</v>
      </c>
      <c r="J1498" s="8" t="str">
        <f>IFERROR(VLOOKUP($G1498,今日總結!$A:$AJ,35,0),"")</f>
        <v/>
      </c>
      <c r="K1498" s="5" t="str">
        <f>IFERROR(VLOOKUP($G1498,今日總結!$A:$AJ,36,0),"")</f>
        <v/>
      </c>
      <c r="L1498" s="156" t="str">
        <f>IFERROR(VLOOKUP($G1498,今日總結!$A:$AJ,33,0),"")</f>
        <v/>
      </c>
      <c r="M1498" s="340" t="str">
        <f>IFERROR(VLOOKUP($G1498,今日總結!$A:$AJ,34,0),"")</f>
        <v/>
      </c>
      <c r="N1498" s="240" t="str">
        <f t="shared" si="271"/>
        <v/>
      </c>
      <c r="P1498" s="365">
        <f>IFERROR(VLOOKUP($G1498,融外自投!$A:$J,7,0),"無")</f>
        <v>1342</v>
      </c>
      <c r="Q1498" s="79" t="str">
        <f>IFERROR(VLOOKUP($G1498,融外自投!$A:$J,9,0),"無")</f>
        <v>無</v>
      </c>
      <c r="R1498" s="346">
        <f>IFERROR(VLOOKUP($G1498,融外自投!$A:$J,8,0),"無")</f>
        <v>1131</v>
      </c>
      <c r="S1498" s="81" t="str">
        <f>IFERROR(VLOOKUP($G1498,融外自投!$A:$J,10,0),"無")</f>
        <v>無</v>
      </c>
      <c r="T1498" s="327">
        <f>IFERROR(VLOOKUP($G1498,'321買'!$A:$E,5,0),"'沒有資料'")</f>
        <v>1214</v>
      </c>
      <c r="U1498" s="186">
        <f>IFERROR(VLOOKUP($G1498,基本資料!$A:$J,9,0),"無")</f>
        <v>0.3</v>
      </c>
      <c r="V1498" s="310">
        <f t="shared" si="272"/>
        <v>1.1857707509881422E-2</v>
      </c>
      <c r="W1498" s="94">
        <f>IFERROR(VLOOKUP($G1498,基本資料!$A:$J,10,0),"無")</f>
        <v>-0.2</v>
      </c>
      <c r="X1498" s="36">
        <f>RTD("money.excel",,"5525","Price")</f>
        <v>25.3</v>
      </c>
      <c r="Y1498" s="66"/>
      <c r="Z1498" s="15">
        <f t="shared" si="274"/>
        <v>25.3</v>
      </c>
      <c r="AA1498" s="3" t="e">
        <f t="shared" si="275"/>
        <v>#DIV/0!</v>
      </c>
      <c r="AB1498" s="344">
        <f>IFERROR(VLOOKUP($G1498,基本資料!$A:$M,11,0),"無")</f>
        <v>-11.71</v>
      </c>
      <c r="AC1498" s="397">
        <f>IFERROR(VLOOKUP($G1498,基本資料!$A:$M,12,0),"無")</f>
        <v>35.869999999999997</v>
      </c>
      <c r="AD1498" s="22" t="s">
        <v>934</v>
      </c>
      <c r="AG1498" s="33">
        <f t="shared" si="276"/>
        <v>0</v>
      </c>
      <c r="AH1498" s="43" t="s">
        <v>2012</v>
      </c>
      <c r="AI1498" s="63">
        <f t="shared" si="277"/>
        <v>1.0775047258979205E-3</v>
      </c>
      <c r="AJ1498" s="284">
        <f>RTD("money.excel",,$G1498,"PredictVolume")</f>
        <v>285</v>
      </c>
      <c r="AK1498" s="399">
        <f>IFERROR(VLOOKUP($G1498,基本資料!$A:$M,13,0),"無")</f>
        <v>0.97</v>
      </c>
    </row>
    <row r="1499" spans="1:37">
      <c r="A1499" s="347">
        <f>IFERROR(VLOOKUP($G1499,基本資料!$A:$J,3,0),"無")</f>
        <v>12.4</v>
      </c>
      <c r="B1499" s="79">
        <f>IFERROR(VLOOKUP($G1499,基本資料!$A:$J,4,0),"無")</f>
        <v>12</v>
      </c>
      <c r="C1499" s="79">
        <f>IFERROR(VLOOKUP($G1499,基本資料!$A:$J,5,0),"無")</f>
        <v>-108</v>
      </c>
      <c r="D1499" s="79">
        <f>IFERROR(VLOOKUP($G1499,基本資料!$A:$J,6,0),"無")</f>
        <v>-11</v>
      </c>
      <c r="E1499" s="79">
        <f>IFERROR(VLOOKUP($G1499,基本資料!$A:$J,7,0),"無")</f>
        <v>-14</v>
      </c>
      <c r="F1499" s="6">
        <f>IFERROR(VLOOKUP($G1499,基本資料!$A:$J,8,0),"無")</f>
        <v>-180.52</v>
      </c>
      <c r="G1499" s="79">
        <v>5529</v>
      </c>
      <c r="H1499" s="8" t="s">
        <v>876</v>
      </c>
      <c r="I1499" s="16" t="s">
        <v>892</v>
      </c>
      <c r="J1499" s="8" t="str">
        <f>IFERROR(VLOOKUP($G1499,今日總結!$A:$AJ,35,0),"")</f>
        <v/>
      </c>
      <c r="K1499" s="5" t="str">
        <f>IFERROR(VLOOKUP($G1499,今日總結!$A:$AJ,36,0),"")</f>
        <v/>
      </c>
      <c r="L1499" s="156" t="str">
        <f>IFERROR(VLOOKUP($G1499,今日總結!$A:$AJ,33,0),"")</f>
        <v/>
      </c>
      <c r="M1499" s="340" t="str">
        <f>IFERROR(VLOOKUP($G1499,今日總結!$A:$AJ,34,0),"")</f>
        <v/>
      </c>
      <c r="N1499" s="240" t="str">
        <f t="shared" si="271"/>
        <v/>
      </c>
      <c r="P1499" s="365" t="str">
        <f>IFERROR(VLOOKUP($G1499,融外自投!$A:$J,7,0),"無")</f>
        <v>無</v>
      </c>
      <c r="Q1499" s="79" t="str">
        <f>IFERROR(VLOOKUP($G1499,融外自投!$A:$J,9,0),"無")</f>
        <v>無</v>
      </c>
      <c r="R1499" s="346" t="str">
        <f>IFERROR(VLOOKUP($G1499,融外自投!$A:$J,8,0),"無")</f>
        <v>無</v>
      </c>
      <c r="S1499" s="81" t="str">
        <f>IFERROR(VLOOKUP($G1499,融外自投!$A:$J,10,0),"無")</f>
        <v>無</v>
      </c>
      <c r="T1499" s="327" t="str">
        <f>IFERROR(VLOOKUP($G1499,'321買'!$A:$E,5,0),"'沒有資料'")</f>
        <v>'沒有資料'</v>
      </c>
      <c r="U1499" s="186">
        <f>IFERROR(VLOOKUP($G1499,基本資料!$A:$J,9,0),"無")</f>
        <v>0</v>
      </c>
      <c r="V1499" s="310">
        <f t="shared" si="272"/>
        <v>0</v>
      </c>
      <c r="W1499" s="94">
        <f>IFERROR(VLOOKUP($G1499,基本資料!$A:$J,10,0),"無")</f>
        <v>-1.03</v>
      </c>
      <c r="X1499" s="36">
        <f>RTD("money.excel",,"5529","Price")</f>
        <v>14.5</v>
      </c>
      <c r="Y1499" s="66"/>
      <c r="Z1499" s="15">
        <f t="shared" si="274"/>
        <v>14.5</v>
      </c>
      <c r="AA1499" s="3" t="e">
        <f t="shared" si="275"/>
        <v>#DIV/0!</v>
      </c>
      <c r="AB1499" s="344">
        <f>IFERROR(VLOOKUP($G1499,基本資料!$A:$M,11,0),"無")</f>
        <v>-32.119999999999997</v>
      </c>
      <c r="AC1499" s="397">
        <f>IFERROR(VLOOKUP($G1499,基本資料!$A:$M,12,0),"無")</f>
        <v>8.5399999999999991</v>
      </c>
      <c r="AD1499" s="16" t="s">
        <v>892</v>
      </c>
      <c r="AG1499" s="33">
        <f t="shared" si="276"/>
        <v>0</v>
      </c>
      <c r="AH1499" s="43" t="s">
        <v>2012</v>
      </c>
      <c r="AI1499" s="63">
        <f t="shared" si="277"/>
        <v>6.5322580645161285E-4</v>
      </c>
      <c r="AJ1499" s="284">
        <f>RTD("money.excel",,$G1499,"PredictVolume")</f>
        <v>81</v>
      </c>
      <c r="AK1499" s="399">
        <f>IFERROR(VLOOKUP($G1499,基本資料!$A:$M,13,0),"無")</f>
        <v>2.79</v>
      </c>
    </row>
    <row r="1500" spans="1:37">
      <c r="A1500" s="347">
        <f>IFERROR(VLOOKUP($G1500,基本資料!$A:$J,3,0),"無")</f>
        <v>97.75</v>
      </c>
      <c r="B1500" s="79">
        <f>IFERROR(VLOOKUP($G1500,基本資料!$A:$J,4,0),"無")</f>
        <v>-819</v>
      </c>
      <c r="C1500" s="79">
        <f>IFERROR(VLOOKUP($G1500,基本資料!$A:$J,5,0),"無")</f>
        <v>-202</v>
      </c>
      <c r="D1500" s="79">
        <f>IFERROR(VLOOKUP($G1500,基本資料!$A:$J,6,0),"無")</f>
        <v>72</v>
      </c>
      <c r="E1500" s="79">
        <f>IFERROR(VLOOKUP($G1500,基本資料!$A:$J,7,0),"無")</f>
        <v>0</v>
      </c>
      <c r="F1500" s="6">
        <f>IFERROR(VLOOKUP($G1500,基本資料!$A:$J,8,0),"無")</f>
        <v>-12.01</v>
      </c>
      <c r="G1500" s="79">
        <v>5531</v>
      </c>
      <c r="H1500" s="8" t="s">
        <v>876</v>
      </c>
      <c r="I1500" s="22" t="s">
        <v>935</v>
      </c>
      <c r="J1500" s="8" t="str">
        <f>IFERROR(VLOOKUP($G1500,今日總結!$A:$AJ,35,0),"")</f>
        <v/>
      </c>
      <c r="K1500" s="5" t="str">
        <f>IFERROR(VLOOKUP($G1500,今日總結!$A:$AJ,36,0),"")</f>
        <v/>
      </c>
      <c r="L1500" s="156" t="str">
        <f>IFERROR(VLOOKUP($G1500,今日總結!$A:$AJ,33,0),"")</f>
        <v/>
      </c>
      <c r="M1500" s="340" t="str">
        <f>IFERROR(VLOOKUP($G1500,今日總結!$A:$AJ,34,0),"")</f>
        <v/>
      </c>
      <c r="N1500" s="240" t="str">
        <f t="shared" si="271"/>
        <v/>
      </c>
      <c r="P1500" s="365">
        <f>IFERROR(VLOOKUP($G1500,融外自投!$A:$J,7,0),"無")</f>
        <v>996</v>
      </c>
      <c r="Q1500" s="79">
        <f>IFERROR(VLOOKUP($G1500,融外自投!$A:$J,9,0),"無")</f>
        <v>683</v>
      </c>
      <c r="R1500" s="346">
        <f>IFERROR(VLOOKUP($G1500,融外自投!$A:$J,8,0),"無")</f>
        <v>801</v>
      </c>
      <c r="S1500" s="81" t="str">
        <f>IFERROR(VLOOKUP($G1500,融外自投!$A:$J,10,0),"無")</f>
        <v>無</v>
      </c>
      <c r="T1500" s="327">
        <f>IFERROR(VLOOKUP($G1500,'321買'!$A:$E,5,0),"'沒有資料'")</f>
        <v>710</v>
      </c>
      <c r="U1500" s="186">
        <f>IFERROR(VLOOKUP($G1500,基本資料!$A:$J,9,0),"無")</f>
        <v>0</v>
      </c>
      <c r="V1500" s="310">
        <f t="shared" si="272"/>
        <v>0</v>
      </c>
      <c r="W1500" s="94">
        <f>IFERROR(VLOOKUP($G1500,基本資料!$A:$J,10,0),"無")</f>
        <v>-0.6</v>
      </c>
      <c r="X1500" s="36">
        <f>RTD("money.excel",,"5531","Price")</f>
        <v>9.6</v>
      </c>
      <c r="Y1500" s="66"/>
      <c r="Z1500" s="15">
        <f t="shared" si="274"/>
        <v>9.6</v>
      </c>
      <c r="AA1500" s="3" t="e">
        <f t="shared" si="275"/>
        <v>#DIV/0!</v>
      </c>
      <c r="AB1500" s="344">
        <f>IFERROR(VLOOKUP($G1500,基本資料!$A:$M,11,0),"無")</f>
        <v>-26.14</v>
      </c>
      <c r="AC1500" s="397">
        <f>IFERROR(VLOOKUP($G1500,基本資料!$A:$M,12,0),"無")</f>
        <v>20.47</v>
      </c>
      <c r="AD1500" s="22" t="s">
        <v>935</v>
      </c>
      <c r="AG1500" s="33">
        <f t="shared" si="276"/>
        <v>0</v>
      </c>
      <c r="AH1500" s="43" t="s">
        <v>2012</v>
      </c>
      <c r="AI1500" s="63">
        <f t="shared" si="277"/>
        <v>6.1381074168797949E-4</v>
      </c>
      <c r="AJ1500" s="284">
        <f>RTD("money.excel",,$G1500,"PredictVolume")</f>
        <v>600</v>
      </c>
      <c r="AK1500" s="399">
        <f>IFERROR(VLOOKUP($G1500,基本資料!$A:$M,13,0),"無")</f>
        <v>3.73</v>
      </c>
    </row>
    <row r="1501" spans="1:37">
      <c r="A1501" s="347">
        <f>IFERROR(VLOOKUP($G1501,基本資料!$A:$J,3,0),"無")</f>
        <v>28.52</v>
      </c>
      <c r="B1501" s="79">
        <f>IFERROR(VLOOKUP($G1501,基本資料!$A:$J,4,0),"無")</f>
        <v>337</v>
      </c>
      <c r="C1501" s="79">
        <f>IFERROR(VLOOKUP($G1501,基本資料!$A:$J,5,0),"無")</f>
        <v>153</v>
      </c>
      <c r="D1501" s="79">
        <f>IFERROR(VLOOKUP($G1501,基本資料!$A:$J,6,0),"無")</f>
        <v>4449</v>
      </c>
      <c r="E1501" s="79">
        <f>IFERROR(VLOOKUP($G1501,基本資料!$A:$J,7,0),"無")</f>
        <v>2149</v>
      </c>
      <c r="F1501" s="6">
        <f>IFERROR(VLOOKUP($G1501,基本資料!$A:$J,8,0),"無")</f>
        <v>21.05</v>
      </c>
      <c r="G1501" s="79">
        <v>5533</v>
      </c>
      <c r="H1501" s="8" t="s">
        <v>876</v>
      </c>
      <c r="I1501" s="22" t="s">
        <v>936</v>
      </c>
      <c r="J1501" s="8">
        <f>IFERROR(VLOOKUP($G1501,今日總結!$A:$AJ,35,0),"")</f>
        <v>0</v>
      </c>
      <c r="K1501" s="5" t="str">
        <f>IFERROR(VLOOKUP($G1501,今日總結!$A:$AJ,36,0),"")</f>
        <v>外</v>
      </c>
      <c r="L1501" s="156">
        <f>IFERROR(VLOOKUP($G1501,今日總結!$A:$AJ,33,0),"")</f>
        <v>0</v>
      </c>
      <c r="M1501" s="340">
        <f>IFERROR(VLOOKUP($G1501,今日總結!$A:$AJ,34,0),"")</f>
        <v>1</v>
      </c>
      <c r="N1501" s="240">
        <f t="shared" si="271"/>
        <v>-1</v>
      </c>
      <c r="P1501" s="365">
        <f>IFERROR(VLOOKUP($G1501,融外自投!$A:$J,7,0),"無")</f>
        <v>920</v>
      </c>
      <c r="Q1501" s="79">
        <f>IFERROR(VLOOKUP($G1501,融外自投!$A:$J,9,0),"無")</f>
        <v>1110</v>
      </c>
      <c r="R1501" s="346">
        <f>IFERROR(VLOOKUP($G1501,融外自投!$A:$J,8,0),"無")</f>
        <v>884</v>
      </c>
      <c r="S1501" s="81" t="str">
        <f>IFERROR(VLOOKUP($G1501,融外自投!$A:$J,10,0),"無")</f>
        <v>無</v>
      </c>
      <c r="T1501" s="327">
        <f>IFERROR(VLOOKUP($G1501,'321買'!$A:$E,5,0),"'沒有資料'")</f>
        <v>515</v>
      </c>
      <c r="U1501" s="186">
        <f>IFERROR(VLOOKUP($G1501,基本資料!$A:$J,9,0),"無")</f>
        <v>1</v>
      </c>
      <c r="V1501" s="310">
        <f t="shared" si="272"/>
        <v>5.2910052910052914E-2</v>
      </c>
      <c r="W1501" s="94">
        <f>IFERROR(VLOOKUP($G1501,基本資料!$A:$J,10,0),"無")</f>
        <v>3.72</v>
      </c>
      <c r="X1501" s="36">
        <f>RTD("money.excel",,"5533","Price")</f>
        <v>18.899999999999999</v>
      </c>
      <c r="Y1501" s="66"/>
      <c r="Z1501" s="15">
        <f t="shared" si="274"/>
        <v>18.899999999999999</v>
      </c>
      <c r="AA1501" s="3" t="e">
        <f t="shared" si="275"/>
        <v>#DIV/0!</v>
      </c>
      <c r="AB1501" s="344">
        <f>IFERROR(VLOOKUP($G1501,基本資料!$A:$M,11,0),"無")</f>
        <v>-7.2</v>
      </c>
      <c r="AC1501" s="397">
        <f>IFERROR(VLOOKUP($G1501,基本資料!$A:$M,12,0),"無")</f>
        <v>31.12</v>
      </c>
      <c r="AD1501" s="22" t="s">
        <v>936</v>
      </c>
      <c r="AG1501" s="33">
        <f t="shared" si="276"/>
        <v>0</v>
      </c>
      <c r="AH1501" s="43" t="s">
        <v>2012</v>
      </c>
      <c r="AI1501" s="63">
        <f t="shared" si="277"/>
        <v>8.0645161290322581E-4</v>
      </c>
      <c r="AJ1501" s="284">
        <f>RTD("money.excel",,$G1501,"PredictVolume")</f>
        <v>230</v>
      </c>
      <c r="AK1501" s="399">
        <f>IFERROR(VLOOKUP($G1501,基本資料!$A:$M,13,0),"無")</f>
        <v>1.01</v>
      </c>
    </row>
    <row r="1502" spans="1:37">
      <c r="A1502" s="347">
        <f>IFERROR(VLOOKUP($G1502,基本資料!$A:$J,3,0),"無")</f>
        <v>29.03</v>
      </c>
      <c r="B1502" s="79">
        <f>IFERROR(VLOOKUP($G1502,基本資料!$A:$J,4,0),"無")</f>
        <v>-51</v>
      </c>
      <c r="C1502" s="79">
        <f>IFERROR(VLOOKUP($G1502,基本資料!$A:$J,5,0),"無")</f>
        <v>-39</v>
      </c>
      <c r="D1502" s="79">
        <f>IFERROR(VLOOKUP($G1502,基本資料!$A:$J,6,0),"無")</f>
        <v>319</v>
      </c>
      <c r="E1502" s="79">
        <f>IFERROR(VLOOKUP($G1502,基本資料!$A:$J,7,0),"無")</f>
        <v>854</v>
      </c>
      <c r="F1502" s="6">
        <f>IFERROR(VLOOKUP($G1502,基本資料!$A:$J,8,0),"無")</f>
        <v>31.3</v>
      </c>
      <c r="G1502" s="79">
        <v>5534</v>
      </c>
      <c r="H1502" s="8" t="s">
        <v>876</v>
      </c>
      <c r="I1502" s="22" t="s">
        <v>937</v>
      </c>
      <c r="J1502" s="8" t="str">
        <f>IFERROR(VLOOKUP($G1502,今日總結!$A:$AJ,35,0),"")</f>
        <v/>
      </c>
      <c r="K1502" s="5" t="str">
        <f>IFERROR(VLOOKUP($G1502,今日總結!$A:$AJ,36,0),"")</f>
        <v/>
      </c>
      <c r="L1502" s="156" t="str">
        <f>IFERROR(VLOOKUP($G1502,今日總結!$A:$AJ,33,0),"")</f>
        <v/>
      </c>
      <c r="M1502" s="340" t="str">
        <f>IFERROR(VLOOKUP($G1502,今日總結!$A:$AJ,34,0),"")</f>
        <v/>
      </c>
      <c r="N1502" s="240" t="str">
        <f t="shared" si="271"/>
        <v/>
      </c>
      <c r="P1502" s="365">
        <f>IFERROR(VLOOKUP($G1502,融外自投!$A:$J,7,0),"無")</f>
        <v>1245</v>
      </c>
      <c r="Q1502" s="79">
        <f>IFERROR(VLOOKUP($G1502,融外自投!$A:$J,9,0),"無")</f>
        <v>852</v>
      </c>
      <c r="R1502" s="346">
        <f>IFERROR(VLOOKUP($G1502,融外自投!$A:$J,8,0),"無")</f>
        <v>435</v>
      </c>
      <c r="S1502" s="81">
        <f>IFERROR(VLOOKUP($G1502,融外自投!$A:$J,10,0),"無")</f>
        <v>319</v>
      </c>
      <c r="T1502" s="327">
        <f>IFERROR(VLOOKUP($G1502,'321買'!$A:$E,5,0),"'沒有資料'")</f>
        <v>255</v>
      </c>
      <c r="U1502" s="186">
        <f>IFERROR(VLOOKUP($G1502,基本資料!$A:$J,9,0),"無")</f>
        <v>0</v>
      </c>
      <c r="V1502" s="310">
        <f t="shared" si="272"/>
        <v>0</v>
      </c>
      <c r="W1502" s="94">
        <f>IFERROR(VLOOKUP($G1502,基本資料!$A:$J,10,0),"無")</f>
        <v>4.41</v>
      </c>
      <c r="X1502" s="36">
        <f>RTD("money.excel",,"5534","Price")</f>
        <v>71.2</v>
      </c>
      <c r="Y1502" s="66"/>
      <c r="Z1502" s="15">
        <f t="shared" si="274"/>
        <v>71.2</v>
      </c>
      <c r="AA1502" s="3" t="e">
        <f t="shared" si="275"/>
        <v>#DIV/0!</v>
      </c>
      <c r="AB1502" s="344">
        <f>IFERROR(VLOOKUP($G1502,基本資料!$A:$M,11,0),"無")</f>
        <v>-12.44</v>
      </c>
      <c r="AC1502" s="397">
        <f>IFERROR(VLOOKUP($G1502,基本資料!$A:$M,12,0),"無")</f>
        <v>19.23</v>
      </c>
      <c r="AD1502" s="22" t="s">
        <v>937</v>
      </c>
      <c r="AG1502" s="33">
        <f t="shared" si="276"/>
        <v>0</v>
      </c>
      <c r="AH1502" s="43" t="s">
        <v>2012</v>
      </c>
      <c r="AI1502" s="63">
        <f t="shared" si="277"/>
        <v>1.2194281777471582E-3</v>
      </c>
      <c r="AJ1502" s="284">
        <f>RTD("money.excel",,$G1502,"PredictVolume")</f>
        <v>354</v>
      </c>
      <c r="AK1502" s="399">
        <f>IFERROR(VLOOKUP($G1502,基本資料!$A:$M,13,0),"無")</f>
        <v>1.3</v>
      </c>
    </row>
    <row r="1503" spans="1:37">
      <c r="A1503" s="347">
        <f>IFERROR(VLOOKUP($G1503,基本資料!$A:$J,3,0),"無")</f>
        <v>3.73</v>
      </c>
      <c r="B1503" s="79">
        <f>IFERROR(VLOOKUP($G1503,基本資料!$A:$J,4,0),"無")</f>
        <v>459</v>
      </c>
      <c r="C1503" s="79">
        <f>IFERROR(VLOOKUP($G1503,基本資料!$A:$J,5,0),"無")</f>
        <v>482</v>
      </c>
      <c r="D1503" s="79">
        <f>IFERROR(VLOOKUP($G1503,基本資料!$A:$J,6,0),"無")</f>
        <v>11</v>
      </c>
      <c r="E1503" s="79">
        <f>IFERROR(VLOOKUP($G1503,基本資料!$A:$J,7,0),"無")</f>
        <v>95</v>
      </c>
      <c r="F1503" s="6">
        <f>IFERROR(VLOOKUP($G1503,基本資料!$A:$J,8,0),"無")</f>
        <v>8.75</v>
      </c>
      <c r="G1503" s="79">
        <v>5543</v>
      </c>
      <c r="H1503" s="8" t="s">
        <v>876</v>
      </c>
      <c r="I1503" s="16" t="s">
        <v>2997</v>
      </c>
      <c r="J1503" s="8" t="str">
        <f>IFERROR(VLOOKUP($G1503,今日總結!$A:$AJ,35,0),"")</f>
        <v/>
      </c>
      <c r="K1503" s="5" t="str">
        <f>IFERROR(VLOOKUP($G1503,今日總結!$A:$AJ,36,0),"")</f>
        <v/>
      </c>
      <c r="L1503" s="156" t="str">
        <f>IFERROR(VLOOKUP($G1503,今日總結!$A:$AJ,33,0),"")</f>
        <v/>
      </c>
      <c r="M1503" s="340" t="str">
        <f>IFERROR(VLOOKUP($G1503,今日總結!$A:$AJ,34,0),"")</f>
        <v/>
      </c>
      <c r="N1503" s="240" t="str">
        <f t="shared" si="271"/>
        <v/>
      </c>
      <c r="P1503" s="365">
        <f>IFERROR(VLOOKUP($G1503,融外自投!$A:$J,7,0),"無")</f>
        <v>469</v>
      </c>
      <c r="Q1503" s="79" t="str">
        <f>IFERROR(VLOOKUP($G1503,融外自投!$A:$J,9,0),"無")</f>
        <v>無</v>
      </c>
      <c r="R1503" s="346">
        <f>IFERROR(VLOOKUP($G1503,融外自投!$A:$J,8,0),"無")</f>
        <v>1260</v>
      </c>
      <c r="S1503" s="81" t="str">
        <f>IFERROR(VLOOKUP($G1503,融外自投!$A:$J,10,0),"無")</f>
        <v>無</v>
      </c>
      <c r="T1503" s="327">
        <f>IFERROR(VLOOKUP($G1503,'321買'!$A:$E,5,0),"'沒有資料'")</f>
        <v>802</v>
      </c>
      <c r="U1503" s="186">
        <f>IFERROR(VLOOKUP($G1503,基本資料!$A:$J,9,0),"無")</f>
        <v>2</v>
      </c>
      <c r="V1503" s="310">
        <f t="shared" si="272"/>
        <v>3.3333333333333333E-2</v>
      </c>
      <c r="W1503" s="94">
        <f>IFERROR(VLOOKUP($G1503,基本資料!$A:$J,10,0),"無")</f>
        <v>3.26</v>
      </c>
      <c r="X1503" s="36">
        <f>RTD("money.excel",,"5543","Price")</f>
        <v>60</v>
      </c>
      <c r="Y1503" s="66"/>
      <c r="Z1503" s="15">
        <f t="shared" si="274"/>
        <v>60</v>
      </c>
      <c r="AA1503" s="3" t="e">
        <f t="shared" si="275"/>
        <v>#DIV/0!</v>
      </c>
      <c r="AB1503" s="344">
        <f>IFERROR(VLOOKUP($G1503,基本資料!$A:$M,11,0),"無")</f>
        <v>-20</v>
      </c>
      <c r="AC1503" s="397">
        <f>IFERROR(VLOOKUP($G1503,基本資料!$A:$M,12,0),"無")</f>
        <v>27.12</v>
      </c>
      <c r="AD1503" s="16" t="s">
        <v>2997</v>
      </c>
      <c r="AG1503" s="33">
        <f t="shared" si="276"/>
        <v>0</v>
      </c>
      <c r="AH1503" s="43" t="s">
        <v>2998</v>
      </c>
      <c r="AI1503" s="63">
        <f t="shared" si="277"/>
        <v>1.3404825737265417E-4</v>
      </c>
      <c r="AJ1503" s="284">
        <f>RTD("money.excel",,$G1503,"PredictVolume")</f>
        <v>5</v>
      </c>
      <c r="AK1503" s="399">
        <f>IFERROR(VLOOKUP($G1503,基本資料!$A:$M,13,0),"無")</f>
        <v>3.24</v>
      </c>
    </row>
    <row r="1504" spans="1:37">
      <c r="A1504" s="347">
        <f>IFERROR(VLOOKUP($G1504,基本資料!$A:$J,3,0),"無")</f>
        <v>8.23</v>
      </c>
      <c r="B1504" s="79">
        <f>IFERROR(VLOOKUP($G1504,基本資料!$A:$J,4,0),"無")</f>
        <v>-67</v>
      </c>
      <c r="C1504" s="79">
        <f>IFERROR(VLOOKUP($G1504,基本資料!$A:$J,5,0),"無")</f>
        <v>-63</v>
      </c>
      <c r="D1504" s="79">
        <f>IFERROR(VLOOKUP($G1504,基本資料!$A:$J,6,0),"無")</f>
        <v>170</v>
      </c>
      <c r="E1504" s="79">
        <f>IFERROR(VLOOKUP($G1504,基本資料!$A:$J,7,0),"無")</f>
        <v>-2</v>
      </c>
      <c r="F1504" s="6">
        <f>IFERROR(VLOOKUP($G1504,基本資料!$A:$J,8,0),"無")</f>
        <v>5.49</v>
      </c>
      <c r="G1504" s="79">
        <v>5546</v>
      </c>
      <c r="H1504" s="8" t="s">
        <v>876</v>
      </c>
      <c r="I1504" s="22" t="s">
        <v>1902</v>
      </c>
      <c r="J1504" s="8" t="str">
        <f>IFERROR(VLOOKUP($G1504,今日總結!$A:$AJ,35,0),"")</f>
        <v/>
      </c>
      <c r="K1504" s="5" t="str">
        <f>IFERROR(VLOOKUP($G1504,今日總結!$A:$AJ,36,0),"")</f>
        <v/>
      </c>
      <c r="L1504" s="156" t="str">
        <f>IFERROR(VLOOKUP($G1504,今日總結!$A:$AJ,33,0),"")</f>
        <v/>
      </c>
      <c r="M1504" s="340" t="str">
        <f>IFERROR(VLOOKUP($G1504,今日總結!$A:$AJ,34,0),"")</f>
        <v/>
      </c>
      <c r="N1504" s="240" t="str">
        <f t="shared" ref="N1504:N1513" si="278">IFERROR(L1504-M1504,"")</f>
        <v/>
      </c>
      <c r="P1504" s="365">
        <f>IFERROR(VLOOKUP($G1504,融外自投!$A:$J,7,0),"無")</f>
        <v>608</v>
      </c>
      <c r="Q1504" s="79" t="str">
        <f>IFERROR(VLOOKUP($G1504,融外自投!$A:$J,9,0),"無")</f>
        <v>無</v>
      </c>
      <c r="R1504" s="346">
        <f>IFERROR(VLOOKUP($G1504,融外自投!$A:$J,8,0),"無")</f>
        <v>61</v>
      </c>
      <c r="S1504" s="81" t="str">
        <f>IFERROR(VLOOKUP($G1504,融外自投!$A:$J,10,0),"無")</f>
        <v>無</v>
      </c>
      <c r="T1504" s="327">
        <f>IFERROR(VLOOKUP($G1504,'321買'!$A:$E,5,0),"'沒有資料'")</f>
        <v>869</v>
      </c>
      <c r="U1504" s="186">
        <f>IFERROR(VLOOKUP($G1504,基本資料!$A:$J,9,0),"無")</f>
        <v>5</v>
      </c>
      <c r="V1504" s="310">
        <f t="shared" ref="V1504:V1513" si="279">$U1504/$X1504</f>
        <v>9.0909090909090912E-2</v>
      </c>
      <c r="W1504" s="94">
        <f>IFERROR(VLOOKUP($G1504,基本資料!$A:$J,10,0),"無")</f>
        <v>3.18</v>
      </c>
      <c r="X1504" s="36">
        <f>RTD("money.excel",,"5546","Price")</f>
        <v>55</v>
      </c>
      <c r="Y1504" s="66"/>
      <c r="Z1504" s="15">
        <f t="shared" ref="Z1504:Z1513" si="280">X1504-Y1504</f>
        <v>55</v>
      </c>
      <c r="AA1504" s="3" t="e">
        <f t="shared" ref="AA1504:AA1513" si="281">Z1504/Y1504</f>
        <v>#DIV/0!</v>
      </c>
      <c r="AB1504" s="344">
        <f>IFERROR(VLOOKUP($G1504,基本資料!$A:$M,11,0),"無")</f>
        <v>-27.38</v>
      </c>
      <c r="AC1504" s="397">
        <f>IFERROR(VLOOKUP($G1504,基本資料!$A:$M,12,0),"無")</f>
        <v>21.34</v>
      </c>
      <c r="AD1504" s="22" t="s">
        <v>1902</v>
      </c>
      <c r="AG1504" s="33">
        <f t="shared" ref="AG1504:AG1513" si="282">AF1504-AE1504</f>
        <v>0</v>
      </c>
      <c r="AH1504" s="117" t="s">
        <v>1957</v>
      </c>
      <c r="AI1504" s="63">
        <f t="shared" ref="AI1504:AI1513" si="283">AJ1504/(A1504*10000)</f>
        <v>5.4678007290400973E-4</v>
      </c>
      <c r="AJ1504" s="284">
        <f>RTD("money.excel",,$G1504,"PredictVolume")</f>
        <v>45</v>
      </c>
      <c r="AK1504" s="399">
        <f>IFERROR(VLOOKUP($G1504,基本資料!$A:$M,13,0),"無")</f>
        <v>1.18</v>
      </c>
    </row>
    <row r="1505" spans="1:37">
      <c r="A1505" s="347">
        <f>IFERROR(VLOOKUP($G1505,基本資料!$A:$J,3,0),"無")</f>
        <v>8.66</v>
      </c>
      <c r="B1505" s="79">
        <f>IFERROR(VLOOKUP($G1505,基本資料!$A:$J,4,0),"無")</f>
        <v>79</v>
      </c>
      <c r="C1505" s="79">
        <f>IFERROR(VLOOKUP($G1505,基本資料!$A:$J,5,0),"無")</f>
        <v>79</v>
      </c>
      <c r="D1505" s="79">
        <f>IFERROR(VLOOKUP($G1505,基本資料!$A:$J,6,0),"無")</f>
        <v>-97</v>
      </c>
      <c r="E1505" s="79">
        <f>IFERROR(VLOOKUP($G1505,基本資料!$A:$J,7,0),"無")</f>
        <v>-99</v>
      </c>
      <c r="F1505" s="6">
        <f>IFERROR(VLOOKUP($G1505,基本資料!$A:$J,8,0),"無")</f>
        <v>24.3</v>
      </c>
      <c r="G1505" s="79">
        <v>6171</v>
      </c>
      <c r="H1505" s="8" t="s">
        <v>876</v>
      </c>
      <c r="I1505" s="16" t="s">
        <v>3522</v>
      </c>
      <c r="J1505" s="8">
        <f>IFERROR(VLOOKUP($G1505,今日總結!$A:$AJ,35,0),"")</f>
        <v>0</v>
      </c>
      <c r="K1505" s="5" t="str">
        <f>IFERROR(VLOOKUP($G1505,今日總結!$A:$AJ,36,0),"")</f>
        <v>外</v>
      </c>
      <c r="L1505" s="156">
        <f>IFERROR(VLOOKUP($G1505,今日總結!$A:$AJ,33,0),"")</f>
        <v>0</v>
      </c>
      <c r="M1505" s="340">
        <f>IFERROR(VLOOKUP($G1505,今日總結!$A:$AJ,34,0),"")</f>
        <v>1</v>
      </c>
      <c r="N1505" s="240">
        <f t="shared" si="278"/>
        <v>-1</v>
      </c>
      <c r="P1505" s="365">
        <f>IFERROR(VLOOKUP($G1505,融外自投!$A:$J,7,0),"無")</f>
        <v>1121</v>
      </c>
      <c r="Q1505" s="79" t="str">
        <f>IFERROR(VLOOKUP($G1505,融外自投!$A:$J,9,0),"無")</f>
        <v>無</v>
      </c>
      <c r="R1505" s="346">
        <f>IFERROR(VLOOKUP($G1505,融外自投!$A:$J,8,0),"無")</f>
        <v>1256</v>
      </c>
      <c r="S1505" s="81" t="str">
        <f>IFERROR(VLOOKUP($G1505,融外自投!$A:$J,10,0),"無")</f>
        <v>無</v>
      </c>
      <c r="T1505" s="327">
        <f>IFERROR(VLOOKUP($G1505,'321買'!$A:$E,5,0),"'沒有資料'")</f>
        <v>558</v>
      </c>
      <c r="U1505" s="186">
        <f>IFERROR(VLOOKUP($G1505,基本資料!$A:$J,9,0),"無")</f>
        <v>3.04</v>
      </c>
      <c r="V1505" s="310">
        <f t="shared" si="279"/>
        <v>0.10519031141868512</v>
      </c>
      <c r="W1505" s="94">
        <f>IFERROR(VLOOKUP($G1505,基本資料!$A:$J,10,0),"無")</f>
        <v>4.82</v>
      </c>
      <c r="X1505" s="36">
        <f>RTD("money.excel",,"6171","Price")</f>
        <v>28.9</v>
      </c>
      <c r="Y1505" s="66"/>
      <c r="Z1505" s="15">
        <f t="shared" si="280"/>
        <v>28.9</v>
      </c>
      <c r="AA1505" s="3" t="e">
        <f t="shared" si="281"/>
        <v>#DIV/0!</v>
      </c>
      <c r="AB1505" s="344">
        <f>IFERROR(VLOOKUP($G1505,基本資料!$A:$M,11,0),"無")</f>
        <v>-9.32</v>
      </c>
      <c r="AC1505" s="397">
        <f>IFERROR(VLOOKUP($G1505,基本資料!$A:$M,12,0),"無")</f>
        <v>38.869999999999997</v>
      </c>
      <c r="AD1505" s="16" t="s">
        <v>3522</v>
      </c>
      <c r="AG1505" s="33">
        <f t="shared" si="282"/>
        <v>0</v>
      </c>
      <c r="AH1505" s="43" t="s">
        <v>4003</v>
      </c>
      <c r="AI1505" s="63">
        <f t="shared" si="283"/>
        <v>1.1547344110854503E-4</v>
      </c>
      <c r="AJ1505" s="284">
        <f>RTD("money.excel",,$G1505,"PredictVolume")</f>
        <v>10</v>
      </c>
      <c r="AK1505" s="399">
        <f>IFERROR(VLOOKUP($G1505,基本資料!$A:$M,13,0),"無")</f>
        <v>1.87</v>
      </c>
    </row>
    <row r="1506" spans="1:37">
      <c r="A1506" s="347">
        <f>IFERROR(VLOOKUP($G1506,基本資料!$A:$J,3,0),"無")</f>
        <v>38.79</v>
      </c>
      <c r="B1506" s="79">
        <f>IFERROR(VLOOKUP($G1506,基本資料!$A:$J,4,0),"無")</f>
        <v>943</v>
      </c>
      <c r="C1506" s="79">
        <f>IFERROR(VLOOKUP($G1506,基本資料!$A:$J,5,0),"無")</f>
        <v>936</v>
      </c>
      <c r="D1506" s="79">
        <f>IFERROR(VLOOKUP($G1506,基本資料!$A:$J,6,0),"無")</f>
        <v>-83</v>
      </c>
      <c r="E1506" s="79">
        <f>IFERROR(VLOOKUP($G1506,基本資料!$A:$J,7,0),"無")</f>
        <v>4878</v>
      </c>
      <c r="F1506" s="6">
        <f>IFERROR(VLOOKUP($G1506,基本資料!$A:$J,8,0),"無")</f>
        <v>17.239999999999998</v>
      </c>
      <c r="G1506" s="79">
        <v>6177</v>
      </c>
      <c r="H1506" s="8" t="s">
        <v>876</v>
      </c>
      <c r="I1506" s="22" t="s">
        <v>938</v>
      </c>
      <c r="J1506" s="8">
        <f>IFERROR(VLOOKUP($G1506,今日總結!$A:$AJ,35,0),"")</f>
        <v>0</v>
      </c>
      <c r="K1506" s="5" t="str">
        <f>IFERROR(VLOOKUP($G1506,今日總結!$A:$AJ,36,0),"")</f>
        <v>外</v>
      </c>
      <c r="L1506" s="156">
        <f>IFERROR(VLOOKUP($G1506,今日總結!$A:$AJ,33,0),"")</f>
        <v>0</v>
      </c>
      <c r="M1506" s="340">
        <f>IFERROR(VLOOKUP($G1506,今日總結!$A:$AJ,34,0),"")</f>
        <v>2</v>
      </c>
      <c r="N1506" s="240">
        <f t="shared" si="278"/>
        <v>-2</v>
      </c>
      <c r="P1506" s="365">
        <f>IFERROR(VLOOKUP($G1506,融外自投!$A:$J,7,0),"無")</f>
        <v>877</v>
      </c>
      <c r="Q1506" s="79">
        <f>IFERROR(VLOOKUP($G1506,融外自投!$A:$J,9,0),"無")</f>
        <v>978</v>
      </c>
      <c r="R1506" s="346">
        <f>IFERROR(VLOOKUP($G1506,融外自投!$A:$J,8,0),"無")</f>
        <v>857</v>
      </c>
      <c r="S1506" s="81" t="str">
        <f>IFERROR(VLOOKUP($G1506,融外自投!$A:$J,10,0),"無")</f>
        <v>無</v>
      </c>
      <c r="T1506" s="327">
        <f>IFERROR(VLOOKUP($G1506,'321買'!$A:$E,5,0),"'沒有資料'")</f>
        <v>200</v>
      </c>
      <c r="U1506" s="186">
        <f>IFERROR(VLOOKUP($G1506,基本資料!$A:$J,9,0),"無")</f>
        <v>3</v>
      </c>
      <c r="V1506" s="310">
        <f t="shared" si="279"/>
        <v>9.8039215686274508E-2</v>
      </c>
      <c r="W1506" s="94">
        <f>IFERROR(VLOOKUP($G1506,基本資料!$A:$J,10,0),"無")</f>
        <v>4.03</v>
      </c>
      <c r="X1506" s="36">
        <f>RTD("money.excel",,"6177","Price")</f>
        <v>30.6</v>
      </c>
      <c r="Y1506" s="66"/>
      <c r="Z1506" s="15">
        <f t="shared" si="280"/>
        <v>30.6</v>
      </c>
      <c r="AA1506" s="3" t="e">
        <f t="shared" si="281"/>
        <v>#DIV/0!</v>
      </c>
      <c r="AB1506" s="344">
        <f>IFERROR(VLOOKUP($G1506,基本資料!$A:$M,11,0),"無")</f>
        <v>-7.38</v>
      </c>
      <c r="AC1506" s="397">
        <f>IFERROR(VLOOKUP($G1506,基本資料!$A:$M,12,0),"無")</f>
        <v>45.37</v>
      </c>
      <c r="AD1506" s="22" t="s">
        <v>938</v>
      </c>
      <c r="AG1506" s="33">
        <f t="shared" si="282"/>
        <v>0</v>
      </c>
      <c r="AH1506" s="43" t="s">
        <v>2012</v>
      </c>
      <c r="AI1506" s="63">
        <f t="shared" si="283"/>
        <v>8.197989172467131E-4</v>
      </c>
      <c r="AJ1506" s="284">
        <f>RTD("money.excel",,$G1506,"PredictVolume")</f>
        <v>318</v>
      </c>
      <c r="AK1506" s="399">
        <f>IFERROR(VLOOKUP($G1506,基本資料!$A:$M,13,0),"無")</f>
        <v>0.8</v>
      </c>
    </row>
    <row r="1507" spans="1:37">
      <c r="A1507" s="347">
        <f>IFERROR(VLOOKUP($G1507,基本資料!$A:$J,3,0),"無")</f>
        <v>14.99</v>
      </c>
      <c r="B1507" s="79">
        <f>IFERROR(VLOOKUP($G1507,基本資料!$A:$J,4,0),"無")</f>
        <v>10</v>
      </c>
      <c r="C1507" s="79">
        <f>IFERROR(VLOOKUP($G1507,基本資料!$A:$J,5,0),"無")</f>
        <v>15</v>
      </c>
      <c r="D1507" s="79">
        <f>IFERROR(VLOOKUP($G1507,基本資料!$A:$J,6,0),"無")</f>
        <v>-100</v>
      </c>
      <c r="E1507" s="79">
        <f>IFERROR(VLOOKUP($G1507,基本資料!$A:$J,7,0),"無")</f>
        <v>-100</v>
      </c>
      <c r="F1507" s="6">
        <f>IFERROR(VLOOKUP($G1507,基本資料!$A:$J,8,0),"無")</f>
        <v>14.02</v>
      </c>
      <c r="G1507" s="79">
        <v>6186</v>
      </c>
      <c r="H1507" s="8" t="s">
        <v>876</v>
      </c>
      <c r="I1507" s="16" t="s">
        <v>893</v>
      </c>
      <c r="J1507" s="8">
        <f>IFERROR(VLOOKUP($G1507,今日總結!$A:$AJ,35,0),"")</f>
        <v>0</v>
      </c>
      <c r="K1507" s="5" t="str">
        <f>IFERROR(VLOOKUP($G1507,今日總結!$A:$AJ,36,0),"")</f>
        <v>外借</v>
      </c>
      <c r="L1507" s="156">
        <f>IFERROR(VLOOKUP($G1507,今日總結!$A:$AJ,33,0),"")</f>
        <v>0</v>
      </c>
      <c r="M1507" s="340">
        <f>IFERROR(VLOOKUP($G1507,今日總結!$A:$AJ,34,0),"")</f>
        <v>2</v>
      </c>
      <c r="N1507" s="240">
        <f t="shared" si="278"/>
        <v>-2</v>
      </c>
      <c r="P1507" s="365">
        <f>IFERROR(VLOOKUP($G1507,融外自投!$A:$J,7,0),"無")</f>
        <v>670</v>
      </c>
      <c r="Q1507" s="79" t="str">
        <f>IFERROR(VLOOKUP($G1507,融外自投!$A:$J,9,0),"無")</f>
        <v>無</v>
      </c>
      <c r="R1507" s="346">
        <f>IFERROR(VLOOKUP($G1507,融外自投!$A:$J,8,0),"無")</f>
        <v>1390</v>
      </c>
      <c r="S1507" s="81" t="str">
        <f>IFERROR(VLOOKUP($G1507,融外自投!$A:$J,10,0),"無")</f>
        <v>無</v>
      </c>
      <c r="T1507" s="327">
        <f>IFERROR(VLOOKUP($G1507,'321買'!$A:$E,5,0),"'沒有資料'")</f>
        <v>729</v>
      </c>
      <c r="U1507" s="186">
        <f>IFERROR(VLOOKUP($G1507,基本資料!$A:$J,9,0),"無")</f>
        <v>0</v>
      </c>
      <c r="V1507" s="310">
        <f t="shared" si="279"/>
        <v>0</v>
      </c>
      <c r="W1507" s="94">
        <f>IFERROR(VLOOKUP($G1507,基本資料!$A:$J,10,0),"無")</f>
        <v>3.08</v>
      </c>
      <c r="X1507" s="36">
        <f>RTD("money.excel",,"6186","Price")</f>
        <v>26.85</v>
      </c>
      <c r="Y1507" s="66"/>
      <c r="Z1507" s="15">
        <f t="shared" si="280"/>
        <v>26.85</v>
      </c>
      <c r="AA1507" s="3" t="e">
        <f t="shared" si="281"/>
        <v>#DIV/0!</v>
      </c>
      <c r="AB1507" s="344">
        <f>IFERROR(VLOOKUP($G1507,基本資料!$A:$M,11,0),"無")</f>
        <v>-14.75</v>
      </c>
      <c r="AC1507" s="397">
        <f>IFERROR(VLOOKUP($G1507,基本資料!$A:$M,12,0),"無")</f>
        <v>43.7</v>
      </c>
      <c r="AD1507" s="16" t="s">
        <v>893</v>
      </c>
      <c r="AG1507" s="33">
        <f t="shared" si="282"/>
        <v>0</v>
      </c>
      <c r="AH1507" s="43" t="s">
        <v>2012</v>
      </c>
      <c r="AI1507" s="63">
        <f t="shared" si="283"/>
        <v>6.3042028018679116E-3</v>
      </c>
      <c r="AJ1507" s="284">
        <f>RTD("money.excel",,$G1507,"PredictVolume")</f>
        <v>945</v>
      </c>
      <c r="AK1507" s="399">
        <f>IFERROR(VLOOKUP($G1507,基本資料!$A:$M,13,0),"無")</f>
        <v>2.25</v>
      </c>
    </row>
    <row r="1508" spans="1:37">
      <c r="A1508" s="347">
        <f>IFERROR(VLOOKUP($G1508,基本資料!$A:$J,3,0),"無")</f>
        <v>10.199999999999999</v>
      </c>
      <c r="B1508" s="79">
        <f>IFERROR(VLOOKUP($G1508,基本資料!$A:$J,4,0),"無")</f>
        <v>19</v>
      </c>
      <c r="C1508" s="79">
        <f>IFERROR(VLOOKUP($G1508,基本資料!$A:$J,5,0),"無")</f>
        <v>19</v>
      </c>
      <c r="D1508" s="79">
        <f>IFERROR(VLOOKUP($G1508,基本資料!$A:$J,6,0),"無")</f>
        <v>202</v>
      </c>
      <c r="E1508" s="79">
        <f>IFERROR(VLOOKUP($G1508,基本資料!$A:$J,7,0),"無")</f>
        <v>5446</v>
      </c>
      <c r="F1508" s="6">
        <f>IFERROR(VLOOKUP($G1508,基本資料!$A:$J,8,0),"無")</f>
        <v>15.91</v>
      </c>
      <c r="G1508" s="79">
        <v>6212</v>
      </c>
      <c r="H1508" s="8" t="s">
        <v>876</v>
      </c>
      <c r="I1508" s="16" t="s">
        <v>894</v>
      </c>
      <c r="J1508" s="8" t="str">
        <f>IFERROR(VLOOKUP($G1508,今日總結!$A:$AJ,35,0),"")</f>
        <v/>
      </c>
      <c r="K1508" s="5" t="str">
        <f>IFERROR(VLOOKUP($G1508,今日總結!$A:$AJ,36,0),"")</f>
        <v/>
      </c>
      <c r="L1508" s="156" t="str">
        <f>IFERROR(VLOOKUP($G1508,今日總結!$A:$AJ,33,0),"")</f>
        <v/>
      </c>
      <c r="M1508" s="340" t="str">
        <f>IFERROR(VLOOKUP($G1508,今日總結!$A:$AJ,34,0),"")</f>
        <v/>
      </c>
      <c r="N1508" s="240" t="str">
        <f t="shared" si="278"/>
        <v/>
      </c>
      <c r="P1508" s="365">
        <f>IFERROR(VLOOKUP($G1508,融外自投!$A:$J,7,0),"無")</f>
        <v>1410</v>
      </c>
      <c r="Q1508" s="79" t="str">
        <f>IFERROR(VLOOKUP($G1508,融外自投!$A:$J,9,0),"無")</f>
        <v>無</v>
      </c>
      <c r="R1508" s="346">
        <f>IFERROR(VLOOKUP($G1508,融外自投!$A:$J,8,0),"無")</f>
        <v>212</v>
      </c>
      <c r="S1508" s="81" t="str">
        <f>IFERROR(VLOOKUP($G1508,融外自投!$A:$J,10,0),"無")</f>
        <v>無</v>
      </c>
      <c r="T1508" s="327" t="str">
        <f>IFERROR(VLOOKUP($G1508,'321買'!$A:$E,5,0),"'沒有資料'")</f>
        <v>'沒有資料'</v>
      </c>
      <c r="U1508" s="186">
        <f>IFERROR(VLOOKUP($G1508,基本資料!$A:$J,9,0),"無")</f>
        <v>0</v>
      </c>
      <c r="V1508" s="310">
        <f t="shared" si="279"/>
        <v>0</v>
      </c>
      <c r="W1508" s="94">
        <f>IFERROR(VLOOKUP($G1508,基本資料!$A:$J,10,0),"無")</f>
        <v>4.09</v>
      </c>
      <c r="X1508" s="36">
        <f>RTD("money.excel",,"6212","Price")</f>
        <v>54</v>
      </c>
      <c r="Y1508" s="66"/>
      <c r="Z1508" s="15">
        <f t="shared" si="280"/>
        <v>54</v>
      </c>
      <c r="AA1508" s="3" t="e">
        <f t="shared" si="281"/>
        <v>#DIV/0!</v>
      </c>
      <c r="AB1508" s="344">
        <f>IFERROR(VLOOKUP($G1508,基本資料!$A:$M,11,0),"無")</f>
        <v>-17.82</v>
      </c>
      <c r="AC1508" s="397">
        <f>IFERROR(VLOOKUP($G1508,基本資料!$A:$M,12,0),"無")</f>
        <v>11.72</v>
      </c>
      <c r="AD1508" s="16" t="s">
        <v>894</v>
      </c>
      <c r="AG1508" s="33">
        <f t="shared" si="282"/>
        <v>0</v>
      </c>
      <c r="AH1508" s="43" t="s">
        <v>2012</v>
      </c>
      <c r="AI1508" s="63">
        <f t="shared" si="283"/>
        <v>5.8823529411764708E-5</v>
      </c>
      <c r="AJ1508" s="284">
        <f>RTD("money.excel",,$G1508,"PredictVolume")</f>
        <v>6</v>
      </c>
      <c r="AK1508" s="399">
        <f>IFERROR(VLOOKUP($G1508,基本資料!$A:$M,13,0),"無")</f>
        <v>3.92</v>
      </c>
    </row>
    <row r="1509" spans="1:37">
      <c r="A1509" s="347">
        <f>IFERROR(VLOOKUP($G1509,基本資料!$A:$J,3,0),"無")</f>
        <v>15.4</v>
      </c>
      <c r="B1509" s="79">
        <f>IFERROR(VLOOKUP($G1509,基本資料!$A:$J,4,0),"無")</f>
        <v>-81</v>
      </c>
      <c r="C1509" s="79">
        <f>IFERROR(VLOOKUP($G1509,基本資料!$A:$J,5,0),"無")</f>
        <v>12</v>
      </c>
      <c r="D1509" s="79">
        <f>IFERROR(VLOOKUP($G1509,基本資料!$A:$J,6,0),"無")</f>
        <v>-60</v>
      </c>
      <c r="E1509" s="79">
        <f>IFERROR(VLOOKUP($G1509,基本資料!$A:$J,7,0),"無")</f>
        <v>-94</v>
      </c>
      <c r="F1509" s="6">
        <f>IFERROR(VLOOKUP($G1509,基本資料!$A:$J,8,0),"無")</f>
        <v>11.86</v>
      </c>
      <c r="G1509" s="79">
        <v>6219</v>
      </c>
      <c r="H1509" s="8" t="s">
        <v>876</v>
      </c>
      <c r="I1509" s="16" t="s">
        <v>895</v>
      </c>
      <c r="J1509" s="8" t="str">
        <f>IFERROR(VLOOKUP($G1509,今日總結!$A:$AJ,35,0),"")</f>
        <v/>
      </c>
      <c r="K1509" s="5" t="str">
        <f>IFERROR(VLOOKUP($G1509,今日總結!$A:$AJ,36,0),"")</f>
        <v/>
      </c>
      <c r="L1509" s="156" t="str">
        <f>IFERROR(VLOOKUP($G1509,今日總結!$A:$AJ,33,0),"")</f>
        <v/>
      </c>
      <c r="M1509" s="340" t="str">
        <f>IFERROR(VLOOKUP($G1509,今日總結!$A:$AJ,34,0),"")</f>
        <v/>
      </c>
      <c r="N1509" s="240" t="str">
        <f t="shared" si="278"/>
        <v/>
      </c>
      <c r="P1509" s="365">
        <f>IFERROR(VLOOKUP($G1509,融外自投!$A:$J,7,0),"無")</f>
        <v>100</v>
      </c>
      <c r="Q1509" s="79" t="str">
        <f>IFERROR(VLOOKUP($G1509,融外自投!$A:$J,9,0),"無")</f>
        <v>無</v>
      </c>
      <c r="R1509" s="346">
        <f>IFERROR(VLOOKUP($G1509,融外自投!$A:$J,8,0),"無")</f>
        <v>1035</v>
      </c>
      <c r="S1509" s="81" t="str">
        <f>IFERROR(VLOOKUP($G1509,融外自投!$A:$J,10,0),"無")</f>
        <v>無</v>
      </c>
      <c r="T1509" s="327">
        <f>IFERROR(VLOOKUP($G1509,'321買'!$A:$E,5,0),"'沒有資料'")</f>
        <v>964</v>
      </c>
      <c r="U1509" s="186">
        <f>IFERROR(VLOOKUP($G1509,基本資料!$A:$J,9,0),"無")</f>
        <v>0.25</v>
      </c>
      <c r="V1509" s="310">
        <f t="shared" si="279"/>
        <v>1.5527950310559004E-2</v>
      </c>
      <c r="W1509" s="94">
        <f>IFERROR(VLOOKUP($G1509,基本資料!$A:$J,10,0),"無")</f>
        <v>0.44</v>
      </c>
      <c r="X1509" s="36">
        <f>RTD("money.excel",,"6219","Price")</f>
        <v>16.100000000000001</v>
      </c>
      <c r="Y1509" s="66"/>
      <c r="Z1509" s="15">
        <f t="shared" si="280"/>
        <v>16.100000000000001</v>
      </c>
      <c r="AA1509" s="3" t="e">
        <f t="shared" si="281"/>
        <v>#DIV/0!</v>
      </c>
      <c r="AB1509" s="344">
        <f>IFERROR(VLOOKUP($G1509,基本資料!$A:$M,11,0),"無")</f>
        <v>-33.82</v>
      </c>
      <c r="AC1509" s="397">
        <f>IFERROR(VLOOKUP($G1509,基本資料!$A:$M,12,0),"無")</f>
        <v>25.05</v>
      </c>
      <c r="AD1509" s="16" t="s">
        <v>895</v>
      </c>
      <c r="AG1509" s="33">
        <f t="shared" si="282"/>
        <v>0</v>
      </c>
      <c r="AH1509" s="43" t="s">
        <v>2012</v>
      </c>
      <c r="AI1509" s="63">
        <f t="shared" si="283"/>
        <v>1.0227272727272727E-2</v>
      </c>
      <c r="AJ1509" s="284">
        <f>RTD("money.excel",,$G1509,"PredictVolume")</f>
        <v>1575</v>
      </c>
      <c r="AK1509" s="399">
        <f>IFERROR(VLOOKUP($G1509,基本資料!$A:$M,13,0),"無")</f>
        <v>11.16</v>
      </c>
    </row>
    <row r="1510" spans="1:37">
      <c r="A1510" s="347">
        <f>IFERROR(VLOOKUP($G1510,基本資料!$A:$J,3,0),"無")</f>
        <v>11.63</v>
      </c>
      <c r="B1510" s="79">
        <f>IFERROR(VLOOKUP($G1510,基本資料!$A:$J,4,0),"無")</f>
        <v>28</v>
      </c>
      <c r="C1510" s="79">
        <f>IFERROR(VLOOKUP($G1510,基本資料!$A:$J,5,0),"無")</f>
        <v>-145</v>
      </c>
      <c r="D1510" s="79">
        <f>IFERROR(VLOOKUP($G1510,基本資料!$A:$J,6,0),"無")</f>
        <v>-41</v>
      </c>
      <c r="E1510" s="79">
        <f>IFERROR(VLOOKUP($G1510,基本資料!$A:$J,7,0),"無")</f>
        <v>-89</v>
      </c>
      <c r="F1510" s="6">
        <f>IFERROR(VLOOKUP($G1510,基本資料!$A:$J,8,0),"無")</f>
        <v>-20.2</v>
      </c>
      <c r="G1510" s="79">
        <v>6264</v>
      </c>
      <c r="H1510" s="8" t="s">
        <v>876</v>
      </c>
      <c r="I1510" s="16" t="s">
        <v>896</v>
      </c>
      <c r="J1510" s="8" t="str">
        <f>IFERROR(VLOOKUP($G1510,今日總結!$A:$AJ,35,0),"")</f>
        <v/>
      </c>
      <c r="K1510" s="5" t="str">
        <f>IFERROR(VLOOKUP($G1510,今日總結!$A:$AJ,36,0),"")</f>
        <v/>
      </c>
      <c r="L1510" s="156" t="str">
        <f>IFERROR(VLOOKUP($G1510,今日總結!$A:$AJ,33,0),"")</f>
        <v/>
      </c>
      <c r="M1510" s="340" t="str">
        <f>IFERROR(VLOOKUP($G1510,今日總結!$A:$AJ,34,0),"")</f>
        <v/>
      </c>
      <c r="N1510" s="240" t="str">
        <f t="shared" si="278"/>
        <v/>
      </c>
      <c r="P1510" s="365" t="str">
        <f>IFERROR(VLOOKUP($G1510,融外自投!$A:$J,7,0),"無")</f>
        <v>無</v>
      </c>
      <c r="Q1510" s="79" t="str">
        <f>IFERROR(VLOOKUP($G1510,融外自投!$A:$J,9,0),"無")</f>
        <v>無</v>
      </c>
      <c r="R1510" s="346" t="str">
        <f>IFERROR(VLOOKUP($G1510,融外自投!$A:$J,8,0),"無")</f>
        <v>無</v>
      </c>
      <c r="S1510" s="81" t="str">
        <f>IFERROR(VLOOKUP($G1510,融外自投!$A:$J,10,0),"無")</f>
        <v>無</v>
      </c>
      <c r="T1510" s="327" t="str">
        <f>IFERROR(VLOOKUP($G1510,'321買'!$A:$E,5,0),"'沒有資料'")</f>
        <v>'沒有資料'</v>
      </c>
      <c r="U1510" s="186">
        <f>IFERROR(VLOOKUP($G1510,基本資料!$A:$J,9,0),"無")</f>
        <v>0</v>
      </c>
      <c r="V1510" s="310">
        <f t="shared" si="279"/>
        <v>0</v>
      </c>
      <c r="W1510" s="94">
        <f>IFERROR(VLOOKUP($G1510,基本資料!$A:$J,10,0),"無")</f>
        <v>-0.19</v>
      </c>
      <c r="X1510" s="36">
        <f>RTD("money.excel",,"6264","Price")</f>
        <v>8.15</v>
      </c>
      <c r="Y1510" s="66"/>
      <c r="Z1510" s="15">
        <f t="shared" si="280"/>
        <v>8.15</v>
      </c>
      <c r="AA1510" s="3" t="e">
        <f t="shared" si="281"/>
        <v>#DIV/0!</v>
      </c>
      <c r="AB1510" s="344">
        <f>IFERROR(VLOOKUP($G1510,基本資料!$A:$M,11,0),"無")</f>
        <v>-30.96</v>
      </c>
      <c r="AC1510" s="397">
        <f>IFERROR(VLOOKUP($G1510,基本資料!$A:$M,12,0),"無")</f>
        <v>19.05</v>
      </c>
      <c r="AD1510" s="16" t="s">
        <v>896</v>
      </c>
      <c r="AG1510" s="33">
        <f t="shared" si="282"/>
        <v>0</v>
      </c>
      <c r="AH1510" s="43" t="s">
        <v>4003</v>
      </c>
      <c r="AI1510" s="63">
        <f t="shared" si="283"/>
        <v>1.8916595012897675E-4</v>
      </c>
      <c r="AJ1510" s="284">
        <f>RTD("money.excel",,$G1510,"PredictVolume")</f>
        <v>22</v>
      </c>
      <c r="AK1510" s="399">
        <f>IFERROR(VLOOKUP($G1510,基本資料!$A:$M,13,0),"無")</f>
        <v>2.67</v>
      </c>
    </row>
    <row r="1511" spans="1:37">
      <c r="A1511" s="347">
        <f>IFERROR(VLOOKUP($G1511,基本資料!$A:$J,3,0),"無")</f>
        <v>3.6</v>
      </c>
      <c r="B1511" s="79">
        <f>IFERROR(VLOOKUP($G1511,基本資料!$A:$J,4,0),"無")</f>
        <v>13</v>
      </c>
      <c r="C1511" s="79">
        <f>IFERROR(VLOOKUP($G1511,基本資料!$A:$J,5,0),"無")</f>
        <v>12</v>
      </c>
      <c r="D1511" s="79">
        <f>IFERROR(VLOOKUP($G1511,基本資料!$A:$J,6,0),"無")</f>
        <v>-11</v>
      </c>
      <c r="E1511" s="79">
        <f>IFERROR(VLOOKUP($G1511,基本資料!$A:$J,7,0),"無")</f>
        <v>19</v>
      </c>
      <c r="F1511" s="6">
        <f>IFERROR(VLOOKUP($G1511,基本資料!$A:$J,8,0),"無")</f>
        <v>22.17</v>
      </c>
      <c r="G1511" s="79">
        <v>8424</v>
      </c>
      <c r="H1511" s="8" t="s">
        <v>876</v>
      </c>
      <c r="I1511" s="16" t="s">
        <v>897</v>
      </c>
      <c r="J1511" s="8" t="str">
        <f>IFERROR(VLOOKUP($G1511,今日總結!$A:$AJ,35,0),"")</f>
        <v/>
      </c>
      <c r="K1511" s="5" t="str">
        <f>IFERROR(VLOOKUP($G1511,今日總結!$A:$AJ,36,0),"")</f>
        <v/>
      </c>
      <c r="L1511" s="156" t="str">
        <f>IFERROR(VLOOKUP($G1511,今日總結!$A:$AJ,33,0),"")</f>
        <v/>
      </c>
      <c r="M1511" s="340" t="str">
        <f>IFERROR(VLOOKUP($G1511,今日總結!$A:$AJ,34,0),"")</f>
        <v/>
      </c>
      <c r="N1511" s="240" t="str">
        <f t="shared" si="278"/>
        <v/>
      </c>
      <c r="P1511" s="365">
        <f>IFERROR(VLOOKUP($G1511,融外自投!$A:$J,7,0),"無")</f>
        <v>1381</v>
      </c>
      <c r="Q1511" s="79" t="str">
        <f>IFERROR(VLOOKUP($G1511,融外自投!$A:$J,9,0),"無")</f>
        <v>無</v>
      </c>
      <c r="R1511" s="346">
        <f>IFERROR(VLOOKUP($G1511,融外自投!$A:$J,8,0),"無")</f>
        <v>1322</v>
      </c>
      <c r="S1511" s="81">
        <f>IFERROR(VLOOKUP($G1511,融外自投!$A:$J,10,0),"無")</f>
        <v>345</v>
      </c>
      <c r="T1511" s="327" t="str">
        <f>IFERROR(VLOOKUP($G1511,'321買'!$A:$E,5,0),"'沒有資料'")</f>
        <v>'沒有資料'</v>
      </c>
      <c r="U1511" s="186">
        <f>IFERROR(VLOOKUP($G1511,基本資料!$A:$J,9,0),"無")</f>
        <v>4.5</v>
      </c>
      <c r="V1511" s="310">
        <f t="shared" si="279"/>
        <v>8.8131609870740299E-2</v>
      </c>
      <c r="W1511" s="94">
        <f>IFERROR(VLOOKUP($G1511,基本資料!$A:$J,10,0),"無")</f>
        <v>4.6100000000000003</v>
      </c>
      <c r="X1511" s="36">
        <v>51.06</v>
      </c>
      <c r="Y1511" s="66"/>
      <c r="Z1511" s="15">
        <f t="shared" si="280"/>
        <v>51.06</v>
      </c>
      <c r="AA1511" s="3" t="e">
        <f t="shared" si="281"/>
        <v>#DIV/0!</v>
      </c>
      <c r="AB1511" s="344">
        <f>IFERROR(VLOOKUP($G1511,基本資料!$A:$M,11,0),"無")</f>
        <v>-9.57</v>
      </c>
      <c r="AC1511" s="397">
        <f>IFERROR(VLOOKUP($G1511,基本資料!$A:$M,12,0),"無")</f>
        <v>54.91</v>
      </c>
      <c r="AD1511" s="16" t="s">
        <v>897</v>
      </c>
      <c r="AG1511" s="33">
        <f t="shared" si="282"/>
        <v>0</v>
      </c>
      <c r="AH1511" s="43" t="s">
        <v>2717</v>
      </c>
      <c r="AI1511" s="63">
        <f t="shared" si="283"/>
        <v>6.9444444444444447E-4</v>
      </c>
      <c r="AJ1511" s="284">
        <f>RTD("money.excel",,$G1511,"PredictVolume")</f>
        <v>25</v>
      </c>
      <c r="AK1511" s="399">
        <f>IFERROR(VLOOKUP($G1511,基本資料!$A:$M,13,0),"無")</f>
        <v>1.1100000000000001</v>
      </c>
    </row>
    <row r="1512" spans="1:37">
      <c r="A1512" s="347">
        <f>IFERROR(VLOOKUP($G1512,基本資料!$A:$J,3,0),"無")</f>
        <v>8.33</v>
      </c>
      <c r="B1512" s="79">
        <f>IFERROR(VLOOKUP($G1512,基本資料!$A:$J,4,0),"無")</f>
        <v>394</v>
      </c>
      <c r="C1512" s="79">
        <f>IFERROR(VLOOKUP($G1512,基本資料!$A:$J,5,0),"無")</f>
        <v>657</v>
      </c>
      <c r="D1512" s="79">
        <f>IFERROR(VLOOKUP($G1512,基本資料!$A:$J,6,0),"無")</f>
        <v>1913</v>
      </c>
      <c r="E1512" s="79">
        <f>IFERROR(VLOOKUP($G1512,基本資料!$A:$J,7,0),"無")</f>
        <v>6397023</v>
      </c>
      <c r="F1512" s="6">
        <f>IFERROR(VLOOKUP($G1512,基本資料!$A:$J,8,0),"無")</f>
        <v>19.87</v>
      </c>
      <c r="G1512" s="79">
        <v>9906</v>
      </c>
      <c r="H1512" s="8" t="s">
        <v>876</v>
      </c>
      <c r="I1512" s="22" t="s">
        <v>939</v>
      </c>
      <c r="J1512" s="8" t="str">
        <f>IFERROR(VLOOKUP($G1512,今日總結!$A:$AJ,35,0),"")</f>
        <v/>
      </c>
      <c r="K1512" s="5" t="str">
        <f>IFERROR(VLOOKUP($G1512,今日總結!$A:$AJ,36,0),"")</f>
        <v/>
      </c>
      <c r="L1512" s="156" t="str">
        <f>IFERROR(VLOOKUP($G1512,今日總結!$A:$AJ,33,0),"")</f>
        <v/>
      </c>
      <c r="M1512" s="340" t="str">
        <f>IFERROR(VLOOKUP($G1512,今日總結!$A:$AJ,34,0),"")</f>
        <v/>
      </c>
      <c r="N1512" s="240" t="str">
        <f t="shared" si="278"/>
        <v/>
      </c>
      <c r="P1512" s="365">
        <f>IFERROR(VLOOKUP($G1512,融外自投!$A:$J,7,0),"無")</f>
        <v>457</v>
      </c>
      <c r="Q1512" s="79">
        <f>IFERROR(VLOOKUP($G1512,融外自投!$A:$J,9,0),"無")</f>
        <v>1051</v>
      </c>
      <c r="R1512" s="346">
        <f>IFERROR(VLOOKUP($G1512,融外自投!$A:$J,8,0),"無")</f>
        <v>1250</v>
      </c>
      <c r="S1512" s="81" t="str">
        <f>IFERROR(VLOOKUP($G1512,融外自投!$A:$J,10,0),"無")</f>
        <v>無</v>
      </c>
      <c r="T1512" s="327">
        <f>IFERROR(VLOOKUP($G1512,'321買'!$A:$E,5,0),"'沒有資料'")</f>
        <v>939</v>
      </c>
      <c r="U1512" s="186">
        <f>IFERROR(VLOOKUP($G1512,基本資料!$A:$J,9,0),"無")</f>
        <v>0.66</v>
      </c>
      <c r="V1512" s="310">
        <f t="shared" si="279"/>
        <v>1.1478260869565217E-2</v>
      </c>
      <c r="W1512" s="94">
        <f>IFERROR(VLOOKUP($G1512,基本資料!$A:$J,10,0),"無")</f>
        <v>3.14</v>
      </c>
      <c r="X1512" s="36">
        <f>RTD("money.excel",,"9906","Price")</f>
        <v>57.5</v>
      </c>
      <c r="Y1512" s="66"/>
      <c r="Z1512" s="15">
        <f t="shared" si="280"/>
        <v>57.5</v>
      </c>
      <c r="AA1512" s="3" t="e">
        <f t="shared" si="281"/>
        <v>#DIV/0!</v>
      </c>
      <c r="AB1512" s="344">
        <f>IFERROR(VLOOKUP($G1512,基本資料!$A:$M,11,0),"無")</f>
        <v>-16</v>
      </c>
      <c r="AC1512" s="397">
        <f>IFERROR(VLOOKUP($G1512,基本資料!$A:$M,12,0),"無")</f>
        <v>68.61</v>
      </c>
      <c r="AD1512" s="22" t="s">
        <v>939</v>
      </c>
      <c r="AG1512" s="33">
        <f t="shared" si="282"/>
        <v>0</v>
      </c>
      <c r="AH1512" s="43" t="s">
        <v>2320</v>
      </c>
      <c r="AI1512" s="63">
        <f t="shared" si="283"/>
        <v>1.4405762304921968E-3</v>
      </c>
      <c r="AJ1512" s="284">
        <f>RTD("money.excel",,$G1512,"PredictVolume")</f>
        <v>120</v>
      </c>
      <c r="AK1512" s="399">
        <f>IFERROR(VLOOKUP($G1512,基本資料!$A:$M,13,0),"無")</f>
        <v>1.59</v>
      </c>
    </row>
    <row r="1513" spans="1:37">
      <c r="A1513" s="347">
        <f>IFERROR(VLOOKUP($G1513,基本資料!$A:$J,3,0),"無")</f>
        <v>32.65</v>
      </c>
      <c r="B1513" s="79">
        <f>IFERROR(VLOOKUP($G1513,基本資料!$A:$J,4,0),"無")</f>
        <v>21</v>
      </c>
      <c r="C1513" s="79">
        <f>IFERROR(VLOOKUP($G1513,基本資料!$A:$J,5,0),"無")</f>
        <v>5</v>
      </c>
      <c r="D1513" s="79">
        <f>IFERROR(VLOOKUP($G1513,基本資料!$A:$J,6,0),"無")</f>
        <v>-33</v>
      </c>
      <c r="E1513" s="79">
        <f>IFERROR(VLOOKUP($G1513,基本資料!$A:$J,7,0),"無")</f>
        <v>-16</v>
      </c>
      <c r="F1513" s="6">
        <f>IFERROR(VLOOKUP($G1513,基本資料!$A:$J,8,0),"無")</f>
        <v>12.87</v>
      </c>
      <c r="G1513" s="79">
        <v>9946</v>
      </c>
      <c r="H1513" s="8" t="s">
        <v>876</v>
      </c>
      <c r="I1513" s="22" t="s">
        <v>1078</v>
      </c>
      <c r="J1513" s="8">
        <f>IFERROR(VLOOKUP($G1513,今日總結!$A:$AJ,35,0),"")</f>
        <v>0</v>
      </c>
      <c r="K1513" s="5">
        <f>IFERROR(VLOOKUP($G1513,今日總結!$A:$AJ,36,0),"")</f>
        <v>0</v>
      </c>
      <c r="L1513" s="156">
        <f>IFERROR(VLOOKUP($G1513,今日總結!$A:$AJ,33,0),"")</f>
        <v>0</v>
      </c>
      <c r="M1513" s="340">
        <f>IFERROR(VLOOKUP($G1513,今日總結!$A:$AJ,34,0),"")</f>
        <v>1</v>
      </c>
      <c r="N1513" s="240">
        <f t="shared" si="278"/>
        <v>-1</v>
      </c>
      <c r="P1513" s="365">
        <f>IFERROR(VLOOKUP($G1513,融外自投!$A:$J,7,0),"無")</f>
        <v>1350</v>
      </c>
      <c r="Q1513" s="79" t="str">
        <f>IFERROR(VLOOKUP($G1513,融外自投!$A:$J,9,0),"無")</f>
        <v>無</v>
      </c>
      <c r="R1513" s="346">
        <f>IFERROR(VLOOKUP($G1513,融外自投!$A:$J,8,0),"無")</f>
        <v>954</v>
      </c>
      <c r="S1513" s="81" t="str">
        <f>IFERROR(VLOOKUP($G1513,融外自投!$A:$J,10,0),"無")</f>
        <v>無</v>
      </c>
      <c r="T1513" s="327">
        <f>IFERROR(VLOOKUP($G1513,'321買'!$A:$E,5,0),"'沒有資料'")</f>
        <v>779</v>
      </c>
      <c r="U1513" s="186">
        <f>IFERROR(VLOOKUP($G1513,基本資料!$A:$J,9,0),"無")</f>
        <v>0</v>
      </c>
      <c r="V1513" s="310">
        <f t="shared" si="279"/>
        <v>0</v>
      </c>
      <c r="W1513" s="94">
        <f>IFERROR(VLOOKUP($G1513,基本資料!$A:$J,10,0),"無")</f>
        <v>0.68</v>
      </c>
      <c r="X1513" s="36">
        <f>RTD("money.excel",,"9946","Price")</f>
        <v>12.1</v>
      </c>
      <c r="Y1513" s="66"/>
      <c r="Z1513" s="15">
        <f t="shared" si="280"/>
        <v>12.1</v>
      </c>
      <c r="AA1513" s="3" t="e">
        <f t="shared" si="281"/>
        <v>#DIV/0!</v>
      </c>
      <c r="AB1513" s="344">
        <f>IFERROR(VLOOKUP($G1513,基本資料!$A:$M,11,0),"無")</f>
        <v>0</v>
      </c>
      <c r="AC1513" s="397">
        <f>IFERROR(VLOOKUP($G1513,基本資料!$A:$M,12,0),"無")</f>
        <v>0</v>
      </c>
      <c r="AD1513" s="22" t="s">
        <v>1078</v>
      </c>
      <c r="AG1513" s="33">
        <f t="shared" si="282"/>
        <v>0</v>
      </c>
      <c r="AH1513" s="43" t="s">
        <v>2012</v>
      </c>
      <c r="AI1513" s="63">
        <f t="shared" si="283"/>
        <v>4.9923430321592653E-4</v>
      </c>
      <c r="AJ1513" s="284">
        <f>RTD("money.excel",,$G1513,"PredictVolume")</f>
        <v>163</v>
      </c>
      <c r="AK1513" s="399">
        <f>IFERROR(VLOOKUP($G1513,基本資料!$A:$M,13,0),"無")</f>
        <v>0</v>
      </c>
    </row>
    <row r="1514" spans="1:37">
      <c r="B1514" s="90"/>
      <c r="C1514" s="90"/>
      <c r="D1514" s="90"/>
      <c r="E1514" s="90"/>
      <c r="F1514" s="57"/>
      <c r="G1514" s="79"/>
      <c r="H1514" s="8"/>
      <c r="I1514" s="22"/>
      <c r="L1514" s="2"/>
      <c r="P1514" s="366"/>
      <c r="R1514" s="355"/>
      <c r="S1514" s="81"/>
      <c r="T1514" s="327"/>
      <c r="U1514" s="34"/>
      <c r="W1514" s="94"/>
      <c r="X1514" s="36"/>
      <c r="Y1514" s="66"/>
      <c r="Z1514" s="15"/>
      <c r="AA1514" s="3"/>
      <c r="AD1514" s="22"/>
      <c r="AG1514" s="33"/>
      <c r="AH1514" s="43"/>
      <c r="AI1514" s="63"/>
      <c r="AJ1514" s="284"/>
    </row>
    <row r="1515" spans="1:37">
      <c r="A1515" s="127" t="s">
        <v>1673</v>
      </c>
      <c r="B1515" s="90" t="s">
        <v>1572</v>
      </c>
      <c r="C1515" s="90" t="s">
        <v>1573</v>
      </c>
      <c r="D1515" s="90" t="s">
        <v>1574</v>
      </c>
      <c r="E1515" s="90" t="s">
        <v>1575</v>
      </c>
      <c r="F1515" s="8" t="s">
        <v>1060</v>
      </c>
      <c r="G1515" s="27" t="s">
        <v>859</v>
      </c>
      <c r="H1515" s="55" t="s">
        <v>320</v>
      </c>
      <c r="I1515" s="8" t="s">
        <v>302</v>
      </c>
      <c r="J1515" s="8" t="s">
        <v>6221</v>
      </c>
      <c r="K1515" s="5" t="s">
        <v>6222</v>
      </c>
      <c r="L1515" s="337" t="s">
        <v>6206</v>
      </c>
      <c r="M1515" s="338" t="s">
        <v>6207</v>
      </c>
      <c r="N1515" s="339" t="s">
        <v>6208</v>
      </c>
      <c r="O1515" s="4" t="s">
        <v>6713</v>
      </c>
      <c r="P1515" s="89" t="s">
        <v>6285</v>
      </c>
      <c r="Q1515" s="293" t="s">
        <v>6284</v>
      </c>
      <c r="R1515" s="354" t="s">
        <v>6283</v>
      </c>
      <c r="S1515" s="26" t="s">
        <v>6286</v>
      </c>
      <c r="T1515" s="321" t="s">
        <v>4716</v>
      </c>
      <c r="U1515" s="10" t="s">
        <v>66</v>
      </c>
      <c r="V1515" s="308" t="s">
        <v>4731</v>
      </c>
      <c r="W1515" s="68" t="s">
        <v>3273</v>
      </c>
      <c r="X1515" s="28" t="s">
        <v>2</v>
      </c>
      <c r="Y1515" s="17" t="s">
        <v>1399</v>
      </c>
      <c r="Z1515" s="14" t="s">
        <v>5</v>
      </c>
      <c r="AA1515" s="21" t="s">
        <v>3</v>
      </c>
      <c r="AB1515" s="96" t="s">
        <v>6174</v>
      </c>
      <c r="AC1515" s="384" t="s">
        <v>6420</v>
      </c>
      <c r="AD1515" s="8" t="s">
        <v>302</v>
      </c>
      <c r="AE1515" s="71" t="s">
        <v>1400</v>
      </c>
      <c r="AF1515" s="72" t="s">
        <v>1157</v>
      </c>
      <c r="AG1515" s="32" t="s">
        <v>1158</v>
      </c>
      <c r="AH1515" s="25" t="s">
        <v>6209</v>
      </c>
      <c r="AI1515" s="8" t="s">
        <v>6731</v>
      </c>
      <c r="AJ1515" s="50" t="s">
        <v>3361</v>
      </c>
      <c r="AK1515" s="44" t="s">
        <v>6730</v>
      </c>
    </row>
    <row r="1516" spans="1:37">
      <c r="A1516" s="347">
        <f>IFERROR(VLOOKUP($G1516,基本資料!$A:$J,3,0),"無")</f>
        <v>93.17</v>
      </c>
      <c r="B1516" s="79">
        <f>IFERROR(VLOOKUP($G1516,基本資料!$A:$J,4,0),"無")</f>
        <v>100</v>
      </c>
      <c r="C1516" s="79">
        <f>IFERROR(VLOOKUP($G1516,基本資料!$A:$J,5,0),"無")</f>
        <v>99</v>
      </c>
      <c r="D1516" s="79">
        <f>IFERROR(VLOOKUP($G1516,基本資料!$A:$J,6,0),"無")</f>
        <v>-9</v>
      </c>
      <c r="E1516" s="79">
        <f>IFERROR(VLOOKUP($G1516,基本資料!$A:$J,7,0),"無")</f>
        <v>11</v>
      </c>
      <c r="F1516" s="6">
        <f>IFERROR(VLOOKUP($G1516,基本資料!$A:$J,8,0),"無")</f>
        <v>-0.02</v>
      </c>
      <c r="G1516" s="79">
        <v>2208</v>
      </c>
      <c r="H1516" s="8" t="s">
        <v>4713</v>
      </c>
      <c r="I1516" s="22" t="s">
        <v>88</v>
      </c>
      <c r="J1516" s="8">
        <f>IFERROR(VLOOKUP($G1516,今日總結!$A:$AJ,35,0),"")</f>
        <v>0</v>
      </c>
      <c r="K1516" s="5">
        <f>IFERROR(VLOOKUP($G1516,今日總結!$A:$AJ,36,0),"")</f>
        <v>9</v>
      </c>
      <c r="L1516" s="156">
        <f>IFERROR(VLOOKUP($G1516,今日總結!$A:$AJ,33,0),"")</f>
        <v>0</v>
      </c>
      <c r="M1516" s="340">
        <f>IFERROR(VLOOKUP($G1516,今日總結!$A:$AJ,34,0),"")</f>
        <v>2</v>
      </c>
      <c r="N1516" s="240">
        <f t="shared" ref="N1516" si="284">IFERROR(L1516-M1516,"")</f>
        <v>-2</v>
      </c>
      <c r="P1516" s="365">
        <f>IFERROR(VLOOKUP($G1516,融外自投!$A:$J,7,0),"無")</f>
        <v>684</v>
      </c>
      <c r="Q1516" s="79">
        <f>IFERROR(VLOOKUP($G1516,融外自投!$A:$J,9,0),"無")</f>
        <v>1051</v>
      </c>
      <c r="R1516" s="346">
        <f>IFERROR(VLOOKUP($G1516,融外自投!$A:$J,8,0),"無")</f>
        <v>745</v>
      </c>
      <c r="S1516" s="81">
        <f>IFERROR(VLOOKUP($G1516,融外自投!$A:$J,10,0),"無")</f>
        <v>458</v>
      </c>
      <c r="T1516" s="327">
        <f>IFERROR(VLOOKUP($G1516,'321買'!$A:$E,5,0),"'沒有資料'")</f>
        <v>164</v>
      </c>
      <c r="U1516" s="186">
        <f>IFERROR(VLOOKUP($G1516,基本資料!$A:$J,9,0),"無")</f>
        <v>0</v>
      </c>
      <c r="V1516" s="310">
        <f t="shared" ref="V1516:V1544" si="285">$U1516/$X1516</f>
        <v>0</v>
      </c>
      <c r="W1516" s="94">
        <f>IFERROR(VLOOKUP($G1516,基本資料!$A:$J,10,0),"無")</f>
        <v>0.02</v>
      </c>
      <c r="X1516" s="36">
        <f>RTD("money.excel",,"2208","Price")</f>
        <v>19.7</v>
      </c>
      <c r="Y1516" s="66"/>
      <c r="Z1516" s="15">
        <f t="shared" ref="Z1516:Z1544" si="286">X1516-Y1516</f>
        <v>19.7</v>
      </c>
      <c r="AA1516" s="3" t="e">
        <f t="shared" ref="AA1516:AA1544" si="287">Z1516/Y1516</f>
        <v>#DIV/0!</v>
      </c>
      <c r="AB1516" s="344">
        <f>IFERROR(VLOOKUP($G1516,基本資料!$A:$M,11,0),"無")</f>
        <v>-40.68</v>
      </c>
      <c r="AC1516" s="397">
        <f>IFERROR(VLOOKUP($G1516,基本資料!$A:$M,12,0),"無")</f>
        <v>23.37</v>
      </c>
      <c r="AD1516" s="22" t="s">
        <v>88</v>
      </c>
      <c r="AG1516" s="33">
        <f t="shared" ref="AG1516:AG1544" si="288">AF1516-AE1516</f>
        <v>0</v>
      </c>
      <c r="AH1516" s="117" t="s">
        <v>3218</v>
      </c>
      <c r="AI1516" s="63">
        <f t="shared" ref="AI1516:AI1544" si="289">AJ1516/(A1516*10000)</f>
        <v>3.0954169797145002E-3</v>
      </c>
      <c r="AJ1516" s="284">
        <f>RTD("money.excel",,$G1516,"PredictVolume")</f>
        <v>2884</v>
      </c>
      <c r="AK1516" s="399">
        <f>IFERROR(VLOOKUP($G1516,基本資料!$A:$M,13,0),"無")</f>
        <v>27.01</v>
      </c>
    </row>
    <row r="1517" spans="1:37">
      <c r="A1517" s="347">
        <f>IFERROR(VLOOKUP($G1517,基本資料!$A:$J,3,0),"無")</f>
        <v>529</v>
      </c>
      <c r="B1517" s="79">
        <f>IFERROR(VLOOKUP($G1517,基本資料!$A:$J,4,0),"無")</f>
        <v>814</v>
      </c>
      <c r="C1517" s="79">
        <f>IFERROR(VLOOKUP($G1517,基本資料!$A:$J,5,0),"無")</f>
        <v>721</v>
      </c>
      <c r="D1517" s="79">
        <f>IFERROR(VLOOKUP($G1517,基本資料!$A:$J,6,0),"無")</f>
        <v>-4</v>
      </c>
      <c r="E1517" s="79">
        <f>IFERROR(VLOOKUP($G1517,基本資料!$A:$J,7,0),"無")</f>
        <v>102</v>
      </c>
      <c r="F1517" s="6">
        <f>IFERROR(VLOOKUP($G1517,基本資料!$A:$J,8,0),"無")</f>
        <v>58.21</v>
      </c>
      <c r="G1517" s="79">
        <v>2603</v>
      </c>
      <c r="H1517" s="8" t="s">
        <v>302</v>
      </c>
      <c r="I1517" s="22" t="s">
        <v>264</v>
      </c>
      <c r="J1517" s="8" t="str">
        <f>IFERROR(VLOOKUP($G1517,今日總結!$A:$AJ,35,0),"")</f>
        <v>投</v>
      </c>
      <c r="K1517" s="5">
        <f>IFERROR(VLOOKUP($G1517,今日總結!$A:$AJ,36,0),"")</f>
        <v>0</v>
      </c>
      <c r="L1517" s="156">
        <f>IFERROR(VLOOKUP($G1517,今日總結!$A:$AJ,33,0),"")</f>
        <v>1</v>
      </c>
      <c r="M1517" s="340">
        <f>IFERROR(VLOOKUP($G1517,今日總結!$A:$AJ,34,0),"")</f>
        <v>0</v>
      </c>
      <c r="N1517" s="240">
        <f t="shared" ref="N1517:N1544" si="290">IFERROR(L1517-M1517,"")</f>
        <v>1</v>
      </c>
      <c r="P1517" s="365">
        <f>IFERROR(VLOOKUP($G1517,融外自投!$A:$J,7,0),"無")</f>
        <v>309</v>
      </c>
      <c r="Q1517" s="79">
        <f>IFERROR(VLOOKUP($G1517,融外自投!$A:$J,9,0),"無")</f>
        <v>101</v>
      </c>
      <c r="R1517" s="346">
        <f>IFERROR(VLOOKUP($G1517,融外自投!$A:$J,8,0),"無")</f>
        <v>203</v>
      </c>
      <c r="S1517" s="81">
        <f>IFERROR(VLOOKUP($G1517,融外自投!$A:$J,10,0),"無")</f>
        <v>97</v>
      </c>
      <c r="T1517" s="327">
        <f>IFERROR(VLOOKUP($G1517,'321買'!$A:$E,5,0),"'沒有資料'")</f>
        <v>110</v>
      </c>
      <c r="U1517" s="186">
        <f>IFERROR(VLOOKUP($G1517,基本資料!$A:$J,9,0),"無")</f>
        <v>18</v>
      </c>
      <c r="V1517" s="310">
        <f t="shared" si="285"/>
        <v>0.1245674740484429</v>
      </c>
      <c r="W1517" s="94">
        <f>IFERROR(VLOOKUP($G1517,基本資料!$A:$J,10,0),"無")</f>
        <v>45.57</v>
      </c>
      <c r="X1517" s="36">
        <f>RTD("money.excel",,"2603","Price")</f>
        <v>144.5</v>
      </c>
      <c r="Y1517" s="66"/>
      <c r="Z1517" s="15">
        <f t="shared" si="286"/>
        <v>144.5</v>
      </c>
      <c r="AA1517" s="3" t="e">
        <f t="shared" si="287"/>
        <v>#DIV/0!</v>
      </c>
      <c r="AB1517" s="344">
        <f>IFERROR(VLOOKUP($G1517,基本資料!$A:$M,11,0),"無")</f>
        <v>-36.909999999999997</v>
      </c>
      <c r="AC1517" s="397">
        <f>IFERROR(VLOOKUP($G1517,基本資料!$A:$M,12,0),"無")</f>
        <v>50.8</v>
      </c>
      <c r="AD1517" s="22" t="s">
        <v>264</v>
      </c>
      <c r="AG1517" s="33">
        <f t="shared" si="288"/>
        <v>0</v>
      </c>
      <c r="AH1517" s="117" t="s">
        <v>3266</v>
      </c>
      <c r="AI1517" s="63">
        <f t="shared" si="289"/>
        <v>1.5441398865784498E-2</v>
      </c>
      <c r="AJ1517" s="317">
        <f>RTD("money.excel",,$G1517,"PredictVolume")</f>
        <v>81685</v>
      </c>
      <c r="AK1517" s="399">
        <f>IFERROR(VLOOKUP($G1517,基本資料!$A:$M,13,0),"無")</f>
        <v>19.21</v>
      </c>
    </row>
    <row r="1518" spans="1:37">
      <c r="A1518" s="347">
        <f>IFERROR(VLOOKUP($G1518,基本資料!$A:$J,3,0),"無")</f>
        <v>58.53</v>
      </c>
      <c r="B1518" s="79">
        <f>IFERROR(VLOOKUP($G1518,基本資料!$A:$J,4,0),"無")</f>
        <v>236</v>
      </c>
      <c r="C1518" s="79">
        <f>IFERROR(VLOOKUP($G1518,基本資料!$A:$J,5,0),"無")</f>
        <v>37</v>
      </c>
      <c r="D1518" s="79">
        <f>IFERROR(VLOOKUP($G1518,基本資料!$A:$J,6,0),"無")</f>
        <v>37</v>
      </c>
      <c r="E1518" s="79">
        <f>IFERROR(VLOOKUP($G1518,基本資料!$A:$J,7,0),"無")</f>
        <v>10</v>
      </c>
      <c r="F1518" s="6">
        <f>IFERROR(VLOOKUP($G1518,基本資料!$A:$J,8,0),"無")</f>
        <v>24.77</v>
      </c>
      <c r="G1518" s="79">
        <v>2605</v>
      </c>
      <c r="H1518" s="8" t="s">
        <v>4713</v>
      </c>
      <c r="I1518" s="22" t="s">
        <v>865</v>
      </c>
      <c r="J1518" s="8" t="str">
        <f>IFERROR(VLOOKUP($G1518,今日總結!$A:$AJ,35,0),"")</f>
        <v/>
      </c>
      <c r="K1518" s="5" t="str">
        <f>IFERROR(VLOOKUP($G1518,今日總結!$A:$AJ,36,0),"")</f>
        <v/>
      </c>
      <c r="L1518" s="156" t="str">
        <f>IFERROR(VLOOKUP($G1518,今日總結!$A:$AJ,33,0),"")</f>
        <v/>
      </c>
      <c r="M1518" s="340" t="str">
        <f>IFERROR(VLOOKUP($G1518,今日總結!$A:$AJ,34,0),"")</f>
        <v/>
      </c>
      <c r="N1518" s="240" t="str">
        <f t="shared" si="290"/>
        <v/>
      </c>
      <c r="P1518" s="365">
        <f>IFERROR(VLOOKUP($G1518,融外自投!$A:$J,7,0),"無")</f>
        <v>366</v>
      </c>
      <c r="Q1518" s="79">
        <f>IFERROR(VLOOKUP($G1518,融外自投!$A:$J,9,0),"無")</f>
        <v>337</v>
      </c>
      <c r="R1518" s="346">
        <f>IFERROR(VLOOKUP($G1518,融外自投!$A:$J,8,0),"無")</f>
        <v>136</v>
      </c>
      <c r="S1518" s="81">
        <f>IFERROR(VLOOKUP($G1518,融外自投!$A:$J,10,0),"無")</f>
        <v>220</v>
      </c>
      <c r="T1518" s="327">
        <f>IFERROR(VLOOKUP($G1518,'321買'!$A:$E,5,0),"'沒有資料'")</f>
        <v>463</v>
      </c>
      <c r="U1518" s="186">
        <f>IFERROR(VLOOKUP($G1518,基本資料!$A:$J,9,0),"無")</f>
        <v>1</v>
      </c>
      <c r="V1518" s="310">
        <f t="shared" si="285"/>
        <v>3.5842293906810041E-2</v>
      </c>
      <c r="W1518" s="94">
        <f>IFERROR(VLOOKUP($G1518,基本資料!$A:$J,10,0),"無")</f>
        <v>1.2</v>
      </c>
      <c r="X1518" s="36">
        <f>RTD("money.excel",,"2605","Price")</f>
        <v>27.9</v>
      </c>
      <c r="Y1518" s="66"/>
      <c r="Z1518" s="15">
        <f t="shared" si="286"/>
        <v>27.9</v>
      </c>
      <c r="AA1518" s="3" t="e">
        <f t="shared" si="287"/>
        <v>#DIV/0!</v>
      </c>
      <c r="AB1518" s="344">
        <f>IFERROR(VLOOKUP($G1518,基本資料!$A:$M,11,0),"無")</f>
        <v>-50.34</v>
      </c>
      <c r="AC1518" s="397">
        <f>IFERROR(VLOOKUP($G1518,基本資料!$A:$M,12,0),"無")</f>
        <v>54.91</v>
      </c>
      <c r="AD1518" s="22" t="s">
        <v>865</v>
      </c>
      <c r="AG1518" s="33">
        <f t="shared" si="288"/>
        <v>0</v>
      </c>
      <c r="AH1518" s="43" t="s">
        <v>2015</v>
      </c>
      <c r="AI1518" s="63">
        <f t="shared" si="289"/>
        <v>2.917819921407825E-2</v>
      </c>
      <c r="AJ1518" s="284">
        <f>RTD("money.excel",,$G1518,"PredictVolume")</f>
        <v>17078</v>
      </c>
      <c r="AK1518" s="399">
        <f>IFERROR(VLOOKUP($G1518,基本資料!$A:$M,13,0),"無")</f>
        <v>24.5</v>
      </c>
    </row>
    <row r="1519" spans="1:37">
      <c r="A1519" s="347">
        <f>IFERROR(VLOOKUP($G1519,基本資料!$A:$J,3,0),"無")</f>
        <v>84.5</v>
      </c>
      <c r="B1519" s="79">
        <f>IFERROR(VLOOKUP($G1519,基本資料!$A:$J,4,0),"無")</f>
        <v>456</v>
      </c>
      <c r="C1519" s="79">
        <f>IFERROR(VLOOKUP($G1519,基本資料!$A:$J,5,0),"無")</f>
        <v>649</v>
      </c>
      <c r="D1519" s="79">
        <f>IFERROR(VLOOKUP($G1519,基本資料!$A:$J,6,0),"無")</f>
        <v>51</v>
      </c>
      <c r="E1519" s="79">
        <f>IFERROR(VLOOKUP($G1519,基本資料!$A:$J,7,0),"無")</f>
        <v>24</v>
      </c>
      <c r="F1519" s="6">
        <f>IFERROR(VLOOKUP($G1519,基本資料!$A:$J,8,0),"無")</f>
        <v>27.18</v>
      </c>
      <c r="G1519" s="79">
        <v>2606</v>
      </c>
      <c r="H1519" s="8" t="s">
        <v>302</v>
      </c>
      <c r="I1519" s="22" t="s">
        <v>4619</v>
      </c>
      <c r="J1519" s="8" t="str">
        <f>IFERROR(VLOOKUP($G1519,今日總結!$A:$AJ,35,0),"")</f>
        <v/>
      </c>
      <c r="K1519" s="5" t="str">
        <f>IFERROR(VLOOKUP($G1519,今日總結!$A:$AJ,36,0),"")</f>
        <v/>
      </c>
      <c r="L1519" s="156" t="str">
        <f>IFERROR(VLOOKUP($G1519,今日總結!$A:$AJ,33,0),"")</f>
        <v/>
      </c>
      <c r="M1519" s="340" t="str">
        <f>IFERROR(VLOOKUP($G1519,今日總結!$A:$AJ,34,0),"")</f>
        <v/>
      </c>
      <c r="N1519" s="240" t="str">
        <f t="shared" si="290"/>
        <v/>
      </c>
      <c r="P1519" s="365">
        <f>IFERROR(VLOOKUP($G1519,融外自投!$A:$J,7,0),"無")</f>
        <v>604</v>
      </c>
      <c r="Q1519" s="79">
        <f>IFERROR(VLOOKUP($G1519,融外自投!$A:$J,9,0),"無")</f>
        <v>162</v>
      </c>
      <c r="R1519" s="346">
        <f>IFERROR(VLOOKUP($G1519,融外自投!$A:$J,8,0),"無")</f>
        <v>475</v>
      </c>
      <c r="S1519" s="81">
        <f>IFERROR(VLOOKUP($G1519,融外自投!$A:$J,10,0),"無")</f>
        <v>25</v>
      </c>
      <c r="T1519" s="327">
        <f>IFERROR(VLOOKUP($G1519,'321買'!$A:$E,5,0),"'沒有資料'")</f>
        <v>97</v>
      </c>
      <c r="U1519" s="186">
        <f>IFERROR(VLOOKUP($G1519,基本資料!$A:$J,9,0),"無")</f>
        <v>3</v>
      </c>
      <c r="V1519" s="310">
        <f t="shared" si="285"/>
        <v>4.784688995215311E-2</v>
      </c>
      <c r="W1519" s="94">
        <f>IFERROR(VLOOKUP($G1519,基本資料!$A:$J,10,0),"無")</f>
        <v>5.79</v>
      </c>
      <c r="X1519" s="36">
        <f>RTD("money.excel",,"2606","Price")</f>
        <v>62.7</v>
      </c>
      <c r="Y1519" s="66"/>
      <c r="Z1519" s="15">
        <f t="shared" si="286"/>
        <v>62.7</v>
      </c>
      <c r="AA1519" s="3" t="e">
        <f t="shared" si="287"/>
        <v>#DIV/0!</v>
      </c>
      <c r="AB1519" s="344">
        <f>IFERROR(VLOOKUP($G1519,基本資料!$A:$M,11,0),"無")</f>
        <v>-34.54</v>
      </c>
      <c r="AC1519" s="397">
        <f>IFERROR(VLOOKUP($G1519,基本資料!$A:$M,12,0),"無")</f>
        <v>56.54</v>
      </c>
      <c r="AD1519" s="22" t="s">
        <v>4619</v>
      </c>
      <c r="AG1519" s="33">
        <f t="shared" si="288"/>
        <v>0</v>
      </c>
      <c r="AH1519" s="117" t="s">
        <v>3267</v>
      </c>
      <c r="AI1519" s="63">
        <f t="shared" si="289"/>
        <v>1.8410650887573963E-2</v>
      </c>
      <c r="AJ1519" s="284">
        <f>RTD("money.excel",,$G1519,"PredictVolume")</f>
        <v>15557</v>
      </c>
      <c r="AK1519" s="399">
        <f>IFERROR(VLOOKUP($G1519,基本資料!$A:$M,13,0),"無")</f>
        <v>28.42</v>
      </c>
    </row>
    <row r="1520" spans="1:37">
      <c r="A1520" s="347">
        <f>IFERROR(VLOOKUP($G1520,基本資料!$A:$J,3,0),"無")</f>
        <v>106</v>
      </c>
      <c r="B1520" s="79">
        <f>IFERROR(VLOOKUP($G1520,基本資料!$A:$J,4,0),"無")</f>
        <v>58</v>
      </c>
      <c r="C1520" s="79">
        <f>IFERROR(VLOOKUP($G1520,基本資料!$A:$J,5,0),"無")</f>
        <v>28</v>
      </c>
      <c r="D1520" s="79">
        <f>IFERROR(VLOOKUP($G1520,基本資料!$A:$J,6,0),"無")</f>
        <v>13</v>
      </c>
      <c r="E1520" s="79">
        <f>IFERROR(VLOOKUP($G1520,基本資料!$A:$J,7,0),"無")</f>
        <v>142</v>
      </c>
      <c r="F1520" s="6">
        <f>IFERROR(VLOOKUP($G1520,基本資料!$A:$J,8,0),"無")</f>
        <v>10.8</v>
      </c>
      <c r="G1520" s="79">
        <v>2607</v>
      </c>
      <c r="H1520" s="8" t="s">
        <v>4713</v>
      </c>
      <c r="I1520" s="22" t="s">
        <v>113</v>
      </c>
      <c r="J1520" s="8" t="str">
        <f>IFERROR(VLOOKUP($G1520,今日總結!$A:$AJ,35,0),"")</f>
        <v/>
      </c>
      <c r="K1520" s="5" t="str">
        <f>IFERROR(VLOOKUP($G1520,今日總結!$A:$AJ,36,0),"")</f>
        <v/>
      </c>
      <c r="L1520" s="156" t="str">
        <f>IFERROR(VLOOKUP($G1520,今日總結!$A:$AJ,33,0),"")</f>
        <v/>
      </c>
      <c r="M1520" s="340" t="str">
        <f>IFERROR(VLOOKUP($G1520,今日總結!$A:$AJ,34,0),"")</f>
        <v/>
      </c>
      <c r="N1520" s="240" t="str">
        <f t="shared" si="290"/>
        <v/>
      </c>
      <c r="P1520" s="365">
        <f>IFERROR(VLOOKUP($G1520,融外自投!$A:$J,7,0),"無")</f>
        <v>575</v>
      </c>
      <c r="Q1520" s="79">
        <f>IFERROR(VLOOKUP($G1520,融外自投!$A:$J,9,0),"無")</f>
        <v>287</v>
      </c>
      <c r="R1520" s="346">
        <f>IFERROR(VLOOKUP($G1520,融外自投!$A:$J,8,0),"無")</f>
        <v>615</v>
      </c>
      <c r="S1520" s="81" t="str">
        <f>IFERROR(VLOOKUP($G1520,融外自投!$A:$J,10,0),"無")</f>
        <v>無</v>
      </c>
      <c r="T1520" s="327">
        <f>IFERROR(VLOOKUP($G1520,'321買'!$A:$E,5,0),"'沒有資料'")</f>
        <v>430</v>
      </c>
      <c r="U1520" s="186">
        <f>IFERROR(VLOOKUP($G1520,基本資料!$A:$J,9,0),"無")</f>
        <v>0.4</v>
      </c>
      <c r="V1520" s="310">
        <f t="shared" si="285"/>
        <v>1.1173184357541902E-2</v>
      </c>
      <c r="W1520" s="94">
        <f>IFERROR(VLOOKUP($G1520,基本資料!$A:$J,10,0),"無")</f>
        <v>1</v>
      </c>
      <c r="X1520" s="36">
        <f>RTD("money.excel",,"2607","Price")</f>
        <v>35.799999999999997</v>
      </c>
      <c r="Y1520" s="66"/>
      <c r="Z1520" s="15">
        <f t="shared" si="286"/>
        <v>35.799999999999997</v>
      </c>
      <c r="AA1520" s="3" t="e">
        <f t="shared" si="287"/>
        <v>#DIV/0!</v>
      </c>
      <c r="AB1520" s="344">
        <f>IFERROR(VLOOKUP($G1520,基本資料!$A:$M,11,0),"無")</f>
        <v>-30.67</v>
      </c>
      <c r="AC1520" s="397">
        <f>IFERROR(VLOOKUP($G1520,基本資料!$A:$M,12,0),"無")</f>
        <v>39.89</v>
      </c>
      <c r="AD1520" s="22" t="s">
        <v>113</v>
      </c>
      <c r="AG1520" s="33">
        <f t="shared" si="288"/>
        <v>0</v>
      </c>
      <c r="AH1520" s="117" t="s">
        <v>3268</v>
      </c>
      <c r="AI1520" s="63">
        <f t="shared" si="289"/>
        <v>1.0659433962264151E-2</v>
      </c>
      <c r="AJ1520" s="284">
        <f>RTD("money.excel",,$G1520,"PredictVolume")</f>
        <v>11299</v>
      </c>
      <c r="AK1520" s="399">
        <f>IFERROR(VLOOKUP($G1520,基本資料!$A:$M,13,0),"無")</f>
        <v>25.17</v>
      </c>
    </row>
    <row r="1521" spans="1:37">
      <c r="A1521" s="347">
        <f>IFERROR(VLOOKUP($G1521,基本資料!$A:$J,3,0),"無")</f>
        <v>46.7</v>
      </c>
      <c r="B1521" s="79">
        <f>IFERROR(VLOOKUP($G1521,基本資料!$A:$J,4,0),"無")</f>
        <v>-5</v>
      </c>
      <c r="C1521" s="79">
        <f>IFERROR(VLOOKUP($G1521,基本資料!$A:$J,5,0),"無")</f>
        <v>-7</v>
      </c>
      <c r="D1521" s="79">
        <f>IFERROR(VLOOKUP($G1521,基本資料!$A:$J,6,0),"無")</f>
        <v>41</v>
      </c>
      <c r="E1521" s="79">
        <f>IFERROR(VLOOKUP($G1521,基本資料!$A:$J,7,0),"無")</f>
        <v>5</v>
      </c>
      <c r="F1521" s="6">
        <f>IFERROR(VLOOKUP($G1521,基本資料!$A:$J,8,0),"無")</f>
        <v>13.9</v>
      </c>
      <c r="G1521" s="79">
        <v>2608</v>
      </c>
      <c r="H1521" s="8" t="s">
        <v>4713</v>
      </c>
      <c r="I1521" s="22" t="s">
        <v>1116</v>
      </c>
      <c r="J1521" s="8" t="str">
        <f>IFERROR(VLOOKUP($G1521,今日總結!$A:$AJ,35,0),"")</f>
        <v/>
      </c>
      <c r="K1521" s="5" t="str">
        <f>IFERROR(VLOOKUP($G1521,今日總結!$A:$AJ,36,0),"")</f>
        <v/>
      </c>
      <c r="L1521" s="156" t="str">
        <f>IFERROR(VLOOKUP($G1521,今日總結!$A:$AJ,33,0),"")</f>
        <v/>
      </c>
      <c r="M1521" s="340" t="str">
        <f>IFERROR(VLOOKUP($G1521,今日總結!$A:$AJ,34,0),"")</f>
        <v/>
      </c>
      <c r="N1521" s="240" t="str">
        <f t="shared" si="290"/>
        <v/>
      </c>
      <c r="P1521" s="365">
        <f>IFERROR(VLOOKUP($G1521,融外自投!$A:$J,7,0),"無")</f>
        <v>902</v>
      </c>
      <c r="Q1521" s="79">
        <f>IFERROR(VLOOKUP($G1521,融外自投!$A:$J,9,0),"無")</f>
        <v>282</v>
      </c>
      <c r="R1521" s="346">
        <f>IFERROR(VLOOKUP($G1521,融外自投!$A:$J,8,0),"無")</f>
        <v>812</v>
      </c>
      <c r="S1521" s="81" t="str">
        <f>IFERROR(VLOOKUP($G1521,融外自投!$A:$J,10,0),"無")</f>
        <v>無</v>
      </c>
      <c r="T1521" s="327">
        <f>IFERROR(VLOOKUP($G1521,'321買'!$A:$E,5,0),"'沒有資料'")</f>
        <v>403</v>
      </c>
      <c r="U1521" s="186">
        <f>IFERROR(VLOOKUP($G1521,基本資料!$A:$J,9,0),"無")</f>
        <v>1.65</v>
      </c>
      <c r="V1521" s="310">
        <f t="shared" si="285"/>
        <v>3.9285714285714285E-2</v>
      </c>
      <c r="W1521" s="94">
        <f>IFERROR(VLOOKUP($G1521,基本資料!$A:$J,10,0),"無")</f>
        <v>2.99</v>
      </c>
      <c r="X1521" s="36">
        <f>RTD("money.excel",,"2608","Price")</f>
        <v>42</v>
      </c>
      <c r="Y1521" s="66"/>
      <c r="Z1521" s="15">
        <f t="shared" si="286"/>
        <v>42</v>
      </c>
      <c r="AA1521" s="3" t="e">
        <f t="shared" si="287"/>
        <v>#DIV/0!</v>
      </c>
      <c r="AB1521" s="344">
        <f>IFERROR(VLOOKUP($G1521,基本資料!$A:$M,11,0),"無")</f>
        <v>-46.7</v>
      </c>
      <c r="AC1521" s="397">
        <f>IFERROR(VLOOKUP($G1521,基本資料!$A:$M,12,0),"無")</f>
        <v>31.18</v>
      </c>
      <c r="AD1521" s="22" t="s">
        <v>1116</v>
      </c>
      <c r="AG1521" s="33">
        <f t="shared" si="288"/>
        <v>0</v>
      </c>
      <c r="AH1521" s="117" t="s">
        <v>3269</v>
      </c>
      <c r="AI1521" s="63">
        <f t="shared" si="289"/>
        <v>1.4132762312633832E-3</v>
      </c>
      <c r="AJ1521" s="284">
        <f>RTD("money.excel",,$G1521,"PredictVolume")</f>
        <v>660</v>
      </c>
      <c r="AK1521" s="399">
        <f>IFERROR(VLOOKUP($G1521,基本資料!$A:$M,13,0),"無")</f>
        <v>16.7</v>
      </c>
    </row>
    <row r="1522" spans="1:37">
      <c r="A1522" s="347">
        <f>IFERROR(VLOOKUP($G1522,基本資料!$A:$J,3,0),"無")</f>
        <v>349</v>
      </c>
      <c r="B1522" s="79">
        <f>IFERROR(VLOOKUP($G1522,基本資料!$A:$J,4,0),"無")</f>
        <v>1258</v>
      </c>
      <c r="C1522" s="79">
        <f>IFERROR(VLOOKUP($G1522,基本資料!$A:$J,5,0),"無")</f>
        <v>945</v>
      </c>
      <c r="D1522" s="79">
        <f>IFERROR(VLOOKUP($G1522,基本資料!$A:$J,6,0),"無")</f>
        <v>-2</v>
      </c>
      <c r="E1522" s="79">
        <f>IFERROR(VLOOKUP($G1522,基本資料!$A:$J,7,0),"無")</f>
        <v>69</v>
      </c>
      <c r="F1522" s="6">
        <f>IFERROR(VLOOKUP($G1522,基本資料!$A:$J,8,0),"無")</f>
        <v>60.95</v>
      </c>
      <c r="G1522" s="79">
        <v>2609</v>
      </c>
      <c r="H1522" s="8" t="s">
        <v>302</v>
      </c>
      <c r="I1522" s="22" t="s">
        <v>866</v>
      </c>
      <c r="J1522" s="8" t="str">
        <f>IFERROR(VLOOKUP($G1522,今日總結!$A:$AJ,35,0),"")</f>
        <v/>
      </c>
      <c r="K1522" s="5" t="str">
        <f>IFERROR(VLOOKUP($G1522,今日總結!$A:$AJ,36,0),"")</f>
        <v/>
      </c>
      <c r="L1522" s="156" t="str">
        <f>IFERROR(VLOOKUP($G1522,今日總結!$A:$AJ,33,0),"")</f>
        <v/>
      </c>
      <c r="M1522" s="340" t="str">
        <f>IFERROR(VLOOKUP($G1522,今日總結!$A:$AJ,34,0),"")</f>
        <v/>
      </c>
      <c r="N1522" s="240" t="str">
        <f t="shared" si="290"/>
        <v/>
      </c>
      <c r="P1522" s="365">
        <f>IFERROR(VLOOKUP($G1522,融外自投!$A:$J,7,0),"無")</f>
        <v>288</v>
      </c>
      <c r="Q1522" s="79">
        <f>IFERROR(VLOOKUP($G1522,融外自投!$A:$J,9,0),"無")</f>
        <v>614</v>
      </c>
      <c r="R1522" s="346">
        <f>IFERROR(VLOOKUP($G1522,融外自投!$A:$J,8,0),"無")</f>
        <v>341</v>
      </c>
      <c r="S1522" s="81">
        <f>IFERROR(VLOOKUP($G1522,融外自投!$A:$J,10,0),"無")</f>
        <v>194</v>
      </c>
      <c r="T1522" s="327">
        <f>IFERROR(VLOOKUP($G1522,'321買'!$A:$E,5,0),"'沒有資料'")</f>
        <v>271</v>
      </c>
      <c r="U1522" s="186">
        <f>IFERROR(VLOOKUP($G1522,基本資料!$A:$J,9,0),"無")</f>
        <v>20</v>
      </c>
      <c r="V1522" s="310">
        <f t="shared" si="285"/>
        <v>0.16129032258064516</v>
      </c>
      <c r="W1522" s="94">
        <f>IFERROR(VLOOKUP($G1522,基本資料!$A:$J,10,0),"無")</f>
        <v>48.73</v>
      </c>
      <c r="X1522" s="36">
        <f>RTD("money.excel",,"2609","Price")</f>
        <v>124</v>
      </c>
      <c r="Y1522" s="66"/>
      <c r="Z1522" s="15">
        <f t="shared" si="286"/>
        <v>124</v>
      </c>
      <c r="AA1522" s="3" t="e">
        <f t="shared" si="287"/>
        <v>#DIV/0!</v>
      </c>
      <c r="AB1522" s="344">
        <f>IFERROR(VLOOKUP($G1522,基本資料!$A:$M,11,0),"無")</f>
        <v>-46.27</v>
      </c>
      <c r="AC1522" s="397">
        <f>IFERROR(VLOOKUP($G1522,基本資料!$A:$M,12,0),"無")</f>
        <v>56.48</v>
      </c>
      <c r="AD1522" s="22" t="s">
        <v>866</v>
      </c>
      <c r="AG1522" s="33">
        <f t="shared" si="288"/>
        <v>0</v>
      </c>
      <c r="AH1522" s="43" t="s">
        <v>3266</v>
      </c>
      <c r="AI1522" s="63">
        <f t="shared" si="289"/>
        <v>1.1260171919770773E-2</v>
      </c>
      <c r="AJ1522" s="317">
        <f>RTD("money.excel",,$G1522,"PredictVolume")</f>
        <v>39298</v>
      </c>
      <c r="AK1522" s="399">
        <f>IFERROR(VLOOKUP($G1522,基本資料!$A:$M,13,0),"無")</f>
        <v>22.84</v>
      </c>
    </row>
    <row r="1523" spans="1:37">
      <c r="A1523" s="347">
        <f>IFERROR(VLOOKUP($G1523,基本資料!$A:$J,3,0),"無")</f>
        <v>599</v>
      </c>
      <c r="B1523" s="79">
        <f>IFERROR(VLOOKUP($G1523,基本資料!$A:$J,4,0),"無")</f>
        <v>3300</v>
      </c>
      <c r="C1523" s="79">
        <f>IFERROR(VLOOKUP($G1523,基本資料!$A:$J,5,0),"無")</f>
        <v>585</v>
      </c>
      <c r="D1523" s="79">
        <f>IFERROR(VLOOKUP($G1523,基本資料!$A:$J,6,0),"無")</f>
        <v>15</v>
      </c>
      <c r="E1523" s="79">
        <f>IFERROR(VLOOKUP($G1523,基本資料!$A:$J,7,0),"無")</f>
        <v>18</v>
      </c>
      <c r="F1523" s="6">
        <f>IFERROR(VLOOKUP($G1523,基本資料!$A:$J,8,0),"無")</f>
        <v>10.78</v>
      </c>
      <c r="G1523" s="79">
        <v>2610</v>
      </c>
      <c r="H1523" s="8" t="s">
        <v>4713</v>
      </c>
      <c r="I1523" s="22" t="s">
        <v>24</v>
      </c>
      <c r="J1523" s="8" t="str">
        <f>IFERROR(VLOOKUP($G1523,今日總結!$A:$AJ,35,0),"")</f>
        <v/>
      </c>
      <c r="K1523" s="5" t="str">
        <f>IFERROR(VLOOKUP($G1523,今日總結!$A:$AJ,36,0),"")</f>
        <v/>
      </c>
      <c r="L1523" s="156" t="str">
        <f>IFERROR(VLOOKUP($G1523,今日總結!$A:$AJ,33,0),"")</f>
        <v/>
      </c>
      <c r="M1523" s="340" t="str">
        <f>IFERROR(VLOOKUP($G1523,今日總結!$A:$AJ,34,0),"")</f>
        <v/>
      </c>
      <c r="N1523" s="240" t="str">
        <f t="shared" si="290"/>
        <v/>
      </c>
      <c r="P1523" s="365">
        <f>IFERROR(VLOOKUP($G1523,融外自投!$A:$J,7,0),"無")</f>
        <v>348</v>
      </c>
      <c r="Q1523" s="79">
        <f>IFERROR(VLOOKUP($G1523,融外自投!$A:$J,9,0),"無")</f>
        <v>896</v>
      </c>
      <c r="R1523" s="346">
        <f>IFERROR(VLOOKUP($G1523,融外自投!$A:$J,8,0),"無")</f>
        <v>334</v>
      </c>
      <c r="S1523" s="81">
        <f>IFERROR(VLOOKUP($G1523,融外自投!$A:$J,10,0),"無")</f>
        <v>106</v>
      </c>
      <c r="T1523" s="327">
        <f>IFERROR(VLOOKUP($G1523,'321買'!$A:$E,5,0),"'沒有資料'")</f>
        <v>126</v>
      </c>
      <c r="U1523" s="186">
        <f>IFERROR(VLOOKUP($G1523,基本資料!$A:$J,9,0),"無")</f>
        <v>0.84</v>
      </c>
      <c r="V1523" s="310">
        <f t="shared" si="285"/>
        <v>3.0996309963099627E-2</v>
      </c>
      <c r="W1523" s="94">
        <f>IFERROR(VLOOKUP($G1523,基本資料!$A:$J,10,0),"無")</f>
        <v>1.67</v>
      </c>
      <c r="X1523" s="36">
        <f>RTD("money.excel",,"2610","Price")</f>
        <v>27.1</v>
      </c>
      <c r="Y1523" s="66"/>
      <c r="Z1523" s="15">
        <f t="shared" si="286"/>
        <v>27.1</v>
      </c>
      <c r="AA1523" s="3" t="e">
        <f t="shared" si="287"/>
        <v>#DIV/0!</v>
      </c>
      <c r="AB1523" s="344">
        <f>IFERROR(VLOOKUP($G1523,基本資料!$A:$M,11,0),"無")</f>
        <v>-12.68</v>
      </c>
      <c r="AC1523" s="397">
        <f>IFERROR(VLOOKUP($G1523,基本資料!$A:$M,12,0),"無")</f>
        <v>61.47</v>
      </c>
      <c r="AD1523" s="22" t="s">
        <v>24</v>
      </c>
      <c r="AG1523" s="33">
        <f t="shared" si="288"/>
        <v>0</v>
      </c>
      <c r="AH1523" s="117" t="s">
        <v>3270</v>
      </c>
      <c r="AI1523" s="63">
        <f t="shared" si="289"/>
        <v>1.3381302170283806E-2</v>
      </c>
      <c r="AJ1523" s="317">
        <f>RTD("money.excel",,$G1523,"PredictVolume")</f>
        <v>80154</v>
      </c>
      <c r="AK1523" s="399">
        <f>IFERROR(VLOOKUP($G1523,基本資料!$A:$M,13,0),"無")</f>
        <v>21.39</v>
      </c>
    </row>
    <row r="1524" spans="1:37">
      <c r="A1524" s="347">
        <f>IFERROR(VLOOKUP($G1524,基本資料!$A:$J,3,0),"無")</f>
        <v>17.18</v>
      </c>
      <c r="B1524" s="79">
        <f>IFERROR(VLOOKUP($G1524,基本資料!$A:$J,4,0),"無")</f>
        <v>617</v>
      </c>
      <c r="C1524" s="79">
        <f>IFERROR(VLOOKUP($G1524,基本資料!$A:$J,5,0),"無")</f>
        <v>78</v>
      </c>
      <c r="D1524" s="79">
        <f>IFERROR(VLOOKUP($G1524,基本資料!$A:$J,6,0),"無")</f>
        <v>5</v>
      </c>
      <c r="E1524" s="79">
        <f>IFERROR(VLOOKUP($G1524,基本資料!$A:$J,7,0),"無")</f>
        <v>26</v>
      </c>
      <c r="F1524" s="6">
        <f>IFERROR(VLOOKUP($G1524,基本資料!$A:$J,8,0),"無")</f>
        <v>-4.0199999999999996</v>
      </c>
      <c r="G1524" s="79">
        <v>2611</v>
      </c>
      <c r="H1524" s="8" t="s">
        <v>4713</v>
      </c>
      <c r="I1524" s="22" t="s">
        <v>867</v>
      </c>
      <c r="J1524" s="8" t="str">
        <f>IFERROR(VLOOKUP($G1524,今日總結!$A:$AJ,35,0),"")</f>
        <v/>
      </c>
      <c r="K1524" s="5" t="str">
        <f>IFERROR(VLOOKUP($G1524,今日總結!$A:$AJ,36,0),"")</f>
        <v/>
      </c>
      <c r="L1524" s="156" t="str">
        <f>IFERROR(VLOOKUP($G1524,今日總結!$A:$AJ,33,0),"")</f>
        <v/>
      </c>
      <c r="M1524" s="340" t="str">
        <f>IFERROR(VLOOKUP($G1524,今日總結!$A:$AJ,34,0),"")</f>
        <v/>
      </c>
      <c r="N1524" s="240" t="str">
        <f t="shared" si="290"/>
        <v/>
      </c>
      <c r="P1524" s="365">
        <f>IFERROR(VLOOKUP($G1524,融外自投!$A:$J,7,0),"無")</f>
        <v>318</v>
      </c>
      <c r="Q1524" s="79">
        <f>IFERROR(VLOOKUP($G1524,融外自投!$A:$J,9,0),"無")</f>
        <v>180</v>
      </c>
      <c r="R1524" s="346">
        <f>IFERROR(VLOOKUP($G1524,融外自投!$A:$J,8,0),"無")</f>
        <v>1322</v>
      </c>
      <c r="S1524" s="81" t="str">
        <f>IFERROR(VLOOKUP($G1524,融外自投!$A:$J,10,0),"無")</f>
        <v>無</v>
      </c>
      <c r="T1524" s="327">
        <f>IFERROR(VLOOKUP($G1524,'321買'!$A:$E,5,0),"'沒有資料'")</f>
        <v>392</v>
      </c>
      <c r="U1524" s="186">
        <f>IFERROR(VLOOKUP($G1524,基本資料!$A:$J,9,0),"無")</f>
        <v>2</v>
      </c>
      <c r="V1524" s="310">
        <f t="shared" si="285"/>
        <v>8.5470085470085472E-2</v>
      </c>
      <c r="W1524" s="94">
        <f>IFERROR(VLOOKUP($G1524,基本資料!$A:$J,10,0),"無")</f>
        <v>1.69</v>
      </c>
      <c r="X1524" s="36">
        <f>RTD("money.excel",,"2611","Price")</f>
        <v>23.4</v>
      </c>
      <c r="Y1524" s="66"/>
      <c r="Z1524" s="15">
        <f t="shared" si="286"/>
        <v>23.4</v>
      </c>
      <c r="AA1524" s="3" t="e">
        <f t="shared" si="287"/>
        <v>#DIV/0!</v>
      </c>
      <c r="AB1524" s="344">
        <f>IFERROR(VLOOKUP($G1524,基本資料!$A:$M,11,0),"無")</f>
        <v>-48.91</v>
      </c>
      <c r="AC1524" s="397">
        <f>IFERROR(VLOOKUP($G1524,基本資料!$A:$M,12,0),"無")</f>
        <v>44.68</v>
      </c>
      <c r="AD1524" s="22" t="s">
        <v>867</v>
      </c>
      <c r="AG1524" s="33">
        <f t="shared" si="288"/>
        <v>0</v>
      </c>
      <c r="AH1524" s="43" t="s">
        <v>1530</v>
      </c>
      <c r="AI1524" s="63">
        <f t="shared" si="289"/>
        <v>9.4062863795110595E-3</v>
      </c>
      <c r="AJ1524" s="284">
        <f>RTD("money.excel",,$G1524,"PredictVolume")</f>
        <v>1616</v>
      </c>
      <c r="AK1524" s="399">
        <f>IFERROR(VLOOKUP($G1524,基本資料!$A:$M,13,0),"無")</f>
        <v>40.76</v>
      </c>
    </row>
    <row r="1525" spans="1:37">
      <c r="A1525" s="347">
        <f>IFERROR(VLOOKUP($G1525,基本資料!$A:$J,3,0),"無")</f>
        <v>19.739999999999998</v>
      </c>
      <c r="B1525" s="79">
        <f>IFERROR(VLOOKUP($G1525,基本資料!$A:$J,4,0),"無")</f>
        <v>221</v>
      </c>
      <c r="C1525" s="79">
        <f>IFERROR(VLOOKUP($G1525,基本資料!$A:$J,5,0),"無")</f>
        <v>123</v>
      </c>
      <c r="D1525" s="79">
        <f>IFERROR(VLOOKUP($G1525,基本資料!$A:$J,6,0),"無")</f>
        <v>22</v>
      </c>
      <c r="E1525" s="79">
        <f>IFERROR(VLOOKUP($G1525,基本資料!$A:$J,7,0),"無")</f>
        <v>32</v>
      </c>
      <c r="F1525" s="6">
        <f>IFERROR(VLOOKUP($G1525,基本資料!$A:$J,8,0),"無")</f>
        <v>9.9600000000000009</v>
      </c>
      <c r="G1525" s="79">
        <v>2612</v>
      </c>
      <c r="H1525" s="8" t="s">
        <v>302</v>
      </c>
      <c r="I1525" s="22" t="s">
        <v>868</v>
      </c>
      <c r="J1525" s="8">
        <f>IFERROR(VLOOKUP($G1525,今日總結!$A:$AJ,35,0),"")</f>
        <v>0</v>
      </c>
      <c r="K1525" s="5" t="str">
        <f>IFERROR(VLOOKUP($G1525,今日總結!$A:$AJ,36,0),"")</f>
        <v>借</v>
      </c>
      <c r="L1525" s="156">
        <f>IFERROR(VLOOKUP($G1525,今日總結!$A:$AJ,33,0),"")</f>
        <v>0</v>
      </c>
      <c r="M1525" s="340">
        <f>IFERROR(VLOOKUP($G1525,今日總結!$A:$AJ,34,0),"")</f>
        <v>1</v>
      </c>
      <c r="N1525" s="240">
        <f t="shared" si="290"/>
        <v>-1</v>
      </c>
      <c r="P1525" s="365">
        <f>IFERROR(VLOOKUP($G1525,融外自投!$A:$J,7,0),"無")</f>
        <v>397</v>
      </c>
      <c r="Q1525" s="79">
        <f>IFERROR(VLOOKUP($G1525,融外自投!$A:$J,9,0),"無")</f>
        <v>936</v>
      </c>
      <c r="R1525" s="346">
        <f>IFERROR(VLOOKUP($G1525,融外自投!$A:$J,8,0),"無")</f>
        <v>934</v>
      </c>
      <c r="S1525" s="81">
        <f>IFERROR(VLOOKUP($G1525,融外自投!$A:$J,10,0),"無")</f>
        <v>491</v>
      </c>
      <c r="T1525" s="327">
        <f>IFERROR(VLOOKUP($G1525,'321買'!$A:$E,5,0),"'沒有資料'")</f>
        <v>852</v>
      </c>
      <c r="U1525" s="186">
        <f>IFERROR(VLOOKUP($G1525,基本資料!$A:$J,9,0),"無")</f>
        <v>2.68</v>
      </c>
      <c r="V1525" s="310">
        <f t="shared" si="285"/>
        <v>5.2964426877470355E-2</v>
      </c>
      <c r="W1525" s="94">
        <f>IFERROR(VLOOKUP($G1525,基本資料!$A:$J,10,0),"無")</f>
        <v>5.27</v>
      </c>
      <c r="X1525" s="36">
        <f>RTD("money.excel",,"2612","Price")</f>
        <v>50.6</v>
      </c>
      <c r="Y1525" s="66"/>
      <c r="Z1525" s="15">
        <f t="shared" si="286"/>
        <v>50.6</v>
      </c>
      <c r="AA1525" s="3" t="e">
        <f t="shared" si="287"/>
        <v>#DIV/0!</v>
      </c>
      <c r="AB1525" s="344">
        <f>IFERROR(VLOOKUP($G1525,基本資料!$A:$M,11,0),"無")</f>
        <v>-44.88</v>
      </c>
      <c r="AC1525" s="397">
        <f>IFERROR(VLOOKUP($G1525,基本資料!$A:$M,12,0),"無")</f>
        <v>31.41</v>
      </c>
      <c r="AD1525" s="22" t="s">
        <v>868</v>
      </c>
      <c r="AG1525" s="33">
        <f t="shared" si="288"/>
        <v>0</v>
      </c>
      <c r="AH1525" s="43" t="s">
        <v>2106</v>
      </c>
      <c r="AI1525" s="63">
        <f t="shared" si="289"/>
        <v>5.4103343465045604E-3</v>
      </c>
      <c r="AJ1525" s="284">
        <f>RTD("money.excel",,$G1525,"PredictVolume")</f>
        <v>1068</v>
      </c>
      <c r="AK1525" s="399">
        <f>IFERROR(VLOOKUP($G1525,基本資料!$A:$M,13,0),"無")</f>
        <v>37.24</v>
      </c>
    </row>
    <row r="1526" spans="1:37">
      <c r="A1526" s="347">
        <f>IFERROR(VLOOKUP($G1526,基本資料!$A:$J,3,0),"無")</f>
        <v>14.84</v>
      </c>
      <c r="B1526" s="79">
        <f>IFERROR(VLOOKUP($G1526,基本資料!$A:$J,4,0),"無")</f>
        <v>620</v>
      </c>
      <c r="C1526" s="79">
        <f>IFERROR(VLOOKUP($G1526,基本資料!$A:$J,5,0),"無")</f>
        <v>97</v>
      </c>
      <c r="D1526" s="79">
        <f>IFERROR(VLOOKUP($G1526,基本資料!$A:$J,6,0),"無")</f>
        <v>23</v>
      </c>
      <c r="E1526" s="79">
        <f>IFERROR(VLOOKUP($G1526,基本資料!$A:$J,7,0),"無")</f>
        <v>9</v>
      </c>
      <c r="F1526" s="6">
        <f>IFERROR(VLOOKUP($G1526,基本資料!$A:$J,8,0),"無")</f>
        <v>11.41</v>
      </c>
      <c r="G1526" s="79">
        <v>2613</v>
      </c>
      <c r="H1526" s="8" t="s">
        <v>4713</v>
      </c>
      <c r="I1526" s="22" t="s">
        <v>869</v>
      </c>
      <c r="J1526" s="8" t="str">
        <f>IFERROR(VLOOKUP($G1526,今日總結!$A:$AJ,35,0),"")</f>
        <v/>
      </c>
      <c r="K1526" s="5" t="str">
        <f>IFERROR(VLOOKUP($G1526,今日總結!$A:$AJ,36,0),"")</f>
        <v/>
      </c>
      <c r="L1526" s="156" t="str">
        <f>IFERROR(VLOOKUP($G1526,今日總結!$A:$AJ,33,0),"")</f>
        <v/>
      </c>
      <c r="M1526" s="340" t="str">
        <f>IFERROR(VLOOKUP($G1526,今日總結!$A:$AJ,34,0),"")</f>
        <v/>
      </c>
      <c r="N1526" s="240" t="str">
        <f t="shared" si="290"/>
        <v/>
      </c>
      <c r="P1526" s="365">
        <f>IFERROR(VLOOKUP($G1526,融外自投!$A:$J,7,0),"無")</f>
        <v>515</v>
      </c>
      <c r="Q1526" s="79">
        <f>IFERROR(VLOOKUP($G1526,融外自投!$A:$J,9,0),"無")</f>
        <v>324</v>
      </c>
      <c r="R1526" s="346">
        <f>IFERROR(VLOOKUP($G1526,融外自投!$A:$J,8,0),"無")</f>
        <v>1263</v>
      </c>
      <c r="S1526" s="81" t="str">
        <f>IFERROR(VLOOKUP($G1526,融外自投!$A:$J,10,0),"無")</f>
        <v>無</v>
      </c>
      <c r="T1526" s="327">
        <f>IFERROR(VLOOKUP($G1526,'321買'!$A:$E,5,0),"'沒有資料'")</f>
        <v>802</v>
      </c>
      <c r="U1526" s="186">
        <f>IFERROR(VLOOKUP($G1526,基本資料!$A:$J,9,0),"無")</f>
        <v>1.65</v>
      </c>
      <c r="V1526" s="310">
        <f t="shared" si="285"/>
        <v>4.4654939106901215E-2</v>
      </c>
      <c r="W1526" s="94">
        <f>IFERROR(VLOOKUP($G1526,基本資料!$A:$J,10,0),"無")</f>
        <v>1.63</v>
      </c>
      <c r="X1526" s="36">
        <f>RTD("money.excel",,"2613","Price")</f>
        <v>36.950000000000003</v>
      </c>
      <c r="Y1526" s="66"/>
      <c r="Z1526" s="15">
        <f t="shared" si="286"/>
        <v>36.950000000000003</v>
      </c>
      <c r="AA1526" s="3" t="e">
        <f t="shared" si="287"/>
        <v>#DIV/0!</v>
      </c>
      <c r="AB1526" s="344">
        <f>IFERROR(VLOOKUP($G1526,基本資料!$A:$M,11,0),"無")</f>
        <v>-29.2</v>
      </c>
      <c r="AC1526" s="397">
        <f>IFERROR(VLOOKUP($G1526,基本資料!$A:$M,12,0),"無")</f>
        <v>54.26</v>
      </c>
      <c r="AD1526" s="22" t="s">
        <v>869</v>
      </c>
      <c r="AG1526" s="33">
        <f t="shared" si="288"/>
        <v>0</v>
      </c>
      <c r="AH1526" s="43" t="s">
        <v>2662</v>
      </c>
      <c r="AI1526" s="63">
        <f t="shared" si="289"/>
        <v>1.2964959568733154E-2</v>
      </c>
      <c r="AJ1526" s="284">
        <f>RTD("money.excel",,$G1526,"PredictVolume")</f>
        <v>1924</v>
      </c>
      <c r="AK1526" s="399">
        <f>IFERROR(VLOOKUP($G1526,基本資料!$A:$M,13,0),"無")</f>
        <v>25.32</v>
      </c>
    </row>
    <row r="1527" spans="1:37">
      <c r="A1527" s="347">
        <f>IFERROR(VLOOKUP($G1527,基本資料!$A:$J,3,0),"無")</f>
        <v>244</v>
      </c>
      <c r="B1527" s="79">
        <f>IFERROR(VLOOKUP($G1527,基本資料!$A:$J,4,0),"無")</f>
        <v>810</v>
      </c>
      <c r="C1527" s="79">
        <f>IFERROR(VLOOKUP($G1527,基本資料!$A:$J,5,0),"無")</f>
        <v>898</v>
      </c>
      <c r="D1527" s="79">
        <f>IFERROR(VLOOKUP($G1527,基本資料!$A:$J,6,0),"無")</f>
        <v>2</v>
      </c>
      <c r="E1527" s="79">
        <f>IFERROR(VLOOKUP($G1527,基本資料!$A:$J,7,0),"無")</f>
        <v>89</v>
      </c>
      <c r="F1527" s="6">
        <f>IFERROR(VLOOKUP($G1527,基本資料!$A:$J,8,0),"無")</f>
        <v>56</v>
      </c>
      <c r="G1527" s="79">
        <v>2615</v>
      </c>
      <c r="H1527" s="8" t="s">
        <v>302</v>
      </c>
      <c r="I1527" s="22" t="s">
        <v>132</v>
      </c>
      <c r="J1527" s="8" t="str">
        <f>IFERROR(VLOOKUP($G1527,今日總結!$A:$AJ,35,0),"")</f>
        <v/>
      </c>
      <c r="K1527" s="5" t="str">
        <f>IFERROR(VLOOKUP($G1527,今日總結!$A:$AJ,36,0),"")</f>
        <v/>
      </c>
      <c r="L1527" s="156" t="str">
        <f>IFERROR(VLOOKUP($G1527,今日總結!$A:$AJ,33,0),"")</f>
        <v/>
      </c>
      <c r="M1527" s="340" t="str">
        <f>IFERROR(VLOOKUP($G1527,今日總結!$A:$AJ,34,0),"")</f>
        <v/>
      </c>
      <c r="N1527" s="240" t="str">
        <f t="shared" si="290"/>
        <v/>
      </c>
      <c r="P1527" s="365">
        <f>IFERROR(VLOOKUP($G1527,融外自投!$A:$J,7,0),"無")</f>
        <v>729</v>
      </c>
      <c r="Q1527" s="79">
        <f>IFERROR(VLOOKUP($G1527,融外自投!$A:$J,9,0),"無")</f>
        <v>514</v>
      </c>
      <c r="R1527" s="346">
        <f>IFERROR(VLOOKUP($G1527,融外自投!$A:$J,8,0),"無")</f>
        <v>106</v>
      </c>
      <c r="S1527" s="81">
        <f>IFERROR(VLOOKUP($G1527,融外自投!$A:$J,10,0),"無")</f>
        <v>259</v>
      </c>
      <c r="T1527" s="327">
        <f>IFERROR(VLOOKUP($G1527,'321買'!$A:$E,5,0),"'沒有資料'")</f>
        <v>217</v>
      </c>
      <c r="U1527" s="186">
        <f>IFERROR(VLOOKUP($G1527,基本資料!$A:$J,9,0),"無")</f>
        <v>12</v>
      </c>
      <c r="V1527" s="310">
        <f t="shared" si="285"/>
        <v>7.9207920792079209E-2</v>
      </c>
      <c r="W1527" s="94">
        <f>IFERROR(VLOOKUP($G1527,基本資料!$A:$J,10,0),"無")</f>
        <v>42.35</v>
      </c>
      <c r="X1527" s="36">
        <f>RTD("money.excel",,"2615","Price")</f>
        <v>151.5</v>
      </c>
      <c r="Y1527" s="66"/>
      <c r="Z1527" s="15">
        <f t="shared" si="286"/>
        <v>151.5</v>
      </c>
      <c r="AA1527" s="3" t="e">
        <f t="shared" si="287"/>
        <v>#DIV/0!</v>
      </c>
      <c r="AB1527" s="344">
        <f>IFERROR(VLOOKUP($G1527,基本資料!$A:$M,11,0),"無")</f>
        <v>-58.07</v>
      </c>
      <c r="AC1527" s="397">
        <f>IFERROR(VLOOKUP($G1527,基本資料!$A:$M,12,0),"無")</f>
        <v>19.03</v>
      </c>
      <c r="AD1527" s="22" t="s">
        <v>132</v>
      </c>
      <c r="AG1527" s="33">
        <f t="shared" si="288"/>
        <v>0</v>
      </c>
      <c r="AH1527" s="117" t="s">
        <v>2061</v>
      </c>
      <c r="AI1527" s="63">
        <f t="shared" si="289"/>
        <v>5.7266393442622953E-3</v>
      </c>
      <c r="AJ1527" s="284">
        <f>RTD("money.excel",,$G1527,"PredictVolume")</f>
        <v>13973</v>
      </c>
      <c r="AK1527" s="399">
        <f>IFERROR(VLOOKUP($G1527,基本資料!$A:$M,13,0),"無")</f>
        <v>12.27</v>
      </c>
    </row>
    <row r="1528" spans="1:37">
      <c r="A1528" s="347">
        <f>IFERROR(VLOOKUP($G1528,基本資料!$A:$J,3,0),"無")</f>
        <v>41.72</v>
      </c>
      <c r="B1528" s="79">
        <f>IFERROR(VLOOKUP($G1528,基本資料!$A:$J,4,0),"無")</f>
        <v>154</v>
      </c>
      <c r="C1528" s="79">
        <f>IFERROR(VLOOKUP($G1528,基本資料!$A:$J,5,0),"無")</f>
        <v>141</v>
      </c>
      <c r="D1528" s="79">
        <f>IFERROR(VLOOKUP($G1528,基本資料!$A:$J,6,0),"無")</f>
        <v>6</v>
      </c>
      <c r="E1528" s="79">
        <f>IFERROR(VLOOKUP($G1528,基本資料!$A:$J,7,0),"無")</f>
        <v>19</v>
      </c>
      <c r="F1528" s="6">
        <f>IFERROR(VLOOKUP($G1528,基本資料!$A:$J,8,0),"無")</f>
        <v>34.46</v>
      </c>
      <c r="G1528" s="79">
        <v>2617</v>
      </c>
      <c r="H1528" s="8" t="s">
        <v>4713</v>
      </c>
      <c r="I1528" s="22" t="s">
        <v>870</v>
      </c>
      <c r="J1528" s="8" t="str">
        <f>IFERROR(VLOOKUP($G1528,今日總結!$A:$AJ,35,0),"")</f>
        <v/>
      </c>
      <c r="K1528" s="5" t="str">
        <f>IFERROR(VLOOKUP($G1528,今日總結!$A:$AJ,36,0),"")</f>
        <v/>
      </c>
      <c r="L1528" s="156" t="str">
        <f>IFERROR(VLOOKUP($G1528,今日總結!$A:$AJ,33,0),"")</f>
        <v/>
      </c>
      <c r="M1528" s="340" t="str">
        <f>IFERROR(VLOOKUP($G1528,今日總結!$A:$AJ,34,0),"")</f>
        <v/>
      </c>
      <c r="N1528" s="240" t="str">
        <f t="shared" si="290"/>
        <v/>
      </c>
      <c r="P1528" s="365">
        <f>IFERROR(VLOOKUP($G1528,融外自投!$A:$J,7,0),"無")</f>
        <v>323</v>
      </c>
      <c r="Q1528" s="79">
        <f>IFERROR(VLOOKUP($G1528,融外自投!$A:$J,9,0),"無")</f>
        <v>683</v>
      </c>
      <c r="R1528" s="346">
        <f>IFERROR(VLOOKUP($G1528,融外自投!$A:$J,8,0),"無")</f>
        <v>887</v>
      </c>
      <c r="S1528" s="81" t="str">
        <f>IFERROR(VLOOKUP($G1528,融外自投!$A:$J,10,0),"無")</f>
        <v>無</v>
      </c>
      <c r="T1528" s="327">
        <f>IFERROR(VLOOKUP($G1528,'321買'!$A:$E,5,0),"'沒有資料'")</f>
        <v>463</v>
      </c>
      <c r="U1528" s="186">
        <f>IFERROR(VLOOKUP($G1528,基本資料!$A:$J,9,0),"無")</f>
        <v>2</v>
      </c>
      <c r="V1528" s="310">
        <f t="shared" si="285"/>
        <v>5.5478502080443831E-2</v>
      </c>
      <c r="W1528" s="94">
        <f>IFERROR(VLOOKUP($G1528,基本資料!$A:$J,10,0),"無")</f>
        <v>3.16</v>
      </c>
      <c r="X1528" s="36">
        <f>RTD("money.excel",,"2617","Price")</f>
        <v>36.049999999999997</v>
      </c>
      <c r="Y1528" s="66"/>
      <c r="Z1528" s="15">
        <f t="shared" si="286"/>
        <v>36.049999999999997</v>
      </c>
      <c r="AA1528" s="3" t="e">
        <f t="shared" si="287"/>
        <v>#DIV/0!</v>
      </c>
      <c r="AB1528" s="344">
        <f>IFERROR(VLOOKUP($G1528,基本資料!$A:$M,11,0),"無")</f>
        <v>-53.33</v>
      </c>
      <c r="AC1528" s="397">
        <f>IFERROR(VLOOKUP($G1528,基本資料!$A:$M,12,0),"無")</f>
        <v>57.1</v>
      </c>
      <c r="AD1528" s="22" t="s">
        <v>870</v>
      </c>
      <c r="AG1528" s="33">
        <f t="shared" si="288"/>
        <v>0</v>
      </c>
      <c r="AH1528" s="43" t="s">
        <v>3271</v>
      </c>
      <c r="AI1528" s="63">
        <f t="shared" si="289"/>
        <v>4.6788111217641419E-3</v>
      </c>
      <c r="AJ1528" s="284">
        <f>RTD("money.excel",,$G1528,"PredictVolume")</f>
        <v>1952</v>
      </c>
      <c r="AK1528" s="399">
        <f>IFERROR(VLOOKUP($G1528,基本資料!$A:$M,13,0),"無")</f>
        <v>33.17</v>
      </c>
    </row>
    <row r="1529" spans="1:37">
      <c r="A1529" s="347">
        <f>IFERROR(VLOOKUP($G1529,基本資料!$A:$J,3,0),"無")</f>
        <v>528</v>
      </c>
      <c r="B1529" s="79">
        <f>IFERROR(VLOOKUP($G1529,基本資料!$A:$J,4,0),"無")</f>
        <v>303</v>
      </c>
      <c r="C1529" s="79">
        <f>IFERROR(VLOOKUP($G1529,基本資料!$A:$J,5,0),"無")</f>
        <v>1352</v>
      </c>
      <c r="D1529" s="79">
        <f>IFERROR(VLOOKUP($G1529,基本資料!$A:$J,6,0),"無")</f>
        <v>23</v>
      </c>
      <c r="E1529" s="79">
        <f>IFERROR(VLOOKUP($G1529,基本資料!$A:$J,7,0),"無")</f>
        <v>49</v>
      </c>
      <c r="F1529" s="6">
        <f>IFERROR(VLOOKUP($G1529,基本資料!$A:$J,8,0),"無")</f>
        <v>9.9700000000000006</v>
      </c>
      <c r="G1529" s="79">
        <v>2618</v>
      </c>
      <c r="H1529" s="8" t="s">
        <v>4713</v>
      </c>
      <c r="I1529" s="22" t="s">
        <v>4620</v>
      </c>
      <c r="J1529" s="8" t="str">
        <f>IFERROR(VLOOKUP($G1529,今日總結!$A:$AJ,35,0),"")</f>
        <v>投</v>
      </c>
      <c r="K1529" s="5">
        <f>IFERROR(VLOOKUP($G1529,今日總結!$A:$AJ,36,0),"")</f>
        <v>0</v>
      </c>
      <c r="L1529" s="156">
        <f>IFERROR(VLOOKUP($G1529,今日總結!$A:$AJ,33,0),"")</f>
        <v>1</v>
      </c>
      <c r="M1529" s="340">
        <f>IFERROR(VLOOKUP($G1529,今日總結!$A:$AJ,34,0),"")</f>
        <v>0</v>
      </c>
      <c r="N1529" s="240">
        <f t="shared" si="290"/>
        <v>1</v>
      </c>
      <c r="P1529" s="365">
        <f>IFERROR(VLOOKUP($G1529,融外自投!$A:$J,7,0),"無")</f>
        <v>407</v>
      </c>
      <c r="Q1529" s="79">
        <f>IFERROR(VLOOKUP($G1529,融外自投!$A:$J,9,0),"無")</f>
        <v>667</v>
      </c>
      <c r="R1529" s="346">
        <f>IFERROR(VLOOKUP($G1529,融外自投!$A:$J,8,0),"無")</f>
        <v>218</v>
      </c>
      <c r="S1529" s="81">
        <f>IFERROR(VLOOKUP($G1529,融外自投!$A:$J,10,0),"無")</f>
        <v>79</v>
      </c>
      <c r="T1529" s="327">
        <f>IFERROR(VLOOKUP($G1529,'321買'!$A:$E,5,0),"'沒有資料'")</f>
        <v>164</v>
      </c>
      <c r="U1529" s="186">
        <f>IFERROR(VLOOKUP($G1529,基本資料!$A:$J,9,0),"無")</f>
        <v>0.6</v>
      </c>
      <c r="V1529" s="310">
        <f t="shared" si="285"/>
        <v>1.7366136034732273E-2</v>
      </c>
      <c r="W1529" s="94">
        <f>IFERROR(VLOOKUP($G1529,基本資料!$A:$J,10,0),"無")</f>
        <v>1.31</v>
      </c>
      <c r="X1529" s="36">
        <f>RTD("money.excel",,"2618","Price")</f>
        <v>34.549999999999997</v>
      </c>
      <c r="Y1529" s="66"/>
      <c r="Z1529" s="15">
        <f t="shared" si="286"/>
        <v>34.549999999999997</v>
      </c>
      <c r="AA1529" s="3" t="e">
        <f t="shared" si="287"/>
        <v>#DIV/0!</v>
      </c>
      <c r="AB1529" s="344">
        <f>IFERROR(VLOOKUP($G1529,基本資料!$A:$M,11,0),"無")</f>
        <v>-6.91</v>
      </c>
      <c r="AC1529" s="397">
        <f>IFERROR(VLOOKUP($G1529,基本資料!$A:$M,12,0),"無")</f>
        <v>77.67</v>
      </c>
      <c r="AD1529" s="22" t="s">
        <v>4620</v>
      </c>
      <c r="AG1529" s="33">
        <f t="shared" si="288"/>
        <v>0</v>
      </c>
      <c r="AH1529" s="117" t="s">
        <v>3272</v>
      </c>
      <c r="AI1529" s="63">
        <f t="shared" si="289"/>
        <v>2.1949621212121212E-2</v>
      </c>
      <c r="AJ1529" s="317">
        <f>RTD("money.excel",,$G1529,"PredictVolume")</f>
        <v>115894</v>
      </c>
      <c r="AK1529" s="399">
        <f>IFERROR(VLOOKUP($G1529,基本資料!$A:$M,13,0),"無")</f>
        <v>13.36</v>
      </c>
    </row>
    <row r="1530" spans="1:37">
      <c r="A1530" s="347">
        <f>IFERROR(VLOOKUP($G1530,基本資料!$A:$J,3,0),"無")</f>
        <v>15.05</v>
      </c>
      <c r="B1530" s="79">
        <f>IFERROR(VLOOKUP($G1530,基本資料!$A:$J,4,0),"無")</f>
        <v>81</v>
      </c>
      <c r="C1530" s="79">
        <f>IFERROR(VLOOKUP($G1530,基本資料!$A:$J,5,0),"無")</f>
        <v>117</v>
      </c>
      <c r="D1530" s="79">
        <f>IFERROR(VLOOKUP($G1530,基本資料!$A:$J,6,0),"無")</f>
        <v>-23</v>
      </c>
      <c r="E1530" s="79">
        <f>IFERROR(VLOOKUP($G1530,基本資料!$A:$J,7,0),"無")</f>
        <v>-11</v>
      </c>
      <c r="F1530" s="6">
        <f>IFERROR(VLOOKUP($G1530,基本資料!$A:$J,8,0),"無")</f>
        <v>0.18</v>
      </c>
      <c r="G1530" s="79">
        <v>2630</v>
      </c>
      <c r="H1530" s="8" t="s">
        <v>4713</v>
      </c>
      <c r="I1530" s="22" t="s">
        <v>871</v>
      </c>
      <c r="J1530" s="8" t="str">
        <f>IFERROR(VLOOKUP($G1530,今日總結!$A:$AJ,35,0),"")</f>
        <v/>
      </c>
      <c r="K1530" s="5" t="str">
        <f>IFERROR(VLOOKUP($G1530,今日總結!$A:$AJ,36,0),"")</f>
        <v/>
      </c>
      <c r="L1530" s="156" t="str">
        <f>IFERROR(VLOOKUP($G1530,今日總結!$A:$AJ,33,0),"")</f>
        <v/>
      </c>
      <c r="M1530" s="340" t="str">
        <f>IFERROR(VLOOKUP($G1530,今日總結!$A:$AJ,34,0),"")</f>
        <v/>
      </c>
      <c r="N1530" s="240" t="str">
        <f t="shared" si="290"/>
        <v/>
      </c>
      <c r="P1530" s="365" t="str">
        <f>IFERROR(VLOOKUP($G1530,融外自投!$A:$J,7,0),"無")</f>
        <v>無</v>
      </c>
      <c r="Q1530" s="79" t="str">
        <f>IFERROR(VLOOKUP($G1530,融外自投!$A:$J,9,0),"無")</f>
        <v>無</v>
      </c>
      <c r="R1530" s="346" t="str">
        <f>IFERROR(VLOOKUP($G1530,融外自投!$A:$J,8,0),"無")</f>
        <v>無</v>
      </c>
      <c r="S1530" s="81" t="str">
        <f>IFERROR(VLOOKUP($G1530,融外自投!$A:$J,10,0),"無")</f>
        <v>無</v>
      </c>
      <c r="T1530" s="327" t="str">
        <f>IFERROR(VLOOKUP($G1530,'321買'!$A:$E,5,0),"'沒有資料'")</f>
        <v>'沒有資料'</v>
      </c>
      <c r="U1530" s="186">
        <f>IFERROR(VLOOKUP($G1530,基本資料!$A:$J,9,0),"無")</f>
        <v>1</v>
      </c>
      <c r="V1530" s="310">
        <f t="shared" si="285"/>
        <v>5.5865921787709501E-2</v>
      </c>
      <c r="W1530" s="94">
        <f>IFERROR(VLOOKUP($G1530,基本資料!$A:$J,10,0),"無")</f>
        <v>0.53</v>
      </c>
      <c r="X1530" s="36">
        <f>RTD("money.excel",,"2630","Price")</f>
        <v>17.899999999999999</v>
      </c>
      <c r="Y1530" s="66"/>
      <c r="Z1530" s="15">
        <f t="shared" si="286"/>
        <v>17.899999999999999</v>
      </c>
      <c r="AA1530" s="3" t="e">
        <f t="shared" si="287"/>
        <v>#DIV/0!</v>
      </c>
      <c r="AB1530" s="344">
        <f>IFERROR(VLOOKUP($G1530,基本資料!$A:$M,11,0),"無")</f>
        <v>-35.64</v>
      </c>
      <c r="AC1530" s="397">
        <f>IFERROR(VLOOKUP($G1530,基本資料!$A:$M,12,0),"無")</f>
        <v>29.81</v>
      </c>
      <c r="AD1530" s="22" t="s">
        <v>871</v>
      </c>
      <c r="AG1530" s="33">
        <f t="shared" si="288"/>
        <v>0</v>
      </c>
      <c r="AH1530" s="43" t="s">
        <v>1944</v>
      </c>
      <c r="AI1530" s="63">
        <f t="shared" si="289"/>
        <v>4.5182724252491695E-4</v>
      </c>
      <c r="AJ1530" s="284">
        <f>RTD("money.excel",,$G1530,"PredictVolume")</f>
        <v>68</v>
      </c>
      <c r="AK1530" s="399">
        <f>IFERROR(VLOOKUP($G1530,基本資料!$A:$M,13,0),"無")</f>
        <v>9.82</v>
      </c>
    </row>
    <row r="1531" spans="1:37">
      <c r="A1531" s="347">
        <f>IFERROR(VLOOKUP($G1531,基本資料!$A:$J,3,0),"無")</f>
        <v>562</v>
      </c>
      <c r="B1531" s="79">
        <f>IFERROR(VLOOKUP($G1531,基本資料!$A:$J,4,0),"無")</f>
        <v>-38</v>
      </c>
      <c r="C1531" s="79">
        <f>IFERROR(VLOOKUP($G1531,基本資料!$A:$J,5,0),"無")</f>
        <v>-71</v>
      </c>
      <c r="D1531" s="79">
        <f>IFERROR(VLOOKUP($G1531,基本資料!$A:$J,6,0),"無")</f>
        <v>-14</v>
      </c>
      <c r="E1531" s="79">
        <f>IFERROR(VLOOKUP($G1531,基本資料!$A:$J,7,0),"無")</f>
        <v>-27</v>
      </c>
      <c r="F1531" s="6">
        <f>IFERROR(VLOOKUP($G1531,基本資料!$A:$J,8,0),"無")</f>
        <v>10.98</v>
      </c>
      <c r="G1531" s="79">
        <v>2633</v>
      </c>
      <c r="H1531" s="8" t="s">
        <v>4713</v>
      </c>
      <c r="I1531" s="22" t="s">
        <v>1117</v>
      </c>
      <c r="J1531" s="8">
        <f>IFERROR(VLOOKUP($G1531,今日總結!$A:$AJ,35,0),"")</f>
        <v>0</v>
      </c>
      <c r="K1531" s="5">
        <f>IFERROR(VLOOKUP($G1531,今日總結!$A:$AJ,36,0),"")</f>
        <v>0</v>
      </c>
      <c r="L1531" s="156">
        <f>IFERROR(VLOOKUP($G1531,今日總結!$A:$AJ,33,0),"")</f>
        <v>0</v>
      </c>
      <c r="M1531" s="340">
        <f>IFERROR(VLOOKUP($G1531,今日總結!$A:$AJ,34,0),"")</f>
        <v>1</v>
      </c>
      <c r="N1531" s="240">
        <f t="shared" si="290"/>
        <v>-1</v>
      </c>
      <c r="P1531" s="365">
        <f>IFERROR(VLOOKUP($G1531,融外自投!$A:$J,7,0),"無")</f>
        <v>1294</v>
      </c>
      <c r="Q1531" s="79">
        <f>IFERROR(VLOOKUP($G1531,融外自投!$A:$J,9,0),"無")</f>
        <v>558</v>
      </c>
      <c r="R1531" s="346">
        <f>IFERROR(VLOOKUP($G1531,融外自投!$A:$J,8,0),"無")</f>
        <v>498</v>
      </c>
      <c r="S1531" s="81">
        <f>IFERROR(VLOOKUP($G1531,融外自投!$A:$J,10,0),"無")</f>
        <v>315</v>
      </c>
      <c r="T1531" s="327">
        <f>IFERROR(VLOOKUP($G1531,'321買'!$A:$E,5,0),"'沒有資料'")</f>
        <v>237</v>
      </c>
      <c r="U1531" s="186">
        <f>IFERROR(VLOOKUP($G1531,基本資料!$A:$J,9,0),"無")</f>
        <v>0.76</v>
      </c>
      <c r="V1531" s="310">
        <f t="shared" si="285"/>
        <v>2.8200371057513916E-2</v>
      </c>
      <c r="W1531" s="94">
        <f>IFERROR(VLOOKUP($G1531,基本資料!$A:$J,10,0),"無")</f>
        <v>0.64</v>
      </c>
      <c r="X1531" s="36">
        <f>RTD("money.excel",,"2633","Price")</f>
        <v>26.95</v>
      </c>
      <c r="Y1531" s="66"/>
      <c r="Z1531" s="15">
        <f t="shared" si="286"/>
        <v>26.95</v>
      </c>
      <c r="AA1531" s="3" t="e">
        <f t="shared" si="287"/>
        <v>#DIV/0!</v>
      </c>
      <c r="AB1531" s="344">
        <f>IFERROR(VLOOKUP($G1531,基本資料!$A:$M,11,0),"無")</f>
        <v>-12.38</v>
      </c>
      <c r="AC1531" s="397">
        <f>IFERROR(VLOOKUP($G1531,基本資料!$A:$M,12,0),"無")</f>
        <v>11.22</v>
      </c>
      <c r="AD1531" s="22" t="s">
        <v>1117</v>
      </c>
      <c r="AG1531" s="33">
        <f t="shared" si="288"/>
        <v>0</v>
      </c>
      <c r="AH1531" s="117" t="s">
        <v>1423</v>
      </c>
      <c r="AI1531" s="63">
        <f t="shared" si="289"/>
        <v>7.6032028469750893E-4</v>
      </c>
      <c r="AJ1531" s="284">
        <f>RTD("money.excel",,$G1531,"PredictVolume")</f>
        <v>4273</v>
      </c>
      <c r="AK1531" s="399">
        <f>IFERROR(VLOOKUP($G1531,基本資料!$A:$M,13,0),"無")</f>
        <v>0.36</v>
      </c>
    </row>
    <row r="1532" spans="1:37">
      <c r="A1532" s="347">
        <f>IFERROR(VLOOKUP($G1532,基本資料!$A:$J,3,0),"無")</f>
        <v>94.18</v>
      </c>
      <c r="B1532" s="79">
        <f>IFERROR(VLOOKUP($G1532,基本資料!$A:$J,4,0),"無")</f>
        <v>40</v>
      </c>
      <c r="C1532" s="79">
        <f>IFERROR(VLOOKUP($G1532,基本資料!$A:$J,5,0),"無")</f>
        <v>173</v>
      </c>
      <c r="D1532" s="79">
        <f>IFERROR(VLOOKUP($G1532,基本資料!$A:$J,6,0),"無")</f>
        <v>-9</v>
      </c>
      <c r="E1532" s="79">
        <f>IFERROR(VLOOKUP($G1532,基本資料!$A:$J,7,0),"無")</f>
        <v>8</v>
      </c>
      <c r="F1532" s="6">
        <f>IFERROR(VLOOKUP($G1532,基本資料!$A:$J,8,0),"無")</f>
        <v>2.0699999999999998</v>
      </c>
      <c r="G1532" s="79">
        <v>2634</v>
      </c>
      <c r="H1532" s="8" t="s">
        <v>4713</v>
      </c>
      <c r="I1532" s="22" t="s">
        <v>114</v>
      </c>
      <c r="J1532" s="8" t="str">
        <f>IFERROR(VLOOKUP($G1532,今日總結!$A:$AJ,35,0),"")</f>
        <v>外</v>
      </c>
      <c r="K1532" s="5">
        <f>IFERROR(VLOOKUP($G1532,今日總結!$A:$AJ,36,0),"")</f>
        <v>9</v>
      </c>
      <c r="L1532" s="156">
        <f>IFERROR(VLOOKUP($G1532,今日總結!$A:$AJ,33,0),"")</f>
        <v>1</v>
      </c>
      <c r="M1532" s="340">
        <f>IFERROR(VLOOKUP($G1532,今日總結!$A:$AJ,34,0),"")</f>
        <v>1</v>
      </c>
      <c r="N1532" s="240">
        <f t="shared" si="290"/>
        <v>0</v>
      </c>
      <c r="P1532" s="365">
        <f>IFERROR(VLOOKUP($G1532,融外自投!$A:$J,7,0),"無")</f>
        <v>816</v>
      </c>
      <c r="Q1532" s="79">
        <f>IFERROR(VLOOKUP($G1532,融外自投!$A:$J,9,0),"無")</f>
        <v>537</v>
      </c>
      <c r="R1532" s="346">
        <f>IFERROR(VLOOKUP($G1532,融外自投!$A:$J,8,0),"無")</f>
        <v>728</v>
      </c>
      <c r="S1532" s="81">
        <f>IFERROR(VLOOKUP($G1532,融外自投!$A:$J,10,0),"無")</f>
        <v>234</v>
      </c>
      <c r="T1532" s="327">
        <f>IFERROR(VLOOKUP($G1532,'321買'!$A:$E,5,0),"'沒有資料'")</f>
        <v>306</v>
      </c>
      <c r="U1532" s="186">
        <f>IFERROR(VLOOKUP($G1532,基本資料!$A:$J,9,0),"無")</f>
        <v>0.35</v>
      </c>
      <c r="V1532" s="310">
        <f t="shared" si="285"/>
        <v>1.0638297872340425E-2</v>
      </c>
      <c r="W1532" s="94">
        <f>IFERROR(VLOOKUP($G1532,基本資料!$A:$J,10,0),"無")</f>
        <v>0.59</v>
      </c>
      <c r="X1532" s="36">
        <f>RTD("money.excel",,"2634","Price")</f>
        <v>32.9</v>
      </c>
      <c r="Y1532" s="66"/>
      <c r="Z1532" s="15">
        <f t="shared" si="286"/>
        <v>32.9</v>
      </c>
      <c r="AA1532" s="3" t="e">
        <f t="shared" si="287"/>
        <v>#DIV/0!</v>
      </c>
      <c r="AB1532" s="344">
        <f>IFERROR(VLOOKUP($G1532,基本資料!$A:$M,11,0),"無")</f>
        <v>-7.79</v>
      </c>
      <c r="AC1532" s="397">
        <f>IFERROR(VLOOKUP($G1532,基本資料!$A:$M,12,0),"無")</f>
        <v>62.85</v>
      </c>
      <c r="AD1532" s="22" t="s">
        <v>114</v>
      </c>
      <c r="AG1532" s="33">
        <f t="shared" si="288"/>
        <v>0</v>
      </c>
      <c r="AH1532" s="117" t="s">
        <v>1428</v>
      </c>
      <c r="AI1532" s="63">
        <f t="shared" si="289"/>
        <v>7.4612444255680605E-3</v>
      </c>
      <c r="AJ1532" s="284">
        <f>RTD("money.excel",,$G1532,"PredictVolume")</f>
        <v>7027</v>
      </c>
      <c r="AK1532" s="399">
        <f>IFERROR(VLOOKUP($G1532,基本資料!$A:$M,13,0),"無")</f>
        <v>3.57</v>
      </c>
    </row>
    <row r="1533" spans="1:37">
      <c r="A1533" s="347">
        <f>IFERROR(VLOOKUP($G1533,基本資料!$A:$J,3,0),"無")</f>
        <v>14.33</v>
      </c>
      <c r="B1533" s="79">
        <f>IFERROR(VLOOKUP($G1533,基本資料!$A:$J,4,0),"無")</f>
        <v>603</v>
      </c>
      <c r="C1533" s="79">
        <f>IFERROR(VLOOKUP($G1533,基本資料!$A:$J,5,0),"無")</f>
        <v>521</v>
      </c>
      <c r="D1533" s="79">
        <f>IFERROR(VLOOKUP($G1533,基本資料!$A:$J,6,0),"無")</f>
        <v>-18</v>
      </c>
      <c r="E1533" s="79">
        <f>IFERROR(VLOOKUP($G1533,基本資料!$A:$J,7,0),"無")</f>
        <v>30</v>
      </c>
      <c r="F1533" s="6">
        <f>IFERROR(VLOOKUP($G1533,基本資料!$A:$J,8,0),"無")</f>
        <v>12</v>
      </c>
      <c r="G1533" s="79">
        <v>2636</v>
      </c>
      <c r="H1533" s="8" t="s">
        <v>302</v>
      </c>
      <c r="I1533" s="22" t="s">
        <v>1922</v>
      </c>
      <c r="J1533" s="8" t="str">
        <f>IFERROR(VLOOKUP($G1533,今日總結!$A:$AJ,35,0),"")</f>
        <v/>
      </c>
      <c r="K1533" s="5" t="str">
        <f>IFERROR(VLOOKUP($G1533,今日總結!$A:$AJ,36,0),"")</f>
        <v/>
      </c>
      <c r="L1533" s="156" t="str">
        <f>IFERROR(VLOOKUP($G1533,今日總結!$A:$AJ,33,0),"")</f>
        <v/>
      </c>
      <c r="M1533" s="340" t="str">
        <f>IFERROR(VLOOKUP($G1533,今日總結!$A:$AJ,34,0),"")</f>
        <v/>
      </c>
      <c r="N1533" s="240" t="str">
        <f t="shared" si="290"/>
        <v/>
      </c>
      <c r="P1533" s="365">
        <f>IFERROR(VLOOKUP($G1533,融外自投!$A:$J,7,0),"無")</f>
        <v>92</v>
      </c>
      <c r="Q1533" s="79">
        <f>IFERROR(VLOOKUP($G1533,融外自投!$A:$J,9,0),"無")</f>
        <v>179</v>
      </c>
      <c r="R1533" s="346">
        <f>IFERROR(VLOOKUP($G1533,融外自投!$A:$J,8,0),"無")</f>
        <v>425</v>
      </c>
      <c r="S1533" s="81">
        <f>IFERROR(VLOOKUP($G1533,融外自投!$A:$J,10,0),"無")</f>
        <v>491</v>
      </c>
      <c r="T1533" s="327">
        <f>IFERROR(VLOOKUP($G1533,'321買'!$A:$E,5,0),"'沒有資料'")</f>
        <v>126</v>
      </c>
      <c r="U1533" s="186">
        <f>IFERROR(VLOOKUP($G1533,基本資料!$A:$J,9,0),"無")</f>
        <v>13</v>
      </c>
      <c r="V1533" s="310">
        <f t="shared" si="285"/>
        <v>0.1092436974789916</v>
      </c>
      <c r="W1533" s="94">
        <f>IFERROR(VLOOKUP($G1533,基本資料!$A:$J,10,0),"無")</f>
        <v>30.03</v>
      </c>
      <c r="X1533" s="36">
        <f>RTD("money.excel",,"2636","Price")</f>
        <v>119</v>
      </c>
      <c r="Y1533" s="66"/>
      <c r="Z1533" s="15">
        <f t="shared" si="286"/>
        <v>119</v>
      </c>
      <c r="AA1533" s="3" t="e">
        <f t="shared" si="287"/>
        <v>#DIV/0!</v>
      </c>
      <c r="AB1533" s="344">
        <f>IFERROR(VLOOKUP($G1533,基本資料!$A:$M,11,0),"無")</f>
        <v>-62.62</v>
      </c>
      <c r="AC1533" s="397">
        <f>IFERROR(VLOOKUP($G1533,基本資料!$A:$M,12,0),"無")</f>
        <v>23.48</v>
      </c>
      <c r="AD1533" s="22" t="s">
        <v>1922</v>
      </c>
      <c r="AG1533" s="33">
        <f t="shared" si="288"/>
        <v>0</v>
      </c>
      <c r="AH1533" s="43" t="s">
        <v>2014</v>
      </c>
      <c r="AI1533" s="63">
        <f t="shared" si="289"/>
        <v>8.5973482205163997E-3</v>
      </c>
      <c r="AJ1533" s="284">
        <f>RTD("money.excel",,$G1533,"PredictVolume")</f>
        <v>1232</v>
      </c>
      <c r="AK1533" s="399">
        <f>IFERROR(VLOOKUP($G1533,基本資料!$A:$M,13,0),"無")</f>
        <v>50.16</v>
      </c>
    </row>
    <row r="1534" spans="1:37">
      <c r="A1534" s="347">
        <f>IFERROR(VLOOKUP($G1534,基本資料!$A:$J,3,0),"無")</f>
        <v>76.36</v>
      </c>
      <c r="B1534" s="79">
        <f>IFERROR(VLOOKUP($G1534,基本資料!$A:$J,4,0),"無")</f>
        <v>7300</v>
      </c>
      <c r="C1534" s="79">
        <f>IFERROR(VLOOKUP($G1534,基本資料!$A:$J,5,0),"無")</f>
        <v>451</v>
      </c>
      <c r="D1534" s="79">
        <f>IFERROR(VLOOKUP($G1534,基本資料!$A:$J,6,0),"無")</f>
        <v>9</v>
      </c>
      <c r="E1534" s="79">
        <f>IFERROR(VLOOKUP($G1534,基本資料!$A:$J,7,0),"無")</f>
        <v>73</v>
      </c>
      <c r="F1534" s="6">
        <f>IFERROR(VLOOKUP($G1534,基本資料!$A:$J,8,0),"無")</f>
        <v>43.08</v>
      </c>
      <c r="G1534" s="79">
        <v>2637</v>
      </c>
      <c r="H1534" s="8" t="s">
        <v>302</v>
      </c>
      <c r="I1534" s="22" t="s">
        <v>872</v>
      </c>
      <c r="J1534" s="8" t="str">
        <f>IFERROR(VLOOKUP($G1534,今日總結!$A:$AJ,35,0),"")</f>
        <v>投</v>
      </c>
      <c r="K1534" s="5">
        <f>IFERROR(VLOOKUP($G1534,今日總結!$A:$AJ,36,0),"")</f>
        <v>4</v>
      </c>
      <c r="L1534" s="156">
        <f>IFERROR(VLOOKUP($G1534,今日總結!$A:$AJ,33,0),"")</f>
        <v>1</v>
      </c>
      <c r="M1534" s="340">
        <f>IFERROR(VLOOKUP($G1534,今日總結!$A:$AJ,34,0),"")</f>
        <v>1</v>
      </c>
      <c r="N1534" s="240">
        <f t="shared" si="290"/>
        <v>0</v>
      </c>
      <c r="P1534" s="365">
        <f>IFERROR(VLOOKUP($G1534,融外自投!$A:$J,7,0),"無")</f>
        <v>754</v>
      </c>
      <c r="Q1534" s="79">
        <f>IFERROR(VLOOKUP($G1534,融外自投!$A:$J,9,0),"無")</f>
        <v>189</v>
      </c>
      <c r="R1534" s="346">
        <f>IFERROR(VLOOKUP($G1534,融外自投!$A:$J,8,0),"無")</f>
        <v>243</v>
      </c>
      <c r="S1534" s="81">
        <f>IFERROR(VLOOKUP($G1534,融外自投!$A:$J,10,0),"無")</f>
        <v>76</v>
      </c>
      <c r="T1534" s="327">
        <f>IFERROR(VLOOKUP($G1534,'321買'!$A:$E,5,0),"'沒有資料'")</f>
        <v>164</v>
      </c>
      <c r="U1534" s="186">
        <f>IFERROR(VLOOKUP($G1534,基本資料!$A:$J,9,0),"無")</f>
        <v>5.5</v>
      </c>
      <c r="V1534" s="310">
        <f t="shared" si="285"/>
        <v>5.6122448979591837E-2</v>
      </c>
      <c r="W1534" s="94">
        <f>IFERROR(VLOOKUP($G1534,基本資料!$A:$J,10,0),"無")</f>
        <v>11.05</v>
      </c>
      <c r="X1534" s="36">
        <f>RTD("money.excel",,"2637","Price")</f>
        <v>98</v>
      </c>
      <c r="Y1534" s="66"/>
      <c r="Z1534" s="15">
        <f t="shared" si="286"/>
        <v>98</v>
      </c>
      <c r="AA1534" s="3" t="e">
        <f t="shared" si="287"/>
        <v>#DIV/0!</v>
      </c>
      <c r="AB1534" s="344">
        <f>IFERROR(VLOOKUP($G1534,基本資料!$A:$M,11,0),"無")</f>
        <v>-16.940000000000001</v>
      </c>
      <c r="AC1534" s="397">
        <f>IFERROR(VLOOKUP($G1534,基本資料!$A:$M,12,0),"無")</f>
        <v>69.900000000000006</v>
      </c>
      <c r="AD1534" s="22" t="s">
        <v>872</v>
      </c>
      <c r="AG1534" s="33">
        <f t="shared" si="288"/>
        <v>0</v>
      </c>
      <c r="AH1534" s="43" t="s">
        <v>2015</v>
      </c>
      <c r="AI1534" s="63">
        <f t="shared" si="289"/>
        <v>3.9927972760607645E-2</v>
      </c>
      <c r="AJ1534" s="284">
        <f>RTD("money.excel",,$G1534,"PredictVolume")</f>
        <v>30489</v>
      </c>
      <c r="AK1534" s="399">
        <f>IFERROR(VLOOKUP($G1534,基本資料!$A:$M,13,0),"無")</f>
        <v>26.83</v>
      </c>
    </row>
    <row r="1535" spans="1:37">
      <c r="A1535" s="347">
        <f>IFERROR(VLOOKUP($G1535,基本資料!$A:$J,3,0),"無")</f>
        <v>19.010000000000002</v>
      </c>
      <c r="B1535" s="79">
        <f>IFERROR(VLOOKUP($G1535,基本資料!$A:$J,4,0),"無")</f>
        <v>294</v>
      </c>
      <c r="C1535" s="79">
        <f>IFERROR(VLOOKUP($G1535,基本資料!$A:$J,5,0),"無")</f>
        <v>169</v>
      </c>
      <c r="D1535" s="79">
        <f>IFERROR(VLOOKUP($G1535,基本資料!$A:$J,6,0),"無")</f>
        <v>20</v>
      </c>
      <c r="E1535" s="79">
        <f>IFERROR(VLOOKUP($G1535,基本資料!$A:$J,7,0),"無")</f>
        <v>90</v>
      </c>
      <c r="F1535" s="6">
        <f>IFERROR(VLOOKUP($G1535,基本資料!$A:$J,8,0),"無")</f>
        <v>30.87</v>
      </c>
      <c r="G1535" s="79">
        <v>2641</v>
      </c>
      <c r="H1535" s="8" t="s">
        <v>4713</v>
      </c>
      <c r="I1535" s="16" t="s">
        <v>860</v>
      </c>
      <c r="J1535" s="8">
        <f>IFERROR(VLOOKUP($G1535,今日總結!$A:$AJ,35,0),"")</f>
        <v>0</v>
      </c>
      <c r="K1535" s="5">
        <f>IFERROR(VLOOKUP($G1535,今日總結!$A:$AJ,36,0),"")</f>
        <v>0</v>
      </c>
      <c r="L1535" s="156">
        <f>IFERROR(VLOOKUP($G1535,今日總結!$A:$AJ,33,0),"")</f>
        <v>0</v>
      </c>
      <c r="M1535" s="340">
        <f>IFERROR(VLOOKUP($G1535,今日總結!$A:$AJ,34,0),"")</f>
        <v>1</v>
      </c>
      <c r="N1535" s="240">
        <f t="shared" si="290"/>
        <v>-1</v>
      </c>
      <c r="P1535" s="365">
        <f>IFERROR(VLOOKUP($G1535,融外自投!$A:$J,7,0),"無")</f>
        <v>132</v>
      </c>
      <c r="Q1535" s="79">
        <f>IFERROR(VLOOKUP($G1535,融外自投!$A:$J,9,0),"無")</f>
        <v>635</v>
      </c>
      <c r="R1535" s="346">
        <f>IFERROR(VLOOKUP($G1535,融外自投!$A:$J,8,0),"無")</f>
        <v>1051</v>
      </c>
      <c r="S1535" s="81" t="str">
        <f>IFERROR(VLOOKUP($G1535,融外自投!$A:$J,10,0),"無")</f>
        <v>無</v>
      </c>
      <c r="T1535" s="327">
        <f>IFERROR(VLOOKUP($G1535,'321買'!$A:$E,5,0),"'沒有資料'")</f>
        <v>336</v>
      </c>
      <c r="U1535" s="186">
        <f>IFERROR(VLOOKUP($G1535,基本資料!$A:$J,9,0),"無")</f>
        <v>0.8</v>
      </c>
      <c r="V1535" s="310">
        <f t="shared" si="285"/>
        <v>2.8985507246376812E-2</v>
      </c>
      <c r="W1535" s="94">
        <f>IFERROR(VLOOKUP($G1535,基本資料!$A:$J,10,0),"無")</f>
        <v>2.2400000000000002</v>
      </c>
      <c r="X1535" s="36">
        <f>RTD("money.excel",,"2641","Price")</f>
        <v>27.6</v>
      </c>
      <c r="Y1535" s="66"/>
      <c r="Z1535" s="15">
        <f t="shared" si="286"/>
        <v>27.6</v>
      </c>
      <c r="AA1535" s="3" t="e">
        <f t="shared" si="287"/>
        <v>#DIV/0!</v>
      </c>
      <c r="AB1535" s="344">
        <f>IFERROR(VLOOKUP($G1535,基本資料!$A:$M,11,0),"無")</f>
        <v>-37.29</v>
      </c>
      <c r="AC1535" s="397">
        <f>IFERROR(VLOOKUP($G1535,基本資料!$A:$M,12,0),"無")</f>
        <v>59.7</v>
      </c>
      <c r="AD1535" s="16" t="s">
        <v>860</v>
      </c>
      <c r="AG1535" s="33">
        <f t="shared" si="288"/>
        <v>0</v>
      </c>
      <c r="AH1535" s="43" t="s">
        <v>2106</v>
      </c>
      <c r="AI1535" s="63">
        <f t="shared" si="289"/>
        <v>4.6480799579168848E-2</v>
      </c>
      <c r="AJ1535" s="284">
        <f>RTD("money.excel",,$G1535,"PredictVolume")</f>
        <v>8836</v>
      </c>
      <c r="AK1535" s="399">
        <f>IFERROR(VLOOKUP($G1535,基本資料!$A:$M,13,0),"無")</f>
        <v>49.87</v>
      </c>
    </row>
    <row r="1536" spans="1:37">
      <c r="A1536" s="347">
        <f>IFERROR(VLOOKUP($G1536,基本資料!$A:$J,3,0),"無")</f>
        <v>9.5399999999999991</v>
      </c>
      <c r="B1536" s="79">
        <f>IFERROR(VLOOKUP($G1536,基本資料!$A:$J,4,0),"無")</f>
        <v>15</v>
      </c>
      <c r="C1536" s="79">
        <f>IFERROR(VLOOKUP($G1536,基本資料!$A:$J,5,0),"無")</f>
        <v>16</v>
      </c>
      <c r="D1536" s="79">
        <f>IFERROR(VLOOKUP($G1536,基本資料!$A:$J,6,0),"無")</f>
        <v>8</v>
      </c>
      <c r="E1536" s="79">
        <f>IFERROR(VLOOKUP($G1536,基本資料!$A:$J,7,0),"無")</f>
        <v>5</v>
      </c>
      <c r="F1536" s="6">
        <f>IFERROR(VLOOKUP($G1536,基本資料!$A:$J,8,0),"無")</f>
        <v>6.37</v>
      </c>
      <c r="G1536" s="79">
        <v>2642</v>
      </c>
      <c r="H1536" s="8" t="s">
        <v>302</v>
      </c>
      <c r="I1536" s="22" t="s">
        <v>873</v>
      </c>
      <c r="J1536" s="8" t="str">
        <f>IFERROR(VLOOKUP($G1536,今日總結!$A:$AJ,35,0),"")</f>
        <v/>
      </c>
      <c r="K1536" s="5" t="str">
        <f>IFERROR(VLOOKUP($G1536,今日總結!$A:$AJ,36,0),"")</f>
        <v/>
      </c>
      <c r="L1536" s="156" t="str">
        <f>IFERROR(VLOOKUP($G1536,今日總結!$A:$AJ,33,0),"")</f>
        <v/>
      </c>
      <c r="M1536" s="340" t="str">
        <f>IFERROR(VLOOKUP($G1536,今日總結!$A:$AJ,34,0),"")</f>
        <v/>
      </c>
      <c r="N1536" s="240" t="str">
        <f t="shared" si="290"/>
        <v/>
      </c>
      <c r="P1536" s="365">
        <f>IFERROR(VLOOKUP($G1536,融外自投!$A:$J,7,0),"無")</f>
        <v>392</v>
      </c>
      <c r="Q1536" s="79">
        <f>IFERROR(VLOOKUP($G1536,融外自投!$A:$J,9,0),"無")</f>
        <v>77</v>
      </c>
      <c r="R1536" s="346">
        <f>IFERROR(VLOOKUP($G1536,融外自投!$A:$J,8,0),"無")</f>
        <v>773</v>
      </c>
      <c r="S1536" s="81" t="str">
        <f>IFERROR(VLOOKUP($G1536,融外自投!$A:$J,10,0),"無")</f>
        <v>無</v>
      </c>
      <c r="T1536" s="327">
        <f>IFERROR(VLOOKUP($G1536,'321買'!$A:$E,5,0),"'沒有資料'")</f>
        <v>237</v>
      </c>
      <c r="U1536" s="186">
        <f>IFERROR(VLOOKUP($G1536,基本資料!$A:$J,9,0),"無")</f>
        <v>2.1</v>
      </c>
      <c r="V1536" s="310">
        <f t="shared" si="285"/>
        <v>2.9247910863509752E-2</v>
      </c>
      <c r="W1536" s="94">
        <f>IFERROR(VLOOKUP($G1536,基本資料!$A:$J,10,0),"無")</f>
        <v>2.52</v>
      </c>
      <c r="X1536" s="36">
        <f>RTD("money.excel",,"2642","Price")</f>
        <v>71.8</v>
      </c>
      <c r="Y1536" s="66"/>
      <c r="Z1536" s="15">
        <f t="shared" si="286"/>
        <v>71.8</v>
      </c>
      <c r="AA1536" s="3" t="e">
        <f t="shared" si="287"/>
        <v>#DIV/0!</v>
      </c>
      <c r="AB1536" s="344">
        <f>IFERROR(VLOOKUP($G1536,基本資料!$A:$M,11,0),"無")</f>
        <v>-50.49</v>
      </c>
      <c r="AC1536" s="397">
        <f>IFERROR(VLOOKUP($G1536,基本資料!$A:$M,12,0),"無")</f>
        <v>38.08</v>
      </c>
      <c r="AD1536" s="22" t="s">
        <v>873</v>
      </c>
      <c r="AG1536" s="33">
        <f t="shared" si="288"/>
        <v>0</v>
      </c>
      <c r="AH1536" s="43" t="s">
        <v>2035</v>
      </c>
      <c r="AI1536" s="63">
        <f t="shared" si="289"/>
        <v>1.3218029350104825E-2</v>
      </c>
      <c r="AJ1536" s="284">
        <f>RTD("money.excel",,$G1536,"PredictVolume")</f>
        <v>1261</v>
      </c>
      <c r="AK1536" s="399">
        <f>IFERROR(VLOOKUP($G1536,基本資料!$A:$M,13,0),"無")</f>
        <v>56.06</v>
      </c>
    </row>
    <row r="1537" spans="1:37">
      <c r="A1537" s="347">
        <f>IFERROR(VLOOKUP($G1537,基本資料!$A:$J,3,0),"無")</f>
        <v>3</v>
      </c>
      <c r="B1537" s="79">
        <f>IFERROR(VLOOKUP($G1537,基本資料!$A:$J,4,0),"無")</f>
        <v>36</v>
      </c>
      <c r="C1537" s="79">
        <f>IFERROR(VLOOKUP($G1537,基本資料!$A:$J,5,0),"無")</f>
        <v>56</v>
      </c>
      <c r="D1537" s="79">
        <f>IFERROR(VLOOKUP($G1537,基本資料!$A:$J,6,0),"無")</f>
        <v>17</v>
      </c>
      <c r="E1537" s="79">
        <f>IFERROR(VLOOKUP($G1537,基本資料!$A:$J,7,0),"無")</f>
        <v>38</v>
      </c>
      <c r="F1537" s="6">
        <f>IFERROR(VLOOKUP($G1537,基本資料!$A:$J,8,0),"無")</f>
        <v>7.23</v>
      </c>
      <c r="G1537" s="79">
        <v>2643</v>
      </c>
      <c r="H1537" s="8" t="s">
        <v>4713</v>
      </c>
      <c r="I1537" s="16" t="s">
        <v>861</v>
      </c>
      <c r="J1537" s="8" t="str">
        <f>IFERROR(VLOOKUP($G1537,今日總結!$A:$AJ,35,0),"")</f>
        <v/>
      </c>
      <c r="K1537" s="5" t="str">
        <f>IFERROR(VLOOKUP($G1537,今日總結!$A:$AJ,36,0),"")</f>
        <v/>
      </c>
      <c r="L1537" s="156" t="str">
        <f>IFERROR(VLOOKUP($G1537,今日總結!$A:$AJ,33,0),"")</f>
        <v/>
      </c>
      <c r="M1537" s="340" t="str">
        <f>IFERROR(VLOOKUP($G1537,今日總結!$A:$AJ,34,0),"")</f>
        <v/>
      </c>
      <c r="N1537" s="240" t="str">
        <f t="shared" si="290"/>
        <v/>
      </c>
      <c r="P1537" s="365">
        <f>IFERROR(VLOOKUP($G1537,融外自投!$A:$J,7,0),"無")</f>
        <v>557</v>
      </c>
      <c r="Q1537" s="79">
        <f>IFERROR(VLOOKUP($G1537,融外自投!$A:$J,9,0),"無")</f>
        <v>414</v>
      </c>
      <c r="R1537" s="346">
        <f>IFERROR(VLOOKUP($G1537,融外自投!$A:$J,8,0),"無")</f>
        <v>1188</v>
      </c>
      <c r="S1537" s="81" t="str">
        <f>IFERROR(VLOOKUP($G1537,融外自投!$A:$J,10,0),"無")</f>
        <v>無</v>
      </c>
      <c r="T1537" s="327">
        <f>IFERROR(VLOOKUP($G1537,'321買'!$A:$E,5,0),"'沒有資料'")</f>
        <v>964</v>
      </c>
      <c r="U1537" s="186">
        <f>IFERROR(VLOOKUP($G1537,基本資料!$A:$J,9,0),"無")</f>
        <v>5</v>
      </c>
      <c r="V1537" s="310">
        <f t="shared" si="285"/>
        <v>6.8399452804377564E-2</v>
      </c>
      <c r="W1537" s="94">
        <f>IFERROR(VLOOKUP($G1537,基本資料!$A:$J,10,0),"無")</f>
        <v>9.7200000000000006</v>
      </c>
      <c r="X1537" s="36">
        <f>RTD("money.excel",,"2643","Price")</f>
        <v>73.099999999999994</v>
      </c>
      <c r="Y1537" s="66"/>
      <c r="Z1537" s="15">
        <f t="shared" si="286"/>
        <v>73.099999999999994</v>
      </c>
      <c r="AA1537" s="3" t="e">
        <f t="shared" si="287"/>
        <v>#DIV/0!</v>
      </c>
      <c r="AB1537" s="344">
        <f>IFERROR(VLOOKUP($G1537,基本資料!$A:$M,11,0),"無")</f>
        <v>-45.3</v>
      </c>
      <c r="AC1537" s="397">
        <f>IFERROR(VLOOKUP($G1537,基本資料!$A:$M,12,0),"無")</f>
        <v>29.12</v>
      </c>
      <c r="AD1537" s="16" t="s">
        <v>861</v>
      </c>
      <c r="AG1537" s="33">
        <f t="shared" si="288"/>
        <v>0</v>
      </c>
      <c r="AH1537" s="43" t="s">
        <v>2661</v>
      </c>
      <c r="AI1537" s="63">
        <f t="shared" si="289"/>
        <v>2.7000000000000001E-3</v>
      </c>
      <c r="AJ1537" s="284">
        <f>RTD("money.excel",,$G1537,"PredictVolume")</f>
        <v>81</v>
      </c>
      <c r="AK1537" s="399">
        <f>IFERROR(VLOOKUP($G1537,基本資料!$A:$M,13,0),"無")</f>
        <v>35.450000000000003</v>
      </c>
    </row>
    <row r="1538" spans="1:37">
      <c r="A1538" s="347">
        <f>IFERROR(VLOOKUP($G1538,基本資料!$A:$J,3,0),"無")</f>
        <v>6.48</v>
      </c>
      <c r="B1538" s="79">
        <f>IFERROR(VLOOKUP($G1538,基本資料!$A:$J,4,0),"無")</f>
        <v>-4</v>
      </c>
      <c r="C1538" s="79">
        <f>IFERROR(VLOOKUP($G1538,基本資料!$A:$J,5,0),"無")</f>
        <v>-9</v>
      </c>
      <c r="D1538" s="79">
        <f>IFERROR(VLOOKUP($G1538,基本資料!$A:$J,6,0),"無")</f>
        <v>5</v>
      </c>
      <c r="E1538" s="79">
        <f>IFERROR(VLOOKUP($G1538,基本資料!$A:$J,7,0),"無")</f>
        <v>16</v>
      </c>
      <c r="F1538" s="6">
        <f>IFERROR(VLOOKUP($G1538,基本資料!$A:$J,8,0),"無")</f>
        <v>27.05</v>
      </c>
      <c r="G1538" s="79">
        <v>5601</v>
      </c>
      <c r="H1538" s="8" t="s">
        <v>4713</v>
      </c>
      <c r="I1538" s="16" t="s">
        <v>862</v>
      </c>
      <c r="J1538" s="8" t="str">
        <f>IFERROR(VLOOKUP($G1538,今日總結!$A:$AJ,35,0),"")</f>
        <v/>
      </c>
      <c r="K1538" s="5" t="str">
        <f>IFERROR(VLOOKUP($G1538,今日總結!$A:$AJ,36,0),"")</f>
        <v/>
      </c>
      <c r="L1538" s="156" t="str">
        <f>IFERROR(VLOOKUP($G1538,今日總結!$A:$AJ,33,0),"")</f>
        <v/>
      </c>
      <c r="M1538" s="340" t="str">
        <f>IFERROR(VLOOKUP($G1538,今日總結!$A:$AJ,34,0),"")</f>
        <v/>
      </c>
      <c r="N1538" s="240" t="str">
        <f t="shared" si="290"/>
        <v/>
      </c>
      <c r="P1538" s="365">
        <f>IFERROR(VLOOKUP($G1538,融外自投!$A:$J,7,0),"無")</f>
        <v>1431</v>
      </c>
      <c r="Q1538" s="79" t="str">
        <f>IFERROR(VLOOKUP($G1538,融外自投!$A:$J,9,0),"無")</f>
        <v>無</v>
      </c>
      <c r="R1538" s="346">
        <f>IFERROR(VLOOKUP($G1538,融外自投!$A:$J,8,0),"無")</f>
        <v>1120</v>
      </c>
      <c r="S1538" s="81" t="str">
        <f>IFERROR(VLOOKUP($G1538,融外自投!$A:$J,10,0),"無")</f>
        <v>無</v>
      </c>
      <c r="T1538" s="327" t="str">
        <f>IFERROR(VLOOKUP($G1538,'321買'!$A:$E,5,0),"'沒有資料'")</f>
        <v>'沒有資料'</v>
      </c>
      <c r="U1538" s="186">
        <f>IFERROR(VLOOKUP($G1538,基本資料!$A:$J,9,0),"無")</f>
        <v>0.26</v>
      </c>
      <c r="V1538" s="310">
        <f t="shared" si="285"/>
        <v>6.4596273291925464E-3</v>
      </c>
      <c r="W1538" s="94">
        <f>IFERROR(VLOOKUP($G1538,基本資料!$A:$J,10,0),"無")</f>
        <v>0.28000000000000003</v>
      </c>
      <c r="X1538" s="36">
        <f>RTD("money.excel",,"5601","Price")</f>
        <v>40.25</v>
      </c>
      <c r="Y1538" s="66"/>
      <c r="Z1538" s="15">
        <f t="shared" si="286"/>
        <v>40.25</v>
      </c>
      <c r="AA1538" s="3" t="e">
        <f t="shared" si="287"/>
        <v>#DIV/0!</v>
      </c>
      <c r="AB1538" s="344">
        <f>IFERROR(VLOOKUP($G1538,基本資料!$A:$M,11,0),"無")</f>
        <v>-6.92</v>
      </c>
      <c r="AC1538" s="397">
        <f>IFERROR(VLOOKUP($G1538,基本資料!$A:$M,12,0),"無")</f>
        <v>66.47</v>
      </c>
      <c r="AD1538" s="16" t="s">
        <v>862</v>
      </c>
      <c r="AG1538" s="33">
        <f t="shared" si="288"/>
        <v>0</v>
      </c>
      <c r="AH1538" s="43" t="s">
        <v>2662</v>
      </c>
      <c r="AI1538" s="63">
        <f t="shared" si="289"/>
        <v>6.1728395061728383E-5</v>
      </c>
      <c r="AJ1538" s="284">
        <f>RTD("money.excel",,$G1538,"PredictVolume")</f>
        <v>4</v>
      </c>
      <c r="AK1538" s="399">
        <f>IFERROR(VLOOKUP($G1538,基本資料!$A:$M,13,0),"無")</f>
        <v>1.96</v>
      </c>
    </row>
    <row r="1539" spans="1:37">
      <c r="A1539" s="347">
        <f>IFERROR(VLOOKUP($G1539,基本資料!$A:$J,3,0),"無")</f>
        <v>8.06</v>
      </c>
      <c r="B1539" s="79">
        <f>IFERROR(VLOOKUP($G1539,基本資料!$A:$J,4,0),"無")</f>
        <v>484</v>
      </c>
      <c r="C1539" s="79">
        <f>IFERROR(VLOOKUP($G1539,基本資料!$A:$J,5,0),"無")</f>
        <v>69</v>
      </c>
      <c r="D1539" s="79">
        <f>IFERROR(VLOOKUP($G1539,基本資料!$A:$J,6,0),"無")</f>
        <v>-28</v>
      </c>
      <c r="E1539" s="79">
        <f>IFERROR(VLOOKUP($G1539,基本資料!$A:$J,7,0),"無")</f>
        <v>1</v>
      </c>
      <c r="F1539" s="6">
        <f>IFERROR(VLOOKUP($G1539,基本資料!$A:$J,8,0),"無")</f>
        <v>4.95</v>
      </c>
      <c r="G1539" s="79">
        <v>5603</v>
      </c>
      <c r="H1539" s="195" t="s">
        <v>302</v>
      </c>
      <c r="I1539" s="16" t="s">
        <v>81</v>
      </c>
      <c r="J1539" s="8" t="str">
        <f>IFERROR(VLOOKUP($G1539,今日總結!$A:$AJ,35,0),"")</f>
        <v/>
      </c>
      <c r="K1539" s="5" t="str">
        <f>IFERROR(VLOOKUP($G1539,今日總結!$A:$AJ,36,0),"")</f>
        <v/>
      </c>
      <c r="L1539" s="156" t="str">
        <f>IFERROR(VLOOKUP($G1539,今日總結!$A:$AJ,33,0),"")</f>
        <v/>
      </c>
      <c r="M1539" s="340" t="str">
        <f>IFERROR(VLOOKUP($G1539,今日總結!$A:$AJ,34,0),"")</f>
        <v/>
      </c>
      <c r="N1539" s="240" t="str">
        <f t="shared" si="290"/>
        <v/>
      </c>
      <c r="P1539" s="365">
        <f>IFERROR(VLOOKUP($G1539,融外自投!$A:$J,7,0),"無")</f>
        <v>442</v>
      </c>
      <c r="Q1539" s="79">
        <f>IFERROR(VLOOKUP($G1539,融外自投!$A:$J,9,0),"無")</f>
        <v>139</v>
      </c>
      <c r="R1539" s="346">
        <f>IFERROR(VLOOKUP($G1539,融外自投!$A:$J,8,0),"無")</f>
        <v>364</v>
      </c>
      <c r="S1539" s="81" t="str">
        <f>IFERROR(VLOOKUP($G1539,融外自投!$A:$J,10,0),"無")</f>
        <v>無</v>
      </c>
      <c r="T1539" s="327">
        <f>IFERROR(VLOOKUP($G1539,'321買'!$A:$E,5,0),"'沒有資料'")</f>
        <v>729</v>
      </c>
      <c r="U1539" s="186">
        <f>IFERROR(VLOOKUP($G1539,基本資料!$A:$J,9,0),"無")</f>
        <v>7</v>
      </c>
      <c r="V1539" s="310">
        <f t="shared" si="285"/>
        <v>0.14613778705636743</v>
      </c>
      <c r="W1539" s="94">
        <f>IFERROR(VLOOKUP($G1539,基本資料!$A:$J,10,0),"無")</f>
        <v>9.1999999999999993</v>
      </c>
      <c r="X1539" s="36">
        <f>RTD("money.excel",,"5603","Price")</f>
        <v>47.9</v>
      </c>
      <c r="Y1539" s="66"/>
      <c r="Z1539" s="15">
        <f t="shared" si="286"/>
        <v>47.9</v>
      </c>
      <c r="AA1539" s="3" t="e">
        <f t="shared" si="287"/>
        <v>#DIV/0!</v>
      </c>
      <c r="AB1539" s="344">
        <f>IFERROR(VLOOKUP($G1539,基本資料!$A:$M,11,0),"無")</f>
        <v>-14.22</v>
      </c>
      <c r="AC1539" s="397">
        <f>IFERROR(VLOOKUP($G1539,基本資料!$A:$M,12,0),"無")</f>
        <v>75.53</v>
      </c>
      <c r="AD1539" s="16" t="s">
        <v>81</v>
      </c>
      <c r="AG1539" s="33">
        <f t="shared" si="288"/>
        <v>0</v>
      </c>
      <c r="AH1539" s="117" t="s">
        <v>2663</v>
      </c>
      <c r="AI1539" s="63">
        <f t="shared" si="289"/>
        <v>1.0049627791563275E-2</v>
      </c>
      <c r="AJ1539" s="284">
        <f>RTD("money.excel",,$G1539,"PredictVolume")</f>
        <v>810</v>
      </c>
      <c r="AK1539" s="399">
        <f>IFERROR(VLOOKUP($G1539,基本資料!$A:$M,13,0),"無")</f>
        <v>39.119999999999997</v>
      </c>
    </row>
    <row r="1540" spans="1:37">
      <c r="A1540" s="347">
        <f>IFERROR(VLOOKUP($G1540,基本資料!$A:$J,3,0),"無")</f>
        <v>10.87</v>
      </c>
      <c r="B1540" s="79">
        <f>IFERROR(VLOOKUP($G1540,基本資料!$A:$J,4,0),"無")</f>
        <v>-23</v>
      </c>
      <c r="C1540" s="79">
        <f>IFERROR(VLOOKUP($G1540,基本資料!$A:$J,5,0),"無")</f>
        <v>39</v>
      </c>
      <c r="D1540" s="79">
        <f>IFERROR(VLOOKUP($G1540,基本資料!$A:$J,6,0),"無")</f>
        <v>0</v>
      </c>
      <c r="E1540" s="79">
        <f>IFERROR(VLOOKUP($G1540,基本資料!$A:$J,7,0),"無")</f>
        <v>13</v>
      </c>
      <c r="F1540" s="6">
        <f>IFERROR(VLOOKUP($G1540,基本資料!$A:$J,8,0),"無")</f>
        <v>65.27</v>
      </c>
      <c r="G1540" s="79">
        <v>5604</v>
      </c>
      <c r="H1540" s="8" t="s">
        <v>4713</v>
      </c>
      <c r="I1540" s="16" t="s">
        <v>863</v>
      </c>
      <c r="J1540" s="8" t="str">
        <f>IFERROR(VLOOKUP($G1540,今日總結!$A:$AJ,35,0),"")</f>
        <v/>
      </c>
      <c r="K1540" s="5" t="str">
        <f>IFERROR(VLOOKUP($G1540,今日總結!$A:$AJ,36,0),"")</f>
        <v/>
      </c>
      <c r="L1540" s="156" t="str">
        <f>IFERROR(VLOOKUP($G1540,今日總結!$A:$AJ,33,0),"")</f>
        <v/>
      </c>
      <c r="M1540" s="340" t="str">
        <f>IFERROR(VLOOKUP($G1540,今日總結!$A:$AJ,34,0),"")</f>
        <v/>
      </c>
      <c r="N1540" s="240" t="str">
        <f t="shared" si="290"/>
        <v/>
      </c>
      <c r="P1540" s="365">
        <f>IFERROR(VLOOKUP($G1540,融外自投!$A:$J,7,0),"無")</f>
        <v>1360</v>
      </c>
      <c r="Q1540" s="79">
        <f>IFERROR(VLOOKUP($G1540,融外自投!$A:$J,9,0),"無")</f>
        <v>936</v>
      </c>
      <c r="R1540" s="346">
        <f>IFERROR(VLOOKUP($G1540,融外自投!$A:$J,8,0),"無")</f>
        <v>464</v>
      </c>
      <c r="S1540" s="81" t="str">
        <f>IFERROR(VLOOKUP($G1540,融外自投!$A:$J,10,0),"無")</f>
        <v>無</v>
      </c>
      <c r="T1540" s="327" t="str">
        <f>IFERROR(VLOOKUP($G1540,'321買'!$A:$E,5,0),"'沒有資料'")</f>
        <v>'沒有資料'</v>
      </c>
      <c r="U1540" s="186">
        <f>IFERROR(VLOOKUP($G1540,基本資料!$A:$J,9,0),"無")</f>
        <v>6.1</v>
      </c>
      <c r="V1540" s="310">
        <f t="shared" si="285"/>
        <v>8.0901856763925722E-2</v>
      </c>
      <c r="W1540" s="94">
        <f>IFERROR(VLOOKUP($G1540,基本資料!$A:$J,10,0),"無")</f>
        <v>6.75</v>
      </c>
      <c r="X1540" s="36">
        <f>RTD("money.excel",,"5604","Price")</f>
        <v>75.400000000000006</v>
      </c>
      <c r="Y1540" s="66"/>
      <c r="Z1540" s="15">
        <f t="shared" si="286"/>
        <v>75.400000000000006</v>
      </c>
      <c r="AA1540" s="3" t="e">
        <f t="shared" si="287"/>
        <v>#DIV/0!</v>
      </c>
      <c r="AB1540" s="344">
        <f>IFERROR(VLOOKUP($G1540,基本資料!$A:$M,11,0),"無")</f>
        <v>-30.56</v>
      </c>
      <c r="AC1540" s="397">
        <f>IFERROR(VLOOKUP($G1540,基本資料!$A:$M,12,0),"無")</f>
        <v>20.74</v>
      </c>
      <c r="AD1540" s="16" t="s">
        <v>863</v>
      </c>
      <c r="AG1540" s="33">
        <f t="shared" si="288"/>
        <v>0</v>
      </c>
      <c r="AH1540" s="43" t="s">
        <v>2664</v>
      </c>
      <c r="AI1540" s="63">
        <f t="shared" si="289"/>
        <v>6.4397424103035893E-5</v>
      </c>
      <c r="AJ1540" s="284">
        <f>RTD("money.excel",,$G1540,"PredictVolume")</f>
        <v>7</v>
      </c>
      <c r="AK1540" s="399">
        <f>IFERROR(VLOOKUP($G1540,基本資料!$A:$M,13,0),"無")</f>
        <v>3.33</v>
      </c>
    </row>
    <row r="1541" spans="1:37">
      <c r="A1541" s="347">
        <f>IFERROR(VLOOKUP($G1541,基本資料!$A:$J,3,0),"無")</f>
        <v>25.49</v>
      </c>
      <c r="B1541" s="79">
        <f>IFERROR(VLOOKUP($G1541,基本資料!$A:$J,4,0),"無")</f>
        <v>24</v>
      </c>
      <c r="C1541" s="79">
        <f>IFERROR(VLOOKUP($G1541,基本資料!$A:$J,5,0),"無")</f>
        <v>53</v>
      </c>
      <c r="D1541" s="79">
        <f>IFERROR(VLOOKUP($G1541,基本資料!$A:$J,6,0),"無")</f>
        <v>-5</v>
      </c>
      <c r="E1541" s="79">
        <f>IFERROR(VLOOKUP($G1541,基本資料!$A:$J,7,0),"無")</f>
        <v>47</v>
      </c>
      <c r="F1541" s="6">
        <f>IFERROR(VLOOKUP($G1541,基本資料!$A:$J,8,0),"無")</f>
        <v>40.79</v>
      </c>
      <c r="G1541" s="79">
        <v>5607</v>
      </c>
      <c r="H1541" s="8" t="s">
        <v>4713</v>
      </c>
      <c r="I1541" s="22" t="s">
        <v>874</v>
      </c>
      <c r="J1541" s="8" t="str">
        <f>IFERROR(VLOOKUP($G1541,今日總結!$A:$AJ,35,0),"")</f>
        <v/>
      </c>
      <c r="K1541" s="5" t="str">
        <f>IFERROR(VLOOKUP($G1541,今日總結!$A:$AJ,36,0),"")</f>
        <v/>
      </c>
      <c r="L1541" s="156" t="str">
        <f>IFERROR(VLOOKUP($G1541,今日總結!$A:$AJ,33,0),"")</f>
        <v/>
      </c>
      <c r="M1541" s="340" t="str">
        <f>IFERROR(VLOOKUP($G1541,今日總結!$A:$AJ,34,0),"")</f>
        <v/>
      </c>
      <c r="N1541" s="240" t="str">
        <f t="shared" si="290"/>
        <v/>
      </c>
      <c r="P1541" s="365">
        <f>IFERROR(VLOOKUP($G1541,融外自投!$A:$J,7,0),"無")</f>
        <v>709</v>
      </c>
      <c r="Q1541" s="79" t="str">
        <f>IFERROR(VLOOKUP($G1541,融外自投!$A:$J,9,0),"無")</f>
        <v>無</v>
      </c>
      <c r="R1541" s="346">
        <f>IFERROR(VLOOKUP($G1541,融外自投!$A:$J,8,0),"無")</f>
        <v>795</v>
      </c>
      <c r="S1541" s="81" t="str">
        <f>IFERROR(VLOOKUP($G1541,融外自投!$A:$J,10,0),"無")</f>
        <v>無</v>
      </c>
      <c r="T1541" s="327">
        <f>IFERROR(VLOOKUP($G1541,'321買'!$A:$E,5,0),"'沒有資料'")</f>
        <v>480</v>
      </c>
      <c r="U1541" s="186">
        <f>IFERROR(VLOOKUP($G1541,基本資料!$A:$J,9,0),"無")</f>
        <v>1.6</v>
      </c>
      <c r="V1541" s="310">
        <f t="shared" si="285"/>
        <v>3.0592734225621417E-2</v>
      </c>
      <c r="W1541" s="94">
        <f>IFERROR(VLOOKUP($G1541,基本資料!$A:$J,10,0),"無")</f>
        <v>2.48</v>
      </c>
      <c r="X1541" s="36">
        <f>RTD("money.excel",,"5607","Price")</f>
        <v>52.3</v>
      </c>
      <c r="Y1541" s="66"/>
      <c r="Z1541" s="15">
        <f t="shared" si="286"/>
        <v>52.3</v>
      </c>
      <c r="AA1541" s="3" t="e">
        <f t="shared" si="287"/>
        <v>#DIV/0!</v>
      </c>
      <c r="AB1541" s="344">
        <f>IFERROR(VLOOKUP($G1541,基本資料!$A:$M,11,0),"無")</f>
        <v>-34.74</v>
      </c>
      <c r="AC1541" s="397">
        <f>IFERROR(VLOOKUP($G1541,基本資料!$A:$M,12,0),"無")</f>
        <v>7.56</v>
      </c>
      <c r="AD1541" s="22" t="s">
        <v>874</v>
      </c>
      <c r="AG1541" s="33">
        <f t="shared" si="288"/>
        <v>0</v>
      </c>
      <c r="AH1541" s="43" t="s">
        <v>2050</v>
      </c>
      <c r="AI1541" s="63">
        <f t="shared" si="289"/>
        <v>5.649274225186348E-3</v>
      </c>
      <c r="AJ1541" s="284">
        <f>RTD("money.excel",,$G1541,"PredictVolume")</f>
        <v>1440</v>
      </c>
      <c r="AK1541" s="399">
        <f>IFERROR(VLOOKUP($G1541,基本資料!$A:$M,13,0),"無")</f>
        <v>18.62</v>
      </c>
    </row>
    <row r="1542" spans="1:37">
      <c r="A1542" s="347">
        <f>IFERROR(VLOOKUP($G1542,基本資料!$A:$J,3,0),"無")</f>
        <v>32.92</v>
      </c>
      <c r="B1542" s="79">
        <f>IFERROR(VLOOKUP($G1542,基本資料!$A:$J,4,0),"無")</f>
        <v>289</v>
      </c>
      <c r="C1542" s="79">
        <f>IFERROR(VLOOKUP($G1542,基本資料!$A:$J,5,0),"無")</f>
        <v>430</v>
      </c>
      <c r="D1542" s="79">
        <f>IFERROR(VLOOKUP($G1542,基本資料!$A:$J,6,0),"無")</f>
        <v>3</v>
      </c>
      <c r="E1542" s="79">
        <f>IFERROR(VLOOKUP($G1542,基本資料!$A:$J,7,0),"無")</f>
        <v>76</v>
      </c>
      <c r="F1542" s="6">
        <f>IFERROR(VLOOKUP($G1542,基本資料!$A:$J,8,0),"無")</f>
        <v>41.05</v>
      </c>
      <c r="G1542" s="79">
        <v>5608</v>
      </c>
      <c r="H1542" s="8" t="s">
        <v>302</v>
      </c>
      <c r="I1542" s="22" t="s">
        <v>875</v>
      </c>
      <c r="J1542" s="8" t="str">
        <f>IFERROR(VLOOKUP($G1542,今日總結!$A:$AJ,35,0),"")</f>
        <v/>
      </c>
      <c r="K1542" s="5" t="str">
        <f>IFERROR(VLOOKUP($G1542,今日總結!$A:$AJ,36,0),"")</f>
        <v/>
      </c>
      <c r="L1542" s="156" t="str">
        <f>IFERROR(VLOOKUP($G1542,今日總結!$A:$AJ,33,0),"")</f>
        <v/>
      </c>
      <c r="M1542" s="340" t="str">
        <f>IFERROR(VLOOKUP($G1542,今日總結!$A:$AJ,34,0),"")</f>
        <v/>
      </c>
      <c r="N1542" s="240" t="str">
        <f t="shared" si="290"/>
        <v/>
      </c>
      <c r="P1542" s="365">
        <f>IFERROR(VLOOKUP($G1542,融外自投!$A:$J,7,0),"無")</f>
        <v>163</v>
      </c>
      <c r="Q1542" s="79">
        <f>IFERROR(VLOOKUP($G1542,融外自投!$A:$J,9,0),"無")</f>
        <v>189</v>
      </c>
      <c r="R1542" s="346">
        <f>IFERROR(VLOOKUP($G1542,融外自投!$A:$J,8,0),"無")</f>
        <v>717</v>
      </c>
      <c r="S1542" s="81">
        <f>IFERROR(VLOOKUP($G1542,融外自投!$A:$J,10,0),"無")</f>
        <v>491</v>
      </c>
      <c r="T1542" s="327">
        <f>IFERROR(VLOOKUP($G1542,'321買'!$A:$E,5,0),"'沒有資料'")</f>
        <v>117</v>
      </c>
      <c r="U1542" s="186">
        <f>IFERROR(VLOOKUP($G1542,基本資料!$A:$J,9,0),"無")</f>
        <v>2</v>
      </c>
      <c r="V1542" s="310">
        <f t="shared" si="285"/>
        <v>4.4642857142857144E-2</v>
      </c>
      <c r="W1542" s="94">
        <f>IFERROR(VLOOKUP($G1542,基本資料!$A:$J,10,0),"無")</f>
        <v>7.16</v>
      </c>
      <c r="X1542" s="36">
        <f>RTD("money.excel",,"5608","Price")</f>
        <v>44.8</v>
      </c>
      <c r="Y1542" s="66"/>
      <c r="Z1542" s="15">
        <f t="shared" si="286"/>
        <v>44.8</v>
      </c>
      <c r="AA1542" s="3" t="e">
        <f t="shared" si="287"/>
        <v>#DIV/0!</v>
      </c>
      <c r="AB1542" s="344">
        <f>IFERROR(VLOOKUP($G1542,基本資料!$A:$M,11,0),"無")</f>
        <v>-41.81</v>
      </c>
      <c r="AC1542" s="397">
        <f>IFERROR(VLOOKUP($G1542,基本資料!$A:$M,12,0),"無")</f>
        <v>45.54</v>
      </c>
      <c r="AD1542" s="22" t="s">
        <v>875</v>
      </c>
      <c r="AG1542" s="33">
        <f t="shared" si="288"/>
        <v>0</v>
      </c>
      <c r="AH1542" s="43" t="s">
        <v>1531</v>
      </c>
      <c r="AI1542" s="63">
        <f t="shared" si="289"/>
        <v>2.9580801944106925E-2</v>
      </c>
      <c r="AJ1542" s="284">
        <f>RTD("money.excel",,$G1542,"PredictVolume")</f>
        <v>9738</v>
      </c>
      <c r="AK1542" s="399">
        <f>IFERROR(VLOOKUP($G1542,基本資料!$A:$M,13,0),"無")</f>
        <v>54.28</v>
      </c>
    </row>
    <row r="1543" spans="1:37">
      <c r="A1543" s="347">
        <f>IFERROR(VLOOKUP($G1543,基本資料!$A:$J,3,0),"無")</f>
        <v>13.6</v>
      </c>
      <c r="B1543" s="79">
        <f>IFERROR(VLOOKUP($G1543,基本資料!$A:$J,4,0),"無")</f>
        <v>114</v>
      </c>
      <c r="C1543" s="79">
        <f>IFERROR(VLOOKUP($G1543,基本資料!$A:$J,5,0),"無")</f>
        <v>120</v>
      </c>
      <c r="D1543" s="79">
        <f>IFERROR(VLOOKUP($G1543,基本資料!$A:$J,6,0),"無")</f>
        <v>-5</v>
      </c>
      <c r="E1543" s="79">
        <f>IFERROR(VLOOKUP($G1543,基本資料!$A:$J,7,0),"無")</f>
        <v>53</v>
      </c>
      <c r="F1543" s="6">
        <f>IFERROR(VLOOKUP($G1543,基本資料!$A:$J,8,0),"無")</f>
        <v>6.9</v>
      </c>
      <c r="G1543" s="79">
        <v>5609</v>
      </c>
      <c r="H1543" s="8" t="s">
        <v>302</v>
      </c>
      <c r="I1543" s="16" t="s">
        <v>864</v>
      </c>
      <c r="J1543" s="8" t="str">
        <f>IFERROR(VLOOKUP($G1543,今日總結!$A:$AJ,35,0),"")</f>
        <v>外主</v>
      </c>
      <c r="K1543" s="5">
        <f>IFERROR(VLOOKUP($G1543,今日總結!$A:$AJ,36,0),"")</f>
        <v>0</v>
      </c>
      <c r="L1543" s="156">
        <f>IFERROR(VLOOKUP($G1543,今日總結!$A:$AJ,33,0),"")</f>
        <v>2</v>
      </c>
      <c r="M1543" s="340">
        <f>IFERROR(VLOOKUP($G1543,今日總結!$A:$AJ,34,0),"")</f>
        <v>0</v>
      </c>
      <c r="N1543" s="240">
        <f t="shared" si="290"/>
        <v>2</v>
      </c>
      <c r="P1543" s="365">
        <f>IFERROR(VLOOKUP($G1543,融外自投!$A:$J,7,0),"無")</f>
        <v>501</v>
      </c>
      <c r="Q1543" s="79">
        <f>IFERROR(VLOOKUP($G1543,融外自投!$A:$J,9,0),"無")</f>
        <v>734</v>
      </c>
      <c r="R1543" s="346">
        <f>IFERROR(VLOOKUP($G1543,融外自投!$A:$J,8,0),"無")</f>
        <v>303</v>
      </c>
      <c r="S1543" s="81">
        <f>IFERROR(VLOOKUP($G1543,融外自投!$A:$J,10,0),"無")</f>
        <v>259</v>
      </c>
      <c r="T1543" s="327">
        <f>IFERROR(VLOOKUP($G1543,'321買'!$A:$E,5,0),"'沒有資料'")</f>
        <v>416</v>
      </c>
      <c r="U1543" s="186">
        <f>IFERROR(VLOOKUP($G1543,基本資料!$A:$J,9,0),"無")</f>
        <v>10.199999999999999</v>
      </c>
      <c r="V1543" s="310">
        <f t="shared" si="285"/>
        <v>9.2307692307692299E-2</v>
      </c>
      <c r="W1543" s="94">
        <f>IFERROR(VLOOKUP($G1543,基本資料!$A:$J,10,0),"無")</f>
        <v>16.98</v>
      </c>
      <c r="X1543" s="36">
        <f>RTD("money.excel",,"5609","Price")</f>
        <v>110.5</v>
      </c>
      <c r="Y1543" s="66"/>
      <c r="Z1543" s="15">
        <f t="shared" si="286"/>
        <v>110.5</v>
      </c>
      <c r="AA1543" s="3" t="e">
        <f t="shared" si="287"/>
        <v>#DIV/0!</v>
      </c>
      <c r="AB1543" s="344">
        <f>IFERROR(VLOOKUP($G1543,基本資料!$A:$M,11,0),"無")</f>
        <v>-33.75</v>
      </c>
      <c r="AC1543" s="397">
        <f>IFERROR(VLOOKUP($G1543,基本資料!$A:$M,12,0),"無")</f>
        <v>53.43</v>
      </c>
      <c r="AD1543" s="16" t="s">
        <v>864</v>
      </c>
      <c r="AG1543" s="33">
        <f t="shared" si="288"/>
        <v>0</v>
      </c>
      <c r="AH1543" s="43" t="s">
        <v>2807</v>
      </c>
      <c r="AI1543" s="63">
        <f t="shared" si="289"/>
        <v>2.1661764705882353E-2</v>
      </c>
      <c r="AJ1543" s="284">
        <f>RTD("money.excel",,$G1543,"PredictVolume")</f>
        <v>2946</v>
      </c>
      <c r="AK1543" s="399">
        <f>IFERROR(VLOOKUP($G1543,基本資料!$A:$M,13,0),"無")</f>
        <v>42.9</v>
      </c>
    </row>
    <row r="1544" spans="1:37">
      <c r="A1544" s="347">
        <f>IFERROR(VLOOKUP($G1544,基本資料!$A:$J,3,0),"無")</f>
        <v>8.77</v>
      </c>
      <c r="B1544" s="79">
        <f>IFERROR(VLOOKUP($G1544,基本資料!$A:$J,4,0),"無")</f>
        <v>178</v>
      </c>
      <c r="C1544" s="79">
        <f>IFERROR(VLOOKUP($G1544,基本資料!$A:$J,5,0),"無")</f>
        <v>73</v>
      </c>
      <c r="D1544" s="79">
        <f>IFERROR(VLOOKUP($G1544,基本資料!$A:$J,6,0),"無")</f>
        <v>4</v>
      </c>
      <c r="E1544" s="79">
        <f>IFERROR(VLOOKUP($G1544,基本資料!$A:$J,7,0),"無")</f>
        <v>19</v>
      </c>
      <c r="F1544" s="6">
        <f>IFERROR(VLOOKUP($G1544,基本資料!$A:$J,8,0),"無")</f>
        <v>21.52</v>
      </c>
      <c r="G1544" s="79">
        <v>8367</v>
      </c>
      <c r="H1544" s="8" t="s">
        <v>302</v>
      </c>
      <c r="I1544" s="22" t="s">
        <v>1776</v>
      </c>
      <c r="J1544" s="8" t="str">
        <f>IFERROR(VLOOKUP($G1544,今日總結!$A:$AJ,35,0),"")</f>
        <v/>
      </c>
      <c r="K1544" s="5" t="str">
        <f>IFERROR(VLOOKUP($G1544,今日總結!$A:$AJ,36,0),"")</f>
        <v/>
      </c>
      <c r="L1544" s="156" t="str">
        <f>IFERROR(VLOOKUP($G1544,今日總結!$A:$AJ,33,0),"")</f>
        <v/>
      </c>
      <c r="M1544" s="340" t="str">
        <f>IFERROR(VLOOKUP($G1544,今日總結!$A:$AJ,34,0),"")</f>
        <v/>
      </c>
      <c r="N1544" s="240" t="str">
        <f t="shared" si="290"/>
        <v/>
      </c>
      <c r="P1544" s="365">
        <f>IFERROR(VLOOKUP($G1544,融外自投!$A:$J,7,0),"無")</f>
        <v>840</v>
      </c>
      <c r="Q1544" s="79" t="str">
        <f>IFERROR(VLOOKUP($G1544,融外自投!$A:$J,9,0),"無")</f>
        <v>無</v>
      </c>
      <c r="R1544" s="346">
        <f>IFERROR(VLOOKUP($G1544,融外自投!$A:$J,8,0),"無")</f>
        <v>1071</v>
      </c>
      <c r="S1544" s="81" t="str">
        <f>IFERROR(VLOOKUP($G1544,融外自投!$A:$J,10,0),"無")</f>
        <v>無</v>
      </c>
      <c r="T1544" s="327">
        <f>IFERROR(VLOOKUP($G1544,'321買'!$A:$E,5,0),"'沒有資料'")</f>
        <v>779</v>
      </c>
      <c r="U1544" s="186">
        <f>IFERROR(VLOOKUP($G1544,基本資料!$A:$J,9,0),"無")</f>
        <v>2.8</v>
      </c>
      <c r="V1544" s="310">
        <f t="shared" si="285"/>
        <v>6.1135371179039298E-2</v>
      </c>
      <c r="W1544" s="94">
        <f>IFERROR(VLOOKUP($G1544,基本資料!$A:$J,10,0),"無")</f>
        <v>7.1</v>
      </c>
      <c r="X1544" s="36">
        <f>RTD("money.excel",,"8367","Price")</f>
        <v>45.8</v>
      </c>
      <c r="Y1544" s="66"/>
      <c r="Z1544" s="15">
        <f t="shared" si="286"/>
        <v>45.8</v>
      </c>
      <c r="AA1544" s="3" t="e">
        <f t="shared" si="287"/>
        <v>#DIV/0!</v>
      </c>
      <c r="AB1544" s="344">
        <f>IFERROR(VLOOKUP($G1544,基本資料!$A:$M,11,0),"無")</f>
        <v>-46.82</v>
      </c>
      <c r="AC1544" s="397">
        <f>IFERROR(VLOOKUP($G1544,基本資料!$A:$M,12,0),"無")</f>
        <v>17.510000000000002</v>
      </c>
      <c r="AD1544" s="22" t="s">
        <v>1776</v>
      </c>
      <c r="AG1544" s="33">
        <f t="shared" si="288"/>
        <v>0</v>
      </c>
      <c r="AH1544" s="43" t="s">
        <v>1777</v>
      </c>
      <c r="AI1544" s="63">
        <f t="shared" si="289"/>
        <v>7.0695553021664771E-4</v>
      </c>
      <c r="AJ1544" s="284">
        <f>RTD("money.excel",,$G1544,"PredictVolume")</f>
        <v>62</v>
      </c>
      <c r="AK1544" s="399">
        <f>IFERROR(VLOOKUP($G1544,基本資料!$A:$M,13,0),"無")</f>
        <v>28.97</v>
      </c>
    </row>
    <row r="1545" spans="1:37">
      <c r="B1545" s="90"/>
      <c r="C1545" s="90"/>
      <c r="D1545" s="90"/>
      <c r="E1545" s="90"/>
      <c r="F1545" s="57"/>
      <c r="G1545" s="79"/>
      <c r="H1545" s="8"/>
      <c r="I1545" s="22"/>
      <c r="L1545" s="2"/>
      <c r="P1545" s="366"/>
      <c r="R1545" s="355"/>
      <c r="S1545" s="81"/>
      <c r="T1545" s="327"/>
      <c r="U1545" s="34"/>
      <c r="W1545" s="94"/>
      <c r="X1545" s="36"/>
      <c r="Y1545" s="66"/>
      <c r="Z1545" s="15"/>
      <c r="AA1545" s="3"/>
      <c r="AD1545" s="22"/>
      <c r="AG1545" s="33"/>
      <c r="AH1545" s="43"/>
      <c r="AI1545" s="63"/>
      <c r="AJ1545" s="284"/>
    </row>
    <row r="1546" spans="1:37">
      <c r="A1546" s="127" t="s">
        <v>1673</v>
      </c>
      <c r="B1546" s="90" t="s">
        <v>1572</v>
      </c>
      <c r="C1546" s="90" t="s">
        <v>1573</v>
      </c>
      <c r="D1546" s="90" t="s">
        <v>1574</v>
      </c>
      <c r="E1546" s="90" t="s">
        <v>1575</v>
      </c>
      <c r="F1546" s="8" t="s">
        <v>1060</v>
      </c>
      <c r="G1546" s="27" t="s">
        <v>958</v>
      </c>
      <c r="H1546" s="55" t="s">
        <v>320</v>
      </c>
      <c r="I1546" s="8" t="s">
        <v>303</v>
      </c>
      <c r="J1546" s="8" t="s">
        <v>6221</v>
      </c>
      <c r="K1546" s="5" t="s">
        <v>6222</v>
      </c>
      <c r="L1546" s="337" t="s">
        <v>6206</v>
      </c>
      <c r="M1546" s="338" t="s">
        <v>6207</v>
      </c>
      <c r="N1546" s="339" t="s">
        <v>6208</v>
      </c>
      <c r="O1546" s="4" t="s">
        <v>6713</v>
      </c>
      <c r="P1546" s="89" t="s">
        <v>6285</v>
      </c>
      <c r="Q1546" s="293" t="s">
        <v>6284</v>
      </c>
      <c r="R1546" s="354" t="s">
        <v>6283</v>
      </c>
      <c r="S1546" s="26" t="s">
        <v>6286</v>
      </c>
      <c r="T1546" s="321" t="s">
        <v>4716</v>
      </c>
      <c r="U1546" s="10" t="s">
        <v>66</v>
      </c>
      <c r="V1546" s="308" t="s">
        <v>4731</v>
      </c>
      <c r="W1546" s="68" t="s">
        <v>3273</v>
      </c>
      <c r="X1546" s="28" t="s">
        <v>2</v>
      </c>
      <c r="Y1546" s="17" t="s">
        <v>1399</v>
      </c>
      <c r="Z1546" s="14" t="s">
        <v>5</v>
      </c>
      <c r="AA1546" s="21" t="s">
        <v>3</v>
      </c>
      <c r="AB1546" s="96" t="s">
        <v>6174</v>
      </c>
      <c r="AC1546" s="384" t="s">
        <v>6420</v>
      </c>
      <c r="AD1546" s="8" t="s">
        <v>303</v>
      </c>
      <c r="AE1546" s="71" t="s">
        <v>1400</v>
      </c>
      <c r="AF1546" s="72" t="s">
        <v>1157</v>
      </c>
      <c r="AG1546" s="32" t="s">
        <v>1158</v>
      </c>
      <c r="AH1546" s="25" t="s">
        <v>6209</v>
      </c>
      <c r="AI1546" s="8" t="s">
        <v>6731</v>
      </c>
      <c r="AJ1546" s="50" t="s">
        <v>3361</v>
      </c>
      <c r="AK1546" s="44" t="s">
        <v>6730</v>
      </c>
    </row>
    <row r="1547" spans="1:37" ht="16.5" customHeight="1">
      <c r="A1547" s="347">
        <f>IFERROR(VLOOKUP($G1547,基本資料!$A:$J,3,0),"無")</f>
        <v>3.23</v>
      </c>
      <c r="B1547" s="79">
        <f>IFERROR(VLOOKUP($G1547,基本資料!$A:$J,4,0),"無")</f>
        <v>-40</v>
      </c>
      <c r="C1547" s="79">
        <f>IFERROR(VLOOKUP($G1547,基本資料!$A:$J,5,0),"無")</f>
        <v>-106</v>
      </c>
      <c r="D1547" s="79">
        <f>IFERROR(VLOOKUP($G1547,基本資料!$A:$J,6,0),"無")</f>
        <v>-3</v>
      </c>
      <c r="E1547" s="79">
        <f>IFERROR(VLOOKUP($G1547,基本資料!$A:$J,7,0),"無")</f>
        <v>5</v>
      </c>
      <c r="F1547" s="6">
        <f>IFERROR(VLOOKUP($G1547,基本資料!$A:$J,8,0),"無")</f>
        <v>-0.15</v>
      </c>
      <c r="G1547" s="79">
        <v>1259</v>
      </c>
      <c r="H1547" s="8" t="s">
        <v>303</v>
      </c>
      <c r="I1547" s="16" t="s">
        <v>959</v>
      </c>
      <c r="J1547" s="8" t="str">
        <f>IFERROR(VLOOKUP($G1547,今日總結!$A:$AJ,35,0),"")</f>
        <v/>
      </c>
      <c r="K1547" s="5" t="str">
        <f>IFERROR(VLOOKUP($G1547,今日總結!$A:$AJ,36,0),"")</f>
        <v/>
      </c>
      <c r="L1547" s="156" t="str">
        <f>IFERROR(VLOOKUP($G1547,今日總結!$A:$AJ,33,0),"")</f>
        <v/>
      </c>
      <c r="M1547" s="340" t="str">
        <f>IFERROR(VLOOKUP($G1547,今日總結!$A:$AJ,34,0),"")</f>
        <v/>
      </c>
      <c r="N1547" s="240" t="str">
        <f t="shared" ref="N1547:N1575" si="291">IFERROR(L1547-M1547,"")</f>
        <v/>
      </c>
      <c r="P1547" s="365">
        <f>IFERROR(VLOOKUP($G1547,融外自投!$A:$J,7,0),"無")</f>
        <v>1406</v>
      </c>
      <c r="Q1547" s="79" t="str">
        <f>IFERROR(VLOOKUP($G1547,融外自投!$A:$J,9,0),"無")</f>
        <v>無</v>
      </c>
      <c r="R1547" s="346">
        <f>IFERROR(VLOOKUP($G1547,融外自投!$A:$J,8,0),"無")</f>
        <v>205</v>
      </c>
      <c r="S1547" s="81" t="str">
        <f>IFERROR(VLOOKUP($G1547,融外自投!$A:$J,10,0),"無")</f>
        <v>無</v>
      </c>
      <c r="T1547" s="327" t="str">
        <f>IFERROR(VLOOKUP($G1547,'321買'!$A:$E,5,0),"'沒有資料'")</f>
        <v>'沒有資料'</v>
      </c>
      <c r="U1547" s="186">
        <f>IFERROR(VLOOKUP($G1547,基本資料!$A:$J,9,0),"無")</f>
        <v>2.2999999999999998</v>
      </c>
      <c r="V1547" s="310">
        <f t="shared" ref="V1547:V1590" si="292">$U1547/$X1547</f>
        <v>3.4124629080118686E-2</v>
      </c>
      <c r="W1547" s="94">
        <f>IFERROR(VLOOKUP($G1547,基本資料!$A:$J,10,0),"無")</f>
        <v>3.07</v>
      </c>
      <c r="X1547" s="36">
        <f>RTD("money.excel",,"1259","Price")</f>
        <v>67.400000000000006</v>
      </c>
      <c r="Y1547" s="66"/>
      <c r="Z1547" s="15">
        <f t="shared" ref="Z1547:Z1590" si="293">X1547-Y1547</f>
        <v>67.400000000000006</v>
      </c>
      <c r="AA1547" s="3" t="e">
        <f t="shared" ref="AA1547:AA1590" si="294">Z1547/Y1547</f>
        <v>#DIV/0!</v>
      </c>
      <c r="AB1547" s="344">
        <f>IFERROR(VLOOKUP($G1547,基本資料!$A:$M,11,0),"無")</f>
        <v>-5.59</v>
      </c>
      <c r="AC1547" s="397">
        <f>IFERROR(VLOOKUP($G1547,基本資料!$A:$M,12,0),"無")</f>
        <v>44.73</v>
      </c>
      <c r="AD1547" s="16" t="s">
        <v>959</v>
      </c>
      <c r="AG1547" s="33">
        <f t="shared" ref="AG1547:AG1590" si="295">AF1547-AE1547</f>
        <v>0</v>
      </c>
      <c r="AH1547" s="43" t="s">
        <v>2671</v>
      </c>
      <c r="AI1547" s="63">
        <f t="shared" ref="AI1547:AI1590" si="296">AJ1547/(A1547*10000)</f>
        <v>8.3591331269349846E-4</v>
      </c>
      <c r="AJ1547" s="284">
        <f>RTD("money.excel",,$G1547,"PredictVolume")</f>
        <v>27</v>
      </c>
      <c r="AK1547" s="399">
        <f>IFERROR(VLOOKUP($G1547,基本資料!$A:$M,13,0),"無")</f>
        <v>0.42</v>
      </c>
    </row>
    <row r="1548" spans="1:37" ht="16.5" customHeight="1">
      <c r="A1548" s="347">
        <f>IFERROR(VLOOKUP($G1548,基本資料!$A:$J,3,0),"無")</f>
        <v>4.2699999999999996</v>
      </c>
      <c r="B1548" s="79">
        <f>IFERROR(VLOOKUP($G1548,基本資料!$A:$J,4,0),"無")</f>
        <v>-73</v>
      </c>
      <c r="C1548" s="79">
        <f>IFERROR(VLOOKUP($G1548,基本資料!$A:$J,5,0),"無")</f>
        <v>-140</v>
      </c>
      <c r="D1548" s="79">
        <f>IFERROR(VLOOKUP($G1548,基本資料!$A:$J,6,0),"無")</f>
        <v>0</v>
      </c>
      <c r="E1548" s="79">
        <f>IFERROR(VLOOKUP($G1548,基本資料!$A:$J,7,0),"無")</f>
        <v>8</v>
      </c>
      <c r="F1548" s="6">
        <f>IFERROR(VLOOKUP($G1548,基本資料!$A:$J,8,0),"無")</f>
        <v>-2.2599999999999998</v>
      </c>
      <c r="G1548" s="79">
        <v>1268</v>
      </c>
      <c r="H1548" s="8" t="s">
        <v>303</v>
      </c>
      <c r="I1548" s="16" t="s">
        <v>960</v>
      </c>
      <c r="J1548" s="8" t="str">
        <f>IFERROR(VLOOKUP($G1548,今日總結!$A:$AJ,35,0),"")</f>
        <v/>
      </c>
      <c r="K1548" s="5" t="str">
        <f>IFERROR(VLOOKUP($G1548,今日總結!$A:$AJ,36,0),"")</f>
        <v/>
      </c>
      <c r="L1548" s="156" t="str">
        <f>IFERROR(VLOOKUP($G1548,今日總結!$A:$AJ,33,0),"")</f>
        <v/>
      </c>
      <c r="M1548" s="340" t="str">
        <f>IFERROR(VLOOKUP($G1548,今日總結!$A:$AJ,34,0),"")</f>
        <v/>
      </c>
      <c r="N1548" s="240" t="str">
        <f t="shared" si="291"/>
        <v/>
      </c>
      <c r="P1548" s="365">
        <f>IFERROR(VLOOKUP($G1548,融外自投!$A:$J,7,0),"無")</f>
        <v>1383</v>
      </c>
      <c r="Q1548" s="79" t="str">
        <f>IFERROR(VLOOKUP($G1548,融外自投!$A:$J,9,0),"無")</f>
        <v>無</v>
      </c>
      <c r="R1548" s="346">
        <f>IFERROR(VLOOKUP($G1548,融外自投!$A:$J,8,0),"無")</f>
        <v>1445</v>
      </c>
      <c r="S1548" s="81" t="str">
        <f>IFERROR(VLOOKUP($G1548,融外自投!$A:$J,10,0),"無")</f>
        <v>無</v>
      </c>
      <c r="T1548" s="327">
        <f>IFERROR(VLOOKUP($G1548,'321買'!$A:$E,5,0),"'沒有資料'")</f>
        <v>1367</v>
      </c>
      <c r="U1548" s="186">
        <f>IFERROR(VLOOKUP($G1548,基本資料!$A:$J,9,0),"無")</f>
        <v>3</v>
      </c>
      <c r="V1548" s="310">
        <f t="shared" si="292"/>
        <v>2.8985507246376812E-2</v>
      </c>
      <c r="W1548" s="94">
        <f>IFERROR(VLOOKUP($G1548,基本資料!$A:$J,10,0),"無")</f>
        <v>2.0099999999999998</v>
      </c>
      <c r="X1548" s="36">
        <f>RTD("money.excel",,"1268","Price")</f>
        <v>103.5</v>
      </c>
      <c r="Y1548" s="66"/>
      <c r="Z1548" s="15">
        <f t="shared" si="293"/>
        <v>103.5</v>
      </c>
      <c r="AA1548" s="3" t="e">
        <f t="shared" si="294"/>
        <v>#DIV/0!</v>
      </c>
      <c r="AB1548" s="344">
        <f>IFERROR(VLOOKUP($G1548,基本資料!$A:$M,11,0),"無")</f>
        <v>-25.36</v>
      </c>
      <c r="AC1548" s="397">
        <f>IFERROR(VLOOKUP($G1548,基本資料!$A:$M,12,0),"無")</f>
        <v>15.25</v>
      </c>
      <c r="AD1548" s="16" t="s">
        <v>960</v>
      </c>
      <c r="AG1548" s="33">
        <f t="shared" si="295"/>
        <v>0</v>
      </c>
      <c r="AH1548" s="43" t="s">
        <v>2672</v>
      </c>
      <c r="AI1548" s="63">
        <f t="shared" si="296"/>
        <v>2.8103044496487125E-4</v>
      </c>
      <c r="AJ1548" s="284">
        <f>RTD("money.excel",,$G1548,"PredictVolume")</f>
        <v>12</v>
      </c>
      <c r="AK1548" s="399">
        <f>IFERROR(VLOOKUP($G1548,基本資料!$A:$M,13,0),"無")</f>
        <v>0.65</v>
      </c>
    </row>
    <row r="1549" spans="1:37" ht="16.5" customHeight="1">
      <c r="A1549" s="347">
        <f>IFERROR(VLOOKUP($G1549,基本資料!$A:$J,3,0),"無")</f>
        <v>44.99</v>
      </c>
      <c r="B1549" s="79">
        <f>IFERROR(VLOOKUP($G1549,基本資料!$A:$J,4,0),"無")</f>
        <v>-51</v>
      </c>
      <c r="C1549" s="79">
        <f>IFERROR(VLOOKUP($G1549,基本資料!$A:$J,5,0),"無")</f>
        <v>-14</v>
      </c>
      <c r="D1549" s="79">
        <f>IFERROR(VLOOKUP($G1549,基本資料!$A:$J,6,0),"無")</f>
        <v>4</v>
      </c>
      <c r="E1549" s="79">
        <f>IFERROR(VLOOKUP($G1549,基本資料!$A:$J,7,0),"無")</f>
        <v>-5</v>
      </c>
      <c r="F1549" s="6">
        <f>IFERROR(VLOOKUP($G1549,基本資料!$A:$J,8,0),"無")</f>
        <v>49.44</v>
      </c>
      <c r="G1549" s="79">
        <v>2701</v>
      </c>
      <c r="H1549" s="8" t="s">
        <v>303</v>
      </c>
      <c r="I1549" s="22" t="s">
        <v>969</v>
      </c>
      <c r="J1549" s="8" t="str">
        <f>IFERROR(VLOOKUP($G1549,今日總結!$A:$AJ,35,0),"")</f>
        <v/>
      </c>
      <c r="K1549" s="5" t="str">
        <f>IFERROR(VLOOKUP($G1549,今日總結!$A:$AJ,36,0),"")</f>
        <v/>
      </c>
      <c r="L1549" s="156" t="str">
        <f>IFERROR(VLOOKUP($G1549,今日總結!$A:$AJ,33,0),"")</f>
        <v/>
      </c>
      <c r="M1549" s="340" t="str">
        <f>IFERROR(VLOOKUP($G1549,今日總結!$A:$AJ,34,0),"")</f>
        <v/>
      </c>
      <c r="N1549" s="240" t="str">
        <f t="shared" si="291"/>
        <v/>
      </c>
      <c r="P1549" s="365">
        <f>IFERROR(VLOOKUP($G1549,融外自投!$A:$J,7,0),"無")</f>
        <v>1100</v>
      </c>
      <c r="Q1549" s="79" t="str">
        <f>IFERROR(VLOOKUP($G1549,融外自投!$A:$J,9,0),"無")</f>
        <v>無</v>
      </c>
      <c r="R1549" s="346" t="str">
        <f>IFERROR(VLOOKUP($G1549,融外自投!$A:$J,8,0),"無")</f>
        <v>無</v>
      </c>
      <c r="S1549" s="81" t="str">
        <f>IFERROR(VLOOKUP($G1549,融外自投!$A:$J,10,0),"無")</f>
        <v>無</v>
      </c>
      <c r="T1549" s="327">
        <f>IFERROR(VLOOKUP($G1549,'321買'!$A:$E,5,0),"'沒有資料'")</f>
        <v>729</v>
      </c>
      <c r="U1549" s="186">
        <f>IFERROR(VLOOKUP($G1549,基本資料!$A:$J,9,0),"無")</f>
        <v>0.17</v>
      </c>
      <c r="V1549" s="310">
        <f t="shared" si="292"/>
        <v>1.4406779661016949E-2</v>
      </c>
      <c r="W1549" s="94">
        <f>IFERROR(VLOOKUP($G1549,基本資料!$A:$J,10,0),"無")</f>
        <v>0.19</v>
      </c>
      <c r="X1549" s="36">
        <f>RTD("money.excel",,"2701","Price")</f>
        <v>11.8</v>
      </c>
      <c r="Y1549" s="66"/>
      <c r="Z1549" s="15">
        <f t="shared" si="293"/>
        <v>11.8</v>
      </c>
      <c r="AA1549" s="3" t="e">
        <f t="shared" si="294"/>
        <v>#DIV/0!</v>
      </c>
      <c r="AB1549" s="344">
        <f>IFERROR(VLOOKUP($G1549,基本資料!$A:$M,11,0),"無")</f>
        <v>-13.38</v>
      </c>
      <c r="AC1549" s="397">
        <f>IFERROR(VLOOKUP($G1549,基本資料!$A:$M,12,0),"無")</f>
        <v>15.8</v>
      </c>
      <c r="AD1549" s="22" t="s">
        <v>969</v>
      </c>
      <c r="AG1549" s="33">
        <f t="shared" si="295"/>
        <v>0</v>
      </c>
      <c r="AH1549" s="43" t="s">
        <v>2779</v>
      </c>
      <c r="AI1549" s="63">
        <f t="shared" si="296"/>
        <v>4.2676150255612356E-4</v>
      </c>
      <c r="AJ1549" s="284">
        <f>RTD("money.excel",,$G1549,"PredictVolume")</f>
        <v>192</v>
      </c>
      <c r="AK1549" s="399">
        <f>IFERROR(VLOOKUP($G1549,基本資料!$A:$M,13,0),"無")</f>
        <v>2.29</v>
      </c>
    </row>
    <row r="1550" spans="1:37" ht="16.5" customHeight="1">
      <c r="A1550" s="347">
        <f>IFERROR(VLOOKUP($G1550,基本資料!$A:$J,3,0),"無")</f>
        <v>11.04</v>
      </c>
      <c r="B1550" s="79">
        <f>IFERROR(VLOOKUP($G1550,基本資料!$A:$J,4,0),"無")</f>
        <v>775</v>
      </c>
      <c r="C1550" s="79">
        <f>IFERROR(VLOOKUP($G1550,基本資料!$A:$J,5,0),"無")</f>
        <v>47</v>
      </c>
      <c r="D1550" s="79">
        <f>IFERROR(VLOOKUP($G1550,基本資料!$A:$J,6,0),"無")</f>
        <v>-1</v>
      </c>
      <c r="E1550" s="79">
        <f>IFERROR(VLOOKUP($G1550,基本資料!$A:$J,7,0),"無")</f>
        <v>76</v>
      </c>
      <c r="F1550" s="6">
        <f>IFERROR(VLOOKUP($G1550,基本資料!$A:$J,8,0),"無")</f>
        <v>-12.83</v>
      </c>
      <c r="G1550" s="79">
        <v>2702</v>
      </c>
      <c r="H1550" s="8" t="s">
        <v>303</v>
      </c>
      <c r="I1550" s="22" t="s">
        <v>970</v>
      </c>
      <c r="J1550" s="8">
        <f>IFERROR(VLOOKUP($G1550,今日總結!$A:$AJ,35,0),"")</f>
        <v>0</v>
      </c>
      <c r="K1550" s="5">
        <f>IFERROR(VLOOKUP($G1550,今日總結!$A:$AJ,36,0),"")</f>
        <v>0</v>
      </c>
      <c r="L1550" s="156">
        <f>IFERROR(VLOOKUP($G1550,今日總結!$A:$AJ,33,0),"")</f>
        <v>0</v>
      </c>
      <c r="M1550" s="340">
        <f>IFERROR(VLOOKUP($G1550,今日總結!$A:$AJ,34,0),"")</f>
        <v>1</v>
      </c>
      <c r="N1550" s="240">
        <f t="shared" si="291"/>
        <v>-1</v>
      </c>
      <c r="P1550" s="365">
        <f>IFERROR(VLOOKUP($G1550,融外自投!$A:$J,7,0),"無")</f>
        <v>983</v>
      </c>
      <c r="Q1550" s="79">
        <f>IFERROR(VLOOKUP($G1550,融外自投!$A:$J,9,0),"無")</f>
        <v>936</v>
      </c>
      <c r="R1550" s="346">
        <f>IFERROR(VLOOKUP($G1550,融外自投!$A:$J,8,0),"無")</f>
        <v>125</v>
      </c>
      <c r="S1550" s="81" t="str">
        <f>IFERROR(VLOOKUP($G1550,融外自投!$A:$J,10,0),"無")</f>
        <v>無</v>
      </c>
      <c r="T1550" s="327">
        <f>IFERROR(VLOOKUP($G1550,'321買'!$A:$E,5,0),"'沒有資料'")</f>
        <v>1259</v>
      </c>
      <c r="U1550" s="186">
        <f>IFERROR(VLOOKUP($G1550,基本資料!$A:$J,9,0),"無")</f>
        <v>4.5</v>
      </c>
      <c r="V1550" s="310">
        <f t="shared" si="292"/>
        <v>0.17578125</v>
      </c>
      <c r="W1550" s="94">
        <f>IFERROR(VLOOKUP($G1550,基本資料!$A:$J,10,0),"無")</f>
        <v>16.53</v>
      </c>
      <c r="X1550" s="36">
        <f>RTD("money.excel",,"2702","Price")</f>
        <v>25.6</v>
      </c>
      <c r="Y1550" s="66"/>
      <c r="Z1550" s="15">
        <f t="shared" si="293"/>
        <v>25.6</v>
      </c>
      <c r="AA1550" s="3" t="e">
        <f t="shared" si="294"/>
        <v>#DIV/0!</v>
      </c>
      <c r="AB1550" s="344">
        <f>IFERROR(VLOOKUP($G1550,基本資料!$A:$M,11,0),"無")</f>
        <v>-18.559999999999999</v>
      </c>
      <c r="AC1550" s="397">
        <f>IFERROR(VLOOKUP($G1550,基本資料!$A:$M,12,0),"無")</f>
        <v>46.07</v>
      </c>
      <c r="AD1550" s="22" t="s">
        <v>970</v>
      </c>
      <c r="AG1550" s="33">
        <f t="shared" si="295"/>
        <v>0</v>
      </c>
      <c r="AH1550" s="43" t="s">
        <v>2780</v>
      </c>
      <c r="AI1550" s="63">
        <f t="shared" si="296"/>
        <v>5.4619565217391315E-3</v>
      </c>
      <c r="AJ1550" s="284">
        <f>RTD("money.excel",,$G1550,"PredictVolume")</f>
        <v>603</v>
      </c>
      <c r="AK1550" s="399">
        <f>IFERROR(VLOOKUP($G1550,基本資料!$A:$M,13,0),"無")</f>
        <v>5.47</v>
      </c>
    </row>
    <row r="1551" spans="1:37">
      <c r="A1551" s="347">
        <f>IFERROR(VLOOKUP($G1551,基本資料!$A:$J,3,0),"無")</f>
        <v>36.69</v>
      </c>
      <c r="B1551" s="79">
        <f>IFERROR(VLOOKUP($G1551,基本資料!$A:$J,4,0),"無")</f>
        <v>-2809</v>
      </c>
      <c r="C1551" s="79">
        <f>IFERROR(VLOOKUP($G1551,基本資料!$A:$J,5,0),"無")</f>
        <v>-35</v>
      </c>
      <c r="D1551" s="79">
        <f>IFERROR(VLOOKUP($G1551,基本資料!$A:$J,6,0),"無")</f>
        <v>0</v>
      </c>
      <c r="E1551" s="79">
        <f>IFERROR(VLOOKUP($G1551,基本資料!$A:$J,7,0),"無")</f>
        <v>-16</v>
      </c>
      <c r="F1551" s="6">
        <f>IFERROR(VLOOKUP($G1551,基本資料!$A:$J,8,0),"無")</f>
        <v>-24.55</v>
      </c>
      <c r="G1551" s="79">
        <v>2704</v>
      </c>
      <c r="H1551" s="17" t="s">
        <v>303</v>
      </c>
      <c r="I1551" s="22" t="s">
        <v>0</v>
      </c>
      <c r="J1551" s="8" t="str">
        <f>IFERROR(VLOOKUP($G1551,今日總結!$A:$AJ,35,0),"")</f>
        <v/>
      </c>
      <c r="K1551" s="5" t="str">
        <f>IFERROR(VLOOKUP($G1551,今日總結!$A:$AJ,36,0),"")</f>
        <v/>
      </c>
      <c r="L1551" s="156" t="str">
        <f>IFERROR(VLOOKUP($G1551,今日總結!$A:$AJ,33,0),"")</f>
        <v/>
      </c>
      <c r="M1551" s="340" t="str">
        <f>IFERROR(VLOOKUP($G1551,今日總結!$A:$AJ,34,0),"")</f>
        <v/>
      </c>
      <c r="N1551" s="240" t="str">
        <f t="shared" si="291"/>
        <v/>
      </c>
      <c r="P1551" s="365">
        <f>IFERROR(VLOOKUP($G1551,融外自投!$A:$J,7,0),"無")</f>
        <v>1185</v>
      </c>
      <c r="Q1551" s="79">
        <f>IFERROR(VLOOKUP($G1551,融外自投!$A:$J,9,0),"無")</f>
        <v>537</v>
      </c>
      <c r="R1551" s="346">
        <f>IFERROR(VLOOKUP($G1551,融外自投!$A:$J,8,0),"無")</f>
        <v>490</v>
      </c>
      <c r="S1551" s="81">
        <f>IFERROR(VLOOKUP($G1551,融外自投!$A:$J,10,0),"無")</f>
        <v>428</v>
      </c>
      <c r="T1551" s="327">
        <f>IFERROR(VLOOKUP($G1551,'321買'!$A:$E,5,0),"'沒有資料'")</f>
        <v>729</v>
      </c>
      <c r="U1551" s="186">
        <f>IFERROR(VLOOKUP($G1551,基本資料!$A:$J,9,0),"無")</f>
        <v>0</v>
      </c>
      <c r="V1551" s="310">
        <f t="shared" si="292"/>
        <v>0</v>
      </c>
      <c r="W1551" s="94">
        <f>IFERROR(VLOOKUP($G1551,基本資料!$A:$J,10,0),"無")</f>
        <v>-0.24</v>
      </c>
      <c r="X1551" s="36">
        <f>RTD("money.excel",,"2704","Price")</f>
        <v>31.25</v>
      </c>
      <c r="Y1551" s="66"/>
      <c r="Z1551" s="15">
        <f t="shared" si="293"/>
        <v>31.25</v>
      </c>
      <c r="AA1551" s="3" t="e">
        <f t="shared" si="294"/>
        <v>#DIV/0!</v>
      </c>
      <c r="AB1551" s="344">
        <f>IFERROR(VLOOKUP($G1551,基本資料!$A:$M,11,0),"無")</f>
        <v>-10.6</v>
      </c>
      <c r="AC1551" s="397">
        <f>IFERROR(VLOOKUP($G1551,基本資料!$A:$M,12,0),"無")</f>
        <v>30.8</v>
      </c>
      <c r="AD1551" s="22" t="s">
        <v>0</v>
      </c>
      <c r="AG1551" s="33">
        <f t="shared" si="295"/>
        <v>0</v>
      </c>
      <c r="AH1551" s="43" t="s">
        <v>2681</v>
      </c>
      <c r="AI1551" s="63">
        <f t="shared" si="296"/>
        <v>6.2687380757699639E-5</v>
      </c>
      <c r="AJ1551" s="284">
        <f>RTD("money.excel",,$G1551,"PredictVolume")</f>
        <v>23</v>
      </c>
      <c r="AK1551" s="399">
        <f>IFERROR(VLOOKUP($G1551,基本資料!$A:$M,13,0),"無")</f>
        <v>0.66</v>
      </c>
    </row>
    <row r="1552" spans="1:37">
      <c r="A1552" s="347">
        <f>IFERROR(VLOOKUP($G1552,基本資料!$A:$J,3,0),"無")</f>
        <v>19.13</v>
      </c>
      <c r="B1552" s="79">
        <f>IFERROR(VLOOKUP($G1552,基本資料!$A:$J,4,0),"無")</f>
        <v>10</v>
      </c>
      <c r="C1552" s="79">
        <f>IFERROR(VLOOKUP($G1552,基本資料!$A:$J,5,0),"無")</f>
        <v>-31</v>
      </c>
      <c r="D1552" s="79">
        <f>IFERROR(VLOOKUP($G1552,基本資料!$A:$J,6,0),"無")</f>
        <v>-8</v>
      </c>
      <c r="E1552" s="79">
        <f>IFERROR(VLOOKUP($G1552,基本資料!$A:$J,7,0),"無")</f>
        <v>1</v>
      </c>
      <c r="F1552" s="6">
        <f>IFERROR(VLOOKUP($G1552,基本資料!$A:$J,8,0),"無")</f>
        <v>-38.5</v>
      </c>
      <c r="G1552" s="79">
        <v>2705</v>
      </c>
      <c r="H1552" s="8" t="s">
        <v>303</v>
      </c>
      <c r="I1552" s="22" t="s">
        <v>971</v>
      </c>
      <c r="J1552" s="8">
        <f>IFERROR(VLOOKUP($G1552,今日總結!$A:$AJ,35,0),"")</f>
        <v>0</v>
      </c>
      <c r="K1552" s="5" t="str">
        <f>IFERROR(VLOOKUP($G1552,今日總結!$A:$AJ,36,0),"")</f>
        <v>外</v>
      </c>
      <c r="L1552" s="156">
        <f>IFERROR(VLOOKUP($G1552,今日總結!$A:$AJ,33,0),"")</f>
        <v>0</v>
      </c>
      <c r="M1552" s="340">
        <f>IFERROR(VLOOKUP($G1552,今日總結!$A:$AJ,34,0),"")</f>
        <v>1</v>
      </c>
      <c r="N1552" s="240">
        <f t="shared" si="291"/>
        <v>-1</v>
      </c>
      <c r="P1552" s="365">
        <f>IFERROR(VLOOKUP($G1552,融外自投!$A:$J,7,0),"無")</f>
        <v>1168</v>
      </c>
      <c r="Q1552" s="79">
        <f>IFERROR(VLOOKUP($G1552,融外自投!$A:$J,9,0),"無")</f>
        <v>1051</v>
      </c>
      <c r="R1552" s="346">
        <f>IFERROR(VLOOKUP($G1552,融外自投!$A:$J,8,0),"無")</f>
        <v>1090</v>
      </c>
      <c r="S1552" s="81" t="str">
        <f>IFERROR(VLOOKUP($G1552,融外自投!$A:$J,10,0),"無")</f>
        <v>無</v>
      </c>
      <c r="T1552" s="327">
        <f>IFERROR(VLOOKUP($G1552,'321買'!$A:$E,5,0),"'沒有資料'")</f>
        <v>1066</v>
      </c>
      <c r="U1552" s="186">
        <f>IFERROR(VLOOKUP($G1552,基本資料!$A:$J,9,0),"無")</f>
        <v>0</v>
      </c>
      <c r="V1552" s="310">
        <f t="shared" si="292"/>
        <v>0</v>
      </c>
      <c r="W1552" s="94">
        <f>IFERROR(VLOOKUP($G1552,基本資料!$A:$J,10,0),"無")</f>
        <v>-1.46</v>
      </c>
      <c r="X1552" s="36">
        <f>RTD("money.excel",,"2705","Price")</f>
        <v>16.8</v>
      </c>
      <c r="Y1552" s="66"/>
      <c r="Z1552" s="15">
        <f t="shared" si="293"/>
        <v>16.8</v>
      </c>
      <c r="AA1552" s="3" t="e">
        <f t="shared" si="294"/>
        <v>#DIV/0!</v>
      </c>
      <c r="AB1552" s="344">
        <f>IFERROR(VLOOKUP($G1552,基本資料!$A:$M,11,0),"無")</f>
        <v>-20.57</v>
      </c>
      <c r="AC1552" s="397">
        <f>IFERROR(VLOOKUP($G1552,基本資料!$A:$M,12,0),"無")</f>
        <v>7.26</v>
      </c>
      <c r="AD1552" s="22" t="s">
        <v>971</v>
      </c>
      <c r="AG1552" s="33">
        <f t="shared" si="295"/>
        <v>0</v>
      </c>
      <c r="AH1552" s="43" t="s">
        <v>2781</v>
      </c>
      <c r="AI1552" s="63">
        <f t="shared" si="296"/>
        <v>5.2796654469419756E-4</v>
      </c>
      <c r="AJ1552" s="284">
        <f>RTD("money.excel",,$G1552,"PredictVolume")</f>
        <v>101</v>
      </c>
      <c r="AK1552" s="399">
        <f>IFERROR(VLOOKUP($G1552,基本資料!$A:$M,13,0),"無")</f>
        <v>1.53</v>
      </c>
    </row>
    <row r="1553" spans="1:37">
      <c r="A1553" s="347">
        <f>IFERROR(VLOOKUP($G1553,基本資料!$A:$J,3,0),"無")</f>
        <v>49.99</v>
      </c>
      <c r="B1553" s="79">
        <f>IFERROR(VLOOKUP($G1553,基本資料!$A:$J,4,0),"無")</f>
        <v>-51</v>
      </c>
      <c r="C1553" s="79">
        <f>IFERROR(VLOOKUP($G1553,基本資料!$A:$J,5,0),"無")</f>
        <v>1</v>
      </c>
      <c r="D1553" s="79">
        <f>IFERROR(VLOOKUP($G1553,基本資料!$A:$J,6,0),"無")</f>
        <v>0</v>
      </c>
      <c r="E1553" s="79">
        <f>IFERROR(VLOOKUP($G1553,基本資料!$A:$J,7,0),"無")</f>
        <v>2</v>
      </c>
      <c r="F1553" s="6">
        <f>IFERROR(VLOOKUP($G1553,基本資料!$A:$J,8,0),"無")</f>
        <v>66.5</v>
      </c>
      <c r="G1553" s="79">
        <v>2706</v>
      </c>
      <c r="H1553" s="8" t="s">
        <v>303</v>
      </c>
      <c r="I1553" s="22" t="s">
        <v>972</v>
      </c>
      <c r="J1553" s="8">
        <f>IFERROR(VLOOKUP($G1553,今日總結!$A:$AJ,35,0),"")</f>
        <v>0</v>
      </c>
      <c r="K1553" s="5" t="str">
        <f>IFERROR(VLOOKUP($G1553,今日總結!$A:$AJ,36,0),"")</f>
        <v>外</v>
      </c>
      <c r="L1553" s="156">
        <f>IFERROR(VLOOKUP($G1553,今日總結!$A:$AJ,33,0),"")</f>
        <v>0</v>
      </c>
      <c r="M1553" s="340">
        <f>IFERROR(VLOOKUP($G1553,今日總結!$A:$AJ,34,0),"")</f>
        <v>2</v>
      </c>
      <c r="N1553" s="240">
        <f t="shared" si="291"/>
        <v>-2</v>
      </c>
      <c r="P1553" s="365">
        <f>IFERROR(VLOOKUP($G1553,融外自投!$A:$J,7,0),"無")</f>
        <v>1151</v>
      </c>
      <c r="Q1553" s="79" t="str">
        <f>IFERROR(VLOOKUP($G1553,融外自投!$A:$J,9,0),"無")</f>
        <v>無</v>
      </c>
      <c r="R1553" s="346">
        <f>IFERROR(VLOOKUP($G1553,融外自投!$A:$J,8,0),"無")</f>
        <v>974</v>
      </c>
      <c r="S1553" s="81" t="str">
        <f>IFERROR(VLOOKUP($G1553,融外自投!$A:$J,10,0),"無")</f>
        <v>無</v>
      </c>
      <c r="T1553" s="327">
        <f>IFERROR(VLOOKUP($G1553,'321買'!$A:$E,5,0),"'沒有資料'")</f>
        <v>710</v>
      </c>
      <c r="U1553" s="186">
        <f>IFERROR(VLOOKUP($G1553,基本資料!$A:$J,9,0),"無")</f>
        <v>0.14000000000000001</v>
      </c>
      <c r="V1553" s="310">
        <f t="shared" si="292"/>
        <v>1.0218978102189783E-2</v>
      </c>
      <c r="W1553" s="94">
        <f>IFERROR(VLOOKUP($G1553,基本資料!$A:$J,10,0),"無")</f>
        <v>0.16</v>
      </c>
      <c r="X1553" s="36">
        <f>RTD("money.excel",,"2706","Price")</f>
        <v>13.7</v>
      </c>
      <c r="Y1553" s="66"/>
      <c r="Z1553" s="15">
        <f t="shared" si="293"/>
        <v>13.7</v>
      </c>
      <c r="AA1553" s="3" t="e">
        <f t="shared" si="294"/>
        <v>#DIV/0!</v>
      </c>
      <c r="AB1553" s="344">
        <f>IFERROR(VLOOKUP($G1553,基本資料!$A:$M,11,0),"無")</f>
        <v>-20.18</v>
      </c>
      <c r="AC1553" s="397">
        <f>IFERROR(VLOOKUP($G1553,基本資料!$A:$M,12,0),"無")</f>
        <v>13.36</v>
      </c>
      <c r="AD1553" s="22" t="s">
        <v>972</v>
      </c>
      <c r="AG1553" s="33">
        <f t="shared" si="295"/>
        <v>0</v>
      </c>
      <c r="AH1553" s="43" t="s">
        <v>2782</v>
      </c>
      <c r="AI1553" s="63">
        <f t="shared" si="296"/>
        <v>1.3402680536107222E-4</v>
      </c>
      <c r="AJ1553" s="284">
        <f>RTD("money.excel",,$G1553,"PredictVolume")</f>
        <v>67</v>
      </c>
      <c r="AK1553" s="399">
        <f>IFERROR(VLOOKUP($G1553,基本資料!$A:$M,13,0),"無")</f>
        <v>3.38</v>
      </c>
    </row>
    <row r="1554" spans="1:37">
      <c r="A1554" s="347">
        <f>IFERROR(VLOOKUP($G1554,基本資料!$A:$J,3,0),"無")</f>
        <v>12.74</v>
      </c>
      <c r="B1554" s="79">
        <f>IFERROR(VLOOKUP($G1554,基本資料!$A:$J,4,0),"無")</f>
        <v>205</v>
      </c>
      <c r="C1554" s="79">
        <f>IFERROR(VLOOKUP($G1554,基本資料!$A:$J,5,0),"無")</f>
        <v>-26</v>
      </c>
      <c r="D1554" s="79">
        <f>IFERROR(VLOOKUP($G1554,基本資料!$A:$J,6,0),"無")</f>
        <v>-12</v>
      </c>
      <c r="E1554" s="79">
        <f>IFERROR(VLOOKUP($G1554,基本資料!$A:$J,7,0),"無")</f>
        <v>-15</v>
      </c>
      <c r="F1554" s="6">
        <f>IFERROR(VLOOKUP($G1554,基本資料!$A:$J,8,0),"無")</f>
        <v>10.92</v>
      </c>
      <c r="G1554" s="79">
        <v>2707</v>
      </c>
      <c r="H1554" s="8" t="s">
        <v>303</v>
      </c>
      <c r="I1554" s="22" t="s">
        <v>973</v>
      </c>
      <c r="J1554" s="8">
        <f>IFERROR(VLOOKUP($G1554,今日總結!$A:$AJ,35,0),"")</f>
        <v>0</v>
      </c>
      <c r="K1554" s="5">
        <f>IFERROR(VLOOKUP($G1554,今日總結!$A:$AJ,36,0),"")</f>
        <v>0</v>
      </c>
      <c r="L1554" s="156">
        <f>IFERROR(VLOOKUP($G1554,今日總結!$A:$AJ,33,0),"")</f>
        <v>0</v>
      </c>
      <c r="M1554" s="340">
        <f>IFERROR(VLOOKUP($G1554,今日總結!$A:$AJ,34,0),"")</f>
        <v>1</v>
      </c>
      <c r="N1554" s="240">
        <f t="shared" si="291"/>
        <v>-1</v>
      </c>
      <c r="P1554" s="365">
        <f>IFERROR(VLOOKUP($G1554,融外自投!$A:$J,7,0),"無")</f>
        <v>1023</v>
      </c>
      <c r="Q1554" s="79">
        <f>IFERROR(VLOOKUP($G1554,融外自投!$A:$J,9,0),"無")</f>
        <v>263</v>
      </c>
      <c r="R1554" s="346">
        <f>IFERROR(VLOOKUP($G1554,融外自投!$A:$J,8,0),"無")</f>
        <v>361</v>
      </c>
      <c r="S1554" s="81">
        <f>IFERROR(VLOOKUP($G1554,融外自投!$A:$J,10,0),"無")</f>
        <v>229</v>
      </c>
      <c r="T1554" s="327">
        <f>IFERROR(VLOOKUP($G1554,'321買'!$A:$E,5,0),"'沒有資料'")</f>
        <v>503</v>
      </c>
      <c r="U1554" s="186">
        <f>IFERROR(VLOOKUP($G1554,基本資料!$A:$J,9,0),"無")</f>
        <v>12.39</v>
      </c>
      <c r="V1554" s="310">
        <f t="shared" si="292"/>
        <v>7.4864048338368586E-2</v>
      </c>
      <c r="W1554" s="94">
        <f>IFERROR(VLOOKUP($G1554,基本資料!$A:$J,10,0),"無")</f>
        <v>17.09</v>
      </c>
      <c r="X1554" s="36">
        <f>RTD("money.excel",,"2707","Price")</f>
        <v>165.5</v>
      </c>
      <c r="Y1554" s="66"/>
      <c r="Z1554" s="15">
        <f t="shared" si="293"/>
        <v>165.5</v>
      </c>
      <c r="AA1554" s="3" t="e">
        <f t="shared" si="294"/>
        <v>#DIV/0!</v>
      </c>
      <c r="AB1554" s="344">
        <f>IFERROR(VLOOKUP($G1554,基本資料!$A:$M,11,0),"無")</f>
        <v>-14.36</v>
      </c>
      <c r="AC1554" s="397">
        <f>IFERROR(VLOOKUP($G1554,基本資料!$A:$M,12,0),"無")</f>
        <v>47.32</v>
      </c>
      <c r="AD1554" s="22" t="s">
        <v>973</v>
      </c>
      <c r="AG1554" s="33">
        <f t="shared" si="295"/>
        <v>0</v>
      </c>
      <c r="AH1554" s="43" t="s">
        <v>2681</v>
      </c>
      <c r="AI1554" s="63">
        <f t="shared" si="296"/>
        <v>1.7189952904238619E-3</v>
      </c>
      <c r="AJ1554" s="284">
        <f>RTD("money.excel",,$G1554,"PredictVolume")</f>
        <v>219</v>
      </c>
      <c r="AK1554" s="399">
        <f>IFERROR(VLOOKUP($G1554,基本資料!$A:$M,13,0),"無")</f>
        <v>6.02</v>
      </c>
    </row>
    <row r="1555" spans="1:37">
      <c r="A1555" s="347">
        <f>IFERROR(VLOOKUP($G1555,基本資料!$A:$J,3,0),"無")</f>
        <v>10.5</v>
      </c>
      <c r="B1555" s="79">
        <f>IFERROR(VLOOKUP($G1555,基本資料!$A:$J,4,0),"無")</f>
        <v>-121</v>
      </c>
      <c r="C1555" s="79">
        <f>IFERROR(VLOOKUP($G1555,基本資料!$A:$J,5,0),"無")</f>
        <v>-138</v>
      </c>
      <c r="D1555" s="79">
        <f>IFERROR(VLOOKUP($G1555,基本資料!$A:$J,6,0),"無")</f>
        <v>-49</v>
      </c>
      <c r="E1555" s="79">
        <f>IFERROR(VLOOKUP($G1555,基本資料!$A:$J,7,0),"無")</f>
        <v>-33</v>
      </c>
      <c r="F1555" s="6">
        <f>IFERROR(VLOOKUP($G1555,基本資料!$A:$J,8,0),"無")</f>
        <v>-10.91</v>
      </c>
      <c r="G1555" s="79">
        <v>2712</v>
      </c>
      <c r="H1555" s="8" t="s">
        <v>303</v>
      </c>
      <c r="I1555" s="22" t="s">
        <v>974</v>
      </c>
      <c r="J1555" s="8" t="str">
        <f>IFERROR(VLOOKUP($G1555,今日總結!$A:$AJ,35,0),"")</f>
        <v/>
      </c>
      <c r="K1555" s="5" t="str">
        <f>IFERROR(VLOOKUP($G1555,今日總結!$A:$AJ,36,0),"")</f>
        <v/>
      </c>
      <c r="L1555" s="156" t="str">
        <f>IFERROR(VLOOKUP($G1555,今日總結!$A:$AJ,33,0),"")</f>
        <v/>
      </c>
      <c r="M1555" s="340" t="str">
        <f>IFERROR(VLOOKUP($G1555,今日總結!$A:$AJ,34,0),"")</f>
        <v/>
      </c>
      <c r="N1555" s="240" t="str">
        <f t="shared" si="291"/>
        <v/>
      </c>
      <c r="P1555" s="365">
        <f>IFERROR(VLOOKUP($G1555,融外自投!$A:$J,7,0),"無")</f>
        <v>1388</v>
      </c>
      <c r="Q1555" s="79" t="str">
        <f>IFERROR(VLOOKUP($G1555,融外自投!$A:$J,9,0),"無")</f>
        <v>無</v>
      </c>
      <c r="R1555" s="346">
        <f>IFERROR(VLOOKUP($G1555,融外自投!$A:$J,8,0),"無")</f>
        <v>1438</v>
      </c>
      <c r="S1555" s="81" t="str">
        <f>IFERROR(VLOOKUP($G1555,融外自投!$A:$J,10,0),"無")</f>
        <v>無</v>
      </c>
      <c r="T1555" s="327">
        <f>IFERROR(VLOOKUP($G1555,'321買'!$A:$E,5,0),"'沒有資料'")</f>
        <v>1338</v>
      </c>
      <c r="U1555" s="186">
        <f>IFERROR(VLOOKUP($G1555,基本資料!$A:$J,9,0),"無")</f>
        <v>0</v>
      </c>
      <c r="V1555" s="310">
        <f t="shared" si="292"/>
        <v>0</v>
      </c>
      <c r="W1555" s="94">
        <f>IFERROR(VLOOKUP($G1555,基本資料!$A:$J,10,0),"無")</f>
        <v>-0.2</v>
      </c>
      <c r="X1555" s="36">
        <f>RTD("money.excel",,"2712","Price")</f>
        <v>33.1</v>
      </c>
      <c r="Y1555" s="66"/>
      <c r="Z1555" s="15">
        <f t="shared" si="293"/>
        <v>33.1</v>
      </c>
      <c r="AA1555" s="3" t="e">
        <f t="shared" si="294"/>
        <v>#DIV/0!</v>
      </c>
      <c r="AB1555" s="344">
        <f>IFERROR(VLOOKUP($G1555,基本資料!$A:$M,11,0),"無")</f>
        <v>-25.99</v>
      </c>
      <c r="AC1555" s="397">
        <f>IFERROR(VLOOKUP($G1555,基本資料!$A:$M,12,0),"無")</f>
        <v>31.5</v>
      </c>
      <c r="AD1555" s="22" t="s">
        <v>974</v>
      </c>
      <c r="AG1555" s="33">
        <f t="shared" si="295"/>
        <v>0</v>
      </c>
      <c r="AH1555" s="43" t="s">
        <v>2783</v>
      </c>
      <c r="AI1555" s="63">
        <f t="shared" si="296"/>
        <v>2.0952380952380951E-4</v>
      </c>
      <c r="AJ1555" s="284">
        <f>RTD("money.excel",,$G1555,"PredictVolume")</f>
        <v>22</v>
      </c>
      <c r="AK1555" s="399">
        <f>IFERROR(VLOOKUP($G1555,基本資料!$A:$M,13,0),"無")</f>
        <v>0.69</v>
      </c>
    </row>
    <row r="1556" spans="1:37">
      <c r="A1556" s="347">
        <f>IFERROR(VLOOKUP($G1556,基本資料!$A:$J,3,0),"無")</f>
        <v>8.4499999999999993</v>
      </c>
      <c r="B1556" s="79">
        <f>IFERROR(VLOOKUP($G1556,基本資料!$A:$J,4,0),"無")</f>
        <v>68</v>
      </c>
      <c r="C1556" s="79">
        <f>IFERROR(VLOOKUP($G1556,基本資料!$A:$J,5,0),"無")</f>
        <v>-3</v>
      </c>
      <c r="D1556" s="79">
        <f>IFERROR(VLOOKUP($G1556,基本資料!$A:$J,6,0),"無")</f>
        <v>26</v>
      </c>
      <c r="E1556" s="79">
        <f>IFERROR(VLOOKUP($G1556,基本資料!$A:$J,7,0),"無")</f>
        <v>89</v>
      </c>
      <c r="F1556" s="6">
        <f>IFERROR(VLOOKUP($G1556,基本資料!$A:$J,8,0),"無")</f>
        <v>-55.66</v>
      </c>
      <c r="G1556" s="79">
        <v>2718</v>
      </c>
      <c r="H1556" s="8" t="s">
        <v>303</v>
      </c>
      <c r="I1556" s="16" t="s">
        <v>961</v>
      </c>
      <c r="J1556" s="8" t="str">
        <f>IFERROR(VLOOKUP($G1556,今日總結!$A:$AJ,35,0),"")</f>
        <v/>
      </c>
      <c r="K1556" s="5" t="str">
        <f>IFERROR(VLOOKUP($G1556,今日總結!$A:$AJ,36,0),"")</f>
        <v/>
      </c>
      <c r="L1556" s="156" t="str">
        <f>IFERROR(VLOOKUP($G1556,今日總結!$A:$AJ,33,0),"")</f>
        <v/>
      </c>
      <c r="M1556" s="340" t="str">
        <f>IFERROR(VLOOKUP($G1556,今日總結!$A:$AJ,34,0),"")</f>
        <v/>
      </c>
      <c r="N1556" s="240" t="str">
        <f t="shared" si="291"/>
        <v/>
      </c>
      <c r="P1556" s="365" t="str">
        <f>IFERROR(VLOOKUP($G1556,融外自投!$A:$J,7,0),"無")</f>
        <v>無</v>
      </c>
      <c r="Q1556" s="79" t="str">
        <f>IFERROR(VLOOKUP($G1556,融外自投!$A:$J,9,0),"無")</f>
        <v>無</v>
      </c>
      <c r="R1556" s="346" t="str">
        <f>IFERROR(VLOOKUP($G1556,融外自投!$A:$J,8,0),"無")</f>
        <v>無</v>
      </c>
      <c r="S1556" s="81" t="str">
        <f>IFERROR(VLOOKUP($G1556,融外自投!$A:$J,10,0),"無")</f>
        <v>無</v>
      </c>
      <c r="T1556" s="327" t="str">
        <f>IFERROR(VLOOKUP($G1556,'321買'!$A:$E,5,0),"'沒有資料'")</f>
        <v>'沒有資料'</v>
      </c>
      <c r="U1556" s="186">
        <f>IFERROR(VLOOKUP($G1556,基本資料!$A:$J,9,0),"無")</f>
        <v>0</v>
      </c>
      <c r="V1556" s="310">
        <f t="shared" si="292"/>
        <v>0</v>
      </c>
      <c r="W1556" s="94">
        <f>IFERROR(VLOOKUP($G1556,基本資料!$A:$J,10,0),"無")</f>
        <v>-0.55000000000000004</v>
      </c>
      <c r="X1556" s="36">
        <f>RTD("money.excel",,"2718","Price")</f>
        <v>34.4</v>
      </c>
      <c r="Y1556" s="66"/>
      <c r="Z1556" s="15">
        <f t="shared" si="293"/>
        <v>34.4</v>
      </c>
      <c r="AA1556" s="3" t="e">
        <f t="shared" si="294"/>
        <v>#DIV/0!</v>
      </c>
      <c r="AB1556" s="344">
        <f>IFERROR(VLOOKUP($G1556,基本資料!$A:$M,11,0),"無")</f>
        <v>-14.65</v>
      </c>
      <c r="AC1556" s="397">
        <f>IFERROR(VLOOKUP($G1556,基本資料!$A:$M,12,0),"無")</f>
        <v>32.46</v>
      </c>
      <c r="AD1556" s="16" t="s">
        <v>961</v>
      </c>
      <c r="AG1556" s="33">
        <f t="shared" si="295"/>
        <v>0</v>
      </c>
      <c r="AH1556" s="43" t="s">
        <v>2544</v>
      </c>
      <c r="AI1556" s="63">
        <f t="shared" si="296"/>
        <v>1.0769230769230769E-3</v>
      </c>
      <c r="AJ1556" s="284">
        <f>RTD("money.excel",,$G1556,"PredictVolume")</f>
        <v>91</v>
      </c>
      <c r="AK1556" s="399">
        <f>IFERROR(VLOOKUP($G1556,基本資料!$A:$M,13,0),"無")</f>
        <v>0.61</v>
      </c>
    </row>
    <row r="1557" spans="1:37">
      <c r="A1557" s="347">
        <f>IFERROR(VLOOKUP($G1557,基本資料!$A:$J,3,0),"無")</f>
        <v>3.4</v>
      </c>
      <c r="B1557" s="79">
        <f>IFERROR(VLOOKUP($G1557,基本資料!$A:$J,4,0),"無")</f>
        <v>51</v>
      </c>
      <c r="C1557" s="79">
        <f>IFERROR(VLOOKUP($G1557,基本資料!$A:$J,5,0),"無")</f>
        <v>42</v>
      </c>
      <c r="D1557" s="79">
        <f>IFERROR(VLOOKUP($G1557,基本資料!$A:$J,6,0),"無")</f>
        <v>-38</v>
      </c>
      <c r="E1557" s="79">
        <f>IFERROR(VLOOKUP($G1557,基本資料!$A:$J,7,0),"無")</f>
        <v>-19</v>
      </c>
      <c r="F1557" s="6">
        <f>IFERROR(VLOOKUP($G1557,基本資料!$A:$J,8,0),"無")</f>
        <v>-180.11</v>
      </c>
      <c r="G1557" s="79">
        <v>2719</v>
      </c>
      <c r="H1557" s="8" t="s">
        <v>303</v>
      </c>
      <c r="I1557" s="16" t="s">
        <v>962</v>
      </c>
      <c r="J1557" s="8" t="str">
        <f>IFERROR(VLOOKUP($G1557,今日總結!$A:$AJ,35,0),"")</f>
        <v/>
      </c>
      <c r="K1557" s="5" t="str">
        <f>IFERROR(VLOOKUP($G1557,今日總結!$A:$AJ,36,0),"")</f>
        <v/>
      </c>
      <c r="L1557" s="156" t="str">
        <f>IFERROR(VLOOKUP($G1557,今日總結!$A:$AJ,33,0),"")</f>
        <v/>
      </c>
      <c r="M1557" s="340" t="str">
        <f>IFERROR(VLOOKUP($G1557,今日總結!$A:$AJ,34,0),"")</f>
        <v/>
      </c>
      <c r="N1557" s="240" t="str">
        <f t="shared" si="291"/>
        <v/>
      </c>
      <c r="P1557" s="365" t="str">
        <f>IFERROR(VLOOKUP($G1557,融外自投!$A:$J,7,0),"無")</f>
        <v>無</v>
      </c>
      <c r="Q1557" s="79" t="str">
        <f>IFERROR(VLOOKUP($G1557,融外自投!$A:$J,9,0),"無")</f>
        <v>無</v>
      </c>
      <c r="R1557" s="346" t="str">
        <f>IFERROR(VLOOKUP($G1557,融外自投!$A:$J,8,0),"無")</f>
        <v>無</v>
      </c>
      <c r="S1557" s="81" t="str">
        <f>IFERROR(VLOOKUP($G1557,融外自投!$A:$J,10,0),"無")</f>
        <v>無</v>
      </c>
      <c r="T1557" s="327" t="str">
        <f>IFERROR(VLOOKUP($G1557,'321買'!$A:$E,5,0),"'沒有資料'")</f>
        <v>'沒有資料'</v>
      </c>
      <c r="U1557" s="186">
        <f>IFERROR(VLOOKUP($G1557,基本資料!$A:$J,9,0),"無")</f>
        <v>0</v>
      </c>
      <c r="V1557" s="310">
        <f t="shared" si="292"/>
        <v>0</v>
      </c>
      <c r="W1557" s="94">
        <f>IFERROR(VLOOKUP($G1557,基本資料!$A:$J,10,0),"無")</f>
        <v>-1.29</v>
      </c>
      <c r="X1557" s="36">
        <f>RTD("money.excel",,"2719","Price")</f>
        <v>15.1</v>
      </c>
      <c r="Y1557" s="66"/>
      <c r="Z1557" s="15">
        <f t="shared" si="293"/>
        <v>15.1</v>
      </c>
      <c r="AA1557" s="3" t="e">
        <f t="shared" si="294"/>
        <v>#DIV/0!</v>
      </c>
      <c r="AB1557" s="344">
        <f>IFERROR(VLOOKUP($G1557,基本資料!$A:$M,11,0),"無")</f>
        <v>-15</v>
      </c>
      <c r="AC1557" s="397">
        <f>IFERROR(VLOOKUP($G1557,基本資料!$A:$M,12,0),"無")</f>
        <v>64.45</v>
      </c>
      <c r="AD1557" s="16" t="s">
        <v>962</v>
      </c>
      <c r="AG1557" s="33">
        <f t="shared" si="295"/>
        <v>0</v>
      </c>
      <c r="AH1557" s="43" t="s">
        <v>2673</v>
      </c>
      <c r="AI1557" s="63">
        <f t="shared" si="296"/>
        <v>2.6470588235294115E-4</v>
      </c>
      <c r="AJ1557" s="284">
        <f>RTD("money.excel",,$G1557,"PredictVolume")</f>
        <v>9</v>
      </c>
      <c r="AK1557" s="399">
        <f>IFERROR(VLOOKUP($G1557,基本資料!$A:$M,13,0),"無")</f>
        <v>0.33</v>
      </c>
    </row>
    <row r="1558" spans="1:37">
      <c r="A1558" s="347">
        <f>IFERROR(VLOOKUP($G1558,基本資料!$A:$J,3,0),"無")</f>
        <v>11.15</v>
      </c>
      <c r="B1558" s="79">
        <f>IFERROR(VLOOKUP($G1558,基本資料!$A:$J,4,0),"無")</f>
        <v>-81</v>
      </c>
      <c r="C1558" s="79">
        <f>IFERROR(VLOOKUP($G1558,基本資料!$A:$J,5,0),"無")</f>
        <v>-102</v>
      </c>
      <c r="D1558" s="79">
        <f>IFERROR(VLOOKUP($G1558,基本資料!$A:$J,6,0),"無")</f>
        <v>7</v>
      </c>
      <c r="E1558" s="79">
        <f>IFERROR(VLOOKUP($G1558,基本資料!$A:$J,7,0),"無")</f>
        <v>-5</v>
      </c>
      <c r="F1558" s="6">
        <f>IFERROR(VLOOKUP($G1558,基本資料!$A:$J,8,0),"無")</f>
        <v>-0.39</v>
      </c>
      <c r="G1558" s="79">
        <v>2722</v>
      </c>
      <c r="H1558" s="8" t="s">
        <v>303</v>
      </c>
      <c r="I1558" s="22" t="s">
        <v>975</v>
      </c>
      <c r="J1558" s="8" t="str">
        <f>IFERROR(VLOOKUP($G1558,今日總結!$A:$AJ,35,0),"")</f>
        <v/>
      </c>
      <c r="K1558" s="5" t="str">
        <f>IFERROR(VLOOKUP($G1558,今日總結!$A:$AJ,36,0),"")</f>
        <v/>
      </c>
      <c r="L1558" s="156" t="str">
        <f>IFERROR(VLOOKUP($G1558,今日總結!$A:$AJ,33,0),"")</f>
        <v/>
      </c>
      <c r="M1558" s="340" t="str">
        <f>IFERROR(VLOOKUP($G1558,今日總結!$A:$AJ,34,0),"")</f>
        <v/>
      </c>
      <c r="N1558" s="240" t="str">
        <f t="shared" si="291"/>
        <v/>
      </c>
      <c r="P1558" s="365">
        <f>IFERROR(VLOOKUP($G1558,融外自投!$A:$J,7,0),"無")</f>
        <v>1251</v>
      </c>
      <c r="Q1558" s="79">
        <f>IFERROR(VLOOKUP($G1558,融外自投!$A:$J,9,0),"無")</f>
        <v>447</v>
      </c>
      <c r="R1558" s="346">
        <f>IFERROR(VLOOKUP($G1558,融外自投!$A:$J,8,0),"無")</f>
        <v>1438</v>
      </c>
      <c r="S1558" s="81" t="str">
        <f>IFERROR(VLOOKUP($G1558,融外自投!$A:$J,10,0),"無")</f>
        <v>無</v>
      </c>
      <c r="T1558" s="327">
        <f>IFERROR(VLOOKUP($G1558,'321買'!$A:$E,5,0),"'沒有資料'")</f>
        <v>1310</v>
      </c>
      <c r="U1558" s="186">
        <f>IFERROR(VLOOKUP($G1558,基本資料!$A:$J,9,0),"無")</f>
        <v>0.2</v>
      </c>
      <c r="V1558" s="310">
        <f t="shared" si="292"/>
        <v>6.6666666666666671E-3</v>
      </c>
      <c r="W1558" s="94">
        <f>IFERROR(VLOOKUP($G1558,基本資料!$A:$J,10,0),"無")</f>
        <v>0.18</v>
      </c>
      <c r="X1558" s="36">
        <f>RTD("money.excel",,"2722","Price")</f>
        <v>30</v>
      </c>
      <c r="Y1558" s="66"/>
      <c r="Z1558" s="15">
        <f t="shared" si="293"/>
        <v>30</v>
      </c>
      <c r="AA1558" s="3" t="e">
        <f t="shared" si="294"/>
        <v>#DIV/0!</v>
      </c>
      <c r="AB1558" s="344">
        <f>IFERROR(VLOOKUP($G1558,基本資料!$A:$M,11,0),"無")</f>
        <v>-25.06</v>
      </c>
      <c r="AC1558" s="397">
        <f>IFERROR(VLOOKUP($G1558,基本資料!$A:$M,12,0),"無")</f>
        <v>16.170000000000002</v>
      </c>
      <c r="AD1558" s="22" t="s">
        <v>975</v>
      </c>
      <c r="AG1558" s="33">
        <f t="shared" si="295"/>
        <v>0</v>
      </c>
      <c r="AH1558" s="43" t="s">
        <v>2784</v>
      </c>
      <c r="AI1558" s="63">
        <f t="shared" si="296"/>
        <v>1.9730941704035874E-4</v>
      </c>
      <c r="AJ1558" s="284">
        <f>RTD("money.excel",,$G1558,"PredictVolume")</f>
        <v>22</v>
      </c>
      <c r="AK1558" s="399">
        <f>IFERROR(VLOOKUP($G1558,基本資料!$A:$M,13,0),"無")</f>
        <v>1.86</v>
      </c>
    </row>
    <row r="1559" spans="1:37">
      <c r="A1559" s="347">
        <f>IFERROR(VLOOKUP($G1559,基本資料!$A:$J,3,0),"無")</f>
        <v>18</v>
      </c>
      <c r="B1559" s="79">
        <f>IFERROR(VLOOKUP($G1559,基本資料!$A:$J,4,0),"無")</f>
        <v>7</v>
      </c>
      <c r="C1559" s="79">
        <f>IFERROR(VLOOKUP($G1559,基本資料!$A:$J,5,0),"無")</f>
        <v>-11</v>
      </c>
      <c r="D1559" s="79">
        <f>IFERROR(VLOOKUP($G1559,基本資料!$A:$J,6,0),"無")</f>
        <v>3</v>
      </c>
      <c r="E1559" s="79">
        <f>IFERROR(VLOOKUP($G1559,基本資料!$A:$J,7,0),"無")</f>
        <v>-4</v>
      </c>
      <c r="F1559" s="6">
        <f>IFERROR(VLOOKUP($G1559,基本資料!$A:$J,8,0),"無")</f>
        <v>7.13</v>
      </c>
      <c r="G1559" s="79">
        <v>2723</v>
      </c>
      <c r="H1559" s="8" t="s">
        <v>303</v>
      </c>
      <c r="I1559" s="22" t="s">
        <v>115</v>
      </c>
      <c r="J1559" s="8" t="str">
        <f>IFERROR(VLOOKUP($G1559,今日總結!$A:$AJ,35,0),"")</f>
        <v/>
      </c>
      <c r="K1559" s="5" t="str">
        <f>IFERROR(VLOOKUP($G1559,今日總結!$A:$AJ,36,0),"")</f>
        <v/>
      </c>
      <c r="L1559" s="156" t="str">
        <f>IFERROR(VLOOKUP($G1559,今日總結!$A:$AJ,33,0),"")</f>
        <v/>
      </c>
      <c r="M1559" s="340" t="str">
        <f>IFERROR(VLOOKUP($G1559,今日總結!$A:$AJ,34,0),"")</f>
        <v/>
      </c>
      <c r="N1559" s="240" t="str">
        <f t="shared" si="291"/>
        <v/>
      </c>
      <c r="P1559" s="365">
        <f>IFERROR(VLOOKUP($G1559,融外自投!$A:$J,7,0),"無")</f>
        <v>879</v>
      </c>
      <c r="Q1559" s="79">
        <f>IFERROR(VLOOKUP($G1559,融外自投!$A:$J,9,0),"無")</f>
        <v>1051</v>
      </c>
      <c r="R1559" s="346">
        <f>IFERROR(VLOOKUP($G1559,融外自投!$A:$J,8,0),"無")</f>
        <v>81</v>
      </c>
      <c r="S1559" s="81">
        <f>IFERROR(VLOOKUP($G1559,融外自投!$A:$J,10,0),"無")</f>
        <v>491</v>
      </c>
      <c r="T1559" s="327">
        <f>IFERROR(VLOOKUP($G1559,'321買'!$A:$E,5,0),"'沒有資料'")</f>
        <v>1007</v>
      </c>
      <c r="U1559" s="186">
        <f>IFERROR(VLOOKUP($G1559,基本資料!$A:$J,9,0),"無")</f>
        <v>5</v>
      </c>
      <c r="V1559" s="310">
        <f t="shared" si="292"/>
        <v>5.5617352614015569E-2</v>
      </c>
      <c r="W1559" s="94">
        <f>IFERROR(VLOOKUP($G1559,基本資料!$A:$J,10,0),"無")</f>
        <v>6.07</v>
      </c>
      <c r="X1559" s="36">
        <f>RTD("money.excel",,"2723","Price")</f>
        <v>89.9</v>
      </c>
      <c r="Y1559" s="66"/>
      <c r="Z1559" s="15">
        <f t="shared" si="293"/>
        <v>89.9</v>
      </c>
      <c r="AA1559" s="3" t="e">
        <f t="shared" si="294"/>
        <v>#DIV/0!</v>
      </c>
      <c r="AB1559" s="344">
        <f>IFERROR(VLOOKUP($G1559,基本資料!$A:$M,11,0),"無")</f>
        <v>-51.46</v>
      </c>
      <c r="AC1559" s="397">
        <f>IFERROR(VLOOKUP($G1559,基本資料!$A:$M,12,0),"無")</f>
        <v>22.96</v>
      </c>
      <c r="AD1559" s="22" t="s">
        <v>115</v>
      </c>
      <c r="AG1559" s="33">
        <f t="shared" si="295"/>
        <v>0</v>
      </c>
      <c r="AH1559" s="117" t="s">
        <v>2009</v>
      </c>
      <c r="AI1559" s="63">
        <f t="shared" si="296"/>
        <v>2.1555555555555555E-3</v>
      </c>
      <c r="AJ1559" s="284">
        <f>RTD("money.excel",,$G1559,"PredictVolume")</f>
        <v>388</v>
      </c>
      <c r="AK1559" s="399">
        <f>IFERROR(VLOOKUP($G1559,基本資料!$A:$M,13,0),"無")</f>
        <v>3</v>
      </c>
    </row>
    <row r="1560" spans="1:37">
      <c r="A1560" s="347">
        <f>IFERROR(VLOOKUP($G1560,基本資料!$A:$J,3,0),"無")</f>
        <v>5.96</v>
      </c>
      <c r="B1560" s="79">
        <f>IFERROR(VLOOKUP($G1560,基本資料!$A:$J,4,0),"無")</f>
        <v>70</v>
      </c>
      <c r="C1560" s="79">
        <f>IFERROR(VLOOKUP($G1560,基本資料!$A:$J,5,0),"無")</f>
        <v>68</v>
      </c>
      <c r="D1560" s="79">
        <f>IFERROR(VLOOKUP($G1560,基本資料!$A:$J,6,0),"無")</f>
        <v>0</v>
      </c>
      <c r="E1560" s="79">
        <f>IFERROR(VLOOKUP($G1560,基本資料!$A:$J,7,0),"無")</f>
        <v>-45</v>
      </c>
      <c r="F1560" s="6">
        <f>IFERROR(VLOOKUP($G1560,基本資料!$A:$J,8,0),"無")</f>
        <v>-41.24</v>
      </c>
      <c r="G1560" s="79">
        <v>2724</v>
      </c>
      <c r="H1560" s="8" t="s">
        <v>303</v>
      </c>
      <c r="I1560" s="16" t="s">
        <v>963</v>
      </c>
      <c r="J1560" s="8" t="str">
        <f>IFERROR(VLOOKUP($G1560,今日總結!$A:$AJ,35,0),"")</f>
        <v/>
      </c>
      <c r="K1560" s="5" t="str">
        <f>IFERROR(VLOOKUP($G1560,今日總結!$A:$AJ,36,0),"")</f>
        <v/>
      </c>
      <c r="L1560" s="156" t="str">
        <f>IFERROR(VLOOKUP($G1560,今日總結!$A:$AJ,33,0),"")</f>
        <v/>
      </c>
      <c r="M1560" s="340" t="str">
        <f>IFERROR(VLOOKUP($G1560,今日總結!$A:$AJ,34,0),"")</f>
        <v/>
      </c>
      <c r="N1560" s="240" t="str">
        <f t="shared" si="291"/>
        <v/>
      </c>
      <c r="P1560" s="365" t="str">
        <f>IFERROR(VLOOKUP($G1560,融外自投!$A:$J,7,0),"無")</f>
        <v>無</v>
      </c>
      <c r="Q1560" s="79" t="str">
        <f>IFERROR(VLOOKUP($G1560,融外自投!$A:$J,9,0),"無")</f>
        <v>無</v>
      </c>
      <c r="R1560" s="346" t="str">
        <f>IFERROR(VLOOKUP($G1560,融外自投!$A:$J,8,0),"無")</f>
        <v>無</v>
      </c>
      <c r="S1560" s="81" t="str">
        <f>IFERROR(VLOOKUP($G1560,融外自投!$A:$J,10,0),"無")</f>
        <v>無</v>
      </c>
      <c r="T1560" s="327" t="str">
        <f>IFERROR(VLOOKUP($G1560,'321買'!$A:$E,5,0),"'沒有資料'")</f>
        <v>'沒有資料'</v>
      </c>
      <c r="U1560" s="186">
        <f>IFERROR(VLOOKUP($G1560,基本資料!$A:$J,9,0),"無")</f>
        <v>0</v>
      </c>
      <c r="V1560" s="310">
        <f t="shared" si="292"/>
        <v>0</v>
      </c>
      <c r="W1560" s="94">
        <f>IFERROR(VLOOKUP($G1560,基本資料!$A:$J,10,0),"無")</f>
        <v>-1.0900000000000001</v>
      </c>
      <c r="X1560" s="36">
        <f>RTD("money.excel",,"2724","Price")</f>
        <v>15</v>
      </c>
      <c r="Y1560" s="66"/>
      <c r="Z1560" s="15">
        <f t="shared" si="293"/>
        <v>15</v>
      </c>
      <c r="AA1560" s="3" t="e">
        <f t="shared" si="294"/>
        <v>#DIV/0!</v>
      </c>
      <c r="AB1560" s="344">
        <f>IFERROR(VLOOKUP($G1560,基本資料!$A:$M,11,0),"無")</f>
        <v>-22.68</v>
      </c>
      <c r="AC1560" s="397">
        <f>IFERROR(VLOOKUP($G1560,基本資料!$A:$M,12,0),"無")</f>
        <v>45.59</v>
      </c>
      <c r="AD1560" s="16" t="s">
        <v>963</v>
      </c>
      <c r="AG1560" s="33">
        <f t="shared" si="295"/>
        <v>0</v>
      </c>
      <c r="AH1560" s="43" t="s">
        <v>2674</v>
      </c>
      <c r="AI1560" s="63">
        <f t="shared" si="296"/>
        <v>5.0335570469798656E-5</v>
      </c>
      <c r="AJ1560" s="284">
        <f>RTD("money.excel",,$G1560,"PredictVolume")</f>
        <v>3</v>
      </c>
      <c r="AK1560" s="399">
        <f>IFERROR(VLOOKUP($G1560,基本資料!$A:$M,13,0),"無")</f>
        <v>0.98</v>
      </c>
    </row>
    <row r="1561" spans="1:37">
      <c r="A1561" s="347">
        <f>IFERROR(VLOOKUP($G1561,基本資料!$A:$J,3,0),"無")</f>
        <v>3.57</v>
      </c>
      <c r="B1561" s="79">
        <f>IFERROR(VLOOKUP($G1561,基本資料!$A:$J,4,0),"無")</f>
        <v>-392</v>
      </c>
      <c r="C1561" s="79">
        <f>IFERROR(VLOOKUP($G1561,基本資料!$A:$J,5,0),"無")</f>
        <v>-609</v>
      </c>
      <c r="D1561" s="79">
        <f>IFERROR(VLOOKUP($G1561,基本資料!$A:$J,6,0),"無")</f>
        <v>-21</v>
      </c>
      <c r="E1561" s="79">
        <f>IFERROR(VLOOKUP($G1561,基本資料!$A:$J,7,0),"無")</f>
        <v>-57</v>
      </c>
      <c r="F1561" s="6">
        <f>IFERROR(VLOOKUP($G1561,基本資料!$A:$J,8,0),"無")</f>
        <v>-7.77</v>
      </c>
      <c r="G1561" s="79">
        <v>2726</v>
      </c>
      <c r="H1561" s="8" t="s">
        <v>303</v>
      </c>
      <c r="I1561" s="16" t="s">
        <v>964</v>
      </c>
      <c r="J1561" s="8" t="str">
        <f>IFERROR(VLOOKUP($G1561,今日總結!$A:$AJ,35,0),"")</f>
        <v/>
      </c>
      <c r="K1561" s="5" t="str">
        <f>IFERROR(VLOOKUP($G1561,今日總結!$A:$AJ,36,0),"")</f>
        <v/>
      </c>
      <c r="L1561" s="156" t="str">
        <f>IFERROR(VLOOKUP($G1561,今日總結!$A:$AJ,33,0),"")</f>
        <v/>
      </c>
      <c r="M1561" s="340" t="str">
        <f>IFERROR(VLOOKUP($G1561,今日總結!$A:$AJ,34,0),"")</f>
        <v/>
      </c>
      <c r="N1561" s="240" t="str">
        <f t="shared" si="291"/>
        <v/>
      </c>
      <c r="P1561" s="365">
        <f>IFERROR(VLOOKUP($G1561,融外自投!$A:$J,7,0),"無")</f>
        <v>82</v>
      </c>
      <c r="Q1561" s="79" t="str">
        <f>IFERROR(VLOOKUP($G1561,融外自投!$A:$J,9,0),"無")</f>
        <v>無</v>
      </c>
      <c r="R1561" s="346">
        <f>IFERROR(VLOOKUP($G1561,融外自投!$A:$J,8,0),"無")</f>
        <v>130</v>
      </c>
      <c r="S1561" s="81" t="str">
        <f>IFERROR(VLOOKUP($G1561,融外自投!$A:$J,10,0),"無")</f>
        <v>無</v>
      </c>
      <c r="T1561" s="327">
        <f>IFERROR(VLOOKUP($G1561,'321買'!$A:$E,5,0),"'沒有資料'")</f>
        <v>1214</v>
      </c>
      <c r="U1561" s="186">
        <f>IFERROR(VLOOKUP($G1561,基本資料!$A:$J,9,0),"無")</f>
        <v>0</v>
      </c>
      <c r="V1561" s="310">
        <f t="shared" si="292"/>
        <v>0</v>
      </c>
      <c r="W1561" s="94">
        <f>IFERROR(VLOOKUP($G1561,基本資料!$A:$J,10,0),"無")</f>
        <v>-2.65</v>
      </c>
      <c r="X1561" s="36">
        <f>RTD("money.excel",,"2726","Price")</f>
        <v>26.05</v>
      </c>
      <c r="Y1561" s="66"/>
      <c r="Z1561" s="15">
        <f t="shared" si="293"/>
        <v>26.05</v>
      </c>
      <c r="AA1561" s="3" t="e">
        <f t="shared" si="294"/>
        <v>#DIV/0!</v>
      </c>
      <c r="AB1561" s="344">
        <f>IFERROR(VLOOKUP($G1561,基本資料!$A:$M,11,0),"無")</f>
        <v>-65.47</v>
      </c>
      <c r="AC1561" s="397">
        <f>IFERROR(VLOOKUP($G1561,基本資料!$A:$M,12,0),"無")</f>
        <v>23.3</v>
      </c>
      <c r="AD1561" s="16" t="s">
        <v>964</v>
      </c>
      <c r="AG1561" s="33">
        <f t="shared" si="295"/>
        <v>0</v>
      </c>
      <c r="AH1561" s="43" t="s">
        <v>2675</v>
      </c>
      <c r="AI1561" s="63">
        <f t="shared" si="296"/>
        <v>7.2829131652661064E-4</v>
      </c>
      <c r="AJ1561" s="284">
        <f>RTD("money.excel",,$G1561,"PredictVolume")</f>
        <v>26</v>
      </c>
      <c r="AK1561" s="399">
        <f>IFERROR(VLOOKUP($G1561,基本資料!$A:$M,13,0),"無")</f>
        <v>4.6900000000000004</v>
      </c>
    </row>
    <row r="1562" spans="1:37">
      <c r="A1562" s="347">
        <f>IFERROR(VLOOKUP($G1562,基本資料!$A:$J,3,0),"無")</f>
        <v>7.69</v>
      </c>
      <c r="B1562" s="79">
        <f>IFERROR(VLOOKUP($G1562,基本資料!$A:$J,4,0),"無")</f>
        <v>-167</v>
      </c>
      <c r="C1562" s="79">
        <f>IFERROR(VLOOKUP($G1562,基本資料!$A:$J,5,0),"無")</f>
        <v>-103</v>
      </c>
      <c r="D1562" s="79">
        <f>IFERROR(VLOOKUP($G1562,基本資料!$A:$J,6,0),"無")</f>
        <v>-18</v>
      </c>
      <c r="E1562" s="79">
        <f>IFERROR(VLOOKUP($G1562,基本資料!$A:$J,7,0),"無")</f>
        <v>-9</v>
      </c>
      <c r="F1562" s="6">
        <f>IFERROR(VLOOKUP($G1562,基本資料!$A:$J,8,0),"無")</f>
        <v>-0.12</v>
      </c>
      <c r="G1562" s="79">
        <v>2727</v>
      </c>
      <c r="H1562" s="8" t="s">
        <v>303</v>
      </c>
      <c r="I1562" s="22" t="s">
        <v>90</v>
      </c>
      <c r="J1562" s="8">
        <f>IFERROR(VLOOKUP($G1562,今日總結!$A:$AJ,35,0),"")</f>
        <v>0</v>
      </c>
      <c r="K1562" s="5" t="str">
        <f>IFERROR(VLOOKUP($G1562,今日總結!$A:$AJ,36,0),"")</f>
        <v>外</v>
      </c>
      <c r="L1562" s="156">
        <f>IFERROR(VLOOKUP($G1562,今日總結!$A:$AJ,33,0),"")</f>
        <v>0</v>
      </c>
      <c r="M1562" s="340">
        <f>IFERROR(VLOOKUP($G1562,今日總結!$A:$AJ,34,0),"")</f>
        <v>1</v>
      </c>
      <c r="N1562" s="240">
        <f t="shared" si="291"/>
        <v>-1</v>
      </c>
      <c r="P1562" s="365">
        <f>IFERROR(VLOOKUP($G1562,融外自投!$A:$J,7,0),"無")</f>
        <v>782</v>
      </c>
      <c r="Q1562" s="79">
        <f>IFERROR(VLOOKUP($G1562,融外自投!$A:$J,9,0),"無")</f>
        <v>789</v>
      </c>
      <c r="R1562" s="346">
        <f>IFERROR(VLOOKUP($G1562,融外自投!$A:$J,8,0),"無")</f>
        <v>732</v>
      </c>
      <c r="S1562" s="81">
        <f>IFERROR(VLOOKUP($G1562,融外自投!$A:$J,10,0),"無")</f>
        <v>272</v>
      </c>
      <c r="T1562" s="327">
        <f>IFERROR(VLOOKUP($G1562,'321買'!$A:$E,5,0),"'沒有資料'")</f>
        <v>683</v>
      </c>
      <c r="U1562" s="186">
        <f>IFERROR(VLOOKUP($G1562,基本資料!$A:$J,9,0),"無")</f>
        <v>0</v>
      </c>
      <c r="V1562" s="310">
        <f t="shared" si="292"/>
        <v>0</v>
      </c>
      <c r="W1562" s="94">
        <f>IFERROR(VLOOKUP($G1562,基本資料!$A:$J,10,0),"無")</f>
        <v>-1.4</v>
      </c>
      <c r="X1562" s="36">
        <f>RTD("money.excel",,"2727","Price")</f>
        <v>104.5</v>
      </c>
      <c r="Y1562" s="66"/>
      <c r="Z1562" s="15">
        <f t="shared" si="293"/>
        <v>104.5</v>
      </c>
      <c r="AA1562" s="3" t="e">
        <f t="shared" si="294"/>
        <v>#DIV/0!</v>
      </c>
      <c r="AB1562" s="344">
        <f>IFERROR(VLOOKUP($G1562,基本資料!$A:$M,11,0),"無")</f>
        <v>-40.06</v>
      </c>
      <c r="AC1562" s="397">
        <f>IFERROR(VLOOKUP($G1562,基本資料!$A:$M,12,0),"無")</f>
        <v>14.23</v>
      </c>
      <c r="AD1562" s="22" t="s">
        <v>90</v>
      </c>
      <c r="AG1562" s="33">
        <f t="shared" si="295"/>
        <v>0</v>
      </c>
      <c r="AH1562" s="117" t="s">
        <v>2672</v>
      </c>
      <c r="AI1562" s="63">
        <f t="shared" si="296"/>
        <v>1.7035110533159948E-3</v>
      </c>
      <c r="AJ1562" s="284">
        <f>RTD("money.excel",,$G1562,"PredictVolume")</f>
        <v>131</v>
      </c>
      <c r="AK1562" s="399">
        <f>IFERROR(VLOOKUP($G1562,基本資料!$A:$M,13,0),"無")</f>
        <v>14.96</v>
      </c>
    </row>
    <row r="1563" spans="1:37">
      <c r="A1563" s="347">
        <f>IFERROR(VLOOKUP($G1563,基本資料!$A:$J,3,0),"無")</f>
        <v>2.3199999999999998</v>
      </c>
      <c r="B1563" s="79">
        <f>IFERROR(VLOOKUP($G1563,基本資料!$A:$J,4,0),"無")</f>
        <v>-55</v>
      </c>
      <c r="C1563" s="79">
        <f>IFERROR(VLOOKUP($G1563,基本資料!$A:$J,5,0),"無")</f>
        <v>-68</v>
      </c>
      <c r="D1563" s="79">
        <f>IFERROR(VLOOKUP($G1563,基本資料!$A:$J,6,0),"無")</f>
        <v>-20</v>
      </c>
      <c r="E1563" s="79">
        <f>IFERROR(VLOOKUP($G1563,基本資料!$A:$J,7,0),"無")</f>
        <v>-3</v>
      </c>
      <c r="F1563" s="6">
        <f>IFERROR(VLOOKUP($G1563,基本資料!$A:$J,8,0),"無")</f>
        <v>3.62</v>
      </c>
      <c r="G1563" s="79">
        <v>2729</v>
      </c>
      <c r="H1563" s="8" t="s">
        <v>303</v>
      </c>
      <c r="I1563" s="16" t="s">
        <v>4621</v>
      </c>
      <c r="J1563" s="8" t="str">
        <f>IFERROR(VLOOKUP($G1563,今日總結!$A:$AJ,35,0),"")</f>
        <v/>
      </c>
      <c r="K1563" s="5" t="str">
        <f>IFERROR(VLOOKUP($G1563,今日總結!$A:$AJ,36,0),"")</f>
        <v/>
      </c>
      <c r="L1563" s="156" t="str">
        <f>IFERROR(VLOOKUP($G1563,今日總結!$A:$AJ,33,0),"")</f>
        <v/>
      </c>
      <c r="M1563" s="340" t="str">
        <f>IFERROR(VLOOKUP($G1563,今日總結!$A:$AJ,34,0),"")</f>
        <v/>
      </c>
      <c r="N1563" s="240" t="str">
        <f t="shared" si="291"/>
        <v/>
      </c>
      <c r="P1563" s="365" t="str">
        <f>IFERROR(VLOOKUP($G1563,融外自投!$A:$J,7,0),"無")</f>
        <v>無</v>
      </c>
      <c r="Q1563" s="79" t="str">
        <f>IFERROR(VLOOKUP($G1563,融外自投!$A:$J,9,0),"無")</f>
        <v>無</v>
      </c>
      <c r="R1563" s="346" t="str">
        <f>IFERROR(VLOOKUP($G1563,融外自投!$A:$J,8,0),"無")</f>
        <v>無</v>
      </c>
      <c r="S1563" s="81" t="str">
        <f>IFERROR(VLOOKUP($G1563,融外自投!$A:$J,10,0),"無")</f>
        <v>無</v>
      </c>
      <c r="T1563" s="327" t="str">
        <f>IFERROR(VLOOKUP($G1563,'321買'!$A:$E,5,0),"'沒有資料'")</f>
        <v>'沒有資料'</v>
      </c>
      <c r="U1563" s="186">
        <f>IFERROR(VLOOKUP($G1563,基本資料!$A:$J,9,0),"無")</f>
        <v>7.15</v>
      </c>
      <c r="V1563" s="310">
        <f t="shared" si="292"/>
        <v>3.2500000000000001E-2</v>
      </c>
      <c r="W1563" s="94">
        <f>IFERROR(VLOOKUP($G1563,基本資料!$A:$J,10,0),"無")</f>
        <v>7.04</v>
      </c>
      <c r="X1563" s="36">
        <f>RTD("money.excel",,"2729","Price")</f>
        <v>220</v>
      </c>
      <c r="Y1563" s="66"/>
      <c r="Z1563" s="15">
        <f t="shared" si="293"/>
        <v>220</v>
      </c>
      <c r="AA1563" s="3" t="e">
        <f t="shared" si="294"/>
        <v>#DIV/0!</v>
      </c>
      <c r="AB1563" s="344">
        <f>IFERROR(VLOOKUP($G1563,基本資料!$A:$M,11,0),"無")</f>
        <v>-15.5</v>
      </c>
      <c r="AC1563" s="397">
        <f>IFERROR(VLOOKUP($G1563,基本資料!$A:$M,12,0),"無")</f>
        <v>50.4</v>
      </c>
      <c r="AD1563" s="16" t="s">
        <v>4621</v>
      </c>
      <c r="AG1563" s="33">
        <f t="shared" si="295"/>
        <v>0</v>
      </c>
      <c r="AH1563" s="117" t="s">
        <v>1949</v>
      </c>
      <c r="AI1563" s="63">
        <f t="shared" si="296"/>
        <v>2.5862068965517242E-4</v>
      </c>
      <c r="AJ1563" s="284">
        <f>RTD("money.excel",,$G1563,"PredictVolume")</f>
        <v>6</v>
      </c>
      <c r="AK1563" s="399">
        <f>IFERROR(VLOOKUP($G1563,基本資料!$A:$M,13,0),"無")</f>
        <v>1.74</v>
      </c>
    </row>
    <row r="1564" spans="1:37">
      <c r="A1564" s="347">
        <f>IFERROR(VLOOKUP($G1564,基本資料!$A:$J,3,0),"無")</f>
        <v>7.63</v>
      </c>
      <c r="B1564" s="79">
        <f>IFERROR(VLOOKUP($G1564,基本資料!$A:$J,4,0),"無")</f>
        <v>-17</v>
      </c>
      <c r="C1564" s="79">
        <f>IFERROR(VLOOKUP($G1564,基本資料!$A:$J,5,0),"無")</f>
        <v>0</v>
      </c>
      <c r="D1564" s="79">
        <f>IFERROR(VLOOKUP($G1564,基本資料!$A:$J,6,0),"無")</f>
        <v>-17</v>
      </c>
      <c r="E1564" s="79">
        <f>IFERROR(VLOOKUP($G1564,基本資料!$A:$J,7,0),"無")</f>
        <v>-34</v>
      </c>
      <c r="F1564" s="6">
        <f>IFERROR(VLOOKUP($G1564,基本資料!$A:$J,8,0),"無")</f>
        <v>-54.53</v>
      </c>
      <c r="G1564" s="79">
        <v>2731</v>
      </c>
      <c r="H1564" s="8" t="s">
        <v>303</v>
      </c>
      <c r="I1564" s="22" t="s">
        <v>976</v>
      </c>
      <c r="J1564" s="8">
        <f>IFERROR(VLOOKUP($G1564,今日總結!$A:$AJ,35,0),"")</f>
        <v>0</v>
      </c>
      <c r="K1564" s="5">
        <f>IFERROR(VLOOKUP($G1564,今日總結!$A:$AJ,36,0),"")</f>
        <v>0</v>
      </c>
      <c r="L1564" s="156">
        <f>IFERROR(VLOOKUP($G1564,今日總結!$A:$AJ,33,0),"")</f>
        <v>0</v>
      </c>
      <c r="M1564" s="340">
        <f>IFERROR(VLOOKUP($G1564,今日總結!$A:$AJ,34,0),"")</f>
        <v>1</v>
      </c>
      <c r="N1564" s="240">
        <f t="shared" si="291"/>
        <v>-1</v>
      </c>
      <c r="P1564" s="365">
        <f>IFERROR(VLOOKUP($G1564,融外自投!$A:$J,7,0),"無")</f>
        <v>446</v>
      </c>
      <c r="Q1564" s="79">
        <f>IFERROR(VLOOKUP($G1564,融外自投!$A:$J,9,0),"無")</f>
        <v>978</v>
      </c>
      <c r="R1564" s="346">
        <f>IFERROR(VLOOKUP($G1564,融外自投!$A:$J,8,0),"無")</f>
        <v>1122</v>
      </c>
      <c r="S1564" s="81">
        <f>IFERROR(VLOOKUP($G1564,融外自投!$A:$J,10,0),"無")</f>
        <v>234</v>
      </c>
      <c r="T1564" s="327">
        <f>IFERROR(VLOOKUP($G1564,'321買'!$A:$E,5,0),"'沒有資料'")</f>
        <v>606</v>
      </c>
      <c r="U1564" s="186">
        <f>IFERROR(VLOOKUP($G1564,基本資料!$A:$J,9,0),"無")</f>
        <v>0</v>
      </c>
      <c r="V1564" s="310">
        <f t="shared" si="292"/>
        <v>0</v>
      </c>
      <c r="W1564" s="94">
        <f>IFERROR(VLOOKUP($G1564,基本資料!$A:$J,10,0),"無")</f>
        <v>-6.43</v>
      </c>
      <c r="X1564" s="36">
        <f>RTD("money.excel",,"2731","Price")</f>
        <v>97.6</v>
      </c>
      <c r="Y1564" s="66"/>
      <c r="Z1564" s="15">
        <f t="shared" si="293"/>
        <v>97.6</v>
      </c>
      <c r="AA1564" s="3" t="e">
        <f t="shared" si="294"/>
        <v>#DIV/0!</v>
      </c>
      <c r="AB1564" s="344">
        <f>IFERROR(VLOOKUP($G1564,基本資料!$A:$M,11,0),"無")</f>
        <v>-12.16</v>
      </c>
      <c r="AC1564" s="397">
        <f>IFERROR(VLOOKUP($G1564,基本資料!$A:$M,12,0),"無")</f>
        <v>30.44</v>
      </c>
      <c r="AD1564" s="22" t="s">
        <v>976</v>
      </c>
      <c r="AG1564" s="33">
        <f t="shared" si="295"/>
        <v>0</v>
      </c>
      <c r="AH1564" s="43" t="s">
        <v>1543</v>
      </c>
      <c r="AI1564" s="63">
        <f t="shared" si="296"/>
        <v>9.0825688073394497E-3</v>
      </c>
      <c r="AJ1564" s="284">
        <f>RTD("money.excel",,$G1564,"PredictVolume")</f>
        <v>693</v>
      </c>
      <c r="AK1564" s="399">
        <f>IFERROR(VLOOKUP($G1564,基本資料!$A:$M,13,0),"無")</f>
        <v>31.23</v>
      </c>
    </row>
    <row r="1565" spans="1:37">
      <c r="A1565" s="347">
        <f>IFERROR(VLOOKUP($G1565,基本資料!$A:$J,3,0),"無")</f>
        <v>4.59</v>
      </c>
      <c r="B1565" s="79">
        <f>IFERROR(VLOOKUP($G1565,基本資料!$A:$J,4,0),"無")</f>
        <v>-19</v>
      </c>
      <c r="C1565" s="79">
        <f>IFERROR(VLOOKUP($G1565,基本資料!$A:$J,5,0),"無")</f>
        <v>-19</v>
      </c>
      <c r="D1565" s="79">
        <f>IFERROR(VLOOKUP($G1565,基本資料!$A:$J,6,0),"無")</f>
        <v>12</v>
      </c>
      <c r="E1565" s="79">
        <f>IFERROR(VLOOKUP($G1565,基本資料!$A:$J,7,0),"無")</f>
        <v>-9</v>
      </c>
      <c r="F1565" s="6">
        <f>IFERROR(VLOOKUP($G1565,基本資料!$A:$J,8,0),"無")</f>
        <v>4.62</v>
      </c>
      <c r="G1565" s="79">
        <v>2732</v>
      </c>
      <c r="H1565" s="8" t="s">
        <v>303</v>
      </c>
      <c r="I1565" s="16" t="s">
        <v>77</v>
      </c>
      <c r="J1565" s="8" t="str">
        <f>IFERROR(VLOOKUP($G1565,今日總結!$A:$AJ,35,0),"")</f>
        <v/>
      </c>
      <c r="K1565" s="5" t="str">
        <f>IFERROR(VLOOKUP($G1565,今日總結!$A:$AJ,36,0),"")</f>
        <v/>
      </c>
      <c r="L1565" s="156" t="str">
        <f>IFERROR(VLOOKUP($G1565,今日總結!$A:$AJ,33,0),"")</f>
        <v/>
      </c>
      <c r="M1565" s="340" t="str">
        <f>IFERROR(VLOOKUP($G1565,今日總結!$A:$AJ,34,0),"")</f>
        <v/>
      </c>
      <c r="N1565" s="240" t="str">
        <f t="shared" si="291"/>
        <v/>
      </c>
      <c r="P1565" s="365">
        <f>IFERROR(VLOOKUP($G1565,融外自投!$A:$J,7,0),"無")</f>
        <v>912</v>
      </c>
      <c r="Q1565" s="79">
        <f>IFERROR(VLOOKUP($G1565,融外自投!$A:$J,9,0),"無")</f>
        <v>287</v>
      </c>
      <c r="R1565" s="346">
        <f>IFERROR(VLOOKUP($G1565,融外自投!$A:$J,8,0),"無")</f>
        <v>667</v>
      </c>
      <c r="S1565" s="81">
        <f>IFERROR(VLOOKUP($G1565,融外自投!$A:$J,10,0),"無")</f>
        <v>164</v>
      </c>
      <c r="T1565" s="327">
        <f>IFERROR(VLOOKUP($G1565,'321買'!$A:$E,5,0),"'沒有資料'")</f>
        <v>463</v>
      </c>
      <c r="U1565" s="186">
        <f>IFERROR(VLOOKUP($G1565,基本資料!$A:$J,9,0),"無")</f>
        <v>2.34</v>
      </c>
      <c r="V1565" s="310">
        <f t="shared" si="292"/>
        <v>2.4374999999999997E-2</v>
      </c>
      <c r="W1565" s="94">
        <f>IFERROR(VLOOKUP($G1565,基本資料!$A:$J,10,0),"無")</f>
        <v>3.08</v>
      </c>
      <c r="X1565" s="36">
        <f>RTD("money.excel",,"2732","Price")</f>
        <v>96</v>
      </c>
      <c r="Y1565" s="66"/>
      <c r="Z1565" s="15">
        <f t="shared" si="293"/>
        <v>96</v>
      </c>
      <c r="AA1565" s="3" t="e">
        <f t="shared" si="294"/>
        <v>#DIV/0!</v>
      </c>
      <c r="AB1565" s="344">
        <f>IFERROR(VLOOKUP($G1565,基本資料!$A:$M,11,0),"無")</f>
        <v>-22.31</v>
      </c>
      <c r="AC1565" s="397">
        <f>IFERROR(VLOOKUP($G1565,基本資料!$A:$M,12,0),"無")</f>
        <v>22.46</v>
      </c>
      <c r="AD1565" s="16" t="s">
        <v>77</v>
      </c>
      <c r="AG1565" s="33">
        <f t="shared" si="295"/>
        <v>0</v>
      </c>
      <c r="AH1565" s="117" t="s">
        <v>2931</v>
      </c>
      <c r="AI1565" s="63">
        <f t="shared" si="296"/>
        <v>4.7930283224400871E-4</v>
      </c>
      <c r="AJ1565" s="284">
        <f>RTD("money.excel",,$G1565,"PredictVolume")</f>
        <v>22</v>
      </c>
      <c r="AK1565" s="399">
        <f>IFERROR(VLOOKUP($G1565,基本資料!$A:$M,13,0),"無")</f>
        <v>2.88</v>
      </c>
    </row>
    <row r="1566" spans="1:37">
      <c r="A1566" s="347">
        <f>IFERROR(VLOOKUP($G1566,基本資料!$A:$J,3,0),"無")</f>
        <v>3.72</v>
      </c>
      <c r="B1566" s="79">
        <f>IFERROR(VLOOKUP($G1566,基本資料!$A:$J,4,0),"無")</f>
        <v>1</v>
      </c>
      <c r="C1566" s="79">
        <f>IFERROR(VLOOKUP($G1566,基本資料!$A:$J,5,0),"無")</f>
        <v>15</v>
      </c>
      <c r="D1566" s="79">
        <f>IFERROR(VLOOKUP($G1566,基本資料!$A:$J,6,0),"無")</f>
        <v>54</v>
      </c>
      <c r="E1566" s="79">
        <f>IFERROR(VLOOKUP($G1566,基本資料!$A:$J,7,0),"無")</f>
        <v>-47</v>
      </c>
      <c r="F1566" s="6">
        <f>IFERROR(VLOOKUP($G1566,基本資料!$A:$J,8,0),"無")</f>
        <v>-45.5</v>
      </c>
      <c r="G1566" s="79">
        <v>2734</v>
      </c>
      <c r="H1566" s="8" t="s">
        <v>303</v>
      </c>
      <c r="I1566" s="16" t="s">
        <v>965</v>
      </c>
      <c r="J1566" s="8" t="str">
        <f>IFERROR(VLOOKUP($G1566,今日總結!$A:$AJ,35,0),"")</f>
        <v/>
      </c>
      <c r="K1566" s="5" t="str">
        <f>IFERROR(VLOOKUP($G1566,今日總結!$A:$AJ,36,0),"")</f>
        <v/>
      </c>
      <c r="L1566" s="156" t="str">
        <f>IFERROR(VLOOKUP($G1566,今日總結!$A:$AJ,33,0),"")</f>
        <v/>
      </c>
      <c r="M1566" s="340" t="str">
        <f>IFERROR(VLOOKUP($G1566,今日總結!$A:$AJ,34,0),"")</f>
        <v/>
      </c>
      <c r="N1566" s="240" t="str">
        <f t="shared" si="291"/>
        <v/>
      </c>
      <c r="P1566" s="365" t="str">
        <f>IFERROR(VLOOKUP($G1566,融外自投!$A:$J,7,0),"無")</f>
        <v>無</v>
      </c>
      <c r="Q1566" s="79" t="str">
        <f>IFERROR(VLOOKUP($G1566,融外自投!$A:$J,9,0),"無")</f>
        <v>無</v>
      </c>
      <c r="R1566" s="346" t="str">
        <f>IFERROR(VLOOKUP($G1566,融外自投!$A:$J,8,0),"無")</f>
        <v>無</v>
      </c>
      <c r="S1566" s="81" t="str">
        <f>IFERROR(VLOOKUP($G1566,融外自投!$A:$J,10,0),"無")</f>
        <v>無</v>
      </c>
      <c r="T1566" s="327" t="str">
        <f>IFERROR(VLOOKUP($G1566,'321買'!$A:$E,5,0),"'沒有資料'")</f>
        <v>'沒有資料'</v>
      </c>
      <c r="U1566" s="186">
        <f>IFERROR(VLOOKUP($G1566,基本資料!$A:$J,9,0),"無")</f>
        <v>0</v>
      </c>
      <c r="V1566" s="310">
        <f t="shared" si="292"/>
        <v>0</v>
      </c>
      <c r="W1566" s="94">
        <f>IFERROR(VLOOKUP($G1566,基本資料!$A:$J,10,0),"無")</f>
        <v>-2.29</v>
      </c>
      <c r="X1566" s="36">
        <f>RTD("money.excel",,"2734","Price")</f>
        <v>29.9</v>
      </c>
      <c r="Y1566" s="66"/>
      <c r="Z1566" s="15">
        <f t="shared" si="293"/>
        <v>29.9</v>
      </c>
      <c r="AA1566" s="3" t="e">
        <f t="shared" si="294"/>
        <v>#DIV/0!</v>
      </c>
      <c r="AB1566" s="344">
        <f>IFERROR(VLOOKUP($G1566,基本資料!$A:$M,11,0),"無")</f>
        <v>-8.1199999999999992</v>
      </c>
      <c r="AC1566" s="397">
        <f>IFERROR(VLOOKUP($G1566,基本資料!$A:$M,12,0),"無")</f>
        <v>64.569999999999993</v>
      </c>
      <c r="AD1566" s="16" t="s">
        <v>965</v>
      </c>
      <c r="AG1566" s="33">
        <f t="shared" si="295"/>
        <v>0</v>
      </c>
      <c r="AH1566" s="43" t="s">
        <v>2676</v>
      </c>
      <c r="AI1566" s="63">
        <f t="shared" si="296"/>
        <v>6.6666666666666671E-3</v>
      </c>
      <c r="AJ1566" s="284">
        <f>RTD("money.excel",,$G1566,"PredictVolume")</f>
        <v>248</v>
      </c>
      <c r="AK1566" s="399">
        <f>IFERROR(VLOOKUP($G1566,基本資料!$A:$M,13,0),"無")</f>
        <v>12.15</v>
      </c>
    </row>
    <row r="1567" spans="1:37">
      <c r="A1567" s="347">
        <f>IFERROR(VLOOKUP($G1567,基本資料!$A:$J,3,0),"無")</f>
        <v>4.8899999999999997</v>
      </c>
      <c r="B1567" s="79">
        <f>IFERROR(VLOOKUP($G1567,基本資料!$A:$J,4,0),"無")</f>
        <v>-489</v>
      </c>
      <c r="C1567" s="79">
        <f>IFERROR(VLOOKUP($G1567,基本資料!$A:$J,5,0),"無")</f>
        <v>-205</v>
      </c>
      <c r="D1567" s="79">
        <f>IFERROR(VLOOKUP($G1567,基本資料!$A:$J,6,0),"無")</f>
        <v>-24</v>
      </c>
      <c r="E1567" s="79">
        <f>IFERROR(VLOOKUP($G1567,基本資料!$A:$J,7,0),"無")</f>
        <v>-26</v>
      </c>
      <c r="F1567" s="6">
        <f>IFERROR(VLOOKUP($G1567,基本資料!$A:$J,8,0),"無")</f>
        <v>-6.14</v>
      </c>
      <c r="G1567" s="79">
        <v>2736</v>
      </c>
      <c r="H1567" s="8" t="s">
        <v>303</v>
      </c>
      <c r="I1567" s="16" t="s">
        <v>966</v>
      </c>
      <c r="J1567" s="8" t="str">
        <f>IFERROR(VLOOKUP($G1567,今日總結!$A:$AJ,35,0),"")</f>
        <v/>
      </c>
      <c r="K1567" s="5" t="str">
        <f>IFERROR(VLOOKUP($G1567,今日總結!$A:$AJ,36,0),"")</f>
        <v/>
      </c>
      <c r="L1567" s="156" t="str">
        <f>IFERROR(VLOOKUP($G1567,今日總結!$A:$AJ,33,0),"")</f>
        <v/>
      </c>
      <c r="M1567" s="340" t="str">
        <f>IFERROR(VLOOKUP($G1567,今日總結!$A:$AJ,34,0),"")</f>
        <v/>
      </c>
      <c r="N1567" s="240" t="str">
        <f t="shared" si="291"/>
        <v/>
      </c>
      <c r="P1567" s="365">
        <f>IFERROR(VLOOKUP($G1567,融外自投!$A:$J,7,0),"無")</f>
        <v>476</v>
      </c>
      <c r="Q1567" s="79">
        <f>IFERROR(VLOOKUP($G1567,融外自投!$A:$J,9,0),"無")</f>
        <v>1051</v>
      </c>
      <c r="R1567" s="346">
        <f>IFERROR(VLOOKUP($G1567,融外自投!$A:$J,8,0),"無")</f>
        <v>1395</v>
      </c>
      <c r="S1567" s="81" t="str">
        <f>IFERROR(VLOOKUP($G1567,融外自投!$A:$J,10,0),"無")</f>
        <v>無</v>
      </c>
      <c r="T1567" s="327">
        <f>IFERROR(VLOOKUP($G1567,'321買'!$A:$E,5,0),"'沒有資料'")</f>
        <v>1259</v>
      </c>
      <c r="U1567" s="186">
        <f>IFERROR(VLOOKUP($G1567,基本資料!$A:$J,9,0),"無")</f>
        <v>0</v>
      </c>
      <c r="V1567" s="310">
        <f t="shared" si="292"/>
        <v>0</v>
      </c>
      <c r="W1567" s="94">
        <f>IFERROR(VLOOKUP($G1567,基本資料!$A:$J,10,0),"無")</f>
        <v>-0.69</v>
      </c>
      <c r="X1567" s="36">
        <f>RTD("money.excel",,"2736","Price")</f>
        <v>17.5</v>
      </c>
      <c r="Y1567" s="66"/>
      <c r="Z1567" s="15">
        <f t="shared" si="293"/>
        <v>17.5</v>
      </c>
      <c r="AA1567" s="35" t="e">
        <f t="shared" si="294"/>
        <v>#DIV/0!</v>
      </c>
      <c r="AB1567" s="344">
        <f>IFERROR(VLOOKUP($G1567,基本資料!$A:$M,11,0),"無")</f>
        <v>-18.78</v>
      </c>
      <c r="AC1567" s="397">
        <f>IFERROR(VLOOKUP($G1567,基本資料!$A:$M,12,0),"無")</f>
        <v>50.35</v>
      </c>
      <c r="AD1567" s="16" t="s">
        <v>966</v>
      </c>
      <c r="AG1567" s="33">
        <f t="shared" si="295"/>
        <v>0</v>
      </c>
      <c r="AH1567" s="43" t="s">
        <v>2677</v>
      </c>
      <c r="AI1567" s="63">
        <f t="shared" si="296"/>
        <v>8.7321063394683023E-3</v>
      </c>
      <c r="AJ1567" s="284">
        <f>RTD("money.excel",,$G1567,"PredictVolume")</f>
        <v>427</v>
      </c>
      <c r="AK1567" s="399">
        <f>IFERROR(VLOOKUP($G1567,基本資料!$A:$M,13,0),"無")</f>
        <v>7.99</v>
      </c>
    </row>
    <row r="1568" spans="1:37">
      <c r="A1568" s="347">
        <f>IFERROR(VLOOKUP($G1568,基本資料!$A:$J,3,0),"無")</f>
        <v>11.15</v>
      </c>
      <c r="B1568" s="79">
        <f>IFERROR(VLOOKUP($G1568,基本資料!$A:$J,4,0),"無")</f>
        <v>-104</v>
      </c>
      <c r="C1568" s="79">
        <f>IFERROR(VLOOKUP($G1568,基本資料!$A:$J,5,0),"無")</f>
        <v>-92</v>
      </c>
      <c r="D1568" s="79">
        <f>IFERROR(VLOOKUP($G1568,基本資料!$A:$J,6,0),"無")</f>
        <v>-25</v>
      </c>
      <c r="E1568" s="79">
        <f>IFERROR(VLOOKUP($G1568,基本資料!$A:$J,7,0),"無")</f>
        <v>-14</v>
      </c>
      <c r="F1568" s="6">
        <f>IFERROR(VLOOKUP($G1568,基本資料!$A:$J,8,0),"無")</f>
        <v>-34.35</v>
      </c>
      <c r="G1568" s="79">
        <v>2739</v>
      </c>
      <c r="H1568" s="8" t="s">
        <v>303</v>
      </c>
      <c r="I1568" s="22" t="s">
        <v>977</v>
      </c>
      <c r="J1568" s="8" t="str">
        <f>IFERROR(VLOOKUP($G1568,今日總結!$A:$AJ,35,0),"")</f>
        <v/>
      </c>
      <c r="K1568" s="5" t="str">
        <f>IFERROR(VLOOKUP($G1568,今日總結!$A:$AJ,36,0),"")</f>
        <v/>
      </c>
      <c r="L1568" s="156" t="str">
        <f>IFERROR(VLOOKUP($G1568,今日總結!$A:$AJ,33,0),"")</f>
        <v/>
      </c>
      <c r="M1568" s="340" t="str">
        <f>IFERROR(VLOOKUP($G1568,今日總結!$A:$AJ,34,0),"")</f>
        <v/>
      </c>
      <c r="N1568" s="240" t="str">
        <f t="shared" si="291"/>
        <v/>
      </c>
      <c r="P1568" s="365" t="str">
        <f>IFERROR(VLOOKUP($G1568,融外自投!$A:$J,7,0),"無")</f>
        <v>無</v>
      </c>
      <c r="Q1568" s="79" t="str">
        <f>IFERROR(VLOOKUP($G1568,融外自投!$A:$J,9,0),"無")</f>
        <v>無</v>
      </c>
      <c r="R1568" s="346" t="str">
        <f>IFERROR(VLOOKUP($G1568,融外自投!$A:$J,8,0),"無")</f>
        <v>無</v>
      </c>
      <c r="S1568" s="81" t="str">
        <f>IFERROR(VLOOKUP($G1568,融外自投!$A:$J,10,0),"無")</f>
        <v>無</v>
      </c>
      <c r="T1568" s="327" t="str">
        <f>IFERROR(VLOOKUP($G1568,'321買'!$A:$E,5,0),"'沒有資料'")</f>
        <v>'沒有資料'</v>
      </c>
      <c r="U1568" s="186">
        <f>IFERROR(VLOOKUP($G1568,基本資料!$A:$J,9,0),"無")</f>
        <v>0</v>
      </c>
      <c r="V1568" s="310">
        <f t="shared" si="292"/>
        <v>0</v>
      </c>
      <c r="W1568" s="94">
        <f>IFERROR(VLOOKUP($G1568,基本資料!$A:$J,10,0),"無")</f>
        <v>-6.45</v>
      </c>
      <c r="X1568" s="36">
        <f>RTD("money.excel",,"2739","Price")</f>
        <v>22</v>
      </c>
      <c r="Y1568" s="66"/>
      <c r="Z1568" s="15">
        <f t="shared" si="293"/>
        <v>22</v>
      </c>
      <c r="AA1568" s="3" t="e">
        <f t="shared" si="294"/>
        <v>#DIV/0!</v>
      </c>
      <c r="AB1568" s="344">
        <f>IFERROR(VLOOKUP($G1568,基本資料!$A:$M,11,0),"無")</f>
        <v>-17.96</v>
      </c>
      <c r="AC1568" s="397">
        <f>IFERROR(VLOOKUP($G1568,基本資料!$A:$M,12,0),"無")</f>
        <v>42.66</v>
      </c>
      <c r="AD1568" s="22" t="s">
        <v>977</v>
      </c>
      <c r="AG1568" s="33">
        <f t="shared" si="295"/>
        <v>0</v>
      </c>
      <c r="AH1568" s="43" t="s">
        <v>2681</v>
      </c>
      <c r="AI1568" s="63">
        <f t="shared" si="296"/>
        <v>3.4977578475336324E-4</v>
      </c>
      <c r="AJ1568" s="284">
        <f>RTD("money.excel",,$G1568,"PredictVolume")</f>
        <v>39</v>
      </c>
      <c r="AK1568" s="399">
        <f>IFERROR(VLOOKUP($G1568,基本資料!$A:$M,13,0),"無")</f>
        <v>0.97</v>
      </c>
    </row>
    <row r="1569" spans="1:37">
      <c r="A1569" s="347">
        <f>IFERROR(VLOOKUP($G1569,基本資料!$A:$J,3,0),"無")</f>
        <v>1.31</v>
      </c>
      <c r="B1569" s="79">
        <f>IFERROR(VLOOKUP($G1569,基本資料!$A:$J,4,0),"無")</f>
        <v>13</v>
      </c>
      <c r="C1569" s="79">
        <f>IFERROR(VLOOKUP($G1569,基本資料!$A:$J,5,0),"無")</f>
        <v>10</v>
      </c>
      <c r="D1569" s="79">
        <f>IFERROR(VLOOKUP($G1569,基本資料!$A:$J,6,0),"無")</f>
        <v>-17</v>
      </c>
      <c r="E1569" s="79">
        <f>IFERROR(VLOOKUP($G1569,基本資料!$A:$J,7,0),"無")</f>
        <v>-43</v>
      </c>
      <c r="F1569" s="6">
        <f>IFERROR(VLOOKUP($G1569,基本資料!$A:$J,8,0),"無")</f>
        <v>-39.36</v>
      </c>
      <c r="G1569" s="79">
        <v>2740</v>
      </c>
      <c r="H1569" s="8" t="s">
        <v>303</v>
      </c>
      <c r="I1569" s="16" t="s">
        <v>967</v>
      </c>
      <c r="J1569" s="8" t="str">
        <f>IFERROR(VLOOKUP($G1569,今日總結!$A:$AJ,35,0),"")</f>
        <v/>
      </c>
      <c r="K1569" s="5" t="str">
        <f>IFERROR(VLOOKUP($G1569,今日總結!$A:$AJ,36,0),"")</f>
        <v/>
      </c>
      <c r="L1569" s="156" t="str">
        <f>IFERROR(VLOOKUP($G1569,今日總結!$A:$AJ,33,0),"")</f>
        <v/>
      </c>
      <c r="M1569" s="340" t="str">
        <f>IFERROR(VLOOKUP($G1569,今日總結!$A:$AJ,34,0),"")</f>
        <v/>
      </c>
      <c r="N1569" s="240" t="str">
        <f t="shared" si="291"/>
        <v/>
      </c>
      <c r="P1569" s="365" t="str">
        <f>IFERROR(VLOOKUP($G1569,融外自投!$A:$J,7,0),"無")</f>
        <v>無</v>
      </c>
      <c r="Q1569" s="79" t="str">
        <f>IFERROR(VLOOKUP($G1569,融外自投!$A:$J,9,0),"無")</f>
        <v>無</v>
      </c>
      <c r="R1569" s="346" t="str">
        <f>IFERROR(VLOOKUP($G1569,融外自投!$A:$J,8,0),"無")</f>
        <v>無</v>
      </c>
      <c r="S1569" s="81" t="str">
        <f>IFERROR(VLOOKUP($G1569,融外自投!$A:$J,10,0),"無")</f>
        <v>無</v>
      </c>
      <c r="T1569" s="327" t="str">
        <f>IFERROR(VLOOKUP($G1569,'321買'!$A:$E,5,0),"'沒有資料'")</f>
        <v>'沒有資料'</v>
      </c>
      <c r="U1569" s="186">
        <f>IFERROR(VLOOKUP($G1569,基本資料!$A:$J,9,0),"無")</f>
        <v>0</v>
      </c>
      <c r="V1569" s="310" t="e">
        <f t="shared" si="292"/>
        <v>#VALUE!</v>
      </c>
      <c r="W1569" s="94">
        <f>IFERROR(VLOOKUP($G1569,基本資料!$A:$J,10,0),"無")</f>
        <v>-2.65</v>
      </c>
      <c r="X1569" s="36" t="str">
        <f>RTD("money.excel",,"2740","Price")</f>
        <v>無資料</v>
      </c>
      <c r="Y1569" s="66"/>
      <c r="Z1569" s="15" t="e">
        <f t="shared" si="293"/>
        <v>#VALUE!</v>
      </c>
      <c r="AA1569" s="35" t="e">
        <f t="shared" si="294"/>
        <v>#VALUE!</v>
      </c>
      <c r="AB1569" s="344">
        <f>IFERROR(VLOOKUP($G1569,基本資料!$A:$M,11,0),"無")</f>
        <v>-21.7</v>
      </c>
      <c r="AC1569" s="397">
        <f>IFERROR(VLOOKUP($G1569,基本資料!$A:$M,12,0),"無")</f>
        <v>48.2</v>
      </c>
      <c r="AD1569" s="16" t="s">
        <v>967</v>
      </c>
      <c r="AG1569" s="33">
        <f t="shared" si="295"/>
        <v>0</v>
      </c>
      <c r="AH1569" s="43" t="s">
        <v>2678</v>
      </c>
      <c r="AI1569" s="63">
        <f t="shared" si="296"/>
        <v>0</v>
      </c>
      <c r="AJ1569" s="284">
        <f>RTD("money.excel",,$G1569,"PredictVolume")</f>
        <v>0</v>
      </c>
      <c r="AK1569" s="399">
        <f>IFERROR(VLOOKUP($G1569,基本資料!$A:$M,13,0),"無")</f>
        <v>1.6</v>
      </c>
    </row>
    <row r="1570" spans="1:37">
      <c r="A1570" s="347">
        <f>IFERROR(VLOOKUP($G1570,基本資料!$A:$J,3,0),"無")</f>
        <v>3.2</v>
      </c>
      <c r="B1570" s="79">
        <f>IFERROR(VLOOKUP($G1570,基本資料!$A:$J,4,0),"無")</f>
        <v>-34</v>
      </c>
      <c r="C1570" s="79">
        <f>IFERROR(VLOOKUP($G1570,基本資料!$A:$J,5,0),"無")</f>
        <v>0</v>
      </c>
      <c r="D1570" s="79">
        <f>IFERROR(VLOOKUP($G1570,基本資料!$A:$J,6,0),"無")</f>
        <v>-37</v>
      </c>
      <c r="E1570" s="79">
        <f>IFERROR(VLOOKUP($G1570,基本資料!$A:$J,7,0),"無")</f>
        <v>7</v>
      </c>
      <c r="F1570" s="6">
        <f>IFERROR(VLOOKUP($G1570,基本資料!$A:$J,8,0),"無")</f>
        <v>-44.6</v>
      </c>
      <c r="G1570" s="79">
        <v>2743</v>
      </c>
      <c r="H1570" s="145" t="s">
        <v>303</v>
      </c>
      <c r="I1570" s="16" t="s">
        <v>1806</v>
      </c>
      <c r="J1570" s="8">
        <f>IFERROR(VLOOKUP($G1570,今日總結!$A:$AJ,35,0),"")</f>
        <v>0</v>
      </c>
      <c r="K1570" s="5">
        <f>IFERROR(VLOOKUP($G1570,今日總結!$A:$AJ,36,0),"")</f>
        <v>342</v>
      </c>
      <c r="L1570" s="156">
        <f>IFERROR(VLOOKUP($G1570,今日總結!$A:$AJ,33,0),"")</f>
        <v>0</v>
      </c>
      <c r="M1570" s="340">
        <f>IFERROR(VLOOKUP($G1570,今日總結!$A:$AJ,34,0),"")</f>
        <v>4</v>
      </c>
      <c r="N1570" s="240">
        <f t="shared" si="291"/>
        <v>-4</v>
      </c>
      <c r="P1570" s="365">
        <f>IFERROR(VLOOKUP($G1570,融外自投!$A:$J,7,0),"無")</f>
        <v>33</v>
      </c>
      <c r="Q1570" s="79" t="str">
        <f>IFERROR(VLOOKUP($G1570,融外自投!$A:$J,9,0),"無")</f>
        <v>無</v>
      </c>
      <c r="R1570" s="346">
        <f>IFERROR(VLOOKUP($G1570,融外自投!$A:$J,8,0),"無")</f>
        <v>1193</v>
      </c>
      <c r="S1570" s="81" t="str">
        <f>IFERROR(VLOOKUP($G1570,融外自投!$A:$J,10,0),"無")</f>
        <v>無</v>
      </c>
      <c r="T1570" s="327">
        <f>IFERROR(VLOOKUP($G1570,'321買'!$A:$E,5,0),"'沒有資料'")</f>
        <v>802</v>
      </c>
      <c r="U1570" s="186">
        <f>IFERROR(VLOOKUP($G1570,基本資料!$A:$J,9,0),"無")</f>
        <v>0</v>
      </c>
      <c r="V1570" s="310">
        <f t="shared" si="292"/>
        <v>0</v>
      </c>
      <c r="W1570" s="94">
        <f>IFERROR(VLOOKUP($G1570,基本資料!$A:$J,10,0),"無")</f>
        <v>-1.64</v>
      </c>
      <c r="X1570" s="36">
        <f>RTD("money.excel",,"2743","Price")</f>
        <v>67.8</v>
      </c>
      <c r="Y1570" s="66"/>
      <c r="Z1570" s="15">
        <f t="shared" si="293"/>
        <v>67.8</v>
      </c>
      <c r="AA1570" s="35" t="e">
        <f t="shared" si="294"/>
        <v>#DIV/0!</v>
      </c>
      <c r="AB1570" s="344">
        <f>IFERROR(VLOOKUP($G1570,基本資料!$A:$M,11,0),"無")</f>
        <v>-4.97</v>
      </c>
      <c r="AC1570" s="397">
        <f>IFERROR(VLOOKUP($G1570,基本資料!$A:$M,12,0),"無")</f>
        <v>90.87</v>
      </c>
      <c r="AD1570" s="16" t="s">
        <v>1806</v>
      </c>
      <c r="AG1570" s="33">
        <f t="shared" si="295"/>
        <v>0</v>
      </c>
      <c r="AH1570" s="43" t="s">
        <v>1543</v>
      </c>
      <c r="AI1570" s="63">
        <f t="shared" si="296"/>
        <v>0.28084375</v>
      </c>
      <c r="AJ1570" s="284">
        <f>RTD("money.excel",,$G1570,"PredictVolume")</f>
        <v>8987</v>
      </c>
      <c r="AK1570" s="399">
        <f>IFERROR(VLOOKUP($G1570,基本資料!$A:$M,13,0),"無")</f>
        <v>82.78</v>
      </c>
    </row>
    <row r="1571" spans="1:37">
      <c r="A1571" s="347">
        <f>IFERROR(VLOOKUP($G1571,基本資料!$A:$J,3,0),"無")</f>
        <v>2.93</v>
      </c>
      <c r="B1571" s="79">
        <f>IFERROR(VLOOKUP($G1571,基本資料!$A:$J,4,0),"無")</f>
        <v>-52</v>
      </c>
      <c r="C1571" s="79">
        <f>IFERROR(VLOOKUP($G1571,基本資料!$A:$J,5,0),"無")</f>
        <v>19</v>
      </c>
      <c r="D1571" s="79">
        <f>IFERROR(VLOOKUP($G1571,基本資料!$A:$J,6,0),"無")</f>
        <v>31</v>
      </c>
      <c r="E1571" s="79">
        <f>IFERROR(VLOOKUP($G1571,基本資料!$A:$J,7,0),"無")</f>
        <v>-38</v>
      </c>
      <c r="F1571" s="6">
        <f>IFERROR(VLOOKUP($G1571,基本資料!$A:$J,8,0),"無")</f>
        <v>-133.61000000000001</v>
      </c>
      <c r="G1571" s="79">
        <v>2745</v>
      </c>
      <c r="H1571" s="8" t="s">
        <v>303</v>
      </c>
      <c r="I1571" s="16" t="s">
        <v>968</v>
      </c>
      <c r="J1571" s="8" t="str">
        <f>IFERROR(VLOOKUP($G1571,今日總結!$A:$AJ,35,0),"")</f>
        <v/>
      </c>
      <c r="K1571" s="5" t="str">
        <f>IFERROR(VLOOKUP($G1571,今日總結!$A:$AJ,36,0),"")</f>
        <v/>
      </c>
      <c r="L1571" s="156" t="str">
        <f>IFERROR(VLOOKUP($G1571,今日總結!$A:$AJ,33,0),"")</f>
        <v/>
      </c>
      <c r="M1571" s="340" t="str">
        <f>IFERROR(VLOOKUP($G1571,今日總結!$A:$AJ,34,0),"")</f>
        <v/>
      </c>
      <c r="N1571" s="240" t="str">
        <f t="shared" si="291"/>
        <v/>
      </c>
      <c r="P1571" s="365" t="str">
        <f>IFERROR(VLOOKUP($G1571,融外自投!$A:$J,7,0),"無")</f>
        <v>無</v>
      </c>
      <c r="Q1571" s="79" t="str">
        <f>IFERROR(VLOOKUP($G1571,融外自投!$A:$J,9,0),"無")</f>
        <v>無</v>
      </c>
      <c r="R1571" s="346" t="str">
        <f>IFERROR(VLOOKUP($G1571,融外自投!$A:$J,8,0),"無")</f>
        <v>無</v>
      </c>
      <c r="S1571" s="81" t="str">
        <f>IFERROR(VLOOKUP($G1571,融外自投!$A:$J,10,0),"無")</f>
        <v>無</v>
      </c>
      <c r="T1571" s="327" t="str">
        <f>IFERROR(VLOOKUP($G1571,'321買'!$A:$E,5,0),"'沒有資料'")</f>
        <v>'沒有資料'</v>
      </c>
      <c r="U1571" s="186">
        <f>IFERROR(VLOOKUP($G1571,基本資料!$A:$J,9,0),"無")</f>
        <v>0</v>
      </c>
      <c r="V1571" s="310">
        <f t="shared" si="292"/>
        <v>0</v>
      </c>
      <c r="W1571" s="94">
        <f>IFERROR(VLOOKUP($G1571,基本資料!$A:$J,10,0),"無")</f>
        <v>-4.41</v>
      </c>
      <c r="X1571" s="36">
        <f>RTD("money.excel",,"2745","Price")</f>
        <v>40.5</v>
      </c>
      <c r="Y1571" s="66"/>
      <c r="Z1571" s="15">
        <f t="shared" si="293"/>
        <v>40.5</v>
      </c>
      <c r="AA1571" s="35" t="e">
        <f t="shared" si="294"/>
        <v>#DIV/0!</v>
      </c>
      <c r="AB1571" s="344">
        <f>IFERROR(VLOOKUP($G1571,基本資料!$A:$M,11,0),"無")</f>
        <v>0</v>
      </c>
      <c r="AC1571" s="397">
        <f>IFERROR(VLOOKUP($G1571,基本資料!$A:$M,12,0),"無")</f>
        <v>76.930000000000007</v>
      </c>
      <c r="AD1571" s="16" t="s">
        <v>968</v>
      </c>
      <c r="AG1571" s="33">
        <f t="shared" si="295"/>
        <v>0</v>
      </c>
      <c r="AH1571" s="43" t="s">
        <v>1543</v>
      </c>
      <c r="AI1571" s="63">
        <f t="shared" si="296"/>
        <v>1.416382252559727E-2</v>
      </c>
      <c r="AJ1571" s="284">
        <f>RTD("money.excel",,$G1571,"PredictVolume")</f>
        <v>415</v>
      </c>
      <c r="AK1571" s="399">
        <f>IFERROR(VLOOKUP($G1571,基本資料!$A:$M,13,0),"無")</f>
        <v>6.08</v>
      </c>
    </row>
    <row r="1572" spans="1:37">
      <c r="A1572" s="347">
        <f>IFERROR(VLOOKUP($G1572,基本資料!$A:$J,3,0),"無")</f>
        <v>9.0399999999999991</v>
      </c>
      <c r="B1572" s="79">
        <f>IFERROR(VLOOKUP($G1572,基本資料!$A:$J,4,0),"無")</f>
        <v>-126</v>
      </c>
      <c r="C1572" s="79">
        <f>IFERROR(VLOOKUP($G1572,基本資料!$A:$J,5,0),"無")</f>
        <v>-160</v>
      </c>
      <c r="D1572" s="79">
        <f>IFERROR(VLOOKUP($G1572,基本資料!$A:$J,6,0),"無")</f>
        <v>5</v>
      </c>
      <c r="E1572" s="79">
        <f>IFERROR(VLOOKUP($G1572,基本資料!$A:$J,7,0),"無")</f>
        <v>20</v>
      </c>
      <c r="F1572" s="6">
        <f>IFERROR(VLOOKUP($G1572,基本資料!$A:$J,8,0),"無")</f>
        <v>-3.78</v>
      </c>
      <c r="G1572" s="79">
        <v>2748</v>
      </c>
      <c r="H1572" s="8" t="s">
        <v>303</v>
      </c>
      <c r="I1572" s="22" t="s">
        <v>978</v>
      </c>
      <c r="J1572" s="8" t="str">
        <f>IFERROR(VLOOKUP($G1572,今日總結!$A:$AJ,35,0),"")</f>
        <v/>
      </c>
      <c r="K1572" s="5" t="str">
        <f>IFERROR(VLOOKUP($G1572,今日總結!$A:$AJ,36,0),"")</f>
        <v/>
      </c>
      <c r="L1572" s="156" t="str">
        <f>IFERROR(VLOOKUP($G1572,今日總結!$A:$AJ,33,0),"")</f>
        <v/>
      </c>
      <c r="M1572" s="340" t="str">
        <f>IFERROR(VLOOKUP($G1572,今日總結!$A:$AJ,34,0),"")</f>
        <v/>
      </c>
      <c r="N1572" s="240" t="str">
        <f t="shared" si="291"/>
        <v/>
      </c>
      <c r="P1572" s="365">
        <f>IFERROR(VLOOKUP($G1572,融外自投!$A:$J,7,0),"無")</f>
        <v>1172</v>
      </c>
      <c r="Q1572" s="79">
        <f>IFERROR(VLOOKUP($G1572,融外自投!$A:$J,9,0),"無")</f>
        <v>1110</v>
      </c>
      <c r="R1572" s="346">
        <f>IFERROR(VLOOKUP($G1572,融外自投!$A:$J,8,0),"無")</f>
        <v>1363</v>
      </c>
      <c r="S1572" s="81" t="str">
        <f>IFERROR(VLOOKUP($G1572,融外自投!$A:$J,10,0),"無")</f>
        <v>無</v>
      </c>
      <c r="T1572" s="327">
        <f>IFERROR(VLOOKUP($G1572,'321買'!$A:$E,5,0),"'沒有資料'")</f>
        <v>1099</v>
      </c>
      <c r="U1572" s="186">
        <f>IFERROR(VLOOKUP($G1572,基本資料!$A:$J,9,0),"無")</f>
        <v>0.5</v>
      </c>
      <c r="V1572" s="310">
        <f t="shared" si="292"/>
        <v>1.2547051442910916E-2</v>
      </c>
      <c r="W1572" s="94">
        <f>IFERROR(VLOOKUP($G1572,基本資料!$A:$J,10,0),"無")</f>
        <v>-0.38</v>
      </c>
      <c r="X1572" s="36">
        <f>RTD("money.excel",,"2748","Price")</f>
        <v>39.85</v>
      </c>
      <c r="Y1572" s="66"/>
      <c r="Z1572" s="15">
        <f t="shared" si="293"/>
        <v>39.85</v>
      </c>
      <c r="AA1572" s="3" t="e">
        <f t="shared" si="294"/>
        <v>#DIV/0!</v>
      </c>
      <c r="AB1572" s="344">
        <f>IFERROR(VLOOKUP($G1572,基本資料!$A:$M,11,0),"無")</f>
        <v>-16.28</v>
      </c>
      <c r="AC1572" s="397">
        <f>IFERROR(VLOOKUP($G1572,基本資料!$A:$M,12,0),"無")</f>
        <v>27.3</v>
      </c>
      <c r="AD1572" s="22" t="s">
        <v>978</v>
      </c>
      <c r="AG1572" s="33">
        <f t="shared" si="295"/>
        <v>0</v>
      </c>
      <c r="AH1572" s="43" t="s">
        <v>3541</v>
      </c>
      <c r="AI1572" s="63">
        <f t="shared" si="296"/>
        <v>1.7699115044247791E-4</v>
      </c>
      <c r="AJ1572" s="284">
        <f>RTD("money.excel",,$G1572,"PredictVolume")</f>
        <v>16</v>
      </c>
      <c r="AK1572" s="399">
        <f>IFERROR(VLOOKUP($G1572,基本資料!$A:$M,13,0),"無")</f>
        <v>1.32</v>
      </c>
    </row>
    <row r="1573" spans="1:37">
      <c r="A1573" s="347">
        <f>IFERROR(VLOOKUP($G1573,基本資料!$A:$J,3,0),"無")</f>
        <v>2.2999999999999998</v>
      </c>
      <c r="B1573" s="79">
        <f>IFERROR(VLOOKUP($G1573,基本資料!$A:$J,4,0),"無")</f>
        <v>-34</v>
      </c>
      <c r="C1573" s="79">
        <f>IFERROR(VLOOKUP($G1573,基本資料!$A:$J,5,0),"無")</f>
        <v>-36</v>
      </c>
      <c r="D1573" s="79">
        <f>IFERROR(VLOOKUP($G1573,基本資料!$A:$J,6,0),"無")</f>
        <v>-6</v>
      </c>
      <c r="E1573" s="79">
        <f>IFERROR(VLOOKUP($G1573,基本資料!$A:$J,7,0),"無")</f>
        <v>16</v>
      </c>
      <c r="F1573" s="6">
        <f>IFERROR(VLOOKUP($G1573,基本資料!$A:$J,8,0),"無")</f>
        <v>8.8000000000000007</v>
      </c>
      <c r="G1573" s="79">
        <v>2752</v>
      </c>
      <c r="H1573" s="8" t="s">
        <v>303</v>
      </c>
      <c r="I1573" s="16" t="s">
        <v>1696</v>
      </c>
      <c r="J1573" s="8" t="str">
        <f>IFERROR(VLOOKUP($G1573,今日總結!$A:$AJ,35,0),"")</f>
        <v/>
      </c>
      <c r="K1573" s="5" t="str">
        <f>IFERROR(VLOOKUP($G1573,今日總結!$A:$AJ,36,0),"")</f>
        <v/>
      </c>
      <c r="L1573" s="156" t="str">
        <f>IFERROR(VLOOKUP($G1573,今日總結!$A:$AJ,33,0),"")</f>
        <v/>
      </c>
      <c r="M1573" s="340" t="str">
        <f>IFERROR(VLOOKUP($G1573,今日總結!$A:$AJ,34,0),"")</f>
        <v/>
      </c>
      <c r="N1573" s="240" t="str">
        <f t="shared" si="291"/>
        <v/>
      </c>
      <c r="P1573" s="365" t="str">
        <f>IFERROR(VLOOKUP($G1573,融外自投!$A:$J,7,0),"無")</f>
        <v>無</v>
      </c>
      <c r="Q1573" s="79" t="str">
        <f>IFERROR(VLOOKUP($G1573,融外自投!$A:$J,9,0),"無")</f>
        <v>無</v>
      </c>
      <c r="R1573" s="346" t="str">
        <f>IFERROR(VLOOKUP($G1573,融外自投!$A:$J,8,0),"無")</f>
        <v>無</v>
      </c>
      <c r="S1573" s="81" t="str">
        <f>IFERROR(VLOOKUP($G1573,融外自投!$A:$J,10,0),"無")</f>
        <v>無</v>
      </c>
      <c r="T1573" s="327" t="str">
        <f>IFERROR(VLOOKUP($G1573,'321買'!$A:$E,5,0),"'沒有資料'")</f>
        <v>'沒有資料'</v>
      </c>
      <c r="U1573" s="186">
        <f>IFERROR(VLOOKUP($G1573,基本資料!$A:$J,9,0),"無")</f>
        <v>5.7</v>
      </c>
      <c r="V1573" s="310">
        <f t="shared" si="292"/>
        <v>3.8513513513513516E-2</v>
      </c>
      <c r="W1573" s="94">
        <f>IFERROR(VLOOKUP($G1573,基本資料!$A:$J,10,0),"無")</f>
        <v>6.68</v>
      </c>
      <c r="X1573" s="36">
        <f>RTD("money.excel",,"2752","Price")</f>
        <v>148</v>
      </c>
      <c r="Y1573" s="66"/>
      <c r="Z1573" s="15">
        <f t="shared" si="293"/>
        <v>148</v>
      </c>
      <c r="AA1573" s="3" t="e">
        <f t="shared" si="294"/>
        <v>#DIV/0!</v>
      </c>
      <c r="AB1573" s="344">
        <f>IFERROR(VLOOKUP($G1573,基本資料!$A:$M,11,0),"無")</f>
        <v>-10.78</v>
      </c>
      <c r="AC1573" s="397">
        <f>IFERROR(VLOOKUP($G1573,基本資料!$A:$M,12,0),"無")</f>
        <v>32.36</v>
      </c>
      <c r="AD1573" s="16" t="s">
        <v>1696</v>
      </c>
      <c r="AG1573" s="33">
        <f t="shared" si="295"/>
        <v>0</v>
      </c>
      <c r="AH1573" s="43" t="s">
        <v>2679</v>
      </c>
      <c r="AI1573" s="63">
        <f t="shared" si="296"/>
        <v>4.347826086956522E-5</v>
      </c>
      <c r="AJ1573" s="284">
        <f>RTD("money.excel",,$G1573,"PredictVolume")</f>
        <v>1</v>
      </c>
      <c r="AK1573" s="399">
        <f>IFERROR(VLOOKUP($G1573,基本資料!$A:$M,13,0),"無")</f>
        <v>2.98</v>
      </c>
    </row>
    <row r="1574" spans="1:37">
      <c r="A1574" s="347">
        <f>IFERROR(VLOOKUP($G1574,基本資料!$A:$J,3,0),"無")</f>
        <v>6.6</v>
      </c>
      <c r="B1574" s="79">
        <f>IFERROR(VLOOKUP($G1574,基本資料!$A:$J,4,0),"無")</f>
        <v>-17</v>
      </c>
      <c r="C1574" s="79">
        <f>IFERROR(VLOOKUP($G1574,基本資料!$A:$J,5,0),"無")</f>
        <v>-14</v>
      </c>
      <c r="D1574" s="79">
        <f>IFERROR(VLOOKUP($G1574,基本資料!$A:$J,6,0),"無")</f>
        <v>16</v>
      </c>
      <c r="E1574" s="79">
        <f>IFERROR(VLOOKUP($G1574,基本資料!$A:$J,7,0),"無")</f>
        <v>9</v>
      </c>
      <c r="F1574" s="6">
        <f>IFERROR(VLOOKUP($G1574,基本資料!$A:$J,8,0),"無")</f>
        <v>10.97</v>
      </c>
      <c r="G1574" s="79">
        <v>2753</v>
      </c>
      <c r="H1574" s="8" t="s">
        <v>303</v>
      </c>
      <c r="I1574" s="22" t="s">
        <v>3421</v>
      </c>
      <c r="J1574" s="8" t="str">
        <f>IFERROR(VLOOKUP($G1574,今日總結!$A:$AJ,35,0),"")</f>
        <v>主</v>
      </c>
      <c r="K1574" s="5" t="str">
        <f>IFERROR(VLOOKUP($G1574,今日總結!$A:$AJ,36,0),"")</f>
        <v>借</v>
      </c>
      <c r="L1574" s="156">
        <f>IFERROR(VLOOKUP($G1574,今日總結!$A:$AJ,33,0),"")</f>
        <v>1</v>
      </c>
      <c r="M1574" s="340">
        <f>IFERROR(VLOOKUP($G1574,今日總結!$A:$AJ,34,0),"")</f>
        <v>1</v>
      </c>
      <c r="N1574" s="240">
        <f t="shared" si="291"/>
        <v>0</v>
      </c>
      <c r="P1574" s="365">
        <f>IFERROR(VLOOKUP($G1574,融外自投!$A:$J,7,0),"無")</f>
        <v>589</v>
      </c>
      <c r="Q1574" s="79" t="str">
        <f>IFERROR(VLOOKUP($G1574,融外自投!$A:$J,9,0),"無")</f>
        <v>無</v>
      </c>
      <c r="R1574" s="346">
        <f>IFERROR(VLOOKUP($G1574,融外自投!$A:$J,8,0),"無")</f>
        <v>1044</v>
      </c>
      <c r="S1574" s="81" t="str">
        <f>IFERROR(VLOOKUP($G1574,融外自投!$A:$J,10,0),"無")</f>
        <v>無</v>
      </c>
      <c r="T1574" s="327">
        <f>IFERROR(VLOOKUP($G1574,'321買'!$A:$E,5,0),"'沒有資料'")</f>
        <v>1007</v>
      </c>
      <c r="U1574" s="186">
        <f>IFERROR(VLOOKUP($G1574,基本資料!$A:$J,9,0),"無")</f>
        <v>6.5</v>
      </c>
      <c r="V1574" s="310">
        <f t="shared" si="292"/>
        <v>4.7445255474452552E-2</v>
      </c>
      <c r="W1574" s="94">
        <f>IFERROR(VLOOKUP($G1574,基本資料!$A:$J,10,0),"無")</f>
        <v>8.74</v>
      </c>
      <c r="X1574" s="36">
        <f>RTD("money.excel",,"2753","Price")</f>
        <v>137</v>
      </c>
      <c r="Y1574" s="66"/>
      <c r="Z1574" s="15">
        <f t="shared" si="293"/>
        <v>137</v>
      </c>
      <c r="AA1574" s="3" t="e">
        <f t="shared" si="294"/>
        <v>#DIV/0!</v>
      </c>
      <c r="AB1574" s="344" t="str">
        <f>IFERROR(VLOOKUP($G1574,基本資料!$A:$M,11,0),"無")</f>
        <v>無</v>
      </c>
      <c r="AC1574" s="397" t="str">
        <f>IFERROR(VLOOKUP($G1574,基本資料!$A:$M,12,0),"無")</f>
        <v>無</v>
      </c>
      <c r="AD1574" s="22" t="s">
        <v>3421</v>
      </c>
      <c r="AG1574" s="33">
        <f t="shared" si="295"/>
        <v>0</v>
      </c>
      <c r="AH1574" s="43" t="s">
        <v>2999</v>
      </c>
      <c r="AI1574" s="63">
        <f t="shared" si="296"/>
        <v>4.5909090909090908E-3</v>
      </c>
      <c r="AJ1574" s="284">
        <f>RTD("money.excel",,$G1574,"PredictVolume")</f>
        <v>303</v>
      </c>
      <c r="AK1574" s="399" t="str">
        <f>IFERROR(VLOOKUP($G1574,基本資料!$A:$M,13,0),"無")</f>
        <v>無</v>
      </c>
    </row>
    <row r="1575" spans="1:37">
      <c r="A1575" s="347">
        <f>IFERROR(VLOOKUP($G1575,基本資料!$A:$J,3,0),"無")</f>
        <v>4.62</v>
      </c>
      <c r="B1575" s="79">
        <f>IFERROR(VLOOKUP($G1575,基本資料!$A:$J,4,0),"無")</f>
        <v>-29</v>
      </c>
      <c r="C1575" s="79">
        <f>IFERROR(VLOOKUP($G1575,基本資料!$A:$J,5,0),"無")</f>
        <v>-35</v>
      </c>
      <c r="D1575" s="79">
        <f>IFERROR(VLOOKUP($G1575,基本資料!$A:$J,6,0),"無")</f>
        <v>-2</v>
      </c>
      <c r="E1575" s="79">
        <f>IFERROR(VLOOKUP($G1575,基本資料!$A:$J,7,0),"無")</f>
        <v>24</v>
      </c>
      <c r="F1575" s="6">
        <f>IFERROR(VLOOKUP($G1575,基本資料!$A:$J,8,0),"無")</f>
        <v>1.29</v>
      </c>
      <c r="G1575" s="79">
        <v>2754</v>
      </c>
      <c r="H1575" s="8" t="s">
        <v>303</v>
      </c>
      <c r="I1575" s="16" t="s">
        <v>2002</v>
      </c>
      <c r="J1575" s="8" t="str">
        <f>IFERROR(VLOOKUP($G1575,今日總結!$A:$AJ,35,0),"")</f>
        <v/>
      </c>
      <c r="K1575" s="5" t="str">
        <f>IFERROR(VLOOKUP($G1575,今日總結!$A:$AJ,36,0),"")</f>
        <v/>
      </c>
      <c r="L1575" s="156" t="str">
        <f>IFERROR(VLOOKUP($G1575,今日總結!$A:$AJ,33,0),"")</f>
        <v/>
      </c>
      <c r="M1575" s="340" t="str">
        <f>IFERROR(VLOOKUP($G1575,今日總結!$A:$AJ,34,0),"")</f>
        <v/>
      </c>
      <c r="N1575" s="240" t="str">
        <f t="shared" si="291"/>
        <v/>
      </c>
      <c r="P1575" s="365">
        <f>IFERROR(VLOOKUP($G1575,融外自投!$A:$J,7,0),"無")</f>
        <v>887</v>
      </c>
      <c r="Q1575" s="79" t="str">
        <f>IFERROR(VLOOKUP($G1575,融外自投!$A:$J,9,0),"無")</f>
        <v>無</v>
      </c>
      <c r="R1575" s="346">
        <f>IFERROR(VLOOKUP($G1575,融外自投!$A:$J,8,0),"無")</f>
        <v>22</v>
      </c>
      <c r="S1575" s="81" t="str">
        <f>IFERROR(VLOOKUP($G1575,融外自投!$A:$J,10,0),"無")</f>
        <v>無</v>
      </c>
      <c r="T1575" s="327">
        <f>IFERROR(VLOOKUP($G1575,'321買'!$A:$E,5,0),"'沒有資料'")</f>
        <v>915</v>
      </c>
      <c r="U1575" s="186">
        <f>IFERROR(VLOOKUP($G1575,基本資料!$A:$J,9,0),"無")</f>
        <v>0</v>
      </c>
      <c r="V1575" s="310">
        <f t="shared" si="292"/>
        <v>0</v>
      </c>
      <c r="W1575" s="94">
        <f>IFERROR(VLOOKUP($G1575,基本資料!$A:$J,10,0),"無")</f>
        <v>0.49</v>
      </c>
      <c r="X1575" s="36">
        <f>RTD("money.excel",,"2754","Price")</f>
        <v>70.2</v>
      </c>
      <c r="Y1575" s="66"/>
      <c r="Z1575" s="15">
        <f t="shared" si="293"/>
        <v>70.2</v>
      </c>
      <c r="AA1575" s="154" t="e">
        <f t="shared" si="294"/>
        <v>#DIV/0!</v>
      </c>
      <c r="AB1575" s="344">
        <f>IFERROR(VLOOKUP($G1575,基本資料!$A:$M,11,0),"無")</f>
        <v>-14.04</v>
      </c>
      <c r="AC1575" s="397">
        <f>IFERROR(VLOOKUP($G1575,基本資料!$A:$M,12,0),"無")</f>
        <v>19.850000000000001</v>
      </c>
      <c r="AD1575" s="16" t="s">
        <v>2002</v>
      </c>
      <c r="AG1575" s="33">
        <f t="shared" si="295"/>
        <v>0</v>
      </c>
      <c r="AH1575" s="43" t="s">
        <v>2003</v>
      </c>
      <c r="AI1575" s="63">
        <f t="shared" si="296"/>
        <v>8.4415584415584416E-4</v>
      </c>
      <c r="AJ1575" s="284">
        <f>RTD("money.excel",,$G1575,"PredictVolume")</f>
        <v>39</v>
      </c>
      <c r="AK1575" s="399">
        <f>IFERROR(VLOOKUP($G1575,基本資料!$A:$M,13,0),"無")</f>
        <v>2.29</v>
      </c>
    </row>
    <row r="1576" spans="1:37">
      <c r="A1576" s="347">
        <f>IFERROR(VLOOKUP($G1576,基本資料!$A:$J,3,0),"無")</f>
        <v>2</v>
      </c>
      <c r="B1576" s="79">
        <f>IFERROR(VLOOKUP($G1576,基本資料!$A:$J,4,0),"無")</f>
        <v>3</v>
      </c>
      <c r="C1576" s="79">
        <f>IFERROR(VLOOKUP($G1576,基本資料!$A:$J,5,0),"無")</f>
        <v>8</v>
      </c>
      <c r="D1576" s="79">
        <f>IFERROR(VLOOKUP($G1576,基本資料!$A:$J,6,0),"無")</f>
        <v>29</v>
      </c>
      <c r="E1576" s="79">
        <f>IFERROR(VLOOKUP($G1576,基本資料!$A:$J,7,0),"無")</f>
        <v>16</v>
      </c>
      <c r="F1576" s="6">
        <f>IFERROR(VLOOKUP($G1576,基本資料!$A:$J,8,0),"無")</f>
        <v>6.31</v>
      </c>
      <c r="G1576" s="79">
        <v>2755</v>
      </c>
      <c r="H1576" s="8" t="s">
        <v>303</v>
      </c>
      <c r="I1576" s="16" t="s">
        <v>2115</v>
      </c>
      <c r="J1576" s="8" t="str">
        <f>IFERROR(VLOOKUP($G1576,今日總結!$A:$AJ,35,0),"")</f>
        <v/>
      </c>
      <c r="K1576" s="5" t="str">
        <f>IFERROR(VLOOKUP($G1576,今日總結!$A:$AJ,36,0),"")</f>
        <v/>
      </c>
      <c r="L1576" s="156" t="str">
        <f>IFERROR(VLOOKUP($G1576,今日總結!$A:$AJ,33,0),"")</f>
        <v/>
      </c>
      <c r="M1576" s="340" t="str">
        <f>IFERROR(VLOOKUP($G1576,今日總結!$A:$AJ,34,0),"")</f>
        <v/>
      </c>
      <c r="N1576" s="240" t="str">
        <f t="shared" ref="N1576:N1590" si="297">IFERROR(L1576-M1576,"")</f>
        <v/>
      </c>
      <c r="P1576" s="365" t="str">
        <f>IFERROR(VLOOKUP($G1576,融外自投!$A:$J,7,0),"無")</f>
        <v>無</v>
      </c>
      <c r="Q1576" s="79" t="str">
        <f>IFERROR(VLOOKUP($G1576,融外自投!$A:$J,9,0),"無")</f>
        <v>無</v>
      </c>
      <c r="R1576" s="346" t="str">
        <f>IFERROR(VLOOKUP($G1576,融外自投!$A:$J,8,0),"無")</f>
        <v>無</v>
      </c>
      <c r="S1576" s="81" t="str">
        <f>IFERROR(VLOOKUP($G1576,融外自投!$A:$J,10,0),"無")</f>
        <v>無</v>
      </c>
      <c r="T1576" s="327" t="str">
        <f>IFERROR(VLOOKUP($G1576,'321買'!$A:$E,5,0),"'沒有資料'")</f>
        <v>'沒有資料'</v>
      </c>
      <c r="U1576" s="186">
        <f>IFERROR(VLOOKUP($G1576,基本資料!$A:$J,9,0),"無")</f>
        <v>3</v>
      </c>
      <c r="V1576" s="310">
        <f t="shared" si="292"/>
        <v>4.8387096774193547E-2</v>
      </c>
      <c r="W1576" s="94">
        <f>IFERROR(VLOOKUP($G1576,基本資料!$A:$J,10,0),"無")</f>
        <v>3.65</v>
      </c>
      <c r="X1576" s="36">
        <f>RTD("money.excel",,"2755","Price")</f>
        <v>62</v>
      </c>
      <c r="Y1576" s="66"/>
      <c r="Z1576" s="15">
        <f t="shared" si="293"/>
        <v>62</v>
      </c>
      <c r="AA1576" s="3" t="e">
        <f t="shared" si="294"/>
        <v>#DIV/0!</v>
      </c>
      <c r="AB1576" s="344">
        <f>IFERROR(VLOOKUP($G1576,基本資料!$A:$M,11,0),"無")</f>
        <v>-2.2599999999999998</v>
      </c>
      <c r="AC1576" s="397">
        <f>IFERROR(VLOOKUP($G1576,基本資料!$A:$M,12,0),"無")</f>
        <v>82.9</v>
      </c>
      <c r="AD1576" s="16" t="s">
        <v>2115</v>
      </c>
      <c r="AG1576" s="33">
        <f t="shared" si="295"/>
        <v>0</v>
      </c>
      <c r="AH1576" s="43" t="s">
        <v>2116</v>
      </c>
      <c r="AI1576" s="63">
        <f t="shared" si="296"/>
        <v>8.9999999999999998E-4</v>
      </c>
      <c r="AJ1576" s="284">
        <f>RTD("money.excel",,$G1576,"PredictVolume")</f>
        <v>18</v>
      </c>
      <c r="AK1576" s="399">
        <f>IFERROR(VLOOKUP($G1576,基本資料!$A:$M,13,0),"無")</f>
        <v>0.42</v>
      </c>
    </row>
    <row r="1577" spans="1:37">
      <c r="A1577" s="347" t="str">
        <f>IFERROR(VLOOKUP($G1577,基本資料!$A:$J,3,0),"無")</f>
        <v>無</v>
      </c>
      <c r="B1577" s="79" t="str">
        <f>IFERROR(VLOOKUP($G1577,基本資料!$A:$J,4,0),"無")</f>
        <v>無</v>
      </c>
      <c r="C1577" s="79" t="str">
        <f>IFERROR(VLOOKUP($G1577,基本資料!$A:$J,5,0),"無")</f>
        <v>無</v>
      </c>
      <c r="D1577" s="79" t="str">
        <f>IFERROR(VLOOKUP($G1577,基本資料!$A:$J,6,0),"無")</f>
        <v>無</v>
      </c>
      <c r="E1577" s="79" t="str">
        <f>IFERROR(VLOOKUP($G1577,基本資料!$A:$J,7,0),"無")</f>
        <v>無</v>
      </c>
      <c r="F1577" s="6" t="str">
        <f>IFERROR(VLOOKUP($G1577,基本資料!$A:$J,8,0),"無")</f>
        <v>無</v>
      </c>
      <c r="G1577" s="79">
        <v>2756</v>
      </c>
      <c r="H1577" s="8" t="s">
        <v>303</v>
      </c>
      <c r="I1577" s="16" t="s">
        <v>4697</v>
      </c>
      <c r="J1577" s="8" t="str">
        <f>IFERROR(VLOOKUP($G1577,今日總結!$A:$AJ,35,0),"")</f>
        <v/>
      </c>
      <c r="K1577" s="5" t="str">
        <f>IFERROR(VLOOKUP($G1577,今日總結!$A:$AJ,36,0),"")</f>
        <v/>
      </c>
      <c r="L1577" s="156" t="str">
        <f>IFERROR(VLOOKUP($G1577,今日總結!$A:$AJ,33,0),"")</f>
        <v/>
      </c>
      <c r="M1577" s="340" t="str">
        <f>IFERROR(VLOOKUP($G1577,今日總結!$A:$AJ,34,0),"")</f>
        <v/>
      </c>
      <c r="N1577" s="240" t="str">
        <f t="shared" si="297"/>
        <v/>
      </c>
      <c r="P1577" s="365" t="str">
        <f>IFERROR(VLOOKUP($G1577,融外自投!$A:$J,7,0),"無")</f>
        <v>無</v>
      </c>
      <c r="Q1577" s="79" t="str">
        <f>IFERROR(VLOOKUP($G1577,融外自投!$A:$J,9,0),"無")</f>
        <v>無</v>
      </c>
      <c r="R1577" s="346" t="str">
        <f>IFERROR(VLOOKUP($G1577,融外自投!$A:$J,8,0),"無")</f>
        <v>無</v>
      </c>
      <c r="S1577" s="81" t="str">
        <f>IFERROR(VLOOKUP($G1577,融外自投!$A:$J,10,0),"無")</f>
        <v>無</v>
      </c>
      <c r="T1577" s="327" t="str">
        <f>IFERROR(VLOOKUP($G1577,'321買'!$A:$E,5,0),"'沒有資料'")</f>
        <v>'沒有資料'</v>
      </c>
      <c r="U1577" s="186" t="str">
        <f>IFERROR(VLOOKUP($G1577,基本資料!$A:$J,9,0),"無")</f>
        <v>無</v>
      </c>
      <c r="V1577" s="310" t="e">
        <f t="shared" si="292"/>
        <v>#VALUE!</v>
      </c>
      <c r="W1577" s="94" t="str">
        <f>IFERROR(VLOOKUP($G1577,基本資料!$A:$J,10,0),"無")</f>
        <v>無</v>
      </c>
      <c r="X1577" s="36">
        <f>RTD("money.excel",,"2756","Price")</f>
        <v>107</v>
      </c>
      <c r="Y1577" s="66"/>
      <c r="Z1577" s="15">
        <f>X1577-Y1577</f>
        <v>107</v>
      </c>
      <c r="AA1577" s="3" t="e">
        <f>Z1577/Y1577</f>
        <v>#DIV/0!</v>
      </c>
      <c r="AB1577" s="344" t="str">
        <f>IFERROR(VLOOKUP($G1577,基本資料!$A:$M,11,0),"無")</f>
        <v>無</v>
      </c>
      <c r="AC1577" s="397" t="str">
        <f>IFERROR(VLOOKUP($G1577,基本資料!$A:$M,12,0),"無")</f>
        <v>無</v>
      </c>
      <c r="AD1577" s="16" t="s">
        <v>4697</v>
      </c>
      <c r="AG1577" s="33">
        <f>AF1577-AE1577</f>
        <v>0</v>
      </c>
      <c r="AH1577" s="43" t="s">
        <v>4699</v>
      </c>
      <c r="AI1577" s="63" t="e">
        <f t="shared" si="296"/>
        <v>#VALUE!</v>
      </c>
      <c r="AJ1577" s="284">
        <f>RTD("money.excel",,$G1577,"PredictVolume")</f>
        <v>13</v>
      </c>
      <c r="AK1577" s="399" t="str">
        <f>IFERROR(VLOOKUP($G1577,基本資料!$A:$M,13,0),"無")</f>
        <v>無</v>
      </c>
    </row>
    <row r="1578" spans="1:37">
      <c r="A1578" s="347">
        <f>IFERROR(VLOOKUP($G1578,基本資料!$A:$J,3,0),"無")</f>
        <v>5.01</v>
      </c>
      <c r="B1578" s="79">
        <f>IFERROR(VLOOKUP($G1578,基本資料!$A:$J,4,0),"無")</f>
        <v>135</v>
      </c>
      <c r="C1578" s="79">
        <f>IFERROR(VLOOKUP($G1578,基本資料!$A:$J,5,0),"無")</f>
        <v>105</v>
      </c>
      <c r="D1578" s="79">
        <f>IFERROR(VLOOKUP($G1578,基本資料!$A:$J,6,0),"無")</f>
        <v>-16</v>
      </c>
      <c r="E1578" s="79">
        <f>IFERROR(VLOOKUP($G1578,基本資料!$A:$J,7,0),"無")</f>
        <v>34</v>
      </c>
      <c r="F1578" s="6">
        <f>IFERROR(VLOOKUP($G1578,基本資料!$A:$J,8,0),"無")</f>
        <v>0.99</v>
      </c>
      <c r="G1578" s="79">
        <v>3252</v>
      </c>
      <c r="H1578" s="8" t="s">
        <v>303</v>
      </c>
      <c r="I1578" s="16" t="s">
        <v>4622</v>
      </c>
      <c r="J1578" s="8" t="str">
        <f>IFERROR(VLOOKUP($G1578,今日總結!$A:$AJ,35,0),"")</f>
        <v/>
      </c>
      <c r="K1578" s="5" t="str">
        <f>IFERROR(VLOOKUP($G1578,今日總結!$A:$AJ,36,0),"")</f>
        <v/>
      </c>
      <c r="L1578" s="156" t="str">
        <f>IFERROR(VLOOKUP($G1578,今日總結!$A:$AJ,33,0),"")</f>
        <v/>
      </c>
      <c r="M1578" s="340" t="str">
        <f>IFERROR(VLOOKUP($G1578,今日總結!$A:$AJ,34,0),"")</f>
        <v/>
      </c>
      <c r="N1578" s="240" t="str">
        <f t="shared" si="297"/>
        <v/>
      </c>
      <c r="P1578" s="365">
        <f>IFERROR(VLOOKUP($G1578,融外自投!$A:$J,7,0),"無")</f>
        <v>1</v>
      </c>
      <c r="Q1578" s="79">
        <f>IFERROR(VLOOKUP($G1578,融外自投!$A:$J,9,0),"無")</f>
        <v>1110</v>
      </c>
      <c r="R1578" s="346">
        <f>IFERROR(VLOOKUP($G1578,融外自投!$A:$J,8,0),"無")</f>
        <v>600</v>
      </c>
      <c r="S1578" s="81" t="str">
        <f>IFERROR(VLOOKUP($G1578,融外自投!$A:$J,10,0),"無")</f>
        <v>無</v>
      </c>
      <c r="T1578" s="327">
        <f>IFERROR(VLOOKUP($G1578,'321買'!$A:$E,5,0),"'沒有資料'")</f>
        <v>1359</v>
      </c>
      <c r="U1578" s="186">
        <f>IFERROR(VLOOKUP($G1578,基本資料!$A:$J,9,0),"無")</f>
        <v>0</v>
      </c>
      <c r="V1578" s="310">
        <f t="shared" si="292"/>
        <v>0</v>
      </c>
      <c r="W1578" s="94">
        <f>IFERROR(VLOOKUP($G1578,基本資料!$A:$J,10,0),"無")</f>
        <v>0.71</v>
      </c>
      <c r="X1578" s="36">
        <f>RTD("money.excel",,"3252","Price")</f>
        <v>16.649999999999999</v>
      </c>
      <c r="Y1578" s="66"/>
      <c r="Z1578" s="15">
        <f t="shared" si="293"/>
        <v>16.649999999999999</v>
      </c>
      <c r="AA1578" s="3" t="e">
        <f t="shared" si="294"/>
        <v>#DIV/0!</v>
      </c>
      <c r="AB1578" s="344">
        <f>IFERROR(VLOOKUP($G1578,基本資料!$A:$M,11,0),"無")</f>
        <v>-18.78</v>
      </c>
      <c r="AC1578" s="397">
        <f>IFERROR(VLOOKUP($G1578,基本資料!$A:$M,12,0),"無")</f>
        <v>24.48</v>
      </c>
      <c r="AD1578" s="16" t="s">
        <v>4622</v>
      </c>
      <c r="AG1578" s="33">
        <f t="shared" si="295"/>
        <v>0</v>
      </c>
      <c r="AH1578" s="43" t="s">
        <v>4623</v>
      </c>
      <c r="AI1578" s="63">
        <f t="shared" si="296"/>
        <v>6.5868263473053891E-4</v>
      </c>
      <c r="AJ1578" s="284">
        <f>RTD("money.excel",,$G1578,"PredictVolume")</f>
        <v>33</v>
      </c>
      <c r="AK1578" s="399">
        <f>IFERROR(VLOOKUP($G1578,基本資料!$A:$M,13,0),"無")</f>
        <v>3.93</v>
      </c>
    </row>
    <row r="1579" spans="1:37">
      <c r="A1579" s="347">
        <f>IFERROR(VLOOKUP($G1579,基本資料!$A:$J,3,0),"無")</f>
        <v>7.1</v>
      </c>
      <c r="B1579" s="79">
        <f>IFERROR(VLOOKUP($G1579,基本資料!$A:$J,4,0),"無")</f>
        <v>-7</v>
      </c>
      <c r="C1579" s="79">
        <f>IFERROR(VLOOKUP($G1579,基本資料!$A:$J,5,0),"無")</f>
        <v>-23</v>
      </c>
      <c r="D1579" s="79">
        <f>IFERROR(VLOOKUP($G1579,基本資料!$A:$J,6,0),"無")</f>
        <v>107</v>
      </c>
      <c r="E1579" s="79">
        <f>IFERROR(VLOOKUP($G1579,基本資料!$A:$J,7,0),"無")</f>
        <v>-7</v>
      </c>
      <c r="F1579" s="6">
        <f>IFERROR(VLOOKUP($G1579,基本資料!$A:$J,8,0),"無")</f>
        <v>-52.84</v>
      </c>
      <c r="G1579" s="79">
        <v>3522</v>
      </c>
      <c r="H1579" s="8" t="s">
        <v>303</v>
      </c>
      <c r="I1579" s="16" t="s">
        <v>4624</v>
      </c>
      <c r="J1579" s="8" t="str">
        <f>IFERROR(VLOOKUP($G1579,今日總結!$A:$AJ,35,0),"")</f>
        <v/>
      </c>
      <c r="K1579" s="5" t="str">
        <f>IFERROR(VLOOKUP($G1579,今日總結!$A:$AJ,36,0),"")</f>
        <v/>
      </c>
      <c r="L1579" s="156" t="str">
        <f>IFERROR(VLOOKUP($G1579,今日總結!$A:$AJ,33,0),"")</f>
        <v/>
      </c>
      <c r="M1579" s="340" t="str">
        <f>IFERROR(VLOOKUP($G1579,今日總結!$A:$AJ,34,0),"")</f>
        <v/>
      </c>
      <c r="N1579" s="240" t="str">
        <f t="shared" si="297"/>
        <v/>
      </c>
      <c r="P1579" s="365" t="str">
        <f>IFERROR(VLOOKUP($G1579,融外自投!$A:$J,7,0),"無")</f>
        <v>無</v>
      </c>
      <c r="Q1579" s="79" t="str">
        <f>IFERROR(VLOOKUP($G1579,融外自投!$A:$J,9,0),"無")</f>
        <v>無</v>
      </c>
      <c r="R1579" s="346" t="str">
        <f>IFERROR(VLOOKUP($G1579,融外自投!$A:$J,8,0),"無")</f>
        <v>無</v>
      </c>
      <c r="S1579" s="81" t="str">
        <f>IFERROR(VLOOKUP($G1579,融外自投!$A:$J,10,0),"無")</f>
        <v>無</v>
      </c>
      <c r="T1579" s="327" t="str">
        <f>IFERROR(VLOOKUP($G1579,'321買'!$A:$E,5,0),"'沒有資料'")</f>
        <v>'沒有資料'</v>
      </c>
      <c r="U1579" s="186">
        <f>IFERROR(VLOOKUP($G1579,基本資料!$A:$J,9,0),"無")</f>
        <v>0</v>
      </c>
      <c r="V1579" s="310">
        <f t="shared" si="292"/>
        <v>0</v>
      </c>
      <c r="W1579" s="94">
        <f>IFERROR(VLOOKUP($G1579,基本資料!$A:$J,10,0),"無")</f>
        <v>-6.64</v>
      </c>
      <c r="X1579" s="36">
        <f>RTD("money.excel",,"3522","Price")</f>
        <v>10.7</v>
      </c>
      <c r="Y1579" s="66"/>
      <c r="Z1579" s="15">
        <f t="shared" si="293"/>
        <v>10.7</v>
      </c>
      <c r="AA1579" s="3" t="e">
        <f t="shared" si="294"/>
        <v>#DIV/0!</v>
      </c>
      <c r="AB1579" s="344">
        <f>IFERROR(VLOOKUP($G1579,基本資料!$A:$M,11,0),"無")</f>
        <v>-27.62</v>
      </c>
      <c r="AC1579" s="397">
        <f>IFERROR(VLOOKUP($G1579,基本資料!$A:$M,12,0),"無")</f>
        <v>65.27</v>
      </c>
      <c r="AD1579" s="16" t="s">
        <v>4624</v>
      </c>
      <c r="AG1579" s="33">
        <f t="shared" si="295"/>
        <v>0</v>
      </c>
      <c r="AH1579" s="43" t="s">
        <v>2999</v>
      </c>
      <c r="AI1579" s="63">
        <f t="shared" si="296"/>
        <v>6.2957746478873242E-3</v>
      </c>
      <c r="AJ1579" s="284">
        <f>RTD("money.excel",,$G1579,"PredictVolume")</f>
        <v>447</v>
      </c>
      <c r="AK1579" s="399">
        <f>IFERROR(VLOOKUP($G1579,基本資料!$A:$M,13,0),"無")</f>
        <v>6.8</v>
      </c>
    </row>
    <row r="1580" spans="1:37">
      <c r="A1580" s="347">
        <f>IFERROR(VLOOKUP($G1580,基本資料!$A:$J,3,0),"無")</f>
        <v>4.53</v>
      </c>
      <c r="B1580" s="79">
        <f>IFERROR(VLOOKUP($G1580,基本資料!$A:$J,4,0),"無")</f>
        <v>33</v>
      </c>
      <c r="C1580" s="79">
        <f>IFERROR(VLOOKUP($G1580,基本資料!$A:$J,5,0),"無")</f>
        <v>146</v>
      </c>
      <c r="D1580" s="79">
        <f>IFERROR(VLOOKUP($G1580,基本資料!$A:$J,6,0),"無")</f>
        <v>-13</v>
      </c>
      <c r="E1580" s="79">
        <f>IFERROR(VLOOKUP($G1580,基本資料!$A:$J,7,0),"無")</f>
        <v>-52</v>
      </c>
      <c r="F1580" s="6">
        <f>IFERROR(VLOOKUP($G1580,基本資料!$A:$J,8,0),"無")</f>
        <v>1.58</v>
      </c>
      <c r="G1580" s="79">
        <v>4804</v>
      </c>
      <c r="H1580" s="8" t="s">
        <v>303</v>
      </c>
      <c r="I1580" s="16" t="s">
        <v>4625</v>
      </c>
      <c r="J1580" s="8">
        <f>IFERROR(VLOOKUP($G1580,今日總結!$A:$AJ,35,0),"")</f>
        <v>42</v>
      </c>
      <c r="K1580" s="5">
        <f>IFERROR(VLOOKUP($G1580,今日總結!$A:$AJ,36,0),"")</f>
        <v>0</v>
      </c>
      <c r="L1580" s="156">
        <f>IFERROR(VLOOKUP($G1580,今日總結!$A:$AJ,33,0),"")</f>
        <v>2</v>
      </c>
      <c r="M1580" s="340">
        <f>IFERROR(VLOOKUP($G1580,今日總結!$A:$AJ,34,0),"")</f>
        <v>0</v>
      </c>
      <c r="N1580" s="240">
        <f t="shared" si="297"/>
        <v>2</v>
      </c>
      <c r="P1580" s="365">
        <f>IFERROR(VLOOKUP($G1580,融外自投!$A:$J,7,0),"無")</f>
        <v>234</v>
      </c>
      <c r="Q1580" s="79">
        <f>IFERROR(VLOOKUP($G1580,融外自投!$A:$J,9,0),"無")</f>
        <v>337</v>
      </c>
      <c r="R1580" s="346">
        <f>IFERROR(VLOOKUP($G1580,融外自投!$A:$J,8,0),"無")</f>
        <v>562</v>
      </c>
      <c r="S1580" s="81" t="str">
        <f>IFERROR(VLOOKUP($G1580,融外自投!$A:$J,10,0),"無")</f>
        <v>無</v>
      </c>
      <c r="T1580" s="327">
        <f>IFERROR(VLOOKUP($G1580,'321買'!$A:$E,5,0),"'沒有資料'")</f>
        <v>827</v>
      </c>
      <c r="U1580" s="186">
        <f>IFERROR(VLOOKUP($G1580,基本資料!$A:$J,9,0),"無")</f>
        <v>0</v>
      </c>
      <c r="V1580" s="310">
        <f t="shared" si="292"/>
        <v>0</v>
      </c>
      <c r="W1580" s="94">
        <f>IFERROR(VLOOKUP($G1580,基本資料!$A:$J,10,0),"無")</f>
        <v>-0.13</v>
      </c>
      <c r="X1580" s="36">
        <f>RTD("money.excel",,"4804","Price")</f>
        <v>14.8</v>
      </c>
      <c r="Y1580" s="66"/>
      <c r="Z1580" s="15">
        <f t="shared" si="293"/>
        <v>14.8</v>
      </c>
      <c r="AA1580" s="3" t="e">
        <f t="shared" si="294"/>
        <v>#DIV/0!</v>
      </c>
      <c r="AB1580" s="344">
        <f>IFERROR(VLOOKUP($G1580,基本資料!$A:$M,11,0),"無")</f>
        <v>-34.57</v>
      </c>
      <c r="AC1580" s="397">
        <f>IFERROR(VLOOKUP($G1580,基本資料!$A:$M,12,0),"無")</f>
        <v>65.069999999999993</v>
      </c>
      <c r="AD1580" s="16" t="s">
        <v>4625</v>
      </c>
      <c r="AG1580" s="33">
        <f t="shared" si="295"/>
        <v>0</v>
      </c>
      <c r="AH1580" s="43" t="s">
        <v>4626</v>
      </c>
      <c r="AI1580" s="63">
        <f t="shared" si="296"/>
        <v>8.9977924944812368E-2</v>
      </c>
      <c r="AJ1580" s="284">
        <f>RTD("money.excel",,$G1580,"PredictVolume")</f>
        <v>4076</v>
      </c>
      <c r="AK1580" s="399">
        <f>IFERROR(VLOOKUP($G1580,基本資料!$A:$M,13,0),"無")</f>
        <v>25.58</v>
      </c>
    </row>
    <row r="1581" spans="1:37">
      <c r="A1581" s="347">
        <f>IFERROR(VLOOKUP($G1581,基本資料!$A:$J,3,0),"無")</f>
        <v>10.45</v>
      </c>
      <c r="B1581" s="79">
        <f>IFERROR(VLOOKUP($G1581,基本資料!$A:$J,4,0),"無")</f>
        <v>33</v>
      </c>
      <c r="C1581" s="79">
        <f>IFERROR(VLOOKUP($G1581,基本資料!$A:$J,5,0),"無")</f>
        <v>52</v>
      </c>
      <c r="D1581" s="79">
        <f>IFERROR(VLOOKUP($G1581,基本資料!$A:$J,6,0),"無")</f>
        <v>-18</v>
      </c>
      <c r="E1581" s="79">
        <f>IFERROR(VLOOKUP($G1581,基本資料!$A:$J,7,0),"無")</f>
        <v>-34</v>
      </c>
      <c r="F1581" s="6">
        <f>IFERROR(VLOOKUP($G1581,基本資料!$A:$J,8,0),"無")</f>
        <v>-199.32</v>
      </c>
      <c r="G1581" s="79">
        <v>5301</v>
      </c>
      <c r="H1581" s="8" t="s">
        <v>303</v>
      </c>
      <c r="I1581" s="16" t="s">
        <v>4627</v>
      </c>
      <c r="J1581" s="8" t="str">
        <f>IFERROR(VLOOKUP($G1581,今日總結!$A:$AJ,35,0),"")</f>
        <v/>
      </c>
      <c r="K1581" s="5" t="str">
        <f>IFERROR(VLOOKUP($G1581,今日總結!$A:$AJ,36,0),"")</f>
        <v/>
      </c>
      <c r="L1581" s="156" t="str">
        <f>IFERROR(VLOOKUP($G1581,今日總結!$A:$AJ,33,0),"")</f>
        <v/>
      </c>
      <c r="M1581" s="340" t="str">
        <f>IFERROR(VLOOKUP($G1581,今日總結!$A:$AJ,34,0),"")</f>
        <v/>
      </c>
      <c r="N1581" s="240" t="str">
        <f t="shared" si="297"/>
        <v/>
      </c>
      <c r="P1581" s="365" t="str">
        <f>IFERROR(VLOOKUP($G1581,融外自投!$A:$J,7,0),"無")</f>
        <v>無</v>
      </c>
      <c r="Q1581" s="79" t="str">
        <f>IFERROR(VLOOKUP($G1581,融外自投!$A:$J,9,0),"無")</f>
        <v>無</v>
      </c>
      <c r="R1581" s="346" t="str">
        <f>IFERROR(VLOOKUP($G1581,融外自投!$A:$J,8,0),"無")</f>
        <v>無</v>
      </c>
      <c r="S1581" s="81" t="str">
        <f>IFERROR(VLOOKUP($G1581,融外自投!$A:$J,10,0),"無")</f>
        <v>無</v>
      </c>
      <c r="T1581" s="327" t="str">
        <f>IFERROR(VLOOKUP($G1581,'321買'!$A:$E,5,0),"'沒有資料'")</f>
        <v>'沒有資料'</v>
      </c>
      <c r="U1581" s="186">
        <f>IFERROR(VLOOKUP($G1581,基本資料!$A:$J,9,0),"無")</f>
        <v>0</v>
      </c>
      <c r="V1581" s="310">
        <f t="shared" si="292"/>
        <v>0</v>
      </c>
      <c r="W1581" s="94">
        <f>IFERROR(VLOOKUP($G1581,基本資料!$A:$J,10,0),"無")</f>
        <v>-2.09</v>
      </c>
      <c r="X1581" s="36">
        <f>RTD("money.excel",,"5301","Price")</f>
        <v>13.25</v>
      </c>
      <c r="Y1581" s="66"/>
      <c r="Z1581" s="15">
        <f t="shared" si="293"/>
        <v>13.25</v>
      </c>
      <c r="AA1581" s="3" t="e">
        <f t="shared" si="294"/>
        <v>#DIV/0!</v>
      </c>
      <c r="AB1581" s="344">
        <f>IFERROR(VLOOKUP($G1581,基本資料!$A:$M,11,0),"無")</f>
        <v>-18.34</v>
      </c>
      <c r="AC1581" s="397">
        <f>IFERROR(VLOOKUP($G1581,基本資料!$A:$M,12,0),"無")</f>
        <v>45.69</v>
      </c>
      <c r="AD1581" s="16" t="s">
        <v>4627</v>
      </c>
      <c r="AG1581" s="33">
        <f t="shared" si="295"/>
        <v>0</v>
      </c>
      <c r="AH1581" s="43" t="s">
        <v>2680</v>
      </c>
      <c r="AI1581" s="63">
        <f t="shared" si="296"/>
        <v>8.3253588516746409E-4</v>
      </c>
      <c r="AJ1581" s="284">
        <f>RTD("money.excel",,$G1581,"PredictVolume")</f>
        <v>87</v>
      </c>
      <c r="AK1581" s="399">
        <f>IFERROR(VLOOKUP($G1581,基本資料!$A:$M,13,0),"無")</f>
        <v>2.94</v>
      </c>
    </row>
    <row r="1582" spans="1:37">
      <c r="A1582" s="347">
        <f>IFERROR(VLOOKUP($G1582,基本資料!$A:$J,3,0),"無")</f>
        <v>2.88</v>
      </c>
      <c r="B1582" s="79">
        <f>IFERROR(VLOOKUP($G1582,基本資料!$A:$J,4,0),"無")</f>
        <v>-285</v>
      </c>
      <c r="C1582" s="79">
        <f>IFERROR(VLOOKUP($G1582,基本資料!$A:$J,5,0),"無")</f>
        <v>-2149</v>
      </c>
      <c r="D1582" s="79">
        <f>IFERROR(VLOOKUP($G1582,基本資料!$A:$J,6,0),"無")</f>
        <v>-24</v>
      </c>
      <c r="E1582" s="79">
        <f>IFERROR(VLOOKUP($G1582,基本資料!$A:$J,7,0),"無")</f>
        <v>-1</v>
      </c>
      <c r="F1582" s="6">
        <f>IFERROR(VLOOKUP($G1582,基本資料!$A:$J,8,0),"無")</f>
        <v>-22.23</v>
      </c>
      <c r="G1582" s="79">
        <v>5364</v>
      </c>
      <c r="H1582" s="8" t="s">
        <v>303</v>
      </c>
      <c r="I1582" s="16" t="s">
        <v>4628</v>
      </c>
      <c r="J1582" s="8" t="str">
        <f>IFERROR(VLOOKUP($G1582,今日總結!$A:$AJ,35,0),"")</f>
        <v/>
      </c>
      <c r="K1582" s="5" t="str">
        <f>IFERROR(VLOOKUP($G1582,今日總結!$A:$AJ,36,0),"")</f>
        <v/>
      </c>
      <c r="L1582" s="156" t="str">
        <f>IFERROR(VLOOKUP($G1582,今日總結!$A:$AJ,33,0),"")</f>
        <v/>
      </c>
      <c r="M1582" s="340" t="str">
        <f>IFERROR(VLOOKUP($G1582,今日總結!$A:$AJ,34,0),"")</f>
        <v/>
      </c>
      <c r="N1582" s="240" t="str">
        <f t="shared" si="297"/>
        <v/>
      </c>
      <c r="P1582" s="365" t="str">
        <f>IFERROR(VLOOKUP($G1582,融外自投!$A:$J,7,0),"無")</f>
        <v>無</v>
      </c>
      <c r="Q1582" s="79" t="str">
        <f>IFERROR(VLOOKUP($G1582,融外自投!$A:$J,9,0),"無")</f>
        <v>無</v>
      </c>
      <c r="R1582" s="346" t="str">
        <f>IFERROR(VLOOKUP($G1582,融外自投!$A:$J,8,0),"無")</f>
        <v>無</v>
      </c>
      <c r="S1582" s="81" t="str">
        <f>IFERROR(VLOOKUP($G1582,融外自投!$A:$J,10,0),"無")</f>
        <v>無</v>
      </c>
      <c r="T1582" s="327" t="str">
        <f>IFERROR(VLOOKUP($G1582,'321買'!$A:$E,5,0),"'沒有資料'")</f>
        <v>'沒有資料'</v>
      </c>
      <c r="U1582" s="186">
        <f>IFERROR(VLOOKUP($G1582,基本資料!$A:$J,9,0),"無")</f>
        <v>0</v>
      </c>
      <c r="V1582" s="310">
        <f t="shared" si="292"/>
        <v>0</v>
      </c>
      <c r="W1582" s="94">
        <f>IFERROR(VLOOKUP($G1582,基本資料!$A:$J,10,0),"無")</f>
        <v>-2.4900000000000002</v>
      </c>
      <c r="X1582" s="36">
        <f>RTD("money.excel",,"5364","Price")</f>
        <v>19.55</v>
      </c>
      <c r="Y1582" s="66"/>
      <c r="Z1582" s="15">
        <f t="shared" si="293"/>
        <v>19.55</v>
      </c>
      <c r="AA1582" s="3" t="e">
        <f t="shared" si="294"/>
        <v>#DIV/0!</v>
      </c>
      <c r="AB1582" s="344">
        <f>IFERROR(VLOOKUP($G1582,基本資料!$A:$M,11,0),"無")</f>
        <v>-11.72</v>
      </c>
      <c r="AC1582" s="397">
        <f>IFERROR(VLOOKUP($G1582,基本資料!$A:$M,12,0),"無")</f>
        <v>44.39</v>
      </c>
      <c r="AD1582" s="16" t="s">
        <v>4628</v>
      </c>
      <c r="AG1582" s="33">
        <f t="shared" si="295"/>
        <v>0</v>
      </c>
      <c r="AH1582" s="43" t="s">
        <v>2681</v>
      </c>
      <c r="AI1582" s="63">
        <f t="shared" si="296"/>
        <v>5.9027777777777778E-4</v>
      </c>
      <c r="AJ1582" s="284">
        <f>RTD("money.excel",,$G1582,"PredictVolume")</f>
        <v>17</v>
      </c>
      <c r="AK1582" s="399">
        <f>IFERROR(VLOOKUP($G1582,基本資料!$A:$M,13,0),"無")</f>
        <v>0.36</v>
      </c>
    </row>
    <row r="1583" spans="1:37">
      <c r="A1583" s="347">
        <f>IFERROR(VLOOKUP($G1583,基本資料!$A:$J,3,0),"無")</f>
        <v>29.67</v>
      </c>
      <c r="B1583" s="79">
        <f>IFERROR(VLOOKUP($G1583,基本資料!$A:$J,4,0),"無")</f>
        <v>-20</v>
      </c>
      <c r="C1583" s="79">
        <f>IFERROR(VLOOKUP($G1583,基本資料!$A:$J,5,0),"無")</f>
        <v>-95</v>
      </c>
      <c r="D1583" s="79">
        <f>IFERROR(VLOOKUP($G1583,基本資料!$A:$J,6,0),"無")</f>
        <v>-51</v>
      </c>
      <c r="E1583" s="79">
        <f>IFERROR(VLOOKUP($G1583,基本資料!$A:$J,7,0),"無")</f>
        <v>-42</v>
      </c>
      <c r="F1583" s="6">
        <f>IFERROR(VLOOKUP($G1583,基本資料!$A:$J,8,0),"無")</f>
        <v>-48.98</v>
      </c>
      <c r="G1583" s="79">
        <v>5701</v>
      </c>
      <c r="H1583" s="8" t="s">
        <v>303</v>
      </c>
      <c r="I1583" s="16" t="s">
        <v>4629</v>
      </c>
      <c r="J1583" s="8" t="str">
        <f>IFERROR(VLOOKUP($G1583,今日總結!$A:$AJ,35,0),"")</f>
        <v/>
      </c>
      <c r="K1583" s="5" t="str">
        <f>IFERROR(VLOOKUP($G1583,今日總結!$A:$AJ,36,0),"")</f>
        <v/>
      </c>
      <c r="L1583" s="156" t="str">
        <f>IFERROR(VLOOKUP($G1583,今日總結!$A:$AJ,33,0),"")</f>
        <v/>
      </c>
      <c r="M1583" s="340" t="str">
        <f>IFERROR(VLOOKUP($G1583,今日總結!$A:$AJ,34,0),"")</f>
        <v/>
      </c>
      <c r="N1583" s="240" t="str">
        <f t="shared" si="297"/>
        <v/>
      </c>
      <c r="P1583" s="365" t="str">
        <f>IFERROR(VLOOKUP($G1583,融外自投!$A:$J,7,0),"無")</f>
        <v>無</v>
      </c>
      <c r="Q1583" s="79" t="str">
        <f>IFERROR(VLOOKUP($G1583,融外自投!$A:$J,9,0),"無")</f>
        <v>無</v>
      </c>
      <c r="R1583" s="346" t="str">
        <f>IFERROR(VLOOKUP($G1583,融外自投!$A:$J,8,0),"無")</f>
        <v>無</v>
      </c>
      <c r="S1583" s="81" t="str">
        <f>IFERROR(VLOOKUP($G1583,融外自投!$A:$J,10,0),"無")</f>
        <v>無</v>
      </c>
      <c r="T1583" s="327" t="str">
        <f>IFERROR(VLOOKUP($G1583,'321買'!$A:$E,5,0),"'沒有資料'")</f>
        <v>'沒有資料'</v>
      </c>
      <c r="U1583" s="186">
        <f>IFERROR(VLOOKUP($G1583,基本資料!$A:$J,9,0),"無")</f>
        <v>0</v>
      </c>
      <c r="V1583" s="310">
        <f t="shared" si="292"/>
        <v>0</v>
      </c>
      <c r="W1583" s="94">
        <f>IFERROR(VLOOKUP($G1583,基本資料!$A:$J,10,0),"無")</f>
        <v>-0.65</v>
      </c>
      <c r="X1583" s="36">
        <f>RTD("money.excel",,"5701","Price")</f>
        <v>2.92</v>
      </c>
      <c r="Y1583" s="66"/>
      <c r="Z1583" s="15">
        <f t="shared" si="293"/>
        <v>2.92</v>
      </c>
      <c r="AA1583" s="3" t="e">
        <f t="shared" si="294"/>
        <v>#DIV/0!</v>
      </c>
      <c r="AB1583" s="344">
        <f>IFERROR(VLOOKUP($G1583,基本資料!$A:$M,11,0),"無")</f>
        <v>-38.17</v>
      </c>
      <c r="AC1583" s="397">
        <f>IFERROR(VLOOKUP($G1583,基本資料!$A:$M,12,0),"無")</f>
        <v>21.85</v>
      </c>
      <c r="AD1583" s="16" t="s">
        <v>4629</v>
      </c>
      <c r="AG1583" s="33">
        <f t="shared" si="295"/>
        <v>0</v>
      </c>
      <c r="AH1583" s="43" t="s">
        <v>4630</v>
      </c>
      <c r="AI1583" s="63">
        <f t="shared" si="296"/>
        <v>7.7519379844961245E-5</v>
      </c>
      <c r="AJ1583" s="284">
        <f>RTD("money.excel",,$G1583,"PredictVolume")</f>
        <v>23</v>
      </c>
      <c r="AK1583" s="399">
        <f>IFERROR(VLOOKUP($G1583,基本資料!$A:$M,13,0),"無")</f>
        <v>4.1500000000000004</v>
      </c>
    </row>
    <row r="1584" spans="1:37">
      <c r="A1584" s="347">
        <f>IFERROR(VLOOKUP($G1584,基本資料!$A:$J,3,0),"無")</f>
        <v>7.02</v>
      </c>
      <c r="B1584" s="79">
        <f>IFERROR(VLOOKUP($G1584,基本資料!$A:$J,4,0),"無")</f>
        <v>25</v>
      </c>
      <c r="C1584" s="79">
        <f>IFERROR(VLOOKUP($G1584,基本資料!$A:$J,5,0),"無")</f>
        <v>-29</v>
      </c>
      <c r="D1584" s="79">
        <f>IFERROR(VLOOKUP($G1584,基本資料!$A:$J,6,0),"無")</f>
        <v>-31</v>
      </c>
      <c r="E1584" s="79">
        <f>IFERROR(VLOOKUP($G1584,基本資料!$A:$J,7,0),"無")</f>
        <v>-40</v>
      </c>
      <c r="F1584" s="6">
        <f>IFERROR(VLOOKUP($G1584,基本資料!$A:$J,8,0),"無")</f>
        <v>-64.84</v>
      </c>
      <c r="G1584" s="79">
        <v>5703</v>
      </c>
      <c r="H1584" s="8" t="s">
        <v>303</v>
      </c>
      <c r="I1584" s="16" t="s">
        <v>4631</v>
      </c>
      <c r="J1584" s="8" t="str">
        <f>IFERROR(VLOOKUP($G1584,今日總結!$A:$AJ,35,0),"")</f>
        <v/>
      </c>
      <c r="K1584" s="5" t="str">
        <f>IFERROR(VLOOKUP($G1584,今日總結!$A:$AJ,36,0),"")</f>
        <v/>
      </c>
      <c r="L1584" s="156" t="str">
        <f>IFERROR(VLOOKUP($G1584,今日總結!$A:$AJ,33,0),"")</f>
        <v/>
      </c>
      <c r="M1584" s="340" t="str">
        <f>IFERROR(VLOOKUP($G1584,今日總結!$A:$AJ,34,0),"")</f>
        <v/>
      </c>
      <c r="N1584" s="240" t="str">
        <f t="shared" si="297"/>
        <v/>
      </c>
      <c r="P1584" s="365" t="str">
        <f>IFERROR(VLOOKUP($G1584,融外自投!$A:$J,7,0),"無")</f>
        <v>無</v>
      </c>
      <c r="Q1584" s="79" t="str">
        <f>IFERROR(VLOOKUP($G1584,融外自投!$A:$J,9,0),"無")</f>
        <v>無</v>
      </c>
      <c r="R1584" s="346" t="str">
        <f>IFERROR(VLOOKUP($G1584,融外自投!$A:$J,8,0),"無")</f>
        <v>無</v>
      </c>
      <c r="S1584" s="81" t="str">
        <f>IFERROR(VLOOKUP($G1584,融外自投!$A:$J,10,0),"無")</f>
        <v>無</v>
      </c>
      <c r="T1584" s="327" t="str">
        <f>IFERROR(VLOOKUP($G1584,'321買'!$A:$E,5,0),"'沒有資料'")</f>
        <v>'沒有資料'</v>
      </c>
      <c r="U1584" s="186">
        <f>IFERROR(VLOOKUP($G1584,基本資料!$A:$J,9,0),"無")</f>
        <v>0</v>
      </c>
      <c r="V1584" s="310" t="e">
        <f t="shared" si="292"/>
        <v>#VALUE!</v>
      </c>
      <c r="W1584" s="94">
        <f>IFERROR(VLOOKUP($G1584,基本資料!$A:$J,10,0),"無")</f>
        <v>-1.77</v>
      </c>
      <c r="X1584" s="36" t="str">
        <f>RTD("money.excel",,"5703","Price")</f>
        <v>無資料</v>
      </c>
      <c r="Y1584" s="66"/>
      <c r="Z1584" s="15" t="e">
        <f t="shared" si="293"/>
        <v>#VALUE!</v>
      </c>
      <c r="AA1584" s="3" t="e">
        <f t="shared" si="294"/>
        <v>#VALUE!</v>
      </c>
      <c r="AB1584" s="344">
        <f>IFERROR(VLOOKUP($G1584,基本資料!$A:$M,11,0),"無")</f>
        <v>-28.51</v>
      </c>
      <c r="AC1584" s="397">
        <f>IFERROR(VLOOKUP($G1584,基本資料!$A:$M,12,0),"無")</f>
        <v>54.49</v>
      </c>
      <c r="AD1584" s="16" t="s">
        <v>4631</v>
      </c>
      <c r="AG1584" s="33">
        <f t="shared" si="295"/>
        <v>0</v>
      </c>
      <c r="AH1584" s="43" t="s">
        <v>2681</v>
      </c>
      <c r="AI1584" s="63">
        <f t="shared" si="296"/>
        <v>0</v>
      </c>
      <c r="AJ1584" s="284">
        <f>RTD("money.excel",,$G1584,"PredictVolume")</f>
        <v>0</v>
      </c>
      <c r="AK1584" s="399">
        <f>IFERROR(VLOOKUP($G1584,基本資料!$A:$M,13,0),"無")</f>
        <v>0.67</v>
      </c>
    </row>
    <row r="1585" spans="1:37">
      <c r="A1585" s="347">
        <f>IFERROR(VLOOKUP($G1585,基本資料!$A:$J,3,0),"無")</f>
        <v>3.88</v>
      </c>
      <c r="B1585" s="79">
        <f>IFERROR(VLOOKUP($G1585,基本資料!$A:$J,4,0),"無")</f>
        <v>-37</v>
      </c>
      <c r="C1585" s="79">
        <f>IFERROR(VLOOKUP($G1585,基本資料!$A:$J,5,0),"無")</f>
        <v>-42</v>
      </c>
      <c r="D1585" s="79">
        <f>IFERROR(VLOOKUP($G1585,基本資料!$A:$J,6,0),"無")</f>
        <v>-14</v>
      </c>
      <c r="E1585" s="79">
        <f>IFERROR(VLOOKUP($G1585,基本資料!$A:$J,7,0),"無")</f>
        <v>-6</v>
      </c>
      <c r="F1585" s="6">
        <f>IFERROR(VLOOKUP($G1585,基本資料!$A:$J,8,0),"無")</f>
        <v>14.13</v>
      </c>
      <c r="G1585" s="79">
        <v>5704</v>
      </c>
      <c r="H1585" s="8" t="s">
        <v>303</v>
      </c>
      <c r="I1585" s="16" t="s">
        <v>4632</v>
      </c>
      <c r="J1585" s="8" t="str">
        <f>IFERROR(VLOOKUP($G1585,今日總結!$A:$AJ,35,0),"")</f>
        <v/>
      </c>
      <c r="K1585" s="5" t="str">
        <f>IFERROR(VLOOKUP($G1585,今日總結!$A:$AJ,36,0),"")</f>
        <v/>
      </c>
      <c r="L1585" s="156" t="str">
        <f>IFERROR(VLOOKUP($G1585,今日總結!$A:$AJ,33,0),"")</f>
        <v/>
      </c>
      <c r="M1585" s="340" t="str">
        <f>IFERROR(VLOOKUP($G1585,今日總結!$A:$AJ,34,0),"")</f>
        <v/>
      </c>
      <c r="N1585" s="240" t="str">
        <f t="shared" si="297"/>
        <v/>
      </c>
      <c r="P1585" s="365">
        <f>IFERROR(VLOOKUP($G1585,融外自投!$A:$J,7,0),"無")</f>
        <v>1132</v>
      </c>
      <c r="Q1585" s="79" t="str">
        <f>IFERROR(VLOOKUP($G1585,融外自投!$A:$J,9,0),"無")</f>
        <v>無</v>
      </c>
      <c r="R1585" s="346">
        <f>IFERROR(VLOOKUP($G1585,融外自投!$A:$J,8,0),"無")</f>
        <v>1462</v>
      </c>
      <c r="S1585" s="81" t="str">
        <f>IFERROR(VLOOKUP($G1585,融外自投!$A:$J,10,0),"無")</f>
        <v>無</v>
      </c>
      <c r="T1585" s="327" t="str">
        <f>IFERROR(VLOOKUP($G1585,'321買'!$A:$E,5,0),"'沒有資料'")</f>
        <v>'沒有資料'</v>
      </c>
      <c r="U1585" s="186">
        <f>IFERROR(VLOOKUP($G1585,基本資料!$A:$J,9,0),"無")</f>
        <v>1.38</v>
      </c>
      <c r="V1585" s="310">
        <f t="shared" si="292"/>
        <v>4.6779661016949151E-2</v>
      </c>
      <c r="W1585" s="94">
        <f>IFERROR(VLOOKUP($G1585,基本資料!$A:$J,10,0),"無")</f>
        <v>1.51</v>
      </c>
      <c r="X1585" s="36">
        <f>RTD("money.excel",,"5704","Price")</f>
        <v>29.5</v>
      </c>
      <c r="Y1585" s="66"/>
      <c r="Z1585" s="15">
        <f t="shared" si="293"/>
        <v>29.5</v>
      </c>
      <c r="AA1585" s="3" t="e">
        <f t="shared" si="294"/>
        <v>#DIV/0!</v>
      </c>
      <c r="AB1585" s="344">
        <f>IFERROR(VLOOKUP($G1585,基本資料!$A:$M,11,0),"無")</f>
        <v>-17.13</v>
      </c>
      <c r="AC1585" s="397">
        <f>IFERROR(VLOOKUP($G1585,基本資料!$A:$M,12,0),"無")</f>
        <v>49.84</v>
      </c>
      <c r="AD1585" s="16" t="s">
        <v>4632</v>
      </c>
      <c r="AG1585" s="33">
        <f t="shared" si="295"/>
        <v>0</v>
      </c>
      <c r="AH1585" s="43" t="s">
        <v>2677</v>
      </c>
      <c r="AI1585" s="63">
        <f t="shared" si="296"/>
        <v>2.5773195876288661E-5</v>
      </c>
      <c r="AJ1585" s="284">
        <f>RTD("money.excel",,$G1585,"PredictVolume")</f>
        <v>1</v>
      </c>
      <c r="AK1585" s="399">
        <f>IFERROR(VLOOKUP($G1585,基本資料!$A:$M,13,0),"無")</f>
        <v>1.43</v>
      </c>
    </row>
    <row r="1586" spans="1:37">
      <c r="A1586" s="347">
        <f>IFERROR(VLOOKUP($G1586,基本資料!$A:$J,3,0),"無")</f>
        <v>6.71</v>
      </c>
      <c r="B1586" s="79">
        <f>IFERROR(VLOOKUP($G1586,基本資料!$A:$J,4,0),"無")</f>
        <v>518</v>
      </c>
      <c r="C1586" s="79">
        <f>IFERROR(VLOOKUP($G1586,基本資料!$A:$J,5,0),"無")</f>
        <v>-106</v>
      </c>
      <c r="D1586" s="79">
        <f>IFERROR(VLOOKUP($G1586,基本資料!$A:$J,6,0),"無")</f>
        <v>-30</v>
      </c>
      <c r="E1586" s="79">
        <f>IFERROR(VLOOKUP($G1586,基本資料!$A:$J,7,0),"無")</f>
        <v>2</v>
      </c>
      <c r="F1586" s="6">
        <f>IFERROR(VLOOKUP($G1586,基本資料!$A:$J,8,0),"無")</f>
        <v>-44.05</v>
      </c>
      <c r="G1586" s="79">
        <v>5706</v>
      </c>
      <c r="H1586" s="8" t="s">
        <v>303</v>
      </c>
      <c r="I1586" s="22" t="s">
        <v>4633</v>
      </c>
      <c r="J1586" s="8">
        <f>IFERROR(VLOOKUP($G1586,今日總結!$A:$AJ,35,0),"")</f>
        <v>0</v>
      </c>
      <c r="K1586" s="5" t="str">
        <f>IFERROR(VLOOKUP($G1586,今日總結!$A:$AJ,36,0),"")</f>
        <v>借</v>
      </c>
      <c r="L1586" s="156">
        <f>IFERROR(VLOOKUP($G1586,今日總結!$A:$AJ,33,0),"")</f>
        <v>0</v>
      </c>
      <c r="M1586" s="340">
        <f>IFERROR(VLOOKUP($G1586,今日總結!$A:$AJ,34,0),"")</f>
        <v>2</v>
      </c>
      <c r="N1586" s="240">
        <f t="shared" si="297"/>
        <v>-2</v>
      </c>
      <c r="P1586" s="365">
        <f>IFERROR(VLOOKUP($G1586,融外自投!$A:$J,7,0),"無")</f>
        <v>45</v>
      </c>
      <c r="Q1586" s="79">
        <f>IFERROR(VLOOKUP($G1586,融外自投!$A:$J,9,0),"無")</f>
        <v>936</v>
      </c>
      <c r="R1586" s="346">
        <f>IFERROR(VLOOKUP($G1586,融外自投!$A:$J,8,0),"無")</f>
        <v>1166</v>
      </c>
      <c r="S1586" s="81" t="str">
        <f>IFERROR(VLOOKUP($G1586,融外自投!$A:$J,10,0),"無")</f>
        <v>無</v>
      </c>
      <c r="T1586" s="327">
        <f>IFERROR(VLOOKUP($G1586,'321買'!$A:$E,5,0),"'沒有資料'")</f>
        <v>480</v>
      </c>
      <c r="U1586" s="186">
        <f>IFERROR(VLOOKUP($G1586,基本資料!$A:$J,9,0),"無")</f>
        <v>2</v>
      </c>
      <c r="V1586" s="310">
        <f t="shared" si="292"/>
        <v>2.8571428571428571E-2</v>
      </c>
      <c r="W1586" s="94">
        <f>IFERROR(VLOOKUP($G1586,基本資料!$A:$J,10,0),"無")</f>
        <v>1.17</v>
      </c>
      <c r="X1586" s="36">
        <f>RTD("money.excel",,"5706","Price")</f>
        <v>70</v>
      </c>
      <c r="Y1586" s="66"/>
      <c r="Z1586" s="15">
        <f t="shared" si="293"/>
        <v>70</v>
      </c>
      <c r="AA1586" s="3" t="e">
        <f t="shared" si="294"/>
        <v>#DIV/0!</v>
      </c>
      <c r="AB1586" s="344">
        <f>IFERROR(VLOOKUP($G1586,基本資料!$A:$M,11,0),"無")</f>
        <v>-12.96</v>
      </c>
      <c r="AC1586" s="397">
        <f>IFERROR(VLOOKUP($G1586,基本資料!$A:$M,12,0),"無")</f>
        <v>57.55</v>
      </c>
      <c r="AD1586" s="22" t="s">
        <v>4633</v>
      </c>
      <c r="AG1586" s="33">
        <f t="shared" si="295"/>
        <v>0</v>
      </c>
      <c r="AH1586" s="43" t="s">
        <v>1543</v>
      </c>
      <c r="AI1586" s="63">
        <f t="shared" si="296"/>
        <v>4.3323397913561851E-2</v>
      </c>
      <c r="AJ1586" s="284">
        <f>RTD("money.excel",,$G1586,"PredictVolume")</f>
        <v>2907</v>
      </c>
      <c r="AK1586" s="399">
        <f>IFERROR(VLOOKUP($G1586,基本資料!$A:$M,13,0),"無")</f>
        <v>65.58</v>
      </c>
    </row>
    <row r="1587" spans="1:37">
      <c r="A1587" s="347">
        <f>IFERROR(VLOOKUP($G1587,基本資料!$A:$J,3,0),"無")</f>
        <v>10.97</v>
      </c>
      <c r="B1587" s="79">
        <f>IFERROR(VLOOKUP($G1587,基本資料!$A:$J,4,0),"無")</f>
        <v>57</v>
      </c>
      <c r="C1587" s="79">
        <f>IFERROR(VLOOKUP($G1587,基本資料!$A:$J,5,0),"無")</f>
        <v>22</v>
      </c>
      <c r="D1587" s="79">
        <f>IFERROR(VLOOKUP($G1587,基本資料!$A:$J,6,0),"無")</f>
        <v>-7</v>
      </c>
      <c r="E1587" s="79">
        <f>IFERROR(VLOOKUP($G1587,基本資料!$A:$J,7,0),"無")</f>
        <v>27</v>
      </c>
      <c r="F1587" s="6">
        <f>IFERROR(VLOOKUP($G1587,基本資料!$A:$J,8,0),"無")</f>
        <v>-63.82</v>
      </c>
      <c r="G1587" s="79">
        <v>8077</v>
      </c>
      <c r="H1587" s="8" t="s">
        <v>303</v>
      </c>
      <c r="I1587" s="16" t="s">
        <v>4634</v>
      </c>
      <c r="J1587" s="8" t="str">
        <f>IFERROR(VLOOKUP($G1587,今日總結!$A:$AJ,35,0),"")</f>
        <v/>
      </c>
      <c r="K1587" s="5" t="str">
        <f>IFERROR(VLOOKUP($G1587,今日總結!$A:$AJ,36,0),"")</f>
        <v/>
      </c>
      <c r="L1587" s="156" t="str">
        <f>IFERROR(VLOOKUP($G1587,今日總結!$A:$AJ,33,0),"")</f>
        <v/>
      </c>
      <c r="M1587" s="340" t="str">
        <f>IFERROR(VLOOKUP($G1587,今日總結!$A:$AJ,34,0),"")</f>
        <v/>
      </c>
      <c r="N1587" s="240" t="str">
        <f t="shared" si="297"/>
        <v/>
      </c>
      <c r="P1587" s="365" t="str">
        <f>IFERROR(VLOOKUP($G1587,融外自投!$A:$J,7,0),"無")</f>
        <v>無</v>
      </c>
      <c r="Q1587" s="79" t="str">
        <f>IFERROR(VLOOKUP($G1587,融外自投!$A:$J,9,0),"無")</f>
        <v>無</v>
      </c>
      <c r="R1587" s="346" t="str">
        <f>IFERROR(VLOOKUP($G1587,融外自投!$A:$J,8,0),"無")</f>
        <v>無</v>
      </c>
      <c r="S1587" s="81" t="str">
        <f>IFERROR(VLOOKUP($G1587,融外自投!$A:$J,10,0),"無")</f>
        <v>無</v>
      </c>
      <c r="T1587" s="327" t="str">
        <f>IFERROR(VLOOKUP($G1587,'321買'!$A:$E,5,0),"'沒有資料'")</f>
        <v>'沒有資料'</v>
      </c>
      <c r="U1587" s="186">
        <f>IFERROR(VLOOKUP($G1587,基本資料!$A:$J,9,0),"無")</f>
        <v>0</v>
      </c>
      <c r="V1587" s="310">
        <f t="shared" si="292"/>
        <v>0</v>
      </c>
      <c r="W1587" s="94">
        <f>IFERROR(VLOOKUP($G1587,基本資料!$A:$J,10,0),"無")</f>
        <v>-3.3</v>
      </c>
      <c r="X1587" s="36">
        <f>RTD("money.excel",,"8077","Price")</f>
        <v>9.4499999999999993</v>
      </c>
      <c r="Y1587" s="66"/>
      <c r="Z1587" s="15">
        <f t="shared" si="293"/>
        <v>9.4499999999999993</v>
      </c>
      <c r="AA1587" s="3" t="e">
        <f t="shared" si="294"/>
        <v>#DIV/0!</v>
      </c>
      <c r="AB1587" s="344">
        <f>IFERROR(VLOOKUP($G1587,基本資料!$A:$M,11,0),"無")</f>
        <v>-30</v>
      </c>
      <c r="AC1587" s="397">
        <f>IFERROR(VLOOKUP($G1587,基本資料!$A:$M,12,0),"無")</f>
        <v>26.31</v>
      </c>
      <c r="AD1587" s="16" t="s">
        <v>4634</v>
      </c>
      <c r="AG1587" s="33">
        <f t="shared" si="295"/>
        <v>0</v>
      </c>
      <c r="AH1587" s="43" t="s">
        <v>2681</v>
      </c>
      <c r="AI1587" s="63">
        <f t="shared" si="296"/>
        <v>5.4694621695533272E-5</v>
      </c>
      <c r="AJ1587" s="284">
        <f>RTD("money.excel",,$G1587,"PredictVolume")</f>
        <v>6</v>
      </c>
      <c r="AK1587" s="399">
        <f>IFERROR(VLOOKUP($G1587,基本資料!$A:$M,13,0),"無")</f>
        <v>0.4</v>
      </c>
    </row>
    <row r="1588" spans="1:37">
      <c r="A1588" s="347">
        <f>IFERROR(VLOOKUP($G1588,基本資料!$A:$J,3,0),"無")</f>
        <v>7.74</v>
      </c>
      <c r="B1588" s="79">
        <f>IFERROR(VLOOKUP($G1588,基本資料!$A:$J,4,0),"無")</f>
        <v>-135</v>
      </c>
      <c r="C1588" s="79">
        <f>IFERROR(VLOOKUP($G1588,基本資料!$A:$J,5,0),"無")</f>
        <v>-135</v>
      </c>
      <c r="D1588" s="79">
        <f>IFERROR(VLOOKUP($G1588,基本資料!$A:$J,6,0),"無")</f>
        <v>-11</v>
      </c>
      <c r="E1588" s="79">
        <f>IFERROR(VLOOKUP($G1588,基本資料!$A:$J,7,0),"無")</f>
        <v>-9</v>
      </c>
      <c r="F1588" s="6">
        <f>IFERROR(VLOOKUP($G1588,基本資料!$A:$J,8,0),"無")</f>
        <v>-7.41</v>
      </c>
      <c r="G1588" s="79">
        <v>8462</v>
      </c>
      <c r="H1588" s="8" t="s">
        <v>303</v>
      </c>
      <c r="I1588" s="22" t="s">
        <v>4635</v>
      </c>
      <c r="J1588" s="8" t="str">
        <f>IFERROR(VLOOKUP($G1588,今日總結!$A:$AJ,35,0),"")</f>
        <v/>
      </c>
      <c r="K1588" s="5" t="str">
        <f>IFERROR(VLOOKUP($G1588,今日總結!$A:$AJ,36,0),"")</f>
        <v/>
      </c>
      <c r="L1588" s="156" t="str">
        <f>IFERROR(VLOOKUP($G1588,今日總結!$A:$AJ,33,0),"")</f>
        <v/>
      </c>
      <c r="M1588" s="340" t="str">
        <f>IFERROR(VLOOKUP($G1588,今日總結!$A:$AJ,34,0),"")</f>
        <v/>
      </c>
      <c r="N1588" s="240" t="str">
        <f t="shared" si="297"/>
        <v/>
      </c>
      <c r="P1588" s="365">
        <f>IFERROR(VLOOKUP($G1588,融外自投!$A:$J,7,0),"無")</f>
        <v>1007</v>
      </c>
      <c r="Q1588" s="79" t="str">
        <f>IFERROR(VLOOKUP($G1588,融外自投!$A:$J,9,0),"無")</f>
        <v>無</v>
      </c>
      <c r="R1588" s="346">
        <f>IFERROR(VLOOKUP($G1588,融外自投!$A:$J,8,0),"無")</f>
        <v>1150</v>
      </c>
      <c r="S1588" s="81" t="str">
        <f>IFERROR(VLOOKUP($G1588,融外自投!$A:$J,10,0),"無")</f>
        <v>無</v>
      </c>
      <c r="T1588" s="327">
        <f>IFERROR(VLOOKUP($G1588,'321買'!$A:$E,5,0),"'沒有資料'")</f>
        <v>915</v>
      </c>
      <c r="U1588" s="186">
        <f>IFERROR(VLOOKUP($G1588,基本資料!$A:$J,9,0),"無")</f>
        <v>1.29</v>
      </c>
      <c r="V1588" s="310">
        <f t="shared" si="292"/>
        <v>1.1621621621621623E-2</v>
      </c>
      <c r="W1588" s="94">
        <f>IFERROR(VLOOKUP($G1588,基本資料!$A:$J,10,0),"無")</f>
        <v>-1.91</v>
      </c>
      <c r="X1588" s="36">
        <f>RTD("money.excel",,"8462","Price")</f>
        <v>111</v>
      </c>
      <c r="Y1588" s="66"/>
      <c r="Z1588" s="15">
        <f t="shared" si="293"/>
        <v>111</v>
      </c>
      <c r="AA1588" s="3" t="e">
        <f t="shared" si="294"/>
        <v>#DIV/0!</v>
      </c>
      <c r="AB1588" s="344">
        <f>IFERROR(VLOOKUP($G1588,基本資料!$A:$M,11,0),"無")</f>
        <v>-32.840000000000003</v>
      </c>
      <c r="AC1588" s="397">
        <f>IFERROR(VLOOKUP($G1588,基本資料!$A:$M,12,0),"無")</f>
        <v>13.77</v>
      </c>
      <c r="AD1588" s="22" t="s">
        <v>4635</v>
      </c>
      <c r="AG1588" s="33">
        <f t="shared" si="295"/>
        <v>0</v>
      </c>
      <c r="AH1588" s="43" t="s">
        <v>4636</v>
      </c>
      <c r="AI1588" s="63">
        <f t="shared" si="296"/>
        <v>5.1679586563307489E-4</v>
      </c>
      <c r="AJ1588" s="284">
        <f>RTD("money.excel",,$G1588,"PredictVolume")</f>
        <v>40</v>
      </c>
      <c r="AK1588" s="399">
        <f>IFERROR(VLOOKUP($G1588,基本資料!$A:$M,13,0),"無")</f>
        <v>1.53</v>
      </c>
    </row>
    <row r="1589" spans="1:37">
      <c r="A1589" s="347">
        <f>IFERROR(VLOOKUP($G1589,基本資料!$A:$J,3,0),"無")</f>
        <v>6.74</v>
      </c>
      <c r="B1589" s="79">
        <f>IFERROR(VLOOKUP($G1589,基本資料!$A:$J,4,0),"無")</f>
        <v>-116</v>
      </c>
      <c r="C1589" s="79">
        <f>IFERROR(VLOOKUP($G1589,基本資料!$A:$J,5,0),"無")</f>
        <v>-50</v>
      </c>
      <c r="D1589" s="79">
        <f>IFERROR(VLOOKUP($G1589,基本資料!$A:$J,6,0),"無")</f>
        <v>-45</v>
      </c>
      <c r="E1589" s="79">
        <f>IFERROR(VLOOKUP($G1589,基本資料!$A:$J,7,0),"無")</f>
        <v>-22</v>
      </c>
      <c r="F1589" s="6">
        <f>IFERROR(VLOOKUP($G1589,基本資料!$A:$J,8,0),"無")</f>
        <v>-21.24</v>
      </c>
      <c r="G1589" s="79">
        <v>8940</v>
      </c>
      <c r="H1589" s="8" t="s">
        <v>303</v>
      </c>
      <c r="I1589" s="22" t="s">
        <v>4637</v>
      </c>
      <c r="J1589" s="8" t="str">
        <f>IFERROR(VLOOKUP($G1589,今日總結!$A:$AJ,35,0),"")</f>
        <v/>
      </c>
      <c r="K1589" s="5" t="str">
        <f>IFERROR(VLOOKUP($G1589,今日總結!$A:$AJ,36,0),"")</f>
        <v/>
      </c>
      <c r="L1589" s="156" t="str">
        <f>IFERROR(VLOOKUP($G1589,今日總結!$A:$AJ,33,0),"")</f>
        <v/>
      </c>
      <c r="M1589" s="340" t="str">
        <f>IFERROR(VLOOKUP($G1589,今日總結!$A:$AJ,34,0),"")</f>
        <v/>
      </c>
      <c r="N1589" s="240" t="str">
        <f t="shared" si="297"/>
        <v/>
      </c>
      <c r="P1589" s="365" t="str">
        <f>IFERROR(VLOOKUP($G1589,融外自投!$A:$J,7,0),"無")</f>
        <v>無</v>
      </c>
      <c r="Q1589" s="79" t="str">
        <f>IFERROR(VLOOKUP($G1589,融外自投!$A:$J,9,0),"無")</f>
        <v>無</v>
      </c>
      <c r="R1589" s="346" t="str">
        <f>IFERROR(VLOOKUP($G1589,融外自投!$A:$J,8,0),"無")</f>
        <v>無</v>
      </c>
      <c r="S1589" s="81" t="str">
        <f>IFERROR(VLOOKUP($G1589,融外自投!$A:$J,10,0),"無")</f>
        <v>無</v>
      </c>
      <c r="T1589" s="327" t="str">
        <f>IFERROR(VLOOKUP($G1589,'321買'!$A:$E,5,0),"'沒有資料'")</f>
        <v>'沒有資料'</v>
      </c>
      <c r="U1589" s="186">
        <f>IFERROR(VLOOKUP($G1589,基本資料!$A:$J,9,0),"無")</f>
        <v>0</v>
      </c>
      <c r="V1589" s="310">
        <f t="shared" si="292"/>
        <v>0</v>
      </c>
      <c r="W1589" s="94">
        <f>IFERROR(VLOOKUP($G1589,基本資料!$A:$J,10,0),"無")</f>
        <v>-1.74</v>
      </c>
      <c r="X1589" s="36">
        <f>RTD("money.excel",,"8940","Price")</f>
        <v>13</v>
      </c>
      <c r="Y1589" s="66"/>
      <c r="Z1589" s="15">
        <f t="shared" si="293"/>
        <v>13</v>
      </c>
      <c r="AA1589" s="3" t="e">
        <f t="shared" si="294"/>
        <v>#DIV/0!</v>
      </c>
      <c r="AB1589" s="344">
        <f>IFERROR(VLOOKUP($G1589,基本資料!$A:$M,11,0),"無")</f>
        <v>-26.97</v>
      </c>
      <c r="AC1589" s="397">
        <f>IFERROR(VLOOKUP($G1589,基本資料!$A:$M,12,0),"無")</f>
        <v>27.24</v>
      </c>
      <c r="AD1589" s="22" t="s">
        <v>4637</v>
      </c>
      <c r="AG1589" s="33">
        <f t="shared" si="295"/>
        <v>0</v>
      </c>
      <c r="AH1589" s="43" t="s">
        <v>4638</v>
      </c>
      <c r="AI1589" s="63">
        <f t="shared" si="296"/>
        <v>2.6706231454005935E-4</v>
      </c>
      <c r="AJ1589" s="284">
        <f>RTD("money.excel",,$G1589,"PredictVolume")</f>
        <v>18</v>
      </c>
      <c r="AK1589" s="399">
        <f>IFERROR(VLOOKUP($G1589,基本資料!$A:$M,13,0),"無")</f>
        <v>3.71</v>
      </c>
    </row>
    <row r="1590" spans="1:37">
      <c r="A1590" s="347">
        <f>IFERROR(VLOOKUP($G1590,基本資料!$A:$J,3,0),"無")</f>
        <v>14.73</v>
      </c>
      <c r="B1590" s="79">
        <f>IFERROR(VLOOKUP($G1590,基本資料!$A:$J,4,0),"無")</f>
        <v>-90</v>
      </c>
      <c r="C1590" s="79">
        <f>IFERROR(VLOOKUP($G1590,基本資料!$A:$J,5,0),"無")</f>
        <v>-103</v>
      </c>
      <c r="D1590" s="79">
        <f>IFERROR(VLOOKUP($G1590,基本資料!$A:$J,6,0),"無")</f>
        <v>-27</v>
      </c>
      <c r="E1590" s="79">
        <f>IFERROR(VLOOKUP($G1590,基本資料!$A:$J,7,0),"無")</f>
        <v>-38</v>
      </c>
      <c r="F1590" s="6">
        <f>IFERROR(VLOOKUP($G1590,基本資料!$A:$J,8,0),"無")</f>
        <v>-1.1100000000000001</v>
      </c>
      <c r="G1590" s="79">
        <v>9943</v>
      </c>
      <c r="H1590" s="195" t="s">
        <v>303</v>
      </c>
      <c r="I1590" s="22" t="s">
        <v>4639</v>
      </c>
      <c r="J1590" s="8">
        <f>IFERROR(VLOOKUP($G1590,今日總結!$A:$AJ,35,0),"")</f>
        <v>0</v>
      </c>
      <c r="K1590" s="5">
        <f>IFERROR(VLOOKUP($G1590,今日總結!$A:$AJ,36,0),"")</f>
        <v>0</v>
      </c>
      <c r="L1590" s="156">
        <f>IFERROR(VLOOKUP($G1590,今日總結!$A:$AJ,33,0),"")</f>
        <v>0</v>
      </c>
      <c r="M1590" s="340">
        <f>IFERROR(VLOOKUP($G1590,今日總結!$A:$AJ,34,0),"")</f>
        <v>1</v>
      </c>
      <c r="N1590" s="240">
        <f t="shared" si="297"/>
        <v>-1</v>
      </c>
      <c r="P1590" s="365">
        <f>IFERROR(VLOOKUP($G1590,融外自投!$A:$J,7,0),"無")</f>
        <v>1342</v>
      </c>
      <c r="Q1590" s="79">
        <f>IFERROR(VLOOKUP($G1590,融外自投!$A:$J,9,0),"無")</f>
        <v>1110</v>
      </c>
      <c r="R1590" s="346">
        <f>IFERROR(VLOOKUP($G1590,融外自投!$A:$J,8,0),"無")</f>
        <v>1124</v>
      </c>
      <c r="S1590" s="81" t="str">
        <f>IFERROR(VLOOKUP($G1590,融外自投!$A:$J,10,0),"無")</f>
        <v>無</v>
      </c>
      <c r="T1590" s="327">
        <f>IFERROR(VLOOKUP($G1590,'321買'!$A:$E,5,0),"'沒有資料'")</f>
        <v>1066</v>
      </c>
      <c r="U1590" s="186">
        <f>IFERROR(VLOOKUP($G1590,基本資料!$A:$J,9,0),"無")</f>
        <v>0.5</v>
      </c>
      <c r="V1590" s="310">
        <f t="shared" si="292"/>
        <v>9.2421441774491672E-3</v>
      </c>
      <c r="W1590" s="94">
        <f>IFERROR(VLOOKUP($G1590,基本資料!$A:$J,10,0),"無")</f>
        <v>0.43</v>
      </c>
      <c r="X1590" s="36">
        <f>RTD("money.excel",,"9943","Price")</f>
        <v>54.1</v>
      </c>
      <c r="Y1590" s="66"/>
      <c r="Z1590" s="15">
        <f t="shared" si="293"/>
        <v>54.1</v>
      </c>
      <c r="AA1590" s="3" t="e">
        <f t="shared" si="294"/>
        <v>#DIV/0!</v>
      </c>
      <c r="AB1590" s="344">
        <f>IFERROR(VLOOKUP($G1590,基本資料!$A:$M,11,0),"無")</f>
        <v>0</v>
      </c>
      <c r="AC1590" s="397">
        <f>IFERROR(VLOOKUP($G1590,基本資料!$A:$M,12,0),"無")</f>
        <v>0</v>
      </c>
      <c r="AD1590" s="22" t="s">
        <v>4639</v>
      </c>
      <c r="AG1590" s="33">
        <f t="shared" si="295"/>
        <v>0</v>
      </c>
      <c r="AH1590" s="117" t="s">
        <v>4640</v>
      </c>
      <c r="AI1590" s="63">
        <f t="shared" si="296"/>
        <v>5.0237610319076715E-4</v>
      </c>
      <c r="AJ1590" s="284">
        <f>RTD("money.excel",,$G1590,"PredictVolume")</f>
        <v>74</v>
      </c>
      <c r="AK1590" s="399">
        <f>IFERROR(VLOOKUP($G1590,基本資料!$A:$M,13,0),"無")</f>
        <v>0</v>
      </c>
    </row>
    <row r="1591" spans="1:37">
      <c r="B1591" s="80"/>
      <c r="C1591" s="80"/>
      <c r="D1591" s="79"/>
      <c r="E1591" s="80"/>
      <c r="F1591" s="57"/>
      <c r="G1591" s="79"/>
      <c r="H1591" s="195"/>
      <c r="I1591" s="22"/>
      <c r="L1591" s="2"/>
      <c r="P1591" s="366"/>
      <c r="R1591" s="355"/>
      <c r="S1591" s="26"/>
      <c r="U1591" s="66"/>
      <c r="W1591" s="94"/>
      <c r="X1591" s="36"/>
      <c r="Y1591" s="66"/>
      <c r="Z1591" s="15"/>
      <c r="AA1591" s="3"/>
      <c r="AD1591" s="22"/>
      <c r="AG1591" s="33"/>
      <c r="AH1591" s="117"/>
      <c r="AI1591" s="63"/>
      <c r="AJ1591" s="284"/>
    </row>
    <row r="1592" spans="1:37">
      <c r="A1592" s="127" t="s">
        <v>3876</v>
      </c>
      <c r="B1592" s="90" t="s">
        <v>3877</v>
      </c>
      <c r="C1592" s="90" t="s">
        <v>3878</v>
      </c>
      <c r="D1592" s="90" t="s">
        <v>3879</v>
      </c>
      <c r="E1592" s="90" t="s">
        <v>3880</v>
      </c>
      <c r="F1592" s="8" t="s">
        <v>3881</v>
      </c>
      <c r="G1592" s="27" t="s">
        <v>1124</v>
      </c>
      <c r="H1592" s="55" t="s">
        <v>320</v>
      </c>
      <c r="I1592" s="8" t="s">
        <v>4641</v>
      </c>
      <c r="J1592" s="8" t="s">
        <v>6221</v>
      </c>
      <c r="K1592" s="5" t="s">
        <v>6222</v>
      </c>
      <c r="L1592" s="337" t="s">
        <v>6206</v>
      </c>
      <c r="M1592" s="338" t="s">
        <v>6207</v>
      </c>
      <c r="N1592" s="339" t="s">
        <v>6208</v>
      </c>
      <c r="O1592" s="4" t="s">
        <v>6713</v>
      </c>
      <c r="P1592" s="89" t="s">
        <v>6285</v>
      </c>
      <c r="Q1592" s="293" t="s">
        <v>6284</v>
      </c>
      <c r="R1592" s="354" t="s">
        <v>6283</v>
      </c>
      <c r="S1592" s="26" t="s">
        <v>6286</v>
      </c>
      <c r="T1592" s="321" t="s">
        <v>4716</v>
      </c>
      <c r="U1592" s="10" t="s">
        <v>3884</v>
      </c>
      <c r="V1592" s="308" t="s">
        <v>4731</v>
      </c>
      <c r="W1592" s="68" t="s">
        <v>3273</v>
      </c>
      <c r="X1592" s="28" t="s">
        <v>2</v>
      </c>
      <c r="Y1592" s="17" t="s">
        <v>3885</v>
      </c>
      <c r="Z1592" s="14" t="s">
        <v>3886</v>
      </c>
      <c r="AA1592" s="21" t="s">
        <v>3887</v>
      </c>
      <c r="AB1592" s="96" t="s">
        <v>6174</v>
      </c>
      <c r="AC1592" s="384" t="s">
        <v>6420</v>
      </c>
      <c r="AD1592" s="8" t="s">
        <v>4641</v>
      </c>
      <c r="AE1592" s="71" t="s">
        <v>3888</v>
      </c>
      <c r="AF1592" s="72" t="s">
        <v>3889</v>
      </c>
      <c r="AG1592" s="32" t="s">
        <v>3890</v>
      </c>
      <c r="AH1592" s="25" t="s">
        <v>6209</v>
      </c>
      <c r="AI1592" s="8" t="s">
        <v>6731</v>
      </c>
      <c r="AJ1592" s="50" t="s">
        <v>3361</v>
      </c>
      <c r="AK1592" s="44" t="s">
        <v>6730</v>
      </c>
    </row>
    <row r="1593" spans="1:37">
      <c r="A1593" s="347">
        <f>IFERROR(VLOOKUP($G1593,基本資料!$A:$J,3,0),"無")</f>
        <v>1048</v>
      </c>
      <c r="B1593" s="79">
        <f>IFERROR(VLOOKUP($G1593,基本資料!$A:$J,4,0),"無")</f>
        <v>25</v>
      </c>
      <c r="C1593" s="79">
        <f>IFERROR(VLOOKUP($G1593,基本資料!$A:$J,5,0),"無")</f>
        <v>0</v>
      </c>
      <c r="D1593" s="79">
        <f>IFERROR(VLOOKUP($G1593,基本資料!$A:$J,6,0),"無")</f>
        <v>3</v>
      </c>
      <c r="E1593" s="79">
        <f>IFERROR(VLOOKUP($G1593,基本資料!$A:$J,7,0),"無")</f>
        <v>38</v>
      </c>
      <c r="F1593" s="6">
        <f>IFERROR(VLOOKUP($G1593,基本資料!$A:$J,8,0),"無")</f>
        <v>0</v>
      </c>
      <c r="G1593" s="79">
        <v>2801</v>
      </c>
      <c r="H1593" s="17" t="s">
        <v>304</v>
      </c>
      <c r="I1593" s="22" t="s">
        <v>4642</v>
      </c>
      <c r="J1593" s="8" t="str">
        <f>IFERROR(VLOOKUP($G1593,今日總結!$A:$AJ,35,0),"")</f>
        <v/>
      </c>
      <c r="K1593" s="5" t="str">
        <f>IFERROR(VLOOKUP($G1593,今日總結!$A:$AJ,36,0),"")</f>
        <v/>
      </c>
      <c r="L1593" s="156" t="str">
        <f>IFERROR(VLOOKUP($G1593,今日總結!$A:$AJ,33,0),"")</f>
        <v/>
      </c>
      <c r="M1593" s="340" t="str">
        <f>IFERROR(VLOOKUP($G1593,今日總結!$A:$AJ,34,0),"")</f>
        <v/>
      </c>
      <c r="N1593" s="240" t="str">
        <f t="shared" ref="N1593" si="298">IFERROR(L1593-M1593,"")</f>
        <v/>
      </c>
      <c r="P1593" s="365">
        <f>IFERROR(VLOOKUP($G1593,融外自投!$A:$J,7,0),"無")</f>
        <v>1360</v>
      </c>
      <c r="Q1593" s="79">
        <f>IFERROR(VLOOKUP($G1593,融外自投!$A:$J,9,0),"無")</f>
        <v>586</v>
      </c>
      <c r="R1593" s="346">
        <f>IFERROR(VLOOKUP($G1593,融外自投!$A:$J,8,0),"無")</f>
        <v>422</v>
      </c>
      <c r="S1593" s="81">
        <f>IFERROR(VLOOKUP($G1593,融外自投!$A:$J,10,0),"無")</f>
        <v>239</v>
      </c>
      <c r="T1593" s="327">
        <f>IFERROR(VLOOKUP($G1593,'321買'!$A:$E,5,0),"'沒有資料'")</f>
        <v>38</v>
      </c>
      <c r="U1593" s="186">
        <f>IFERROR(VLOOKUP($G1593,基本資料!$A:$J,9,0),"無")</f>
        <v>0.6</v>
      </c>
      <c r="V1593" s="310">
        <f t="shared" ref="V1593:V1635" si="299">$U1593/$X1593</f>
        <v>3.3707865168539325E-2</v>
      </c>
      <c r="W1593" s="94">
        <f>IFERROR(VLOOKUP($G1593,基本資料!$A:$J,10,0),"無")</f>
        <v>0.84</v>
      </c>
      <c r="X1593" s="36">
        <f>RTD("money.excel",,"2801","Price")</f>
        <v>17.8</v>
      </c>
      <c r="Y1593" s="66"/>
      <c r="Z1593" s="15">
        <f t="shared" ref="Z1593:Z1635" si="300">X1593-Y1593</f>
        <v>17.8</v>
      </c>
      <c r="AA1593" s="3" t="e">
        <f t="shared" ref="AA1593:AA1635" si="301">Z1593/Y1593</f>
        <v>#DIV/0!</v>
      </c>
      <c r="AB1593" s="344">
        <f>IFERROR(VLOOKUP($G1593,基本資料!$A:$M,11,0),"無")</f>
        <v>-11.28</v>
      </c>
      <c r="AC1593" s="397">
        <f>IFERROR(VLOOKUP($G1593,基本資料!$A:$M,12,0),"無")</f>
        <v>38.729999999999997</v>
      </c>
      <c r="AD1593" s="22" t="s">
        <v>4642</v>
      </c>
      <c r="AG1593" s="33">
        <f t="shared" ref="AG1593:AG1635" si="302">AF1593-AE1593</f>
        <v>0</v>
      </c>
      <c r="AH1593" s="117" t="s">
        <v>1503</v>
      </c>
      <c r="AI1593" s="63">
        <f t="shared" ref="AI1593:AI1635" si="303">AJ1593/(A1593*10000)</f>
        <v>1.1267175572519084E-3</v>
      </c>
      <c r="AJ1593" s="284">
        <f>RTD("money.excel",,$G1593,"PredictVolume")</f>
        <v>11808</v>
      </c>
      <c r="AK1593" s="399">
        <f>IFERROR(VLOOKUP($G1593,基本資料!$A:$M,13,0),"無")</f>
        <v>2.04</v>
      </c>
    </row>
    <row r="1594" spans="1:37">
      <c r="A1594" s="347">
        <f>IFERROR(VLOOKUP($G1594,基本資料!$A:$J,3,0),"無")</f>
        <v>112</v>
      </c>
      <c r="B1594" s="79">
        <f>IFERROR(VLOOKUP($G1594,基本資料!$A:$J,4,0),"無")</f>
        <v>2</v>
      </c>
      <c r="C1594" s="79">
        <f>IFERROR(VLOOKUP($G1594,基本資料!$A:$J,5,0),"無")</f>
        <v>0</v>
      </c>
      <c r="D1594" s="79">
        <f>IFERROR(VLOOKUP($G1594,基本資料!$A:$J,6,0),"無")</f>
        <v>134</v>
      </c>
      <c r="E1594" s="79">
        <f>IFERROR(VLOOKUP($G1594,基本資料!$A:$J,7,0),"無")</f>
        <v>-86</v>
      </c>
      <c r="F1594" s="6">
        <f>IFERROR(VLOOKUP($G1594,基本資料!$A:$J,8,0),"無")</f>
        <v>0</v>
      </c>
      <c r="G1594" s="79">
        <v>2809</v>
      </c>
      <c r="H1594" s="17" t="s">
        <v>304</v>
      </c>
      <c r="I1594" s="22" t="s">
        <v>4643</v>
      </c>
      <c r="J1594" s="8" t="str">
        <f>IFERROR(VLOOKUP($G1594,今日總結!$A:$AJ,35,0),"")</f>
        <v>自</v>
      </c>
      <c r="K1594" s="5" t="str">
        <f>IFERROR(VLOOKUP($G1594,今日總結!$A:$AJ,36,0),"")</f>
        <v>外</v>
      </c>
      <c r="L1594" s="156">
        <f>IFERROR(VLOOKUP($G1594,今日總結!$A:$AJ,33,0),"")</f>
        <v>1</v>
      </c>
      <c r="M1594" s="340">
        <f>IFERROR(VLOOKUP($G1594,今日總結!$A:$AJ,34,0),"")</f>
        <v>2</v>
      </c>
      <c r="N1594" s="240">
        <f t="shared" ref="N1594:N1635" si="304">IFERROR(L1594-M1594,"")</f>
        <v>-1</v>
      </c>
      <c r="P1594" s="365">
        <f>IFERROR(VLOOKUP($G1594,融外自投!$A:$J,7,0),"無")</f>
        <v>1333</v>
      </c>
      <c r="Q1594" s="79">
        <f>IFERROR(VLOOKUP($G1594,融外自投!$A:$J,9,0),"無")</f>
        <v>52</v>
      </c>
      <c r="R1594" s="346">
        <f>IFERROR(VLOOKUP($G1594,融外自投!$A:$J,8,0),"無")</f>
        <v>343</v>
      </c>
      <c r="S1594" s="81">
        <f>IFERROR(VLOOKUP($G1594,融外自投!$A:$J,10,0),"無")</f>
        <v>190</v>
      </c>
      <c r="T1594" s="327">
        <f>IFERROR(VLOOKUP($G1594,'321買'!$A:$E,5,0),"'沒有資料'")</f>
        <v>49</v>
      </c>
      <c r="U1594" s="186">
        <f>IFERROR(VLOOKUP($G1594,基本資料!$A:$J,9,0),"無")</f>
        <v>2.1</v>
      </c>
      <c r="V1594" s="310">
        <f t="shared" si="299"/>
        <v>5.5702917771883284E-2</v>
      </c>
      <c r="W1594" s="94">
        <f>IFERROR(VLOOKUP($G1594,基本資料!$A:$J,10,0),"無")</f>
        <v>5.0199999999999996</v>
      </c>
      <c r="X1594" s="36">
        <f>RTD("money.excel",,"2809","Price")</f>
        <v>37.700000000000003</v>
      </c>
      <c r="Y1594" s="66"/>
      <c r="Z1594" s="15">
        <f t="shared" si="300"/>
        <v>37.700000000000003</v>
      </c>
      <c r="AA1594" s="3" t="e">
        <f t="shared" si="301"/>
        <v>#DIV/0!</v>
      </c>
      <c r="AB1594" s="344">
        <f>IFERROR(VLOOKUP($G1594,基本資料!$A:$M,11,0),"無")</f>
        <v>-15.7</v>
      </c>
      <c r="AC1594" s="397">
        <f>IFERROR(VLOOKUP($G1594,基本資料!$A:$M,12,0),"無")</f>
        <v>21.41</v>
      </c>
      <c r="AD1594" s="22" t="s">
        <v>4643</v>
      </c>
      <c r="AG1594" s="33">
        <f t="shared" si="302"/>
        <v>0</v>
      </c>
      <c r="AH1594" s="117" t="s">
        <v>4644</v>
      </c>
      <c r="AI1594" s="63">
        <f t="shared" si="303"/>
        <v>1.7142857142857142E-3</v>
      </c>
      <c r="AJ1594" s="284">
        <f>RTD("money.excel",,$G1594,"PredictVolume")</f>
        <v>1920</v>
      </c>
      <c r="AK1594" s="399">
        <f>IFERROR(VLOOKUP($G1594,基本資料!$A:$M,13,0),"無")</f>
        <v>1.23</v>
      </c>
    </row>
    <row r="1595" spans="1:37">
      <c r="A1595" s="347">
        <f>IFERROR(VLOOKUP($G1595,基本資料!$A:$J,3,0),"無")</f>
        <v>453</v>
      </c>
      <c r="B1595" s="79">
        <f>IFERROR(VLOOKUP($G1595,基本資料!$A:$J,4,0),"無")</f>
        <v>19</v>
      </c>
      <c r="C1595" s="79">
        <f>IFERROR(VLOOKUP($G1595,基本資料!$A:$J,5,0),"無")</f>
        <v>0</v>
      </c>
      <c r="D1595" s="79">
        <f>IFERROR(VLOOKUP($G1595,基本資料!$A:$J,6,0),"無")</f>
        <v>16</v>
      </c>
      <c r="E1595" s="79">
        <f>IFERROR(VLOOKUP($G1595,基本資料!$A:$J,7,0),"無")</f>
        <v>9</v>
      </c>
      <c r="F1595" s="6">
        <f>IFERROR(VLOOKUP($G1595,基本資料!$A:$J,8,0),"無")</f>
        <v>0</v>
      </c>
      <c r="G1595" s="79">
        <v>2812</v>
      </c>
      <c r="H1595" s="17" t="s">
        <v>304</v>
      </c>
      <c r="I1595" s="22" t="s">
        <v>133</v>
      </c>
      <c r="J1595" s="8">
        <f>IFERROR(VLOOKUP($G1595,今日總結!$A:$AJ,35,0),"")</f>
        <v>0</v>
      </c>
      <c r="K1595" s="5" t="str">
        <f>IFERROR(VLOOKUP($G1595,今日總結!$A:$AJ,36,0),"")</f>
        <v>融</v>
      </c>
      <c r="L1595" s="156">
        <f>IFERROR(VLOOKUP($G1595,今日總結!$A:$AJ,33,0),"")</f>
        <v>0</v>
      </c>
      <c r="M1595" s="340">
        <f>IFERROR(VLOOKUP($G1595,今日總結!$A:$AJ,34,0),"")</f>
        <v>1</v>
      </c>
      <c r="N1595" s="240">
        <f t="shared" si="304"/>
        <v>-1</v>
      </c>
      <c r="P1595" s="365">
        <f>IFERROR(VLOOKUP($G1595,融外自投!$A:$J,7,0),"無")</f>
        <v>1352</v>
      </c>
      <c r="Q1595" s="79">
        <f>IFERROR(VLOOKUP($G1595,融外自投!$A:$J,9,0),"無")</f>
        <v>1110</v>
      </c>
      <c r="R1595" s="346">
        <f>IFERROR(VLOOKUP($G1595,融外自投!$A:$J,8,0),"無")</f>
        <v>449</v>
      </c>
      <c r="S1595" s="81">
        <f>IFERROR(VLOOKUP($G1595,融外自投!$A:$J,10,0),"無")</f>
        <v>299</v>
      </c>
      <c r="T1595" s="327">
        <f>IFERROR(VLOOKUP($G1595,'321買'!$A:$E,5,0),"'沒有資料'")</f>
        <v>306</v>
      </c>
      <c r="U1595" s="186">
        <f>IFERROR(VLOOKUP($G1595,基本資料!$A:$J,9,0),"無")</f>
        <v>0.75</v>
      </c>
      <c r="V1595" s="310">
        <f t="shared" si="299"/>
        <v>5.4151624548736461E-2</v>
      </c>
      <c r="W1595" s="94">
        <f>IFERROR(VLOOKUP($G1595,基本資料!$A:$J,10,0),"無")</f>
        <v>1.1000000000000001</v>
      </c>
      <c r="X1595" s="36">
        <f>RTD("money.excel",,"2812","Price")</f>
        <v>13.85</v>
      </c>
      <c r="Y1595" s="66"/>
      <c r="Z1595" s="15">
        <f t="shared" si="300"/>
        <v>13.85</v>
      </c>
      <c r="AA1595" s="3" t="e">
        <f t="shared" si="301"/>
        <v>#DIV/0!</v>
      </c>
      <c r="AB1595" s="344">
        <f>IFERROR(VLOOKUP($G1595,基本資料!$A:$M,11,0),"無")</f>
        <v>-15.12</v>
      </c>
      <c r="AC1595" s="397">
        <f>IFERROR(VLOOKUP($G1595,基本資料!$A:$M,12,0),"無")</f>
        <v>40.200000000000003</v>
      </c>
      <c r="AD1595" s="22" t="s">
        <v>4645</v>
      </c>
      <c r="AG1595" s="33">
        <f t="shared" si="302"/>
        <v>0</v>
      </c>
      <c r="AH1595" s="117" t="s">
        <v>1429</v>
      </c>
      <c r="AI1595" s="63">
        <f t="shared" si="303"/>
        <v>9.7483443708609274E-4</v>
      </c>
      <c r="AJ1595" s="284">
        <f>RTD("money.excel",,$G1595,"PredictVolume")</f>
        <v>4416</v>
      </c>
      <c r="AK1595" s="399">
        <f>IFERROR(VLOOKUP($G1595,基本資料!$A:$M,13,0),"無")</f>
        <v>1.71</v>
      </c>
    </row>
    <row r="1596" spans="1:37">
      <c r="A1596" s="347">
        <f>IFERROR(VLOOKUP($G1596,基本資料!$A:$J,3,0),"無")</f>
        <v>22.36</v>
      </c>
      <c r="B1596" s="79">
        <f>IFERROR(VLOOKUP($G1596,基本資料!$A:$J,4,0),"無")</f>
        <v>0</v>
      </c>
      <c r="C1596" s="79">
        <f>IFERROR(VLOOKUP($G1596,基本資料!$A:$J,5,0),"無")</f>
        <v>17</v>
      </c>
      <c r="D1596" s="79">
        <f>IFERROR(VLOOKUP($G1596,基本資料!$A:$J,6,0),"無")</f>
        <v>-23</v>
      </c>
      <c r="E1596" s="79">
        <f>IFERROR(VLOOKUP($G1596,基本資料!$A:$J,7,0),"無")</f>
        <v>-36</v>
      </c>
      <c r="F1596" s="6">
        <f>IFERROR(VLOOKUP($G1596,基本資料!$A:$J,8,0),"無")</f>
        <v>9.01</v>
      </c>
      <c r="G1596" s="79">
        <v>2816</v>
      </c>
      <c r="H1596" s="17" t="s">
        <v>304</v>
      </c>
      <c r="I1596" s="22" t="s">
        <v>4646</v>
      </c>
      <c r="J1596" s="8" t="str">
        <f>IFERROR(VLOOKUP($G1596,今日總結!$A:$AJ,35,0),"")</f>
        <v/>
      </c>
      <c r="K1596" s="5" t="str">
        <f>IFERROR(VLOOKUP($G1596,今日總結!$A:$AJ,36,0),"")</f>
        <v/>
      </c>
      <c r="L1596" s="156" t="str">
        <f>IFERROR(VLOOKUP($G1596,今日總結!$A:$AJ,33,0),"")</f>
        <v/>
      </c>
      <c r="M1596" s="340" t="str">
        <f>IFERROR(VLOOKUP($G1596,今日總結!$A:$AJ,34,0),"")</f>
        <v/>
      </c>
      <c r="N1596" s="240" t="str">
        <f t="shared" si="304"/>
        <v/>
      </c>
      <c r="P1596" s="365">
        <f>IFERROR(VLOOKUP($G1596,融外自投!$A:$J,7,0),"無")</f>
        <v>1298</v>
      </c>
      <c r="Q1596" s="79" t="str">
        <f>IFERROR(VLOOKUP($G1596,融外自投!$A:$J,9,0),"無")</f>
        <v>無</v>
      </c>
      <c r="R1596" s="346">
        <f>IFERROR(VLOOKUP($G1596,融外自投!$A:$J,8,0),"無")</f>
        <v>1131</v>
      </c>
      <c r="S1596" s="81" t="str">
        <f>IFERROR(VLOOKUP($G1596,融外自投!$A:$J,10,0),"無")</f>
        <v>無</v>
      </c>
      <c r="T1596" s="327">
        <f>IFERROR(VLOOKUP($G1596,'321買'!$A:$E,5,0),"'沒有資料'")</f>
        <v>1214</v>
      </c>
      <c r="U1596" s="186">
        <f>IFERROR(VLOOKUP($G1596,基本資料!$A:$J,9,0),"無")</f>
        <v>1</v>
      </c>
      <c r="V1596" s="310">
        <f t="shared" si="299"/>
        <v>5.4945054945054944E-2</v>
      </c>
      <c r="W1596" s="94">
        <f>IFERROR(VLOOKUP($G1596,基本資料!$A:$J,10,0),"無")</f>
        <v>3.12</v>
      </c>
      <c r="X1596" s="36">
        <f>RTD("money.excel",,"2816","Price")</f>
        <v>18.2</v>
      </c>
      <c r="Y1596" s="66"/>
      <c r="Z1596" s="15">
        <f t="shared" si="300"/>
        <v>18.2</v>
      </c>
      <c r="AA1596" s="3" t="e">
        <f t="shared" si="301"/>
        <v>#DIV/0!</v>
      </c>
      <c r="AB1596" s="344">
        <f>IFERROR(VLOOKUP($G1596,基本資料!$A:$M,11,0),"無")</f>
        <v>-14.72</v>
      </c>
      <c r="AC1596" s="397">
        <f>IFERROR(VLOOKUP($G1596,基本資料!$A:$M,12,0),"無")</f>
        <v>30.12</v>
      </c>
      <c r="AD1596" s="22" t="s">
        <v>4646</v>
      </c>
      <c r="AG1596" s="33">
        <f t="shared" si="302"/>
        <v>0</v>
      </c>
      <c r="AH1596" s="43" t="s">
        <v>4647</v>
      </c>
      <c r="AI1596" s="63">
        <f t="shared" si="303"/>
        <v>2.9069767441860465E-4</v>
      </c>
      <c r="AJ1596" s="284">
        <f>RTD("money.excel",,$G1596,"PredictVolume")</f>
        <v>65</v>
      </c>
      <c r="AK1596" s="399">
        <f>IFERROR(VLOOKUP($G1596,基本資料!$A:$M,13,0),"無")</f>
        <v>1.1299999999999999</v>
      </c>
    </row>
    <row r="1597" spans="1:37">
      <c r="A1597" s="347">
        <f>IFERROR(VLOOKUP($G1597,基本資料!$A:$J,3,0),"無")</f>
        <v>134</v>
      </c>
      <c r="B1597" s="79">
        <f>IFERROR(VLOOKUP($G1597,基本資料!$A:$J,4,0),"無")</f>
        <v>17</v>
      </c>
      <c r="C1597" s="79">
        <f>IFERROR(VLOOKUP($G1597,基本資料!$A:$J,5,0),"無")</f>
        <v>0</v>
      </c>
      <c r="D1597" s="79">
        <f>IFERROR(VLOOKUP($G1597,基本資料!$A:$J,6,0),"無")</f>
        <v>-51</v>
      </c>
      <c r="E1597" s="79">
        <f>IFERROR(VLOOKUP($G1597,基本資料!$A:$J,7,0),"無")</f>
        <v>-71</v>
      </c>
      <c r="F1597" s="6">
        <f>IFERROR(VLOOKUP($G1597,基本資料!$A:$J,8,0),"無")</f>
        <v>0</v>
      </c>
      <c r="G1597" s="79">
        <v>2820</v>
      </c>
      <c r="H1597" s="17" t="s">
        <v>304</v>
      </c>
      <c r="I1597" s="22" t="s">
        <v>4648</v>
      </c>
      <c r="J1597" s="8" t="str">
        <f>IFERROR(VLOOKUP($G1597,今日總結!$A:$AJ,35,0),"")</f>
        <v/>
      </c>
      <c r="K1597" s="5" t="str">
        <f>IFERROR(VLOOKUP($G1597,今日總結!$A:$AJ,36,0),"")</f>
        <v/>
      </c>
      <c r="L1597" s="156" t="str">
        <f>IFERROR(VLOOKUP($G1597,今日總結!$A:$AJ,33,0),"")</f>
        <v/>
      </c>
      <c r="M1597" s="340" t="str">
        <f>IFERROR(VLOOKUP($G1597,今日總結!$A:$AJ,34,0),"")</f>
        <v/>
      </c>
      <c r="N1597" s="240" t="str">
        <f t="shared" si="304"/>
        <v/>
      </c>
      <c r="P1597" s="365">
        <f>IFERROR(VLOOKUP($G1597,融外自投!$A:$J,7,0),"無")</f>
        <v>1439</v>
      </c>
      <c r="Q1597" s="79">
        <f>IFERROR(VLOOKUP($G1597,融外自投!$A:$J,9,0),"無")</f>
        <v>200</v>
      </c>
      <c r="R1597" s="346">
        <f>IFERROR(VLOOKUP($G1597,融外自投!$A:$J,8,0),"無")</f>
        <v>646</v>
      </c>
      <c r="S1597" s="81">
        <f>IFERROR(VLOOKUP($G1597,融外自投!$A:$J,10,0),"無")</f>
        <v>437</v>
      </c>
      <c r="T1597" s="327">
        <f>IFERROR(VLOOKUP($G1597,'321買'!$A:$E,5,0),"'沒有資料'")</f>
        <v>107</v>
      </c>
      <c r="U1597" s="186">
        <f>IFERROR(VLOOKUP($G1597,基本資料!$A:$J,9,0),"無")</f>
        <v>0.9</v>
      </c>
      <c r="V1597" s="310">
        <f t="shared" si="299"/>
        <v>5.3731343283582089E-2</v>
      </c>
      <c r="W1597" s="94">
        <f>IFERROR(VLOOKUP($G1597,基本資料!$A:$J,10,0),"無")</f>
        <v>1.38</v>
      </c>
      <c r="X1597" s="36">
        <f>RTD("money.excel",,"2820","Price")</f>
        <v>16.75</v>
      </c>
      <c r="Y1597" s="66"/>
      <c r="Z1597" s="15">
        <f t="shared" si="300"/>
        <v>16.75</v>
      </c>
      <c r="AA1597" s="3" t="e">
        <f t="shared" si="301"/>
        <v>#DIV/0!</v>
      </c>
      <c r="AB1597" s="344">
        <f>IFERROR(VLOOKUP($G1597,基本資料!$A:$M,11,0),"無")</f>
        <v>-6.93</v>
      </c>
      <c r="AC1597" s="397">
        <f>IFERROR(VLOOKUP($G1597,基本資料!$A:$M,12,0),"無")</f>
        <v>47.74</v>
      </c>
      <c r="AD1597" s="22" t="s">
        <v>4648</v>
      </c>
      <c r="AG1597" s="33">
        <f t="shared" si="302"/>
        <v>0</v>
      </c>
      <c r="AH1597" s="117" t="s">
        <v>4649</v>
      </c>
      <c r="AI1597" s="63">
        <f t="shared" si="303"/>
        <v>6.813432835820895E-4</v>
      </c>
      <c r="AJ1597" s="284">
        <f>RTD("money.excel",,$G1597,"PredictVolume")</f>
        <v>913</v>
      </c>
      <c r="AK1597" s="399">
        <f>IFERROR(VLOOKUP($G1597,基本資料!$A:$M,13,0),"無")</f>
        <v>0.6</v>
      </c>
    </row>
    <row r="1598" spans="1:37">
      <c r="A1598" s="347">
        <f>IFERROR(VLOOKUP($G1598,基本資料!$A:$J,3,0),"無")</f>
        <v>36.22</v>
      </c>
      <c r="B1598" s="79">
        <f>IFERROR(VLOOKUP($G1598,基本資料!$A:$J,4,0),"無")</f>
        <v>-45</v>
      </c>
      <c r="C1598" s="79">
        <f>IFERROR(VLOOKUP($G1598,基本資料!$A:$J,5,0),"無")</f>
        <v>-47</v>
      </c>
      <c r="D1598" s="79">
        <f>IFERROR(VLOOKUP($G1598,基本資料!$A:$J,6,0),"無")</f>
        <v>-3</v>
      </c>
      <c r="E1598" s="79">
        <f>IFERROR(VLOOKUP($G1598,基本資料!$A:$J,7,0),"無")</f>
        <v>-19</v>
      </c>
      <c r="F1598" s="6">
        <f>IFERROR(VLOOKUP($G1598,基本資料!$A:$J,8,0),"無")</f>
        <v>5.43</v>
      </c>
      <c r="G1598" s="79">
        <v>2832</v>
      </c>
      <c r="H1598" s="17" t="s">
        <v>304</v>
      </c>
      <c r="I1598" s="22" t="s">
        <v>4650</v>
      </c>
      <c r="J1598" s="8">
        <f>IFERROR(VLOOKUP($G1598,今日總結!$A:$AJ,35,0),"")</f>
        <v>0</v>
      </c>
      <c r="K1598" s="5" t="str">
        <f>IFERROR(VLOOKUP($G1598,今日總結!$A:$AJ,36,0),"")</f>
        <v>外</v>
      </c>
      <c r="L1598" s="156">
        <f>IFERROR(VLOOKUP($G1598,今日總結!$A:$AJ,33,0),"")</f>
        <v>0</v>
      </c>
      <c r="M1598" s="340">
        <f>IFERROR(VLOOKUP($G1598,今日總結!$A:$AJ,34,0),"")</f>
        <v>2</v>
      </c>
      <c r="N1598" s="240">
        <f t="shared" si="304"/>
        <v>-2</v>
      </c>
      <c r="P1598" s="365">
        <f>IFERROR(VLOOKUP($G1598,融外自投!$A:$J,7,0),"無")</f>
        <v>1264</v>
      </c>
      <c r="Q1598" s="79">
        <f>IFERROR(VLOOKUP($G1598,融外自投!$A:$J,9,0),"無")</f>
        <v>683</v>
      </c>
      <c r="R1598" s="346">
        <f>IFERROR(VLOOKUP($G1598,融外自投!$A:$J,8,0),"無")</f>
        <v>892</v>
      </c>
      <c r="S1598" s="81" t="str">
        <f>IFERROR(VLOOKUP($G1598,融外自投!$A:$J,10,0),"無")</f>
        <v>無</v>
      </c>
      <c r="T1598" s="327">
        <f>IFERROR(VLOOKUP($G1598,'321買'!$A:$E,5,0),"'沒有資料'")</f>
        <v>1007</v>
      </c>
      <c r="U1598" s="186">
        <f>IFERROR(VLOOKUP($G1598,基本資料!$A:$J,9,0),"無")</f>
        <v>0.75</v>
      </c>
      <c r="V1598" s="310">
        <f t="shared" si="299"/>
        <v>3.875968992248062E-2</v>
      </c>
      <c r="W1598" s="94">
        <f>IFERROR(VLOOKUP($G1598,基本資料!$A:$J,10,0),"無")</f>
        <v>1.03</v>
      </c>
      <c r="X1598" s="36">
        <f>RTD("money.excel",,"2832","Price")</f>
        <v>19.350000000000001</v>
      </c>
      <c r="Y1598" s="66"/>
      <c r="Z1598" s="15">
        <f t="shared" si="300"/>
        <v>19.350000000000001</v>
      </c>
      <c r="AA1598" s="3" t="e">
        <f t="shared" si="301"/>
        <v>#DIV/0!</v>
      </c>
      <c r="AB1598" s="344">
        <f>IFERROR(VLOOKUP($G1598,基本資料!$A:$M,11,0),"無")</f>
        <v>-11.19</v>
      </c>
      <c r="AC1598" s="397">
        <f>IFERROR(VLOOKUP($G1598,基本資料!$A:$M,12,0),"無")</f>
        <v>16.899999999999999</v>
      </c>
      <c r="AD1598" s="22" t="s">
        <v>4650</v>
      </c>
      <c r="AG1598" s="33">
        <f t="shared" si="302"/>
        <v>0</v>
      </c>
      <c r="AH1598" s="43" t="s">
        <v>1547</v>
      </c>
      <c r="AI1598" s="63">
        <f t="shared" si="303"/>
        <v>3.4787410270568746E-4</v>
      </c>
      <c r="AJ1598" s="284">
        <f>RTD("money.excel",,$G1598,"PredictVolume")</f>
        <v>126</v>
      </c>
      <c r="AK1598" s="399">
        <f>IFERROR(VLOOKUP($G1598,基本資料!$A:$M,13,0),"無")</f>
        <v>0.89</v>
      </c>
    </row>
    <row r="1599" spans="1:37">
      <c r="A1599" s="347">
        <f>IFERROR(VLOOKUP($G1599,基本資料!$A:$J,3,0),"無")</f>
        <v>774</v>
      </c>
      <c r="B1599" s="79">
        <f>IFERROR(VLOOKUP($G1599,基本資料!$A:$J,4,0),"無")</f>
        <v>8</v>
      </c>
      <c r="C1599" s="79">
        <f>IFERROR(VLOOKUP($G1599,基本資料!$A:$J,5,0),"無")</f>
        <v>0</v>
      </c>
      <c r="D1599" s="79">
        <f>IFERROR(VLOOKUP($G1599,基本資料!$A:$J,6,0),"無")</f>
        <v>1</v>
      </c>
      <c r="E1599" s="79">
        <f>IFERROR(VLOOKUP($G1599,基本資料!$A:$J,7,0),"無")</f>
        <v>11</v>
      </c>
      <c r="F1599" s="6">
        <f>IFERROR(VLOOKUP($G1599,基本資料!$A:$J,8,0),"無")</f>
        <v>0</v>
      </c>
      <c r="G1599" s="79">
        <v>2834</v>
      </c>
      <c r="H1599" s="17" t="s">
        <v>304</v>
      </c>
      <c r="I1599" s="22" t="s">
        <v>263</v>
      </c>
      <c r="J1599" s="8" t="str">
        <f>IFERROR(VLOOKUP($G1599,今日總結!$A:$AJ,35,0),"")</f>
        <v/>
      </c>
      <c r="K1599" s="5" t="str">
        <f>IFERROR(VLOOKUP($G1599,今日總結!$A:$AJ,36,0),"")</f>
        <v/>
      </c>
      <c r="L1599" s="156" t="str">
        <f>IFERROR(VLOOKUP($G1599,今日總結!$A:$AJ,33,0),"")</f>
        <v/>
      </c>
      <c r="M1599" s="340" t="str">
        <f>IFERROR(VLOOKUP($G1599,今日總結!$A:$AJ,34,0),"")</f>
        <v/>
      </c>
      <c r="N1599" s="240" t="str">
        <f t="shared" si="304"/>
        <v/>
      </c>
      <c r="P1599" s="365">
        <f>IFERROR(VLOOKUP($G1599,融外自投!$A:$J,7,0),"無")</f>
        <v>1090</v>
      </c>
      <c r="Q1599" s="79">
        <f>IFERROR(VLOOKUP($G1599,融外自投!$A:$J,9,0),"無")</f>
        <v>653</v>
      </c>
      <c r="R1599" s="346">
        <f>IFERROR(VLOOKUP($G1599,融外自投!$A:$J,8,0),"無")</f>
        <v>523</v>
      </c>
      <c r="S1599" s="81">
        <f>IFERROR(VLOOKUP($G1599,融外自投!$A:$J,10,0),"無")</f>
        <v>262</v>
      </c>
      <c r="T1599" s="327">
        <f>IFERROR(VLOOKUP($G1599,'321買'!$A:$E,5,0),"'沒有資料'")</f>
        <v>107</v>
      </c>
      <c r="U1599" s="186">
        <f>IFERROR(VLOOKUP($G1599,基本資料!$A:$J,9,0),"無")</f>
        <v>0.47</v>
      </c>
      <c r="V1599" s="310">
        <f t="shared" si="299"/>
        <v>3.9662447257383965E-2</v>
      </c>
      <c r="W1599" s="94">
        <f>IFERROR(VLOOKUP($G1599,基本資料!$A:$J,10,0),"無")</f>
        <v>0.66</v>
      </c>
      <c r="X1599" s="36">
        <f>RTD("money.excel",,"2834","Price")</f>
        <v>11.85</v>
      </c>
      <c r="Y1599" s="66"/>
      <c r="Z1599" s="15">
        <f t="shared" si="300"/>
        <v>11.85</v>
      </c>
      <c r="AA1599" s="3" t="e">
        <f t="shared" si="301"/>
        <v>#DIV/0!</v>
      </c>
      <c r="AB1599" s="344">
        <f>IFERROR(VLOOKUP($G1599,基本資料!$A:$M,11,0),"無")</f>
        <v>-19.38</v>
      </c>
      <c r="AC1599" s="397">
        <f>IFERROR(VLOOKUP($G1599,基本資料!$A:$M,12,0),"無")</f>
        <v>44.41</v>
      </c>
      <c r="AD1599" s="22" t="s">
        <v>263</v>
      </c>
      <c r="AG1599" s="33">
        <f t="shared" si="302"/>
        <v>0</v>
      </c>
      <c r="AH1599" s="117" t="s">
        <v>1430</v>
      </c>
      <c r="AI1599" s="63">
        <f t="shared" si="303"/>
        <v>3.9505167958656332E-3</v>
      </c>
      <c r="AJ1599" s="317">
        <f>RTD("money.excel",,$G1599,"PredictVolume")</f>
        <v>30577</v>
      </c>
      <c r="AK1599" s="399">
        <f>IFERROR(VLOOKUP($G1599,基本資料!$A:$M,13,0),"無")</f>
        <v>7.96</v>
      </c>
    </row>
    <row r="1600" spans="1:37">
      <c r="A1600" s="347">
        <f>IFERROR(VLOOKUP($G1600,基本資料!$A:$J,3,0),"無")</f>
        <v>116</v>
      </c>
      <c r="B1600" s="79">
        <f>IFERROR(VLOOKUP($G1600,基本資料!$A:$J,4,0),"無")</f>
        <v>19</v>
      </c>
      <c r="C1600" s="79">
        <f>IFERROR(VLOOKUP($G1600,基本資料!$A:$J,5,0),"無")</f>
        <v>0</v>
      </c>
      <c r="D1600" s="79">
        <f>IFERROR(VLOOKUP($G1600,基本資料!$A:$J,6,0),"無")</f>
        <v>-8</v>
      </c>
      <c r="E1600" s="79">
        <f>IFERROR(VLOOKUP($G1600,基本資料!$A:$J,7,0),"無")</f>
        <v>-2</v>
      </c>
      <c r="F1600" s="6">
        <f>IFERROR(VLOOKUP($G1600,基本資料!$A:$J,8,0),"無")</f>
        <v>0</v>
      </c>
      <c r="G1600" s="79">
        <v>2836</v>
      </c>
      <c r="H1600" s="17" t="s">
        <v>304</v>
      </c>
      <c r="I1600" s="22" t="s">
        <v>4651</v>
      </c>
      <c r="J1600" s="8">
        <f>IFERROR(VLOOKUP($G1600,今日總結!$A:$AJ,35,0),"")</f>
        <v>0</v>
      </c>
      <c r="K1600" s="5" t="str">
        <f>IFERROR(VLOOKUP($G1600,今日總結!$A:$AJ,36,0),"")</f>
        <v>借</v>
      </c>
      <c r="L1600" s="156">
        <f>IFERROR(VLOOKUP($G1600,今日總結!$A:$AJ,33,0),"")</f>
        <v>0</v>
      </c>
      <c r="M1600" s="340">
        <f>IFERROR(VLOOKUP($G1600,今日總結!$A:$AJ,34,0),"")</f>
        <v>1</v>
      </c>
      <c r="N1600" s="240">
        <f t="shared" si="304"/>
        <v>-1</v>
      </c>
      <c r="P1600" s="365">
        <f>IFERROR(VLOOKUP($G1600,融外自投!$A:$J,7,0),"無")</f>
        <v>1151</v>
      </c>
      <c r="Q1600" s="79" t="str">
        <f>IFERROR(VLOOKUP($G1600,融外自投!$A:$J,9,0),"無")</f>
        <v>無</v>
      </c>
      <c r="R1600" s="346">
        <f>IFERROR(VLOOKUP($G1600,融外自投!$A:$J,8,0),"無")</f>
        <v>613</v>
      </c>
      <c r="S1600" s="81">
        <f>IFERROR(VLOOKUP($G1600,融外自投!$A:$J,10,0),"無")</f>
        <v>437</v>
      </c>
      <c r="T1600" s="327">
        <f>IFERROR(VLOOKUP($G1600,'321買'!$A:$E,5,0),"'沒有資料'")</f>
        <v>683</v>
      </c>
      <c r="U1600" s="186">
        <f>IFERROR(VLOOKUP($G1600,基本資料!$A:$J,9,0),"無")</f>
        <v>0.7</v>
      </c>
      <c r="V1600" s="310">
        <f t="shared" si="299"/>
        <v>5.2631578947368418E-2</v>
      </c>
      <c r="W1600" s="94">
        <f>IFERROR(VLOOKUP($G1600,基本資料!$A:$J,10,0),"無")</f>
        <v>0.78</v>
      </c>
      <c r="X1600" s="36">
        <f>RTD("money.excel",,"2836","Price")</f>
        <v>13.3</v>
      </c>
      <c r="Y1600" s="66"/>
      <c r="Z1600" s="15">
        <f t="shared" si="300"/>
        <v>13.3</v>
      </c>
      <c r="AA1600" s="3" t="e">
        <f t="shared" si="301"/>
        <v>#DIV/0!</v>
      </c>
      <c r="AB1600" s="344">
        <f>IFERROR(VLOOKUP($G1600,基本資料!$A:$M,11,0),"無")</f>
        <v>-20.18</v>
      </c>
      <c r="AC1600" s="397">
        <f>IFERROR(VLOOKUP($G1600,基本資料!$A:$M,12,0),"無")</f>
        <v>28.25</v>
      </c>
      <c r="AD1600" s="22" t="s">
        <v>4651</v>
      </c>
      <c r="AG1600" s="33">
        <f t="shared" si="302"/>
        <v>0</v>
      </c>
      <c r="AH1600" s="117" t="s">
        <v>2179</v>
      </c>
      <c r="AI1600" s="63">
        <f t="shared" si="303"/>
        <v>6.6637931034482757E-4</v>
      </c>
      <c r="AJ1600" s="284">
        <f>RTD("money.excel",,$G1600,"PredictVolume")</f>
        <v>773</v>
      </c>
      <c r="AK1600" s="399">
        <f>IFERROR(VLOOKUP($G1600,基本資料!$A:$M,13,0),"無")</f>
        <v>1.87</v>
      </c>
    </row>
    <row r="1601" spans="1:37">
      <c r="A1601" s="347">
        <f>IFERROR(VLOOKUP($G1601,基本資料!$A:$J,3,0),"無")</f>
        <v>329</v>
      </c>
      <c r="B1601" s="79">
        <f>IFERROR(VLOOKUP($G1601,基本資料!$A:$J,4,0),"無")</f>
        <v>29</v>
      </c>
      <c r="C1601" s="79">
        <f>IFERROR(VLOOKUP($G1601,基本資料!$A:$J,5,0),"無")</f>
        <v>0</v>
      </c>
      <c r="D1601" s="79">
        <f>IFERROR(VLOOKUP($G1601,基本資料!$A:$J,6,0),"無")</f>
        <v>-27</v>
      </c>
      <c r="E1601" s="79">
        <f>IFERROR(VLOOKUP($G1601,基本資料!$A:$J,7,0),"無")</f>
        <v>-29</v>
      </c>
      <c r="F1601" s="6">
        <f>IFERROR(VLOOKUP($G1601,基本資料!$A:$J,8,0),"無")</f>
        <v>0</v>
      </c>
      <c r="G1601" s="79">
        <v>2838</v>
      </c>
      <c r="H1601" s="17" t="s">
        <v>304</v>
      </c>
      <c r="I1601" s="22" t="s">
        <v>4652</v>
      </c>
      <c r="J1601" s="8" t="str">
        <f>IFERROR(VLOOKUP($G1601,今日總結!$A:$AJ,35,0),"")</f>
        <v/>
      </c>
      <c r="K1601" s="5" t="str">
        <f>IFERROR(VLOOKUP($G1601,今日總結!$A:$AJ,36,0),"")</f>
        <v/>
      </c>
      <c r="L1601" s="156" t="str">
        <f>IFERROR(VLOOKUP($G1601,今日總結!$A:$AJ,33,0),"")</f>
        <v/>
      </c>
      <c r="M1601" s="340" t="str">
        <f>IFERROR(VLOOKUP($G1601,今日總結!$A:$AJ,34,0),"")</f>
        <v/>
      </c>
      <c r="N1601" s="240" t="str">
        <f t="shared" si="304"/>
        <v/>
      </c>
      <c r="P1601" s="365">
        <f>IFERROR(VLOOKUP($G1601,融外自投!$A:$J,7,0),"無")</f>
        <v>1377</v>
      </c>
      <c r="Q1601" s="79">
        <f>IFERROR(VLOOKUP($G1601,融外自投!$A:$J,9,0),"無")</f>
        <v>852</v>
      </c>
      <c r="R1601" s="346">
        <f>IFERROR(VLOOKUP($G1601,融外自投!$A:$J,8,0),"無")</f>
        <v>879</v>
      </c>
      <c r="S1601" s="81">
        <f>IFERROR(VLOOKUP($G1601,融外自投!$A:$J,10,0),"無")</f>
        <v>340</v>
      </c>
      <c r="T1601" s="327">
        <f>IFERROR(VLOOKUP($G1601,'321買'!$A:$E,5,0),"'沒有資料'")</f>
        <v>224</v>
      </c>
      <c r="U1601" s="186">
        <f>IFERROR(VLOOKUP($G1601,基本資料!$A:$J,9,0),"無")</f>
        <v>1.03</v>
      </c>
      <c r="V1601" s="310">
        <f t="shared" si="299"/>
        <v>6.9830508474576267E-2</v>
      </c>
      <c r="W1601" s="94">
        <f>IFERROR(VLOOKUP($G1601,基本資料!$A:$J,10,0),"無")</f>
        <v>1.21</v>
      </c>
      <c r="X1601" s="36">
        <f>RTD("money.excel",,"2838","Price")</f>
        <v>14.75</v>
      </c>
      <c r="Y1601" s="66"/>
      <c r="Z1601" s="15">
        <f t="shared" si="300"/>
        <v>14.75</v>
      </c>
      <c r="AA1601" s="3" t="e">
        <f t="shared" si="301"/>
        <v>#DIV/0!</v>
      </c>
      <c r="AB1601" s="344">
        <f>IFERROR(VLOOKUP($G1601,基本資料!$A:$M,11,0),"無")</f>
        <v>-17.27</v>
      </c>
      <c r="AC1601" s="397">
        <f>IFERROR(VLOOKUP($G1601,基本資料!$A:$M,12,0),"無")</f>
        <v>48.8</v>
      </c>
      <c r="AD1601" s="22" t="s">
        <v>4652</v>
      </c>
      <c r="AG1601" s="33">
        <f t="shared" si="302"/>
        <v>0</v>
      </c>
      <c r="AH1601" s="117" t="s">
        <v>1431</v>
      </c>
      <c r="AI1601" s="63">
        <f t="shared" si="303"/>
        <v>7.2462006079027357E-4</v>
      </c>
      <c r="AJ1601" s="284">
        <f>RTD("money.excel",,$G1601,"PredictVolume")</f>
        <v>2384</v>
      </c>
      <c r="AK1601" s="399">
        <f>IFERROR(VLOOKUP($G1601,基本資料!$A:$M,13,0),"無")</f>
        <v>1.26</v>
      </c>
    </row>
    <row r="1602" spans="1:37">
      <c r="A1602" s="347">
        <f>IFERROR(VLOOKUP($G1602,基本資料!$A:$J,3,0),"無")</f>
        <v>351</v>
      </c>
      <c r="B1602" s="79">
        <f>IFERROR(VLOOKUP($G1602,基本資料!$A:$J,4,0),"無")</f>
        <v>16</v>
      </c>
      <c r="C1602" s="79">
        <f>IFERROR(VLOOKUP($G1602,基本資料!$A:$J,5,0),"無")</f>
        <v>0</v>
      </c>
      <c r="D1602" s="79">
        <f>IFERROR(VLOOKUP($G1602,基本資料!$A:$J,6,0),"無")</f>
        <v>18</v>
      </c>
      <c r="E1602" s="79">
        <f>IFERROR(VLOOKUP($G1602,基本資料!$A:$J,7,0),"無")</f>
        <v>12</v>
      </c>
      <c r="F1602" s="6">
        <f>IFERROR(VLOOKUP($G1602,基本資料!$A:$J,8,0),"無")</f>
        <v>0</v>
      </c>
      <c r="G1602" s="79">
        <v>2845</v>
      </c>
      <c r="H1602" s="17" t="s">
        <v>304</v>
      </c>
      <c r="I1602" s="22" t="s">
        <v>134</v>
      </c>
      <c r="J1602" s="8" t="str">
        <f>IFERROR(VLOOKUP($G1602,今日總結!$A:$AJ,35,0),"")</f>
        <v/>
      </c>
      <c r="K1602" s="5" t="str">
        <f>IFERROR(VLOOKUP($G1602,今日總結!$A:$AJ,36,0),"")</f>
        <v/>
      </c>
      <c r="L1602" s="156" t="str">
        <f>IFERROR(VLOOKUP($G1602,今日總結!$A:$AJ,33,0),"")</f>
        <v/>
      </c>
      <c r="M1602" s="340" t="str">
        <f>IFERROR(VLOOKUP($G1602,今日總結!$A:$AJ,34,0),"")</f>
        <v/>
      </c>
      <c r="N1602" s="240" t="str">
        <f t="shared" si="304"/>
        <v/>
      </c>
      <c r="P1602" s="365">
        <f>IFERROR(VLOOKUP($G1602,融外自投!$A:$J,7,0),"無")</f>
        <v>1356</v>
      </c>
      <c r="Q1602" s="79">
        <f>IFERROR(VLOOKUP($G1602,融外自投!$A:$J,9,0),"無")</f>
        <v>558</v>
      </c>
      <c r="R1602" s="346">
        <f>IFERROR(VLOOKUP($G1602,融外自投!$A:$J,8,0),"無")</f>
        <v>428</v>
      </c>
      <c r="S1602" s="81">
        <f>IFERROR(VLOOKUP($G1602,融外自投!$A:$J,10,0),"無")</f>
        <v>437</v>
      </c>
      <c r="T1602" s="327">
        <f>IFERROR(VLOOKUP($G1602,'321買'!$A:$E,5,0),"'沒有資料'")</f>
        <v>306</v>
      </c>
      <c r="U1602" s="186">
        <f>IFERROR(VLOOKUP($G1602,基本資料!$A:$J,9,0),"無")</f>
        <v>0.59</v>
      </c>
      <c r="V1602" s="310">
        <f t="shared" si="299"/>
        <v>5.1754385964912275E-2</v>
      </c>
      <c r="W1602" s="94">
        <f>IFERROR(VLOOKUP($G1602,基本資料!$A:$J,10,0),"無")</f>
        <v>0.84</v>
      </c>
      <c r="X1602" s="36">
        <f>RTD("money.excel",,"2845","Price")</f>
        <v>11.4</v>
      </c>
      <c r="Y1602" s="66"/>
      <c r="Z1602" s="15">
        <f t="shared" si="300"/>
        <v>11.4</v>
      </c>
      <c r="AA1602" s="3" t="e">
        <f t="shared" si="301"/>
        <v>#DIV/0!</v>
      </c>
      <c r="AB1602" s="344">
        <f>IFERROR(VLOOKUP($G1602,基本資料!$A:$M,11,0),"無")</f>
        <v>-13.31</v>
      </c>
      <c r="AC1602" s="397">
        <f>IFERROR(VLOOKUP($G1602,基本資料!$A:$M,12,0),"無")</f>
        <v>42.85</v>
      </c>
      <c r="AD1602" s="22" t="s">
        <v>134</v>
      </c>
      <c r="AG1602" s="33">
        <f t="shared" si="302"/>
        <v>0</v>
      </c>
      <c r="AH1602" s="117" t="s">
        <v>1432</v>
      </c>
      <c r="AI1602" s="63">
        <f t="shared" si="303"/>
        <v>9.535612535612536E-4</v>
      </c>
      <c r="AJ1602" s="284">
        <f>RTD("money.excel",,$G1602,"PredictVolume")</f>
        <v>3347</v>
      </c>
      <c r="AK1602" s="399">
        <f>IFERROR(VLOOKUP($G1602,基本資料!$A:$M,13,0),"無")</f>
        <v>0.83</v>
      </c>
    </row>
    <row r="1603" spans="1:37">
      <c r="A1603" s="347">
        <f>IFERROR(VLOOKUP($G1603,基本資料!$A:$J,3,0),"無")</f>
        <v>195</v>
      </c>
      <c r="B1603" s="79">
        <f>IFERROR(VLOOKUP($G1603,基本資料!$A:$J,4,0),"無")</f>
        <v>7</v>
      </c>
      <c r="C1603" s="79">
        <f>IFERROR(VLOOKUP($G1603,基本資料!$A:$J,5,0),"無")</f>
        <v>0</v>
      </c>
      <c r="D1603" s="79">
        <f>IFERROR(VLOOKUP($G1603,基本資料!$A:$J,6,0),"無")</f>
        <v>-7</v>
      </c>
      <c r="E1603" s="79">
        <f>IFERROR(VLOOKUP($G1603,基本資料!$A:$J,7,0),"無")</f>
        <v>1</v>
      </c>
      <c r="F1603" s="6">
        <f>IFERROR(VLOOKUP($G1603,基本資料!$A:$J,8,0),"無")</f>
        <v>0</v>
      </c>
      <c r="G1603" s="79">
        <v>2849</v>
      </c>
      <c r="H1603" s="17" t="s">
        <v>304</v>
      </c>
      <c r="I1603" s="22" t="s">
        <v>4653</v>
      </c>
      <c r="J1603" s="8" t="str">
        <f>IFERROR(VLOOKUP($G1603,今日總結!$A:$AJ,35,0),"")</f>
        <v/>
      </c>
      <c r="K1603" s="5" t="str">
        <f>IFERROR(VLOOKUP($G1603,今日總結!$A:$AJ,36,0),"")</f>
        <v/>
      </c>
      <c r="L1603" s="156" t="str">
        <f>IFERROR(VLOOKUP($G1603,今日總結!$A:$AJ,33,0),"")</f>
        <v/>
      </c>
      <c r="M1603" s="340" t="str">
        <f>IFERROR(VLOOKUP($G1603,今日總結!$A:$AJ,34,0),"")</f>
        <v/>
      </c>
      <c r="N1603" s="240" t="str">
        <f t="shared" si="304"/>
        <v/>
      </c>
      <c r="P1603" s="365">
        <f>IFERROR(VLOOKUP($G1603,融外自投!$A:$J,7,0),"無")</f>
        <v>1424</v>
      </c>
      <c r="Q1603" s="79">
        <f>IFERROR(VLOOKUP($G1603,融外自投!$A:$J,9,0),"無")</f>
        <v>526</v>
      </c>
      <c r="R1603" s="346">
        <f>IFERROR(VLOOKUP($G1603,融外自投!$A:$J,8,0),"無")</f>
        <v>49</v>
      </c>
      <c r="S1603" s="81" t="str">
        <f>IFERROR(VLOOKUP($G1603,融外自投!$A:$J,10,0),"無")</f>
        <v>無</v>
      </c>
      <c r="T1603" s="327">
        <f>IFERROR(VLOOKUP($G1603,'321買'!$A:$E,5,0),"'沒有資料'")</f>
        <v>1066</v>
      </c>
      <c r="U1603" s="186">
        <f>IFERROR(VLOOKUP($G1603,基本資料!$A:$J,9,0),"無")</f>
        <v>0</v>
      </c>
      <c r="V1603" s="310">
        <f t="shared" si="299"/>
        <v>0</v>
      </c>
      <c r="W1603" s="94">
        <f>IFERROR(VLOOKUP($G1603,基本資料!$A:$J,10,0),"無")</f>
        <v>1.19</v>
      </c>
      <c r="X1603" s="36">
        <f>RTD("money.excel",,"2849","Price")</f>
        <v>15.2</v>
      </c>
      <c r="Y1603" s="66"/>
      <c r="Z1603" s="15">
        <f t="shared" si="300"/>
        <v>15.2</v>
      </c>
      <c r="AA1603" s="3" t="e">
        <f t="shared" si="301"/>
        <v>#DIV/0!</v>
      </c>
      <c r="AB1603" s="344">
        <f>IFERROR(VLOOKUP($G1603,基本資料!$A:$M,11,0),"無")</f>
        <v>-12.68</v>
      </c>
      <c r="AC1603" s="397">
        <f>IFERROR(VLOOKUP($G1603,基本資料!$A:$M,12,0),"無")</f>
        <v>29.67</v>
      </c>
      <c r="AD1603" s="22" t="s">
        <v>4653</v>
      </c>
      <c r="AG1603" s="33">
        <f t="shared" si="302"/>
        <v>0</v>
      </c>
      <c r="AH1603" s="43" t="s">
        <v>1548</v>
      </c>
      <c r="AI1603" s="63">
        <f t="shared" si="303"/>
        <v>1.1897435897435898E-4</v>
      </c>
      <c r="AJ1603" s="284">
        <f>RTD("money.excel",,$G1603,"PredictVolume")</f>
        <v>232</v>
      </c>
      <c r="AK1603" s="399">
        <f>IFERROR(VLOOKUP($G1603,基本資料!$A:$M,13,0),"無")</f>
        <v>0.19</v>
      </c>
    </row>
    <row r="1604" spans="1:37">
      <c r="A1604" s="347">
        <f>IFERROR(VLOOKUP($G1604,基本資料!$A:$J,3,0),"無")</f>
        <v>31.59</v>
      </c>
      <c r="B1604" s="79">
        <f>IFERROR(VLOOKUP($G1604,基本資料!$A:$J,4,0),"無")</f>
        <v>38</v>
      </c>
      <c r="C1604" s="79">
        <f>IFERROR(VLOOKUP($G1604,基本資料!$A:$J,5,0),"無")</f>
        <v>39</v>
      </c>
      <c r="D1604" s="79">
        <f>IFERROR(VLOOKUP($G1604,基本資料!$A:$J,6,0),"無")</f>
        <v>1</v>
      </c>
      <c r="E1604" s="79">
        <f>IFERROR(VLOOKUP($G1604,基本資料!$A:$J,7,0),"無")</f>
        <v>4</v>
      </c>
      <c r="F1604" s="6">
        <f>IFERROR(VLOOKUP($G1604,基本資料!$A:$J,8,0),"無")</f>
        <v>14.43</v>
      </c>
      <c r="G1604" s="79">
        <v>2850</v>
      </c>
      <c r="H1604" s="17" t="s">
        <v>304</v>
      </c>
      <c r="I1604" s="22" t="s">
        <v>333</v>
      </c>
      <c r="J1604" s="8" t="str">
        <f>IFERROR(VLOOKUP($G1604,今日總結!$A:$AJ,35,0),"")</f>
        <v/>
      </c>
      <c r="K1604" s="5" t="str">
        <f>IFERROR(VLOOKUP($G1604,今日總結!$A:$AJ,36,0),"")</f>
        <v/>
      </c>
      <c r="L1604" s="156" t="str">
        <f>IFERROR(VLOOKUP($G1604,今日總結!$A:$AJ,33,0),"")</f>
        <v/>
      </c>
      <c r="M1604" s="340" t="str">
        <f>IFERROR(VLOOKUP($G1604,今日總結!$A:$AJ,34,0),"")</f>
        <v/>
      </c>
      <c r="N1604" s="240" t="str">
        <f t="shared" si="304"/>
        <v/>
      </c>
      <c r="P1604" s="365">
        <f>IFERROR(VLOOKUP($G1604,融外自投!$A:$J,7,0),"無")</f>
        <v>1253</v>
      </c>
      <c r="Q1604" s="79">
        <f>IFERROR(VLOOKUP($G1604,融外自投!$A:$J,9,0),"無")</f>
        <v>219</v>
      </c>
      <c r="R1604" s="346">
        <f>IFERROR(VLOOKUP($G1604,融外自投!$A:$J,8,0),"無")</f>
        <v>614</v>
      </c>
      <c r="S1604" s="81">
        <f>IFERROR(VLOOKUP($G1604,融外自投!$A:$J,10,0),"無")</f>
        <v>491</v>
      </c>
      <c r="T1604" s="327">
        <f>IFERROR(VLOOKUP($G1604,'321買'!$A:$E,5,0),"'沒有資料'")</f>
        <v>827</v>
      </c>
      <c r="U1604" s="186">
        <f>IFERROR(VLOOKUP($G1604,基本資料!$A:$J,9,0),"無")</f>
        <v>3.2</v>
      </c>
      <c r="V1604" s="310">
        <f t="shared" si="299"/>
        <v>6.1895551257253385E-2</v>
      </c>
      <c r="W1604" s="94">
        <f>IFERROR(VLOOKUP($G1604,基本資料!$A:$J,10,0),"無")</f>
        <v>7.13</v>
      </c>
      <c r="X1604" s="36">
        <f>RTD("money.excel",,"2850","Price")</f>
        <v>51.7</v>
      </c>
      <c r="Y1604" s="66"/>
      <c r="Z1604" s="15">
        <f t="shared" si="300"/>
        <v>51.7</v>
      </c>
      <c r="AA1604" s="3" t="e">
        <f t="shared" si="301"/>
        <v>#DIV/0!</v>
      </c>
      <c r="AB1604" s="344">
        <f>IFERROR(VLOOKUP($G1604,基本資料!$A:$M,11,0),"無")</f>
        <v>-11.46</v>
      </c>
      <c r="AC1604" s="397">
        <f>IFERROR(VLOOKUP($G1604,基本資料!$A:$M,12,0),"無")</f>
        <v>56.25</v>
      </c>
      <c r="AD1604" s="22" t="s">
        <v>333</v>
      </c>
      <c r="AG1604" s="33">
        <f t="shared" si="302"/>
        <v>0</v>
      </c>
      <c r="AH1604" s="43" t="s">
        <v>1549</v>
      </c>
      <c r="AI1604" s="63">
        <f t="shared" si="303"/>
        <v>8.6736308958531183E-4</v>
      </c>
      <c r="AJ1604" s="284">
        <f>RTD("money.excel",,$G1604,"PredictVolume")</f>
        <v>274</v>
      </c>
      <c r="AK1604" s="399">
        <f>IFERROR(VLOOKUP($G1604,基本資料!$A:$M,13,0),"無")</f>
        <v>0.37</v>
      </c>
    </row>
    <row r="1605" spans="1:37">
      <c r="A1605" s="347">
        <f>IFERROR(VLOOKUP($G1605,基本資料!$A:$J,3,0),"無")</f>
        <v>59.03</v>
      </c>
      <c r="B1605" s="79">
        <f>IFERROR(VLOOKUP($G1605,基本資料!$A:$J,4,0),"無")</f>
        <v>36</v>
      </c>
      <c r="C1605" s="79">
        <f>IFERROR(VLOOKUP($G1605,基本資料!$A:$J,5,0),"無")</f>
        <v>38</v>
      </c>
      <c r="D1605" s="79">
        <f>IFERROR(VLOOKUP($G1605,基本資料!$A:$J,6,0),"無")</f>
        <v>-15</v>
      </c>
      <c r="E1605" s="79">
        <f>IFERROR(VLOOKUP($G1605,基本資料!$A:$J,7,0),"無")</f>
        <v>-2</v>
      </c>
      <c r="F1605" s="6">
        <f>IFERROR(VLOOKUP($G1605,基本資料!$A:$J,8,0),"無")</f>
        <v>12.09</v>
      </c>
      <c r="G1605" s="79">
        <v>2851</v>
      </c>
      <c r="H1605" s="17" t="s">
        <v>304</v>
      </c>
      <c r="I1605" s="22" t="s">
        <v>334</v>
      </c>
      <c r="J1605" s="8" t="str">
        <f>IFERROR(VLOOKUP($G1605,今日總結!$A:$AJ,35,0),"")</f>
        <v>借</v>
      </c>
      <c r="K1605" s="5" t="str">
        <f>IFERROR(VLOOKUP($G1605,今日總結!$A:$AJ,36,0),"")</f>
        <v>外</v>
      </c>
      <c r="L1605" s="156">
        <f>IFERROR(VLOOKUP($G1605,今日總結!$A:$AJ,33,0),"")</f>
        <v>1</v>
      </c>
      <c r="M1605" s="340">
        <f>IFERROR(VLOOKUP($G1605,今日總結!$A:$AJ,34,0),"")</f>
        <v>2</v>
      </c>
      <c r="N1605" s="240">
        <f t="shared" si="304"/>
        <v>-1</v>
      </c>
      <c r="P1605" s="365">
        <f>IFERROR(VLOOKUP($G1605,融外自投!$A:$J,7,0),"無")</f>
        <v>1243</v>
      </c>
      <c r="Q1605" s="79">
        <f>IFERROR(VLOOKUP($G1605,融外自投!$A:$J,9,0),"無")</f>
        <v>526</v>
      </c>
      <c r="R1605" s="346">
        <f>IFERROR(VLOOKUP($G1605,融外自投!$A:$J,8,0),"無")</f>
        <v>1026</v>
      </c>
      <c r="S1605" s="81">
        <f>IFERROR(VLOOKUP($G1605,融外自投!$A:$J,10,0),"無")</f>
        <v>428</v>
      </c>
      <c r="T1605" s="327">
        <f>IFERROR(VLOOKUP($G1605,'321買'!$A:$E,5,0),"'沒有資料'")</f>
        <v>752</v>
      </c>
      <c r="U1605" s="186">
        <f>IFERROR(VLOOKUP($G1605,基本資料!$A:$J,9,0),"無")</f>
        <v>1.8</v>
      </c>
      <c r="V1605" s="310">
        <f t="shared" si="299"/>
        <v>6.3716814159292035E-2</v>
      </c>
      <c r="W1605" s="94">
        <f>IFERROR(VLOOKUP($G1605,基本資料!$A:$J,10,0),"無")</f>
        <v>3.5</v>
      </c>
      <c r="X1605" s="36">
        <f>RTD("money.excel",,"2851","Price")</f>
        <v>28.25</v>
      </c>
      <c r="Y1605" s="66"/>
      <c r="Z1605" s="15">
        <f t="shared" si="300"/>
        <v>28.25</v>
      </c>
      <c r="AA1605" s="3" t="e">
        <f t="shared" si="301"/>
        <v>#DIV/0!</v>
      </c>
      <c r="AB1605" s="344">
        <f>IFERROR(VLOOKUP($G1605,基本資料!$A:$M,11,0),"無")</f>
        <v>-32.49</v>
      </c>
      <c r="AC1605" s="397">
        <f>IFERROR(VLOOKUP($G1605,基本資料!$A:$M,12,0),"無")</f>
        <v>34.35</v>
      </c>
      <c r="AD1605" s="22" t="s">
        <v>334</v>
      </c>
      <c r="AG1605" s="33">
        <f t="shared" si="302"/>
        <v>0</v>
      </c>
      <c r="AH1605" s="43" t="s">
        <v>3401</v>
      </c>
      <c r="AI1605" s="63">
        <f t="shared" si="303"/>
        <v>8.6566152803659155E-4</v>
      </c>
      <c r="AJ1605" s="284">
        <f>RTD("money.excel",,$G1605,"PredictVolume")</f>
        <v>511</v>
      </c>
      <c r="AK1605" s="399">
        <f>IFERROR(VLOOKUP($G1605,基本資料!$A:$M,13,0),"無")</f>
        <v>5.4</v>
      </c>
    </row>
    <row r="1606" spans="1:37">
      <c r="A1606" s="347">
        <f>IFERROR(VLOOKUP($G1606,基本資料!$A:$J,3,0),"無")</f>
        <v>30.11</v>
      </c>
      <c r="B1606" s="79">
        <f>IFERROR(VLOOKUP($G1606,基本資料!$A:$J,4,0),"無")</f>
        <v>261</v>
      </c>
      <c r="C1606" s="79">
        <f>IFERROR(VLOOKUP($G1606,基本資料!$A:$J,5,0),"無")</f>
        <v>210</v>
      </c>
      <c r="D1606" s="79">
        <f>IFERROR(VLOOKUP($G1606,基本資料!$A:$J,6,0),"無")</f>
        <v>5</v>
      </c>
      <c r="E1606" s="79">
        <f>IFERROR(VLOOKUP($G1606,基本資料!$A:$J,7,0),"無")</f>
        <v>5</v>
      </c>
      <c r="F1606" s="6">
        <f>IFERROR(VLOOKUP($G1606,基本資料!$A:$J,8,0),"無")</f>
        <v>9.8800000000000008</v>
      </c>
      <c r="G1606" s="79">
        <v>2852</v>
      </c>
      <c r="H1606" s="17" t="s">
        <v>304</v>
      </c>
      <c r="I1606" s="22" t="s">
        <v>4654</v>
      </c>
      <c r="J1606" s="8">
        <f>IFERROR(VLOOKUP($G1606,今日總結!$A:$AJ,35,0),"")</f>
        <v>0</v>
      </c>
      <c r="K1606" s="5">
        <f>IFERROR(VLOOKUP($G1606,今日總結!$A:$AJ,36,0),"")</f>
        <v>0</v>
      </c>
      <c r="L1606" s="156">
        <f>IFERROR(VLOOKUP($G1606,今日總結!$A:$AJ,33,0),"")</f>
        <v>0</v>
      </c>
      <c r="M1606" s="340">
        <f>IFERROR(VLOOKUP($G1606,今日總結!$A:$AJ,34,0),"")</f>
        <v>1</v>
      </c>
      <c r="N1606" s="240">
        <f t="shared" si="304"/>
        <v>-1</v>
      </c>
      <c r="P1606" s="365">
        <f>IFERROR(VLOOKUP($G1606,融外自投!$A:$J,7,0),"無")</f>
        <v>1377</v>
      </c>
      <c r="Q1606" s="79" t="str">
        <f>IFERROR(VLOOKUP($G1606,融外自投!$A:$J,9,0),"無")</f>
        <v>無</v>
      </c>
      <c r="R1606" s="346">
        <f>IFERROR(VLOOKUP($G1606,融外自投!$A:$J,8,0),"無")</f>
        <v>834</v>
      </c>
      <c r="S1606" s="81" t="str">
        <f>IFERROR(VLOOKUP($G1606,融外自投!$A:$J,10,0),"無")</f>
        <v>無</v>
      </c>
      <c r="T1606" s="327">
        <f>IFERROR(VLOOKUP($G1606,'321買'!$A:$E,5,0),"'沒有資料'")</f>
        <v>1038</v>
      </c>
      <c r="U1606" s="186">
        <f>IFERROR(VLOOKUP($G1606,基本資料!$A:$J,9,0),"無")</f>
        <v>1.21</v>
      </c>
      <c r="V1606" s="310">
        <f t="shared" si="299"/>
        <v>7.857142857142857E-2</v>
      </c>
      <c r="W1606" s="94">
        <f>IFERROR(VLOOKUP($G1606,基本資料!$A:$J,10,0),"無")</f>
        <v>1.84</v>
      </c>
      <c r="X1606" s="36">
        <f>RTD("money.excel",,"2852","Price")</f>
        <v>15.4</v>
      </c>
      <c r="Y1606" s="66"/>
      <c r="Z1606" s="15">
        <f t="shared" si="300"/>
        <v>15.4</v>
      </c>
      <c r="AA1606" s="3" t="e">
        <f t="shared" si="301"/>
        <v>#DIV/0!</v>
      </c>
      <c r="AB1606" s="344">
        <f>IFERROR(VLOOKUP($G1606,基本資料!$A:$M,11,0),"無")</f>
        <v>-9.06</v>
      </c>
      <c r="AC1606" s="397">
        <f>IFERROR(VLOOKUP($G1606,基本資料!$A:$M,12,0),"無")</f>
        <v>58.48</v>
      </c>
      <c r="AD1606" s="22" t="s">
        <v>4654</v>
      </c>
      <c r="AG1606" s="33">
        <f t="shared" si="302"/>
        <v>0</v>
      </c>
      <c r="AH1606" s="117" t="s">
        <v>1550</v>
      </c>
      <c r="AI1606" s="63">
        <f t="shared" si="303"/>
        <v>1.7768183327798073E-3</v>
      </c>
      <c r="AJ1606" s="284">
        <f>RTD("money.excel",,$G1606,"PredictVolume")</f>
        <v>535</v>
      </c>
      <c r="AK1606" s="399">
        <f>IFERROR(VLOOKUP($G1606,基本資料!$A:$M,13,0),"無")</f>
        <v>1.72</v>
      </c>
    </row>
    <row r="1607" spans="1:37">
      <c r="A1607" s="347">
        <f>IFERROR(VLOOKUP($G1607,基本資料!$A:$J,3,0),"無")</f>
        <v>145</v>
      </c>
      <c r="B1607" s="79">
        <f>IFERROR(VLOOKUP($G1607,基本資料!$A:$J,4,0),"無")</f>
        <v>10</v>
      </c>
      <c r="C1607" s="79">
        <f>IFERROR(VLOOKUP($G1607,基本資料!$A:$J,5,0),"無")</f>
        <v>18</v>
      </c>
      <c r="D1607" s="79">
        <f>IFERROR(VLOOKUP($G1607,基本資料!$A:$J,6,0),"無")</f>
        <v>4</v>
      </c>
      <c r="E1607" s="79">
        <f>IFERROR(VLOOKUP($G1607,基本資料!$A:$J,7,0),"無")</f>
        <v>-53</v>
      </c>
      <c r="F1607" s="6">
        <f>IFERROR(VLOOKUP($G1607,基本資料!$A:$J,8,0),"無")</f>
        <v>36.72</v>
      </c>
      <c r="G1607" s="79">
        <v>2855</v>
      </c>
      <c r="H1607" s="17" t="s">
        <v>304</v>
      </c>
      <c r="I1607" s="22" t="s">
        <v>335</v>
      </c>
      <c r="J1607" s="8">
        <f>IFERROR(VLOOKUP($G1607,今日總結!$A:$AJ,35,0),"")</f>
        <v>0</v>
      </c>
      <c r="K1607" s="5">
        <f>IFERROR(VLOOKUP($G1607,今日總結!$A:$AJ,36,0),"")</f>
        <v>0</v>
      </c>
      <c r="L1607" s="156">
        <f>IFERROR(VLOOKUP($G1607,今日總結!$A:$AJ,33,0),"")</f>
        <v>0</v>
      </c>
      <c r="M1607" s="340">
        <f>IFERROR(VLOOKUP($G1607,今日總結!$A:$AJ,34,0),"")</f>
        <v>1</v>
      </c>
      <c r="N1607" s="240">
        <f t="shared" si="304"/>
        <v>-1</v>
      </c>
      <c r="P1607" s="365">
        <f>IFERROR(VLOOKUP($G1607,融外自投!$A:$J,7,0),"無")</f>
        <v>1281</v>
      </c>
      <c r="Q1607" s="79">
        <f>IFERROR(VLOOKUP($G1607,融外自投!$A:$J,9,0),"無")</f>
        <v>1051</v>
      </c>
      <c r="R1607" s="346">
        <f>IFERROR(VLOOKUP($G1607,融外自投!$A:$J,8,0),"無")</f>
        <v>569</v>
      </c>
      <c r="S1607" s="81">
        <f>IFERROR(VLOOKUP($G1607,融外自投!$A:$J,10,0),"無")</f>
        <v>416</v>
      </c>
      <c r="T1607" s="327">
        <f>IFERROR(VLOOKUP($G1607,'321買'!$A:$E,5,0),"'沒有資料'")</f>
        <v>1066</v>
      </c>
      <c r="U1607" s="186">
        <f>IFERROR(VLOOKUP($G1607,基本資料!$A:$J,9,0),"無")</f>
        <v>1.89</v>
      </c>
      <c r="V1607" s="310">
        <f t="shared" si="299"/>
        <v>9.6428571428571419E-2</v>
      </c>
      <c r="W1607" s="94">
        <f>IFERROR(VLOOKUP($G1607,基本資料!$A:$J,10,0),"無")</f>
        <v>2.75</v>
      </c>
      <c r="X1607" s="36">
        <f>RTD("money.excel",,"2855","Price")</f>
        <v>19.600000000000001</v>
      </c>
      <c r="Y1607" s="66"/>
      <c r="Z1607" s="15">
        <f t="shared" si="300"/>
        <v>19.600000000000001</v>
      </c>
      <c r="AA1607" s="3" t="e">
        <f t="shared" si="301"/>
        <v>#DIV/0!</v>
      </c>
      <c r="AB1607" s="344">
        <f>IFERROR(VLOOKUP($G1607,基本資料!$A:$M,11,0),"無")</f>
        <v>-29.1</v>
      </c>
      <c r="AC1607" s="397">
        <f>IFERROR(VLOOKUP($G1607,基本資料!$A:$M,12,0),"無")</f>
        <v>25.18</v>
      </c>
      <c r="AD1607" s="22" t="s">
        <v>335</v>
      </c>
      <c r="AG1607" s="33">
        <f t="shared" si="302"/>
        <v>0</v>
      </c>
      <c r="AH1607" s="43" t="s">
        <v>1433</v>
      </c>
      <c r="AI1607" s="63">
        <f t="shared" si="303"/>
        <v>1.4710344827586206E-3</v>
      </c>
      <c r="AJ1607" s="284">
        <f>RTD("money.excel",,$G1607,"PredictVolume")</f>
        <v>2133</v>
      </c>
      <c r="AK1607" s="399">
        <f>IFERROR(VLOOKUP($G1607,基本資料!$A:$M,13,0),"無")</f>
        <v>1.58</v>
      </c>
    </row>
    <row r="1608" spans="1:37">
      <c r="A1608" s="347">
        <f>IFERROR(VLOOKUP($G1608,基本資料!$A:$J,3,0),"無")</f>
        <v>309</v>
      </c>
      <c r="B1608" s="79">
        <f>IFERROR(VLOOKUP($G1608,基本資料!$A:$J,4,0),"無")</f>
        <v>-24</v>
      </c>
      <c r="C1608" s="79">
        <f>IFERROR(VLOOKUP($G1608,基本資料!$A:$J,5,0),"無")</f>
        <v>-175</v>
      </c>
      <c r="D1608" s="79">
        <f>IFERROR(VLOOKUP($G1608,基本資料!$A:$J,6,0),"無")</f>
        <v>32</v>
      </c>
      <c r="E1608" s="79">
        <f>IFERROR(VLOOKUP($G1608,基本資料!$A:$J,7,0),"無")</f>
        <v>-28</v>
      </c>
      <c r="F1608" s="6">
        <f>IFERROR(VLOOKUP($G1608,基本資料!$A:$J,8,0),"無")</f>
        <v>-0.83</v>
      </c>
      <c r="G1608" s="79">
        <v>2867</v>
      </c>
      <c r="H1608" s="17" t="s">
        <v>304</v>
      </c>
      <c r="I1608" s="22" t="s">
        <v>116</v>
      </c>
      <c r="J1608" s="8">
        <f>IFERROR(VLOOKUP($G1608,今日總結!$A:$AJ,35,0),"")</f>
        <v>0</v>
      </c>
      <c r="K1608" s="5" t="str">
        <f>IFERROR(VLOOKUP($G1608,今日總結!$A:$AJ,36,0),"")</f>
        <v>借</v>
      </c>
      <c r="L1608" s="156">
        <f>IFERROR(VLOOKUP($G1608,今日總結!$A:$AJ,33,0),"")</f>
        <v>0</v>
      </c>
      <c r="M1608" s="340">
        <f>IFERROR(VLOOKUP($G1608,今日總結!$A:$AJ,34,0),"")</f>
        <v>1</v>
      </c>
      <c r="N1608" s="240">
        <f t="shared" si="304"/>
        <v>-1</v>
      </c>
      <c r="P1608" s="365">
        <f>IFERROR(VLOOKUP($G1608,融外自投!$A:$J,7,0),"無")</f>
        <v>875</v>
      </c>
      <c r="Q1608" s="79" t="str">
        <f>IFERROR(VLOOKUP($G1608,融外自投!$A:$J,9,0),"無")</f>
        <v>無</v>
      </c>
      <c r="R1608" s="346">
        <f>IFERROR(VLOOKUP($G1608,融外自投!$A:$J,8,0),"無")</f>
        <v>736</v>
      </c>
      <c r="S1608" s="81" t="str">
        <f>IFERROR(VLOOKUP($G1608,融外自投!$A:$J,10,0),"無")</f>
        <v>無</v>
      </c>
      <c r="T1608" s="327">
        <f>IFERROR(VLOOKUP($G1608,'321買'!$A:$E,5,0),"'沒有資料'")</f>
        <v>416</v>
      </c>
      <c r="U1608" s="186">
        <f>IFERROR(VLOOKUP($G1608,基本資料!$A:$J,9,0),"無")</f>
        <v>0</v>
      </c>
      <c r="V1608" s="310">
        <f t="shared" si="299"/>
        <v>0</v>
      </c>
      <c r="W1608" s="94">
        <f>IFERROR(VLOOKUP($G1608,基本資料!$A:$J,10,0),"無")</f>
        <v>0.42</v>
      </c>
      <c r="X1608" s="36">
        <f>RTD("money.excel",,"2867","Price")</f>
        <v>7.09</v>
      </c>
      <c r="Y1608" s="66"/>
      <c r="Z1608" s="15">
        <f t="shared" si="300"/>
        <v>7.09</v>
      </c>
      <c r="AA1608" s="3" t="e">
        <f t="shared" si="301"/>
        <v>#DIV/0!</v>
      </c>
      <c r="AB1608" s="344">
        <f>IFERROR(VLOOKUP($G1608,基本資料!$A:$M,11,0),"無")</f>
        <v>-30.78</v>
      </c>
      <c r="AC1608" s="397">
        <f>IFERROR(VLOOKUP($G1608,基本資料!$A:$M,12,0),"無")</f>
        <v>8.3000000000000007</v>
      </c>
      <c r="AD1608" s="22" t="s">
        <v>116</v>
      </c>
      <c r="AG1608" s="33">
        <f t="shared" si="302"/>
        <v>0</v>
      </c>
      <c r="AH1608" s="117" t="s">
        <v>2157</v>
      </c>
      <c r="AI1608" s="63">
        <f t="shared" si="303"/>
        <v>1.0152103559870551E-3</v>
      </c>
      <c r="AJ1608" s="284">
        <f>RTD("money.excel",,$G1608,"PredictVolume")</f>
        <v>3137</v>
      </c>
      <c r="AK1608" s="399">
        <f>IFERROR(VLOOKUP($G1608,基本資料!$A:$M,13,0),"無")</f>
        <v>2.02</v>
      </c>
    </row>
    <row r="1609" spans="1:37">
      <c r="A1609" s="347">
        <f>IFERROR(VLOOKUP($G1609,基本資料!$A:$J,3,0),"無")</f>
        <v>1319</v>
      </c>
      <c r="B1609" s="79">
        <f>IFERROR(VLOOKUP($G1609,基本資料!$A:$J,4,0),"無")</f>
        <v>98</v>
      </c>
      <c r="C1609" s="79">
        <f>IFERROR(VLOOKUP($G1609,基本資料!$A:$J,5,0),"無")</f>
        <v>0</v>
      </c>
      <c r="D1609" s="79">
        <f>IFERROR(VLOOKUP($G1609,基本資料!$A:$J,6,0),"無")</f>
        <v>-7</v>
      </c>
      <c r="E1609" s="79">
        <f>IFERROR(VLOOKUP($G1609,基本資料!$A:$J,7,0),"無")</f>
        <v>9</v>
      </c>
      <c r="F1609" s="6">
        <f>IFERROR(VLOOKUP($G1609,基本資料!$A:$J,8,0),"無")</f>
        <v>0</v>
      </c>
      <c r="G1609" s="79">
        <v>2880</v>
      </c>
      <c r="H1609" s="17" t="s">
        <v>304</v>
      </c>
      <c r="I1609" s="22" t="s">
        <v>4655</v>
      </c>
      <c r="J1609" s="8" t="str">
        <f>IFERROR(VLOOKUP($G1609,今日總結!$A:$AJ,35,0),"")</f>
        <v/>
      </c>
      <c r="K1609" s="5" t="str">
        <f>IFERROR(VLOOKUP($G1609,今日總結!$A:$AJ,36,0),"")</f>
        <v/>
      </c>
      <c r="L1609" s="156" t="str">
        <f>IFERROR(VLOOKUP($G1609,今日總結!$A:$AJ,33,0),"")</f>
        <v/>
      </c>
      <c r="M1609" s="340" t="str">
        <f>IFERROR(VLOOKUP($G1609,今日總結!$A:$AJ,34,0),"")</f>
        <v/>
      </c>
      <c r="N1609" s="240" t="str">
        <f t="shared" si="304"/>
        <v/>
      </c>
      <c r="P1609" s="365">
        <f>IFERROR(VLOOKUP($G1609,融外自投!$A:$J,7,0),"無")</f>
        <v>1416</v>
      </c>
      <c r="Q1609" s="79">
        <f>IFERROR(VLOOKUP($G1609,融外自投!$A:$J,9,0),"無")</f>
        <v>667</v>
      </c>
      <c r="R1609" s="346">
        <f>IFERROR(VLOOKUP($G1609,融外自投!$A:$J,8,0),"無")</f>
        <v>318</v>
      </c>
      <c r="S1609" s="81">
        <f>IFERROR(VLOOKUP($G1609,融外自投!$A:$J,10,0),"無")</f>
        <v>211</v>
      </c>
      <c r="T1609" s="327">
        <f>IFERROR(VLOOKUP($G1609,'321買'!$A:$E,5,0),"'沒有資料'")</f>
        <v>11</v>
      </c>
      <c r="U1609" s="186">
        <f>IFERROR(VLOOKUP($G1609,基本資料!$A:$J,9,0),"無")</f>
        <v>1.1200000000000001</v>
      </c>
      <c r="V1609" s="310">
        <f t="shared" si="299"/>
        <v>5.0111856823266222E-2</v>
      </c>
      <c r="W1609" s="94">
        <f>IFERROR(VLOOKUP($G1609,基本資料!$A:$J,10,0),"無")</f>
        <v>1.3</v>
      </c>
      <c r="X1609" s="36">
        <f>RTD("money.excel",,"2880","Price")</f>
        <v>22.35</v>
      </c>
      <c r="Y1609" s="66"/>
      <c r="Z1609" s="15">
        <f t="shared" si="300"/>
        <v>22.35</v>
      </c>
      <c r="AA1609" s="3" t="e">
        <f t="shared" si="301"/>
        <v>#DIV/0!</v>
      </c>
      <c r="AB1609" s="344">
        <f>IFERROR(VLOOKUP($G1609,基本資料!$A:$M,11,0),"無")</f>
        <v>-13.62</v>
      </c>
      <c r="AC1609" s="397">
        <f>IFERROR(VLOOKUP($G1609,基本資料!$A:$M,12,0),"無")</f>
        <v>35.44</v>
      </c>
      <c r="AD1609" s="22" t="s">
        <v>4655</v>
      </c>
      <c r="AG1609" s="33">
        <f t="shared" si="302"/>
        <v>0</v>
      </c>
      <c r="AH1609" s="117" t="s">
        <v>1503</v>
      </c>
      <c r="AI1609" s="63">
        <f t="shared" si="303"/>
        <v>7.7134192570128888E-4</v>
      </c>
      <c r="AJ1609" s="284">
        <f>RTD("money.excel",,$G1609,"PredictVolume")</f>
        <v>10174</v>
      </c>
      <c r="AK1609" s="399">
        <f>IFERROR(VLOOKUP($G1609,基本資料!$A:$M,13,0),"無")</f>
        <v>0.38</v>
      </c>
    </row>
    <row r="1610" spans="1:37">
      <c r="A1610" s="347">
        <f>IFERROR(VLOOKUP($G1610,基本資料!$A:$J,3,0),"無")</f>
        <v>1180</v>
      </c>
      <c r="B1610" s="79">
        <f>IFERROR(VLOOKUP($G1610,基本資料!$A:$J,4,0),"無")</f>
        <v>61</v>
      </c>
      <c r="C1610" s="79">
        <f>IFERROR(VLOOKUP($G1610,基本資料!$A:$J,5,0),"無")</f>
        <v>0</v>
      </c>
      <c r="D1610" s="79">
        <f>IFERROR(VLOOKUP($G1610,基本資料!$A:$J,6,0),"無")</f>
        <v>14</v>
      </c>
      <c r="E1610" s="79">
        <f>IFERROR(VLOOKUP($G1610,基本資料!$A:$J,7,0),"無")</f>
        <v>-16</v>
      </c>
      <c r="F1610" s="6">
        <f>IFERROR(VLOOKUP($G1610,基本資料!$A:$J,8,0),"無")</f>
        <v>0</v>
      </c>
      <c r="G1610" s="79">
        <v>2881</v>
      </c>
      <c r="H1610" s="17" t="s">
        <v>304</v>
      </c>
      <c r="I1610" s="22" t="s">
        <v>68</v>
      </c>
      <c r="J1610" s="8" t="str">
        <f>IFERROR(VLOOKUP($G1610,今日總結!$A:$AJ,35,0),"")</f>
        <v>投</v>
      </c>
      <c r="K1610" s="5">
        <f>IFERROR(VLOOKUP($G1610,今日總結!$A:$AJ,36,0),"")</f>
        <v>0</v>
      </c>
      <c r="L1610" s="156">
        <f>IFERROR(VLOOKUP($G1610,今日總結!$A:$AJ,33,0),"")</f>
        <v>1</v>
      </c>
      <c r="M1610" s="340">
        <f>IFERROR(VLOOKUP($G1610,今日總結!$A:$AJ,34,0),"")</f>
        <v>0</v>
      </c>
      <c r="N1610" s="240">
        <f t="shared" si="304"/>
        <v>1</v>
      </c>
      <c r="P1610" s="365">
        <f>IFERROR(VLOOKUP($G1610,融外自投!$A:$J,7,0),"無")</f>
        <v>1292</v>
      </c>
      <c r="Q1610" s="79">
        <f>IFERROR(VLOOKUP($G1610,融外自投!$A:$J,9,0),"無")</f>
        <v>485</v>
      </c>
      <c r="R1610" s="346">
        <f>IFERROR(VLOOKUP($G1610,融外自投!$A:$J,8,0),"無")</f>
        <v>278</v>
      </c>
      <c r="S1610" s="81">
        <f>IFERROR(VLOOKUP($G1610,融外自投!$A:$J,10,0),"無")</f>
        <v>184</v>
      </c>
      <c r="T1610" s="327">
        <f>IFERROR(VLOOKUP($G1610,'321買'!$A:$E,5,0),"'沒有資料'")</f>
        <v>117</v>
      </c>
      <c r="U1610" s="186">
        <f>IFERROR(VLOOKUP($G1610,基本資料!$A:$J,9,0),"無")</f>
        <v>4</v>
      </c>
      <c r="V1610" s="310">
        <f t="shared" si="299"/>
        <v>6.0422960725075525E-2</v>
      </c>
      <c r="W1610" s="94">
        <f>IFERROR(VLOOKUP($G1610,基本資料!$A:$J,10,0),"無")</f>
        <v>12.49</v>
      </c>
      <c r="X1610" s="36">
        <f>RTD("money.excel",,"2881","Price")</f>
        <v>66.2</v>
      </c>
      <c r="Y1610" s="65"/>
      <c r="Z1610" s="15">
        <f t="shared" si="300"/>
        <v>66.2</v>
      </c>
      <c r="AA1610" s="3" t="e">
        <f t="shared" si="301"/>
        <v>#DIV/0!</v>
      </c>
      <c r="AB1610" s="344">
        <f>IFERROR(VLOOKUP($G1610,基本資料!$A:$M,11,0),"無")</f>
        <v>-20.89</v>
      </c>
      <c r="AC1610" s="397">
        <f>IFERROR(VLOOKUP($G1610,基本資料!$A:$M,12,0),"無")</f>
        <v>32.39</v>
      </c>
      <c r="AD1610" s="22" t="s">
        <v>68</v>
      </c>
      <c r="AG1610" s="33">
        <f t="shared" si="302"/>
        <v>0</v>
      </c>
      <c r="AH1610" s="43" t="s">
        <v>2599</v>
      </c>
      <c r="AI1610" s="63">
        <f t="shared" si="303"/>
        <v>2.5764406779661018E-3</v>
      </c>
      <c r="AJ1610" s="284">
        <f>RTD("money.excel",,$G1610,"PredictVolume")</f>
        <v>30402</v>
      </c>
      <c r="AK1610" s="399">
        <f>IFERROR(VLOOKUP($G1610,基本資料!$A:$M,13,0),"無")</f>
        <v>1.2</v>
      </c>
    </row>
    <row r="1611" spans="1:37">
      <c r="A1611" s="347">
        <f>IFERROR(VLOOKUP($G1611,基本資料!$A:$J,3,0),"無")</f>
        <v>1316</v>
      </c>
      <c r="B1611" s="79">
        <f>IFERROR(VLOOKUP($G1611,基本資料!$A:$J,4,0),"無")</f>
        <v>85</v>
      </c>
      <c r="C1611" s="79">
        <f>IFERROR(VLOOKUP($G1611,基本資料!$A:$J,5,0),"無")</f>
        <v>0</v>
      </c>
      <c r="D1611" s="79">
        <f>IFERROR(VLOOKUP($G1611,基本資料!$A:$J,6,0),"無")</f>
        <v>42</v>
      </c>
      <c r="E1611" s="79">
        <f>IFERROR(VLOOKUP($G1611,基本資料!$A:$J,7,0),"無")</f>
        <v>-36</v>
      </c>
      <c r="F1611" s="6">
        <f>IFERROR(VLOOKUP($G1611,基本資料!$A:$J,8,0),"無")</f>
        <v>0</v>
      </c>
      <c r="G1611" s="79">
        <v>2882</v>
      </c>
      <c r="H1611" s="17" t="s">
        <v>304</v>
      </c>
      <c r="I1611" s="22" t="s">
        <v>9</v>
      </c>
      <c r="J1611" s="8">
        <f>IFERROR(VLOOKUP($G1611,今日總結!$A:$AJ,35,0),"")</f>
        <v>0</v>
      </c>
      <c r="K1611" s="5" t="str">
        <f>IFERROR(VLOOKUP($G1611,今日總結!$A:$AJ,36,0),"")</f>
        <v>借</v>
      </c>
      <c r="L1611" s="156">
        <f>IFERROR(VLOOKUP($G1611,今日總結!$A:$AJ,33,0),"")</f>
        <v>0</v>
      </c>
      <c r="M1611" s="340">
        <f>IFERROR(VLOOKUP($G1611,今日總結!$A:$AJ,34,0),"")</f>
        <v>1</v>
      </c>
      <c r="N1611" s="240">
        <f t="shared" si="304"/>
        <v>-1</v>
      </c>
      <c r="P1611" s="365">
        <f>IFERROR(VLOOKUP($G1611,融外自投!$A:$J,7,0),"無")</f>
        <v>1310</v>
      </c>
      <c r="Q1611" s="79">
        <f>IFERROR(VLOOKUP($G1611,融外自投!$A:$J,9,0),"無")</f>
        <v>355</v>
      </c>
      <c r="R1611" s="346">
        <f>IFERROR(VLOOKUP($G1611,融外自投!$A:$J,8,0),"無")</f>
        <v>225</v>
      </c>
      <c r="S1611" s="81">
        <f>IFERROR(VLOOKUP($G1611,融外自投!$A:$J,10,0),"無")</f>
        <v>169</v>
      </c>
      <c r="T1611" s="327">
        <f>IFERROR(VLOOKUP($G1611,'321買'!$A:$E,5,0),"'沒有資料'")</f>
        <v>18</v>
      </c>
      <c r="U1611" s="186">
        <f>IFERROR(VLOOKUP($G1611,基本資料!$A:$J,9,0),"無")</f>
        <v>3.5</v>
      </c>
      <c r="V1611" s="310">
        <f t="shared" si="299"/>
        <v>6.2277580071174371E-2</v>
      </c>
      <c r="W1611" s="94">
        <f>IFERROR(VLOOKUP($G1611,基本資料!$A:$J,10,0),"無")</f>
        <v>10.34</v>
      </c>
      <c r="X1611" s="36">
        <f>RTD("money.excel",,"2882","Price")</f>
        <v>56.2</v>
      </c>
      <c r="Y1611" s="65"/>
      <c r="Z1611" s="15">
        <f t="shared" si="300"/>
        <v>56.2</v>
      </c>
      <c r="AA1611" s="3" t="e">
        <f t="shared" si="301"/>
        <v>#DIV/0!</v>
      </c>
      <c r="AB1611" s="344">
        <f>IFERROR(VLOOKUP($G1611,基本資料!$A:$M,11,0),"無")</f>
        <v>-14.18</v>
      </c>
      <c r="AC1611" s="397">
        <f>IFERROR(VLOOKUP($G1611,基本資料!$A:$M,12,0),"無")</f>
        <v>40.450000000000003</v>
      </c>
      <c r="AD1611" s="22" t="s">
        <v>9</v>
      </c>
      <c r="AG1611" s="33">
        <f t="shared" si="302"/>
        <v>0</v>
      </c>
      <c r="AH1611" s="43" t="s">
        <v>2598</v>
      </c>
      <c r="AI1611" s="63">
        <f t="shared" si="303"/>
        <v>2.8974924012158056E-3</v>
      </c>
      <c r="AJ1611" s="284">
        <f>RTD("money.excel",,$G1611,"PredictVolume")</f>
        <v>38131</v>
      </c>
      <c r="AK1611" s="399">
        <f>IFERROR(VLOOKUP($G1611,基本資料!$A:$M,13,0),"無")</f>
        <v>1.08</v>
      </c>
    </row>
    <row r="1612" spans="1:37">
      <c r="A1612" s="347">
        <f>IFERROR(VLOOKUP($G1612,基本資料!$A:$J,3,0),"無")</f>
        <v>1719</v>
      </c>
      <c r="B1612" s="79">
        <f>IFERROR(VLOOKUP($G1612,基本資料!$A:$J,4,0),"無")</f>
        <v>127</v>
      </c>
      <c r="C1612" s="79">
        <f>IFERROR(VLOOKUP($G1612,基本資料!$A:$J,5,0),"無")</f>
        <v>0</v>
      </c>
      <c r="D1612" s="79">
        <f>IFERROR(VLOOKUP($G1612,基本資料!$A:$J,6,0),"無")</f>
        <v>30</v>
      </c>
      <c r="E1612" s="79">
        <f>IFERROR(VLOOKUP($G1612,基本資料!$A:$J,7,0),"無")</f>
        <v>-28</v>
      </c>
      <c r="F1612" s="6">
        <f>IFERROR(VLOOKUP($G1612,基本資料!$A:$J,8,0),"無")</f>
        <v>0</v>
      </c>
      <c r="G1612" s="79">
        <v>2883</v>
      </c>
      <c r="H1612" s="17" t="s">
        <v>304</v>
      </c>
      <c r="I1612" s="22" t="s">
        <v>4656</v>
      </c>
      <c r="J1612" s="8" t="str">
        <f>IFERROR(VLOOKUP($G1612,今日總結!$A:$AJ,35,0),"")</f>
        <v>投</v>
      </c>
      <c r="K1612" s="5">
        <f>IFERROR(VLOOKUP($G1612,今日總結!$A:$AJ,36,0),"")</f>
        <v>0</v>
      </c>
      <c r="L1612" s="156">
        <f>IFERROR(VLOOKUP($G1612,今日總結!$A:$AJ,33,0),"")</f>
        <v>1</v>
      </c>
      <c r="M1612" s="340">
        <f>IFERROR(VLOOKUP($G1612,今日總結!$A:$AJ,34,0),"")</f>
        <v>0</v>
      </c>
      <c r="N1612" s="240">
        <f t="shared" si="304"/>
        <v>1</v>
      </c>
      <c r="P1612" s="365">
        <f>IFERROR(VLOOKUP($G1612,融外自投!$A:$J,7,0),"無")</f>
        <v>1231</v>
      </c>
      <c r="Q1612" s="79">
        <f>IFERROR(VLOOKUP($G1612,融外自投!$A:$J,9,0),"無")</f>
        <v>270</v>
      </c>
      <c r="R1612" s="346">
        <f>IFERROR(VLOOKUP($G1612,融外自投!$A:$J,8,0),"無")</f>
        <v>279</v>
      </c>
      <c r="S1612" s="81">
        <f>IFERROR(VLOOKUP($G1612,融外自投!$A:$J,10,0),"無")</f>
        <v>116</v>
      </c>
      <c r="T1612" s="327">
        <f>IFERROR(VLOOKUP($G1612,'321買'!$A:$E,5,0),"'沒有資料'")</f>
        <v>28</v>
      </c>
      <c r="U1612" s="186">
        <f>IFERROR(VLOOKUP($G1612,基本資料!$A:$J,9,0),"無")</f>
        <v>1</v>
      </c>
      <c r="V1612" s="310">
        <f t="shared" si="299"/>
        <v>6.0975609756097567E-2</v>
      </c>
      <c r="W1612" s="94">
        <f>IFERROR(VLOOKUP($G1612,基本資料!$A:$J,10,0),"無")</f>
        <v>2.34</v>
      </c>
      <c r="X1612" s="36">
        <f>RTD("money.excel",,"2883","Price")</f>
        <v>16.399999999999999</v>
      </c>
      <c r="Y1612" s="66"/>
      <c r="Z1612" s="15">
        <f t="shared" si="300"/>
        <v>16.399999999999999</v>
      </c>
      <c r="AA1612" s="3" t="e">
        <f t="shared" si="301"/>
        <v>#DIV/0!</v>
      </c>
      <c r="AB1612" s="344">
        <f>IFERROR(VLOOKUP($G1612,基本資料!$A:$M,11,0),"無")</f>
        <v>-16.170000000000002</v>
      </c>
      <c r="AC1612" s="397">
        <f>IFERROR(VLOOKUP($G1612,基本資料!$A:$M,12,0),"無")</f>
        <v>31.34</v>
      </c>
      <c r="AD1612" s="22" t="s">
        <v>4656</v>
      </c>
      <c r="AG1612" s="33">
        <f t="shared" si="302"/>
        <v>0</v>
      </c>
      <c r="AH1612" s="117" t="s">
        <v>2269</v>
      </c>
      <c r="AI1612" s="63">
        <f t="shared" si="303"/>
        <v>2.808784176847004E-3</v>
      </c>
      <c r="AJ1612" s="284">
        <f>RTD("money.excel",,$G1612,"PredictVolume")</f>
        <v>48283</v>
      </c>
      <c r="AK1612" s="399">
        <f>IFERROR(VLOOKUP($G1612,基本資料!$A:$M,13,0),"無")</f>
        <v>2.5299999999999998</v>
      </c>
    </row>
    <row r="1613" spans="1:37">
      <c r="A1613" s="347">
        <f>IFERROR(VLOOKUP($G1613,基本資料!$A:$J,3,0),"無")</f>
        <v>1335</v>
      </c>
      <c r="B1613" s="79">
        <f>IFERROR(VLOOKUP($G1613,基本資料!$A:$J,4,0),"無")</f>
        <v>14</v>
      </c>
      <c r="C1613" s="79">
        <f>IFERROR(VLOOKUP($G1613,基本資料!$A:$J,5,0),"無")</f>
        <v>0</v>
      </c>
      <c r="D1613" s="79">
        <f>IFERROR(VLOOKUP($G1613,基本資料!$A:$J,6,0),"無")</f>
        <v>-15</v>
      </c>
      <c r="E1613" s="79">
        <f>IFERROR(VLOOKUP($G1613,基本資料!$A:$J,7,0),"無")</f>
        <v>-21</v>
      </c>
      <c r="F1613" s="6">
        <f>IFERROR(VLOOKUP($G1613,基本資料!$A:$J,8,0),"無")</f>
        <v>0</v>
      </c>
      <c r="G1613" s="79">
        <v>2884</v>
      </c>
      <c r="H1613" s="17" t="s">
        <v>304</v>
      </c>
      <c r="I1613" s="22" t="s">
        <v>269</v>
      </c>
      <c r="J1613" s="8" t="str">
        <f>IFERROR(VLOOKUP($G1613,今日總結!$A:$AJ,35,0),"")</f>
        <v/>
      </c>
      <c r="K1613" s="5" t="str">
        <f>IFERROR(VLOOKUP($G1613,今日總結!$A:$AJ,36,0),"")</f>
        <v/>
      </c>
      <c r="L1613" s="156" t="str">
        <f>IFERROR(VLOOKUP($G1613,今日總結!$A:$AJ,33,0),"")</f>
        <v/>
      </c>
      <c r="M1613" s="340" t="str">
        <f>IFERROR(VLOOKUP($G1613,今日總結!$A:$AJ,34,0),"")</f>
        <v/>
      </c>
      <c r="N1613" s="240" t="str">
        <f t="shared" si="304"/>
        <v/>
      </c>
      <c r="P1613" s="365">
        <f>IFERROR(VLOOKUP($G1613,融外自投!$A:$J,7,0),"無")</f>
        <v>1394</v>
      </c>
      <c r="Q1613" s="79">
        <f>IFERROR(VLOOKUP($G1613,融外自投!$A:$J,9,0),"無")</f>
        <v>653</v>
      </c>
      <c r="R1613" s="346">
        <f>IFERROR(VLOOKUP($G1613,融外自投!$A:$J,8,0),"無")</f>
        <v>128</v>
      </c>
      <c r="S1613" s="81">
        <f>IFERROR(VLOOKUP($G1613,融外自投!$A:$J,10,0),"無")</f>
        <v>175</v>
      </c>
      <c r="T1613" s="327">
        <f>IFERROR(VLOOKUP($G1613,'321買'!$A:$E,5,0),"'沒有資料'")</f>
        <v>23</v>
      </c>
      <c r="U1613" s="186">
        <f>IFERROR(VLOOKUP($G1613,基本資料!$A:$J,9,0),"無")</f>
        <v>1.34</v>
      </c>
      <c r="V1613" s="310">
        <f t="shared" si="299"/>
        <v>4.371941272430669E-2</v>
      </c>
      <c r="W1613" s="94">
        <f>IFERROR(VLOOKUP($G1613,基本資料!$A:$J,10,0),"無")</f>
        <v>1.54</v>
      </c>
      <c r="X1613" s="36">
        <f>RTD("money.excel",,"2884","Price")</f>
        <v>30.65</v>
      </c>
      <c r="Y1613" s="66"/>
      <c r="Z1613" s="15">
        <f t="shared" si="300"/>
        <v>30.65</v>
      </c>
      <c r="AA1613" s="3" t="e">
        <f t="shared" si="301"/>
        <v>#DIV/0!</v>
      </c>
      <c r="AB1613" s="344">
        <f>IFERROR(VLOOKUP($G1613,基本資料!$A:$M,11,0),"無")</f>
        <v>-14.01</v>
      </c>
      <c r="AC1613" s="397">
        <f>IFERROR(VLOOKUP($G1613,基本資料!$A:$M,12,0),"無")</f>
        <v>48.76</v>
      </c>
      <c r="AD1613" s="22" t="s">
        <v>269</v>
      </c>
      <c r="AG1613" s="33">
        <f t="shared" si="302"/>
        <v>0</v>
      </c>
      <c r="AH1613" s="117" t="s">
        <v>2016</v>
      </c>
      <c r="AI1613" s="63">
        <f t="shared" si="303"/>
        <v>2.025243445692884E-3</v>
      </c>
      <c r="AJ1613" s="284">
        <f>RTD("money.excel",,$G1613,"PredictVolume")</f>
        <v>27037</v>
      </c>
      <c r="AK1613" s="399">
        <f>IFERROR(VLOOKUP($G1613,基本資料!$A:$M,13,0),"無")</f>
        <v>0.8</v>
      </c>
    </row>
    <row r="1614" spans="1:37">
      <c r="A1614" s="347">
        <f>IFERROR(VLOOKUP($G1614,基本資料!$A:$J,3,0),"無")</f>
        <v>1213</v>
      </c>
      <c r="B1614" s="79">
        <f>IFERROR(VLOOKUP($G1614,基本資料!$A:$J,4,0),"無")</f>
        <v>43</v>
      </c>
      <c r="C1614" s="79">
        <f>IFERROR(VLOOKUP($G1614,基本資料!$A:$J,5,0),"無")</f>
        <v>0</v>
      </c>
      <c r="D1614" s="79">
        <f>IFERROR(VLOOKUP($G1614,基本資料!$A:$J,6,0),"無")</f>
        <v>18</v>
      </c>
      <c r="E1614" s="79">
        <f>IFERROR(VLOOKUP($G1614,基本資料!$A:$J,7,0),"無")</f>
        <v>-26</v>
      </c>
      <c r="F1614" s="6">
        <f>IFERROR(VLOOKUP($G1614,基本資料!$A:$J,8,0),"無")</f>
        <v>0</v>
      </c>
      <c r="G1614" s="79">
        <v>2885</v>
      </c>
      <c r="H1614" s="17" t="s">
        <v>304</v>
      </c>
      <c r="I1614" s="22" t="s">
        <v>4657</v>
      </c>
      <c r="J1614" s="8" t="str">
        <f>IFERROR(VLOOKUP($G1614,今日總結!$A:$AJ,35,0),"")</f>
        <v>投</v>
      </c>
      <c r="K1614" s="5" t="str">
        <f>IFERROR(VLOOKUP($G1614,今日總結!$A:$AJ,36,0),"")</f>
        <v>外</v>
      </c>
      <c r="L1614" s="156">
        <f>IFERROR(VLOOKUP($G1614,今日總結!$A:$AJ,33,0),"")</f>
        <v>1</v>
      </c>
      <c r="M1614" s="340">
        <f>IFERROR(VLOOKUP($G1614,今日總結!$A:$AJ,34,0),"")</f>
        <v>2</v>
      </c>
      <c r="N1614" s="240">
        <f t="shared" si="304"/>
        <v>-1</v>
      </c>
      <c r="P1614" s="365">
        <f>IFERROR(VLOOKUP($G1614,融外自投!$A:$J,7,0),"無")</f>
        <v>1394</v>
      </c>
      <c r="Q1614" s="79">
        <f>IFERROR(VLOOKUP($G1614,融外自投!$A:$J,9,0),"無")</f>
        <v>395</v>
      </c>
      <c r="R1614" s="346">
        <f>IFERROR(VLOOKUP($G1614,融外自投!$A:$J,8,0),"無")</f>
        <v>189</v>
      </c>
      <c r="S1614" s="81">
        <f>IFERROR(VLOOKUP($G1614,融外自投!$A:$J,10,0),"無")</f>
        <v>129</v>
      </c>
      <c r="T1614" s="327">
        <f>IFERROR(VLOOKUP($G1614,'321買'!$A:$E,5,0),"'沒有資料'")</f>
        <v>30</v>
      </c>
      <c r="U1614" s="186">
        <f>IFERROR(VLOOKUP($G1614,基本資料!$A:$J,9,0),"無")</f>
        <v>1.8</v>
      </c>
      <c r="V1614" s="310">
        <f t="shared" si="299"/>
        <v>7.3619631901840496E-2</v>
      </c>
      <c r="W1614" s="94">
        <f>IFERROR(VLOOKUP($G1614,基本資料!$A:$J,10,0),"無")</f>
        <v>2.87</v>
      </c>
      <c r="X1614" s="36">
        <f>RTD("money.excel",,"2885","Price")</f>
        <v>24.45</v>
      </c>
      <c r="Y1614" s="66"/>
      <c r="Z1614" s="15">
        <f t="shared" si="300"/>
        <v>24.45</v>
      </c>
      <c r="AA1614" s="3" t="e">
        <f t="shared" si="301"/>
        <v>#DIV/0!</v>
      </c>
      <c r="AB1614" s="344">
        <f>IFERROR(VLOOKUP($G1614,基本資料!$A:$M,11,0),"無")</f>
        <v>-10.07</v>
      </c>
      <c r="AC1614" s="397">
        <f>IFERROR(VLOOKUP($G1614,基本資料!$A:$M,12,0),"無")</f>
        <v>50.5</v>
      </c>
      <c r="AD1614" s="22" t="s">
        <v>4657</v>
      </c>
      <c r="AG1614" s="33">
        <f t="shared" si="302"/>
        <v>0</v>
      </c>
      <c r="AH1614" s="117" t="s">
        <v>1434</v>
      </c>
      <c r="AI1614" s="63">
        <f t="shared" si="303"/>
        <v>2.2135201978565541E-3</v>
      </c>
      <c r="AJ1614" s="284">
        <f>RTD("money.excel",,$G1614,"PredictVolume")</f>
        <v>26850</v>
      </c>
      <c r="AK1614" s="399">
        <f>IFERROR(VLOOKUP($G1614,基本資料!$A:$M,13,0),"無")</f>
        <v>1.65</v>
      </c>
    </row>
    <row r="1615" spans="1:37">
      <c r="A1615" s="347">
        <f>IFERROR(VLOOKUP($G1615,基本資料!$A:$J,3,0),"無")</f>
        <v>1359</v>
      </c>
      <c r="B1615" s="79">
        <f>IFERROR(VLOOKUP($G1615,基本資料!$A:$J,4,0),"無")</f>
        <v>2</v>
      </c>
      <c r="C1615" s="79">
        <f>IFERROR(VLOOKUP($G1615,基本資料!$A:$J,5,0),"無")</f>
        <v>0</v>
      </c>
      <c r="D1615" s="79">
        <f>IFERROR(VLOOKUP($G1615,基本資料!$A:$J,6,0),"無")</f>
        <v>-21</v>
      </c>
      <c r="E1615" s="79">
        <f>IFERROR(VLOOKUP($G1615,基本資料!$A:$J,7,0),"無")</f>
        <v>-25</v>
      </c>
      <c r="F1615" s="6">
        <f>IFERROR(VLOOKUP($G1615,基本資料!$A:$J,8,0),"無")</f>
        <v>0</v>
      </c>
      <c r="G1615" s="79">
        <v>2886</v>
      </c>
      <c r="H1615" s="17" t="s">
        <v>304</v>
      </c>
      <c r="I1615" s="22" t="s">
        <v>11</v>
      </c>
      <c r="J1615" s="8" t="str">
        <f>IFERROR(VLOOKUP($G1615,今日總結!$A:$AJ,35,0),"")</f>
        <v/>
      </c>
      <c r="K1615" s="5" t="str">
        <f>IFERROR(VLOOKUP($G1615,今日總結!$A:$AJ,36,0),"")</f>
        <v/>
      </c>
      <c r="L1615" s="156" t="str">
        <f>IFERROR(VLOOKUP($G1615,今日總結!$A:$AJ,33,0),"")</f>
        <v/>
      </c>
      <c r="M1615" s="340" t="str">
        <f>IFERROR(VLOOKUP($G1615,今日總結!$A:$AJ,34,0),"")</f>
        <v/>
      </c>
      <c r="N1615" s="240" t="str">
        <f t="shared" si="304"/>
        <v/>
      </c>
      <c r="P1615" s="365">
        <f>IFERROR(VLOOKUP($G1615,融外自投!$A:$J,7,0),"無")</f>
        <v>1424</v>
      </c>
      <c r="Q1615" s="79">
        <f>IFERROR(VLOOKUP($G1615,融外自投!$A:$J,9,0),"無")</f>
        <v>187</v>
      </c>
      <c r="R1615" s="346">
        <f>IFERROR(VLOOKUP($G1615,融外自投!$A:$J,8,0),"無")</f>
        <v>245</v>
      </c>
      <c r="S1615" s="81">
        <f>IFERROR(VLOOKUP($G1615,融外自投!$A:$J,10,0),"無")</f>
        <v>104</v>
      </c>
      <c r="T1615" s="327">
        <f>IFERROR(VLOOKUP($G1615,'321買'!$A:$E,5,0),"'沒有資料'")</f>
        <v>8</v>
      </c>
      <c r="U1615" s="186">
        <f>IFERROR(VLOOKUP($G1615,基本資料!$A:$J,9,0),"無")</f>
        <v>1.65</v>
      </c>
      <c r="V1615" s="310">
        <f t="shared" si="299"/>
        <v>4.3024771838331158E-2</v>
      </c>
      <c r="W1615" s="94">
        <f>IFERROR(VLOOKUP($G1615,基本資料!$A:$J,10,0),"無")</f>
        <v>1.89</v>
      </c>
      <c r="X1615" s="36">
        <f>RTD("money.excel",,"2886","Price")</f>
        <v>38.35</v>
      </c>
      <c r="Y1615" s="66"/>
      <c r="Z1615" s="15">
        <f t="shared" si="300"/>
        <v>38.35</v>
      </c>
      <c r="AA1615" s="3" t="e">
        <f t="shared" si="301"/>
        <v>#DIV/0!</v>
      </c>
      <c r="AB1615" s="344">
        <f>IFERROR(VLOOKUP($G1615,基本資料!$A:$M,11,0),"無")</f>
        <v>-16.3</v>
      </c>
      <c r="AC1615" s="397">
        <f>IFERROR(VLOOKUP($G1615,基本資料!$A:$M,12,0),"無")</f>
        <v>35.96</v>
      </c>
      <c r="AD1615" s="22" t="s">
        <v>11</v>
      </c>
      <c r="AG1615" s="33">
        <f t="shared" si="302"/>
        <v>0</v>
      </c>
      <c r="AH1615" s="117" t="s">
        <v>2600</v>
      </c>
      <c r="AI1615" s="63">
        <f t="shared" si="303"/>
        <v>1.7642384105960266E-3</v>
      </c>
      <c r="AJ1615" s="284">
        <f>RTD("money.excel",,$G1615,"PredictVolume")</f>
        <v>23976</v>
      </c>
      <c r="AK1615" s="399">
        <f>IFERROR(VLOOKUP($G1615,基本資料!$A:$M,13,0),"無")</f>
        <v>0.75</v>
      </c>
    </row>
    <row r="1616" spans="1:37">
      <c r="A1616" s="347">
        <f>IFERROR(VLOOKUP($G1616,基本資料!$A:$J,3,0),"無")</f>
        <v>1140</v>
      </c>
      <c r="B1616" s="79">
        <f>IFERROR(VLOOKUP($G1616,基本資料!$A:$J,4,0),"無")</f>
        <v>40</v>
      </c>
      <c r="C1616" s="79">
        <f>IFERROR(VLOOKUP($G1616,基本資料!$A:$J,5,0),"無")</f>
        <v>0</v>
      </c>
      <c r="D1616" s="79">
        <f>IFERROR(VLOOKUP($G1616,基本資料!$A:$J,6,0),"無")</f>
        <v>-17</v>
      </c>
      <c r="E1616" s="79">
        <f>IFERROR(VLOOKUP($G1616,基本資料!$A:$J,7,0),"無")</f>
        <v>12</v>
      </c>
      <c r="F1616" s="6">
        <f>IFERROR(VLOOKUP($G1616,基本資料!$A:$J,8,0),"無")</f>
        <v>0</v>
      </c>
      <c r="G1616" s="79">
        <v>2887</v>
      </c>
      <c r="H1616" s="17" t="s">
        <v>304</v>
      </c>
      <c r="I1616" s="22" t="s">
        <v>270</v>
      </c>
      <c r="J1616" s="8">
        <f>IFERROR(VLOOKUP($G1616,今日總結!$A:$AJ,35,0),"")</f>
        <v>0</v>
      </c>
      <c r="K1616" s="5">
        <f>IFERROR(VLOOKUP($G1616,今日總結!$A:$AJ,36,0),"")</f>
        <v>0</v>
      </c>
      <c r="L1616" s="156">
        <f>IFERROR(VLOOKUP($G1616,今日總結!$A:$AJ,33,0),"")</f>
        <v>0</v>
      </c>
      <c r="M1616" s="340">
        <f>IFERROR(VLOOKUP($G1616,今日總結!$A:$AJ,34,0),"")</f>
        <v>1</v>
      </c>
      <c r="N1616" s="240">
        <f t="shared" si="304"/>
        <v>-1</v>
      </c>
      <c r="P1616" s="365">
        <f>IFERROR(VLOOKUP($G1616,融外自投!$A:$J,7,0),"無")</f>
        <v>1256</v>
      </c>
      <c r="Q1616" s="79">
        <f>IFERROR(VLOOKUP($G1616,融外自投!$A:$J,9,0),"無")</f>
        <v>253</v>
      </c>
      <c r="R1616" s="346">
        <f>IFERROR(VLOOKUP($G1616,融外自投!$A:$J,8,0),"無")</f>
        <v>201</v>
      </c>
      <c r="S1616" s="81">
        <f>IFERROR(VLOOKUP($G1616,融外自投!$A:$J,10,0),"無")</f>
        <v>186</v>
      </c>
      <c r="T1616" s="327">
        <f>IFERROR(VLOOKUP($G1616,'321買'!$A:$E,5,0),"'沒有資料'")</f>
        <v>16</v>
      </c>
      <c r="U1616" s="186">
        <f>IFERROR(VLOOKUP($G1616,基本資料!$A:$J,9,0),"無")</f>
        <v>1.1000000000000001</v>
      </c>
      <c r="V1616" s="310">
        <f t="shared" si="299"/>
        <v>6.3400576368876083E-2</v>
      </c>
      <c r="W1616" s="94">
        <f>IFERROR(VLOOKUP($G1616,基本資料!$A:$J,10,0),"無")</f>
        <v>1.63</v>
      </c>
      <c r="X1616" s="36">
        <f>RTD("money.excel",,"2887","Price")</f>
        <v>17.350000000000001</v>
      </c>
      <c r="Y1616" s="66"/>
      <c r="Z1616" s="15">
        <f t="shared" si="300"/>
        <v>17.350000000000001</v>
      </c>
      <c r="AA1616" s="3" t="e">
        <f t="shared" si="301"/>
        <v>#DIV/0!</v>
      </c>
      <c r="AB1616" s="344">
        <f>IFERROR(VLOOKUP($G1616,基本資料!$A:$M,11,0),"無")</f>
        <v>-15.8</v>
      </c>
      <c r="AC1616" s="397">
        <f>IFERROR(VLOOKUP($G1616,基本資料!$A:$M,12,0),"無")</f>
        <v>25.8</v>
      </c>
      <c r="AD1616" s="22" t="s">
        <v>270</v>
      </c>
      <c r="AG1616" s="33">
        <f t="shared" si="302"/>
        <v>0</v>
      </c>
      <c r="AH1616" s="117" t="s">
        <v>2601</v>
      </c>
      <c r="AI1616" s="63">
        <f t="shared" si="303"/>
        <v>2.4972807017543861E-3</v>
      </c>
      <c r="AJ1616" s="284">
        <f>RTD("money.excel",,$G1616,"PredictVolume")</f>
        <v>28469</v>
      </c>
      <c r="AK1616" s="399">
        <f>IFERROR(VLOOKUP($G1616,基本資料!$A:$M,13,0),"無")</f>
        <v>1.05</v>
      </c>
    </row>
    <row r="1617" spans="1:37">
      <c r="A1617" s="347">
        <f>IFERROR(VLOOKUP($G1617,基本資料!$A:$J,3,0),"無")</f>
        <v>1548</v>
      </c>
      <c r="B1617" s="79">
        <f>IFERROR(VLOOKUP($G1617,基本資料!$A:$J,4,0),"無")</f>
        <v>57</v>
      </c>
      <c r="C1617" s="79">
        <f>IFERROR(VLOOKUP($G1617,基本資料!$A:$J,5,0),"無")</f>
        <v>0</v>
      </c>
      <c r="D1617" s="79">
        <f>IFERROR(VLOOKUP($G1617,基本資料!$A:$J,6,0),"無")</f>
        <v>50</v>
      </c>
      <c r="E1617" s="79">
        <f>IFERROR(VLOOKUP($G1617,基本資料!$A:$J,7,0),"無")</f>
        <v>1</v>
      </c>
      <c r="F1617" s="6">
        <f>IFERROR(VLOOKUP($G1617,基本資料!$A:$J,8,0),"無")</f>
        <v>0</v>
      </c>
      <c r="G1617" s="79">
        <v>2888</v>
      </c>
      <c r="H1617" s="17" t="s">
        <v>304</v>
      </c>
      <c r="I1617" s="22" t="s">
        <v>4658</v>
      </c>
      <c r="J1617" s="8">
        <f>IFERROR(VLOOKUP($G1617,今日總結!$A:$AJ,35,0),"")</f>
        <v>0</v>
      </c>
      <c r="K1617" s="5" t="str">
        <f>IFERROR(VLOOKUP($G1617,今日總結!$A:$AJ,36,0),"")</f>
        <v>外</v>
      </c>
      <c r="L1617" s="156">
        <f>IFERROR(VLOOKUP($G1617,今日總結!$A:$AJ,33,0),"")</f>
        <v>0</v>
      </c>
      <c r="M1617" s="340">
        <f>IFERROR(VLOOKUP($G1617,今日總結!$A:$AJ,34,0),"")</f>
        <v>2</v>
      </c>
      <c r="N1617" s="240">
        <f t="shared" si="304"/>
        <v>-2</v>
      </c>
      <c r="P1617" s="365">
        <f>IFERROR(VLOOKUP($G1617,融外自投!$A:$J,7,0),"無")</f>
        <v>926</v>
      </c>
      <c r="Q1617" s="79" t="str">
        <f>IFERROR(VLOOKUP($G1617,融外自投!$A:$J,9,0),"無")</f>
        <v>無</v>
      </c>
      <c r="R1617" s="346">
        <f>IFERROR(VLOOKUP($G1617,融外自投!$A:$J,8,0),"無")</f>
        <v>255</v>
      </c>
      <c r="S1617" s="81">
        <f>IFERROR(VLOOKUP($G1617,融外自投!$A:$J,10,0),"無")</f>
        <v>299</v>
      </c>
      <c r="T1617" s="327">
        <f>IFERROR(VLOOKUP($G1617,'321買'!$A:$E,5,0),"'沒有資料'")</f>
        <v>217</v>
      </c>
      <c r="U1617" s="186">
        <f>IFERROR(VLOOKUP($G1617,基本資料!$A:$J,9,0),"無")</f>
        <v>0.43</v>
      </c>
      <c r="V1617" s="310">
        <f t="shared" si="299"/>
        <v>4.7356828193832599E-2</v>
      </c>
      <c r="W1617" s="94">
        <f>IFERROR(VLOOKUP($G1617,基本資料!$A:$J,10,0),"無")</f>
        <v>1.67</v>
      </c>
      <c r="X1617" s="36">
        <f>RTD("money.excel",,"2888","Price")</f>
        <v>9.08</v>
      </c>
      <c r="Y1617" s="66"/>
      <c r="Z1617" s="15">
        <f t="shared" si="300"/>
        <v>9.08</v>
      </c>
      <c r="AA1617" s="3" t="e">
        <f t="shared" si="301"/>
        <v>#DIV/0!</v>
      </c>
      <c r="AB1617" s="344">
        <f>IFERROR(VLOOKUP($G1617,基本資料!$A:$M,11,0),"無")</f>
        <v>-25.19</v>
      </c>
      <c r="AC1617" s="397">
        <f>IFERROR(VLOOKUP($G1617,基本資料!$A:$M,12,0),"無")</f>
        <v>12.46</v>
      </c>
      <c r="AD1617" s="22" t="s">
        <v>4658</v>
      </c>
      <c r="AG1617" s="33">
        <f t="shared" si="302"/>
        <v>0</v>
      </c>
      <c r="AH1617" s="117" t="s">
        <v>2602</v>
      </c>
      <c r="AI1617" s="63">
        <f t="shared" si="303"/>
        <v>3.8249999999999998E-3</v>
      </c>
      <c r="AJ1617" s="284">
        <f>RTD("money.excel",,$G1617,"PredictVolume")</f>
        <v>59211</v>
      </c>
      <c r="AK1617" s="399">
        <f>IFERROR(VLOOKUP($G1617,基本資料!$A:$M,13,0),"無")</f>
        <v>3.75</v>
      </c>
    </row>
    <row r="1618" spans="1:37">
      <c r="A1618" s="347">
        <f>IFERROR(VLOOKUP($G1618,基本資料!$A:$J,3,0),"無")</f>
        <v>299</v>
      </c>
      <c r="B1618" s="79">
        <f>IFERROR(VLOOKUP($G1618,基本資料!$A:$J,4,0),"無")</f>
        <v>23</v>
      </c>
      <c r="C1618" s="79">
        <f>IFERROR(VLOOKUP($G1618,基本資料!$A:$J,5,0),"無")</f>
        <v>0</v>
      </c>
      <c r="D1618" s="79">
        <f>IFERROR(VLOOKUP($G1618,基本資料!$A:$J,6,0),"無")</f>
        <v>-8</v>
      </c>
      <c r="E1618" s="79">
        <f>IFERROR(VLOOKUP($G1618,基本資料!$A:$J,7,0),"無")</f>
        <v>-44</v>
      </c>
      <c r="F1618" s="6">
        <f>IFERROR(VLOOKUP($G1618,基本資料!$A:$J,8,0),"無")</f>
        <v>0</v>
      </c>
      <c r="G1618" s="79">
        <v>2889</v>
      </c>
      <c r="H1618" s="17" t="s">
        <v>304</v>
      </c>
      <c r="I1618" s="22" t="s">
        <v>271</v>
      </c>
      <c r="J1618" s="8">
        <f>IFERROR(VLOOKUP($G1618,今日總結!$A:$AJ,35,0),"")</f>
        <v>0</v>
      </c>
      <c r="K1618" s="5" t="str">
        <f>IFERROR(VLOOKUP($G1618,今日總結!$A:$AJ,36,0),"")</f>
        <v>外</v>
      </c>
      <c r="L1618" s="156">
        <f>IFERROR(VLOOKUP($G1618,今日總結!$A:$AJ,33,0),"")</f>
        <v>0</v>
      </c>
      <c r="M1618" s="340">
        <f>IFERROR(VLOOKUP($G1618,今日總結!$A:$AJ,34,0),"")</f>
        <v>2</v>
      </c>
      <c r="N1618" s="240">
        <f t="shared" si="304"/>
        <v>-2</v>
      </c>
      <c r="P1618" s="365">
        <f>IFERROR(VLOOKUP($G1618,融外自投!$A:$J,7,0),"無")</f>
        <v>1339</v>
      </c>
      <c r="Q1618" s="79">
        <f>IFERROR(VLOOKUP($G1618,融外自投!$A:$J,9,0),"無")</f>
        <v>734</v>
      </c>
      <c r="R1618" s="346">
        <f>IFERROR(VLOOKUP($G1618,融外自投!$A:$J,8,0),"無")</f>
        <v>473</v>
      </c>
      <c r="S1618" s="81">
        <f>IFERROR(VLOOKUP($G1618,融外自投!$A:$J,10,0),"無")</f>
        <v>407</v>
      </c>
      <c r="T1618" s="327">
        <f>IFERROR(VLOOKUP($G1618,'321買'!$A:$E,5,0),"'沒有資料'")</f>
        <v>379</v>
      </c>
      <c r="U1618" s="186">
        <f>IFERROR(VLOOKUP($G1618,基本資料!$A:$J,9,0),"無")</f>
        <v>1.1499999999999999</v>
      </c>
      <c r="V1618" s="310">
        <f t="shared" si="299"/>
        <v>7.371794871794872E-2</v>
      </c>
      <c r="W1618" s="94">
        <f>IFERROR(VLOOKUP($G1618,基本資料!$A:$J,10,0),"無")</f>
        <v>1.3</v>
      </c>
      <c r="X1618" s="36">
        <f>RTD("money.excel",,"2889","Price")</f>
        <v>15.6</v>
      </c>
      <c r="Y1618" s="66"/>
      <c r="Z1618" s="15">
        <f t="shared" si="300"/>
        <v>15.6</v>
      </c>
      <c r="AA1618" s="3" t="e">
        <f t="shared" si="301"/>
        <v>#DIV/0!</v>
      </c>
      <c r="AB1618" s="344">
        <f>IFERROR(VLOOKUP($G1618,基本資料!$A:$M,11,0),"無")</f>
        <v>-11.86</v>
      </c>
      <c r="AC1618" s="397">
        <f>IFERROR(VLOOKUP($G1618,基本資料!$A:$M,12,0),"無")</f>
        <v>46.51</v>
      </c>
      <c r="AD1618" s="22" t="s">
        <v>271</v>
      </c>
      <c r="AG1618" s="33">
        <f t="shared" si="302"/>
        <v>0</v>
      </c>
      <c r="AH1618" s="117" t="s">
        <v>2024</v>
      </c>
      <c r="AI1618" s="63">
        <f t="shared" si="303"/>
        <v>1.2093645484949833E-3</v>
      </c>
      <c r="AJ1618" s="284">
        <f>RTD("money.excel",,$G1618,"PredictVolume")</f>
        <v>3616</v>
      </c>
      <c r="AK1618" s="399">
        <f>IFERROR(VLOOKUP($G1618,基本資料!$A:$M,13,0),"無")</f>
        <v>1.41</v>
      </c>
    </row>
    <row r="1619" spans="1:37">
      <c r="A1619" s="347">
        <f>IFERROR(VLOOKUP($G1619,基本資料!$A:$J,3,0),"無")</f>
        <v>1127</v>
      </c>
      <c r="B1619" s="79">
        <f>IFERROR(VLOOKUP($G1619,基本資料!$A:$J,4,0),"無")</f>
        <v>32</v>
      </c>
      <c r="C1619" s="79">
        <f>IFERROR(VLOOKUP($G1619,基本資料!$A:$J,5,0),"無")</f>
        <v>0</v>
      </c>
      <c r="D1619" s="79">
        <f>IFERROR(VLOOKUP($G1619,基本資料!$A:$J,6,0),"無")</f>
        <v>-13</v>
      </c>
      <c r="E1619" s="79">
        <f>IFERROR(VLOOKUP($G1619,基本資料!$A:$J,7,0),"無")</f>
        <v>7</v>
      </c>
      <c r="F1619" s="6">
        <f>IFERROR(VLOOKUP($G1619,基本資料!$A:$J,8,0),"無")</f>
        <v>0</v>
      </c>
      <c r="G1619" s="79">
        <v>2890</v>
      </c>
      <c r="H1619" s="17" t="s">
        <v>304</v>
      </c>
      <c r="I1619" s="22" t="s">
        <v>4659</v>
      </c>
      <c r="J1619" s="8" t="str">
        <f>IFERROR(VLOOKUP($G1619,今日總結!$A:$AJ,35,0),"")</f>
        <v>自投</v>
      </c>
      <c r="K1619" s="5">
        <f>IFERROR(VLOOKUP($G1619,今日總結!$A:$AJ,36,0),"")</f>
        <v>0</v>
      </c>
      <c r="L1619" s="156">
        <f>IFERROR(VLOOKUP($G1619,今日總結!$A:$AJ,33,0),"")</f>
        <v>2</v>
      </c>
      <c r="M1619" s="340">
        <f>IFERROR(VLOOKUP($G1619,今日總結!$A:$AJ,34,0),"")</f>
        <v>0</v>
      </c>
      <c r="N1619" s="240">
        <f t="shared" si="304"/>
        <v>2</v>
      </c>
      <c r="P1619" s="365">
        <f>IFERROR(VLOOKUP($G1619,融外自投!$A:$J,7,0),"無")</f>
        <v>1401</v>
      </c>
      <c r="Q1619" s="79">
        <f>IFERROR(VLOOKUP($G1619,融外自投!$A:$J,9,0),"無")</f>
        <v>537</v>
      </c>
      <c r="R1619" s="346">
        <f>IFERROR(VLOOKUP($G1619,融外自投!$A:$J,8,0),"無")</f>
        <v>193</v>
      </c>
      <c r="S1619" s="81">
        <f>IFERROR(VLOOKUP($G1619,融外自投!$A:$J,10,0),"無")</f>
        <v>138</v>
      </c>
      <c r="T1619" s="327">
        <f>IFERROR(VLOOKUP($G1619,'321買'!$A:$E,5,0),"'沒有資料'")</f>
        <v>21</v>
      </c>
      <c r="U1619" s="186">
        <f>IFERROR(VLOOKUP($G1619,基本資料!$A:$J,9,0),"無")</f>
        <v>0.9</v>
      </c>
      <c r="V1619" s="310">
        <f t="shared" si="299"/>
        <v>5.1873198847262242E-2</v>
      </c>
      <c r="W1619" s="94">
        <f>IFERROR(VLOOKUP($G1619,基本資料!$A:$J,10,0),"無")</f>
        <v>1.44</v>
      </c>
      <c r="X1619" s="36">
        <f>RTD("money.excel",,"2890","Price")</f>
        <v>17.350000000000001</v>
      </c>
      <c r="Y1619" s="66"/>
      <c r="Z1619" s="15">
        <f t="shared" si="300"/>
        <v>17.350000000000001</v>
      </c>
      <c r="AA1619" s="3" t="e">
        <f t="shared" si="301"/>
        <v>#DIV/0!</v>
      </c>
      <c r="AB1619" s="344">
        <f>IFERROR(VLOOKUP($G1619,基本資料!$A:$M,11,0),"無")</f>
        <v>-11.11</v>
      </c>
      <c r="AC1619" s="397">
        <f>IFERROR(VLOOKUP($G1619,基本資料!$A:$M,12,0),"無")</f>
        <v>48.2</v>
      </c>
      <c r="AD1619" s="22" t="s">
        <v>4659</v>
      </c>
      <c r="AG1619" s="33">
        <f t="shared" si="302"/>
        <v>0</v>
      </c>
      <c r="AH1619" s="117" t="s">
        <v>1450</v>
      </c>
      <c r="AI1619" s="63">
        <f t="shared" si="303"/>
        <v>1.5987577639751552E-3</v>
      </c>
      <c r="AJ1619" s="284">
        <f>RTD("money.excel",,$G1619,"PredictVolume")</f>
        <v>18018</v>
      </c>
      <c r="AK1619" s="399">
        <f>IFERROR(VLOOKUP($G1619,基本資料!$A:$M,13,0),"無")</f>
        <v>0.98</v>
      </c>
    </row>
    <row r="1620" spans="1:37">
      <c r="A1620" s="347">
        <f>IFERROR(VLOOKUP($G1620,基本資料!$A:$J,3,0),"無")</f>
        <v>1949</v>
      </c>
      <c r="B1620" s="79">
        <f>IFERROR(VLOOKUP($G1620,基本資料!$A:$J,4,0),"無")</f>
        <v>26</v>
      </c>
      <c r="C1620" s="79">
        <f>IFERROR(VLOOKUP($G1620,基本資料!$A:$J,5,0),"無")</f>
        <v>0</v>
      </c>
      <c r="D1620" s="79">
        <f>IFERROR(VLOOKUP($G1620,基本資料!$A:$J,6,0),"無")</f>
        <v>-4</v>
      </c>
      <c r="E1620" s="79">
        <f>IFERROR(VLOOKUP($G1620,基本資料!$A:$J,7,0),"無")</f>
        <v>28</v>
      </c>
      <c r="F1620" s="6">
        <f>IFERROR(VLOOKUP($G1620,基本資料!$A:$J,8,0),"無")</f>
        <v>0</v>
      </c>
      <c r="G1620" s="79">
        <v>2891</v>
      </c>
      <c r="H1620" s="17" t="s">
        <v>304</v>
      </c>
      <c r="I1620" s="22" t="s">
        <v>4660</v>
      </c>
      <c r="J1620" s="8" t="str">
        <f>IFERROR(VLOOKUP($G1620,今日總結!$A:$AJ,35,0),"")</f>
        <v/>
      </c>
      <c r="K1620" s="5" t="str">
        <f>IFERROR(VLOOKUP($G1620,今日總結!$A:$AJ,36,0),"")</f>
        <v/>
      </c>
      <c r="L1620" s="156" t="str">
        <f>IFERROR(VLOOKUP($G1620,今日總結!$A:$AJ,33,0),"")</f>
        <v/>
      </c>
      <c r="M1620" s="340" t="str">
        <f>IFERROR(VLOOKUP($G1620,今日總結!$A:$AJ,34,0),"")</f>
        <v/>
      </c>
      <c r="N1620" s="240" t="str">
        <f t="shared" si="304"/>
        <v/>
      </c>
      <c r="P1620" s="365">
        <f>IFERROR(VLOOKUP($G1620,融外自投!$A:$J,7,0),"無")</f>
        <v>1377</v>
      </c>
      <c r="Q1620" s="79">
        <f>IFERROR(VLOOKUP($G1620,融外自投!$A:$J,9,0),"無")</f>
        <v>614</v>
      </c>
      <c r="R1620" s="346">
        <f>IFERROR(VLOOKUP($G1620,融外自投!$A:$J,8,0),"無")</f>
        <v>103</v>
      </c>
      <c r="S1620" s="81">
        <f>IFERROR(VLOOKUP($G1620,融外自投!$A:$J,10,0),"無")</f>
        <v>133</v>
      </c>
      <c r="T1620" s="327">
        <f>IFERROR(VLOOKUP($G1620,'321買'!$A:$E,5,0),"'沒有資料'")</f>
        <v>20</v>
      </c>
      <c r="U1620" s="186">
        <f>IFERROR(VLOOKUP($G1620,基本資料!$A:$J,9,0),"無")</f>
        <v>1.25</v>
      </c>
      <c r="V1620" s="310">
        <f t="shared" si="299"/>
        <v>4.6125461254612546E-2</v>
      </c>
      <c r="W1620" s="94">
        <f>IFERROR(VLOOKUP($G1620,基本資料!$A:$J,10,0),"無")</f>
        <v>2.73</v>
      </c>
      <c r="X1620" s="36">
        <f>RTD("money.excel",,"2891","Price")</f>
        <v>27.1</v>
      </c>
      <c r="Y1620" s="66"/>
      <c r="Z1620" s="15">
        <f t="shared" si="300"/>
        <v>27.1</v>
      </c>
      <c r="AA1620" s="3" t="e">
        <f t="shared" si="301"/>
        <v>#DIV/0!</v>
      </c>
      <c r="AB1620" s="344">
        <f>IFERROR(VLOOKUP($G1620,基本資料!$A:$M,11,0),"無")</f>
        <v>-11.79</v>
      </c>
      <c r="AC1620" s="397">
        <f>IFERROR(VLOOKUP($G1620,基本資料!$A:$M,12,0),"無")</f>
        <v>48.84</v>
      </c>
      <c r="AD1620" s="22" t="s">
        <v>4660</v>
      </c>
      <c r="AG1620" s="33">
        <f t="shared" si="302"/>
        <v>0</v>
      </c>
      <c r="AH1620" s="117" t="s">
        <v>2620</v>
      </c>
      <c r="AI1620" s="63">
        <f t="shared" si="303"/>
        <v>2.0627501282709081E-3</v>
      </c>
      <c r="AJ1620" s="284">
        <f>RTD("money.excel",,$G1620,"PredictVolume")</f>
        <v>40203</v>
      </c>
      <c r="AK1620" s="399">
        <f>IFERROR(VLOOKUP($G1620,基本資料!$A:$M,13,0),"無")</f>
        <v>0.87</v>
      </c>
    </row>
    <row r="1621" spans="1:37">
      <c r="A1621" s="347">
        <f>IFERROR(VLOOKUP($G1621,基本資料!$A:$J,3,0),"無")</f>
        <v>1296</v>
      </c>
      <c r="B1621" s="79">
        <f>IFERROR(VLOOKUP($G1621,基本資料!$A:$J,4,0),"無")</f>
        <v>17</v>
      </c>
      <c r="C1621" s="79">
        <f>IFERROR(VLOOKUP($G1621,基本資料!$A:$J,5,0),"無")</f>
        <v>0</v>
      </c>
      <c r="D1621" s="79">
        <f>IFERROR(VLOOKUP($G1621,基本資料!$A:$J,6,0),"無")</f>
        <v>32</v>
      </c>
      <c r="E1621" s="79">
        <f>IFERROR(VLOOKUP($G1621,基本資料!$A:$J,7,0),"無")</f>
        <v>-5</v>
      </c>
      <c r="F1621" s="6">
        <f>IFERROR(VLOOKUP($G1621,基本資料!$A:$J,8,0),"無")</f>
        <v>0</v>
      </c>
      <c r="G1621" s="79">
        <v>2892</v>
      </c>
      <c r="H1621" s="17" t="s">
        <v>304</v>
      </c>
      <c r="I1621" s="22" t="s">
        <v>272</v>
      </c>
      <c r="J1621" s="8" t="str">
        <f>IFERROR(VLOOKUP($G1621,今日總結!$A:$AJ,35,0),"")</f>
        <v>投</v>
      </c>
      <c r="K1621" s="5">
        <f>IFERROR(VLOOKUP($G1621,今日總結!$A:$AJ,36,0),"")</f>
        <v>0</v>
      </c>
      <c r="L1621" s="156">
        <f>IFERROR(VLOOKUP($G1621,今日總結!$A:$AJ,33,0),"")</f>
        <v>1</v>
      </c>
      <c r="M1621" s="340">
        <f>IFERROR(VLOOKUP($G1621,今日總結!$A:$AJ,34,0),"")</f>
        <v>0</v>
      </c>
      <c r="N1621" s="240">
        <f t="shared" si="304"/>
        <v>1</v>
      </c>
      <c r="P1621" s="365">
        <f>IFERROR(VLOOKUP($G1621,融外自投!$A:$J,7,0),"無")</f>
        <v>1431</v>
      </c>
      <c r="Q1621" s="79">
        <f>IFERROR(VLOOKUP($G1621,融外自投!$A:$J,9,0),"無")</f>
        <v>667</v>
      </c>
      <c r="R1621" s="346">
        <f>IFERROR(VLOOKUP($G1621,融外自投!$A:$J,8,0),"無")</f>
        <v>227</v>
      </c>
      <c r="S1621" s="81">
        <f>IFERROR(VLOOKUP($G1621,融外自投!$A:$J,10,0),"無")</f>
        <v>140</v>
      </c>
      <c r="T1621" s="327">
        <f>IFERROR(VLOOKUP($G1621,'321買'!$A:$E,5,0),"'沒有資料'")</f>
        <v>35</v>
      </c>
      <c r="U1621" s="186">
        <f>IFERROR(VLOOKUP($G1621,基本資料!$A:$J,9,0),"無")</f>
        <v>1.2</v>
      </c>
      <c r="V1621" s="310">
        <f t="shared" si="299"/>
        <v>4.5540796963946868E-2</v>
      </c>
      <c r="W1621" s="94">
        <f>IFERROR(VLOOKUP($G1621,基本資料!$A:$J,10,0),"無")</f>
        <v>1.52</v>
      </c>
      <c r="X1621" s="36">
        <f>RTD("money.excel",,"2892","Price")</f>
        <v>26.35</v>
      </c>
      <c r="Y1621" s="66"/>
      <c r="Z1621" s="15">
        <f t="shared" si="300"/>
        <v>26.35</v>
      </c>
      <c r="AA1621" s="3" t="e">
        <f t="shared" si="301"/>
        <v>#DIV/0!</v>
      </c>
      <c r="AB1621" s="344">
        <f>IFERROR(VLOOKUP($G1621,基本資料!$A:$M,11,0),"無")</f>
        <v>-13</v>
      </c>
      <c r="AC1621" s="397">
        <f>IFERROR(VLOOKUP($G1621,基本資料!$A:$M,12,0),"無")</f>
        <v>43.69</v>
      </c>
      <c r="AD1621" s="22" t="s">
        <v>272</v>
      </c>
      <c r="AG1621" s="33">
        <f t="shared" si="302"/>
        <v>0</v>
      </c>
      <c r="AH1621" s="117" t="s">
        <v>1503</v>
      </c>
      <c r="AI1621" s="63">
        <f t="shared" si="303"/>
        <v>1.3325617283950618E-3</v>
      </c>
      <c r="AJ1621" s="284">
        <f>RTD("money.excel",,$G1621,"PredictVolume")</f>
        <v>17270</v>
      </c>
      <c r="AK1621" s="399">
        <f>IFERROR(VLOOKUP($G1621,基本資料!$A:$M,13,0),"無")</f>
        <v>0.5</v>
      </c>
    </row>
    <row r="1622" spans="1:37">
      <c r="A1622" s="347">
        <f>IFERROR(VLOOKUP($G1622,基本資料!$A:$J,3,0),"無")</f>
        <v>273</v>
      </c>
      <c r="B1622" s="79">
        <f>IFERROR(VLOOKUP($G1622,基本資料!$A:$J,4,0),"無")</f>
        <v>39</v>
      </c>
      <c r="C1622" s="79">
        <f>IFERROR(VLOOKUP($G1622,基本資料!$A:$J,5,0),"無")</f>
        <v>0</v>
      </c>
      <c r="D1622" s="79">
        <f>IFERROR(VLOOKUP($G1622,基本資料!$A:$J,6,0),"無")</f>
        <v>-8</v>
      </c>
      <c r="E1622" s="79">
        <f>IFERROR(VLOOKUP($G1622,基本資料!$A:$J,7,0),"無")</f>
        <v>-14</v>
      </c>
      <c r="F1622" s="6">
        <f>IFERROR(VLOOKUP($G1622,基本資料!$A:$J,8,0),"無")</f>
        <v>0</v>
      </c>
      <c r="G1622" s="79">
        <v>2897</v>
      </c>
      <c r="H1622" s="17" t="s">
        <v>304</v>
      </c>
      <c r="I1622" s="22" t="s">
        <v>336</v>
      </c>
      <c r="J1622" s="8" t="str">
        <f>IFERROR(VLOOKUP($G1622,今日總結!$A:$AJ,35,0),"")</f>
        <v/>
      </c>
      <c r="K1622" s="5" t="str">
        <f>IFERROR(VLOOKUP($G1622,今日總結!$A:$AJ,36,0),"")</f>
        <v/>
      </c>
      <c r="L1622" s="156" t="str">
        <f>IFERROR(VLOOKUP($G1622,今日總結!$A:$AJ,33,0),"")</f>
        <v/>
      </c>
      <c r="M1622" s="340" t="str">
        <f>IFERROR(VLOOKUP($G1622,今日總結!$A:$AJ,34,0),"")</f>
        <v/>
      </c>
      <c r="N1622" s="240" t="str">
        <f t="shared" si="304"/>
        <v/>
      </c>
      <c r="P1622" s="365">
        <f>IFERROR(VLOOKUP($G1622,融外自投!$A:$J,7,0),"無")</f>
        <v>1075</v>
      </c>
      <c r="Q1622" s="79">
        <f>IFERROR(VLOOKUP($G1622,融外自投!$A:$J,9,0),"無")</f>
        <v>789</v>
      </c>
      <c r="R1622" s="346">
        <f>IFERROR(VLOOKUP($G1622,融外自投!$A:$J,8,0),"無")</f>
        <v>744</v>
      </c>
      <c r="S1622" s="81">
        <f>IFERROR(VLOOKUP($G1622,融外自投!$A:$J,10,0),"無")</f>
        <v>395</v>
      </c>
      <c r="T1622" s="327">
        <f>IFERROR(VLOOKUP($G1622,'321買'!$A:$E,5,0),"'沒有資料'")</f>
        <v>232</v>
      </c>
      <c r="U1622" s="186">
        <f>IFERROR(VLOOKUP($G1622,基本資料!$A:$J,9,0),"無")</f>
        <v>0.3</v>
      </c>
      <c r="V1622" s="310">
        <f t="shared" si="299"/>
        <v>3.4246575342465752E-2</v>
      </c>
      <c r="W1622" s="94">
        <f>IFERROR(VLOOKUP($G1622,基本資料!$A:$J,10,0),"無")</f>
        <v>0.63</v>
      </c>
      <c r="X1622" s="36">
        <f>RTD("money.excel",,"2897","Price")</f>
        <v>8.76</v>
      </c>
      <c r="Y1622" s="66"/>
      <c r="Z1622" s="15">
        <f t="shared" si="300"/>
        <v>8.76</v>
      </c>
      <c r="AA1622" s="3" t="e">
        <f t="shared" si="301"/>
        <v>#DIV/0!</v>
      </c>
      <c r="AB1622" s="344">
        <f>IFERROR(VLOOKUP($G1622,基本資料!$A:$M,11,0),"無")</f>
        <v>-23.27</v>
      </c>
      <c r="AC1622" s="397">
        <f>IFERROR(VLOOKUP($G1622,基本資料!$A:$M,12,0),"無")</f>
        <v>29.6</v>
      </c>
      <c r="AD1622" s="22" t="s">
        <v>336</v>
      </c>
      <c r="AG1622" s="33">
        <f t="shared" si="302"/>
        <v>0</v>
      </c>
      <c r="AH1622" s="43" t="s">
        <v>2026</v>
      </c>
      <c r="AI1622" s="63">
        <f t="shared" si="303"/>
        <v>2.3322344322344321E-3</v>
      </c>
      <c r="AJ1622" s="284">
        <f>RTD("money.excel",,$G1622,"PredictVolume")</f>
        <v>6367</v>
      </c>
      <c r="AK1622" s="399">
        <f>IFERROR(VLOOKUP($G1622,基本資料!$A:$M,13,0),"無")</f>
        <v>5.05</v>
      </c>
    </row>
    <row r="1623" spans="1:37">
      <c r="A1623" s="347">
        <f>IFERROR(VLOOKUP($G1623,基本資料!$A:$J,3,0),"無")</f>
        <v>383</v>
      </c>
      <c r="B1623" s="79">
        <f>IFERROR(VLOOKUP($G1623,基本資料!$A:$J,4,0),"無")</f>
        <v>40</v>
      </c>
      <c r="C1623" s="79">
        <f>IFERROR(VLOOKUP($G1623,基本資料!$A:$J,5,0),"無")</f>
        <v>0</v>
      </c>
      <c r="D1623" s="79">
        <f>IFERROR(VLOOKUP($G1623,基本資料!$A:$J,6,0),"無")</f>
        <v>-23</v>
      </c>
      <c r="E1623" s="79">
        <f>IFERROR(VLOOKUP($G1623,基本資料!$A:$J,7,0),"無")</f>
        <v>-33</v>
      </c>
      <c r="F1623" s="6">
        <f>IFERROR(VLOOKUP($G1623,基本資料!$A:$J,8,0),"無")</f>
        <v>0</v>
      </c>
      <c r="G1623" s="79">
        <v>5820</v>
      </c>
      <c r="H1623" s="17" t="s">
        <v>304</v>
      </c>
      <c r="I1623" s="16" t="s">
        <v>4661</v>
      </c>
      <c r="J1623" s="8" t="str">
        <f>IFERROR(VLOOKUP($G1623,今日總結!$A:$AJ,35,0),"")</f>
        <v>主</v>
      </c>
      <c r="K1623" s="5">
        <f>IFERROR(VLOOKUP($G1623,今日總結!$A:$AJ,36,0),"")</f>
        <v>0</v>
      </c>
      <c r="L1623" s="156">
        <f>IFERROR(VLOOKUP($G1623,今日總結!$A:$AJ,33,0),"")</f>
        <v>1</v>
      </c>
      <c r="M1623" s="340">
        <f>IFERROR(VLOOKUP($G1623,今日總結!$A:$AJ,34,0),"")</f>
        <v>0</v>
      </c>
      <c r="N1623" s="240">
        <f t="shared" si="304"/>
        <v>1</v>
      </c>
      <c r="P1623" s="365">
        <f>IFERROR(VLOOKUP($G1623,融外自投!$A:$J,7,0),"無")</f>
        <v>1460</v>
      </c>
      <c r="Q1623" s="79">
        <f>IFERROR(VLOOKUP($G1623,融外自投!$A:$J,9,0),"無")</f>
        <v>1051</v>
      </c>
      <c r="R1623" s="346">
        <f>IFERROR(VLOOKUP($G1623,融外自投!$A:$J,8,0),"無")</f>
        <v>210</v>
      </c>
      <c r="S1623" s="81" t="str">
        <f>IFERROR(VLOOKUP($G1623,融外自投!$A:$J,10,0),"無")</f>
        <v>無</v>
      </c>
      <c r="T1623" s="327">
        <f>IFERROR(VLOOKUP($G1623,'321買'!$A:$E,5,0),"'沒有資料'")</f>
        <v>752</v>
      </c>
      <c r="U1623" s="186">
        <f>IFERROR(VLOOKUP($G1623,基本資料!$A:$J,9,0),"無")</f>
        <v>0.7</v>
      </c>
      <c r="V1623" s="310">
        <f t="shared" si="299"/>
        <v>5.6451612903225798E-2</v>
      </c>
      <c r="W1623" s="94">
        <f>IFERROR(VLOOKUP($G1623,基本資料!$A:$J,10,0),"無")</f>
        <v>1.06</v>
      </c>
      <c r="X1623" s="36">
        <f>RTD("money.excel",,"5820","Price")</f>
        <v>12.4</v>
      </c>
      <c r="Y1623" s="66"/>
      <c r="Z1623" s="15">
        <f t="shared" si="300"/>
        <v>12.4</v>
      </c>
      <c r="AA1623" s="3" t="e">
        <f t="shared" si="301"/>
        <v>#DIV/0!</v>
      </c>
      <c r="AB1623" s="344">
        <f>IFERROR(VLOOKUP($G1623,基本資料!$A:$M,11,0),"無")</f>
        <v>-5</v>
      </c>
      <c r="AC1623" s="397">
        <f>IFERROR(VLOOKUP($G1623,基本資料!$A:$M,12,0),"無")</f>
        <v>19.14</v>
      </c>
      <c r="AD1623" s="16" t="s">
        <v>4661</v>
      </c>
      <c r="AG1623" s="33">
        <f t="shared" si="302"/>
        <v>0</v>
      </c>
      <c r="AH1623" s="117" t="s">
        <v>1992</v>
      </c>
      <c r="AI1623" s="63">
        <f t="shared" si="303"/>
        <v>1.4725848563968669E-4</v>
      </c>
      <c r="AJ1623" s="284">
        <f>RTD("money.excel",,$G1623,"PredictVolume")</f>
        <v>564</v>
      </c>
      <c r="AK1623" s="399">
        <f>IFERROR(VLOOKUP($G1623,基本資料!$A:$M,13,0),"無")</f>
        <v>0.97</v>
      </c>
    </row>
    <row r="1624" spans="1:37">
      <c r="A1624" s="347">
        <f>IFERROR(VLOOKUP($G1624,基本資料!$A:$J,3,0),"無")</f>
        <v>25.17</v>
      </c>
      <c r="B1624" s="79">
        <f>IFERROR(VLOOKUP($G1624,基本資料!$A:$J,4,0),"無")</f>
        <v>49</v>
      </c>
      <c r="C1624" s="79">
        <f>IFERROR(VLOOKUP($G1624,基本資料!$A:$J,5,0),"無")</f>
        <v>53</v>
      </c>
      <c r="D1624" s="79">
        <f>IFERROR(VLOOKUP($G1624,基本資料!$A:$J,6,0),"無")</f>
        <v>-223</v>
      </c>
      <c r="E1624" s="79">
        <f>IFERROR(VLOOKUP($G1624,基本資料!$A:$J,7,0),"無")</f>
        <v>-126</v>
      </c>
      <c r="F1624" s="6">
        <f>IFERROR(VLOOKUP($G1624,基本資料!$A:$J,8,0),"無")</f>
        <v>67.22</v>
      </c>
      <c r="G1624" s="79">
        <v>5864</v>
      </c>
      <c r="H1624" s="17" t="s">
        <v>304</v>
      </c>
      <c r="I1624" s="16" t="s">
        <v>4662</v>
      </c>
      <c r="J1624" s="8" t="str">
        <f>IFERROR(VLOOKUP($G1624,今日總結!$A:$AJ,35,0),"")</f>
        <v/>
      </c>
      <c r="K1624" s="5" t="str">
        <f>IFERROR(VLOOKUP($G1624,今日總結!$A:$AJ,36,0),"")</f>
        <v/>
      </c>
      <c r="L1624" s="156" t="str">
        <f>IFERROR(VLOOKUP($G1624,今日總結!$A:$AJ,33,0),"")</f>
        <v/>
      </c>
      <c r="M1624" s="340" t="str">
        <f>IFERROR(VLOOKUP($G1624,今日總結!$A:$AJ,34,0),"")</f>
        <v/>
      </c>
      <c r="N1624" s="240" t="str">
        <f t="shared" si="304"/>
        <v/>
      </c>
      <c r="P1624" s="365">
        <f>IFERROR(VLOOKUP($G1624,融外自投!$A:$J,7,0),"無")</f>
        <v>550</v>
      </c>
      <c r="Q1624" s="79" t="str">
        <f>IFERROR(VLOOKUP($G1624,融外自投!$A:$J,9,0),"無")</f>
        <v>無</v>
      </c>
      <c r="R1624" s="346">
        <f>IFERROR(VLOOKUP($G1624,融外自投!$A:$J,8,0),"無")</f>
        <v>1364</v>
      </c>
      <c r="S1624" s="81" t="str">
        <f>IFERROR(VLOOKUP($G1624,融外自投!$A:$J,10,0),"無")</f>
        <v>無</v>
      </c>
      <c r="T1624" s="327">
        <f>IFERROR(VLOOKUP($G1624,'321買'!$A:$E,5,0),"'沒有資料'")</f>
        <v>1038</v>
      </c>
      <c r="U1624" s="186">
        <f>IFERROR(VLOOKUP($G1624,基本資料!$A:$J,9,0),"無")</f>
        <v>1.2</v>
      </c>
      <c r="V1624" s="310">
        <f t="shared" si="299"/>
        <v>8.3916083916083906E-2</v>
      </c>
      <c r="W1624" s="94">
        <f>IFERROR(VLOOKUP($G1624,基本資料!$A:$J,10,0),"無")</f>
        <v>2.79</v>
      </c>
      <c r="X1624" s="36">
        <f>RTD("money.excel",,"5864","Price")</f>
        <v>14.3</v>
      </c>
      <c r="Y1624" s="66"/>
      <c r="Z1624" s="15">
        <f t="shared" si="300"/>
        <v>14.3</v>
      </c>
      <c r="AA1624" s="3" t="e">
        <f t="shared" si="301"/>
        <v>#DIV/0!</v>
      </c>
      <c r="AB1624" s="344">
        <f>IFERROR(VLOOKUP($G1624,基本資料!$A:$M,11,0),"無")</f>
        <v>-37.65</v>
      </c>
      <c r="AC1624" s="397">
        <f>IFERROR(VLOOKUP($G1624,基本資料!$A:$M,12,0),"無")</f>
        <v>28.25</v>
      </c>
      <c r="AD1624" s="16" t="s">
        <v>4662</v>
      </c>
      <c r="AG1624" s="33">
        <f t="shared" si="302"/>
        <v>0</v>
      </c>
      <c r="AH1624" s="43" t="s">
        <v>2196</v>
      </c>
      <c r="AI1624" s="63">
        <f t="shared" si="303"/>
        <v>1.3190305919745728E-3</v>
      </c>
      <c r="AJ1624" s="284">
        <f>RTD("money.excel",,$G1624,"PredictVolume")</f>
        <v>332</v>
      </c>
      <c r="AK1624" s="399">
        <f>IFERROR(VLOOKUP($G1624,基本資料!$A:$M,13,0),"無")</f>
        <v>4.45</v>
      </c>
    </row>
    <row r="1625" spans="1:37">
      <c r="A1625" s="347">
        <f>IFERROR(VLOOKUP($G1625,基本資料!$A:$J,3,0),"無")</f>
        <v>448</v>
      </c>
      <c r="B1625" s="79">
        <f>IFERROR(VLOOKUP($G1625,基本資料!$A:$J,4,0),"無")</f>
        <v>4</v>
      </c>
      <c r="C1625" s="79">
        <f>IFERROR(VLOOKUP($G1625,基本資料!$A:$J,5,0),"無")</f>
        <v>0</v>
      </c>
      <c r="D1625" s="79">
        <f>IFERROR(VLOOKUP($G1625,基本資料!$A:$J,6,0),"無")</f>
        <v>-14</v>
      </c>
      <c r="E1625" s="79">
        <f>IFERROR(VLOOKUP($G1625,基本資料!$A:$J,7,0),"無")</f>
        <v>14</v>
      </c>
      <c r="F1625" s="6">
        <f>IFERROR(VLOOKUP($G1625,基本資料!$A:$J,8,0),"無")</f>
        <v>0</v>
      </c>
      <c r="G1625" s="79">
        <v>5876</v>
      </c>
      <c r="H1625" s="17" t="s">
        <v>304</v>
      </c>
      <c r="I1625" s="22" t="s">
        <v>1125</v>
      </c>
      <c r="J1625" s="8" t="str">
        <f>IFERROR(VLOOKUP($G1625,今日總結!$A:$AJ,35,0),"")</f>
        <v/>
      </c>
      <c r="K1625" s="5" t="str">
        <f>IFERROR(VLOOKUP($G1625,今日總結!$A:$AJ,36,0),"")</f>
        <v/>
      </c>
      <c r="L1625" s="156" t="str">
        <f>IFERROR(VLOOKUP($G1625,今日總結!$A:$AJ,33,0),"")</f>
        <v/>
      </c>
      <c r="M1625" s="340" t="str">
        <f>IFERROR(VLOOKUP($G1625,今日總結!$A:$AJ,34,0),"")</f>
        <v/>
      </c>
      <c r="N1625" s="240" t="str">
        <f t="shared" si="304"/>
        <v/>
      </c>
      <c r="P1625" s="365">
        <f>IFERROR(VLOOKUP($G1625,融外自投!$A:$J,7,0),"無")</f>
        <v>1420</v>
      </c>
      <c r="Q1625" s="79">
        <f>IFERROR(VLOOKUP($G1625,融外自投!$A:$J,9,0),"無")</f>
        <v>635</v>
      </c>
      <c r="R1625" s="346">
        <f>IFERROR(VLOOKUP($G1625,融外自投!$A:$J,8,0),"無")</f>
        <v>52</v>
      </c>
      <c r="S1625" s="81">
        <f>IFERROR(VLOOKUP($G1625,融外自投!$A:$J,10,0),"無")</f>
        <v>220</v>
      </c>
      <c r="T1625" s="327">
        <f>IFERROR(VLOOKUP($G1625,'321買'!$A:$E,5,0),"'沒有資料'")</f>
        <v>71</v>
      </c>
      <c r="U1625" s="186">
        <f>IFERROR(VLOOKUP($G1625,基本資料!$A:$J,9,0),"無")</f>
        <v>1.8</v>
      </c>
      <c r="V1625" s="310">
        <f t="shared" si="299"/>
        <v>3.8420490928495199E-2</v>
      </c>
      <c r="W1625" s="94">
        <f>IFERROR(VLOOKUP($G1625,基本資料!$A:$J,10,0),"無")</f>
        <v>3.19</v>
      </c>
      <c r="X1625" s="36">
        <f>RTD("money.excel",,"5876","Price")</f>
        <v>46.85</v>
      </c>
      <c r="Y1625" s="66"/>
      <c r="Z1625" s="15">
        <f t="shared" si="300"/>
        <v>46.85</v>
      </c>
      <c r="AA1625" s="3" t="e">
        <f t="shared" si="301"/>
        <v>#DIV/0!</v>
      </c>
      <c r="AB1625" s="344">
        <f>IFERROR(VLOOKUP($G1625,基本資料!$A:$M,11,0),"無")</f>
        <v>-7.84</v>
      </c>
      <c r="AC1625" s="397">
        <f>IFERROR(VLOOKUP($G1625,基本資料!$A:$M,12,0),"無")</f>
        <v>55.01</v>
      </c>
      <c r="AD1625" s="22" t="s">
        <v>1125</v>
      </c>
      <c r="AG1625" s="33">
        <f t="shared" si="302"/>
        <v>0</v>
      </c>
      <c r="AH1625" s="43" t="s">
        <v>1126</v>
      </c>
      <c r="AI1625" s="63">
        <f t="shared" si="303"/>
        <v>8.9799107142857139E-4</v>
      </c>
      <c r="AJ1625" s="284">
        <f>RTD("money.excel",,$G1625,"PredictVolume")</f>
        <v>4023</v>
      </c>
      <c r="AK1625" s="399">
        <f>IFERROR(VLOOKUP($G1625,基本資料!$A:$M,13,0),"無")</f>
        <v>0.82</v>
      </c>
    </row>
    <row r="1626" spans="1:37">
      <c r="A1626" s="347">
        <f>IFERROR(VLOOKUP($G1626,基本資料!$A:$J,3,0),"無")</f>
        <v>2.5</v>
      </c>
      <c r="B1626" s="79">
        <f>IFERROR(VLOOKUP($G1626,基本資料!$A:$J,4,0),"無")</f>
        <v>-14</v>
      </c>
      <c r="C1626" s="79">
        <f>IFERROR(VLOOKUP($G1626,基本資料!$A:$J,5,0),"無")</f>
        <v>-17</v>
      </c>
      <c r="D1626" s="79">
        <f>IFERROR(VLOOKUP($G1626,基本資料!$A:$J,6,0),"無")</f>
        <v>66</v>
      </c>
      <c r="E1626" s="79">
        <f>IFERROR(VLOOKUP($G1626,基本資料!$A:$J,7,0),"無")</f>
        <v>11</v>
      </c>
      <c r="F1626" s="6">
        <f>IFERROR(VLOOKUP($G1626,基本資料!$A:$J,8,0),"無")</f>
        <v>10.48</v>
      </c>
      <c r="G1626" s="79">
        <v>5878</v>
      </c>
      <c r="H1626" s="17" t="s">
        <v>304</v>
      </c>
      <c r="I1626" s="16" t="s">
        <v>338</v>
      </c>
      <c r="J1626" s="8" t="str">
        <f>IFERROR(VLOOKUP($G1626,今日總結!$A:$AJ,35,0),"")</f>
        <v/>
      </c>
      <c r="K1626" s="5" t="str">
        <f>IFERROR(VLOOKUP($G1626,今日總結!$A:$AJ,36,0),"")</f>
        <v/>
      </c>
      <c r="L1626" s="156" t="str">
        <f>IFERROR(VLOOKUP($G1626,今日總結!$A:$AJ,33,0),"")</f>
        <v/>
      </c>
      <c r="M1626" s="340" t="str">
        <f>IFERROR(VLOOKUP($G1626,今日總結!$A:$AJ,34,0),"")</f>
        <v/>
      </c>
      <c r="N1626" s="240" t="str">
        <f t="shared" si="304"/>
        <v/>
      </c>
      <c r="P1626" s="365" t="str">
        <f>IFERROR(VLOOKUP($G1626,融外自投!$A:$J,7,0),"無")</f>
        <v>無</v>
      </c>
      <c r="Q1626" s="79" t="str">
        <f>IFERROR(VLOOKUP($G1626,融外自投!$A:$J,9,0),"無")</f>
        <v>無</v>
      </c>
      <c r="R1626" s="346" t="str">
        <f>IFERROR(VLOOKUP($G1626,融外自投!$A:$J,8,0),"無")</f>
        <v>無</v>
      </c>
      <c r="S1626" s="81" t="str">
        <f>IFERROR(VLOOKUP($G1626,融外自投!$A:$J,10,0),"無")</f>
        <v>無</v>
      </c>
      <c r="T1626" s="327" t="str">
        <f>IFERROR(VLOOKUP($G1626,'321買'!$A:$E,5,0),"'沒有資料'")</f>
        <v>'沒有資料'</v>
      </c>
      <c r="U1626" s="186">
        <f>IFERROR(VLOOKUP($G1626,基本資料!$A:$J,9,0),"無")</f>
        <v>3</v>
      </c>
      <c r="V1626" s="310">
        <f t="shared" si="299"/>
        <v>6.1728395061728392E-2</v>
      </c>
      <c r="W1626" s="94">
        <f>IFERROR(VLOOKUP($G1626,基本資料!$A:$J,10,0),"無")</f>
        <v>2.98</v>
      </c>
      <c r="X1626" s="36">
        <f>RTD("money.excel",,"5878","Price")</f>
        <v>48.6</v>
      </c>
      <c r="Y1626" s="66"/>
      <c r="Z1626" s="15">
        <f t="shared" si="300"/>
        <v>48.6</v>
      </c>
      <c r="AA1626" s="3" t="e">
        <f t="shared" si="301"/>
        <v>#DIV/0!</v>
      </c>
      <c r="AB1626" s="344">
        <f>IFERROR(VLOOKUP($G1626,基本資料!$A:$M,11,0),"無")</f>
        <v>-3.01</v>
      </c>
      <c r="AC1626" s="397">
        <f>IFERROR(VLOOKUP($G1626,基本資料!$A:$M,12,0),"無")</f>
        <v>57.1</v>
      </c>
      <c r="AD1626" s="16" t="s">
        <v>338</v>
      </c>
      <c r="AG1626" s="33">
        <f t="shared" si="302"/>
        <v>0</v>
      </c>
      <c r="AH1626" s="43" t="s">
        <v>2705</v>
      </c>
      <c r="AI1626" s="63">
        <f t="shared" si="303"/>
        <v>3.2000000000000003E-4</v>
      </c>
      <c r="AJ1626" s="284">
        <f>RTD("money.excel",,$G1626,"PredictVolume")</f>
        <v>8</v>
      </c>
      <c r="AK1626" s="399">
        <f>IFERROR(VLOOKUP($G1626,基本資料!$A:$M,13,0),"無")</f>
        <v>0.28999999999999998</v>
      </c>
    </row>
    <row r="1627" spans="1:37">
      <c r="A1627" s="347">
        <f>IFERROR(VLOOKUP($G1627,基本資料!$A:$J,3,0),"無")</f>
        <v>1360</v>
      </c>
      <c r="B1627" s="79">
        <f>IFERROR(VLOOKUP($G1627,基本資料!$A:$J,4,0),"無")</f>
        <v>23</v>
      </c>
      <c r="C1627" s="79">
        <f>IFERROR(VLOOKUP($G1627,基本資料!$A:$J,5,0),"無")</f>
        <v>0</v>
      </c>
      <c r="D1627" s="79">
        <f>IFERROR(VLOOKUP($G1627,基本資料!$A:$J,6,0),"無")</f>
        <v>-13</v>
      </c>
      <c r="E1627" s="79">
        <f>IFERROR(VLOOKUP($G1627,基本資料!$A:$J,7,0),"無")</f>
        <v>-25</v>
      </c>
      <c r="F1627" s="6">
        <f>IFERROR(VLOOKUP($G1627,基本資料!$A:$J,8,0),"無")</f>
        <v>0</v>
      </c>
      <c r="G1627" s="79">
        <v>5880</v>
      </c>
      <c r="H1627" s="17" t="s">
        <v>304</v>
      </c>
      <c r="I1627" s="22" t="s">
        <v>4663</v>
      </c>
      <c r="J1627" s="8" t="str">
        <f>IFERROR(VLOOKUP($G1627,今日總結!$A:$AJ,35,0),"")</f>
        <v/>
      </c>
      <c r="K1627" s="5" t="str">
        <f>IFERROR(VLOOKUP($G1627,今日總結!$A:$AJ,36,0),"")</f>
        <v/>
      </c>
      <c r="L1627" s="156" t="str">
        <f>IFERROR(VLOOKUP($G1627,今日總結!$A:$AJ,33,0),"")</f>
        <v/>
      </c>
      <c r="M1627" s="340" t="str">
        <f>IFERROR(VLOOKUP($G1627,今日總結!$A:$AJ,34,0),"")</f>
        <v/>
      </c>
      <c r="N1627" s="240" t="str">
        <f t="shared" si="304"/>
        <v/>
      </c>
      <c r="P1627" s="365">
        <f>IFERROR(VLOOKUP($G1627,融外自投!$A:$J,7,0),"無")</f>
        <v>1439</v>
      </c>
      <c r="Q1627" s="79">
        <f>IFERROR(VLOOKUP($G1627,融外自投!$A:$J,9,0),"無")</f>
        <v>635</v>
      </c>
      <c r="R1627" s="346">
        <f>IFERROR(VLOOKUP($G1627,融外自投!$A:$J,8,0),"無")</f>
        <v>304</v>
      </c>
      <c r="S1627" s="81">
        <f>IFERROR(VLOOKUP($G1627,融外自投!$A:$J,10,0),"無")</f>
        <v>214</v>
      </c>
      <c r="T1627" s="327">
        <f>IFERROR(VLOOKUP($G1627,'321買'!$A:$E,5,0),"'沒有資料'")</f>
        <v>40</v>
      </c>
      <c r="U1627" s="186">
        <f>IFERROR(VLOOKUP($G1627,基本資料!$A:$J,9,0),"無")</f>
        <v>1.3</v>
      </c>
      <c r="V1627" s="310">
        <f t="shared" si="299"/>
        <v>4.9713193116634802E-2</v>
      </c>
      <c r="W1627" s="94">
        <f>IFERROR(VLOOKUP($G1627,基本資料!$A:$J,10,0),"無")</f>
        <v>1.51</v>
      </c>
      <c r="X1627" s="36">
        <f>RTD("money.excel",,"5880","Price")</f>
        <v>26.15</v>
      </c>
      <c r="Y1627" s="66"/>
      <c r="Z1627" s="15">
        <f t="shared" si="300"/>
        <v>26.15</v>
      </c>
      <c r="AA1627" s="3" t="e">
        <f t="shared" si="301"/>
        <v>#DIV/0!</v>
      </c>
      <c r="AB1627" s="344">
        <f>IFERROR(VLOOKUP($G1627,基本資料!$A:$M,11,0),"無")</f>
        <v>-16.190000000000001</v>
      </c>
      <c r="AC1627" s="397">
        <f>IFERROR(VLOOKUP($G1627,基本資料!$A:$M,12,0),"無")</f>
        <v>35.32</v>
      </c>
      <c r="AD1627" s="22" t="s">
        <v>4663</v>
      </c>
      <c r="AG1627" s="33">
        <f t="shared" si="302"/>
        <v>0</v>
      </c>
      <c r="AH1627" s="117" t="s">
        <v>2603</v>
      </c>
      <c r="AI1627" s="63">
        <f t="shared" si="303"/>
        <v>1.0657352941176471E-3</v>
      </c>
      <c r="AJ1627" s="284">
        <f>RTD("money.excel",,$G1627,"PredictVolume")</f>
        <v>14494</v>
      </c>
      <c r="AK1627" s="399">
        <f>IFERROR(VLOOKUP($G1627,基本資料!$A:$M,13,0),"無")</f>
        <v>0.43</v>
      </c>
    </row>
    <row r="1628" spans="1:37">
      <c r="A1628" s="347">
        <f>IFERROR(VLOOKUP($G1628,基本資料!$A:$J,3,0),"無")</f>
        <v>217</v>
      </c>
      <c r="B1628" s="79">
        <f>IFERROR(VLOOKUP($G1628,基本資料!$A:$J,4,0),"無")</f>
        <v>42</v>
      </c>
      <c r="C1628" s="79">
        <f>IFERROR(VLOOKUP($G1628,基本資料!$A:$J,5,0),"無")</f>
        <v>63</v>
      </c>
      <c r="D1628" s="79">
        <f>IFERROR(VLOOKUP($G1628,基本資料!$A:$J,6,0),"無")</f>
        <v>0</v>
      </c>
      <c r="E1628" s="79">
        <f>IFERROR(VLOOKUP($G1628,基本資料!$A:$J,7,0),"無")</f>
        <v>-30</v>
      </c>
      <c r="F1628" s="6">
        <f>IFERROR(VLOOKUP($G1628,基本資料!$A:$J,8,0),"無")</f>
        <v>40.06</v>
      </c>
      <c r="G1628" s="79">
        <v>6005</v>
      </c>
      <c r="H1628" s="17" t="s">
        <v>304</v>
      </c>
      <c r="I1628" s="22" t="s">
        <v>4664</v>
      </c>
      <c r="J1628" s="8">
        <f>IFERROR(VLOOKUP($G1628,今日總結!$A:$AJ,35,0),"")</f>
        <v>0</v>
      </c>
      <c r="K1628" s="5">
        <f>IFERROR(VLOOKUP($G1628,今日總結!$A:$AJ,36,0),"")</f>
        <v>0</v>
      </c>
      <c r="L1628" s="156">
        <f>IFERROR(VLOOKUP($G1628,今日總結!$A:$AJ,33,0),"")</f>
        <v>0</v>
      </c>
      <c r="M1628" s="340">
        <f>IFERROR(VLOOKUP($G1628,今日總結!$A:$AJ,34,0),"")</f>
        <v>1</v>
      </c>
      <c r="N1628" s="240">
        <f t="shared" si="304"/>
        <v>-1</v>
      </c>
      <c r="P1628" s="365">
        <f>IFERROR(VLOOKUP($G1628,融外自投!$A:$J,7,0),"無")</f>
        <v>1228</v>
      </c>
      <c r="Q1628" s="79" t="str">
        <f>IFERROR(VLOOKUP($G1628,融外自投!$A:$J,9,0),"無")</f>
        <v>無</v>
      </c>
      <c r="R1628" s="346">
        <f>IFERROR(VLOOKUP($G1628,融外自投!$A:$J,8,0),"無")</f>
        <v>316</v>
      </c>
      <c r="S1628" s="81">
        <f>IFERROR(VLOOKUP($G1628,融外自投!$A:$J,10,0),"無")</f>
        <v>289</v>
      </c>
      <c r="T1628" s="327">
        <f>IFERROR(VLOOKUP($G1628,'321買'!$A:$E,5,0),"'沒有資料'")</f>
        <v>318</v>
      </c>
      <c r="U1628" s="186">
        <f>IFERROR(VLOOKUP($G1628,基本資料!$A:$J,9,0),"無")</f>
        <v>1.65</v>
      </c>
      <c r="V1628" s="310">
        <f t="shared" si="299"/>
        <v>0.1111111111111111</v>
      </c>
      <c r="W1628" s="94">
        <f>IFERROR(VLOOKUP($G1628,基本資料!$A:$J,10,0),"無")</f>
        <v>2.42</v>
      </c>
      <c r="X1628" s="36">
        <f>RTD("money.excel",,"6005","Price")</f>
        <v>14.85</v>
      </c>
      <c r="Y1628" s="66"/>
      <c r="Z1628" s="15">
        <f t="shared" si="300"/>
        <v>14.85</v>
      </c>
      <c r="AA1628" s="3" t="e">
        <f t="shared" si="301"/>
        <v>#DIV/0!</v>
      </c>
      <c r="AB1628" s="344">
        <f>IFERROR(VLOOKUP($G1628,基本資料!$A:$M,11,0),"無")</f>
        <v>-15.13</v>
      </c>
      <c r="AC1628" s="397">
        <f>IFERROR(VLOOKUP($G1628,基本資料!$A:$M,12,0),"無")</f>
        <v>36.71</v>
      </c>
      <c r="AD1628" s="22" t="s">
        <v>4664</v>
      </c>
      <c r="AG1628" s="33">
        <f t="shared" si="302"/>
        <v>0</v>
      </c>
      <c r="AH1628" s="117" t="s">
        <v>2196</v>
      </c>
      <c r="AI1628" s="63">
        <f t="shared" si="303"/>
        <v>2.7087557603686636E-3</v>
      </c>
      <c r="AJ1628" s="284">
        <f>RTD("money.excel",,$G1628,"PredictVolume")</f>
        <v>5878</v>
      </c>
      <c r="AK1628" s="399">
        <f>IFERROR(VLOOKUP($G1628,基本資料!$A:$M,13,0),"無")</f>
        <v>2.52</v>
      </c>
    </row>
    <row r="1629" spans="1:37">
      <c r="A1629" s="347">
        <f>IFERROR(VLOOKUP($G1629,基本資料!$A:$J,3,0),"無")</f>
        <v>33.130000000000003</v>
      </c>
      <c r="B1629" s="79">
        <f>IFERROR(VLOOKUP($G1629,基本資料!$A:$J,4,0),"無")</f>
        <v>198</v>
      </c>
      <c r="C1629" s="79">
        <f>IFERROR(VLOOKUP($G1629,基本資料!$A:$J,5,0),"無")</f>
        <v>276</v>
      </c>
      <c r="D1629" s="79">
        <f>IFERROR(VLOOKUP($G1629,基本資料!$A:$J,6,0),"無")</f>
        <v>-33</v>
      </c>
      <c r="E1629" s="79">
        <f>IFERROR(VLOOKUP($G1629,基本資料!$A:$J,7,0),"無")</f>
        <v>-88</v>
      </c>
      <c r="F1629" s="6">
        <f>IFERROR(VLOOKUP($G1629,基本資料!$A:$J,8,0),"無")</f>
        <v>46</v>
      </c>
      <c r="G1629" s="79">
        <v>6015</v>
      </c>
      <c r="H1629" s="17" t="s">
        <v>304</v>
      </c>
      <c r="I1629" s="16" t="s">
        <v>339</v>
      </c>
      <c r="J1629" s="8" t="str">
        <f>IFERROR(VLOOKUP($G1629,今日總結!$A:$AJ,35,0),"")</f>
        <v/>
      </c>
      <c r="K1629" s="5" t="str">
        <f>IFERROR(VLOOKUP($G1629,今日總結!$A:$AJ,36,0),"")</f>
        <v/>
      </c>
      <c r="L1629" s="156" t="str">
        <f>IFERROR(VLOOKUP($G1629,今日總結!$A:$AJ,33,0),"")</f>
        <v/>
      </c>
      <c r="M1629" s="340" t="str">
        <f>IFERROR(VLOOKUP($G1629,今日總結!$A:$AJ,34,0),"")</f>
        <v/>
      </c>
      <c r="N1629" s="240" t="str">
        <f t="shared" si="304"/>
        <v/>
      </c>
      <c r="P1629" s="365">
        <f>IFERROR(VLOOKUP($G1629,融外自投!$A:$J,7,0),"無")</f>
        <v>424</v>
      </c>
      <c r="Q1629" s="79" t="str">
        <f>IFERROR(VLOOKUP($G1629,融外自投!$A:$J,9,0),"無")</f>
        <v>無</v>
      </c>
      <c r="R1629" s="346">
        <f>IFERROR(VLOOKUP($G1629,融外自投!$A:$J,8,0),"無")</f>
        <v>1083</v>
      </c>
      <c r="S1629" s="81" t="str">
        <f>IFERROR(VLOOKUP($G1629,融外自投!$A:$J,10,0),"無")</f>
        <v>無</v>
      </c>
      <c r="T1629" s="327">
        <f>IFERROR(VLOOKUP($G1629,'321買'!$A:$E,5,0),"'沒有資料'")</f>
        <v>318</v>
      </c>
      <c r="U1629" s="186">
        <f>IFERROR(VLOOKUP($G1629,基本資料!$A:$J,9,0),"無")</f>
        <v>2.4</v>
      </c>
      <c r="V1629" s="310">
        <f t="shared" si="299"/>
        <v>0.15384615384615385</v>
      </c>
      <c r="W1629" s="94">
        <f>IFERROR(VLOOKUP($G1629,基本資料!$A:$J,10,0),"無")</f>
        <v>3.74</v>
      </c>
      <c r="X1629" s="36">
        <f>RTD("money.excel",,"6015","Price")</f>
        <v>15.6</v>
      </c>
      <c r="Y1629" s="66"/>
      <c r="Z1629" s="15">
        <f t="shared" si="300"/>
        <v>15.6</v>
      </c>
      <c r="AA1629" s="3" t="e">
        <f t="shared" si="301"/>
        <v>#DIV/0!</v>
      </c>
      <c r="AB1629" s="344">
        <f>IFERROR(VLOOKUP($G1629,基本資料!$A:$M,11,0),"無")</f>
        <v>-42.05</v>
      </c>
      <c r="AC1629" s="397">
        <f>IFERROR(VLOOKUP($G1629,基本資料!$A:$M,12,0),"無")</f>
        <v>58.9</v>
      </c>
      <c r="AD1629" s="16" t="s">
        <v>339</v>
      </c>
      <c r="AG1629" s="33">
        <f t="shared" si="302"/>
        <v>0</v>
      </c>
      <c r="AH1629" s="43" t="s">
        <v>2195</v>
      </c>
      <c r="AI1629" s="63">
        <f t="shared" si="303"/>
        <v>3.4892846362813159E-3</v>
      </c>
      <c r="AJ1629" s="284">
        <f>RTD("money.excel",,$G1629,"PredictVolume")</f>
        <v>1156</v>
      </c>
      <c r="AK1629" s="399">
        <f>IFERROR(VLOOKUP($G1629,基本資料!$A:$M,13,0),"無")</f>
        <v>19.920000000000002</v>
      </c>
    </row>
    <row r="1630" spans="1:37">
      <c r="A1630" s="347">
        <f>IFERROR(VLOOKUP($G1630,基本資料!$A:$J,3,0),"無")</f>
        <v>59.44</v>
      </c>
      <c r="B1630" s="79">
        <f>IFERROR(VLOOKUP($G1630,基本資料!$A:$J,4,0),"無")</f>
        <v>27</v>
      </c>
      <c r="C1630" s="79">
        <f>IFERROR(VLOOKUP($G1630,基本資料!$A:$J,5,0),"無")</f>
        <v>50</v>
      </c>
      <c r="D1630" s="79">
        <f>IFERROR(VLOOKUP($G1630,基本資料!$A:$J,6,0),"無")</f>
        <v>-62</v>
      </c>
      <c r="E1630" s="79">
        <f>IFERROR(VLOOKUP($G1630,基本資料!$A:$J,7,0),"無")</f>
        <v>-81</v>
      </c>
      <c r="F1630" s="6">
        <f>IFERROR(VLOOKUP($G1630,基本資料!$A:$J,8,0),"無")</f>
        <v>34.200000000000003</v>
      </c>
      <c r="G1630" s="79">
        <v>6016</v>
      </c>
      <c r="H1630" s="17" t="s">
        <v>304</v>
      </c>
      <c r="I1630" s="16" t="s">
        <v>340</v>
      </c>
      <c r="J1630" s="8">
        <f>IFERROR(VLOOKUP($G1630,今日總結!$A:$AJ,35,0),"")</f>
        <v>0</v>
      </c>
      <c r="K1630" s="5" t="str">
        <f>IFERROR(VLOOKUP($G1630,今日總結!$A:$AJ,36,0),"")</f>
        <v>外</v>
      </c>
      <c r="L1630" s="156">
        <f>IFERROR(VLOOKUP($G1630,今日總結!$A:$AJ,33,0),"")</f>
        <v>0</v>
      </c>
      <c r="M1630" s="340">
        <f>IFERROR(VLOOKUP($G1630,今日總結!$A:$AJ,34,0),"")</f>
        <v>2</v>
      </c>
      <c r="N1630" s="240">
        <f t="shared" si="304"/>
        <v>-2</v>
      </c>
      <c r="P1630" s="365">
        <f>IFERROR(VLOOKUP($G1630,融外自投!$A:$J,7,0),"無")</f>
        <v>835</v>
      </c>
      <c r="Q1630" s="79" t="str">
        <f>IFERROR(VLOOKUP($G1630,融外自投!$A:$J,9,0),"無")</f>
        <v>無</v>
      </c>
      <c r="R1630" s="346">
        <f>IFERROR(VLOOKUP($G1630,融外自投!$A:$J,8,0),"無")</f>
        <v>944</v>
      </c>
      <c r="S1630" s="81" t="str">
        <f>IFERROR(VLOOKUP($G1630,融外自投!$A:$J,10,0),"無")</f>
        <v>無</v>
      </c>
      <c r="T1630" s="327">
        <f>IFERROR(VLOOKUP($G1630,'321買'!$A:$E,5,0),"'沒有資料'")</f>
        <v>852</v>
      </c>
      <c r="U1630" s="186">
        <f>IFERROR(VLOOKUP($G1630,基本資料!$A:$J,9,0),"無")</f>
        <v>1.55</v>
      </c>
      <c r="V1630" s="310">
        <f t="shared" si="299"/>
        <v>0.11877394636015326</v>
      </c>
      <c r="W1630" s="94">
        <f>IFERROR(VLOOKUP($G1630,基本資料!$A:$J,10,0),"無")</f>
        <v>2.33</v>
      </c>
      <c r="X1630" s="36">
        <f>RTD("money.excel",,"6016","Price")</f>
        <v>13.05</v>
      </c>
      <c r="Y1630" s="66"/>
      <c r="Z1630" s="15">
        <f t="shared" si="300"/>
        <v>13.05</v>
      </c>
      <c r="AA1630" s="3" t="e">
        <f t="shared" si="301"/>
        <v>#DIV/0!</v>
      </c>
      <c r="AB1630" s="344">
        <f>IFERROR(VLOOKUP($G1630,基本資料!$A:$M,11,0),"無")</f>
        <v>-24.65</v>
      </c>
      <c r="AC1630" s="397">
        <f>IFERROR(VLOOKUP($G1630,基本資料!$A:$M,12,0),"無")</f>
        <v>37.72</v>
      </c>
      <c r="AD1630" s="16" t="s">
        <v>340</v>
      </c>
      <c r="AG1630" s="33">
        <f t="shared" si="302"/>
        <v>0</v>
      </c>
      <c r="AH1630" s="43" t="s">
        <v>1992</v>
      </c>
      <c r="AI1630" s="63">
        <f t="shared" si="303"/>
        <v>3.1006056527590848E-3</v>
      </c>
      <c r="AJ1630" s="284">
        <f>RTD("money.excel",,$G1630,"PredictVolume")</f>
        <v>1843</v>
      </c>
      <c r="AK1630" s="399">
        <f>IFERROR(VLOOKUP($G1630,基本資料!$A:$M,13,0),"無")</f>
        <v>8.6300000000000008</v>
      </c>
    </row>
    <row r="1631" spans="1:37">
      <c r="A1631" s="347">
        <f>IFERROR(VLOOKUP($G1631,基本資料!$A:$J,3,0),"無")</f>
        <v>25.23</v>
      </c>
      <c r="B1631" s="79">
        <f>IFERROR(VLOOKUP($G1631,基本資料!$A:$J,4,0),"無")</f>
        <v>229</v>
      </c>
      <c r="C1631" s="79">
        <f>IFERROR(VLOOKUP($G1631,基本資料!$A:$J,5,0),"無")</f>
        <v>290</v>
      </c>
      <c r="D1631" s="79">
        <f>IFERROR(VLOOKUP($G1631,基本資料!$A:$J,6,0),"無")</f>
        <v>-365</v>
      </c>
      <c r="E1631" s="79">
        <f>IFERROR(VLOOKUP($G1631,基本資料!$A:$J,7,0),"無")</f>
        <v>-149</v>
      </c>
      <c r="F1631" s="6">
        <f>IFERROR(VLOOKUP($G1631,基本資料!$A:$J,8,0),"無")</f>
        <v>73.42</v>
      </c>
      <c r="G1631" s="79">
        <v>6020</v>
      </c>
      <c r="H1631" s="17" t="s">
        <v>304</v>
      </c>
      <c r="I1631" s="16" t="s">
        <v>4665</v>
      </c>
      <c r="J1631" s="8" t="str">
        <f>IFERROR(VLOOKUP($G1631,今日總結!$A:$AJ,35,0),"")</f>
        <v/>
      </c>
      <c r="K1631" s="5" t="str">
        <f>IFERROR(VLOOKUP($G1631,今日總結!$A:$AJ,36,0),"")</f>
        <v/>
      </c>
      <c r="L1631" s="156" t="str">
        <f>IFERROR(VLOOKUP($G1631,今日總結!$A:$AJ,33,0),"")</f>
        <v/>
      </c>
      <c r="M1631" s="340" t="str">
        <f>IFERROR(VLOOKUP($G1631,今日總結!$A:$AJ,34,0),"")</f>
        <v/>
      </c>
      <c r="N1631" s="240" t="str">
        <f t="shared" si="304"/>
        <v/>
      </c>
      <c r="P1631" s="365">
        <f>IFERROR(VLOOKUP($G1631,融外自投!$A:$J,7,0),"無")</f>
        <v>1410</v>
      </c>
      <c r="Q1631" s="79" t="str">
        <f>IFERROR(VLOOKUP($G1631,融外自投!$A:$J,9,0),"無")</f>
        <v>無</v>
      </c>
      <c r="R1631" s="346">
        <f>IFERROR(VLOOKUP($G1631,融外自投!$A:$J,8,0),"無")</f>
        <v>1457</v>
      </c>
      <c r="S1631" s="81" t="str">
        <f>IFERROR(VLOOKUP($G1631,融外自投!$A:$J,10,0),"無")</f>
        <v>無</v>
      </c>
      <c r="T1631" s="327">
        <f>IFERROR(VLOOKUP($G1631,'321買'!$A:$E,5,0),"'沒有資料'")</f>
        <v>1359</v>
      </c>
      <c r="U1631" s="186">
        <f>IFERROR(VLOOKUP($G1631,基本資料!$A:$J,9,0),"無")</f>
        <v>2.38</v>
      </c>
      <c r="V1631" s="310">
        <f t="shared" si="299"/>
        <v>0.1217391304347826</v>
      </c>
      <c r="W1631" s="94">
        <f>IFERROR(VLOOKUP($G1631,基本資料!$A:$J,10,0),"無")</f>
        <v>3.4</v>
      </c>
      <c r="X1631" s="36">
        <f>RTD("money.excel",,"6020","Price")</f>
        <v>19.55</v>
      </c>
      <c r="Y1631" s="66"/>
      <c r="Z1631" s="15">
        <f t="shared" si="300"/>
        <v>19.55</v>
      </c>
      <c r="AA1631" s="3" t="e">
        <f t="shared" si="301"/>
        <v>#DIV/0!</v>
      </c>
      <c r="AB1631" s="344">
        <f>IFERROR(VLOOKUP($G1631,基本資料!$A:$M,11,0),"無")</f>
        <v>-18.809999999999999</v>
      </c>
      <c r="AC1631" s="397">
        <f>IFERROR(VLOOKUP($G1631,基本資料!$A:$M,12,0),"無")</f>
        <v>12.71</v>
      </c>
      <c r="AD1631" s="16" t="s">
        <v>4665</v>
      </c>
      <c r="AG1631" s="33">
        <f t="shared" si="302"/>
        <v>0</v>
      </c>
      <c r="AH1631" s="43" t="s">
        <v>2196</v>
      </c>
      <c r="AI1631" s="63">
        <f t="shared" si="303"/>
        <v>4.7562425683709869E-5</v>
      </c>
      <c r="AJ1631" s="284">
        <f>RTD("money.excel",,$G1631,"PredictVolume")</f>
        <v>12</v>
      </c>
      <c r="AK1631" s="399">
        <f>IFERROR(VLOOKUP($G1631,基本資料!$A:$M,13,0),"無")</f>
        <v>0.9</v>
      </c>
    </row>
    <row r="1632" spans="1:37">
      <c r="A1632" s="347">
        <f>IFERROR(VLOOKUP($G1632,基本資料!$A:$J,3,0),"無")</f>
        <v>30.98</v>
      </c>
      <c r="B1632" s="79">
        <f>IFERROR(VLOOKUP($G1632,基本資料!$A:$J,4,0),"無")</f>
        <v>203</v>
      </c>
      <c r="C1632" s="79">
        <f>IFERROR(VLOOKUP($G1632,基本資料!$A:$J,5,0),"無")</f>
        <v>320</v>
      </c>
      <c r="D1632" s="79">
        <f>IFERROR(VLOOKUP($G1632,基本資料!$A:$J,6,0),"無")</f>
        <v>37</v>
      </c>
      <c r="E1632" s="79">
        <f>IFERROR(VLOOKUP($G1632,基本資料!$A:$J,7,0),"無")</f>
        <v>0</v>
      </c>
      <c r="F1632" s="6">
        <f>IFERROR(VLOOKUP($G1632,基本資料!$A:$J,8,0),"無")</f>
        <v>23.84</v>
      </c>
      <c r="G1632" s="79">
        <v>6021</v>
      </c>
      <c r="H1632" s="17" t="s">
        <v>304</v>
      </c>
      <c r="I1632" s="16" t="s">
        <v>341</v>
      </c>
      <c r="J1632" s="8" t="str">
        <f>IFERROR(VLOOKUP($G1632,今日總結!$A:$AJ,35,0),"")</f>
        <v/>
      </c>
      <c r="K1632" s="5" t="str">
        <f>IFERROR(VLOOKUP($G1632,今日總結!$A:$AJ,36,0),"")</f>
        <v/>
      </c>
      <c r="L1632" s="156" t="str">
        <f>IFERROR(VLOOKUP($G1632,今日總結!$A:$AJ,33,0),"")</f>
        <v/>
      </c>
      <c r="M1632" s="340" t="str">
        <f>IFERROR(VLOOKUP($G1632,今日總結!$A:$AJ,34,0),"")</f>
        <v/>
      </c>
      <c r="N1632" s="240" t="str">
        <f t="shared" si="304"/>
        <v/>
      </c>
      <c r="P1632" s="365">
        <f>IFERROR(VLOOKUP($G1632,融外自投!$A:$J,7,0),"無")</f>
        <v>1439</v>
      </c>
      <c r="Q1632" s="79" t="str">
        <f>IFERROR(VLOOKUP($G1632,融外自投!$A:$J,9,0),"無")</f>
        <v>無</v>
      </c>
      <c r="R1632" s="346">
        <f>IFERROR(VLOOKUP($G1632,融外自投!$A:$J,8,0),"無")</f>
        <v>553</v>
      </c>
      <c r="S1632" s="81" t="str">
        <f>IFERROR(VLOOKUP($G1632,融外自投!$A:$J,10,0),"無")</f>
        <v>無</v>
      </c>
      <c r="T1632" s="327" t="str">
        <f>IFERROR(VLOOKUP($G1632,'321買'!$A:$E,5,0),"'沒有資料'")</f>
        <v>'沒有資料'</v>
      </c>
      <c r="U1632" s="186">
        <f>IFERROR(VLOOKUP($G1632,基本資料!$A:$J,9,0),"無")</f>
        <v>0</v>
      </c>
      <c r="V1632" s="310">
        <f t="shared" si="299"/>
        <v>0</v>
      </c>
      <c r="W1632" s="94">
        <f>IFERROR(VLOOKUP($G1632,基本資料!$A:$J,10,0),"無")</f>
        <v>1.05</v>
      </c>
      <c r="X1632" s="36">
        <f>RTD("money.excel",,"6021","Price")</f>
        <v>20</v>
      </c>
      <c r="Y1632" s="66"/>
      <c r="Z1632" s="15">
        <f t="shared" si="300"/>
        <v>20</v>
      </c>
      <c r="AA1632" s="3" t="e">
        <f t="shared" si="301"/>
        <v>#DIV/0!</v>
      </c>
      <c r="AB1632" s="344">
        <f>IFERROR(VLOOKUP($G1632,基本資料!$A:$M,11,0),"無")</f>
        <v>-12.63</v>
      </c>
      <c r="AC1632" s="397">
        <f>IFERROR(VLOOKUP($G1632,基本資料!$A:$M,12,0),"無")</f>
        <v>53.97</v>
      </c>
      <c r="AD1632" s="16" t="s">
        <v>341</v>
      </c>
      <c r="AG1632" s="33">
        <f t="shared" si="302"/>
        <v>0</v>
      </c>
      <c r="AH1632" s="43" t="s">
        <v>2706</v>
      </c>
      <c r="AI1632" s="63">
        <f t="shared" si="303"/>
        <v>9.0380890897353135E-5</v>
      </c>
      <c r="AJ1632" s="284">
        <f>RTD("money.excel",,$G1632,"PredictVolume")</f>
        <v>28</v>
      </c>
      <c r="AK1632" s="399">
        <f>IFERROR(VLOOKUP($G1632,基本資料!$A:$M,13,0),"無")</f>
        <v>3.47</v>
      </c>
    </row>
    <row r="1633" spans="1:37">
      <c r="A1633" s="347">
        <f>IFERROR(VLOOKUP($G1633,基本資料!$A:$J,3,0),"無")</f>
        <v>28.99</v>
      </c>
      <c r="B1633" s="79">
        <f>IFERROR(VLOOKUP($G1633,基本資料!$A:$J,4,0),"無")</f>
        <v>-19</v>
      </c>
      <c r="C1633" s="79">
        <f>IFERROR(VLOOKUP($G1633,基本資料!$A:$J,5,0),"無")</f>
        <v>-2</v>
      </c>
      <c r="D1633" s="79">
        <f>IFERROR(VLOOKUP($G1633,基本資料!$A:$J,6,0),"無")</f>
        <v>-23</v>
      </c>
      <c r="E1633" s="79">
        <f>IFERROR(VLOOKUP($G1633,基本資料!$A:$J,7,0),"無")</f>
        <v>5</v>
      </c>
      <c r="F1633" s="6">
        <f>IFERROR(VLOOKUP($G1633,基本資料!$A:$J,8,0),"無")</f>
        <v>11.88</v>
      </c>
      <c r="G1633" s="79">
        <v>6023</v>
      </c>
      <c r="H1633" s="17" t="s">
        <v>304</v>
      </c>
      <c r="I1633" s="16" t="s">
        <v>149</v>
      </c>
      <c r="J1633" s="8" t="str">
        <f>IFERROR(VLOOKUP($G1633,今日總結!$A:$AJ,35,0),"")</f>
        <v/>
      </c>
      <c r="K1633" s="5" t="str">
        <f>IFERROR(VLOOKUP($G1633,今日總結!$A:$AJ,36,0),"")</f>
        <v/>
      </c>
      <c r="L1633" s="156" t="str">
        <f>IFERROR(VLOOKUP($G1633,今日總結!$A:$AJ,33,0),"")</f>
        <v/>
      </c>
      <c r="M1633" s="340" t="str">
        <f>IFERROR(VLOOKUP($G1633,今日總結!$A:$AJ,34,0),"")</f>
        <v/>
      </c>
      <c r="N1633" s="240" t="str">
        <f t="shared" si="304"/>
        <v/>
      </c>
      <c r="P1633" s="365">
        <f>IFERROR(VLOOKUP($G1633,融外自投!$A:$J,7,0),"無")</f>
        <v>1377</v>
      </c>
      <c r="Q1633" s="79" t="str">
        <f>IFERROR(VLOOKUP($G1633,融外自投!$A:$J,9,0),"無")</f>
        <v>無</v>
      </c>
      <c r="R1633" s="346">
        <f>IFERROR(VLOOKUP($G1633,融外自投!$A:$J,8,0),"無")</f>
        <v>1298</v>
      </c>
      <c r="S1633" s="81" t="str">
        <f>IFERROR(VLOOKUP($G1633,融外自投!$A:$J,10,0),"無")</f>
        <v>無</v>
      </c>
      <c r="T1633" s="327">
        <f>IFERROR(VLOOKUP($G1633,'321買'!$A:$E,5,0),"'沒有資料'")</f>
        <v>1038</v>
      </c>
      <c r="U1633" s="186">
        <f>IFERROR(VLOOKUP($G1633,基本資料!$A:$J,9,0),"無")</f>
        <v>2.2999999999999998</v>
      </c>
      <c r="V1633" s="310">
        <f t="shared" si="299"/>
        <v>4.7422680412371132E-2</v>
      </c>
      <c r="W1633" s="94">
        <f>IFERROR(VLOOKUP($G1633,基本資料!$A:$J,10,0),"無")</f>
        <v>2.97</v>
      </c>
      <c r="X1633" s="36">
        <f>RTD("money.excel",,"6023","Price")</f>
        <v>48.5</v>
      </c>
      <c r="Y1633" s="66"/>
      <c r="Z1633" s="15">
        <f t="shared" si="300"/>
        <v>48.5</v>
      </c>
      <c r="AA1633" s="3" t="e">
        <f t="shared" si="301"/>
        <v>#DIV/0!</v>
      </c>
      <c r="AB1633" s="344">
        <f>IFERROR(VLOOKUP($G1633,基本資料!$A:$M,11,0),"無")</f>
        <v>-6.69</v>
      </c>
      <c r="AC1633" s="397">
        <f>IFERROR(VLOOKUP($G1633,基本資料!$A:$M,12,0),"無")</f>
        <v>18</v>
      </c>
      <c r="AD1633" s="16" t="s">
        <v>149</v>
      </c>
      <c r="AG1633" s="33">
        <f t="shared" si="302"/>
        <v>0</v>
      </c>
      <c r="AH1633" s="117" t="s">
        <v>2604</v>
      </c>
      <c r="AI1633" s="63">
        <f t="shared" si="303"/>
        <v>2.173163159710245E-4</v>
      </c>
      <c r="AJ1633" s="284">
        <f>RTD("money.excel",,$G1633,"PredictVolume")</f>
        <v>63</v>
      </c>
      <c r="AK1633" s="399">
        <f>IFERROR(VLOOKUP($G1633,基本資料!$A:$M,13,0),"無")</f>
        <v>0.31</v>
      </c>
    </row>
    <row r="1634" spans="1:37" ht="15.75" customHeight="1">
      <c r="A1634" s="347">
        <f>IFERROR(VLOOKUP($G1634,基本資料!$A:$J,3,0),"無")</f>
        <v>21.04</v>
      </c>
      <c r="B1634" s="79">
        <f>IFERROR(VLOOKUP($G1634,基本資料!$A:$J,4,0),"無")</f>
        <v>-21</v>
      </c>
      <c r="C1634" s="79">
        <f>IFERROR(VLOOKUP($G1634,基本資料!$A:$J,5,0),"無")</f>
        <v>13</v>
      </c>
      <c r="D1634" s="79">
        <f>IFERROR(VLOOKUP($G1634,基本資料!$A:$J,6,0),"無")</f>
        <v>20</v>
      </c>
      <c r="E1634" s="79">
        <f>IFERROR(VLOOKUP($G1634,基本資料!$A:$J,7,0),"無")</f>
        <v>13</v>
      </c>
      <c r="F1634" s="6">
        <f>IFERROR(VLOOKUP($G1634,基本資料!$A:$J,8,0),"無")</f>
        <v>17.23</v>
      </c>
      <c r="G1634" s="79">
        <v>6024</v>
      </c>
      <c r="H1634" s="17" t="s">
        <v>304</v>
      </c>
      <c r="I1634" s="22" t="s">
        <v>337</v>
      </c>
      <c r="J1634" s="8">
        <f>IFERROR(VLOOKUP($G1634,今日總結!$A:$AJ,35,0),"")</f>
        <v>0</v>
      </c>
      <c r="K1634" s="5" t="str">
        <f>IFERROR(VLOOKUP($G1634,今日總結!$A:$AJ,36,0),"")</f>
        <v>外</v>
      </c>
      <c r="L1634" s="156">
        <f>IFERROR(VLOOKUP($G1634,今日總結!$A:$AJ,33,0),"")</f>
        <v>0</v>
      </c>
      <c r="M1634" s="340">
        <f>IFERROR(VLOOKUP($G1634,今日總結!$A:$AJ,34,0),"")</f>
        <v>2</v>
      </c>
      <c r="N1634" s="240">
        <f t="shared" si="304"/>
        <v>-2</v>
      </c>
      <c r="P1634" s="365">
        <f>IFERROR(VLOOKUP($G1634,融外自投!$A:$J,7,0),"無")</f>
        <v>1383</v>
      </c>
      <c r="Q1634" s="79" t="str">
        <f>IFERROR(VLOOKUP($G1634,融外自投!$A:$J,9,0),"無")</f>
        <v>無</v>
      </c>
      <c r="R1634" s="346">
        <f>IFERROR(VLOOKUP($G1634,融外自投!$A:$J,8,0),"無")</f>
        <v>1073</v>
      </c>
      <c r="S1634" s="81" t="str">
        <f>IFERROR(VLOOKUP($G1634,融外自投!$A:$J,10,0),"無")</f>
        <v>無</v>
      </c>
      <c r="T1634" s="327">
        <f>IFERROR(VLOOKUP($G1634,'321買'!$A:$E,5,0),"'沒有資料'")</f>
        <v>1038</v>
      </c>
      <c r="U1634" s="186">
        <f>IFERROR(VLOOKUP($G1634,基本資料!$A:$J,9,0),"無")</f>
        <v>1.6</v>
      </c>
      <c r="V1634" s="310">
        <f t="shared" si="299"/>
        <v>4.5261669024045263E-2</v>
      </c>
      <c r="W1634" s="94">
        <f>IFERROR(VLOOKUP($G1634,基本資料!$A:$J,10,0),"無")</f>
        <v>2.33</v>
      </c>
      <c r="X1634" s="36">
        <f>RTD("money.excel",,"6024","Price")</f>
        <v>35.35</v>
      </c>
      <c r="Y1634" s="66"/>
      <c r="Z1634" s="15">
        <f t="shared" si="300"/>
        <v>35.35</v>
      </c>
      <c r="AA1634" s="3" t="e">
        <f t="shared" si="301"/>
        <v>#DIV/0!</v>
      </c>
      <c r="AB1634" s="344">
        <f>IFERROR(VLOOKUP($G1634,基本資料!$A:$M,11,0),"無")</f>
        <v>-13.14</v>
      </c>
      <c r="AC1634" s="397">
        <f>IFERROR(VLOOKUP($G1634,基本資料!$A:$M,12,0),"無")</f>
        <v>18.3</v>
      </c>
      <c r="AD1634" s="22" t="s">
        <v>337</v>
      </c>
      <c r="AG1634" s="33">
        <f t="shared" si="302"/>
        <v>0</v>
      </c>
      <c r="AH1634" s="43" t="s">
        <v>2604</v>
      </c>
      <c r="AI1634" s="63">
        <f t="shared" si="303"/>
        <v>3.3269961977186311E-4</v>
      </c>
      <c r="AJ1634" s="284">
        <f>RTD("money.excel",,$G1634,"PredictVolume")</f>
        <v>70</v>
      </c>
      <c r="AK1634" s="399">
        <f>IFERROR(VLOOKUP($G1634,基本資料!$A:$M,13,0),"無")</f>
        <v>0.99</v>
      </c>
    </row>
    <row r="1635" spans="1:37">
      <c r="A1635" s="347">
        <f>IFERROR(VLOOKUP($G1635,基本資料!$A:$J,3,0),"無")</f>
        <v>30.01</v>
      </c>
      <c r="B1635" s="79">
        <f>IFERROR(VLOOKUP($G1635,基本資料!$A:$J,4,0),"無")</f>
        <v>441</v>
      </c>
      <c r="C1635" s="79">
        <f>IFERROR(VLOOKUP($G1635,基本資料!$A:$J,5,0),"無")</f>
        <v>453</v>
      </c>
      <c r="D1635" s="79">
        <f>IFERROR(VLOOKUP($G1635,基本資料!$A:$J,6,0),"無")</f>
        <v>-38</v>
      </c>
      <c r="E1635" s="79">
        <f>IFERROR(VLOOKUP($G1635,基本資料!$A:$J,7,0),"無")</f>
        <v>-82</v>
      </c>
      <c r="F1635" s="6">
        <f>IFERROR(VLOOKUP($G1635,基本資料!$A:$J,8,0),"無")</f>
        <v>70.92</v>
      </c>
      <c r="G1635" s="79">
        <v>6026</v>
      </c>
      <c r="H1635" s="17" t="s">
        <v>304</v>
      </c>
      <c r="I1635" s="16" t="s">
        <v>342</v>
      </c>
      <c r="J1635" s="8">
        <f>IFERROR(VLOOKUP($G1635,今日總結!$A:$AJ,35,0),"")</f>
        <v>0</v>
      </c>
      <c r="K1635" s="5" t="str">
        <f>IFERROR(VLOOKUP($G1635,今日總結!$A:$AJ,36,0),"")</f>
        <v>融借</v>
      </c>
      <c r="L1635" s="156">
        <f>IFERROR(VLOOKUP($G1635,今日總結!$A:$AJ,33,0),"")</f>
        <v>0</v>
      </c>
      <c r="M1635" s="340">
        <f>IFERROR(VLOOKUP($G1635,今日總結!$A:$AJ,34,0),"")</f>
        <v>3</v>
      </c>
      <c r="N1635" s="240">
        <f t="shared" si="304"/>
        <v>-3</v>
      </c>
      <c r="P1635" s="365">
        <f>IFERROR(VLOOKUP($G1635,融外自投!$A:$J,7,0),"無")</f>
        <v>342</v>
      </c>
      <c r="Q1635" s="79" t="str">
        <f>IFERROR(VLOOKUP($G1635,融外自投!$A:$J,9,0),"無")</f>
        <v>無</v>
      </c>
      <c r="R1635" s="346">
        <f>IFERROR(VLOOKUP($G1635,融外自投!$A:$J,8,0),"無")</f>
        <v>1053</v>
      </c>
      <c r="S1635" s="81" t="str">
        <f>IFERROR(VLOOKUP($G1635,融外自投!$A:$J,10,0),"無")</f>
        <v>無</v>
      </c>
      <c r="T1635" s="327">
        <f>IFERROR(VLOOKUP($G1635,'321買'!$A:$E,5,0),"'沒有資料'")</f>
        <v>729</v>
      </c>
      <c r="U1635" s="186">
        <f>IFERROR(VLOOKUP($G1635,基本資料!$A:$J,9,0),"無")</f>
        <v>3.28</v>
      </c>
      <c r="V1635" s="310">
        <f t="shared" si="299"/>
        <v>0.19640718562874251</v>
      </c>
      <c r="W1635" s="94">
        <f>IFERROR(VLOOKUP($G1635,基本資料!$A:$J,10,0),"無")</f>
        <v>5</v>
      </c>
      <c r="X1635" s="36">
        <f>RTD("money.excel",,"6026","Price")</f>
        <v>16.7</v>
      </c>
      <c r="Y1635" s="66"/>
      <c r="Z1635" s="15">
        <f t="shared" si="300"/>
        <v>16.7</v>
      </c>
      <c r="AA1635" s="3" t="e">
        <f t="shared" si="301"/>
        <v>#DIV/0!</v>
      </c>
      <c r="AB1635" s="344">
        <f>IFERROR(VLOOKUP($G1635,基本資料!$A:$M,11,0),"無")</f>
        <v>-26.67</v>
      </c>
      <c r="AC1635" s="397">
        <f>IFERROR(VLOOKUP($G1635,基本資料!$A:$M,12,0),"無")</f>
        <v>17.66</v>
      </c>
      <c r="AD1635" s="16" t="s">
        <v>342</v>
      </c>
      <c r="AG1635" s="33">
        <f t="shared" si="302"/>
        <v>0</v>
      </c>
      <c r="AH1635" s="43" t="s">
        <v>2196</v>
      </c>
      <c r="AI1635" s="63">
        <f t="shared" si="303"/>
        <v>1.5378207264245252E-2</v>
      </c>
      <c r="AJ1635" s="284">
        <f>RTD("money.excel",,$G1635,"PredictVolume")</f>
        <v>4615</v>
      </c>
      <c r="AK1635" s="399">
        <f>IFERROR(VLOOKUP($G1635,基本資料!$A:$M,13,0),"無")</f>
        <v>7.75</v>
      </c>
    </row>
    <row r="1636" spans="1:37">
      <c r="B1636" s="79"/>
      <c r="C1636" s="79"/>
      <c r="D1636" s="218"/>
      <c r="E1636" s="79"/>
      <c r="F1636" s="57"/>
      <c r="G1636" s="79"/>
      <c r="H1636" s="17"/>
      <c r="I1636" s="16"/>
      <c r="L1636" s="2"/>
      <c r="P1636" s="366"/>
      <c r="R1636" s="355"/>
      <c r="S1636" s="26"/>
      <c r="U1636" s="34"/>
      <c r="W1636" s="94"/>
      <c r="X1636" s="36"/>
      <c r="Y1636" s="66"/>
      <c r="Z1636" s="15"/>
      <c r="AA1636" s="3"/>
      <c r="AD1636" s="16"/>
      <c r="AG1636" s="33"/>
      <c r="AH1636" s="43"/>
      <c r="AI1636" s="8"/>
      <c r="AJ1636" s="50"/>
    </row>
    <row r="1637" spans="1:37">
      <c r="A1637" s="127" t="s">
        <v>1673</v>
      </c>
      <c r="B1637" s="90" t="s">
        <v>1572</v>
      </c>
      <c r="C1637" s="90" t="s">
        <v>1573</v>
      </c>
      <c r="D1637" s="90" t="s">
        <v>1574</v>
      </c>
      <c r="E1637" s="90" t="s">
        <v>1575</v>
      </c>
      <c r="F1637" s="8" t="s">
        <v>1060</v>
      </c>
      <c r="G1637" s="27" t="s">
        <v>790</v>
      </c>
      <c r="H1637" s="55" t="s">
        <v>320</v>
      </c>
      <c r="I1637" s="8" t="s">
        <v>310</v>
      </c>
      <c r="J1637" s="8" t="s">
        <v>6221</v>
      </c>
      <c r="K1637" s="5" t="s">
        <v>6222</v>
      </c>
      <c r="L1637" s="337" t="s">
        <v>6206</v>
      </c>
      <c r="M1637" s="338" t="s">
        <v>6207</v>
      </c>
      <c r="N1637" s="339" t="s">
        <v>6208</v>
      </c>
      <c r="O1637" s="4" t="s">
        <v>6713</v>
      </c>
      <c r="P1637" s="89" t="s">
        <v>6285</v>
      </c>
      <c r="Q1637" s="293" t="s">
        <v>6284</v>
      </c>
      <c r="R1637" s="354" t="s">
        <v>6283</v>
      </c>
      <c r="S1637" s="26" t="s">
        <v>6286</v>
      </c>
      <c r="T1637" s="321" t="s">
        <v>4716</v>
      </c>
      <c r="U1637" s="10" t="s">
        <v>66</v>
      </c>
      <c r="V1637" s="308" t="s">
        <v>4731</v>
      </c>
      <c r="W1637" s="68" t="s">
        <v>3273</v>
      </c>
      <c r="X1637" s="28" t="s">
        <v>2</v>
      </c>
      <c r="Y1637" s="17" t="s">
        <v>1399</v>
      </c>
      <c r="Z1637" s="14" t="s">
        <v>5</v>
      </c>
      <c r="AA1637" s="21" t="s">
        <v>3</v>
      </c>
      <c r="AB1637" s="96" t="s">
        <v>6174</v>
      </c>
      <c r="AC1637" s="384" t="s">
        <v>6420</v>
      </c>
      <c r="AD1637" s="8" t="s">
        <v>310</v>
      </c>
      <c r="AE1637" s="71" t="s">
        <v>1400</v>
      </c>
      <c r="AF1637" s="72" t="s">
        <v>1157</v>
      </c>
      <c r="AG1637" s="32" t="s">
        <v>1158</v>
      </c>
      <c r="AH1637" s="25" t="s">
        <v>6209</v>
      </c>
      <c r="AI1637" s="8" t="s">
        <v>6731</v>
      </c>
      <c r="AJ1637" s="50" t="s">
        <v>3361</v>
      </c>
      <c r="AK1637" s="44" t="s">
        <v>6730</v>
      </c>
    </row>
    <row r="1638" spans="1:37">
      <c r="A1638" s="347">
        <f>IFERROR(VLOOKUP($G1638,基本資料!$A:$J,3,0),"無")</f>
        <v>9</v>
      </c>
      <c r="B1638" s="79">
        <f>IFERROR(VLOOKUP($G1638,基本資料!$A:$J,4,0),"無")</f>
        <v>-1083</v>
      </c>
      <c r="C1638" s="79">
        <f>IFERROR(VLOOKUP($G1638,基本資料!$A:$J,5,0),"無")</f>
        <v>-221</v>
      </c>
      <c r="D1638" s="79">
        <f>IFERROR(VLOOKUP($G1638,基本資料!$A:$J,6,0),"無")</f>
        <v>-8</v>
      </c>
      <c r="E1638" s="79">
        <f>IFERROR(VLOOKUP($G1638,基本資料!$A:$J,7,0),"無")</f>
        <v>19</v>
      </c>
      <c r="F1638" s="6">
        <f>IFERROR(VLOOKUP($G1638,基本資料!$A:$J,8,0),"無")</f>
        <v>-18.34</v>
      </c>
      <c r="G1638" s="79">
        <v>1432</v>
      </c>
      <c r="H1638" s="8" t="s">
        <v>310</v>
      </c>
      <c r="I1638" s="22" t="s">
        <v>800</v>
      </c>
      <c r="J1638" s="8" t="str">
        <f>IFERROR(VLOOKUP($G1638,今日總結!$A:$AJ,35,0),"")</f>
        <v/>
      </c>
      <c r="K1638" s="5" t="str">
        <f>IFERROR(VLOOKUP($G1638,今日總結!$A:$AJ,36,0),"")</f>
        <v/>
      </c>
      <c r="L1638" s="156" t="str">
        <f>IFERROR(VLOOKUP($G1638,今日總結!$A:$AJ,33,0),"")</f>
        <v/>
      </c>
      <c r="M1638" s="340" t="str">
        <f>IFERROR(VLOOKUP($G1638,今日總結!$A:$AJ,34,0),"")</f>
        <v/>
      </c>
      <c r="N1638" s="240" t="str">
        <f t="shared" ref="N1638:N1640" si="305">IFERROR(L1638-M1638,"")</f>
        <v/>
      </c>
      <c r="P1638" s="365" t="str">
        <f>IFERROR(VLOOKUP($G1638,融外自投!$A:$J,7,0),"無")</f>
        <v>無</v>
      </c>
      <c r="Q1638" s="79" t="str">
        <f>IFERROR(VLOOKUP($G1638,融外自投!$A:$J,9,0),"無")</f>
        <v>無</v>
      </c>
      <c r="R1638" s="346" t="str">
        <f>IFERROR(VLOOKUP($G1638,融外自投!$A:$J,8,0),"無")</f>
        <v>無</v>
      </c>
      <c r="S1638" s="81" t="str">
        <f>IFERROR(VLOOKUP($G1638,融外自投!$A:$J,10,0),"無")</f>
        <v>無</v>
      </c>
      <c r="T1638" s="327" t="str">
        <f>IFERROR(VLOOKUP($G1638,'321買'!$A:$E,5,0),"'沒有資料'")</f>
        <v>'沒有資料'</v>
      </c>
      <c r="U1638" s="186">
        <f>IFERROR(VLOOKUP($G1638,基本資料!$A:$J,9,0),"無")</f>
        <v>0</v>
      </c>
      <c r="V1638" s="310">
        <f t="shared" ref="V1638:V1674" si="306">$U1638/$X1638</f>
        <v>0</v>
      </c>
      <c r="W1638" s="94">
        <f>IFERROR(VLOOKUP($G1638,基本資料!$A:$J,10,0),"無")</f>
        <v>-2.0499999999999998</v>
      </c>
      <c r="X1638" s="36">
        <f>RTD("money.excel",,"1432","Price")</f>
        <v>10.4</v>
      </c>
      <c r="Y1638" s="66"/>
      <c r="Z1638" s="15">
        <f t="shared" ref="Z1638:Z1674" si="307">X1638-Y1638</f>
        <v>10.4</v>
      </c>
      <c r="AA1638" s="3" t="e">
        <f t="shared" ref="AA1638:AA1674" si="308">Z1638/Y1638</f>
        <v>#DIV/0!</v>
      </c>
      <c r="AB1638" s="344">
        <f>IFERROR(VLOOKUP($G1638,基本資料!$A:$M,11,0),"無")</f>
        <v>-52.1</v>
      </c>
      <c r="AC1638" s="397">
        <f>IFERROR(VLOOKUP($G1638,基本資料!$A:$M,12,0),"無")</f>
        <v>8.09</v>
      </c>
      <c r="AD1638" s="22" t="s">
        <v>800</v>
      </c>
      <c r="AG1638" s="33">
        <f t="shared" ref="AG1638:AG1674" si="309">AF1638-AE1638</f>
        <v>0</v>
      </c>
      <c r="AH1638" s="43" t="s">
        <v>2034</v>
      </c>
      <c r="AI1638" s="63">
        <f t="shared" ref="AI1638:AI1674" si="310">AJ1638/(A1638*10000)</f>
        <v>2.0666666666666667E-3</v>
      </c>
      <c r="AJ1638" s="284">
        <f>RTD("money.excel",,$G1638,"PredictVolume")</f>
        <v>186</v>
      </c>
      <c r="AK1638" s="399">
        <f>IFERROR(VLOOKUP($G1638,基本資料!$A:$M,13,0),"無")</f>
        <v>8.06</v>
      </c>
    </row>
    <row r="1639" spans="1:37">
      <c r="A1639" s="347">
        <f>IFERROR(VLOOKUP($G1639,基本資料!$A:$J,3,0),"無")</f>
        <v>83.47</v>
      </c>
      <c r="B1639" s="79">
        <f>IFERROR(VLOOKUP($G1639,基本資料!$A:$J,4,0),"無")</f>
        <v>131</v>
      </c>
      <c r="C1639" s="79">
        <f>IFERROR(VLOOKUP($G1639,基本資料!$A:$J,5,0),"無")</f>
        <v>177</v>
      </c>
      <c r="D1639" s="79">
        <f>IFERROR(VLOOKUP($G1639,基本資料!$A:$J,6,0),"無")</f>
        <v>7</v>
      </c>
      <c r="E1639" s="79">
        <f>IFERROR(VLOOKUP($G1639,基本資料!$A:$J,7,0),"無")</f>
        <v>-10</v>
      </c>
      <c r="F1639" s="6">
        <f>IFERROR(VLOOKUP($G1639,基本資料!$A:$J,8,0),"無")</f>
        <v>12.67</v>
      </c>
      <c r="G1639" s="79">
        <v>2601</v>
      </c>
      <c r="H1639" s="8" t="s">
        <v>310</v>
      </c>
      <c r="I1639" s="22" t="s">
        <v>4666</v>
      </c>
      <c r="J1639" s="8" t="str">
        <f>IFERROR(VLOOKUP($G1639,今日總結!$A:$AJ,35,0),"")</f>
        <v/>
      </c>
      <c r="K1639" s="5" t="str">
        <f>IFERROR(VLOOKUP($G1639,今日總結!$A:$AJ,36,0),"")</f>
        <v/>
      </c>
      <c r="L1639" s="156" t="str">
        <f>IFERROR(VLOOKUP($G1639,今日總結!$A:$AJ,33,0),"")</f>
        <v/>
      </c>
      <c r="M1639" s="340" t="str">
        <f>IFERROR(VLOOKUP($G1639,今日總結!$A:$AJ,34,0),"")</f>
        <v/>
      </c>
      <c r="N1639" s="240" t="str">
        <f t="shared" si="305"/>
        <v/>
      </c>
      <c r="P1639" s="365">
        <f>IFERROR(VLOOKUP($G1639,融外自投!$A:$J,7,0),"無")</f>
        <v>469</v>
      </c>
      <c r="Q1639" s="79">
        <f>IFERROR(VLOOKUP($G1639,融外自投!$A:$J,9,0),"無")</f>
        <v>635</v>
      </c>
      <c r="R1639" s="346">
        <f>IFERROR(VLOOKUP($G1639,融外自投!$A:$J,8,0),"無")</f>
        <v>1399</v>
      </c>
      <c r="S1639" s="81" t="str">
        <f>IFERROR(VLOOKUP($G1639,融外自投!$A:$J,10,0),"無")</f>
        <v>無</v>
      </c>
      <c r="T1639" s="327">
        <f>IFERROR(VLOOKUP($G1639,'321買'!$A:$E,5,0),"'沒有資料'")</f>
        <v>710</v>
      </c>
      <c r="U1639" s="186">
        <f>IFERROR(VLOOKUP($G1639,基本資料!$A:$J,9,0),"無")</f>
        <v>0</v>
      </c>
      <c r="V1639" s="310">
        <f t="shared" si="306"/>
        <v>0</v>
      </c>
      <c r="W1639" s="94">
        <f>IFERROR(VLOOKUP($G1639,基本資料!$A:$J,10,0),"無")</f>
        <v>0.2</v>
      </c>
      <c r="X1639" s="36">
        <f>RTD("money.excel",,"2601","Price")</f>
        <v>10.4</v>
      </c>
      <c r="Y1639" s="66"/>
      <c r="Z1639" s="15">
        <f t="shared" si="307"/>
        <v>10.4</v>
      </c>
      <c r="AA1639" s="3" t="e">
        <f t="shared" si="308"/>
        <v>#DIV/0!</v>
      </c>
      <c r="AB1639" s="344">
        <f>IFERROR(VLOOKUP($G1639,基本資料!$A:$M,11,0),"無")</f>
        <v>-59.25</v>
      </c>
      <c r="AC1639" s="397">
        <f>IFERROR(VLOOKUP($G1639,基本資料!$A:$M,12,0),"無")</f>
        <v>25.85</v>
      </c>
      <c r="AD1639" s="22" t="s">
        <v>4666</v>
      </c>
      <c r="AG1639" s="33">
        <f t="shared" si="309"/>
        <v>0</v>
      </c>
      <c r="AH1639" s="43" t="s">
        <v>2106</v>
      </c>
      <c r="AI1639" s="63">
        <f t="shared" si="310"/>
        <v>6.3400023960704446E-3</v>
      </c>
      <c r="AJ1639" s="284">
        <f>RTD("money.excel",,$G1639,"PredictVolume")</f>
        <v>5292</v>
      </c>
      <c r="AK1639" s="399">
        <f>IFERROR(VLOOKUP($G1639,基本資料!$A:$M,13,0),"無")</f>
        <v>43.28</v>
      </c>
    </row>
    <row r="1640" spans="1:37">
      <c r="A1640" s="347">
        <f>IFERROR(VLOOKUP($G1640,基本資料!$A:$J,3,0),"無")</f>
        <v>52.89</v>
      </c>
      <c r="B1640" s="79">
        <f>IFERROR(VLOOKUP($G1640,基本資料!$A:$J,4,0),"無")</f>
        <v>51</v>
      </c>
      <c r="C1640" s="79">
        <f>IFERROR(VLOOKUP($G1640,基本資料!$A:$J,5,0),"無")</f>
        <v>1647</v>
      </c>
      <c r="D1640" s="79">
        <f>IFERROR(VLOOKUP($G1640,基本資料!$A:$J,6,0),"無")</f>
        <v>34</v>
      </c>
      <c r="E1640" s="79">
        <f>IFERROR(VLOOKUP($G1640,基本資料!$A:$J,7,0),"無")</f>
        <v>22</v>
      </c>
      <c r="F1640" s="6">
        <f>IFERROR(VLOOKUP($G1640,基本資料!$A:$J,8,0),"無")</f>
        <v>2.85</v>
      </c>
      <c r="G1640" s="79">
        <v>2614</v>
      </c>
      <c r="H1640" s="8" t="s">
        <v>310</v>
      </c>
      <c r="I1640" s="22" t="s">
        <v>801</v>
      </c>
      <c r="J1640" s="8">
        <f>IFERROR(VLOOKUP($G1640,今日總結!$A:$AJ,35,0),"")</f>
        <v>0</v>
      </c>
      <c r="K1640" s="5" t="str">
        <f>IFERROR(VLOOKUP($G1640,今日總結!$A:$AJ,36,0),"")</f>
        <v>自</v>
      </c>
      <c r="L1640" s="156">
        <f>IFERROR(VLOOKUP($G1640,今日總結!$A:$AJ,33,0),"")</f>
        <v>0</v>
      </c>
      <c r="M1640" s="340">
        <f>IFERROR(VLOOKUP($G1640,今日總結!$A:$AJ,34,0),"")</f>
        <v>1</v>
      </c>
      <c r="N1640" s="240">
        <f t="shared" si="305"/>
        <v>-1</v>
      </c>
      <c r="P1640" s="365">
        <f>IFERROR(VLOOKUP($G1640,融外自投!$A:$J,7,0),"無")</f>
        <v>260</v>
      </c>
      <c r="Q1640" s="79">
        <f>IFERROR(VLOOKUP($G1640,融外自投!$A:$J,9,0),"無")</f>
        <v>200</v>
      </c>
      <c r="R1640" s="346">
        <f>IFERROR(VLOOKUP($G1640,融外自投!$A:$J,8,0),"無")</f>
        <v>1124</v>
      </c>
      <c r="S1640" s="81" t="str">
        <f>IFERROR(VLOOKUP($G1640,融外自投!$A:$J,10,0),"無")</f>
        <v>無</v>
      </c>
      <c r="T1640" s="327">
        <f>IFERROR(VLOOKUP($G1640,'321買'!$A:$E,5,0),"'沒有資料'")</f>
        <v>281</v>
      </c>
      <c r="U1640" s="186">
        <f>IFERROR(VLOOKUP($G1640,基本資料!$A:$J,9,0),"無")</f>
        <v>1</v>
      </c>
      <c r="V1640" s="310">
        <f t="shared" si="306"/>
        <v>3.937007874015748E-2</v>
      </c>
      <c r="W1640" s="94">
        <f>IFERROR(VLOOKUP($G1640,基本資料!$A:$J,10,0),"無")</f>
        <v>1.37</v>
      </c>
      <c r="X1640" s="36">
        <f>RTD("money.excel",,"2614","Price")</f>
        <v>25.4</v>
      </c>
      <c r="Y1640" s="66"/>
      <c r="Z1640" s="15">
        <f t="shared" si="307"/>
        <v>25.4</v>
      </c>
      <c r="AA1640" s="3" t="e">
        <f t="shared" si="308"/>
        <v>#DIV/0!</v>
      </c>
      <c r="AB1640" s="344">
        <f>IFERROR(VLOOKUP($G1640,基本資料!$A:$M,11,0),"無")</f>
        <v>-63.53</v>
      </c>
      <c r="AC1640" s="397">
        <f>IFERROR(VLOOKUP($G1640,基本資料!$A:$M,12,0),"無")</f>
        <v>13.21</v>
      </c>
      <c r="AD1640" s="22" t="s">
        <v>801</v>
      </c>
      <c r="AG1640" s="33">
        <f t="shared" si="309"/>
        <v>0</v>
      </c>
      <c r="AH1640" s="43" t="s">
        <v>2857</v>
      </c>
      <c r="AI1640" s="63">
        <f t="shared" si="310"/>
        <v>6.269616184533938E-3</v>
      </c>
      <c r="AJ1640" s="284">
        <f>RTD("money.excel",,$G1640,"PredictVolume")</f>
        <v>3316</v>
      </c>
      <c r="AK1640" s="399">
        <f>IFERROR(VLOOKUP($G1640,基本資料!$A:$M,13,0),"無")</f>
        <v>44.93</v>
      </c>
    </row>
    <row r="1641" spans="1:37">
      <c r="A1641" s="347">
        <f>IFERROR(VLOOKUP($G1641,基本資料!$A:$J,3,0),"無")</f>
        <v>7.3</v>
      </c>
      <c r="B1641" s="79">
        <f>IFERROR(VLOOKUP($G1641,基本資料!$A:$J,4,0),"無")</f>
        <v>-65</v>
      </c>
      <c r="C1641" s="79">
        <f>IFERROR(VLOOKUP($G1641,基本資料!$A:$J,5,0),"無")</f>
        <v>-164</v>
      </c>
      <c r="D1641" s="79">
        <f>IFERROR(VLOOKUP($G1641,基本資料!$A:$J,6,0),"無")</f>
        <v>-1</v>
      </c>
      <c r="E1641" s="79">
        <f>IFERROR(VLOOKUP($G1641,基本資料!$A:$J,7,0),"無")</f>
        <v>14</v>
      </c>
      <c r="F1641" s="6">
        <f>IFERROR(VLOOKUP($G1641,基本資料!$A:$J,8,0),"無")</f>
        <v>-5.89</v>
      </c>
      <c r="G1641" s="79">
        <v>2901</v>
      </c>
      <c r="H1641" s="8" t="s">
        <v>310</v>
      </c>
      <c r="I1641" s="22" t="s">
        <v>802</v>
      </c>
      <c r="J1641" s="8">
        <f>IFERROR(VLOOKUP($G1641,今日總結!$A:$AJ,35,0),"")</f>
        <v>0</v>
      </c>
      <c r="K1641" s="5">
        <f>IFERROR(VLOOKUP($G1641,今日總結!$A:$AJ,36,0),"")</f>
        <v>0</v>
      </c>
      <c r="L1641" s="156">
        <f>IFERROR(VLOOKUP($G1641,今日總結!$A:$AJ,33,0),"")</f>
        <v>0</v>
      </c>
      <c r="M1641" s="340">
        <f>IFERROR(VLOOKUP($G1641,今日總結!$A:$AJ,34,0),"")</f>
        <v>1</v>
      </c>
      <c r="N1641" s="240">
        <f t="shared" ref="N1641:N1674" si="311">IFERROR(L1641-M1641,"")</f>
        <v>-1</v>
      </c>
      <c r="P1641" s="365">
        <f>IFERROR(VLOOKUP($G1641,融外自投!$A:$J,7,0),"無")</f>
        <v>555</v>
      </c>
      <c r="Q1641" s="79">
        <f>IFERROR(VLOOKUP($G1641,融外自投!$A:$J,9,0),"無")</f>
        <v>978</v>
      </c>
      <c r="R1641" s="346">
        <f>IFERROR(VLOOKUP($G1641,融外自投!$A:$J,8,0),"無")</f>
        <v>1430</v>
      </c>
      <c r="S1641" s="81" t="str">
        <f>IFERROR(VLOOKUP($G1641,融外自投!$A:$J,10,0),"無")</f>
        <v>無</v>
      </c>
      <c r="T1641" s="327">
        <f>IFERROR(VLOOKUP($G1641,'321買'!$A:$E,5,0),"'沒有資料'")</f>
        <v>1359</v>
      </c>
      <c r="U1641" s="186">
        <f>IFERROR(VLOOKUP($G1641,基本資料!$A:$J,9,0),"無")</f>
        <v>7.0000000000000007E-2</v>
      </c>
      <c r="V1641" s="310">
        <f t="shared" si="306"/>
        <v>2.9288702928870298E-3</v>
      </c>
      <c r="W1641" s="94">
        <f>IFERROR(VLOOKUP($G1641,基本資料!$A:$J,10,0),"無")</f>
        <v>7.0000000000000007E-2</v>
      </c>
      <c r="X1641" s="36">
        <f>RTD("money.excel",,"2901","Price")</f>
        <v>23.9</v>
      </c>
      <c r="Y1641" s="66"/>
      <c r="Z1641" s="15">
        <f t="shared" si="307"/>
        <v>23.9</v>
      </c>
      <c r="AA1641" s="3" t="e">
        <f t="shared" si="308"/>
        <v>#DIV/0!</v>
      </c>
      <c r="AB1641" s="344">
        <f>IFERROR(VLOOKUP($G1641,基本資料!$A:$M,11,0),"無")</f>
        <v>-29.01</v>
      </c>
      <c r="AC1641" s="397">
        <f>IFERROR(VLOOKUP($G1641,基本資料!$A:$M,12,0),"無")</f>
        <v>21.76</v>
      </c>
      <c r="AD1641" s="22" t="s">
        <v>802</v>
      </c>
      <c r="AG1641" s="33">
        <f t="shared" si="309"/>
        <v>0</v>
      </c>
      <c r="AH1641" s="43" t="s">
        <v>2858</v>
      </c>
      <c r="AI1641" s="63">
        <f t="shared" si="310"/>
        <v>1.863013698630137E-3</v>
      </c>
      <c r="AJ1641" s="284">
        <f>RTD("money.excel",,$G1641,"PredictVolume")</f>
        <v>136</v>
      </c>
      <c r="AK1641" s="399">
        <f>IFERROR(VLOOKUP($G1641,基本資料!$A:$M,13,0),"無")</f>
        <v>0.89</v>
      </c>
    </row>
    <row r="1642" spans="1:37">
      <c r="A1642" s="347">
        <f>IFERROR(VLOOKUP($G1642,基本資料!$A:$J,3,0),"無")</f>
        <v>141</v>
      </c>
      <c r="B1642" s="79">
        <f>IFERROR(VLOOKUP($G1642,基本資料!$A:$J,4,0),"無")</f>
        <v>-25</v>
      </c>
      <c r="C1642" s="79">
        <f>IFERROR(VLOOKUP($G1642,基本資料!$A:$J,5,0),"無")</f>
        <v>-11</v>
      </c>
      <c r="D1642" s="79">
        <f>IFERROR(VLOOKUP($G1642,基本資料!$A:$J,6,0),"無")</f>
        <v>20</v>
      </c>
      <c r="E1642" s="79">
        <f>IFERROR(VLOOKUP($G1642,基本資料!$A:$J,7,0),"無")</f>
        <v>-6</v>
      </c>
      <c r="F1642" s="6">
        <f>IFERROR(VLOOKUP($G1642,基本資料!$A:$J,8,0),"無")</f>
        <v>10.29</v>
      </c>
      <c r="G1642" s="79">
        <v>2903</v>
      </c>
      <c r="H1642" s="8" t="s">
        <v>310</v>
      </c>
      <c r="I1642" s="22" t="s">
        <v>803</v>
      </c>
      <c r="J1642" s="8" t="str">
        <f>IFERROR(VLOOKUP($G1642,今日總結!$A:$AJ,35,0),"")</f>
        <v/>
      </c>
      <c r="K1642" s="5" t="str">
        <f>IFERROR(VLOOKUP($G1642,今日總結!$A:$AJ,36,0),"")</f>
        <v/>
      </c>
      <c r="L1642" s="156" t="str">
        <f>IFERROR(VLOOKUP($G1642,今日總結!$A:$AJ,33,0),"")</f>
        <v/>
      </c>
      <c r="M1642" s="340" t="str">
        <f>IFERROR(VLOOKUP($G1642,今日總結!$A:$AJ,34,0),"")</f>
        <v/>
      </c>
      <c r="N1642" s="240" t="str">
        <f t="shared" si="311"/>
        <v/>
      </c>
      <c r="P1642" s="365">
        <f>IFERROR(VLOOKUP($G1642,融外自投!$A:$J,7,0),"無")</f>
        <v>1381</v>
      </c>
      <c r="Q1642" s="79">
        <f>IFERROR(VLOOKUP($G1642,融外自投!$A:$J,9,0),"無")</f>
        <v>447</v>
      </c>
      <c r="R1642" s="346">
        <f>IFERROR(VLOOKUP($G1642,融外自投!$A:$J,8,0),"無")</f>
        <v>488</v>
      </c>
      <c r="S1642" s="81" t="str">
        <f>IFERROR(VLOOKUP($G1642,融外自投!$A:$J,10,0),"無")</f>
        <v>無</v>
      </c>
      <c r="T1642" s="327">
        <f>IFERROR(VLOOKUP($G1642,'321買'!$A:$E,5,0),"'沒有資料'")</f>
        <v>1007</v>
      </c>
      <c r="U1642" s="186">
        <f>IFERROR(VLOOKUP($G1642,基本資料!$A:$J,9,0),"無")</f>
        <v>0.9</v>
      </c>
      <c r="V1642" s="310">
        <f t="shared" si="306"/>
        <v>4.4117647058823532E-2</v>
      </c>
      <c r="W1642" s="94">
        <f>IFERROR(VLOOKUP($G1642,基本資料!$A:$J,10,0),"無")</f>
        <v>0.86</v>
      </c>
      <c r="X1642" s="36">
        <f>RTD("money.excel",,"2903","Price")</f>
        <v>20.399999999999999</v>
      </c>
      <c r="Y1642" s="66"/>
      <c r="Z1642" s="15">
        <f t="shared" si="307"/>
        <v>20.399999999999999</v>
      </c>
      <c r="AA1642" s="3" t="e">
        <f t="shared" si="308"/>
        <v>#DIV/0!</v>
      </c>
      <c r="AB1642" s="344">
        <f>IFERROR(VLOOKUP($G1642,基本資料!$A:$M,11,0),"無")</f>
        <v>-14.81</v>
      </c>
      <c r="AC1642" s="397">
        <f>IFERROR(VLOOKUP($G1642,基本資料!$A:$M,12,0),"無")</f>
        <v>20.51</v>
      </c>
      <c r="AD1642" s="22" t="s">
        <v>803</v>
      </c>
      <c r="AG1642" s="33">
        <f t="shared" si="309"/>
        <v>0</v>
      </c>
      <c r="AH1642" s="43" t="s">
        <v>2859</v>
      </c>
      <c r="AI1642" s="63">
        <f t="shared" si="310"/>
        <v>1.723404255319149E-4</v>
      </c>
      <c r="AJ1642" s="284">
        <f>RTD("money.excel",,$G1642,"PredictVolume")</f>
        <v>243</v>
      </c>
      <c r="AK1642" s="399">
        <f>IFERROR(VLOOKUP($G1642,基本資料!$A:$M,13,0),"無")</f>
        <v>0.23</v>
      </c>
    </row>
    <row r="1643" spans="1:37">
      <c r="A1643" s="347">
        <f>IFERROR(VLOOKUP($G1643,基本資料!$A:$J,3,0),"無")</f>
        <v>91.33</v>
      </c>
      <c r="B1643" s="79">
        <f>IFERROR(VLOOKUP($G1643,基本資料!$A:$J,4,0),"無")</f>
        <v>3</v>
      </c>
      <c r="C1643" s="79">
        <f>IFERROR(VLOOKUP($G1643,基本資料!$A:$J,5,0),"無")</f>
        <v>-45</v>
      </c>
      <c r="D1643" s="79">
        <f>IFERROR(VLOOKUP($G1643,基本資料!$A:$J,6,0),"無")</f>
        <v>60</v>
      </c>
      <c r="E1643" s="79">
        <f>IFERROR(VLOOKUP($G1643,基本資料!$A:$J,7,0),"無")</f>
        <v>53</v>
      </c>
      <c r="F1643" s="6">
        <f>IFERROR(VLOOKUP($G1643,基本資料!$A:$J,8,0),"無")</f>
        <v>6.78</v>
      </c>
      <c r="G1643" s="79">
        <v>2905</v>
      </c>
      <c r="H1643" s="8" t="s">
        <v>310</v>
      </c>
      <c r="I1643" s="22" t="s">
        <v>91</v>
      </c>
      <c r="J1643" s="8" t="str">
        <f>IFERROR(VLOOKUP($G1643,今日總結!$A:$AJ,35,0),"")</f>
        <v/>
      </c>
      <c r="K1643" s="5" t="str">
        <f>IFERROR(VLOOKUP($G1643,今日總結!$A:$AJ,36,0),"")</f>
        <v/>
      </c>
      <c r="L1643" s="156" t="str">
        <f>IFERROR(VLOOKUP($G1643,今日總結!$A:$AJ,33,0),"")</f>
        <v/>
      </c>
      <c r="M1643" s="340" t="str">
        <f>IFERROR(VLOOKUP($G1643,今日總結!$A:$AJ,34,0),"")</f>
        <v/>
      </c>
      <c r="N1643" s="240" t="str">
        <f t="shared" si="311"/>
        <v/>
      </c>
      <c r="P1643" s="365">
        <f>IFERROR(VLOOKUP($G1643,融外自投!$A:$J,7,0),"無")</f>
        <v>1269</v>
      </c>
      <c r="Q1643" s="79">
        <f>IFERROR(VLOOKUP($G1643,融外自投!$A:$J,9,0),"無")</f>
        <v>1051</v>
      </c>
      <c r="R1643" s="346">
        <f>IFERROR(VLOOKUP($G1643,融外自投!$A:$J,8,0),"無")</f>
        <v>693</v>
      </c>
      <c r="S1643" s="81" t="str">
        <f>IFERROR(VLOOKUP($G1643,融外自投!$A:$J,10,0),"無")</f>
        <v>無</v>
      </c>
      <c r="T1643" s="327">
        <f>IFERROR(VLOOKUP($G1643,'321買'!$A:$E,5,0),"'沒有資料'")</f>
        <v>623</v>
      </c>
      <c r="U1643" s="186">
        <f>IFERROR(VLOOKUP($G1643,基本資料!$A:$J,9,0),"無")</f>
        <v>1.1000000000000001</v>
      </c>
      <c r="V1643" s="310">
        <f t="shared" si="306"/>
        <v>5.4590570719602986E-2</v>
      </c>
      <c r="W1643" s="94">
        <f>IFERROR(VLOOKUP($G1643,基本資料!$A:$J,10,0),"無")</f>
        <v>2.19</v>
      </c>
      <c r="X1643" s="36">
        <f>RTD("money.excel",,"2905","Price")</f>
        <v>20.149999999999999</v>
      </c>
      <c r="Y1643" s="66"/>
      <c r="Z1643" s="15">
        <f t="shared" si="307"/>
        <v>20.149999999999999</v>
      </c>
      <c r="AA1643" s="3" t="e">
        <f t="shared" si="308"/>
        <v>#DIV/0!</v>
      </c>
      <c r="AB1643" s="344">
        <f>IFERROR(VLOOKUP($G1643,基本資料!$A:$M,11,0),"無")</f>
        <v>-23.75</v>
      </c>
      <c r="AC1643" s="397">
        <f>IFERROR(VLOOKUP($G1643,基本資料!$A:$M,12,0),"無")</f>
        <v>21.73</v>
      </c>
      <c r="AD1643" s="22" t="s">
        <v>91</v>
      </c>
      <c r="AG1643" s="33">
        <f t="shared" si="309"/>
        <v>0</v>
      </c>
      <c r="AH1643" s="117" t="s">
        <v>2860</v>
      </c>
      <c r="AI1643" s="63">
        <f t="shared" si="310"/>
        <v>1.3467644804554912E-4</v>
      </c>
      <c r="AJ1643" s="284">
        <f>RTD("money.excel",,$G1643,"PredictVolume")</f>
        <v>123</v>
      </c>
      <c r="AK1643" s="399">
        <f>IFERROR(VLOOKUP($G1643,基本資料!$A:$M,13,0),"無")</f>
        <v>0.76</v>
      </c>
    </row>
    <row r="1644" spans="1:37">
      <c r="A1644" s="347">
        <f>IFERROR(VLOOKUP($G1644,基本資料!$A:$J,3,0),"無")</f>
        <v>20.91</v>
      </c>
      <c r="B1644" s="79">
        <f>IFERROR(VLOOKUP($G1644,基本資料!$A:$J,4,0),"無")</f>
        <v>44</v>
      </c>
      <c r="C1644" s="79">
        <f>IFERROR(VLOOKUP($G1644,基本資料!$A:$J,5,0),"無")</f>
        <v>29</v>
      </c>
      <c r="D1644" s="79">
        <f>IFERROR(VLOOKUP($G1644,基本資料!$A:$J,6,0),"無")</f>
        <v>34</v>
      </c>
      <c r="E1644" s="79">
        <f>IFERROR(VLOOKUP($G1644,基本資料!$A:$J,7,0),"無")</f>
        <v>5</v>
      </c>
      <c r="F1644" s="6">
        <f>IFERROR(VLOOKUP($G1644,基本資料!$A:$J,8,0),"無")</f>
        <v>4.0599999999999996</v>
      </c>
      <c r="G1644" s="79">
        <v>2906</v>
      </c>
      <c r="H1644" s="8" t="s">
        <v>310</v>
      </c>
      <c r="I1644" s="22" t="s">
        <v>804</v>
      </c>
      <c r="J1644" s="8">
        <f>IFERROR(VLOOKUP($G1644,今日總結!$A:$AJ,35,0),"")</f>
        <v>42</v>
      </c>
      <c r="K1644" s="5" t="str">
        <f>IFERROR(VLOOKUP($G1644,今日總結!$A:$AJ,36,0),"")</f>
        <v>借</v>
      </c>
      <c r="L1644" s="156">
        <f>IFERROR(VLOOKUP($G1644,今日總結!$A:$AJ,33,0),"")</f>
        <v>2</v>
      </c>
      <c r="M1644" s="340">
        <f>IFERROR(VLOOKUP($G1644,今日總結!$A:$AJ,34,0),"")</f>
        <v>1</v>
      </c>
      <c r="N1644" s="240">
        <f t="shared" si="311"/>
        <v>1</v>
      </c>
      <c r="P1644" s="365">
        <f>IFERROR(VLOOKUP($G1644,融外自投!$A:$J,7,0),"無")</f>
        <v>260</v>
      </c>
      <c r="Q1644" s="79">
        <f>IFERROR(VLOOKUP($G1644,融外自投!$A:$J,9,0),"無")</f>
        <v>39</v>
      </c>
      <c r="R1644" s="346">
        <f>IFERROR(VLOOKUP($G1644,融外自投!$A:$J,8,0),"無")</f>
        <v>760</v>
      </c>
      <c r="S1644" s="81" t="str">
        <f>IFERROR(VLOOKUP($G1644,融外自投!$A:$J,10,0),"無")</f>
        <v>無</v>
      </c>
      <c r="T1644" s="327">
        <f>IFERROR(VLOOKUP($G1644,'321買'!$A:$E,5,0),"'沒有資料'")</f>
        <v>403</v>
      </c>
      <c r="U1644" s="186">
        <f>IFERROR(VLOOKUP($G1644,基本資料!$A:$J,9,0),"無")</f>
        <v>0.4</v>
      </c>
      <c r="V1644" s="310">
        <f t="shared" si="306"/>
        <v>2.3323615160349857E-2</v>
      </c>
      <c r="W1644" s="94">
        <f>IFERROR(VLOOKUP($G1644,基本資料!$A:$J,10,0),"無")</f>
        <v>0.43</v>
      </c>
      <c r="X1644" s="36">
        <f>RTD("money.excel",,"2906","Price")</f>
        <v>17.149999999999999</v>
      </c>
      <c r="Y1644" s="66"/>
      <c r="Z1644" s="15">
        <f t="shared" si="307"/>
        <v>17.149999999999999</v>
      </c>
      <c r="AA1644" s="3" t="e">
        <f t="shared" si="308"/>
        <v>#DIV/0!</v>
      </c>
      <c r="AB1644" s="344">
        <f>IFERROR(VLOOKUP($G1644,基本資料!$A:$M,11,0),"無")</f>
        <v>-44.56</v>
      </c>
      <c r="AC1644" s="397">
        <f>IFERROR(VLOOKUP($G1644,基本資料!$A:$M,12,0),"無")</f>
        <v>13.28</v>
      </c>
      <c r="AD1644" s="22" t="s">
        <v>804</v>
      </c>
      <c r="AG1644" s="33">
        <f t="shared" si="309"/>
        <v>0</v>
      </c>
      <c r="AH1644" s="43" t="s">
        <v>2060</v>
      </c>
      <c r="AI1644" s="63">
        <f t="shared" si="310"/>
        <v>2.1822094691535152E-2</v>
      </c>
      <c r="AJ1644" s="284">
        <f>RTD("money.excel",,$G1644,"PredictVolume")</f>
        <v>4563</v>
      </c>
      <c r="AK1644" s="399">
        <f>IFERROR(VLOOKUP($G1644,基本資料!$A:$M,13,0),"無")</f>
        <v>57.54</v>
      </c>
    </row>
    <row r="1645" spans="1:37">
      <c r="A1645" s="347">
        <f>IFERROR(VLOOKUP($G1645,基本資料!$A:$J,3,0),"無")</f>
        <v>50.98</v>
      </c>
      <c r="B1645" s="79">
        <f>IFERROR(VLOOKUP($G1645,基本資料!$A:$J,4,0),"無")</f>
        <v>1</v>
      </c>
      <c r="C1645" s="79">
        <f>IFERROR(VLOOKUP($G1645,基本資料!$A:$J,5,0),"無")</f>
        <v>-33</v>
      </c>
      <c r="D1645" s="79">
        <f>IFERROR(VLOOKUP($G1645,基本資料!$A:$J,6,0),"無")</f>
        <v>-9</v>
      </c>
      <c r="E1645" s="79">
        <f>IFERROR(VLOOKUP($G1645,基本資料!$A:$J,7,0),"無")</f>
        <v>-15</v>
      </c>
      <c r="F1645" s="6">
        <f>IFERROR(VLOOKUP($G1645,基本資料!$A:$J,8,0),"無")</f>
        <v>1.74</v>
      </c>
      <c r="G1645" s="79">
        <v>2908</v>
      </c>
      <c r="H1645" s="8" t="s">
        <v>310</v>
      </c>
      <c r="I1645" s="22" t="s">
        <v>805</v>
      </c>
      <c r="J1645" s="8" t="str">
        <f>IFERROR(VLOOKUP($G1645,今日總結!$A:$AJ,35,0),"")</f>
        <v>融</v>
      </c>
      <c r="K1645" s="5">
        <f>IFERROR(VLOOKUP($G1645,今日總結!$A:$AJ,36,0),"")</f>
        <v>0</v>
      </c>
      <c r="L1645" s="156">
        <f>IFERROR(VLOOKUP($G1645,今日總結!$A:$AJ,33,0),"")</f>
        <v>1</v>
      </c>
      <c r="M1645" s="340">
        <f>IFERROR(VLOOKUP($G1645,今日總結!$A:$AJ,34,0),"")</f>
        <v>0</v>
      </c>
      <c r="N1645" s="240">
        <f t="shared" si="311"/>
        <v>1</v>
      </c>
      <c r="P1645" s="365">
        <f>IFERROR(VLOOKUP($G1645,融外自投!$A:$J,7,0),"無")</f>
        <v>671</v>
      </c>
      <c r="Q1645" s="79" t="str">
        <f>IFERROR(VLOOKUP($G1645,融外自投!$A:$J,9,0),"無")</f>
        <v>無</v>
      </c>
      <c r="R1645" s="346">
        <f>IFERROR(VLOOKUP($G1645,融外自投!$A:$J,8,0),"無")</f>
        <v>841</v>
      </c>
      <c r="S1645" s="81" t="str">
        <f>IFERROR(VLOOKUP($G1645,融外自投!$A:$J,10,0),"無")</f>
        <v>無</v>
      </c>
      <c r="T1645" s="327">
        <f>IFERROR(VLOOKUP($G1645,'321買'!$A:$E,5,0),"'沒有資料'")</f>
        <v>89</v>
      </c>
      <c r="U1645" s="186">
        <f>IFERROR(VLOOKUP($G1645,基本資料!$A:$J,9,0),"無")</f>
        <v>1.28</v>
      </c>
      <c r="V1645" s="310">
        <f t="shared" si="306"/>
        <v>5.9259259259259255E-2</v>
      </c>
      <c r="W1645" s="94">
        <f>IFERROR(VLOOKUP($G1645,基本資料!$A:$J,10,0),"無")</f>
        <v>1.58</v>
      </c>
      <c r="X1645" s="36">
        <f>RTD("money.excel",,"2908","Price")</f>
        <v>21.6</v>
      </c>
      <c r="Y1645" s="66"/>
      <c r="Z1645" s="15">
        <f t="shared" si="307"/>
        <v>21.6</v>
      </c>
      <c r="AA1645" s="3" t="e">
        <f t="shared" si="308"/>
        <v>#DIV/0!</v>
      </c>
      <c r="AB1645" s="344">
        <f>IFERROR(VLOOKUP($G1645,基本資料!$A:$M,11,0),"無")</f>
        <v>-20.77</v>
      </c>
      <c r="AC1645" s="397">
        <f>IFERROR(VLOOKUP($G1645,基本資料!$A:$M,12,0),"無")</f>
        <v>75.319999999999993</v>
      </c>
      <c r="AD1645" s="22" t="s">
        <v>805</v>
      </c>
      <c r="AG1645" s="33">
        <f t="shared" si="309"/>
        <v>0</v>
      </c>
      <c r="AH1645" s="43" t="s">
        <v>2861</v>
      </c>
      <c r="AI1645" s="63">
        <f t="shared" si="310"/>
        <v>3.2561788936837977E-4</v>
      </c>
      <c r="AJ1645" s="284">
        <f>RTD("money.excel",,$G1645,"PredictVolume")</f>
        <v>166</v>
      </c>
      <c r="AK1645" s="399">
        <f>IFERROR(VLOOKUP($G1645,基本資料!$A:$M,13,0),"無")</f>
        <v>1.27</v>
      </c>
    </row>
    <row r="1646" spans="1:37">
      <c r="A1646" s="347">
        <f>IFERROR(VLOOKUP($G1646,基本資料!$A:$J,3,0),"無")</f>
        <v>20.87</v>
      </c>
      <c r="B1646" s="79">
        <f>IFERROR(VLOOKUP($G1646,基本資料!$A:$J,4,0),"無")</f>
        <v>23</v>
      </c>
      <c r="C1646" s="79">
        <f>IFERROR(VLOOKUP($G1646,基本資料!$A:$J,5,0),"無")</f>
        <v>-18</v>
      </c>
      <c r="D1646" s="79">
        <f>IFERROR(VLOOKUP($G1646,基本資料!$A:$J,6,0),"無")</f>
        <v>-72</v>
      </c>
      <c r="E1646" s="79">
        <f>IFERROR(VLOOKUP($G1646,基本資料!$A:$J,7,0),"無")</f>
        <v>-70</v>
      </c>
      <c r="F1646" s="6">
        <f>IFERROR(VLOOKUP($G1646,基本資料!$A:$J,8,0),"無")</f>
        <v>24.86</v>
      </c>
      <c r="G1646" s="79">
        <v>2910</v>
      </c>
      <c r="H1646" s="8" t="s">
        <v>310</v>
      </c>
      <c r="I1646" s="22" t="s">
        <v>806</v>
      </c>
      <c r="J1646" s="8" t="str">
        <f>IFERROR(VLOOKUP($G1646,今日總結!$A:$AJ,35,0),"")</f>
        <v/>
      </c>
      <c r="K1646" s="5" t="str">
        <f>IFERROR(VLOOKUP($G1646,今日總結!$A:$AJ,36,0),"")</f>
        <v/>
      </c>
      <c r="L1646" s="156" t="str">
        <f>IFERROR(VLOOKUP($G1646,今日總結!$A:$AJ,33,0),"")</f>
        <v/>
      </c>
      <c r="M1646" s="340" t="str">
        <f>IFERROR(VLOOKUP($G1646,今日總結!$A:$AJ,34,0),"")</f>
        <v/>
      </c>
      <c r="N1646" s="240" t="str">
        <f t="shared" si="311"/>
        <v/>
      </c>
      <c r="P1646" s="365">
        <f>IFERROR(VLOOKUP($G1646,融外自投!$A:$J,7,0),"無")</f>
        <v>1460</v>
      </c>
      <c r="Q1646" s="79" t="str">
        <f>IFERROR(VLOOKUP($G1646,融外自投!$A:$J,9,0),"無")</f>
        <v>無</v>
      </c>
      <c r="R1646" s="346">
        <f>IFERROR(VLOOKUP($G1646,融外自投!$A:$J,8,0),"無")</f>
        <v>1420</v>
      </c>
      <c r="S1646" s="81" t="str">
        <f>IFERROR(VLOOKUP($G1646,融外自投!$A:$J,10,0),"無")</f>
        <v>無</v>
      </c>
      <c r="T1646" s="327">
        <f>IFERROR(VLOOKUP($G1646,'321買'!$A:$E,5,0),"'沒有資料'")</f>
        <v>1359</v>
      </c>
      <c r="U1646" s="186">
        <f>IFERROR(VLOOKUP($G1646,基本資料!$A:$J,9,0),"無")</f>
        <v>0.5</v>
      </c>
      <c r="V1646" s="310">
        <f t="shared" si="306"/>
        <v>1.490312965722802E-2</v>
      </c>
      <c r="W1646" s="94">
        <f>IFERROR(VLOOKUP($G1646,基本資料!$A:$J,10,0),"無")</f>
        <v>0.8</v>
      </c>
      <c r="X1646" s="36">
        <f>RTD("money.excel",,"2910","Price")</f>
        <v>33.549999999999997</v>
      </c>
      <c r="Y1646" s="66"/>
      <c r="Z1646" s="15">
        <f t="shared" si="307"/>
        <v>33.549999999999997</v>
      </c>
      <c r="AA1646" s="3" t="e">
        <f t="shared" si="308"/>
        <v>#DIV/0!</v>
      </c>
      <c r="AB1646" s="344">
        <f>IFERROR(VLOOKUP($G1646,基本資料!$A:$M,11,0),"無")</f>
        <v>-20.9</v>
      </c>
      <c r="AC1646" s="397">
        <f>IFERROR(VLOOKUP($G1646,基本資料!$A:$M,12,0),"無")</f>
        <v>73.37</v>
      </c>
      <c r="AD1646" s="22" t="s">
        <v>806</v>
      </c>
      <c r="AG1646" s="33">
        <f t="shared" si="309"/>
        <v>0</v>
      </c>
      <c r="AH1646" s="43" t="s">
        <v>2862</v>
      </c>
      <c r="AI1646" s="63">
        <f t="shared" si="310"/>
        <v>2.3957834211787255E-5</v>
      </c>
      <c r="AJ1646" s="284">
        <f>RTD("money.excel",,$G1646,"PredictVolume")</f>
        <v>5</v>
      </c>
      <c r="AK1646" s="399">
        <f>IFERROR(VLOOKUP($G1646,基本資料!$A:$M,13,0),"無")</f>
        <v>0.04</v>
      </c>
    </row>
    <row r="1647" spans="1:37">
      <c r="A1647" s="347">
        <f>IFERROR(VLOOKUP($G1647,基本資料!$A:$J,3,0),"無")</f>
        <v>18.46</v>
      </c>
      <c r="B1647" s="79">
        <f>IFERROR(VLOOKUP($G1647,基本資料!$A:$J,4,0),"無")</f>
        <v>22</v>
      </c>
      <c r="C1647" s="79">
        <f>IFERROR(VLOOKUP($G1647,基本資料!$A:$J,5,0),"無")</f>
        <v>-60</v>
      </c>
      <c r="D1647" s="79">
        <f>IFERROR(VLOOKUP($G1647,基本資料!$A:$J,6,0),"無")</f>
        <v>12</v>
      </c>
      <c r="E1647" s="79">
        <f>IFERROR(VLOOKUP($G1647,基本資料!$A:$J,7,0),"無")</f>
        <v>-7</v>
      </c>
      <c r="F1647" s="6">
        <f>IFERROR(VLOOKUP($G1647,基本資料!$A:$J,8,0),"無")</f>
        <v>-14.09</v>
      </c>
      <c r="G1647" s="79">
        <v>2911</v>
      </c>
      <c r="H1647" s="8" t="s">
        <v>310</v>
      </c>
      <c r="I1647" s="22" t="s">
        <v>807</v>
      </c>
      <c r="J1647" s="8">
        <f>IFERROR(VLOOKUP($G1647,今日總結!$A:$AJ,35,0),"")</f>
        <v>0</v>
      </c>
      <c r="K1647" s="5" t="str">
        <f>IFERROR(VLOOKUP($G1647,今日總結!$A:$AJ,36,0),"")</f>
        <v>外</v>
      </c>
      <c r="L1647" s="156">
        <f>IFERROR(VLOOKUP($G1647,今日總結!$A:$AJ,33,0),"")</f>
        <v>0</v>
      </c>
      <c r="M1647" s="340">
        <f>IFERROR(VLOOKUP($G1647,今日總結!$A:$AJ,34,0),"")</f>
        <v>2</v>
      </c>
      <c r="N1647" s="240">
        <f t="shared" si="311"/>
        <v>-2</v>
      </c>
      <c r="P1647" s="365">
        <f>IFERROR(VLOOKUP($G1647,融外自投!$A:$J,7,0),"無")</f>
        <v>981</v>
      </c>
      <c r="Q1647" s="79">
        <f>IFERROR(VLOOKUP($G1647,融外自投!$A:$J,9,0),"無")</f>
        <v>194</v>
      </c>
      <c r="R1647" s="346">
        <f>IFERROR(VLOOKUP($G1647,融外自投!$A:$J,8,0),"無")</f>
        <v>310</v>
      </c>
      <c r="S1647" s="81" t="str">
        <f>IFERROR(VLOOKUP($G1647,融外自投!$A:$J,10,0),"無")</f>
        <v>無</v>
      </c>
      <c r="T1647" s="327">
        <f>IFERROR(VLOOKUP($G1647,'321買'!$A:$E,5,0),"'沒有資料'")</f>
        <v>1179</v>
      </c>
      <c r="U1647" s="186">
        <f>IFERROR(VLOOKUP($G1647,基本資料!$A:$J,9,0),"無")</f>
        <v>0</v>
      </c>
      <c r="V1647" s="310">
        <f t="shared" si="306"/>
        <v>0</v>
      </c>
      <c r="W1647" s="94">
        <f>IFERROR(VLOOKUP($G1647,基本資料!$A:$J,10,0),"無")</f>
        <v>-1.32</v>
      </c>
      <c r="X1647" s="36">
        <f>RTD("money.excel",,"2911","Price")</f>
        <v>7</v>
      </c>
      <c r="Y1647" s="66"/>
      <c r="Z1647" s="15">
        <f t="shared" si="307"/>
        <v>7</v>
      </c>
      <c r="AA1647" s="3" t="e">
        <f t="shared" si="308"/>
        <v>#DIV/0!</v>
      </c>
      <c r="AB1647" s="344">
        <f>IFERROR(VLOOKUP($G1647,基本資料!$A:$M,11,0),"無")</f>
        <v>-27.22</v>
      </c>
      <c r="AC1647" s="397">
        <f>IFERROR(VLOOKUP($G1647,基本資料!$A:$M,12,0),"無")</f>
        <v>9.0299999999999994</v>
      </c>
      <c r="AD1647" s="22" t="s">
        <v>807</v>
      </c>
      <c r="AG1647" s="33">
        <f t="shared" si="309"/>
        <v>0</v>
      </c>
      <c r="AH1647" s="43" t="s">
        <v>1529</v>
      </c>
      <c r="AI1647" s="63">
        <f t="shared" si="310"/>
        <v>5.5254604550379193E-4</v>
      </c>
      <c r="AJ1647" s="284">
        <f>RTD("money.excel",,$G1647,"PredictVolume")</f>
        <v>102</v>
      </c>
      <c r="AK1647" s="399">
        <f>IFERROR(VLOOKUP($G1647,基本資料!$A:$M,13,0),"無")</f>
        <v>13.42</v>
      </c>
    </row>
    <row r="1648" spans="1:37">
      <c r="A1648" s="347">
        <f>IFERROR(VLOOKUP($G1648,基本資料!$A:$J,3,0),"無")</f>
        <v>103</v>
      </c>
      <c r="B1648" s="79">
        <f>IFERROR(VLOOKUP($G1648,基本資料!$A:$J,4,0),"無")</f>
        <v>-11</v>
      </c>
      <c r="C1648" s="79">
        <f>IFERROR(VLOOKUP($G1648,基本資料!$A:$J,5,0),"無")</f>
        <v>-12</v>
      </c>
      <c r="D1648" s="79">
        <f>IFERROR(VLOOKUP($G1648,基本資料!$A:$J,6,0),"無")</f>
        <v>11</v>
      </c>
      <c r="E1648" s="79">
        <f>IFERROR(VLOOKUP($G1648,基本資料!$A:$J,7,0),"無")</f>
        <v>4</v>
      </c>
      <c r="F1648" s="6">
        <f>IFERROR(VLOOKUP($G1648,基本資料!$A:$J,8,0),"無")</f>
        <v>4.0599999999999996</v>
      </c>
      <c r="G1648" s="79">
        <v>2912</v>
      </c>
      <c r="H1648" s="8" t="s">
        <v>310</v>
      </c>
      <c r="I1648" s="22" t="s">
        <v>4667</v>
      </c>
      <c r="J1648" s="8" t="str">
        <f>IFERROR(VLOOKUP($G1648,今日總結!$A:$AJ,35,0),"")</f>
        <v>借</v>
      </c>
      <c r="K1648" s="5" t="str">
        <f>IFERROR(VLOOKUP($G1648,今日總結!$A:$AJ,36,0),"")</f>
        <v>自</v>
      </c>
      <c r="L1648" s="156">
        <f>IFERROR(VLOOKUP($G1648,今日總結!$A:$AJ,33,0),"")</f>
        <v>1</v>
      </c>
      <c r="M1648" s="340">
        <f>IFERROR(VLOOKUP($G1648,今日總結!$A:$AJ,34,0),"")</f>
        <v>1</v>
      </c>
      <c r="N1648" s="240">
        <f t="shared" si="311"/>
        <v>0</v>
      </c>
      <c r="P1648" s="365">
        <f>IFERROR(VLOOKUP($G1648,融外自投!$A:$J,7,0),"無")</f>
        <v>1439</v>
      </c>
      <c r="Q1648" s="79">
        <f>IFERROR(VLOOKUP($G1648,融外自投!$A:$J,9,0),"無")</f>
        <v>466</v>
      </c>
      <c r="R1648" s="346">
        <f>IFERROR(VLOOKUP($G1648,融外自投!$A:$J,8,0),"無")</f>
        <v>182</v>
      </c>
      <c r="S1648" s="81">
        <f>IFERROR(VLOOKUP($G1648,融外自投!$A:$J,10,0),"無")</f>
        <v>156</v>
      </c>
      <c r="T1648" s="327">
        <f>IFERROR(VLOOKUP($G1648,'321買'!$A:$E,5,0),"'沒有資料'")</f>
        <v>63</v>
      </c>
      <c r="U1648" s="186">
        <f>IFERROR(VLOOKUP($G1648,基本資料!$A:$J,9,0),"無")</f>
        <v>9</v>
      </c>
      <c r="V1648" s="310">
        <f t="shared" si="306"/>
        <v>3.4026465028355386E-2</v>
      </c>
      <c r="W1648" s="94">
        <f>IFERROR(VLOOKUP($G1648,基本資料!$A:$J,10,0),"無")</f>
        <v>8.52</v>
      </c>
      <c r="X1648" s="36">
        <f>RTD("money.excel",,"2912","Price")</f>
        <v>264.5</v>
      </c>
      <c r="Y1648" s="66"/>
      <c r="Z1648" s="15">
        <f t="shared" si="307"/>
        <v>264.5</v>
      </c>
      <c r="AA1648" s="3" t="e">
        <f t="shared" si="308"/>
        <v>#DIV/0!</v>
      </c>
      <c r="AB1648" s="344">
        <f>IFERROR(VLOOKUP($G1648,基本資料!$A:$M,11,0),"無")</f>
        <v>-9.18</v>
      </c>
      <c r="AC1648" s="397">
        <f>IFERROR(VLOOKUP($G1648,基本資料!$A:$M,12,0),"無")</f>
        <v>62.32</v>
      </c>
      <c r="AD1648" s="22" t="s">
        <v>4667</v>
      </c>
      <c r="AG1648" s="33">
        <f t="shared" si="309"/>
        <v>0</v>
      </c>
      <c r="AH1648" s="117" t="s">
        <v>2863</v>
      </c>
      <c r="AI1648" s="63">
        <f t="shared" si="310"/>
        <v>1.0514563106796117E-3</v>
      </c>
      <c r="AJ1648" s="284">
        <f>RTD("money.excel",,$G1648,"PredictVolume")</f>
        <v>1083</v>
      </c>
      <c r="AK1648" s="399">
        <f>IFERROR(VLOOKUP($G1648,基本資料!$A:$M,13,0),"無")</f>
        <v>0.91</v>
      </c>
    </row>
    <row r="1649" spans="1:37">
      <c r="A1649" s="347">
        <f>IFERROR(VLOOKUP($G1649,基本資料!$A:$J,3,0),"無")</f>
        <v>79</v>
      </c>
      <c r="B1649" s="79">
        <f>IFERROR(VLOOKUP($G1649,基本資料!$A:$J,4,0),"無")</f>
        <v>-6368</v>
      </c>
      <c r="C1649" s="79">
        <f>IFERROR(VLOOKUP($G1649,基本資料!$A:$J,5,0),"無")</f>
        <v>-23</v>
      </c>
      <c r="D1649" s="79">
        <f>IFERROR(VLOOKUP($G1649,基本資料!$A:$J,6,0),"無")</f>
        <v>-6</v>
      </c>
      <c r="E1649" s="79">
        <f>IFERROR(VLOOKUP($G1649,基本資料!$A:$J,7,0),"無")</f>
        <v>-6</v>
      </c>
      <c r="F1649" s="6">
        <f>IFERROR(VLOOKUP($G1649,基本資料!$A:$J,8,0),"無")</f>
        <v>-49.45</v>
      </c>
      <c r="G1649" s="79">
        <v>2913</v>
      </c>
      <c r="H1649" s="8" t="s">
        <v>310</v>
      </c>
      <c r="I1649" s="22" t="s">
        <v>808</v>
      </c>
      <c r="J1649" s="8">
        <f>IFERROR(VLOOKUP($G1649,今日總結!$A:$AJ,35,0),"")</f>
        <v>0</v>
      </c>
      <c r="K1649" s="5">
        <f>IFERROR(VLOOKUP($G1649,今日總結!$A:$AJ,36,0),"")</f>
        <v>0</v>
      </c>
      <c r="L1649" s="156">
        <f>IFERROR(VLOOKUP($G1649,今日總結!$A:$AJ,33,0),"")</f>
        <v>0</v>
      </c>
      <c r="M1649" s="340">
        <f>IFERROR(VLOOKUP($G1649,今日總結!$A:$AJ,34,0),"")</f>
        <v>1</v>
      </c>
      <c r="N1649" s="240">
        <f t="shared" si="311"/>
        <v>-1</v>
      </c>
      <c r="P1649" s="365">
        <f>IFERROR(VLOOKUP($G1649,融外自投!$A:$J,7,0),"無")</f>
        <v>658</v>
      </c>
      <c r="Q1649" s="79">
        <f>IFERROR(VLOOKUP($G1649,融外自投!$A:$J,9,0),"無")</f>
        <v>896</v>
      </c>
      <c r="R1649" s="346">
        <f>IFERROR(VLOOKUP($G1649,融外自投!$A:$J,8,0),"無")</f>
        <v>618</v>
      </c>
      <c r="S1649" s="81">
        <f>IFERROR(VLOOKUP($G1649,融外自投!$A:$J,10,0),"無")</f>
        <v>437</v>
      </c>
      <c r="T1649" s="327">
        <f>IFERROR(VLOOKUP($G1649,'321買'!$A:$E,5,0),"'沒有資料'")</f>
        <v>729</v>
      </c>
      <c r="U1649" s="186">
        <f>IFERROR(VLOOKUP($G1649,基本資料!$A:$J,9,0),"無")</f>
        <v>0</v>
      </c>
      <c r="V1649" s="310">
        <f t="shared" si="306"/>
        <v>0</v>
      </c>
      <c r="W1649" s="94">
        <f>IFERROR(VLOOKUP($G1649,基本資料!$A:$J,10,0),"無")</f>
        <v>-1.42</v>
      </c>
      <c r="X1649" s="36">
        <f>RTD("money.excel",,"2913","Price")</f>
        <v>18.149999999999999</v>
      </c>
      <c r="Y1649" s="66"/>
      <c r="Z1649" s="15">
        <f t="shared" si="307"/>
        <v>18.149999999999999</v>
      </c>
      <c r="AA1649" s="3" t="e">
        <f t="shared" si="308"/>
        <v>#DIV/0!</v>
      </c>
      <c r="AB1649" s="344">
        <f>IFERROR(VLOOKUP($G1649,基本資料!$A:$M,11,0),"無")</f>
        <v>-22.37</v>
      </c>
      <c r="AC1649" s="397">
        <f>IFERROR(VLOOKUP($G1649,基本資料!$A:$M,12,0),"無")</f>
        <v>14.4</v>
      </c>
      <c r="AD1649" s="22" t="s">
        <v>808</v>
      </c>
      <c r="AG1649" s="33">
        <f t="shared" si="309"/>
        <v>0</v>
      </c>
      <c r="AH1649" s="43" t="s">
        <v>2177</v>
      </c>
      <c r="AI1649" s="63">
        <f t="shared" si="310"/>
        <v>1.0734177215189873E-3</v>
      </c>
      <c r="AJ1649" s="284">
        <f>RTD("money.excel",,$G1649,"PredictVolume")</f>
        <v>848</v>
      </c>
      <c r="AK1649" s="399">
        <f>IFERROR(VLOOKUP($G1649,基本資料!$A:$M,13,0),"無")</f>
        <v>8.7200000000000006</v>
      </c>
    </row>
    <row r="1650" spans="1:37">
      <c r="A1650" s="347">
        <f>IFERROR(VLOOKUP($G1650,基本資料!$A:$J,3,0),"無")</f>
        <v>73.430000000000007</v>
      </c>
      <c r="B1650" s="79">
        <f>IFERROR(VLOOKUP($G1650,基本資料!$A:$J,4,0),"無")</f>
        <v>93</v>
      </c>
      <c r="C1650" s="79">
        <f>IFERROR(VLOOKUP($G1650,基本資料!$A:$J,5,0),"無")</f>
        <v>-26</v>
      </c>
      <c r="D1650" s="79">
        <f>IFERROR(VLOOKUP($G1650,基本資料!$A:$J,6,0),"無")</f>
        <v>25</v>
      </c>
      <c r="E1650" s="79">
        <f>IFERROR(VLOOKUP($G1650,基本資料!$A:$J,7,0),"無")</f>
        <v>9</v>
      </c>
      <c r="F1650" s="6">
        <f>IFERROR(VLOOKUP($G1650,基本資料!$A:$J,8,0),"無")</f>
        <v>1.42</v>
      </c>
      <c r="G1650" s="79">
        <v>2915</v>
      </c>
      <c r="H1650" s="8" t="s">
        <v>310</v>
      </c>
      <c r="I1650" s="22" t="s">
        <v>4668</v>
      </c>
      <c r="J1650" s="8">
        <f>IFERROR(VLOOKUP($G1650,今日總結!$A:$AJ,35,0),"")</f>
        <v>0</v>
      </c>
      <c r="K1650" s="5">
        <f>IFERROR(VLOOKUP($G1650,今日總結!$A:$AJ,36,0),"")</f>
        <v>2</v>
      </c>
      <c r="L1650" s="156">
        <f>IFERROR(VLOOKUP($G1650,今日總結!$A:$AJ,33,0),"")</f>
        <v>0</v>
      </c>
      <c r="M1650" s="340">
        <f>IFERROR(VLOOKUP($G1650,今日總結!$A:$AJ,34,0),"")</f>
        <v>1</v>
      </c>
      <c r="N1650" s="240">
        <f t="shared" si="311"/>
        <v>-1</v>
      </c>
      <c r="P1650" s="365">
        <f>IFERROR(VLOOKUP($G1650,融外自投!$A:$J,7,0),"無")</f>
        <v>809</v>
      </c>
      <c r="Q1650" s="79">
        <f>IFERROR(VLOOKUP($G1650,融外自投!$A:$J,9,0),"無")</f>
        <v>25</v>
      </c>
      <c r="R1650" s="346">
        <f>IFERROR(VLOOKUP($G1650,融外自投!$A:$J,8,0),"無")</f>
        <v>544</v>
      </c>
      <c r="S1650" s="81">
        <f>IFERROR(VLOOKUP($G1650,融外自投!$A:$J,10,0),"無")</f>
        <v>437</v>
      </c>
      <c r="T1650" s="327">
        <f>IFERROR(VLOOKUP($G1650,'321買'!$A:$E,5,0),"'沒有資料'")</f>
        <v>153</v>
      </c>
      <c r="U1650" s="186">
        <f>IFERROR(VLOOKUP($G1650,基本資料!$A:$J,9,0),"無")</f>
        <v>5</v>
      </c>
      <c r="V1650" s="310">
        <f t="shared" si="306"/>
        <v>5.7803468208092484E-2</v>
      </c>
      <c r="W1650" s="94">
        <f>IFERROR(VLOOKUP($G1650,基本資料!$A:$J,10,0),"無")</f>
        <v>22.49</v>
      </c>
      <c r="X1650" s="36">
        <f>RTD("money.excel",,"2915","Price")</f>
        <v>86.5</v>
      </c>
      <c r="Y1650" s="66"/>
      <c r="Z1650" s="15">
        <f t="shared" si="307"/>
        <v>86.5</v>
      </c>
      <c r="AA1650" s="3" t="e">
        <f t="shared" si="308"/>
        <v>#DIV/0!</v>
      </c>
      <c r="AB1650" s="344">
        <f>IFERROR(VLOOKUP($G1650,基本資料!$A:$M,11,0),"無")</f>
        <v>-38.31</v>
      </c>
      <c r="AC1650" s="397">
        <f>IFERROR(VLOOKUP($G1650,基本資料!$A:$M,12,0),"無")</f>
        <v>26.36</v>
      </c>
      <c r="AD1650" s="22" t="s">
        <v>4668</v>
      </c>
      <c r="AG1650" s="33">
        <f t="shared" si="309"/>
        <v>0</v>
      </c>
      <c r="AH1650" s="117" t="s">
        <v>2059</v>
      </c>
      <c r="AI1650" s="63">
        <f t="shared" si="310"/>
        <v>1.5620318670842978E-2</v>
      </c>
      <c r="AJ1650" s="284">
        <f>RTD("money.excel",,$G1650,"PredictVolume")</f>
        <v>11470</v>
      </c>
      <c r="AK1650" s="399">
        <f>IFERROR(VLOOKUP($G1650,基本資料!$A:$M,13,0),"無")</f>
        <v>5.6</v>
      </c>
    </row>
    <row r="1651" spans="1:37">
      <c r="A1651" s="347">
        <f>IFERROR(VLOOKUP($G1651,基本資料!$A:$J,3,0),"無")</f>
        <v>5.46</v>
      </c>
      <c r="B1651" s="79">
        <f>IFERROR(VLOOKUP($G1651,基本資料!$A:$J,4,0),"無")</f>
        <v>56</v>
      </c>
      <c r="C1651" s="79">
        <f>IFERROR(VLOOKUP($G1651,基本資料!$A:$J,5,0),"無")</f>
        <v>28</v>
      </c>
      <c r="D1651" s="79">
        <f>IFERROR(VLOOKUP($G1651,基本資料!$A:$J,6,0),"無")</f>
        <v>-15</v>
      </c>
      <c r="E1651" s="79">
        <f>IFERROR(VLOOKUP($G1651,基本資料!$A:$J,7,0),"無")</f>
        <v>-21</v>
      </c>
      <c r="F1651" s="6">
        <f>IFERROR(VLOOKUP($G1651,基本資料!$A:$J,8,0),"無")</f>
        <v>9.11</v>
      </c>
      <c r="G1651" s="79">
        <v>2916</v>
      </c>
      <c r="H1651" s="8" t="s">
        <v>310</v>
      </c>
      <c r="I1651" s="16" t="s">
        <v>791</v>
      </c>
      <c r="J1651" s="8" t="str">
        <f>IFERROR(VLOOKUP($G1651,今日總結!$A:$AJ,35,0),"")</f>
        <v/>
      </c>
      <c r="K1651" s="5" t="str">
        <f>IFERROR(VLOOKUP($G1651,今日總結!$A:$AJ,36,0),"")</f>
        <v/>
      </c>
      <c r="L1651" s="156" t="str">
        <f>IFERROR(VLOOKUP($G1651,今日總結!$A:$AJ,33,0),"")</f>
        <v/>
      </c>
      <c r="M1651" s="340" t="str">
        <f>IFERROR(VLOOKUP($G1651,今日總結!$A:$AJ,34,0),"")</f>
        <v/>
      </c>
      <c r="N1651" s="240" t="str">
        <f t="shared" si="311"/>
        <v/>
      </c>
      <c r="P1651" s="365">
        <f>IFERROR(VLOOKUP($G1651,融外自投!$A:$J,7,0),"無")</f>
        <v>1189</v>
      </c>
      <c r="Q1651" s="79">
        <f>IFERROR(VLOOKUP($G1651,融外自投!$A:$J,9,0),"無")</f>
        <v>1110</v>
      </c>
      <c r="R1651" s="346">
        <f>IFERROR(VLOOKUP($G1651,融外自投!$A:$J,8,0),"無")</f>
        <v>261</v>
      </c>
      <c r="S1651" s="81" t="str">
        <f>IFERROR(VLOOKUP($G1651,融外自投!$A:$J,10,0),"無")</f>
        <v>無</v>
      </c>
      <c r="T1651" s="327">
        <f>IFERROR(VLOOKUP($G1651,'321買'!$A:$E,5,0),"'沒有資料'")</f>
        <v>1239</v>
      </c>
      <c r="U1651" s="186">
        <f>IFERROR(VLOOKUP($G1651,基本資料!$A:$J,9,0),"無")</f>
        <v>2.2000000000000002</v>
      </c>
      <c r="V1651" s="310">
        <f t="shared" si="306"/>
        <v>9.5238095238095247E-2</v>
      </c>
      <c r="W1651" s="94">
        <f>IFERROR(VLOOKUP($G1651,基本資料!$A:$J,10,0),"無")</f>
        <v>2.52</v>
      </c>
      <c r="X1651" s="36">
        <f>RTD("money.excel",,"2916","Price")</f>
        <v>23.1</v>
      </c>
      <c r="Y1651" s="66"/>
      <c r="Z1651" s="15">
        <f t="shared" si="307"/>
        <v>23.1</v>
      </c>
      <c r="AA1651" s="3" t="e">
        <f t="shared" si="308"/>
        <v>#DIV/0!</v>
      </c>
      <c r="AB1651" s="344">
        <f>IFERROR(VLOOKUP($G1651,基本資料!$A:$M,11,0),"無")</f>
        <v>-7.84</v>
      </c>
      <c r="AC1651" s="397">
        <f>IFERROR(VLOOKUP($G1651,基本資料!$A:$M,12,0),"無")</f>
        <v>50.87</v>
      </c>
      <c r="AD1651" s="16" t="s">
        <v>791</v>
      </c>
      <c r="AG1651" s="33">
        <f t="shared" si="309"/>
        <v>0</v>
      </c>
      <c r="AH1651" s="43" t="s">
        <v>2643</v>
      </c>
      <c r="AI1651" s="63">
        <f t="shared" si="310"/>
        <v>1.1172161172161173E-3</v>
      </c>
      <c r="AJ1651" s="284">
        <f>RTD("money.excel",,$G1651,"PredictVolume")</f>
        <v>61</v>
      </c>
      <c r="AK1651" s="399">
        <f>IFERROR(VLOOKUP($G1651,基本資料!$A:$M,13,0),"無")</f>
        <v>1.29</v>
      </c>
    </row>
    <row r="1652" spans="1:37">
      <c r="A1652" s="347">
        <f>IFERROR(VLOOKUP($G1652,基本資料!$A:$J,3,0),"無")</f>
        <v>3.28</v>
      </c>
      <c r="B1652" s="79">
        <f>IFERROR(VLOOKUP($G1652,基本資料!$A:$J,4,0),"無")</f>
        <v>54</v>
      </c>
      <c r="C1652" s="79">
        <f>IFERROR(VLOOKUP($G1652,基本資料!$A:$J,5,0),"無")</f>
        <v>-142</v>
      </c>
      <c r="D1652" s="79">
        <f>IFERROR(VLOOKUP($G1652,基本資料!$A:$J,6,0),"無")</f>
        <v>-43</v>
      </c>
      <c r="E1652" s="79">
        <f>IFERROR(VLOOKUP($G1652,基本資料!$A:$J,7,0),"無")</f>
        <v>-68</v>
      </c>
      <c r="F1652" s="6">
        <f>IFERROR(VLOOKUP($G1652,基本資料!$A:$J,8,0),"無")</f>
        <v>-60.52</v>
      </c>
      <c r="G1652" s="79">
        <v>2924</v>
      </c>
      <c r="H1652" s="8" t="s">
        <v>310</v>
      </c>
      <c r="I1652" s="16" t="s">
        <v>792</v>
      </c>
      <c r="J1652" s="8" t="str">
        <f>IFERROR(VLOOKUP($G1652,今日總結!$A:$AJ,35,0),"")</f>
        <v/>
      </c>
      <c r="K1652" s="5" t="str">
        <f>IFERROR(VLOOKUP($G1652,今日總結!$A:$AJ,36,0),"")</f>
        <v/>
      </c>
      <c r="L1652" s="156" t="str">
        <f>IFERROR(VLOOKUP($G1652,今日總結!$A:$AJ,33,0),"")</f>
        <v/>
      </c>
      <c r="M1652" s="340" t="str">
        <f>IFERROR(VLOOKUP($G1652,今日總結!$A:$AJ,34,0),"")</f>
        <v/>
      </c>
      <c r="N1652" s="240" t="str">
        <f t="shared" si="311"/>
        <v/>
      </c>
      <c r="P1652" s="365" t="str">
        <f>IFERROR(VLOOKUP($G1652,融外自投!$A:$J,7,0),"無")</f>
        <v>無</v>
      </c>
      <c r="Q1652" s="79" t="str">
        <f>IFERROR(VLOOKUP($G1652,融外自投!$A:$J,9,0),"無")</f>
        <v>無</v>
      </c>
      <c r="R1652" s="346" t="str">
        <f>IFERROR(VLOOKUP($G1652,融外自投!$A:$J,8,0),"無")</f>
        <v>無</v>
      </c>
      <c r="S1652" s="81" t="str">
        <f>IFERROR(VLOOKUP($G1652,融外自投!$A:$J,10,0),"無")</f>
        <v>無</v>
      </c>
      <c r="T1652" s="327" t="str">
        <f>IFERROR(VLOOKUP($G1652,'321買'!$A:$E,5,0),"'沒有資料'")</f>
        <v>'沒有資料'</v>
      </c>
      <c r="U1652" s="186">
        <f>IFERROR(VLOOKUP($G1652,基本資料!$A:$J,9,0),"無")</f>
        <v>0</v>
      </c>
      <c r="V1652" s="310" t="e">
        <f t="shared" si="306"/>
        <v>#VALUE!</v>
      </c>
      <c r="W1652" s="94">
        <f>IFERROR(VLOOKUP($G1652,基本資料!$A:$J,10,0),"無")</f>
        <v>-1.72</v>
      </c>
      <c r="X1652" s="36" t="str">
        <f>RTD("money.excel",,"2924","Price")</f>
        <v>無資料</v>
      </c>
      <c r="Y1652" s="66"/>
      <c r="Z1652" s="15" t="e">
        <f t="shared" si="307"/>
        <v>#VALUE!</v>
      </c>
      <c r="AA1652" s="3" t="e">
        <f t="shared" si="308"/>
        <v>#VALUE!</v>
      </c>
      <c r="AB1652" s="344">
        <f>IFERROR(VLOOKUP($G1652,基本資料!$A:$M,11,0),"無")</f>
        <v>-35.21</v>
      </c>
      <c r="AC1652" s="397">
        <f>IFERROR(VLOOKUP($G1652,基本資料!$A:$M,12,0),"無")</f>
        <v>18.38</v>
      </c>
      <c r="AD1652" s="16" t="s">
        <v>792</v>
      </c>
      <c r="AG1652" s="33">
        <f t="shared" si="309"/>
        <v>0</v>
      </c>
      <c r="AH1652" s="43" t="s">
        <v>2644</v>
      </c>
      <c r="AI1652" s="63">
        <f t="shared" si="310"/>
        <v>0</v>
      </c>
      <c r="AJ1652" s="284">
        <f>RTD("money.excel",,$G1652,"PredictVolume")</f>
        <v>0</v>
      </c>
      <c r="AK1652" s="399">
        <f>IFERROR(VLOOKUP($G1652,基本資料!$A:$M,13,0),"無")</f>
        <v>0.48</v>
      </c>
    </row>
    <row r="1653" spans="1:37">
      <c r="A1653" s="347">
        <f>IFERROR(VLOOKUP($G1653,基本資料!$A:$J,3,0),"無")</f>
        <v>7.6</v>
      </c>
      <c r="B1653" s="79">
        <f>IFERROR(VLOOKUP($G1653,基本資料!$A:$J,4,0),"無")</f>
        <v>24</v>
      </c>
      <c r="C1653" s="79">
        <f>IFERROR(VLOOKUP($G1653,基本資料!$A:$J,5,0),"無")</f>
        <v>49</v>
      </c>
      <c r="D1653" s="79">
        <f>IFERROR(VLOOKUP($G1653,基本資料!$A:$J,6,0),"無")</f>
        <v>-16</v>
      </c>
      <c r="E1653" s="79">
        <f>IFERROR(VLOOKUP($G1653,基本資料!$A:$J,7,0),"無")</f>
        <v>-33</v>
      </c>
      <c r="F1653" s="6">
        <f>IFERROR(VLOOKUP($G1653,基本資料!$A:$J,8,0),"無")</f>
        <v>5.67</v>
      </c>
      <c r="G1653" s="79">
        <v>2936</v>
      </c>
      <c r="H1653" s="8" t="s">
        <v>310</v>
      </c>
      <c r="I1653" s="22" t="s">
        <v>1115</v>
      </c>
      <c r="J1653" s="8" t="str">
        <f>IFERROR(VLOOKUP($G1653,今日總結!$A:$AJ,35,0),"")</f>
        <v/>
      </c>
      <c r="K1653" s="5" t="str">
        <f>IFERROR(VLOOKUP($G1653,今日總結!$A:$AJ,36,0),"")</f>
        <v/>
      </c>
      <c r="L1653" s="156" t="str">
        <f>IFERROR(VLOOKUP($G1653,今日總結!$A:$AJ,33,0),"")</f>
        <v/>
      </c>
      <c r="M1653" s="340" t="str">
        <f>IFERROR(VLOOKUP($G1653,今日總結!$A:$AJ,34,0),"")</f>
        <v/>
      </c>
      <c r="N1653" s="240" t="str">
        <f t="shared" si="311"/>
        <v/>
      </c>
      <c r="P1653" s="365">
        <f>IFERROR(VLOOKUP($G1653,融外自投!$A:$J,7,0),"無")</f>
        <v>1226</v>
      </c>
      <c r="Q1653" s="79">
        <f>IFERROR(VLOOKUP($G1653,融外自投!$A:$J,9,0),"無")</f>
        <v>165</v>
      </c>
      <c r="R1653" s="346">
        <f>IFERROR(VLOOKUP($G1653,融外自投!$A:$J,8,0),"無")</f>
        <v>2</v>
      </c>
      <c r="S1653" s="81" t="str">
        <f>IFERROR(VLOOKUP($G1653,融外自投!$A:$J,10,0),"無")</f>
        <v>無</v>
      </c>
      <c r="T1653" s="327">
        <f>IFERROR(VLOOKUP($G1653,'321買'!$A:$E,5,0),"'沒有資料'")</f>
        <v>89</v>
      </c>
      <c r="U1653" s="186">
        <f>IFERROR(VLOOKUP($G1653,基本資料!$A:$J,9,0),"無")</f>
        <v>0</v>
      </c>
      <c r="V1653" s="310">
        <f t="shared" si="306"/>
        <v>0</v>
      </c>
      <c r="W1653" s="94">
        <f>IFERROR(VLOOKUP($G1653,基本資料!$A:$J,10,0),"無")</f>
        <v>4.0199999999999996</v>
      </c>
      <c r="X1653" s="36">
        <f>RTD("money.excel",,"2936","Price")</f>
        <v>39.1</v>
      </c>
      <c r="Y1653" s="66"/>
      <c r="Z1653" s="15">
        <f t="shared" si="307"/>
        <v>39.1</v>
      </c>
      <c r="AA1653" s="3" t="e">
        <f t="shared" si="308"/>
        <v>#DIV/0!</v>
      </c>
      <c r="AB1653" s="344">
        <f>IFERROR(VLOOKUP($G1653,基本資料!$A:$M,11,0),"無")</f>
        <v>-1.01</v>
      </c>
      <c r="AC1653" s="397">
        <f>IFERROR(VLOOKUP($G1653,基本資料!$A:$M,12,0),"無")</f>
        <v>83.92</v>
      </c>
      <c r="AD1653" s="22" t="s">
        <v>1115</v>
      </c>
      <c r="AG1653" s="33">
        <f t="shared" si="309"/>
        <v>0</v>
      </c>
      <c r="AH1653" s="43" t="s">
        <v>2864</v>
      </c>
      <c r="AI1653" s="63">
        <f t="shared" si="310"/>
        <v>8.5526315789473688E-4</v>
      </c>
      <c r="AJ1653" s="284">
        <f>RTD("money.excel",,$G1653,"PredictVolume")</f>
        <v>65</v>
      </c>
      <c r="AK1653" s="399">
        <f>IFERROR(VLOOKUP($G1653,基本資料!$A:$M,13,0),"無")</f>
        <v>1.9</v>
      </c>
    </row>
    <row r="1654" spans="1:37">
      <c r="A1654" s="347">
        <f>IFERROR(VLOOKUP($G1654,基本資料!$A:$J,3,0),"無")</f>
        <v>4.04</v>
      </c>
      <c r="B1654" s="79">
        <f>IFERROR(VLOOKUP($G1654,基本資料!$A:$J,4,0),"無")</f>
        <v>13</v>
      </c>
      <c r="C1654" s="79">
        <f>IFERROR(VLOOKUP($G1654,基本資料!$A:$J,5,0),"無")</f>
        <v>17</v>
      </c>
      <c r="D1654" s="79">
        <f>IFERROR(VLOOKUP($G1654,基本資料!$A:$J,6,0),"無")</f>
        <v>0</v>
      </c>
      <c r="E1654" s="79">
        <f>IFERROR(VLOOKUP($G1654,基本資料!$A:$J,7,0),"無")</f>
        <v>20</v>
      </c>
      <c r="F1654" s="6">
        <f>IFERROR(VLOOKUP($G1654,基本資料!$A:$J,8,0),"無")</f>
        <v>4.62</v>
      </c>
      <c r="G1654" s="79">
        <v>2937</v>
      </c>
      <c r="H1654" s="8" t="s">
        <v>310</v>
      </c>
      <c r="I1654" s="16" t="s">
        <v>793</v>
      </c>
      <c r="J1654" s="8" t="str">
        <f>IFERROR(VLOOKUP($G1654,今日總結!$A:$AJ,35,0),"")</f>
        <v/>
      </c>
      <c r="K1654" s="5" t="str">
        <f>IFERROR(VLOOKUP($G1654,今日總結!$A:$AJ,36,0),"")</f>
        <v/>
      </c>
      <c r="L1654" s="156" t="str">
        <f>IFERROR(VLOOKUP($G1654,今日總結!$A:$AJ,33,0),"")</f>
        <v/>
      </c>
      <c r="M1654" s="340" t="str">
        <f>IFERROR(VLOOKUP($G1654,今日總結!$A:$AJ,34,0),"")</f>
        <v/>
      </c>
      <c r="N1654" s="240" t="str">
        <f t="shared" si="311"/>
        <v/>
      </c>
      <c r="P1654" s="365" t="str">
        <f>IFERROR(VLOOKUP($G1654,融外自投!$A:$J,7,0),"無")</f>
        <v>無</v>
      </c>
      <c r="Q1654" s="79" t="str">
        <f>IFERROR(VLOOKUP($G1654,融外自投!$A:$J,9,0),"無")</f>
        <v>無</v>
      </c>
      <c r="R1654" s="346" t="str">
        <f>IFERROR(VLOOKUP($G1654,融外自投!$A:$J,8,0),"無")</f>
        <v>無</v>
      </c>
      <c r="S1654" s="81" t="str">
        <f>IFERROR(VLOOKUP($G1654,融外自投!$A:$J,10,0),"無")</f>
        <v>無</v>
      </c>
      <c r="T1654" s="327" t="str">
        <f>IFERROR(VLOOKUP($G1654,'321買'!$A:$E,5,0),"'沒有資料'")</f>
        <v>'沒有資料'</v>
      </c>
      <c r="U1654" s="186">
        <f>IFERROR(VLOOKUP($G1654,基本資料!$A:$J,9,0),"無")</f>
        <v>2.25</v>
      </c>
      <c r="V1654" s="310">
        <f t="shared" si="306"/>
        <v>5.9760956175298807E-2</v>
      </c>
      <c r="W1654" s="94">
        <f>IFERROR(VLOOKUP($G1654,基本資料!$A:$J,10,0),"無")</f>
        <v>3.2</v>
      </c>
      <c r="X1654" s="36">
        <f>RTD("money.excel",,"2937","Price")</f>
        <v>37.65</v>
      </c>
      <c r="Y1654" s="66"/>
      <c r="Z1654" s="15">
        <f t="shared" si="307"/>
        <v>37.65</v>
      </c>
      <c r="AA1654" s="3" t="e">
        <f t="shared" si="308"/>
        <v>#DIV/0!</v>
      </c>
      <c r="AB1654" s="344">
        <f>IFERROR(VLOOKUP($G1654,基本資料!$A:$M,11,0),"無")</f>
        <v>-14.99</v>
      </c>
      <c r="AC1654" s="397">
        <f>IFERROR(VLOOKUP($G1654,基本資料!$A:$M,12,0),"無")</f>
        <v>49.24</v>
      </c>
      <c r="AD1654" s="16" t="s">
        <v>793</v>
      </c>
      <c r="AG1654" s="33">
        <f t="shared" si="309"/>
        <v>0</v>
      </c>
      <c r="AH1654" s="43" t="s">
        <v>2645</v>
      </c>
      <c r="AI1654" s="63">
        <f t="shared" si="310"/>
        <v>2.4752475247524753E-4</v>
      </c>
      <c r="AJ1654" s="284">
        <f>RTD("money.excel",,$G1654,"PredictVolume")</f>
        <v>10</v>
      </c>
      <c r="AK1654" s="399">
        <f>IFERROR(VLOOKUP($G1654,基本資料!$A:$M,13,0),"無")</f>
        <v>0.53</v>
      </c>
    </row>
    <row r="1655" spans="1:37">
      <c r="A1655" s="347">
        <f>IFERROR(VLOOKUP($G1655,基本資料!$A:$J,3,0),"無")</f>
        <v>4.55</v>
      </c>
      <c r="B1655" s="79">
        <f>IFERROR(VLOOKUP($G1655,基本資料!$A:$J,4,0),"無")</f>
        <v>-1854</v>
      </c>
      <c r="C1655" s="79">
        <f>IFERROR(VLOOKUP($G1655,基本資料!$A:$J,5,0),"無")</f>
        <v>-139</v>
      </c>
      <c r="D1655" s="79">
        <f>IFERROR(VLOOKUP($G1655,基本資料!$A:$J,6,0),"無")</f>
        <v>228</v>
      </c>
      <c r="E1655" s="79">
        <f>IFERROR(VLOOKUP($G1655,基本資料!$A:$J,7,0),"無")</f>
        <v>17</v>
      </c>
      <c r="F1655" s="6">
        <f>IFERROR(VLOOKUP($G1655,基本資料!$A:$J,8,0),"無")</f>
        <v>-3.14</v>
      </c>
      <c r="G1655" s="79">
        <v>2939</v>
      </c>
      <c r="H1655" s="8" t="s">
        <v>310</v>
      </c>
      <c r="I1655" s="22" t="s">
        <v>809</v>
      </c>
      <c r="J1655" s="8" t="str">
        <f>IFERROR(VLOOKUP($G1655,今日總結!$A:$AJ,35,0),"")</f>
        <v/>
      </c>
      <c r="K1655" s="5" t="str">
        <f>IFERROR(VLOOKUP($G1655,今日總結!$A:$AJ,36,0),"")</f>
        <v/>
      </c>
      <c r="L1655" s="156" t="str">
        <f>IFERROR(VLOOKUP($G1655,今日總結!$A:$AJ,33,0),"")</f>
        <v/>
      </c>
      <c r="M1655" s="340" t="str">
        <f>IFERROR(VLOOKUP($G1655,今日總結!$A:$AJ,34,0),"")</f>
        <v/>
      </c>
      <c r="N1655" s="240" t="str">
        <f t="shared" si="311"/>
        <v/>
      </c>
      <c r="P1655" s="365">
        <f>IFERROR(VLOOKUP($G1655,融外自投!$A:$J,7,0),"無")</f>
        <v>774</v>
      </c>
      <c r="Q1655" s="79">
        <f>IFERROR(VLOOKUP($G1655,融外自投!$A:$J,9,0),"無")</f>
        <v>425</v>
      </c>
      <c r="R1655" s="346">
        <f>IFERROR(VLOOKUP($G1655,融外自投!$A:$J,8,0),"無")</f>
        <v>65</v>
      </c>
      <c r="S1655" s="81" t="str">
        <f>IFERROR(VLOOKUP($G1655,融外自投!$A:$J,10,0),"無")</f>
        <v>無</v>
      </c>
      <c r="T1655" s="327">
        <f>IFERROR(VLOOKUP($G1655,'321買'!$A:$E,5,0),"'沒有資料'")</f>
        <v>1239</v>
      </c>
      <c r="U1655" s="186">
        <f>IFERROR(VLOOKUP($G1655,基本資料!$A:$J,9,0),"無")</f>
        <v>0</v>
      </c>
      <c r="V1655" s="310">
        <f t="shared" si="306"/>
        <v>0</v>
      </c>
      <c r="W1655" s="94">
        <f>IFERROR(VLOOKUP($G1655,基本資料!$A:$J,10,0),"無")</f>
        <v>-1.06</v>
      </c>
      <c r="X1655" s="36">
        <f>RTD("money.excel",,"2939","Price")</f>
        <v>25.4</v>
      </c>
      <c r="Y1655" s="66"/>
      <c r="Z1655" s="15">
        <f t="shared" si="307"/>
        <v>25.4</v>
      </c>
      <c r="AA1655" s="3" t="e">
        <f t="shared" si="308"/>
        <v>#DIV/0!</v>
      </c>
      <c r="AB1655" s="344">
        <f>IFERROR(VLOOKUP($G1655,基本資料!$A:$M,11,0),"無")</f>
        <v>-46.88</v>
      </c>
      <c r="AC1655" s="397">
        <f>IFERROR(VLOOKUP($G1655,基本資料!$A:$M,12,0),"無")</f>
        <v>42.67</v>
      </c>
      <c r="AD1655" s="22" t="s">
        <v>809</v>
      </c>
      <c r="AG1655" s="33">
        <f t="shared" si="309"/>
        <v>0</v>
      </c>
      <c r="AH1655" s="43" t="s">
        <v>2865</v>
      </c>
      <c r="AI1655" s="63">
        <f t="shared" si="310"/>
        <v>5.0549450549450552E-4</v>
      </c>
      <c r="AJ1655" s="284">
        <f>RTD("money.excel",,$G1655,"PredictVolume")</f>
        <v>23</v>
      </c>
      <c r="AK1655" s="399">
        <f>IFERROR(VLOOKUP($G1655,基本資料!$A:$M,13,0),"無")</f>
        <v>4.88</v>
      </c>
    </row>
    <row r="1656" spans="1:37">
      <c r="A1656" s="347">
        <f>IFERROR(VLOOKUP($G1656,基本資料!$A:$J,3,0),"無")</f>
        <v>6.75</v>
      </c>
      <c r="B1656" s="79">
        <f>IFERROR(VLOOKUP($G1656,基本資料!$A:$J,4,0),"無")</f>
        <v>6</v>
      </c>
      <c r="C1656" s="79">
        <f>IFERROR(VLOOKUP($G1656,基本資料!$A:$J,5,0),"無")</f>
        <v>-2</v>
      </c>
      <c r="D1656" s="79">
        <f>IFERROR(VLOOKUP($G1656,基本資料!$A:$J,6,0),"無")</f>
        <v>13</v>
      </c>
      <c r="E1656" s="79">
        <f>IFERROR(VLOOKUP($G1656,基本資料!$A:$J,7,0),"無")</f>
        <v>-1</v>
      </c>
      <c r="F1656" s="6">
        <f>IFERROR(VLOOKUP($G1656,基本資料!$A:$J,8,0),"無")</f>
        <v>1.76</v>
      </c>
      <c r="G1656" s="79">
        <v>2945</v>
      </c>
      <c r="H1656" s="8" t="s">
        <v>310</v>
      </c>
      <c r="I1656" s="22" t="s">
        <v>3516</v>
      </c>
      <c r="J1656" s="8" t="str">
        <f>IFERROR(VLOOKUP($G1656,今日總結!$A:$AJ,35,0),"")</f>
        <v/>
      </c>
      <c r="K1656" s="5" t="str">
        <f>IFERROR(VLOOKUP($G1656,今日總結!$A:$AJ,36,0),"")</f>
        <v/>
      </c>
      <c r="L1656" s="156" t="str">
        <f>IFERROR(VLOOKUP($G1656,今日總結!$A:$AJ,33,0),"")</f>
        <v/>
      </c>
      <c r="M1656" s="340" t="str">
        <f>IFERROR(VLOOKUP($G1656,今日總結!$A:$AJ,34,0),"")</f>
        <v/>
      </c>
      <c r="N1656" s="240" t="str">
        <f t="shared" si="311"/>
        <v/>
      </c>
      <c r="P1656" s="365" t="str">
        <f>IFERROR(VLOOKUP($G1656,融外自投!$A:$J,7,0),"無")</f>
        <v>無</v>
      </c>
      <c r="Q1656" s="79" t="str">
        <f>IFERROR(VLOOKUP($G1656,融外自投!$A:$J,9,0),"無")</f>
        <v>無</v>
      </c>
      <c r="R1656" s="346" t="str">
        <f>IFERROR(VLOOKUP($G1656,融外自投!$A:$J,8,0),"無")</f>
        <v>無</v>
      </c>
      <c r="S1656" s="81" t="str">
        <f>IFERROR(VLOOKUP($G1656,融外自投!$A:$J,10,0),"無")</f>
        <v>無</v>
      </c>
      <c r="T1656" s="327" t="str">
        <f>IFERROR(VLOOKUP($G1656,'321買'!$A:$E,5,0),"'沒有資料'")</f>
        <v>'沒有資料'</v>
      </c>
      <c r="U1656" s="186">
        <f>IFERROR(VLOOKUP($G1656,基本資料!$A:$J,9,0),"無")</f>
        <v>2.59</v>
      </c>
      <c r="V1656" s="310">
        <f t="shared" si="306"/>
        <v>5.0784313725490193E-2</v>
      </c>
      <c r="W1656" s="94">
        <f>IFERROR(VLOOKUP($G1656,基本資料!$A:$J,10,0),"無")</f>
        <v>3.21</v>
      </c>
      <c r="X1656" s="36">
        <f>RTD("money.excel",,"2945","Price")</f>
        <v>51</v>
      </c>
      <c r="Y1656" s="66"/>
      <c r="Z1656" s="15">
        <f t="shared" si="307"/>
        <v>51</v>
      </c>
      <c r="AA1656" s="3" t="e">
        <f t="shared" si="308"/>
        <v>#DIV/0!</v>
      </c>
      <c r="AB1656" s="344" t="str">
        <f>IFERROR(VLOOKUP($G1656,基本資料!$A:$M,11,0),"無")</f>
        <v>無</v>
      </c>
      <c r="AC1656" s="397" t="str">
        <f>IFERROR(VLOOKUP($G1656,基本資料!$A:$M,12,0),"無")</f>
        <v>無</v>
      </c>
      <c r="AD1656" s="22" t="s">
        <v>3516</v>
      </c>
      <c r="AG1656" s="33">
        <f t="shared" si="309"/>
        <v>0</v>
      </c>
      <c r="AH1656" s="43" t="s">
        <v>3517</v>
      </c>
      <c r="AI1656" s="63">
        <f t="shared" si="310"/>
        <v>1.7629629629629629E-3</v>
      </c>
      <c r="AJ1656" s="284">
        <f>RTD("money.excel",,$G1656,"PredictVolume")</f>
        <v>119</v>
      </c>
      <c r="AK1656" s="399" t="str">
        <f>IFERROR(VLOOKUP($G1656,基本資料!$A:$M,13,0),"無")</f>
        <v>無</v>
      </c>
    </row>
    <row r="1657" spans="1:37">
      <c r="A1657" s="347">
        <f>IFERROR(VLOOKUP($G1657,基本資料!$A:$J,3,0),"無")</f>
        <v>1.92</v>
      </c>
      <c r="B1657" s="79">
        <f>IFERROR(VLOOKUP($G1657,基本資料!$A:$J,4,0),"無")</f>
        <v>9</v>
      </c>
      <c r="C1657" s="79">
        <f>IFERROR(VLOOKUP($G1657,基本資料!$A:$J,5,0),"無")</f>
        <v>5</v>
      </c>
      <c r="D1657" s="79">
        <f>IFERROR(VLOOKUP($G1657,基本資料!$A:$J,6,0),"無")</f>
        <v>0</v>
      </c>
      <c r="E1657" s="79">
        <f>IFERROR(VLOOKUP($G1657,基本資料!$A:$J,7,0),"無")</f>
        <v>9</v>
      </c>
      <c r="F1657" s="6">
        <f>IFERROR(VLOOKUP($G1657,基本資料!$A:$J,8,0),"無")</f>
        <v>8.56</v>
      </c>
      <c r="G1657" s="79">
        <v>2947</v>
      </c>
      <c r="H1657" s="8" t="s">
        <v>310</v>
      </c>
      <c r="I1657" s="16" t="s">
        <v>3456</v>
      </c>
      <c r="J1657" s="8" t="str">
        <f>IFERROR(VLOOKUP($G1657,今日總結!$A:$AJ,35,0),"")</f>
        <v/>
      </c>
      <c r="K1657" s="5" t="str">
        <f>IFERROR(VLOOKUP($G1657,今日總結!$A:$AJ,36,0),"")</f>
        <v/>
      </c>
      <c r="L1657" s="156" t="str">
        <f>IFERROR(VLOOKUP($G1657,今日總結!$A:$AJ,33,0),"")</f>
        <v/>
      </c>
      <c r="M1657" s="340" t="str">
        <f>IFERROR(VLOOKUP($G1657,今日總結!$A:$AJ,34,0),"")</f>
        <v/>
      </c>
      <c r="N1657" s="240" t="str">
        <f t="shared" si="311"/>
        <v/>
      </c>
      <c r="P1657" s="365" t="str">
        <f>IFERROR(VLOOKUP($G1657,融外自投!$A:$J,7,0),"無")</f>
        <v>無</v>
      </c>
      <c r="Q1657" s="79" t="str">
        <f>IFERROR(VLOOKUP($G1657,融外自投!$A:$J,9,0),"無")</f>
        <v>無</v>
      </c>
      <c r="R1657" s="346" t="str">
        <f>IFERROR(VLOOKUP($G1657,融外自投!$A:$J,8,0),"無")</f>
        <v>無</v>
      </c>
      <c r="S1657" s="81" t="str">
        <f>IFERROR(VLOOKUP($G1657,融外自投!$A:$J,10,0),"無")</f>
        <v>無</v>
      </c>
      <c r="T1657" s="327" t="str">
        <f>IFERROR(VLOOKUP($G1657,'321買'!$A:$E,5,0),"'沒有資料'")</f>
        <v>'沒有資料'</v>
      </c>
      <c r="U1657" s="186">
        <f>IFERROR(VLOOKUP($G1657,基本資料!$A:$J,9,0),"無")</f>
        <v>3.8</v>
      </c>
      <c r="V1657" s="310">
        <f t="shared" si="306"/>
        <v>2.9343629343629343E-2</v>
      </c>
      <c r="W1657" s="94">
        <f>IFERROR(VLOOKUP($G1657,基本資料!$A:$J,10,0),"無")</f>
        <v>6.26</v>
      </c>
      <c r="X1657" s="36">
        <f>RTD("money.excel",,"2947","Price")</f>
        <v>129.5</v>
      </c>
      <c r="Y1657" s="66"/>
      <c r="Z1657" s="15">
        <f t="shared" si="307"/>
        <v>129.5</v>
      </c>
      <c r="AA1657" s="3" t="e">
        <f t="shared" si="308"/>
        <v>#DIV/0!</v>
      </c>
      <c r="AB1657" s="344" t="str">
        <f>IFERROR(VLOOKUP($G1657,基本資料!$A:$M,11,0),"無")</f>
        <v>無</v>
      </c>
      <c r="AC1657" s="397" t="str">
        <f>IFERROR(VLOOKUP($G1657,基本資料!$A:$M,12,0),"無")</f>
        <v>無</v>
      </c>
      <c r="AD1657" s="16" t="s">
        <v>3456</v>
      </c>
      <c r="AG1657" s="33">
        <f t="shared" si="309"/>
        <v>0</v>
      </c>
      <c r="AH1657" s="43" t="s">
        <v>3457</v>
      </c>
      <c r="AI1657" s="63">
        <f t="shared" si="310"/>
        <v>5.2083333333333333E-4</v>
      </c>
      <c r="AJ1657" s="284">
        <f>RTD("money.excel",,$G1657,"PredictVolume")</f>
        <v>10</v>
      </c>
      <c r="AK1657" s="399" t="str">
        <f>IFERROR(VLOOKUP($G1657,基本資料!$A:$M,13,0),"無")</f>
        <v>無</v>
      </c>
    </row>
    <row r="1658" spans="1:37">
      <c r="A1658" s="347">
        <f>IFERROR(VLOOKUP($G1658,基本資料!$A:$J,3,0),"無")</f>
        <v>6.67</v>
      </c>
      <c r="B1658" s="79">
        <f>IFERROR(VLOOKUP($G1658,基本資料!$A:$J,4,0),"無")</f>
        <v>-16</v>
      </c>
      <c r="C1658" s="79">
        <f>IFERROR(VLOOKUP($G1658,基本資料!$A:$J,5,0),"無")</f>
        <v>-21</v>
      </c>
      <c r="D1658" s="79">
        <f>IFERROR(VLOOKUP($G1658,基本資料!$A:$J,6,0),"無")</f>
        <v>27</v>
      </c>
      <c r="E1658" s="79">
        <f>IFERROR(VLOOKUP($G1658,基本資料!$A:$J,7,0),"無")</f>
        <v>0</v>
      </c>
      <c r="F1658" s="6">
        <f>IFERROR(VLOOKUP($G1658,基本資料!$A:$J,8,0),"無")</f>
        <v>5.64</v>
      </c>
      <c r="G1658" s="79">
        <v>3171</v>
      </c>
      <c r="H1658" s="8" t="s">
        <v>310</v>
      </c>
      <c r="I1658" s="16" t="s">
        <v>794</v>
      </c>
      <c r="J1658" s="8" t="str">
        <f>IFERROR(VLOOKUP($G1658,今日總結!$A:$AJ,35,0),"")</f>
        <v>融</v>
      </c>
      <c r="K1658" s="5">
        <f>IFERROR(VLOOKUP($G1658,今日總結!$A:$AJ,36,0),"")</f>
        <v>0</v>
      </c>
      <c r="L1658" s="156">
        <f>IFERROR(VLOOKUP($G1658,今日總結!$A:$AJ,33,0),"")</f>
        <v>1</v>
      </c>
      <c r="M1658" s="340">
        <f>IFERROR(VLOOKUP($G1658,今日總結!$A:$AJ,34,0),"")</f>
        <v>0</v>
      </c>
      <c r="N1658" s="240">
        <f t="shared" si="311"/>
        <v>1</v>
      </c>
      <c r="P1658" s="365">
        <f>IFERROR(VLOOKUP($G1658,融外自投!$A:$J,7,0),"無")</f>
        <v>1014</v>
      </c>
      <c r="Q1658" s="79" t="str">
        <f>IFERROR(VLOOKUP($G1658,融外自投!$A:$J,9,0),"無")</f>
        <v>無</v>
      </c>
      <c r="R1658" s="346">
        <f>IFERROR(VLOOKUP($G1658,融外自投!$A:$J,8,0),"無")</f>
        <v>1344</v>
      </c>
      <c r="S1658" s="81" t="str">
        <f>IFERROR(VLOOKUP($G1658,融外自投!$A:$J,10,0),"無")</f>
        <v>無</v>
      </c>
      <c r="T1658" s="327">
        <f>IFERROR(VLOOKUP($G1658,'321買'!$A:$E,5,0),"'沒有資料'")</f>
        <v>1327</v>
      </c>
      <c r="U1658" s="186">
        <f>IFERROR(VLOOKUP($G1658,基本資料!$A:$J,9,0),"無")</f>
        <v>1.57</v>
      </c>
      <c r="V1658" s="310">
        <f t="shared" si="306"/>
        <v>8.3289124668435008E-2</v>
      </c>
      <c r="W1658" s="94">
        <f>IFERROR(VLOOKUP($G1658,基本資料!$A:$J,10,0),"無")</f>
        <v>1.64</v>
      </c>
      <c r="X1658" s="36">
        <f>RTD("money.excel",,"3171","Price")</f>
        <v>18.850000000000001</v>
      </c>
      <c r="Y1658" s="66"/>
      <c r="Z1658" s="15">
        <f t="shared" si="307"/>
        <v>18.850000000000001</v>
      </c>
      <c r="AA1658" s="3" t="e">
        <f t="shared" si="308"/>
        <v>#DIV/0!</v>
      </c>
      <c r="AB1658" s="344">
        <f>IFERROR(VLOOKUP($G1658,基本資料!$A:$M,11,0),"無")</f>
        <v>-28.82</v>
      </c>
      <c r="AC1658" s="397">
        <f>IFERROR(VLOOKUP($G1658,基本資料!$A:$M,12,0),"無")</f>
        <v>31.47</v>
      </c>
      <c r="AD1658" s="16" t="s">
        <v>794</v>
      </c>
      <c r="AG1658" s="33">
        <f t="shared" si="309"/>
        <v>0</v>
      </c>
      <c r="AH1658" s="43" t="s">
        <v>2064</v>
      </c>
      <c r="AI1658" s="63">
        <f t="shared" si="310"/>
        <v>2.2488755622188905E-4</v>
      </c>
      <c r="AJ1658" s="284">
        <f>RTD("money.excel",,$G1658,"PredictVolume")</f>
        <v>15</v>
      </c>
      <c r="AK1658" s="399">
        <f>IFERROR(VLOOKUP($G1658,基本資料!$A:$M,13,0),"無")</f>
        <v>1.55</v>
      </c>
    </row>
    <row r="1659" spans="1:37">
      <c r="A1659" s="347">
        <f>IFERROR(VLOOKUP($G1659,基本資料!$A:$J,3,0),"無")</f>
        <v>3.83</v>
      </c>
      <c r="B1659" s="79">
        <f>IFERROR(VLOOKUP($G1659,基本資料!$A:$J,4,0),"無")</f>
        <v>40</v>
      </c>
      <c r="C1659" s="79">
        <f>IFERROR(VLOOKUP($G1659,基本資料!$A:$J,5,0),"無")</f>
        <v>57</v>
      </c>
      <c r="D1659" s="79">
        <f>IFERROR(VLOOKUP($G1659,基本資料!$A:$J,6,0),"無")</f>
        <v>20</v>
      </c>
      <c r="E1659" s="79">
        <f>IFERROR(VLOOKUP($G1659,基本資料!$A:$J,7,0),"無")</f>
        <v>-3</v>
      </c>
      <c r="F1659" s="6">
        <f>IFERROR(VLOOKUP($G1659,基本資料!$A:$J,8,0),"無")</f>
        <v>8.68</v>
      </c>
      <c r="G1659" s="79">
        <v>4807</v>
      </c>
      <c r="H1659" s="8" t="s">
        <v>310</v>
      </c>
      <c r="I1659" s="22" t="s">
        <v>810</v>
      </c>
      <c r="J1659" s="8" t="str">
        <f>IFERROR(VLOOKUP($G1659,今日總結!$A:$AJ,35,0),"")</f>
        <v/>
      </c>
      <c r="K1659" s="5" t="str">
        <f>IFERROR(VLOOKUP($G1659,今日總結!$A:$AJ,36,0),"")</f>
        <v/>
      </c>
      <c r="L1659" s="156" t="str">
        <f>IFERROR(VLOOKUP($G1659,今日總結!$A:$AJ,33,0),"")</f>
        <v/>
      </c>
      <c r="M1659" s="340" t="str">
        <f>IFERROR(VLOOKUP($G1659,今日總結!$A:$AJ,34,0),"")</f>
        <v/>
      </c>
      <c r="N1659" s="240" t="str">
        <f t="shared" si="311"/>
        <v/>
      </c>
      <c r="P1659" s="365">
        <f>IFERROR(VLOOKUP($G1659,融外自投!$A:$J,7,0),"無")</f>
        <v>856</v>
      </c>
      <c r="Q1659" s="79">
        <f>IFERROR(VLOOKUP($G1659,融外自投!$A:$J,9,0),"無")</f>
        <v>667</v>
      </c>
      <c r="R1659" s="346">
        <f>IFERROR(VLOOKUP($G1659,融外自投!$A:$J,8,0),"無")</f>
        <v>18</v>
      </c>
      <c r="S1659" s="81" t="str">
        <f>IFERROR(VLOOKUP($G1659,融外自投!$A:$J,10,0),"無")</f>
        <v>無</v>
      </c>
      <c r="T1659" s="327">
        <f>IFERROR(VLOOKUP($G1659,'321買'!$A:$E,5,0),"'沒有資料'")</f>
        <v>1327</v>
      </c>
      <c r="U1659" s="186">
        <f>IFERROR(VLOOKUP($G1659,基本資料!$A:$J,9,0),"無")</f>
        <v>1.66</v>
      </c>
      <c r="V1659" s="310">
        <f t="shared" si="306"/>
        <v>6.4970645792563592E-2</v>
      </c>
      <c r="W1659" s="94">
        <f>IFERROR(VLOOKUP($G1659,基本資料!$A:$J,10,0),"無")</f>
        <v>3.32</v>
      </c>
      <c r="X1659" s="36">
        <f>RTD("money.excel",,"4807","Price")</f>
        <v>25.55</v>
      </c>
      <c r="Y1659" s="66"/>
      <c r="Z1659" s="15">
        <f t="shared" si="307"/>
        <v>25.55</v>
      </c>
      <c r="AA1659" s="3" t="e">
        <f t="shared" si="308"/>
        <v>#DIV/0!</v>
      </c>
      <c r="AB1659" s="344">
        <f>IFERROR(VLOOKUP($G1659,基本資料!$A:$M,11,0),"無")</f>
        <v>-18.84</v>
      </c>
      <c r="AC1659" s="397">
        <f>IFERROR(VLOOKUP($G1659,基本資料!$A:$M,12,0),"無")</f>
        <v>29.68</v>
      </c>
      <c r="AD1659" s="22" t="s">
        <v>810</v>
      </c>
      <c r="AG1659" s="33">
        <f t="shared" si="309"/>
        <v>0</v>
      </c>
      <c r="AH1659" s="43" t="s">
        <v>2680</v>
      </c>
      <c r="AI1659" s="63">
        <f t="shared" si="310"/>
        <v>1.6449086161879896E-3</v>
      </c>
      <c r="AJ1659" s="284">
        <f>RTD("money.excel",,$G1659,"PredictVolume")</f>
        <v>63</v>
      </c>
      <c r="AK1659" s="399">
        <f>IFERROR(VLOOKUP($G1659,基本資料!$A:$M,13,0),"無")</f>
        <v>2.13</v>
      </c>
    </row>
    <row r="1660" spans="1:37">
      <c r="A1660" s="347">
        <f>IFERROR(VLOOKUP($G1660,基本資料!$A:$J,3,0),"無")</f>
        <v>9.4499999999999993</v>
      </c>
      <c r="B1660" s="79">
        <f>IFERROR(VLOOKUP($G1660,基本資料!$A:$J,4,0),"無")</f>
        <v>14</v>
      </c>
      <c r="C1660" s="79">
        <f>IFERROR(VLOOKUP($G1660,基本資料!$A:$J,5,0),"無")</f>
        <v>20</v>
      </c>
      <c r="D1660" s="79">
        <f>IFERROR(VLOOKUP($G1660,基本資料!$A:$J,6,0),"無")</f>
        <v>63</v>
      </c>
      <c r="E1660" s="79">
        <f>IFERROR(VLOOKUP($G1660,基本資料!$A:$J,7,0),"無")</f>
        <v>47</v>
      </c>
      <c r="F1660" s="6">
        <f>IFERROR(VLOOKUP($G1660,基本資料!$A:$J,8,0),"無")</f>
        <v>10.119999999999999</v>
      </c>
      <c r="G1660" s="79">
        <v>5902</v>
      </c>
      <c r="H1660" s="8" t="s">
        <v>310</v>
      </c>
      <c r="I1660" s="16" t="s">
        <v>795</v>
      </c>
      <c r="J1660" s="8" t="str">
        <f>IFERROR(VLOOKUP($G1660,今日總結!$A:$AJ,35,0),"")</f>
        <v/>
      </c>
      <c r="K1660" s="5" t="str">
        <f>IFERROR(VLOOKUP($G1660,今日總結!$A:$AJ,36,0),"")</f>
        <v/>
      </c>
      <c r="L1660" s="156" t="str">
        <f>IFERROR(VLOOKUP($G1660,今日總結!$A:$AJ,33,0),"")</f>
        <v/>
      </c>
      <c r="M1660" s="340" t="str">
        <f>IFERROR(VLOOKUP($G1660,今日總結!$A:$AJ,34,0),"")</f>
        <v/>
      </c>
      <c r="N1660" s="240" t="str">
        <f t="shared" si="311"/>
        <v/>
      </c>
      <c r="P1660" s="365">
        <f>IFERROR(VLOOKUP($G1660,融外自投!$A:$J,7,0),"無")</f>
        <v>172</v>
      </c>
      <c r="Q1660" s="79">
        <f>IFERROR(VLOOKUP($G1660,融外自投!$A:$J,9,0),"無")</f>
        <v>614</v>
      </c>
      <c r="R1660" s="346">
        <f>IFERROR(VLOOKUP($G1660,融外自投!$A:$J,8,0),"無")</f>
        <v>1445</v>
      </c>
      <c r="S1660" s="81" t="str">
        <f>IFERROR(VLOOKUP($G1660,融外自投!$A:$J,10,0),"無")</f>
        <v>無</v>
      </c>
      <c r="T1660" s="327">
        <f>IFERROR(VLOOKUP($G1660,'321買'!$A:$E,5,0),"'沒有資料'")</f>
        <v>584</v>
      </c>
      <c r="U1660" s="186">
        <f>IFERROR(VLOOKUP($G1660,基本資料!$A:$J,9,0),"無")</f>
        <v>1.2</v>
      </c>
      <c r="V1660" s="310">
        <f t="shared" si="306"/>
        <v>4.3010752688172046E-2</v>
      </c>
      <c r="W1660" s="94">
        <f>IFERROR(VLOOKUP($G1660,基本資料!$A:$J,10,0),"無")</f>
        <v>1.57</v>
      </c>
      <c r="X1660" s="36">
        <f>RTD("money.excel",,"5902","Price")</f>
        <v>27.9</v>
      </c>
      <c r="Y1660" s="66"/>
      <c r="Z1660" s="15">
        <f t="shared" si="307"/>
        <v>27.9</v>
      </c>
      <c r="AA1660" s="3" t="e">
        <f t="shared" si="308"/>
        <v>#DIV/0!</v>
      </c>
      <c r="AB1660" s="344">
        <f>IFERROR(VLOOKUP($G1660,基本資料!$A:$M,11,0),"無")</f>
        <v>-2.2200000000000002</v>
      </c>
      <c r="AC1660" s="397">
        <f>IFERROR(VLOOKUP($G1660,基本資料!$A:$M,12,0),"無")</f>
        <v>81.59</v>
      </c>
      <c r="AD1660" s="16" t="s">
        <v>795</v>
      </c>
      <c r="AG1660" s="33">
        <f t="shared" si="309"/>
        <v>0</v>
      </c>
      <c r="AH1660" s="43" t="s">
        <v>2646</v>
      </c>
      <c r="AI1660" s="63">
        <f t="shared" si="310"/>
        <v>2.1058201058201057E-3</v>
      </c>
      <c r="AJ1660" s="284">
        <f>RTD("money.excel",,$G1660,"PredictVolume")</f>
        <v>199</v>
      </c>
      <c r="AK1660" s="399">
        <f>IFERROR(VLOOKUP($G1660,基本資料!$A:$M,13,0),"無")</f>
        <v>1.62</v>
      </c>
    </row>
    <row r="1661" spans="1:37">
      <c r="A1661" s="347">
        <f>IFERROR(VLOOKUP($G1661,基本資料!$A:$J,3,0),"無")</f>
        <v>22.32</v>
      </c>
      <c r="B1661" s="79">
        <f>IFERROR(VLOOKUP($G1661,基本資料!$A:$J,4,0),"無")</f>
        <v>-37</v>
      </c>
      <c r="C1661" s="79">
        <f>IFERROR(VLOOKUP($G1661,基本資料!$A:$J,5,0),"無")</f>
        <v>-40</v>
      </c>
      <c r="D1661" s="79">
        <f>IFERROR(VLOOKUP($G1661,基本資料!$A:$J,6,0),"無")</f>
        <v>-1</v>
      </c>
      <c r="E1661" s="79">
        <f>IFERROR(VLOOKUP($G1661,基本資料!$A:$J,7,0),"無")</f>
        <v>3</v>
      </c>
      <c r="F1661" s="6">
        <f>IFERROR(VLOOKUP($G1661,基本資料!$A:$J,8,0),"無")</f>
        <v>1.99</v>
      </c>
      <c r="G1661" s="79">
        <v>5903</v>
      </c>
      <c r="H1661" s="8" t="s">
        <v>310</v>
      </c>
      <c r="I1661" s="16" t="s">
        <v>4669</v>
      </c>
      <c r="J1661" s="8">
        <f>IFERROR(VLOOKUP($G1661,今日總結!$A:$AJ,35,0),"")</f>
        <v>0</v>
      </c>
      <c r="K1661" s="5" t="str">
        <f>IFERROR(VLOOKUP($G1661,今日總結!$A:$AJ,36,0),"")</f>
        <v>外</v>
      </c>
      <c r="L1661" s="156">
        <f>IFERROR(VLOOKUP($G1661,今日總結!$A:$AJ,33,0),"")</f>
        <v>0</v>
      </c>
      <c r="M1661" s="340">
        <f>IFERROR(VLOOKUP($G1661,今日總結!$A:$AJ,34,0),"")</f>
        <v>2</v>
      </c>
      <c r="N1661" s="240">
        <f t="shared" si="311"/>
        <v>-2</v>
      </c>
      <c r="P1661" s="365">
        <f>IFERROR(VLOOKUP($G1661,融外自投!$A:$J,7,0),"無")</f>
        <v>1454</v>
      </c>
      <c r="Q1661" s="79" t="str">
        <f>IFERROR(VLOOKUP($G1661,融外自投!$A:$J,9,0),"無")</f>
        <v>無</v>
      </c>
      <c r="R1661" s="346">
        <f>IFERROR(VLOOKUP($G1661,融外自投!$A:$J,8,0),"無")</f>
        <v>66</v>
      </c>
      <c r="S1661" s="81" t="str">
        <f>IFERROR(VLOOKUP($G1661,融外自投!$A:$J,10,0),"無")</f>
        <v>無</v>
      </c>
      <c r="T1661" s="327">
        <f>IFERROR(VLOOKUP($G1661,'321買'!$A:$E,5,0),"'沒有資料'")</f>
        <v>1198</v>
      </c>
      <c r="U1661" s="186">
        <f>IFERROR(VLOOKUP($G1661,基本資料!$A:$J,9,0),"無")</f>
        <v>4.7</v>
      </c>
      <c r="V1661" s="310">
        <f t="shared" si="306"/>
        <v>2.4671916010498687E-2</v>
      </c>
      <c r="W1661" s="94">
        <f>IFERROR(VLOOKUP($G1661,基本資料!$A:$J,10,0),"無")</f>
        <v>6.02</v>
      </c>
      <c r="X1661" s="36">
        <f>RTD("money.excel",,"5903","Price")</f>
        <v>190.5</v>
      </c>
      <c r="Y1661" s="66"/>
      <c r="Z1661" s="15">
        <f t="shared" si="307"/>
        <v>190.5</v>
      </c>
      <c r="AA1661" s="3" t="e">
        <f t="shared" si="308"/>
        <v>#DIV/0!</v>
      </c>
      <c r="AB1661" s="344">
        <f>IFERROR(VLOOKUP($G1661,基本資料!$A:$M,11,0),"無")</f>
        <v>-29.6</v>
      </c>
      <c r="AC1661" s="397">
        <f>IFERROR(VLOOKUP($G1661,基本資料!$A:$M,12,0),"無")</f>
        <v>10.08</v>
      </c>
      <c r="AD1661" s="16" t="s">
        <v>4669</v>
      </c>
      <c r="AG1661" s="33">
        <f t="shared" si="309"/>
        <v>0</v>
      </c>
      <c r="AH1661" s="117" t="s">
        <v>2622</v>
      </c>
      <c r="AI1661" s="63">
        <f t="shared" si="310"/>
        <v>1.5681003584229391E-4</v>
      </c>
      <c r="AJ1661" s="284">
        <f>RTD("money.excel",,$G1661,"PredictVolume")</f>
        <v>35</v>
      </c>
      <c r="AK1661" s="399">
        <f>IFERROR(VLOOKUP($G1661,基本資料!$A:$M,13,0),"無")</f>
        <v>3</v>
      </c>
    </row>
    <row r="1662" spans="1:37">
      <c r="A1662" s="347">
        <f>IFERROR(VLOOKUP($G1662,基本資料!$A:$J,3,0),"無")</f>
        <v>10.08</v>
      </c>
      <c r="B1662" s="79">
        <f>IFERROR(VLOOKUP($G1662,基本資料!$A:$J,4,0),"無")</f>
        <v>-12</v>
      </c>
      <c r="C1662" s="79">
        <f>IFERROR(VLOOKUP($G1662,基本資料!$A:$J,5,0),"無")</f>
        <v>-12</v>
      </c>
      <c r="D1662" s="79">
        <f>IFERROR(VLOOKUP($G1662,基本資料!$A:$J,6,0),"無")</f>
        <v>-4</v>
      </c>
      <c r="E1662" s="79">
        <f>IFERROR(VLOOKUP($G1662,基本資料!$A:$J,7,0),"無")</f>
        <v>4</v>
      </c>
      <c r="F1662" s="6">
        <f>IFERROR(VLOOKUP($G1662,基本資料!$A:$J,8,0),"無")</f>
        <v>13.3</v>
      </c>
      <c r="G1662" s="79">
        <v>5904</v>
      </c>
      <c r="H1662" s="8" t="s">
        <v>310</v>
      </c>
      <c r="I1662" s="16" t="s">
        <v>147</v>
      </c>
      <c r="J1662" s="8" t="str">
        <f>IFERROR(VLOOKUP($G1662,今日總結!$A:$AJ,35,0),"")</f>
        <v/>
      </c>
      <c r="K1662" s="5" t="str">
        <f>IFERROR(VLOOKUP($G1662,今日總結!$A:$AJ,36,0),"")</f>
        <v/>
      </c>
      <c r="L1662" s="156" t="str">
        <f>IFERROR(VLOOKUP($G1662,今日總結!$A:$AJ,33,0),"")</f>
        <v/>
      </c>
      <c r="M1662" s="340" t="str">
        <f>IFERROR(VLOOKUP($G1662,今日總結!$A:$AJ,34,0),"")</f>
        <v/>
      </c>
      <c r="N1662" s="240" t="str">
        <f t="shared" si="311"/>
        <v/>
      </c>
      <c r="P1662" s="365">
        <f>IFERROR(VLOOKUP($G1662,融外自投!$A:$J,7,0),"無")</f>
        <v>1285</v>
      </c>
      <c r="Q1662" s="79">
        <f>IFERROR(VLOOKUP($G1662,融外自投!$A:$J,9,0),"無")</f>
        <v>936</v>
      </c>
      <c r="R1662" s="346">
        <f>IFERROR(VLOOKUP($G1662,融外自投!$A:$J,8,0),"無")</f>
        <v>165</v>
      </c>
      <c r="S1662" s="81">
        <f>IFERROR(VLOOKUP($G1662,融外自投!$A:$J,10,0),"無")</f>
        <v>299</v>
      </c>
      <c r="T1662" s="327">
        <f>IFERROR(VLOOKUP($G1662,'321買'!$A:$E,5,0),"'沒有資料'")</f>
        <v>1007</v>
      </c>
      <c r="U1662" s="186">
        <f>IFERROR(VLOOKUP($G1662,基本資料!$A:$J,9,0),"無")</f>
        <v>11.1</v>
      </c>
      <c r="V1662" s="310">
        <f t="shared" si="306"/>
        <v>3.7563451776649742E-2</v>
      </c>
      <c r="W1662" s="94">
        <f>IFERROR(VLOOKUP($G1662,基本資料!$A:$J,10,0),"無")</f>
        <v>18.25</v>
      </c>
      <c r="X1662" s="36">
        <f>RTD("money.excel",,"5904","Price")</f>
        <v>295.5</v>
      </c>
      <c r="Y1662" s="66"/>
      <c r="Z1662" s="15">
        <f t="shared" si="307"/>
        <v>295.5</v>
      </c>
      <c r="AA1662" s="3" t="e">
        <f t="shared" si="308"/>
        <v>#DIV/0!</v>
      </c>
      <c r="AB1662" s="344">
        <f>IFERROR(VLOOKUP($G1662,基本資料!$A:$M,11,0),"無")</f>
        <v>-48.59</v>
      </c>
      <c r="AC1662" s="397">
        <f>IFERROR(VLOOKUP($G1662,基本資料!$A:$M,12,0),"無")</f>
        <v>13.79</v>
      </c>
      <c r="AD1662" s="16" t="s">
        <v>147</v>
      </c>
      <c r="AG1662" s="33">
        <f t="shared" si="309"/>
        <v>0</v>
      </c>
      <c r="AH1662" s="117" t="s">
        <v>2049</v>
      </c>
      <c r="AI1662" s="63">
        <f t="shared" si="310"/>
        <v>1.8849206349206349E-3</v>
      </c>
      <c r="AJ1662" s="284">
        <f>RTD("money.excel",,$G1662,"PredictVolume")</f>
        <v>190</v>
      </c>
      <c r="AK1662" s="399">
        <f>IFERROR(VLOOKUP($G1662,基本資料!$A:$M,13,0),"無")</f>
        <v>0.94</v>
      </c>
    </row>
    <row r="1663" spans="1:37">
      <c r="A1663" s="347">
        <f>IFERROR(VLOOKUP($G1663,基本資料!$A:$J,3,0),"無")</f>
        <v>18.98</v>
      </c>
      <c r="B1663" s="79">
        <f>IFERROR(VLOOKUP($G1663,基本資料!$A:$J,4,0),"無")</f>
        <v>-371</v>
      </c>
      <c r="C1663" s="79">
        <f>IFERROR(VLOOKUP($G1663,基本資料!$A:$J,5,0),"無")</f>
        <v>-2400</v>
      </c>
      <c r="D1663" s="79">
        <f>IFERROR(VLOOKUP($G1663,基本資料!$A:$J,6,0),"無")</f>
        <v>-3</v>
      </c>
      <c r="E1663" s="79">
        <f>IFERROR(VLOOKUP($G1663,基本資料!$A:$J,7,0),"無")</f>
        <v>24</v>
      </c>
      <c r="F1663" s="6">
        <f>IFERROR(VLOOKUP($G1663,基本資料!$A:$J,8,0),"無")</f>
        <v>-31.84</v>
      </c>
      <c r="G1663" s="79">
        <v>5905</v>
      </c>
      <c r="H1663" s="8" t="s">
        <v>310</v>
      </c>
      <c r="I1663" s="16" t="s">
        <v>796</v>
      </c>
      <c r="J1663" s="8" t="str">
        <f>IFERROR(VLOOKUP($G1663,今日總結!$A:$AJ,35,0),"")</f>
        <v/>
      </c>
      <c r="K1663" s="5" t="str">
        <f>IFERROR(VLOOKUP($G1663,今日總結!$A:$AJ,36,0),"")</f>
        <v/>
      </c>
      <c r="L1663" s="156" t="str">
        <f>IFERROR(VLOOKUP($G1663,今日總結!$A:$AJ,33,0),"")</f>
        <v/>
      </c>
      <c r="M1663" s="340" t="str">
        <f>IFERROR(VLOOKUP($G1663,今日總結!$A:$AJ,34,0),"")</f>
        <v/>
      </c>
      <c r="N1663" s="240" t="str">
        <f t="shared" si="311"/>
        <v/>
      </c>
      <c r="P1663" s="365">
        <f>IFERROR(VLOOKUP($G1663,融外自投!$A:$J,7,0),"無")</f>
        <v>525</v>
      </c>
      <c r="Q1663" s="79">
        <f>IFERROR(VLOOKUP($G1663,融外自投!$A:$J,9,0),"無")</f>
        <v>550</v>
      </c>
      <c r="R1663" s="346">
        <f>IFERROR(VLOOKUP($G1663,融外自投!$A:$J,8,0),"無")</f>
        <v>1156</v>
      </c>
      <c r="S1663" s="81" t="str">
        <f>IFERROR(VLOOKUP($G1663,融外自投!$A:$J,10,0),"無")</f>
        <v>無</v>
      </c>
      <c r="T1663" s="327">
        <f>IFERROR(VLOOKUP($G1663,'321買'!$A:$E,5,0),"'沒有資料'")</f>
        <v>445</v>
      </c>
      <c r="U1663" s="186">
        <f>IFERROR(VLOOKUP($G1663,基本資料!$A:$J,9,0),"無")</f>
        <v>0</v>
      </c>
      <c r="V1663" s="310">
        <f t="shared" si="306"/>
        <v>0</v>
      </c>
      <c r="W1663" s="94">
        <f>IFERROR(VLOOKUP($G1663,基本資料!$A:$J,10,0),"無")</f>
        <v>-0.77</v>
      </c>
      <c r="X1663" s="36">
        <f>RTD("money.excel",,"5905","Price")</f>
        <v>12.2</v>
      </c>
      <c r="Y1663" s="66"/>
      <c r="Z1663" s="15">
        <f t="shared" si="307"/>
        <v>12.2</v>
      </c>
      <c r="AA1663" s="3" t="e">
        <f t="shared" si="308"/>
        <v>#DIV/0!</v>
      </c>
      <c r="AB1663" s="344">
        <f>IFERROR(VLOOKUP($G1663,基本資料!$A:$M,11,0),"無")</f>
        <v>-38.76</v>
      </c>
      <c r="AC1663" s="397">
        <f>IFERROR(VLOOKUP($G1663,基本資料!$A:$M,12,0),"無")</f>
        <v>11.9</v>
      </c>
      <c r="AD1663" s="16" t="s">
        <v>796</v>
      </c>
      <c r="AG1663" s="33">
        <f t="shared" si="309"/>
        <v>0</v>
      </c>
      <c r="AH1663" s="43" t="s">
        <v>2647</v>
      </c>
      <c r="AI1663" s="63">
        <f t="shared" si="310"/>
        <v>2.8134878819810328E-3</v>
      </c>
      <c r="AJ1663" s="284">
        <f>RTD("money.excel",,$G1663,"PredictVolume")</f>
        <v>534</v>
      </c>
      <c r="AK1663" s="399">
        <f>IFERROR(VLOOKUP($G1663,基本資料!$A:$M,13,0),"無")</f>
        <v>13.87</v>
      </c>
    </row>
    <row r="1664" spans="1:37">
      <c r="A1664" s="347">
        <f>IFERROR(VLOOKUP($G1664,基本資料!$A:$J,3,0),"無")</f>
        <v>3.24</v>
      </c>
      <c r="B1664" s="79">
        <f>IFERROR(VLOOKUP($G1664,基本資料!$A:$J,4,0),"無")</f>
        <v>45</v>
      </c>
      <c r="C1664" s="79">
        <f>IFERROR(VLOOKUP($G1664,基本資料!$A:$J,5,0),"無")</f>
        <v>30</v>
      </c>
      <c r="D1664" s="79">
        <f>IFERROR(VLOOKUP($G1664,基本資料!$A:$J,6,0),"無")</f>
        <v>-14</v>
      </c>
      <c r="E1664" s="79">
        <f>IFERROR(VLOOKUP($G1664,基本資料!$A:$J,7,0),"無")</f>
        <v>-9</v>
      </c>
      <c r="F1664" s="6">
        <f>IFERROR(VLOOKUP($G1664,基本資料!$A:$J,8,0),"無")</f>
        <v>8.42</v>
      </c>
      <c r="G1664" s="79">
        <v>5906</v>
      </c>
      <c r="H1664" s="8" t="s">
        <v>310</v>
      </c>
      <c r="I1664" s="22" t="s">
        <v>811</v>
      </c>
      <c r="J1664" s="8" t="str">
        <f>IFERROR(VLOOKUP($G1664,今日總結!$A:$AJ,35,0),"")</f>
        <v/>
      </c>
      <c r="K1664" s="5" t="str">
        <f>IFERROR(VLOOKUP($G1664,今日總結!$A:$AJ,36,0),"")</f>
        <v/>
      </c>
      <c r="L1664" s="156" t="str">
        <f>IFERROR(VLOOKUP($G1664,今日總結!$A:$AJ,33,0),"")</f>
        <v/>
      </c>
      <c r="M1664" s="340" t="str">
        <f>IFERROR(VLOOKUP($G1664,今日總結!$A:$AJ,34,0),"")</f>
        <v/>
      </c>
      <c r="N1664" s="240" t="str">
        <f t="shared" si="311"/>
        <v/>
      </c>
      <c r="P1664" s="365">
        <f>IFERROR(VLOOKUP($G1664,融外自投!$A:$J,7,0),"無")</f>
        <v>1110</v>
      </c>
      <c r="Q1664" s="79" t="str">
        <f>IFERROR(VLOOKUP($G1664,融外自投!$A:$J,9,0),"無")</f>
        <v>無</v>
      </c>
      <c r="R1664" s="346">
        <f>IFERROR(VLOOKUP($G1664,融外自投!$A:$J,8,0),"無")</f>
        <v>288</v>
      </c>
      <c r="S1664" s="81" t="str">
        <f>IFERROR(VLOOKUP($G1664,融外自投!$A:$J,10,0),"無")</f>
        <v>無</v>
      </c>
      <c r="T1664" s="327">
        <f>IFERROR(VLOOKUP($G1664,'321買'!$A:$E,5,0),"'沒有資料'")</f>
        <v>1408</v>
      </c>
      <c r="U1664" s="186">
        <f>IFERROR(VLOOKUP($G1664,基本資料!$A:$J,9,0),"無")</f>
        <v>1.7</v>
      </c>
      <c r="V1664" s="310">
        <f t="shared" si="306"/>
        <v>4.9926578560939794E-2</v>
      </c>
      <c r="W1664" s="94">
        <f>IFERROR(VLOOKUP($G1664,基本資料!$A:$J,10,0),"無")</f>
        <v>3.23</v>
      </c>
      <c r="X1664" s="36">
        <f>RTD("money.excel",,"5906","Price")</f>
        <v>34.049999999999997</v>
      </c>
      <c r="Y1664" s="66"/>
      <c r="Z1664" s="15">
        <f t="shared" si="307"/>
        <v>34.049999999999997</v>
      </c>
      <c r="AA1664" s="3" t="e">
        <f t="shared" si="308"/>
        <v>#DIV/0!</v>
      </c>
      <c r="AB1664" s="344">
        <f>IFERROR(VLOOKUP($G1664,基本資料!$A:$M,11,0),"無")</f>
        <v>-18.010000000000002</v>
      </c>
      <c r="AC1664" s="397">
        <f>IFERROR(VLOOKUP($G1664,基本資料!$A:$M,12,0),"無")</f>
        <v>28.7</v>
      </c>
      <c r="AD1664" s="22" t="s">
        <v>811</v>
      </c>
      <c r="AG1664" s="33">
        <f t="shared" si="309"/>
        <v>0</v>
      </c>
      <c r="AH1664" s="43" t="s">
        <v>2866</v>
      </c>
      <c r="AI1664" s="63">
        <f t="shared" si="310"/>
        <v>4.0123456790123454E-4</v>
      </c>
      <c r="AJ1664" s="284">
        <f>RTD("money.excel",,$G1664,"PredictVolume")</f>
        <v>13</v>
      </c>
      <c r="AK1664" s="399">
        <f>IFERROR(VLOOKUP($G1664,基本資料!$A:$M,13,0),"無")</f>
        <v>0.81</v>
      </c>
    </row>
    <row r="1665" spans="1:37">
      <c r="A1665" s="347">
        <f>IFERROR(VLOOKUP($G1665,基本資料!$A:$J,3,0),"無")</f>
        <v>19.55</v>
      </c>
      <c r="B1665" s="79">
        <f>IFERROR(VLOOKUP($G1665,基本資料!$A:$J,4,0),"無")</f>
        <v>-124</v>
      </c>
      <c r="C1665" s="79">
        <f>IFERROR(VLOOKUP($G1665,基本資料!$A:$J,5,0),"無")</f>
        <v>73</v>
      </c>
      <c r="D1665" s="79">
        <f>IFERROR(VLOOKUP($G1665,基本資料!$A:$J,6,0),"無")</f>
        <v>5</v>
      </c>
      <c r="E1665" s="79">
        <f>IFERROR(VLOOKUP($G1665,基本資料!$A:$J,7,0),"無")</f>
        <v>-23</v>
      </c>
      <c r="F1665" s="6">
        <f>IFERROR(VLOOKUP($G1665,基本資料!$A:$J,8,0),"無")</f>
        <v>8.31</v>
      </c>
      <c r="G1665" s="79">
        <v>5907</v>
      </c>
      <c r="H1665" s="8" t="s">
        <v>310</v>
      </c>
      <c r="I1665" s="22" t="s">
        <v>812</v>
      </c>
      <c r="J1665" s="8" t="str">
        <f>IFERROR(VLOOKUP($G1665,今日總結!$A:$AJ,35,0),"")</f>
        <v/>
      </c>
      <c r="K1665" s="5" t="str">
        <f>IFERROR(VLOOKUP($G1665,今日總結!$A:$AJ,36,0),"")</f>
        <v/>
      </c>
      <c r="L1665" s="156" t="str">
        <f>IFERROR(VLOOKUP($G1665,今日總結!$A:$AJ,33,0),"")</f>
        <v/>
      </c>
      <c r="M1665" s="340" t="str">
        <f>IFERROR(VLOOKUP($G1665,今日總結!$A:$AJ,34,0),"")</f>
        <v/>
      </c>
      <c r="N1665" s="240" t="str">
        <f t="shared" si="311"/>
        <v/>
      </c>
      <c r="P1665" s="365">
        <f>IFERROR(VLOOKUP($G1665,融外自投!$A:$J,7,0),"無")</f>
        <v>789</v>
      </c>
      <c r="Q1665" s="79">
        <f>IFERROR(VLOOKUP($G1665,融外自投!$A:$J,9,0),"無")</f>
        <v>978</v>
      </c>
      <c r="R1665" s="346">
        <f>IFERROR(VLOOKUP($G1665,融外自投!$A:$J,8,0),"無")</f>
        <v>64</v>
      </c>
      <c r="S1665" s="81" t="str">
        <f>IFERROR(VLOOKUP($G1665,融外自投!$A:$J,10,0),"無")</f>
        <v>無</v>
      </c>
      <c r="T1665" s="327">
        <f>IFERROR(VLOOKUP($G1665,'321買'!$A:$E,5,0),"'沒有資料'")</f>
        <v>1214</v>
      </c>
      <c r="U1665" s="186">
        <f>IFERROR(VLOOKUP($G1665,基本資料!$A:$J,9,0),"無")</f>
        <v>0</v>
      </c>
      <c r="V1665" s="310">
        <f t="shared" si="306"/>
        <v>0</v>
      </c>
      <c r="W1665" s="94">
        <f>IFERROR(VLOOKUP($G1665,基本資料!$A:$J,10,0),"無")</f>
        <v>-1.19</v>
      </c>
      <c r="X1665" s="36">
        <f>RTD("money.excel",,"5907","Price")</f>
        <v>15.9</v>
      </c>
      <c r="Y1665" s="66"/>
      <c r="Z1665" s="15">
        <f t="shared" si="307"/>
        <v>15.9</v>
      </c>
      <c r="AA1665" s="3" t="e">
        <f t="shared" si="308"/>
        <v>#DIV/0!</v>
      </c>
      <c r="AB1665" s="344">
        <f>IFERROR(VLOOKUP($G1665,基本資料!$A:$M,11,0),"無")</f>
        <v>-39.619999999999997</v>
      </c>
      <c r="AC1665" s="397">
        <f>IFERROR(VLOOKUP($G1665,基本資料!$A:$M,12,0),"無")</f>
        <v>18.399999999999999</v>
      </c>
      <c r="AD1665" s="22" t="s">
        <v>812</v>
      </c>
      <c r="AG1665" s="33">
        <f t="shared" si="309"/>
        <v>0</v>
      </c>
      <c r="AH1665" s="43" t="s">
        <v>2867</v>
      </c>
      <c r="AI1665" s="63">
        <f t="shared" si="310"/>
        <v>1.8925831202046037E-4</v>
      </c>
      <c r="AJ1665" s="284">
        <f>RTD("money.excel",,$G1665,"PredictVolume")</f>
        <v>37</v>
      </c>
      <c r="AK1665" s="399">
        <f>IFERROR(VLOOKUP($G1665,基本資料!$A:$M,13,0),"無")</f>
        <v>3.18</v>
      </c>
    </row>
    <row r="1666" spans="1:37">
      <c r="A1666" s="347">
        <f>IFERROR(VLOOKUP($G1666,基本資料!$A:$J,3,0),"無")</f>
        <v>5.01</v>
      </c>
      <c r="B1666" s="79">
        <f>IFERROR(VLOOKUP($G1666,基本資料!$A:$J,4,0),"無")</f>
        <v>19</v>
      </c>
      <c r="C1666" s="79">
        <f>IFERROR(VLOOKUP($G1666,基本資料!$A:$J,5,0),"無")</f>
        <v>13</v>
      </c>
      <c r="D1666" s="79">
        <f>IFERROR(VLOOKUP($G1666,基本資料!$A:$J,6,0),"無")</f>
        <v>14</v>
      </c>
      <c r="E1666" s="79">
        <f>IFERROR(VLOOKUP($G1666,基本資料!$A:$J,7,0),"無")</f>
        <v>12</v>
      </c>
      <c r="F1666" s="6">
        <f>IFERROR(VLOOKUP($G1666,基本資料!$A:$J,8,0),"無")</f>
        <v>12.03</v>
      </c>
      <c r="G1666" s="79">
        <v>6195</v>
      </c>
      <c r="H1666" s="8" t="s">
        <v>310</v>
      </c>
      <c r="I1666" s="16" t="s">
        <v>103</v>
      </c>
      <c r="J1666" s="8" t="str">
        <f>IFERROR(VLOOKUP($G1666,今日總結!$A:$AJ,35,0),"")</f>
        <v/>
      </c>
      <c r="K1666" s="5" t="str">
        <f>IFERROR(VLOOKUP($G1666,今日總結!$A:$AJ,36,0),"")</f>
        <v/>
      </c>
      <c r="L1666" s="156" t="str">
        <f>IFERROR(VLOOKUP($G1666,今日總結!$A:$AJ,33,0),"")</f>
        <v/>
      </c>
      <c r="M1666" s="340" t="str">
        <f>IFERROR(VLOOKUP($G1666,今日總結!$A:$AJ,34,0),"")</f>
        <v/>
      </c>
      <c r="N1666" s="240" t="str">
        <f t="shared" si="311"/>
        <v/>
      </c>
      <c r="P1666" s="365">
        <f>IFERROR(VLOOKUP($G1666,融外自投!$A:$J,7,0),"無")</f>
        <v>1027</v>
      </c>
      <c r="Q1666" s="79" t="str">
        <f>IFERROR(VLOOKUP($G1666,融外自投!$A:$J,9,0),"無")</f>
        <v>無</v>
      </c>
      <c r="R1666" s="346">
        <f>IFERROR(VLOOKUP($G1666,融外自投!$A:$J,8,0),"無")</f>
        <v>86</v>
      </c>
      <c r="S1666" s="81" t="str">
        <f>IFERROR(VLOOKUP($G1666,融外自投!$A:$J,10,0),"無")</f>
        <v>無</v>
      </c>
      <c r="T1666" s="327">
        <f>IFERROR(VLOOKUP($G1666,'321買'!$A:$E,5,0),"'沒有資料'")</f>
        <v>1126</v>
      </c>
      <c r="U1666" s="186">
        <f>IFERROR(VLOOKUP($G1666,基本資料!$A:$J,9,0),"無")</f>
        <v>4.4000000000000004</v>
      </c>
      <c r="V1666" s="310">
        <f t="shared" si="306"/>
        <v>8.5603112840466941E-2</v>
      </c>
      <c r="W1666" s="94">
        <f>IFERROR(VLOOKUP($G1666,基本資料!$A:$J,10,0),"無")</f>
        <v>5.54</v>
      </c>
      <c r="X1666" s="36">
        <f>RTD("money.excel",,"6195","Price")</f>
        <v>51.4</v>
      </c>
      <c r="Y1666" s="66"/>
      <c r="Z1666" s="15">
        <f t="shared" si="307"/>
        <v>51.4</v>
      </c>
      <c r="AA1666" s="3" t="e">
        <f t="shared" si="308"/>
        <v>#DIV/0!</v>
      </c>
      <c r="AB1666" s="344">
        <f>IFERROR(VLOOKUP($G1666,基本資料!$A:$M,11,0),"無")</f>
        <v>-10.45</v>
      </c>
      <c r="AC1666" s="397">
        <f>IFERROR(VLOOKUP($G1666,基本資料!$A:$M,12,0),"無")</f>
        <v>13.52</v>
      </c>
      <c r="AD1666" s="16" t="s">
        <v>103</v>
      </c>
      <c r="AG1666" s="33">
        <f t="shared" si="309"/>
        <v>0</v>
      </c>
      <c r="AH1666" s="117" t="s">
        <v>2470</v>
      </c>
      <c r="AI1666" s="63">
        <f t="shared" si="310"/>
        <v>1.4970059880239522E-3</v>
      </c>
      <c r="AJ1666" s="284">
        <f>RTD("money.excel",,$G1666,"PredictVolume")</f>
        <v>75</v>
      </c>
      <c r="AK1666" s="399">
        <f>IFERROR(VLOOKUP($G1666,基本資料!$A:$M,13,0),"無")</f>
        <v>2.68</v>
      </c>
    </row>
    <row r="1667" spans="1:37">
      <c r="A1667" s="347">
        <f>IFERROR(VLOOKUP($G1667,基本資料!$A:$J,3,0),"無")</f>
        <v>2.2999999999999998</v>
      </c>
      <c r="B1667" s="79">
        <f>IFERROR(VLOOKUP($G1667,基本資料!$A:$J,4,0),"無")</f>
        <v>167</v>
      </c>
      <c r="C1667" s="79">
        <f>IFERROR(VLOOKUP($G1667,基本資料!$A:$J,5,0),"無")</f>
        <v>168</v>
      </c>
      <c r="D1667" s="79">
        <f>IFERROR(VLOOKUP($G1667,基本資料!$A:$J,6,0),"無")</f>
        <v>56</v>
      </c>
      <c r="E1667" s="79">
        <f>IFERROR(VLOOKUP($G1667,基本資料!$A:$J,7,0),"無")</f>
        <v>58</v>
      </c>
      <c r="F1667" s="6">
        <f>IFERROR(VLOOKUP($G1667,基本資料!$A:$J,8,0),"無")</f>
        <v>17.600000000000001</v>
      </c>
      <c r="G1667" s="79">
        <v>6728</v>
      </c>
      <c r="H1667" s="8" t="s">
        <v>310</v>
      </c>
      <c r="I1667" s="16" t="s">
        <v>2141</v>
      </c>
      <c r="J1667" s="8" t="str">
        <f>IFERROR(VLOOKUP($G1667,今日總結!$A:$AJ,35,0),"")</f>
        <v/>
      </c>
      <c r="K1667" s="5" t="str">
        <f>IFERROR(VLOOKUP($G1667,今日總結!$A:$AJ,36,0),"")</f>
        <v/>
      </c>
      <c r="L1667" s="156" t="str">
        <f>IFERROR(VLOOKUP($G1667,今日總結!$A:$AJ,33,0),"")</f>
        <v/>
      </c>
      <c r="M1667" s="340" t="str">
        <f>IFERROR(VLOOKUP($G1667,今日總結!$A:$AJ,34,0),"")</f>
        <v/>
      </c>
      <c r="N1667" s="240" t="str">
        <f t="shared" si="311"/>
        <v/>
      </c>
      <c r="P1667" s="365" t="str">
        <f>IFERROR(VLOOKUP($G1667,融外自投!$A:$J,7,0),"無")</f>
        <v>無</v>
      </c>
      <c r="Q1667" s="79" t="str">
        <f>IFERROR(VLOOKUP($G1667,融外自投!$A:$J,9,0),"無")</f>
        <v>無</v>
      </c>
      <c r="R1667" s="346" t="str">
        <f>IFERROR(VLOOKUP($G1667,融外自投!$A:$J,8,0),"無")</f>
        <v>無</v>
      </c>
      <c r="S1667" s="81" t="str">
        <f>IFERROR(VLOOKUP($G1667,融外自投!$A:$J,10,0),"無")</f>
        <v>無</v>
      </c>
      <c r="T1667" s="327" t="str">
        <f>IFERROR(VLOOKUP($G1667,'321買'!$A:$E,5,0),"'沒有資料'")</f>
        <v>'沒有資料'</v>
      </c>
      <c r="U1667" s="186">
        <f>IFERROR(VLOOKUP($G1667,基本資料!$A:$J,9,0),"無")</f>
        <v>9</v>
      </c>
      <c r="V1667" s="310">
        <f t="shared" si="306"/>
        <v>0.05</v>
      </c>
      <c r="W1667" s="94">
        <f>IFERROR(VLOOKUP($G1667,基本資料!$A:$J,10,0),"無")</f>
        <v>11.74</v>
      </c>
      <c r="X1667" s="36">
        <f>RTD("money.excel",,"6728","Price")</f>
        <v>180</v>
      </c>
      <c r="Y1667" s="66"/>
      <c r="Z1667" s="15">
        <f t="shared" si="307"/>
        <v>180</v>
      </c>
      <c r="AA1667" s="3" t="e">
        <f t="shared" si="308"/>
        <v>#DIV/0!</v>
      </c>
      <c r="AB1667" s="344">
        <f>IFERROR(VLOOKUP($G1667,基本資料!$A:$M,11,0),"無")</f>
        <v>-12.66</v>
      </c>
      <c r="AC1667" s="397">
        <f>IFERROR(VLOOKUP($G1667,基本資料!$A:$M,12,0),"無")</f>
        <v>64.11</v>
      </c>
      <c r="AD1667" s="16" t="s">
        <v>2141</v>
      </c>
      <c r="AG1667" s="33">
        <f t="shared" si="309"/>
        <v>0</v>
      </c>
      <c r="AH1667" s="43" t="s">
        <v>2142</v>
      </c>
      <c r="AI1667" s="63">
        <f t="shared" si="310"/>
        <v>5.1739130434782605E-3</v>
      </c>
      <c r="AJ1667" s="284">
        <f>RTD("money.excel",,$G1667,"PredictVolume")</f>
        <v>119</v>
      </c>
      <c r="AK1667" s="399">
        <f>IFERROR(VLOOKUP($G1667,基本資料!$A:$M,13,0),"無")</f>
        <v>6.18</v>
      </c>
    </row>
    <row r="1668" spans="1:37">
      <c r="A1668" s="347">
        <f>IFERROR(VLOOKUP($G1668,基本資料!$A:$J,3,0),"無")</f>
        <v>3.01</v>
      </c>
      <c r="B1668" s="79">
        <f>IFERROR(VLOOKUP($G1668,基本資料!$A:$J,4,0),"無")</f>
        <v>-28</v>
      </c>
      <c r="C1668" s="79">
        <f>IFERROR(VLOOKUP($G1668,基本資料!$A:$J,5,0),"無")</f>
        <v>-30</v>
      </c>
      <c r="D1668" s="79">
        <f>IFERROR(VLOOKUP($G1668,基本資料!$A:$J,6,0),"無")</f>
        <v>58</v>
      </c>
      <c r="E1668" s="79">
        <f>IFERROR(VLOOKUP($G1668,基本資料!$A:$J,7,0),"無")</f>
        <v>-23</v>
      </c>
      <c r="F1668" s="6">
        <f>IFERROR(VLOOKUP($G1668,基本資料!$A:$J,8,0),"無")</f>
        <v>2.8</v>
      </c>
      <c r="G1668" s="79">
        <v>8066</v>
      </c>
      <c r="H1668" s="8" t="s">
        <v>310</v>
      </c>
      <c r="I1668" s="16" t="s">
        <v>797</v>
      </c>
      <c r="J1668" s="8" t="str">
        <f>IFERROR(VLOOKUP($G1668,今日總結!$A:$AJ,35,0),"")</f>
        <v/>
      </c>
      <c r="K1668" s="5" t="str">
        <f>IFERROR(VLOOKUP($G1668,今日總結!$A:$AJ,36,0),"")</f>
        <v/>
      </c>
      <c r="L1668" s="156" t="str">
        <f>IFERROR(VLOOKUP($G1668,今日總結!$A:$AJ,33,0),"")</f>
        <v/>
      </c>
      <c r="M1668" s="340" t="str">
        <f>IFERROR(VLOOKUP($G1668,今日總結!$A:$AJ,34,0),"")</f>
        <v/>
      </c>
      <c r="N1668" s="240" t="str">
        <f t="shared" si="311"/>
        <v/>
      </c>
      <c r="P1668" s="365">
        <f>IFERROR(VLOOKUP($G1668,融外自投!$A:$J,7,0),"無")</f>
        <v>655</v>
      </c>
      <c r="Q1668" s="79">
        <f>IFERROR(VLOOKUP($G1668,融外自投!$A:$J,9,0),"無")</f>
        <v>550</v>
      </c>
      <c r="R1668" s="346">
        <f>IFERROR(VLOOKUP($G1668,融外自投!$A:$J,8,0),"無")</f>
        <v>836</v>
      </c>
      <c r="S1668" s="81" t="str">
        <f>IFERROR(VLOOKUP($G1668,融外自投!$A:$J,10,0),"無")</f>
        <v>無</v>
      </c>
      <c r="T1668" s="327">
        <f>IFERROR(VLOOKUP($G1668,'321買'!$A:$E,5,0),"'沒有資料'")</f>
        <v>1259</v>
      </c>
      <c r="U1668" s="186">
        <f>IFERROR(VLOOKUP($G1668,基本資料!$A:$J,9,0),"無")</f>
        <v>1</v>
      </c>
      <c r="V1668" s="310">
        <f t="shared" si="306"/>
        <v>3.4482758620689655E-2</v>
      </c>
      <c r="W1668" s="94">
        <f>IFERROR(VLOOKUP($G1668,基本資料!$A:$J,10,0),"無")</f>
        <v>1.1100000000000001</v>
      </c>
      <c r="X1668" s="36">
        <f>RTD("money.excel",,"8066","Price")</f>
        <v>29</v>
      </c>
      <c r="Y1668" s="66"/>
      <c r="Z1668" s="15">
        <f t="shared" si="307"/>
        <v>29</v>
      </c>
      <c r="AA1668" s="3" t="e">
        <f t="shared" si="308"/>
        <v>#DIV/0!</v>
      </c>
      <c r="AB1668" s="344">
        <f>IFERROR(VLOOKUP($G1668,基本資料!$A:$M,11,0),"無")</f>
        <v>-43.27</v>
      </c>
      <c r="AC1668" s="397">
        <f>IFERROR(VLOOKUP($G1668,基本資料!$A:$M,12,0),"無")</f>
        <v>22</v>
      </c>
      <c r="AD1668" s="16" t="s">
        <v>797</v>
      </c>
      <c r="AG1668" s="33">
        <f t="shared" si="309"/>
        <v>0</v>
      </c>
      <c r="AH1668" s="43" t="s">
        <v>2648</v>
      </c>
      <c r="AI1668" s="63">
        <f t="shared" si="310"/>
        <v>1.1627906976744188E-3</v>
      </c>
      <c r="AJ1668" s="284">
        <f>RTD("money.excel",,$G1668,"PredictVolume")</f>
        <v>35</v>
      </c>
      <c r="AK1668" s="399">
        <f>IFERROR(VLOOKUP($G1668,基本資料!$A:$M,13,0),"無")</f>
        <v>1.91</v>
      </c>
    </row>
    <row r="1669" spans="1:37">
      <c r="A1669" s="347">
        <f>IFERROR(VLOOKUP($G1669,基本資料!$A:$J,3,0),"無")</f>
        <v>18.57</v>
      </c>
      <c r="B1669" s="79">
        <f>IFERROR(VLOOKUP($G1669,基本資料!$A:$J,4,0),"無")</f>
        <v>104</v>
      </c>
      <c r="C1669" s="79">
        <f>IFERROR(VLOOKUP($G1669,基本資料!$A:$J,5,0),"無")</f>
        <v>97</v>
      </c>
      <c r="D1669" s="79">
        <f>IFERROR(VLOOKUP($G1669,基本資料!$A:$J,6,0),"無")</f>
        <v>54</v>
      </c>
      <c r="E1669" s="79">
        <f>IFERROR(VLOOKUP($G1669,基本資料!$A:$J,7,0),"無")</f>
        <v>-56</v>
      </c>
      <c r="F1669" s="6">
        <f>IFERROR(VLOOKUP($G1669,基本資料!$A:$J,8,0),"無")</f>
        <v>-3.54</v>
      </c>
      <c r="G1669" s="79">
        <v>8429</v>
      </c>
      <c r="H1669" s="8" t="s">
        <v>310</v>
      </c>
      <c r="I1669" s="22" t="s">
        <v>813</v>
      </c>
      <c r="J1669" s="8" t="str">
        <f>IFERROR(VLOOKUP($G1669,今日總結!$A:$AJ,35,0),"")</f>
        <v/>
      </c>
      <c r="K1669" s="5" t="str">
        <f>IFERROR(VLOOKUP($G1669,今日總結!$A:$AJ,36,0),"")</f>
        <v/>
      </c>
      <c r="L1669" s="156" t="str">
        <f>IFERROR(VLOOKUP($G1669,今日總結!$A:$AJ,33,0),"")</f>
        <v/>
      </c>
      <c r="M1669" s="340" t="str">
        <f>IFERROR(VLOOKUP($G1669,今日總結!$A:$AJ,34,0),"")</f>
        <v/>
      </c>
      <c r="N1669" s="240" t="str">
        <f t="shared" si="311"/>
        <v/>
      </c>
      <c r="P1669" s="365">
        <f>IFERROR(VLOOKUP($G1669,融外自投!$A:$J,7,0),"無")</f>
        <v>265</v>
      </c>
      <c r="Q1669" s="79">
        <f>IFERROR(VLOOKUP($G1669,融外自投!$A:$J,9,0),"無")</f>
        <v>824</v>
      </c>
      <c r="R1669" s="346">
        <f>IFERROR(VLOOKUP($G1669,融外自投!$A:$J,8,0),"無")</f>
        <v>151</v>
      </c>
      <c r="S1669" s="81" t="str">
        <f>IFERROR(VLOOKUP($G1669,融外自投!$A:$J,10,0),"無")</f>
        <v>無</v>
      </c>
      <c r="T1669" s="327">
        <f>IFERROR(VLOOKUP($G1669,'321買'!$A:$E,5,0),"'沒有資料'")</f>
        <v>869</v>
      </c>
      <c r="U1669" s="186">
        <f>IFERROR(VLOOKUP($G1669,基本資料!$A:$J,9,0),"無")</f>
        <v>0</v>
      </c>
      <c r="V1669" s="310">
        <f t="shared" si="306"/>
        <v>0</v>
      </c>
      <c r="W1669" s="94">
        <f>IFERROR(VLOOKUP($G1669,基本資料!$A:$J,10,0),"無")</f>
        <v>0.12</v>
      </c>
      <c r="X1669" s="36">
        <f>RTD("money.excel",,"8429","Price")</f>
        <v>10.15</v>
      </c>
      <c r="Y1669" s="66"/>
      <c r="Z1669" s="15">
        <f t="shared" si="307"/>
        <v>10.15</v>
      </c>
      <c r="AA1669" s="3" t="e">
        <f t="shared" si="308"/>
        <v>#DIV/0!</v>
      </c>
      <c r="AB1669" s="344">
        <f>IFERROR(VLOOKUP($G1669,基本資料!$A:$M,11,0),"無")</f>
        <v>-52.19</v>
      </c>
      <c r="AC1669" s="397">
        <f>IFERROR(VLOOKUP($G1669,基本資料!$A:$M,12,0),"無")</f>
        <v>18.399999999999999</v>
      </c>
      <c r="AD1669" s="22" t="s">
        <v>813</v>
      </c>
      <c r="AG1669" s="33">
        <f t="shared" si="309"/>
        <v>0</v>
      </c>
      <c r="AH1669" s="43" t="s">
        <v>2868</v>
      </c>
      <c r="AI1669" s="63">
        <f t="shared" si="310"/>
        <v>4.6849757673667205E-4</v>
      </c>
      <c r="AJ1669" s="284">
        <f>RTD("money.excel",,$G1669,"PredictVolume")</f>
        <v>87</v>
      </c>
      <c r="AK1669" s="399">
        <f>IFERROR(VLOOKUP($G1669,基本資料!$A:$M,13,0),"無")</f>
        <v>12.01</v>
      </c>
    </row>
    <row r="1670" spans="1:37">
      <c r="A1670" s="347">
        <f>IFERROR(VLOOKUP($G1670,基本資料!$A:$J,3,0),"無")</f>
        <v>5.2</v>
      </c>
      <c r="B1670" s="79">
        <f>IFERROR(VLOOKUP($G1670,基本資料!$A:$J,4,0),"無")</f>
        <v>19</v>
      </c>
      <c r="C1670" s="79">
        <f>IFERROR(VLOOKUP($G1670,基本資料!$A:$J,5,0),"無")</f>
        <v>12</v>
      </c>
      <c r="D1670" s="79">
        <f>IFERROR(VLOOKUP($G1670,基本資料!$A:$J,6,0),"無")</f>
        <v>21</v>
      </c>
      <c r="E1670" s="79">
        <f>IFERROR(VLOOKUP($G1670,基本資料!$A:$J,7,0),"無")</f>
        <v>38</v>
      </c>
      <c r="F1670" s="6">
        <f>IFERROR(VLOOKUP($G1670,基本資料!$A:$J,8,0),"無")</f>
        <v>10.31</v>
      </c>
      <c r="G1670" s="79">
        <v>8433</v>
      </c>
      <c r="H1670" s="8" t="s">
        <v>310</v>
      </c>
      <c r="I1670" s="16" t="s">
        <v>4670</v>
      </c>
      <c r="J1670" s="8">
        <f>IFERROR(VLOOKUP($G1670,今日總結!$A:$AJ,35,0),"")</f>
        <v>0</v>
      </c>
      <c r="K1670" s="5" t="str">
        <f>IFERROR(VLOOKUP($G1670,今日總結!$A:$AJ,36,0),"")</f>
        <v>投</v>
      </c>
      <c r="L1670" s="156">
        <f>IFERROR(VLOOKUP($G1670,今日總結!$A:$AJ,33,0),"")</f>
        <v>0</v>
      </c>
      <c r="M1670" s="340">
        <f>IFERROR(VLOOKUP($G1670,今日總結!$A:$AJ,34,0),"")</f>
        <v>1</v>
      </c>
      <c r="N1670" s="240">
        <f t="shared" si="311"/>
        <v>-1</v>
      </c>
      <c r="P1670" s="365">
        <f>IFERROR(VLOOKUP($G1670,融外自投!$A:$J,7,0),"無")</f>
        <v>1070</v>
      </c>
      <c r="Q1670" s="79">
        <f>IFERROR(VLOOKUP($G1670,融外自投!$A:$J,9,0),"無")</f>
        <v>978</v>
      </c>
      <c r="R1670" s="346">
        <f>IFERROR(VLOOKUP($G1670,融外自投!$A:$J,8,0),"無")</f>
        <v>1326</v>
      </c>
      <c r="S1670" s="81">
        <f>IFERROR(VLOOKUP($G1670,融外自投!$A:$J,10,0),"無")</f>
        <v>374</v>
      </c>
      <c r="T1670" s="327">
        <f>IFERROR(VLOOKUP($G1670,'321買'!$A:$E,5,0),"'沒有資料'")</f>
        <v>1367</v>
      </c>
      <c r="U1670" s="186">
        <f>IFERROR(VLOOKUP($G1670,基本資料!$A:$J,9,0),"無")</f>
        <v>2.5</v>
      </c>
      <c r="V1670" s="310">
        <f t="shared" si="306"/>
        <v>5.1493305870236872E-2</v>
      </c>
      <c r="W1670" s="94">
        <f>IFERROR(VLOOKUP($G1670,基本資料!$A:$J,10,0),"無")</f>
        <v>4</v>
      </c>
      <c r="X1670" s="36">
        <f>RTD("money.excel",,"8433","Price")</f>
        <v>48.55</v>
      </c>
      <c r="Y1670" s="66"/>
      <c r="Z1670" s="15">
        <f t="shared" si="307"/>
        <v>48.55</v>
      </c>
      <c r="AA1670" s="3" t="e">
        <f t="shared" si="308"/>
        <v>#DIV/0!</v>
      </c>
      <c r="AB1670" s="344">
        <f>IFERROR(VLOOKUP($G1670,基本資料!$A:$M,11,0),"無")</f>
        <v>-15.36</v>
      </c>
      <c r="AC1670" s="397">
        <f>IFERROR(VLOOKUP($G1670,基本資料!$A:$M,12,0),"無")</f>
        <v>35.18</v>
      </c>
      <c r="AD1670" s="16" t="s">
        <v>4670</v>
      </c>
      <c r="AG1670" s="33">
        <f t="shared" si="309"/>
        <v>0</v>
      </c>
      <c r="AH1670" s="117" t="s">
        <v>1416</v>
      </c>
      <c r="AI1670" s="63">
        <f t="shared" si="310"/>
        <v>8.3653846153846148E-3</v>
      </c>
      <c r="AJ1670" s="284">
        <f>RTD("money.excel",,$G1670,"PredictVolume")</f>
        <v>435</v>
      </c>
      <c r="AK1670" s="399">
        <f>IFERROR(VLOOKUP($G1670,基本資料!$A:$M,13,0),"無")</f>
        <v>1.91</v>
      </c>
    </row>
    <row r="1671" spans="1:37">
      <c r="A1671" s="347">
        <f>IFERROR(VLOOKUP($G1671,基本資料!$A:$J,3,0),"無")</f>
        <v>6.68</v>
      </c>
      <c r="B1671" s="79">
        <f>IFERROR(VLOOKUP($G1671,基本資料!$A:$J,4,0),"無")</f>
        <v>-38</v>
      </c>
      <c r="C1671" s="79">
        <f>IFERROR(VLOOKUP($G1671,基本資料!$A:$J,5,0),"無")</f>
        <v>-7</v>
      </c>
      <c r="D1671" s="79">
        <f>IFERROR(VLOOKUP($G1671,基本資料!$A:$J,6,0),"無")</f>
        <v>-1</v>
      </c>
      <c r="E1671" s="79">
        <f>IFERROR(VLOOKUP($G1671,基本資料!$A:$J,7,0),"無")</f>
        <v>20</v>
      </c>
      <c r="F1671" s="6">
        <f>IFERROR(VLOOKUP($G1671,基本資料!$A:$J,8,0),"無")</f>
        <v>-23.2</v>
      </c>
      <c r="G1671" s="79">
        <v>8443</v>
      </c>
      <c r="H1671" s="8" t="s">
        <v>310</v>
      </c>
      <c r="I1671" s="22" t="s">
        <v>814</v>
      </c>
      <c r="J1671" s="8" t="str">
        <f>IFERROR(VLOOKUP($G1671,今日總結!$A:$AJ,35,0),"")</f>
        <v/>
      </c>
      <c r="K1671" s="5" t="str">
        <f>IFERROR(VLOOKUP($G1671,今日總結!$A:$AJ,36,0),"")</f>
        <v/>
      </c>
      <c r="L1671" s="156" t="str">
        <f>IFERROR(VLOOKUP($G1671,今日總結!$A:$AJ,33,0),"")</f>
        <v/>
      </c>
      <c r="M1671" s="340" t="str">
        <f>IFERROR(VLOOKUP($G1671,今日總結!$A:$AJ,34,0),"")</f>
        <v/>
      </c>
      <c r="N1671" s="240" t="str">
        <f t="shared" si="311"/>
        <v/>
      </c>
      <c r="P1671" s="365">
        <f>IFERROR(VLOOKUP($G1671,融外自投!$A:$J,7,0),"無")</f>
        <v>1164</v>
      </c>
      <c r="Q1671" s="79">
        <f>IFERROR(VLOOKUP($G1671,融外自投!$A:$J,9,0),"無")</f>
        <v>896</v>
      </c>
      <c r="R1671" s="346">
        <f>IFERROR(VLOOKUP($G1671,融外自投!$A:$J,8,0),"無")</f>
        <v>666</v>
      </c>
      <c r="S1671" s="81" t="str">
        <f>IFERROR(VLOOKUP($G1671,融外自投!$A:$J,10,0),"無")</f>
        <v>無</v>
      </c>
      <c r="T1671" s="327">
        <f>IFERROR(VLOOKUP($G1671,'321買'!$A:$E,5,0),"'沒有資料'")</f>
        <v>1338</v>
      </c>
      <c r="U1671" s="186">
        <f>IFERROR(VLOOKUP($G1671,基本資料!$A:$J,9,0),"無")</f>
        <v>0</v>
      </c>
      <c r="V1671" s="310">
        <f t="shared" si="306"/>
        <v>0</v>
      </c>
      <c r="W1671" s="94">
        <f>IFERROR(VLOOKUP($G1671,基本資料!$A:$J,10,0),"無")</f>
        <v>-3.9</v>
      </c>
      <c r="X1671" s="36">
        <f>RTD("money.excel",,"8443","Price")</f>
        <v>11.4</v>
      </c>
      <c r="Y1671" s="66"/>
      <c r="Z1671" s="15">
        <f t="shared" si="307"/>
        <v>11.4</v>
      </c>
      <c r="AA1671" s="3" t="e">
        <f t="shared" si="308"/>
        <v>#DIV/0!</v>
      </c>
      <c r="AB1671" s="344">
        <f>IFERROR(VLOOKUP($G1671,基本資料!$A:$M,11,0),"無")</f>
        <v>-17.989999999999998</v>
      </c>
      <c r="AC1671" s="397">
        <f>IFERROR(VLOOKUP($G1671,基本資料!$A:$M,12,0),"無")</f>
        <v>35.880000000000003</v>
      </c>
      <c r="AD1671" s="22" t="s">
        <v>814</v>
      </c>
      <c r="AG1671" s="33">
        <f t="shared" si="309"/>
        <v>0</v>
      </c>
      <c r="AH1671" s="43" t="s">
        <v>2869</v>
      </c>
      <c r="AI1671" s="63">
        <f t="shared" si="310"/>
        <v>5.9880239520958083E-5</v>
      </c>
      <c r="AJ1671" s="284">
        <f>RTD("money.excel",,$G1671,"PredictVolume")</f>
        <v>4</v>
      </c>
      <c r="AK1671" s="399">
        <f>IFERROR(VLOOKUP($G1671,基本資料!$A:$M,13,0),"無")</f>
        <v>7.04</v>
      </c>
    </row>
    <row r="1672" spans="1:37">
      <c r="A1672" s="347">
        <f>IFERROR(VLOOKUP($G1672,基本資料!$A:$J,3,0),"無")</f>
        <v>18.2</v>
      </c>
      <c r="B1672" s="79">
        <f>IFERROR(VLOOKUP($G1672,基本資料!$A:$J,4,0),"無")</f>
        <v>68</v>
      </c>
      <c r="C1672" s="79">
        <f>IFERROR(VLOOKUP($G1672,基本資料!$A:$J,5,0),"無")</f>
        <v>82</v>
      </c>
      <c r="D1672" s="79">
        <f>IFERROR(VLOOKUP($G1672,基本資料!$A:$J,6,0),"無")</f>
        <v>7</v>
      </c>
      <c r="E1672" s="79">
        <f>IFERROR(VLOOKUP($G1672,基本資料!$A:$J,7,0),"無")</f>
        <v>23</v>
      </c>
      <c r="F1672" s="6">
        <f>IFERROR(VLOOKUP($G1672,基本資料!$A:$J,8,0),"無")</f>
        <v>4.57</v>
      </c>
      <c r="G1672" s="79">
        <v>8454</v>
      </c>
      <c r="H1672" s="8" t="s">
        <v>310</v>
      </c>
      <c r="I1672" s="22" t="s">
        <v>121</v>
      </c>
      <c r="J1672" s="8" t="str">
        <f>IFERROR(VLOOKUP($G1672,今日總結!$A:$AJ,35,0),"")</f>
        <v/>
      </c>
      <c r="K1672" s="5" t="str">
        <f>IFERROR(VLOOKUP($G1672,今日總結!$A:$AJ,36,0),"")</f>
        <v/>
      </c>
      <c r="L1672" s="156" t="str">
        <f>IFERROR(VLOOKUP($G1672,今日總結!$A:$AJ,33,0),"")</f>
        <v/>
      </c>
      <c r="M1672" s="340" t="str">
        <f>IFERROR(VLOOKUP($G1672,今日總結!$A:$AJ,34,0),"")</f>
        <v/>
      </c>
      <c r="N1672" s="240" t="str">
        <f t="shared" si="311"/>
        <v/>
      </c>
      <c r="P1672" s="365">
        <f>IFERROR(VLOOKUP($G1672,融外自投!$A:$J,7,0),"無")</f>
        <v>1185</v>
      </c>
      <c r="Q1672" s="79">
        <f>IFERROR(VLOOKUP($G1672,融外自投!$A:$J,9,0),"無")</f>
        <v>762</v>
      </c>
      <c r="R1672" s="346">
        <f>IFERROR(VLOOKUP($G1672,融外自投!$A:$J,8,0),"無")</f>
        <v>198</v>
      </c>
      <c r="S1672" s="81">
        <f>IFERROR(VLOOKUP($G1672,融外自投!$A:$J,10,0),"無")</f>
        <v>309</v>
      </c>
      <c r="T1672" s="327">
        <f>IFERROR(VLOOKUP($G1672,'321買'!$A:$E,5,0),"'沒有資料'")</f>
        <v>445</v>
      </c>
      <c r="U1672" s="186">
        <f>IFERROR(VLOOKUP($G1672,基本資料!$A:$J,9,0),"無")</f>
        <v>15</v>
      </c>
      <c r="V1672" s="310">
        <f t="shared" si="306"/>
        <v>2.0547945205479451E-2</v>
      </c>
      <c r="W1672" s="94">
        <f>IFERROR(VLOOKUP($G1672,基本資料!$A:$J,10,0),"無")</f>
        <v>18.02</v>
      </c>
      <c r="X1672" s="36">
        <f>RTD("money.excel",,"8454","Price")</f>
        <v>730</v>
      </c>
      <c r="Y1672" s="66"/>
      <c r="Z1672" s="137">
        <f t="shared" si="307"/>
        <v>730</v>
      </c>
      <c r="AA1672" s="3" t="e">
        <f t="shared" si="308"/>
        <v>#DIV/0!</v>
      </c>
      <c r="AB1672" s="344">
        <f>IFERROR(VLOOKUP($G1672,基本資料!$A:$M,11,0),"無")</f>
        <v>-66.989999999999995</v>
      </c>
      <c r="AC1672" s="397">
        <f>IFERROR(VLOOKUP($G1672,基本資料!$A:$M,12,0),"無")</f>
        <v>9.82</v>
      </c>
      <c r="AD1672" s="22" t="s">
        <v>121</v>
      </c>
      <c r="AG1672" s="33">
        <f t="shared" si="309"/>
        <v>0</v>
      </c>
      <c r="AH1672" s="117" t="s">
        <v>2870</v>
      </c>
      <c r="AI1672" s="63">
        <f t="shared" si="310"/>
        <v>2.1813186813186814E-3</v>
      </c>
      <c r="AJ1672" s="284">
        <f>RTD("money.excel",,$G1672,"PredictVolume")</f>
        <v>397</v>
      </c>
      <c r="AK1672" s="399">
        <f>IFERROR(VLOOKUP($G1672,基本資料!$A:$M,13,0),"無")</f>
        <v>2.68</v>
      </c>
    </row>
    <row r="1673" spans="1:37">
      <c r="A1673" s="347">
        <f>IFERROR(VLOOKUP($G1673,基本資料!$A:$J,3,0),"無")</f>
        <v>3.04</v>
      </c>
      <c r="B1673" s="79">
        <f>IFERROR(VLOOKUP($G1673,基本資料!$A:$J,4,0),"無")</f>
        <v>24</v>
      </c>
      <c r="C1673" s="79">
        <f>IFERROR(VLOOKUP($G1673,基本資料!$A:$J,5,0),"無")</f>
        <v>-22</v>
      </c>
      <c r="D1673" s="79">
        <f>IFERROR(VLOOKUP($G1673,基本資料!$A:$J,6,0),"無")</f>
        <v>-14</v>
      </c>
      <c r="E1673" s="79">
        <f>IFERROR(VLOOKUP($G1673,基本資料!$A:$J,7,0),"無")</f>
        <v>-4</v>
      </c>
      <c r="F1673" s="6">
        <f>IFERROR(VLOOKUP($G1673,基本資料!$A:$J,8,0),"無")</f>
        <v>1.6</v>
      </c>
      <c r="G1673" s="79">
        <v>8941</v>
      </c>
      <c r="H1673" s="8" t="s">
        <v>310</v>
      </c>
      <c r="I1673" s="16" t="s">
        <v>798</v>
      </c>
      <c r="J1673" s="8" t="str">
        <f>IFERROR(VLOOKUP($G1673,今日總結!$A:$AJ,35,0),"")</f>
        <v/>
      </c>
      <c r="K1673" s="5" t="str">
        <f>IFERROR(VLOOKUP($G1673,今日總結!$A:$AJ,36,0),"")</f>
        <v/>
      </c>
      <c r="L1673" s="156" t="str">
        <f>IFERROR(VLOOKUP($G1673,今日總結!$A:$AJ,33,0),"")</f>
        <v/>
      </c>
      <c r="M1673" s="340" t="str">
        <f>IFERROR(VLOOKUP($G1673,今日總結!$A:$AJ,34,0),"")</f>
        <v/>
      </c>
      <c r="N1673" s="240" t="str">
        <f t="shared" si="311"/>
        <v/>
      </c>
      <c r="P1673" s="365">
        <f>IFERROR(VLOOKUP($G1673,融外自投!$A:$J,7,0),"無")</f>
        <v>1082</v>
      </c>
      <c r="Q1673" s="79" t="str">
        <f>IFERROR(VLOOKUP($G1673,融外自投!$A:$J,9,0),"無")</f>
        <v>無</v>
      </c>
      <c r="R1673" s="346">
        <f>IFERROR(VLOOKUP($G1673,融外自投!$A:$J,8,0),"無")</f>
        <v>1094</v>
      </c>
      <c r="S1673" s="81" t="str">
        <f>IFERROR(VLOOKUP($G1673,融外自投!$A:$J,10,0),"無")</f>
        <v>無</v>
      </c>
      <c r="T1673" s="327" t="str">
        <f>IFERROR(VLOOKUP($G1673,'321買'!$A:$E,5,0),"'沒有資料'")</f>
        <v>'沒有資料'</v>
      </c>
      <c r="U1673" s="186">
        <f>IFERROR(VLOOKUP($G1673,基本資料!$A:$J,9,0),"無")</f>
        <v>3</v>
      </c>
      <c r="V1673" s="310">
        <f t="shared" si="306"/>
        <v>7.6628352490421464E-2</v>
      </c>
      <c r="W1673" s="94">
        <f>IFERROR(VLOOKUP($G1673,基本資料!$A:$J,10,0),"無")</f>
        <v>3.6</v>
      </c>
      <c r="X1673" s="36">
        <f>RTD("money.excel",,"8941","Price")</f>
        <v>39.15</v>
      </c>
      <c r="Y1673" s="66"/>
      <c r="Z1673" s="15">
        <f t="shared" si="307"/>
        <v>39.15</v>
      </c>
      <c r="AA1673" s="3" t="e">
        <f t="shared" si="308"/>
        <v>#DIV/0!</v>
      </c>
      <c r="AB1673" s="344">
        <f>IFERROR(VLOOKUP($G1673,基本資料!$A:$M,11,0),"無")</f>
        <v>-5.77</v>
      </c>
      <c r="AC1673" s="397">
        <f>IFERROR(VLOOKUP($G1673,基本資料!$A:$M,12,0),"無")</f>
        <v>58.95</v>
      </c>
      <c r="AD1673" s="16" t="s">
        <v>798</v>
      </c>
      <c r="AG1673" s="33">
        <f t="shared" si="309"/>
        <v>0</v>
      </c>
      <c r="AH1673" s="43" t="s">
        <v>2649</v>
      </c>
      <c r="AI1673" s="63">
        <f t="shared" si="310"/>
        <v>6.9078947368421048E-4</v>
      </c>
      <c r="AJ1673" s="284">
        <f>RTD("money.excel",,$G1673,"PredictVolume")</f>
        <v>21</v>
      </c>
      <c r="AK1673" s="399">
        <f>IFERROR(VLOOKUP($G1673,基本資料!$A:$M,13,0),"無")</f>
        <v>0.37</v>
      </c>
    </row>
    <row r="1674" spans="1:37">
      <c r="A1674" s="347">
        <f>IFERROR(VLOOKUP($G1674,基本資料!$A:$J,3,0),"無")</f>
        <v>3.35</v>
      </c>
      <c r="B1674" s="79">
        <f>IFERROR(VLOOKUP($G1674,基本資料!$A:$J,4,0),"無")</f>
        <v>80</v>
      </c>
      <c r="C1674" s="79">
        <f>IFERROR(VLOOKUP($G1674,基本資料!$A:$J,5,0),"無")</f>
        <v>116</v>
      </c>
      <c r="D1674" s="79">
        <f>IFERROR(VLOOKUP($G1674,基本資料!$A:$J,6,0),"無")</f>
        <v>28</v>
      </c>
      <c r="E1674" s="79">
        <f>IFERROR(VLOOKUP($G1674,基本資料!$A:$J,7,0),"無")</f>
        <v>-34</v>
      </c>
      <c r="F1674" s="6">
        <f>IFERROR(VLOOKUP($G1674,基本資料!$A:$J,8,0),"無")</f>
        <v>12.02</v>
      </c>
      <c r="G1674" s="79">
        <v>9960</v>
      </c>
      <c r="H1674" s="8" t="s">
        <v>310</v>
      </c>
      <c r="I1674" s="16" t="s">
        <v>799</v>
      </c>
      <c r="J1674" s="8" t="str">
        <f>IFERROR(VLOOKUP($G1674,今日總結!$A:$AJ,35,0),"")</f>
        <v/>
      </c>
      <c r="K1674" s="5" t="str">
        <f>IFERROR(VLOOKUP($G1674,今日總結!$A:$AJ,36,0),"")</f>
        <v/>
      </c>
      <c r="L1674" s="156" t="str">
        <f>IFERROR(VLOOKUP($G1674,今日總結!$A:$AJ,33,0),"")</f>
        <v/>
      </c>
      <c r="M1674" s="340" t="str">
        <f>IFERROR(VLOOKUP($G1674,今日總結!$A:$AJ,34,0),"")</f>
        <v/>
      </c>
      <c r="N1674" s="240" t="str">
        <f t="shared" si="311"/>
        <v/>
      </c>
      <c r="P1674" s="365">
        <f>IFERROR(VLOOKUP($G1674,融外自投!$A:$J,7,0),"無")</f>
        <v>295</v>
      </c>
      <c r="Q1674" s="79" t="str">
        <f>IFERROR(VLOOKUP($G1674,融外自投!$A:$J,9,0),"無")</f>
        <v>無</v>
      </c>
      <c r="R1674" s="346">
        <f>IFERROR(VLOOKUP($G1674,融外自投!$A:$J,8,0),"無")</f>
        <v>584</v>
      </c>
      <c r="S1674" s="81" t="str">
        <f>IFERROR(VLOOKUP($G1674,融外自投!$A:$J,10,0),"無")</f>
        <v>無</v>
      </c>
      <c r="T1674" s="327" t="str">
        <f>IFERROR(VLOOKUP($G1674,'321買'!$A:$E,5,0),"'沒有資料'")</f>
        <v>'沒有資料'</v>
      </c>
      <c r="U1674" s="186">
        <f>IFERROR(VLOOKUP($G1674,基本資料!$A:$J,9,0),"無")</f>
        <v>1.7</v>
      </c>
      <c r="V1674" s="310">
        <f t="shared" si="306"/>
        <v>6.6929133858267723E-2</v>
      </c>
      <c r="W1674" s="94">
        <f>IFERROR(VLOOKUP($G1674,基本資料!$A:$J,10,0),"無")</f>
        <v>2.54</v>
      </c>
      <c r="X1674" s="36">
        <f>RTD("money.excel",,"9960","Price")</f>
        <v>25.4</v>
      </c>
      <c r="Y1674" s="66"/>
      <c r="Z1674" s="15">
        <f t="shared" si="307"/>
        <v>25.4</v>
      </c>
      <c r="AA1674" s="3" t="e">
        <f t="shared" si="308"/>
        <v>#DIV/0!</v>
      </c>
      <c r="AB1674" s="344">
        <f>IFERROR(VLOOKUP($G1674,基本資料!$A:$M,11,0),"無")</f>
        <v>0</v>
      </c>
      <c r="AC1674" s="397">
        <f>IFERROR(VLOOKUP($G1674,基本資料!$A:$M,12,0),"無")</f>
        <v>0</v>
      </c>
      <c r="AD1674" s="16" t="s">
        <v>799</v>
      </c>
      <c r="AG1674" s="33">
        <f t="shared" si="309"/>
        <v>0</v>
      </c>
      <c r="AH1674" s="43" t="s">
        <v>2650</v>
      </c>
      <c r="AI1674" s="63">
        <f t="shared" si="310"/>
        <v>1.7910447761194031E-4</v>
      </c>
      <c r="AJ1674" s="284">
        <f>RTD("money.excel",,$G1674,"PredictVolume")</f>
        <v>6</v>
      </c>
      <c r="AK1674" s="399">
        <f>IFERROR(VLOOKUP($G1674,基本資料!$A:$M,13,0),"無")</f>
        <v>0</v>
      </c>
    </row>
    <row r="1675" spans="1:37">
      <c r="B1675" s="90"/>
      <c r="C1675" s="90"/>
      <c r="D1675" s="90"/>
      <c r="E1675" s="90"/>
      <c r="F1675" s="57"/>
      <c r="G1675" s="79"/>
      <c r="H1675" s="8"/>
      <c r="I1675" s="16"/>
      <c r="L1675" s="2"/>
      <c r="P1675" s="366"/>
      <c r="R1675" s="355"/>
      <c r="S1675" s="81"/>
      <c r="T1675" s="327"/>
      <c r="U1675" s="34"/>
      <c r="W1675" s="94"/>
      <c r="X1675" s="36"/>
      <c r="Y1675" s="66"/>
      <c r="Z1675" s="15"/>
      <c r="AA1675" s="3"/>
      <c r="AD1675" s="16"/>
      <c r="AG1675" s="33"/>
      <c r="AH1675" s="43"/>
      <c r="AI1675" s="63"/>
      <c r="AJ1675" s="284"/>
    </row>
    <row r="1676" spans="1:37">
      <c r="A1676" s="127" t="s">
        <v>1673</v>
      </c>
      <c r="B1676" s="90" t="s">
        <v>1572</v>
      </c>
      <c r="C1676" s="90" t="s">
        <v>1573</v>
      </c>
      <c r="D1676" s="90" t="s">
        <v>1574</v>
      </c>
      <c r="E1676" s="90" t="s">
        <v>1575</v>
      </c>
      <c r="F1676" s="8" t="s">
        <v>1060</v>
      </c>
      <c r="G1676" s="27" t="s">
        <v>979</v>
      </c>
      <c r="H1676" s="55" t="s">
        <v>320</v>
      </c>
      <c r="I1676" s="8" t="s">
        <v>312</v>
      </c>
      <c r="J1676" s="8" t="s">
        <v>6221</v>
      </c>
      <c r="K1676" s="5" t="s">
        <v>6222</v>
      </c>
      <c r="L1676" s="337" t="s">
        <v>6206</v>
      </c>
      <c r="M1676" s="338" t="s">
        <v>6207</v>
      </c>
      <c r="N1676" s="339" t="s">
        <v>6208</v>
      </c>
      <c r="O1676" s="4" t="s">
        <v>6713</v>
      </c>
      <c r="P1676" s="89" t="s">
        <v>6285</v>
      </c>
      <c r="Q1676" s="293" t="s">
        <v>6284</v>
      </c>
      <c r="R1676" s="354" t="s">
        <v>6283</v>
      </c>
      <c r="S1676" s="26" t="s">
        <v>6286</v>
      </c>
      <c r="T1676" s="321" t="s">
        <v>4716</v>
      </c>
      <c r="U1676" s="10" t="s">
        <v>66</v>
      </c>
      <c r="V1676" s="308" t="s">
        <v>4731</v>
      </c>
      <c r="W1676" s="68" t="s">
        <v>3273</v>
      </c>
      <c r="X1676" s="28" t="s">
        <v>2</v>
      </c>
      <c r="Y1676" s="17" t="s">
        <v>1399</v>
      </c>
      <c r="Z1676" s="14" t="s">
        <v>5</v>
      </c>
      <c r="AA1676" s="21" t="s">
        <v>3</v>
      </c>
      <c r="AB1676" s="96" t="s">
        <v>6174</v>
      </c>
      <c r="AC1676" s="384" t="s">
        <v>6420</v>
      </c>
      <c r="AD1676" s="8" t="s">
        <v>312</v>
      </c>
      <c r="AE1676" s="71" t="s">
        <v>1400</v>
      </c>
      <c r="AF1676" s="72" t="s">
        <v>1157</v>
      </c>
      <c r="AG1676" s="32" t="s">
        <v>1158</v>
      </c>
      <c r="AH1676" s="25" t="s">
        <v>6209</v>
      </c>
      <c r="AI1676" s="8" t="s">
        <v>6731</v>
      </c>
      <c r="AJ1676" s="50" t="s">
        <v>3361</v>
      </c>
      <c r="AK1676" s="44" t="s">
        <v>6730</v>
      </c>
    </row>
    <row r="1677" spans="1:37">
      <c r="A1677" s="347">
        <f>IFERROR(VLOOKUP($G1677,基本資料!$A:$J,3,0),"無")</f>
        <v>13.72</v>
      </c>
      <c r="B1677" s="79">
        <f>IFERROR(VLOOKUP($G1677,基本資料!$A:$J,4,0),"無")</f>
        <v>11</v>
      </c>
      <c r="C1677" s="79">
        <f>IFERROR(VLOOKUP($G1677,基本資料!$A:$J,5,0),"無")</f>
        <v>-2</v>
      </c>
      <c r="D1677" s="79">
        <f>IFERROR(VLOOKUP($G1677,基本資料!$A:$J,6,0),"無")</f>
        <v>36</v>
      </c>
      <c r="E1677" s="79">
        <f>IFERROR(VLOOKUP($G1677,基本資料!$A:$J,7,0),"無")</f>
        <v>16</v>
      </c>
      <c r="F1677" s="6">
        <f>IFERROR(VLOOKUP($G1677,基本資料!$A:$J,8,0),"無")</f>
        <v>2</v>
      </c>
      <c r="G1677" s="79">
        <v>2616</v>
      </c>
      <c r="H1677" s="8" t="s">
        <v>312</v>
      </c>
      <c r="I1677" s="22" t="s">
        <v>984</v>
      </c>
      <c r="J1677" s="8">
        <f>IFERROR(VLOOKUP($G1677,今日總結!$A:$AJ,35,0),"")</f>
        <v>0</v>
      </c>
      <c r="K1677" s="5" t="str">
        <f>IFERROR(VLOOKUP($G1677,今日總結!$A:$AJ,36,0),"")</f>
        <v>外</v>
      </c>
      <c r="L1677" s="156">
        <f>IFERROR(VLOOKUP($G1677,今日總結!$A:$AJ,33,0),"")</f>
        <v>0</v>
      </c>
      <c r="M1677" s="340">
        <f>IFERROR(VLOOKUP($G1677,今日總結!$A:$AJ,34,0),"")</f>
        <v>2</v>
      </c>
      <c r="N1677" s="240">
        <f t="shared" ref="N1677:N1679" si="312">IFERROR(L1677-M1677,"")</f>
        <v>-2</v>
      </c>
      <c r="P1677" s="365">
        <f>IFERROR(VLOOKUP($G1677,融外自投!$A:$J,7,0),"無")</f>
        <v>1424</v>
      </c>
      <c r="Q1677" s="79">
        <f>IFERROR(VLOOKUP($G1677,融外自投!$A:$J,9,0),"無")</f>
        <v>936</v>
      </c>
      <c r="R1677" s="346">
        <f>IFERROR(VLOOKUP($G1677,融外自投!$A:$J,8,0),"無")</f>
        <v>887</v>
      </c>
      <c r="S1677" s="81" t="str">
        <f>IFERROR(VLOOKUP($G1677,融外自投!$A:$J,10,0),"無")</f>
        <v>無</v>
      </c>
      <c r="T1677" s="327">
        <f>IFERROR(VLOOKUP($G1677,'321買'!$A:$E,5,0),"'沒有資料'")</f>
        <v>1161</v>
      </c>
      <c r="U1677" s="186">
        <f>IFERROR(VLOOKUP($G1677,基本資料!$A:$J,9,0),"無")</f>
        <v>2.5</v>
      </c>
      <c r="V1677" s="310">
        <f t="shared" ref="V1677:V1688" si="313">$U1677/$X1677</f>
        <v>6.8212824010914053E-2</v>
      </c>
      <c r="W1677" s="94">
        <f>IFERROR(VLOOKUP($G1677,基本資料!$A:$J,10,0),"無")</f>
        <v>3.06</v>
      </c>
      <c r="X1677" s="36">
        <f>RTD("money.excel",,"2616","Price")</f>
        <v>36.65</v>
      </c>
      <c r="Y1677" s="66"/>
      <c r="Z1677" s="15">
        <f t="shared" ref="Z1677:Z1688" si="314">X1677-Y1677</f>
        <v>36.65</v>
      </c>
      <c r="AA1677" s="3" t="e">
        <f t="shared" ref="AA1677:AA1688" si="315">Z1677/Y1677</f>
        <v>#DIV/0!</v>
      </c>
      <c r="AB1677" s="344">
        <f>IFERROR(VLOOKUP($G1677,基本資料!$A:$M,11,0),"無")</f>
        <v>-6.3</v>
      </c>
      <c r="AC1677" s="397">
        <f>IFERROR(VLOOKUP($G1677,基本資料!$A:$M,12,0),"無")</f>
        <v>34.42</v>
      </c>
      <c r="AD1677" s="22" t="s">
        <v>984</v>
      </c>
      <c r="AG1677" s="33">
        <f t="shared" ref="AG1677:AG1688" si="316">AF1677-AE1677</f>
        <v>0</v>
      </c>
      <c r="AH1677" s="43" t="s">
        <v>2683</v>
      </c>
      <c r="AI1677" s="63">
        <f t="shared" ref="AI1677:AI1688" si="317">AJ1677/(A1677*10000)</f>
        <v>2.5218658892128278E-3</v>
      </c>
      <c r="AJ1677" s="284">
        <f>RTD("money.excel",,$G1677,"PredictVolume")</f>
        <v>346</v>
      </c>
      <c r="AK1677" s="399">
        <f>IFERROR(VLOOKUP($G1677,基本資料!$A:$M,13,0),"無")</f>
        <v>1.41</v>
      </c>
    </row>
    <row r="1678" spans="1:37">
      <c r="A1678" s="347">
        <f>IFERROR(VLOOKUP($G1678,基本資料!$A:$J,3,0),"無")</f>
        <v>58.9</v>
      </c>
      <c r="B1678" s="79">
        <f>IFERROR(VLOOKUP($G1678,基本資料!$A:$J,4,0),"無")</f>
        <v>-15</v>
      </c>
      <c r="C1678" s="79">
        <f>IFERROR(VLOOKUP($G1678,基本資料!$A:$J,5,0),"無")</f>
        <v>-6</v>
      </c>
      <c r="D1678" s="79">
        <f>IFERROR(VLOOKUP($G1678,基本資料!$A:$J,6,0),"無")</f>
        <v>-1</v>
      </c>
      <c r="E1678" s="79">
        <f>IFERROR(VLOOKUP($G1678,基本資料!$A:$J,7,0),"無")</f>
        <v>-67</v>
      </c>
      <c r="F1678" s="6">
        <f>IFERROR(VLOOKUP($G1678,基本資料!$A:$J,8,0),"無")</f>
        <v>6.87</v>
      </c>
      <c r="G1678" s="79">
        <v>8926</v>
      </c>
      <c r="H1678" s="8" t="s">
        <v>312</v>
      </c>
      <c r="I1678" s="22" t="s">
        <v>985</v>
      </c>
      <c r="J1678" s="8">
        <f>IFERROR(VLOOKUP($G1678,今日總結!$A:$AJ,35,0),"")</f>
        <v>0</v>
      </c>
      <c r="K1678" s="5">
        <f>IFERROR(VLOOKUP($G1678,今日總結!$A:$AJ,36,0),"")</f>
        <v>0</v>
      </c>
      <c r="L1678" s="156">
        <f>IFERROR(VLOOKUP($G1678,今日總結!$A:$AJ,33,0),"")</f>
        <v>0</v>
      </c>
      <c r="M1678" s="340">
        <f>IFERROR(VLOOKUP($G1678,今日總結!$A:$AJ,34,0),"")</f>
        <v>1</v>
      </c>
      <c r="N1678" s="240">
        <f t="shared" si="312"/>
        <v>-1</v>
      </c>
      <c r="P1678" s="365">
        <f>IFERROR(VLOOKUP($G1678,融外自投!$A:$J,7,0),"無")</f>
        <v>1333</v>
      </c>
      <c r="Q1678" s="79">
        <f>IFERROR(VLOOKUP($G1678,融外自投!$A:$J,9,0),"無")</f>
        <v>363</v>
      </c>
      <c r="R1678" s="346">
        <f>IFERROR(VLOOKUP($G1678,融外自投!$A:$J,8,0),"無")</f>
        <v>615</v>
      </c>
      <c r="S1678" s="81">
        <f>IFERROR(VLOOKUP($G1678,融外自投!$A:$J,10,0),"無")</f>
        <v>374</v>
      </c>
      <c r="T1678" s="327">
        <f>IFERROR(VLOOKUP($G1678,'321買'!$A:$E,5,0),"'沒有資料'")</f>
        <v>357</v>
      </c>
      <c r="U1678" s="186">
        <f>IFERROR(VLOOKUP($G1678,基本資料!$A:$J,9,0),"無")</f>
        <v>1.75</v>
      </c>
      <c r="V1678" s="310">
        <f t="shared" si="313"/>
        <v>4.7043010752688172E-2</v>
      </c>
      <c r="W1678" s="94">
        <f>IFERROR(VLOOKUP($G1678,基本資料!$A:$J,10,0),"無")</f>
        <v>1.52</v>
      </c>
      <c r="X1678" s="36">
        <f>RTD("money.excel",,"8926","Price")</f>
        <v>37.200000000000003</v>
      </c>
      <c r="Y1678" s="66"/>
      <c r="Z1678" s="15">
        <f t="shared" si="314"/>
        <v>37.200000000000003</v>
      </c>
      <c r="AA1678" s="3" t="e">
        <f t="shared" si="315"/>
        <v>#DIV/0!</v>
      </c>
      <c r="AB1678" s="344">
        <f>IFERROR(VLOOKUP($G1678,基本資料!$A:$M,11,0),"無")</f>
        <v>-6.18</v>
      </c>
      <c r="AC1678" s="397">
        <f>IFERROR(VLOOKUP($G1678,基本資料!$A:$M,12,0),"無")</f>
        <v>28.48</v>
      </c>
      <c r="AD1678" s="22" t="s">
        <v>985</v>
      </c>
      <c r="AG1678" s="33">
        <f t="shared" si="316"/>
        <v>0</v>
      </c>
      <c r="AH1678" s="43" t="s">
        <v>1954</v>
      </c>
      <c r="AI1678" s="63">
        <f t="shared" si="317"/>
        <v>5.0933786078098469E-4</v>
      </c>
      <c r="AJ1678" s="284">
        <f>RTD("money.excel",,$G1678,"PredictVolume")</f>
        <v>300</v>
      </c>
      <c r="AK1678" s="399">
        <f>IFERROR(VLOOKUP($G1678,基本資料!$A:$M,13,0),"無")</f>
        <v>0.68</v>
      </c>
    </row>
    <row r="1679" spans="1:37">
      <c r="A1679" s="347">
        <f>IFERROR(VLOOKUP($G1679,基本資料!$A:$J,3,0),"無")</f>
        <v>14.78</v>
      </c>
      <c r="B1679" s="79">
        <f>IFERROR(VLOOKUP($G1679,基本資料!$A:$J,4,0),"無")</f>
        <v>0</v>
      </c>
      <c r="C1679" s="79">
        <f>IFERROR(VLOOKUP($G1679,基本資料!$A:$J,5,0),"無")</f>
        <v>-3</v>
      </c>
      <c r="D1679" s="79">
        <f>IFERROR(VLOOKUP($G1679,基本資料!$A:$J,6,0),"無")</f>
        <v>16</v>
      </c>
      <c r="E1679" s="79">
        <f>IFERROR(VLOOKUP($G1679,基本資料!$A:$J,7,0),"無")</f>
        <v>16</v>
      </c>
      <c r="F1679" s="6">
        <f>IFERROR(VLOOKUP($G1679,基本資料!$A:$J,8,0),"無")</f>
        <v>16.95</v>
      </c>
      <c r="G1679" s="79">
        <v>8917</v>
      </c>
      <c r="H1679" s="8" t="s">
        <v>312</v>
      </c>
      <c r="I1679" s="16" t="s">
        <v>981</v>
      </c>
      <c r="J1679" s="8" t="str">
        <f>IFERROR(VLOOKUP($G1679,今日總結!$A:$AJ,35,0),"")</f>
        <v/>
      </c>
      <c r="K1679" s="5" t="str">
        <f>IFERROR(VLOOKUP($G1679,今日總結!$A:$AJ,36,0),"")</f>
        <v/>
      </c>
      <c r="L1679" s="156" t="str">
        <f>IFERROR(VLOOKUP($G1679,今日總結!$A:$AJ,33,0),"")</f>
        <v/>
      </c>
      <c r="M1679" s="340" t="str">
        <f>IFERROR(VLOOKUP($G1679,今日總結!$A:$AJ,34,0),"")</f>
        <v/>
      </c>
      <c r="N1679" s="240" t="str">
        <f t="shared" si="312"/>
        <v/>
      </c>
      <c r="P1679" s="365">
        <f>IFERROR(VLOOKUP($G1679,融外自投!$A:$J,7,0),"無")</f>
        <v>1466</v>
      </c>
      <c r="Q1679" s="79" t="str">
        <f>IFERROR(VLOOKUP($G1679,融外自投!$A:$J,9,0),"無")</f>
        <v>無</v>
      </c>
      <c r="R1679" s="346">
        <f>IFERROR(VLOOKUP($G1679,融外自投!$A:$J,8,0),"無")</f>
        <v>1150</v>
      </c>
      <c r="S1679" s="81" t="str">
        <f>IFERROR(VLOOKUP($G1679,融外自投!$A:$J,10,0),"無")</f>
        <v>無</v>
      </c>
      <c r="T1679" s="327" t="str">
        <f>IFERROR(VLOOKUP($G1679,'321買'!$A:$E,5,0),"'沒有資料'")</f>
        <v>'沒有資料'</v>
      </c>
      <c r="U1679" s="186">
        <f>IFERROR(VLOOKUP($G1679,基本資料!$A:$J,9,0),"無")</f>
        <v>2.1</v>
      </c>
      <c r="V1679" s="310" t="e">
        <f t="shared" si="313"/>
        <v>#VALUE!</v>
      </c>
      <c r="W1679" s="94">
        <f>IFERROR(VLOOKUP($G1679,基本資料!$A:$J,10,0),"無")</f>
        <v>2.21</v>
      </c>
      <c r="X1679" s="36" t="str">
        <f>RTD("money.excel",,"8917","Price")</f>
        <v>無資料</v>
      </c>
      <c r="Y1679" s="66"/>
      <c r="Z1679" s="15" t="e">
        <f t="shared" si="314"/>
        <v>#VALUE!</v>
      </c>
      <c r="AA1679" s="3" t="e">
        <f t="shared" si="315"/>
        <v>#VALUE!</v>
      </c>
      <c r="AB1679" s="344">
        <f>IFERROR(VLOOKUP($G1679,基本資料!$A:$M,11,0),"無")</f>
        <v>-8.81</v>
      </c>
      <c r="AC1679" s="397">
        <f>IFERROR(VLOOKUP($G1679,基本資料!$A:$M,12,0),"無")</f>
        <v>39.56</v>
      </c>
      <c r="AD1679" s="16" t="s">
        <v>981</v>
      </c>
      <c r="AG1679" s="33">
        <f t="shared" si="316"/>
        <v>0</v>
      </c>
      <c r="AH1679" s="43" t="s">
        <v>2682</v>
      </c>
      <c r="AI1679" s="63">
        <f t="shared" si="317"/>
        <v>0</v>
      </c>
      <c r="AJ1679" s="284">
        <f>RTD("money.excel",,$G1679,"PredictVolume")</f>
        <v>0</v>
      </c>
      <c r="AK1679" s="399">
        <f>IFERROR(VLOOKUP($G1679,基本資料!$A:$M,13,0),"無")</f>
        <v>0.03</v>
      </c>
    </row>
    <row r="1680" spans="1:37">
      <c r="A1680" s="347">
        <f>IFERROR(VLOOKUP($G1680,基本資料!$A:$J,3,0),"無")</f>
        <v>11.04</v>
      </c>
      <c r="B1680" s="79">
        <f>IFERROR(VLOOKUP($G1680,基本資料!$A:$J,4,0),"無")</f>
        <v>25</v>
      </c>
      <c r="C1680" s="79">
        <f>IFERROR(VLOOKUP($G1680,基本資料!$A:$J,5,0),"無")</f>
        <v>4</v>
      </c>
      <c r="D1680" s="79">
        <f>IFERROR(VLOOKUP($G1680,基本資料!$A:$J,6,0),"無")</f>
        <v>-7</v>
      </c>
      <c r="E1680" s="79">
        <f>IFERROR(VLOOKUP($G1680,基本資料!$A:$J,7,0),"無")</f>
        <v>0</v>
      </c>
      <c r="F1680" s="6">
        <f>IFERROR(VLOOKUP($G1680,基本資料!$A:$J,8,0),"無")</f>
        <v>13.91</v>
      </c>
      <c r="G1680" s="79">
        <v>9931</v>
      </c>
      <c r="H1680" s="8" t="s">
        <v>312</v>
      </c>
      <c r="I1680" s="22" t="s">
        <v>989</v>
      </c>
      <c r="J1680" s="8" t="str">
        <f>IFERROR(VLOOKUP($G1680,今日總結!$A:$AJ,35,0),"")</f>
        <v/>
      </c>
      <c r="K1680" s="5" t="str">
        <f>IFERROR(VLOOKUP($G1680,今日總結!$A:$AJ,36,0),"")</f>
        <v/>
      </c>
      <c r="L1680" s="156" t="str">
        <f>IFERROR(VLOOKUP($G1680,今日總結!$A:$AJ,33,0),"")</f>
        <v/>
      </c>
      <c r="M1680" s="340" t="str">
        <f>IFERROR(VLOOKUP($G1680,今日總結!$A:$AJ,34,0),"")</f>
        <v/>
      </c>
      <c r="N1680" s="240" t="str">
        <f t="shared" ref="N1680:N1688" si="318">IFERROR(L1680-M1680,"")</f>
        <v/>
      </c>
      <c r="P1680" s="365">
        <f>IFERROR(VLOOKUP($G1680,融外自投!$A:$J,7,0),"無")</f>
        <v>1458</v>
      </c>
      <c r="Q1680" s="79" t="str">
        <f>IFERROR(VLOOKUP($G1680,融外自投!$A:$J,9,0),"無")</f>
        <v>無</v>
      </c>
      <c r="R1680" s="346">
        <f>IFERROR(VLOOKUP($G1680,融外自投!$A:$J,8,0),"無")</f>
        <v>1302</v>
      </c>
      <c r="S1680" s="81" t="str">
        <f>IFERROR(VLOOKUP($G1680,融外自投!$A:$J,10,0),"無")</f>
        <v>無</v>
      </c>
      <c r="T1680" s="327">
        <f>IFERROR(VLOOKUP($G1680,'321買'!$A:$E,5,0),"'沒有資料'")</f>
        <v>1338</v>
      </c>
      <c r="U1680" s="186">
        <f>IFERROR(VLOOKUP($G1680,基本資料!$A:$J,9,0),"無")</f>
        <v>1.4</v>
      </c>
      <c r="V1680" s="310">
        <f t="shared" si="313"/>
        <v>3.5175879396984924E-2</v>
      </c>
      <c r="W1680" s="94">
        <f>IFERROR(VLOOKUP($G1680,基本資料!$A:$J,10,0),"無")</f>
        <v>2.15</v>
      </c>
      <c r="X1680" s="36">
        <f>RTD("money.excel",,"9931","Price")</f>
        <v>39.799999999999997</v>
      </c>
      <c r="Y1680" s="66"/>
      <c r="Z1680" s="15">
        <f t="shared" si="314"/>
        <v>39.799999999999997</v>
      </c>
      <c r="AA1680" s="3" t="e">
        <f t="shared" si="315"/>
        <v>#DIV/0!</v>
      </c>
      <c r="AB1680" s="344">
        <f>IFERROR(VLOOKUP($G1680,基本資料!$A:$M,11,0),"無")</f>
        <v>-9.1199999999999992</v>
      </c>
      <c r="AC1680" s="397">
        <f>IFERROR(VLOOKUP($G1680,基本資料!$A:$M,12,0),"無")</f>
        <v>20.07</v>
      </c>
      <c r="AD1680" s="22" t="s">
        <v>989</v>
      </c>
      <c r="AG1680" s="33">
        <f t="shared" si="316"/>
        <v>0</v>
      </c>
      <c r="AH1680" s="43" t="s">
        <v>2682</v>
      </c>
      <c r="AI1680" s="63">
        <f t="shared" si="317"/>
        <v>9.0579710144927551E-6</v>
      </c>
      <c r="AJ1680" s="284">
        <f>RTD("money.excel",,$G1680,"PredictVolume")</f>
        <v>1</v>
      </c>
      <c r="AK1680" s="399">
        <f>IFERROR(VLOOKUP($G1680,基本資料!$A:$M,13,0),"無")</f>
        <v>0.25</v>
      </c>
    </row>
    <row r="1681" spans="1:37">
      <c r="A1681" s="347">
        <f>IFERROR(VLOOKUP($G1681,基本資料!$A:$J,3,0),"無")</f>
        <v>12.22</v>
      </c>
      <c r="B1681" s="79">
        <f>IFERROR(VLOOKUP($G1681,基本資料!$A:$J,4,0),"無")</f>
        <v>-6</v>
      </c>
      <c r="C1681" s="79">
        <f>IFERROR(VLOOKUP($G1681,基本資料!$A:$J,5,0),"無")</f>
        <v>-12</v>
      </c>
      <c r="D1681" s="79">
        <f>IFERROR(VLOOKUP($G1681,基本資料!$A:$J,6,0),"無")</f>
        <v>-3</v>
      </c>
      <c r="E1681" s="79">
        <f>IFERROR(VLOOKUP($G1681,基本資料!$A:$J,7,0),"無")</f>
        <v>25</v>
      </c>
      <c r="F1681" s="6">
        <f>IFERROR(VLOOKUP($G1681,基本資料!$A:$J,8,0),"無")</f>
        <v>11.48</v>
      </c>
      <c r="G1681" s="79">
        <v>8931</v>
      </c>
      <c r="H1681" s="8" t="s">
        <v>312</v>
      </c>
      <c r="I1681" s="16" t="s">
        <v>983</v>
      </c>
      <c r="J1681" s="8" t="str">
        <f>IFERROR(VLOOKUP($G1681,今日總結!$A:$AJ,35,0),"")</f>
        <v/>
      </c>
      <c r="K1681" s="5" t="str">
        <f>IFERROR(VLOOKUP($G1681,今日總結!$A:$AJ,36,0),"")</f>
        <v/>
      </c>
      <c r="L1681" s="156" t="str">
        <f>IFERROR(VLOOKUP($G1681,今日總結!$A:$AJ,33,0),"")</f>
        <v/>
      </c>
      <c r="M1681" s="340" t="str">
        <f>IFERROR(VLOOKUP($G1681,今日總結!$A:$AJ,34,0),"")</f>
        <v/>
      </c>
      <c r="N1681" s="240" t="str">
        <f t="shared" si="318"/>
        <v/>
      </c>
      <c r="P1681" s="365">
        <f>IFERROR(VLOOKUP($G1681,融外自投!$A:$J,7,0),"無")</f>
        <v>866</v>
      </c>
      <c r="Q1681" s="79">
        <f>IFERROR(VLOOKUP($G1681,融外自投!$A:$J,9,0),"無")</f>
        <v>789</v>
      </c>
      <c r="R1681" s="346">
        <f>IFERROR(VLOOKUP($G1681,融外自投!$A:$J,8,0),"無")</f>
        <v>1457</v>
      </c>
      <c r="S1681" s="81" t="str">
        <f>IFERROR(VLOOKUP($G1681,融外自投!$A:$J,10,0),"無")</f>
        <v>無</v>
      </c>
      <c r="T1681" s="327">
        <f>IFERROR(VLOOKUP($G1681,'321買'!$A:$E,5,0),"'沒有資料'")</f>
        <v>752</v>
      </c>
      <c r="U1681" s="186">
        <f>IFERROR(VLOOKUP($G1681,基本資料!$A:$J,9,0),"無")</f>
        <v>1.5</v>
      </c>
      <c r="V1681" s="310">
        <f t="shared" si="313"/>
        <v>4.7393364928909956E-2</v>
      </c>
      <c r="W1681" s="94">
        <f>IFERROR(VLOOKUP($G1681,基本資料!$A:$J,10,0),"無")</f>
        <v>1.39</v>
      </c>
      <c r="X1681" s="36">
        <f>RTD("money.excel",,"8931","Price")</f>
        <v>31.65</v>
      </c>
      <c r="Y1681" s="66"/>
      <c r="Z1681" s="15">
        <f t="shared" si="314"/>
        <v>31.65</v>
      </c>
      <c r="AA1681" s="3" t="e">
        <f t="shared" si="315"/>
        <v>#DIV/0!</v>
      </c>
      <c r="AB1681" s="344">
        <f>IFERROR(VLOOKUP($G1681,基本資料!$A:$M,11,0),"無")</f>
        <v>-10.17</v>
      </c>
      <c r="AC1681" s="397">
        <f>IFERROR(VLOOKUP($G1681,基本資料!$A:$M,12,0),"無")</f>
        <v>30.55</v>
      </c>
      <c r="AD1681" s="16" t="s">
        <v>983</v>
      </c>
      <c r="AG1681" s="33">
        <f t="shared" si="316"/>
        <v>0</v>
      </c>
      <c r="AH1681" s="43" t="s">
        <v>1954</v>
      </c>
      <c r="AI1681" s="63">
        <f t="shared" si="317"/>
        <v>1.3911620294599017E-4</v>
      </c>
      <c r="AJ1681" s="284">
        <f>RTD("money.excel",,$G1681,"PredictVolume")</f>
        <v>17</v>
      </c>
      <c r="AK1681" s="399">
        <f>IFERROR(VLOOKUP($G1681,基本資料!$A:$M,13,0),"無")</f>
        <v>1.26</v>
      </c>
    </row>
    <row r="1682" spans="1:37">
      <c r="A1682" s="347">
        <f>IFERROR(VLOOKUP($G1682,基本資料!$A:$J,3,0),"無")</f>
        <v>18.05</v>
      </c>
      <c r="B1682" s="79">
        <f>IFERROR(VLOOKUP($G1682,基本資料!$A:$J,4,0),"無")</f>
        <v>4</v>
      </c>
      <c r="C1682" s="79">
        <f>IFERROR(VLOOKUP($G1682,基本資料!$A:$J,5,0),"無")</f>
        <v>-14</v>
      </c>
      <c r="D1682" s="79">
        <f>IFERROR(VLOOKUP($G1682,基本資料!$A:$J,6,0),"無")</f>
        <v>-22</v>
      </c>
      <c r="E1682" s="79">
        <f>IFERROR(VLOOKUP($G1682,基本資料!$A:$J,7,0),"無")</f>
        <v>3</v>
      </c>
      <c r="F1682" s="6">
        <f>IFERROR(VLOOKUP($G1682,基本資料!$A:$J,8,0),"無")</f>
        <v>14.57</v>
      </c>
      <c r="G1682" s="79">
        <v>9918</v>
      </c>
      <c r="H1682" s="8" t="s">
        <v>312</v>
      </c>
      <c r="I1682" s="22" t="s">
        <v>987</v>
      </c>
      <c r="J1682" s="8" t="str">
        <f>IFERROR(VLOOKUP($G1682,今日總結!$A:$AJ,35,0),"")</f>
        <v/>
      </c>
      <c r="K1682" s="5" t="str">
        <f>IFERROR(VLOOKUP($G1682,今日總結!$A:$AJ,36,0),"")</f>
        <v/>
      </c>
      <c r="L1682" s="156" t="str">
        <f>IFERROR(VLOOKUP($G1682,今日總結!$A:$AJ,33,0),"")</f>
        <v/>
      </c>
      <c r="M1682" s="340" t="str">
        <f>IFERROR(VLOOKUP($G1682,今日總結!$A:$AJ,34,0),"")</f>
        <v/>
      </c>
      <c r="N1682" s="240" t="str">
        <f t="shared" si="318"/>
        <v/>
      </c>
      <c r="P1682" s="365">
        <f>IFERROR(VLOOKUP($G1682,融外自投!$A:$J,7,0),"無")</f>
        <v>1439</v>
      </c>
      <c r="Q1682" s="79">
        <f>IFERROR(VLOOKUP($G1682,融外自投!$A:$J,9,0),"無")</f>
        <v>978</v>
      </c>
      <c r="R1682" s="346">
        <f>IFERROR(VLOOKUP($G1682,融外自投!$A:$J,8,0),"無")</f>
        <v>1003</v>
      </c>
      <c r="S1682" s="81" t="str">
        <f>IFERROR(VLOOKUP($G1682,融外自投!$A:$J,10,0),"無")</f>
        <v>無</v>
      </c>
      <c r="T1682" s="327">
        <f>IFERROR(VLOOKUP($G1682,'321買'!$A:$E,5,0),"'沒有資料'")</f>
        <v>1239</v>
      </c>
      <c r="U1682" s="186">
        <f>IFERROR(VLOOKUP($G1682,基本資料!$A:$J,9,0),"無")</f>
        <v>1.7</v>
      </c>
      <c r="V1682" s="310">
        <f t="shared" si="313"/>
        <v>3.9673278879813298E-2</v>
      </c>
      <c r="W1682" s="94">
        <f>IFERROR(VLOOKUP($G1682,基本資料!$A:$J,10,0),"無")</f>
        <v>1.92</v>
      </c>
      <c r="X1682" s="36">
        <f>RTD("money.excel",,"9918","Price")</f>
        <v>42.85</v>
      </c>
      <c r="Y1682" s="66"/>
      <c r="Z1682" s="15">
        <f t="shared" si="314"/>
        <v>42.85</v>
      </c>
      <c r="AA1682" s="3" t="e">
        <f t="shared" si="315"/>
        <v>#DIV/0!</v>
      </c>
      <c r="AB1682" s="344">
        <f>IFERROR(VLOOKUP($G1682,基本資料!$A:$M,11,0),"無")</f>
        <v>-23.29</v>
      </c>
      <c r="AC1682" s="397">
        <f>IFERROR(VLOOKUP($G1682,基本資料!$A:$M,12,0),"無")</f>
        <v>21.27</v>
      </c>
      <c r="AD1682" s="22" t="s">
        <v>987</v>
      </c>
      <c r="AG1682" s="33">
        <f t="shared" si="316"/>
        <v>0</v>
      </c>
      <c r="AH1682" s="43" t="s">
        <v>2682</v>
      </c>
      <c r="AI1682" s="63">
        <f t="shared" si="317"/>
        <v>4.4321329639889195E-5</v>
      </c>
      <c r="AJ1682" s="284">
        <f>RTD("money.excel",,$G1682,"PredictVolume")</f>
        <v>8</v>
      </c>
      <c r="AK1682" s="399">
        <f>IFERROR(VLOOKUP($G1682,基本資料!$A:$M,13,0),"無")</f>
        <v>1.26</v>
      </c>
    </row>
    <row r="1683" spans="1:37">
      <c r="A1683" s="347">
        <f>IFERROR(VLOOKUP($G1683,基本資料!$A:$J,3,0),"無")</f>
        <v>17.95</v>
      </c>
      <c r="B1683" s="79">
        <f>IFERROR(VLOOKUP($G1683,基本資料!$A:$J,4,0),"無")</f>
        <v>6</v>
      </c>
      <c r="C1683" s="79">
        <f>IFERROR(VLOOKUP($G1683,基本資料!$A:$J,5,0),"無")</f>
        <v>6</v>
      </c>
      <c r="D1683" s="79">
        <f>IFERROR(VLOOKUP($G1683,基本資料!$A:$J,6,0),"無")</f>
        <v>3</v>
      </c>
      <c r="E1683" s="79">
        <f>IFERROR(VLOOKUP($G1683,基本資料!$A:$J,7,0),"無")</f>
        <v>8</v>
      </c>
      <c r="F1683" s="6">
        <f>IFERROR(VLOOKUP($G1683,基本資料!$A:$J,8,0),"無")</f>
        <v>21.83</v>
      </c>
      <c r="G1683" s="79">
        <v>9926</v>
      </c>
      <c r="H1683" s="8" t="s">
        <v>312</v>
      </c>
      <c r="I1683" s="22" t="s">
        <v>988</v>
      </c>
      <c r="J1683" s="8" t="str">
        <f>IFERROR(VLOOKUP($G1683,今日總結!$A:$AJ,35,0),"")</f>
        <v/>
      </c>
      <c r="K1683" s="5" t="str">
        <f>IFERROR(VLOOKUP($G1683,今日總結!$A:$AJ,36,0),"")</f>
        <v/>
      </c>
      <c r="L1683" s="156" t="str">
        <f>IFERROR(VLOOKUP($G1683,今日總結!$A:$AJ,33,0),"")</f>
        <v/>
      </c>
      <c r="M1683" s="340" t="str">
        <f>IFERROR(VLOOKUP($G1683,今日總結!$A:$AJ,34,0),"")</f>
        <v/>
      </c>
      <c r="N1683" s="240" t="str">
        <f t="shared" si="318"/>
        <v/>
      </c>
      <c r="P1683" s="365">
        <f>IFERROR(VLOOKUP($G1683,融外自投!$A:$J,7,0),"無")</f>
        <v>1460</v>
      </c>
      <c r="Q1683" s="79" t="str">
        <f>IFERROR(VLOOKUP($G1683,融外自投!$A:$J,9,0),"無")</f>
        <v>無</v>
      </c>
      <c r="R1683" s="346">
        <f>IFERROR(VLOOKUP($G1683,融外自投!$A:$J,8,0),"無")</f>
        <v>1390</v>
      </c>
      <c r="S1683" s="81" t="str">
        <f>IFERROR(VLOOKUP($G1683,融外自投!$A:$J,10,0),"無")</f>
        <v>無</v>
      </c>
      <c r="T1683" s="327">
        <f>IFERROR(VLOOKUP($G1683,'321買'!$A:$E,5,0),"'沒有資料'")</f>
        <v>1383</v>
      </c>
      <c r="U1683" s="186">
        <f>IFERROR(VLOOKUP($G1683,基本資料!$A:$J,9,0),"無")</f>
        <v>2</v>
      </c>
      <c r="V1683" s="310">
        <f t="shared" si="313"/>
        <v>3.9603960396039604E-2</v>
      </c>
      <c r="W1683" s="94">
        <f>IFERROR(VLOOKUP($G1683,基本資料!$A:$J,10,0),"無")</f>
        <v>2.5</v>
      </c>
      <c r="X1683" s="36">
        <f>RTD("money.excel",,"9926","Price")</f>
        <v>50.5</v>
      </c>
      <c r="Y1683" s="66"/>
      <c r="Z1683" s="15">
        <f t="shared" si="314"/>
        <v>50.5</v>
      </c>
      <c r="AA1683" s="3" t="e">
        <f t="shared" si="315"/>
        <v>#DIV/0!</v>
      </c>
      <c r="AB1683" s="344">
        <f>IFERROR(VLOOKUP($G1683,基本資料!$A:$M,11,0),"無")</f>
        <v>-9.3699999999999992</v>
      </c>
      <c r="AC1683" s="397">
        <f>IFERROR(VLOOKUP($G1683,基本資料!$A:$M,12,0),"無")</f>
        <v>56.89</v>
      </c>
      <c r="AD1683" s="22" t="s">
        <v>988</v>
      </c>
      <c r="AG1683" s="33">
        <f t="shared" si="316"/>
        <v>0</v>
      </c>
      <c r="AH1683" s="43" t="s">
        <v>2682</v>
      </c>
      <c r="AI1683" s="63">
        <f t="shared" si="317"/>
        <v>2.7855153203342618E-5</v>
      </c>
      <c r="AJ1683" s="284">
        <f>RTD("money.excel",,$G1683,"PredictVolume")</f>
        <v>5</v>
      </c>
      <c r="AK1683" s="399">
        <f>IFERROR(VLOOKUP($G1683,基本資料!$A:$M,13,0),"無")</f>
        <v>0.39</v>
      </c>
    </row>
    <row r="1684" spans="1:37">
      <c r="A1684" s="347">
        <f>IFERROR(VLOOKUP($G1684,基本資料!$A:$J,3,0),"無")</f>
        <v>22.4</v>
      </c>
      <c r="B1684" s="79">
        <f>IFERROR(VLOOKUP($G1684,基本資料!$A:$J,4,0),"無")</f>
        <v>25</v>
      </c>
      <c r="C1684" s="79">
        <f>IFERROR(VLOOKUP($G1684,基本資料!$A:$J,5,0),"無")</f>
        <v>30</v>
      </c>
      <c r="D1684" s="79">
        <f>IFERROR(VLOOKUP($G1684,基本資料!$A:$J,6,0),"無")</f>
        <v>26</v>
      </c>
      <c r="E1684" s="79">
        <f>IFERROR(VLOOKUP($G1684,基本資料!$A:$J,7,0),"無")</f>
        <v>18</v>
      </c>
      <c r="F1684" s="6">
        <f>IFERROR(VLOOKUP($G1684,基本資料!$A:$J,8,0),"無")</f>
        <v>9.3800000000000008</v>
      </c>
      <c r="G1684" s="79">
        <v>8908</v>
      </c>
      <c r="H1684" s="8" t="s">
        <v>312</v>
      </c>
      <c r="I1684" s="16" t="s">
        <v>980</v>
      </c>
      <c r="J1684" s="8" t="str">
        <f>IFERROR(VLOOKUP($G1684,今日總結!$A:$AJ,35,0),"")</f>
        <v/>
      </c>
      <c r="K1684" s="5" t="str">
        <f>IFERROR(VLOOKUP($G1684,今日總結!$A:$AJ,36,0),"")</f>
        <v/>
      </c>
      <c r="L1684" s="156" t="str">
        <f>IFERROR(VLOOKUP($G1684,今日總結!$A:$AJ,33,0),"")</f>
        <v/>
      </c>
      <c r="M1684" s="340" t="str">
        <f>IFERROR(VLOOKUP($G1684,今日總結!$A:$AJ,34,0),"")</f>
        <v/>
      </c>
      <c r="N1684" s="240" t="str">
        <f t="shared" si="318"/>
        <v/>
      </c>
      <c r="P1684" s="365">
        <f>IFERROR(VLOOKUP($G1684,融外自投!$A:$J,7,0),"無")</f>
        <v>1434</v>
      </c>
      <c r="Q1684" s="79" t="str">
        <f>IFERROR(VLOOKUP($G1684,融外自投!$A:$J,9,0),"無")</f>
        <v>無</v>
      </c>
      <c r="R1684" s="346">
        <f>IFERROR(VLOOKUP($G1684,融外自投!$A:$J,8,0),"無")</f>
        <v>1438</v>
      </c>
      <c r="S1684" s="81" t="str">
        <f>IFERROR(VLOOKUP($G1684,融外自投!$A:$J,10,0),"無")</f>
        <v>無</v>
      </c>
      <c r="T1684" s="327">
        <f>IFERROR(VLOOKUP($G1684,'321買'!$A:$E,5,0),"'沒有資料'")</f>
        <v>1383</v>
      </c>
      <c r="U1684" s="186">
        <f>IFERROR(VLOOKUP($G1684,基本資料!$A:$J,9,0),"無")</f>
        <v>1.9</v>
      </c>
      <c r="V1684" s="310">
        <f t="shared" si="313"/>
        <v>2.4390243902439022E-2</v>
      </c>
      <c r="W1684" s="94">
        <f>IFERROR(VLOOKUP($G1684,基本資料!$A:$J,10,0),"無")</f>
        <v>2.16</v>
      </c>
      <c r="X1684" s="36">
        <f>RTD("money.excel",,"8908","Price")</f>
        <v>77.900000000000006</v>
      </c>
      <c r="Y1684" s="66"/>
      <c r="Z1684" s="15">
        <f t="shared" si="314"/>
        <v>77.900000000000006</v>
      </c>
      <c r="AA1684" s="3" t="e">
        <f t="shared" si="315"/>
        <v>#DIV/0!</v>
      </c>
      <c r="AB1684" s="344">
        <f>IFERROR(VLOOKUP($G1684,基本資料!$A:$M,11,0),"無")</f>
        <v>-13.6</v>
      </c>
      <c r="AC1684" s="397">
        <f>IFERROR(VLOOKUP($G1684,基本資料!$A:$M,12,0),"無")</f>
        <v>55.52</v>
      </c>
      <c r="AD1684" s="16" t="s">
        <v>980</v>
      </c>
      <c r="AG1684" s="33">
        <f t="shared" si="316"/>
        <v>0</v>
      </c>
      <c r="AH1684" s="43" t="s">
        <v>2682</v>
      </c>
      <c r="AI1684" s="63">
        <f t="shared" si="317"/>
        <v>7.1428571428571434E-5</v>
      </c>
      <c r="AJ1684" s="284">
        <f>RTD("money.excel",,$G1684,"PredictVolume")</f>
        <v>16</v>
      </c>
      <c r="AK1684" s="399">
        <f>IFERROR(VLOOKUP($G1684,基本資料!$A:$M,13,0),"無")</f>
        <v>0.16</v>
      </c>
    </row>
    <row r="1685" spans="1:37">
      <c r="A1685" s="347">
        <f>IFERROR(VLOOKUP($G1685,基本資料!$A:$J,3,0),"無")</f>
        <v>51.63</v>
      </c>
      <c r="B1685" s="79">
        <f>IFERROR(VLOOKUP($G1685,基本資料!$A:$J,4,0),"無")</f>
        <v>6</v>
      </c>
      <c r="C1685" s="79">
        <f>IFERROR(VLOOKUP($G1685,基本資料!$A:$J,5,0),"無")</f>
        <v>-7</v>
      </c>
      <c r="D1685" s="79">
        <f>IFERROR(VLOOKUP($G1685,基本資料!$A:$J,6,0),"無")</f>
        <v>19</v>
      </c>
      <c r="E1685" s="79">
        <f>IFERROR(VLOOKUP($G1685,基本資料!$A:$J,7,0),"無")</f>
        <v>4</v>
      </c>
      <c r="F1685" s="6">
        <f>IFERROR(VLOOKUP($G1685,基本資料!$A:$J,8,0),"無")</f>
        <v>17.78</v>
      </c>
      <c r="G1685" s="79">
        <v>9908</v>
      </c>
      <c r="H1685" s="8" t="s">
        <v>312</v>
      </c>
      <c r="I1685" s="22" t="s">
        <v>986</v>
      </c>
      <c r="J1685" s="8">
        <f>IFERROR(VLOOKUP($G1685,今日總結!$A:$AJ,35,0),"")</f>
        <v>0</v>
      </c>
      <c r="K1685" s="5">
        <f>IFERROR(VLOOKUP($G1685,今日總結!$A:$AJ,36,0),"")</f>
        <v>0</v>
      </c>
      <c r="L1685" s="156">
        <f>IFERROR(VLOOKUP($G1685,今日總結!$A:$AJ,33,0),"")</f>
        <v>0</v>
      </c>
      <c r="M1685" s="340">
        <f>IFERROR(VLOOKUP($G1685,今日總結!$A:$AJ,34,0),"")</f>
        <v>1</v>
      </c>
      <c r="N1685" s="240">
        <f t="shared" si="318"/>
        <v>-1</v>
      </c>
      <c r="P1685" s="365">
        <f>IFERROR(VLOOKUP($G1685,融外自投!$A:$J,7,0),"無")</f>
        <v>1454</v>
      </c>
      <c r="Q1685" s="79" t="str">
        <f>IFERROR(VLOOKUP($G1685,融外自投!$A:$J,9,0),"無")</f>
        <v>無</v>
      </c>
      <c r="R1685" s="346">
        <f>IFERROR(VLOOKUP($G1685,融外自投!$A:$J,8,0),"無")</f>
        <v>1024</v>
      </c>
      <c r="S1685" s="81" t="str">
        <f>IFERROR(VLOOKUP($G1685,融外自投!$A:$J,10,0),"無")</f>
        <v>無</v>
      </c>
      <c r="T1685" s="327">
        <f>IFERROR(VLOOKUP($G1685,'321買'!$A:$E,5,0),"'沒有資料'")</f>
        <v>1327</v>
      </c>
      <c r="U1685" s="186">
        <f>IFERROR(VLOOKUP($G1685,基本資料!$A:$J,9,0),"無")</f>
        <v>1.1000000000000001</v>
      </c>
      <c r="V1685" s="310">
        <f t="shared" si="313"/>
        <v>3.3434650455927056E-2</v>
      </c>
      <c r="W1685" s="94">
        <f>IFERROR(VLOOKUP($G1685,基本資料!$A:$J,10,0),"無")</f>
        <v>1.75</v>
      </c>
      <c r="X1685" s="36">
        <f>RTD("money.excel",,"9908","Price")</f>
        <v>32.9</v>
      </c>
      <c r="Y1685" s="66"/>
      <c r="Z1685" s="15">
        <f t="shared" si="314"/>
        <v>32.9</v>
      </c>
      <c r="AA1685" s="3" t="e">
        <f t="shared" si="315"/>
        <v>#DIV/0!</v>
      </c>
      <c r="AB1685" s="344">
        <f>IFERROR(VLOOKUP($G1685,基本資料!$A:$M,11,0),"無")</f>
        <v>-5.6</v>
      </c>
      <c r="AC1685" s="397">
        <f>IFERROR(VLOOKUP($G1685,基本資料!$A:$M,12,0),"無")</f>
        <v>47.42</v>
      </c>
      <c r="AD1685" s="22" t="s">
        <v>986</v>
      </c>
      <c r="AG1685" s="33">
        <f t="shared" si="316"/>
        <v>0</v>
      </c>
      <c r="AH1685" s="43" t="s">
        <v>2682</v>
      </c>
      <c r="AI1685" s="63">
        <f t="shared" si="317"/>
        <v>2.1499128413712958E-4</v>
      </c>
      <c r="AJ1685" s="284">
        <f>RTD("money.excel",,$G1685,"PredictVolume")</f>
        <v>111</v>
      </c>
      <c r="AK1685" s="399">
        <f>IFERROR(VLOOKUP($G1685,基本資料!$A:$M,13,0),"無")</f>
        <v>0.22</v>
      </c>
    </row>
    <row r="1686" spans="1:37">
      <c r="A1686" s="347">
        <f>IFERROR(VLOOKUP($G1686,基本資料!$A:$J,3,0),"無")</f>
        <v>30.9</v>
      </c>
      <c r="B1686" s="79">
        <f>IFERROR(VLOOKUP($G1686,基本資料!$A:$J,4,0),"無")</f>
        <v>3</v>
      </c>
      <c r="C1686" s="79">
        <f>IFERROR(VLOOKUP($G1686,基本資料!$A:$J,5,0),"無")</f>
        <v>16</v>
      </c>
      <c r="D1686" s="79">
        <f>IFERROR(VLOOKUP($G1686,基本資料!$A:$J,6,0),"無")</f>
        <v>-10</v>
      </c>
      <c r="E1686" s="79">
        <f>IFERROR(VLOOKUP($G1686,基本資料!$A:$J,7,0),"無")</f>
        <v>12</v>
      </c>
      <c r="F1686" s="6">
        <f>IFERROR(VLOOKUP($G1686,基本資料!$A:$J,8,0),"無")</f>
        <v>3.88</v>
      </c>
      <c r="G1686" s="79">
        <v>9937</v>
      </c>
      <c r="H1686" s="8" t="s">
        <v>312</v>
      </c>
      <c r="I1686" s="22" t="s">
        <v>990</v>
      </c>
      <c r="J1686" s="8" t="str">
        <f>IFERROR(VLOOKUP($G1686,今日總結!$A:$AJ,35,0),"")</f>
        <v/>
      </c>
      <c r="K1686" s="5" t="str">
        <f>IFERROR(VLOOKUP($G1686,今日總結!$A:$AJ,36,0),"")</f>
        <v/>
      </c>
      <c r="L1686" s="156" t="str">
        <f>IFERROR(VLOOKUP($G1686,今日總結!$A:$AJ,33,0),"")</f>
        <v/>
      </c>
      <c r="M1686" s="340" t="str">
        <f>IFERROR(VLOOKUP($G1686,今日總結!$A:$AJ,34,0),"")</f>
        <v/>
      </c>
      <c r="N1686" s="240" t="str">
        <f t="shared" si="318"/>
        <v/>
      </c>
      <c r="P1686" s="365">
        <f>IFERROR(VLOOKUP($G1686,融外自投!$A:$J,7,0),"無")</f>
        <v>1388</v>
      </c>
      <c r="Q1686" s="79" t="str">
        <f>IFERROR(VLOOKUP($G1686,融外自投!$A:$J,9,0),"無")</f>
        <v>無</v>
      </c>
      <c r="R1686" s="346">
        <f>IFERROR(VLOOKUP($G1686,融外自投!$A:$J,8,0),"無")</f>
        <v>951</v>
      </c>
      <c r="S1686" s="81" t="str">
        <f>IFERROR(VLOOKUP($G1686,融外自投!$A:$J,10,0),"無")</f>
        <v>無</v>
      </c>
      <c r="T1686" s="327">
        <f>IFERROR(VLOOKUP($G1686,'321買'!$A:$E,5,0),"'沒有資料'")</f>
        <v>1239</v>
      </c>
      <c r="U1686" s="186">
        <f>IFERROR(VLOOKUP($G1686,基本資料!$A:$J,9,0),"無")</f>
        <v>2.1</v>
      </c>
      <c r="V1686" s="310">
        <f t="shared" si="313"/>
        <v>4.3121149897330596E-2</v>
      </c>
      <c r="W1686" s="94">
        <f>IFERROR(VLOOKUP($G1686,基本資料!$A:$J,10,0),"無")</f>
        <v>2.62</v>
      </c>
      <c r="X1686" s="36">
        <f>RTD("money.excel",,"9937","Price")</f>
        <v>48.7</v>
      </c>
      <c r="Y1686" s="66"/>
      <c r="Z1686" s="15">
        <f t="shared" si="314"/>
        <v>48.7</v>
      </c>
      <c r="AA1686" s="3" t="e">
        <f t="shared" si="315"/>
        <v>#DIV/0!</v>
      </c>
      <c r="AB1686" s="344">
        <f>IFERROR(VLOOKUP($G1686,基本資料!$A:$M,11,0),"無")</f>
        <v>0</v>
      </c>
      <c r="AC1686" s="397">
        <f>IFERROR(VLOOKUP($G1686,基本資料!$A:$M,12,0),"無")</f>
        <v>0</v>
      </c>
      <c r="AD1686" s="22" t="s">
        <v>990</v>
      </c>
      <c r="AG1686" s="33">
        <f t="shared" si="316"/>
        <v>0</v>
      </c>
      <c r="AH1686" s="43" t="s">
        <v>2683</v>
      </c>
      <c r="AI1686" s="63">
        <f t="shared" si="317"/>
        <v>4.5307443365695792E-5</v>
      </c>
      <c r="AJ1686" s="284">
        <f>RTD("money.excel",,$G1686,"PredictVolume")</f>
        <v>14</v>
      </c>
      <c r="AK1686" s="399">
        <f>IFERROR(VLOOKUP($G1686,基本資料!$A:$M,13,0),"無")</f>
        <v>0</v>
      </c>
    </row>
    <row r="1687" spans="1:37">
      <c r="A1687" s="347">
        <f>IFERROR(VLOOKUP($G1687,基本資料!$A:$J,3,0),"無")</f>
        <v>952</v>
      </c>
      <c r="B1687" s="79">
        <f>IFERROR(VLOOKUP($G1687,基本資料!$A:$J,4,0),"無")</f>
        <v>569</v>
      </c>
      <c r="C1687" s="79">
        <f>IFERROR(VLOOKUP($G1687,基本資料!$A:$J,5,0),"無")</f>
        <v>1892</v>
      </c>
      <c r="D1687" s="79">
        <f>IFERROR(VLOOKUP($G1687,基本資料!$A:$J,6,0),"無")</f>
        <v>-4</v>
      </c>
      <c r="E1687" s="79">
        <f>IFERROR(VLOOKUP($G1687,基本資料!$A:$J,7,0),"無")</f>
        <v>40</v>
      </c>
      <c r="F1687" s="6">
        <f>IFERROR(VLOOKUP($G1687,基本資料!$A:$J,8,0),"無")</f>
        <v>8.9</v>
      </c>
      <c r="G1687" s="79">
        <v>6505</v>
      </c>
      <c r="H1687" s="17" t="s">
        <v>312</v>
      </c>
      <c r="I1687" s="22" t="s">
        <v>4671</v>
      </c>
      <c r="J1687" s="8" t="str">
        <f>IFERROR(VLOOKUP($G1687,今日總結!$A:$AJ,35,0),"")</f>
        <v/>
      </c>
      <c r="K1687" s="5" t="str">
        <f>IFERROR(VLOOKUP($G1687,今日總結!$A:$AJ,36,0),"")</f>
        <v/>
      </c>
      <c r="L1687" s="156" t="str">
        <f>IFERROR(VLOOKUP($G1687,今日總結!$A:$AJ,33,0),"")</f>
        <v/>
      </c>
      <c r="M1687" s="340" t="str">
        <f>IFERROR(VLOOKUP($G1687,今日總結!$A:$AJ,34,0),"")</f>
        <v/>
      </c>
      <c r="N1687" s="240" t="str">
        <f t="shared" si="318"/>
        <v/>
      </c>
      <c r="P1687" s="365">
        <f>IFERROR(VLOOKUP($G1687,融外自投!$A:$J,7,0),"無")</f>
        <v>1439</v>
      </c>
      <c r="Q1687" s="79">
        <f>IFERROR(VLOOKUP($G1687,融外自投!$A:$J,9,0),"無")</f>
        <v>936</v>
      </c>
      <c r="R1687" s="346">
        <f>IFERROR(VLOOKUP($G1687,融外自投!$A:$J,8,0),"無")</f>
        <v>635</v>
      </c>
      <c r="S1687" s="81">
        <f>IFERROR(VLOOKUP($G1687,融外自投!$A:$J,10,0),"無")</f>
        <v>334</v>
      </c>
      <c r="T1687" s="327">
        <f>IFERROR(VLOOKUP($G1687,'321買'!$A:$E,5,0),"'沒有資料'")</f>
        <v>403</v>
      </c>
      <c r="U1687" s="186">
        <f>IFERROR(VLOOKUP($G1687,基本資料!$A:$J,9,0),"無")</f>
        <v>3.8</v>
      </c>
      <c r="V1687" s="310">
        <f t="shared" si="313"/>
        <v>4.2128603104212854E-2</v>
      </c>
      <c r="W1687" s="94">
        <f>IFERROR(VLOOKUP($G1687,基本資料!$A:$J,10,0),"無")</f>
        <v>5.19</v>
      </c>
      <c r="X1687" s="36">
        <f>RTD("money.excel",,"6505","Price")</f>
        <v>90.2</v>
      </c>
      <c r="Y1687" s="65"/>
      <c r="Z1687" s="15">
        <f t="shared" si="314"/>
        <v>90.2</v>
      </c>
      <c r="AA1687" s="3" t="e">
        <f t="shared" si="315"/>
        <v>#DIV/0!</v>
      </c>
      <c r="AB1687" s="344">
        <f>IFERROR(VLOOKUP($G1687,基本資料!$A:$M,11,0),"無")</f>
        <v>-23.06</v>
      </c>
      <c r="AC1687" s="397">
        <f>IFERROR(VLOOKUP($G1687,基本資料!$A:$M,12,0),"無")</f>
        <v>19.34</v>
      </c>
      <c r="AD1687" s="22" t="s">
        <v>4671</v>
      </c>
      <c r="AG1687" s="33">
        <f t="shared" si="316"/>
        <v>0</v>
      </c>
      <c r="AH1687" s="43" t="s">
        <v>2596</v>
      </c>
      <c r="AI1687" s="63">
        <f t="shared" si="317"/>
        <v>1.9443277310924369E-4</v>
      </c>
      <c r="AJ1687" s="284">
        <f>RTD("money.excel",,$G1687,"PredictVolume")</f>
        <v>1851</v>
      </c>
      <c r="AK1687" s="399">
        <f>IFERROR(VLOOKUP($G1687,基本資料!$A:$M,13,0),"無")</f>
        <v>0.26</v>
      </c>
    </row>
    <row r="1688" spans="1:37">
      <c r="A1688" s="347">
        <f>IFERROR(VLOOKUP($G1688,基本資料!$A:$J,3,0),"無")</f>
        <v>24.76</v>
      </c>
      <c r="B1688" s="79">
        <f>IFERROR(VLOOKUP($G1688,基本資料!$A:$J,4,0),"無")</f>
        <v>18</v>
      </c>
      <c r="C1688" s="79">
        <f>IFERROR(VLOOKUP($G1688,基本資料!$A:$J,5,0),"無")</f>
        <v>-38</v>
      </c>
      <c r="D1688" s="79">
        <f>IFERROR(VLOOKUP($G1688,基本資料!$A:$J,6,0),"無")</f>
        <v>-4</v>
      </c>
      <c r="E1688" s="79">
        <f>IFERROR(VLOOKUP($G1688,基本資料!$A:$J,7,0),"無")</f>
        <v>22</v>
      </c>
      <c r="F1688" s="6">
        <f>IFERROR(VLOOKUP($G1688,基本資料!$A:$J,8,0),"無")</f>
        <v>1.23</v>
      </c>
      <c r="G1688" s="79">
        <v>8927</v>
      </c>
      <c r="H1688" s="8" t="s">
        <v>312</v>
      </c>
      <c r="I1688" s="16" t="s">
        <v>982</v>
      </c>
      <c r="J1688" s="8">
        <f>IFERROR(VLOOKUP($G1688,今日總結!$A:$AJ,35,0),"")</f>
        <v>0</v>
      </c>
      <c r="K1688" s="5" t="str">
        <f>IFERROR(VLOOKUP($G1688,今日總結!$A:$AJ,36,0),"")</f>
        <v>融</v>
      </c>
      <c r="L1688" s="156">
        <f>IFERROR(VLOOKUP($G1688,今日總結!$A:$AJ,33,0),"")</f>
        <v>0</v>
      </c>
      <c r="M1688" s="340">
        <f>IFERROR(VLOOKUP($G1688,今日總結!$A:$AJ,34,0),"")</f>
        <v>1</v>
      </c>
      <c r="N1688" s="240">
        <f t="shared" si="318"/>
        <v>-1</v>
      </c>
      <c r="P1688" s="365">
        <f>IFERROR(VLOOKUP($G1688,融外自投!$A:$J,7,0),"無")</f>
        <v>624</v>
      </c>
      <c r="Q1688" s="79">
        <f>IFERROR(VLOOKUP($G1688,融外自投!$A:$J,9,0),"無")</f>
        <v>978</v>
      </c>
      <c r="R1688" s="346">
        <f>IFERROR(VLOOKUP($G1688,融外自投!$A:$J,8,0),"無")</f>
        <v>1420</v>
      </c>
      <c r="S1688" s="81" t="str">
        <f>IFERROR(VLOOKUP($G1688,融外自投!$A:$J,10,0),"無")</f>
        <v>無</v>
      </c>
      <c r="T1688" s="327">
        <f>IFERROR(VLOOKUP($G1688,'321買'!$A:$E,5,0),"'沒有資料'")</f>
        <v>729</v>
      </c>
      <c r="U1688" s="186">
        <f>IFERROR(VLOOKUP($G1688,基本資料!$A:$J,9,0),"無")</f>
        <v>1.6</v>
      </c>
      <c r="V1688" s="310">
        <f t="shared" si="313"/>
        <v>4.3715846994535519E-2</v>
      </c>
      <c r="W1688" s="94">
        <f>IFERROR(VLOOKUP($G1688,基本資料!$A:$J,10,0),"無")</f>
        <v>0.69</v>
      </c>
      <c r="X1688" s="36">
        <f>RTD("money.excel",,"8927","Price")</f>
        <v>36.6</v>
      </c>
      <c r="Y1688" s="66"/>
      <c r="Z1688" s="15">
        <f t="shared" si="314"/>
        <v>36.6</v>
      </c>
      <c r="AA1688" s="3" t="e">
        <f t="shared" si="315"/>
        <v>#DIV/0!</v>
      </c>
      <c r="AB1688" s="344">
        <f>IFERROR(VLOOKUP($G1688,基本資料!$A:$M,11,0),"無")</f>
        <v>-14.74</v>
      </c>
      <c r="AC1688" s="397">
        <f>IFERROR(VLOOKUP($G1688,基本資料!$A:$M,12,0),"無")</f>
        <v>61.1</v>
      </c>
      <c r="AD1688" s="16" t="s">
        <v>982</v>
      </c>
      <c r="AG1688" s="33">
        <f t="shared" si="316"/>
        <v>0</v>
      </c>
      <c r="AH1688" s="43" t="s">
        <v>2683</v>
      </c>
      <c r="AI1688" s="63">
        <f t="shared" si="317"/>
        <v>1.1631663974151856E-3</v>
      </c>
      <c r="AJ1688" s="284">
        <f>RTD("money.excel",,$G1688,"PredictVolume")</f>
        <v>288</v>
      </c>
      <c r="AK1688" s="399">
        <f>IFERROR(VLOOKUP($G1688,基本資料!$A:$M,13,0),"無")</f>
        <v>3.04</v>
      </c>
    </row>
    <row r="1689" spans="1:37">
      <c r="A1689" s="142"/>
      <c r="B1689" s="79"/>
      <c r="C1689" s="80"/>
      <c r="D1689" s="79"/>
      <c r="E1689" s="79"/>
      <c r="F1689" s="6"/>
      <c r="G1689" s="79"/>
      <c r="H1689" s="8"/>
      <c r="I1689" s="16"/>
      <c r="L1689" s="2"/>
      <c r="P1689" s="366"/>
      <c r="R1689" s="355"/>
      <c r="S1689" s="26"/>
      <c r="U1689" s="34"/>
      <c r="W1689" s="94"/>
      <c r="X1689" s="36"/>
      <c r="Y1689" s="66"/>
      <c r="Z1689" s="15"/>
      <c r="AA1689" s="3"/>
      <c r="AD1689" s="16"/>
      <c r="AG1689" s="33"/>
      <c r="AH1689" s="43"/>
    </row>
    <row r="1690" spans="1:37">
      <c r="A1690" s="127" t="s">
        <v>1673</v>
      </c>
      <c r="B1690" s="90" t="s">
        <v>1572</v>
      </c>
      <c r="C1690" s="90" t="s">
        <v>1573</v>
      </c>
      <c r="D1690" s="90" t="s">
        <v>1574</v>
      </c>
      <c r="E1690" s="90" t="s">
        <v>1575</v>
      </c>
      <c r="F1690" s="8" t="s">
        <v>1060</v>
      </c>
      <c r="G1690" s="27" t="s">
        <v>4672</v>
      </c>
      <c r="H1690" s="55" t="s">
        <v>320</v>
      </c>
      <c r="I1690" s="30" t="s">
        <v>3354</v>
      </c>
      <c r="J1690" s="8" t="s">
        <v>6221</v>
      </c>
      <c r="K1690" s="5" t="s">
        <v>6222</v>
      </c>
      <c r="L1690" s="337" t="s">
        <v>6206</v>
      </c>
      <c r="M1690" s="338" t="s">
        <v>6207</v>
      </c>
      <c r="N1690" s="339" t="s">
        <v>6208</v>
      </c>
      <c r="O1690" s="4" t="s">
        <v>6713</v>
      </c>
      <c r="P1690" s="89" t="s">
        <v>6285</v>
      </c>
      <c r="Q1690" s="293" t="s">
        <v>6284</v>
      </c>
      <c r="R1690" s="354" t="s">
        <v>6283</v>
      </c>
      <c r="S1690" s="26" t="s">
        <v>6286</v>
      </c>
      <c r="T1690" s="321" t="s">
        <v>4716</v>
      </c>
      <c r="U1690" s="10" t="s">
        <v>66</v>
      </c>
      <c r="V1690" s="308" t="s">
        <v>4731</v>
      </c>
      <c r="W1690" s="68" t="s">
        <v>3273</v>
      </c>
      <c r="X1690" s="28" t="s">
        <v>2</v>
      </c>
      <c r="Y1690" s="17" t="s">
        <v>1399</v>
      </c>
      <c r="Z1690" s="14" t="s">
        <v>5</v>
      </c>
      <c r="AA1690" s="21" t="s">
        <v>3</v>
      </c>
      <c r="AB1690" s="96" t="s">
        <v>6174</v>
      </c>
      <c r="AC1690" s="384" t="s">
        <v>6420</v>
      </c>
      <c r="AD1690" s="30" t="s">
        <v>3354</v>
      </c>
      <c r="AE1690" s="71" t="s">
        <v>1400</v>
      </c>
      <c r="AF1690" s="72" t="s">
        <v>1157</v>
      </c>
      <c r="AG1690" s="32" t="s">
        <v>1158</v>
      </c>
      <c r="AH1690" s="25" t="s">
        <v>6209</v>
      </c>
      <c r="AI1690" s="8" t="s">
        <v>6731</v>
      </c>
      <c r="AJ1690" s="50" t="s">
        <v>3361</v>
      </c>
      <c r="AK1690" s="44" t="s">
        <v>6730</v>
      </c>
    </row>
    <row r="1691" spans="1:37">
      <c r="A1691" s="347">
        <f>IFERROR(VLOOKUP($G1691,基本資料!$A:$J,3,0),"無")</f>
        <v>59.36</v>
      </c>
      <c r="B1691" s="79">
        <f>IFERROR(VLOOKUP($G1691,基本資料!$A:$J,4,0),"無")</f>
        <v>48</v>
      </c>
      <c r="C1691" s="79">
        <f>IFERROR(VLOOKUP($G1691,基本資料!$A:$J,5,0),"無")</f>
        <v>1</v>
      </c>
      <c r="D1691" s="79">
        <f>IFERROR(VLOOKUP($G1691,基本資料!$A:$J,6,0),"無")</f>
        <v>69</v>
      </c>
      <c r="E1691" s="79">
        <f>IFERROR(VLOOKUP($G1691,基本資料!$A:$J,7,0),"無")</f>
        <v>22</v>
      </c>
      <c r="F1691" s="6">
        <f>IFERROR(VLOOKUP($G1691,基本資料!$A:$J,8,0),"無")</f>
        <v>5.16</v>
      </c>
      <c r="G1691" s="79">
        <v>1785</v>
      </c>
      <c r="H1691" s="8" t="s">
        <v>314</v>
      </c>
      <c r="I1691" s="16" t="s">
        <v>305</v>
      </c>
      <c r="J1691" s="8" t="str">
        <f>IFERROR(VLOOKUP($G1691,今日總結!$A:$AJ,35,0),"")</f>
        <v/>
      </c>
      <c r="K1691" s="5" t="str">
        <f>IFERROR(VLOOKUP($G1691,今日總結!$A:$AJ,36,0),"")</f>
        <v/>
      </c>
      <c r="L1691" s="156" t="str">
        <f>IFERROR(VLOOKUP($G1691,今日總結!$A:$AJ,33,0),"")</f>
        <v/>
      </c>
      <c r="M1691" s="340" t="str">
        <f>IFERROR(VLOOKUP($G1691,今日總結!$A:$AJ,34,0),"")</f>
        <v/>
      </c>
      <c r="N1691" s="240" t="str">
        <f t="shared" ref="N1691" si="319">IFERROR(L1691-M1691,"")</f>
        <v/>
      </c>
      <c r="P1691" s="365">
        <f>IFERROR(VLOOKUP($G1691,融外自投!$A:$J,7,0),"無")</f>
        <v>314</v>
      </c>
      <c r="Q1691" s="79">
        <f>IFERROR(VLOOKUP($G1691,融外自投!$A:$J,9,0),"無")</f>
        <v>978</v>
      </c>
      <c r="R1691" s="346">
        <f>IFERROR(VLOOKUP($G1691,融外自投!$A:$J,8,0),"無")</f>
        <v>625</v>
      </c>
      <c r="S1691" s="81">
        <f>IFERROR(VLOOKUP($G1691,融外自投!$A:$J,10,0),"無")</f>
        <v>416</v>
      </c>
      <c r="T1691" s="327">
        <f>IFERROR(VLOOKUP($G1691,'321買'!$A:$E,5,0),"'沒有資料'")</f>
        <v>292</v>
      </c>
      <c r="U1691" s="186">
        <f>IFERROR(VLOOKUP($G1691,基本資料!$A:$J,9,0),"無")</f>
        <v>1.5</v>
      </c>
      <c r="V1691" s="310">
        <f t="shared" ref="V1691:V1754" si="320">$U1691/$X1691</f>
        <v>3.1678986272439279E-2</v>
      </c>
      <c r="W1691" s="94">
        <f>IFERROR(VLOOKUP($G1691,基本資料!$A:$J,10,0),"無")</f>
        <v>2.15</v>
      </c>
      <c r="X1691" s="36">
        <f>RTD("money.excel",,"1785","Price")</f>
        <v>47.35</v>
      </c>
      <c r="Y1691" s="66"/>
      <c r="Z1691" s="15">
        <f t="shared" ref="Z1691:Z1754" si="321">X1691-Y1691</f>
        <v>47.35</v>
      </c>
      <c r="AA1691" s="3" t="e">
        <f t="shared" ref="AA1691:AA1754" si="322">Z1691/Y1691</f>
        <v>#DIV/0!</v>
      </c>
      <c r="AB1691" s="344">
        <f>IFERROR(VLOOKUP($G1691,基本資料!$A:$M,11,0),"無")</f>
        <v>-18</v>
      </c>
      <c r="AC1691" s="397">
        <f>IFERROR(VLOOKUP($G1691,基本資料!$A:$M,12,0),"無")</f>
        <v>29.08</v>
      </c>
      <c r="AD1691" s="16" t="s">
        <v>305</v>
      </c>
      <c r="AG1691" s="33">
        <f t="shared" ref="AG1691:AG1754" si="323">AF1691-AE1691</f>
        <v>0</v>
      </c>
      <c r="AH1691" s="43" t="s">
        <v>2267</v>
      </c>
      <c r="AI1691" s="63">
        <f t="shared" ref="AI1691:AI1722" si="324">AJ1691/(A1691*10000)</f>
        <v>8.8443396226415092E-3</v>
      </c>
      <c r="AJ1691" s="284">
        <f>RTD("money.excel",,$G1691,"PredictVolume")</f>
        <v>5250</v>
      </c>
      <c r="AK1691" s="399">
        <f>IFERROR(VLOOKUP($G1691,基本資料!$A:$M,13,0),"無")</f>
        <v>11.97</v>
      </c>
    </row>
    <row r="1692" spans="1:37">
      <c r="A1692" s="347">
        <f>IFERROR(VLOOKUP($G1692,基本資料!$A:$J,3,0),"無")</f>
        <v>149</v>
      </c>
      <c r="B1692" s="79">
        <f>IFERROR(VLOOKUP($G1692,基本資料!$A:$J,4,0),"無")</f>
        <v>-7</v>
      </c>
      <c r="C1692" s="79">
        <f>IFERROR(VLOOKUP($G1692,基本資料!$A:$J,5,0),"無")</f>
        <v>68</v>
      </c>
      <c r="D1692" s="79">
        <f>IFERROR(VLOOKUP($G1692,基本資料!$A:$J,6,0),"無")</f>
        <v>-5</v>
      </c>
      <c r="E1692" s="79">
        <f>IFERROR(VLOOKUP($G1692,基本資料!$A:$J,7,0),"無")</f>
        <v>12</v>
      </c>
      <c r="F1692" s="6">
        <f>IFERROR(VLOOKUP($G1692,基本資料!$A:$J,8,0),"無")</f>
        <v>0.88</v>
      </c>
      <c r="G1692" s="79">
        <v>2312</v>
      </c>
      <c r="H1692" s="8" t="s">
        <v>314</v>
      </c>
      <c r="I1692" s="22" t="s">
        <v>491</v>
      </c>
      <c r="J1692" s="8">
        <f>IFERROR(VLOOKUP($G1692,今日總結!$A:$AJ,35,0),"")</f>
        <v>0</v>
      </c>
      <c r="K1692" s="5">
        <f>IFERROR(VLOOKUP($G1692,今日總結!$A:$AJ,36,0),"")</f>
        <v>0</v>
      </c>
      <c r="L1692" s="156">
        <f>IFERROR(VLOOKUP($G1692,今日總結!$A:$AJ,33,0),"")</f>
        <v>0</v>
      </c>
      <c r="M1692" s="340">
        <f>IFERROR(VLOOKUP($G1692,今日總結!$A:$AJ,34,0),"")</f>
        <v>1</v>
      </c>
      <c r="N1692" s="240">
        <f t="shared" ref="N1692:N1755" si="325">IFERROR(L1692-M1692,"")</f>
        <v>-1</v>
      </c>
      <c r="P1692" s="365">
        <f>IFERROR(VLOOKUP($G1692,融外自投!$A:$J,7,0),"無")</f>
        <v>660</v>
      </c>
      <c r="Q1692" s="79">
        <f>IFERROR(VLOOKUP($G1692,融外自投!$A:$J,9,0),"無")</f>
        <v>824</v>
      </c>
      <c r="R1692" s="346">
        <f>IFERROR(VLOOKUP($G1692,融外自投!$A:$J,8,0),"無")</f>
        <v>482</v>
      </c>
      <c r="S1692" s="81">
        <f>IFERROR(VLOOKUP($G1692,融外自投!$A:$J,10,0),"無")</f>
        <v>473</v>
      </c>
      <c r="T1692" s="327">
        <f>IFERROR(VLOOKUP($G1692,'321買'!$A:$E,5,0),"'沒有資料'")</f>
        <v>357</v>
      </c>
      <c r="U1692" s="186">
        <f>IFERROR(VLOOKUP($G1692,基本資料!$A:$J,9,0),"無")</f>
        <v>0.2</v>
      </c>
      <c r="V1692" s="310">
        <f t="shared" si="320"/>
        <v>1.4925373134328358E-2</v>
      </c>
      <c r="W1692" s="94">
        <f>IFERROR(VLOOKUP($G1692,基本資料!$A:$J,10,0),"無")</f>
        <v>0.01</v>
      </c>
      <c r="X1692" s="36">
        <f>RTD("money.excel",,"2312","Price")</f>
        <v>13.4</v>
      </c>
      <c r="Y1692" s="66"/>
      <c r="Z1692" s="15">
        <f t="shared" si="321"/>
        <v>13.4</v>
      </c>
      <c r="AA1692" s="3" t="e">
        <f t="shared" si="322"/>
        <v>#DIV/0!</v>
      </c>
      <c r="AB1692" s="344">
        <f>IFERROR(VLOOKUP($G1692,基本資料!$A:$M,11,0),"無")</f>
        <v>-25.7</v>
      </c>
      <c r="AC1692" s="397">
        <f>IFERROR(VLOOKUP($G1692,基本資料!$A:$M,12,0),"無")</f>
        <v>25.99</v>
      </c>
      <c r="AD1692" s="22" t="s">
        <v>491</v>
      </c>
      <c r="AG1692" s="33">
        <f t="shared" si="323"/>
        <v>0</v>
      </c>
      <c r="AH1692" s="43" t="s">
        <v>1947</v>
      </c>
      <c r="AI1692" s="63">
        <f t="shared" si="324"/>
        <v>3.9107382550335572E-3</v>
      </c>
      <c r="AJ1692" s="284">
        <f>RTD("money.excel",,$G1692,"PredictVolume")</f>
        <v>5827</v>
      </c>
      <c r="AK1692" s="399">
        <f>IFERROR(VLOOKUP($G1692,基本資料!$A:$M,13,0),"無")</f>
        <v>13.23</v>
      </c>
    </row>
    <row r="1693" spans="1:37">
      <c r="A1693" s="347">
        <f>IFERROR(VLOOKUP($G1693,基本資料!$A:$J,3,0),"無")</f>
        <v>1386</v>
      </c>
      <c r="B1693" s="79">
        <f>IFERROR(VLOOKUP($G1693,基本資料!$A:$J,4,0),"無")</f>
        <v>34</v>
      </c>
      <c r="C1693" s="79">
        <f>IFERROR(VLOOKUP($G1693,基本資料!$A:$J,5,0),"無")</f>
        <v>34</v>
      </c>
      <c r="D1693" s="79">
        <f>IFERROR(VLOOKUP($G1693,基本資料!$A:$J,6,0),"無")</f>
        <v>-4</v>
      </c>
      <c r="E1693" s="79">
        <f>IFERROR(VLOOKUP($G1693,基本資料!$A:$J,7,0),"無")</f>
        <v>-2</v>
      </c>
      <c r="F1693" s="6">
        <f>IFERROR(VLOOKUP($G1693,基本資料!$A:$J,8,0),"無")</f>
        <v>2.4900000000000002</v>
      </c>
      <c r="G1693" s="79">
        <v>2317</v>
      </c>
      <c r="H1693" s="17" t="s">
        <v>314</v>
      </c>
      <c r="I1693" s="22" t="s">
        <v>4</v>
      </c>
      <c r="J1693" s="8" t="str">
        <f>IFERROR(VLOOKUP($G1693,今日總結!$A:$AJ,35,0),"")</f>
        <v>外投主</v>
      </c>
      <c r="K1693" s="5">
        <f>IFERROR(VLOOKUP($G1693,今日總結!$A:$AJ,36,0),"")</f>
        <v>0</v>
      </c>
      <c r="L1693" s="156">
        <f>IFERROR(VLOOKUP($G1693,今日總結!$A:$AJ,33,0),"")</f>
        <v>3</v>
      </c>
      <c r="M1693" s="340">
        <f>IFERROR(VLOOKUP($G1693,今日總結!$A:$AJ,34,0),"")</f>
        <v>0</v>
      </c>
      <c r="N1693" s="240">
        <f t="shared" si="325"/>
        <v>3</v>
      </c>
      <c r="P1693" s="365">
        <f>IFERROR(VLOOKUP($G1693,融外自投!$A:$J,7,0),"無")</f>
        <v>1172</v>
      </c>
      <c r="Q1693" s="79">
        <f>IFERROR(VLOOKUP($G1693,融外自投!$A:$J,9,0),"無")</f>
        <v>337</v>
      </c>
      <c r="R1693" s="346">
        <f>IFERROR(VLOOKUP($G1693,融外自投!$A:$J,8,0),"無")</f>
        <v>93</v>
      </c>
      <c r="S1693" s="81">
        <f>IFERROR(VLOOKUP($G1693,融外自投!$A:$J,10,0),"無")</f>
        <v>163</v>
      </c>
      <c r="T1693" s="327">
        <f>IFERROR(VLOOKUP($G1693,'321買'!$A:$E,5,0),"'沒有資料'")</f>
        <v>188</v>
      </c>
      <c r="U1693" s="186">
        <f>IFERROR(VLOOKUP($G1693,基本資料!$A:$J,9,0),"無")</f>
        <v>5.2</v>
      </c>
      <c r="V1693" s="310">
        <f t="shared" si="320"/>
        <v>5.0485436893203887E-2</v>
      </c>
      <c r="W1693" s="94">
        <f>IFERROR(VLOOKUP($G1693,基本資料!$A:$J,10,0),"無")</f>
        <v>10.050000000000001</v>
      </c>
      <c r="X1693" s="36">
        <f>RTD("money.excel",,"2317","Price")</f>
        <v>103</v>
      </c>
      <c r="Y1693" s="65"/>
      <c r="Z1693" s="15">
        <f t="shared" si="321"/>
        <v>103</v>
      </c>
      <c r="AA1693" s="3" t="e">
        <f t="shared" si="322"/>
        <v>#DIV/0!</v>
      </c>
      <c r="AB1693" s="344">
        <f>IFERROR(VLOOKUP($G1693,基本資料!$A:$M,11,0),"無")</f>
        <v>-13.33</v>
      </c>
      <c r="AC1693" s="397">
        <f>IFERROR(VLOOKUP($G1693,基本資料!$A:$M,12,0),"無")</f>
        <v>46.27</v>
      </c>
      <c r="AD1693" s="22" t="s">
        <v>4</v>
      </c>
      <c r="AG1693" s="33">
        <f t="shared" si="323"/>
        <v>0</v>
      </c>
      <c r="AH1693" s="43" t="s">
        <v>2562</v>
      </c>
      <c r="AI1693" s="63">
        <f t="shared" si="324"/>
        <v>1.4126262626262627E-3</v>
      </c>
      <c r="AJ1693" s="284">
        <f>RTD("money.excel",,$G1693,"PredictVolume")</f>
        <v>19579</v>
      </c>
      <c r="AK1693" s="399">
        <f>IFERROR(VLOOKUP($G1693,基本資料!$A:$M,13,0),"無")</f>
        <v>1.0900000000000001</v>
      </c>
    </row>
    <row r="1694" spans="1:37">
      <c r="A1694" s="347">
        <f>IFERROR(VLOOKUP($G1694,基本資料!$A:$J,3,0),"無")</f>
        <v>141</v>
      </c>
      <c r="B1694" s="79">
        <f>IFERROR(VLOOKUP($G1694,基本資料!$A:$J,4,0),"無")</f>
        <v>-5</v>
      </c>
      <c r="C1694" s="79">
        <f>IFERROR(VLOOKUP($G1694,基本資料!$A:$J,5,0),"無")</f>
        <v>37</v>
      </c>
      <c r="D1694" s="79">
        <f>IFERROR(VLOOKUP($G1694,基本資料!$A:$J,6,0),"無")</f>
        <v>-30</v>
      </c>
      <c r="E1694" s="79">
        <f>IFERROR(VLOOKUP($G1694,基本資料!$A:$J,7,0),"無")</f>
        <v>-11</v>
      </c>
      <c r="F1694" s="6">
        <f>IFERROR(VLOOKUP($G1694,基本資料!$A:$J,8,0),"無")</f>
        <v>3.45</v>
      </c>
      <c r="G1694" s="79">
        <v>2354</v>
      </c>
      <c r="H1694" s="17" t="s">
        <v>314</v>
      </c>
      <c r="I1694" s="22" t="s">
        <v>4673</v>
      </c>
      <c r="J1694" s="8" t="str">
        <f>IFERROR(VLOOKUP($G1694,今日總結!$A:$AJ,35,0),"")</f>
        <v>外投主</v>
      </c>
      <c r="K1694" s="5" t="str">
        <f>IFERROR(VLOOKUP($G1694,今日總結!$A:$AJ,36,0),"")</f>
        <v>自</v>
      </c>
      <c r="L1694" s="156">
        <f>IFERROR(VLOOKUP($G1694,今日總結!$A:$AJ,33,0),"")</f>
        <v>3</v>
      </c>
      <c r="M1694" s="340">
        <f>IFERROR(VLOOKUP($G1694,今日總結!$A:$AJ,34,0),"")</f>
        <v>1</v>
      </c>
      <c r="N1694" s="240">
        <f t="shared" si="325"/>
        <v>2</v>
      </c>
      <c r="P1694" s="365">
        <f>IFERROR(VLOOKUP($G1694,融外自投!$A:$J,7,0),"無")</f>
        <v>934</v>
      </c>
      <c r="Q1694" s="79">
        <f>IFERROR(VLOOKUP($G1694,融外自投!$A:$J,9,0),"無")</f>
        <v>395</v>
      </c>
      <c r="R1694" s="346">
        <f>IFERROR(VLOOKUP($G1694,融外自投!$A:$J,8,0),"無")</f>
        <v>273</v>
      </c>
      <c r="S1694" s="81">
        <f>IFERROR(VLOOKUP($G1694,融外自投!$A:$J,10,0),"無")</f>
        <v>118</v>
      </c>
      <c r="T1694" s="327">
        <f>IFERROR(VLOOKUP($G1694,'321買'!$A:$E,5,0),"'沒有資料'")</f>
        <v>255</v>
      </c>
      <c r="U1694" s="186">
        <f>IFERROR(VLOOKUP($G1694,基本資料!$A:$J,9,0),"無")</f>
        <v>1.7</v>
      </c>
      <c r="V1694" s="310">
        <f t="shared" si="320"/>
        <v>2.7732463295269169E-2</v>
      </c>
      <c r="W1694" s="94">
        <f>IFERROR(VLOOKUP($G1694,基本資料!$A:$J,10,0),"無")</f>
        <v>3.17</v>
      </c>
      <c r="X1694" s="36">
        <f>RTD("money.excel",,"2354","Price")</f>
        <v>61.3</v>
      </c>
      <c r="Y1694" s="66"/>
      <c r="Z1694" s="15">
        <f t="shared" si="321"/>
        <v>61.3</v>
      </c>
      <c r="AA1694" s="3" t="e">
        <f t="shared" si="322"/>
        <v>#DIV/0!</v>
      </c>
      <c r="AB1694" s="344">
        <f>IFERROR(VLOOKUP($G1694,基本資料!$A:$M,11,0),"無")</f>
        <v>-15.74</v>
      </c>
      <c r="AC1694" s="397">
        <f>IFERROR(VLOOKUP($G1694,基本資料!$A:$M,12,0),"無")</f>
        <v>37.43</v>
      </c>
      <c r="AD1694" s="22" t="s">
        <v>4673</v>
      </c>
      <c r="AG1694" s="33">
        <f t="shared" si="323"/>
        <v>0</v>
      </c>
      <c r="AH1694" s="117" t="s">
        <v>2301</v>
      </c>
      <c r="AI1694" s="63">
        <f t="shared" si="324"/>
        <v>2.370921985815603E-3</v>
      </c>
      <c r="AJ1694" s="284">
        <f>RTD("money.excel",,$G1694,"PredictVolume")</f>
        <v>3343</v>
      </c>
      <c r="AK1694" s="399">
        <f>IFERROR(VLOOKUP($G1694,基本資料!$A:$M,13,0),"無")</f>
        <v>2.71</v>
      </c>
    </row>
    <row r="1695" spans="1:37">
      <c r="A1695" s="347">
        <f>IFERROR(VLOOKUP($G1695,基本資料!$A:$J,3,0),"無")</f>
        <v>17.14</v>
      </c>
      <c r="B1695" s="79">
        <f>IFERROR(VLOOKUP($G1695,基本資料!$A:$J,4,0),"無")</f>
        <v>611</v>
      </c>
      <c r="C1695" s="79">
        <f>IFERROR(VLOOKUP($G1695,基本資料!$A:$J,5,0),"無")</f>
        <v>5</v>
      </c>
      <c r="D1695" s="79">
        <f>IFERROR(VLOOKUP($G1695,基本資料!$A:$J,6,0),"無")</f>
        <v>30</v>
      </c>
      <c r="E1695" s="79">
        <f>IFERROR(VLOOKUP($G1695,基本資料!$A:$J,7,0),"無")</f>
        <v>64</v>
      </c>
      <c r="F1695" s="6">
        <f>IFERROR(VLOOKUP($G1695,基本資料!$A:$J,8,0),"無")</f>
        <v>1.26</v>
      </c>
      <c r="G1695" s="79">
        <v>2359</v>
      </c>
      <c r="H1695" s="17" t="s">
        <v>314</v>
      </c>
      <c r="I1695" s="22" t="s">
        <v>492</v>
      </c>
      <c r="J1695" s="8">
        <f>IFERROR(VLOOKUP($G1695,今日總結!$A:$AJ,35,0),"")</f>
        <v>2</v>
      </c>
      <c r="K1695" s="5">
        <f>IFERROR(VLOOKUP($G1695,今日總結!$A:$AJ,36,0),"")</f>
        <v>0</v>
      </c>
      <c r="L1695" s="156">
        <f>IFERROR(VLOOKUP($G1695,今日總結!$A:$AJ,33,0),"")</f>
        <v>1</v>
      </c>
      <c r="M1695" s="340">
        <f>IFERROR(VLOOKUP($G1695,今日總結!$A:$AJ,34,0),"")</f>
        <v>0</v>
      </c>
      <c r="N1695" s="240">
        <f t="shared" si="325"/>
        <v>1</v>
      </c>
      <c r="P1695" s="365">
        <f>IFERROR(VLOOKUP($G1695,融外自投!$A:$J,7,0),"無")</f>
        <v>168</v>
      </c>
      <c r="Q1695" s="79">
        <f>IFERROR(VLOOKUP($G1695,融外自投!$A:$J,9,0),"無")</f>
        <v>379</v>
      </c>
      <c r="R1695" s="346">
        <f>IFERROR(VLOOKUP($G1695,融外自投!$A:$J,8,0),"無")</f>
        <v>787</v>
      </c>
      <c r="S1695" s="81">
        <f>IFERROR(VLOOKUP($G1695,融外自投!$A:$J,10,0),"無")</f>
        <v>383</v>
      </c>
      <c r="T1695" s="327">
        <f>IFERROR(VLOOKUP($G1695,'321買'!$A:$E,5,0),"'沒有資料'")</f>
        <v>480</v>
      </c>
      <c r="U1695" s="186">
        <f>IFERROR(VLOOKUP($G1695,基本資料!$A:$J,9,0),"無")</f>
        <v>0.9</v>
      </c>
      <c r="V1695" s="310">
        <f t="shared" si="320"/>
        <v>3.3210332103321034E-2</v>
      </c>
      <c r="W1695" s="94">
        <f>IFERROR(VLOOKUP($G1695,基本資料!$A:$J,10,0),"無")</f>
        <v>1.1599999999999999</v>
      </c>
      <c r="X1695" s="36">
        <f>RTD("money.excel",,"2359","Price")</f>
        <v>27.1</v>
      </c>
      <c r="Y1695" s="66"/>
      <c r="Z1695" s="15">
        <f t="shared" si="321"/>
        <v>27.1</v>
      </c>
      <c r="AA1695" s="3" t="e">
        <f t="shared" si="322"/>
        <v>#DIV/0!</v>
      </c>
      <c r="AB1695" s="344">
        <f>IFERROR(VLOOKUP($G1695,基本資料!$A:$M,11,0),"無")</f>
        <v>-27.13</v>
      </c>
      <c r="AC1695" s="397">
        <f>IFERROR(VLOOKUP($G1695,基本資料!$A:$M,12,0),"無")</f>
        <v>28.91</v>
      </c>
      <c r="AD1695" s="22" t="s">
        <v>492</v>
      </c>
      <c r="AG1695" s="33">
        <f t="shared" si="323"/>
        <v>0</v>
      </c>
      <c r="AH1695" s="43" t="s">
        <v>1043</v>
      </c>
      <c r="AI1695" s="63">
        <f t="shared" si="324"/>
        <v>0.28256709451575263</v>
      </c>
      <c r="AJ1695" s="284">
        <f>RTD("money.excel",,$G1695,"PredictVolume")</f>
        <v>48432</v>
      </c>
      <c r="AK1695" s="399">
        <f>IFERROR(VLOOKUP($G1695,基本資料!$A:$M,13,0),"無")</f>
        <v>34.770000000000003</v>
      </c>
    </row>
    <row r="1696" spans="1:37">
      <c r="A1696" s="347">
        <f>IFERROR(VLOOKUP($G1696,基本資料!$A:$J,3,0),"無")</f>
        <v>42.24</v>
      </c>
      <c r="B1696" s="79">
        <f>IFERROR(VLOOKUP($G1696,基本資料!$A:$J,4,0),"無")</f>
        <v>80</v>
      </c>
      <c r="C1696" s="79">
        <f>IFERROR(VLOOKUP($G1696,基本資料!$A:$J,5,0),"無")</f>
        <v>9</v>
      </c>
      <c r="D1696" s="79">
        <f>IFERROR(VLOOKUP($G1696,基本資料!$A:$J,6,0),"無")</f>
        <v>-29</v>
      </c>
      <c r="E1696" s="79">
        <f>IFERROR(VLOOKUP($G1696,基本資料!$A:$J,7,0),"無")</f>
        <v>-9</v>
      </c>
      <c r="F1696" s="6">
        <f>IFERROR(VLOOKUP($G1696,基本資料!$A:$J,8,0),"無")</f>
        <v>17.489999999999998</v>
      </c>
      <c r="G1696" s="79">
        <v>2360</v>
      </c>
      <c r="H1696" s="8" t="s">
        <v>314</v>
      </c>
      <c r="I1696" s="22" t="s">
        <v>44</v>
      </c>
      <c r="J1696" s="8" t="str">
        <f>IFERROR(VLOOKUP($G1696,今日總結!$A:$AJ,35,0),"")</f>
        <v/>
      </c>
      <c r="K1696" s="5" t="str">
        <f>IFERROR(VLOOKUP($G1696,今日總結!$A:$AJ,36,0),"")</f>
        <v/>
      </c>
      <c r="L1696" s="156" t="str">
        <f>IFERROR(VLOOKUP($G1696,今日總結!$A:$AJ,33,0),"")</f>
        <v/>
      </c>
      <c r="M1696" s="340" t="str">
        <f>IFERROR(VLOOKUP($G1696,今日總結!$A:$AJ,34,0),"")</f>
        <v/>
      </c>
      <c r="N1696" s="240" t="str">
        <f t="shared" si="325"/>
        <v/>
      </c>
      <c r="P1696" s="365">
        <f>IFERROR(VLOOKUP($G1696,融外自投!$A:$J,7,0),"無")</f>
        <v>1316</v>
      </c>
      <c r="Q1696" s="79">
        <f>IFERROR(VLOOKUP($G1696,融外自投!$A:$J,9,0),"無")</f>
        <v>734</v>
      </c>
      <c r="R1696" s="346">
        <f>IFERROR(VLOOKUP($G1696,融外自投!$A:$J,8,0),"無")</f>
        <v>29</v>
      </c>
      <c r="S1696" s="81">
        <f>IFERROR(VLOOKUP($G1696,融外自投!$A:$J,10,0),"無")</f>
        <v>237</v>
      </c>
      <c r="T1696" s="327">
        <f>IFERROR(VLOOKUP($G1696,'321買'!$A:$E,5,0),"'沒有資料'")</f>
        <v>248</v>
      </c>
      <c r="U1696" s="186">
        <f>IFERROR(VLOOKUP($G1696,基本資料!$A:$J,9,0),"無")</f>
        <v>7</v>
      </c>
      <c r="V1696" s="310">
        <f t="shared" si="320"/>
        <v>4.6052631578947366E-2</v>
      </c>
      <c r="W1696" s="94">
        <f>IFERROR(VLOOKUP($G1696,基本資料!$A:$J,10,0),"無")</f>
        <v>9.9600000000000009</v>
      </c>
      <c r="X1696" s="36">
        <f>RTD("money.excel",,"2360","Price")</f>
        <v>152</v>
      </c>
      <c r="Y1696" s="66"/>
      <c r="Z1696" s="15">
        <f t="shared" si="321"/>
        <v>152</v>
      </c>
      <c r="AA1696" s="3" t="e">
        <f t="shared" si="322"/>
        <v>#DIV/0!</v>
      </c>
      <c r="AB1696" s="344">
        <f>IFERROR(VLOOKUP($G1696,基本資料!$A:$M,11,0),"無")</f>
        <v>-31.93</v>
      </c>
      <c r="AC1696" s="397">
        <f>IFERROR(VLOOKUP($G1696,基本資料!$A:$M,12,0),"無")</f>
        <v>24.19</v>
      </c>
      <c r="AD1696" s="22" t="s">
        <v>44</v>
      </c>
      <c r="AG1696" s="33">
        <f t="shared" si="323"/>
        <v>0</v>
      </c>
      <c r="AH1696" s="117" t="s">
        <v>3063</v>
      </c>
      <c r="AI1696" s="63">
        <f t="shared" si="324"/>
        <v>3.5085227272727273E-3</v>
      </c>
      <c r="AJ1696" s="284">
        <f>RTD("money.excel",,$G1696,"PredictVolume")</f>
        <v>1482</v>
      </c>
      <c r="AK1696" s="399">
        <f>IFERROR(VLOOKUP($G1696,基本資料!$A:$M,13,0),"無")</f>
        <v>1.81</v>
      </c>
    </row>
    <row r="1697" spans="1:37">
      <c r="A1697" s="347">
        <f>IFERROR(VLOOKUP($G1697,基本資料!$A:$J,3,0),"無")</f>
        <v>23.62</v>
      </c>
      <c r="B1697" s="79">
        <f>IFERROR(VLOOKUP($G1697,基本資料!$A:$J,4,0),"無")</f>
        <v>-2</v>
      </c>
      <c r="C1697" s="79">
        <f>IFERROR(VLOOKUP($G1697,基本資料!$A:$J,5,0),"無")</f>
        <v>-3</v>
      </c>
      <c r="D1697" s="79">
        <f>IFERROR(VLOOKUP($G1697,基本資料!$A:$J,6,0),"無")</f>
        <v>11</v>
      </c>
      <c r="E1697" s="79">
        <f>IFERROR(VLOOKUP($G1697,基本資料!$A:$J,7,0),"無")</f>
        <v>-13</v>
      </c>
      <c r="F1697" s="6">
        <f>IFERROR(VLOOKUP($G1697,基本資料!$A:$J,8,0),"無")</f>
        <v>10.82</v>
      </c>
      <c r="G1697" s="79">
        <v>2373</v>
      </c>
      <c r="H1697" s="8" t="s">
        <v>314</v>
      </c>
      <c r="I1697" s="23" t="s">
        <v>248</v>
      </c>
      <c r="J1697" s="8" t="str">
        <f>IFERROR(VLOOKUP($G1697,今日總結!$A:$AJ,35,0),"")</f>
        <v/>
      </c>
      <c r="K1697" s="5" t="str">
        <f>IFERROR(VLOOKUP($G1697,今日總結!$A:$AJ,36,0),"")</f>
        <v/>
      </c>
      <c r="L1697" s="156" t="str">
        <f>IFERROR(VLOOKUP($G1697,今日總結!$A:$AJ,33,0),"")</f>
        <v/>
      </c>
      <c r="M1697" s="340" t="str">
        <f>IFERROR(VLOOKUP($G1697,今日總結!$A:$AJ,34,0),"")</f>
        <v/>
      </c>
      <c r="N1697" s="240" t="str">
        <f t="shared" si="325"/>
        <v/>
      </c>
      <c r="P1697" s="365">
        <f>IFERROR(VLOOKUP($G1697,融外自投!$A:$J,7,0),"無")</f>
        <v>1383</v>
      </c>
      <c r="Q1697" s="79">
        <f>IFERROR(VLOOKUP($G1697,融外自投!$A:$J,9,0),"無")</f>
        <v>896</v>
      </c>
      <c r="R1697" s="346">
        <f>IFERROR(VLOOKUP($G1697,融外自投!$A:$J,8,0),"無")</f>
        <v>1062</v>
      </c>
      <c r="S1697" s="81" t="str">
        <f>IFERROR(VLOOKUP($G1697,融外自投!$A:$J,10,0),"無")</f>
        <v>無</v>
      </c>
      <c r="T1697" s="327">
        <f>IFERROR(VLOOKUP($G1697,'321買'!$A:$E,5,0),"'沒有資料'")</f>
        <v>1066</v>
      </c>
      <c r="U1697" s="186">
        <f>IFERROR(VLOOKUP($G1697,基本資料!$A:$J,9,0),"無")</f>
        <v>6</v>
      </c>
      <c r="V1697" s="310">
        <f t="shared" si="320"/>
        <v>6.8571428571428575E-2</v>
      </c>
      <c r="W1697" s="94">
        <f>IFERROR(VLOOKUP($G1697,基本資料!$A:$J,10,0),"無")</f>
        <v>6.19</v>
      </c>
      <c r="X1697" s="36">
        <f>RTD("money.excel",,"2373","Price")</f>
        <v>87.5</v>
      </c>
      <c r="Y1697" s="66"/>
      <c r="Z1697" s="15">
        <f t="shared" si="321"/>
        <v>87.5</v>
      </c>
      <c r="AA1697" s="3" t="e">
        <f t="shared" si="322"/>
        <v>#DIV/0!</v>
      </c>
      <c r="AB1697" s="344">
        <f>IFERROR(VLOOKUP($G1697,基本資料!$A:$M,11,0),"無")</f>
        <v>-5.53</v>
      </c>
      <c r="AC1697" s="397">
        <f>IFERROR(VLOOKUP($G1697,基本資料!$A:$M,12,0),"無")</f>
        <v>26.26</v>
      </c>
      <c r="AD1697" s="23" t="s">
        <v>248</v>
      </c>
      <c r="AG1697" s="33">
        <f t="shared" si="323"/>
        <v>0</v>
      </c>
      <c r="AH1697" s="119" t="s">
        <v>2563</v>
      </c>
      <c r="AI1697" s="63">
        <f t="shared" si="324"/>
        <v>4.699407281964437E-4</v>
      </c>
      <c r="AJ1697" s="284">
        <f>RTD("money.excel",,$G1697,"PredictVolume")</f>
        <v>111</v>
      </c>
      <c r="AK1697" s="399">
        <f>IFERROR(VLOOKUP($G1697,基本資料!$A:$M,13,0),"無")</f>
        <v>0.12</v>
      </c>
    </row>
    <row r="1698" spans="1:37">
      <c r="A1698" s="347">
        <f>IFERROR(VLOOKUP($G1698,基本資料!$A:$J,3,0),"無")</f>
        <v>21.4</v>
      </c>
      <c r="B1698" s="79">
        <f>IFERROR(VLOOKUP($G1698,基本資料!$A:$J,4,0),"無")</f>
        <v>630</v>
      </c>
      <c r="C1698" s="79">
        <f>IFERROR(VLOOKUP($G1698,基本資料!$A:$J,5,0),"無")</f>
        <v>-39</v>
      </c>
      <c r="D1698" s="79">
        <f>IFERROR(VLOOKUP($G1698,基本資料!$A:$J,6,0),"無")</f>
        <v>-10</v>
      </c>
      <c r="E1698" s="79">
        <f>IFERROR(VLOOKUP($G1698,基本資料!$A:$J,7,0),"無")</f>
        <v>-29</v>
      </c>
      <c r="F1698" s="6">
        <f>IFERROR(VLOOKUP($G1698,基本資料!$A:$J,8,0),"無")</f>
        <v>-28.92</v>
      </c>
      <c r="G1698" s="79">
        <v>2390</v>
      </c>
      <c r="H1698" s="8" t="s">
        <v>314</v>
      </c>
      <c r="I1698" s="22" t="s">
        <v>493</v>
      </c>
      <c r="J1698" s="8">
        <f>IFERROR(VLOOKUP($G1698,今日總結!$A:$AJ,35,0),"")</f>
        <v>0</v>
      </c>
      <c r="K1698" s="5" t="str">
        <f>IFERROR(VLOOKUP($G1698,今日總結!$A:$AJ,36,0),"")</f>
        <v>融外借</v>
      </c>
      <c r="L1698" s="156">
        <f>IFERROR(VLOOKUP($G1698,今日總結!$A:$AJ,33,0),"")</f>
        <v>0</v>
      </c>
      <c r="M1698" s="340">
        <f>IFERROR(VLOOKUP($G1698,今日總結!$A:$AJ,34,0),"")</f>
        <v>3</v>
      </c>
      <c r="N1698" s="240">
        <f t="shared" si="325"/>
        <v>-3</v>
      </c>
      <c r="P1698" s="365">
        <f>IFERROR(VLOOKUP($G1698,融外自投!$A:$J,7,0),"無")</f>
        <v>116</v>
      </c>
      <c r="Q1698" s="79">
        <f>IFERROR(VLOOKUP($G1698,融外自投!$A:$J,9,0),"無")</f>
        <v>667</v>
      </c>
      <c r="R1698" s="346">
        <f>IFERROR(VLOOKUP($G1698,融外自投!$A:$J,8,0),"無")</f>
        <v>1180</v>
      </c>
      <c r="S1698" s="81" t="str">
        <f>IFERROR(VLOOKUP($G1698,融外自投!$A:$J,10,0),"無")</f>
        <v>無</v>
      </c>
      <c r="T1698" s="327">
        <f>IFERROR(VLOOKUP($G1698,'321買'!$A:$E,5,0),"'沒有資料'")</f>
        <v>379</v>
      </c>
      <c r="U1698" s="186">
        <f>IFERROR(VLOOKUP($G1698,基本資料!$A:$J,9,0),"無")</f>
        <v>1</v>
      </c>
      <c r="V1698" s="310">
        <f t="shared" si="320"/>
        <v>5.2493438320209973E-2</v>
      </c>
      <c r="W1698" s="94">
        <f>IFERROR(VLOOKUP($G1698,基本資料!$A:$J,10,0),"無")</f>
        <v>6.67</v>
      </c>
      <c r="X1698" s="36">
        <f>RTD("money.excel",,"2390","Price")</f>
        <v>19.05</v>
      </c>
      <c r="Y1698" s="66"/>
      <c r="Z1698" s="15">
        <f t="shared" si="321"/>
        <v>19.05</v>
      </c>
      <c r="AA1698" s="3" t="e">
        <f t="shared" si="322"/>
        <v>#DIV/0!</v>
      </c>
      <c r="AB1698" s="344">
        <f>IFERROR(VLOOKUP($G1698,基本資料!$A:$M,11,0),"無")</f>
        <v>-40.68</v>
      </c>
      <c r="AC1698" s="397">
        <f>IFERROR(VLOOKUP($G1698,基本資料!$A:$M,12,0),"無")</f>
        <v>39.82</v>
      </c>
      <c r="AD1698" s="22" t="s">
        <v>493</v>
      </c>
      <c r="AG1698" s="33">
        <f t="shared" si="323"/>
        <v>0</v>
      </c>
      <c r="AH1698" s="43" t="s">
        <v>2564</v>
      </c>
      <c r="AI1698" s="63">
        <f t="shared" si="324"/>
        <v>1.32803738317757E-2</v>
      </c>
      <c r="AJ1698" s="284">
        <f>RTD("money.excel",,$G1698,"PredictVolume")</f>
        <v>2842</v>
      </c>
      <c r="AK1698" s="399">
        <f>IFERROR(VLOOKUP($G1698,基本資料!$A:$M,13,0),"無")</f>
        <v>83.8</v>
      </c>
    </row>
    <row r="1699" spans="1:37">
      <c r="A1699" s="347">
        <f>IFERROR(VLOOKUP($G1699,基本資料!$A:$J,3,0),"無")</f>
        <v>19.05</v>
      </c>
      <c r="B1699" s="79">
        <f>IFERROR(VLOOKUP($G1699,基本資料!$A:$J,4,0),"無")</f>
        <v>-31</v>
      </c>
      <c r="C1699" s="79">
        <f>IFERROR(VLOOKUP($G1699,基本資料!$A:$J,5,0),"無")</f>
        <v>-32</v>
      </c>
      <c r="D1699" s="79">
        <f>IFERROR(VLOOKUP($G1699,基本資料!$A:$J,6,0),"無")</f>
        <v>10</v>
      </c>
      <c r="E1699" s="79">
        <f>IFERROR(VLOOKUP($G1699,基本資料!$A:$J,7,0),"無")</f>
        <v>-20</v>
      </c>
      <c r="F1699" s="6">
        <f>IFERROR(VLOOKUP($G1699,基本資料!$A:$J,8,0),"無")</f>
        <v>12.26</v>
      </c>
      <c r="G1699" s="79">
        <v>2404</v>
      </c>
      <c r="H1699" s="8" t="s">
        <v>314</v>
      </c>
      <c r="I1699" s="22" t="s">
        <v>494</v>
      </c>
      <c r="J1699" s="8" t="str">
        <f>IFERROR(VLOOKUP($G1699,今日總結!$A:$AJ,35,0),"")</f>
        <v/>
      </c>
      <c r="K1699" s="5" t="str">
        <f>IFERROR(VLOOKUP($G1699,今日總結!$A:$AJ,36,0),"")</f>
        <v/>
      </c>
      <c r="L1699" s="156" t="str">
        <f>IFERROR(VLOOKUP($G1699,今日總結!$A:$AJ,33,0),"")</f>
        <v/>
      </c>
      <c r="M1699" s="340" t="str">
        <f>IFERROR(VLOOKUP($G1699,今日總結!$A:$AJ,34,0),"")</f>
        <v/>
      </c>
      <c r="N1699" s="240" t="str">
        <f t="shared" si="325"/>
        <v/>
      </c>
      <c r="P1699" s="365">
        <f>IFERROR(VLOOKUP($G1699,融外自投!$A:$J,7,0),"無")</f>
        <v>938</v>
      </c>
      <c r="Q1699" s="79">
        <f>IFERROR(VLOOKUP($G1699,融外自投!$A:$J,9,0),"無")</f>
        <v>20</v>
      </c>
      <c r="R1699" s="346">
        <f>IFERROR(VLOOKUP($G1699,融外自投!$A:$J,8,0),"無")</f>
        <v>245</v>
      </c>
      <c r="S1699" s="81">
        <f>IFERROR(VLOOKUP($G1699,融外自投!$A:$J,10,0),"無")</f>
        <v>135</v>
      </c>
      <c r="T1699" s="327">
        <f>IFERROR(VLOOKUP($G1699,'321買'!$A:$E,5,0),"'沒有資料'")</f>
        <v>79</v>
      </c>
      <c r="U1699" s="186">
        <f>IFERROR(VLOOKUP($G1699,基本資料!$A:$J,9,0),"無")</f>
        <v>13</v>
      </c>
      <c r="V1699" s="310">
        <f t="shared" si="320"/>
        <v>7.407407407407407E-2</v>
      </c>
      <c r="W1699" s="94">
        <f>IFERROR(VLOOKUP($G1699,基本資料!$A:$J,10,0),"無")</f>
        <v>14.53</v>
      </c>
      <c r="X1699" s="36">
        <f>RTD("money.excel",,"2404","Price")</f>
        <v>175.5</v>
      </c>
      <c r="Y1699" s="66"/>
      <c r="Z1699" s="15">
        <f t="shared" si="321"/>
        <v>175.5</v>
      </c>
      <c r="AA1699" s="3" t="e">
        <f t="shared" si="322"/>
        <v>#DIV/0!</v>
      </c>
      <c r="AB1699" s="344">
        <f>IFERROR(VLOOKUP($G1699,基本資料!$A:$M,11,0),"無")</f>
        <v>-27.31</v>
      </c>
      <c r="AC1699" s="397">
        <f>IFERROR(VLOOKUP($G1699,基本資料!$A:$M,12,0),"無")</f>
        <v>29.47</v>
      </c>
      <c r="AD1699" s="22" t="s">
        <v>494</v>
      </c>
      <c r="AG1699" s="33">
        <f t="shared" si="323"/>
        <v>0</v>
      </c>
      <c r="AH1699" s="43" t="s">
        <v>1445</v>
      </c>
      <c r="AI1699" s="63">
        <f t="shared" si="324"/>
        <v>1.7060367454068241E-3</v>
      </c>
      <c r="AJ1699" s="284">
        <f>RTD("money.excel",,$G1699,"PredictVolume")</f>
        <v>325</v>
      </c>
      <c r="AK1699" s="399">
        <f>IFERROR(VLOOKUP($G1699,基本資料!$A:$M,13,0),"無")</f>
        <v>2.31</v>
      </c>
    </row>
    <row r="1700" spans="1:37">
      <c r="A1700" s="347">
        <f>IFERROR(VLOOKUP($G1700,基本資料!$A:$J,3,0),"無")</f>
        <v>14.5</v>
      </c>
      <c r="B1700" s="79">
        <f>IFERROR(VLOOKUP($G1700,基本資料!$A:$J,4,0),"無")</f>
        <v>45</v>
      </c>
      <c r="C1700" s="79">
        <f>IFERROR(VLOOKUP($G1700,基本資料!$A:$J,5,0),"無")</f>
        <v>52</v>
      </c>
      <c r="D1700" s="79">
        <f>IFERROR(VLOOKUP($G1700,基本資料!$A:$J,6,0),"無")</f>
        <v>-16</v>
      </c>
      <c r="E1700" s="79">
        <f>IFERROR(VLOOKUP($G1700,基本資料!$A:$J,7,0),"無")</f>
        <v>-1</v>
      </c>
      <c r="F1700" s="6">
        <f>IFERROR(VLOOKUP($G1700,基本資料!$A:$J,8,0),"無")</f>
        <v>14.56</v>
      </c>
      <c r="G1700" s="79">
        <v>2423</v>
      </c>
      <c r="H1700" s="8" t="s">
        <v>314</v>
      </c>
      <c r="I1700" s="22" t="s">
        <v>495</v>
      </c>
      <c r="J1700" s="8" t="str">
        <f>IFERROR(VLOOKUP($G1700,今日總結!$A:$AJ,35,0),"")</f>
        <v/>
      </c>
      <c r="K1700" s="5" t="str">
        <f>IFERROR(VLOOKUP($G1700,今日總結!$A:$AJ,36,0),"")</f>
        <v/>
      </c>
      <c r="L1700" s="156" t="str">
        <f>IFERROR(VLOOKUP($G1700,今日總結!$A:$AJ,33,0),"")</f>
        <v/>
      </c>
      <c r="M1700" s="340" t="str">
        <f>IFERROR(VLOOKUP($G1700,今日總結!$A:$AJ,34,0),"")</f>
        <v/>
      </c>
      <c r="N1700" s="240" t="str">
        <f t="shared" si="325"/>
        <v/>
      </c>
      <c r="P1700" s="365">
        <f>IFERROR(VLOOKUP($G1700,融外自投!$A:$J,7,0),"無")</f>
        <v>1201</v>
      </c>
      <c r="Q1700" s="79">
        <f>IFERROR(VLOOKUP($G1700,融外自投!$A:$J,9,0),"無")</f>
        <v>474</v>
      </c>
      <c r="R1700" s="346">
        <f>IFERROR(VLOOKUP($G1700,融外自投!$A:$J,8,0),"無")</f>
        <v>864</v>
      </c>
      <c r="S1700" s="81" t="str">
        <f>IFERROR(VLOOKUP($G1700,融外自投!$A:$J,10,0),"無")</f>
        <v>無</v>
      </c>
      <c r="T1700" s="327">
        <f>IFERROR(VLOOKUP($G1700,'321買'!$A:$E,5,0),"'沒有資料'")</f>
        <v>894</v>
      </c>
      <c r="U1700" s="186">
        <f>IFERROR(VLOOKUP($G1700,基本資料!$A:$J,9,0),"無")</f>
        <v>1.5</v>
      </c>
      <c r="V1700" s="310">
        <f t="shared" si="320"/>
        <v>5.3763440860215055E-2</v>
      </c>
      <c r="W1700" s="94">
        <f>IFERROR(VLOOKUP($G1700,基本資料!$A:$J,10,0),"無")</f>
        <v>2</v>
      </c>
      <c r="X1700" s="36">
        <f>RTD("money.excel",,"2423","Price")</f>
        <v>27.9</v>
      </c>
      <c r="Y1700" s="66"/>
      <c r="Z1700" s="15">
        <f t="shared" si="321"/>
        <v>27.9</v>
      </c>
      <c r="AA1700" s="3" t="e">
        <f t="shared" si="322"/>
        <v>#DIV/0!</v>
      </c>
      <c r="AB1700" s="344">
        <f>IFERROR(VLOOKUP($G1700,基本資料!$A:$M,11,0),"無")</f>
        <v>-15.37</v>
      </c>
      <c r="AC1700" s="397">
        <f>IFERROR(VLOOKUP($G1700,基本資料!$A:$M,12,0),"無")</f>
        <v>58.34</v>
      </c>
      <c r="AD1700" s="22" t="s">
        <v>495</v>
      </c>
      <c r="AG1700" s="33">
        <f t="shared" si="323"/>
        <v>0</v>
      </c>
      <c r="AH1700" s="43" t="s">
        <v>2565</v>
      </c>
      <c r="AI1700" s="63">
        <f t="shared" si="324"/>
        <v>2.5655172413793104E-3</v>
      </c>
      <c r="AJ1700" s="284">
        <f>RTD("money.excel",,$G1700,"PredictVolume")</f>
        <v>372</v>
      </c>
      <c r="AK1700" s="399">
        <f>IFERROR(VLOOKUP($G1700,基本資料!$A:$M,13,0),"無")</f>
        <v>5.0999999999999996</v>
      </c>
    </row>
    <row r="1701" spans="1:37">
      <c r="A1701" s="347">
        <f>IFERROR(VLOOKUP($G1701,基本資料!$A:$J,3,0),"無")</f>
        <v>14.44</v>
      </c>
      <c r="B1701" s="79">
        <f>IFERROR(VLOOKUP($G1701,基本資料!$A:$J,4,0),"無")</f>
        <v>-4</v>
      </c>
      <c r="C1701" s="79">
        <f>IFERROR(VLOOKUP($G1701,基本資料!$A:$J,5,0),"無")</f>
        <v>-11</v>
      </c>
      <c r="D1701" s="79">
        <f>IFERROR(VLOOKUP($G1701,基本資料!$A:$J,6,0),"無")</f>
        <v>4</v>
      </c>
      <c r="E1701" s="79">
        <f>IFERROR(VLOOKUP($G1701,基本資料!$A:$J,7,0),"無")</f>
        <v>-17</v>
      </c>
      <c r="F1701" s="6">
        <f>IFERROR(VLOOKUP($G1701,基本資料!$A:$J,8,0),"無")</f>
        <v>11.55</v>
      </c>
      <c r="G1701" s="79">
        <v>2433</v>
      </c>
      <c r="H1701" s="8" t="s">
        <v>314</v>
      </c>
      <c r="I1701" s="22" t="s">
        <v>496</v>
      </c>
      <c r="J1701" s="8" t="str">
        <f>IFERROR(VLOOKUP($G1701,今日總結!$A:$AJ,35,0),"")</f>
        <v/>
      </c>
      <c r="K1701" s="5" t="str">
        <f>IFERROR(VLOOKUP($G1701,今日總結!$A:$AJ,36,0),"")</f>
        <v/>
      </c>
      <c r="L1701" s="156" t="str">
        <f>IFERROR(VLOOKUP($G1701,今日總結!$A:$AJ,33,0),"")</f>
        <v/>
      </c>
      <c r="M1701" s="340" t="str">
        <f>IFERROR(VLOOKUP($G1701,今日總結!$A:$AJ,34,0),"")</f>
        <v/>
      </c>
      <c r="N1701" s="240" t="str">
        <f t="shared" si="325"/>
        <v/>
      </c>
      <c r="P1701" s="365">
        <f>IFERROR(VLOOKUP($G1701,融外自投!$A:$J,7,0),"無")</f>
        <v>1401</v>
      </c>
      <c r="Q1701" s="79">
        <f>IFERROR(VLOOKUP($G1701,融外自投!$A:$J,9,0),"無")</f>
        <v>896</v>
      </c>
      <c r="R1701" s="346">
        <f>IFERROR(VLOOKUP($G1701,融外自投!$A:$J,8,0),"無")</f>
        <v>1246</v>
      </c>
      <c r="S1701" s="81" t="str">
        <f>IFERROR(VLOOKUP($G1701,融外自投!$A:$J,10,0),"無")</f>
        <v>無</v>
      </c>
      <c r="T1701" s="327">
        <f>IFERROR(VLOOKUP($G1701,'321買'!$A:$E,5,0),"'沒有資料'")</f>
        <v>1338</v>
      </c>
      <c r="U1701" s="186">
        <f>IFERROR(VLOOKUP($G1701,基本資料!$A:$J,9,0),"無")</f>
        <v>3.5</v>
      </c>
      <c r="V1701" s="310">
        <f t="shared" si="320"/>
        <v>6.8627450980392163E-2</v>
      </c>
      <c r="W1701" s="94">
        <f>IFERROR(VLOOKUP($G1701,基本資料!$A:$J,10,0),"無")</f>
        <v>3.8</v>
      </c>
      <c r="X1701" s="36">
        <f>RTD("money.excel",,"2433","Price")</f>
        <v>51</v>
      </c>
      <c r="Y1701" s="66"/>
      <c r="Z1701" s="15">
        <f t="shared" si="321"/>
        <v>51</v>
      </c>
      <c r="AA1701" s="3" t="e">
        <f t="shared" si="322"/>
        <v>#DIV/0!</v>
      </c>
      <c r="AB1701" s="344">
        <f>IFERROR(VLOOKUP($G1701,基本資料!$A:$M,11,0),"無")</f>
        <v>-7.27</v>
      </c>
      <c r="AC1701" s="397">
        <f>IFERROR(VLOOKUP($G1701,基本資料!$A:$M,12,0),"無")</f>
        <v>41.82</v>
      </c>
      <c r="AD1701" s="22" t="s">
        <v>496</v>
      </c>
      <c r="AG1701" s="33">
        <f t="shared" si="323"/>
        <v>0</v>
      </c>
      <c r="AH1701" s="43" t="s">
        <v>2566</v>
      </c>
      <c r="AI1701" s="63">
        <f t="shared" si="324"/>
        <v>2.2160664819944597E-4</v>
      </c>
      <c r="AJ1701" s="284">
        <f>RTD("money.excel",,$G1701,"PredictVolume")</f>
        <v>32</v>
      </c>
      <c r="AK1701" s="399">
        <f>IFERROR(VLOOKUP($G1701,基本資料!$A:$M,13,0),"無")</f>
        <v>0.3</v>
      </c>
    </row>
    <row r="1702" spans="1:37">
      <c r="A1702" s="347">
        <f>IFERROR(VLOOKUP($G1702,基本資料!$A:$J,3,0),"無")</f>
        <v>16.38</v>
      </c>
      <c r="B1702" s="79">
        <f>IFERROR(VLOOKUP($G1702,基本資料!$A:$J,4,0),"無")</f>
        <v>78</v>
      </c>
      <c r="C1702" s="79">
        <f>IFERROR(VLOOKUP($G1702,基本資料!$A:$J,5,0),"無")</f>
        <v>-5</v>
      </c>
      <c r="D1702" s="79">
        <f>IFERROR(VLOOKUP($G1702,基本資料!$A:$J,6,0),"無")</f>
        <v>33</v>
      </c>
      <c r="E1702" s="79">
        <f>IFERROR(VLOOKUP($G1702,基本資料!$A:$J,7,0),"無")</f>
        <v>-3</v>
      </c>
      <c r="F1702" s="6">
        <f>IFERROR(VLOOKUP($G1702,基本資料!$A:$J,8,0),"無")</f>
        <v>3.52</v>
      </c>
      <c r="G1702" s="79">
        <v>2461</v>
      </c>
      <c r="H1702" s="8" t="s">
        <v>314</v>
      </c>
      <c r="I1702" s="22" t="s">
        <v>497</v>
      </c>
      <c r="J1702" s="8" t="str">
        <f>IFERROR(VLOOKUP($G1702,今日總結!$A:$AJ,35,0),"")</f>
        <v/>
      </c>
      <c r="K1702" s="5" t="str">
        <f>IFERROR(VLOOKUP($G1702,今日總結!$A:$AJ,36,0),"")</f>
        <v/>
      </c>
      <c r="L1702" s="156" t="str">
        <f>IFERROR(VLOOKUP($G1702,今日總結!$A:$AJ,33,0),"")</f>
        <v/>
      </c>
      <c r="M1702" s="340" t="str">
        <f>IFERROR(VLOOKUP($G1702,今日總結!$A:$AJ,34,0),"")</f>
        <v/>
      </c>
      <c r="N1702" s="240" t="str">
        <f t="shared" si="325"/>
        <v/>
      </c>
      <c r="P1702" s="365">
        <f>IFERROR(VLOOKUP($G1702,融外自投!$A:$J,7,0),"無")</f>
        <v>281</v>
      </c>
      <c r="Q1702" s="79">
        <f>IFERROR(VLOOKUP($G1702,融外自投!$A:$J,9,0),"無")</f>
        <v>978</v>
      </c>
      <c r="R1702" s="346">
        <f>IFERROR(VLOOKUP($G1702,融外自投!$A:$J,8,0),"無")</f>
        <v>627</v>
      </c>
      <c r="S1702" s="81" t="str">
        <f>IFERROR(VLOOKUP($G1702,融外自投!$A:$J,10,0),"無")</f>
        <v>無</v>
      </c>
      <c r="T1702" s="327">
        <f>IFERROR(VLOOKUP($G1702,'321買'!$A:$E,5,0),"'沒有資料'")</f>
        <v>683</v>
      </c>
      <c r="U1702" s="186">
        <f>IFERROR(VLOOKUP($G1702,基本資料!$A:$J,9,0),"無")</f>
        <v>1.74</v>
      </c>
      <c r="V1702" s="310">
        <f t="shared" si="320"/>
        <v>8.5714285714285715E-2</v>
      </c>
      <c r="W1702" s="94">
        <f>IFERROR(VLOOKUP($G1702,基本資料!$A:$J,10,0),"無")</f>
        <v>2.42</v>
      </c>
      <c r="X1702" s="36">
        <f>RTD("money.excel",,"2461","Price")</f>
        <v>20.3</v>
      </c>
      <c r="Y1702" s="66"/>
      <c r="Z1702" s="15">
        <f t="shared" si="321"/>
        <v>20.3</v>
      </c>
      <c r="AA1702" s="3" t="e">
        <f t="shared" si="322"/>
        <v>#DIV/0!</v>
      </c>
      <c r="AB1702" s="344">
        <f>IFERROR(VLOOKUP($G1702,基本資料!$A:$M,11,0),"無")</f>
        <v>-24.15</v>
      </c>
      <c r="AC1702" s="397">
        <f>IFERROR(VLOOKUP($G1702,基本資料!$A:$M,12,0),"無")</f>
        <v>8.7100000000000009</v>
      </c>
      <c r="AD1702" s="22" t="s">
        <v>497</v>
      </c>
      <c r="AG1702" s="33">
        <f t="shared" si="323"/>
        <v>0</v>
      </c>
      <c r="AH1702" s="43" t="s">
        <v>2567</v>
      </c>
      <c r="AI1702" s="63">
        <f t="shared" si="324"/>
        <v>2.0573870573870573E-3</v>
      </c>
      <c r="AJ1702" s="284">
        <f>RTD("money.excel",,$G1702,"PredictVolume")</f>
        <v>337</v>
      </c>
      <c r="AK1702" s="399">
        <f>IFERROR(VLOOKUP($G1702,基本資料!$A:$M,13,0),"無")</f>
        <v>24.33</v>
      </c>
    </row>
    <row r="1703" spans="1:37">
      <c r="A1703" s="347">
        <f>IFERROR(VLOOKUP($G1703,基本資料!$A:$J,3,0),"無")</f>
        <v>19.55</v>
      </c>
      <c r="B1703" s="79">
        <f>IFERROR(VLOOKUP($G1703,基本資料!$A:$J,4,0),"無")</f>
        <v>3</v>
      </c>
      <c r="C1703" s="79">
        <f>IFERROR(VLOOKUP($G1703,基本資料!$A:$J,5,0),"無")</f>
        <v>3</v>
      </c>
      <c r="D1703" s="79">
        <f>IFERROR(VLOOKUP($G1703,基本資料!$A:$J,6,0),"無")</f>
        <v>-3</v>
      </c>
      <c r="E1703" s="79">
        <f>IFERROR(VLOOKUP($G1703,基本資料!$A:$J,7,0),"無")</f>
        <v>11</v>
      </c>
      <c r="F1703" s="6">
        <f>IFERROR(VLOOKUP($G1703,基本資料!$A:$J,8,0),"無")</f>
        <v>7.01</v>
      </c>
      <c r="G1703" s="79">
        <v>2464</v>
      </c>
      <c r="H1703" s="8" t="s">
        <v>314</v>
      </c>
      <c r="I1703" s="22" t="s">
        <v>498</v>
      </c>
      <c r="J1703" s="8">
        <f>IFERROR(VLOOKUP($G1703,今日總結!$A:$AJ,35,0),"")</f>
        <v>0</v>
      </c>
      <c r="K1703" s="5" t="str">
        <f>IFERROR(VLOOKUP($G1703,今日總結!$A:$AJ,36,0),"")</f>
        <v>融</v>
      </c>
      <c r="L1703" s="156">
        <f>IFERROR(VLOOKUP($G1703,今日總結!$A:$AJ,33,0),"")</f>
        <v>0</v>
      </c>
      <c r="M1703" s="340">
        <f>IFERROR(VLOOKUP($G1703,今日總結!$A:$AJ,34,0),"")</f>
        <v>2</v>
      </c>
      <c r="N1703" s="240">
        <f t="shared" si="325"/>
        <v>-2</v>
      </c>
      <c r="P1703" s="365">
        <f>IFERROR(VLOOKUP($G1703,融外自投!$A:$J,7,0),"無")</f>
        <v>823</v>
      </c>
      <c r="Q1703" s="79">
        <f>IFERROR(VLOOKUP($G1703,融外自投!$A:$J,9,0),"無")</f>
        <v>653</v>
      </c>
      <c r="R1703" s="346">
        <f>IFERROR(VLOOKUP($G1703,融外自投!$A:$J,8,0),"無")</f>
        <v>750</v>
      </c>
      <c r="S1703" s="81" t="str">
        <f>IFERROR(VLOOKUP($G1703,融外自投!$A:$J,10,0),"無")</f>
        <v>無</v>
      </c>
      <c r="T1703" s="327">
        <f>IFERROR(VLOOKUP($G1703,'321買'!$A:$E,5,0),"'沒有資料'")</f>
        <v>584</v>
      </c>
      <c r="U1703" s="186">
        <f>IFERROR(VLOOKUP($G1703,基本資料!$A:$J,9,0),"無")</f>
        <v>2.2000000000000002</v>
      </c>
      <c r="V1703" s="310">
        <f t="shared" si="320"/>
        <v>5.5276381909547749E-2</v>
      </c>
      <c r="W1703" s="94">
        <f>IFERROR(VLOOKUP($G1703,基本資料!$A:$J,10,0),"無")</f>
        <v>2.7</v>
      </c>
      <c r="X1703" s="36">
        <f>RTD("money.excel",,"2464","Price")</f>
        <v>39.799999999999997</v>
      </c>
      <c r="Y1703" s="66"/>
      <c r="Z1703" s="15">
        <f t="shared" si="321"/>
        <v>39.799999999999997</v>
      </c>
      <c r="AA1703" s="3" t="e">
        <f t="shared" si="322"/>
        <v>#DIV/0!</v>
      </c>
      <c r="AB1703" s="344">
        <f>IFERROR(VLOOKUP($G1703,基本資料!$A:$M,11,0),"無")</f>
        <v>-15.17</v>
      </c>
      <c r="AC1703" s="397">
        <f>IFERROR(VLOOKUP($G1703,基本資料!$A:$M,12,0),"無")</f>
        <v>19.940000000000001</v>
      </c>
      <c r="AD1703" s="22" t="s">
        <v>498</v>
      </c>
      <c r="AG1703" s="33">
        <f t="shared" si="323"/>
        <v>0</v>
      </c>
      <c r="AH1703" s="43" t="s">
        <v>1437</v>
      </c>
      <c r="AI1703" s="63">
        <f t="shared" si="324"/>
        <v>4.6547314578005116E-4</v>
      </c>
      <c r="AJ1703" s="284">
        <f>RTD("money.excel",,$G1703,"PredictVolume")</f>
        <v>91</v>
      </c>
      <c r="AK1703" s="399">
        <f>IFERROR(VLOOKUP($G1703,基本資料!$A:$M,13,0),"無")</f>
        <v>7.25</v>
      </c>
    </row>
    <row r="1704" spans="1:37">
      <c r="A1704" s="347">
        <f>IFERROR(VLOOKUP($G1704,基本資料!$A:$J,3,0),"無")</f>
        <v>72.97</v>
      </c>
      <c r="B1704" s="79">
        <f>IFERROR(VLOOKUP($G1704,基本資料!$A:$J,4,0),"無")</f>
        <v>-59</v>
      </c>
      <c r="C1704" s="79">
        <f>IFERROR(VLOOKUP($G1704,基本資料!$A:$J,5,0),"無")</f>
        <v>-41</v>
      </c>
      <c r="D1704" s="79">
        <f>IFERROR(VLOOKUP($G1704,基本資料!$A:$J,6,0),"無")</f>
        <v>57</v>
      </c>
      <c r="E1704" s="79">
        <f>IFERROR(VLOOKUP($G1704,基本資料!$A:$J,7,0),"無")</f>
        <v>-41</v>
      </c>
      <c r="F1704" s="6">
        <f>IFERROR(VLOOKUP($G1704,基本資料!$A:$J,8,0),"無")</f>
        <v>21.32</v>
      </c>
      <c r="G1704" s="79">
        <v>2474</v>
      </c>
      <c r="H1704" s="192" t="s">
        <v>314</v>
      </c>
      <c r="I1704" s="22" t="s">
        <v>273</v>
      </c>
      <c r="J1704" s="8" t="str">
        <f>IFERROR(VLOOKUP($G1704,今日總結!$A:$AJ,35,0),"")</f>
        <v>主</v>
      </c>
      <c r="K1704" s="5">
        <f>IFERROR(VLOOKUP($G1704,今日總結!$A:$AJ,36,0),"")</f>
        <v>0</v>
      </c>
      <c r="L1704" s="156">
        <f>IFERROR(VLOOKUP($G1704,今日總結!$A:$AJ,33,0),"")</f>
        <v>1</v>
      </c>
      <c r="M1704" s="340">
        <f>IFERROR(VLOOKUP($G1704,今日總結!$A:$AJ,34,0),"")</f>
        <v>0</v>
      </c>
      <c r="N1704" s="240">
        <f t="shared" si="325"/>
        <v>1</v>
      </c>
      <c r="P1704" s="365">
        <f>IFERROR(VLOOKUP($G1704,融外自投!$A:$J,7,0),"無")</f>
        <v>919</v>
      </c>
      <c r="Q1704" s="79">
        <f>IFERROR(VLOOKUP($G1704,融外自投!$A:$J,9,0),"無")</f>
        <v>363</v>
      </c>
      <c r="R1704" s="346">
        <f>IFERROR(VLOOKUP($G1704,融外自投!$A:$J,8,0),"無")</f>
        <v>96</v>
      </c>
      <c r="S1704" s="81">
        <f>IFERROR(VLOOKUP($G1704,融外自投!$A:$J,10,0),"無")</f>
        <v>315</v>
      </c>
      <c r="T1704" s="327">
        <f>IFERROR(VLOOKUP($G1704,'321買'!$A:$E,5,0),"'沒有資料'")</f>
        <v>255</v>
      </c>
      <c r="U1704" s="186">
        <f>IFERROR(VLOOKUP($G1704,基本資料!$A:$J,9,0),"無")</f>
        <v>10</v>
      </c>
      <c r="V1704" s="310">
        <f t="shared" si="320"/>
        <v>6.7340067340067339E-2</v>
      </c>
      <c r="W1704" s="94">
        <f>IFERROR(VLOOKUP($G1704,基本資料!$A:$J,10,0),"無")</f>
        <v>11.31</v>
      </c>
      <c r="X1704" s="36">
        <f>RTD("money.excel",,"2474","Price")</f>
        <v>148.5</v>
      </c>
      <c r="Y1704" s="66"/>
      <c r="Z1704" s="15">
        <f t="shared" si="321"/>
        <v>148.5</v>
      </c>
      <c r="AA1704" s="3" t="e">
        <f t="shared" si="322"/>
        <v>#DIV/0!</v>
      </c>
      <c r="AB1704" s="344">
        <f>IFERROR(VLOOKUP($G1704,基本資料!$A:$M,11,0),"無")</f>
        <v>-21.88</v>
      </c>
      <c r="AC1704" s="397">
        <f>IFERROR(VLOOKUP($G1704,基本資料!$A:$M,12,0),"無")</f>
        <v>65.44</v>
      </c>
      <c r="AD1704" s="22" t="s">
        <v>273</v>
      </c>
      <c r="AG1704" s="33">
        <f t="shared" si="323"/>
        <v>0</v>
      </c>
      <c r="AH1704" s="117" t="s">
        <v>2394</v>
      </c>
      <c r="AI1704" s="63">
        <f t="shared" si="324"/>
        <v>7.2248869398382895E-3</v>
      </c>
      <c r="AJ1704" s="284">
        <f>RTD("money.excel",,$G1704,"PredictVolume")</f>
        <v>5272</v>
      </c>
      <c r="AK1704" s="399">
        <f>IFERROR(VLOOKUP($G1704,基本資料!$A:$M,13,0),"無")</f>
        <v>1.8</v>
      </c>
    </row>
    <row r="1705" spans="1:37">
      <c r="A1705" s="347">
        <f>IFERROR(VLOOKUP($G1705,基本資料!$A:$J,3,0),"無")</f>
        <v>19.82</v>
      </c>
      <c r="B1705" s="79">
        <f>IFERROR(VLOOKUP($G1705,基本資料!$A:$J,4,0),"無")</f>
        <v>823</v>
      </c>
      <c r="C1705" s="79">
        <f>IFERROR(VLOOKUP($G1705,基本資料!$A:$J,5,0),"無")</f>
        <v>-119</v>
      </c>
      <c r="D1705" s="79">
        <f>IFERROR(VLOOKUP($G1705,基本資料!$A:$J,6,0),"無")</f>
        <v>31</v>
      </c>
      <c r="E1705" s="79">
        <f>IFERROR(VLOOKUP($G1705,基本資料!$A:$J,7,0),"無")</f>
        <v>21</v>
      </c>
      <c r="F1705" s="6">
        <f>IFERROR(VLOOKUP($G1705,基本資料!$A:$J,8,0),"無")</f>
        <v>-0.73</v>
      </c>
      <c r="G1705" s="79">
        <v>2477</v>
      </c>
      <c r="H1705" s="8" t="s">
        <v>314</v>
      </c>
      <c r="I1705" s="22" t="s">
        <v>1071</v>
      </c>
      <c r="J1705" s="8" t="str">
        <f>IFERROR(VLOOKUP($G1705,今日總結!$A:$AJ,35,0),"")</f>
        <v/>
      </c>
      <c r="K1705" s="5" t="str">
        <f>IFERROR(VLOOKUP($G1705,今日總結!$A:$AJ,36,0),"")</f>
        <v/>
      </c>
      <c r="L1705" s="156" t="str">
        <f>IFERROR(VLOOKUP($G1705,今日總結!$A:$AJ,33,0),"")</f>
        <v/>
      </c>
      <c r="M1705" s="340" t="str">
        <f>IFERROR(VLOOKUP($G1705,今日總結!$A:$AJ,34,0),"")</f>
        <v/>
      </c>
      <c r="N1705" s="240" t="str">
        <f t="shared" si="325"/>
        <v/>
      </c>
      <c r="P1705" s="365">
        <f>IFERROR(VLOOKUP($G1705,融外自投!$A:$J,7,0),"無")</f>
        <v>859</v>
      </c>
      <c r="Q1705" s="79">
        <f>IFERROR(VLOOKUP($G1705,融外自投!$A:$J,9,0),"無")</f>
        <v>1051</v>
      </c>
      <c r="R1705" s="346">
        <f>IFERROR(VLOOKUP($G1705,融外自投!$A:$J,8,0),"無")</f>
        <v>250</v>
      </c>
      <c r="S1705" s="81" t="str">
        <f>IFERROR(VLOOKUP($G1705,融外自投!$A:$J,10,0),"無")</f>
        <v>無</v>
      </c>
      <c r="T1705" s="327">
        <f>IFERROR(VLOOKUP($G1705,'321買'!$A:$E,5,0),"'沒有資料'")</f>
        <v>984</v>
      </c>
      <c r="U1705" s="186">
        <f>IFERROR(VLOOKUP($G1705,基本資料!$A:$J,9,0),"無")</f>
        <v>1</v>
      </c>
      <c r="V1705" s="310">
        <f t="shared" si="320"/>
        <v>4.0322580645161289E-2</v>
      </c>
      <c r="W1705" s="94">
        <f>IFERROR(VLOOKUP($G1705,基本資料!$A:$J,10,0),"無")</f>
        <v>8.27</v>
      </c>
      <c r="X1705" s="36">
        <f>RTD("money.excel",,"2477","Price")</f>
        <v>24.8</v>
      </c>
      <c r="Y1705" s="66"/>
      <c r="Z1705" s="15">
        <f t="shared" si="321"/>
        <v>24.8</v>
      </c>
      <c r="AA1705" s="3" t="e">
        <f t="shared" si="322"/>
        <v>#DIV/0!</v>
      </c>
      <c r="AB1705" s="344">
        <f>IFERROR(VLOOKUP($G1705,基本資料!$A:$M,11,0),"無")</f>
        <v>-36.24</v>
      </c>
      <c r="AC1705" s="397">
        <f>IFERROR(VLOOKUP($G1705,基本資料!$A:$M,12,0),"無")</f>
        <v>8.07</v>
      </c>
      <c r="AD1705" s="22" t="s">
        <v>1071</v>
      </c>
      <c r="AG1705" s="33">
        <f t="shared" si="323"/>
        <v>0</v>
      </c>
      <c r="AH1705" s="43" t="s">
        <v>2568</v>
      </c>
      <c r="AI1705" s="63">
        <f t="shared" si="324"/>
        <v>8.0221997981836529E-4</v>
      </c>
      <c r="AJ1705" s="284">
        <f>RTD("money.excel",,$G1705,"PredictVolume")</f>
        <v>159</v>
      </c>
      <c r="AK1705" s="399">
        <f>IFERROR(VLOOKUP($G1705,基本資料!$A:$M,13,0),"無")</f>
        <v>8</v>
      </c>
    </row>
    <row r="1706" spans="1:37">
      <c r="A1706" s="347">
        <f>IFERROR(VLOOKUP($G1706,基本資料!$A:$J,3,0),"無")</f>
        <v>6.96</v>
      </c>
      <c r="B1706" s="79">
        <f>IFERROR(VLOOKUP($G1706,基本資料!$A:$J,4,0),"無")</f>
        <v>121</v>
      </c>
      <c r="C1706" s="79">
        <f>IFERROR(VLOOKUP($G1706,基本資料!$A:$J,5,0),"無")</f>
        <v>99</v>
      </c>
      <c r="D1706" s="79">
        <f>IFERROR(VLOOKUP($G1706,基本資料!$A:$J,6,0),"無")</f>
        <v>126</v>
      </c>
      <c r="E1706" s="79">
        <f>IFERROR(VLOOKUP($G1706,基本資料!$A:$J,7,0),"無")</f>
        <v>93</v>
      </c>
      <c r="F1706" s="6">
        <f>IFERROR(VLOOKUP($G1706,基本資料!$A:$J,8,0),"無")</f>
        <v>-0.03</v>
      </c>
      <c r="G1706" s="79">
        <v>2482</v>
      </c>
      <c r="H1706" s="8" t="s">
        <v>314</v>
      </c>
      <c r="I1706" s="22" t="s">
        <v>499</v>
      </c>
      <c r="J1706" s="8">
        <f>IFERROR(VLOOKUP($G1706,今日總結!$A:$AJ,35,0),"")</f>
        <v>0</v>
      </c>
      <c r="K1706" s="5" t="str">
        <f>IFERROR(VLOOKUP($G1706,今日總結!$A:$AJ,36,0),"")</f>
        <v>外</v>
      </c>
      <c r="L1706" s="156">
        <f>IFERROR(VLOOKUP($G1706,今日總結!$A:$AJ,33,0),"")</f>
        <v>0</v>
      </c>
      <c r="M1706" s="340">
        <f>IFERROR(VLOOKUP($G1706,今日總結!$A:$AJ,34,0),"")</f>
        <v>1</v>
      </c>
      <c r="N1706" s="240">
        <f t="shared" si="325"/>
        <v>-1</v>
      </c>
      <c r="P1706" s="365">
        <f>IFERROR(VLOOKUP($G1706,融外自投!$A:$J,7,0),"無")</f>
        <v>264</v>
      </c>
      <c r="Q1706" s="79">
        <f>IFERROR(VLOOKUP($G1706,融外自投!$A:$J,9,0),"無")</f>
        <v>425</v>
      </c>
      <c r="R1706" s="346">
        <f>IFERROR(VLOOKUP($G1706,融外自投!$A:$J,8,0),"無")</f>
        <v>671</v>
      </c>
      <c r="S1706" s="81" t="str">
        <f>IFERROR(VLOOKUP($G1706,融外自投!$A:$J,10,0),"無")</f>
        <v>無</v>
      </c>
      <c r="T1706" s="327">
        <f>IFERROR(VLOOKUP($G1706,'321買'!$A:$E,5,0),"'沒有資料'")</f>
        <v>463</v>
      </c>
      <c r="U1706" s="186">
        <f>IFERROR(VLOOKUP($G1706,基本資料!$A:$J,9,0),"無")</f>
        <v>0</v>
      </c>
      <c r="V1706" s="310">
        <f t="shared" si="320"/>
        <v>0</v>
      </c>
      <c r="W1706" s="94">
        <f>IFERROR(VLOOKUP($G1706,基本資料!$A:$J,10,0),"無")</f>
        <v>0.11</v>
      </c>
      <c r="X1706" s="36">
        <f>RTD("money.excel",,"2482","Price")</f>
        <v>13.6</v>
      </c>
      <c r="Y1706" s="66"/>
      <c r="Z1706" s="15">
        <f t="shared" si="321"/>
        <v>13.6</v>
      </c>
      <c r="AA1706" s="3" t="e">
        <f t="shared" si="322"/>
        <v>#DIV/0!</v>
      </c>
      <c r="AB1706" s="344">
        <f>IFERROR(VLOOKUP($G1706,基本資料!$A:$M,11,0),"無")</f>
        <v>-41.9</v>
      </c>
      <c r="AC1706" s="397">
        <f>IFERROR(VLOOKUP($G1706,基本資料!$A:$M,12,0),"無")</f>
        <v>6.49</v>
      </c>
      <c r="AD1706" s="22" t="s">
        <v>499</v>
      </c>
      <c r="AG1706" s="33">
        <f t="shared" si="323"/>
        <v>0</v>
      </c>
      <c r="AH1706" s="43" t="s">
        <v>2569</v>
      </c>
      <c r="AI1706" s="63">
        <f t="shared" si="324"/>
        <v>2.1580459770114944E-2</v>
      </c>
      <c r="AJ1706" s="284">
        <f>RTD("money.excel",,$G1706,"PredictVolume")</f>
        <v>1502</v>
      </c>
      <c r="AK1706" s="399">
        <f>IFERROR(VLOOKUP($G1706,基本資料!$A:$M,13,0),"無")</f>
        <v>45.33</v>
      </c>
    </row>
    <row r="1707" spans="1:37">
      <c r="A1707" s="347">
        <f>IFERROR(VLOOKUP($G1707,基本資料!$A:$J,3,0),"無")</f>
        <v>7.99</v>
      </c>
      <c r="B1707" s="79">
        <f>IFERROR(VLOOKUP($G1707,基本資料!$A:$J,4,0),"無")</f>
        <v>-22</v>
      </c>
      <c r="C1707" s="79">
        <f>IFERROR(VLOOKUP($G1707,基本資料!$A:$J,5,0),"無")</f>
        <v>-10</v>
      </c>
      <c r="D1707" s="79">
        <f>IFERROR(VLOOKUP($G1707,基本資料!$A:$J,6,0),"無")</f>
        <v>29</v>
      </c>
      <c r="E1707" s="79">
        <f>IFERROR(VLOOKUP($G1707,基本資料!$A:$J,7,0),"無")</f>
        <v>2</v>
      </c>
      <c r="F1707" s="6">
        <f>IFERROR(VLOOKUP($G1707,基本資料!$A:$J,8,0),"無")</f>
        <v>6.34</v>
      </c>
      <c r="G1707" s="79">
        <v>2488</v>
      </c>
      <c r="H1707" s="8" t="s">
        <v>314</v>
      </c>
      <c r="I1707" s="22" t="s">
        <v>500</v>
      </c>
      <c r="J1707" s="8" t="str">
        <f>IFERROR(VLOOKUP($G1707,今日總結!$A:$AJ,35,0),"")</f>
        <v/>
      </c>
      <c r="K1707" s="5" t="str">
        <f>IFERROR(VLOOKUP($G1707,今日總結!$A:$AJ,36,0),"")</f>
        <v/>
      </c>
      <c r="L1707" s="156" t="str">
        <f>IFERROR(VLOOKUP($G1707,今日總結!$A:$AJ,33,0),"")</f>
        <v/>
      </c>
      <c r="M1707" s="340" t="str">
        <f>IFERROR(VLOOKUP($G1707,今日總結!$A:$AJ,34,0),"")</f>
        <v/>
      </c>
      <c r="N1707" s="240" t="str">
        <f t="shared" si="325"/>
        <v/>
      </c>
      <c r="P1707" s="365">
        <f>IFERROR(VLOOKUP($G1707,融外自投!$A:$J,7,0),"無")</f>
        <v>941</v>
      </c>
      <c r="Q1707" s="79">
        <f>IFERROR(VLOOKUP($G1707,融外自投!$A:$J,9,0),"無")</f>
        <v>896</v>
      </c>
      <c r="R1707" s="346">
        <f>IFERROR(VLOOKUP($G1707,融外自投!$A:$J,8,0),"無")</f>
        <v>999</v>
      </c>
      <c r="S1707" s="81" t="str">
        <f>IFERROR(VLOOKUP($G1707,融外自投!$A:$J,10,0),"無")</f>
        <v>無</v>
      </c>
      <c r="T1707" s="327">
        <f>IFERROR(VLOOKUP($G1707,'321買'!$A:$E,5,0),"'沒有資料'")</f>
        <v>1179</v>
      </c>
      <c r="U1707" s="186">
        <f>IFERROR(VLOOKUP($G1707,基本資料!$A:$J,9,0),"無")</f>
        <v>1.2</v>
      </c>
      <c r="V1707" s="310">
        <f t="shared" si="320"/>
        <v>4.6783625730994149E-2</v>
      </c>
      <c r="W1707" s="94">
        <f>IFERROR(VLOOKUP($G1707,基本資料!$A:$J,10,0),"無")</f>
        <v>1.79</v>
      </c>
      <c r="X1707" s="36">
        <f>RTD("money.excel",,"2488","Price")</f>
        <v>25.65</v>
      </c>
      <c r="Y1707" s="66"/>
      <c r="Z1707" s="15">
        <f t="shared" si="321"/>
        <v>25.65</v>
      </c>
      <c r="AA1707" s="3" t="e">
        <f t="shared" si="322"/>
        <v>#DIV/0!</v>
      </c>
      <c r="AB1707" s="344">
        <f>IFERROR(VLOOKUP($G1707,基本資料!$A:$M,11,0),"無")</f>
        <v>-18.79</v>
      </c>
      <c r="AC1707" s="397">
        <f>IFERROR(VLOOKUP($G1707,基本資料!$A:$M,12,0),"無")</f>
        <v>14.43</v>
      </c>
      <c r="AD1707" s="22" t="s">
        <v>500</v>
      </c>
      <c r="AG1707" s="33">
        <f t="shared" si="323"/>
        <v>0</v>
      </c>
      <c r="AH1707" s="43" t="s">
        <v>2570</v>
      </c>
      <c r="AI1707" s="63">
        <f t="shared" si="324"/>
        <v>1.3516896120150188E-3</v>
      </c>
      <c r="AJ1707" s="284">
        <f>RTD("money.excel",,$G1707,"PredictVolume")</f>
        <v>108</v>
      </c>
      <c r="AK1707" s="399">
        <f>IFERROR(VLOOKUP($G1707,基本資料!$A:$M,13,0),"無")</f>
        <v>1.31</v>
      </c>
    </row>
    <row r="1708" spans="1:37">
      <c r="A1708" s="347">
        <f>IFERROR(VLOOKUP($G1708,基本資料!$A:$J,3,0),"無")</f>
        <v>27.35</v>
      </c>
      <c r="B1708" s="79">
        <f>IFERROR(VLOOKUP($G1708,基本資料!$A:$J,4,0),"無")</f>
        <v>323</v>
      </c>
      <c r="C1708" s="79">
        <f>IFERROR(VLOOKUP($G1708,基本資料!$A:$J,5,0),"無")</f>
        <v>186</v>
      </c>
      <c r="D1708" s="79">
        <f>IFERROR(VLOOKUP($G1708,基本資料!$A:$J,6,0),"無")</f>
        <v>67</v>
      </c>
      <c r="E1708" s="79">
        <f>IFERROR(VLOOKUP($G1708,基本資料!$A:$J,7,0),"無")</f>
        <v>7</v>
      </c>
      <c r="F1708" s="6">
        <f>IFERROR(VLOOKUP($G1708,基本資料!$A:$J,8,0),"無")</f>
        <v>2.19</v>
      </c>
      <c r="G1708" s="79">
        <v>2495</v>
      </c>
      <c r="H1708" s="8" t="s">
        <v>314</v>
      </c>
      <c r="I1708" s="22" t="s">
        <v>501</v>
      </c>
      <c r="J1708" s="8" t="str">
        <f>IFERROR(VLOOKUP($G1708,今日總結!$A:$AJ,35,0),"")</f>
        <v/>
      </c>
      <c r="K1708" s="5" t="str">
        <f>IFERROR(VLOOKUP($G1708,今日總結!$A:$AJ,36,0),"")</f>
        <v/>
      </c>
      <c r="L1708" s="156" t="str">
        <f>IFERROR(VLOOKUP($G1708,今日總結!$A:$AJ,33,0),"")</f>
        <v/>
      </c>
      <c r="M1708" s="340" t="str">
        <f>IFERROR(VLOOKUP($G1708,今日總結!$A:$AJ,34,0),"")</f>
        <v/>
      </c>
      <c r="N1708" s="240" t="str">
        <f t="shared" si="325"/>
        <v/>
      </c>
      <c r="P1708" s="365">
        <f>IFERROR(VLOOKUP($G1708,融外自投!$A:$J,7,0),"無")</f>
        <v>583</v>
      </c>
      <c r="Q1708" s="79">
        <f>IFERROR(VLOOKUP($G1708,融外自投!$A:$J,9,0),"無")</f>
        <v>526</v>
      </c>
      <c r="R1708" s="346">
        <f>IFERROR(VLOOKUP($G1708,融外自投!$A:$J,8,0),"無")</f>
        <v>314</v>
      </c>
      <c r="S1708" s="81" t="str">
        <f>IFERROR(VLOOKUP($G1708,融外自投!$A:$J,10,0),"無")</f>
        <v>無</v>
      </c>
      <c r="T1708" s="327">
        <f>IFERROR(VLOOKUP($G1708,'321買'!$A:$E,5,0),"'沒有資料'")</f>
        <v>480</v>
      </c>
      <c r="U1708" s="186">
        <f>IFERROR(VLOOKUP($G1708,基本資料!$A:$J,9,0),"無")</f>
        <v>0.4</v>
      </c>
      <c r="V1708" s="310">
        <f t="shared" si="320"/>
        <v>2.7210884353741499E-2</v>
      </c>
      <c r="W1708" s="94">
        <f>IFERROR(VLOOKUP($G1708,基本資料!$A:$J,10,0),"無")</f>
        <v>0.53</v>
      </c>
      <c r="X1708" s="36">
        <f>RTD("money.excel",,"2495","Price")</f>
        <v>14.7</v>
      </c>
      <c r="Y1708" s="66"/>
      <c r="Z1708" s="15">
        <f t="shared" si="321"/>
        <v>14.7</v>
      </c>
      <c r="AA1708" s="3" t="e">
        <f t="shared" si="322"/>
        <v>#DIV/0!</v>
      </c>
      <c r="AB1708" s="344">
        <f>IFERROR(VLOOKUP($G1708,基本資料!$A:$M,11,0),"無")</f>
        <v>-33.71</v>
      </c>
      <c r="AC1708" s="397">
        <f>IFERROR(VLOOKUP($G1708,基本資料!$A:$M,12,0),"無")</f>
        <v>24.39</v>
      </c>
      <c r="AD1708" s="22" t="s">
        <v>501</v>
      </c>
      <c r="AG1708" s="33">
        <f t="shared" si="323"/>
        <v>0</v>
      </c>
      <c r="AH1708" s="43" t="s">
        <v>2571</v>
      </c>
      <c r="AI1708" s="63">
        <f t="shared" si="324"/>
        <v>1.0895795246800731E-3</v>
      </c>
      <c r="AJ1708" s="284">
        <f>RTD("money.excel",,$G1708,"PredictVolume")</f>
        <v>298</v>
      </c>
      <c r="AK1708" s="399">
        <f>IFERROR(VLOOKUP($G1708,基本資料!$A:$M,13,0),"無")</f>
        <v>17.46</v>
      </c>
    </row>
    <row r="1709" spans="1:37">
      <c r="A1709" s="347">
        <f>IFERROR(VLOOKUP($G1709,基本資料!$A:$J,3,0),"無")</f>
        <v>7.81</v>
      </c>
      <c r="B1709" s="79">
        <f>IFERROR(VLOOKUP($G1709,基本資料!$A:$J,4,0),"無")</f>
        <v>-359</v>
      </c>
      <c r="C1709" s="79">
        <f>IFERROR(VLOOKUP($G1709,基本資料!$A:$J,5,0),"無")</f>
        <v>-84</v>
      </c>
      <c r="D1709" s="79">
        <f>IFERROR(VLOOKUP($G1709,基本資料!$A:$J,6,0),"無")</f>
        <v>35</v>
      </c>
      <c r="E1709" s="79">
        <f>IFERROR(VLOOKUP($G1709,基本資料!$A:$J,7,0),"無")</f>
        <v>23</v>
      </c>
      <c r="F1709" s="6">
        <f>IFERROR(VLOOKUP($G1709,基本資料!$A:$J,8,0),"無")</f>
        <v>-6.88</v>
      </c>
      <c r="G1709" s="79">
        <v>3018</v>
      </c>
      <c r="H1709" s="8" t="s">
        <v>314</v>
      </c>
      <c r="I1709" s="22" t="s">
        <v>502</v>
      </c>
      <c r="J1709" s="8" t="str">
        <f>IFERROR(VLOOKUP($G1709,今日總結!$A:$AJ,35,0),"")</f>
        <v/>
      </c>
      <c r="K1709" s="5" t="str">
        <f>IFERROR(VLOOKUP($G1709,今日總結!$A:$AJ,36,0),"")</f>
        <v/>
      </c>
      <c r="L1709" s="156" t="str">
        <f>IFERROR(VLOOKUP($G1709,今日總結!$A:$AJ,33,0),"")</f>
        <v/>
      </c>
      <c r="M1709" s="340" t="str">
        <f>IFERROR(VLOOKUP($G1709,今日總結!$A:$AJ,34,0),"")</f>
        <v/>
      </c>
      <c r="N1709" s="240" t="str">
        <f t="shared" si="325"/>
        <v/>
      </c>
      <c r="P1709" s="365" t="str">
        <f>IFERROR(VLOOKUP($G1709,融外自投!$A:$J,7,0),"無")</f>
        <v>無</v>
      </c>
      <c r="Q1709" s="79" t="str">
        <f>IFERROR(VLOOKUP($G1709,融外自投!$A:$J,9,0),"無")</f>
        <v>無</v>
      </c>
      <c r="R1709" s="346" t="str">
        <f>IFERROR(VLOOKUP($G1709,融外自投!$A:$J,8,0),"無")</f>
        <v>無</v>
      </c>
      <c r="S1709" s="81" t="str">
        <f>IFERROR(VLOOKUP($G1709,融外自投!$A:$J,10,0),"無")</f>
        <v>無</v>
      </c>
      <c r="T1709" s="327" t="str">
        <f>IFERROR(VLOOKUP($G1709,'321買'!$A:$E,5,0),"'沒有資料'")</f>
        <v>'沒有資料'</v>
      </c>
      <c r="U1709" s="186">
        <f>IFERROR(VLOOKUP($G1709,基本資料!$A:$J,9,0),"無")</f>
        <v>0</v>
      </c>
      <c r="V1709" s="310">
        <f t="shared" si="320"/>
        <v>0</v>
      </c>
      <c r="W1709" s="94">
        <f>IFERROR(VLOOKUP($G1709,基本資料!$A:$J,10,0),"無")</f>
        <v>-4.18</v>
      </c>
      <c r="X1709" s="36">
        <f>RTD("money.excel",,"3018","Price")</f>
        <v>14.85</v>
      </c>
      <c r="Y1709" s="66"/>
      <c r="Z1709" s="15">
        <f t="shared" si="321"/>
        <v>14.85</v>
      </c>
      <c r="AA1709" s="3" t="e">
        <f t="shared" si="322"/>
        <v>#DIV/0!</v>
      </c>
      <c r="AB1709" s="344">
        <f>IFERROR(VLOOKUP($G1709,基本資料!$A:$M,11,0),"無")</f>
        <v>-25.33</v>
      </c>
      <c r="AC1709" s="397">
        <f>IFERROR(VLOOKUP($G1709,基本資料!$A:$M,12,0),"無")</f>
        <v>42.65</v>
      </c>
      <c r="AD1709" s="22" t="s">
        <v>502</v>
      </c>
      <c r="AG1709" s="33">
        <f t="shared" si="323"/>
        <v>0</v>
      </c>
      <c r="AH1709" s="43" t="s">
        <v>2572</v>
      </c>
      <c r="AI1709" s="63">
        <f t="shared" si="324"/>
        <v>9.5262483994878362E-3</v>
      </c>
      <c r="AJ1709" s="284">
        <f>RTD("money.excel",,$G1709,"PredictVolume")</f>
        <v>744</v>
      </c>
      <c r="AK1709" s="399">
        <f>IFERROR(VLOOKUP($G1709,基本資料!$A:$M,13,0),"無")</f>
        <v>5.12</v>
      </c>
    </row>
    <row r="1710" spans="1:37">
      <c r="A1710" s="347">
        <f>IFERROR(VLOOKUP($G1710,基本資料!$A:$J,3,0),"無")</f>
        <v>23.62</v>
      </c>
      <c r="B1710" s="79">
        <f>IFERROR(VLOOKUP($G1710,基本資料!$A:$J,4,0),"無")</f>
        <v>8</v>
      </c>
      <c r="C1710" s="79">
        <f>IFERROR(VLOOKUP($G1710,基本資料!$A:$J,5,0),"無")</f>
        <v>8</v>
      </c>
      <c r="D1710" s="79">
        <f>IFERROR(VLOOKUP($G1710,基本資料!$A:$J,6,0),"無")</f>
        <v>-23</v>
      </c>
      <c r="E1710" s="79">
        <f>IFERROR(VLOOKUP($G1710,基本資料!$A:$J,7,0),"無")</f>
        <v>-4</v>
      </c>
      <c r="F1710" s="6">
        <f>IFERROR(VLOOKUP($G1710,基本資料!$A:$J,8,0),"無")</f>
        <v>27.79</v>
      </c>
      <c r="G1710" s="79">
        <v>3030</v>
      </c>
      <c r="H1710" s="8" t="s">
        <v>314</v>
      </c>
      <c r="I1710" s="22" t="s">
        <v>98</v>
      </c>
      <c r="J1710" s="8" t="str">
        <f>IFERROR(VLOOKUP($G1710,今日總結!$A:$AJ,35,0),"")</f>
        <v/>
      </c>
      <c r="K1710" s="5" t="str">
        <f>IFERROR(VLOOKUP($G1710,今日總結!$A:$AJ,36,0),"")</f>
        <v/>
      </c>
      <c r="L1710" s="156" t="str">
        <f>IFERROR(VLOOKUP($G1710,今日總結!$A:$AJ,33,0),"")</f>
        <v/>
      </c>
      <c r="M1710" s="340" t="str">
        <f>IFERROR(VLOOKUP($G1710,今日總結!$A:$AJ,34,0),"")</f>
        <v/>
      </c>
      <c r="N1710" s="240" t="str">
        <f t="shared" si="325"/>
        <v/>
      </c>
      <c r="P1710" s="365">
        <f>IFERROR(VLOOKUP($G1710,融外自投!$A:$J,7,0),"無")</f>
        <v>649</v>
      </c>
      <c r="Q1710" s="79">
        <f>IFERROR(VLOOKUP($G1710,融外自投!$A:$J,9,0),"無")</f>
        <v>537</v>
      </c>
      <c r="R1710" s="346">
        <f>IFERROR(VLOOKUP($G1710,融外自投!$A:$J,8,0),"無")</f>
        <v>299</v>
      </c>
      <c r="S1710" s="81">
        <f>IFERROR(VLOOKUP($G1710,融外自投!$A:$J,10,0),"無")</f>
        <v>473</v>
      </c>
      <c r="T1710" s="327">
        <f>IFERROR(VLOOKUP($G1710,'321買'!$A:$E,5,0),"'沒有資料'")</f>
        <v>536</v>
      </c>
      <c r="U1710" s="186">
        <f>IFERROR(VLOOKUP($G1710,基本資料!$A:$J,9,0),"無")</f>
        <v>3.3</v>
      </c>
      <c r="V1710" s="310">
        <f t="shared" si="320"/>
        <v>5.1886792452830184E-2</v>
      </c>
      <c r="W1710" s="94">
        <f>IFERROR(VLOOKUP($G1710,基本資料!$A:$J,10,0),"無")</f>
        <v>5.0199999999999996</v>
      </c>
      <c r="X1710" s="36">
        <f>RTD("money.excel",,"3030","Price")</f>
        <v>63.6</v>
      </c>
      <c r="Y1710" s="66"/>
      <c r="Z1710" s="15">
        <f t="shared" si="321"/>
        <v>63.6</v>
      </c>
      <c r="AA1710" s="3" t="e">
        <f t="shared" si="322"/>
        <v>#DIV/0!</v>
      </c>
      <c r="AB1710" s="344">
        <f>IFERROR(VLOOKUP($G1710,基本資料!$A:$M,11,0),"無")</f>
        <v>-16.91</v>
      </c>
      <c r="AC1710" s="397">
        <f>IFERROR(VLOOKUP($G1710,基本資料!$A:$M,12,0),"無")</f>
        <v>36.1</v>
      </c>
      <c r="AD1710" s="22" t="s">
        <v>98</v>
      </c>
      <c r="AG1710" s="33">
        <f t="shared" si="323"/>
        <v>0</v>
      </c>
      <c r="AH1710" s="117" t="s">
        <v>2573</v>
      </c>
      <c r="AI1710" s="63">
        <f t="shared" si="324"/>
        <v>2.3285351397121083E-3</v>
      </c>
      <c r="AJ1710" s="284">
        <f>RTD("money.excel",,$G1710,"PredictVolume")</f>
        <v>550</v>
      </c>
      <c r="AK1710" s="399">
        <f>IFERROR(VLOOKUP($G1710,基本資料!$A:$M,13,0),"無")</f>
        <v>6.46</v>
      </c>
    </row>
    <row r="1711" spans="1:37">
      <c r="A1711" s="347">
        <f>IFERROR(VLOOKUP($G1711,基本資料!$A:$J,3,0),"無")</f>
        <v>19.48</v>
      </c>
      <c r="B1711" s="79">
        <f>IFERROR(VLOOKUP($G1711,基本資料!$A:$J,4,0),"無")</f>
        <v>148</v>
      </c>
      <c r="C1711" s="79">
        <f>IFERROR(VLOOKUP($G1711,基本資料!$A:$J,5,0),"無")</f>
        <v>-144</v>
      </c>
      <c r="D1711" s="79">
        <f>IFERROR(VLOOKUP($G1711,基本資料!$A:$J,6,0),"無")</f>
        <v>24</v>
      </c>
      <c r="E1711" s="79">
        <f>IFERROR(VLOOKUP($G1711,基本資料!$A:$J,7,0),"無")</f>
        <v>9</v>
      </c>
      <c r="F1711" s="6">
        <f>IFERROR(VLOOKUP($G1711,基本資料!$A:$J,8,0),"無")</f>
        <v>-6.35</v>
      </c>
      <c r="G1711" s="79">
        <v>3043</v>
      </c>
      <c r="H1711" s="8" t="s">
        <v>314</v>
      </c>
      <c r="I1711" s="22" t="s">
        <v>503</v>
      </c>
      <c r="J1711" s="8" t="str">
        <f>IFERROR(VLOOKUP($G1711,今日總結!$A:$AJ,35,0),"")</f>
        <v/>
      </c>
      <c r="K1711" s="5" t="str">
        <f>IFERROR(VLOOKUP($G1711,今日總結!$A:$AJ,36,0),"")</f>
        <v/>
      </c>
      <c r="L1711" s="156" t="str">
        <f>IFERROR(VLOOKUP($G1711,今日總結!$A:$AJ,33,0),"")</f>
        <v/>
      </c>
      <c r="M1711" s="340" t="str">
        <f>IFERROR(VLOOKUP($G1711,今日總結!$A:$AJ,34,0),"")</f>
        <v/>
      </c>
      <c r="N1711" s="240" t="str">
        <f t="shared" si="325"/>
        <v/>
      </c>
      <c r="P1711" s="365" t="str">
        <f>IFERROR(VLOOKUP($G1711,融外自投!$A:$J,7,0),"無")</f>
        <v>無</v>
      </c>
      <c r="Q1711" s="79" t="str">
        <f>IFERROR(VLOOKUP($G1711,融外自投!$A:$J,9,0),"無")</f>
        <v>無</v>
      </c>
      <c r="R1711" s="346" t="str">
        <f>IFERROR(VLOOKUP($G1711,融外自投!$A:$J,8,0),"無")</f>
        <v>無</v>
      </c>
      <c r="S1711" s="81" t="str">
        <f>IFERROR(VLOOKUP($G1711,融外自投!$A:$J,10,0),"無")</f>
        <v>無</v>
      </c>
      <c r="T1711" s="327" t="str">
        <f>IFERROR(VLOOKUP($G1711,'321買'!$A:$E,5,0),"'沒有資料'")</f>
        <v>'沒有資料'</v>
      </c>
      <c r="U1711" s="186">
        <f>IFERROR(VLOOKUP($G1711,基本資料!$A:$J,9,0),"無")</f>
        <v>0</v>
      </c>
      <c r="V1711" s="310">
        <f t="shared" si="320"/>
        <v>0</v>
      </c>
      <c r="W1711" s="94">
        <f>IFERROR(VLOOKUP($G1711,基本資料!$A:$J,10,0),"無")</f>
        <v>0.12</v>
      </c>
      <c r="X1711" s="36">
        <f>RTD("money.excel",,"3043","Price")</f>
        <v>4.25</v>
      </c>
      <c r="Y1711" s="66"/>
      <c r="Z1711" s="15">
        <f t="shared" si="321"/>
        <v>4.25</v>
      </c>
      <c r="AA1711" s="3" t="e">
        <f t="shared" si="322"/>
        <v>#DIV/0!</v>
      </c>
      <c r="AB1711" s="344">
        <f>IFERROR(VLOOKUP($G1711,基本資料!$A:$M,11,0),"無")</f>
        <v>-24.73</v>
      </c>
      <c r="AC1711" s="397">
        <f>IFERROR(VLOOKUP($G1711,基本資料!$A:$M,12,0),"無")</f>
        <v>28.29</v>
      </c>
      <c r="AD1711" s="22" t="s">
        <v>503</v>
      </c>
      <c r="AG1711" s="33">
        <f t="shared" si="323"/>
        <v>0</v>
      </c>
      <c r="AH1711" s="43" t="s">
        <v>2574</v>
      </c>
      <c r="AI1711" s="63">
        <f t="shared" si="324"/>
        <v>4.4147843942505134E-4</v>
      </c>
      <c r="AJ1711" s="284">
        <f>RTD("money.excel",,$G1711,"PredictVolume")</f>
        <v>86</v>
      </c>
      <c r="AK1711" s="399">
        <f>IFERROR(VLOOKUP($G1711,基本資料!$A:$M,13,0),"無")</f>
        <v>2.6</v>
      </c>
    </row>
    <row r="1712" spans="1:37">
      <c r="A1712" s="347">
        <f>IFERROR(VLOOKUP($G1712,基本資料!$A:$J,3,0),"無")</f>
        <v>2</v>
      </c>
      <c r="B1712" s="79">
        <f>IFERROR(VLOOKUP($G1712,基本資料!$A:$J,4,0),"無")</f>
        <v>504</v>
      </c>
      <c r="C1712" s="79">
        <f>IFERROR(VLOOKUP($G1712,基本資料!$A:$J,5,0),"無")</f>
        <v>7</v>
      </c>
      <c r="D1712" s="79">
        <f>IFERROR(VLOOKUP($G1712,基本資料!$A:$J,6,0),"無")</f>
        <v>-75</v>
      </c>
      <c r="E1712" s="79">
        <f>IFERROR(VLOOKUP($G1712,基本資料!$A:$J,7,0),"無")</f>
        <v>-88</v>
      </c>
      <c r="F1712" s="6">
        <f>IFERROR(VLOOKUP($G1712,基本資料!$A:$J,8,0),"無")</f>
        <v>-43.96</v>
      </c>
      <c r="G1712" s="79">
        <v>3067</v>
      </c>
      <c r="H1712" s="8" t="s">
        <v>314</v>
      </c>
      <c r="I1712" s="16" t="s">
        <v>474</v>
      </c>
      <c r="J1712" s="8" t="str">
        <f>IFERROR(VLOOKUP($G1712,今日總結!$A:$AJ,35,0),"")</f>
        <v/>
      </c>
      <c r="K1712" s="5" t="str">
        <f>IFERROR(VLOOKUP($G1712,今日總結!$A:$AJ,36,0),"")</f>
        <v/>
      </c>
      <c r="L1712" s="156" t="str">
        <f>IFERROR(VLOOKUP($G1712,今日總結!$A:$AJ,33,0),"")</f>
        <v/>
      </c>
      <c r="M1712" s="340" t="str">
        <f>IFERROR(VLOOKUP($G1712,今日總結!$A:$AJ,34,0),"")</f>
        <v/>
      </c>
      <c r="N1712" s="240" t="str">
        <f t="shared" si="325"/>
        <v/>
      </c>
      <c r="P1712" s="365" t="str">
        <f>IFERROR(VLOOKUP($G1712,融外自投!$A:$J,7,0),"無")</f>
        <v>無</v>
      </c>
      <c r="Q1712" s="79" t="str">
        <f>IFERROR(VLOOKUP($G1712,融外自投!$A:$J,9,0),"無")</f>
        <v>無</v>
      </c>
      <c r="R1712" s="346" t="str">
        <f>IFERROR(VLOOKUP($G1712,融外自投!$A:$J,8,0),"無")</f>
        <v>無</v>
      </c>
      <c r="S1712" s="81" t="str">
        <f>IFERROR(VLOOKUP($G1712,融外自投!$A:$J,10,0),"無")</f>
        <v>無</v>
      </c>
      <c r="T1712" s="327" t="str">
        <f>IFERROR(VLOOKUP($G1712,'321買'!$A:$E,5,0),"'沒有資料'")</f>
        <v>'沒有資料'</v>
      </c>
      <c r="U1712" s="186">
        <f>IFERROR(VLOOKUP($G1712,基本資料!$A:$J,9,0),"無")</f>
        <v>0</v>
      </c>
      <c r="V1712" s="310" t="e">
        <f t="shared" si="320"/>
        <v>#VALUE!</v>
      </c>
      <c r="W1712" s="94">
        <f>IFERROR(VLOOKUP($G1712,基本資料!$A:$J,10,0),"無")</f>
        <v>4.71</v>
      </c>
      <c r="X1712" s="36" t="str">
        <f>RTD("money.excel",,"3067","Price")</f>
        <v>無資料</v>
      </c>
      <c r="Y1712" s="66"/>
      <c r="Z1712" s="15" t="e">
        <f t="shared" si="321"/>
        <v>#VALUE!</v>
      </c>
      <c r="AA1712" s="3" t="e">
        <f t="shared" si="322"/>
        <v>#VALUE!</v>
      </c>
      <c r="AB1712" s="344">
        <f>IFERROR(VLOOKUP($G1712,基本資料!$A:$M,11,0),"無")</f>
        <v>-4.6500000000000004</v>
      </c>
      <c r="AC1712" s="397">
        <f>IFERROR(VLOOKUP($G1712,基本資料!$A:$M,12,0),"無")</f>
        <v>41.62</v>
      </c>
      <c r="AD1712" s="16" t="s">
        <v>474</v>
      </c>
      <c r="AG1712" s="33">
        <f t="shared" si="323"/>
        <v>0</v>
      </c>
      <c r="AH1712" s="43" t="s">
        <v>2447</v>
      </c>
      <c r="AI1712" s="63">
        <f t="shared" si="324"/>
        <v>0</v>
      </c>
      <c r="AJ1712" s="284">
        <f>RTD("money.excel",,$G1712,"PredictVolume")</f>
        <v>0</v>
      </c>
      <c r="AK1712" s="399">
        <f>IFERROR(VLOOKUP($G1712,基本資料!$A:$M,13,0),"無")</f>
        <v>0.56000000000000005</v>
      </c>
    </row>
    <row r="1713" spans="1:37">
      <c r="A1713" s="347">
        <f>IFERROR(VLOOKUP($G1713,基本資料!$A:$J,3,0),"無")</f>
        <v>3.62</v>
      </c>
      <c r="B1713" s="79">
        <f>IFERROR(VLOOKUP($G1713,基本資料!$A:$J,4,0),"無")</f>
        <v>52</v>
      </c>
      <c r="C1713" s="79">
        <f>IFERROR(VLOOKUP($G1713,基本資料!$A:$J,5,0),"無")</f>
        <v>74</v>
      </c>
      <c r="D1713" s="79">
        <f>IFERROR(VLOOKUP($G1713,基本資料!$A:$J,6,0),"無")</f>
        <v>52</v>
      </c>
      <c r="E1713" s="79">
        <f>IFERROR(VLOOKUP($G1713,基本資料!$A:$J,7,0),"無")</f>
        <v>47</v>
      </c>
      <c r="F1713" s="6">
        <f>IFERROR(VLOOKUP($G1713,基本資料!$A:$J,8,0),"無")</f>
        <v>17.5</v>
      </c>
      <c r="G1713" s="79">
        <v>3093</v>
      </c>
      <c r="H1713" s="8" t="s">
        <v>314</v>
      </c>
      <c r="I1713" s="16" t="s">
        <v>4674</v>
      </c>
      <c r="J1713" s="8" t="str">
        <f>IFERROR(VLOOKUP($G1713,今日總結!$A:$AJ,35,0),"")</f>
        <v/>
      </c>
      <c r="K1713" s="5" t="str">
        <f>IFERROR(VLOOKUP($G1713,今日總結!$A:$AJ,36,0),"")</f>
        <v/>
      </c>
      <c r="L1713" s="156" t="str">
        <f>IFERROR(VLOOKUP($G1713,今日總結!$A:$AJ,33,0),"")</f>
        <v/>
      </c>
      <c r="M1713" s="340" t="str">
        <f>IFERROR(VLOOKUP($G1713,今日總結!$A:$AJ,34,0),"")</f>
        <v/>
      </c>
      <c r="N1713" s="240" t="str">
        <f t="shared" si="325"/>
        <v/>
      </c>
      <c r="P1713" s="365">
        <f>IFERROR(VLOOKUP($G1713,融外自投!$A:$J,7,0),"無")</f>
        <v>79</v>
      </c>
      <c r="Q1713" s="79" t="str">
        <f>IFERROR(VLOOKUP($G1713,融外自投!$A:$J,9,0),"無")</f>
        <v>無</v>
      </c>
      <c r="R1713" s="346">
        <f>IFERROR(VLOOKUP($G1713,融外自投!$A:$J,8,0),"無")</f>
        <v>27</v>
      </c>
      <c r="S1713" s="81" t="str">
        <f>IFERROR(VLOOKUP($G1713,融外自投!$A:$J,10,0),"無")</f>
        <v>無</v>
      </c>
      <c r="T1713" s="327">
        <f>IFERROR(VLOOKUP($G1713,'321買'!$A:$E,5,0),"'沒有資料'")</f>
        <v>729</v>
      </c>
      <c r="U1713" s="186">
        <f>IFERROR(VLOOKUP($G1713,基本資料!$A:$J,9,0),"無")</f>
        <v>6.3</v>
      </c>
      <c r="V1713" s="310">
        <f t="shared" si="320"/>
        <v>6.4881565396498461E-2</v>
      </c>
      <c r="W1713" s="94">
        <f>IFERROR(VLOOKUP($G1713,基本資料!$A:$J,10,0),"無")</f>
        <v>7.41</v>
      </c>
      <c r="X1713" s="36">
        <f>RTD("money.excel",,"3093","Price")</f>
        <v>97.1</v>
      </c>
      <c r="Y1713" s="66"/>
      <c r="Z1713" s="15">
        <f t="shared" si="321"/>
        <v>97.1</v>
      </c>
      <c r="AA1713" s="3" t="e">
        <f t="shared" si="322"/>
        <v>#DIV/0!</v>
      </c>
      <c r="AB1713" s="344">
        <f>IFERROR(VLOOKUP($G1713,基本資料!$A:$M,11,0),"無")</f>
        <v>-10.49</v>
      </c>
      <c r="AC1713" s="397">
        <f>IFERROR(VLOOKUP($G1713,基本資料!$A:$M,12,0),"無")</f>
        <v>32.54</v>
      </c>
      <c r="AD1713" s="16" t="s">
        <v>4674</v>
      </c>
      <c r="AG1713" s="33">
        <f t="shared" si="323"/>
        <v>0</v>
      </c>
      <c r="AH1713" s="43" t="s">
        <v>2448</v>
      </c>
      <c r="AI1713" s="63">
        <f t="shared" si="324"/>
        <v>4.6436464088397793E-2</v>
      </c>
      <c r="AJ1713" s="284">
        <f>RTD("money.excel",,$G1713,"PredictVolume")</f>
        <v>1681</v>
      </c>
      <c r="AK1713" s="399">
        <f>IFERROR(VLOOKUP($G1713,基本資料!$A:$M,13,0),"無")</f>
        <v>4.32</v>
      </c>
    </row>
    <row r="1714" spans="1:37">
      <c r="A1714" s="347">
        <f>IFERROR(VLOOKUP($G1714,基本資料!$A:$J,3,0),"無")</f>
        <v>2.92</v>
      </c>
      <c r="B1714" s="79">
        <f>IFERROR(VLOOKUP($G1714,基本資料!$A:$J,4,0),"無")</f>
        <v>68</v>
      </c>
      <c r="C1714" s="79">
        <f>IFERROR(VLOOKUP($G1714,基本資料!$A:$J,5,0),"無")</f>
        <v>54</v>
      </c>
      <c r="D1714" s="79">
        <f>IFERROR(VLOOKUP($G1714,基本資料!$A:$J,6,0),"無")</f>
        <v>-5</v>
      </c>
      <c r="E1714" s="79">
        <f>IFERROR(VLOOKUP($G1714,基本資料!$A:$J,7,0),"無")</f>
        <v>1</v>
      </c>
      <c r="F1714" s="6">
        <f>IFERROR(VLOOKUP($G1714,基本資料!$A:$J,8,0),"無")</f>
        <v>22.53</v>
      </c>
      <c r="G1714" s="79">
        <v>3131</v>
      </c>
      <c r="H1714" s="8" t="s">
        <v>314</v>
      </c>
      <c r="I1714" s="16" t="s">
        <v>4675</v>
      </c>
      <c r="J1714" s="8" t="str">
        <f>IFERROR(VLOOKUP($G1714,今日總結!$A:$AJ,35,0),"")</f>
        <v/>
      </c>
      <c r="K1714" s="5" t="str">
        <f>IFERROR(VLOOKUP($G1714,今日總結!$A:$AJ,36,0),"")</f>
        <v/>
      </c>
      <c r="L1714" s="156" t="str">
        <f>IFERROR(VLOOKUP($G1714,今日總結!$A:$AJ,33,0),"")</f>
        <v/>
      </c>
      <c r="M1714" s="340" t="str">
        <f>IFERROR(VLOOKUP($G1714,今日總結!$A:$AJ,34,0),"")</f>
        <v/>
      </c>
      <c r="N1714" s="240" t="str">
        <f t="shared" si="325"/>
        <v/>
      </c>
      <c r="P1714" s="365" t="str">
        <f>IFERROR(VLOOKUP($G1714,融外自投!$A:$J,7,0),"無")</f>
        <v>無</v>
      </c>
      <c r="Q1714" s="79" t="str">
        <f>IFERROR(VLOOKUP($G1714,融外自投!$A:$J,9,0),"無")</f>
        <v>無</v>
      </c>
      <c r="R1714" s="346" t="str">
        <f>IFERROR(VLOOKUP($G1714,融外自投!$A:$J,8,0),"無")</f>
        <v>無</v>
      </c>
      <c r="S1714" s="81" t="str">
        <f>IFERROR(VLOOKUP($G1714,融外自投!$A:$J,10,0),"無")</f>
        <v>無</v>
      </c>
      <c r="T1714" s="327" t="str">
        <f>IFERROR(VLOOKUP($G1714,'321買'!$A:$E,5,0),"'沒有資料'")</f>
        <v>'沒有資料'</v>
      </c>
      <c r="U1714" s="186">
        <f>IFERROR(VLOOKUP($G1714,基本資料!$A:$J,9,0),"無")</f>
        <v>17</v>
      </c>
      <c r="V1714" s="310">
        <f t="shared" si="320"/>
        <v>5.9233449477351915E-2</v>
      </c>
      <c r="W1714" s="94">
        <f>IFERROR(VLOOKUP($G1714,基本資料!$A:$J,10,0),"無")</f>
        <v>23.47</v>
      </c>
      <c r="X1714" s="36">
        <f>RTD("money.excel",,"3131","Price")</f>
        <v>287</v>
      </c>
      <c r="Y1714" s="66"/>
      <c r="Z1714" s="15">
        <f t="shared" si="321"/>
        <v>287</v>
      </c>
      <c r="AA1714" s="3" t="e">
        <f t="shared" si="322"/>
        <v>#DIV/0!</v>
      </c>
      <c r="AB1714" s="344">
        <f>IFERROR(VLOOKUP($G1714,基本資料!$A:$M,11,0),"無")</f>
        <v>-35.89</v>
      </c>
      <c r="AC1714" s="397">
        <f>IFERROR(VLOOKUP($G1714,基本資料!$A:$M,12,0),"無")</f>
        <v>24.09</v>
      </c>
      <c r="AD1714" s="16" t="s">
        <v>4675</v>
      </c>
      <c r="AG1714" s="33">
        <f t="shared" si="323"/>
        <v>0</v>
      </c>
      <c r="AH1714" s="43" t="s">
        <v>2309</v>
      </c>
      <c r="AI1714" s="63">
        <f t="shared" si="324"/>
        <v>6.8493150684931507E-4</v>
      </c>
      <c r="AJ1714" s="284">
        <f>RTD("money.excel",,$G1714,"PredictVolume")</f>
        <v>20</v>
      </c>
      <c r="AK1714" s="399">
        <f>IFERROR(VLOOKUP($G1714,基本資料!$A:$M,13,0),"無")</f>
        <v>8.01</v>
      </c>
    </row>
    <row r="1715" spans="1:37">
      <c r="A1715" s="347">
        <f>IFERROR(VLOOKUP($G1715,基本資料!$A:$J,3,0),"無")</f>
        <v>4.2699999999999996</v>
      </c>
      <c r="B1715" s="79">
        <f>IFERROR(VLOOKUP($G1715,基本資料!$A:$J,4,0),"無")</f>
        <v>-77</v>
      </c>
      <c r="C1715" s="79">
        <f>IFERROR(VLOOKUP($G1715,基本資料!$A:$J,5,0),"無")</f>
        <v>-81</v>
      </c>
      <c r="D1715" s="79">
        <f>IFERROR(VLOOKUP($G1715,基本資料!$A:$J,6,0),"無")</f>
        <v>55</v>
      </c>
      <c r="E1715" s="79">
        <f>IFERROR(VLOOKUP($G1715,基本資料!$A:$J,7,0),"無")</f>
        <v>-14</v>
      </c>
      <c r="F1715" s="6">
        <f>IFERROR(VLOOKUP($G1715,基本資料!$A:$J,8,0),"無")</f>
        <v>1.04</v>
      </c>
      <c r="G1715" s="79">
        <v>3285</v>
      </c>
      <c r="H1715" s="8" t="s">
        <v>314</v>
      </c>
      <c r="I1715" s="16" t="s">
        <v>4676</v>
      </c>
      <c r="J1715" s="8" t="str">
        <f>IFERROR(VLOOKUP($G1715,今日總結!$A:$AJ,35,0),"")</f>
        <v/>
      </c>
      <c r="K1715" s="5" t="str">
        <f>IFERROR(VLOOKUP($G1715,今日總結!$A:$AJ,36,0),"")</f>
        <v/>
      </c>
      <c r="L1715" s="156" t="str">
        <f>IFERROR(VLOOKUP($G1715,今日總結!$A:$AJ,33,0),"")</f>
        <v/>
      </c>
      <c r="M1715" s="340" t="str">
        <f>IFERROR(VLOOKUP($G1715,今日總結!$A:$AJ,34,0),"")</f>
        <v/>
      </c>
      <c r="N1715" s="240" t="str">
        <f t="shared" si="325"/>
        <v/>
      </c>
      <c r="P1715" s="365">
        <f>IFERROR(VLOOKUP($G1715,融外自投!$A:$J,7,0),"無")</f>
        <v>177</v>
      </c>
      <c r="Q1715" s="79" t="str">
        <f>IFERROR(VLOOKUP($G1715,融外自投!$A:$J,9,0),"無")</f>
        <v>無</v>
      </c>
      <c r="R1715" s="346">
        <f>IFERROR(VLOOKUP($G1715,融外自投!$A:$J,8,0),"無")</f>
        <v>1241</v>
      </c>
      <c r="S1715" s="81" t="str">
        <f>IFERROR(VLOOKUP($G1715,融外自投!$A:$J,10,0),"無")</f>
        <v>無</v>
      </c>
      <c r="T1715" s="327" t="str">
        <f>IFERROR(VLOOKUP($G1715,'321買'!$A:$E,5,0),"'沒有資料'")</f>
        <v>'沒有資料'</v>
      </c>
      <c r="U1715" s="186">
        <f>IFERROR(VLOOKUP($G1715,基本資料!$A:$J,9,0),"無")</f>
        <v>0</v>
      </c>
      <c r="V1715" s="310">
        <f t="shared" si="320"/>
        <v>0</v>
      </c>
      <c r="W1715" s="94">
        <f>IFERROR(VLOOKUP($G1715,基本資料!$A:$J,10,0),"無")</f>
        <v>-0.02</v>
      </c>
      <c r="X1715" s="36">
        <f>RTD("money.excel",,"3285","Price")</f>
        <v>20.399999999999999</v>
      </c>
      <c r="Y1715" s="66"/>
      <c r="Z1715" s="15">
        <f t="shared" si="321"/>
        <v>20.399999999999999</v>
      </c>
      <c r="AA1715" s="3" t="e">
        <f t="shared" si="322"/>
        <v>#DIV/0!</v>
      </c>
      <c r="AB1715" s="344">
        <f>IFERROR(VLOOKUP($G1715,基本資料!$A:$M,11,0),"無")</f>
        <v>-22.63</v>
      </c>
      <c r="AC1715" s="397">
        <f>IFERROR(VLOOKUP($G1715,基本資料!$A:$M,12,0),"無")</f>
        <v>18.559999999999999</v>
      </c>
      <c r="AD1715" s="16" t="s">
        <v>4676</v>
      </c>
      <c r="AG1715" s="33">
        <f t="shared" si="323"/>
        <v>0</v>
      </c>
      <c r="AH1715" s="43" t="s">
        <v>2277</v>
      </c>
      <c r="AI1715" s="63">
        <f t="shared" si="324"/>
        <v>7.0257611241217812E-5</v>
      </c>
      <c r="AJ1715" s="284">
        <f>RTD("money.excel",,$G1715,"PredictVolume")</f>
        <v>3</v>
      </c>
      <c r="AK1715" s="399">
        <f>IFERROR(VLOOKUP($G1715,基本資料!$A:$M,13,0),"無")</f>
        <v>3.47</v>
      </c>
    </row>
    <row r="1716" spans="1:37">
      <c r="A1716" s="347">
        <f>IFERROR(VLOOKUP($G1716,基本資料!$A:$J,3,0),"無")</f>
        <v>7.47</v>
      </c>
      <c r="B1716" s="79">
        <f>IFERROR(VLOOKUP($G1716,基本資料!$A:$J,4,0),"無")</f>
        <v>-46</v>
      </c>
      <c r="C1716" s="79">
        <f>IFERROR(VLOOKUP($G1716,基本資料!$A:$J,5,0),"無")</f>
        <v>-16</v>
      </c>
      <c r="D1716" s="79">
        <f>IFERROR(VLOOKUP($G1716,基本資料!$A:$J,6,0),"無")</f>
        <v>7</v>
      </c>
      <c r="E1716" s="79">
        <f>IFERROR(VLOOKUP($G1716,基本資料!$A:$J,7,0),"無")</f>
        <v>5</v>
      </c>
      <c r="F1716" s="6">
        <f>IFERROR(VLOOKUP($G1716,基本資料!$A:$J,8,0),"無")</f>
        <v>5.87</v>
      </c>
      <c r="G1716" s="79">
        <v>3289</v>
      </c>
      <c r="H1716" s="8" t="s">
        <v>314</v>
      </c>
      <c r="I1716" s="16" t="s">
        <v>155</v>
      </c>
      <c r="J1716" s="8" t="str">
        <f>IFERROR(VLOOKUP($G1716,今日總結!$A:$AJ,35,0),"")</f>
        <v/>
      </c>
      <c r="K1716" s="5" t="str">
        <f>IFERROR(VLOOKUP($G1716,今日總結!$A:$AJ,36,0),"")</f>
        <v/>
      </c>
      <c r="L1716" s="156" t="str">
        <f>IFERROR(VLOOKUP($G1716,今日總結!$A:$AJ,33,0),"")</f>
        <v/>
      </c>
      <c r="M1716" s="340" t="str">
        <f>IFERROR(VLOOKUP($G1716,今日總結!$A:$AJ,34,0),"")</f>
        <v/>
      </c>
      <c r="N1716" s="240" t="str">
        <f t="shared" si="325"/>
        <v/>
      </c>
      <c r="P1716" s="365">
        <f>IFERROR(VLOOKUP($G1716,融外自投!$A:$J,7,0),"無")</f>
        <v>432</v>
      </c>
      <c r="Q1716" s="79">
        <f>IFERROR(VLOOKUP($G1716,融外自投!$A:$J,9,0),"無")</f>
        <v>762</v>
      </c>
      <c r="R1716" s="346">
        <f>IFERROR(VLOOKUP($G1716,融外自投!$A:$J,8,0),"無")</f>
        <v>736</v>
      </c>
      <c r="S1716" s="81" t="str">
        <f>IFERROR(VLOOKUP($G1716,融外自投!$A:$J,10,0),"無")</f>
        <v>無</v>
      </c>
      <c r="T1716" s="327">
        <f>IFERROR(VLOOKUP($G1716,'321買'!$A:$E,5,0),"'沒有資料'")</f>
        <v>869</v>
      </c>
      <c r="U1716" s="186">
        <f>IFERROR(VLOOKUP($G1716,基本資料!$A:$J,9,0),"無")</f>
        <v>0</v>
      </c>
      <c r="V1716" s="310">
        <f t="shared" si="320"/>
        <v>0</v>
      </c>
      <c r="W1716" s="94">
        <f>IFERROR(VLOOKUP($G1716,基本資料!$A:$J,10,0),"無")</f>
        <v>2.02</v>
      </c>
      <c r="X1716" s="36">
        <f>RTD("money.excel",,"3289","Price")</f>
        <v>48.3</v>
      </c>
      <c r="Y1716" s="66"/>
      <c r="Z1716" s="15">
        <f t="shared" si="321"/>
        <v>48.3</v>
      </c>
      <c r="AA1716" s="3" t="e">
        <f t="shared" si="322"/>
        <v>#DIV/0!</v>
      </c>
      <c r="AB1716" s="344">
        <f>IFERROR(VLOOKUP($G1716,基本資料!$A:$M,11,0),"無")</f>
        <v>-19.329999999999998</v>
      </c>
      <c r="AC1716" s="397">
        <f>IFERROR(VLOOKUP($G1716,基本資料!$A:$M,12,0),"無")</f>
        <v>39.07</v>
      </c>
      <c r="AD1716" s="16" t="s">
        <v>155</v>
      </c>
      <c r="AG1716" s="33">
        <f t="shared" si="323"/>
        <v>0</v>
      </c>
      <c r="AH1716" s="117" t="s">
        <v>2449</v>
      </c>
      <c r="AI1716" s="63">
        <f t="shared" si="324"/>
        <v>1.1646586345381525E-3</v>
      </c>
      <c r="AJ1716" s="284">
        <f>RTD("money.excel",,$G1716,"PredictVolume")</f>
        <v>87</v>
      </c>
      <c r="AK1716" s="399">
        <f>IFERROR(VLOOKUP($G1716,基本資料!$A:$M,13,0),"無")</f>
        <v>6.37</v>
      </c>
    </row>
    <row r="1717" spans="1:37">
      <c r="A1717" s="347">
        <f>IFERROR(VLOOKUP($G1717,基本資料!$A:$J,3,0),"無")</f>
        <v>9.4</v>
      </c>
      <c r="B1717" s="79">
        <f>IFERROR(VLOOKUP($G1717,基本資料!$A:$J,4,0),"無")</f>
        <v>4</v>
      </c>
      <c r="C1717" s="79">
        <f>IFERROR(VLOOKUP($G1717,基本資料!$A:$J,5,0),"無")</f>
        <v>30</v>
      </c>
      <c r="D1717" s="79">
        <f>IFERROR(VLOOKUP($G1717,基本資料!$A:$J,6,0),"無")</f>
        <v>-17</v>
      </c>
      <c r="E1717" s="79">
        <f>IFERROR(VLOOKUP($G1717,基本資料!$A:$J,7,0),"無")</f>
        <v>5</v>
      </c>
      <c r="F1717" s="6">
        <f>IFERROR(VLOOKUP($G1717,基本資料!$A:$J,8,0),"無")</f>
        <v>13.33</v>
      </c>
      <c r="G1717" s="79">
        <v>3303</v>
      </c>
      <c r="H1717" s="8" t="s">
        <v>314</v>
      </c>
      <c r="I1717" s="16" t="s">
        <v>475</v>
      </c>
      <c r="J1717" s="8">
        <f>IFERROR(VLOOKUP($G1717,今日總結!$A:$AJ,35,0),"")</f>
        <v>0</v>
      </c>
      <c r="K1717" s="5" t="str">
        <f>IFERROR(VLOOKUP($G1717,今日總結!$A:$AJ,36,0),"")</f>
        <v>外</v>
      </c>
      <c r="L1717" s="156">
        <f>IFERROR(VLOOKUP($G1717,今日總結!$A:$AJ,33,0),"")</f>
        <v>0</v>
      </c>
      <c r="M1717" s="340">
        <f>IFERROR(VLOOKUP($G1717,今日總結!$A:$AJ,34,0),"")</f>
        <v>1</v>
      </c>
      <c r="N1717" s="240">
        <f t="shared" si="325"/>
        <v>-1</v>
      </c>
      <c r="P1717" s="365">
        <f>IFERROR(VLOOKUP($G1717,融外自投!$A:$J,7,0),"無")</f>
        <v>653</v>
      </c>
      <c r="Q1717" s="79">
        <f>IFERROR(VLOOKUP($G1717,融外自投!$A:$J,9,0),"無")</f>
        <v>824</v>
      </c>
      <c r="R1717" s="346">
        <f>IFERROR(VLOOKUP($G1717,融外自投!$A:$J,8,0),"無")</f>
        <v>789</v>
      </c>
      <c r="S1717" s="81" t="str">
        <f>IFERROR(VLOOKUP($G1717,融外自投!$A:$J,10,0),"無")</f>
        <v>無</v>
      </c>
      <c r="T1717" s="327">
        <f>IFERROR(VLOOKUP($G1717,'321買'!$A:$E,5,0),"'沒有資料'")</f>
        <v>357</v>
      </c>
      <c r="U1717" s="186">
        <f>IFERROR(VLOOKUP($G1717,基本資料!$A:$J,9,0),"無")</f>
        <v>1.45</v>
      </c>
      <c r="V1717" s="310">
        <f t="shared" si="320"/>
        <v>5.4409005628517824E-2</v>
      </c>
      <c r="W1717" s="94">
        <f>IFERROR(VLOOKUP($G1717,基本資料!$A:$J,10,0),"無")</f>
        <v>1.61</v>
      </c>
      <c r="X1717" s="36">
        <f>RTD("money.excel",,"3303","Price")</f>
        <v>26.65</v>
      </c>
      <c r="Y1717" s="66"/>
      <c r="Z1717" s="15">
        <f t="shared" si="321"/>
        <v>26.65</v>
      </c>
      <c r="AA1717" s="3" t="e">
        <f t="shared" si="322"/>
        <v>#DIV/0!</v>
      </c>
      <c r="AB1717" s="344">
        <f>IFERROR(VLOOKUP($G1717,基本資料!$A:$M,11,0),"無")</f>
        <v>-12.12</v>
      </c>
      <c r="AC1717" s="397">
        <f>IFERROR(VLOOKUP($G1717,基本資料!$A:$M,12,0),"無")</f>
        <v>53.24</v>
      </c>
      <c r="AD1717" s="16" t="s">
        <v>475</v>
      </c>
      <c r="AG1717" s="33">
        <f t="shared" si="323"/>
        <v>0</v>
      </c>
      <c r="AH1717" s="43" t="s">
        <v>2490</v>
      </c>
      <c r="AI1717" s="63">
        <f t="shared" si="324"/>
        <v>2.4893617021276597E-3</v>
      </c>
      <c r="AJ1717" s="284">
        <f>RTD("money.excel",,$G1717,"PredictVolume")</f>
        <v>234</v>
      </c>
      <c r="AK1717" s="399">
        <f>IFERROR(VLOOKUP($G1717,基本資料!$A:$M,13,0),"無")</f>
        <v>3.73</v>
      </c>
    </row>
    <row r="1718" spans="1:37">
      <c r="A1718" s="347">
        <f>IFERROR(VLOOKUP($G1718,基本資料!$A:$J,3,0),"無")</f>
        <v>24.9</v>
      </c>
      <c r="B1718" s="79">
        <f>IFERROR(VLOOKUP($G1718,基本資料!$A:$J,4,0),"無")</f>
        <v>285</v>
      </c>
      <c r="C1718" s="79">
        <f>IFERROR(VLOOKUP($G1718,基本資料!$A:$J,5,0),"無")</f>
        <v>220</v>
      </c>
      <c r="D1718" s="79">
        <f>IFERROR(VLOOKUP($G1718,基本資料!$A:$J,6,0),"無")</f>
        <v>-4</v>
      </c>
      <c r="E1718" s="79">
        <f>IFERROR(VLOOKUP($G1718,基本資料!$A:$J,7,0),"無")</f>
        <v>49</v>
      </c>
      <c r="F1718" s="6">
        <f>IFERROR(VLOOKUP($G1718,基本資料!$A:$J,8,0),"無")</f>
        <v>16.97</v>
      </c>
      <c r="G1718" s="79">
        <v>1708</v>
      </c>
      <c r="H1718" s="8" t="s">
        <v>755</v>
      </c>
      <c r="I1718" s="22" t="s">
        <v>757</v>
      </c>
      <c r="J1718" s="8">
        <f>IFERROR(VLOOKUP($G1718,今日總結!$A:$AJ,35,0),"")</f>
        <v>0</v>
      </c>
      <c r="K1718" s="5">
        <f>IFERROR(VLOOKUP($G1718,今日總結!$A:$AJ,36,0),"")</f>
        <v>62</v>
      </c>
      <c r="L1718" s="156">
        <f>IFERROR(VLOOKUP($G1718,今日總結!$A:$AJ,33,0),"")</f>
        <v>0</v>
      </c>
      <c r="M1718" s="340">
        <f>IFERROR(VLOOKUP($G1718,今日總結!$A:$AJ,34,0),"")</f>
        <v>3</v>
      </c>
      <c r="N1718" s="240">
        <f t="shared" si="325"/>
        <v>-3</v>
      </c>
      <c r="P1718" s="365">
        <f>IFERROR(VLOOKUP($G1718,融外自投!$A:$J,7,0),"無")</f>
        <v>60</v>
      </c>
      <c r="Q1718" s="79">
        <f>IFERROR(VLOOKUP($G1718,融外自投!$A:$J,9,0),"無")</f>
        <v>207</v>
      </c>
      <c r="R1718" s="346">
        <f>IFERROR(VLOOKUP($G1718,融外自投!$A:$J,8,0),"無")</f>
        <v>412</v>
      </c>
      <c r="S1718" s="81">
        <f>IFERROR(VLOOKUP($G1718,融外自投!$A:$J,10,0),"無")</f>
        <v>193</v>
      </c>
      <c r="T1718" s="327">
        <f>IFERROR(VLOOKUP($G1718,'321買'!$A:$E,5,0),"'沒有資料'")</f>
        <v>97</v>
      </c>
      <c r="U1718" s="186">
        <f>IFERROR(VLOOKUP($G1718,基本資料!$A:$J,9,0),"無")</f>
        <v>2</v>
      </c>
      <c r="V1718" s="310">
        <f t="shared" si="320"/>
        <v>3.6231884057971016E-2</v>
      </c>
      <c r="W1718" s="94">
        <f>IFERROR(VLOOKUP($G1718,基本資料!$A:$J,10,0),"無")</f>
        <v>2.69</v>
      </c>
      <c r="X1718" s="36">
        <f>RTD("money.excel",,"1708","Price")</f>
        <v>55.2</v>
      </c>
      <c r="Y1718" s="66"/>
      <c r="Z1718" s="15">
        <f t="shared" si="321"/>
        <v>55.2</v>
      </c>
      <c r="AA1718" s="3" t="e">
        <f t="shared" si="322"/>
        <v>#DIV/0!</v>
      </c>
      <c r="AB1718" s="344">
        <f>IFERROR(VLOOKUP($G1718,基本資料!$A:$M,11,0),"無")</f>
        <v>-17.920000000000002</v>
      </c>
      <c r="AC1718" s="397">
        <f>IFERROR(VLOOKUP($G1718,基本資料!$A:$M,12,0),"無")</f>
        <v>66.06</v>
      </c>
      <c r="AD1718" s="22" t="s">
        <v>757</v>
      </c>
      <c r="AG1718" s="33">
        <f t="shared" si="323"/>
        <v>0</v>
      </c>
      <c r="AH1718" s="43" t="s">
        <v>1525</v>
      </c>
      <c r="AI1718" s="63">
        <f t="shared" si="324"/>
        <v>0.18925702811244979</v>
      </c>
      <c r="AJ1718" s="317">
        <f>RTD("money.excel",,$G1718,"PredictVolume")</f>
        <v>47125</v>
      </c>
      <c r="AK1718" s="399">
        <f>IFERROR(VLOOKUP($G1718,基本資料!$A:$M,13,0),"無")</f>
        <v>91.32</v>
      </c>
    </row>
    <row r="1719" spans="1:37">
      <c r="A1719" s="347">
        <f>IFERROR(VLOOKUP($G1719,基本資料!$A:$J,3,0),"無")</f>
        <v>8.83</v>
      </c>
      <c r="B1719" s="79">
        <f>IFERROR(VLOOKUP($G1719,基本資料!$A:$J,4,0),"無")</f>
        <v>2</v>
      </c>
      <c r="C1719" s="79">
        <f>IFERROR(VLOOKUP($G1719,基本資料!$A:$J,5,0),"無")</f>
        <v>-11</v>
      </c>
      <c r="D1719" s="79">
        <f>IFERROR(VLOOKUP($G1719,基本資料!$A:$J,6,0),"無")</f>
        <v>-27</v>
      </c>
      <c r="E1719" s="79">
        <f>IFERROR(VLOOKUP($G1719,基本資料!$A:$J,7,0),"無")</f>
        <v>-6</v>
      </c>
      <c r="F1719" s="6">
        <f>IFERROR(VLOOKUP($G1719,基本資料!$A:$J,8,0),"無")</f>
        <v>9.67</v>
      </c>
      <c r="G1719" s="79">
        <v>3324</v>
      </c>
      <c r="H1719" s="8" t="s">
        <v>314</v>
      </c>
      <c r="I1719" s="16" t="s">
        <v>228</v>
      </c>
      <c r="J1719" s="8" t="str">
        <f>IFERROR(VLOOKUP($G1719,今日總結!$A:$AJ,35,0),"")</f>
        <v/>
      </c>
      <c r="K1719" s="5" t="str">
        <f>IFERROR(VLOOKUP($G1719,今日總結!$A:$AJ,36,0),"")</f>
        <v/>
      </c>
      <c r="L1719" s="156" t="str">
        <f>IFERROR(VLOOKUP($G1719,今日總結!$A:$AJ,33,0),"")</f>
        <v/>
      </c>
      <c r="M1719" s="340" t="str">
        <f>IFERROR(VLOOKUP($G1719,今日總結!$A:$AJ,34,0),"")</f>
        <v/>
      </c>
      <c r="N1719" s="240" t="str">
        <f t="shared" si="325"/>
        <v/>
      </c>
      <c r="P1719" s="365">
        <f>IFERROR(VLOOKUP($G1719,融外自投!$A:$J,7,0),"無")</f>
        <v>54</v>
      </c>
      <c r="Q1719" s="79">
        <f>IFERROR(VLOOKUP($G1719,融外自投!$A:$J,9,0),"無")</f>
        <v>81</v>
      </c>
      <c r="R1719" s="346">
        <f>IFERROR(VLOOKUP($G1719,融外自投!$A:$J,8,0),"無")</f>
        <v>409</v>
      </c>
      <c r="S1719" s="81">
        <f>IFERROR(VLOOKUP($G1719,融外自投!$A:$J,10,0),"無")</f>
        <v>85</v>
      </c>
      <c r="T1719" s="327">
        <f>IFERROR(VLOOKUP($G1719,'321買'!$A:$E,5,0),"'沒有資料'")</f>
        <v>74</v>
      </c>
      <c r="U1719" s="186">
        <f>IFERROR(VLOOKUP($G1719,基本資料!$A:$J,9,0),"無")</f>
        <v>6</v>
      </c>
      <c r="V1719" s="310">
        <f t="shared" si="320"/>
        <v>3.669724770642202E-2</v>
      </c>
      <c r="W1719" s="94">
        <f>IFERROR(VLOOKUP($G1719,基本資料!$A:$J,10,0),"無")</f>
        <v>13.12</v>
      </c>
      <c r="X1719" s="36">
        <f>RTD("money.excel",,"3324","Price")</f>
        <v>163.5</v>
      </c>
      <c r="Y1719" s="66"/>
      <c r="Z1719" s="15">
        <f t="shared" si="321"/>
        <v>163.5</v>
      </c>
      <c r="AA1719" s="3" t="e">
        <f t="shared" si="322"/>
        <v>#DIV/0!</v>
      </c>
      <c r="AB1719" s="344">
        <f>IFERROR(VLOOKUP($G1719,基本資料!$A:$M,11,0),"無")</f>
        <v>-39.06</v>
      </c>
      <c r="AC1719" s="397">
        <f>IFERROR(VLOOKUP($G1719,基本資料!$A:$M,12,0),"無")</f>
        <v>10.63</v>
      </c>
      <c r="AD1719" s="16" t="s">
        <v>228</v>
      </c>
      <c r="AG1719" s="33">
        <f t="shared" si="323"/>
        <v>0</v>
      </c>
      <c r="AH1719" s="43" t="s">
        <v>2925</v>
      </c>
      <c r="AI1719" s="63">
        <f t="shared" si="324"/>
        <v>9.0033975084937712E-3</v>
      </c>
      <c r="AJ1719" s="284">
        <f>RTD("money.excel",,$G1719,"PredictVolume")</f>
        <v>795</v>
      </c>
      <c r="AK1719" s="399">
        <f>IFERROR(VLOOKUP($G1719,基本資料!$A:$M,13,0),"無")</f>
        <v>14.27</v>
      </c>
    </row>
    <row r="1720" spans="1:37">
      <c r="A1720" s="347">
        <f>IFERROR(VLOOKUP($G1720,基本資料!$A:$J,3,0),"無")</f>
        <v>4.32</v>
      </c>
      <c r="B1720" s="79">
        <f>IFERROR(VLOOKUP($G1720,基本資料!$A:$J,4,0),"無")</f>
        <v>-84</v>
      </c>
      <c r="C1720" s="79">
        <f>IFERROR(VLOOKUP($G1720,基本資料!$A:$J,5,0),"無")</f>
        <v>-84</v>
      </c>
      <c r="D1720" s="79">
        <f>IFERROR(VLOOKUP($G1720,基本資料!$A:$J,6,0),"無")</f>
        <v>21</v>
      </c>
      <c r="E1720" s="79">
        <f>IFERROR(VLOOKUP($G1720,基本資料!$A:$J,7,0),"無")</f>
        <v>-51</v>
      </c>
      <c r="F1720" s="6">
        <f>IFERROR(VLOOKUP($G1720,基本資料!$A:$J,8,0),"無")</f>
        <v>15.17</v>
      </c>
      <c r="G1720" s="79">
        <v>3373</v>
      </c>
      <c r="H1720" s="8" t="s">
        <v>314</v>
      </c>
      <c r="I1720" s="16" t="s">
        <v>476</v>
      </c>
      <c r="J1720" s="8" t="str">
        <f>IFERROR(VLOOKUP($G1720,今日總結!$A:$AJ,35,0),"")</f>
        <v/>
      </c>
      <c r="K1720" s="5" t="str">
        <f>IFERROR(VLOOKUP($G1720,今日總結!$A:$AJ,36,0),"")</f>
        <v/>
      </c>
      <c r="L1720" s="156" t="str">
        <f>IFERROR(VLOOKUP($G1720,今日總結!$A:$AJ,33,0),"")</f>
        <v/>
      </c>
      <c r="M1720" s="340" t="str">
        <f>IFERROR(VLOOKUP($G1720,今日總結!$A:$AJ,34,0),"")</f>
        <v/>
      </c>
      <c r="N1720" s="240" t="str">
        <f t="shared" si="325"/>
        <v/>
      </c>
      <c r="P1720" s="365">
        <f>IFERROR(VLOOKUP($G1720,融外自投!$A:$J,7,0),"無")</f>
        <v>413</v>
      </c>
      <c r="Q1720" s="79">
        <f>IFERROR(VLOOKUP($G1720,融外自投!$A:$J,9,0),"無")</f>
        <v>18</v>
      </c>
      <c r="R1720" s="346">
        <f>IFERROR(VLOOKUP($G1720,融外自投!$A:$J,8,0),"無")</f>
        <v>1081</v>
      </c>
      <c r="S1720" s="81" t="str">
        <f>IFERROR(VLOOKUP($G1720,融外自投!$A:$J,10,0),"無")</f>
        <v>無</v>
      </c>
      <c r="T1720" s="327">
        <f>IFERROR(VLOOKUP($G1720,'321買'!$A:$E,5,0),"'沒有資料'")</f>
        <v>336</v>
      </c>
      <c r="U1720" s="186">
        <f>IFERROR(VLOOKUP($G1720,基本資料!$A:$J,9,0),"無")</f>
        <v>1.5</v>
      </c>
      <c r="V1720" s="310">
        <f t="shared" si="320"/>
        <v>5.2631578947368418E-2</v>
      </c>
      <c r="W1720" s="94">
        <f>IFERROR(VLOOKUP($G1720,基本資料!$A:$J,10,0),"無")</f>
        <v>2.6</v>
      </c>
      <c r="X1720" s="36">
        <f>RTD("money.excel",,"3373","Price")</f>
        <v>28.5</v>
      </c>
      <c r="Y1720" s="66"/>
      <c r="Z1720" s="15">
        <f t="shared" si="321"/>
        <v>28.5</v>
      </c>
      <c r="AA1720" s="3" t="e">
        <f t="shared" si="322"/>
        <v>#DIV/0!</v>
      </c>
      <c r="AB1720" s="344">
        <f>IFERROR(VLOOKUP($G1720,基本資料!$A:$M,11,0),"無")</f>
        <v>-59.77</v>
      </c>
      <c r="AC1720" s="397">
        <f>IFERROR(VLOOKUP($G1720,基本資料!$A:$M,12,0),"無")</f>
        <v>21.53</v>
      </c>
      <c r="AD1720" s="16" t="s">
        <v>476</v>
      </c>
      <c r="AG1720" s="33">
        <f t="shared" si="323"/>
        <v>0</v>
      </c>
      <c r="AH1720" s="43" t="s">
        <v>3065</v>
      </c>
      <c r="AI1720" s="63">
        <f t="shared" si="324"/>
        <v>3.9583333333333337E-3</v>
      </c>
      <c r="AJ1720" s="284">
        <f>RTD("money.excel",,$G1720,"PredictVolume")</f>
        <v>171</v>
      </c>
      <c r="AK1720" s="399">
        <f>IFERROR(VLOOKUP($G1720,基本資料!$A:$M,13,0),"無")</f>
        <v>20.5</v>
      </c>
    </row>
    <row r="1721" spans="1:37">
      <c r="A1721" s="347">
        <f>IFERROR(VLOOKUP($G1721,基本資料!$A:$J,3,0),"無")</f>
        <v>7.3</v>
      </c>
      <c r="B1721" s="79">
        <f>IFERROR(VLOOKUP($G1721,基本資料!$A:$J,4,0),"無")</f>
        <v>32</v>
      </c>
      <c r="C1721" s="79">
        <f>IFERROR(VLOOKUP($G1721,基本資料!$A:$J,5,0),"無")</f>
        <v>29</v>
      </c>
      <c r="D1721" s="79">
        <f>IFERROR(VLOOKUP($G1721,基本資料!$A:$J,6,0),"無")</f>
        <v>8</v>
      </c>
      <c r="E1721" s="79">
        <f>IFERROR(VLOOKUP($G1721,基本資料!$A:$J,7,0),"無")</f>
        <v>34</v>
      </c>
      <c r="F1721" s="6">
        <f>IFERROR(VLOOKUP($G1721,基本資料!$A:$J,8,0),"無")</f>
        <v>10.65</v>
      </c>
      <c r="G1721" s="79">
        <v>3402</v>
      </c>
      <c r="H1721" s="8" t="s">
        <v>314</v>
      </c>
      <c r="I1721" s="16" t="s">
        <v>477</v>
      </c>
      <c r="J1721" s="8" t="str">
        <f>IFERROR(VLOOKUP($G1721,今日總結!$A:$AJ,35,0),"")</f>
        <v/>
      </c>
      <c r="K1721" s="5" t="str">
        <f>IFERROR(VLOOKUP($G1721,今日總結!$A:$AJ,36,0),"")</f>
        <v/>
      </c>
      <c r="L1721" s="156" t="str">
        <f>IFERROR(VLOOKUP($G1721,今日總結!$A:$AJ,33,0),"")</f>
        <v/>
      </c>
      <c r="M1721" s="340" t="str">
        <f>IFERROR(VLOOKUP($G1721,今日總結!$A:$AJ,34,0),"")</f>
        <v/>
      </c>
      <c r="N1721" s="240" t="str">
        <f t="shared" si="325"/>
        <v/>
      </c>
      <c r="P1721" s="365">
        <f>IFERROR(VLOOKUP($G1721,融外自投!$A:$J,7,0),"無")</f>
        <v>572</v>
      </c>
      <c r="Q1721" s="79">
        <f>IFERROR(VLOOKUP($G1721,融外自投!$A:$J,9,0),"無")</f>
        <v>1051</v>
      </c>
      <c r="R1721" s="346">
        <f>IFERROR(VLOOKUP($G1721,融外自投!$A:$J,8,0),"無")</f>
        <v>696</v>
      </c>
      <c r="S1721" s="81" t="str">
        <f>IFERROR(VLOOKUP($G1721,融外自投!$A:$J,10,0),"無")</f>
        <v>無</v>
      </c>
      <c r="T1721" s="327">
        <f>IFERROR(VLOOKUP($G1721,'321買'!$A:$E,5,0),"'沒有資料'")</f>
        <v>869</v>
      </c>
      <c r="U1721" s="186">
        <f>IFERROR(VLOOKUP($G1721,基本資料!$A:$J,9,0),"無")</f>
        <v>3</v>
      </c>
      <c r="V1721" s="310">
        <f t="shared" si="320"/>
        <v>6.4655172413793108E-2</v>
      </c>
      <c r="W1721" s="94">
        <f>IFERROR(VLOOKUP($G1721,基本資料!$A:$J,10,0),"無")</f>
        <v>3.93</v>
      </c>
      <c r="X1721" s="36">
        <f>RTD("money.excel",,"3402","Price")</f>
        <v>46.4</v>
      </c>
      <c r="Y1721" s="66"/>
      <c r="Z1721" s="15">
        <f t="shared" si="321"/>
        <v>46.4</v>
      </c>
      <c r="AA1721" s="3" t="e">
        <f t="shared" si="322"/>
        <v>#DIV/0!</v>
      </c>
      <c r="AB1721" s="344">
        <f>IFERROR(VLOOKUP($G1721,基本資料!$A:$M,11,0),"無")</f>
        <v>-14.99</v>
      </c>
      <c r="AC1721" s="397">
        <f>IFERROR(VLOOKUP($G1721,基本資料!$A:$M,12,0),"無")</f>
        <v>27.85</v>
      </c>
      <c r="AD1721" s="16" t="s">
        <v>477</v>
      </c>
      <c r="AG1721" s="33">
        <f t="shared" si="323"/>
        <v>0</v>
      </c>
      <c r="AH1721" s="43" t="s">
        <v>2518</v>
      </c>
      <c r="AI1721" s="63">
        <f t="shared" si="324"/>
        <v>1.8082191780821918E-3</v>
      </c>
      <c r="AJ1721" s="284">
        <f>RTD("money.excel",,$G1721,"PredictVolume")</f>
        <v>132</v>
      </c>
      <c r="AK1721" s="399">
        <f>IFERROR(VLOOKUP($G1721,基本資料!$A:$M,13,0),"無")</f>
        <v>9.4700000000000006</v>
      </c>
    </row>
    <row r="1722" spans="1:37">
      <c r="A1722" s="347">
        <f>IFERROR(VLOOKUP($G1722,基本資料!$A:$J,3,0),"無")</f>
        <v>14.56</v>
      </c>
      <c r="B1722" s="79">
        <f>IFERROR(VLOOKUP($G1722,基本資料!$A:$J,4,0),"無")</f>
        <v>38</v>
      </c>
      <c r="C1722" s="79">
        <f>IFERROR(VLOOKUP($G1722,基本資料!$A:$J,5,0),"無")</f>
        <v>25</v>
      </c>
      <c r="D1722" s="79">
        <f>IFERROR(VLOOKUP($G1722,基本資料!$A:$J,6,0),"無")</f>
        <v>-2</v>
      </c>
      <c r="E1722" s="79">
        <f>IFERROR(VLOOKUP($G1722,基本資料!$A:$J,7,0),"無")</f>
        <v>-13</v>
      </c>
      <c r="F1722" s="6">
        <f>IFERROR(VLOOKUP($G1722,基本資料!$A:$J,8,0),"無")</f>
        <v>15.47</v>
      </c>
      <c r="G1722" s="79">
        <v>3450</v>
      </c>
      <c r="H1722" s="8" t="s">
        <v>314</v>
      </c>
      <c r="I1722" s="22" t="s">
        <v>4677</v>
      </c>
      <c r="J1722" s="8" t="str">
        <f>IFERROR(VLOOKUP($G1722,今日總結!$A:$AJ,35,0),"")</f>
        <v>外借</v>
      </c>
      <c r="K1722" s="5" t="str">
        <f>IFERROR(VLOOKUP($G1722,今日總結!$A:$AJ,36,0),"")</f>
        <v>融</v>
      </c>
      <c r="L1722" s="156">
        <f>IFERROR(VLOOKUP($G1722,今日總結!$A:$AJ,33,0),"")</f>
        <v>2</v>
      </c>
      <c r="M1722" s="340">
        <f>IFERROR(VLOOKUP($G1722,今日總結!$A:$AJ,34,0),"")</f>
        <v>1</v>
      </c>
      <c r="N1722" s="240">
        <f t="shared" si="325"/>
        <v>1</v>
      </c>
      <c r="P1722" s="365">
        <f>IFERROR(VLOOKUP($G1722,融外自投!$A:$J,7,0),"無")</f>
        <v>345</v>
      </c>
      <c r="Q1722" s="79">
        <f>IFERROR(VLOOKUP($G1722,融外自投!$A:$J,9,0),"無")</f>
        <v>635</v>
      </c>
      <c r="R1722" s="346">
        <f>IFERROR(VLOOKUP($G1722,融外自投!$A:$J,8,0),"無")</f>
        <v>625</v>
      </c>
      <c r="S1722" s="81" t="str">
        <f>IFERROR(VLOOKUP($G1722,融外自投!$A:$J,10,0),"無")</f>
        <v>無</v>
      </c>
      <c r="T1722" s="327">
        <f>IFERROR(VLOOKUP($G1722,'321買'!$A:$E,5,0),"'沒有資料'")</f>
        <v>869</v>
      </c>
      <c r="U1722" s="186">
        <f>IFERROR(VLOOKUP($G1722,基本資料!$A:$J,9,0),"無")</f>
        <v>1.8</v>
      </c>
      <c r="V1722" s="310">
        <f t="shared" si="320"/>
        <v>4.2553191489361708E-2</v>
      </c>
      <c r="W1722" s="94">
        <f>IFERROR(VLOOKUP($G1722,基本資料!$A:$J,10,0),"無")</f>
        <v>2.5499999999999998</v>
      </c>
      <c r="X1722" s="36">
        <f>RTD("money.excel",,"3450","Price")</f>
        <v>42.3</v>
      </c>
      <c r="Y1722" s="66"/>
      <c r="Z1722" s="15">
        <f t="shared" si="321"/>
        <v>42.3</v>
      </c>
      <c r="AA1722" s="3" t="e">
        <f t="shared" si="322"/>
        <v>#DIV/0!</v>
      </c>
      <c r="AB1722" s="344">
        <f>IFERROR(VLOOKUP($G1722,基本資料!$A:$M,11,0),"無")</f>
        <v>-33.93</v>
      </c>
      <c r="AC1722" s="397">
        <f>IFERROR(VLOOKUP($G1722,基本資料!$A:$M,12,0),"無")</f>
        <v>13.52</v>
      </c>
      <c r="AD1722" s="22" t="s">
        <v>4677</v>
      </c>
      <c r="AG1722" s="33">
        <f t="shared" si="323"/>
        <v>0</v>
      </c>
      <c r="AH1722" s="117" t="s">
        <v>2185</v>
      </c>
      <c r="AI1722" s="63">
        <f t="shared" si="324"/>
        <v>7.348901098901099E-4</v>
      </c>
      <c r="AJ1722" s="284">
        <f>RTD("money.excel",,$G1722,"PredictVolume")</f>
        <v>107</v>
      </c>
      <c r="AK1722" s="399">
        <f>IFERROR(VLOOKUP($G1722,基本資料!$A:$M,13,0),"無")</f>
        <v>3.22</v>
      </c>
    </row>
    <row r="1723" spans="1:37">
      <c r="A1723" s="347">
        <f>IFERROR(VLOOKUP($G1723,基本資料!$A:$J,3,0),"無")</f>
        <v>6.28</v>
      </c>
      <c r="B1723" s="79">
        <f>IFERROR(VLOOKUP($G1723,基本資料!$A:$J,4,0),"無")</f>
        <v>143</v>
      </c>
      <c r="C1723" s="79">
        <f>IFERROR(VLOOKUP($G1723,基本資料!$A:$J,5,0),"無")</f>
        <v>159</v>
      </c>
      <c r="D1723" s="79">
        <f>IFERROR(VLOOKUP($G1723,基本資料!$A:$J,6,0),"無")</f>
        <v>-49</v>
      </c>
      <c r="E1723" s="79">
        <f>IFERROR(VLOOKUP($G1723,基本資料!$A:$J,7,0),"無")</f>
        <v>-73</v>
      </c>
      <c r="F1723" s="6">
        <f>IFERROR(VLOOKUP($G1723,基本資料!$A:$J,8,0),"無")</f>
        <v>1.98</v>
      </c>
      <c r="G1723" s="79">
        <v>3498</v>
      </c>
      <c r="H1723" s="8" t="s">
        <v>314</v>
      </c>
      <c r="I1723" s="16" t="s">
        <v>231</v>
      </c>
      <c r="J1723" s="8" t="str">
        <f>IFERROR(VLOOKUP($G1723,今日總結!$A:$AJ,35,0),"")</f>
        <v/>
      </c>
      <c r="K1723" s="5" t="str">
        <f>IFERROR(VLOOKUP($G1723,今日總結!$A:$AJ,36,0),"")</f>
        <v/>
      </c>
      <c r="L1723" s="156" t="str">
        <f>IFERROR(VLOOKUP($G1723,今日總結!$A:$AJ,33,0),"")</f>
        <v/>
      </c>
      <c r="M1723" s="340" t="str">
        <f>IFERROR(VLOOKUP($G1723,今日總結!$A:$AJ,34,0),"")</f>
        <v/>
      </c>
      <c r="N1723" s="240" t="str">
        <f t="shared" si="325"/>
        <v/>
      </c>
      <c r="P1723" s="365">
        <f>IFERROR(VLOOKUP($G1723,融外自投!$A:$J,7,0),"無")</f>
        <v>472</v>
      </c>
      <c r="Q1723" s="79">
        <f>IFERROR(VLOOKUP($G1723,融外自投!$A:$J,9,0),"無")</f>
        <v>147</v>
      </c>
      <c r="R1723" s="346">
        <f>IFERROR(VLOOKUP($G1723,融外自投!$A:$J,8,0),"無")</f>
        <v>1024</v>
      </c>
      <c r="S1723" s="81" t="str">
        <f>IFERROR(VLOOKUP($G1723,融外自投!$A:$J,10,0),"無")</f>
        <v>無</v>
      </c>
      <c r="T1723" s="327">
        <f>IFERROR(VLOOKUP($G1723,'321買'!$A:$E,5,0),"'沒有資料'")</f>
        <v>536</v>
      </c>
      <c r="U1723" s="186">
        <f>IFERROR(VLOOKUP($G1723,基本資料!$A:$J,9,0),"無")</f>
        <v>0</v>
      </c>
      <c r="V1723" s="310">
        <f t="shared" si="320"/>
        <v>0</v>
      </c>
      <c r="W1723" s="94">
        <f>IFERROR(VLOOKUP($G1723,基本資料!$A:$J,10,0),"無")</f>
        <v>0.27</v>
      </c>
      <c r="X1723" s="36">
        <f>RTD("money.excel",,"3498","Price")</f>
        <v>26.05</v>
      </c>
      <c r="Y1723" s="66"/>
      <c r="Z1723" s="15">
        <f t="shared" si="321"/>
        <v>26.05</v>
      </c>
      <c r="AA1723" s="3" t="e">
        <f t="shared" si="322"/>
        <v>#DIV/0!</v>
      </c>
      <c r="AB1723" s="344">
        <f>IFERROR(VLOOKUP($G1723,基本資料!$A:$M,11,0),"無")</f>
        <v>-40.270000000000003</v>
      </c>
      <c r="AC1723" s="397">
        <f>IFERROR(VLOOKUP($G1723,基本資料!$A:$M,12,0),"無")</f>
        <v>8.8000000000000007</v>
      </c>
      <c r="AD1723" s="16" t="s">
        <v>231</v>
      </c>
      <c r="AG1723" s="33">
        <f t="shared" si="323"/>
        <v>0</v>
      </c>
      <c r="AH1723" s="119" t="s">
        <v>1452</v>
      </c>
      <c r="AI1723" s="63">
        <f t="shared" ref="AI1723:AI1754" si="326">AJ1723/(A1723*10000)</f>
        <v>7.9617834394904463E-4</v>
      </c>
      <c r="AJ1723" s="284">
        <f>RTD("money.excel",,$G1723,"PredictVolume")</f>
        <v>50</v>
      </c>
      <c r="AK1723" s="399">
        <f>IFERROR(VLOOKUP($G1723,基本資料!$A:$M,13,0),"無")</f>
        <v>4.76</v>
      </c>
    </row>
    <row r="1724" spans="1:37">
      <c r="A1724" s="347">
        <f>IFERROR(VLOOKUP($G1724,基本資料!$A:$J,3,0),"無")</f>
        <v>10.210000000000001</v>
      </c>
      <c r="B1724" s="79">
        <f>IFERROR(VLOOKUP($G1724,基本資料!$A:$J,4,0),"無")</f>
        <v>43</v>
      </c>
      <c r="C1724" s="79">
        <f>IFERROR(VLOOKUP($G1724,基本資料!$A:$J,5,0),"無")</f>
        <v>55</v>
      </c>
      <c r="D1724" s="79">
        <f>IFERROR(VLOOKUP($G1724,基本資料!$A:$J,6,0),"無")</f>
        <v>62</v>
      </c>
      <c r="E1724" s="79">
        <f>IFERROR(VLOOKUP($G1724,基本資料!$A:$J,7,0),"無")</f>
        <v>24</v>
      </c>
      <c r="F1724" s="6">
        <f>IFERROR(VLOOKUP($G1724,基本資料!$A:$J,8,0),"無")</f>
        <v>-11.85</v>
      </c>
      <c r="G1724" s="79">
        <v>3508</v>
      </c>
      <c r="H1724" s="8" t="s">
        <v>314</v>
      </c>
      <c r="I1724" s="16" t="s">
        <v>4678</v>
      </c>
      <c r="J1724" s="8">
        <f>IFERROR(VLOOKUP($G1724,今日總結!$A:$AJ,35,0),"")</f>
        <v>4</v>
      </c>
      <c r="K1724" s="5">
        <f>IFERROR(VLOOKUP($G1724,今日總結!$A:$AJ,36,0),"")</f>
        <v>0</v>
      </c>
      <c r="L1724" s="156">
        <f>IFERROR(VLOOKUP($G1724,今日總結!$A:$AJ,33,0),"")</f>
        <v>1</v>
      </c>
      <c r="M1724" s="340">
        <f>IFERROR(VLOOKUP($G1724,今日總結!$A:$AJ,34,0),"")</f>
        <v>0</v>
      </c>
      <c r="N1724" s="240">
        <f t="shared" si="325"/>
        <v>1</v>
      </c>
      <c r="P1724" s="365">
        <f>IFERROR(VLOOKUP($G1724,融外自投!$A:$J,7,0),"無")</f>
        <v>169</v>
      </c>
      <c r="Q1724" s="79">
        <f>IFERROR(VLOOKUP($G1724,融外自投!$A:$J,9,0),"無")</f>
        <v>62</v>
      </c>
      <c r="R1724" s="346">
        <f>IFERROR(VLOOKUP($G1724,融外自投!$A:$J,8,0),"無")</f>
        <v>794</v>
      </c>
      <c r="S1724" s="81" t="str">
        <f>IFERROR(VLOOKUP($G1724,融外自投!$A:$J,10,0),"無")</f>
        <v>無</v>
      </c>
      <c r="T1724" s="327">
        <f>IFERROR(VLOOKUP($G1724,'321買'!$A:$E,5,0),"'沒有資料'")</f>
        <v>281</v>
      </c>
      <c r="U1724" s="186">
        <f>IFERROR(VLOOKUP($G1724,基本資料!$A:$J,9,0),"無")</f>
        <v>0</v>
      </c>
      <c r="V1724" s="310">
        <f t="shared" si="320"/>
        <v>0</v>
      </c>
      <c r="W1724" s="94">
        <f>IFERROR(VLOOKUP($G1724,基本資料!$A:$J,10,0),"無")</f>
        <v>-0.92</v>
      </c>
      <c r="X1724" s="36">
        <f>RTD("money.excel",,"3508","Price")</f>
        <v>32.9</v>
      </c>
      <c r="Y1724" s="66"/>
      <c r="Z1724" s="15">
        <f t="shared" si="321"/>
        <v>32.9</v>
      </c>
      <c r="AA1724" s="3" t="e">
        <f t="shared" si="322"/>
        <v>#DIV/0!</v>
      </c>
      <c r="AB1724" s="344">
        <f>IFERROR(VLOOKUP($G1724,基本資料!$A:$M,11,0),"無")</f>
        <v>-57.09</v>
      </c>
      <c r="AC1724" s="397">
        <f>IFERROR(VLOOKUP($G1724,基本資料!$A:$M,12,0),"無")</f>
        <v>9.8000000000000007</v>
      </c>
      <c r="AD1724" s="16" t="s">
        <v>4678</v>
      </c>
      <c r="AG1724" s="33">
        <f t="shared" si="323"/>
        <v>0</v>
      </c>
      <c r="AH1724" s="117" t="s">
        <v>2519</v>
      </c>
      <c r="AI1724" s="63">
        <f t="shared" si="326"/>
        <v>1.09794319294809E-2</v>
      </c>
      <c r="AJ1724" s="284">
        <f>RTD("money.excel",,$G1724,"PredictVolume")</f>
        <v>1121</v>
      </c>
      <c r="AK1724" s="399">
        <f>IFERROR(VLOOKUP($G1724,基本資料!$A:$M,13,0),"無")</f>
        <v>128.04</v>
      </c>
    </row>
    <row r="1725" spans="1:37">
      <c r="A1725" s="347">
        <f>IFERROR(VLOOKUP($G1725,基本資料!$A:$J,3,0),"無")</f>
        <v>8.07</v>
      </c>
      <c r="B1725" s="79">
        <f>IFERROR(VLOOKUP($G1725,基本資料!$A:$J,4,0),"無")</f>
        <v>173</v>
      </c>
      <c r="C1725" s="79">
        <f>IFERROR(VLOOKUP($G1725,基本資料!$A:$J,5,0),"無")</f>
        <v>488</v>
      </c>
      <c r="D1725" s="79">
        <f>IFERROR(VLOOKUP($G1725,基本資料!$A:$J,6,0),"無")</f>
        <v>-39</v>
      </c>
      <c r="E1725" s="79">
        <f>IFERROR(VLOOKUP($G1725,基本資料!$A:$J,7,0),"無")</f>
        <v>-48</v>
      </c>
      <c r="F1725" s="6">
        <f>IFERROR(VLOOKUP($G1725,基本資料!$A:$J,8,0),"無")</f>
        <v>7.58</v>
      </c>
      <c r="G1725" s="79">
        <v>3518</v>
      </c>
      <c r="H1725" s="8" t="s">
        <v>314</v>
      </c>
      <c r="I1725" s="22" t="s">
        <v>505</v>
      </c>
      <c r="J1725" s="8" t="str">
        <f>IFERROR(VLOOKUP($G1725,今日總結!$A:$AJ,35,0),"")</f>
        <v/>
      </c>
      <c r="K1725" s="5" t="str">
        <f>IFERROR(VLOOKUP($G1725,今日總結!$A:$AJ,36,0),"")</f>
        <v/>
      </c>
      <c r="L1725" s="156" t="str">
        <f>IFERROR(VLOOKUP($G1725,今日總結!$A:$AJ,33,0),"")</f>
        <v/>
      </c>
      <c r="M1725" s="340" t="str">
        <f>IFERROR(VLOOKUP($G1725,今日總結!$A:$AJ,34,0),"")</f>
        <v/>
      </c>
      <c r="N1725" s="240" t="str">
        <f t="shared" si="325"/>
        <v/>
      </c>
      <c r="P1725" s="365">
        <f>IFERROR(VLOOKUP($G1725,融外自投!$A:$J,7,0),"無")</f>
        <v>235</v>
      </c>
      <c r="Q1725" s="79">
        <f>IFERROR(VLOOKUP($G1725,融外自投!$A:$J,9,0),"無")</f>
        <v>425</v>
      </c>
      <c r="R1725" s="346">
        <f>IFERROR(VLOOKUP($G1725,融外自投!$A:$J,8,0),"無")</f>
        <v>596</v>
      </c>
      <c r="S1725" s="81" t="str">
        <f>IFERROR(VLOOKUP($G1725,融外自投!$A:$J,10,0),"無")</f>
        <v>無</v>
      </c>
      <c r="T1725" s="327">
        <f>IFERROR(VLOOKUP($G1725,'321買'!$A:$E,5,0),"'沒有資料'")</f>
        <v>984</v>
      </c>
      <c r="U1725" s="186">
        <f>IFERROR(VLOOKUP($G1725,基本資料!$A:$J,9,0),"無")</f>
        <v>1</v>
      </c>
      <c r="V1725" s="310">
        <f t="shared" si="320"/>
        <v>5.4644808743169397E-2</v>
      </c>
      <c r="W1725" s="94">
        <f>IFERROR(VLOOKUP($G1725,基本資料!$A:$J,10,0),"無")</f>
        <v>0.52</v>
      </c>
      <c r="X1725" s="36">
        <f>RTD("money.excel",,"3518","Price")</f>
        <v>18.3</v>
      </c>
      <c r="Y1725" s="66"/>
      <c r="Z1725" s="15">
        <f t="shared" si="321"/>
        <v>18.3</v>
      </c>
      <c r="AA1725" s="3" t="e">
        <f t="shared" si="322"/>
        <v>#DIV/0!</v>
      </c>
      <c r="AB1725" s="344">
        <f>IFERROR(VLOOKUP($G1725,基本資料!$A:$M,11,0),"無")</f>
        <v>-33.93</v>
      </c>
      <c r="AC1725" s="397">
        <f>IFERROR(VLOOKUP($G1725,基本資料!$A:$M,12,0),"無")</f>
        <v>14.48</v>
      </c>
      <c r="AD1725" s="22" t="s">
        <v>505</v>
      </c>
      <c r="AG1725" s="33">
        <f t="shared" si="323"/>
        <v>0</v>
      </c>
      <c r="AH1725" s="43" t="s">
        <v>2576</v>
      </c>
      <c r="AI1725" s="63">
        <f t="shared" si="326"/>
        <v>6.9392812887236679E-4</v>
      </c>
      <c r="AJ1725" s="284">
        <f>RTD("money.excel",,$G1725,"PredictVolume")</f>
        <v>56</v>
      </c>
      <c r="AK1725" s="399">
        <f>IFERROR(VLOOKUP($G1725,基本資料!$A:$M,13,0),"無")</f>
        <v>4.47</v>
      </c>
    </row>
    <row r="1726" spans="1:37">
      <c r="A1726" s="347">
        <f>IFERROR(VLOOKUP($G1726,基本資料!$A:$J,3,0),"無")</f>
        <v>5.67</v>
      </c>
      <c r="B1726" s="79">
        <f>IFERROR(VLOOKUP($G1726,基本資料!$A:$J,4,0),"無")</f>
        <v>57</v>
      </c>
      <c r="C1726" s="79">
        <f>IFERROR(VLOOKUP($G1726,基本資料!$A:$J,5,0),"無")</f>
        <v>35</v>
      </c>
      <c r="D1726" s="79">
        <f>IFERROR(VLOOKUP($G1726,基本資料!$A:$J,6,0),"無")</f>
        <v>-9</v>
      </c>
      <c r="E1726" s="79">
        <f>IFERROR(VLOOKUP($G1726,基本資料!$A:$J,7,0),"無")</f>
        <v>36</v>
      </c>
      <c r="F1726" s="6">
        <f>IFERROR(VLOOKUP($G1726,基本資料!$A:$J,8,0),"無")</f>
        <v>14.96</v>
      </c>
      <c r="G1726" s="79">
        <v>3541</v>
      </c>
      <c r="H1726" s="8" t="s">
        <v>314</v>
      </c>
      <c r="I1726" s="16" t="s">
        <v>157</v>
      </c>
      <c r="J1726" s="8" t="str">
        <f>IFERROR(VLOOKUP($G1726,今日總結!$A:$AJ,35,0),"")</f>
        <v/>
      </c>
      <c r="K1726" s="5" t="str">
        <f>IFERROR(VLOOKUP($G1726,今日總結!$A:$AJ,36,0),"")</f>
        <v/>
      </c>
      <c r="L1726" s="156" t="str">
        <f>IFERROR(VLOOKUP($G1726,今日總結!$A:$AJ,33,0),"")</f>
        <v/>
      </c>
      <c r="M1726" s="340" t="str">
        <f>IFERROR(VLOOKUP($G1726,今日總結!$A:$AJ,34,0),"")</f>
        <v/>
      </c>
      <c r="N1726" s="240" t="str">
        <f t="shared" si="325"/>
        <v/>
      </c>
      <c r="P1726" s="365">
        <f>IFERROR(VLOOKUP($G1726,融外自投!$A:$J,7,0),"無")</f>
        <v>560</v>
      </c>
      <c r="Q1726" s="79">
        <f>IFERROR(VLOOKUP($G1726,融外自投!$A:$J,9,0),"無")</f>
        <v>296</v>
      </c>
      <c r="R1726" s="346">
        <f>IFERROR(VLOOKUP($G1726,融外自投!$A:$J,8,0),"無")</f>
        <v>722</v>
      </c>
      <c r="S1726" s="81">
        <f>IFERROR(VLOOKUP($G1726,融外自投!$A:$J,10,0),"無")</f>
        <v>437</v>
      </c>
      <c r="T1726" s="327">
        <f>IFERROR(VLOOKUP($G1726,'321買'!$A:$E,5,0),"'沒有資料'")</f>
        <v>634</v>
      </c>
      <c r="U1726" s="186">
        <f>IFERROR(VLOOKUP($G1726,基本資料!$A:$J,9,0),"無")</f>
        <v>3</v>
      </c>
      <c r="V1726" s="310">
        <f t="shared" si="320"/>
        <v>4.5454545454545456E-2</v>
      </c>
      <c r="W1726" s="94">
        <f>IFERROR(VLOOKUP($G1726,基本資料!$A:$J,10,0),"無")</f>
        <v>3.38</v>
      </c>
      <c r="X1726" s="36">
        <f>RTD("money.excel",,"3541","Price")</f>
        <v>66</v>
      </c>
      <c r="Y1726" s="66"/>
      <c r="Z1726" s="15">
        <f t="shared" si="321"/>
        <v>66</v>
      </c>
      <c r="AA1726" s="3" t="e">
        <f t="shared" si="322"/>
        <v>#DIV/0!</v>
      </c>
      <c r="AB1726" s="344">
        <f>IFERROR(VLOOKUP($G1726,基本資料!$A:$M,11,0),"無")</f>
        <v>-7.97</v>
      </c>
      <c r="AC1726" s="397">
        <f>IFERROR(VLOOKUP($G1726,基本資料!$A:$M,12,0),"無")</f>
        <v>73.5</v>
      </c>
      <c r="AD1726" s="16" t="s">
        <v>157</v>
      </c>
      <c r="AG1726" s="33">
        <f t="shared" si="323"/>
        <v>0</v>
      </c>
      <c r="AH1726" s="117" t="s">
        <v>2520</v>
      </c>
      <c r="AI1726" s="63">
        <f t="shared" si="326"/>
        <v>3.0335097001763667E-3</v>
      </c>
      <c r="AJ1726" s="284">
        <f>RTD("money.excel",,$G1726,"PredictVolume")</f>
        <v>172</v>
      </c>
      <c r="AK1726" s="399">
        <f>IFERROR(VLOOKUP($G1726,基本資料!$A:$M,13,0),"無")</f>
        <v>17.829999999999998</v>
      </c>
    </row>
    <row r="1727" spans="1:37">
      <c r="A1727" s="347">
        <f>IFERROR(VLOOKUP($G1727,基本資料!$A:$J,3,0),"無")</f>
        <v>5.67</v>
      </c>
      <c r="B1727" s="79">
        <f>IFERROR(VLOOKUP($G1727,基本資料!$A:$J,4,0),"無")</f>
        <v>61</v>
      </c>
      <c r="C1727" s="79">
        <f>IFERROR(VLOOKUP($G1727,基本資料!$A:$J,5,0),"無")</f>
        <v>24</v>
      </c>
      <c r="D1727" s="79">
        <f>IFERROR(VLOOKUP($G1727,基本資料!$A:$J,6,0),"無")</f>
        <v>2</v>
      </c>
      <c r="E1727" s="79">
        <f>IFERROR(VLOOKUP($G1727,基本資料!$A:$J,7,0),"無")</f>
        <v>8</v>
      </c>
      <c r="F1727" s="6">
        <f>IFERROR(VLOOKUP($G1727,基本資料!$A:$J,8,0),"無")</f>
        <v>19.510000000000002</v>
      </c>
      <c r="G1727" s="79">
        <v>3551</v>
      </c>
      <c r="H1727" s="8" t="s">
        <v>314</v>
      </c>
      <c r="I1727" s="16" t="s">
        <v>478</v>
      </c>
      <c r="J1727" s="8" t="str">
        <f>IFERROR(VLOOKUP($G1727,今日總結!$A:$AJ,35,0),"")</f>
        <v>外</v>
      </c>
      <c r="K1727" s="5">
        <f>IFERROR(VLOOKUP($G1727,今日總結!$A:$AJ,36,0),"")</f>
        <v>0</v>
      </c>
      <c r="L1727" s="156">
        <f>IFERROR(VLOOKUP($G1727,今日總結!$A:$AJ,33,0),"")</f>
        <v>1</v>
      </c>
      <c r="M1727" s="340">
        <f>IFERROR(VLOOKUP($G1727,今日總結!$A:$AJ,34,0),"")</f>
        <v>0</v>
      </c>
      <c r="N1727" s="240">
        <f t="shared" si="325"/>
        <v>1</v>
      </c>
      <c r="P1727" s="365">
        <f>IFERROR(VLOOKUP($G1727,融外自投!$A:$J,7,0),"無")</f>
        <v>518</v>
      </c>
      <c r="Q1727" s="79">
        <f>IFERROR(VLOOKUP($G1727,融外自投!$A:$J,9,0),"無")</f>
        <v>266</v>
      </c>
      <c r="R1727" s="346">
        <f>IFERROR(VLOOKUP($G1727,融外自投!$A:$J,8,0),"無")</f>
        <v>730</v>
      </c>
      <c r="S1727" s="81">
        <f>IFERROR(VLOOKUP($G1727,融外自投!$A:$J,10,0),"無")</f>
        <v>245</v>
      </c>
      <c r="T1727" s="327">
        <f>IFERROR(VLOOKUP($G1727,'321買'!$A:$E,5,0),"'沒有資料'")</f>
        <v>445</v>
      </c>
      <c r="U1727" s="186">
        <f>IFERROR(VLOOKUP($G1727,基本資料!$A:$J,9,0),"無")</f>
        <v>3.5</v>
      </c>
      <c r="V1727" s="310">
        <f t="shared" si="320"/>
        <v>5.5292259083728278E-2</v>
      </c>
      <c r="W1727" s="94">
        <f>IFERROR(VLOOKUP($G1727,基本資料!$A:$J,10,0),"無")</f>
        <v>7.16</v>
      </c>
      <c r="X1727" s="36">
        <f>RTD("money.excel",,"3551","Price")</f>
        <v>63.3</v>
      </c>
      <c r="Y1727" s="66"/>
      <c r="Z1727" s="15">
        <f t="shared" si="321"/>
        <v>63.3</v>
      </c>
      <c r="AA1727" s="3" t="e">
        <f t="shared" si="322"/>
        <v>#DIV/0!</v>
      </c>
      <c r="AB1727" s="344">
        <f>IFERROR(VLOOKUP($G1727,基本資料!$A:$M,11,0),"無")</f>
        <v>-22.24</v>
      </c>
      <c r="AC1727" s="397">
        <f>IFERROR(VLOOKUP($G1727,基本資料!$A:$M,12,0),"無")</f>
        <v>10.78</v>
      </c>
      <c r="AD1727" s="16" t="s">
        <v>478</v>
      </c>
      <c r="AG1727" s="33">
        <f t="shared" si="323"/>
        <v>0</v>
      </c>
      <c r="AH1727" s="43" t="s">
        <v>2309</v>
      </c>
      <c r="AI1727" s="63">
        <f t="shared" si="326"/>
        <v>7.9012345679012348E-3</v>
      </c>
      <c r="AJ1727" s="284">
        <f>RTD("money.excel",,$G1727,"PredictVolume")</f>
        <v>448</v>
      </c>
      <c r="AK1727" s="399">
        <f>IFERROR(VLOOKUP($G1727,基本資料!$A:$M,13,0),"無")</f>
        <v>17.96</v>
      </c>
    </row>
    <row r="1728" spans="1:37">
      <c r="A1728" s="347">
        <f>IFERROR(VLOOKUP($G1728,基本資料!$A:$J,3,0),"無")</f>
        <v>8.5500000000000007</v>
      </c>
      <c r="B1728" s="79">
        <f>IFERROR(VLOOKUP($G1728,基本資料!$A:$J,4,0),"無")</f>
        <v>66</v>
      </c>
      <c r="C1728" s="79">
        <f>IFERROR(VLOOKUP($G1728,基本資料!$A:$J,5,0),"無")</f>
        <v>232</v>
      </c>
      <c r="D1728" s="79">
        <f>IFERROR(VLOOKUP($G1728,基本資料!$A:$J,6,0),"無")</f>
        <v>32</v>
      </c>
      <c r="E1728" s="79">
        <f>IFERROR(VLOOKUP($G1728,基本資料!$A:$J,7,0),"無")</f>
        <v>15</v>
      </c>
      <c r="F1728" s="6">
        <f>IFERROR(VLOOKUP($G1728,基本資料!$A:$J,8,0),"無")</f>
        <v>5.97</v>
      </c>
      <c r="G1728" s="79">
        <v>3552</v>
      </c>
      <c r="H1728" s="8" t="s">
        <v>314</v>
      </c>
      <c r="I1728" s="16" t="s">
        <v>4679</v>
      </c>
      <c r="J1728" s="8">
        <f>IFERROR(VLOOKUP($G1728,今日總結!$A:$AJ,35,0),"")</f>
        <v>0</v>
      </c>
      <c r="K1728" s="5" t="str">
        <f>IFERROR(VLOOKUP($G1728,今日總結!$A:$AJ,36,0),"")</f>
        <v>借</v>
      </c>
      <c r="L1728" s="156">
        <f>IFERROR(VLOOKUP($G1728,今日總結!$A:$AJ,33,0),"")</f>
        <v>0</v>
      </c>
      <c r="M1728" s="340">
        <f>IFERROR(VLOOKUP($G1728,今日總結!$A:$AJ,34,0),"")</f>
        <v>2</v>
      </c>
      <c r="N1728" s="240">
        <f t="shared" si="325"/>
        <v>-2</v>
      </c>
      <c r="P1728" s="365">
        <f>IFERROR(VLOOKUP($G1728,融外自投!$A:$J,7,0),"無")</f>
        <v>86</v>
      </c>
      <c r="Q1728" s="79">
        <f>IFERROR(VLOOKUP($G1728,融外自投!$A:$J,9,0),"無")</f>
        <v>71</v>
      </c>
      <c r="R1728" s="346">
        <f>IFERROR(VLOOKUP($G1728,融外自投!$A:$J,8,0),"無")</f>
        <v>391</v>
      </c>
      <c r="S1728" s="81">
        <f>IFERROR(VLOOKUP($G1728,融外自投!$A:$J,10,0),"無")</f>
        <v>329</v>
      </c>
      <c r="T1728" s="327">
        <f>IFERROR(VLOOKUP($G1728,'321買'!$A:$E,5,0),"'沒有資料'")</f>
        <v>683</v>
      </c>
      <c r="U1728" s="186">
        <f>IFERROR(VLOOKUP($G1728,基本資料!$A:$J,9,0),"無")</f>
        <v>2.5</v>
      </c>
      <c r="V1728" s="310">
        <f t="shared" si="320"/>
        <v>1.6891891891891893E-2</v>
      </c>
      <c r="W1728" s="94">
        <f>IFERROR(VLOOKUP($G1728,基本資料!$A:$J,10,0),"無")</f>
        <v>5.44</v>
      </c>
      <c r="X1728" s="36">
        <f>RTD("money.excel",,"3552","Price")</f>
        <v>148</v>
      </c>
      <c r="Y1728" s="66"/>
      <c r="Z1728" s="15">
        <f t="shared" si="321"/>
        <v>148</v>
      </c>
      <c r="AA1728" s="3" t="e">
        <f t="shared" si="322"/>
        <v>#DIV/0!</v>
      </c>
      <c r="AB1728" s="344">
        <f>IFERROR(VLOOKUP($G1728,基本資料!$A:$M,11,0),"無")</f>
        <v>-47.88</v>
      </c>
      <c r="AC1728" s="397">
        <f>IFERROR(VLOOKUP($G1728,基本資料!$A:$M,12,0),"無")</f>
        <v>53.97</v>
      </c>
      <c r="AD1728" s="16" t="s">
        <v>4679</v>
      </c>
      <c r="AG1728" s="33">
        <f t="shared" si="323"/>
        <v>0</v>
      </c>
      <c r="AH1728" s="117" t="s">
        <v>2326</v>
      </c>
      <c r="AI1728" s="63">
        <f t="shared" si="326"/>
        <v>1.6654970760233919E-2</v>
      </c>
      <c r="AJ1728" s="284">
        <f>RTD("money.excel",,$G1728,"PredictVolume")</f>
        <v>1424</v>
      </c>
      <c r="AK1728" s="399">
        <f>IFERROR(VLOOKUP($G1728,基本資料!$A:$M,13,0),"無")</f>
        <v>26.2</v>
      </c>
    </row>
    <row r="1729" spans="1:37">
      <c r="A1729" s="347">
        <f>IFERROR(VLOOKUP($G1729,基本資料!$A:$J,3,0),"無")</f>
        <v>3.94</v>
      </c>
      <c r="B1729" s="79">
        <f>IFERROR(VLOOKUP($G1729,基本資料!$A:$J,4,0),"無")</f>
        <v>64</v>
      </c>
      <c r="C1729" s="79">
        <f>IFERROR(VLOOKUP($G1729,基本資料!$A:$J,5,0),"無")</f>
        <v>168</v>
      </c>
      <c r="D1729" s="79">
        <f>IFERROR(VLOOKUP($G1729,基本資料!$A:$J,6,0),"無")</f>
        <v>-20</v>
      </c>
      <c r="E1729" s="79">
        <f>IFERROR(VLOOKUP($G1729,基本資料!$A:$J,7,0),"無")</f>
        <v>-16</v>
      </c>
      <c r="F1729" s="6">
        <f>IFERROR(VLOOKUP($G1729,基本資料!$A:$J,8,0),"無")</f>
        <v>17.600000000000001</v>
      </c>
      <c r="G1729" s="79">
        <v>3580</v>
      </c>
      <c r="H1729" s="8" t="s">
        <v>314</v>
      </c>
      <c r="I1729" s="16" t="s">
        <v>4680</v>
      </c>
      <c r="J1729" s="8" t="str">
        <f>IFERROR(VLOOKUP($G1729,今日總結!$A:$AJ,35,0),"")</f>
        <v>融</v>
      </c>
      <c r="K1729" s="5">
        <f>IFERROR(VLOOKUP($G1729,今日總結!$A:$AJ,36,0),"")</f>
        <v>0</v>
      </c>
      <c r="L1729" s="156">
        <f>IFERROR(VLOOKUP($G1729,今日總結!$A:$AJ,33,0),"")</f>
        <v>1</v>
      </c>
      <c r="M1729" s="340">
        <f>IFERROR(VLOOKUP($G1729,今日總結!$A:$AJ,34,0),"")</f>
        <v>0</v>
      </c>
      <c r="N1729" s="240">
        <f t="shared" si="325"/>
        <v>1</v>
      </c>
      <c r="P1729" s="365">
        <f>IFERROR(VLOOKUP($G1729,融外自投!$A:$J,7,0),"無")</f>
        <v>44</v>
      </c>
      <c r="Q1729" s="79">
        <f>IFERROR(VLOOKUP($G1729,融外自投!$A:$J,9,0),"無")</f>
        <v>492</v>
      </c>
      <c r="R1729" s="346">
        <f>IFERROR(VLOOKUP($G1729,融外自投!$A:$J,8,0),"無")</f>
        <v>683</v>
      </c>
      <c r="S1729" s="81" t="str">
        <f>IFERROR(VLOOKUP($G1729,融外自投!$A:$J,10,0),"無")</f>
        <v>無</v>
      </c>
      <c r="T1729" s="327">
        <f>IFERROR(VLOOKUP($G1729,'321買'!$A:$E,5,0),"'沒有資料'")</f>
        <v>515</v>
      </c>
      <c r="U1729" s="186">
        <f>IFERROR(VLOOKUP($G1729,基本資料!$A:$J,9,0),"無")</f>
        <v>2.1</v>
      </c>
      <c r="V1729" s="310">
        <f t="shared" si="320"/>
        <v>3.1111111111111114E-2</v>
      </c>
      <c r="W1729" s="94">
        <f>IFERROR(VLOOKUP($G1729,基本資料!$A:$J,10,0),"無")</f>
        <v>3.02</v>
      </c>
      <c r="X1729" s="36">
        <f>RTD("money.excel",,"3580","Price")</f>
        <v>67.5</v>
      </c>
      <c r="Y1729" s="66"/>
      <c r="Z1729" s="15">
        <f t="shared" si="321"/>
        <v>67.5</v>
      </c>
      <c r="AA1729" s="3" t="e">
        <f t="shared" si="322"/>
        <v>#DIV/0!</v>
      </c>
      <c r="AB1729" s="344">
        <f>IFERROR(VLOOKUP($G1729,基本資料!$A:$M,11,0),"無")</f>
        <v>-10.029999999999999</v>
      </c>
      <c r="AC1729" s="397">
        <f>IFERROR(VLOOKUP($G1729,基本資料!$A:$M,12,0),"無")</f>
        <v>57.43</v>
      </c>
      <c r="AD1729" s="16" t="s">
        <v>4680</v>
      </c>
      <c r="AG1729" s="33">
        <f t="shared" si="323"/>
        <v>0</v>
      </c>
      <c r="AH1729" s="117" t="s">
        <v>2323</v>
      </c>
      <c r="AI1729" s="63">
        <f t="shared" si="326"/>
        <v>9.3401015228426389E-3</v>
      </c>
      <c r="AJ1729" s="284">
        <f>RTD("money.excel",,$G1729,"PredictVolume")</f>
        <v>368</v>
      </c>
      <c r="AK1729" s="399">
        <f>IFERROR(VLOOKUP($G1729,基本資料!$A:$M,13,0),"無")</f>
        <v>6.58</v>
      </c>
    </row>
    <row r="1730" spans="1:37">
      <c r="A1730" s="347">
        <f>IFERROR(VLOOKUP($G1730,基本資料!$A:$J,3,0),"無")</f>
        <v>6.23</v>
      </c>
      <c r="B1730" s="79">
        <f>IFERROR(VLOOKUP($G1730,基本資料!$A:$J,4,0),"無")</f>
        <v>52</v>
      </c>
      <c r="C1730" s="79">
        <f>IFERROR(VLOOKUP($G1730,基本資料!$A:$J,5,0),"無")</f>
        <v>51</v>
      </c>
      <c r="D1730" s="79">
        <f>IFERROR(VLOOKUP($G1730,基本資料!$A:$J,6,0),"無")</f>
        <v>-11</v>
      </c>
      <c r="E1730" s="79">
        <f>IFERROR(VLOOKUP($G1730,基本資料!$A:$J,7,0),"無")</f>
        <v>13</v>
      </c>
      <c r="F1730" s="6">
        <f>IFERROR(VLOOKUP($G1730,基本資料!$A:$J,8,0),"無")</f>
        <v>19.93</v>
      </c>
      <c r="G1730" s="79">
        <v>3587</v>
      </c>
      <c r="H1730" s="8" t="s">
        <v>314</v>
      </c>
      <c r="I1730" s="16" t="s">
        <v>158</v>
      </c>
      <c r="J1730" s="8" t="str">
        <f>IFERROR(VLOOKUP($G1730,今日總結!$A:$AJ,35,0),"")</f>
        <v/>
      </c>
      <c r="K1730" s="5" t="str">
        <f>IFERROR(VLOOKUP($G1730,今日總結!$A:$AJ,36,0),"")</f>
        <v/>
      </c>
      <c r="L1730" s="156" t="str">
        <f>IFERROR(VLOOKUP($G1730,今日總結!$A:$AJ,33,0),"")</f>
        <v/>
      </c>
      <c r="M1730" s="340" t="str">
        <f>IFERROR(VLOOKUP($G1730,今日總結!$A:$AJ,34,0),"")</f>
        <v/>
      </c>
      <c r="N1730" s="240" t="str">
        <f t="shared" si="325"/>
        <v/>
      </c>
      <c r="P1730" s="365">
        <f>IFERROR(VLOOKUP($G1730,融外自投!$A:$J,7,0),"無")</f>
        <v>646</v>
      </c>
      <c r="Q1730" s="79">
        <f>IFERROR(VLOOKUP($G1730,融外自投!$A:$J,9,0),"無")</f>
        <v>537</v>
      </c>
      <c r="R1730" s="346">
        <f>IFERROR(VLOOKUP($G1730,融外自投!$A:$J,8,0),"無")</f>
        <v>992</v>
      </c>
      <c r="S1730" s="81">
        <f>IFERROR(VLOOKUP($G1730,融外自投!$A:$J,10,0),"無")</f>
        <v>177</v>
      </c>
      <c r="T1730" s="327">
        <f>IFERROR(VLOOKUP($G1730,'321買'!$A:$E,5,0),"'沒有資料'")</f>
        <v>248</v>
      </c>
      <c r="U1730" s="186">
        <f>IFERROR(VLOOKUP($G1730,基本資料!$A:$J,9,0),"無")</f>
        <v>5</v>
      </c>
      <c r="V1730" s="310">
        <f t="shared" si="320"/>
        <v>4.1666666666666664E-2</v>
      </c>
      <c r="W1730" s="94">
        <f>IFERROR(VLOOKUP($G1730,基本資料!$A:$J,10,0),"無")</f>
        <v>9.48</v>
      </c>
      <c r="X1730" s="36">
        <f>RTD("money.excel",,"3587","Price")</f>
        <v>120</v>
      </c>
      <c r="Y1730" s="66"/>
      <c r="Z1730" s="15">
        <f t="shared" si="321"/>
        <v>120</v>
      </c>
      <c r="AA1730" s="3" t="e">
        <f t="shared" si="322"/>
        <v>#DIV/0!</v>
      </c>
      <c r="AB1730" s="344">
        <f>IFERROR(VLOOKUP($G1730,基本資料!$A:$M,11,0),"無")</f>
        <v>-29.17</v>
      </c>
      <c r="AC1730" s="397">
        <f>IFERROR(VLOOKUP($G1730,基本資料!$A:$M,12,0),"無")</f>
        <v>10.71</v>
      </c>
      <c r="AD1730" s="16" t="s">
        <v>158</v>
      </c>
      <c r="AG1730" s="33">
        <f t="shared" si="323"/>
        <v>0</v>
      </c>
      <c r="AH1730" s="117" t="s">
        <v>1998</v>
      </c>
      <c r="AI1730" s="63">
        <f t="shared" si="326"/>
        <v>4.2054574638844293E-3</v>
      </c>
      <c r="AJ1730" s="284">
        <f>RTD("money.excel",,$G1730,"PredictVolume")</f>
        <v>262</v>
      </c>
      <c r="AK1730" s="399">
        <f>IFERROR(VLOOKUP($G1730,基本資料!$A:$M,13,0),"無")</f>
        <v>14.7</v>
      </c>
    </row>
    <row r="1731" spans="1:37">
      <c r="A1731" s="347">
        <f>IFERROR(VLOOKUP($G1731,基本資料!$A:$J,3,0),"無")</f>
        <v>8.09</v>
      </c>
      <c r="B1731" s="79">
        <f>IFERROR(VLOOKUP($G1731,基本資料!$A:$J,4,0),"無")</f>
        <v>-111</v>
      </c>
      <c r="C1731" s="79">
        <f>IFERROR(VLOOKUP($G1731,基本資料!$A:$J,5,0),"無")</f>
        <v>-87</v>
      </c>
      <c r="D1731" s="79">
        <f>IFERROR(VLOOKUP($G1731,基本資料!$A:$J,6,0),"無")</f>
        <v>36</v>
      </c>
      <c r="E1731" s="79">
        <f>IFERROR(VLOOKUP($G1731,基本資料!$A:$J,7,0),"無")</f>
        <v>53</v>
      </c>
      <c r="F1731" s="6">
        <f>IFERROR(VLOOKUP($G1731,基本資料!$A:$J,8,0),"無")</f>
        <v>1.06</v>
      </c>
      <c r="G1731" s="79">
        <v>3617</v>
      </c>
      <c r="H1731" s="8" t="s">
        <v>314</v>
      </c>
      <c r="I1731" s="22" t="s">
        <v>506</v>
      </c>
      <c r="J1731" s="8" t="str">
        <f>IFERROR(VLOOKUP($G1731,今日總結!$A:$AJ,35,0),"")</f>
        <v/>
      </c>
      <c r="K1731" s="5" t="str">
        <f>IFERROR(VLOOKUP($G1731,今日總結!$A:$AJ,36,0),"")</f>
        <v/>
      </c>
      <c r="L1731" s="156" t="str">
        <f>IFERROR(VLOOKUP($G1731,今日總結!$A:$AJ,33,0),"")</f>
        <v/>
      </c>
      <c r="M1731" s="340" t="str">
        <f>IFERROR(VLOOKUP($G1731,今日總結!$A:$AJ,34,0),"")</f>
        <v/>
      </c>
      <c r="N1731" s="240" t="str">
        <f t="shared" si="325"/>
        <v/>
      </c>
      <c r="P1731" s="365">
        <f>IFERROR(VLOOKUP($G1731,融外自投!$A:$J,7,0),"無")</f>
        <v>1250</v>
      </c>
      <c r="Q1731" s="79">
        <f>IFERROR(VLOOKUP($G1731,融外自投!$A:$J,9,0),"無")</f>
        <v>896</v>
      </c>
      <c r="R1731" s="346">
        <f>IFERROR(VLOOKUP($G1731,融外自投!$A:$J,8,0),"無")</f>
        <v>874</v>
      </c>
      <c r="S1731" s="81">
        <f>IFERROR(VLOOKUP($G1731,融外自投!$A:$J,10,0),"無")</f>
        <v>324</v>
      </c>
      <c r="T1731" s="327">
        <f>IFERROR(VLOOKUP($G1731,'321買'!$A:$E,5,0),"'沒有資料'")</f>
        <v>1214</v>
      </c>
      <c r="U1731" s="186">
        <f>IFERROR(VLOOKUP($G1731,基本資料!$A:$J,9,0),"無")</f>
        <v>1</v>
      </c>
      <c r="V1731" s="310">
        <f t="shared" si="320"/>
        <v>1.6025641025641028E-2</v>
      </c>
      <c r="W1731" s="94">
        <f>IFERROR(VLOOKUP($G1731,基本資料!$A:$J,10,0),"無")</f>
        <v>-0.89</v>
      </c>
      <c r="X1731" s="36">
        <f>RTD("money.excel",,"3617","Price")</f>
        <v>62.4</v>
      </c>
      <c r="Y1731" s="66"/>
      <c r="Z1731" s="15">
        <f t="shared" si="321"/>
        <v>62.4</v>
      </c>
      <c r="AA1731" s="3" t="e">
        <f t="shared" si="322"/>
        <v>#DIV/0!</v>
      </c>
      <c r="AB1731" s="344">
        <f>IFERROR(VLOOKUP($G1731,基本資料!$A:$M,11,0),"無")</f>
        <v>-32.69</v>
      </c>
      <c r="AC1731" s="397">
        <f>IFERROR(VLOOKUP($G1731,基本資料!$A:$M,12,0),"無")</f>
        <v>6.35</v>
      </c>
      <c r="AD1731" s="22" t="s">
        <v>506</v>
      </c>
      <c r="AG1731" s="33">
        <f t="shared" si="323"/>
        <v>0</v>
      </c>
      <c r="AH1731" s="43" t="s">
        <v>1441</v>
      </c>
      <c r="AI1731" s="63">
        <f t="shared" si="326"/>
        <v>5.6860321384425219E-4</v>
      </c>
      <c r="AJ1731" s="284">
        <f>RTD("money.excel",,$G1731,"PredictVolume")</f>
        <v>46</v>
      </c>
      <c r="AK1731" s="399">
        <f>IFERROR(VLOOKUP($G1731,基本資料!$A:$M,13,0),"無")</f>
        <v>0.51</v>
      </c>
    </row>
    <row r="1732" spans="1:37">
      <c r="A1732" s="347">
        <f>IFERROR(VLOOKUP($G1732,基本資料!$A:$J,3,0),"無")</f>
        <v>4.5</v>
      </c>
      <c r="B1732" s="79">
        <f>IFERROR(VLOOKUP($G1732,基本資料!$A:$J,4,0),"無")</f>
        <v>70</v>
      </c>
      <c r="C1732" s="79">
        <f>IFERROR(VLOOKUP($G1732,基本資料!$A:$J,5,0),"無")</f>
        <v>47</v>
      </c>
      <c r="D1732" s="79">
        <f>IFERROR(VLOOKUP($G1732,基本資料!$A:$J,6,0),"無")</f>
        <v>9</v>
      </c>
      <c r="E1732" s="79">
        <f>IFERROR(VLOOKUP($G1732,基本資料!$A:$J,7,0),"無")</f>
        <v>-8</v>
      </c>
      <c r="F1732" s="6">
        <f>IFERROR(VLOOKUP($G1732,基本資料!$A:$J,8,0),"無")</f>
        <v>2.61</v>
      </c>
      <c r="G1732" s="79">
        <v>3628</v>
      </c>
      <c r="H1732" s="8" t="s">
        <v>314</v>
      </c>
      <c r="I1732" s="16" t="s">
        <v>4681</v>
      </c>
      <c r="J1732" s="8" t="str">
        <f>IFERROR(VLOOKUP($G1732,今日總結!$A:$AJ,35,0),"")</f>
        <v/>
      </c>
      <c r="K1732" s="5" t="str">
        <f>IFERROR(VLOOKUP($G1732,今日總結!$A:$AJ,36,0),"")</f>
        <v/>
      </c>
      <c r="L1732" s="156" t="str">
        <f>IFERROR(VLOOKUP($G1732,今日總結!$A:$AJ,33,0),"")</f>
        <v/>
      </c>
      <c r="M1732" s="340" t="str">
        <f>IFERROR(VLOOKUP($G1732,今日總結!$A:$AJ,34,0),"")</f>
        <v/>
      </c>
      <c r="N1732" s="240" t="str">
        <f t="shared" si="325"/>
        <v/>
      </c>
      <c r="P1732" s="365">
        <f>IFERROR(VLOOKUP($G1732,融外自投!$A:$J,7,0),"無")</f>
        <v>732</v>
      </c>
      <c r="Q1732" s="79">
        <f>IFERROR(VLOOKUP($G1732,融外自投!$A:$J,9,0),"無")</f>
        <v>391</v>
      </c>
      <c r="R1732" s="346">
        <f>IFERROR(VLOOKUP($G1732,融外自投!$A:$J,8,0),"無")</f>
        <v>1144</v>
      </c>
      <c r="S1732" s="81" t="str">
        <f>IFERROR(VLOOKUP($G1732,融外自投!$A:$J,10,0),"無")</f>
        <v>無</v>
      </c>
      <c r="T1732" s="327">
        <f>IFERROR(VLOOKUP($G1732,'321買'!$A:$E,5,0),"'沒有資料'")</f>
        <v>915</v>
      </c>
      <c r="U1732" s="186">
        <f>IFERROR(VLOOKUP($G1732,基本資料!$A:$J,9,0),"無")</f>
        <v>1.25</v>
      </c>
      <c r="V1732" s="310">
        <f t="shared" si="320"/>
        <v>2.8735632183908046E-2</v>
      </c>
      <c r="W1732" s="94">
        <f>IFERROR(VLOOKUP($G1732,基本資料!$A:$J,10,0),"無")</f>
        <v>1.6</v>
      </c>
      <c r="X1732" s="36">
        <f>RTD("money.excel",,"3628","Price")</f>
        <v>43.5</v>
      </c>
      <c r="Y1732" s="66"/>
      <c r="Z1732" s="15">
        <f t="shared" si="321"/>
        <v>43.5</v>
      </c>
      <c r="AA1732" s="3" t="e">
        <f t="shared" si="322"/>
        <v>#DIV/0!</v>
      </c>
      <c r="AB1732" s="344">
        <f>IFERROR(VLOOKUP($G1732,基本資料!$A:$M,11,0),"無")</f>
        <v>-28.87</v>
      </c>
      <c r="AC1732" s="397">
        <f>IFERROR(VLOOKUP($G1732,基本資料!$A:$M,12,0),"無")</f>
        <v>24.58</v>
      </c>
      <c r="AD1732" s="16" t="s">
        <v>4681</v>
      </c>
      <c r="AG1732" s="33">
        <f t="shared" si="323"/>
        <v>0</v>
      </c>
      <c r="AH1732" s="43" t="s">
        <v>1441</v>
      </c>
      <c r="AI1732" s="63">
        <f t="shared" si="326"/>
        <v>4.5555555555555557E-3</v>
      </c>
      <c r="AJ1732" s="284">
        <f>RTD("money.excel",,$G1732,"PredictVolume")</f>
        <v>205</v>
      </c>
      <c r="AK1732" s="399">
        <f>IFERROR(VLOOKUP($G1732,基本資料!$A:$M,13,0),"無")</f>
        <v>22.44</v>
      </c>
    </row>
    <row r="1733" spans="1:37">
      <c r="A1733" s="347">
        <f>IFERROR(VLOOKUP($G1733,基本資料!$A:$J,3,0),"無")</f>
        <v>4.33</v>
      </c>
      <c r="B1733" s="79">
        <f>IFERROR(VLOOKUP($G1733,基本資料!$A:$J,4,0),"無")</f>
        <v>37</v>
      </c>
      <c r="C1733" s="79">
        <f>IFERROR(VLOOKUP($G1733,基本資料!$A:$J,5,0),"無")</f>
        <v>0</v>
      </c>
      <c r="D1733" s="79">
        <f>IFERROR(VLOOKUP($G1733,基本資料!$A:$J,6,0),"無")</f>
        <v>-74</v>
      </c>
      <c r="E1733" s="79">
        <f>IFERROR(VLOOKUP($G1733,基本資料!$A:$J,7,0),"無")</f>
        <v>-73</v>
      </c>
      <c r="F1733" s="6">
        <f>IFERROR(VLOOKUP($G1733,基本資料!$A:$J,8,0),"無")</f>
        <v>-26.99</v>
      </c>
      <c r="G1733" s="79">
        <v>3642</v>
      </c>
      <c r="H1733" s="8" t="s">
        <v>314</v>
      </c>
      <c r="I1733" s="16" t="s">
        <v>479</v>
      </c>
      <c r="J1733" s="8" t="str">
        <f>IFERROR(VLOOKUP($G1733,今日總結!$A:$AJ,35,0),"")</f>
        <v/>
      </c>
      <c r="K1733" s="5" t="str">
        <f>IFERROR(VLOOKUP($G1733,今日總結!$A:$AJ,36,0),"")</f>
        <v/>
      </c>
      <c r="L1733" s="156" t="str">
        <f>IFERROR(VLOOKUP($G1733,今日總結!$A:$AJ,33,0),"")</f>
        <v/>
      </c>
      <c r="M1733" s="340" t="str">
        <f>IFERROR(VLOOKUP($G1733,今日總結!$A:$AJ,34,0),"")</f>
        <v/>
      </c>
      <c r="N1733" s="240" t="str">
        <f t="shared" si="325"/>
        <v/>
      </c>
      <c r="P1733" s="365" t="str">
        <f>IFERROR(VLOOKUP($G1733,融外自投!$A:$J,7,0),"無")</f>
        <v>無</v>
      </c>
      <c r="Q1733" s="79" t="str">
        <f>IFERROR(VLOOKUP($G1733,融外自投!$A:$J,9,0),"無")</f>
        <v>無</v>
      </c>
      <c r="R1733" s="346" t="str">
        <f>IFERROR(VLOOKUP($G1733,融外自投!$A:$J,8,0),"無")</f>
        <v>無</v>
      </c>
      <c r="S1733" s="81" t="str">
        <f>IFERROR(VLOOKUP($G1733,融外自投!$A:$J,10,0),"無")</f>
        <v>無</v>
      </c>
      <c r="T1733" s="327" t="str">
        <f>IFERROR(VLOOKUP($G1733,'321買'!$A:$E,5,0),"'沒有資料'")</f>
        <v>'沒有資料'</v>
      </c>
      <c r="U1733" s="186">
        <f>IFERROR(VLOOKUP($G1733,基本資料!$A:$J,9,0),"無")</f>
        <v>0</v>
      </c>
      <c r="V1733" s="310">
        <f t="shared" si="320"/>
        <v>0</v>
      </c>
      <c r="W1733" s="94">
        <f>IFERROR(VLOOKUP($G1733,基本資料!$A:$J,10,0),"無")</f>
        <v>-2.3199999999999998</v>
      </c>
      <c r="X1733" s="36">
        <f>RTD("money.excel",,"3642","Price")</f>
        <v>8.43</v>
      </c>
      <c r="Y1733" s="66"/>
      <c r="Z1733" s="15">
        <f t="shared" si="321"/>
        <v>8.43</v>
      </c>
      <c r="AA1733" s="3" t="e">
        <f t="shared" si="322"/>
        <v>#DIV/0!</v>
      </c>
      <c r="AB1733" s="344">
        <f>IFERROR(VLOOKUP($G1733,基本資料!$A:$M,11,0),"無")</f>
        <v>-38.700000000000003</v>
      </c>
      <c r="AC1733" s="397">
        <f>IFERROR(VLOOKUP($G1733,基本資料!$A:$M,12,0),"無")</f>
        <v>63.03</v>
      </c>
      <c r="AD1733" s="16" t="s">
        <v>479</v>
      </c>
      <c r="AG1733" s="33">
        <f t="shared" si="323"/>
        <v>0</v>
      </c>
      <c r="AH1733" s="43" t="s">
        <v>2521</v>
      </c>
      <c r="AI1733" s="63">
        <f t="shared" si="326"/>
        <v>4.6189376443418013E-4</v>
      </c>
      <c r="AJ1733" s="284">
        <f>RTD("money.excel",,$G1733,"PredictVolume")</f>
        <v>20</v>
      </c>
      <c r="AK1733" s="399">
        <f>IFERROR(VLOOKUP($G1733,基本資料!$A:$M,13,0),"無")</f>
        <v>2.08</v>
      </c>
    </row>
    <row r="1734" spans="1:37">
      <c r="A1734" s="347">
        <f>IFERROR(VLOOKUP($G1734,基本資料!$A:$J,3,0),"無")</f>
        <v>7.34</v>
      </c>
      <c r="B1734" s="79">
        <f>IFERROR(VLOOKUP($G1734,基本資料!$A:$J,4,0),"無")</f>
        <v>48</v>
      </c>
      <c r="C1734" s="79">
        <f>IFERROR(VLOOKUP($G1734,基本資料!$A:$J,5,0),"無")</f>
        <v>32</v>
      </c>
      <c r="D1734" s="79">
        <f>IFERROR(VLOOKUP($G1734,基本資料!$A:$J,6,0),"無")</f>
        <v>-10</v>
      </c>
      <c r="E1734" s="79">
        <f>IFERROR(VLOOKUP($G1734,基本資料!$A:$J,7,0),"無")</f>
        <v>-9</v>
      </c>
      <c r="F1734" s="6">
        <f>IFERROR(VLOOKUP($G1734,基本資料!$A:$J,8,0),"無")</f>
        <v>3.09</v>
      </c>
      <c r="G1734" s="79">
        <v>3663</v>
      </c>
      <c r="H1734" s="8" t="s">
        <v>314</v>
      </c>
      <c r="I1734" s="16" t="s">
        <v>4682</v>
      </c>
      <c r="J1734" s="8" t="str">
        <f>IFERROR(VLOOKUP($G1734,今日總結!$A:$AJ,35,0),"")</f>
        <v/>
      </c>
      <c r="K1734" s="5" t="str">
        <f>IFERROR(VLOOKUP($G1734,今日總結!$A:$AJ,36,0),"")</f>
        <v/>
      </c>
      <c r="L1734" s="156" t="str">
        <f>IFERROR(VLOOKUP($G1734,今日總結!$A:$AJ,33,0),"")</f>
        <v/>
      </c>
      <c r="M1734" s="340" t="str">
        <f>IFERROR(VLOOKUP($G1734,今日總結!$A:$AJ,34,0),"")</f>
        <v/>
      </c>
      <c r="N1734" s="240" t="str">
        <f t="shared" si="325"/>
        <v/>
      </c>
      <c r="P1734" s="365">
        <f>IFERROR(VLOOKUP($G1734,融外自投!$A:$J,7,0),"無")</f>
        <v>373</v>
      </c>
      <c r="Q1734" s="79">
        <f>IFERROR(VLOOKUP($G1734,融外自投!$A:$J,9,0),"無")</f>
        <v>485</v>
      </c>
      <c r="R1734" s="346">
        <f>IFERROR(VLOOKUP($G1734,融外自投!$A:$J,8,0),"無")</f>
        <v>1398</v>
      </c>
      <c r="S1734" s="81" t="str">
        <f>IFERROR(VLOOKUP($G1734,融外自投!$A:$J,10,0),"無")</f>
        <v>無</v>
      </c>
      <c r="T1734" s="327">
        <f>IFERROR(VLOOKUP($G1734,'321買'!$A:$E,5,0),"'沒有資料'")</f>
        <v>915</v>
      </c>
      <c r="U1734" s="186">
        <f>IFERROR(VLOOKUP($G1734,基本資料!$A:$J,9,0),"無")</f>
        <v>0.9</v>
      </c>
      <c r="V1734" s="310">
        <f t="shared" si="320"/>
        <v>3.5433070866141732E-2</v>
      </c>
      <c r="W1734" s="94">
        <f>IFERROR(VLOOKUP($G1734,基本資料!$A:$J,10,0),"無")</f>
        <v>0.96</v>
      </c>
      <c r="X1734" s="36">
        <f>RTD("money.excel",,"3663","Price")</f>
        <v>25.4</v>
      </c>
      <c r="Y1734" s="66"/>
      <c r="Z1734" s="15">
        <f t="shared" si="321"/>
        <v>25.4</v>
      </c>
      <c r="AA1734" s="3" t="e">
        <f t="shared" si="322"/>
        <v>#DIV/0!</v>
      </c>
      <c r="AB1734" s="344">
        <f>IFERROR(VLOOKUP($G1734,基本資料!$A:$M,11,0),"無")</f>
        <v>-52.35</v>
      </c>
      <c r="AC1734" s="397">
        <f>IFERROR(VLOOKUP($G1734,基本資料!$A:$M,12,0),"無")</f>
        <v>12.14</v>
      </c>
      <c r="AD1734" s="16" t="s">
        <v>4682</v>
      </c>
      <c r="AG1734" s="33">
        <f t="shared" si="323"/>
        <v>0</v>
      </c>
      <c r="AH1734" s="43" t="s">
        <v>2522</v>
      </c>
      <c r="AI1734" s="63">
        <f t="shared" si="326"/>
        <v>1.4577656675749319E-3</v>
      </c>
      <c r="AJ1734" s="284">
        <f>RTD("money.excel",,$G1734,"PredictVolume")</f>
        <v>107</v>
      </c>
      <c r="AK1734" s="399">
        <f>IFERROR(VLOOKUP($G1734,基本資料!$A:$M,13,0),"無")</f>
        <v>55.5</v>
      </c>
    </row>
    <row r="1735" spans="1:37">
      <c r="A1735" s="347">
        <f>IFERROR(VLOOKUP($G1735,基本資料!$A:$J,3,0),"無")</f>
        <v>15.27</v>
      </c>
      <c r="B1735" s="79">
        <f>IFERROR(VLOOKUP($G1735,基本資料!$A:$J,4,0),"無")</f>
        <v>11</v>
      </c>
      <c r="C1735" s="79">
        <f>IFERROR(VLOOKUP($G1735,基本資料!$A:$J,5,0),"無")</f>
        <v>8</v>
      </c>
      <c r="D1735" s="79">
        <f>IFERROR(VLOOKUP($G1735,基本資料!$A:$J,6,0),"無")</f>
        <v>-1</v>
      </c>
      <c r="E1735" s="79">
        <f>IFERROR(VLOOKUP($G1735,基本資料!$A:$J,7,0),"無")</f>
        <v>86</v>
      </c>
      <c r="F1735" s="6">
        <f>IFERROR(VLOOKUP($G1735,基本資料!$A:$J,8,0),"無")</f>
        <v>9.31</v>
      </c>
      <c r="G1735" s="79">
        <v>3665</v>
      </c>
      <c r="H1735" s="192" t="s">
        <v>314</v>
      </c>
      <c r="I1735" s="22" t="s">
        <v>267</v>
      </c>
      <c r="J1735" s="8" t="str">
        <f>IFERROR(VLOOKUP($G1735,今日總結!$A:$AJ,35,0),"")</f>
        <v/>
      </c>
      <c r="K1735" s="5" t="str">
        <f>IFERROR(VLOOKUP($G1735,今日總結!$A:$AJ,36,0),"")</f>
        <v/>
      </c>
      <c r="L1735" s="156" t="str">
        <f>IFERROR(VLOOKUP($G1735,今日總結!$A:$AJ,33,0),"")</f>
        <v/>
      </c>
      <c r="M1735" s="340" t="str">
        <f>IFERROR(VLOOKUP($G1735,今日總結!$A:$AJ,34,0),"")</f>
        <v/>
      </c>
      <c r="N1735" s="240" t="str">
        <f t="shared" si="325"/>
        <v/>
      </c>
      <c r="P1735" s="365">
        <f>IFERROR(VLOOKUP($G1735,融外自投!$A:$J,7,0),"無")</f>
        <v>595</v>
      </c>
      <c r="Q1735" s="79">
        <f>IFERROR(VLOOKUP($G1735,融外自投!$A:$J,9,0),"無")</f>
        <v>90</v>
      </c>
      <c r="R1735" s="346">
        <f>IFERROR(VLOOKUP($G1735,融外自投!$A:$J,8,0),"無")</f>
        <v>85</v>
      </c>
      <c r="S1735" s="81">
        <f>IFERROR(VLOOKUP($G1735,融外自投!$A:$J,10,0),"無")</f>
        <v>68</v>
      </c>
      <c r="T1735" s="327">
        <f>IFERROR(VLOOKUP($G1735,'321買'!$A:$E,5,0),"'沒有資料'")</f>
        <v>207</v>
      </c>
      <c r="U1735" s="186">
        <f>IFERROR(VLOOKUP($G1735,基本資料!$A:$J,9,0),"無")</f>
        <v>9.1300000000000008</v>
      </c>
      <c r="V1735" s="310">
        <f t="shared" si="320"/>
        <v>2.9169329073482429E-2</v>
      </c>
      <c r="W1735" s="94">
        <f>IFERROR(VLOOKUP($G1735,基本資料!$A:$J,10,0),"無")</f>
        <v>15.22</v>
      </c>
      <c r="X1735" s="36">
        <f>RTD("money.excel",,"3665","Price")</f>
        <v>313</v>
      </c>
      <c r="Y1735" s="66"/>
      <c r="Z1735" s="15">
        <f t="shared" si="321"/>
        <v>313</v>
      </c>
      <c r="AA1735" s="3" t="e">
        <f t="shared" si="322"/>
        <v>#DIV/0!</v>
      </c>
      <c r="AB1735" s="344">
        <f>IFERROR(VLOOKUP($G1735,基本資料!$A:$M,11,0),"無")</f>
        <v>-2.62</v>
      </c>
      <c r="AC1735" s="397">
        <f>IFERROR(VLOOKUP($G1735,基本資料!$A:$M,12,0),"無")</f>
        <v>73</v>
      </c>
      <c r="AD1735" s="22" t="s">
        <v>267</v>
      </c>
      <c r="AG1735" s="33">
        <f t="shared" si="323"/>
        <v>0</v>
      </c>
      <c r="AH1735" s="117" t="s">
        <v>2311</v>
      </c>
      <c r="AI1735" s="63">
        <f t="shared" si="326"/>
        <v>1.576293385723641E-2</v>
      </c>
      <c r="AJ1735" s="284">
        <f>RTD("money.excel",,$G1735,"PredictVolume")</f>
        <v>2407</v>
      </c>
      <c r="AK1735" s="399">
        <f>IFERROR(VLOOKUP($G1735,基本資料!$A:$M,13,0),"無")</f>
        <v>7.82</v>
      </c>
    </row>
    <row r="1736" spans="1:37">
      <c r="A1736" s="347">
        <f>IFERROR(VLOOKUP($G1736,基本資料!$A:$J,3,0),"無")</f>
        <v>2.13</v>
      </c>
      <c r="B1736" s="79">
        <f>IFERROR(VLOOKUP($G1736,基本資料!$A:$J,4,0),"無")</f>
        <v>741</v>
      </c>
      <c r="C1736" s="79">
        <f>IFERROR(VLOOKUP($G1736,基本資料!$A:$J,5,0),"無")</f>
        <v>1147</v>
      </c>
      <c r="D1736" s="79">
        <f>IFERROR(VLOOKUP($G1736,基本資料!$A:$J,6,0),"無")</f>
        <v>-15</v>
      </c>
      <c r="E1736" s="79">
        <f>IFERROR(VLOOKUP($G1736,基本資料!$A:$J,7,0),"無")</f>
        <v>9</v>
      </c>
      <c r="F1736" s="6">
        <f>IFERROR(VLOOKUP($G1736,基本資料!$A:$J,8,0),"無")</f>
        <v>12.68</v>
      </c>
      <c r="G1736" s="79">
        <v>4554</v>
      </c>
      <c r="H1736" s="8" t="s">
        <v>314</v>
      </c>
      <c r="I1736" s="24" t="s">
        <v>244</v>
      </c>
      <c r="J1736" s="8" t="str">
        <f>IFERROR(VLOOKUP($G1736,今日總結!$A:$AJ,35,0),"")</f>
        <v/>
      </c>
      <c r="K1736" s="5" t="str">
        <f>IFERROR(VLOOKUP($G1736,今日總結!$A:$AJ,36,0),"")</f>
        <v/>
      </c>
      <c r="L1736" s="156" t="str">
        <f>IFERROR(VLOOKUP($G1736,今日總結!$A:$AJ,33,0),"")</f>
        <v/>
      </c>
      <c r="M1736" s="340" t="str">
        <f>IFERROR(VLOOKUP($G1736,今日總結!$A:$AJ,34,0),"")</f>
        <v/>
      </c>
      <c r="N1736" s="240" t="str">
        <f t="shared" si="325"/>
        <v/>
      </c>
      <c r="P1736" s="365" t="str">
        <f>IFERROR(VLOOKUP($G1736,融外自投!$A:$J,7,0),"無")</f>
        <v>無</v>
      </c>
      <c r="Q1736" s="79" t="str">
        <f>IFERROR(VLOOKUP($G1736,融外自投!$A:$J,9,0),"無")</f>
        <v>無</v>
      </c>
      <c r="R1736" s="346" t="str">
        <f>IFERROR(VLOOKUP($G1736,融外自投!$A:$J,8,0),"無")</f>
        <v>無</v>
      </c>
      <c r="S1736" s="81" t="str">
        <f>IFERROR(VLOOKUP($G1736,融外自投!$A:$J,10,0),"無")</f>
        <v>無</v>
      </c>
      <c r="T1736" s="327" t="str">
        <f>IFERROR(VLOOKUP($G1736,'321買'!$A:$E,5,0),"'沒有資料'")</f>
        <v>'沒有資料'</v>
      </c>
      <c r="U1736" s="186">
        <f>IFERROR(VLOOKUP($G1736,基本資料!$A:$J,9,0),"無")</f>
        <v>1.8</v>
      </c>
      <c r="V1736" s="310">
        <f t="shared" si="320"/>
        <v>5.1063829787234047E-2</v>
      </c>
      <c r="W1736" s="94">
        <f>IFERROR(VLOOKUP($G1736,基本資料!$A:$J,10,0),"無")</f>
        <v>2</v>
      </c>
      <c r="X1736" s="36">
        <f>RTD("money.excel",,"4554","Price")</f>
        <v>35.25</v>
      </c>
      <c r="Y1736" s="66"/>
      <c r="Z1736" s="15">
        <f t="shared" si="321"/>
        <v>35.25</v>
      </c>
      <c r="AA1736" s="3" t="e">
        <f t="shared" si="322"/>
        <v>#DIV/0!</v>
      </c>
      <c r="AB1736" s="344">
        <f>IFERROR(VLOOKUP($G1736,基本資料!$A:$M,11,0),"無")</f>
        <v>-14.63</v>
      </c>
      <c r="AC1736" s="397">
        <f>IFERROR(VLOOKUP($G1736,基本資料!$A:$M,12,0),"無")</f>
        <v>73.08</v>
      </c>
      <c r="AD1736" s="24" t="s">
        <v>244</v>
      </c>
      <c r="AG1736" s="33">
        <f t="shared" si="323"/>
        <v>0</v>
      </c>
      <c r="AH1736" s="119" t="s">
        <v>2163</v>
      </c>
      <c r="AI1736" s="63">
        <f t="shared" si="326"/>
        <v>8.497652582159624E-3</v>
      </c>
      <c r="AJ1736" s="284">
        <f>RTD("money.excel",,$G1736,"PredictVolume")</f>
        <v>181</v>
      </c>
      <c r="AK1736" s="399">
        <f>IFERROR(VLOOKUP($G1736,基本資料!$A:$M,13,0),"無")</f>
        <v>6.7</v>
      </c>
    </row>
    <row r="1737" spans="1:37">
      <c r="A1737" s="347">
        <f>IFERROR(VLOOKUP($G1737,基本資料!$A:$J,3,0),"無")</f>
        <v>3.23</v>
      </c>
      <c r="B1737" s="79">
        <f>IFERROR(VLOOKUP($G1737,基本資料!$A:$J,4,0),"無")</f>
        <v>48</v>
      </c>
      <c r="C1737" s="79">
        <f>IFERROR(VLOOKUP($G1737,基本資料!$A:$J,5,0),"無")</f>
        <v>47</v>
      </c>
      <c r="D1737" s="79">
        <f>IFERROR(VLOOKUP($G1737,基本資料!$A:$J,6,0),"無")</f>
        <v>0</v>
      </c>
      <c r="E1737" s="79">
        <f>IFERROR(VLOOKUP($G1737,基本資料!$A:$J,7,0),"無")</f>
        <v>-33</v>
      </c>
      <c r="F1737" s="6">
        <f>IFERROR(VLOOKUP($G1737,基本資料!$A:$J,8,0),"無")</f>
        <v>14.09</v>
      </c>
      <c r="G1737" s="79">
        <v>4760</v>
      </c>
      <c r="H1737" s="8" t="s">
        <v>314</v>
      </c>
      <c r="I1737" s="24" t="s">
        <v>3241</v>
      </c>
      <c r="J1737" s="8">
        <f>IFERROR(VLOOKUP($G1737,今日總結!$A:$AJ,35,0),"")</f>
        <v>0</v>
      </c>
      <c r="K1737" s="5" t="str">
        <f>IFERROR(VLOOKUP($G1737,今日總結!$A:$AJ,36,0),"")</f>
        <v>融</v>
      </c>
      <c r="L1737" s="156">
        <f>IFERROR(VLOOKUP($G1737,今日總結!$A:$AJ,33,0),"")</f>
        <v>0</v>
      </c>
      <c r="M1737" s="340">
        <f>IFERROR(VLOOKUP($G1737,今日總結!$A:$AJ,34,0),"")</f>
        <v>1</v>
      </c>
      <c r="N1737" s="240">
        <f t="shared" si="325"/>
        <v>-1</v>
      </c>
      <c r="P1737" s="365">
        <f>IFERROR(VLOOKUP($G1737,融外自投!$A:$J,7,0),"無")</f>
        <v>251</v>
      </c>
      <c r="Q1737" s="79">
        <f>IFERROR(VLOOKUP($G1737,融外自投!$A:$J,9,0),"無")</f>
        <v>978</v>
      </c>
      <c r="R1737" s="346">
        <f>IFERROR(VLOOKUP($G1737,融外自投!$A:$J,8,0),"無")</f>
        <v>1163</v>
      </c>
      <c r="S1737" s="81" t="str">
        <f>IFERROR(VLOOKUP($G1737,融外自投!$A:$J,10,0),"無")</f>
        <v>無</v>
      </c>
      <c r="T1737" s="327">
        <f>IFERROR(VLOOKUP($G1737,'321買'!$A:$E,5,0),"'沒有資料'")</f>
        <v>606</v>
      </c>
      <c r="U1737" s="186">
        <f>IFERROR(VLOOKUP($G1737,基本資料!$A:$J,9,0),"無")</f>
        <v>4.5</v>
      </c>
      <c r="V1737" s="310">
        <f t="shared" si="320"/>
        <v>6.4377682403433473E-2</v>
      </c>
      <c r="W1737" s="94">
        <f>IFERROR(VLOOKUP($G1737,基本資料!$A:$J,10,0),"無")</f>
        <v>6.7</v>
      </c>
      <c r="X1737" s="36">
        <f>RTD("money.excel",,"4760","Price")</f>
        <v>69.900000000000006</v>
      </c>
      <c r="Y1737" s="66"/>
      <c r="Z1737" s="15">
        <f t="shared" si="321"/>
        <v>69.900000000000006</v>
      </c>
      <c r="AA1737" s="3" t="e">
        <f t="shared" si="322"/>
        <v>#DIV/0!</v>
      </c>
      <c r="AB1737" s="344">
        <f>IFERROR(VLOOKUP($G1737,基本資料!$A:$M,11,0),"無")</f>
        <v>-56.82</v>
      </c>
      <c r="AC1737" s="397">
        <f>IFERROR(VLOOKUP($G1737,基本資料!$A:$M,12,0),"無")</f>
        <v>22.59</v>
      </c>
      <c r="AD1737" s="24" t="s">
        <v>3241</v>
      </c>
      <c r="AG1737" s="33">
        <f t="shared" si="323"/>
        <v>0</v>
      </c>
      <c r="AH1737" s="119" t="s">
        <v>2539</v>
      </c>
      <c r="AI1737" s="63">
        <f t="shared" si="326"/>
        <v>1.2074303405572755E-3</v>
      </c>
      <c r="AJ1737" s="284">
        <f>RTD("money.excel",,$G1737,"PredictVolume")</f>
        <v>39</v>
      </c>
      <c r="AK1737" s="399">
        <f>IFERROR(VLOOKUP($G1737,基本資料!$A:$M,13,0),"無")</f>
        <v>20.47</v>
      </c>
    </row>
    <row r="1738" spans="1:37">
      <c r="A1738" s="347">
        <f>IFERROR(VLOOKUP($G1738,基本資料!$A:$J,3,0),"無")</f>
        <v>1.02</v>
      </c>
      <c r="B1738" s="79">
        <f>IFERROR(VLOOKUP($G1738,基本資料!$A:$J,4,0),"無")</f>
        <v>-29</v>
      </c>
      <c r="C1738" s="79">
        <f>IFERROR(VLOOKUP($G1738,基本資料!$A:$J,5,0),"無")</f>
        <v>-7</v>
      </c>
      <c r="D1738" s="79">
        <f>IFERROR(VLOOKUP($G1738,基本資料!$A:$J,6,0),"無")</f>
        <v>-81</v>
      </c>
      <c r="E1738" s="79">
        <f>IFERROR(VLOOKUP($G1738,基本資料!$A:$J,7,0),"無")</f>
        <v>-90</v>
      </c>
      <c r="F1738" s="6">
        <f>IFERROR(VLOOKUP($G1738,基本資料!$A:$J,8,0),"無")</f>
        <v>-57.27</v>
      </c>
      <c r="G1738" s="79">
        <v>5205</v>
      </c>
      <c r="H1738" s="8" t="s">
        <v>314</v>
      </c>
      <c r="I1738" s="16" t="s">
        <v>1072</v>
      </c>
      <c r="J1738" s="8" t="str">
        <f>IFERROR(VLOOKUP($G1738,今日總結!$A:$AJ,35,0),"")</f>
        <v/>
      </c>
      <c r="K1738" s="5" t="str">
        <f>IFERROR(VLOOKUP($G1738,今日總結!$A:$AJ,36,0),"")</f>
        <v/>
      </c>
      <c r="L1738" s="156" t="str">
        <f>IFERROR(VLOOKUP($G1738,今日總結!$A:$AJ,33,0),"")</f>
        <v/>
      </c>
      <c r="M1738" s="340" t="str">
        <f>IFERROR(VLOOKUP($G1738,今日總結!$A:$AJ,34,0),"")</f>
        <v/>
      </c>
      <c r="N1738" s="240" t="str">
        <f t="shared" si="325"/>
        <v/>
      </c>
      <c r="P1738" s="365" t="str">
        <f>IFERROR(VLOOKUP($G1738,融外自投!$A:$J,7,0),"無")</f>
        <v>無</v>
      </c>
      <c r="Q1738" s="79" t="str">
        <f>IFERROR(VLOOKUP($G1738,融外自投!$A:$J,9,0),"無")</f>
        <v>無</v>
      </c>
      <c r="R1738" s="346" t="str">
        <f>IFERROR(VLOOKUP($G1738,融外自投!$A:$J,8,0),"無")</f>
        <v>無</v>
      </c>
      <c r="S1738" s="81" t="str">
        <f>IFERROR(VLOOKUP($G1738,融外自投!$A:$J,10,0),"無")</f>
        <v>無</v>
      </c>
      <c r="T1738" s="327" t="str">
        <f>IFERROR(VLOOKUP($G1738,'321買'!$A:$E,5,0),"'沒有資料'")</f>
        <v>'沒有資料'</v>
      </c>
      <c r="U1738" s="186">
        <f>IFERROR(VLOOKUP($G1738,基本資料!$A:$J,9,0),"無")</f>
        <v>0</v>
      </c>
      <c r="V1738" s="310" t="e">
        <f t="shared" si="320"/>
        <v>#VALUE!</v>
      </c>
      <c r="W1738" s="94">
        <f>IFERROR(VLOOKUP($G1738,基本資料!$A:$J,10,0),"無")</f>
        <v>-1.69</v>
      </c>
      <c r="X1738" s="36" t="str">
        <f>RTD("money.excel",,"5205","Price")</f>
        <v>無資料</v>
      </c>
      <c r="Y1738" s="66"/>
      <c r="Z1738" s="15" t="e">
        <f t="shared" si="321"/>
        <v>#VALUE!</v>
      </c>
      <c r="AA1738" s="3" t="e">
        <f t="shared" si="322"/>
        <v>#VALUE!</v>
      </c>
      <c r="AB1738" s="344">
        <f>IFERROR(VLOOKUP($G1738,基本資料!$A:$M,11,0),"無")</f>
        <v>-40.85</v>
      </c>
      <c r="AC1738" s="397">
        <f>IFERROR(VLOOKUP($G1738,基本資料!$A:$M,12,0),"無")</f>
        <v>28.26</v>
      </c>
      <c r="AD1738" s="16" t="s">
        <v>1072</v>
      </c>
      <c r="AG1738" s="33">
        <f t="shared" si="323"/>
        <v>0</v>
      </c>
      <c r="AH1738" s="43" t="s">
        <v>2523</v>
      </c>
      <c r="AI1738" s="63">
        <f t="shared" si="326"/>
        <v>0</v>
      </c>
      <c r="AJ1738" s="284">
        <f>RTD("money.excel",,$G1738,"PredictVolume")</f>
        <v>0</v>
      </c>
      <c r="AK1738" s="399">
        <f>IFERROR(VLOOKUP($G1738,基本資料!$A:$M,13,0),"無")</f>
        <v>0.35</v>
      </c>
    </row>
    <row r="1739" spans="1:37">
      <c r="A1739" s="347">
        <f>IFERROR(VLOOKUP($G1739,基本資料!$A:$J,3,0),"無")</f>
        <v>6.14</v>
      </c>
      <c r="B1739" s="79">
        <f>IFERROR(VLOOKUP($G1739,基本資料!$A:$J,4,0),"無")</f>
        <v>154</v>
      </c>
      <c r="C1739" s="79">
        <f>IFERROR(VLOOKUP($G1739,基本資料!$A:$J,5,0),"無")</f>
        <v>50</v>
      </c>
      <c r="D1739" s="79">
        <f>IFERROR(VLOOKUP($G1739,基本資料!$A:$J,6,0),"無")</f>
        <v>22</v>
      </c>
      <c r="E1739" s="79">
        <f>IFERROR(VLOOKUP($G1739,基本資料!$A:$J,7,0),"無")</f>
        <v>28</v>
      </c>
      <c r="F1739" s="6">
        <f>IFERROR(VLOOKUP($G1739,基本資料!$A:$J,8,0),"無")</f>
        <v>-3.21</v>
      </c>
      <c r="G1739" s="79">
        <v>5225</v>
      </c>
      <c r="H1739" s="8" t="s">
        <v>314</v>
      </c>
      <c r="I1739" s="22" t="s">
        <v>507</v>
      </c>
      <c r="J1739" s="8" t="str">
        <f>IFERROR(VLOOKUP($G1739,今日總結!$A:$AJ,35,0),"")</f>
        <v/>
      </c>
      <c r="K1739" s="5" t="str">
        <f>IFERROR(VLOOKUP($G1739,今日總結!$A:$AJ,36,0),"")</f>
        <v/>
      </c>
      <c r="L1739" s="156" t="str">
        <f>IFERROR(VLOOKUP($G1739,今日總結!$A:$AJ,33,0),"")</f>
        <v/>
      </c>
      <c r="M1739" s="340" t="str">
        <f>IFERROR(VLOOKUP($G1739,今日總結!$A:$AJ,34,0),"")</f>
        <v/>
      </c>
      <c r="N1739" s="240" t="str">
        <f t="shared" si="325"/>
        <v/>
      </c>
      <c r="P1739" s="365">
        <f>IFERROR(VLOOKUP($G1739,融外自投!$A:$J,7,0),"無")</f>
        <v>630</v>
      </c>
      <c r="Q1739" s="79">
        <f>IFERROR(VLOOKUP($G1739,融外自投!$A:$J,9,0),"無")</f>
        <v>789</v>
      </c>
      <c r="R1739" s="346">
        <f>IFERROR(VLOOKUP($G1739,融外自投!$A:$J,8,0),"無")</f>
        <v>63</v>
      </c>
      <c r="S1739" s="81">
        <f>IFERROR(VLOOKUP($G1739,融外自投!$A:$J,10,0),"無")</f>
        <v>473</v>
      </c>
      <c r="T1739" s="327">
        <f>IFERROR(VLOOKUP($G1739,'321買'!$A:$E,5,0),"'沒有資料'")</f>
        <v>623</v>
      </c>
      <c r="U1739" s="186">
        <f>IFERROR(VLOOKUP($G1739,基本資料!$A:$J,9,0),"無")</f>
        <v>0.6</v>
      </c>
      <c r="V1739" s="310">
        <f t="shared" si="320"/>
        <v>2.5052192066805846E-2</v>
      </c>
      <c r="W1739" s="94">
        <f>IFERROR(VLOOKUP($G1739,基本資料!$A:$J,10,0),"無")</f>
        <v>6.03</v>
      </c>
      <c r="X1739" s="36">
        <f>RTD("money.excel",,"5225","Price")</f>
        <v>23.95</v>
      </c>
      <c r="Y1739" s="66"/>
      <c r="Z1739" s="15">
        <f t="shared" si="321"/>
        <v>23.95</v>
      </c>
      <c r="AA1739" s="3" t="e">
        <f t="shared" si="322"/>
        <v>#DIV/0!</v>
      </c>
      <c r="AB1739" s="344">
        <f>IFERROR(VLOOKUP($G1739,基本資料!$A:$M,11,0),"無")</f>
        <v>-15.14</v>
      </c>
      <c r="AC1739" s="397">
        <f>IFERROR(VLOOKUP($G1739,基本資料!$A:$M,12,0),"無")</f>
        <v>43.21</v>
      </c>
      <c r="AD1739" s="22" t="s">
        <v>507</v>
      </c>
      <c r="AG1739" s="33">
        <f t="shared" si="323"/>
        <v>0</v>
      </c>
      <c r="AH1739" s="43" t="s">
        <v>2577</v>
      </c>
      <c r="AI1739" s="63">
        <f t="shared" si="326"/>
        <v>2.0618892508143322E-2</v>
      </c>
      <c r="AJ1739" s="284">
        <f>RTD("money.excel",,$G1739,"PredictVolume")</f>
        <v>1266</v>
      </c>
      <c r="AK1739" s="399">
        <f>IFERROR(VLOOKUP($G1739,基本資料!$A:$M,13,0),"無")</f>
        <v>5.23</v>
      </c>
    </row>
    <row r="1740" spans="1:37">
      <c r="A1740" s="347">
        <f>IFERROR(VLOOKUP($G1740,基本資料!$A:$J,3,0),"無")</f>
        <v>7.94</v>
      </c>
      <c r="B1740" s="79">
        <f>IFERROR(VLOOKUP($G1740,基本資料!$A:$J,4,0),"無")</f>
        <v>222</v>
      </c>
      <c r="C1740" s="79">
        <f>IFERROR(VLOOKUP($G1740,基本資料!$A:$J,5,0),"無")</f>
        <v>241</v>
      </c>
      <c r="D1740" s="79">
        <f>IFERROR(VLOOKUP($G1740,基本資料!$A:$J,6,0),"無")</f>
        <v>0</v>
      </c>
      <c r="E1740" s="79">
        <f>IFERROR(VLOOKUP($G1740,基本資料!$A:$J,7,0),"無")</f>
        <v>28</v>
      </c>
      <c r="F1740" s="6">
        <f>IFERROR(VLOOKUP($G1740,基本資料!$A:$J,8,0),"無")</f>
        <v>6.07</v>
      </c>
      <c r="G1740" s="79">
        <v>5383</v>
      </c>
      <c r="H1740" s="8" t="s">
        <v>314</v>
      </c>
      <c r="I1740" s="16" t="s">
        <v>480</v>
      </c>
      <c r="J1740" s="8" t="str">
        <f>IFERROR(VLOOKUP($G1740,今日總結!$A:$AJ,35,0),"")</f>
        <v/>
      </c>
      <c r="K1740" s="5" t="str">
        <f>IFERROR(VLOOKUP($G1740,今日總結!$A:$AJ,36,0),"")</f>
        <v/>
      </c>
      <c r="L1740" s="156" t="str">
        <f>IFERROR(VLOOKUP($G1740,今日總結!$A:$AJ,33,0),"")</f>
        <v/>
      </c>
      <c r="M1740" s="340" t="str">
        <f>IFERROR(VLOOKUP($G1740,今日總結!$A:$AJ,34,0),"")</f>
        <v/>
      </c>
      <c r="N1740" s="240" t="str">
        <f t="shared" si="325"/>
        <v/>
      </c>
      <c r="P1740" s="365" t="str">
        <f>IFERROR(VLOOKUP($G1740,融外自投!$A:$J,7,0),"無")</f>
        <v>無</v>
      </c>
      <c r="Q1740" s="79" t="str">
        <f>IFERROR(VLOOKUP($G1740,融外自投!$A:$J,9,0),"無")</f>
        <v>無</v>
      </c>
      <c r="R1740" s="346" t="str">
        <f>IFERROR(VLOOKUP($G1740,融外自投!$A:$J,8,0),"無")</f>
        <v>無</v>
      </c>
      <c r="S1740" s="81" t="str">
        <f>IFERROR(VLOOKUP($G1740,融外自投!$A:$J,10,0),"無")</f>
        <v>無</v>
      </c>
      <c r="T1740" s="327" t="str">
        <f>IFERROR(VLOOKUP($G1740,'321買'!$A:$E,5,0),"'沒有資料'")</f>
        <v>'沒有資料'</v>
      </c>
      <c r="U1740" s="186">
        <f>IFERROR(VLOOKUP($G1740,基本資料!$A:$J,9,0),"無")</f>
        <v>0</v>
      </c>
      <c r="V1740" s="310">
        <f t="shared" si="320"/>
        <v>0</v>
      </c>
      <c r="W1740" s="94">
        <f>IFERROR(VLOOKUP($G1740,基本資料!$A:$J,10,0),"無")</f>
        <v>0.33</v>
      </c>
      <c r="X1740" s="36">
        <f>RTD("money.excel",,"5383","Price")</f>
        <v>31.25</v>
      </c>
      <c r="Y1740" s="66"/>
      <c r="Z1740" s="15">
        <f t="shared" si="321"/>
        <v>31.25</v>
      </c>
      <c r="AA1740" s="3" t="e">
        <f t="shared" si="322"/>
        <v>#DIV/0!</v>
      </c>
      <c r="AB1740" s="344">
        <f>IFERROR(VLOOKUP($G1740,基本資料!$A:$M,11,0),"無")</f>
        <v>-41.2</v>
      </c>
      <c r="AC1740" s="397">
        <f>IFERROR(VLOOKUP($G1740,基本資料!$A:$M,12,0),"無")</f>
        <v>22.33</v>
      </c>
      <c r="AD1740" s="16" t="s">
        <v>480</v>
      </c>
      <c r="AG1740" s="33">
        <f t="shared" si="323"/>
        <v>0</v>
      </c>
      <c r="AH1740" s="43" t="s">
        <v>2524</v>
      </c>
      <c r="AI1740" s="63">
        <f t="shared" si="326"/>
        <v>1.63727959697733E-4</v>
      </c>
      <c r="AJ1740" s="284">
        <f>RTD("money.excel",,$G1740,"PredictVolume")</f>
        <v>13</v>
      </c>
      <c r="AK1740" s="399">
        <f>IFERROR(VLOOKUP($G1740,基本資料!$A:$M,13,0),"無")</f>
        <v>5.39</v>
      </c>
    </row>
    <row r="1741" spans="1:37">
      <c r="A1741" s="347">
        <f>IFERROR(VLOOKUP($G1741,基本資料!$A:$J,3,0),"無")</f>
        <v>14.87</v>
      </c>
      <c r="B1741" s="79">
        <f>IFERROR(VLOOKUP($G1741,基本資料!$A:$J,4,0),"無")</f>
        <v>74</v>
      </c>
      <c r="C1741" s="79">
        <f>IFERROR(VLOOKUP($G1741,基本資料!$A:$J,5,0),"無")</f>
        <v>78</v>
      </c>
      <c r="D1741" s="79">
        <f>IFERROR(VLOOKUP($G1741,基本資料!$A:$J,6,0),"無")</f>
        <v>-11</v>
      </c>
      <c r="E1741" s="79">
        <f>IFERROR(VLOOKUP($G1741,基本資料!$A:$J,7,0),"無")</f>
        <v>5</v>
      </c>
      <c r="F1741" s="6">
        <f>IFERROR(VLOOKUP($G1741,基本資料!$A:$J,8,0),"無")</f>
        <v>6.67</v>
      </c>
      <c r="G1741" s="79">
        <v>5452</v>
      </c>
      <c r="H1741" s="8" t="s">
        <v>314</v>
      </c>
      <c r="I1741" s="16" t="s">
        <v>481</v>
      </c>
      <c r="J1741" s="8" t="str">
        <f>IFERROR(VLOOKUP($G1741,今日總結!$A:$AJ,35,0),"")</f>
        <v/>
      </c>
      <c r="K1741" s="5" t="str">
        <f>IFERROR(VLOOKUP($G1741,今日總結!$A:$AJ,36,0),"")</f>
        <v/>
      </c>
      <c r="L1741" s="156" t="str">
        <f>IFERROR(VLOOKUP($G1741,今日總結!$A:$AJ,33,0),"")</f>
        <v/>
      </c>
      <c r="M1741" s="340" t="str">
        <f>IFERROR(VLOOKUP($G1741,今日總結!$A:$AJ,34,0),"")</f>
        <v/>
      </c>
      <c r="N1741" s="240" t="str">
        <f t="shared" si="325"/>
        <v/>
      </c>
      <c r="P1741" s="365">
        <f>IFERROR(VLOOKUP($G1741,融外自投!$A:$J,7,0),"無")</f>
        <v>418</v>
      </c>
      <c r="Q1741" s="79">
        <f>IFERROR(VLOOKUP($G1741,融外自投!$A:$J,9,0),"無")</f>
        <v>406</v>
      </c>
      <c r="R1741" s="346">
        <f>IFERROR(VLOOKUP($G1741,融外自投!$A:$J,8,0),"無")</f>
        <v>480</v>
      </c>
      <c r="S1741" s="81" t="str">
        <f>IFERROR(VLOOKUP($G1741,融外自投!$A:$J,10,0),"無")</f>
        <v>無</v>
      </c>
      <c r="T1741" s="327">
        <f>IFERROR(VLOOKUP($G1741,'321買'!$A:$E,5,0),"'沒有資料'")</f>
        <v>710</v>
      </c>
      <c r="U1741" s="186">
        <f>IFERROR(VLOOKUP($G1741,基本資料!$A:$J,9,0),"無")</f>
        <v>0.8</v>
      </c>
      <c r="V1741" s="310">
        <f t="shared" si="320"/>
        <v>4.8484848484848485E-2</v>
      </c>
      <c r="W1741" s="94">
        <f>IFERROR(VLOOKUP($G1741,基本資料!$A:$J,10,0),"無")</f>
        <v>1.6</v>
      </c>
      <c r="X1741" s="36">
        <f>RTD("money.excel",,"5452","Price")</f>
        <v>16.5</v>
      </c>
      <c r="Y1741" s="66"/>
      <c r="Z1741" s="15">
        <f t="shared" si="321"/>
        <v>16.5</v>
      </c>
      <c r="AA1741" s="3" t="e">
        <f t="shared" si="322"/>
        <v>#DIV/0!</v>
      </c>
      <c r="AB1741" s="344">
        <f>IFERROR(VLOOKUP($G1741,基本資料!$A:$M,11,0),"無")</f>
        <v>-43.38</v>
      </c>
      <c r="AC1741" s="397">
        <f>IFERROR(VLOOKUP($G1741,基本資料!$A:$M,12,0),"無")</f>
        <v>8.75</v>
      </c>
      <c r="AD1741" s="16" t="s">
        <v>481</v>
      </c>
      <c r="AG1741" s="33">
        <f t="shared" si="323"/>
        <v>0</v>
      </c>
      <c r="AH1741" s="43" t="s">
        <v>2525</v>
      </c>
      <c r="AI1741" s="63">
        <f t="shared" si="326"/>
        <v>2.1721587088096841E-3</v>
      </c>
      <c r="AJ1741" s="284">
        <f>RTD("money.excel",,$G1741,"PredictVolume")</f>
        <v>323</v>
      </c>
      <c r="AK1741" s="399">
        <f>IFERROR(VLOOKUP($G1741,基本資料!$A:$M,13,0),"無")</f>
        <v>13.35</v>
      </c>
    </row>
    <row r="1742" spans="1:37">
      <c r="A1742" s="347">
        <f>IFERROR(VLOOKUP($G1742,基本資料!$A:$J,3,0),"無")</f>
        <v>10.27</v>
      </c>
      <c r="B1742" s="79">
        <f>IFERROR(VLOOKUP($G1742,基本資料!$A:$J,4,0),"無")</f>
        <v>532</v>
      </c>
      <c r="C1742" s="79">
        <f>IFERROR(VLOOKUP($G1742,基本資料!$A:$J,5,0),"無")</f>
        <v>257</v>
      </c>
      <c r="D1742" s="79">
        <f>IFERROR(VLOOKUP($G1742,基本資料!$A:$J,6,0),"無")</f>
        <v>-6</v>
      </c>
      <c r="E1742" s="79">
        <f>IFERROR(VLOOKUP($G1742,基本資料!$A:$J,7,0),"無")</f>
        <v>0</v>
      </c>
      <c r="F1742" s="6">
        <f>IFERROR(VLOOKUP($G1742,基本資料!$A:$J,8,0),"無")</f>
        <v>11.11</v>
      </c>
      <c r="G1742" s="79">
        <v>5489</v>
      </c>
      <c r="H1742" s="8" t="s">
        <v>314</v>
      </c>
      <c r="I1742" s="16" t="s">
        <v>4683</v>
      </c>
      <c r="J1742" s="8" t="str">
        <f>IFERROR(VLOOKUP($G1742,今日總結!$A:$AJ,35,0),"")</f>
        <v/>
      </c>
      <c r="K1742" s="5" t="str">
        <f>IFERROR(VLOOKUP($G1742,今日總結!$A:$AJ,36,0),"")</f>
        <v/>
      </c>
      <c r="L1742" s="156" t="str">
        <f>IFERROR(VLOOKUP($G1742,今日總結!$A:$AJ,33,0),"")</f>
        <v/>
      </c>
      <c r="M1742" s="340" t="str">
        <f>IFERROR(VLOOKUP($G1742,今日總結!$A:$AJ,34,0),"")</f>
        <v/>
      </c>
      <c r="N1742" s="240" t="str">
        <f t="shared" si="325"/>
        <v/>
      </c>
      <c r="P1742" s="365">
        <f>IFERROR(VLOOKUP($G1742,融外自投!$A:$J,7,0),"無")</f>
        <v>1220</v>
      </c>
      <c r="Q1742" s="79">
        <f>IFERROR(VLOOKUP($G1742,融外自投!$A:$J,9,0),"無")</f>
        <v>762</v>
      </c>
      <c r="R1742" s="346">
        <f>IFERROR(VLOOKUP($G1742,融外自投!$A:$J,8,0),"無")</f>
        <v>1241</v>
      </c>
      <c r="S1742" s="81" t="str">
        <f>IFERROR(VLOOKUP($G1742,融外自投!$A:$J,10,0),"無")</f>
        <v>無</v>
      </c>
      <c r="T1742" s="327" t="str">
        <f>IFERROR(VLOOKUP($G1742,'321買'!$A:$E,5,0),"'沒有資料'")</f>
        <v>'沒有資料'</v>
      </c>
      <c r="U1742" s="186">
        <f>IFERROR(VLOOKUP($G1742,基本資料!$A:$J,9,0),"無")</f>
        <v>1</v>
      </c>
      <c r="V1742" s="310">
        <f t="shared" si="320"/>
        <v>2.8818443804034581E-2</v>
      </c>
      <c r="W1742" s="94">
        <f>IFERROR(VLOOKUP($G1742,基本資料!$A:$J,10,0),"無")</f>
        <v>1.25</v>
      </c>
      <c r="X1742" s="36">
        <f>RTD("money.excel",,"5489","Price")</f>
        <v>34.700000000000003</v>
      </c>
      <c r="Y1742" s="66"/>
      <c r="Z1742" s="15">
        <f t="shared" si="321"/>
        <v>34.700000000000003</v>
      </c>
      <c r="AA1742" s="3" t="e">
        <f t="shared" si="322"/>
        <v>#DIV/0!</v>
      </c>
      <c r="AB1742" s="344">
        <f>IFERROR(VLOOKUP($G1742,基本資料!$A:$M,11,0),"無")</f>
        <v>-9.9499999999999993</v>
      </c>
      <c r="AC1742" s="397">
        <f>IFERROR(VLOOKUP($G1742,基本資料!$A:$M,12,0),"無")</f>
        <v>77.53</v>
      </c>
      <c r="AD1742" s="16" t="s">
        <v>4683</v>
      </c>
      <c r="AG1742" s="33">
        <f t="shared" si="323"/>
        <v>0</v>
      </c>
      <c r="AH1742" s="117" t="s">
        <v>2435</v>
      </c>
      <c r="AI1742" s="63">
        <f t="shared" si="326"/>
        <v>5.8422590068159689E-5</v>
      </c>
      <c r="AJ1742" s="284">
        <f>RTD("money.excel",,$G1742,"PredictVolume")</f>
        <v>6</v>
      </c>
      <c r="AK1742" s="399">
        <f>IFERROR(VLOOKUP($G1742,基本資料!$A:$M,13,0),"無")</f>
        <v>0.16</v>
      </c>
    </row>
    <row r="1743" spans="1:37">
      <c r="A1743" s="347">
        <f>IFERROR(VLOOKUP($G1743,基本資料!$A:$J,3,0),"無")</f>
        <v>4.16</v>
      </c>
      <c r="B1743" s="79">
        <f>IFERROR(VLOOKUP($G1743,基本資料!$A:$J,4,0),"無")</f>
        <v>38</v>
      </c>
      <c r="C1743" s="79">
        <f>IFERROR(VLOOKUP($G1743,基本資料!$A:$J,5,0),"無")</f>
        <v>33</v>
      </c>
      <c r="D1743" s="79">
        <f>IFERROR(VLOOKUP($G1743,基本資料!$A:$J,6,0),"無")</f>
        <v>-11</v>
      </c>
      <c r="E1743" s="79">
        <f>IFERROR(VLOOKUP($G1743,基本資料!$A:$J,7,0),"無")</f>
        <v>17</v>
      </c>
      <c r="F1743" s="6">
        <f>IFERROR(VLOOKUP($G1743,基本資料!$A:$J,8,0),"無")</f>
        <v>9.3800000000000008</v>
      </c>
      <c r="G1743" s="79">
        <v>5493</v>
      </c>
      <c r="H1743" s="8" t="s">
        <v>314</v>
      </c>
      <c r="I1743" s="16" t="s">
        <v>4684</v>
      </c>
      <c r="J1743" s="8" t="str">
        <f>IFERROR(VLOOKUP($G1743,今日總結!$A:$AJ,35,0),"")</f>
        <v/>
      </c>
      <c r="K1743" s="5" t="str">
        <f>IFERROR(VLOOKUP($G1743,今日總結!$A:$AJ,36,0),"")</f>
        <v/>
      </c>
      <c r="L1743" s="156" t="str">
        <f>IFERROR(VLOOKUP($G1743,今日總結!$A:$AJ,33,0),"")</f>
        <v/>
      </c>
      <c r="M1743" s="340" t="str">
        <f>IFERROR(VLOOKUP($G1743,今日總結!$A:$AJ,34,0),"")</f>
        <v/>
      </c>
      <c r="N1743" s="240" t="str">
        <f t="shared" si="325"/>
        <v/>
      </c>
      <c r="P1743" s="365">
        <f>IFERROR(VLOOKUP($G1743,融外自投!$A:$J,7,0),"無")</f>
        <v>83</v>
      </c>
      <c r="Q1743" s="79" t="str">
        <f>IFERROR(VLOOKUP($G1743,融外自投!$A:$J,9,0),"無")</f>
        <v>無</v>
      </c>
      <c r="R1743" s="346">
        <f>IFERROR(VLOOKUP($G1743,融外自投!$A:$J,8,0),"無")</f>
        <v>1344</v>
      </c>
      <c r="S1743" s="81" t="str">
        <f>IFERROR(VLOOKUP($G1743,融外自投!$A:$J,10,0),"無")</f>
        <v>無</v>
      </c>
      <c r="T1743" s="327">
        <f>IFERROR(VLOOKUP($G1743,'321買'!$A:$E,5,0),"'沒有資料'")</f>
        <v>1327</v>
      </c>
      <c r="U1743" s="186">
        <f>IFERROR(VLOOKUP($G1743,基本資料!$A:$J,9,0),"無")</f>
        <v>3.1</v>
      </c>
      <c r="V1743" s="310">
        <f t="shared" si="320"/>
        <v>6.1630218687872766E-2</v>
      </c>
      <c r="W1743" s="94">
        <f>IFERROR(VLOOKUP($G1743,基本資料!$A:$J,10,0),"無")</f>
        <v>4.6500000000000004</v>
      </c>
      <c r="X1743" s="36">
        <f>RTD("money.excel",,"5493","Price")</f>
        <v>50.3</v>
      </c>
      <c r="Y1743" s="66"/>
      <c r="Z1743" s="15">
        <f t="shared" si="321"/>
        <v>50.3</v>
      </c>
      <c r="AA1743" s="3" t="e">
        <f t="shared" si="322"/>
        <v>#DIV/0!</v>
      </c>
      <c r="AB1743" s="344">
        <f>IFERROR(VLOOKUP($G1743,基本資料!$A:$M,11,0),"無")</f>
        <v>-18.11</v>
      </c>
      <c r="AC1743" s="397">
        <f>IFERROR(VLOOKUP($G1743,基本資料!$A:$M,12,0),"無")</f>
        <v>50.02</v>
      </c>
      <c r="AD1743" s="16" t="s">
        <v>4684</v>
      </c>
      <c r="AG1743" s="33">
        <f t="shared" si="323"/>
        <v>0</v>
      </c>
      <c r="AH1743" s="43" t="s">
        <v>2526</v>
      </c>
      <c r="AI1743" s="63">
        <f t="shared" si="326"/>
        <v>2.8846153846153849E-4</v>
      </c>
      <c r="AJ1743" s="284">
        <f>RTD("money.excel",,$G1743,"PredictVolume")</f>
        <v>12</v>
      </c>
      <c r="AK1743" s="399">
        <f>IFERROR(VLOOKUP($G1743,基本資料!$A:$M,13,0),"無")</f>
        <v>4.42</v>
      </c>
    </row>
    <row r="1744" spans="1:37">
      <c r="A1744" s="347">
        <f>IFERROR(VLOOKUP($G1744,基本資料!$A:$J,3,0),"無")</f>
        <v>5.72</v>
      </c>
      <c r="B1744" s="79">
        <f>IFERROR(VLOOKUP($G1744,基本資料!$A:$J,4,0),"無")</f>
        <v>29</v>
      </c>
      <c r="C1744" s="79">
        <f>IFERROR(VLOOKUP($G1744,基本資料!$A:$J,5,0),"無")</f>
        <v>25</v>
      </c>
      <c r="D1744" s="79">
        <f>IFERROR(VLOOKUP($G1744,基本資料!$A:$J,6,0),"無")</f>
        <v>-22</v>
      </c>
      <c r="E1744" s="79">
        <f>IFERROR(VLOOKUP($G1744,基本資料!$A:$J,7,0),"無")</f>
        <v>-3</v>
      </c>
      <c r="F1744" s="6">
        <f>IFERROR(VLOOKUP($G1744,基本資料!$A:$J,8,0),"無")</f>
        <v>10.58</v>
      </c>
      <c r="G1744" s="79">
        <v>5536</v>
      </c>
      <c r="H1744" s="8" t="s">
        <v>314</v>
      </c>
      <c r="I1744" s="16" t="s">
        <v>148</v>
      </c>
      <c r="J1744" s="8" t="str">
        <f>IFERROR(VLOOKUP($G1744,今日總結!$A:$AJ,35,0),"")</f>
        <v/>
      </c>
      <c r="K1744" s="5" t="str">
        <f>IFERROR(VLOOKUP($G1744,今日總結!$A:$AJ,36,0),"")</f>
        <v/>
      </c>
      <c r="L1744" s="156" t="str">
        <f>IFERROR(VLOOKUP($G1744,今日總結!$A:$AJ,33,0),"")</f>
        <v/>
      </c>
      <c r="M1744" s="340" t="str">
        <f>IFERROR(VLOOKUP($G1744,今日總結!$A:$AJ,34,0),"")</f>
        <v/>
      </c>
      <c r="N1744" s="240" t="str">
        <f t="shared" si="325"/>
        <v/>
      </c>
      <c r="P1744" s="365">
        <f>IFERROR(VLOOKUP($G1744,融外自投!$A:$J,7,0),"無")</f>
        <v>935</v>
      </c>
      <c r="Q1744" s="79">
        <f>IFERROR(VLOOKUP($G1744,融外自投!$A:$J,9,0),"無")</f>
        <v>87</v>
      </c>
      <c r="R1744" s="346">
        <f>IFERROR(VLOOKUP($G1744,融外自投!$A:$J,8,0),"無")</f>
        <v>295</v>
      </c>
      <c r="S1744" s="81" t="str">
        <f>IFERROR(VLOOKUP($G1744,融外自投!$A:$J,10,0),"無")</f>
        <v>無</v>
      </c>
      <c r="T1744" s="327">
        <f>IFERROR(VLOOKUP($G1744,'321買'!$A:$E,5,0),"'沒有資料'")</f>
        <v>318</v>
      </c>
      <c r="U1744" s="186">
        <f>IFERROR(VLOOKUP($G1744,基本資料!$A:$J,9,0),"無")</f>
        <v>15</v>
      </c>
      <c r="V1744" s="310">
        <f t="shared" si="320"/>
        <v>7.5949367088607597E-2</v>
      </c>
      <c r="W1744" s="94">
        <f>IFERROR(VLOOKUP($G1744,基本資料!$A:$J,10,0),"無")</f>
        <v>21.08</v>
      </c>
      <c r="X1744" s="36">
        <f>RTD("money.excel",,"5536","Price")</f>
        <v>197.5</v>
      </c>
      <c r="Y1744" s="66"/>
      <c r="Z1744" s="15">
        <f t="shared" si="321"/>
        <v>197.5</v>
      </c>
      <c r="AA1744" s="3" t="e">
        <f t="shared" si="322"/>
        <v>#DIV/0!</v>
      </c>
      <c r="AB1744" s="344">
        <f>IFERROR(VLOOKUP($G1744,基本資料!$A:$M,11,0),"無")</f>
        <v>-16.25</v>
      </c>
      <c r="AC1744" s="397">
        <f>IFERROR(VLOOKUP($G1744,基本資料!$A:$M,12,0),"無")</f>
        <v>21.32</v>
      </c>
      <c r="AD1744" s="16" t="s">
        <v>148</v>
      </c>
      <c r="AG1744" s="33">
        <f t="shared" si="323"/>
        <v>0</v>
      </c>
      <c r="AH1744" s="117" t="s">
        <v>1445</v>
      </c>
      <c r="AI1744" s="63">
        <f t="shared" si="326"/>
        <v>1.486013986013986E-3</v>
      </c>
      <c r="AJ1744" s="284">
        <f>RTD("money.excel",,$G1744,"PredictVolume")</f>
        <v>85</v>
      </c>
      <c r="AK1744" s="399">
        <f>IFERROR(VLOOKUP($G1744,基本資料!$A:$M,13,0),"無")</f>
        <v>3.6</v>
      </c>
    </row>
    <row r="1745" spans="1:37">
      <c r="A1745" s="347">
        <f>IFERROR(VLOOKUP($G1745,基本資料!$A:$J,3,0),"無")</f>
        <v>22.55</v>
      </c>
      <c r="B1745" s="79">
        <f>IFERROR(VLOOKUP($G1745,基本資料!$A:$J,4,0),"無")</f>
        <v>54</v>
      </c>
      <c r="C1745" s="79">
        <f>IFERROR(VLOOKUP($G1745,基本資料!$A:$J,5,0),"無")</f>
        <v>316</v>
      </c>
      <c r="D1745" s="79">
        <f>IFERROR(VLOOKUP($G1745,基本資料!$A:$J,6,0),"無")</f>
        <v>40</v>
      </c>
      <c r="E1745" s="79">
        <f>IFERROR(VLOOKUP($G1745,基本資料!$A:$J,7,0),"無")</f>
        <v>82</v>
      </c>
      <c r="F1745" s="6">
        <f>IFERROR(VLOOKUP($G1745,基本資料!$A:$J,8,0),"無")</f>
        <v>1.18</v>
      </c>
      <c r="G1745" s="79">
        <v>6139</v>
      </c>
      <c r="H1745" s="8" t="s">
        <v>314</v>
      </c>
      <c r="I1745" s="22" t="s">
        <v>508</v>
      </c>
      <c r="J1745" s="8">
        <f>IFERROR(VLOOKUP($G1745,今日總結!$A:$AJ,35,0),"")</f>
        <v>0</v>
      </c>
      <c r="K1745" s="5" t="str">
        <f>IFERROR(VLOOKUP($G1745,今日總結!$A:$AJ,36,0),"")</f>
        <v>外</v>
      </c>
      <c r="L1745" s="156">
        <f>IFERROR(VLOOKUP($G1745,今日總結!$A:$AJ,33,0),"")</f>
        <v>0</v>
      </c>
      <c r="M1745" s="340">
        <f>IFERROR(VLOOKUP($G1745,今日總結!$A:$AJ,34,0),"")</f>
        <v>1</v>
      </c>
      <c r="N1745" s="240">
        <f t="shared" si="325"/>
        <v>-1</v>
      </c>
      <c r="P1745" s="365">
        <f>IFERROR(VLOOKUP($G1745,融外自投!$A:$J,7,0),"無")</f>
        <v>674</v>
      </c>
      <c r="Q1745" s="79">
        <f>IFERROR(VLOOKUP($G1745,融外自投!$A:$J,9,0),"無")</f>
        <v>683</v>
      </c>
      <c r="R1745" s="346">
        <f>IFERROR(VLOOKUP($G1745,融外自投!$A:$J,8,0),"無")</f>
        <v>333</v>
      </c>
      <c r="S1745" s="81">
        <f>IFERROR(VLOOKUP($G1745,融外自投!$A:$J,10,0),"無")</f>
        <v>401</v>
      </c>
      <c r="T1745" s="327">
        <f>IFERROR(VLOOKUP($G1745,'321買'!$A:$E,5,0),"'沒有資料'")</f>
        <v>606</v>
      </c>
      <c r="U1745" s="186">
        <f>IFERROR(VLOOKUP($G1745,基本資料!$A:$J,9,0),"無")</f>
        <v>1.5</v>
      </c>
      <c r="V1745" s="310">
        <f t="shared" si="320"/>
        <v>4.8701298701298704E-2</v>
      </c>
      <c r="W1745" s="94">
        <f>IFERROR(VLOOKUP($G1745,基本資料!$A:$J,10,0),"無")</f>
        <v>1.43</v>
      </c>
      <c r="X1745" s="36">
        <f>RTD("money.excel",,"6139","Price")</f>
        <v>30.8</v>
      </c>
      <c r="Y1745" s="66"/>
      <c r="Z1745" s="15">
        <f t="shared" si="321"/>
        <v>30.8</v>
      </c>
      <c r="AA1745" s="3" t="e">
        <f t="shared" si="322"/>
        <v>#DIV/0!</v>
      </c>
      <c r="AB1745" s="344">
        <f>IFERROR(VLOOKUP($G1745,基本資料!$A:$M,11,0),"無")</f>
        <v>-13.48</v>
      </c>
      <c r="AC1745" s="397">
        <f>IFERROR(VLOOKUP($G1745,基本資料!$A:$M,12,0),"無")</f>
        <v>23.41</v>
      </c>
      <c r="AD1745" s="22" t="s">
        <v>508</v>
      </c>
      <c r="AG1745" s="33">
        <f t="shared" si="323"/>
        <v>0</v>
      </c>
      <c r="AH1745" s="43" t="s">
        <v>1445</v>
      </c>
      <c r="AI1745" s="63">
        <f t="shared" si="326"/>
        <v>2.8558758314855878E-3</v>
      </c>
      <c r="AJ1745" s="284">
        <f>RTD("money.excel",,$G1745,"PredictVolume")</f>
        <v>644</v>
      </c>
      <c r="AK1745" s="399">
        <f>IFERROR(VLOOKUP($G1745,基本資料!$A:$M,13,0),"無")</f>
        <v>2.4300000000000002</v>
      </c>
    </row>
    <row r="1746" spans="1:37">
      <c r="A1746" s="347">
        <f>IFERROR(VLOOKUP($G1746,基本資料!$A:$J,3,0),"無")</f>
        <v>9.6999999999999993</v>
      </c>
      <c r="B1746" s="79">
        <f>IFERROR(VLOOKUP($G1746,基本資料!$A:$J,4,0),"無")</f>
        <v>42</v>
      </c>
      <c r="C1746" s="79">
        <f>IFERROR(VLOOKUP($G1746,基本資料!$A:$J,5,0),"無")</f>
        <v>41</v>
      </c>
      <c r="D1746" s="79">
        <f>IFERROR(VLOOKUP($G1746,基本資料!$A:$J,6,0),"無")</f>
        <v>1</v>
      </c>
      <c r="E1746" s="79">
        <f>IFERROR(VLOOKUP($G1746,基本資料!$A:$J,7,0),"無")</f>
        <v>20</v>
      </c>
      <c r="F1746" s="6">
        <f>IFERROR(VLOOKUP($G1746,基本資料!$A:$J,8,0),"無")</f>
        <v>33.229999999999997</v>
      </c>
      <c r="G1746" s="79">
        <v>6146</v>
      </c>
      <c r="H1746" s="8" t="s">
        <v>314</v>
      </c>
      <c r="I1746" s="16" t="s">
        <v>4685</v>
      </c>
      <c r="J1746" s="8" t="str">
        <f>IFERROR(VLOOKUP($G1746,今日總結!$A:$AJ,35,0),"")</f>
        <v/>
      </c>
      <c r="K1746" s="5" t="str">
        <f>IFERROR(VLOOKUP($G1746,今日總結!$A:$AJ,36,0),"")</f>
        <v/>
      </c>
      <c r="L1746" s="156" t="str">
        <f>IFERROR(VLOOKUP($G1746,今日總結!$A:$AJ,33,0),"")</f>
        <v/>
      </c>
      <c r="M1746" s="340" t="str">
        <f>IFERROR(VLOOKUP($G1746,今日總結!$A:$AJ,34,0),"")</f>
        <v/>
      </c>
      <c r="N1746" s="240" t="str">
        <f t="shared" si="325"/>
        <v/>
      </c>
      <c r="P1746" s="365">
        <f>IFERROR(VLOOKUP($G1746,融外自投!$A:$J,7,0),"無")</f>
        <v>1372</v>
      </c>
      <c r="Q1746" s="79">
        <f>IFERROR(VLOOKUP($G1746,融外自投!$A:$J,9,0),"無")</f>
        <v>1110</v>
      </c>
      <c r="R1746" s="346">
        <f>IFERROR(VLOOKUP($G1746,融外自投!$A:$J,8,0),"無")</f>
        <v>71</v>
      </c>
      <c r="S1746" s="81">
        <f>IFERROR(VLOOKUP($G1746,融外自投!$A:$J,10,0),"無")</f>
        <v>329</v>
      </c>
      <c r="T1746" s="327">
        <f>IFERROR(VLOOKUP($G1746,'321買'!$A:$E,5,0),"'沒有資料'")</f>
        <v>1310</v>
      </c>
      <c r="U1746" s="186">
        <f>IFERROR(VLOOKUP($G1746,基本資料!$A:$J,9,0),"無")</f>
        <v>9</v>
      </c>
      <c r="V1746" s="310">
        <f t="shared" si="320"/>
        <v>4.6997389033942558E-2</v>
      </c>
      <c r="W1746" s="94">
        <f>IFERROR(VLOOKUP($G1746,基本資料!$A:$J,10,0),"無")</f>
        <v>11.01</v>
      </c>
      <c r="X1746" s="36">
        <f>RTD("money.excel",,"6146","Price")</f>
        <v>191.5</v>
      </c>
      <c r="Y1746" s="66"/>
      <c r="Z1746" s="15">
        <f t="shared" si="321"/>
        <v>191.5</v>
      </c>
      <c r="AA1746" s="3" t="e">
        <f t="shared" si="322"/>
        <v>#DIV/0!</v>
      </c>
      <c r="AB1746" s="344">
        <f>IFERROR(VLOOKUP($G1746,基本資料!$A:$M,11,0),"無")</f>
        <v>-26.21</v>
      </c>
      <c r="AC1746" s="397">
        <f>IFERROR(VLOOKUP($G1746,基本資料!$A:$M,12,0),"無")</f>
        <v>56.04</v>
      </c>
      <c r="AD1746" s="16" t="s">
        <v>4685</v>
      </c>
      <c r="AG1746" s="33">
        <f t="shared" si="323"/>
        <v>0</v>
      </c>
      <c r="AH1746" s="117" t="s">
        <v>2952</v>
      </c>
      <c r="AI1746" s="63">
        <f t="shared" si="326"/>
        <v>8.5567010309278355E-4</v>
      </c>
      <c r="AJ1746" s="284">
        <f>RTD("money.excel",,$G1746,"PredictVolume")</f>
        <v>83</v>
      </c>
      <c r="AK1746" s="399">
        <f>IFERROR(VLOOKUP($G1746,基本資料!$A:$M,13,0),"無")</f>
        <v>0.72</v>
      </c>
    </row>
    <row r="1747" spans="1:37">
      <c r="A1747" s="347">
        <f>IFERROR(VLOOKUP($G1747,基本資料!$A:$J,3,0),"無")</f>
        <v>5.52</v>
      </c>
      <c r="B1747" s="79">
        <f>IFERROR(VLOOKUP($G1747,基本資料!$A:$J,4,0),"無")</f>
        <v>91</v>
      </c>
      <c r="C1747" s="79">
        <f>IFERROR(VLOOKUP($G1747,基本資料!$A:$J,5,0),"無")</f>
        <v>108</v>
      </c>
      <c r="D1747" s="79">
        <f>IFERROR(VLOOKUP($G1747,基本資料!$A:$J,6,0),"無")</f>
        <v>-17</v>
      </c>
      <c r="E1747" s="79">
        <f>IFERROR(VLOOKUP($G1747,基本資料!$A:$J,7,0),"無")</f>
        <v>-43</v>
      </c>
      <c r="F1747" s="6">
        <f>IFERROR(VLOOKUP($G1747,基本資料!$A:$J,8,0),"無")</f>
        <v>11.24</v>
      </c>
      <c r="G1747" s="79">
        <v>6151</v>
      </c>
      <c r="H1747" s="8" t="s">
        <v>314</v>
      </c>
      <c r="I1747" s="16" t="s">
        <v>4686</v>
      </c>
      <c r="J1747" s="8" t="str">
        <f>IFERROR(VLOOKUP($G1747,今日總結!$A:$AJ,35,0),"")</f>
        <v/>
      </c>
      <c r="K1747" s="5" t="str">
        <f>IFERROR(VLOOKUP($G1747,今日總結!$A:$AJ,36,0),"")</f>
        <v/>
      </c>
      <c r="L1747" s="156" t="str">
        <f>IFERROR(VLOOKUP($G1747,今日總結!$A:$AJ,33,0),"")</f>
        <v/>
      </c>
      <c r="M1747" s="340" t="str">
        <f>IFERROR(VLOOKUP($G1747,今日總結!$A:$AJ,34,0),"")</f>
        <v/>
      </c>
      <c r="N1747" s="240" t="str">
        <f t="shared" si="325"/>
        <v/>
      </c>
      <c r="P1747" s="365">
        <f>IFERROR(VLOOKUP($G1747,融外自投!$A:$J,7,0),"無")</f>
        <v>1101</v>
      </c>
      <c r="Q1747" s="79">
        <f>IFERROR(VLOOKUP($G1747,融外自投!$A:$J,9,0),"無")</f>
        <v>936</v>
      </c>
      <c r="R1747" s="346">
        <f>IFERROR(VLOOKUP($G1747,融外自投!$A:$J,8,0),"無")</f>
        <v>1348</v>
      </c>
      <c r="S1747" s="81" t="str">
        <f>IFERROR(VLOOKUP($G1747,融外自投!$A:$J,10,0),"無")</f>
        <v>無</v>
      </c>
      <c r="T1747" s="327">
        <f>IFERROR(VLOOKUP($G1747,'321買'!$A:$E,5,0),"'沒有資料'")</f>
        <v>1259</v>
      </c>
      <c r="U1747" s="186">
        <f>IFERROR(VLOOKUP($G1747,基本資料!$A:$J,9,0),"無")</f>
        <v>3</v>
      </c>
      <c r="V1747" s="310">
        <f t="shared" si="320"/>
        <v>0.10101010101010101</v>
      </c>
      <c r="W1747" s="94">
        <f>IFERROR(VLOOKUP($G1747,基本資料!$A:$J,10,0),"無")</f>
        <v>4.04</v>
      </c>
      <c r="X1747" s="36">
        <f>RTD("money.excel",,"6151","Price")</f>
        <v>29.7</v>
      </c>
      <c r="Y1747" s="66"/>
      <c r="Z1747" s="15">
        <f t="shared" si="321"/>
        <v>29.7</v>
      </c>
      <c r="AA1747" s="3" t="e">
        <f t="shared" si="322"/>
        <v>#DIV/0!</v>
      </c>
      <c r="AB1747" s="344">
        <f>IFERROR(VLOOKUP($G1747,基本資料!$A:$M,11,0),"無")</f>
        <v>-34.409999999999997</v>
      </c>
      <c r="AC1747" s="397">
        <f>IFERROR(VLOOKUP($G1747,基本資料!$A:$M,12,0),"無")</f>
        <v>9.27</v>
      </c>
      <c r="AD1747" s="16" t="s">
        <v>4686</v>
      </c>
      <c r="AG1747" s="33">
        <f t="shared" si="323"/>
        <v>0</v>
      </c>
      <c r="AH1747" s="43" t="s">
        <v>2527</v>
      </c>
      <c r="AI1747" s="63">
        <f t="shared" si="326"/>
        <v>5.2536231884057973E-4</v>
      </c>
      <c r="AJ1747" s="284">
        <f>RTD("money.excel",,$G1747,"PredictVolume")</f>
        <v>29</v>
      </c>
      <c r="AK1747" s="399">
        <f>IFERROR(VLOOKUP($G1747,基本資料!$A:$M,13,0),"無")</f>
        <v>3.68</v>
      </c>
    </row>
    <row r="1748" spans="1:37">
      <c r="A1748" s="347">
        <f>IFERROR(VLOOKUP($G1748,基本資料!$A:$J,3,0),"無")</f>
        <v>8.33</v>
      </c>
      <c r="B1748" s="79">
        <f>IFERROR(VLOOKUP($G1748,基本資料!$A:$J,4,0),"無")</f>
        <v>119</v>
      </c>
      <c r="C1748" s="79">
        <f>IFERROR(VLOOKUP($G1748,基本資料!$A:$J,5,0),"無")</f>
        <v>111</v>
      </c>
      <c r="D1748" s="79">
        <f>IFERROR(VLOOKUP($G1748,基本資料!$A:$J,6,0),"無")</f>
        <v>-7</v>
      </c>
      <c r="E1748" s="79">
        <f>IFERROR(VLOOKUP($G1748,基本資料!$A:$J,7,0),"無")</f>
        <v>-1</v>
      </c>
      <c r="F1748" s="6">
        <f>IFERROR(VLOOKUP($G1748,基本資料!$A:$J,8,0),"無")</f>
        <v>24.41</v>
      </c>
      <c r="G1748" s="79">
        <v>6187</v>
      </c>
      <c r="H1748" s="8" t="s">
        <v>314</v>
      </c>
      <c r="I1748" s="16" t="s">
        <v>4687</v>
      </c>
      <c r="J1748" s="8">
        <f>IFERROR(VLOOKUP($G1748,今日總結!$A:$AJ,35,0),"")</f>
        <v>0</v>
      </c>
      <c r="K1748" s="5">
        <f>IFERROR(VLOOKUP($G1748,今日總結!$A:$AJ,36,0),"")</f>
        <v>6</v>
      </c>
      <c r="L1748" s="156">
        <f>IFERROR(VLOOKUP($G1748,今日總結!$A:$AJ,33,0),"")</f>
        <v>0</v>
      </c>
      <c r="M1748" s="340">
        <f>IFERROR(VLOOKUP($G1748,今日總結!$A:$AJ,34,0),"")</f>
        <v>2</v>
      </c>
      <c r="N1748" s="240">
        <f t="shared" si="325"/>
        <v>-2</v>
      </c>
      <c r="P1748" s="365">
        <f>IFERROR(VLOOKUP($G1748,融外自投!$A:$J,7,0),"無")</f>
        <v>212</v>
      </c>
      <c r="Q1748" s="79">
        <f>IFERROR(VLOOKUP($G1748,融外自投!$A:$J,9,0),"無")</f>
        <v>45</v>
      </c>
      <c r="R1748" s="346">
        <f>IFERROR(VLOOKUP($G1748,融外自投!$A:$J,8,0),"無")</f>
        <v>1075</v>
      </c>
      <c r="S1748" s="81">
        <f>IFERROR(VLOOKUP($G1748,融外自投!$A:$J,10,0),"無")</f>
        <v>4</v>
      </c>
      <c r="T1748" s="327">
        <f>IFERROR(VLOOKUP($G1748,'321買'!$A:$E,5,0),"'沒有資料'")</f>
        <v>178</v>
      </c>
      <c r="U1748" s="186">
        <f>IFERROR(VLOOKUP($G1748,基本資料!$A:$J,9,0),"無")</f>
        <v>4.5</v>
      </c>
      <c r="V1748" s="310">
        <f t="shared" si="320"/>
        <v>4.3269230769230768E-2</v>
      </c>
      <c r="W1748" s="94">
        <f>IFERROR(VLOOKUP($G1748,基本資料!$A:$J,10,0),"無")</f>
        <v>6.64</v>
      </c>
      <c r="X1748" s="36">
        <f>RTD("money.excel",,"6187","Price")</f>
        <v>104</v>
      </c>
      <c r="Y1748" s="66"/>
      <c r="Z1748" s="15">
        <f t="shared" si="321"/>
        <v>104</v>
      </c>
      <c r="AA1748" s="3" t="e">
        <f t="shared" si="322"/>
        <v>#DIV/0!</v>
      </c>
      <c r="AB1748" s="344">
        <f>IFERROR(VLOOKUP($G1748,基本資料!$A:$M,11,0),"無")</f>
        <v>-37.28</v>
      </c>
      <c r="AC1748" s="397">
        <f>IFERROR(VLOOKUP($G1748,基本資料!$A:$M,12,0),"無")</f>
        <v>21.44</v>
      </c>
      <c r="AD1748" s="16" t="s">
        <v>4687</v>
      </c>
      <c r="AG1748" s="33">
        <f t="shared" si="323"/>
        <v>0</v>
      </c>
      <c r="AH1748" s="43" t="s">
        <v>2309</v>
      </c>
      <c r="AI1748" s="63">
        <f t="shared" si="326"/>
        <v>6.8067226890756302E-3</v>
      </c>
      <c r="AJ1748" s="284">
        <f>RTD("money.excel",,$G1748,"PredictVolume")</f>
        <v>567</v>
      </c>
      <c r="AK1748" s="399">
        <f>IFERROR(VLOOKUP($G1748,基本資料!$A:$M,13,0),"無")</f>
        <v>31.66</v>
      </c>
    </row>
    <row r="1749" spans="1:37">
      <c r="A1749" s="347">
        <f>IFERROR(VLOOKUP($G1749,基本資料!$A:$J,3,0),"無")</f>
        <v>10.68</v>
      </c>
      <c r="B1749" s="79">
        <f>IFERROR(VLOOKUP($G1749,基本資料!$A:$J,4,0),"無")</f>
        <v>14</v>
      </c>
      <c r="C1749" s="79">
        <f>IFERROR(VLOOKUP($G1749,基本資料!$A:$J,5,0),"無")</f>
        <v>14</v>
      </c>
      <c r="D1749" s="79">
        <f>IFERROR(VLOOKUP($G1749,基本資料!$A:$J,6,0),"無")</f>
        <v>26</v>
      </c>
      <c r="E1749" s="79">
        <f>IFERROR(VLOOKUP($G1749,基本資料!$A:$J,7,0),"無")</f>
        <v>13</v>
      </c>
      <c r="F1749" s="6">
        <f>IFERROR(VLOOKUP($G1749,基本資料!$A:$J,8,0),"無")</f>
        <v>17.55</v>
      </c>
      <c r="G1749" s="79">
        <v>6192</v>
      </c>
      <c r="H1749" s="8" t="s">
        <v>314</v>
      </c>
      <c r="I1749" s="22" t="s">
        <v>509</v>
      </c>
      <c r="J1749" s="8">
        <f>IFERROR(VLOOKUP($G1749,今日總結!$A:$AJ,35,0),"")</f>
        <v>0</v>
      </c>
      <c r="K1749" s="5" t="str">
        <f>IFERROR(VLOOKUP($G1749,今日總結!$A:$AJ,36,0),"")</f>
        <v>外</v>
      </c>
      <c r="L1749" s="156">
        <f>IFERROR(VLOOKUP($G1749,今日總結!$A:$AJ,33,0),"")</f>
        <v>0</v>
      </c>
      <c r="M1749" s="340">
        <f>IFERROR(VLOOKUP($G1749,今日總結!$A:$AJ,34,0),"")</f>
        <v>1</v>
      </c>
      <c r="N1749" s="240">
        <f t="shared" si="325"/>
        <v>-1</v>
      </c>
      <c r="P1749" s="365">
        <f>IFERROR(VLOOKUP($G1749,融外自投!$A:$J,7,0),"無")</f>
        <v>1356</v>
      </c>
      <c r="Q1749" s="79">
        <f>IFERROR(VLOOKUP($G1749,融外自投!$A:$J,9,0),"無")</f>
        <v>145</v>
      </c>
      <c r="R1749" s="346">
        <f>IFERROR(VLOOKUP($G1749,融外自投!$A:$J,8,0),"無")</f>
        <v>240</v>
      </c>
      <c r="S1749" s="81">
        <f>IFERROR(VLOOKUP($G1749,融外自投!$A:$J,10,0),"無")</f>
        <v>491</v>
      </c>
      <c r="T1749" s="327">
        <f>IFERROR(VLOOKUP($G1749,'321買'!$A:$E,5,0),"'沒有資料'")</f>
        <v>1198</v>
      </c>
      <c r="U1749" s="186">
        <f>IFERROR(VLOOKUP($G1749,基本資料!$A:$J,9,0),"無")</f>
        <v>4</v>
      </c>
      <c r="V1749" s="310">
        <f t="shared" si="320"/>
        <v>5.730659025787966E-2</v>
      </c>
      <c r="W1749" s="94">
        <f>IFERROR(VLOOKUP($G1749,基本資料!$A:$J,10,0),"無")</f>
        <v>7.96</v>
      </c>
      <c r="X1749" s="36">
        <f>RTD("money.excel",,"6192","Price")</f>
        <v>69.8</v>
      </c>
      <c r="Y1749" s="66"/>
      <c r="Z1749" s="15">
        <f t="shared" si="321"/>
        <v>69.8</v>
      </c>
      <c r="AA1749" s="3" t="e">
        <f t="shared" si="322"/>
        <v>#DIV/0!</v>
      </c>
      <c r="AB1749" s="344">
        <f>IFERROR(VLOOKUP($G1749,基本資料!$A:$M,11,0),"無")</f>
        <v>-6.01</v>
      </c>
      <c r="AC1749" s="397">
        <f>IFERROR(VLOOKUP($G1749,基本資料!$A:$M,12,0),"無")</f>
        <v>37.42</v>
      </c>
      <c r="AD1749" s="22" t="s">
        <v>509</v>
      </c>
      <c r="AG1749" s="33">
        <f t="shared" si="323"/>
        <v>0</v>
      </c>
      <c r="AH1749" s="43" t="s">
        <v>2578</v>
      </c>
      <c r="AI1749" s="63">
        <f t="shared" si="326"/>
        <v>2.2940074906367043E-3</v>
      </c>
      <c r="AJ1749" s="284">
        <f>RTD("money.excel",,$G1749,"PredictVolume")</f>
        <v>245</v>
      </c>
      <c r="AK1749" s="399">
        <f>IFERROR(VLOOKUP($G1749,基本資料!$A:$M,13,0),"無")</f>
        <v>0.66</v>
      </c>
    </row>
    <row r="1750" spans="1:37">
      <c r="A1750" s="347">
        <f>IFERROR(VLOOKUP($G1750,基本資料!$A:$J,3,0),"無")</f>
        <v>19.5</v>
      </c>
      <c r="B1750" s="79">
        <f>IFERROR(VLOOKUP($G1750,基本資料!$A:$J,4,0),"無")</f>
        <v>72</v>
      </c>
      <c r="C1750" s="79">
        <f>IFERROR(VLOOKUP($G1750,基本資料!$A:$J,5,0),"無")</f>
        <v>36</v>
      </c>
      <c r="D1750" s="79">
        <f>IFERROR(VLOOKUP($G1750,基本資料!$A:$J,6,0),"無")</f>
        <v>36</v>
      </c>
      <c r="E1750" s="79">
        <f>IFERROR(VLOOKUP($G1750,基本資料!$A:$J,7,0),"無")</f>
        <v>26</v>
      </c>
      <c r="F1750" s="6">
        <f>IFERROR(VLOOKUP($G1750,基本資料!$A:$J,8,0),"無")</f>
        <v>4.7699999999999996</v>
      </c>
      <c r="G1750" s="79">
        <v>6196</v>
      </c>
      <c r="H1750" s="8" t="s">
        <v>314</v>
      </c>
      <c r="I1750" s="22" t="s">
        <v>101</v>
      </c>
      <c r="J1750" s="8" t="str">
        <f>IFERROR(VLOOKUP($G1750,今日總結!$A:$AJ,35,0),"")</f>
        <v/>
      </c>
      <c r="K1750" s="5" t="str">
        <f>IFERROR(VLOOKUP($G1750,今日總結!$A:$AJ,36,0),"")</f>
        <v/>
      </c>
      <c r="L1750" s="156" t="str">
        <f>IFERROR(VLOOKUP($G1750,今日總結!$A:$AJ,33,0),"")</f>
        <v/>
      </c>
      <c r="M1750" s="340" t="str">
        <f>IFERROR(VLOOKUP($G1750,今日總結!$A:$AJ,34,0),"")</f>
        <v/>
      </c>
      <c r="N1750" s="240" t="str">
        <f t="shared" si="325"/>
        <v/>
      </c>
      <c r="P1750" s="365">
        <f>IFERROR(VLOOKUP($G1750,融外自投!$A:$J,7,0),"無")</f>
        <v>876</v>
      </c>
      <c r="Q1750" s="79">
        <f>IFERROR(VLOOKUP($G1750,融外自投!$A:$J,9,0),"無")</f>
        <v>614</v>
      </c>
      <c r="R1750" s="346">
        <f>IFERROR(VLOOKUP($G1750,融外自投!$A:$J,8,0),"無")</f>
        <v>606</v>
      </c>
      <c r="S1750" s="81">
        <f>IFERROR(VLOOKUP($G1750,融外自投!$A:$J,10,0),"無")</f>
        <v>293</v>
      </c>
      <c r="T1750" s="327">
        <f>IFERROR(VLOOKUP($G1750,'321買'!$A:$E,5,0),"'沒有資料'")</f>
        <v>138</v>
      </c>
      <c r="U1750" s="186">
        <f>IFERROR(VLOOKUP($G1750,基本資料!$A:$J,9,0),"無")</f>
        <v>4.5</v>
      </c>
      <c r="V1750" s="310">
        <f t="shared" si="320"/>
        <v>3.6585365853658534E-2</v>
      </c>
      <c r="W1750" s="94">
        <f>IFERROR(VLOOKUP($G1750,基本資料!$A:$J,10,0),"無")</f>
        <v>8.24</v>
      </c>
      <c r="X1750" s="36">
        <f>RTD("money.excel",,"6196","Price")</f>
        <v>123</v>
      </c>
      <c r="Y1750" s="66"/>
      <c r="Z1750" s="15">
        <f t="shared" si="321"/>
        <v>123</v>
      </c>
      <c r="AA1750" s="3" t="e">
        <f t="shared" si="322"/>
        <v>#DIV/0!</v>
      </c>
      <c r="AB1750" s="344">
        <f>IFERROR(VLOOKUP($G1750,基本資料!$A:$M,11,0),"無")</f>
        <v>-37.18</v>
      </c>
      <c r="AC1750" s="397">
        <f>IFERROR(VLOOKUP($G1750,基本資料!$A:$M,12,0),"無")</f>
        <v>16.91</v>
      </c>
      <c r="AD1750" s="22" t="s">
        <v>101</v>
      </c>
      <c r="AG1750" s="33">
        <f t="shared" si="323"/>
        <v>0</v>
      </c>
      <c r="AH1750" s="117" t="s">
        <v>2165</v>
      </c>
      <c r="AI1750" s="63">
        <f t="shared" si="326"/>
        <v>4.046153846153846E-3</v>
      </c>
      <c r="AJ1750" s="284">
        <f>RTD("money.excel",,$G1750,"PredictVolume")</f>
        <v>789</v>
      </c>
      <c r="AK1750" s="399">
        <f>IFERROR(VLOOKUP($G1750,基本資料!$A:$M,13,0),"無")</f>
        <v>23.86</v>
      </c>
    </row>
    <row r="1751" spans="1:37">
      <c r="A1751" s="347">
        <f>IFERROR(VLOOKUP($G1751,基本資料!$A:$J,3,0),"無")</f>
        <v>8.92</v>
      </c>
      <c r="B1751" s="79">
        <f>IFERROR(VLOOKUP($G1751,基本資料!$A:$J,4,0),"無")</f>
        <v>0</v>
      </c>
      <c r="C1751" s="79">
        <f>IFERROR(VLOOKUP($G1751,基本資料!$A:$J,5,0),"無")</f>
        <v>1</v>
      </c>
      <c r="D1751" s="79">
        <f>IFERROR(VLOOKUP($G1751,基本資料!$A:$J,6,0),"無")</f>
        <v>-5</v>
      </c>
      <c r="E1751" s="79">
        <f>IFERROR(VLOOKUP($G1751,基本資料!$A:$J,7,0),"無")</f>
        <v>-23</v>
      </c>
      <c r="F1751" s="6">
        <f>IFERROR(VLOOKUP($G1751,基本資料!$A:$J,8,0),"無")</f>
        <v>10.06</v>
      </c>
      <c r="G1751" s="79">
        <v>6201</v>
      </c>
      <c r="H1751" s="8" t="s">
        <v>314</v>
      </c>
      <c r="I1751" s="22" t="s">
        <v>510</v>
      </c>
      <c r="J1751" s="8" t="str">
        <f>IFERROR(VLOOKUP($G1751,今日總結!$A:$AJ,35,0),"")</f>
        <v/>
      </c>
      <c r="K1751" s="5" t="str">
        <f>IFERROR(VLOOKUP($G1751,今日總結!$A:$AJ,36,0),"")</f>
        <v/>
      </c>
      <c r="L1751" s="156" t="str">
        <f>IFERROR(VLOOKUP($G1751,今日總結!$A:$AJ,33,0),"")</f>
        <v/>
      </c>
      <c r="M1751" s="340" t="str">
        <f>IFERROR(VLOOKUP($G1751,今日總結!$A:$AJ,34,0),"")</f>
        <v/>
      </c>
      <c r="N1751" s="240" t="str">
        <f t="shared" si="325"/>
        <v/>
      </c>
      <c r="P1751" s="365">
        <f>IFERROR(VLOOKUP($G1751,融外自投!$A:$J,7,0),"無")</f>
        <v>1363</v>
      </c>
      <c r="Q1751" s="79">
        <f>IFERROR(VLOOKUP($G1751,融外自投!$A:$J,9,0),"無")</f>
        <v>978</v>
      </c>
      <c r="R1751" s="346">
        <f>IFERROR(VLOOKUP($G1751,融外自投!$A:$J,8,0),"無")</f>
        <v>1360</v>
      </c>
      <c r="S1751" s="81" t="str">
        <f>IFERROR(VLOOKUP($G1751,融外自投!$A:$J,10,0),"無")</f>
        <v>無</v>
      </c>
      <c r="T1751" s="327">
        <f>IFERROR(VLOOKUP($G1751,'321買'!$A:$E,5,0),"'沒有資料'")</f>
        <v>1214</v>
      </c>
      <c r="U1751" s="186">
        <f>IFERROR(VLOOKUP($G1751,基本資料!$A:$J,9,0),"無")</f>
        <v>3</v>
      </c>
      <c r="V1751" s="310">
        <f t="shared" si="320"/>
        <v>7.0339976553341149E-2</v>
      </c>
      <c r="W1751" s="94">
        <f>IFERROR(VLOOKUP($G1751,基本資料!$A:$J,10,0),"無")</f>
        <v>3.38</v>
      </c>
      <c r="X1751" s="36">
        <f>RTD("money.excel",,"6201","Price")</f>
        <v>42.65</v>
      </c>
      <c r="Y1751" s="66"/>
      <c r="Z1751" s="15">
        <f t="shared" si="321"/>
        <v>42.65</v>
      </c>
      <c r="AA1751" s="3" t="e">
        <f t="shared" si="322"/>
        <v>#DIV/0!</v>
      </c>
      <c r="AB1751" s="344">
        <f>IFERROR(VLOOKUP($G1751,基本資料!$A:$M,11,0),"無")</f>
        <v>-12.83</v>
      </c>
      <c r="AC1751" s="397">
        <f>IFERROR(VLOOKUP($G1751,基本資料!$A:$M,12,0),"無")</f>
        <v>16.77</v>
      </c>
      <c r="AD1751" s="22" t="s">
        <v>510</v>
      </c>
      <c r="AG1751" s="33">
        <f t="shared" si="323"/>
        <v>0</v>
      </c>
      <c r="AH1751" s="43" t="s">
        <v>2579</v>
      </c>
      <c r="AI1751" s="63">
        <f t="shared" si="326"/>
        <v>2.5784753363228697E-4</v>
      </c>
      <c r="AJ1751" s="284">
        <f>RTD("money.excel",,$G1751,"PredictVolume")</f>
        <v>23</v>
      </c>
      <c r="AK1751" s="399">
        <f>IFERROR(VLOOKUP($G1751,基本資料!$A:$M,13,0),"無")</f>
        <v>0.44</v>
      </c>
    </row>
    <row r="1752" spans="1:37">
      <c r="A1752" s="347">
        <f>IFERROR(VLOOKUP($G1752,基本資料!$A:$J,3,0),"無")</f>
        <v>8.27</v>
      </c>
      <c r="B1752" s="79">
        <f>IFERROR(VLOOKUP($G1752,基本資料!$A:$J,4,0),"無")</f>
        <v>235</v>
      </c>
      <c r="C1752" s="79">
        <f>IFERROR(VLOOKUP($G1752,基本資料!$A:$J,5,0),"無")</f>
        <v>189</v>
      </c>
      <c r="D1752" s="79">
        <f>IFERROR(VLOOKUP($G1752,基本資料!$A:$J,6,0),"無")</f>
        <v>11</v>
      </c>
      <c r="E1752" s="79">
        <f>IFERROR(VLOOKUP($G1752,基本資料!$A:$J,7,0),"無")</f>
        <v>5</v>
      </c>
      <c r="F1752" s="6">
        <f>IFERROR(VLOOKUP($G1752,基本資料!$A:$J,8,0),"無")</f>
        <v>10.75</v>
      </c>
      <c r="G1752" s="79">
        <v>6215</v>
      </c>
      <c r="H1752" s="8" t="s">
        <v>314</v>
      </c>
      <c r="I1752" s="22" t="s">
        <v>511</v>
      </c>
      <c r="J1752" s="8" t="str">
        <f>IFERROR(VLOOKUP($G1752,今日總結!$A:$AJ,35,0),"")</f>
        <v/>
      </c>
      <c r="K1752" s="5" t="str">
        <f>IFERROR(VLOOKUP($G1752,今日總結!$A:$AJ,36,0),"")</f>
        <v/>
      </c>
      <c r="L1752" s="156" t="str">
        <f>IFERROR(VLOOKUP($G1752,今日總結!$A:$AJ,33,0),"")</f>
        <v/>
      </c>
      <c r="M1752" s="340" t="str">
        <f>IFERROR(VLOOKUP($G1752,今日總結!$A:$AJ,34,0),"")</f>
        <v/>
      </c>
      <c r="N1752" s="240" t="str">
        <f t="shared" si="325"/>
        <v/>
      </c>
      <c r="P1752" s="365">
        <f>IFERROR(VLOOKUP($G1752,融外自投!$A:$J,7,0),"無")</f>
        <v>415</v>
      </c>
      <c r="Q1752" s="79">
        <f>IFERROR(VLOOKUP($G1752,融外自投!$A:$J,9,0),"無")</f>
        <v>1051</v>
      </c>
      <c r="R1752" s="346">
        <f>IFERROR(VLOOKUP($G1752,融外自投!$A:$J,8,0),"無")</f>
        <v>657</v>
      </c>
      <c r="S1752" s="81" t="str">
        <f>IFERROR(VLOOKUP($G1752,融外自投!$A:$J,10,0),"無")</f>
        <v>無</v>
      </c>
      <c r="T1752" s="327">
        <f>IFERROR(VLOOKUP($G1752,'321買'!$A:$E,5,0),"'沒有資料'")</f>
        <v>1007</v>
      </c>
      <c r="U1752" s="186">
        <f>IFERROR(VLOOKUP($G1752,基本資料!$A:$J,9,0),"無")</f>
        <v>1.8</v>
      </c>
      <c r="V1752" s="310">
        <f t="shared" si="320"/>
        <v>7.7253218884120164E-2</v>
      </c>
      <c r="W1752" s="94">
        <f>IFERROR(VLOOKUP($G1752,基本資料!$A:$J,10,0),"無")</f>
        <v>3.2</v>
      </c>
      <c r="X1752" s="36">
        <f>RTD("money.excel",,"6215","Price")</f>
        <v>23.3</v>
      </c>
      <c r="Y1752" s="66"/>
      <c r="Z1752" s="15">
        <f t="shared" si="321"/>
        <v>23.3</v>
      </c>
      <c r="AA1752" s="3" t="e">
        <f t="shared" si="322"/>
        <v>#DIV/0!</v>
      </c>
      <c r="AB1752" s="344">
        <f>IFERROR(VLOOKUP($G1752,基本資料!$A:$M,11,0),"無")</f>
        <v>-41.23</v>
      </c>
      <c r="AC1752" s="397">
        <f>IFERROR(VLOOKUP($G1752,基本資料!$A:$M,12,0),"無")</f>
        <v>16.43</v>
      </c>
      <c r="AD1752" s="22" t="s">
        <v>511</v>
      </c>
      <c r="AG1752" s="33">
        <f t="shared" si="323"/>
        <v>0</v>
      </c>
      <c r="AH1752" s="43" t="s">
        <v>1437</v>
      </c>
      <c r="AI1752" s="63">
        <f t="shared" si="326"/>
        <v>2.5997581620314388E-3</v>
      </c>
      <c r="AJ1752" s="284">
        <f>RTD("money.excel",,$G1752,"PredictVolume")</f>
        <v>215</v>
      </c>
      <c r="AK1752" s="399">
        <f>IFERROR(VLOOKUP($G1752,基本資料!$A:$M,13,0),"無")</f>
        <v>26.88</v>
      </c>
    </row>
    <row r="1753" spans="1:37">
      <c r="A1753" s="347">
        <f>IFERROR(VLOOKUP($G1753,基本資料!$A:$J,3,0),"無")</f>
        <v>6.03</v>
      </c>
      <c r="B1753" s="79">
        <f>IFERROR(VLOOKUP($G1753,基本資料!$A:$J,4,0),"無")</f>
        <v>-8</v>
      </c>
      <c r="C1753" s="79">
        <f>IFERROR(VLOOKUP($G1753,基本資料!$A:$J,5,0),"無")</f>
        <v>-26</v>
      </c>
      <c r="D1753" s="79">
        <f>IFERROR(VLOOKUP($G1753,基本資料!$A:$J,6,0),"無")</f>
        <v>-23</v>
      </c>
      <c r="E1753" s="79">
        <f>IFERROR(VLOOKUP($G1753,基本資料!$A:$J,7,0),"無")</f>
        <v>-62</v>
      </c>
      <c r="F1753" s="6">
        <f>IFERROR(VLOOKUP($G1753,基本資料!$A:$J,8,0),"無")</f>
        <v>-17.78</v>
      </c>
      <c r="G1753" s="79">
        <v>6247</v>
      </c>
      <c r="H1753" s="8" t="s">
        <v>314</v>
      </c>
      <c r="I1753" s="16" t="s">
        <v>482</v>
      </c>
      <c r="J1753" s="8" t="str">
        <f>IFERROR(VLOOKUP($G1753,今日總結!$A:$AJ,35,0),"")</f>
        <v/>
      </c>
      <c r="K1753" s="5" t="str">
        <f>IFERROR(VLOOKUP($G1753,今日總結!$A:$AJ,36,0),"")</f>
        <v/>
      </c>
      <c r="L1753" s="156" t="str">
        <f>IFERROR(VLOOKUP($G1753,今日總結!$A:$AJ,33,0),"")</f>
        <v/>
      </c>
      <c r="M1753" s="340" t="str">
        <f>IFERROR(VLOOKUP($G1753,今日總結!$A:$AJ,34,0),"")</f>
        <v/>
      </c>
      <c r="N1753" s="240" t="str">
        <f t="shared" si="325"/>
        <v/>
      </c>
      <c r="P1753" s="365" t="str">
        <f>IFERROR(VLOOKUP($G1753,融外自投!$A:$J,7,0),"無")</f>
        <v>無</v>
      </c>
      <c r="Q1753" s="79" t="str">
        <f>IFERROR(VLOOKUP($G1753,融外自投!$A:$J,9,0),"無")</f>
        <v>無</v>
      </c>
      <c r="R1753" s="346" t="str">
        <f>IFERROR(VLOOKUP($G1753,融外自投!$A:$J,8,0),"無")</f>
        <v>無</v>
      </c>
      <c r="S1753" s="81" t="str">
        <f>IFERROR(VLOOKUP($G1753,融外自投!$A:$J,10,0),"無")</f>
        <v>無</v>
      </c>
      <c r="T1753" s="327" t="str">
        <f>IFERROR(VLOOKUP($G1753,'321買'!$A:$E,5,0),"'沒有資料'")</f>
        <v>'沒有資料'</v>
      </c>
      <c r="U1753" s="186">
        <f>IFERROR(VLOOKUP($G1753,基本資料!$A:$J,9,0),"無")</f>
        <v>0</v>
      </c>
      <c r="V1753" s="310">
        <f t="shared" si="320"/>
        <v>0</v>
      </c>
      <c r="W1753" s="94">
        <f>IFERROR(VLOOKUP($G1753,基本資料!$A:$J,10,0),"無")</f>
        <v>-1.42</v>
      </c>
      <c r="X1753" s="36">
        <f>RTD("money.excel",,"6247","Price")</f>
        <v>10.1</v>
      </c>
      <c r="Y1753" s="66"/>
      <c r="Z1753" s="15">
        <f t="shared" si="321"/>
        <v>10.1</v>
      </c>
      <c r="AA1753" s="3" t="e">
        <f t="shared" si="322"/>
        <v>#DIV/0!</v>
      </c>
      <c r="AB1753" s="344">
        <f>IFERROR(VLOOKUP($G1753,基本資料!$A:$M,11,0),"無")</f>
        <v>-32.340000000000003</v>
      </c>
      <c r="AC1753" s="397">
        <f>IFERROR(VLOOKUP($G1753,基本資料!$A:$M,12,0),"無")</f>
        <v>26.54</v>
      </c>
      <c r="AD1753" s="16" t="s">
        <v>482</v>
      </c>
      <c r="AG1753" s="33">
        <f t="shared" si="323"/>
        <v>0</v>
      </c>
      <c r="AH1753" s="43" t="s">
        <v>2528</v>
      </c>
      <c r="AI1753" s="63">
        <f t="shared" si="326"/>
        <v>1.658374792703151E-5</v>
      </c>
      <c r="AJ1753" s="284">
        <f>RTD("money.excel",,$G1753,"PredictVolume")</f>
        <v>1</v>
      </c>
      <c r="AK1753" s="399">
        <f>IFERROR(VLOOKUP($G1753,基本資料!$A:$M,13,0),"無")</f>
        <v>1.1200000000000001</v>
      </c>
    </row>
    <row r="1754" spans="1:37">
      <c r="A1754" s="347">
        <f>IFERROR(VLOOKUP($G1754,基本資料!$A:$J,3,0),"無")</f>
        <v>7.01</v>
      </c>
      <c r="B1754" s="79">
        <f>IFERROR(VLOOKUP($G1754,基本資料!$A:$J,4,0),"無")</f>
        <v>41</v>
      </c>
      <c r="C1754" s="79">
        <f>IFERROR(VLOOKUP($G1754,基本資料!$A:$J,5,0),"無")</f>
        <v>25</v>
      </c>
      <c r="D1754" s="79">
        <f>IFERROR(VLOOKUP($G1754,基本資料!$A:$J,6,0),"無")</f>
        <v>-3</v>
      </c>
      <c r="E1754" s="79">
        <f>IFERROR(VLOOKUP($G1754,基本資料!$A:$J,7,0),"無")</f>
        <v>-4</v>
      </c>
      <c r="F1754" s="6">
        <f>IFERROR(VLOOKUP($G1754,基本資料!$A:$J,8,0),"無")</f>
        <v>5.82</v>
      </c>
      <c r="G1754" s="79">
        <v>6275</v>
      </c>
      <c r="H1754" s="8" t="s">
        <v>314</v>
      </c>
      <c r="I1754" s="16" t="s">
        <v>483</v>
      </c>
      <c r="J1754" s="8" t="str">
        <f>IFERROR(VLOOKUP($G1754,今日總結!$A:$AJ,35,0),"")</f>
        <v/>
      </c>
      <c r="K1754" s="5" t="str">
        <f>IFERROR(VLOOKUP($G1754,今日總結!$A:$AJ,36,0),"")</f>
        <v/>
      </c>
      <c r="L1754" s="156" t="str">
        <f>IFERROR(VLOOKUP($G1754,今日總結!$A:$AJ,33,0),"")</f>
        <v/>
      </c>
      <c r="M1754" s="340" t="str">
        <f>IFERROR(VLOOKUP($G1754,今日總結!$A:$AJ,34,0),"")</f>
        <v/>
      </c>
      <c r="N1754" s="240" t="str">
        <f t="shared" si="325"/>
        <v/>
      </c>
      <c r="P1754" s="365">
        <f>IFERROR(VLOOKUP($G1754,融外自投!$A:$J,7,0),"無")</f>
        <v>211</v>
      </c>
      <c r="Q1754" s="79">
        <f>IFERROR(VLOOKUP($G1754,融外自投!$A:$J,9,0),"無")</f>
        <v>346</v>
      </c>
      <c r="R1754" s="346">
        <f>IFERROR(VLOOKUP($G1754,融外自投!$A:$J,8,0),"無")</f>
        <v>1160</v>
      </c>
      <c r="S1754" s="81" t="str">
        <f>IFERROR(VLOOKUP($G1754,融外自投!$A:$J,10,0),"無")</f>
        <v>無</v>
      </c>
      <c r="T1754" s="327">
        <f>IFERROR(VLOOKUP($G1754,'321買'!$A:$E,5,0),"'沒有資料'")</f>
        <v>915</v>
      </c>
      <c r="U1754" s="186">
        <f>IFERROR(VLOOKUP($G1754,基本資料!$A:$J,9,0),"無")</f>
        <v>2.2000000000000002</v>
      </c>
      <c r="V1754" s="310">
        <f t="shared" si="320"/>
        <v>6.8322981366459631E-2</v>
      </c>
      <c r="W1754" s="94">
        <f>IFERROR(VLOOKUP($G1754,基本資料!$A:$J,10,0),"無")</f>
        <v>2.86</v>
      </c>
      <c r="X1754" s="36">
        <f>RTD("money.excel",,"6275","Price")</f>
        <v>32.200000000000003</v>
      </c>
      <c r="Y1754" s="66"/>
      <c r="Z1754" s="15">
        <f t="shared" si="321"/>
        <v>32.200000000000003</v>
      </c>
      <c r="AA1754" s="3" t="e">
        <f t="shared" si="322"/>
        <v>#DIV/0!</v>
      </c>
      <c r="AB1754" s="344">
        <f>IFERROR(VLOOKUP($G1754,基本資料!$A:$M,11,0),"無")</f>
        <v>-26.68</v>
      </c>
      <c r="AC1754" s="397">
        <f>IFERROR(VLOOKUP($G1754,基本資料!$A:$M,12,0),"無")</f>
        <v>14.44</v>
      </c>
      <c r="AD1754" s="16" t="s">
        <v>483</v>
      </c>
      <c r="AG1754" s="33">
        <f t="shared" si="323"/>
        <v>0</v>
      </c>
      <c r="AH1754" s="43" t="s">
        <v>2275</v>
      </c>
      <c r="AI1754" s="63">
        <f t="shared" si="326"/>
        <v>2.8245363766048501E-3</v>
      </c>
      <c r="AJ1754" s="284">
        <f>RTD("money.excel",,$G1754,"PredictVolume")</f>
        <v>198</v>
      </c>
      <c r="AK1754" s="399">
        <f>IFERROR(VLOOKUP($G1754,基本資料!$A:$M,13,0),"無")</f>
        <v>43.3</v>
      </c>
    </row>
    <row r="1755" spans="1:37">
      <c r="A1755" s="347">
        <f>IFERROR(VLOOKUP($G1755,基本資料!$A:$J,3,0),"無")</f>
        <v>14.79</v>
      </c>
      <c r="B1755" s="79">
        <f>IFERROR(VLOOKUP($G1755,基本資料!$A:$J,4,0),"無")</f>
        <v>-131</v>
      </c>
      <c r="C1755" s="79">
        <f>IFERROR(VLOOKUP($G1755,基本資料!$A:$J,5,0),"無")</f>
        <v>-114</v>
      </c>
      <c r="D1755" s="79">
        <f>IFERROR(VLOOKUP($G1755,基本資料!$A:$J,6,0),"無")</f>
        <v>59</v>
      </c>
      <c r="E1755" s="79">
        <f>IFERROR(VLOOKUP($G1755,基本資料!$A:$J,7,0),"無")</f>
        <v>-34</v>
      </c>
      <c r="F1755" s="6">
        <f>IFERROR(VLOOKUP($G1755,基本資料!$A:$J,8,0),"無")</f>
        <v>-15.54</v>
      </c>
      <c r="G1755" s="79">
        <v>6283</v>
      </c>
      <c r="H1755" s="8" t="s">
        <v>314</v>
      </c>
      <c r="I1755" s="22" t="s">
        <v>332</v>
      </c>
      <c r="J1755" s="8">
        <f>IFERROR(VLOOKUP($G1755,今日總結!$A:$AJ,35,0),"")</f>
        <v>0</v>
      </c>
      <c r="K1755" s="5" t="str">
        <f>IFERROR(VLOOKUP($G1755,今日總結!$A:$AJ,36,0),"")</f>
        <v>融</v>
      </c>
      <c r="L1755" s="156">
        <f>IFERROR(VLOOKUP($G1755,今日總結!$A:$AJ,33,0),"")</f>
        <v>0</v>
      </c>
      <c r="M1755" s="340">
        <f>IFERROR(VLOOKUP($G1755,今日總結!$A:$AJ,34,0),"")</f>
        <v>1</v>
      </c>
      <c r="N1755" s="240">
        <f t="shared" si="325"/>
        <v>-1</v>
      </c>
      <c r="P1755" s="365">
        <f>IFERROR(VLOOKUP($G1755,融外自投!$A:$J,7,0),"無")</f>
        <v>97</v>
      </c>
      <c r="Q1755" s="79">
        <f>IFERROR(VLOOKUP($G1755,融外自投!$A:$J,9,0),"無")</f>
        <v>653</v>
      </c>
      <c r="R1755" s="346">
        <f>IFERROR(VLOOKUP($G1755,融外自投!$A:$J,8,0),"無")</f>
        <v>306</v>
      </c>
      <c r="S1755" s="81" t="str">
        <f>IFERROR(VLOOKUP($G1755,融外自投!$A:$J,10,0),"無")</f>
        <v>無</v>
      </c>
      <c r="T1755" s="327">
        <f>IFERROR(VLOOKUP($G1755,'321買'!$A:$E,5,0),"'沒有資料'")</f>
        <v>1038</v>
      </c>
      <c r="U1755" s="186">
        <f>IFERROR(VLOOKUP($G1755,基本資料!$A:$J,9,0),"無")</f>
        <v>0</v>
      </c>
      <c r="V1755" s="310">
        <f t="shared" ref="V1755:V1776" si="327">$U1755/$X1755</f>
        <v>0</v>
      </c>
      <c r="W1755" s="94">
        <f>IFERROR(VLOOKUP($G1755,基本資料!$A:$J,10,0),"無")</f>
        <v>-0.4</v>
      </c>
      <c r="X1755" s="36">
        <f>RTD("money.excel",,"6283","Price")</f>
        <v>30</v>
      </c>
      <c r="Y1755" s="66"/>
      <c r="Z1755" s="15">
        <f t="shared" ref="Z1755:Z1776" si="328">X1755-Y1755</f>
        <v>30</v>
      </c>
      <c r="AA1755" s="3" t="e">
        <f t="shared" ref="AA1755:AA1776" si="329">Z1755/Y1755</f>
        <v>#DIV/0!</v>
      </c>
      <c r="AB1755" s="344">
        <f>IFERROR(VLOOKUP($G1755,基本資料!$A:$M,11,0),"無")</f>
        <v>-52.89</v>
      </c>
      <c r="AC1755" s="397">
        <f>IFERROR(VLOOKUP($G1755,基本資料!$A:$M,12,0),"無")</f>
        <v>14.51</v>
      </c>
      <c r="AD1755" s="22" t="s">
        <v>332</v>
      </c>
      <c r="AG1755" s="33">
        <f t="shared" ref="AG1755:AG1776" si="330">AF1755-AE1755</f>
        <v>0</v>
      </c>
      <c r="AH1755" s="43" t="s">
        <v>2580</v>
      </c>
      <c r="AI1755" s="63">
        <f t="shared" ref="AI1755:AI1766" si="331">AJ1755/(A1755*10000)</f>
        <v>1.6835699797160244E-3</v>
      </c>
      <c r="AJ1755" s="284">
        <f>RTD("money.excel",,$G1755,"PredictVolume")</f>
        <v>249</v>
      </c>
      <c r="AK1755" s="399">
        <f>IFERROR(VLOOKUP($G1755,基本資料!$A:$M,13,0),"無")</f>
        <v>13.03</v>
      </c>
    </row>
    <row r="1756" spans="1:37">
      <c r="A1756" s="347">
        <f>IFERROR(VLOOKUP($G1756,基本資料!$A:$J,3,0),"無")</f>
        <v>8.7200000000000006</v>
      </c>
      <c r="B1756" s="79">
        <f>IFERROR(VLOOKUP($G1756,基本資料!$A:$J,4,0),"無")</f>
        <v>7</v>
      </c>
      <c r="C1756" s="79">
        <f>IFERROR(VLOOKUP($G1756,基本資料!$A:$J,5,0),"無")</f>
        <v>7</v>
      </c>
      <c r="D1756" s="79">
        <f>IFERROR(VLOOKUP($G1756,基本資料!$A:$J,6,0),"無")</f>
        <v>24</v>
      </c>
      <c r="E1756" s="79">
        <f>IFERROR(VLOOKUP($G1756,基本資料!$A:$J,7,0),"無")</f>
        <v>51</v>
      </c>
      <c r="F1756" s="6">
        <f>IFERROR(VLOOKUP($G1756,基本資料!$A:$J,8,0),"無")</f>
        <v>17.25</v>
      </c>
      <c r="G1756" s="79">
        <v>6409</v>
      </c>
      <c r="H1756" s="8" t="s">
        <v>314</v>
      </c>
      <c r="I1756" s="22" t="s">
        <v>45</v>
      </c>
      <c r="J1756" s="8" t="str">
        <f>IFERROR(VLOOKUP($G1756,今日總結!$A:$AJ,35,0),"")</f>
        <v/>
      </c>
      <c r="K1756" s="5" t="str">
        <f>IFERROR(VLOOKUP($G1756,今日總結!$A:$AJ,36,0),"")</f>
        <v/>
      </c>
      <c r="L1756" s="156" t="str">
        <f>IFERROR(VLOOKUP($G1756,今日總結!$A:$AJ,33,0),"")</f>
        <v/>
      </c>
      <c r="M1756" s="340" t="str">
        <f>IFERROR(VLOOKUP($G1756,今日總結!$A:$AJ,34,0),"")</f>
        <v/>
      </c>
      <c r="N1756" s="240" t="str">
        <f t="shared" ref="N1756:N1776" si="332">IFERROR(L1756-M1756,"")</f>
        <v/>
      </c>
      <c r="P1756" s="365">
        <f>IFERROR(VLOOKUP($G1756,融外自投!$A:$J,7,0),"無")</f>
        <v>1399</v>
      </c>
      <c r="Q1756" s="79">
        <f>IFERROR(VLOOKUP($G1756,融外自投!$A:$J,9,0),"無")</f>
        <v>896</v>
      </c>
      <c r="R1756" s="346">
        <f>IFERROR(VLOOKUP($G1756,融外自投!$A:$J,8,0),"無")</f>
        <v>28</v>
      </c>
      <c r="S1756" s="81">
        <f>IFERROR(VLOOKUP($G1756,融外自投!$A:$J,10,0),"無")</f>
        <v>278</v>
      </c>
      <c r="T1756" s="327">
        <f>IFERROR(VLOOKUP($G1756,'321買'!$A:$E,5,0),"'沒有資料'")</f>
        <v>200</v>
      </c>
      <c r="U1756" s="186">
        <f>IFERROR(VLOOKUP($G1756,基本資料!$A:$J,9,0),"無")</f>
        <v>23.5</v>
      </c>
      <c r="V1756" s="310">
        <f t="shared" si="327"/>
        <v>1.7803030303030303E-2</v>
      </c>
      <c r="W1756" s="94">
        <f>IFERROR(VLOOKUP($G1756,基本資料!$A:$J,10,0),"無")</f>
        <v>27.13</v>
      </c>
      <c r="X1756" s="372">
        <f>RTD("money.excel",,"6409","Price")</f>
        <v>1320</v>
      </c>
      <c r="Y1756" s="66"/>
      <c r="Z1756" s="137">
        <f t="shared" si="328"/>
        <v>1320</v>
      </c>
      <c r="AA1756" s="3" t="e">
        <f t="shared" si="329"/>
        <v>#DIV/0!</v>
      </c>
      <c r="AB1756" s="344">
        <f>IFERROR(VLOOKUP($G1756,基本資料!$A:$M,11,0),"無")</f>
        <v>-31.65</v>
      </c>
      <c r="AC1756" s="397">
        <f>IFERROR(VLOOKUP($G1756,基本資料!$A:$M,12,0),"無")</f>
        <v>23.57</v>
      </c>
      <c r="AD1756" s="22" t="s">
        <v>45</v>
      </c>
      <c r="AG1756" s="33">
        <f t="shared" si="330"/>
        <v>0</v>
      </c>
      <c r="AH1756" s="117" t="s">
        <v>1441</v>
      </c>
      <c r="AI1756" s="63">
        <f t="shared" si="331"/>
        <v>1.3532110091743119E-3</v>
      </c>
      <c r="AJ1756" s="284">
        <f>RTD("money.excel",,$G1756,"PredictVolume")</f>
        <v>118</v>
      </c>
      <c r="AK1756" s="399">
        <f>IFERROR(VLOOKUP($G1756,基本資料!$A:$M,13,0),"無")</f>
        <v>6.27</v>
      </c>
    </row>
    <row r="1757" spans="1:37">
      <c r="A1757" s="347">
        <f>IFERROR(VLOOKUP($G1757,基本資料!$A:$J,3,0),"無")</f>
        <v>7.1</v>
      </c>
      <c r="B1757" s="79">
        <f>IFERROR(VLOOKUP($G1757,基本資料!$A:$J,4,0),"無")</f>
        <v>71</v>
      </c>
      <c r="C1757" s="79">
        <f>IFERROR(VLOOKUP($G1757,基本資料!$A:$J,5,0),"無")</f>
        <v>65</v>
      </c>
      <c r="D1757" s="79">
        <f>IFERROR(VLOOKUP($G1757,基本資料!$A:$J,6,0),"無")</f>
        <v>-9</v>
      </c>
      <c r="E1757" s="79">
        <f>IFERROR(VLOOKUP($G1757,基本資料!$A:$J,7,0),"無")</f>
        <v>19</v>
      </c>
      <c r="F1757" s="6">
        <f>IFERROR(VLOOKUP($G1757,基本資料!$A:$J,8,0),"無")</f>
        <v>16.79</v>
      </c>
      <c r="G1757" s="79">
        <v>6438</v>
      </c>
      <c r="H1757" s="8" t="s">
        <v>314</v>
      </c>
      <c r="I1757" s="22" t="s">
        <v>484</v>
      </c>
      <c r="J1757" s="8" t="str">
        <f>IFERROR(VLOOKUP($G1757,今日總結!$A:$AJ,35,0),"")</f>
        <v/>
      </c>
      <c r="K1757" s="5" t="str">
        <f>IFERROR(VLOOKUP($G1757,今日總結!$A:$AJ,36,0),"")</f>
        <v/>
      </c>
      <c r="L1757" s="156" t="str">
        <f>IFERROR(VLOOKUP($G1757,今日總結!$A:$AJ,33,0),"")</f>
        <v/>
      </c>
      <c r="M1757" s="340" t="str">
        <f>IFERROR(VLOOKUP($G1757,今日總結!$A:$AJ,34,0),"")</f>
        <v/>
      </c>
      <c r="N1757" s="240" t="str">
        <f t="shared" si="332"/>
        <v/>
      </c>
      <c r="P1757" s="365">
        <f>IFERROR(VLOOKUP($G1757,融外自投!$A:$J,7,0),"無")</f>
        <v>121</v>
      </c>
      <c r="Q1757" s="79">
        <f>IFERROR(VLOOKUP($G1757,融外自投!$A:$J,9,0),"無")</f>
        <v>485</v>
      </c>
      <c r="R1757" s="346">
        <f>IFERROR(VLOOKUP($G1757,融外自投!$A:$J,8,0),"無")</f>
        <v>386</v>
      </c>
      <c r="S1757" s="81">
        <f>IFERROR(VLOOKUP($G1757,融外自投!$A:$J,10,0),"無")</f>
        <v>42</v>
      </c>
      <c r="T1757" s="327">
        <f>IFERROR(VLOOKUP($G1757,'321買'!$A:$E,5,0),"'沒有資料'")</f>
        <v>207</v>
      </c>
      <c r="U1757" s="186">
        <f>IFERROR(VLOOKUP($G1757,基本資料!$A:$J,9,0),"無")</f>
        <v>6.5</v>
      </c>
      <c r="V1757" s="310">
        <f t="shared" si="327"/>
        <v>6.1611374407582936E-2</v>
      </c>
      <c r="W1757" s="94">
        <f>IFERROR(VLOOKUP($G1757,基本資料!$A:$J,10,0),"無")</f>
        <v>10.15</v>
      </c>
      <c r="X1757" s="36">
        <f>RTD("money.excel",,"6438","Price")</f>
        <v>105.5</v>
      </c>
      <c r="Y1757" s="66"/>
      <c r="Z1757" s="15">
        <f t="shared" si="328"/>
        <v>105.5</v>
      </c>
      <c r="AA1757" s="3" t="e">
        <f t="shared" si="329"/>
        <v>#DIV/0!</v>
      </c>
      <c r="AB1757" s="344">
        <f>IFERROR(VLOOKUP($G1757,基本資料!$A:$M,11,0),"無")</f>
        <v>-22.68</v>
      </c>
      <c r="AC1757" s="397">
        <f>IFERROR(VLOOKUP($G1757,基本資料!$A:$M,12,0),"無")</f>
        <v>12.66</v>
      </c>
      <c r="AD1757" s="22" t="s">
        <v>484</v>
      </c>
      <c r="AG1757" s="33">
        <f t="shared" si="330"/>
        <v>0</v>
      </c>
      <c r="AH1757" s="43" t="s">
        <v>2309</v>
      </c>
      <c r="AI1757" s="63">
        <f t="shared" si="331"/>
        <v>3.5915492957746477E-3</v>
      </c>
      <c r="AJ1757" s="284">
        <f>RTD("money.excel",,$G1757,"PredictVolume")</f>
        <v>255</v>
      </c>
      <c r="AK1757" s="399">
        <f>IFERROR(VLOOKUP($G1757,基本資料!$A:$M,13,0),"無")</f>
        <v>28.98</v>
      </c>
    </row>
    <row r="1758" spans="1:37">
      <c r="A1758" s="347">
        <f>IFERROR(VLOOKUP($G1758,基本資料!$A:$J,3,0),"無")</f>
        <v>2.5</v>
      </c>
      <c r="B1758" s="79">
        <f>IFERROR(VLOOKUP($G1758,基本資料!$A:$J,4,0),"無")</f>
        <v>-105</v>
      </c>
      <c r="C1758" s="79">
        <f>IFERROR(VLOOKUP($G1758,基本資料!$A:$J,5,0),"無")</f>
        <v>-60</v>
      </c>
      <c r="D1758" s="79">
        <f>IFERROR(VLOOKUP($G1758,基本資料!$A:$J,6,0),"無")</f>
        <v>26</v>
      </c>
      <c r="E1758" s="79">
        <f>IFERROR(VLOOKUP($G1758,基本資料!$A:$J,7,0),"無")</f>
        <v>151</v>
      </c>
      <c r="F1758" s="6">
        <f>IFERROR(VLOOKUP($G1758,基本資料!$A:$J,8,0),"無")</f>
        <v>-17.829999999999998</v>
      </c>
      <c r="G1758" s="79">
        <v>6512</v>
      </c>
      <c r="H1758" s="8" t="s">
        <v>314</v>
      </c>
      <c r="I1758" s="16" t="s">
        <v>485</v>
      </c>
      <c r="J1758" s="8" t="str">
        <f>IFERROR(VLOOKUP($G1758,今日總結!$A:$AJ,35,0),"")</f>
        <v/>
      </c>
      <c r="K1758" s="5" t="str">
        <f>IFERROR(VLOOKUP($G1758,今日總結!$A:$AJ,36,0),"")</f>
        <v/>
      </c>
      <c r="L1758" s="156" t="str">
        <f>IFERROR(VLOOKUP($G1758,今日總結!$A:$AJ,33,0),"")</f>
        <v/>
      </c>
      <c r="M1758" s="340" t="str">
        <f>IFERROR(VLOOKUP($G1758,今日總結!$A:$AJ,34,0),"")</f>
        <v/>
      </c>
      <c r="N1758" s="240" t="str">
        <f t="shared" si="332"/>
        <v/>
      </c>
      <c r="P1758" s="365" t="str">
        <f>IFERROR(VLOOKUP($G1758,融外自投!$A:$J,7,0),"無")</f>
        <v>無</v>
      </c>
      <c r="Q1758" s="79" t="str">
        <f>IFERROR(VLOOKUP($G1758,融外自投!$A:$J,9,0),"無")</f>
        <v>無</v>
      </c>
      <c r="R1758" s="346" t="str">
        <f>IFERROR(VLOOKUP($G1758,融外自投!$A:$J,8,0),"無")</f>
        <v>無</v>
      </c>
      <c r="S1758" s="81" t="str">
        <f>IFERROR(VLOOKUP($G1758,融外自投!$A:$J,10,0),"無")</f>
        <v>無</v>
      </c>
      <c r="T1758" s="327" t="str">
        <f>IFERROR(VLOOKUP($G1758,'321買'!$A:$E,5,0),"'沒有資料'")</f>
        <v>'沒有資料'</v>
      </c>
      <c r="U1758" s="186">
        <f>IFERROR(VLOOKUP($G1758,基本資料!$A:$J,9,0),"無")</f>
        <v>0</v>
      </c>
      <c r="V1758" s="310">
        <f t="shared" si="327"/>
        <v>0</v>
      </c>
      <c r="W1758" s="94">
        <f>IFERROR(VLOOKUP($G1758,基本資料!$A:$J,10,0),"無")</f>
        <v>-1.51</v>
      </c>
      <c r="X1758" s="36">
        <f>RTD("money.excel",,"6512","Price")</f>
        <v>17.850000000000001</v>
      </c>
      <c r="Y1758" s="66"/>
      <c r="Z1758" s="15">
        <f t="shared" si="328"/>
        <v>17.850000000000001</v>
      </c>
      <c r="AA1758" s="3" t="e">
        <f t="shared" si="329"/>
        <v>#DIV/0!</v>
      </c>
      <c r="AB1758" s="344">
        <f>IFERROR(VLOOKUP($G1758,基本資料!$A:$M,11,0),"無")</f>
        <v>-15.48</v>
      </c>
      <c r="AC1758" s="397">
        <f>IFERROR(VLOOKUP($G1758,基本資料!$A:$M,12,0),"無")</f>
        <v>27.66</v>
      </c>
      <c r="AD1758" s="16" t="s">
        <v>485</v>
      </c>
      <c r="AG1758" s="33">
        <f t="shared" si="330"/>
        <v>0</v>
      </c>
      <c r="AH1758" s="43" t="s">
        <v>2529</v>
      </c>
      <c r="AI1758" s="63">
        <f t="shared" si="331"/>
        <v>3.3999999999999998E-3</v>
      </c>
      <c r="AJ1758" s="284">
        <f>RTD("money.excel",,$G1758,"PredictVolume")</f>
        <v>85</v>
      </c>
      <c r="AK1758" s="399">
        <f>IFERROR(VLOOKUP($G1758,基本資料!$A:$M,13,0),"無")</f>
        <v>2.79</v>
      </c>
    </row>
    <row r="1759" spans="1:37">
      <c r="A1759" s="347">
        <f>IFERROR(VLOOKUP($G1759,基本資料!$A:$J,3,0),"無")</f>
        <v>9.39</v>
      </c>
      <c r="B1759" s="79">
        <f>IFERROR(VLOOKUP($G1759,基本資料!$A:$J,4,0),"無")</f>
        <v>-94</v>
      </c>
      <c r="C1759" s="79">
        <f>IFERROR(VLOOKUP($G1759,基本資料!$A:$J,5,0),"無")</f>
        <v>-71</v>
      </c>
      <c r="D1759" s="79">
        <f>IFERROR(VLOOKUP($G1759,基本資料!$A:$J,6,0),"無")</f>
        <v>-80</v>
      </c>
      <c r="E1759" s="79">
        <f>IFERROR(VLOOKUP($G1759,基本資料!$A:$J,7,0),"無")</f>
        <v>-88</v>
      </c>
      <c r="F1759" s="6">
        <f>IFERROR(VLOOKUP($G1759,基本資料!$A:$J,8,0),"無")</f>
        <v>1.72</v>
      </c>
      <c r="G1759" s="79">
        <v>6558</v>
      </c>
      <c r="H1759" s="8" t="s">
        <v>314</v>
      </c>
      <c r="I1759" s="22" t="s">
        <v>1065</v>
      </c>
      <c r="J1759" s="8" t="str">
        <f>IFERROR(VLOOKUP($G1759,今日總結!$A:$AJ,35,0),"")</f>
        <v/>
      </c>
      <c r="K1759" s="5" t="str">
        <f>IFERROR(VLOOKUP($G1759,今日總結!$A:$AJ,36,0),"")</f>
        <v/>
      </c>
      <c r="L1759" s="156" t="str">
        <f>IFERROR(VLOOKUP($G1759,今日總結!$A:$AJ,33,0),"")</f>
        <v/>
      </c>
      <c r="M1759" s="340" t="str">
        <f>IFERROR(VLOOKUP($G1759,今日總結!$A:$AJ,34,0),"")</f>
        <v/>
      </c>
      <c r="N1759" s="240" t="str">
        <f t="shared" si="332"/>
        <v/>
      </c>
      <c r="P1759" s="365">
        <f>IFERROR(VLOOKUP($G1759,融外自投!$A:$J,7,0),"無")</f>
        <v>438</v>
      </c>
      <c r="Q1759" s="79">
        <f>IFERROR(VLOOKUP($G1759,融外自投!$A:$J,9,0),"無")</f>
        <v>1051</v>
      </c>
      <c r="R1759" s="346">
        <f>IFERROR(VLOOKUP($G1759,融外自投!$A:$J,8,0),"無")</f>
        <v>1032</v>
      </c>
      <c r="S1759" s="81" t="str">
        <f>IFERROR(VLOOKUP($G1759,融外自投!$A:$J,10,0),"無")</f>
        <v>無</v>
      </c>
      <c r="T1759" s="327">
        <f>IFERROR(VLOOKUP($G1759,'321買'!$A:$E,5,0),"'沒有資料'")</f>
        <v>710</v>
      </c>
      <c r="U1759" s="186">
        <f>IFERROR(VLOOKUP($G1759,基本資料!$A:$J,9,0),"無")</f>
        <v>0</v>
      </c>
      <c r="V1759" s="310">
        <f t="shared" si="327"/>
        <v>0</v>
      </c>
      <c r="W1759" s="94">
        <f>IFERROR(VLOOKUP($G1759,基本資料!$A:$J,10,0),"無")</f>
        <v>0.04</v>
      </c>
      <c r="X1759" s="36">
        <f>RTD("money.excel",,"6558","Price")</f>
        <v>23.1</v>
      </c>
      <c r="Y1759" s="66"/>
      <c r="Z1759" s="15">
        <f t="shared" si="328"/>
        <v>23.1</v>
      </c>
      <c r="AA1759" s="3" t="e">
        <f t="shared" si="329"/>
        <v>#DIV/0!</v>
      </c>
      <c r="AB1759" s="344">
        <f>IFERROR(VLOOKUP($G1759,基本資料!$A:$M,11,0),"無")</f>
        <v>-44.79</v>
      </c>
      <c r="AC1759" s="397">
        <f>IFERROR(VLOOKUP($G1759,基本資料!$A:$M,12,0),"無")</f>
        <v>8.4600000000000009</v>
      </c>
      <c r="AD1759" s="22" t="s">
        <v>1065</v>
      </c>
      <c r="AG1759" s="33">
        <f t="shared" si="330"/>
        <v>0</v>
      </c>
      <c r="AH1759" s="43" t="s">
        <v>1973</v>
      </c>
      <c r="AI1759" s="63">
        <f t="shared" si="331"/>
        <v>7.5612353567625133E-4</v>
      </c>
      <c r="AJ1759" s="284">
        <f>RTD("money.excel",,$G1759,"PredictVolume")</f>
        <v>71</v>
      </c>
      <c r="AK1759" s="399">
        <f>IFERROR(VLOOKUP($G1759,基本資料!$A:$M,13,0),"無")</f>
        <v>3.48</v>
      </c>
    </row>
    <row r="1760" spans="1:37">
      <c r="A1760" s="347">
        <f>IFERROR(VLOOKUP($G1760,基本資料!$A:$J,3,0),"無")</f>
        <v>3.39</v>
      </c>
      <c r="B1760" s="79">
        <f>IFERROR(VLOOKUP($G1760,基本資料!$A:$J,4,0),"無")</f>
        <v>53</v>
      </c>
      <c r="C1760" s="79">
        <f>IFERROR(VLOOKUP($G1760,基本資料!$A:$J,5,0),"無")</f>
        <v>42</v>
      </c>
      <c r="D1760" s="79">
        <f>IFERROR(VLOOKUP($G1760,基本資料!$A:$J,6,0),"無")</f>
        <v>-39</v>
      </c>
      <c r="E1760" s="79">
        <f>IFERROR(VLOOKUP($G1760,基本資料!$A:$J,7,0),"無")</f>
        <v>0</v>
      </c>
      <c r="F1760" s="6">
        <f>IFERROR(VLOOKUP($G1760,基本資料!$A:$J,8,0),"無")</f>
        <v>13.49</v>
      </c>
      <c r="G1760" s="79">
        <v>6613</v>
      </c>
      <c r="H1760" s="8" t="s">
        <v>314</v>
      </c>
      <c r="I1760" s="16" t="s">
        <v>486</v>
      </c>
      <c r="J1760" s="8" t="str">
        <f>IFERROR(VLOOKUP($G1760,今日總結!$A:$AJ,35,0),"")</f>
        <v/>
      </c>
      <c r="K1760" s="5" t="str">
        <f>IFERROR(VLOOKUP($G1760,今日總結!$A:$AJ,36,0),"")</f>
        <v/>
      </c>
      <c r="L1760" s="156" t="str">
        <f>IFERROR(VLOOKUP($G1760,今日總結!$A:$AJ,33,0),"")</f>
        <v/>
      </c>
      <c r="M1760" s="340" t="str">
        <f>IFERROR(VLOOKUP($G1760,今日總結!$A:$AJ,34,0),"")</f>
        <v/>
      </c>
      <c r="N1760" s="240" t="str">
        <f t="shared" si="332"/>
        <v/>
      </c>
      <c r="P1760" s="365">
        <f>IFERROR(VLOOKUP($G1760,融外自投!$A:$J,7,0),"無")</f>
        <v>1151</v>
      </c>
      <c r="Q1760" s="79">
        <f>IFERROR(VLOOKUP($G1760,融外自投!$A:$J,9,0),"無")</f>
        <v>474</v>
      </c>
      <c r="R1760" s="346">
        <f>IFERROR(VLOOKUP($G1760,融外自投!$A:$J,8,0),"無")</f>
        <v>1030</v>
      </c>
      <c r="S1760" s="81">
        <f>IFERROR(VLOOKUP($G1760,融外自投!$A:$J,10,0),"無")</f>
        <v>416</v>
      </c>
      <c r="T1760" s="327">
        <f>IFERROR(VLOOKUP($G1760,'321買'!$A:$E,5,0),"'沒有資料'")</f>
        <v>1007</v>
      </c>
      <c r="U1760" s="186">
        <f>IFERROR(VLOOKUP($G1760,基本資料!$A:$J,9,0),"無")</f>
        <v>12</v>
      </c>
      <c r="V1760" s="310">
        <f t="shared" si="327"/>
        <v>7.2727272727272724E-2</v>
      </c>
      <c r="W1760" s="94">
        <f>IFERROR(VLOOKUP($G1760,基本資料!$A:$J,10,0),"無")</f>
        <v>16.75</v>
      </c>
      <c r="X1760" s="36">
        <f>RTD("money.excel",,"6613","Price")</f>
        <v>165</v>
      </c>
      <c r="Y1760" s="66"/>
      <c r="Z1760" s="15">
        <f t="shared" si="328"/>
        <v>165</v>
      </c>
      <c r="AA1760" s="3" t="e">
        <f t="shared" si="329"/>
        <v>#DIV/0!</v>
      </c>
      <c r="AB1760" s="344">
        <f>IFERROR(VLOOKUP($G1760,基本資料!$A:$M,11,0),"無")</f>
        <v>-6.67</v>
      </c>
      <c r="AC1760" s="397">
        <f>IFERROR(VLOOKUP($G1760,基本資料!$A:$M,12,0),"無")</f>
        <v>54.5</v>
      </c>
      <c r="AD1760" s="16" t="s">
        <v>486</v>
      </c>
      <c r="AG1760" s="33">
        <f t="shared" si="330"/>
        <v>0</v>
      </c>
      <c r="AH1760" s="43" t="s">
        <v>1748</v>
      </c>
      <c r="AI1760" s="63">
        <f t="shared" si="331"/>
        <v>3.8348082595870205E-4</v>
      </c>
      <c r="AJ1760" s="284">
        <f>RTD("money.excel",,$G1760,"PredictVolume")</f>
        <v>13</v>
      </c>
      <c r="AK1760" s="399">
        <f>IFERROR(VLOOKUP($G1760,基本資料!$A:$M,13,0),"無")</f>
        <v>1.66</v>
      </c>
    </row>
    <row r="1761" spans="1:37">
      <c r="A1761" s="347">
        <f>IFERROR(VLOOKUP($G1761,基本資料!$A:$J,3,0),"無")</f>
        <v>3.32</v>
      </c>
      <c r="B1761" s="79">
        <f>IFERROR(VLOOKUP($G1761,基本資料!$A:$J,4,0),"無")</f>
        <v>239</v>
      </c>
      <c r="C1761" s="79">
        <f>IFERROR(VLOOKUP($G1761,基本資料!$A:$J,5,0),"無")</f>
        <v>284</v>
      </c>
      <c r="D1761" s="79">
        <f>IFERROR(VLOOKUP($G1761,基本資料!$A:$J,6,0),"無")</f>
        <v>36</v>
      </c>
      <c r="E1761" s="79">
        <f>IFERROR(VLOOKUP($G1761,基本資料!$A:$J,7,0),"無")</f>
        <v>-40</v>
      </c>
      <c r="F1761" s="6">
        <f>IFERROR(VLOOKUP($G1761,基本資料!$A:$J,8,0),"無")</f>
        <v>25.2</v>
      </c>
      <c r="G1761" s="79">
        <v>6654</v>
      </c>
      <c r="H1761" s="8" t="s">
        <v>314</v>
      </c>
      <c r="I1761" s="16" t="s">
        <v>1073</v>
      </c>
      <c r="J1761" s="8" t="str">
        <f>IFERROR(VLOOKUP($G1761,今日總結!$A:$AJ,35,0),"")</f>
        <v/>
      </c>
      <c r="K1761" s="5" t="str">
        <f>IFERROR(VLOOKUP($G1761,今日總結!$A:$AJ,36,0),"")</f>
        <v/>
      </c>
      <c r="L1761" s="156" t="str">
        <f>IFERROR(VLOOKUP($G1761,今日總結!$A:$AJ,33,0),"")</f>
        <v/>
      </c>
      <c r="M1761" s="340" t="str">
        <f>IFERROR(VLOOKUP($G1761,今日總結!$A:$AJ,34,0),"")</f>
        <v/>
      </c>
      <c r="N1761" s="240" t="str">
        <f t="shared" si="332"/>
        <v/>
      </c>
      <c r="P1761" s="365">
        <f>IFERROR(VLOOKUP($G1761,融外自投!$A:$J,7,0),"無")</f>
        <v>572</v>
      </c>
      <c r="Q1761" s="79">
        <f>IFERROR(VLOOKUP($G1761,融外自投!$A:$J,9,0),"無")</f>
        <v>824</v>
      </c>
      <c r="R1761" s="346">
        <f>IFERROR(VLOOKUP($G1761,融外自投!$A:$J,8,0),"無")</f>
        <v>1163</v>
      </c>
      <c r="S1761" s="81" t="str">
        <f>IFERROR(VLOOKUP($G1761,融外自投!$A:$J,10,0),"無")</f>
        <v>無</v>
      </c>
      <c r="T1761" s="327">
        <f>IFERROR(VLOOKUP($G1761,'321買'!$A:$E,5,0),"'沒有資料'")</f>
        <v>1085</v>
      </c>
      <c r="U1761" s="186">
        <f>IFERROR(VLOOKUP($G1761,基本資料!$A:$J,9,0),"無")</f>
        <v>4.5</v>
      </c>
      <c r="V1761" s="310">
        <f t="shared" si="327"/>
        <v>7.5885328836424959E-2</v>
      </c>
      <c r="W1761" s="94">
        <f>IFERROR(VLOOKUP($G1761,基本資料!$A:$J,10,0),"無")</f>
        <v>6.26</v>
      </c>
      <c r="X1761" s="36">
        <f>RTD("money.excel",,"6654","Price")</f>
        <v>59.3</v>
      </c>
      <c r="Y1761" s="66"/>
      <c r="Z1761" s="15">
        <f t="shared" si="328"/>
        <v>59.3</v>
      </c>
      <c r="AA1761" s="3" t="e">
        <f t="shared" si="329"/>
        <v>#DIV/0!</v>
      </c>
      <c r="AB1761" s="344">
        <f>IFERROR(VLOOKUP($G1761,基本資料!$A:$M,11,0),"無")</f>
        <v>-47.26</v>
      </c>
      <c r="AC1761" s="397">
        <f>IFERROR(VLOOKUP($G1761,基本資料!$A:$M,12,0),"無")</f>
        <v>5.73</v>
      </c>
      <c r="AD1761" s="16" t="s">
        <v>1073</v>
      </c>
      <c r="AG1761" s="33">
        <f t="shared" si="330"/>
        <v>0</v>
      </c>
      <c r="AH1761" s="43" t="s">
        <v>2199</v>
      </c>
      <c r="AI1761" s="63">
        <f t="shared" si="331"/>
        <v>3.6144578313253013E-4</v>
      </c>
      <c r="AJ1761" s="284">
        <f>RTD("money.excel",,$G1761,"PredictVolume")</f>
        <v>12</v>
      </c>
      <c r="AK1761" s="399">
        <f>IFERROR(VLOOKUP($G1761,基本資料!$A:$M,13,0),"無")</f>
        <v>6.08</v>
      </c>
    </row>
    <row r="1762" spans="1:37">
      <c r="A1762" s="347">
        <f>IFERROR(VLOOKUP($G1762,基本資料!$A:$J,3,0),"無")</f>
        <v>3.97</v>
      </c>
      <c r="B1762" s="79">
        <f>IFERROR(VLOOKUP($G1762,基本資料!$A:$J,4,0),"無")</f>
        <v>76</v>
      </c>
      <c r="C1762" s="79">
        <f>IFERROR(VLOOKUP($G1762,基本資料!$A:$J,5,0),"無")</f>
        <v>197</v>
      </c>
      <c r="D1762" s="79">
        <f>IFERROR(VLOOKUP($G1762,基本資料!$A:$J,6,0),"無")</f>
        <v>29</v>
      </c>
      <c r="E1762" s="79">
        <f>IFERROR(VLOOKUP($G1762,基本資料!$A:$J,7,0),"無")</f>
        <v>36</v>
      </c>
      <c r="F1762" s="6">
        <f>IFERROR(VLOOKUP($G1762,基本資料!$A:$J,8,0),"無")</f>
        <v>8.65</v>
      </c>
      <c r="G1762" s="79">
        <v>6667</v>
      </c>
      <c r="H1762" s="8" t="s">
        <v>314</v>
      </c>
      <c r="I1762" s="16" t="s">
        <v>1074</v>
      </c>
      <c r="J1762" s="8" t="str">
        <f>IFERROR(VLOOKUP($G1762,今日總結!$A:$AJ,35,0),"")</f>
        <v/>
      </c>
      <c r="K1762" s="5" t="str">
        <f>IFERROR(VLOOKUP($G1762,今日總結!$A:$AJ,36,0),"")</f>
        <v/>
      </c>
      <c r="L1762" s="156" t="str">
        <f>IFERROR(VLOOKUP($G1762,今日總結!$A:$AJ,33,0),"")</f>
        <v/>
      </c>
      <c r="M1762" s="340" t="str">
        <f>IFERROR(VLOOKUP($G1762,今日總結!$A:$AJ,34,0),"")</f>
        <v/>
      </c>
      <c r="N1762" s="240" t="str">
        <f t="shared" si="332"/>
        <v/>
      </c>
      <c r="P1762" s="365">
        <f>IFERROR(VLOOKUP($G1762,融外自投!$A:$J,7,0),"無")</f>
        <v>110</v>
      </c>
      <c r="Q1762" s="79">
        <f>IFERROR(VLOOKUP($G1762,融外自投!$A:$J,9,0),"無")</f>
        <v>474</v>
      </c>
      <c r="R1762" s="346">
        <f>IFERROR(VLOOKUP($G1762,融外自投!$A:$J,8,0),"無")</f>
        <v>863</v>
      </c>
      <c r="S1762" s="81">
        <f>IFERROR(VLOOKUP($G1762,融外自投!$A:$J,10,0),"無")</f>
        <v>262</v>
      </c>
      <c r="T1762" s="327">
        <f>IFERROR(VLOOKUP($G1762,'321買'!$A:$E,5,0),"'沒有資料'")</f>
        <v>392</v>
      </c>
      <c r="U1762" s="186">
        <f>IFERROR(VLOOKUP($G1762,基本資料!$A:$J,9,0),"無")</f>
        <v>2.94</v>
      </c>
      <c r="V1762" s="310">
        <f t="shared" si="327"/>
        <v>3.8033635187580857E-2</v>
      </c>
      <c r="W1762" s="94">
        <f>IFERROR(VLOOKUP($G1762,基本資料!$A:$J,10,0),"無")</f>
        <v>3.27</v>
      </c>
      <c r="X1762" s="36">
        <f>RTD("money.excel",,"6667","Price")</f>
        <v>77.3</v>
      </c>
      <c r="Y1762" s="66"/>
      <c r="Z1762" s="15">
        <f t="shared" si="328"/>
        <v>77.3</v>
      </c>
      <c r="AA1762" s="3" t="e">
        <f t="shared" si="329"/>
        <v>#DIV/0!</v>
      </c>
      <c r="AB1762" s="344">
        <f>IFERROR(VLOOKUP($G1762,基本資料!$A:$M,11,0),"無")</f>
        <v>-23.5</v>
      </c>
      <c r="AC1762" s="397">
        <f>IFERROR(VLOOKUP($G1762,基本資料!$A:$M,12,0),"無")</f>
        <v>18.940000000000001</v>
      </c>
      <c r="AD1762" s="16" t="s">
        <v>1074</v>
      </c>
      <c r="AG1762" s="33">
        <f t="shared" si="330"/>
        <v>0</v>
      </c>
      <c r="AH1762" s="43" t="s">
        <v>2530</v>
      </c>
      <c r="AI1762" s="63">
        <f t="shared" si="331"/>
        <v>1.017632241813602E-2</v>
      </c>
      <c r="AJ1762" s="284">
        <f>RTD("money.excel",,$G1762,"PredictVolume")</f>
        <v>404</v>
      </c>
      <c r="AK1762" s="399">
        <f>IFERROR(VLOOKUP($G1762,基本資料!$A:$M,13,0),"無")</f>
        <v>27.8</v>
      </c>
    </row>
    <row r="1763" spans="1:37">
      <c r="A1763" s="347" t="str">
        <f>IFERROR(VLOOKUP($G1763,基本資料!$A:$J,3,0),"無")</f>
        <v>無</v>
      </c>
      <c r="B1763" s="79" t="str">
        <f>IFERROR(VLOOKUP($G1763,基本資料!$A:$J,4,0),"無")</f>
        <v>無</v>
      </c>
      <c r="C1763" s="79" t="str">
        <f>IFERROR(VLOOKUP($G1763,基本資料!$A:$J,5,0),"無")</f>
        <v>無</v>
      </c>
      <c r="D1763" s="79" t="str">
        <f>IFERROR(VLOOKUP($G1763,基本資料!$A:$J,6,0),"無")</f>
        <v>無</v>
      </c>
      <c r="E1763" s="79" t="str">
        <f>IFERROR(VLOOKUP($G1763,基本資料!$A:$J,7,0),"無")</f>
        <v>無</v>
      </c>
      <c r="F1763" s="6" t="str">
        <f>IFERROR(VLOOKUP($G1763,基本資料!$A:$J,8,0),"無")</f>
        <v>無</v>
      </c>
      <c r="G1763" s="79">
        <v>6691</v>
      </c>
      <c r="H1763" s="8" t="s">
        <v>314</v>
      </c>
      <c r="I1763" s="22" t="s">
        <v>3570</v>
      </c>
      <c r="J1763" s="8" t="str">
        <f>IFERROR(VLOOKUP($G1763,今日總結!$A:$AJ,35,0),"")</f>
        <v/>
      </c>
      <c r="K1763" s="5" t="str">
        <f>IFERROR(VLOOKUP($G1763,今日總結!$A:$AJ,36,0),"")</f>
        <v/>
      </c>
      <c r="L1763" s="156" t="str">
        <f>IFERROR(VLOOKUP($G1763,今日總結!$A:$AJ,33,0),"")</f>
        <v/>
      </c>
      <c r="M1763" s="340" t="str">
        <f>IFERROR(VLOOKUP($G1763,今日總結!$A:$AJ,34,0),"")</f>
        <v/>
      </c>
      <c r="N1763" s="240" t="str">
        <f t="shared" si="332"/>
        <v/>
      </c>
      <c r="P1763" s="365" t="str">
        <f>IFERROR(VLOOKUP($G1763,融外自投!$A:$J,7,0),"無")</f>
        <v>無</v>
      </c>
      <c r="Q1763" s="79" t="str">
        <f>IFERROR(VLOOKUP($G1763,融外自投!$A:$J,9,0),"無")</f>
        <v>無</v>
      </c>
      <c r="R1763" s="346" t="str">
        <f>IFERROR(VLOOKUP($G1763,融外自投!$A:$J,8,0),"無")</f>
        <v>無</v>
      </c>
      <c r="S1763" s="81" t="str">
        <f>IFERROR(VLOOKUP($G1763,融外自投!$A:$J,10,0),"無")</f>
        <v>無</v>
      </c>
      <c r="T1763" s="327" t="str">
        <f>IFERROR(VLOOKUP($G1763,'321買'!$A:$E,5,0),"'沒有資料'")</f>
        <v>'沒有資料'</v>
      </c>
      <c r="U1763" s="186" t="str">
        <f>IFERROR(VLOOKUP($G1763,基本資料!$A:$J,9,0),"無")</f>
        <v>無</v>
      </c>
      <c r="V1763" s="310" t="e">
        <f t="shared" si="327"/>
        <v>#VALUE!</v>
      </c>
      <c r="W1763" s="94" t="str">
        <f>IFERROR(VLOOKUP($G1763,基本資料!$A:$J,10,0),"無")</f>
        <v>無</v>
      </c>
      <c r="X1763" s="36">
        <f>RTD("money.excel",,"6691","Price")</f>
        <v>176</v>
      </c>
      <c r="Y1763" s="66"/>
      <c r="Z1763" s="15">
        <f t="shared" si="328"/>
        <v>176</v>
      </c>
      <c r="AA1763" s="3" t="e">
        <f t="shared" si="329"/>
        <v>#DIV/0!</v>
      </c>
      <c r="AB1763" s="344" t="str">
        <f>IFERROR(VLOOKUP($G1763,基本資料!$A:$M,11,0),"無")</f>
        <v>無</v>
      </c>
      <c r="AC1763" s="397" t="str">
        <f>IFERROR(VLOOKUP($G1763,基本資料!$A:$M,12,0),"無")</f>
        <v>無</v>
      </c>
      <c r="AD1763" s="22" t="s">
        <v>3570</v>
      </c>
      <c r="AG1763" s="33">
        <f t="shared" si="330"/>
        <v>0</v>
      </c>
      <c r="AH1763" s="43" t="s">
        <v>3571</v>
      </c>
      <c r="AI1763" s="63" t="e">
        <f t="shared" si="331"/>
        <v>#VALUE!</v>
      </c>
      <c r="AJ1763" s="284">
        <f>RTD("money.excel",,$G1763,"PredictVolume")</f>
        <v>16</v>
      </c>
      <c r="AK1763" s="399" t="str">
        <f>IFERROR(VLOOKUP($G1763,基本資料!$A:$M,13,0),"無")</f>
        <v>無</v>
      </c>
    </row>
    <row r="1764" spans="1:37">
      <c r="A1764" s="347">
        <f>IFERROR(VLOOKUP($G1764,基本資料!$A:$J,3,0),"無")</f>
        <v>6.63</v>
      </c>
      <c r="B1764" s="79">
        <f>IFERROR(VLOOKUP($G1764,基本資料!$A:$J,4,0),"無")</f>
        <v>170</v>
      </c>
      <c r="C1764" s="79">
        <f>IFERROR(VLOOKUP($G1764,基本資料!$A:$J,5,0),"無")</f>
        <v>50</v>
      </c>
      <c r="D1764" s="79">
        <f>IFERROR(VLOOKUP($G1764,基本資料!$A:$J,6,0),"無")</f>
        <v>-13</v>
      </c>
      <c r="E1764" s="79">
        <f>IFERROR(VLOOKUP($G1764,基本資料!$A:$J,7,0),"無")</f>
        <v>55</v>
      </c>
      <c r="F1764" s="6">
        <f>IFERROR(VLOOKUP($G1764,基本資料!$A:$J,8,0),"無")</f>
        <v>7.44</v>
      </c>
      <c r="G1764" s="79">
        <v>6698</v>
      </c>
      <c r="H1764" s="8" t="s">
        <v>314</v>
      </c>
      <c r="I1764" s="22" t="s">
        <v>1775</v>
      </c>
      <c r="J1764" s="8" t="str">
        <f>IFERROR(VLOOKUP($G1764,今日總結!$A:$AJ,35,0),"")</f>
        <v/>
      </c>
      <c r="K1764" s="5" t="str">
        <f>IFERROR(VLOOKUP($G1764,今日總結!$A:$AJ,36,0),"")</f>
        <v/>
      </c>
      <c r="L1764" s="156" t="str">
        <f>IFERROR(VLOOKUP($G1764,今日總結!$A:$AJ,33,0),"")</f>
        <v/>
      </c>
      <c r="M1764" s="340" t="str">
        <f>IFERROR(VLOOKUP($G1764,今日總結!$A:$AJ,34,0),"")</f>
        <v/>
      </c>
      <c r="N1764" s="240" t="str">
        <f t="shared" si="332"/>
        <v/>
      </c>
      <c r="P1764" s="365">
        <f>IFERROR(VLOOKUP($G1764,融外自投!$A:$J,7,0),"無")</f>
        <v>504</v>
      </c>
      <c r="Q1764" s="79">
        <f>IFERROR(VLOOKUP($G1764,融外自投!$A:$J,9,0),"無")</f>
        <v>978</v>
      </c>
      <c r="R1764" s="346">
        <f>IFERROR(VLOOKUP($G1764,融外自投!$A:$J,8,0),"無")</f>
        <v>1069</v>
      </c>
      <c r="S1764" s="81">
        <f>IFERROR(VLOOKUP($G1764,融外自投!$A:$J,10,0),"無")</f>
        <v>167</v>
      </c>
      <c r="T1764" s="327">
        <f>IFERROR(VLOOKUP($G1764,'321買'!$A:$E,5,0),"'沒有資料'")</f>
        <v>827</v>
      </c>
      <c r="U1764" s="186">
        <f>IFERROR(VLOOKUP($G1764,基本資料!$A:$J,9,0),"無")</f>
        <v>0</v>
      </c>
      <c r="V1764" s="310">
        <f t="shared" si="327"/>
        <v>0</v>
      </c>
      <c r="W1764" s="94">
        <f>IFERROR(VLOOKUP($G1764,基本資料!$A:$J,10,0),"無")</f>
        <v>0.39</v>
      </c>
      <c r="X1764" s="36">
        <f>RTD("money.excel",,"6698","Price")</f>
        <v>36.75</v>
      </c>
      <c r="Y1764" s="66"/>
      <c r="Z1764" s="15">
        <f t="shared" si="328"/>
        <v>36.75</v>
      </c>
      <c r="AA1764" s="3" t="e">
        <f t="shared" si="329"/>
        <v>#DIV/0!</v>
      </c>
      <c r="AB1764" s="344">
        <f>IFERROR(VLOOKUP($G1764,基本資料!$A:$M,11,0),"無")</f>
        <v>-42.06</v>
      </c>
      <c r="AC1764" s="397">
        <f>IFERROR(VLOOKUP($G1764,基本資料!$A:$M,12,0),"無")</f>
        <v>12.3</v>
      </c>
      <c r="AD1764" s="22" t="s">
        <v>1775</v>
      </c>
      <c r="AG1764" s="33">
        <f t="shared" si="330"/>
        <v>0</v>
      </c>
      <c r="AH1764" s="43" t="s">
        <v>2334</v>
      </c>
      <c r="AI1764" s="63">
        <f t="shared" si="331"/>
        <v>9.5022624434389145E-4</v>
      </c>
      <c r="AJ1764" s="284">
        <f>RTD("money.excel",,$G1764,"PredictVolume")</f>
        <v>63</v>
      </c>
      <c r="AK1764" s="399">
        <f>IFERROR(VLOOKUP($G1764,基本資料!$A:$M,13,0),"無")</f>
        <v>19.91</v>
      </c>
    </row>
    <row r="1765" spans="1:37">
      <c r="A1765" s="347" t="str">
        <f>IFERROR(VLOOKUP($G1765,基本資料!$A:$J,3,0),"無")</f>
        <v>無</v>
      </c>
      <c r="B1765" s="79" t="str">
        <f>IFERROR(VLOOKUP($G1765,基本資料!$A:$J,4,0),"無")</f>
        <v>無</v>
      </c>
      <c r="C1765" s="79" t="str">
        <f>IFERROR(VLOOKUP($G1765,基本資料!$A:$J,5,0),"無")</f>
        <v>無</v>
      </c>
      <c r="D1765" s="79" t="str">
        <f>IFERROR(VLOOKUP($G1765,基本資料!$A:$J,6,0),"無")</f>
        <v>無</v>
      </c>
      <c r="E1765" s="79" t="str">
        <f>IFERROR(VLOOKUP($G1765,基本資料!$A:$J,7,0),"無")</f>
        <v>無</v>
      </c>
      <c r="F1765" s="6" t="str">
        <f>IFERROR(VLOOKUP($G1765,基本資料!$A:$J,8,0),"無")</f>
        <v>無</v>
      </c>
      <c r="G1765" s="79">
        <v>6735</v>
      </c>
      <c r="H1765" s="8" t="s">
        <v>314</v>
      </c>
      <c r="I1765" s="16" t="s">
        <v>6228</v>
      </c>
      <c r="J1765" s="8" t="str">
        <f>IFERROR(VLOOKUP($G1765,今日總結!$A:$AJ,35,0),"")</f>
        <v/>
      </c>
      <c r="K1765" s="5" t="str">
        <f>IFERROR(VLOOKUP($G1765,今日總結!$A:$AJ,36,0),"")</f>
        <v/>
      </c>
      <c r="L1765" s="156" t="str">
        <f>IFERROR(VLOOKUP($G1765,今日總結!$A:$AJ,33,0),"")</f>
        <v/>
      </c>
      <c r="M1765" s="340" t="str">
        <f>IFERROR(VLOOKUP($G1765,今日總結!$A:$AJ,34,0),"")</f>
        <v/>
      </c>
      <c r="N1765" s="240" t="str">
        <f t="shared" si="332"/>
        <v/>
      </c>
      <c r="P1765" s="365" t="str">
        <f>IFERROR(VLOOKUP($G1765,融外自投!$A:$J,7,0),"無")</f>
        <v>無</v>
      </c>
      <c r="Q1765" s="79" t="str">
        <f>IFERROR(VLOOKUP($G1765,融外自投!$A:$J,9,0),"無")</f>
        <v>無</v>
      </c>
      <c r="R1765" s="346" t="str">
        <f>IFERROR(VLOOKUP($G1765,融外自投!$A:$J,8,0),"無")</f>
        <v>無</v>
      </c>
      <c r="S1765" s="81" t="str">
        <f>IFERROR(VLOOKUP($G1765,融外自投!$A:$J,10,0),"無")</f>
        <v>無</v>
      </c>
      <c r="T1765" s="327" t="str">
        <f>IFERROR(VLOOKUP($G1765,'321買'!$A:$E,5,0),"'沒有資料'")</f>
        <v>'沒有資料'</v>
      </c>
      <c r="U1765" s="186" t="str">
        <f>IFERROR(VLOOKUP($G1765,基本資料!$A:$J,9,0),"無")</f>
        <v>無</v>
      </c>
      <c r="V1765" s="310" t="e">
        <f t="shared" si="327"/>
        <v>#VALUE!</v>
      </c>
      <c r="W1765" s="94" t="str">
        <f>IFERROR(VLOOKUP($G1765,基本資料!$A:$J,10,0),"無")</f>
        <v>無</v>
      </c>
      <c r="X1765" s="36">
        <f>RTD("money.excel",,"6735","Price")</f>
        <v>83.6</v>
      </c>
      <c r="Y1765" s="66"/>
      <c r="Z1765" s="15">
        <f t="shared" ref="Z1765" si="333">X1765-Y1765</f>
        <v>83.6</v>
      </c>
      <c r="AA1765" s="3" t="e">
        <f t="shared" ref="AA1765" si="334">Z1765/Y1765</f>
        <v>#DIV/0!</v>
      </c>
      <c r="AB1765" s="344" t="str">
        <f>IFERROR(VLOOKUP($G1765,基本資料!$A:$M,11,0),"無")</f>
        <v>無</v>
      </c>
      <c r="AC1765" s="397" t="str">
        <f>IFERROR(VLOOKUP($G1765,基本資料!$A:$M,12,0),"無")</f>
        <v>無</v>
      </c>
      <c r="AD1765" s="16" t="s">
        <v>6228</v>
      </c>
      <c r="AG1765" s="33">
        <f t="shared" ref="AG1765" si="335">AF1765-AE1765</f>
        <v>0</v>
      </c>
      <c r="AH1765" s="43" t="s">
        <v>6229</v>
      </c>
      <c r="AI1765" s="63" t="e">
        <f t="shared" si="331"/>
        <v>#VALUE!</v>
      </c>
      <c r="AJ1765" s="284">
        <f>RTD("money.excel",,$G1765,"PredictVolume")</f>
        <v>164</v>
      </c>
      <c r="AK1765" s="399" t="str">
        <f>IFERROR(VLOOKUP($G1765,基本資料!$A:$M,13,0),"無")</f>
        <v>無</v>
      </c>
    </row>
    <row r="1766" spans="1:37">
      <c r="A1766" s="347">
        <f>IFERROR(VLOOKUP($G1766,基本資料!$A:$J,3,0),"無")</f>
        <v>15</v>
      </c>
      <c r="B1766" s="79">
        <f>IFERROR(VLOOKUP($G1766,基本資料!$A:$J,4,0),"無")</f>
        <v>-109</v>
      </c>
      <c r="C1766" s="79">
        <f>IFERROR(VLOOKUP($G1766,基本資料!$A:$J,5,0),"無")</f>
        <v>-102</v>
      </c>
      <c r="D1766" s="79">
        <f>IFERROR(VLOOKUP($G1766,基本資料!$A:$J,6,0),"無")</f>
        <v>-5</v>
      </c>
      <c r="E1766" s="79">
        <f>IFERROR(VLOOKUP($G1766,基本資料!$A:$J,7,0),"無")</f>
        <v>-35</v>
      </c>
      <c r="F1766" s="6">
        <f>IFERROR(VLOOKUP($G1766,基本資料!$A:$J,8,0),"無")</f>
        <v>-0.33</v>
      </c>
      <c r="G1766" s="79">
        <v>6743</v>
      </c>
      <c r="H1766" s="8" t="s">
        <v>314</v>
      </c>
      <c r="I1766" s="22" t="s">
        <v>2110</v>
      </c>
      <c r="J1766" s="8">
        <f>IFERROR(VLOOKUP($G1766,今日總結!$A:$AJ,35,0),"")</f>
        <v>0</v>
      </c>
      <c r="K1766" s="5" t="str">
        <f>IFERROR(VLOOKUP($G1766,今日總結!$A:$AJ,36,0),"")</f>
        <v>借</v>
      </c>
      <c r="L1766" s="156">
        <f>IFERROR(VLOOKUP($G1766,今日總結!$A:$AJ,33,0),"")</f>
        <v>0</v>
      </c>
      <c r="M1766" s="340">
        <f>IFERROR(VLOOKUP($G1766,今日總結!$A:$AJ,34,0),"")</f>
        <v>1</v>
      </c>
      <c r="N1766" s="240">
        <f t="shared" si="332"/>
        <v>-1</v>
      </c>
      <c r="P1766" s="365">
        <f>IFERROR(VLOOKUP($G1766,融外自投!$A:$J,7,0),"無")</f>
        <v>718</v>
      </c>
      <c r="Q1766" s="79" t="str">
        <f>IFERROR(VLOOKUP($G1766,融外自投!$A:$J,9,0),"無")</f>
        <v>無</v>
      </c>
      <c r="R1766" s="346">
        <f>IFERROR(VLOOKUP($G1766,融外自投!$A:$J,8,0),"無")</f>
        <v>851</v>
      </c>
      <c r="S1766" s="81" t="str">
        <f>IFERROR(VLOOKUP($G1766,融外自投!$A:$J,10,0),"無")</f>
        <v>無</v>
      </c>
      <c r="T1766" s="327">
        <f>IFERROR(VLOOKUP($G1766,'321買'!$A:$E,5,0),"'沒有資料'")</f>
        <v>779</v>
      </c>
      <c r="U1766" s="186">
        <f>IFERROR(VLOOKUP($G1766,基本資料!$A:$J,9,0),"無")</f>
        <v>0.5</v>
      </c>
      <c r="V1766" s="310">
        <f t="shared" si="327"/>
        <v>1.2033694344163659E-2</v>
      </c>
      <c r="W1766" s="94">
        <f>IFERROR(VLOOKUP($G1766,基本資料!$A:$J,10,0),"無")</f>
        <v>-0.33</v>
      </c>
      <c r="X1766" s="36">
        <f>RTD("money.excel",,"6743","Price")</f>
        <v>41.55</v>
      </c>
      <c r="Y1766" s="66"/>
      <c r="Z1766" s="15">
        <f t="shared" si="328"/>
        <v>41.55</v>
      </c>
      <c r="AA1766" s="3" t="e">
        <f t="shared" si="329"/>
        <v>#DIV/0!</v>
      </c>
      <c r="AB1766" s="344">
        <f>IFERROR(VLOOKUP($G1766,基本資料!$A:$M,11,0),"無")</f>
        <v>-69.260000000000005</v>
      </c>
      <c r="AC1766" s="397">
        <f>IFERROR(VLOOKUP($G1766,基本資料!$A:$M,12,0),"無")</f>
        <v>6.32</v>
      </c>
      <c r="AD1766" s="22" t="s">
        <v>2110</v>
      </c>
      <c r="AG1766" s="33">
        <f t="shared" si="330"/>
        <v>0</v>
      </c>
      <c r="AH1766" s="43" t="s">
        <v>3362</v>
      </c>
      <c r="AI1766" s="63">
        <f t="shared" si="331"/>
        <v>1.7333333333333333E-3</v>
      </c>
      <c r="AJ1766" s="284">
        <f>RTD("money.excel",,$G1766,"PredictVolume")</f>
        <v>260</v>
      </c>
      <c r="AK1766" s="399">
        <f>IFERROR(VLOOKUP($G1766,基本資料!$A:$M,13,0),"無")</f>
        <v>4.9800000000000004</v>
      </c>
    </row>
    <row r="1767" spans="1:37">
      <c r="A1767" s="347" t="str">
        <f>IFERROR(VLOOKUP($G1767,基本資料!$A:$J,3,0),"無")</f>
        <v>無</v>
      </c>
      <c r="B1767" s="79" t="str">
        <f>IFERROR(VLOOKUP($G1767,基本資料!$A:$J,4,0),"無")</f>
        <v>無</v>
      </c>
      <c r="C1767" s="79" t="str">
        <f>IFERROR(VLOOKUP($G1767,基本資料!$A:$J,5,0),"無")</f>
        <v>無</v>
      </c>
      <c r="D1767" s="79" t="str">
        <f>IFERROR(VLOOKUP($G1767,基本資料!$A:$J,6,0),"無")</f>
        <v>無</v>
      </c>
      <c r="E1767" s="79" t="str">
        <f>IFERROR(VLOOKUP($G1767,基本資料!$A:$J,7,0),"無")</f>
        <v>無</v>
      </c>
      <c r="F1767" s="6" t="str">
        <f>IFERROR(VLOOKUP($G1767,基本資料!$A:$J,8,0),"無")</f>
        <v>無</v>
      </c>
      <c r="G1767" s="79">
        <v>6826</v>
      </c>
      <c r="H1767" s="8" t="s">
        <v>314</v>
      </c>
      <c r="I1767" s="22" t="s">
        <v>6272</v>
      </c>
      <c r="J1767" s="8" t="str">
        <f>IFERROR(VLOOKUP($G1767,今日總結!$A:$AJ,35,0),"")</f>
        <v/>
      </c>
      <c r="K1767" s="5" t="str">
        <f>IFERROR(VLOOKUP($G1767,今日總結!$A:$AJ,36,0),"")</f>
        <v/>
      </c>
      <c r="L1767" s="156" t="str">
        <f>IFERROR(VLOOKUP($G1767,今日總結!$A:$AJ,33,0),"")</f>
        <v/>
      </c>
      <c r="M1767" s="340" t="str">
        <f>IFERROR(VLOOKUP($G1767,今日總結!$A:$AJ,34,0),"")</f>
        <v/>
      </c>
      <c r="N1767" s="240" t="str">
        <f t="shared" si="332"/>
        <v/>
      </c>
      <c r="P1767" s="365" t="str">
        <f>IFERROR(VLOOKUP($G1767,融外自投!$A:$J,7,0),"無")</f>
        <v>無</v>
      </c>
      <c r="Q1767" s="79" t="str">
        <f>IFERROR(VLOOKUP($G1767,融外自投!$A:$J,9,0),"無")</f>
        <v>無</v>
      </c>
      <c r="R1767" s="346" t="str">
        <f>IFERROR(VLOOKUP($G1767,融外自投!$A:$J,8,0),"無")</f>
        <v>無</v>
      </c>
      <c r="S1767" s="81" t="str">
        <f>IFERROR(VLOOKUP($G1767,融外自投!$A:$J,10,0),"無")</f>
        <v>無</v>
      </c>
      <c r="T1767" s="327" t="str">
        <f>IFERROR(VLOOKUP($G1767,'321買'!$A:$E,5,0),"'沒有資料'")</f>
        <v>'沒有資料'</v>
      </c>
      <c r="U1767" s="186" t="str">
        <f>IFERROR(VLOOKUP($G1767,基本資料!$A:$J,9,0),"無")</f>
        <v>無</v>
      </c>
      <c r="V1767" s="310" t="e">
        <f t="shared" si="327"/>
        <v>#VALUE!</v>
      </c>
      <c r="W1767" s="94" t="str">
        <f>IFERROR(VLOOKUP($G1767,基本資料!$A:$J,10,0),"無")</f>
        <v>無</v>
      </c>
      <c r="X1767" s="36">
        <f>RTD("money.excel",,"6826","Price")</f>
        <v>86.7</v>
      </c>
      <c r="Y1767" s="66"/>
      <c r="Z1767" s="15">
        <f t="shared" ref="Z1767" si="336">X1767-Y1767</f>
        <v>86.7</v>
      </c>
      <c r="AA1767" s="3" t="e">
        <f t="shared" ref="AA1767" si="337">Z1767/Y1767</f>
        <v>#DIV/0!</v>
      </c>
      <c r="AB1767" s="344" t="str">
        <f>IFERROR(VLOOKUP($G1767,基本資料!$A:$M,11,0),"無")</f>
        <v>無</v>
      </c>
      <c r="AC1767" s="397" t="str">
        <f>IFERROR(VLOOKUP($G1767,基本資料!$A:$M,12,0),"無")</f>
        <v>無</v>
      </c>
      <c r="AD1767" s="22" t="s">
        <v>6272</v>
      </c>
      <c r="AG1767" s="33">
        <f t="shared" ref="AG1767" si="338">AF1767-AE1767</f>
        <v>0</v>
      </c>
      <c r="AH1767" s="43" t="s">
        <v>6273</v>
      </c>
      <c r="AI1767" s="63" t="e">
        <f t="shared" ref="AI1767:AI1776" si="339">AJ1767/(A1767*10000)</f>
        <v>#VALUE!</v>
      </c>
      <c r="AJ1767" s="284">
        <f>RTD("money.excel",,$G1767,"PredictVolume")</f>
        <v>19</v>
      </c>
      <c r="AK1767" s="399" t="str">
        <f>IFERROR(VLOOKUP($G1767,基本資料!$A:$M,13,0),"無")</f>
        <v>無</v>
      </c>
    </row>
    <row r="1768" spans="1:37">
      <c r="A1768" s="347">
        <f>IFERROR(VLOOKUP($G1768,基本資料!$A:$J,3,0),"無")</f>
        <v>14.21</v>
      </c>
      <c r="B1768" s="79">
        <f>IFERROR(VLOOKUP($G1768,基本資料!$A:$J,4,0),"無")</f>
        <v>61</v>
      </c>
      <c r="C1768" s="79">
        <f>IFERROR(VLOOKUP($G1768,基本資料!$A:$J,5,0),"無")</f>
        <v>37</v>
      </c>
      <c r="D1768" s="79">
        <f>IFERROR(VLOOKUP($G1768,基本資料!$A:$J,6,0),"無")</f>
        <v>0</v>
      </c>
      <c r="E1768" s="79">
        <f>IFERROR(VLOOKUP($G1768,基本資料!$A:$J,7,0),"無")</f>
        <v>1</v>
      </c>
      <c r="F1768" s="6">
        <f>IFERROR(VLOOKUP($G1768,基本資料!$A:$J,8,0),"無")</f>
        <v>17.04</v>
      </c>
      <c r="G1768" s="79">
        <v>8021</v>
      </c>
      <c r="H1768" s="8" t="s">
        <v>314</v>
      </c>
      <c r="I1768" s="22" t="s">
        <v>512</v>
      </c>
      <c r="J1768" s="8" t="str">
        <f>IFERROR(VLOOKUP($G1768,今日總結!$A:$AJ,35,0),"")</f>
        <v/>
      </c>
      <c r="K1768" s="5" t="str">
        <f>IFERROR(VLOOKUP($G1768,今日總結!$A:$AJ,36,0),"")</f>
        <v/>
      </c>
      <c r="L1768" s="156" t="str">
        <f>IFERROR(VLOOKUP($G1768,今日總結!$A:$AJ,33,0),"")</f>
        <v/>
      </c>
      <c r="M1768" s="340" t="str">
        <f>IFERROR(VLOOKUP($G1768,今日總結!$A:$AJ,34,0),"")</f>
        <v/>
      </c>
      <c r="N1768" s="240" t="str">
        <f t="shared" si="332"/>
        <v/>
      </c>
      <c r="P1768" s="365">
        <f>IFERROR(VLOOKUP($G1768,融外自投!$A:$J,7,0),"無")</f>
        <v>516</v>
      </c>
      <c r="Q1768" s="79">
        <f>IFERROR(VLOOKUP($G1768,融外自投!$A:$J,9,0),"無")</f>
        <v>789</v>
      </c>
      <c r="R1768" s="346">
        <f>IFERROR(VLOOKUP($G1768,融外自投!$A:$J,8,0),"無")</f>
        <v>532</v>
      </c>
      <c r="S1768" s="81" t="str">
        <f>IFERROR(VLOOKUP($G1768,融外自投!$A:$J,10,0),"無")</f>
        <v>無</v>
      </c>
      <c r="T1768" s="327">
        <f>IFERROR(VLOOKUP($G1768,'321買'!$A:$E,5,0),"'沒有資料'")</f>
        <v>463</v>
      </c>
      <c r="U1768" s="186">
        <f>IFERROR(VLOOKUP($G1768,基本資料!$A:$J,9,0),"無")</f>
        <v>2.2999999999999998</v>
      </c>
      <c r="V1768" s="310">
        <f t="shared" si="327"/>
        <v>6.9802731411229127E-2</v>
      </c>
      <c r="W1768" s="94">
        <f>IFERROR(VLOOKUP($G1768,基本資料!$A:$J,10,0),"無")</f>
        <v>3.14</v>
      </c>
      <c r="X1768" s="36">
        <f>RTD("money.excel",,"8021","Price")</f>
        <v>32.950000000000003</v>
      </c>
      <c r="Y1768" s="66"/>
      <c r="Z1768" s="15">
        <f t="shared" si="328"/>
        <v>32.950000000000003</v>
      </c>
      <c r="AA1768" s="3" t="e">
        <f t="shared" si="329"/>
        <v>#DIV/0!</v>
      </c>
      <c r="AB1768" s="344">
        <f>IFERROR(VLOOKUP($G1768,基本資料!$A:$M,11,0),"無")</f>
        <v>-33.03</v>
      </c>
      <c r="AC1768" s="397">
        <f>IFERROR(VLOOKUP($G1768,基本資料!$A:$M,12,0),"無")</f>
        <v>16.55</v>
      </c>
      <c r="AD1768" s="22" t="s">
        <v>512</v>
      </c>
      <c r="AG1768" s="33">
        <f t="shared" si="330"/>
        <v>0</v>
      </c>
      <c r="AH1768" s="43" t="s">
        <v>2581</v>
      </c>
      <c r="AI1768" s="63">
        <f t="shared" si="339"/>
        <v>2.3082336382828994E-3</v>
      </c>
      <c r="AJ1768" s="284">
        <f>RTD("money.excel",,$G1768,"PredictVolume")</f>
        <v>328</v>
      </c>
      <c r="AK1768" s="399">
        <f>IFERROR(VLOOKUP($G1768,基本資料!$A:$M,13,0),"無")</f>
        <v>17.62</v>
      </c>
    </row>
    <row r="1769" spans="1:37">
      <c r="A1769" s="347">
        <f>IFERROR(VLOOKUP($G1769,基本資料!$A:$J,3,0),"無")</f>
        <v>4.16</v>
      </c>
      <c r="B1769" s="79">
        <f>IFERROR(VLOOKUP($G1769,基本資料!$A:$J,4,0),"無")</f>
        <v>57</v>
      </c>
      <c r="C1769" s="79">
        <f>IFERROR(VLOOKUP($G1769,基本資料!$A:$J,5,0),"無")</f>
        <v>157</v>
      </c>
      <c r="D1769" s="79">
        <f>IFERROR(VLOOKUP($G1769,基本資料!$A:$J,6,0),"無")</f>
        <v>56</v>
      </c>
      <c r="E1769" s="79">
        <f>IFERROR(VLOOKUP($G1769,基本資料!$A:$J,7,0),"無")</f>
        <v>13</v>
      </c>
      <c r="F1769" s="6">
        <f>IFERROR(VLOOKUP($G1769,基本資料!$A:$J,8,0),"無")</f>
        <v>0.99</v>
      </c>
      <c r="G1769" s="79">
        <v>8047</v>
      </c>
      <c r="H1769" s="8" t="s">
        <v>314</v>
      </c>
      <c r="I1769" s="16" t="s">
        <v>487</v>
      </c>
      <c r="J1769" s="8" t="str">
        <f>IFERROR(VLOOKUP($G1769,今日總結!$A:$AJ,35,0),"")</f>
        <v/>
      </c>
      <c r="K1769" s="5" t="str">
        <f>IFERROR(VLOOKUP($G1769,今日總結!$A:$AJ,36,0),"")</f>
        <v/>
      </c>
      <c r="L1769" s="156" t="str">
        <f>IFERROR(VLOOKUP($G1769,今日總結!$A:$AJ,33,0),"")</f>
        <v/>
      </c>
      <c r="M1769" s="340" t="str">
        <f>IFERROR(VLOOKUP($G1769,今日總結!$A:$AJ,34,0),"")</f>
        <v/>
      </c>
      <c r="N1769" s="240" t="str">
        <f t="shared" si="332"/>
        <v/>
      </c>
      <c r="P1769" s="365">
        <f>IFERROR(VLOOKUP($G1769,融外自投!$A:$J,7,0),"無")</f>
        <v>960</v>
      </c>
      <c r="Q1769" s="79" t="str">
        <f>IFERROR(VLOOKUP($G1769,融外自投!$A:$J,9,0),"無")</f>
        <v>無</v>
      </c>
      <c r="R1769" s="346">
        <f>IFERROR(VLOOKUP($G1769,融外自投!$A:$J,8,0),"無")</f>
        <v>1455</v>
      </c>
      <c r="S1769" s="81" t="str">
        <f>IFERROR(VLOOKUP($G1769,融外自投!$A:$J,10,0),"無")</f>
        <v>無</v>
      </c>
      <c r="T1769" s="327" t="str">
        <f>IFERROR(VLOOKUP($G1769,'321買'!$A:$E,5,0),"'沒有資料'")</f>
        <v>'沒有資料'</v>
      </c>
      <c r="U1769" s="186">
        <f>IFERROR(VLOOKUP($G1769,基本資料!$A:$J,9,0),"無")</f>
        <v>0.25</v>
      </c>
      <c r="V1769" s="310">
        <f t="shared" si="327"/>
        <v>1.7182130584192438E-2</v>
      </c>
      <c r="W1769" s="94">
        <f>IFERROR(VLOOKUP($G1769,基本資料!$A:$J,10,0),"無")</f>
        <v>0.43</v>
      </c>
      <c r="X1769" s="36">
        <f>RTD("money.excel",,"8047","Price")</f>
        <v>14.55</v>
      </c>
      <c r="Y1769" s="66"/>
      <c r="Z1769" s="15">
        <f t="shared" si="328"/>
        <v>14.55</v>
      </c>
      <c r="AA1769" s="3" t="e">
        <f t="shared" si="329"/>
        <v>#DIV/0!</v>
      </c>
      <c r="AB1769" s="344">
        <f>IFERROR(VLOOKUP($G1769,基本資料!$A:$M,11,0),"無")</f>
        <v>-4.3499999999999996</v>
      </c>
      <c r="AC1769" s="397">
        <f>IFERROR(VLOOKUP($G1769,基本資料!$A:$M,12,0),"無")</f>
        <v>65.540000000000006</v>
      </c>
      <c r="AD1769" s="16" t="s">
        <v>487</v>
      </c>
      <c r="AG1769" s="33">
        <f t="shared" si="330"/>
        <v>0</v>
      </c>
      <c r="AH1769" s="43" t="s">
        <v>2531</v>
      </c>
      <c r="AI1769" s="63">
        <f t="shared" si="339"/>
        <v>1.6586538461538462E-3</v>
      </c>
      <c r="AJ1769" s="284">
        <f>RTD("money.excel",,$G1769,"PredictVolume")</f>
        <v>69</v>
      </c>
      <c r="AK1769" s="399">
        <f>IFERROR(VLOOKUP($G1769,基本資料!$A:$M,13,0),"無")</f>
        <v>7.99</v>
      </c>
    </row>
    <row r="1770" spans="1:37">
      <c r="A1770" s="347">
        <f>IFERROR(VLOOKUP($G1770,基本資料!$A:$J,3,0),"無")</f>
        <v>13.99</v>
      </c>
      <c r="B1770" s="79">
        <f>IFERROR(VLOOKUP($G1770,基本資料!$A:$J,4,0),"無")</f>
        <v>144</v>
      </c>
      <c r="C1770" s="79">
        <f>IFERROR(VLOOKUP($G1770,基本資料!$A:$J,5,0),"無")</f>
        <v>84</v>
      </c>
      <c r="D1770" s="79">
        <f>IFERROR(VLOOKUP($G1770,基本資料!$A:$J,6,0),"無")</f>
        <v>-7</v>
      </c>
      <c r="E1770" s="79">
        <f>IFERROR(VLOOKUP($G1770,基本資料!$A:$J,7,0),"無")</f>
        <v>-8</v>
      </c>
      <c r="F1770" s="6">
        <f>IFERROR(VLOOKUP($G1770,基本資料!$A:$J,8,0),"無")</f>
        <v>-2.36</v>
      </c>
      <c r="G1770" s="79">
        <v>8085</v>
      </c>
      <c r="H1770" s="8" t="s">
        <v>314</v>
      </c>
      <c r="I1770" s="16" t="s">
        <v>488</v>
      </c>
      <c r="J1770" s="8" t="str">
        <f>IFERROR(VLOOKUP($G1770,今日總結!$A:$AJ,35,0),"")</f>
        <v/>
      </c>
      <c r="K1770" s="5" t="str">
        <f>IFERROR(VLOOKUP($G1770,今日總結!$A:$AJ,36,0),"")</f>
        <v/>
      </c>
      <c r="L1770" s="156" t="str">
        <f>IFERROR(VLOOKUP($G1770,今日總結!$A:$AJ,33,0),"")</f>
        <v/>
      </c>
      <c r="M1770" s="340" t="str">
        <f>IFERROR(VLOOKUP($G1770,今日總結!$A:$AJ,34,0),"")</f>
        <v/>
      </c>
      <c r="N1770" s="240" t="str">
        <f t="shared" si="332"/>
        <v/>
      </c>
      <c r="P1770" s="365">
        <f>IFERROR(VLOOKUP($G1770,融外自投!$A:$J,7,0),"無")</f>
        <v>1285</v>
      </c>
      <c r="Q1770" s="79" t="str">
        <f>IFERROR(VLOOKUP($G1770,融外自投!$A:$J,9,0),"無")</f>
        <v>無</v>
      </c>
      <c r="R1770" s="346">
        <f>IFERROR(VLOOKUP($G1770,融外自投!$A:$J,8,0),"無")</f>
        <v>1430</v>
      </c>
      <c r="S1770" s="81" t="str">
        <f>IFERROR(VLOOKUP($G1770,融外自投!$A:$J,10,0),"無")</f>
        <v>無</v>
      </c>
      <c r="T1770" s="327">
        <f>IFERROR(VLOOKUP($G1770,'321買'!$A:$E,5,0),"'沒有資料'")</f>
        <v>1214</v>
      </c>
      <c r="U1770" s="186">
        <f>IFERROR(VLOOKUP($G1770,基本資料!$A:$J,9,0),"無")</f>
        <v>0.2</v>
      </c>
      <c r="V1770" s="310">
        <f t="shared" si="327"/>
        <v>1.1428571428571429E-2</v>
      </c>
      <c r="W1770" s="94">
        <f>IFERROR(VLOOKUP($G1770,基本資料!$A:$J,10,0),"無")</f>
        <v>0.24</v>
      </c>
      <c r="X1770" s="36">
        <f>RTD("money.excel",,"8085","Price")</f>
        <v>17.5</v>
      </c>
      <c r="Y1770" s="66"/>
      <c r="Z1770" s="15">
        <f t="shared" si="328"/>
        <v>17.5</v>
      </c>
      <c r="AA1770" s="3" t="e">
        <f t="shared" si="329"/>
        <v>#DIV/0!</v>
      </c>
      <c r="AB1770" s="344">
        <f>IFERROR(VLOOKUP($G1770,基本資料!$A:$M,11,0),"無")</f>
        <v>-15.4</v>
      </c>
      <c r="AC1770" s="397">
        <f>IFERROR(VLOOKUP($G1770,基本資料!$A:$M,12,0),"無")</f>
        <v>50.17</v>
      </c>
      <c r="AD1770" s="16" t="s">
        <v>488</v>
      </c>
      <c r="AG1770" s="33">
        <f t="shared" si="330"/>
        <v>0</v>
      </c>
      <c r="AH1770" s="43" t="s">
        <v>2237</v>
      </c>
      <c r="AI1770" s="63">
        <f t="shared" si="339"/>
        <v>1.2437455325232309E-3</v>
      </c>
      <c r="AJ1770" s="284">
        <f>RTD("money.excel",,$G1770,"PredictVolume")</f>
        <v>174</v>
      </c>
      <c r="AK1770" s="399">
        <f>IFERROR(VLOOKUP($G1770,基本資料!$A:$M,13,0),"無")</f>
        <v>7.82</v>
      </c>
    </row>
    <row r="1771" spans="1:37">
      <c r="A1771" s="347">
        <f>IFERROR(VLOOKUP($G1771,基本資料!$A:$J,3,0),"無")</f>
        <v>3.88</v>
      </c>
      <c r="B1771" s="79">
        <f>IFERROR(VLOOKUP($G1771,基本資料!$A:$J,4,0),"無")</f>
        <v>-17</v>
      </c>
      <c r="C1771" s="79">
        <f>IFERROR(VLOOKUP($G1771,基本資料!$A:$J,5,0),"無")</f>
        <v>19</v>
      </c>
      <c r="D1771" s="79">
        <f>IFERROR(VLOOKUP($G1771,基本資料!$A:$J,6,0),"無")</f>
        <v>-38</v>
      </c>
      <c r="E1771" s="79">
        <f>IFERROR(VLOOKUP($G1771,基本資料!$A:$J,7,0),"無")</f>
        <v>9</v>
      </c>
      <c r="F1771" s="6">
        <f>IFERROR(VLOOKUP($G1771,基本資料!$A:$J,8,0),"無")</f>
        <v>-6.66</v>
      </c>
      <c r="G1771" s="79">
        <v>8092</v>
      </c>
      <c r="H1771" s="8" t="s">
        <v>314</v>
      </c>
      <c r="I1771" s="16" t="s">
        <v>489</v>
      </c>
      <c r="J1771" s="8" t="str">
        <f>IFERROR(VLOOKUP($G1771,今日總結!$A:$AJ,35,0),"")</f>
        <v/>
      </c>
      <c r="K1771" s="5" t="str">
        <f>IFERROR(VLOOKUP($G1771,今日總結!$A:$AJ,36,0),"")</f>
        <v/>
      </c>
      <c r="L1771" s="156" t="str">
        <f>IFERROR(VLOOKUP($G1771,今日總結!$A:$AJ,33,0),"")</f>
        <v/>
      </c>
      <c r="M1771" s="340" t="str">
        <f>IFERROR(VLOOKUP($G1771,今日總結!$A:$AJ,34,0),"")</f>
        <v/>
      </c>
      <c r="N1771" s="240" t="str">
        <f t="shared" si="332"/>
        <v/>
      </c>
      <c r="P1771" s="365" t="str">
        <f>IFERROR(VLOOKUP($G1771,融外自投!$A:$J,7,0),"無")</f>
        <v>無</v>
      </c>
      <c r="Q1771" s="79" t="str">
        <f>IFERROR(VLOOKUP($G1771,融外自投!$A:$J,9,0),"無")</f>
        <v>無</v>
      </c>
      <c r="R1771" s="346" t="str">
        <f>IFERROR(VLOOKUP($G1771,融外自投!$A:$J,8,0),"無")</f>
        <v>無</v>
      </c>
      <c r="S1771" s="81" t="str">
        <f>IFERROR(VLOOKUP($G1771,融外自投!$A:$J,10,0),"無")</f>
        <v>無</v>
      </c>
      <c r="T1771" s="327" t="str">
        <f>IFERROR(VLOOKUP($G1771,'321買'!$A:$E,5,0),"'沒有資料'")</f>
        <v>'沒有資料'</v>
      </c>
      <c r="U1771" s="186">
        <f>IFERROR(VLOOKUP($G1771,基本資料!$A:$J,9,0),"無")</f>
        <v>0</v>
      </c>
      <c r="V1771" s="310">
        <f t="shared" si="327"/>
        <v>0</v>
      </c>
      <c r="W1771" s="94">
        <f>IFERROR(VLOOKUP($G1771,基本資料!$A:$J,10,0),"無")</f>
        <v>-0.57999999999999996</v>
      </c>
      <c r="X1771" s="36">
        <f>RTD("money.excel",,"8092","Price")</f>
        <v>10.050000000000001</v>
      </c>
      <c r="Y1771" s="66"/>
      <c r="Z1771" s="15">
        <f t="shared" si="328"/>
        <v>10.050000000000001</v>
      </c>
      <c r="AA1771" s="3" t="e">
        <f t="shared" si="329"/>
        <v>#DIV/0!</v>
      </c>
      <c r="AB1771" s="344">
        <f>IFERROR(VLOOKUP($G1771,基本資料!$A:$M,11,0),"無")</f>
        <v>-35.409999999999997</v>
      </c>
      <c r="AC1771" s="397">
        <f>IFERROR(VLOOKUP($G1771,基本資料!$A:$M,12,0),"無")</f>
        <v>18.79</v>
      </c>
      <c r="AD1771" s="16" t="s">
        <v>489</v>
      </c>
      <c r="AG1771" s="33">
        <f t="shared" si="330"/>
        <v>0</v>
      </c>
      <c r="AH1771" s="43" t="s">
        <v>2532</v>
      </c>
      <c r="AI1771" s="63">
        <f t="shared" si="339"/>
        <v>2.3195876288659793E-4</v>
      </c>
      <c r="AJ1771" s="284">
        <f>RTD("money.excel",,$G1771,"PredictVolume")</f>
        <v>9</v>
      </c>
      <c r="AK1771" s="399">
        <f>IFERROR(VLOOKUP($G1771,基本資料!$A:$M,13,0),"無")</f>
        <v>11.72</v>
      </c>
    </row>
    <row r="1772" spans="1:37">
      <c r="A1772" s="347">
        <f>IFERROR(VLOOKUP($G1772,基本資料!$A:$J,3,0),"無")</f>
        <v>12.12</v>
      </c>
      <c r="B1772" s="79">
        <f>IFERROR(VLOOKUP($G1772,基本資料!$A:$J,4,0),"無")</f>
        <v>140</v>
      </c>
      <c r="C1772" s="79">
        <f>IFERROR(VLOOKUP($G1772,基本資料!$A:$J,5,0),"無")</f>
        <v>151</v>
      </c>
      <c r="D1772" s="79">
        <f>IFERROR(VLOOKUP($G1772,基本資料!$A:$J,6,0),"無")</f>
        <v>-35</v>
      </c>
      <c r="E1772" s="79">
        <f>IFERROR(VLOOKUP($G1772,基本資料!$A:$J,7,0),"無")</f>
        <v>18</v>
      </c>
      <c r="F1772" s="6">
        <f>IFERROR(VLOOKUP($G1772,基本資料!$A:$J,8,0),"無")</f>
        <v>13.68</v>
      </c>
      <c r="G1772" s="79">
        <v>8183</v>
      </c>
      <c r="H1772" s="8" t="s">
        <v>314</v>
      </c>
      <c r="I1772" s="16" t="s">
        <v>239</v>
      </c>
      <c r="J1772" s="8" t="str">
        <f>IFERROR(VLOOKUP($G1772,今日總結!$A:$AJ,35,0),"")</f>
        <v>4券</v>
      </c>
      <c r="K1772" s="5">
        <f>IFERROR(VLOOKUP($G1772,今日總結!$A:$AJ,36,0),"")</f>
        <v>0</v>
      </c>
      <c r="L1772" s="156">
        <f>IFERROR(VLOOKUP($G1772,今日總結!$A:$AJ,33,0),"")</f>
        <v>2</v>
      </c>
      <c r="M1772" s="340">
        <f>IFERROR(VLOOKUP($G1772,今日總結!$A:$AJ,34,0),"")</f>
        <v>0</v>
      </c>
      <c r="N1772" s="240">
        <f t="shared" si="332"/>
        <v>2</v>
      </c>
      <c r="P1772" s="365">
        <f>IFERROR(VLOOKUP($G1772,融外自投!$A:$J,7,0),"無")</f>
        <v>107</v>
      </c>
      <c r="Q1772" s="79">
        <f>IFERROR(VLOOKUP($G1772,融外自投!$A:$J,9,0),"無")</f>
        <v>266</v>
      </c>
      <c r="R1772" s="346">
        <f>IFERROR(VLOOKUP($G1772,融外自投!$A:$J,8,0),"無")</f>
        <v>1072</v>
      </c>
      <c r="S1772" s="81">
        <f>IFERROR(VLOOKUP($G1772,融外自投!$A:$J,10,0),"無")</f>
        <v>77</v>
      </c>
      <c r="T1772" s="327">
        <f>IFERROR(VLOOKUP($G1772,'321買'!$A:$E,5,0),"'沒有資料'")</f>
        <v>207</v>
      </c>
      <c r="U1772" s="186">
        <f>IFERROR(VLOOKUP($G1772,基本資料!$A:$J,9,0),"無")</f>
        <v>1.25</v>
      </c>
      <c r="V1772" s="310">
        <f t="shared" si="327"/>
        <v>2.2727272727272728E-2</v>
      </c>
      <c r="W1772" s="94">
        <f>IFERROR(VLOOKUP($G1772,基本資料!$A:$J,10,0),"無")</f>
        <v>4.16</v>
      </c>
      <c r="X1772" s="36">
        <f>RTD("money.excel",,"8183","Price")</f>
        <v>55</v>
      </c>
      <c r="Y1772" s="66"/>
      <c r="Z1772" s="15">
        <f t="shared" si="328"/>
        <v>55</v>
      </c>
      <c r="AA1772" s="3" t="e">
        <f t="shared" si="329"/>
        <v>#DIV/0!</v>
      </c>
      <c r="AB1772" s="344">
        <f>IFERROR(VLOOKUP($G1772,基本資料!$A:$M,11,0),"無")</f>
        <v>-25.97</v>
      </c>
      <c r="AC1772" s="397">
        <f>IFERROR(VLOOKUP($G1772,基本資料!$A:$M,12,0),"無")</f>
        <v>42.77</v>
      </c>
      <c r="AD1772" s="16" t="s">
        <v>239</v>
      </c>
      <c r="AG1772" s="33">
        <f t="shared" si="330"/>
        <v>0</v>
      </c>
      <c r="AH1772" s="117" t="s">
        <v>2328</v>
      </c>
      <c r="AI1772" s="63">
        <f t="shared" si="339"/>
        <v>4.937293729372938E-2</v>
      </c>
      <c r="AJ1772" s="284">
        <f>RTD("money.excel",,$G1772,"PredictVolume")</f>
        <v>5984</v>
      </c>
      <c r="AK1772" s="399">
        <f>IFERROR(VLOOKUP($G1772,基本資料!$A:$M,13,0),"無")</f>
        <v>51.4</v>
      </c>
    </row>
    <row r="1773" spans="1:37">
      <c r="A1773" s="347">
        <f>IFERROR(VLOOKUP($G1773,基本資料!$A:$J,3,0),"無")</f>
        <v>6.23</v>
      </c>
      <c r="B1773" s="79">
        <f>IFERROR(VLOOKUP($G1773,基本資料!$A:$J,4,0),"無")</f>
        <v>329</v>
      </c>
      <c r="C1773" s="79">
        <f>IFERROR(VLOOKUP($G1773,基本資料!$A:$J,5,0),"無")</f>
        <v>-87</v>
      </c>
      <c r="D1773" s="79">
        <f>IFERROR(VLOOKUP($G1773,基本資料!$A:$J,6,0),"無")</f>
        <v>33</v>
      </c>
      <c r="E1773" s="79">
        <f>IFERROR(VLOOKUP($G1773,基本資料!$A:$J,7,0),"無")</f>
        <v>-42</v>
      </c>
      <c r="F1773" s="6">
        <f>IFERROR(VLOOKUP($G1773,基本資料!$A:$J,8,0),"無")</f>
        <v>-14.94</v>
      </c>
      <c r="G1773" s="79">
        <v>8201</v>
      </c>
      <c r="H1773" s="8" t="s">
        <v>314</v>
      </c>
      <c r="I1773" s="22" t="s">
        <v>513</v>
      </c>
      <c r="J1773" s="8" t="str">
        <f>IFERROR(VLOOKUP($G1773,今日總結!$A:$AJ,35,0),"")</f>
        <v/>
      </c>
      <c r="K1773" s="5" t="str">
        <f>IFERROR(VLOOKUP($G1773,今日總結!$A:$AJ,36,0),"")</f>
        <v/>
      </c>
      <c r="L1773" s="156" t="str">
        <f>IFERROR(VLOOKUP($G1773,今日總結!$A:$AJ,33,0),"")</f>
        <v/>
      </c>
      <c r="M1773" s="340" t="str">
        <f>IFERROR(VLOOKUP($G1773,今日總結!$A:$AJ,34,0),"")</f>
        <v/>
      </c>
      <c r="N1773" s="240" t="str">
        <f t="shared" si="332"/>
        <v/>
      </c>
      <c r="P1773" s="365">
        <f>IFERROR(VLOOKUP($G1773,融外自投!$A:$J,7,0),"無")</f>
        <v>480</v>
      </c>
      <c r="Q1773" s="79">
        <f>IFERROR(VLOOKUP($G1773,融外自投!$A:$J,9,0),"無")</f>
        <v>425</v>
      </c>
      <c r="R1773" s="346">
        <f>IFERROR(VLOOKUP($G1773,融外自投!$A:$J,8,0),"無")</f>
        <v>925</v>
      </c>
      <c r="S1773" s="81" t="str">
        <f>IFERROR(VLOOKUP($G1773,融外自投!$A:$J,10,0),"無")</f>
        <v>無</v>
      </c>
      <c r="T1773" s="327">
        <f>IFERROR(VLOOKUP($G1773,'321買'!$A:$E,5,0),"'沒有資料'")</f>
        <v>515</v>
      </c>
      <c r="U1773" s="186">
        <f>IFERROR(VLOOKUP($G1773,基本資料!$A:$J,9,0),"無")</f>
        <v>0</v>
      </c>
      <c r="V1773" s="310">
        <f t="shared" si="327"/>
        <v>0</v>
      </c>
      <c r="W1773" s="94">
        <f>IFERROR(VLOOKUP($G1773,基本資料!$A:$J,10,0),"無")</f>
        <v>1.75</v>
      </c>
      <c r="X1773" s="36">
        <f>RTD("money.excel",,"8201","Price")</f>
        <v>11.6</v>
      </c>
      <c r="Y1773" s="66"/>
      <c r="Z1773" s="15">
        <f t="shared" si="328"/>
        <v>11.6</v>
      </c>
      <c r="AA1773" s="3" t="e">
        <f t="shared" si="329"/>
        <v>#DIV/0!</v>
      </c>
      <c r="AB1773" s="344">
        <f>IFERROR(VLOOKUP($G1773,基本資料!$A:$M,11,0),"無")</f>
        <v>-37.31</v>
      </c>
      <c r="AC1773" s="397">
        <f>IFERROR(VLOOKUP($G1773,基本資料!$A:$M,12,0),"無")</f>
        <v>17.399999999999999</v>
      </c>
      <c r="AD1773" s="22" t="s">
        <v>513</v>
      </c>
      <c r="AG1773" s="33">
        <f t="shared" si="330"/>
        <v>0</v>
      </c>
      <c r="AH1773" s="43" t="s">
        <v>2013</v>
      </c>
      <c r="AI1773" s="63">
        <f t="shared" si="339"/>
        <v>1.568218298555377E-2</v>
      </c>
      <c r="AJ1773" s="284">
        <f>RTD("money.excel",,$G1773,"PredictVolume")</f>
        <v>977</v>
      </c>
      <c r="AK1773" s="399">
        <f>IFERROR(VLOOKUP($G1773,基本資料!$A:$M,13,0),"無")</f>
        <v>69.69</v>
      </c>
    </row>
    <row r="1774" spans="1:37">
      <c r="A1774" s="347">
        <f>IFERROR(VLOOKUP($G1774,基本資料!$A:$J,3,0),"無")</f>
        <v>11.81</v>
      </c>
      <c r="B1774" s="79">
        <f>IFERROR(VLOOKUP($G1774,基本資料!$A:$J,4,0),"無")</f>
        <v>-138</v>
      </c>
      <c r="C1774" s="79">
        <f>IFERROR(VLOOKUP($G1774,基本資料!$A:$J,5,0),"無")</f>
        <v>-120</v>
      </c>
      <c r="D1774" s="79">
        <f>IFERROR(VLOOKUP($G1774,基本資料!$A:$J,6,0),"無")</f>
        <v>-16</v>
      </c>
      <c r="E1774" s="79">
        <f>IFERROR(VLOOKUP($G1774,基本資料!$A:$J,7,0),"無")</f>
        <v>11</v>
      </c>
      <c r="F1774" s="6">
        <f>IFERROR(VLOOKUP($G1774,基本資料!$A:$J,8,0),"無")</f>
        <v>-2.1</v>
      </c>
      <c r="G1774" s="79">
        <v>8383</v>
      </c>
      <c r="H1774" s="8" t="s">
        <v>314</v>
      </c>
      <c r="I1774" s="16" t="s">
        <v>163</v>
      </c>
      <c r="J1774" s="8" t="str">
        <f>IFERROR(VLOOKUP($G1774,今日總結!$A:$AJ,35,0),"")</f>
        <v/>
      </c>
      <c r="K1774" s="5" t="str">
        <f>IFERROR(VLOOKUP($G1774,今日總結!$A:$AJ,36,0),"")</f>
        <v/>
      </c>
      <c r="L1774" s="156" t="str">
        <f>IFERROR(VLOOKUP($G1774,今日總結!$A:$AJ,33,0),"")</f>
        <v/>
      </c>
      <c r="M1774" s="340" t="str">
        <f>IFERROR(VLOOKUP($G1774,今日總結!$A:$AJ,34,0),"")</f>
        <v/>
      </c>
      <c r="N1774" s="240" t="str">
        <f t="shared" si="332"/>
        <v/>
      </c>
      <c r="P1774" s="365">
        <f>IFERROR(VLOOKUP($G1774,融外自投!$A:$J,7,0),"無")</f>
        <v>805</v>
      </c>
      <c r="Q1774" s="79">
        <f>IFERROR(VLOOKUP($G1774,融外自投!$A:$J,9,0),"無")</f>
        <v>492</v>
      </c>
      <c r="R1774" s="346">
        <f>IFERROR(VLOOKUP($G1774,融外自投!$A:$J,8,0),"無")</f>
        <v>609</v>
      </c>
      <c r="S1774" s="81" t="str">
        <f>IFERROR(VLOOKUP($G1774,融外自投!$A:$J,10,0),"無")</f>
        <v>無</v>
      </c>
      <c r="T1774" s="327">
        <f>IFERROR(VLOOKUP($G1774,'321買'!$A:$E,5,0),"'沒有資料'")</f>
        <v>306</v>
      </c>
      <c r="U1774" s="186">
        <f>IFERROR(VLOOKUP($G1774,基本資料!$A:$J,9,0),"無")</f>
        <v>2.5</v>
      </c>
      <c r="V1774" s="310">
        <f t="shared" si="327"/>
        <v>6.2735257214554571E-2</v>
      </c>
      <c r="W1774" s="94">
        <f>IFERROR(VLOOKUP($G1774,基本資料!$A:$J,10,0),"無")</f>
        <v>-1.33</v>
      </c>
      <c r="X1774" s="36">
        <f>RTD("money.excel",,"8383","Price")</f>
        <v>39.85</v>
      </c>
      <c r="Y1774" s="66"/>
      <c r="Z1774" s="15">
        <f t="shared" si="328"/>
        <v>39.85</v>
      </c>
      <c r="AA1774" s="3" t="e">
        <f t="shared" si="329"/>
        <v>#DIV/0!</v>
      </c>
      <c r="AB1774" s="344">
        <f>IFERROR(VLOOKUP($G1774,基本資料!$A:$M,11,0),"無")</f>
        <v>-3.25</v>
      </c>
      <c r="AC1774" s="397">
        <f>IFERROR(VLOOKUP($G1774,基本資料!$A:$M,12,0),"無")</f>
        <v>77.739999999999995</v>
      </c>
      <c r="AD1774" s="16" t="s">
        <v>163</v>
      </c>
      <c r="AG1774" s="33">
        <f t="shared" si="330"/>
        <v>0</v>
      </c>
      <c r="AH1774" s="117" t="s">
        <v>3057</v>
      </c>
      <c r="AI1774" s="63">
        <f t="shared" si="339"/>
        <v>7.1126164267569852E-3</v>
      </c>
      <c r="AJ1774" s="284">
        <f>RTD("money.excel",,$G1774,"PredictVolume")</f>
        <v>840</v>
      </c>
      <c r="AK1774" s="399">
        <f>IFERROR(VLOOKUP($G1774,基本資料!$A:$M,13,0),"無")</f>
        <v>2.59</v>
      </c>
    </row>
    <row r="1775" spans="1:37">
      <c r="A1775" s="347">
        <f>IFERROR(VLOOKUP($G1775,基本資料!$A:$J,3,0),"無")</f>
        <v>4.4400000000000004</v>
      </c>
      <c r="B1775" s="79">
        <f>IFERROR(VLOOKUP($G1775,基本資料!$A:$J,4,0),"無")</f>
        <v>80</v>
      </c>
      <c r="C1775" s="79">
        <f>IFERROR(VLOOKUP($G1775,基本資料!$A:$J,5,0),"無")</f>
        <v>86</v>
      </c>
      <c r="D1775" s="79">
        <f>IFERROR(VLOOKUP($G1775,基本資料!$A:$J,6,0),"無")</f>
        <v>6</v>
      </c>
      <c r="E1775" s="79">
        <f>IFERROR(VLOOKUP($G1775,基本資料!$A:$J,7,0),"無")</f>
        <v>-20</v>
      </c>
      <c r="F1775" s="6">
        <f>IFERROR(VLOOKUP($G1775,基本資料!$A:$J,8,0),"無")</f>
        <v>21.79</v>
      </c>
      <c r="G1775" s="79">
        <v>8431</v>
      </c>
      <c r="H1775" s="8" t="s">
        <v>314</v>
      </c>
      <c r="I1775" s="16" t="s">
        <v>4689</v>
      </c>
      <c r="J1775" s="8" t="str">
        <f>IFERROR(VLOOKUP($G1775,今日總結!$A:$AJ,35,0),"")</f>
        <v/>
      </c>
      <c r="K1775" s="5" t="str">
        <f>IFERROR(VLOOKUP($G1775,今日總結!$A:$AJ,36,0),"")</f>
        <v/>
      </c>
      <c r="L1775" s="156" t="str">
        <f>IFERROR(VLOOKUP($G1775,今日總結!$A:$AJ,33,0),"")</f>
        <v/>
      </c>
      <c r="M1775" s="340" t="str">
        <f>IFERROR(VLOOKUP($G1775,今日總結!$A:$AJ,34,0),"")</f>
        <v/>
      </c>
      <c r="N1775" s="240" t="str">
        <f t="shared" si="332"/>
        <v/>
      </c>
      <c r="P1775" s="365">
        <f>IFERROR(VLOOKUP($G1775,融外自投!$A:$J,7,0),"無")</f>
        <v>16</v>
      </c>
      <c r="Q1775" s="79">
        <f>IFERROR(VLOOKUP($G1775,融外自投!$A:$J,9,0),"無")</f>
        <v>598</v>
      </c>
      <c r="R1775" s="346">
        <f>IFERROR(VLOOKUP($G1775,融外自投!$A:$J,8,0),"無")</f>
        <v>1270</v>
      </c>
      <c r="S1775" s="81">
        <f>IFERROR(VLOOKUP($G1775,融外自投!$A:$J,10,0),"無")</f>
        <v>232</v>
      </c>
      <c r="T1775" s="327">
        <f>IFERROR(VLOOKUP($G1775,'321買'!$A:$E,5,0),"'沒有資料'")</f>
        <v>515</v>
      </c>
      <c r="U1775" s="186">
        <f>IFERROR(VLOOKUP($G1775,基本資料!$A:$J,9,0),"無")</f>
        <v>1.8</v>
      </c>
      <c r="V1775" s="310">
        <f t="shared" si="327"/>
        <v>3.2432432432432434E-2</v>
      </c>
      <c r="W1775" s="94">
        <f>IFERROR(VLOOKUP($G1775,基本資料!$A:$J,10,0),"無")</f>
        <v>4.24</v>
      </c>
      <c r="X1775" s="36">
        <f>RTD("money.excel",,"8431","Price")</f>
        <v>55.5</v>
      </c>
      <c r="Y1775" s="66"/>
      <c r="Z1775" s="15">
        <f t="shared" si="328"/>
        <v>55.5</v>
      </c>
      <c r="AA1775" s="3" t="e">
        <f t="shared" si="329"/>
        <v>#DIV/0!</v>
      </c>
      <c r="AB1775" s="344">
        <f>IFERROR(VLOOKUP($G1775,基本資料!$A:$M,11,0),"無")</f>
        <v>-34.24</v>
      </c>
      <c r="AC1775" s="397">
        <f>IFERROR(VLOOKUP($G1775,基本資料!$A:$M,12,0),"無")</f>
        <v>11.78</v>
      </c>
      <c r="AD1775" s="16" t="s">
        <v>4689</v>
      </c>
      <c r="AG1775" s="33">
        <f t="shared" si="330"/>
        <v>0</v>
      </c>
      <c r="AH1775" s="43" t="s">
        <v>2533</v>
      </c>
      <c r="AI1775" s="63">
        <f t="shared" si="339"/>
        <v>7.1846846846846833E-3</v>
      </c>
      <c r="AJ1775" s="284">
        <f>RTD("money.excel",,$G1775,"PredictVolume")</f>
        <v>319</v>
      </c>
      <c r="AK1775" s="399">
        <f>IFERROR(VLOOKUP($G1775,基本資料!$A:$M,13,0),"無")</f>
        <v>24.88</v>
      </c>
    </row>
    <row r="1776" spans="1:37">
      <c r="A1776" s="347">
        <f>IFERROR(VLOOKUP($G1776,基本資料!$A:$J,3,0),"無")</f>
        <v>2.52</v>
      </c>
      <c r="B1776" s="79">
        <f>IFERROR(VLOOKUP($G1776,基本資料!$A:$J,4,0),"無")</f>
        <v>152</v>
      </c>
      <c r="C1776" s="79">
        <f>IFERROR(VLOOKUP($G1776,基本資料!$A:$J,5,0),"無")</f>
        <v>107</v>
      </c>
      <c r="D1776" s="79">
        <f>IFERROR(VLOOKUP($G1776,基本資料!$A:$J,6,0),"無")</f>
        <v>29</v>
      </c>
      <c r="E1776" s="79">
        <f>IFERROR(VLOOKUP($G1776,基本資料!$A:$J,7,0),"無")</f>
        <v>27</v>
      </c>
      <c r="F1776" s="6">
        <f>IFERROR(VLOOKUP($G1776,基本資料!$A:$J,8,0),"無")</f>
        <v>0.18</v>
      </c>
      <c r="G1776" s="79">
        <v>8455</v>
      </c>
      <c r="H1776" s="8" t="s">
        <v>314</v>
      </c>
      <c r="I1776" s="16" t="s">
        <v>1075</v>
      </c>
      <c r="J1776" s="8" t="str">
        <f>IFERROR(VLOOKUP($G1776,今日總結!$A:$AJ,35,0),"")</f>
        <v/>
      </c>
      <c r="K1776" s="5" t="str">
        <f>IFERROR(VLOOKUP($G1776,今日總結!$A:$AJ,36,0),"")</f>
        <v/>
      </c>
      <c r="L1776" s="156" t="str">
        <f>IFERROR(VLOOKUP($G1776,今日總結!$A:$AJ,33,0),"")</f>
        <v/>
      </c>
      <c r="M1776" s="340" t="str">
        <f>IFERROR(VLOOKUP($G1776,今日總結!$A:$AJ,34,0),"")</f>
        <v/>
      </c>
      <c r="N1776" s="240" t="str">
        <f t="shared" si="332"/>
        <v/>
      </c>
      <c r="P1776" s="365" t="str">
        <f>IFERROR(VLOOKUP($G1776,融外自投!$A:$J,7,0),"無")</f>
        <v>無</v>
      </c>
      <c r="Q1776" s="79" t="str">
        <f>IFERROR(VLOOKUP($G1776,融外自投!$A:$J,9,0),"無")</f>
        <v>無</v>
      </c>
      <c r="R1776" s="346" t="str">
        <f>IFERROR(VLOOKUP($G1776,融外自投!$A:$J,8,0),"無")</f>
        <v>無</v>
      </c>
      <c r="S1776" s="81" t="str">
        <f>IFERROR(VLOOKUP($G1776,融外自投!$A:$J,10,0),"無")</f>
        <v>無</v>
      </c>
      <c r="T1776" s="327" t="str">
        <f>IFERROR(VLOOKUP($G1776,'321買'!$A:$E,5,0),"'沒有資料'")</f>
        <v>'沒有資料'</v>
      </c>
      <c r="U1776" s="186">
        <f>IFERROR(VLOOKUP($G1776,基本資料!$A:$J,9,0),"無")</f>
        <v>0</v>
      </c>
      <c r="V1776" s="310" t="e">
        <f t="shared" si="327"/>
        <v>#VALUE!</v>
      </c>
      <c r="W1776" s="94">
        <f>IFERROR(VLOOKUP($G1776,基本資料!$A:$J,10,0),"無")</f>
        <v>1</v>
      </c>
      <c r="X1776" s="36" t="str">
        <f>RTD("money.excel",,"8455","Price")</f>
        <v>無資料</v>
      </c>
      <c r="Y1776" s="66"/>
      <c r="Z1776" s="15" t="e">
        <f t="shared" si="328"/>
        <v>#VALUE!</v>
      </c>
      <c r="AA1776" s="3" t="e">
        <f t="shared" si="329"/>
        <v>#VALUE!</v>
      </c>
      <c r="AB1776" s="344">
        <f>IFERROR(VLOOKUP($G1776,基本資料!$A:$M,11,0),"無")</f>
        <v>-17.670000000000002</v>
      </c>
      <c r="AC1776" s="397">
        <f>IFERROR(VLOOKUP($G1776,基本資料!$A:$M,12,0),"無")</f>
        <v>51.1</v>
      </c>
      <c r="AD1776" s="16" t="s">
        <v>490</v>
      </c>
      <c r="AG1776" s="33">
        <f t="shared" si="330"/>
        <v>0</v>
      </c>
      <c r="AH1776" s="43" t="s">
        <v>2534</v>
      </c>
      <c r="AI1776" s="63">
        <f t="shared" si="339"/>
        <v>0</v>
      </c>
      <c r="AJ1776" s="284">
        <f>RTD("money.excel",,$G1776,"PredictVolume")</f>
        <v>0</v>
      </c>
      <c r="AK1776" s="399">
        <f>IFERROR(VLOOKUP($G1776,基本資料!$A:$M,13,0),"無")</f>
        <v>0.6</v>
      </c>
    </row>
    <row r="1777" spans="1:37">
      <c r="A1777" s="142"/>
      <c r="B1777" s="90"/>
      <c r="C1777" s="90"/>
      <c r="D1777" s="90"/>
      <c r="E1777" s="90"/>
      <c r="F1777" s="6"/>
      <c r="G1777" s="79"/>
      <c r="H1777" s="8"/>
      <c r="I1777" s="16"/>
      <c r="L1777" s="2"/>
      <c r="P1777" s="366"/>
      <c r="R1777" s="355"/>
      <c r="S1777" s="26"/>
      <c r="U1777" s="34"/>
      <c r="W1777" s="94"/>
      <c r="X1777" s="36"/>
      <c r="Y1777" s="66"/>
      <c r="Z1777" s="15"/>
      <c r="AA1777" s="3"/>
      <c r="AD1777" s="16"/>
      <c r="AG1777" s="33"/>
      <c r="AH1777" s="43"/>
      <c r="AI1777" s="63"/>
      <c r="AJ1777" s="284"/>
    </row>
    <row r="1778" spans="1:37">
      <c r="A1778" s="127" t="s">
        <v>1673</v>
      </c>
      <c r="B1778" s="90" t="s">
        <v>1572</v>
      </c>
      <c r="C1778" s="90" t="s">
        <v>1573</v>
      </c>
      <c r="D1778" s="90" t="s">
        <v>1574</v>
      </c>
      <c r="E1778" s="90" t="s">
        <v>1575</v>
      </c>
      <c r="F1778" s="8" t="s">
        <v>1060</v>
      </c>
      <c r="G1778" s="27" t="s">
        <v>4690</v>
      </c>
      <c r="H1778" s="55" t="s">
        <v>320</v>
      </c>
      <c r="I1778" s="50" t="s">
        <v>1025</v>
      </c>
      <c r="J1778" s="8" t="s">
        <v>6221</v>
      </c>
      <c r="K1778" s="5" t="s">
        <v>6222</v>
      </c>
      <c r="L1778" s="337" t="s">
        <v>6206</v>
      </c>
      <c r="M1778" s="338" t="s">
        <v>6207</v>
      </c>
      <c r="N1778" s="339" t="s">
        <v>6208</v>
      </c>
      <c r="O1778" s="4" t="s">
        <v>6713</v>
      </c>
      <c r="P1778" s="89" t="s">
        <v>6285</v>
      </c>
      <c r="Q1778" s="293" t="s">
        <v>6284</v>
      </c>
      <c r="R1778" s="354" t="s">
        <v>6283</v>
      </c>
      <c r="S1778" s="26" t="s">
        <v>6286</v>
      </c>
      <c r="T1778" s="321" t="s">
        <v>4716</v>
      </c>
      <c r="U1778" s="10" t="s">
        <v>66</v>
      </c>
      <c r="V1778" s="308" t="s">
        <v>4731</v>
      </c>
      <c r="W1778" s="68" t="s">
        <v>3273</v>
      </c>
      <c r="X1778" s="28" t="s">
        <v>2</v>
      </c>
      <c r="Y1778" s="17" t="s">
        <v>1399</v>
      </c>
      <c r="Z1778" s="14" t="s">
        <v>5</v>
      </c>
      <c r="AA1778" s="21" t="s">
        <v>3</v>
      </c>
      <c r="AB1778" s="96" t="s">
        <v>6174</v>
      </c>
      <c r="AC1778" s="384" t="s">
        <v>6420</v>
      </c>
      <c r="AD1778" s="50" t="s">
        <v>1025</v>
      </c>
      <c r="AE1778" s="71" t="s">
        <v>1400</v>
      </c>
      <c r="AF1778" s="72" t="s">
        <v>1157</v>
      </c>
      <c r="AG1778" s="32" t="s">
        <v>1158</v>
      </c>
      <c r="AH1778" s="25" t="s">
        <v>6209</v>
      </c>
      <c r="AI1778" s="8" t="s">
        <v>6731</v>
      </c>
      <c r="AJ1778" s="50" t="s">
        <v>3361</v>
      </c>
      <c r="AK1778" s="44" t="s">
        <v>6730</v>
      </c>
    </row>
    <row r="1779" spans="1:37">
      <c r="A1779" s="347">
        <f>IFERROR(VLOOKUP($G1779,基本資料!$A:$J,3,0),"無")</f>
        <v>4.7300000000000004</v>
      </c>
      <c r="B1779" s="79">
        <f>IFERROR(VLOOKUP($G1779,基本資料!$A:$J,4,0),"無")</f>
        <v>-568</v>
      </c>
      <c r="C1779" s="79">
        <f>IFERROR(VLOOKUP($G1779,基本資料!$A:$J,5,0),"無")</f>
        <v>-610</v>
      </c>
      <c r="D1779" s="79">
        <f>IFERROR(VLOOKUP($G1779,基本資料!$A:$J,6,0),"無")</f>
        <v>2</v>
      </c>
      <c r="E1779" s="79">
        <f>IFERROR(VLOOKUP($G1779,基本資料!$A:$J,7,0),"無")</f>
        <v>5</v>
      </c>
      <c r="F1779" s="6">
        <f>IFERROR(VLOOKUP($G1779,基本資料!$A:$J,8,0),"無")</f>
        <v>-9.5500000000000007</v>
      </c>
      <c r="G1779" s="79">
        <v>2926</v>
      </c>
      <c r="H1779" s="8" t="s">
        <v>1025</v>
      </c>
      <c r="I1779" s="16" t="s">
        <v>4691</v>
      </c>
      <c r="J1779" s="8" t="str">
        <f>IFERROR(VLOOKUP($G1779,今日總結!$A:$AJ,35,0),"")</f>
        <v/>
      </c>
      <c r="K1779" s="5" t="str">
        <f>IFERROR(VLOOKUP($G1779,今日總結!$A:$AJ,36,0),"")</f>
        <v/>
      </c>
      <c r="L1779" s="156" t="str">
        <f>IFERROR(VLOOKUP($G1779,今日總結!$A:$AJ,33,0),"")</f>
        <v/>
      </c>
      <c r="M1779" s="340" t="str">
        <f>IFERROR(VLOOKUP($G1779,今日總結!$A:$AJ,34,0),"")</f>
        <v/>
      </c>
      <c r="N1779" s="240" t="str">
        <f t="shared" ref="N1779:N1788" si="340">IFERROR(L1779-M1779,"")</f>
        <v/>
      </c>
      <c r="P1779" s="365">
        <f>IFERROR(VLOOKUP($G1779,融外自投!$A:$J,7,0),"無")</f>
        <v>1220</v>
      </c>
      <c r="Q1779" s="79">
        <f>IFERROR(VLOOKUP($G1779,融外自投!$A:$J,9,0),"無")</f>
        <v>1110</v>
      </c>
      <c r="R1779" s="346">
        <f>IFERROR(VLOOKUP($G1779,融外自投!$A:$J,8,0),"無")</f>
        <v>393</v>
      </c>
      <c r="S1779" s="81" t="str">
        <f>IFERROR(VLOOKUP($G1779,融外自投!$A:$J,10,0),"無")</f>
        <v>無</v>
      </c>
      <c r="T1779" s="327">
        <f>IFERROR(VLOOKUP($G1779,'321買'!$A:$E,5,0),"'沒有資料'")</f>
        <v>1296</v>
      </c>
      <c r="U1779" s="186">
        <f>IFERROR(VLOOKUP($G1779,基本資料!$A:$J,9,0),"無")</f>
        <v>0</v>
      </c>
      <c r="V1779" s="310">
        <f t="shared" ref="V1779:V1803" si="341">$U1779/$X1779</f>
        <v>0</v>
      </c>
      <c r="W1779" s="94">
        <f>IFERROR(VLOOKUP($G1779,基本資料!$A:$J,10,0),"無")</f>
        <v>-4.82</v>
      </c>
      <c r="X1779" s="36">
        <f>RTD("money.excel",,"2926","Price")</f>
        <v>54</v>
      </c>
      <c r="Y1779" s="66"/>
      <c r="Z1779" s="15">
        <f t="shared" ref="Z1779:Z1803" si="342">X1779-Y1779</f>
        <v>54</v>
      </c>
      <c r="AA1779" s="3" t="e">
        <f t="shared" ref="AA1779:AA1803" si="343">Z1779/Y1779</f>
        <v>#DIV/0!</v>
      </c>
      <c r="AB1779" s="344">
        <f>IFERROR(VLOOKUP($G1779,基本資料!$A:$M,11,0),"無")</f>
        <v>-19.38</v>
      </c>
      <c r="AC1779" s="397">
        <f>IFERROR(VLOOKUP($G1779,基本資料!$A:$M,12,0),"無")</f>
        <v>6.53</v>
      </c>
      <c r="AD1779" s="16" t="s">
        <v>4691</v>
      </c>
      <c r="AG1779" s="33">
        <f t="shared" ref="AG1779:AG1803" si="344">AF1779-AE1779</f>
        <v>0</v>
      </c>
      <c r="AH1779" s="117" t="s">
        <v>2347</v>
      </c>
      <c r="AI1779" s="63">
        <f t="shared" ref="AI1779:AI1803" si="345">AJ1779/(A1779*10000)</f>
        <v>2.7484143763213529E-4</v>
      </c>
      <c r="AJ1779" s="284">
        <f>RTD("money.excel",,$G1779,"PredictVolume")</f>
        <v>13</v>
      </c>
      <c r="AK1779" s="399">
        <f>IFERROR(VLOOKUP($G1779,基本資料!$A:$M,13,0),"無")</f>
        <v>0.8</v>
      </c>
    </row>
    <row r="1780" spans="1:37">
      <c r="A1780" s="347">
        <f>IFERROR(VLOOKUP($G1780,基本資料!$A:$J,3,0),"無")</f>
        <v>2.67</v>
      </c>
      <c r="B1780" s="79">
        <f>IFERROR(VLOOKUP($G1780,基本資料!$A:$J,4,0),"無")</f>
        <v>61</v>
      </c>
      <c r="C1780" s="79">
        <f>IFERROR(VLOOKUP($G1780,基本資料!$A:$J,5,0),"無")</f>
        <v>83</v>
      </c>
      <c r="D1780" s="79">
        <f>IFERROR(VLOOKUP($G1780,基本資料!$A:$J,6,0),"無")</f>
        <v>-21</v>
      </c>
      <c r="E1780" s="79">
        <f>IFERROR(VLOOKUP($G1780,基本資料!$A:$J,7,0),"無")</f>
        <v>-86</v>
      </c>
      <c r="F1780" s="6">
        <f>IFERROR(VLOOKUP($G1780,基本資料!$A:$J,8,0),"無")</f>
        <v>-3.56</v>
      </c>
      <c r="G1780" s="79">
        <v>3064</v>
      </c>
      <c r="H1780" s="8" t="s">
        <v>1025</v>
      </c>
      <c r="I1780" s="16" t="s">
        <v>70</v>
      </c>
      <c r="J1780" s="8" t="str">
        <f>IFERROR(VLOOKUP($G1780,今日總結!$A:$AJ,35,0),"")</f>
        <v/>
      </c>
      <c r="K1780" s="5" t="str">
        <f>IFERROR(VLOOKUP($G1780,今日總結!$A:$AJ,36,0),"")</f>
        <v/>
      </c>
      <c r="L1780" s="156" t="str">
        <f>IFERROR(VLOOKUP($G1780,今日總結!$A:$AJ,33,0),"")</f>
        <v/>
      </c>
      <c r="M1780" s="340" t="str">
        <f>IFERROR(VLOOKUP($G1780,今日總結!$A:$AJ,34,0),"")</f>
        <v/>
      </c>
      <c r="N1780" s="240" t="str">
        <f t="shared" si="340"/>
        <v/>
      </c>
      <c r="P1780" s="365" t="str">
        <f>IFERROR(VLOOKUP($G1780,融外自投!$A:$J,7,0),"無")</f>
        <v>無</v>
      </c>
      <c r="Q1780" s="79" t="str">
        <f>IFERROR(VLOOKUP($G1780,融外自投!$A:$J,9,0),"無")</f>
        <v>無</v>
      </c>
      <c r="R1780" s="346" t="str">
        <f>IFERROR(VLOOKUP($G1780,融外自投!$A:$J,8,0),"無")</f>
        <v>無</v>
      </c>
      <c r="S1780" s="81" t="str">
        <f>IFERROR(VLOOKUP($G1780,融外自投!$A:$J,10,0),"無")</f>
        <v>無</v>
      </c>
      <c r="T1780" s="327" t="str">
        <f>IFERROR(VLOOKUP($G1780,'321買'!$A:$E,5,0),"'沒有資料'")</f>
        <v>'沒有資料'</v>
      </c>
      <c r="U1780" s="186">
        <f>IFERROR(VLOOKUP($G1780,基本資料!$A:$J,9,0),"無")</f>
        <v>0</v>
      </c>
      <c r="V1780" s="310">
        <f t="shared" si="341"/>
        <v>0</v>
      </c>
      <c r="W1780" s="94">
        <f>IFERROR(VLOOKUP($G1780,基本資料!$A:$J,10,0),"無")</f>
        <v>-0.75</v>
      </c>
      <c r="X1780" s="36">
        <f>RTD("money.excel",,"3064","Price")</f>
        <v>11.65</v>
      </c>
      <c r="Y1780" s="66"/>
      <c r="Z1780" s="15">
        <f t="shared" si="342"/>
        <v>11.65</v>
      </c>
      <c r="AA1780" s="3" t="e">
        <f t="shared" si="343"/>
        <v>#DIV/0!</v>
      </c>
      <c r="AB1780" s="344">
        <f>IFERROR(VLOOKUP($G1780,基本資料!$A:$M,11,0),"無")</f>
        <v>-56.1</v>
      </c>
      <c r="AC1780" s="397">
        <f>IFERROR(VLOOKUP($G1780,基本資料!$A:$M,12,0),"無")</f>
        <v>16.760000000000002</v>
      </c>
      <c r="AD1780" s="16" t="s">
        <v>70</v>
      </c>
      <c r="AG1780" s="33">
        <f t="shared" si="344"/>
        <v>0</v>
      </c>
      <c r="AH1780" s="117" t="s">
        <v>2346</v>
      </c>
      <c r="AI1780" s="63">
        <f t="shared" si="345"/>
        <v>1.1235955056179776E-4</v>
      </c>
      <c r="AJ1780" s="284">
        <f>RTD("money.excel",,$G1780,"PredictVolume")</f>
        <v>3</v>
      </c>
      <c r="AK1780" s="399">
        <f>IFERROR(VLOOKUP($G1780,基本資料!$A:$M,13,0),"無")</f>
        <v>0.65</v>
      </c>
    </row>
    <row r="1781" spans="1:37">
      <c r="A1781" s="347">
        <f>IFERROR(VLOOKUP($G1781,基本資料!$A:$J,3,0),"無")</f>
        <v>8.6199999999999992</v>
      </c>
      <c r="B1781" s="79">
        <f>IFERROR(VLOOKUP($G1781,基本資料!$A:$J,4,0),"無")</f>
        <v>-384</v>
      </c>
      <c r="C1781" s="79">
        <f>IFERROR(VLOOKUP($G1781,基本資料!$A:$J,5,0),"無")</f>
        <v>-532</v>
      </c>
      <c r="D1781" s="79">
        <f>IFERROR(VLOOKUP($G1781,基本資料!$A:$J,6,0),"無")</f>
        <v>4</v>
      </c>
      <c r="E1781" s="79">
        <f>IFERROR(VLOOKUP($G1781,基本資料!$A:$J,7,0),"無")</f>
        <v>10</v>
      </c>
      <c r="F1781" s="6">
        <f>IFERROR(VLOOKUP($G1781,基本資料!$A:$J,8,0),"無")</f>
        <v>-18.45</v>
      </c>
      <c r="G1781" s="79">
        <v>3083</v>
      </c>
      <c r="H1781" s="8" t="s">
        <v>1025</v>
      </c>
      <c r="I1781" s="16" t="s">
        <v>4692</v>
      </c>
      <c r="J1781" s="8">
        <f>IFERROR(VLOOKUP($G1781,今日總結!$A:$AJ,35,0),"")</f>
        <v>0</v>
      </c>
      <c r="K1781" s="5" t="str">
        <f>IFERROR(VLOOKUP($G1781,今日總結!$A:$AJ,36,0),"")</f>
        <v>借</v>
      </c>
      <c r="L1781" s="156">
        <f>IFERROR(VLOOKUP($G1781,今日總結!$A:$AJ,33,0),"")</f>
        <v>0</v>
      </c>
      <c r="M1781" s="340">
        <f>IFERROR(VLOOKUP($G1781,今日總結!$A:$AJ,34,0),"")</f>
        <v>1</v>
      </c>
      <c r="N1781" s="240">
        <f t="shared" si="340"/>
        <v>-1</v>
      </c>
      <c r="P1781" s="365">
        <f>IFERROR(VLOOKUP($G1781,融外自投!$A:$J,7,0),"無")</f>
        <v>532</v>
      </c>
      <c r="Q1781" s="79">
        <f>IFERROR(VLOOKUP($G1781,融外自投!$A:$J,9,0),"無")</f>
        <v>337</v>
      </c>
      <c r="R1781" s="346">
        <f>IFERROR(VLOOKUP($G1781,融外自投!$A:$J,8,0),"無")</f>
        <v>1385</v>
      </c>
      <c r="S1781" s="81">
        <f>IFERROR(VLOOKUP($G1781,融外自投!$A:$J,10,0),"無")</f>
        <v>237</v>
      </c>
      <c r="T1781" s="327">
        <f>IFERROR(VLOOKUP($G1781,'321買'!$A:$E,5,0),"'沒有資料'")</f>
        <v>1038</v>
      </c>
      <c r="U1781" s="186">
        <f>IFERROR(VLOOKUP($G1781,基本資料!$A:$J,9,0),"無")</f>
        <v>0</v>
      </c>
      <c r="V1781" s="310">
        <f t="shared" si="341"/>
        <v>0</v>
      </c>
      <c r="W1781" s="94">
        <f>IFERROR(VLOOKUP($G1781,基本資料!$A:$J,10,0),"無")</f>
        <v>-0.46</v>
      </c>
      <c r="X1781" s="36">
        <f>RTD("money.excel",,"3083","Price")</f>
        <v>45.85</v>
      </c>
      <c r="Y1781" s="66"/>
      <c r="Z1781" s="15">
        <f t="shared" si="342"/>
        <v>45.85</v>
      </c>
      <c r="AA1781" s="3" t="e">
        <f t="shared" si="343"/>
        <v>#DIV/0!</v>
      </c>
      <c r="AB1781" s="344">
        <f>IFERROR(VLOOKUP($G1781,基本資料!$A:$M,11,0),"無")</f>
        <v>-34.380000000000003</v>
      </c>
      <c r="AC1781" s="397">
        <f>IFERROR(VLOOKUP($G1781,基本資料!$A:$M,12,0),"無")</f>
        <v>25.41</v>
      </c>
      <c r="AD1781" s="16" t="s">
        <v>4692</v>
      </c>
      <c r="AG1781" s="33">
        <f t="shared" si="344"/>
        <v>0</v>
      </c>
      <c r="AH1781" s="117" t="s">
        <v>2011</v>
      </c>
      <c r="AI1781" s="63">
        <f t="shared" si="345"/>
        <v>2.4129930394431558E-3</v>
      </c>
      <c r="AJ1781" s="284">
        <f>RTD("money.excel",,$G1781,"PredictVolume")</f>
        <v>208</v>
      </c>
      <c r="AK1781" s="399">
        <f>IFERROR(VLOOKUP($G1781,基本資料!$A:$M,13,0),"無")</f>
        <v>30.8</v>
      </c>
    </row>
    <row r="1782" spans="1:37">
      <c r="A1782" s="347">
        <f>IFERROR(VLOOKUP($G1782,基本資料!$A:$J,3,0),"無")</f>
        <v>1.93</v>
      </c>
      <c r="B1782" s="79">
        <f>IFERROR(VLOOKUP($G1782,基本資料!$A:$J,4,0),"無")</f>
        <v>16379</v>
      </c>
      <c r="C1782" s="79">
        <f>IFERROR(VLOOKUP($G1782,基本資料!$A:$J,5,0),"無")</f>
        <v>5265</v>
      </c>
      <c r="D1782" s="79">
        <f>IFERROR(VLOOKUP($G1782,基本資料!$A:$J,6,0),"無")</f>
        <v>-9</v>
      </c>
      <c r="E1782" s="79">
        <f>IFERROR(VLOOKUP($G1782,基本資料!$A:$J,7,0),"無")</f>
        <v>-37</v>
      </c>
      <c r="F1782" s="6">
        <f>IFERROR(VLOOKUP($G1782,基本資料!$A:$J,8,0),"無")</f>
        <v>38.619999999999997</v>
      </c>
      <c r="G1782" s="79">
        <v>3086</v>
      </c>
      <c r="H1782" s="8" t="s">
        <v>1025</v>
      </c>
      <c r="I1782" s="16" t="s">
        <v>4693</v>
      </c>
      <c r="J1782" s="8">
        <f>IFERROR(VLOOKUP($G1782,今日總結!$A:$AJ,35,0),"")</f>
        <v>0</v>
      </c>
      <c r="K1782" s="5">
        <f>IFERROR(VLOOKUP($G1782,今日總結!$A:$AJ,36,0),"")</f>
        <v>0</v>
      </c>
      <c r="L1782" s="156">
        <f>IFERROR(VLOOKUP($G1782,今日總結!$A:$AJ,33,0),"")</f>
        <v>0</v>
      </c>
      <c r="M1782" s="340">
        <f>IFERROR(VLOOKUP($G1782,今日總結!$A:$AJ,34,0),"")</f>
        <v>1</v>
      </c>
      <c r="N1782" s="240">
        <f t="shared" si="340"/>
        <v>-1</v>
      </c>
      <c r="P1782" s="365">
        <f>IFERROR(VLOOKUP($G1782,融外自投!$A:$J,7,0),"無")</f>
        <v>333</v>
      </c>
      <c r="Q1782" s="79" t="str">
        <f>IFERROR(VLOOKUP($G1782,融外自投!$A:$J,9,0),"無")</f>
        <v>無</v>
      </c>
      <c r="R1782" s="346">
        <f>IFERROR(VLOOKUP($G1782,融外自投!$A:$J,8,0),"無")</f>
        <v>192</v>
      </c>
      <c r="S1782" s="81" t="str">
        <f>IFERROR(VLOOKUP($G1782,融外自投!$A:$J,10,0),"無")</f>
        <v>無</v>
      </c>
      <c r="T1782" s="327">
        <f>IFERROR(VLOOKUP($G1782,'321買'!$A:$E,5,0),"'沒有資料'")</f>
        <v>1143</v>
      </c>
      <c r="U1782" s="186">
        <f>IFERROR(VLOOKUP($G1782,基本資料!$A:$J,9,0),"無")</f>
        <v>3.5</v>
      </c>
      <c r="V1782" s="310">
        <f t="shared" si="341"/>
        <v>3.3653846153846152E-2</v>
      </c>
      <c r="W1782" s="94">
        <f>IFERROR(VLOOKUP($G1782,基本資料!$A:$J,10,0),"無")</f>
        <v>4.8</v>
      </c>
      <c r="X1782" s="36">
        <f>RTD("money.excel",,"3086","Price")</f>
        <v>104</v>
      </c>
      <c r="Y1782" s="66"/>
      <c r="Z1782" s="15">
        <f t="shared" si="342"/>
        <v>104</v>
      </c>
      <c r="AA1782" s="3" t="e">
        <f t="shared" si="343"/>
        <v>#DIV/0!</v>
      </c>
      <c r="AB1782" s="344">
        <f>IFERROR(VLOOKUP($G1782,基本資料!$A:$M,11,0),"無")</f>
        <v>-37.57</v>
      </c>
      <c r="AC1782" s="397">
        <f>IFERROR(VLOOKUP($G1782,基本資料!$A:$M,12,0),"無")</f>
        <v>12.18</v>
      </c>
      <c r="AD1782" s="16" t="s">
        <v>4693</v>
      </c>
      <c r="AG1782" s="33">
        <f t="shared" si="344"/>
        <v>0</v>
      </c>
      <c r="AH1782" s="117" t="s">
        <v>2319</v>
      </c>
      <c r="AI1782" s="63">
        <f t="shared" si="345"/>
        <v>2.5906735751295338E-3</v>
      </c>
      <c r="AJ1782" s="284">
        <f>RTD("money.excel",,$G1782,"PredictVolume")</f>
        <v>50</v>
      </c>
      <c r="AK1782" s="399">
        <f>IFERROR(VLOOKUP($G1782,基本資料!$A:$M,13,0),"無")</f>
        <v>65.17</v>
      </c>
    </row>
    <row r="1783" spans="1:37">
      <c r="A1783" s="347">
        <f>IFERROR(VLOOKUP($G1783,基本資料!$A:$J,3,0),"無")</f>
        <v>7.04</v>
      </c>
      <c r="B1783" s="79">
        <f>IFERROR(VLOOKUP($G1783,基本資料!$A:$J,4,0),"無")</f>
        <v>38</v>
      </c>
      <c r="C1783" s="79">
        <f>IFERROR(VLOOKUP($G1783,基本資料!$A:$J,5,0),"無")</f>
        <v>37</v>
      </c>
      <c r="D1783" s="79">
        <f>IFERROR(VLOOKUP($G1783,基本資料!$A:$J,6,0),"無")</f>
        <v>-3</v>
      </c>
      <c r="E1783" s="79">
        <f>IFERROR(VLOOKUP($G1783,基本資料!$A:$J,7,0),"無")</f>
        <v>5</v>
      </c>
      <c r="F1783" s="6">
        <f>IFERROR(VLOOKUP($G1783,基本資料!$A:$J,8,0),"無")</f>
        <v>51.51</v>
      </c>
      <c r="G1783" s="79">
        <v>3293</v>
      </c>
      <c r="H1783" s="8" t="s">
        <v>1025</v>
      </c>
      <c r="I1783" s="16" t="s">
        <v>260</v>
      </c>
      <c r="J1783" s="8" t="str">
        <f>IFERROR(VLOOKUP($G1783,今日總結!$A:$AJ,35,0),"")</f>
        <v/>
      </c>
      <c r="K1783" s="5" t="str">
        <f>IFERROR(VLOOKUP($G1783,今日總結!$A:$AJ,36,0),"")</f>
        <v/>
      </c>
      <c r="L1783" s="156" t="str">
        <f>IFERROR(VLOOKUP($G1783,今日總結!$A:$AJ,33,0),"")</f>
        <v/>
      </c>
      <c r="M1783" s="340" t="str">
        <f>IFERROR(VLOOKUP($G1783,今日總結!$A:$AJ,34,0),"")</f>
        <v/>
      </c>
      <c r="N1783" s="240" t="str">
        <f t="shared" si="340"/>
        <v/>
      </c>
      <c r="P1783" s="365">
        <f>IFERROR(VLOOKUP($G1783,融外自投!$A:$J,7,0),"無")</f>
        <v>689</v>
      </c>
      <c r="Q1783" s="79">
        <f>IFERROR(VLOOKUP($G1783,融外自投!$A:$J,9,0),"無")</f>
        <v>53</v>
      </c>
      <c r="R1783" s="346">
        <f>IFERROR(VLOOKUP($G1783,融外自投!$A:$J,8,0),"無")</f>
        <v>186</v>
      </c>
      <c r="S1783" s="81">
        <f>IFERROR(VLOOKUP($G1783,融外自投!$A:$J,10,0),"無")</f>
        <v>231</v>
      </c>
      <c r="T1783" s="327">
        <f>IFERROR(VLOOKUP($G1783,'321買'!$A:$E,5,0),"'沒有資料'")</f>
        <v>984</v>
      </c>
      <c r="U1783" s="186">
        <f>IFERROR(VLOOKUP($G1783,基本資料!$A:$J,9,0),"無")</f>
        <v>60</v>
      </c>
      <c r="V1783" s="310">
        <f t="shared" si="341"/>
        <v>8.3565459610027856E-2</v>
      </c>
      <c r="W1783" s="94">
        <f>IFERROR(VLOOKUP($G1783,基本資料!$A:$J,10,0),"無")</f>
        <v>67.209999999999994</v>
      </c>
      <c r="X1783" s="36">
        <f>RTD("money.excel",,"3293","Price")</f>
        <v>718</v>
      </c>
      <c r="Y1783" s="66"/>
      <c r="Z1783" s="15">
        <f t="shared" si="342"/>
        <v>718</v>
      </c>
      <c r="AA1783" s="3" t="e">
        <f t="shared" si="343"/>
        <v>#DIV/0!</v>
      </c>
      <c r="AB1783" s="344">
        <f>IFERROR(VLOOKUP($G1783,基本資料!$A:$M,11,0),"無")</f>
        <v>-25.26</v>
      </c>
      <c r="AC1783" s="397">
        <f>IFERROR(VLOOKUP($G1783,基本資料!$A:$M,12,0),"無")</f>
        <v>40.1</v>
      </c>
      <c r="AD1783" s="16" t="s">
        <v>260</v>
      </c>
      <c r="AG1783" s="33">
        <f t="shared" si="344"/>
        <v>0</v>
      </c>
      <c r="AH1783" s="117" t="s">
        <v>2319</v>
      </c>
      <c r="AI1783" s="63">
        <f t="shared" si="345"/>
        <v>3.8352272727272727E-3</v>
      </c>
      <c r="AJ1783" s="284">
        <f>RTD("money.excel",,$G1783,"PredictVolume")</f>
        <v>270</v>
      </c>
      <c r="AK1783" s="399">
        <f>IFERROR(VLOOKUP($G1783,基本資料!$A:$M,13,0),"無")</f>
        <v>6.84</v>
      </c>
    </row>
    <row r="1784" spans="1:37">
      <c r="A1784" s="347">
        <f>IFERROR(VLOOKUP($G1784,基本資料!$A:$J,3,0),"無")</f>
        <v>4.8099999999999996</v>
      </c>
      <c r="B1784" s="79">
        <f>IFERROR(VLOOKUP($G1784,基本資料!$A:$J,4,0),"無")</f>
        <v>2</v>
      </c>
      <c r="C1784" s="79">
        <f>IFERROR(VLOOKUP($G1784,基本資料!$A:$J,5,0),"無")</f>
        <v>3</v>
      </c>
      <c r="D1784" s="79">
        <f>IFERROR(VLOOKUP($G1784,基本資料!$A:$J,6,0),"無")</f>
        <v>-5</v>
      </c>
      <c r="E1784" s="79">
        <f>IFERROR(VLOOKUP($G1784,基本資料!$A:$J,7,0),"無")</f>
        <v>-1</v>
      </c>
      <c r="F1784" s="6">
        <f>IFERROR(VLOOKUP($G1784,基本資料!$A:$J,8,0),"無")</f>
        <v>20.38</v>
      </c>
      <c r="G1784" s="79">
        <v>3546</v>
      </c>
      <c r="H1784" s="8" t="s">
        <v>1025</v>
      </c>
      <c r="I1784" s="16" t="s">
        <v>71</v>
      </c>
      <c r="J1784" s="8" t="str">
        <f>IFERROR(VLOOKUP($G1784,今日總結!$A:$AJ,35,0),"")</f>
        <v/>
      </c>
      <c r="K1784" s="5" t="str">
        <f>IFERROR(VLOOKUP($G1784,今日總結!$A:$AJ,36,0),"")</f>
        <v/>
      </c>
      <c r="L1784" s="156" t="str">
        <f>IFERROR(VLOOKUP($G1784,今日總結!$A:$AJ,33,0),"")</f>
        <v/>
      </c>
      <c r="M1784" s="340" t="str">
        <f>IFERROR(VLOOKUP($G1784,今日總結!$A:$AJ,34,0),"")</f>
        <v/>
      </c>
      <c r="N1784" s="240" t="str">
        <f t="shared" si="340"/>
        <v/>
      </c>
      <c r="P1784" s="365">
        <f>IFERROR(VLOOKUP($G1784,融外自投!$A:$J,7,0),"無")</f>
        <v>332</v>
      </c>
      <c r="Q1784" s="79" t="str">
        <f>IFERROR(VLOOKUP($G1784,融外自投!$A:$J,9,0),"無")</f>
        <v>無</v>
      </c>
      <c r="R1784" s="346">
        <f>IFERROR(VLOOKUP($G1784,融外自投!$A:$J,8,0),"無")</f>
        <v>472</v>
      </c>
      <c r="S1784" s="81" t="str">
        <f>IFERROR(VLOOKUP($G1784,融外自投!$A:$J,10,0),"無")</f>
        <v>無</v>
      </c>
      <c r="T1784" s="327">
        <f>IFERROR(VLOOKUP($G1784,'321買'!$A:$E,5,0),"'沒有資料'")</f>
        <v>357</v>
      </c>
      <c r="U1784" s="186">
        <f>IFERROR(VLOOKUP($G1784,基本資料!$A:$J,9,0),"無")</f>
        <v>5</v>
      </c>
      <c r="V1784" s="310">
        <f t="shared" si="341"/>
        <v>6.4350064350064351E-2</v>
      </c>
      <c r="W1784" s="94">
        <f>IFERROR(VLOOKUP($G1784,基本資料!$A:$J,10,0),"無")</f>
        <v>6.01</v>
      </c>
      <c r="X1784" s="36">
        <f>RTD("money.excel",,"3546","Price")</f>
        <v>77.7</v>
      </c>
      <c r="Y1784" s="66"/>
      <c r="Z1784" s="15">
        <f t="shared" si="342"/>
        <v>77.7</v>
      </c>
      <c r="AA1784" s="3" t="e">
        <f t="shared" si="343"/>
        <v>#DIV/0!</v>
      </c>
      <c r="AB1784" s="344">
        <f>IFERROR(VLOOKUP($G1784,基本資料!$A:$M,11,0),"無")</f>
        <v>-25.93</v>
      </c>
      <c r="AC1784" s="397">
        <f>IFERROR(VLOOKUP($G1784,基本資料!$A:$M,12,0),"無")</f>
        <v>16.809999999999999</v>
      </c>
      <c r="AD1784" s="16" t="s">
        <v>71</v>
      </c>
      <c r="AG1784" s="33">
        <f t="shared" si="344"/>
        <v>0</v>
      </c>
      <c r="AH1784" s="117" t="s">
        <v>3069</v>
      </c>
      <c r="AI1784" s="63">
        <f t="shared" si="345"/>
        <v>3.6798336798336802E-3</v>
      </c>
      <c r="AJ1784" s="284">
        <f>RTD("money.excel",,$G1784,"PredictVolume")</f>
        <v>177</v>
      </c>
      <c r="AK1784" s="399">
        <f>IFERROR(VLOOKUP($G1784,基本資料!$A:$M,13,0),"無")</f>
        <v>21.3</v>
      </c>
    </row>
    <row r="1785" spans="1:37">
      <c r="A1785" s="347">
        <f>IFERROR(VLOOKUP($G1785,基本資料!$A:$J,3,0),"無")</f>
        <v>3.37</v>
      </c>
      <c r="B1785" s="79">
        <f>IFERROR(VLOOKUP($G1785,基本資料!$A:$J,4,0),"無")</f>
        <v>-780</v>
      </c>
      <c r="C1785" s="79">
        <f>IFERROR(VLOOKUP($G1785,基本資料!$A:$J,5,0),"無")</f>
        <v>-237</v>
      </c>
      <c r="D1785" s="79">
        <f>IFERROR(VLOOKUP($G1785,基本資料!$A:$J,6,0),"無")</f>
        <v>42</v>
      </c>
      <c r="E1785" s="79">
        <f>IFERROR(VLOOKUP($G1785,基本資料!$A:$J,7,0),"無")</f>
        <v>-39</v>
      </c>
      <c r="F1785" s="6">
        <f>IFERROR(VLOOKUP($G1785,基本資料!$A:$J,8,0),"無")</f>
        <v>-31.41</v>
      </c>
      <c r="G1785" s="79">
        <v>3629</v>
      </c>
      <c r="H1785" s="8" t="s">
        <v>1025</v>
      </c>
      <c r="I1785" s="16" t="s">
        <v>3002</v>
      </c>
      <c r="J1785" s="8" t="str">
        <f>IFERROR(VLOOKUP($G1785,今日總結!$A:$AJ,35,0),"")</f>
        <v/>
      </c>
      <c r="K1785" s="5" t="str">
        <f>IFERROR(VLOOKUP($G1785,今日總結!$A:$AJ,36,0),"")</f>
        <v/>
      </c>
      <c r="L1785" s="156" t="str">
        <f>IFERROR(VLOOKUP($G1785,今日總結!$A:$AJ,33,0),"")</f>
        <v/>
      </c>
      <c r="M1785" s="340" t="str">
        <f>IFERROR(VLOOKUP($G1785,今日總結!$A:$AJ,34,0),"")</f>
        <v/>
      </c>
      <c r="N1785" s="240" t="str">
        <f t="shared" si="340"/>
        <v/>
      </c>
      <c r="P1785" s="365" t="str">
        <f>IFERROR(VLOOKUP($G1785,融外自投!$A:$J,7,0),"無")</f>
        <v>無</v>
      </c>
      <c r="Q1785" s="79" t="str">
        <f>IFERROR(VLOOKUP($G1785,融外自投!$A:$J,9,0),"無")</f>
        <v>無</v>
      </c>
      <c r="R1785" s="346" t="str">
        <f>IFERROR(VLOOKUP($G1785,融外自投!$A:$J,8,0),"無")</f>
        <v>無</v>
      </c>
      <c r="S1785" s="81" t="str">
        <f>IFERROR(VLOOKUP($G1785,融外自投!$A:$J,10,0),"無")</f>
        <v>無</v>
      </c>
      <c r="T1785" s="327" t="str">
        <f>IFERROR(VLOOKUP($G1785,'321買'!$A:$E,5,0),"'沒有資料'")</f>
        <v>'沒有資料'</v>
      </c>
      <c r="U1785" s="186">
        <f>IFERROR(VLOOKUP($G1785,基本資料!$A:$J,9,0),"無")</f>
        <v>0</v>
      </c>
      <c r="V1785" s="310">
        <f t="shared" si="341"/>
        <v>0</v>
      </c>
      <c r="W1785" s="94">
        <f>IFERROR(VLOOKUP($G1785,基本資料!$A:$J,10,0),"無")</f>
        <v>-4.76</v>
      </c>
      <c r="X1785" s="36">
        <f>RTD("money.excel",,"3629","Price")</f>
        <v>38.25</v>
      </c>
      <c r="Y1785" s="66"/>
      <c r="Z1785" s="15">
        <f t="shared" si="342"/>
        <v>38.25</v>
      </c>
      <c r="AA1785" s="3" t="e">
        <f t="shared" si="343"/>
        <v>#DIV/0!</v>
      </c>
      <c r="AB1785" s="344">
        <f>IFERROR(VLOOKUP($G1785,基本資料!$A:$M,11,0),"無")</f>
        <v>-37.5</v>
      </c>
      <c r="AC1785" s="397">
        <f>IFERROR(VLOOKUP($G1785,基本資料!$A:$M,12,0),"無")</f>
        <v>14.19</v>
      </c>
      <c r="AD1785" s="16" t="s">
        <v>3002</v>
      </c>
      <c r="AG1785" s="33">
        <f t="shared" si="344"/>
        <v>0</v>
      </c>
      <c r="AH1785" s="43" t="s">
        <v>3003</v>
      </c>
      <c r="AI1785" s="63">
        <f t="shared" si="345"/>
        <v>5.341246290801187E-4</v>
      </c>
      <c r="AJ1785" s="284">
        <f>RTD("money.excel",,$G1785,"PredictVolume")</f>
        <v>18</v>
      </c>
      <c r="AK1785" s="399">
        <f>IFERROR(VLOOKUP($G1785,基本資料!$A:$M,13,0),"無")</f>
        <v>0.78</v>
      </c>
    </row>
    <row r="1786" spans="1:37">
      <c r="A1786" s="347">
        <f>IFERROR(VLOOKUP($G1786,基本資料!$A:$J,3,0),"無")</f>
        <v>5.21</v>
      </c>
      <c r="B1786" s="79">
        <f>IFERROR(VLOOKUP($G1786,基本資料!$A:$J,4,0),"無")</f>
        <v>-60</v>
      </c>
      <c r="C1786" s="79">
        <f>IFERROR(VLOOKUP($G1786,基本資料!$A:$J,5,0),"無")</f>
        <v>-89</v>
      </c>
      <c r="D1786" s="79">
        <f>IFERROR(VLOOKUP($G1786,基本資料!$A:$J,6,0),"無")</f>
        <v>0</v>
      </c>
      <c r="E1786" s="79">
        <f>IFERROR(VLOOKUP($G1786,基本資料!$A:$J,7,0),"無")</f>
        <v>0</v>
      </c>
      <c r="F1786" s="6">
        <f>IFERROR(VLOOKUP($G1786,基本資料!$A:$J,8,0),"無")</f>
        <v>-27709.17</v>
      </c>
      <c r="G1786" s="79">
        <v>4806</v>
      </c>
      <c r="H1786" s="8" t="s">
        <v>1025</v>
      </c>
      <c r="I1786" s="16" t="s">
        <v>1026</v>
      </c>
      <c r="J1786" s="8" t="str">
        <f>IFERROR(VLOOKUP($G1786,今日總結!$A:$AJ,35,0),"")</f>
        <v/>
      </c>
      <c r="K1786" s="5" t="str">
        <f>IFERROR(VLOOKUP($G1786,今日總結!$A:$AJ,36,0),"")</f>
        <v/>
      </c>
      <c r="L1786" s="156" t="str">
        <f>IFERROR(VLOOKUP($G1786,今日總結!$A:$AJ,33,0),"")</f>
        <v/>
      </c>
      <c r="M1786" s="340" t="str">
        <f>IFERROR(VLOOKUP($G1786,今日總結!$A:$AJ,34,0),"")</f>
        <v/>
      </c>
      <c r="N1786" s="240" t="str">
        <f t="shared" si="340"/>
        <v/>
      </c>
      <c r="P1786" s="365" t="str">
        <f>IFERROR(VLOOKUP($G1786,融外自投!$A:$J,7,0),"無")</f>
        <v>無</v>
      </c>
      <c r="Q1786" s="79" t="str">
        <f>IFERROR(VLOOKUP($G1786,融外自投!$A:$J,9,0),"無")</f>
        <v>無</v>
      </c>
      <c r="R1786" s="346" t="str">
        <f>IFERROR(VLOOKUP($G1786,融外自投!$A:$J,8,0),"無")</f>
        <v>無</v>
      </c>
      <c r="S1786" s="81" t="str">
        <f>IFERROR(VLOOKUP($G1786,融外自投!$A:$J,10,0),"無")</f>
        <v>無</v>
      </c>
      <c r="T1786" s="327" t="str">
        <f>IFERROR(VLOOKUP($G1786,'321買'!$A:$E,5,0),"'沒有資料'")</f>
        <v>'沒有資料'</v>
      </c>
      <c r="U1786" s="186">
        <f>IFERROR(VLOOKUP($G1786,基本資料!$A:$J,9,0),"無")</f>
        <v>0</v>
      </c>
      <c r="V1786" s="310">
        <f t="shared" si="341"/>
        <v>0</v>
      </c>
      <c r="W1786" s="94">
        <f>IFERROR(VLOOKUP($G1786,基本資料!$A:$J,10,0),"無")</f>
        <v>-4.13</v>
      </c>
      <c r="X1786" s="36">
        <f>RTD("money.excel",,"4806","Price")</f>
        <v>10</v>
      </c>
      <c r="Y1786" s="66"/>
      <c r="Z1786" s="15">
        <f t="shared" si="342"/>
        <v>10</v>
      </c>
      <c r="AA1786" s="3" t="e">
        <f t="shared" si="343"/>
        <v>#DIV/0!</v>
      </c>
      <c r="AB1786" s="344">
        <f>IFERROR(VLOOKUP($G1786,基本資料!$A:$M,11,0),"無")</f>
        <v>-12.5</v>
      </c>
      <c r="AC1786" s="397">
        <f>IFERROR(VLOOKUP($G1786,基本資料!$A:$M,12,0),"無")</f>
        <v>70.349999999999994</v>
      </c>
      <c r="AD1786" s="16" t="s">
        <v>1026</v>
      </c>
      <c r="AG1786" s="33">
        <f t="shared" si="344"/>
        <v>0</v>
      </c>
      <c r="AH1786" s="43" t="s">
        <v>2349</v>
      </c>
      <c r="AI1786" s="63">
        <f t="shared" si="345"/>
        <v>3.838771593090211E-5</v>
      </c>
      <c r="AJ1786" s="284">
        <f>RTD("money.excel",,$G1786,"PredictVolume")</f>
        <v>2</v>
      </c>
      <c r="AK1786" s="399">
        <f>IFERROR(VLOOKUP($G1786,基本資料!$A:$M,13,0),"無")</f>
        <v>1.92</v>
      </c>
    </row>
    <row r="1787" spans="1:37">
      <c r="A1787" s="347">
        <f>IFERROR(VLOOKUP($G1787,基本資料!$A:$J,3,0),"無")</f>
        <v>1.39</v>
      </c>
      <c r="B1787" s="79">
        <f>IFERROR(VLOOKUP($G1787,基本資料!$A:$J,4,0),"無")</f>
        <v>127</v>
      </c>
      <c r="C1787" s="79">
        <f>IFERROR(VLOOKUP($G1787,基本資料!$A:$J,5,0),"無")</f>
        <v>-7</v>
      </c>
      <c r="D1787" s="79">
        <f>IFERROR(VLOOKUP($G1787,基本資料!$A:$J,6,0),"無")</f>
        <v>176</v>
      </c>
      <c r="E1787" s="79">
        <f>IFERROR(VLOOKUP($G1787,基本資料!$A:$J,7,0),"無")</f>
        <v>1452</v>
      </c>
      <c r="F1787" s="6">
        <f>IFERROR(VLOOKUP($G1787,基本資料!$A:$J,8,0),"無")</f>
        <v>-145.97</v>
      </c>
      <c r="G1787" s="79">
        <v>4946</v>
      </c>
      <c r="H1787" s="8" t="s">
        <v>1025</v>
      </c>
      <c r="I1787" s="16" t="s">
        <v>73</v>
      </c>
      <c r="J1787" s="8" t="str">
        <f>IFERROR(VLOOKUP($G1787,今日總結!$A:$AJ,35,0),"")</f>
        <v/>
      </c>
      <c r="K1787" s="5" t="str">
        <f>IFERROR(VLOOKUP($G1787,今日總結!$A:$AJ,36,0),"")</f>
        <v/>
      </c>
      <c r="L1787" s="156" t="str">
        <f>IFERROR(VLOOKUP($G1787,今日總結!$A:$AJ,33,0),"")</f>
        <v/>
      </c>
      <c r="M1787" s="340" t="str">
        <f>IFERROR(VLOOKUP($G1787,今日總結!$A:$AJ,34,0),"")</f>
        <v/>
      </c>
      <c r="N1787" s="240" t="str">
        <f t="shared" si="340"/>
        <v/>
      </c>
      <c r="P1787" s="365" t="str">
        <f>IFERROR(VLOOKUP($G1787,融外自投!$A:$J,7,0),"無")</f>
        <v>無</v>
      </c>
      <c r="Q1787" s="79" t="str">
        <f>IFERROR(VLOOKUP($G1787,融外自投!$A:$J,9,0),"無")</f>
        <v>無</v>
      </c>
      <c r="R1787" s="346" t="str">
        <f>IFERROR(VLOOKUP($G1787,融外自投!$A:$J,8,0),"無")</f>
        <v>無</v>
      </c>
      <c r="S1787" s="81" t="str">
        <f>IFERROR(VLOOKUP($G1787,融外自投!$A:$J,10,0),"無")</f>
        <v>無</v>
      </c>
      <c r="T1787" s="327" t="str">
        <f>IFERROR(VLOOKUP($G1787,'321買'!$A:$E,5,0),"'沒有資料'")</f>
        <v>'沒有資料'</v>
      </c>
      <c r="U1787" s="186">
        <f>IFERROR(VLOOKUP($G1787,基本資料!$A:$J,9,0),"無")</f>
        <v>0</v>
      </c>
      <c r="V1787" s="310">
        <f t="shared" si="341"/>
        <v>0</v>
      </c>
      <c r="W1787" s="94">
        <f>IFERROR(VLOOKUP($G1787,基本資料!$A:$J,10,0),"無")</f>
        <v>1.79</v>
      </c>
      <c r="X1787" s="36">
        <f>RTD("money.excel",,"4946","Price")</f>
        <v>69.2</v>
      </c>
      <c r="Y1787" s="66"/>
      <c r="Z1787" s="15">
        <f t="shared" si="342"/>
        <v>69.2</v>
      </c>
      <c r="AA1787" s="3" t="e">
        <f t="shared" si="343"/>
        <v>#DIV/0!</v>
      </c>
      <c r="AB1787" s="344">
        <f>IFERROR(VLOOKUP($G1787,基本資料!$A:$M,11,0),"無")</f>
        <v>-26.94</v>
      </c>
      <c r="AC1787" s="397">
        <f>IFERROR(VLOOKUP($G1787,基本資料!$A:$M,12,0),"無")</f>
        <v>27.4</v>
      </c>
      <c r="AD1787" s="16" t="s">
        <v>73</v>
      </c>
      <c r="AG1787" s="33">
        <f t="shared" si="344"/>
        <v>0</v>
      </c>
      <c r="AH1787" s="117" t="s">
        <v>2319</v>
      </c>
      <c r="AI1787" s="63">
        <f t="shared" si="345"/>
        <v>1.050359712230216E-2</v>
      </c>
      <c r="AJ1787" s="284">
        <f>RTD("money.excel",,$G1787,"PredictVolume")</f>
        <v>146</v>
      </c>
      <c r="AK1787" s="399">
        <f>IFERROR(VLOOKUP($G1787,基本資料!$A:$M,13,0),"無")</f>
        <v>18.97</v>
      </c>
    </row>
    <row r="1788" spans="1:37">
      <c r="A1788" s="347">
        <f>IFERROR(VLOOKUP($G1788,基本資料!$A:$J,3,0),"無")</f>
        <v>6.09</v>
      </c>
      <c r="B1788" s="79">
        <f>IFERROR(VLOOKUP($G1788,基本資料!$A:$J,4,0),"無")</f>
        <v>-157</v>
      </c>
      <c r="C1788" s="79">
        <f>IFERROR(VLOOKUP($G1788,基本資料!$A:$J,5,0),"無")</f>
        <v>-699</v>
      </c>
      <c r="D1788" s="79">
        <f>IFERROR(VLOOKUP($G1788,基本資料!$A:$J,6,0),"無")</f>
        <v>33</v>
      </c>
      <c r="E1788" s="79">
        <f>IFERROR(VLOOKUP($G1788,基本資料!$A:$J,7,0),"無")</f>
        <v>-16</v>
      </c>
      <c r="F1788" s="6">
        <f>IFERROR(VLOOKUP($G1788,基本資料!$A:$J,8,0),"無")</f>
        <v>-22.87</v>
      </c>
      <c r="G1788" s="79">
        <v>5263</v>
      </c>
      <c r="H1788" s="8" t="s">
        <v>1025</v>
      </c>
      <c r="I1788" s="16" t="s">
        <v>216</v>
      </c>
      <c r="J1788" s="8" t="str">
        <f>IFERROR(VLOOKUP($G1788,今日總結!$A:$AJ,35,0),"")</f>
        <v>外</v>
      </c>
      <c r="K1788" s="5">
        <f>IFERROR(VLOOKUP($G1788,今日總結!$A:$AJ,36,0),"")</f>
        <v>0</v>
      </c>
      <c r="L1788" s="156">
        <f>IFERROR(VLOOKUP($G1788,今日總結!$A:$AJ,33,0),"")</f>
        <v>1</v>
      </c>
      <c r="M1788" s="340">
        <f>IFERROR(VLOOKUP($G1788,今日總結!$A:$AJ,34,0),"")</f>
        <v>0</v>
      </c>
      <c r="N1788" s="240">
        <f t="shared" si="340"/>
        <v>1</v>
      </c>
      <c r="P1788" s="365">
        <f>IFERROR(VLOOKUP($G1788,融外自投!$A:$J,7,0),"無")</f>
        <v>485</v>
      </c>
      <c r="Q1788" s="79" t="str">
        <f>IFERROR(VLOOKUP($G1788,融外自投!$A:$J,9,0),"無")</f>
        <v>無</v>
      </c>
      <c r="R1788" s="346">
        <f>IFERROR(VLOOKUP($G1788,融外自投!$A:$J,8,0),"無")</f>
        <v>379</v>
      </c>
      <c r="S1788" s="81">
        <f>IFERROR(VLOOKUP($G1788,融外自投!$A:$J,10,0),"無")</f>
        <v>52</v>
      </c>
      <c r="T1788" s="327">
        <f>IFERROR(VLOOKUP($G1788,'321買'!$A:$E,5,0),"'沒有資料'")</f>
        <v>318</v>
      </c>
      <c r="U1788" s="186">
        <f>IFERROR(VLOOKUP($G1788,基本資料!$A:$J,9,0),"無")</f>
        <v>0</v>
      </c>
      <c r="V1788" s="310">
        <f t="shared" si="341"/>
        <v>0</v>
      </c>
      <c r="W1788" s="94">
        <f>IFERROR(VLOOKUP($G1788,基本資料!$A:$J,10,0),"無")</f>
        <v>-2.31</v>
      </c>
      <c r="X1788" s="36">
        <f>RTD("money.excel",,"5263","Price")</f>
        <v>110</v>
      </c>
      <c r="Y1788" s="66"/>
      <c r="Z1788" s="15">
        <f t="shared" si="342"/>
        <v>110</v>
      </c>
      <c r="AA1788" s="3" t="e">
        <f t="shared" si="343"/>
        <v>#DIV/0!</v>
      </c>
      <c r="AB1788" s="344">
        <f>IFERROR(VLOOKUP($G1788,基本資料!$A:$M,11,0),"無")</f>
        <v>-33.72</v>
      </c>
      <c r="AC1788" s="397">
        <f>IFERROR(VLOOKUP($G1788,基本資料!$A:$M,12,0),"無")</f>
        <v>25.36</v>
      </c>
      <c r="AD1788" s="16" t="s">
        <v>216</v>
      </c>
      <c r="AG1788" s="33">
        <f t="shared" si="344"/>
        <v>0</v>
      </c>
      <c r="AH1788" s="117" t="s">
        <v>2693</v>
      </c>
      <c r="AI1788" s="63">
        <f t="shared" si="345"/>
        <v>2.0689655172413794E-3</v>
      </c>
      <c r="AJ1788" s="284">
        <f>RTD("money.excel",,$G1788,"PredictVolume")</f>
        <v>126</v>
      </c>
      <c r="AK1788" s="399">
        <f>IFERROR(VLOOKUP($G1788,基本資料!$A:$M,13,0),"無")</f>
        <v>12.59</v>
      </c>
    </row>
    <row r="1789" spans="1:37">
      <c r="A1789" s="347">
        <f>IFERROR(VLOOKUP($G1789,基本資料!$A:$J,3,0),"無")</f>
        <v>12.74</v>
      </c>
      <c r="B1789" s="79">
        <f>IFERROR(VLOOKUP($G1789,基本資料!$A:$J,4,0),"無")</f>
        <v>-12</v>
      </c>
      <c r="C1789" s="79">
        <f>IFERROR(VLOOKUP($G1789,基本資料!$A:$J,5,0),"無")</f>
        <v>-4</v>
      </c>
      <c r="D1789" s="79">
        <f>IFERROR(VLOOKUP($G1789,基本資料!$A:$J,6,0),"無")</f>
        <v>-8</v>
      </c>
      <c r="E1789" s="79">
        <f>IFERROR(VLOOKUP($G1789,基本資料!$A:$J,7,0),"無")</f>
        <v>-10</v>
      </c>
      <c r="F1789" s="6">
        <f>IFERROR(VLOOKUP($G1789,基本資料!$A:$J,8,0),"無")</f>
        <v>15.96</v>
      </c>
      <c r="G1789" s="79">
        <v>5478</v>
      </c>
      <c r="H1789" s="8" t="s">
        <v>1025</v>
      </c>
      <c r="I1789" s="16" t="s">
        <v>219</v>
      </c>
      <c r="J1789" s="8" t="str">
        <f>IFERROR(VLOOKUP($G1789,今日總結!$A:$AJ,35,0),"")</f>
        <v/>
      </c>
      <c r="K1789" s="5" t="str">
        <f>IFERROR(VLOOKUP($G1789,今日總結!$A:$AJ,36,0),"")</f>
        <v/>
      </c>
      <c r="L1789" s="156" t="str">
        <f>IFERROR(VLOOKUP($G1789,今日總結!$A:$AJ,33,0),"")</f>
        <v/>
      </c>
      <c r="M1789" s="340" t="str">
        <f>IFERROR(VLOOKUP($G1789,今日總結!$A:$AJ,34,0),"")</f>
        <v/>
      </c>
      <c r="N1789" s="240" t="str">
        <f t="shared" ref="N1789:N1803" si="346">IFERROR(L1789-M1789,"")</f>
        <v/>
      </c>
      <c r="P1789" s="365">
        <f>IFERROR(VLOOKUP($G1789,融外自投!$A:$J,7,0),"無")</f>
        <v>886</v>
      </c>
      <c r="Q1789" s="79">
        <f>IFERROR(VLOOKUP($G1789,融外自投!$A:$J,9,0),"無")</f>
        <v>253</v>
      </c>
      <c r="R1789" s="346">
        <f>IFERROR(VLOOKUP($G1789,融外自投!$A:$J,8,0),"無")</f>
        <v>179</v>
      </c>
      <c r="S1789" s="81">
        <f>IFERROR(VLOOKUP($G1789,融外自投!$A:$J,10,0),"無")</f>
        <v>437</v>
      </c>
      <c r="T1789" s="327">
        <f>IFERROR(VLOOKUP($G1789,'321買'!$A:$E,5,0),"'沒有資料'")</f>
        <v>939</v>
      </c>
      <c r="U1789" s="186">
        <f>IFERROR(VLOOKUP($G1789,基本資料!$A:$J,9,0),"無")</f>
        <v>5.2</v>
      </c>
      <c r="V1789" s="310">
        <f t="shared" si="341"/>
        <v>6.25E-2</v>
      </c>
      <c r="W1789" s="94">
        <f>IFERROR(VLOOKUP($G1789,基本資料!$A:$J,10,0),"無")</f>
        <v>6.84</v>
      </c>
      <c r="X1789" s="36">
        <f>RTD("money.excel",,"5478","Price")</f>
        <v>83.2</v>
      </c>
      <c r="Y1789" s="66"/>
      <c r="Z1789" s="15">
        <f t="shared" si="342"/>
        <v>83.2</v>
      </c>
      <c r="AA1789" s="3" t="e">
        <f t="shared" si="343"/>
        <v>#DIV/0!</v>
      </c>
      <c r="AB1789" s="344">
        <f>IFERROR(VLOOKUP($G1789,基本資料!$A:$M,11,0),"無")</f>
        <v>-32.43</v>
      </c>
      <c r="AC1789" s="397">
        <f>IFERROR(VLOOKUP($G1789,基本資料!$A:$M,12,0),"無")</f>
        <v>18.760000000000002</v>
      </c>
      <c r="AD1789" s="16" t="s">
        <v>219</v>
      </c>
      <c r="AG1789" s="33">
        <f t="shared" si="344"/>
        <v>0</v>
      </c>
      <c r="AH1789" s="117" t="s">
        <v>2319</v>
      </c>
      <c r="AI1789" s="63">
        <f t="shared" si="345"/>
        <v>3.6106750392464677E-4</v>
      </c>
      <c r="AJ1789" s="284">
        <f>RTD("money.excel",,$G1789,"PredictVolume")</f>
        <v>46</v>
      </c>
      <c r="AK1789" s="399">
        <f>IFERROR(VLOOKUP($G1789,基本資料!$A:$M,13,0),"無")</f>
        <v>7.58</v>
      </c>
    </row>
    <row r="1790" spans="1:37">
      <c r="A1790" s="347">
        <f>IFERROR(VLOOKUP($G1790,基本資料!$A:$J,3,0),"無")</f>
        <v>11.64</v>
      </c>
      <c r="B1790" s="79">
        <f>IFERROR(VLOOKUP($G1790,基本資料!$A:$J,4,0),"無")</f>
        <v>36</v>
      </c>
      <c r="C1790" s="79">
        <f>IFERROR(VLOOKUP($G1790,基本資料!$A:$J,5,0),"無")</f>
        <v>-88</v>
      </c>
      <c r="D1790" s="79">
        <f>IFERROR(VLOOKUP($G1790,基本資料!$A:$J,6,0),"無")</f>
        <v>28</v>
      </c>
      <c r="E1790" s="79">
        <f>IFERROR(VLOOKUP($G1790,基本資料!$A:$J,7,0),"無")</f>
        <v>710</v>
      </c>
      <c r="F1790" s="6">
        <f>IFERROR(VLOOKUP($G1790,基本資料!$A:$J,8,0),"無")</f>
        <v>-315.7</v>
      </c>
      <c r="G1790" s="79">
        <v>6101</v>
      </c>
      <c r="H1790" s="8" t="s">
        <v>1025</v>
      </c>
      <c r="I1790" s="16" t="s">
        <v>1027</v>
      </c>
      <c r="J1790" s="8" t="str">
        <f>IFERROR(VLOOKUP($G1790,今日總結!$A:$AJ,35,0),"")</f>
        <v/>
      </c>
      <c r="K1790" s="5" t="str">
        <f>IFERROR(VLOOKUP($G1790,今日總結!$A:$AJ,36,0),"")</f>
        <v/>
      </c>
      <c r="L1790" s="156" t="str">
        <f>IFERROR(VLOOKUP($G1790,今日總結!$A:$AJ,33,0),"")</f>
        <v/>
      </c>
      <c r="M1790" s="340" t="str">
        <f>IFERROR(VLOOKUP($G1790,今日總結!$A:$AJ,34,0),"")</f>
        <v/>
      </c>
      <c r="N1790" s="240" t="str">
        <f t="shared" si="346"/>
        <v/>
      </c>
      <c r="P1790" s="365" t="str">
        <f>IFERROR(VLOOKUP($G1790,融外自投!$A:$J,7,0),"無")</f>
        <v>無</v>
      </c>
      <c r="Q1790" s="79" t="str">
        <f>IFERROR(VLOOKUP($G1790,融外自投!$A:$J,9,0),"無")</f>
        <v>無</v>
      </c>
      <c r="R1790" s="346" t="str">
        <f>IFERROR(VLOOKUP($G1790,融外自投!$A:$J,8,0),"無")</f>
        <v>無</v>
      </c>
      <c r="S1790" s="81" t="str">
        <f>IFERROR(VLOOKUP($G1790,融外自投!$A:$J,10,0),"無")</f>
        <v>無</v>
      </c>
      <c r="T1790" s="327" t="str">
        <f>IFERROR(VLOOKUP($G1790,'321買'!$A:$E,5,0),"'沒有資料'")</f>
        <v>'沒有資料'</v>
      </c>
      <c r="U1790" s="186">
        <f>IFERROR(VLOOKUP($G1790,基本資料!$A:$J,9,0),"無")</f>
        <v>0</v>
      </c>
      <c r="V1790" s="310">
        <f t="shared" si="341"/>
        <v>0</v>
      </c>
      <c r="W1790" s="94">
        <f>IFERROR(VLOOKUP($G1790,基本資料!$A:$J,10,0),"無")</f>
        <v>-0.63</v>
      </c>
      <c r="X1790" s="36">
        <f>RTD("money.excel",,"6101","Price")</f>
        <v>22.5</v>
      </c>
      <c r="Y1790" s="66"/>
      <c r="Z1790" s="15">
        <f t="shared" si="342"/>
        <v>22.5</v>
      </c>
      <c r="AA1790" s="3" t="e">
        <f t="shared" si="343"/>
        <v>#DIV/0!</v>
      </c>
      <c r="AB1790" s="344">
        <f>IFERROR(VLOOKUP($G1790,基本資料!$A:$M,11,0),"無")</f>
        <v>-6.25</v>
      </c>
      <c r="AC1790" s="397">
        <f>IFERROR(VLOOKUP($G1790,基本資料!$A:$M,12,0),"無")</f>
        <v>78.84</v>
      </c>
      <c r="AD1790" s="16" t="s">
        <v>1027</v>
      </c>
      <c r="AG1790" s="33">
        <f t="shared" si="344"/>
        <v>0</v>
      </c>
      <c r="AH1790" s="43" t="s">
        <v>2694</v>
      </c>
      <c r="AI1790" s="63">
        <f t="shared" si="345"/>
        <v>1.9759450171821306E-4</v>
      </c>
      <c r="AJ1790" s="284">
        <f>RTD("money.excel",,$G1790,"PredictVolume")</f>
        <v>23</v>
      </c>
      <c r="AK1790" s="399">
        <f>IFERROR(VLOOKUP($G1790,基本資料!$A:$M,13,0),"無")</f>
        <v>0.28999999999999998</v>
      </c>
    </row>
    <row r="1791" spans="1:37">
      <c r="A1791" s="347">
        <f>IFERROR(VLOOKUP($G1791,基本資料!$A:$J,3,0),"無")</f>
        <v>6.55</v>
      </c>
      <c r="B1791" s="79">
        <f>IFERROR(VLOOKUP($G1791,基本資料!$A:$J,4,0),"無")</f>
        <v>1228</v>
      </c>
      <c r="C1791" s="79">
        <f>IFERROR(VLOOKUP($G1791,基本資料!$A:$J,5,0),"無")</f>
        <v>-83</v>
      </c>
      <c r="D1791" s="79">
        <f>IFERROR(VLOOKUP($G1791,基本資料!$A:$J,6,0),"無")</f>
        <v>22</v>
      </c>
      <c r="E1791" s="79">
        <f>IFERROR(VLOOKUP($G1791,基本資料!$A:$J,7,0),"無")</f>
        <v>122</v>
      </c>
      <c r="F1791" s="6">
        <f>IFERROR(VLOOKUP($G1791,基本資料!$A:$J,8,0),"無")</f>
        <v>4.1900000000000004</v>
      </c>
      <c r="G1791" s="79">
        <v>6111</v>
      </c>
      <c r="H1791" s="8" t="s">
        <v>1025</v>
      </c>
      <c r="I1791" s="16" t="s">
        <v>74</v>
      </c>
      <c r="J1791" s="8">
        <f>IFERROR(VLOOKUP($G1791,今日總結!$A:$AJ,35,0),"")</f>
        <v>0</v>
      </c>
      <c r="K1791" s="5" t="str">
        <f>IFERROR(VLOOKUP($G1791,今日總結!$A:$AJ,36,0),"")</f>
        <v>融借</v>
      </c>
      <c r="L1791" s="156">
        <f>IFERROR(VLOOKUP($G1791,今日總結!$A:$AJ,33,0),"")</f>
        <v>0</v>
      </c>
      <c r="M1791" s="340">
        <f>IFERROR(VLOOKUP($G1791,今日總結!$A:$AJ,34,0),"")</f>
        <v>2</v>
      </c>
      <c r="N1791" s="240">
        <f t="shared" si="346"/>
        <v>-2</v>
      </c>
      <c r="P1791" s="365">
        <f>IFERROR(VLOOKUP($G1791,融外自投!$A:$J,7,0),"無")</f>
        <v>81</v>
      </c>
      <c r="Q1791" s="79">
        <f>IFERROR(VLOOKUP($G1791,融外自投!$A:$J,9,0),"無")</f>
        <v>414</v>
      </c>
      <c r="R1791" s="346">
        <f>IFERROR(VLOOKUP($G1791,融外自投!$A:$J,8,0),"無")</f>
        <v>194</v>
      </c>
      <c r="S1791" s="81" t="str">
        <f>IFERROR(VLOOKUP($G1791,融外自投!$A:$J,10,0),"無")</f>
        <v>無</v>
      </c>
      <c r="T1791" s="327">
        <f>IFERROR(VLOOKUP($G1791,'321買'!$A:$E,5,0),"'沒有資料'")</f>
        <v>480</v>
      </c>
      <c r="U1791" s="186">
        <f>IFERROR(VLOOKUP($G1791,基本資料!$A:$J,9,0),"無")</f>
        <v>6</v>
      </c>
      <c r="V1791" s="310">
        <f t="shared" si="341"/>
        <v>7.5662042875157626E-2</v>
      </c>
      <c r="W1791" s="94">
        <f>IFERROR(VLOOKUP($G1791,基本資料!$A:$J,10,0),"無")</f>
        <v>11.36</v>
      </c>
      <c r="X1791" s="36">
        <f>RTD("money.excel",,"6111","Price")</f>
        <v>79.3</v>
      </c>
      <c r="Y1791" s="66"/>
      <c r="Z1791" s="15">
        <f t="shared" si="342"/>
        <v>79.3</v>
      </c>
      <c r="AA1791" s="3" t="e">
        <f t="shared" si="343"/>
        <v>#DIV/0!</v>
      </c>
      <c r="AB1791" s="344">
        <f>IFERROR(VLOOKUP($G1791,基本資料!$A:$M,11,0),"無")</f>
        <v>-31.29</v>
      </c>
      <c r="AC1791" s="397">
        <f>IFERROR(VLOOKUP($G1791,基本資料!$A:$M,12,0),"無")</f>
        <v>14.78</v>
      </c>
      <c r="AD1791" s="16" t="s">
        <v>74</v>
      </c>
      <c r="AG1791" s="33">
        <f t="shared" si="344"/>
        <v>0</v>
      </c>
      <c r="AH1791" s="117" t="s">
        <v>2319</v>
      </c>
      <c r="AI1791" s="63">
        <f t="shared" si="345"/>
        <v>1.8091603053435115E-2</v>
      </c>
      <c r="AJ1791" s="284">
        <f>RTD("money.excel",,$G1791,"PredictVolume")</f>
        <v>1185</v>
      </c>
      <c r="AK1791" s="399">
        <f>IFERROR(VLOOKUP($G1791,基本資料!$A:$M,13,0),"無")</f>
        <v>24.05</v>
      </c>
    </row>
    <row r="1792" spans="1:37">
      <c r="A1792" s="347">
        <f>IFERROR(VLOOKUP($G1792,基本資料!$A:$J,3,0),"無")</f>
        <v>3.82</v>
      </c>
      <c r="B1792" s="79">
        <f>IFERROR(VLOOKUP($G1792,基本資料!$A:$J,4,0),"無")</f>
        <v>-1337</v>
      </c>
      <c r="C1792" s="79">
        <f>IFERROR(VLOOKUP($G1792,基本資料!$A:$J,5,0),"無")</f>
        <v>-404</v>
      </c>
      <c r="D1792" s="79">
        <f>IFERROR(VLOOKUP($G1792,基本資料!$A:$J,6,0),"無")</f>
        <v>-7</v>
      </c>
      <c r="E1792" s="79">
        <f>IFERROR(VLOOKUP($G1792,基本資料!$A:$J,7,0),"無")</f>
        <v>-12</v>
      </c>
      <c r="F1792" s="6">
        <f>IFERROR(VLOOKUP($G1792,基本資料!$A:$J,8,0),"無")</f>
        <v>-15.24</v>
      </c>
      <c r="G1792" s="79">
        <v>6144</v>
      </c>
      <c r="H1792" s="8" t="s">
        <v>1025</v>
      </c>
      <c r="I1792" s="16" t="s">
        <v>1028</v>
      </c>
      <c r="J1792" s="8" t="str">
        <f>IFERROR(VLOOKUP($G1792,今日總結!$A:$AJ,35,0),"")</f>
        <v/>
      </c>
      <c r="K1792" s="5" t="str">
        <f>IFERROR(VLOOKUP($G1792,今日總結!$A:$AJ,36,0),"")</f>
        <v/>
      </c>
      <c r="L1792" s="156" t="str">
        <f>IFERROR(VLOOKUP($G1792,今日總結!$A:$AJ,33,0),"")</f>
        <v/>
      </c>
      <c r="M1792" s="340" t="str">
        <f>IFERROR(VLOOKUP($G1792,今日總結!$A:$AJ,34,0),"")</f>
        <v/>
      </c>
      <c r="N1792" s="240" t="str">
        <f t="shared" si="346"/>
        <v/>
      </c>
      <c r="P1792" s="365" t="str">
        <f>IFERROR(VLOOKUP($G1792,融外自投!$A:$J,7,0),"無")</f>
        <v>無</v>
      </c>
      <c r="Q1792" s="79" t="str">
        <f>IFERROR(VLOOKUP($G1792,融外自投!$A:$J,9,0),"無")</f>
        <v>無</v>
      </c>
      <c r="R1792" s="346" t="str">
        <f>IFERROR(VLOOKUP($G1792,融外自投!$A:$J,8,0),"無")</f>
        <v>無</v>
      </c>
      <c r="S1792" s="81" t="str">
        <f>IFERROR(VLOOKUP($G1792,融外自投!$A:$J,10,0),"無")</f>
        <v>無</v>
      </c>
      <c r="T1792" s="327" t="str">
        <f>IFERROR(VLOOKUP($G1792,'321買'!$A:$E,5,0),"'沒有資料'")</f>
        <v>'沒有資料'</v>
      </c>
      <c r="U1792" s="186">
        <f>IFERROR(VLOOKUP($G1792,基本資料!$A:$J,9,0),"無")</f>
        <v>0</v>
      </c>
      <c r="V1792" s="310">
        <f t="shared" si="341"/>
        <v>0</v>
      </c>
      <c r="W1792" s="94">
        <f>IFERROR(VLOOKUP($G1792,基本資料!$A:$J,10,0),"無")</f>
        <v>-0.78</v>
      </c>
      <c r="X1792" s="36">
        <f>RTD("money.excel",,"6144","Price")</f>
        <v>15</v>
      </c>
      <c r="Y1792" s="66"/>
      <c r="Z1792" s="15">
        <f t="shared" si="342"/>
        <v>15</v>
      </c>
      <c r="AA1792" s="3" t="e">
        <f t="shared" si="343"/>
        <v>#DIV/0!</v>
      </c>
      <c r="AB1792" s="344">
        <f>IFERROR(VLOOKUP($G1792,基本資料!$A:$M,11,0),"無")</f>
        <v>-25.85</v>
      </c>
      <c r="AC1792" s="397">
        <f>IFERROR(VLOOKUP($G1792,基本資料!$A:$M,12,0),"無")</f>
        <v>45.2</v>
      </c>
      <c r="AD1792" s="16" t="s">
        <v>1028</v>
      </c>
      <c r="AG1792" s="33">
        <f t="shared" si="344"/>
        <v>0</v>
      </c>
      <c r="AH1792" s="43" t="s">
        <v>2695</v>
      </c>
      <c r="AI1792" s="63">
        <f t="shared" si="345"/>
        <v>1.5706806282722512E-4</v>
      </c>
      <c r="AJ1792" s="284">
        <f>RTD("money.excel",,$G1792,"PredictVolume")</f>
        <v>6</v>
      </c>
      <c r="AK1792" s="399">
        <f>IFERROR(VLOOKUP($G1792,基本資料!$A:$M,13,0),"無")</f>
        <v>0.62</v>
      </c>
    </row>
    <row r="1793" spans="1:37">
      <c r="A1793" s="347">
        <f>IFERROR(VLOOKUP($G1793,基本資料!$A:$J,3,0),"無")</f>
        <v>2.33</v>
      </c>
      <c r="B1793" s="79">
        <f>IFERROR(VLOOKUP($G1793,基本資料!$A:$J,4,0),"無")</f>
        <v>40</v>
      </c>
      <c r="C1793" s="79">
        <f>IFERROR(VLOOKUP($G1793,基本資料!$A:$J,5,0),"無")</f>
        <v>25</v>
      </c>
      <c r="D1793" s="79">
        <f>IFERROR(VLOOKUP($G1793,基本資料!$A:$J,6,0),"無")</f>
        <v>-15</v>
      </c>
      <c r="E1793" s="79">
        <f>IFERROR(VLOOKUP($G1793,基本資料!$A:$J,7,0),"無")</f>
        <v>-87</v>
      </c>
      <c r="F1793" s="6">
        <f>IFERROR(VLOOKUP($G1793,基本資料!$A:$J,8,0),"無")</f>
        <v>-211.61</v>
      </c>
      <c r="G1793" s="79">
        <v>6169</v>
      </c>
      <c r="H1793" s="8" t="s">
        <v>1025</v>
      </c>
      <c r="I1793" s="16" t="s">
        <v>75</v>
      </c>
      <c r="J1793" s="8" t="str">
        <f>IFERROR(VLOOKUP($G1793,今日總結!$A:$AJ,35,0),"")</f>
        <v/>
      </c>
      <c r="K1793" s="5" t="str">
        <f>IFERROR(VLOOKUP($G1793,今日總結!$A:$AJ,36,0),"")</f>
        <v/>
      </c>
      <c r="L1793" s="156" t="str">
        <f>IFERROR(VLOOKUP($G1793,今日總結!$A:$AJ,33,0),"")</f>
        <v/>
      </c>
      <c r="M1793" s="340" t="str">
        <f>IFERROR(VLOOKUP($G1793,今日總結!$A:$AJ,34,0),"")</f>
        <v/>
      </c>
      <c r="N1793" s="240" t="str">
        <f t="shared" si="346"/>
        <v/>
      </c>
      <c r="P1793" s="365" t="str">
        <f>IFERROR(VLOOKUP($G1793,融外自投!$A:$J,7,0),"無")</f>
        <v>無</v>
      </c>
      <c r="Q1793" s="79" t="str">
        <f>IFERROR(VLOOKUP($G1793,融外自投!$A:$J,9,0),"無")</f>
        <v>無</v>
      </c>
      <c r="R1793" s="346" t="str">
        <f>IFERROR(VLOOKUP($G1793,融外自投!$A:$J,8,0),"無")</f>
        <v>無</v>
      </c>
      <c r="S1793" s="81" t="str">
        <f>IFERROR(VLOOKUP($G1793,融外自投!$A:$J,10,0),"無")</f>
        <v>無</v>
      </c>
      <c r="T1793" s="327" t="str">
        <f>IFERROR(VLOOKUP($G1793,'321買'!$A:$E,5,0),"'沒有資料'")</f>
        <v>'沒有資料'</v>
      </c>
      <c r="U1793" s="186">
        <f>IFERROR(VLOOKUP($G1793,基本資料!$A:$J,9,0),"無")</f>
        <v>0</v>
      </c>
      <c r="V1793" s="310">
        <f t="shared" si="341"/>
        <v>0</v>
      </c>
      <c r="W1793" s="94">
        <f>IFERROR(VLOOKUP($G1793,基本資料!$A:$J,10,0),"無")</f>
        <v>-0.71</v>
      </c>
      <c r="X1793" s="36">
        <f>RTD("money.excel",,"6169","Price")</f>
        <v>19.25</v>
      </c>
      <c r="Y1793" s="66"/>
      <c r="Z1793" s="15">
        <f t="shared" si="342"/>
        <v>19.25</v>
      </c>
      <c r="AA1793" s="3" t="e">
        <f t="shared" si="343"/>
        <v>#DIV/0!</v>
      </c>
      <c r="AB1793" s="344">
        <f>IFERROR(VLOOKUP($G1793,基本資料!$A:$M,11,0),"無")</f>
        <v>-38.36</v>
      </c>
      <c r="AC1793" s="397">
        <f>IFERROR(VLOOKUP($G1793,基本資料!$A:$M,12,0),"無")</f>
        <v>7.43</v>
      </c>
      <c r="AD1793" s="16" t="s">
        <v>75</v>
      </c>
      <c r="AG1793" s="33">
        <f t="shared" si="344"/>
        <v>0</v>
      </c>
      <c r="AH1793" s="117" t="s">
        <v>2319</v>
      </c>
      <c r="AI1793" s="63">
        <f t="shared" si="345"/>
        <v>5.5793991416309009E-4</v>
      </c>
      <c r="AJ1793" s="284">
        <f>RTD("money.excel",,$G1793,"PredictVolume")</f>
        <v>13</v>
      </c>
      <c r="AK1793" s="399">
        <f>IFERROR(VLOOKUP($G1793,基本資料!$A:$M,13,0),"無")</f>
        <v>8.0500000000000007</v>
      </c>
    </row>
    <row r="1794" spans="1:37">
      <c r="A1794" s="347">
        <f>IFERROR(VLOOKUP($G1794,基本資料!$A:$J,3,0),"無")</f>
        <v>17.54</v>
      </c>
      <c r="B1794" s="79">
        <f>IFERROR(VLOOKUP($G1794,基本資料!$A:$J,4,0),"無")</f>
        <v>28</v>
      </c>
      <c r="C1794" s="79">
        <f>IFERROR(VLOOKUP($G1794,基本資料!$A:$J,5,0),"無")</f>
        <v>52</v>
      </c>
      <c r="D1794" s="79">
        <f>IFERROR(VLOOKUP($G1794,基本資料!$A:$J,6,0),"無")</f>
        <v>-16</v>
      </c>
      <c r="E1794" s="79">
        <f>IFERROR(VLOOKUP($G1794,基本資料!$A:$J,7,0),"無")</f>
        <v>6</v>
      </c>
      <c r="F1794" s="6">
        <f>IFERROR(VLOOKUP($G1794,基本資料!$A:$J,8,0),"無")</f>
        <v>15.25</v>
      </c>
      <c r="G1794" s="79">
        <v>6180</v>
      </c>
      <c r="H1794" s="8" t="s">
        <v>1025</v>
      </c>
      <c r="I1794" s="16" t="s">
        <v>76</v>
      </c>
      <c r="J1794" s="8" t="str">
        <f>IFERROR(VLOOKUP($G1794,今日總結!$A:$AJ,35,0),"")</f>
        <v>券</v>
      </c>
      <c r="K1794" s="5">
        <f>IFERROR(VLOOKUP($G1794,今日總結!$A:$AJ,36,0),"")</f>
        <v>0</v>
      </c>
      <c r="L1794" s="156">
        <f>IFERROR(VLOOKUP($G1794,今日總結!$A:$AJ,33,0),"")</f>
        <v>1</v>
      </c>
      <c r="M1794" s="340">
        <f>IFERROR(VLOOKUP($G1794,今日總結!$A:$AJ,34,0),"")</f>
        <v>0</v>
      </c>
      <c r="N1794" s="240">
        <f t="shared" si="346"/>
        <v>1</v>
      </c>
      <c r="P1794" s="365">
        <f>IFERROR(VLOOKUP($G1794,融外自投!$A:$J,7,0),"無")</f>
        <v>723</v>
      </c>
      <c r="Q1794" s="79">
        <f>IFERROR(VLOOKUP($G1794,融外自投!$A:$J,9,0),"無")</f>
        <v>1110</v>
      </c>
      <c r="R1794" s="346">
        <f>IFERROR(VLOOKUP($G1794,融外自投!$A:$J,8,0),"無")</f>
        <v>214</v>
      </c>
      <c r="S1794" s="81">
        <f>IFERROR(VLOOKUP($G1794,融外自投!$A:$J,10,0),"無")</f>
        <v>458</v>
      </c>
      <c r="T1794" s="327">
        <f>IFERROR(VLOOKUP($G1794,'321買'!$A:$E,5,0),"'沒有資料'")</f>
        <v>164</v>
      </c>
      <c r="U1794" s="186">
        <f>IFERROR(VLOOKUP($G1794,基本資料!$A:$J,9,0),"無")</f>
        <v>5</v>
      </c>
      <c r="V1794" s="310">
        <f t="shared" si="341"/>
        <v>7.5301204819277101E-2</v>
      </c>
      <c r="W1794" s="94">
        <f>IFERROR(VLOOKUP($G1794,基本資料!$A:$J,10,0),"無")</f>
        <v>6.3</v>
      </c>
      <c r="X1794" s="36">
        <f>RTD("money.excel",,"6180","Price")</f>
        <v>66.400000000000006</v>
      </c>
      <c r="Y1794" s="66"/>
      <c r="Z1794" s="15">
        <f t="shared" si="342"/>
        <v>66.400000000000006</v>
      </c>
      <c r="AA1794" s="3" t="e">
        <f t="shared" si="343"/>
        <v>#DIV/0!</v>
      </c>
      <c r="AB1794" s="344">
        <f>IFERROR(VLOOKUP($G1794,基本資料!$A:$M,11,0),"無")</f>
        <v>-9.6199999999999992</v>
      </c>
      <c r="AC1794" s="397">
        <f>IFERROR(VLOOKUP($G1794,基本資料!$A:$M,12,0),"無")</f>
        <v>59.89</v>
      </c>
      <c r="AD1794" s="16" t="s">
        <v>76</v>
      </c>
      <c r="AG1794" s="33">
        <f t="shared" si="344"/>
        <v>0</v>
      </c>
      <c r="AH1794" s="117" t="s">
        <v>3069</v>
      </c>
      <c r="AI1794" s="63">
        <f t="shared" si="345"/>
        <v>2.5313568985176737E-3</v>
      </c>
      <c r="AJ1794" s="284">
        <f>RTD("money.excel",,$G1794,"PredictVolume")</f>
        <v>444</v>
      </c>
      <c r="AK1794" s="399">
        <f>IFERROR(VLOOKUP($G1794,基本資料!$A:$M,13,0),"無")</f>
        <v>15.21</v>
      </c>
    </row>
    <row r="1795" spans="1:37">
      <c r="A1795" s="347">
        <f>IFERROR(VLOOKUP($G1795,基本資料!$A:$J,3,0),"無")</f>
        <v>2.4500000000000002</v>
      </c>
      <c r="B1795" s="79">
        <f>IFERROR(VLOOKUP($G1795,基本資料!$A:$J,4,0),"無")</f>
        <v>4</v>
      </c>
      <c r="C1795" s="79">
        <f>IFERROR(VLOOKUP($G1795,基本資料!$A:$J,5,0),"無")</f>
        <v>1</v>
      </c>
      <c r="D1795" s="79">
        <f>IFERROR(VLOOKUP($G1795,基本資料!$A:$J,6,0),"無")</f>
        <v>7</v>
      </c>
      <c r="E1795" s="79">
        <f>IFERROR(VLOOKUP($G1795,基本資料!$A:$J,7,0),"無")</f>
        <v>0</v>
      </c>
      <c r="F1795" s="6">
        <f>IFERROR(VLOOKUP($G1795,基本資料!$A:$J,8,0),"無")</f>
        <v>35.22</v>
      </c>
      <c r="G1795" s="79">
        <v>6294</v>
      </c>
      <c r="H1795" s="8" t="s">
        <v>1025</v>
      </c>
      <c r="I1795" s="16" t="s">
        <v>83</v>
      </c>
      <c r="J1795" s="8" t="str">
        <f>IFERROR(VLOOKUP($G1795,今日總結!$A:$AJ,35,0),"")</f>
        <v/>
      </c>
      <c r="K1795" s="5" t="str">
        <f>IFERROR(VLOOKUP($G1795,今日總結!$A:$AJ,36,0),"")</f>
        <v/>
      </c>
      <c r="L1795" s="156" t="str">
        <f>IFERROR(VLOOKUP($G1795,今日總結!$A:$AJ,33,0),"")</f>
        <v/>
      </c>
      <c r="M1795" s="340" t="str">
        <f>IFERROR(VLOOKUP($G1795,今日總結!$A:$AJ,34,0),"")</f>
        <v/>
      </c>
      <c r="N1795" s="240" t="str">
        <f t="shared" si="346"/>
        <v/>
      </c>
      <c r="P1795" s="365">
        <f>IFERROR(VLOOKUP($G1795,融外自投!$A:$J,7,0),"無")</f>
        <v>1348</v>
      </c>
      <c r="Q1795" s="79">
        <f>IFERROR(VLOOKUP($G1795,融外自投!$A:$J,9,0),"無")</f>
        <v>108</v>
      </c>
      <c r="R1795" s="346">
        <f>IFERROR(VLOOKUP($G1795,融外自投!$A:$J,8,0),"無")</f>
        <v>545</v>
      </c>
      <c r="S1795" s="81" t="str">
        <f>IFERROR(VLOOKUP($G1795,融外自投!$A:$J,10,0),"無")</f>
        <v>無</v>
      </c>
      <c r="T1795" s="327" t="str">
        <f>IFERROR(VLOOKUP($G1795,'321買'!$A:$E,5,0),"'沒有資料'")</f>
        <v>'沒有資料'</v>
      </c>
      <c r="U1795" s="186">
        <f>IFERROR(VLOOKUP($G1795,基本資料!$A:$J,9,0),"無")</f>
        <v>9.5</v>
      </c>
      <c r="V1795" s="310">
        <f t="shared" si="341"/>
        <v>7.8512396694214878E-2</v>
      </c>
      <c r="W1795" s="94">
        <f>IFERROR(VLOOKUP($G1795,基本資料!$A:$J,10,0),"無")</f>
        <v>11.21</v>
      </c>
      <c r="X1795" s="36">
        <f>RTD("money.excel",,"6294","Price")</f>
        <v>121</v>
      </c>
      <c r="Y1795" s="66"/>
      <c r="Z1795" s="15">
        <f t="shared" si="342"/>
        <v>121</v>
      </c>
      <c r="AA1795" s="3" t="e">
        <f t="shared" si="343"/>
        <v>#DIV/0!</v>
      </c>
      <c r="AB1795" s="344">
        <f>IFERROR(VLOOKUP($G1795,基本資料!$A:$M,11,0),"無")</f>
        <v>-23.58</v>
      </c>
      <c r="AC1795" s="397">
        <f>IFERROR(VLOOKUP($G1795,基本資料!$A:$M,12,0),"無")</f>
        <v>20.76</v>
      </c>
      <c r="AD1795" s="16" t="s">
        <v>83</v>
      </c>
      <c r="AG1795" s="33">
        <f t="shared" si="344"/>
        <v>0</v>
      </c>
      <c r="AH1795" s="117" t="s">
        <v>2696</v>
      </c>
      <c r="AI1795" s="63">
        <f t="shared" si="345"/>
        <v>5.3061224489795919E-4</v>
      </c>
      <c r="AJ1795" s="284">
        <f>RTD("money.excel",,$G1795,"PredictVolume")</f>
        <v>13</v>
      </c>
      <c r="AK1795" s="399">
        <f>IFERROR(VLOOKUP($G1795,基本資料!$A:$M,13,0),"無")</f>
        <v>0.94</v>
      </c>
    </row>
    <row r="1796" spans="1:37">
      <c r="A1796" s="347">
        <f>IFERROR(VLOOKUP($G1796,基本資料!$A:$J,3,0),"無")</f>
        <v>1.71</v>
      </c>
      <c r="B1796" s="79">
        <f>IFERROR(VLOOKUP($G1796,基本資料!$A:$J,4,0),"無")</f>
        <v>139</v>
      </c>
      <c r="C1796" s="79">
        <f>IFERROR(VLOOKUP($G1796,基本資料!$A:$J,5,0),"無")</f>
        <v>156</v>
      </c>
      <c r="D1796" s="79">
        <f>IFERROR(VLOOKUP($G1796,基本資料!$A:$J,6,0),"無")</f>
        <v>28</v>
      </c>
      <c r="E1796" s="79">
        <f>IFERROR(VLOOKUP($G1796,基本資料!$A:$J,7,0),"無")</f>
        <v>58</v>
      </c>
      <c r="F1796" s="6">
        <f>IFERROR(VLOOKUP($G1796,基本資料!$A:$J,8,0),"無")</f>
        <v>11.07</v>
      </c>
      <c r="G1796" s="79">
        <v>6482</v>
      </c>
      <c r="H1796" s="8" t="s">
        <v>1025</v>
      </c>
      <c r="I1796" s="16" t="s">
        <v>1029</v>
      </c>
      <c r="J1796" s="8" t="str">
        <f>IFERROR(VLOOKUP($G1796,今日總結!$A:$AJ,35,0),"")</f>
        <v/>
      </c>
      <c r="K1796" s="5" t="str">
        <f>IFERROR(VLOOKUP($G1796,今日總結!$A:$AJ,36,0),"")</f>
        <v/>
      </c>
      <c r="L1796" s="156" t="str">
        <f>IFERROR(VLOOKUP($G1796,今日總結!$A:$AJ,33,0),"")</f>
        <v/>
      </c>
      <c r="M1796" s="340" t="str">
        <f>IFERROR(VLOOKUP($G1796,今日總結!$A:$AJ,34,0),"")</f>
        <v/>
      </c>
      <c r="N1796" s="240" t="str">
        <f t="shared" si="346"/>
        <v/>
      </c>
      <c r="P1796" s="365" t="str">
        <f>IFERROR(VLOOKUP($G1796,融外自投!$A:$J,7,0),"無")</f>
        <v>無</v>
      </c>
      <c r="Q1796" s="79" t="str">
        <f>IFERROR(VLOOKUP($G1796,融外自投!$A:$J,9,0),"無")</f>
        <v>無</v>
      </c>
      <c r="R1796" s="346" t="str">
        <f>IFERROR(VLOOKUP($G1796,融外自投!$A:$J,8,0),"無")</f>
        <v>無</v>
      </c>
      <c r="S1796" s="81" t="str">
        <f>IFERROR(VLOOKUP($G1796,融外自投!$A:$J,10,0),"無")</f>
        <v>無</v>
      </c>
      <c r="T1796" s="327" t="str">
        <f>IFERROR(VLOOKUP($G1796,'321買'!$A:$E,5,0),"'沒有資料'")</f>
        <v>'沒有資料'</v>
      </c>
      <c r="U1796" s="186">
        <f>IFERROR(VLOOKUP($G1796,基本資料!$A:$J,9,0),"無")</f>
        <v>1</v>
      </c>
      <c r="V1796" s="310">
        <f t="shared" si="341"/>
        <v>2.3557126030624261E-2</v>
      </c>
      <c r="W1796" s="94">
        <f>IFERROR(VLOOKUP($G1796,基本資料!$A:$J,10,0),"無")</f>
        <v>1.34</v>
      </c>
      <c r="X1796" s="36">
        <f>RTD("money.excel",,"6482","Price")</f>
        <v>42.45</v>
      </c>
      <c r="Y1796" s="66"/>
      <c r="Z1796" s="15">
        <f t="shared" si="342"/>
        <v>42.45</v>
      </c>
      <c r="AA1796" s="3" t="e">
        <f t="shared" si="343"/>
        <v>#DIV/0!</v>
      </c>
      <c r="AB1796" s="344">
        <f>IFERROR(VLOOKUP($G1796,基本資料!$A:$M,11,0),"無")</f>
        <v>-22.25</v>
      </c>
      <c r="AC1796" s="397">
        <f>IFERROR(VLOOKUP($G1796,基本資料!$A:$M,12,0),"無")</f>
        <v>45.47</v>
      </c>
      <c r="AD1796" s="16" t="s">
        <v>1029</v>
      </c>
      <c r="AG1796" s="33">
        <f t="shared" si="344"/>
        <v>0</v>
      </c>
      <c r="AH1796" s="43" t="s">
        <v>2697</v>
      </c>
      <c r="AI1796" s="63">
        <f t="shared" si="345"/>
        <v>3.5087719298245611E-4</v>
      </c>
      <c r="AJ1796" s="284">
        <f>RTD("money.excel",,$G1796,"PredictVolume")</f>
        <v>6</v>
      </c>
      <c r="AK1796" s="399">
        <f>IFERROR(VLOOKUP($G1796,基本資料!$A:$M,13,0),"無")</f>
        <v>2.16</v>
      </c>
    </row>
    <row r="1797" spans="1:37">
      <c r="A1797" s="347">
        <f>IFERROR(VLOOKUP($G1797,基本資料!$A:$J,3,0),"無")</f>
        <v>4.2</v>
      </c>
      <c r="B1797" s="79">
        <f>IFERROR(VLOOKUP($G1797,基本資料!$A:$J,4,0),"無")</f>
        <v>-355</v>
      </c>
      <c r="C1797" s="79">
        <f>IFERROR(VLOOKUP($G1797,基本資料!$A:$J,5,0),"無")</f>
        <v>-255</v>
      </c>
      <c r="D1797" s="79">
        <f>IFERROR(VLOOKUP($G1797,基本資料!$A:$J,6,0),"無")</f>
        <v>-5</v>
      </c>
      <c r="E1797" s="79">
        <f>IFERROR(VLOOKUP($G1797,基本資料!$A:$J,7,0),"無")</f>
        <v>22</v>
      </c>
      <c r="F1797" s="6">
        <f>IFERROR(VLOOKUP($G1797,基本資料!$A:$J,8,0),"無")</f>
        <v>-13</v>
      </c>
      <c r="G1797" s="79">
        <v>6542</v>
      </c>
      <c r="H1797" s="8" t="s">
        <v>1025</v>
      </c>
      <c r="I1797" s="16" t="s">
        <v>4694</v>
      </c>
      <c r="J1797" s="8" t="str">
        <f>IFERROR(VLOOKUP($G1797,今日總結!$A:$AJ,35,0),"")</f>
        <v/>
      </c>
      <c r="K1797" s="5" t="str">
        <f>IFERROR(VLOOKUP($G1797,今日總結!$A:$AJ,36,0),"")</f>
        <v/>
      </c>
      <c r="L1797" s="156" t="str">
        <f>IFERROR(VLOOKUP($G1797,今日總結!$A:$AJ,33,0),"")</f>
        <v/>
      </c>
      <c r="M1797" s="340" t="str">
        <f>IFERROR(VLOOKUP($G1797,今日總結!$A:$AJ,34,0),"")</f>
        <v/>
      </c>
      <c r="N1797" s="240" t="str">
        <f t="shared" si="346"/>
        <v/>
      </c>
      <c r="P1797" s="365">
        <f>IFERROR(VLOOKUP($G1797,融外自投!$A:$J,7,0),"無")</f>
        <v>1201</v>
      </c>
      <c r="Q1797" s="79" t="str">
        <f>IFERROR(VLOOKUP($G1797,融外自投!$A:$J,9,0),"無")</f>
        <v>無</v>
      </c>
      <c r="R1797" s="346">
        <f>IFERROR(VLOOKUP($G1797,融外自投!$A:$J,8,0),"無")</f>
        <v>263</v>
      </c>
      <c r="S1797" s="81" t="str">
        <f>IFERROR(VLOOKUP($G1797,融外自投!$A:$J,10,0),"無")</f>
        <v>無</v>
      </c>
      <c r="T1797" s="327" t="str">
        <f>IFERROR(VLOOKUP($G1797,'321買'!$A:$E,5,0),"'沒有資料'")</f>
        <v>'沒有資料'</v>
      </c>
      <c r="U1797" s="186">
        <f>IFERROR(VLOOKUP($G1797,基本資料!$A:$J,9,0),"無")</f>
        <v>0</v>
      </c>
      <c r="V1797" s="310">
        <f t="shared" si="341"/>
        <v>0</v>
      </c>
      <c r="W1797" s="94">
        <f>IFERROR(VLOOKUP($G1797,基本資料!$A:$J,10,0),"無")</f>
        <v>-3.89</v>
      </c>
      <c r="X1797" s="36">
        <f>RTD("money.excel",,"6542","Price")</f>
        <v>43</v>
      </c>
      <c r="Y1797" s="66"/>
      <c r="Z1797" s="15">
        <f t="shared" si="342"/>
        <v>43</v>
      </c>
      <c r="AA1797" s="3" t="e">
        <f t="shared" si="343"/>
        <v>#DIV/0!</v>
      </c>
      <c r="AB1797" s="344">
        <f>IFERROR(VLOOKUP($G1797,基本資料!$A:$M,11,0),"無")</f>
        <v>-46.66</v>
      </c>
      <c r="AC1797" s="397">
        <f>IFERROR(VLOOKUP($G1797,基本資料!$A:$M,12,0),"無")</f>
        <v>21.14</v>
      </c>
      <c r="AD1797" s="16" t="s">
        <v>4694</v>
      </c>
      <c r="AG1797" s="33">
        <f t="shared" si="344"/>
        <v>0</v>
      </c>
      <c r="AH1797" s="117" t="s">
        <v>2319</v>
      </c>
      <c r="AI1797" s="63">
        <f t="shared" si="345"/>
        <v>7.1428571428571434E-5</v>
      </c>
      <c r="AJ1797" s="284">
        <f>RTD("money.excel",,$G1797,"PredictVolume")</f>
        <v>3</v>
      </c>
      <c r="AK1797" s="399">
        <f>IFERROR(VLOOKUP($G1797,基本資料!$A:$M,13,0),"無")</f>
        <v>3.35</v>
      </c>
    </row>
    <row r="1798" spans="1:37">
      <c r="A1798" s="347">
        <f>IFERROR(VLOOKUP($G1798,基本資料!$A:$J,3,0),"無")</f>
        <v>3</v>
      </c>
      <c r="B1798" s="79">
        <f>IFERROR(VLOOKUP($G1798,基本資料!$A:$J,4,0),"無")</f>
        <v>-198</v>
      </c>
      <c r="C1798" s="79">
        <f>IFERROR(VLOOKUP($G1798,基本資料!$A:$J,5,0),"無")</f>
        <v>-165</v>
      </c>
      <c r="D1798" s="79">
        <f>IFERROR(VLOOKUP($G1798,基本資料!$A:$J,6,0),"無")</f>
        <v>-47</v>
      </c>
      <c r="E1798" s="79">
        <f>IFERROR(VLOOKUP($G1798,基本資料!$A:$J,7,0),"無")</f>
        <v>610</v>
      </c>
      <c r="F1798" s="6">
        <f>IFERROR(VLOOKUP($G1798,基本資料!$A:$J,8,0),"無")</f>
        <v>-36.14</v>
      </c>
      <c r="G1798" s="79">
        <v>6596</v>
      </c>
      <c r="H1798" s="8" t="s">
        <v>1025</v>
      </c>
      <c r="I1798" s="16" t="s">
        <v>1030</v>
      </c>
      <c r="J1798" s="8" t="str">
        <f>IFERROR(VLOOKUP($G1798,今日總結!$A:$AJ,35,0),"")</f>
        <v/>
      </c>
      <c r="K1798" s="5" t="str">
        <f>IFERROR(VLOOKUP($G1798,今日總結!$A:$AJ,36,0),"")</f>
        <v/>
      </c>
      <c r="L1798" s="156" t="str">
        <f>IFERROR(VLOOKUP($G1798,今日總結!$A:$AJ,33,0),"")</f>
        <v/>
      </c>
      <c r="M1798" s="340" t="str">
        <f>IFERROR(VLOOKUP($G1798,今日總結!$A:$AJ,34,0),"")</f>
        <v/>
      </c>
      <c r="N1798" s="240" t="str">
        <f t="shared" si="346"/>
        <v/>
      </c>
      <c r="P1798" s="365">
        <f>IFERROR(VLOOKUP($G1798,融外自投!$A:$J,7,0),"無")</f>
        <v>1296</v>
      </c>
      <c r="Q1798" s="79" t="str">
        <f>IFERROR(VLOOKUP($G1798,融外自投!$A:$J,9,0),"無")</f>
        <v>無</v>
      </c>
      <c r="R1798" s="346">
        <f>IFERROR(VLOOKUP($G1798,融外自投!$A:$J,8,0),"無")</f>
        <v>1433</v>
      </c>
      <c r="S1798" s="81" t="str">
        <f>IFERROR(VLOOKUP($G1798,融外自投!$A:$J,10,0),"無")</f>
        <v>無</v>
      </c>
      <c r="T1798" s="327">
        <f>IFERROR(VLOOKUP($G1798,'321買'!$A:$E,5,0),"'沒有資料'")</f>
        <v>1367</v>
      </c>
      <c r="U1798" s="186">
        <f>IFERROR(VLOOKUP($G1798,基本資料!$A:$J,9,0),"無")</f>
        <v>0</v>
      </c>
      <c r="V1798" s="310">
        <f t="shared" si="341"/>
        <v>0</v>
      </c>
      <c r="W1798" s="94">
        <f>IFERROR(VLOOKUP($G1798,基本資料!$A:$J,10,0),"無")</f>
        <v>-2.86</v>
      </c>
      <c r="X1798" s="36">
        <f>RTD("money.excel",,"6596","Price")</f>
        <v>44.8</v>
      </c>
      <c r="Y1798" s="66"/>
      <c r="Z1798" s="15">
        <f t="shared" si="342"/>
        <v>44.8</v>
      </c>
      <c r="AA1798" s="3" t="e">
        <f t="shared" si="343"/>
        <v>#DIV/0!</v>
      </c>
      <c r="AB1798" s="344">
        <f>IFERROR(VLOOKUP($G1798,基本資料!$A:$M,11,0),"無")</f>
        <v>-13.6</v>
      </c>
      <c r="AC1798" s="397">
        <f>IFERROR(VLOOKUP($G1798,基本資料!$A:$M,12,0),"無")</f>
        <v>17.02</v>
      </c>
      <c r="AD1798" s="16" t="s">
        <v>1030</v>
      </c>
      <c r="AG1798" s="33">
        <f t="shared" si="344"/>
        <v>0</v>
      </c>
      <c r="AH1798" s="43" t="s">
        <v>1984</v>
      </c>
      <c r="AI1798" s="63">
        <f t="shared" si="345"/>
        <v>1.6333333333333334E-3</v>
      </c>
      <c r="AJ1798" s="284">
        <f>RTD("money.excel",,$G1798,"PredictVolume")</f>
        <v>49</v>
      </c>
      <c r="AK1798" s="399">
        <f>IFERROR(VLOOKUP($G1798,基本資料!$A:$M,13,0),"無")</f>
        <v>1.86</v>
      </c>
    </row>
    <row r="1799" spans="1:37">
      <c r="A1799" s="347">
        <f>IFERROR(VLOOKUP($G1799,基本資料!$A:$J,3,0),"無")</f>
        <v>5.29</v>
      </c>
      <c r="B1799" s="79">
        <f>IFERROR(VLOOKUP($G1799,基本資料!$A:$J,4,0),"無")</f>
        <v>-31</v>
      </c>
      <c r="C1799" s="79">
        <f>IFERROR(VLOOKUP($G1799,基本資料!$A:$J,5,0),"無")</f>
        <v>-37</v>
      </c>
      <c r="D1799" s="79">
        <f>IFERROR(VLOOKUP($G1799,基本資料!$A:$J,6,0),"無")</f>
        <v>-29</v>
      </c>
      <c r="E1799" s="79">
        <f>IFERROR(VLOOKUP($G1799,基本資料!$A:$J,7,0),"無")</f>
        <v>2</v>
      </c>
      <c r="F1799" s="6">
        <f>IFERROR(VLOOKUP($G1799,基本資料!$A:$J,8,0),"無")</f>
        <v>45.92</v>
      </c>
      <c r="G1799" s="79">
        <v>8446</v>
      </c>
      <c r="H1799" s="8" t="s">
        <v>1025</v>
      </c>
      <c r="I1799" s="16" t="s">
        <v>152</v>
      </c>
      <c r="J1799" s="8" t="str">
        <f>IFERROR(VLOOKUP($G1799,今日總結!$A:$AJ,35,0),"")</f>
        <v/>
      </c>
      <c r="K1799" s="5" t="str">
        <f>IFERROR(VLOOKUP($G1799,今日總結!$A:$AJ,36,0),"")</f>
        <v/>
      </c>
      <c r="L1799" s="156" t="str">
        <f>IFERROR(VLOOKUP($G1799,今日總結!$A:$AJ,33,0),"")</f>
        <v/>
      </c>
      <c r="M1799" s="340" t="str">
        <f>IFERROR(VLOOKUP($G1799,今日總結!$A:$AJ,34,0),"")</f>
        <v/>
      </c>
      <c r="N1799" s="240" t="str">
        <f t="shared" si="346"/>
        <v/>
      </c>
      <c r="P1799" s="365">
        <f>IFERROR(VLOOKUP($G1799,融外自投!$A:$J,7,0),"無")</f>
        <v>1030</v>
      </c>
      <c r="Q1799" s="79">
        <f>IFERROR(VLOOKUP($G1799,融外自投!$A:$J,9,0),"無")</f>
        <v>1110</v>
      </c>
      <c r="R1799" s="346">
        <f>IFERROR(VLOOKUP($G1799,融外自投!$A:$J,8,0),"無")</f>
        <v>918</v>
      </c>
      <c r="S1799" s="81" t="str">
        <f>IFERROR(VLOOKUP($G1799,融外自投!$A:$J,10,0),"無")</f>
        <v>無</v>
      </c>
      <c r="T1799" s="327">
        <f>IFERROR(VLOOKUP($G1799,'321買'!$A:$E,5,0),"'沒有資料'")</f>
        <v>827</v>
      </c>
      <c r="U1799" s="186">
        <f>IFERROR(VLOOKUP($G1799,基本資料!$A:$J,9,0),"無")</f>
        <v>4.5</v>
      </c>
      <c r="V1799" s="310">
        <f t="shared" si="341"/>
        <v>6.1141304347826095E-2</v>
      </c>
      <c r="W1799" s="94">
        <f>IFERROR(VLOOKUP($G1799,基本資料!$A:$J,10,0),"無")</f>
        <v>6.56</v>
      </c>
      <c r="X1799" s="36">
        <f>RTD("money.excel",,"8446","Price")</f>
        <v>73.599999999999994</v>
      </c>
      <c r="Y1799" s="66"/>
      <c r="Z1799" s="15">
        <f t="shared" si="342"/>
        <v>73.599999999999994</v>
      </c>
      <c r="AA1799" s="3" t="e">
        <f t="shared" si="343"/>
        <v>#DIV/0!</v>
      </c>
      <c r="AB1799" s="344">
        <f>IFERROR(VLOOKUP($G1799,基本資料!$A:$M,11,0),"無")</f>
        <v>-18.78</v>
      </c>
      <c r="AC1799" s="397">
        <f>IFERROR(VLOOKUP($G1799,基本資料!$A:$M,12,0),"無")</f>
        <v>9.44</v>
      </c>
      <c r="AD1799" s="16" t="s">
        <v>152</v>
      </c>
      <c r="AG1799" s="33">
        <f t="shared" si="344"/>
        <v>0</v>
      </c>
      <c r="AH1799" s="117" t="s">
        <v>1417</v>
      </c>
      <c r="AI1799" s="63">
        <f t="shared" si="345"/>
        <v>5.3686200378071838E-3</v>
      </c>
      <c r="AJ1799" s="284">
        <f>RTD("money.excel",,$G1799,"PredictVolume")</f>
        <v>284</v>
      </c>
      <c r="AK1799" s="399">
        <f>IFERROR(VLOOKUP($G1799,基本資料!$A:$M,13,0),"無")</f>
        <v>5.62</v>
      </c>
    </row>
    <row r="1800" spans="1:37">
      <c r="A1800" s="347">
        <f>IFERROR(VLOOKUP($G1800,基本資料!$A:$J,3,0),"無")</f>
        <v>5.13</v>
      </c>
      <c r="B1800" s="79">
        <f>IFERROR(VLOOKUP($G1800,基本資料!$A:$J,4,0),"無")</f>
        <v>-61</v>
      </c>
      <c r="C1800" s="79">
        <f>IFERROR(VLOOKUP($G1800,基本資料!$A:$J,5,0),"無")</f>
        <v>-64</v>
      </c>
      <c r="D1800" s="79">
        <f>IFERROR(VLOOKUP($G1800,基本資料!$A:$J,6,0),"無")</f>
        <v>-24</v>
      </c>
      <c r="E1800" s="79">
        <f>IFERROR(VLOOKUP($G1800,基本資料!$A:$J,7,0),"無")</f>
        <v>-17</v>
      </c>
      <c r="F1800" s="6">
        <f>IFERROR(VLOOKUP($G1800,基本資料!$A:$J,8,0),"無")</f>
        <v>-55.05</v>
      </c>
      <c r="G1800" s="79">
        <v>8450</v>
      </c>
      <c r="H1800" s="8" t="s">
        <v>1025</v>
      </c>
      <c r="I1800" s="16" t="s">
        <v>85</v>
      </c>
      <c r="J1800" s="8" t="str">
        <f>IFERROR(VLOOKUP($G1800,今日總結!$A:$AJ,35,0),"")</f>
        <v/>
      </c>
      <c r="K1800" s="5" t="str">
        <f>IFERROR(VLOOKUP($G1800,今日總結!$A:$AJ,36,0),"")</f>
        <v/>
      </c>
      <c r="L1800" s="156" t="str">
        <f>IFERROR(VLOOKUP($G1800,今日總結!$A:$AJ,33,0),"")</f>
        <v/>
      </c>
      <c r="M1800" s="340" t="str">
        <f>IFERROR(VLOOKUP($G1800,今日總結!$A:$AJ,34,0),"")</f>
        <v/>
      </c>
      <c r="N1800" s="240" t="str">
        <f t="shared" si="346"/>
        <v/>
      </c>
      <c r="P1800" s="365">
        <f>IFERROR(VLOOKUP($G1800,融外自投!$A:$J,7,0),"無")</f>
        <v>368</v>
      </c>
      <c r="Q1800" s="79">
        <f>IFERROR(VLOOKUP($G1800,融外自投!$A:$J,9,0),"無")</f>
        <v>212</v>
      </c>
      <c r="R1800" s="346">
        <f>IFERROR(VLOOKUP($G1800,融外自投!$A:$J,8,0),"無")</f>
        <v>1141</v>
      </c>
      <c r="S1800" s="81" t="str">
        <f>IFERROR(VLOOKUP($G1800,融外自投!$A:$J,10,0),"無")</f>
        <v>無</v>
      </c>
      <c r="T1800" s="327">
        <f>IFERROR(VLOOKUP($G1800,'321買'!$A:$E,5,0),"'沒有資料'")</f>
        <v>802</v>
      </c>
      <c r="U1800" s="186">
        <f>IFERROR(VLOOKUP($G1800,基本資料!$A:$J,9,0),"無")</f>
        <v>0</v>
      </c>
      <c r="V1800" s="310">
        <f t="shared" si="341"/>
        <v>0</v>
      </c>
      <c r="W1800" s="94">
        <f>IFERROR(VLOOKUP($G1800,基本資料!$A:$J,10,0),"無")</f>
        <v>-4.5999999999999996</v>
      </c>
      <c r="X1800" s="36">
        <f>RTD("money.excel",,"8450","Price")</f>
        <v>27.4</v>
      </c>
      <c r="Y1800" s="66"/>
      <c r="Z1800" s="15">
        <f t="shared" si="342"/>
        <v>27.4</v>
      </c>
      <c r="AA1800" s="3" t="e">
        <f t="shared" si="343"/>
        <v>#DIV/0!</v>
      </c>
      <c r="AB1800" s="344">
        <f>IFERROR(VLOOKUP($G1800,基本資料!$A:$M,11,0),"無")</f>
        <v>-63.03</v>
      </c>
      <c r="AC1800" s="397">
        <f>IFERROR(VLOOKUP($G1800,基本資料!$A:$M,12,0),"無")</f>
        <v>8.06</v>
      </c>
      <c r="AD1800" s="16" t="s">
        <v>85</v>
      </c>
      <c r="AG1800" s="33">
        <f t="shared" si="344"/>
        <v>0</v>
      </c>
      <c r="AH1800" s="117" t="s">
        <v>2698</v>
      </c>
      <c r="AI1800" s="63">
        <f t="shared" si="345"/>
        <v>1.4230019493177387E-3</v>
      </c>
      <c r="AJ1800" s="284">
        <f>RTD("money.excel",,$G1800,"PredictVolume")</f>
        <v>73</v>
      </c>
      <c r="AK1800" s="399">
        <f>IFERROR(VLOOKUP($G1800,基本資料!$A:$M,13,0),"無")</f>
        <v>44.02</v>
      </c>
    </row>
    <row r="1801" spans="1:37">
      <c r="A1801" s="347">
        <f>IFERROR(VLOOKUP($G1801,基本資料!$A:$J,3,0),"無")</f>
        <v>3.77</v>
      </c>
      <c r="B1801" s="79">
        <f>IFERROR(VLOOKUP($G1801,基本資料!$A:$J,4,0),"無")</f>
        <v>-60</v>
      </c>
      <c r="C1801" s="79">
        <f>IFERROR(VLOOKUP($G1801,基本資料!$A:$J,5,0),"無")</f>
        <v>-63</v>
      </c>
      <c r="D1801" s="79">
        <f>IFERROR(VLOOKUP($G1801,基本資料!$A:$J,6,0),"無")</f>
        <v>0</v>
      </c>
      <c r="E1801" s="79">
        <f>IFERROR(VLOOKUP($G1801,基本資料!$A:$J,7,0),"無")</f>
        <v>-8</v>
      </c>
      <c r="F1801" s="6">
        <f>IFERROR(VLOOKUP($G1801,基本資料!$A:$J,8,0),"無")</f>
        <v>4.45</v>
      </c>
      <c r="G1801" s="79">
        <v>8489</v>
      </c>
      <c r="H1801" s="8" t="s">
        <v>1025</v>
      </c>
      <c r="I1801" s="16" t="s">
        <v>1031</v>
      </c>
      <c r="J1801" s="8">
        <f>IFERROR(VLOOKUP($G1801,今日總結!$A:$AJ,35,0),"")</f>
        <v>0</v>
      </c>
      <c r="K1801" s="5" t="str">
        <f>IFERROR(VLOOKUP($G1801,今日總結!$A:$AJ,36,0),"")</f>
        <v>借</v>
      </c>
      <c r="L1801" s="156">
        <f>IFERROR(VLOOKUP($G1801,今日總結!$A:$AJ,33,0),"")</f>
        <v>0</v>
      </c>
      <c r="M1801" s="340">
        <f>IFERROR(VLOOKUP($G1801,今日總結!$A:$AJ,34,0),"")</f>
        <v>1</v>
      </c>
      <c r="N1801" s="240">
        <f t="shared" si="346"/>
        <v>-1</v>
      </c>
      <c r="P1801" s="365">
        <f>IFERROR(VLOOKUP($G1801,融外自投!$A:$J,7,0),"無")</f>
        <v>492</v>
      </c>
      <c r="Q1801" s="79" t="str">
        <f>IFERROR(VLOOKUP($G1801,融外自投!$A:$J,9,0),"無")</f>
        <v>無</v>
      </c>
      <c r="R1801" s="346">
        <f>IFERROR(VLOOKUP($G1801,融外自投!$A:$J,8,0),"無")</f>
        <v>1172</v>
      </c>
      <c r="S1801" s="81" t="str">
        <f>IFERROR(VLOOKUP($G1801,融外自投!$A:$J,10,0),"無")</f>
        <v>無</v>
      </c>
      <c r="T1801" s="327">
        <f>IFERROR(VLOOKUP($G1801,'321買'!$A:$E,5,0),"'沒有資料'")</f>
        <v>1007</v>
      </c>
      <c r="U1801" s="186">
        <f>IFERROR(VLOOKUP($G1801,基本資料!$A:$J,9,0),"無")</f>
        <v>0.2</v>
      </c>
      <c r="V1801" s="310">
        <f t="shared" si="341"/>
        <v>6.4829821717990272E-3</v>
      </c>
      <c r="W1801" s="94">
        <f>IFERROR(VLOOKUP($G1801,基本資料!$A:$J,10,0),"無")</f>
        <v>-0.8</v>
      </c>
      <c r="X1801" s="36">
        <f>RTD("money.excel",,"8489","Price")</f>
        <v>30.85</v>
      </c>
      <c r="Y1801" s="66"/>
      <c r="Z1801" s="15">
        <f t="shared" si="342"/>
        <v>30.85</v>
      </c>
      <c r="AA1801" s="3" t="e">
        <f t="shared" si="343"/>
        <v>#DIV/0!</v>
      </c>
      <c r="AB1801" s="344">
        <f>IFERROR(VLOOKUP($G1801,基本資料!$A:$M,11,0),"無")</f>
        <v>-31</v>
      </c>
      <c r="AC1801" s="397">
        <f>IFERROR(VLOOKUP($G1801,基本資料!$A:$M,12,0),"無")</f>
        <v>23.5</v>
      </c>
      <c r="AD1801" s="16" t="s">
        <v>1031</v>
      </c>
      <c r="AG1801" s="33">
        <f t="shared" si="344"/>
        <v>0</v>
      </c>
      <c r="AH1801" s="43" t="s">
        <v>2699</v>
      </c>
      <c r="AI1801" s="63">
        <f t="shared" si="345"/>
        <v>3.183023872679045E-3</v>
      </c>
      <c r="AJ1801" s="284">
        <f>RTD("money.excel",,$G1801,"PredictVolume")</f>
        <v>120</v>
      </c>
      <c r="AK1801" s="399">
        <f>IFERROR(VLOOKUP($G1801,基本資料!$A:$M,13,0),"無")</f>
        <v>12.97</v>
      </c>
    </row>
    <row r="1802" spans="1:37">
      <c r="A1802" s="347">
        <f>IFERROR(VLOOKUP($G1802,基本資料!$A:$J,3,0),"無")</f>
        <v>3.03</v>
      </c>
      <c r="B1802" s="79">
        <f>IFERROR(VLOOKUP($G1802,基本資料!$A:$J,4,0),"無")</f>
        <v>5</v>
      </c>
      <c r="C1802" s="79">
        <f>IFERROR(VLOOKUP($G1802,基本資料!$A:$J,5,0),"無")</f>
        <v>22</v>
      </c>
      <c r="D1802" s="79">
        <f>IFERROR(VLOOKUP($G1802,基本資料!$A:$J,6,0),"無")</f>
        <v>27</v>
      </c>
      <c r="E1802" s="79">
        <f>IFERROR(VLOOKUP($G1802,基本資料!$A:$J,7,0),"無")</f>
        <v>-17</v>
      </c>
      <c r="F1802" s="6">
        <f>IFERROR(VLOOKUP($G1802,基本資料!$A:$J,8,0),"無")</f>
        <v>7.48</v>
      </c>
      <c r="G1802" s="79">
        <v>8923</v>
      </c>
      <c r="H1802" s="8" t="s">
        <v>1025</v>
      </c>
      <c r="I1802" s="16" t="s">
        <v>1032</v>
      </c>
      <c r="J1802" s="8" t="str">
        <f>IFERROR(VLOOKUP($G1802,今日總結!$A:$AJ,35,0),"")</f>
        <v/>
      </c>
      <c r="K1802" s="5" t="str">
        <f>IFERROR(VLOOKUP($G1802,今日總結!$A:$AJ,36,0),"")</f>
        <v/>
      </c>
      <c r="L1802" s="156" t="str">
        <f>IFERROR(VLOOKUP($G1802,今日總結!$A:$AJ,33,0),"")</f>
        <v/>
      </c>
      <c r="M1802" s="340" t="str">
        <f>IFERROR(VLOOKUP($G1802,今日總結!$A:$AJ,34,0),"")</f>
        <v/>
      </c>
      <c r="N1802" s="240" t="str">
        <f t="shared" si="346"/>
        <v/>
      </c>
      <c r="P1802" s="365">
        <f>IFERROR(VLOOKUP($G1802,融外自投!$A:$J,7,0),"無")</f>
        <v>1116</v>
      </c>
      <c r="Q1802" s="79" t="str">
        <f>IFERROR(VLOOKUP($G1802,融外自投!$A:$J,9,0),"無")</f>
        <v>無</v>
      </c>
      <c r="R1802" s="346">
        <f>IFERROR(VLOOKUP($G1802,融外自投!$A:$J,8,0),"無")</f>
        <v>827</v>
      </c>
      <c r="S1802" s="81" t="str">
        <f>IFERROR(VLOOKUP($G1802,融外自投!$A:$J,10,0),"無")</f>
        <v>無</v>
      </c>
      <c r="T1802" s="327" t="str">
        <f>IFERROR(VLOOKUP($G1802,'321買'!$A:$E,5,0),"'沒有資料'")</f>
        <v>'沒有資料'</v>
      </c>
      <c r="U1802" s="186">
        <f>IFERROR(VLOOKUP($G1802,基本資料!$A:$J,9,0),"無")</f>
        <v>0.9</v>
      </c>
      <c r="V1802" s="310">
        <f t="shared" si="341"/>
        <v>4.195804195804196E-2</v>
      </c>
      <c r="W1802" s="94">
        <f>IFERROR(VLOOKUP($G1802,基本資料!$A:$J,10,0),"無")</f>
        <v>1</v>
      </c>
      <c r="X1802" s="36">
        <f>RTD("money.excel",,"8923","Price")</f>
        <v>21.45</v>
      </c>
      <c r="Y1802" s="66"/>
      <c r="Z1802" s="15">
        <f t="shared" si="342"/>
        <v>21.45</v>
      </c>
      <c r="AA1802" s="3" t="e">
        <f t="shared" si="343"/>
        <v>#DIV/0!</v>
      </c>
      <c r="AB1802" s="344">
        <f>IFERROR(VLOOKUP($G1802,基本資料!$A:$M,11,0),"無")</f>
        <v>-10.82</v>
      </c>
      <c r="AC1802" s="397">
        <f>IFERROR(VLOOKUP($G1802,基本資料!$A:$M,12,0),"無")</f>
        <v>59.21</v>
      </c>
      <c r="AD1802" s="16" t="s">
        <v>1032</v>
      </c>
      <c r="AG1802" s="33">
        <f t="shared" si="344"/>
        <v>0</v>
      </c>
      <c r="AH1802" s="43" t="s">
        <v>1545</v>
      </c>
      <c r="AI1802" s="63">
        <f t="shared" si="345"/>
        <v>1.2871287128712872E-3</v>
      </c>
      <c r="AJ1802" s="284">
        <f>RTD("money.excel",,$G1802,"PredictVolume")</f>
        <v>39</v>
      </c>
      <c r="AK1802" s="399">
        <f>IFERROR(VLOOKUP($G1802,基本資料!$A:$M,13,0),"無")</f>
        <v>0.28999999999999998</v>
      </c>
    </row>
    <row r="1803" spans="1:37">
      <c r="A1803" s="347">
        <f>IFERROR(VLOOKUP($G1803,基本資料!$A:$J,3,0),"無")</f>
        <v>4.4000000000000004</v>
      </c>
      <c r="B1803" s="79">
        <f>IFERROR(VLOOKUP($G1803,基本資料!$A:$J,4,0),"無")</f>
        <v>-18</v>
      </c>
      <c r="C1803" s="79">
        <f>IFERROR(VLOOKUP($G1803,基本資料!$A:$J,5,0),"無")</f>
        <v>18</v>
      </c>
      <c r="D1803" s="79">
        <f>IFERROR(VLOOKUP($G1803,基本資料!$A:$J,6,0),"無")</f>
        <v>-13</v>
      </c>
      <c r="E1803" s="79">
        <f>IFERROR(VLOOKUP($G1803,基本資料!$A:$J,7,0),"無")</f>
        <v>9</v>
      </c>
      <c r="F1803" s="6">
        <f>IFERROR(VLOOKUP($G1803,基本資料!$A:$J,8,0),"無")</f>
        <v>-18.27</v>
      </c>
      <c r="G1803" s="79">
        <v>9949</v>
      </c>
      <c r="H1803" s="8" t="s">
        <v>1025</v>
      </c>
      <c r="I1803" s="16" t="s">
        <v>1033</v>
      </c>
      <c r="J1803" s="8" t="str">
        <f>IFERROR(VLOOKUP($G1803,今日總結!$A:$AJ,35,0),"")</f>
        <v/>
      </c>
      <c r="K1803" s="5" t="str">
        <f>IFERROR(VLOOKUP($G1803,今日總結!$A:$AJ,36,0),"")</f>
        <v/>
      </c>
      <c r="L1803" s="156" t="str">
        <f>IFERROR(VLOOKUP($G1803,今日總結!$A:$AJ,33,0),"")</f>
        <v/>
      </c>
      <c r="M1803" s="340" t="str">
        <f>IFERROR(VLOOKUP($G1803,今日總結!$A:$AJ,34,0),"")</f>
        <v/>
      </c>
      <c r="N1803" s="240" t="str">
        <f t="shared" si="346"/>
        <v/>
      </c>
      <c r="P1803" s="365" t="str">
        <f>IFERROR(VLOOKUP($G1803,融外自投!$A:$J,7,0),"無")</f>
        <v>無</v>
      </c>
      <c r="Q1803" s="79" t="str">
        <f>IFERROR(VLOOKUP($G1803,融外自投!$A:$J,9,0),"無")</f>
        <v>無</v>
      </c>
      <c r="R1803" s="346" t="str">
        <f>IFERROR(VLOOKUP($G1803,融外自投!$A:$J,8,0),"無")</f>
        <v>無</v>
      </c>
      <c r="S1803" s="81" t="str">
        <f>IFERROR(VLOOKUP($G1803,融外自投!$A:$J,10,0),"無")</f>
        <v>無</v>
      </c>
      <c r="T1803" s="327" t="str">
        <f>IFERROR(VLOOKUP($G1803,'321買'!$A:$E,5,0),"'沒有資料'")</f>
        <v>'沒有資料'</v>
      </c>
      <c r="U1803" s="186">
        <f>IFERROR(VLOOKUP($G1803,基本資料!$A:$J,9,0),"無")</f>
        <v>0</v>
      </c>
      <c r="V1803" s="310">
        <f t="shared" si="341"/>
        <v>0</v>
      </c>
      <c r="W1803" s="94">
        <f>IFERROR(VLOOKUP($G1803,基本資料!$A:$J,10,0),"無")</f>
        <v>-0.76</v>
      </c>
      <c r="X1803" s="36">
        <f>RTD("money.excel",,"9949","Price")</f>
        <v>15.25</v>
      </c>
      <c r="Y1803" s="66"/>
      <c r="Z1803" s="15">
        <f t="shared" si="342"/>
        <v>15.25</v>
      </c>
      <c r="AA1803" s="3" t="e">
        <f t="shared" si="343"/>
        <v>#DIV/0!</v>
      </c>
      <c r="AB1803" s="344">
        <f>IFERROR(VLOOKUP($G1803,基本資料!$A:$M,11,0),"無")</f>
        <v>0</v>
      </c>
      <c r="AC1803" s="397">
        <f>IFERROR(VLOOKUP($G1803,基本資料!$A:$M,12,0),"無")</f>
        <v>0</v>
      </c>
      <c r="AD1803" s="16" t="s">
        <v>1033</v>
      </c>
      <c r="AG1803" s="33">
        <f t="shared" si="344"/>
        <v>0</v>
      </c>
      <c r="AH1803" s="43" t="s">
        <v>2700</v>
      </c>
      <c r="AI1803" s="63">
        <f t="shared" si="345"/>
        <v>2.0454545454545456E-3</v>
      </c>
      <c r="AJ1803" s="284">
        <f>RTD("money.excel",,$G1803,"PredictVolume")</f>
        <v>90</v>
      </c>
      <c r="AK1803" s="399">
        <f>IFERROR(VLOOKUP($G1803,基本資料!$A:$M,13,0),"無")</f>
        <v>0</v>
      </c>
    </row>
    <row r="1804" spans="1:37">
      <c r="A1804" s="142"/>
      <c r="B1804" s="80"/>
      <c r="C1804" s="80"/>
      <c r="D1804" s="80"/>
      <c r="E1804" s="79"/>
      <c r="F1804" s="6"/>
      <c r="G1804" s="79"/>
      <c r="H1804" s="8"/>
      <c r="I1804" s="16"/>
      <c r="L1804" s="2"/>
      <c r="P1804" s="366"/>
      <c r="R1804" s="355"/>
      <c r="S1804" s="26"/>
      <c r="U1804" s="34"/>
      <c r="W1804" s="94"/>
      <c r="X1804" s="36"/>
      <c r="Y1804" s="66"/>
      <c r="Z1804" s="15"/>
      <c r="AA1804" s="3"/>
      <c r="AD1804" s="16"/>
      <c r="AG1804" s="33"/>
      <c r="AH1804" s="43"/>
    </row>
    <row r="1805" spans="1:37">
      <c r="A1805" s="127" t="s">
        <v>1673</v>
      </c>
      <c r="B1805" s="90" t="s">
        <v>1572</v>
      </c>
      <c r="C1805" s="90" t="s">
        <v>1573</v>
      </c>
      <c r="D1805" s="90" t="s">
        <v>1574</v>
      </c>
      <c r="E1805" s="90" t="s">
        <v>1575</v>
      </c>
      <c r="F1805" s="8" t="s">
        <v>1060</v>
      </c>
      <c r="G1805" s="27" t="s">
        <v>1024</v>
      </c>
      <c r="H1805" s="55" t="s">
        <v>320</v>
      </c>
      <c r="I1805" s="50" t="s">
        <v>330</v>
      </c>
      <c r="J1805" s="8" t="s">
        <v>6221</v>
      </c>
      <c r="K1805" s="5" t="s">
        <v>6222</v>
      </c>
      <c r="L1805" s="337" t="s">
        <v>6206</v>
      </c>
      <c r="M1805" s="338" t="s">
        <v>6207</v>
      </c>
      <c r="N1805" s="339" t="s">
        <v>6208</v>
      </c>
      <c r="O1805" s="4" t="s">
        <v>6713</v>
      </c>
      <c r="P1805" s="89" t="s">
        <v>6285</v>
      </c>
      <c r="Q1805" s="293" t="s">
        <v>6284</v>
      </c>
      <c r="R1805" s="354" t="s">
        <v>6283</v>
      </c>
      <c r="S1805" s="26" t="s">
        <v>6286</v>
      </c>
      <c r="T1805" s="321" t="s">
        <v>4716</v>
      </c>
      <c r="U1805" s="10" t="s">
        <v>66</v>
      </c>
      <c r="V1805" s="308" t="s">
        <v>4731</v>
      </c>
      <c r="W1805" s="68" t="s">
        <v>3273</v>
      </c>
      <c r="X1805" s="28" t="s">
        <v>2</v>
      </c>
      <c r="Y1805" s="17" t="s">
        <v>1399</v>
      </c>
      <c r="Z1805" s="14" t="s">
        <v>5</v>
      </c>
      <c r="AA1805" s="21" t="s">
        <v>3</v>
      </c>
      <c r="AB1805" s="96" t="s">
        <v>6174</v>
      </c>
      <c r="AC1805" s="384" t="s">
        <v>6420</v>
      </c>
      <c r="AD1805" s="50" t="s">
        <v>330</v>
      </c>
      <c r="AE1805" s="71" t="s">
        <v>1400</v>
      </c>
      <c r="AF1805" s="72" t="s">
        <v>1157</v>
      </c>
      <c r="AG1805" s="32" t="s">
        <v>1158</v>
      </c>
      <c r="AH1805" s="25" t="s">
        <v>6209</v>
      </c>
      <c r="AI1805" s="8" t="s">
        <v>6731</v>
      </c>
      <c r="AJ1805" s="50" t="s">
        <v>3361</v>
      </c>
      <c r="AK1805" s="44" t="s">
        <v>6730</v>
      </c>
    </row>
    <row r="1806" spans="1:37">
      <c r="A1806" s="347">
        <f>IFERROR(VLOOKUP($G1806,基本資料!$A:$J,3,0),"無")</f>
        <v>5.8</v>
      </c>
      <c r="B1806" s="79">
        <f>IFERROR(VLOOKUP($G1806,基本資料!$A:$J,4,0),"無")</f>
        <v>119</v>
      </c>
      <c r="C1806" s="79">
        <f>IFERROR(VLOOKUP($G1806,基本資料!$A:$J,5,0),"無")</f>
        <v>58</v>
      </c>
      <c r="D1806" s="79">
        <f>IFERROR(VLOOKUP($G1806,基本資料!$A:$J,6,0),"無")</f>
        <v>86</v>
      </c>
      <c r="E1806" s="79">
        <f>IFERROR(VLOOKUP($G1806,基本資料!$A:$J,7,0),"無")</f>
        <v>488</v>
      </c>
      <c r="F1806" s="6">
        <f>IFERROR(VLOOKUP($G1806,基本資料!$A:$J,8,0),"無")</f>
        <v>-61</v>
      </c>
      <c r="G1806" s="79">
        <v>3085</v>
      </c>
      <c r="H1806" s="8" t="s">
        <v>4714</v>
      </c>
      <c r="I1806" s="16" t="s">
        <v>992</v>
      </c>
      <c r="J1806" s="8" t="str">
        <f>IFERROR(VLOOKUP($G1806,今日總結!$A:$AJ,35,0),"")</f>
        <v/>
      </c>
      <c r="K1806" s="5" t="str">
        <f>IFERROR(VLOOKUP($G1806,今日總結!$A:$AJ,36,0),"")</f>
        <v/>
      </c>
      <c r="L1806" s="156" t="str">
        <f>IFERROR(VLOOKUP($G1806,今日總結!$A:$AJ,33,0),"")</f>
        <v/>
      </c>
      <c r="M1806" s="340" t="str">
        <f>IFERROR(VLOOKUP($G1806,今日總結!$A:$AJ,34,0),"")</f>
        <v/>
      </c>
      <c r="N1806" s="240" t="str">
        <f t="shared" ref="N1806:N1809" si="347">IFERROR(L1806-M1806,"")</f>
        <v/>
      </c>
      <c r="P1806" s="365" t="str">
        <f>IFERROR(VLOOKUP($G1806,融外自投!$A:$J,7,0),"無")</f>
        <v>無</v>
      </c>
      <c r="Q1806" s="79" t="str">
        <f>IFERROR(VLOOKUP($G1806,融外自投!$A:$J,9,0),"無")</f>
        <v>無</v>
      </c>
      <c r="R1806" s="346" t="str">
        <f>IFERROR(VLOOKUP($G1806,融外自投!$A:$J,8,0),"無")</f>
        <v>無</v>
      </c>
      <c r="S1806" s="81" t="str">
        <f>IFERROR(VLOOKUP($G1806,融外自投!$A:$J,10,0),"無")</f>
        <v>無</v>
      </c>
      <c r="T1806" s="327" t="str">
        <f>IFERROR(VLOOKUP($G1806,'321買'!$A:$E,5,0),"'沒有資料'")</f>
        <v>'沒有資料'</v>
      </c>
      <c r="U1806" s="186">
        <f>IFERROR(VLOOKUP($G1806,基本資料!$A:$J,9,0),"無")</f>
        <v>0</v>
      </c>
      <c r="V1806" s="310">
        <f t="shared" ref="V1806:V1814" si="348">$U1806/$X1806</f>
        <v>0</v>
      </c>
      <c r="W1806" s="94">
        <f>IFERROR(VLOOKUP($G1806,基本資料!$A:$J,10,0),"無")</f>
        <v>0.37</v>
      </c>
      <c r="X1806" s="36">
        <f>RTD("money.excel",,"3085","Price")</f>
        <v>10.7</v>
      </c>
      <c r="Y1806" s="66"/>
      <c r="Z1806" s="15">
        <f t="shared" ref="Z1806:Z1814" si="349">X1806-Y1806</f>
        <v>10.7</v>
      </c>
      <c r="AA1806" s="3" t="e">
        <f t="shared" ref="AA1806:AA1814" si="350">Z1806/Y1806</f>
        <v>#DIV/0!</v>
      </c>
      <c r="AB1806" s="344">
        <f>IFERROR(VLOOKUP($G1806,基本資料!$A:$M,11,0),"無")</f>
        <v>-39.07</v>
      </c>
      <c r="AC1806" s="397">
        <f>IFERROR(VLOOKUP($G1806,基本資料!$A:$M,12,0),"無")</f>
        <v>30.44</v>
      </c>
      <c r="AD1806" s="16" t="s">
        <v>992</v>
      </c>
      <c r="AG1806" s="33">
        <f t="shared" ref="AG1806:AG1814" si="351">AF1806-AE1806</f>
        <v>0</v>
      </c>
      <c r="AH1806" s="43" t="s">
        <v>330</v>
      </c>
      <c r="AI1806" s="63">
        <f t="shared" ref="AI1806:AI1814" si="352">AJ1806/(A1806*10000)</f>
        <v>1.9137931034482758E-3</v>
      </c>
      <c r="AJ1806" s="284">
        <f>RTD("money.excel",,$G1806,"PredictVolume")</f>
        <v>111</v>
      </c>
      <c r="AK1806" s="399">
        <f>IFERROR(VLOOKUP($G1806,基本資料!$A:$M,13,0),"無")</f>
        <v>1.08</v>
      </c>
    </row>
    <row r="1807" spans="1:37">
      <c r="A1807" s="347">
        <f>IFERROR(VLOOKUP($G1807,基本資料!$A:$J,3,0),"無")</f>
        <v>3</v>
      </c>
      <c r="B1807" s="79">
        <f>IFERROR(VLOOKUP($G1807,基本資料!$A:$J,4,0),"無")</f>
        <v>73</v>
      </c>
      <c r="C1807" s="79">
        <f>IFERROR(VLOOKUP($G1807,基本資料!$A:$J,5,0),"無")</f>
        <v>92</v>
      </c>
      <c r="D1807" s="79">
        <f>IFERROR(VLOOKUP($G1807,基本資料!$A:$J,6,0),"無")</f>
        <v>-10</v>
      </c>
      <c r="E1807" s="79">
        <f>IFERROR(VLOOKUP($G1807,基本資料!$A:$J,7,0),"無")</f>
        <v>15</v>
      </c>
      <c r="F1807" s="6">
        <f>IFERROR(VLOOKUP($G1807,基本資料!$A:$J,8,0),"無")</f>
        <v>21.7</v>
      </c>
      <c r="G1807" s="79">
        <v>3687</v>
      </c>
      <c r="H1807" s="8" t="s">
        <v>4714</v>
      </c>
      <c r="I1807" s="16" t="s">
        <v>72</v>
      </c>
      <c r="J1807" s="8" t="str">
        <f>IFERROR(VLOOKUP($G1807,今日總結!$A:$AJ,35,0),"")</f>
        <v/>
      </c>
      <c r="K1807" s="5" t="str">
        <f>IFERROR(VLOOKUP($G1807,今日總結!$A:$AJ,36,0),"")</f>
        <v/>
      </c>
      <c r="L1807" s="156" t="str">
        <f>IFERROR(VLOOKUP($G1807,今日總結!$A:$AJ,33,0),"")</f>
        <v/>
      </c>
      <c r="M1807" s="340" t="str">
        <f>IFERROR(VLOOKUP($G1807,今日總結!$A:$AJ,34,0),"")</f>
        <v/>
      </c>
      <c r="N1807" s="240" t="str">
        <f t="shared" si="347"/>
        <v/>
      </c>
      <c r="P1807" s="365">
        <f>IFERROR(VLOOKUP($G1807,融外自投!$A:$J,7,0),"無")</f>
        <v>71</v>
      </c>
      <c r="Q1807" s="79">
        <f>IFERROR(VLOOKUP($G1807,融外自投!$A:$J,9,0),"無")</f>
        <v>169</v>
      </c>
      <c r="R1807" s="346">
        <f>IFERROR(VLOOKUP($G1807,融外自投!$A:$J,8,0),"無")</f>
        <v>902</v>
      </c>
      <c r="S1807" s="81" t="str">
        <f>IFERROR(VLOOKUP($G1807,融外自投!$A:$J,10,0),"無")</f>
        <v>無</v>
      </c>
      <c r="T1807" s="327">
        <f>IFERROR(VLOOKUP($G1807,'321買'!$A:$E,5,0),"'沒有資料'")</f>
        <v>271</v>
      </c>
      <c r="U1807" s="186">
        <f>IFERROR(VLOOKUP($G1807,基本資料!$A:$J,9,0),"無")</f>
        <v>1.2</v>
      </c>
      <c r="V1807" s="310">
        <f t="shared" si="348"/>
        <v>9.125475285171103E-3</v>
      </c>
      <c r="W1807" s="94">
        <f>IFERROR(VLOOKUP($G1807,基本資料!$A:$J,10,0),"無")</f>
        <v>2.42</v>
      </c>
      <c r="X1807" s="36">
        <f>RTD("money.excel",,"3687","Price")</f>
        <v>131.5</v>
      </c>
      <c r="Y1807" s="66"/>
      <c r="Z1807" s="15">
        <f t="shared" si="349"/>
        <v>131.5</v>
      </c>
      <c r="AA1807" s="3" t="e">
        <f t="shared" si="350"/>
        <v>#DIV/0!</v>
      </c>
      <c r="AB1807" s="344">
        <f>IFERROR(VLOOKUP($G1807,基本資料!$A:$M,11,0),"無")</f>
        <v>-42.25</v>
      </c>
      <c r="AC1807" s="397">
        <f>IFERROR(VLOOKUP($G1807,基本資料!$A:$M,12,0),"無")</f>
        <v>10.02</v>
      </c>
      <c r="AD1807" s="16" t="s">
        <v>72</v>
      </c>
      <c r="AG1807" s="33">
        <f t="shared" si="351"/>
        <v>0</v>
      </c>
      <c r="AH1807" s="117" t="s">
        <v>2348</v>
      </c>
      <c r="AI1807" s="63">
        <f t="shared" si="352"/>
        <v>1.4133333333333333E-2</v>
      </c>
      <c r="AJ1807" s="284">
        <f>RTD("money.excel",,$G1807,"PredictVolume")</f>
        <v>424</v>
      </c>
      <c r="AK1807" s="399">
        <f>IFERROR(VLOOKUP($G1807,基本資料!$A:$M,13,0),"無")</f>
        <v>81.290000000000006</v>
      </c>
    </row>
    <row r="1808" spans="1:37">
      <c r="A1808" s="347">
        <f>IFERROR(VLOOKUP($G1808,基本資料!$A:$J,3,0),"無")</f>
        <v>1.52</v>
      </c>
      <c r="B1808" s="79">
        <f>IFERROR(VLOOKUP($G1808,基本資料!$A:$J,4,0),"無")</f>
        <v>33</v>
      </c>
      <c r="C1808" s="79">
        <f>IFERROR(VLOOKUP($G1808,基本資料!$A:$J,5,0),"無")</f>
        <v>28</v>
      </c>
      <c r="D1808" s="79">
        <f>IFERROR(VLOOKUP($G1808,基本資料!$A:$J,6,0),"無")</f>
        <v>4</v>
      </c>
      <c r="E1808" s="79">
        <f>IFERROR(VLOOKUP($G1808,基本資料!$A:$J,7,0),"無")</f>
        <v>20</v>
      </c>
      <c r="F1808" s="6">
        <f>IFERROR(VLOOKUP($G1808,基本資料!$A:$J,8,0),"無")</f>
        <v>19.079999999999998</v>
      </c>
      <c r="G1808" s="79">
        <v>5278</v>
      </c>
      <c r="H1808" s="8" t="s">
        <v>4714</v>
      </c>
      <c r="I1808" s="16" t="s">
        <v>1035</v>
      </c>
      <c r="J1808" s="8" t="str">
        <f>IFERROR(VLOOKUP($G1808,今日總結!$A:$AJ,35,0),"")</f>
        <v/>
      </c>
      <c r="K1808" s="5" t="str">
        <f>IFERROR(VLOOKUP($G1808,今日總結!$A:$AJ,36,0),"")</f>
        <v/>
      </c>
      <c r="L1808" s="156" t="str">
        <f>IFERROR(VLOOKUP($G1808,今日總結!$A:$AJ,33,0),"")</f>
        <v/>
      </c>
      <c r="M1808" s="340" t="str">
        <f>IFERROR(VLOOKUP($G1808,今日總結!$A:$AJ,34,0),"")</f>
        <v/>
      </c>
      <c r="N1808" s="240" t="str">
        <f t="shared" si="347"/>
        <v/>
      </c>
      <c r="P1808" s="365" t="str">
        <f>IFERROR(VLOOKUP($G1808,融外自投!$A:$J,7,0),"無")</f>
        <v>無</v>
      </c>
      <c r="Q1808" s="79" t="str">
        <f>IFERROR(VLOOKUP($G1808,融外自投!$A:$J,9,0),"無")</f>
        <v>無</v>
      </c>
      <c r="R1808" s="346" t="str">
        <f>IFERROR(VLOOKUP($G1808,融外自投!$A:$J,8,0),"無")</f>
        <v>無</v>
      </c>
      <c r="S1808" s="81" t="str">
        <f>IFERROR(VLOOKUP($G1808,融外自投!$A:$J,10,0),"無")</f>
        <v>無</v>
      </c>
      <c r="T1808" s="327" t="str">
        <f>IFERROR(VLOOKUP($G1808,'321買'!$A:$E,5,0),"'沒有資料'")</f>
        <v>'沒有資料'</v>
      </c>
      <c r="U1808" s="186">
        <f>IFERROR(VLOOKUP($G1808,基本資料!$A:$J,9,0),"無")</f>
        <v>20.18</v>
      </c>
      <c r="V1808" s="310">
        <f t="shared" si="348"/>
        <v>9.0900900900900902E-2</v>
      </c>
      <c r="W1808" s="94">
        <f>IFERROR(VLOOKUP($G1808,基本資料!$A:$J,10,0),"無")</f>
        <v>16.52</v>
      </c>
      <c r="X1808" s="36">
        <f>RTD("money.excel",,"5278","Price")</f>
        <v>222</v>
      </c>
      <c r="Y1808" s="66"/>
      <c r="Z1808" s="15">
        <f t="shared" si="349"/>
        <v>222</v>
      </c>
      <c r="AA1808" s="3" t="e">
        <f t="shared" si="350"/>
        <v>#DIV/0!</v>
      </c>
      <c r="AB1808" s="344">
        <f>IFERROR(VLOOKUP($G1808,基本資料!$A:$M,11,0),"無")</f>
        <v>-22.3</v>
      </c>
      <c r="AC1808" s="397">
        <f>IFERROR(VLOOKUP($G1808,基本資料!$A:$M,12,0),"無")</f>
        <v>28.42</v>
      </c>
      <c r="AD1808" s="16" t="s">
        <v>1035</v>
      </c>
      <c r="AG1808" s="33">
        <f t="shared" si="351"/>
        <v>0</v>
      </c>
      <c r="AH1808" s="43" t="s">
        <v>2701</v>
      </c>
      <c r="AI1808" s="63">
        <f t="shared" si="352"/>
        <v>3.4210526315789475E-3</v>
      </c>
      <c r="AJ1808" s="284">
        <f>RTD("money.excel",,$G1808,"PredictVolume")</f>
        <v>52</v>
      </c>
      <c r="AK1808" s="399">
        <f>IFERROR(VLOOKUP($G1808,基本資料!$A:$M,13,0),"無")</f>
        <v>6.75</v>
      </c>
    </row>
    <row r="1809" spans="1:37">
      <c r="A1809" s="347">
        <f>IFERROR(VLOOKUP($G1809,基本資料!$A:$J,3,0),"無")</f>
        <v>5.07</v>
      </c>
      <c r="B1809" s="79">
        <f>IFERROR(VLOOKUP($G1809,基本資料!$A:$J,4,0),"無")</f>
        <v>-2</v>
      </c>
      <c r="C1809" s="79">
        <f>IFERROR(VLOOKUP($G1809,基本資料!$A:$J,5,0),"無")</f>
        <v>-1</v>
      </c>
      <c r="D1809" s="79">
        <f>IFERROR(VLOOKUP($G1809,基本資料!$A:$J,6,0),"無")</f>
        <v>16</v>
      </c>
      <c r="E1809" s="79">
        <f>IFERROR(VLOOKUP($G1809,基本資料!$A:$J,7,0),"無")</f>
        <v>13</v>
      </c>
      <c r="F1809" s="6">
        <f>IFERROR(VLOOKUP($G1809,基本資料!$A:$J,8,0),"無")</f>
        <v>42.03</v>
      </c>
      <c r="G1809" s="79">
        <v>5287</v>
      </c>
      <c r="H1809" s="145" t="s">
        <v>4714</v>
      </c>
      <c r="I1809" s="16" t="s">
        <v>261</v>
      </c>
      <c r="J1809" s="8">
        <f>IFERROR(VLOOKUP($G1809,今日總結!$A:$AJ,35,0),"")</f>
        <v>0</v>
      </c>
      <c r="K1809" s="5">
        <f>IFERROR(VLOOKUP($G1809,今日總結!$A:$AJ,36,0),"")</f>
        <v>0</v>
      </c>
      <c r="L1809" s="156">
        <f>IFERROR(VLOOKUP($G1809,今日總結!$A:$AJ,33,0),"")</f>
        <v>0</v>
      </c>
      <c r="M1809" s="340">
        <f>IFERROR(VLOOKUP($G1809,今日總結!$A:$AJ,34,0),"")</f>
        <v>1</v>
      </c>
      <c r="N1809" s="240">
        <f t="shared" si="347"/>
        <v>-1</v>
      </c>
      <c r="P1809" s="365">
        <f>IFERROR(VLOOKUP($G1809,融外自投!$A:$J,7,0),"無")</f>
        <v>1388</v>
      </c>
      <c r="Q1809" s="79">
        <f>IFERROR(VLOOKUP($G1809,融外自投!$A:$J,9,0),"無")</f>
        <v>852</v>
      </c>
      <c r="R1809" s="346">
        <f>IFERROR(VLOOKUP($G1809,融外自投!$A:$J,8,0),"無")</f>
        <v>168</v>
      </c>
      <c r="S1809" s="81" t="str">
        <f>IFERROR(VLOOKUP($G1809,融外自投!$A:$J,10,0),"無")</f>
        <v>無</v>
      </c>
      <c r="T1809" s="327">
        <f>IFERROR(VLOOKUP($G1809,'321買'!$A:$E,5,0),"'沒有資料'")</f>
        <v>1143</v>
      </c>
      <c r="U1809" s="186">
        <f>IFERROR(VLOOKUP($G1809,基本資料!$A:$J,9,0),"無")</f>
        <v>11.3</v>
      </c>
      <c r="V1809" s="310">
        <f t="shared" si="348"/>
        <v>5.6079404466501247E-2</v>
      </c>
      <c r="W1809" s="94">
        <f>IFERROR(VLOOKUP($G1809,基本資料!$A:$J,10,0),"無")</f>
        <v>12.13</v>
      </c>
      <c r="X1809" s="36">
        <f>RTD("money.excel",,"5287","Price")</f>
        <v>201.5</v>
      </c>
      <c r="Y1809" s="66"/>
      <c r="Z1809" s="15">
        <f t="shared" si="349"/>
        <v>201.5</v>
      </c>
      <c r="AA1809" s="3" t="e">
        <f t="shared" si="350"/>
        <v>#DIV/0!</v>
      </c>
      <c r="AB1809" s="344">
        <f>IFERROR(VLOOKUP($G1809,基本資料!$A:$M,11,0),"無")</f>
        <v>-28.09</v>
      </c>
      <c r="AC1809" s="397">
        <f>IFERROR(VLOOKUP($G1809,基本資料!$A:$M,12,0),"無")</f>
        <v>11.66</v>
      </c>
      <c r="AD1809" s="16" t="s">
        <v>261</v>
      </c>
      <c r="AG1809" s="33">
        <f t="shared" si="351"/>
        <v>0</v>
      </c>
      <c r="AH1809" s="117" t="s">
        <v>330</v>
      </c>
      <c r="AI1809" s="63">
        <f t="shared" si="352"/>
        <v>2.1696252465483234E-4</v>
      </c>
      <c r="AJ1809" s="284">
        <f>RTD("money.excel",,$G1809,"PredictVolume")</f>
        <v>11</v>
      </c>
      <c r="AK1809" s="399">
        <f>IFERROR(VLOOKUP($G1809,基本資料!$A:$M,13,0),"無")</f>
        <v>1.03</v>
      </c>
    </row>
    <row r="1810" spans="1:37">
      <c r="A1810" s="347">
        <f>IFERROR(VLOOKUP($G1810,基本資料!$A:$J,3,0),"無")</f>
        <v>6.02</v>
      </c>
      <c r="B1810" s="79">
        <f>IFERROR(VLOOKUP($G1810,基本資料!$A:$J,4,0),"無")</f>
        <v>44</v>
      </c>
      <c r="C1810" s="79">
        <f>IFERROR(VLOOKUP($G1810,基本資料!$A:$J,5,0),"無")</f>
        <v>51</v>
      </c>
      <c r="D1810" s="79">
        <f>IFERROR(VLOOKUP($G1810,基本資料!$A:$J,6,0),"無")</f>
        <v>15</v>
      </c>
      <c r="E1810" s="79">
        <f>IFERROR(VLOOKUP($G1810,基本資料!$A:$J,7,0),"無")</f>
        <v>19</v>
      </c>
      <c r="F1810" s="6">
        <f>IFERROR(VLOOKUP($G1810,基本資料!$A:$J,8,0),"無")</f>
        <v>33.43</v>
      </c>
      <c r="G1810" s="79">
        <v>6741</v>
      </c>
      <c r="H1810" s="145" t="s">
        <v>4714</v>
      </c>
      <c r="I1810" s="16" t="s">
        <v>3330</v>
      </c>
      <c r="J1810" s="8" t="str">
        <f>IFERROR(VLOOKUP($G1810,今日總結!$A:$AJ,35,0),"")</f>
        <v/>
      </c>
      <c r="K1810" s="5" t="str">
        <f>IFERROR(VLOOKUP($G1810,今日總結!$A:$AJ,36,0),"")</f>
        <v/>
      </c>
      <c r="L1810" s="156" t="str">
        <f>IFERROR(VLOOKUP($G1810,今日總結!$A:$AJ,33,0),"")</f>
        <v/>
      </c>
      <c r="M1810" s="340" t="str">
        <f>IFERROR(VLOOKUP($G1810,今日總結!$A:$AJ,34,0),"")</f>
        <v/>
      </c>
      <c r="N1810" s="240" t="str">
        <f t="shared" ref="N1810:N1814" si="353">IFERROR(L1810-M1810,"")</f>
        <v/>
      </c>
      <c r="P1810" s="365">
        <f>IFERROR(VLOOKUP($G1810,融外自投!$A:$J,7,0),"無")</f>
        <v>1148</v>
      </c>
      <c r="Q1810" s="79">
        <f>IFERROR(VLOOKUP($G1810,融外自投!$A:$J,9,0),"無")</f>
        <v>1051</v>
      </c>
      <c r="R1810" s="346">
        <f>IFERROR(VLOOKUP($G1810,融外自投!$A:$J,8,0),"無")</f>
        <v>14</v>
      </c>
      <c r="S1810" s="81">
        <f>IFERROR(VLOOKUP($G1810,融外自投!$A:$J,10,0),"無")</f>
        <v>491</v>
      </c>
      <c r="T1810" s="327">
        <f>IFERROR(VLOOKUP($G1810,'321買'!$A:$E,5,0),"'沒有資料'")</f>
        <v>292</v>
      </c>
      <c r="U1810" s="186">
        <f>IFERROR(VLOOKUP($G1810,基本資料!$A:$J,9,0),"無")</f>
        <v>0.48</v>
      </c>
      <c r="V1810" s="310">
        <f t="shared" si="348"/>
        <v>3.3922261484098937E-3</v>
      </c>
      <c r="W1810" s="94">
        <f>IFERROR(VLOOKUP($G1810,基本資料!$A:$J,10,0),"無")</f>
        <v>2.58</v>
      </c>
      <c r="X1810" s="36">
        <f>RTD("money.excel",,"6741","Price")</f>
        <v>141.5</v>
      </c>
      <c r="Y1810" s="66"/>
      <c r="Z1810" s="15">
        <f t="shared" si="349"/>
        <v>141.5</v>
      </c>
      <c r="AA1810" s="154" t="e">
        <f t="shared" si="350"/>
        <v>#DIV/0!</v>
      </c>
      <c r="AB1810" s="344" t="str">
        <f>IFERROR(VLOOKUP($G1810,基本資料!$A:$M,11,0),"無")</f>
        <v>無</v>
      </c>
      <c r="AC1810" s="397" t="str">
        <f>IFERROR(VLOOKUP($G1810,基本資料!$A:$M,12,0),"無")</f>
        <v>無</v>
      </c>
      <c r="AD1810" s="16" t="s">
        <v>3330</v>
      </c>
      <c r="AG1810" s="33">
        <f t="shared" si="351"/>
        <v>0</v>
      </c>
      <c r="AH1810" s="43" t="s">
        <v>3336</v>
      </c>
      <c r="AI1810" s="63">
        <f t="shared" si="352"/>
        <v>2.4418604651162794E-3</v>
      </c>
      <c r="AJ1810" s="284">
        <f>RTD("money.excel",,$G1810,"PredictVolume")</f>
        <v>147</v>
      </c>
      <c r="AK1810" s="399" t="str">
        <f>IFERROR(VLOOKUP($G1810,基本資料!$A:$M,13,0),"無")</f>
        <v>無</v>
      </c>
    </row>
    <row r="1811" spans="1:37">
      <c r="A1811" s="347" t="str">
        <f>IFERROR(VLOOKUP($G1811,基本資料!$A:$J,3,0),"無")</f>
        <v>無</v>
      </c>
      <c r="B1811" s="79" t="str">
        <f>IFERROR(VLOOKUP($G1811,基本資料!$A:$J,4,0),"無")</f>
        <v>無</v>
      </c>
      <c r="C1811" s="79" t="str">
        <f>IFERROR(VLOOKUP($G1811,基本資料!$A:$J,5,0),"無")</f>
        <v>無</v>
      </c>
      <c r="D1811" s="79" t="str">
        <f>IFERROR(VLOOKUP($G1811,基本資料!$A:$J,6,0),"無")</f>
        <v>無</v>
      </c>
      <c r="E1811" s="79" t="str">
        <f>IFERROR(VLOOKUP($G1811,基本資料!$A:$J,7,0),"無")</f>
        <v>無</v>
      </c>
      <c r="F1811" s="6" t="str">
        <f>IFERROR(VLOOKUP($G1811,基本資料!$A:$J,8,0),"無")</f>
        <v>無</v>
      </c>
      <c r="G1811" s="79">
        <v>6763</v>
      </c>
      <c r="H1811" s="145" t="s">
        <v>330</v>
      </c>
      <c r="I1811" s="16" t="s">
        <v>4764</v>
      </c>
      <c r="J1811" s="8" t="str">
        <f>IFERROR(VLOOKUP($G1811,今日總結!$A:$AJ,35,0),"")</f>
        <v/>
      </c>
      <c r="K1811" s="5" t="str">
        <f>IFERROR(VLOOKUP($G1811,今日總結!$A:$AJ,36,0),"")</f>
        <v/>
      </c>
      <c r="L1811" s="156" t="str">
        <f>IFERROR(VLOOKUP($G1811,今日總結!$A:$AJ,33,0),"")</f>
        <v/>
      </c>
      <c r="M1811" s="340" t="str">
        <f>IFERROR(VLOOKUP($G1811,今日總結!$A:$AJ,34,0),"")</f>
        <v/>
      </c>
      <c r="N1811" s="240" t="str">
        <f t="shared" si="353"/>
        <v/>
      </c>
      <c r="P1811" s="365" t="str">
        <f>IFERROR(VLOOKUP($G1811,融外自投!$A:$J,7,0),"無")</f>
        <v>無</v>
      </c>
      <c r="Q1811" s="79" t="str">
        <f>IFERROR(VLOOKUP($G1811,融外自投!$A:$J,9,0),"無")</f>
        <v>無</v>
      </c>
      <c r="R1811" s="346" t="str">
        <f>IFERROR(VLOOKUP($G1811,融外自投!$A:$J,8,0),"無")</f>
        <v>無</v>
      </c>
      <c r="S1811" s="81" t="str">
        <f>IFERROR(VLOOKUP($G1811,融外自投!$A:$J,10,0),"無")</f>
        <v>無</v>
      </c>
      <c r="T1811" s="327" t="str">
        <f>IFERROR(VLOOKUP($G1811,'321買'!$A:$E,5,0),"'沒有資料'")</f>
        <v>'沒有資料'</v>
      </c>
      <c r="U1811" s="186" t="str">
        <f>IFERROR(VLOOKUP($G1811,基本資料!$A:$J,9,0),"無")</f>
        <v>無</v>
      </c>
      <c r="V1811" s="310" t="e">
        <f t="shared" si="348"/>
        <v>#VALUE!</v>
      </c>
      <c r="W1811" s="94" t="str">
        <f>IFERROR(VLOOKUP($G1811,基本資料!$A:$J,10,0),"無")</f>
        <v>無</v>
      </c>
      <c r="X1811" s="36">
        <f>RTD("money.excel",,"6763","Price")</f>
        <v>503</v>
      </c>
      <c r="Y1811" s="66"/>
      <c r="Z1811" s="15">
        <f>X1811-Y1811</f>
        <v>503</v>
      </c>
      <c r="AA1811" s="154" t="e">
        <f>Z1811/Y1811</f>
        <v>#DIV/0!</v>
      </c>
      <c r="AB1811" s="344" t="str">
        <f>IFERROR(VLOOKUP($G1811,基本資料!$A:$M,11,0),"無")</f>
        <v>無</v>
      </c>
      <c r="AC1811" s="397" t="str">
        <f>IFERROR(VLOOKUP($G1811,基本資料!$A:$M,12,0),"無")</f>
        <v>無</v>
      </c>
      <c r="AD1811" s="16" t="s">
        <v>4764</v>
      </c>
      <c r="AG1811" s="33">
        <f>AF1811-AE1811</f>
        <v>0</v>
      </c>
      <c r="AH1811" s="123" t="s">
        <v>4765</v>
      </c>
      <c r="AI1811" s="63" t="e">
        <f t="shared" si="352"/>
        <v>#VALUE!</v>
      </c>
      <c r="AJ1811" s="284">
        <f>RTD("money.excel",,$G1811,"PredictVolume")</f>
        <v>32</v>
      </c>
      <c r="AK1811" s="399" t="str">
        <f>IFERROR(VLOOKUP($G1811,基本資料!$A:$M,13,0),"無")</f>
        <v>無</v>
      </c>
    </row>
    <row r="1812" spans="1:37">
      <c r="A1812" s="347">
        <f>IFERROR(VLOOKUP($G1812,基本資料!$A:$J,3,0),"無")</f>
        <v>12.85</v>
      </c>
      <c r="B1812" s="79">
        <f>IFERROR(VLOOKUP($G1812,基本資料!$A:$J,4,0),"無")</f>
        <v>-71</v>
      </c>
      <c r="C1812" s="79">
        <f>IFERROR(VLOOKUP($G1812,基本資料!$A:$J,5,0),"無")</f>
        <v>-23</v>
      </c>
      <c r="D1812" s="79">
        <f>IFERROR(VLOOKUP($G1812,基本資料!$A:$J,6,0),"無")</f>
        <v>1</v>
      </c>
      <c r="E1812" s="79">
        <f>IFERROR(VLOOKUP($G1812,基本資料!$A:$J,7,0),"無")</f>
        <v>-1</v>
      </c>
      <c r="F1812" s="6">
        <f>IFERROR(VLOOKUP($G1812,基本資料!$A:$J,8,0),"無")</f>
        <v>0.5</v>
      </c>
      <c r="G1812" s="79">
        <v>8044</v>
      </c>
      <c r="H1812" s="145" t="s">
        <v>4714</v>
      </c>
      <c r="I1812" s="16" t="s">
        <v>4695</v>
      </c>
      <c r="J1812" s="8" t="str">
        <f>IFERROR(VLOOKUP($G1812,今日總結!$A:$AJ,35,0),"")</f>
        <v/>
      </c>
      <c r="K1812" s="5" t="str">
        <f>IFERROR(VLOOKUP($G1812,今日總結!$A:$AJ,36,0),"")</f>
        <v/>
      </c>
      <c r="L1812" s="156" t="str">
        <f>IFERROR(VLOOKUP($G1812,今日總結!$A:$AJ,33,0),"")</f>
        <v/>
      </c>
      <c r="M1812" s="340" t="str">
        <f>IFERROR(VLOOKUP($G1812,今日總結!$A:$AJ,34,0),"")</f>
        <v/>
      </c>
      <c r="N1812" s="240" t="str">
        <f t="shared" si="353"/>
        <v/>
      </c>
      <c r="P1812" s="365">
        <f>IFERROR(VLOOKUP($G1812,融外自投!$A:$J,7,0),"無")</f>
        <v>282</v>
      </c>
      <c r="Q1812" s="79">
        <f>IFERROR(VLOOKUP($G1812,融外自投!$A:$J,9,0),"無")</f>
        <v>207</v>
      </c>
      <c r="R1812" s="346">
        <f>IFERROR(VLOOKUP($G1812,融外自投!$A:$J,8,0),"無")</f>
        <v>291</v>
      </c>
      <c r="S1812" s="81">
        <f>IFERROR(VLOOKUP($G1812,融外自投!$A:$J,10,0),"無")</f>
        <v>289</v>
      </c>
      <c r="T1812" s="327">
        <f>IFERROR(VLOOKUP($G1812,'321買'!$A:$E,5,0),"'沒有資料'")</f>
        <v>164</v>
      </c>
      <c r="U1812" s="186">
        <f>IFERROR(VLOOKUP($G1812,基本資料!$A:$J,9,0),"無")</f>
        <v>0.5</v>
      </c>
      <c r="V1812" s="310">
        <f t="shared" si="348"/>
        <v>7.0422535211267607E-3</v>
      </c>
      <c r="W1812" s="94">
        <f>IFERROR(VLOOKUP($G1812,基本資料!$A:$J,10,0),"無")</f>
        <v>0.84</v>
      </c>
      <c r="X1812" s="36">
        <f>RTD("money.excel",,"8044","Price")</f>
        <v>71</v>
      </c>
      <c r="Y1812" s="66"/>
      <c r="Z1812" s="15">
        <f t="shared" si="349"/>
        <v>71</v>
      </c>
      <c r="AA1812" s="3" t="e">
        <f t="shared" si="350"/>
        <v>#DIV/0!</v>
      </c>
      <c r="AB1812" s="344">
        <f>IFERROR(VLOOKUP($G1812,基本資料!$A:$M,11,0),"無")</f>
        <v>-56.83</v>
      </c>
      <c r="AC1812" s="397">
        <f>IFERROR(VLOOKUP($G1812,基本資料!$A:$M,12,0),"無")</f>
        <v>8.23</v>
      </c>
      <c r="AD1812" s="16" t="s">
        <v>4695</v>
      </c>
      <c r="AG1812" s="33">
        <f t="shared" si="351"/>
        <v>0</v>
      </c>
      <c r="AH1812" s="117" t="s">
        <v>330</v>
      </c>
      <c r="AI1812" s="63">
        <f t="shared" si="352"/>
        <v>7.4474708171206223E-3</v>
      </c>
      <c r="AJ1812" s="284">
        <f>RTD("money.excel",,$G1812,"PredictVolume")</f>
        <v>957</v>
      </c>
      <c r="AK1812" s="399">
        <f>IFERROR(VLOOKUP($G1812,基本資料!$A:$M,13,0),"無")</f>
        <v>20.09</v>
      </c>
    </row>
    <row r="1813" spans="1:37">
      <c r="A1813" s="347">
        <f>IFERROR(VLOOKUP($G1813,基本資料!$A:$J,3,0),"無")</f>
        <v>1.77</v>
      </c>
      <c r="B1813" s="79">
        <f>IFERROR(VLOOKUP($G1813,基本資料!$A:$J,4,0),"無")</f>
        <v>-77</v>
      </c>
      <c r="C1813" s="79">
        <f>IFERROR(VLOOKUP($G1813,基本資料!$A:$J,5,0),"無")</f>
        <v>-125</v>
      </c>
      <c r="D1813" s="79">
        <f>IFERROR(VLOOKUP($G1813,基本資料!$A:$J,6,0),"無")</f>
        <v>40</v>
      </c>
      <c r="E1813" s="79">
        <f>IFERROR(VLOOKUP($G1813,基本資料!$A:$J,7,0),"無")</f>
        <v>-20</v>
      </c>
      <c r="F1813" s="6">
        <f>IFERROR(VLOOKUP($G1813,基本資料!$A:$J,8,0),"無")</f>
        <v>-4.47</v>
      </c>
      <c r="G1813" s="79">
        <v>8472</v>
      </c>
      <c r="H1813" s="145" t="s">
        <v>4714</v>
      </c>
      <c r="I1813" s="16" t="s">
        <v>1036</v>
      </c>
      <c r="J1813" s="8" t="str">
        <f>IFERROR(VLOOKUP($G1813,今日總結!$A:$AJ,35,0),"")</f>
        <v/>
      </c>
      <c r="K1813" s="5" t="str">
        <f>IFERROR(VLOOKUP($G1813,今日總結!$A:$AJ,36,0),"")</f>
        <v/>
      </c>
      <c r="L1813" s="156" t="str">
        <f>IFERROR(VLOOKUP($G1813,今日總結!$A:$AJ,33,0),"")</f>
        <v/>
      </c>
      <c r="M1813" s="340" t="str">
        <f>IFERROR(VLOOKUP($G1813,今日總結!$A:$AJ,34,0),"")</f>
        <v/>
      </c>
      <c r="N1813" s="240" t="str">
        <f t="shared" si="353"/>
        <v/>
      </c>
      <c r="P1813" s="365" t="str">
        <f>IFERROR(VLOOKUP($G1813,融外自投!$A:$J,7,0),"無")</f>
        <v>無</v>
      </c>
      <c r="Q1813" s="79" t="str">
        <f>IFERROR(VLOOKUP($G1813,融外自投!$A:$J,9,0),"無")</f>
        <v>無</v>
      </c>
      <c r="R1813" s="346" t="str">
        <f>IFERROR(VLOOKUP($G1813,融外自投!$A:$J,8,0),"無")</f>
        <v>無</v>
      </c>
      <c r="S1813" s="81" t="str">
        <f>IFERROR(VLOOKUP($G1813,融外自投!$A:$J,10,0),"無")</f>
        <v>無</v>
      </c>
      <c r="T1813" s="327" t="str">
        <f>IFERROR(VLOOKUP($G1813,'321買'!$A:$E,5,0),"'沒有資料'")</f>
        <v>'沒有資料'</v>
      </c>
      <c r="U1813" s="186">
        <f>IFERROR(VLOOKUP($G1813,基本資料!$A:$J,9,0),"無")</f>
        <v>1.5</v>
      </c>
      <c r="V1813" s="310">
        <f t="shared" si="348"/>
        <v>3.3333333333333333E-2</v>
      </c>
      <c r="W1813" s="94">
        <f>IFERROR(VLOOKUP($G1813,基本資料!$A:$J,10,0),"無")</f>
        <v>0.61</v>
      </c>
      <c r="X1813" s="36">
        <f>RTD("money.excel",,"8472","Price")</f>
        <v>45</v>
      </c>
      <c r="Y1813" s="66"/>
      <c r="Z1813" s="15">
        <f t="shared" si="349"/>
        <v>45</v>
      </c>
      <c r="AA1813" s="3" t="e">
        <f t="shared" si="350"/>
        <v>#DIV/0!</v>
      </c>
      <c r="AB1813" s="344">
        <f>IFERROR(VLOOKUP($G1813,基本資料!$A:$M,11,0),"無")</f>
        <v>-27.96</v>
      </c>
      <c r="AC1813" s="397">
        <f>IFERROR(VLOOKUP($G1813,基本資料!$A:$M,12,0),"無")</f>
        <v>42.78</v>
      </c>
      <c r="AD1813" s="16" t="s">
        <v>1036</v>
      </c>
      <c r="AG1813" s="33">
        <f t="shared" si="351"/>
        <v>0</v>
      </c>
      <c r="AH1813" s="43" t="s">
        <v>2702</v>
      </c>
      <c r="AI1813" s="63">
        <f t="shared" si="352"/>
        <v>1.6949152542372882E-4</v>
      </c>
      <c r="AJ1813" s="284">
        <f>RTD("money.excel",,$G1813,"PredictVolume")</f>
        <v>3</v>
      </c>
      <c r="AK1813" s="399">
        <f>IFERROR(VLOOKUP($G1813,基本資料!$A:$M,13,0),"無")</f>
        <v>0.87</v>
      </c>
    </row>
    <row r="1814" spans="1:37">
      <c r="A1814" s="347">
        <f>IFERROR(VLOOKUP($G1814,基本資料!$A:$J,3,0),"無")</f>
        <v>3.15</v>
      </c>
      <c r="B1814" s="79">
        <f>IFERROR(VLOOKUP($G1814,基本資料!$A:$J,4,0),"無")</f>
        <v>-249</v>
      </c>
      <c r="C1814" s="79">
        <f>IFERROR(VLOOKUP($G1814,基本資料!$A:$J,5,0),"無")</f>
        <v>-676</v>
      </c>
      <c r="D1814" s="79">
        <f>IFERROR(VLOOKUP($G1814,基本資料!$A:$J,6,0),"無")</f>
        <v>10</v>
      </c>
      <c r="E1814" s="79">
        <f>IFERROR(VLOOKUP($G1814,基本資料!$A:$J,7,0),"無")</f>
        <v>-23</v>
      </c>
      <c r="F1814" s="6">
        <f>IFERROR(VLOOKUP($G1814,基本資料!$A:$J,8,0),"無")</f>
        <v>-1.64</v>
      </c>
      <c r="G1814" s="79">
        <v>8477</v>
      </c>
      <c r="H1814" s="8" t="s">
        <v>4714</v>
      </c>
      <c r="I1814" s="16" t="s">
        <v>1037</v>
      </c>
      <c r="J1814" s="8" t="str">
        <f>IFERROR(VLOOKUP($G1814,今日總結!$A:$AJ,35,0),"")</f>
        <v/>
      </c>
      <c r="K1814" s="5" t="str">
        <f>IFERROR(VLOOKUP($G1814,今日總結!$A:$AJ,36,0),"")</f>
        <v/>
      </c>
      <c r="L1814" s="156" t="str">
        <f>IFERROR(VLOOKUP($G1814,今日總結!$A:$AJ,33,0),"")</f>
        <v/>
      </c>
      <c r="M1814" s="340" t="str">
        <f>IFERROR(VLOOKUP($G1814,今日總結!$A:$AJ,34,0),"")</f>
        <v/>
      </c>
      <c r="N1814" s="240" t="str">
        <f t="shared" si="353"/>
        <v/>
      </c>
      <c r="P1814" s="365">
        <f>IFERROR(VLOOKUP($G1814,融外自投!$A:$J,7,0),"無")</f>
        <v>1098</v>
      </c>
      <c r="Q1814" s="79" t="str">
        <f>IFERROR(VLOOKUP($G1814,融外自投!$A:$J,9,0),"無")</f>
        <v>無</v>
      </c>
      <c r="R1814" s="346">
        <f>IFERROR(VLOOKUP($G1814,融外自投!$A:$J,8,0),"無")</f>
        <v>272</v>
      </c>
      <c r="S1814" s="81" t="str">
        <f>IFERROR(VLOOKUP($G1814,融外自投!$A:$J,10,0),"無")</f>
        <v>無</v>
      </c>
      <c r="T1814" s="327">
        <f>IFERROR(VLOOKUP($G1814,'321買'!$A:$E,5,0),"'沒有資料'")</f>
        <v>1259</v>
      </c>
      <c r="U1814" s="186">
        <f>IFERROR(VLOOKUP($G1814,基本資料!$A:$J,9,0),"無")</f>
        <v>0</v>
      </c>
      <c r="V1814" s="310">
        <f t="shared" si="348"/>
        <v>0</v>
      </c>
      <c r="W1814" s="94">
        <f>IFERROR(VLOOKUP($G1814,基本資料!$A:$J,10,0),"無")</f>
        <v>-1.06</v>
      </c>
      <c r="X1814" s="36">
        <f>RTD("money.excel",,"8477","Price")</f>
        <v>26.85</v>
      </c>
      <c r="Y1814" s="66"/>
      <c r="Z1814" s="15">
        <f t="shared" si="349"/>
        <v>26.85</v>
      </c>
      <c r="AA1814" s="3" t="e">
        <f t="shared" si="350"/>
        <v>#DIV/0!</v>
      </c>
      <c r="AB1814" s="344">
        <f>IFERROR(VLOOKUP($G1814,基本資料!$A:$M,11,0),"無")</f>
        <v>-45.45</v>
      </c>
      <c r="AC1814" s="397">
        <f>IFERROR(VLOOKUP($G1814,基本資料!$A:$M,12,0),"無")</f>
        <v>26.8</v>
      </c>
      <c r="AD1814" s="16" t="s">
        <v>1037</v>
      </c>
      <c r="AG1814" s="33">
        <f t="shared" si="351"/>
        <v>0</v>
      </c>
      <c r="AH1814" s="43" t="s">
        <v>330</v>
      </c>
      <c r="AI1814" s="63">
        <f t="shared" si="352"/>
        <v>3.8095238095238096E-4</v>
      </c>
      <c r="AJ1814" s="284">
        <f>RTD("money.excel",,$G1814,"PredictVolume")</f>
        <v>12</v>
      </c>
      <c r="AK1814" s="399">
        <f>IFERROR(VLOOKUP($G1814,基本資料!$A:$M,13,0),"無")</f>
        <v>7.91</v>
      </c>
    </row>
    <row r="1815" spans="1:37">
      <c r="A1815" s="142"/>
      <c r="B1815" s="80"/>
      <c r="C1815" s="80"/>
      <c r="D1815" s="80"/>
      <c r="E1815" s="80"/>
      <c r="F1815" s="6"/>
      <c r="G1815" s="79"/>
      <c r="H1815" s="8"/>
      <c r="I1815" s="16"/>
      <c r="L1815" s="2"/>
      <c r="P1815" s="366"/>
      <c r="R1815" s="355"/>
      <c r="S1815" s="26"/>
      <c r="U1815" s="34"/>
      <c r="W1815" s="94"/>
      <c r="X1815" s="36"/>
      <c r="Y1815" s="66"/>
      <c r="Z1815" s="15"/>
      <c r="AA1815" s="3"/>
      <c r="AD1815" s="16"/>
      <c r="AG1815" s="33"/>
      <c r="AH1815" s="43"/>
      <c r="AI1815" s="63"/>
      <c r="AJ1815" s="284"/>
    </row>
    <row r="1816" spans="1:37">
      <c r="A1816" s="127" t="s">
        <v>1673</v>
      </c>
      <c r="B1816" s="90" t="s">
        <v>1572</v>
      </c>
      <c r="C1816" s="90" t="s">
        <v>1573</v>
      </c>
      <c r="D1816" s="90" t="s">
        <v>1574</v>
      </c>
      <c r="E1816" s="90" t="s">
        <v>1575</v>
      </c>
      <c r="F1816" s="8" t="s">
        <v>1060</v>
      </c>
      <c r="G1816" s="27" t="s">
        <v>1034</v>
      </c>
      <c r="H1816" s="55" t="s">
        <v>320</v>
      </c>
      <c r="I1816" s="50" t="s">
        <v>1038</v>
      </c>
      <c r="J1816" s="8" t="s">
        <v>6221</v>
      </c>
      <c r="K1816" s="5" t="s">
        <v>6222</v>
      </c>
      <c r="L1816" s="337" t="s">
        <v>6206</v>
      </c>
      <c r="M1816" s="338" t="s">
        <v>6207</v>
      </c>
      <c r="N1816" s="339" t="s">
        <v>6208</v>
      </c>
      <c r="O1816" s="4" t="s">
        <v>6713</v>
      </c>
      <c r="P1816" s="89" t="s">
        <v>6285</v>
      </c>
      <c r="Q1816" s="293" t="s">
        <v>6284</v>
      </c>
      <c r="R1816" s="354" t="s">
        <v>6283</v>
      </c>
      <c r="S1816" s="26" t="s">
        <v>6286</v>
      </c>
      <c r="T1816" s="321" t="s">
        <v>4716</v>
      </c>
      <c r="U1816" s="10" t="s">
        <v>66</v>
      </c>
      <c r="V1816" s="308" t="s">
        <v>4731</v>
      </c>
      <c r="W1816" s="68" t="s">
        <v>3273</v>
      </c>
      <c r="X1816" s="28" t="s">
        <v>2</v>
      </c>
      <c r="Y1816" s="17" t="s">
        <v>1399</v>
      </c>
      <c r="Z1816" s="14" t="s">
        <v>5</v>
      </c>
      <c r="AA1816" s="21" t="s">
        <v>3</v>
      </c>
      <c r="AB1816" s="96" t="s">
        <v>6174</v>
      </c>
      <c r="AC1816" s="384" t="s">
        <v>6420</v>
      </c>
      <c r="AD1816" s="50" t="s">
        <v>1038</v>
      </c>
      <c r="AE1816" s="71" t="s">
        <v>1400</v>
      </c>
      <c r="AF1816" s="72" t="s">
        <v>1157</v>
      </c>
      <c r="AG1816" s="32" t="s">
        <v>1158</v>
      </c>
      <c r="AH1816" s="25" t="s">
        <v>6209</v>
      </c>
      <c r="AI1816" s="8" t="s">
        <v>6731</v>
      </c>
      <c r="AJ1816" s="50" t="s">
        <v>3361</v>
      </c>
      <c r="AK1816" s="44" t="s">
        <v>6730</v>
      </c>
    </row>
    <row r="1817" spans="1:37">
      <c r="A1817" s="347">
        <f>IFERROR(VLOOKUP($G1817,基本資料!$A:$J,3,0),"無")</f>
        <v>3.93</v>
      </c>
      <c r="B1817" s="79">
        <f>IFERROR(VLOOKUP($G1817,基本資料!$A:$J,4,0),"無")</f>
        <v>-968</v>
      </c>
      <c r="C1817" s="79">
        <f>IFERROR(VLOOKUP($G1817,基本資料!$A:$J,5,0),"無")</f>
        <v>-514</v>
      </c>
      <c r="D1817" s="79">
        <f>IFERROR(VLOOKUP($G1817,基本資料!$A:$J,6,0),"無")</f>
        <v>103</v>
      </c>
      <c r="E1817" s="79">
        <f>IFERROR(VLOOKUP($G1817,基本資料!$A:$J,7,0),"無")</f>
        <v>23</v>
      </c>
      <c r="F1817" s="6">
        <f>IFERROR(VLOOKUP($G1817,基本資料!$A:$J,8,0),"無")</f>
        <v>-13.55</v>
      </c>
      <c r="G1817" s="79">
        <v>6578</v>
      </c>
      <c r="H1817" s="8" t="s">
        <v>1038</v>
      </c>
      <c r="I1817" s="16" t="s">
        <v>1121</v>
      </c>
      <c r="J1817" s="8">
        <f>IFERROR(VLOOKUP($G1817,今日總結!$A:$AJ,35,0),"")</f>
        <v>0</v>
      </c>
      <c r="K1817" s="5">
        <f>IFERROR(VLOOKUP($G1817,今日總結!$A:$AJ,36,0),"")</f>
        <v>32</v>
      </c>
      <c r="L1817" s="156">
        <f>IFERROR(VLOOKUP($G1817,今日總結!$A:$AJ,33,0),"")</f>
        <v>0</v>
      </c>
      <c r="M1817" s="340">
        <f>IFERROR(VLOOKUP($G1817,今日總結!$A:$AJ,34,0),"")</f>
        <v>3</v>
      </c>
      <c r="N1817" s="240">
        <f t="shared" ref="N1817:N1819" si="354">IFERROR(L1817-M1817,"")</f>
        <v>-3</v>
      </c>
      <c r="P1817" s="365">
        <f>IFERROR(VLOOKUP($G1817,融外自投!$A:$J,7,0),"無")</f>
        <v>93</v>
      </c>
      <c r="Q1817" s="79">
        <f>IFERROR(VLOOKUP($G1817,融外自投!$A:$J,9,0),"無")</f>
        <v>734</v>
      </c>
      <c r="R1817" s="346">
        <f>IFERROR(VLOOKUP($G1817,融外自投!$A:$J,8,0),"無")</f>
        <v>1276</v>
      </c>
      <c r="S1817" s="81" t="str">
        <f>IFERROR(VLOOKUP($G1817,融外自投!$A:$J,10,0),"無")</f>
        <v>無</v>
      </c>
      <c r="T1817" s="327">
        <f>IFERROR(VLOOKUP($G1817,'321買'!$A:$E,5,0),"'沒有資料'")</f>
        <v>915</v>
      </c>
      <c r="U1817" s="186">
        <f>IFERROR(VLOOKUP($G1817,基本資料!$A:$J,9,0),"無")</f>
        <v>0</v>
      </c>
      <c r="V1817" s="310">
        <f t="shared" ref="V1817:V1820" si="355">$U1817/$X1817</f>
        <v>0</v>
      </c>
      <c r="W1817" s="94">
        <f>IFERROR(VLOOKUP($G1817,基本資料!$A:$J,10,0),"無")</f>
        <v>-1.92</v>
      </c>
      <c r="X1817" s="36">
        <f>RTD("money.excel",,"6578","Price")</f>
        <v>25.15</v>
      </c>
      <c r="Y1817" s="66"/>
      <c r="Z1817" s="15">
        <f>X1817-Y1817</f>
        <v>25.15</v>
      </c>
      <c r="AA1817" s="3" t="e">
        <f>Z1817/Y1817</f>
        <v>#DIV/0!</v>
      </c>
      <c r="AB1817" s="344">
        <f>IFERROR(VLOOKUP($G1817,基本資料!$A:$M,11,0),"無")</f>
        <v>-12.31</v>
      </c>
      <c r="AC1817" s="397">
        <f>IFERROR(VLOOKUP($G1817,基本資料!$A:$M,12,0),"無")</f>
        <v>60.51</v>
      </c>
      <c r="AD1817" s="16" t="s">
        <v>1121</v>
      </c>
      <c r="AG1817" s="33">
        <f>AF1817-AE1817</f>
        <v>0</v>
      </c>
      <c r="AH1817" s="43" t="s">
        <v>2615</v>
      </c>
      <c r="AI1817" s="63">
        <f>AJ1817/(A1817*10000)</f>
        <v>0.33641221374045799</v>
      </c>
      <c r="AJ1817" s="284">
        <f>RTD("money.excel",,$G1817,"PredictVolume")</f>
        <v>13221</v>
      </c>
      <c r="AK1817" s="399">
        <f>IFERROR(VLOOKUP($G1817,基本資料!$A:$M,13,0),"無")</f>
        <v>33.479999999999997</v>
      </c>
    </row>
    <row r="1818" spans="1:37">
      <c r="A1818" s="347">
        <f>IFERROR(VLOOKUP($G1818,基本資料!$A:$J,3,0),"無")</f>
        <v>3.67</v>
      </c>
      <c r="B1818" s="79">
        <f>IFERROR(VLOOKUP($G1818,基本資料!$A:$J,4,0),"無")</f>
        <v>-25</v>
      </c>
      <c r="C1818" s="79">
        <f>IFERROR(VLOOKUP($G1818,基本資料!$A:$J,5,0),"無")</f>
        <v>-34</v>
      </c>
      <c r="D1818" s="79">
        <f>IFERROR(VLOOKUP($G1818,基本資料!$A:$J,6,0),"無")</f>
        <v>29</v>
      </c>
      <c r="E1818" s="79">
        <f>IFERROR(VLOOKUP($G1818,基本資料!$A:$J,7,0),"無")</f>
        <v>16</v>
      </c>
      <c r="F1818" s="6">
        <f>IFERROR(VLOOKUP($G1818,基本資料!$A:$J,8,0),"無")</f>
        <v>2.93</v>
      </c>
      <c r="G1818" s="79">
        <v>1240</v>
      </c>
      <c r="H1818" s="8" t="s">
        <v>1038</v>
      </c>
      <c r="I1818" s="16" t="s">
        <v>1120</v>
      </c>
      <c r="J1818" s="8" t="str">
        <f>IFERROR(VLOOKUP($G1818,今日總結!$A:$AJ,35,0),"")</f>
        <v/>
      </c>
      <c r="K1818" s="5" t="str">
        <f>IFERROR(VLOOKUP($G1818,今日總結!$A:$AJ,36,0),"")</f>
        <v/>
      </c>
      <c r="L1818" s="156" t="str">
        <f>IFERROR(VLOOKUP($G1818,今日總結!$A:$AJ,33,0),"")</f>
        <v/>
      </c>
      <c r="M1818" s="340" t="str">
        <f>IFERROR(VLOOKUP($G1818,今日總結!$A:$AJ,34,0),"")</f>
        <v/>
      </c>
      <c r="N1818" s="240" t="str">
        <f t="shared" si="354"/>
        <v/>
      </c>
      <c r="P1818" s="365">
        <f>IFERROR(VLOOKUP($G1818,融外自投!$A:$J,7,0),"無")</f>
        <v>395</v>
      </c>
      <c r="Q1818" s="79">
        <f>IFERROR(VLOOKUP($G1818,融外自投!$A:$J,9,0),"無")</f>
        <v>1110</v>
      </c>
      <c r="R1818" s="346">
        <f>IFERROR(VLOOKUP($G1818,融外自投!$A:$J,8,0),"無")</f>
        <v>1322</v>
      </c>
      <c r="S1818" s="81" t="str">
        <f>IFERROR(VLOOKUP($G1818,融外自投!$A:$J,10,0),"無")</f>
        <v>無</v>
      </c>
      <c r="T1818" s="327">
        <f>IFERROR(VLOOKUP($G1818,'321買'!$A:$E,5,0),"'沒有資料'")</f>
        <v>1281</v>
      </c>
      <c r="U1818" s="186">
        <f>IFERROR(VLOOKUP($G1818,基本資料!$A:$J,9,0),"無")</f>
        <v>2.5</v>
      </c>
      <c r="V1818" s="310">
        <f t="shared" si="355"/>
        <v>4.8355899419729204E-2</v>
      </c>
      <c r="W1818" s="94">
        <f>IFERROR(VLOOKUP($G1818,基本資料!$A:$J,10,0),"無")</f>
        <v>3.57</v>
      </c>
      <c r="X1818" s="36">
        <f>RTD("money.excel",,"1240","Price")</f>
        <v>51.7</v>
      </c>
      <c r="Y1818" s="66"/>
      <c r="Z1818" s="15">
        <f>X1818-Y1818</f>
        <v>51.7</v>
      </c>
      <c r="AA1818" s="3" t="e">
        <f>Z1818/Y1818</f>
        <v>#DIV/0!</v>
      </c>
      <c r="AB1818" s="344">
        <f>IFERROR(VLOOKUP($G1818,基本資料!$A:$M,11,0),"無")</f>
        <v>-28.83</v>
      </c>
      <c r="AC1818" s="397">
        <f>IFERROR(VLOOKUP($G1818,基本資料!$A:$M,12,0),"無")</f>
        <v>38.6</v>
      </c>
      <c r="AD1818" s="16" t="s">
        <v>1120</v>
      </c>
      <c r="AG1818" s="33">
        <f>AF1818-AE1818</f>
        <v>0</v>
      </c>
      <c r="AH1818" s="43" t="s">
        <v>2615</v>
      </c>
      <c r="AI1818" s="63">
        <f>AJ1818/(A1818*10000)</f>
        <v>1.3869209809264305E-2</v>
      </c>
      <c r="AJ1818" s="284">
        <f>RTD("money.excel",,$G1818,"PredictVolume")</f>
        <v>509</v>
      </c>
      <c r="AK1818" s="399">
        <f>IFERROR(VLOOKUP($G1818,基本資料!$A:$M,13,0),"無")</f>
        <v>21.69</v>
      </c>
    </row>
    <row r="1819" spans="1:37">
      <c r="A1819" s="347">
        <f>IFERROR(VLOOKUP($G1819,基本資料!$A:$J,3,0),"無")</f>
        <v>8.56</v>
      </c>
      <c r="B1819" s="79">
        <f>IFERROR(VLOOKUP($G1819,基本資料!$A:$J,4,0),"無")</f>
        <v>73</v>
      </c>
      <c r="C1819" s="79">
        <f>IFERROR(VLOOKUP($G1819,基本資料!$A:$J,5,0),"無")</f>
        <v>-17</v>
      </c>
      <c r="D1819" s="79">
        <f>IFERROR(VLOOKUP($G1819,基本資料!$A:$J,6,0),"無")</f>
        <v>90</v>
      </c>
      <c r="E1819" s="79">
        <f>IFERROR(VLOOKUP($G1819,基本資料!$A:$J,7,0),"無")</f>
        <v>18</v>
      </c>
      <c r="F1819" s="6">
        <f>IFERROR(VLOOKUP($G1819,基本資料!$A:$J,8,0),"無")</f>
        <v>11.57</v>
      </c>
      <c r="G1819" s="79">
        <v>6508</v>
      </c>
      <c r="H1819" s="8" t="s">
        <v>1038</v>
      </c>
      <c r="I1819" s="16" t="s">
        <v>1040</v>
      </c>
      <c r="J1819" s="8">
        <f>IFERROR(VLOOKUP($G1819,今日總結!$A:$AJ,35,0),"")</f>
        <v>0</v>
      </c>
      <c r="K1819" s="5">
        <f>IFERROR(VLOOKUP($G1819,今日總結!$A:$AJ,36,0),"")</f>
        <v>32</v>
      </c>
      <c r="L1819" s="156">
        <f>IFERROR(VLOOKUP($G1819,今日總結!$A:$AJ,33,0),"")</f>
        <v>0</v>
      </c>
      <c r="M1819" s="340">
        <f>IFERROR(VLOOKUP($G1819,今日總結!$A:$AJ,34,0),"")</f>
        <v>2</v>
      </c>
      <c r="N1819" s="240">
        <f t="shared" si="354"/>
        <v>-2</v>
      </c>
      <c r="P1819" s="365">
        <f>IFERROR(VLOOKUP($G1819,融外自投!$A:$J,7,0),"無")</f>
        <v>192</v>
      </c>
      <c r="Q1819" s="79">
        <f>IFERROR(VLOOKUP($G1819,融外自投!$A:$J,9,0),"無")</f>
        <v>734</v>
      </c>
      <c r="R1819" s="346">
        <f>IFERROR(VLOOKUP($G1819,融外自投!$A:$J,8,0),"無")</f>
        <v>1131</v>
      </c>
      <c r="S1819" s="81" t="str">
        <f>IFERROR(VLOOKUP($G1819,融外自投!$A:$J,10,0),"無")</f>
        <v>無</v>
      </c>
      <c r="T1819" s="327">
        <f>IFERROR(VLOOKUP($G1819,'321買'!$A:$E,5,0),"'沒有資料'")</f>
        <v>779</v>
      </c>
      <c r="U1819" s="186">
        <f>IFERROR(VLOOKUP($G1819,基本資料!$A:$J,9,0),"無")</f>
        <v>3</v>
      </c>
      <c r="V1819" s="310">
        <f t="shared" si="355"/>
        <v>6.1349693251533742E-2</v>
      </c>
      <c r="W1819" s="94">
        <f>IFERROR(VLOOKUP($G1819,基本資料!$A:$J,10,0),"無")</f>
        <v>3.85</v>
      </c>
      <c r="X1819" s="36">
        <f>RTD("money.excel",,"6508","Price")</f>
        <v>48.9</v>
      </c>
      <c r="Y1819" s="66"/>
      <c r="Z1819" s="15">
        <f>X1819-Y1819</f>
        <v>48.9</v>
      </c>
      <c r="AA1819" s="3" t="e">
        <f>Z1819/Y1819</f>
        <v>#DIV/0!</v>
      </c>
      <c r="AB1819" s="344">
        <f>IFERROR(VLOOKUP($G1819,基本資料!$A:$M,11,0),"無")</f>
        <v>-22.19</v>
      </c>
      <c r="AC1819" s="397">
        <f>IFERROR(VLOOKUP($G1819,基本資料!$A:$M,12,0),"無")</f>
        <v>64.38</v>
      </c>
      <c r="AD1819" s="16" t="s">
        <v>1040</v>
      </c>
      <c r="AG1819" s="33">
        <f>AF1819-AE1819</f>
        <v>0</v>
      </c>
      <c r="AH1819" s="43" t="s">
        <v>2704</v>
      </c>
      <c r="AI1819" s="63">
        <f>AJ1819/(A1819*10000)</f>
        <v>0.18419392523364486</v>
      </c>
      <c r="AJ1819" s="284">
        <f>RTD("money.excel",,$G1819,"PredictVolume")</f>
        <v>15767</v>
      </c>
      <c r="AK1819" s="399">
        <f>IFERROR(VLOOKUP($G1819,基本資料!$A:$M,13,0),"無")</f>
        <v>84.85</v>
      </c>
    </row>
    <row r="1820" spans="1:37">
      <c r="A1820" s="347">
        <f>IFERROR(VLOOKUP($G1820,基本資料!$A:$J,3,0),"無")</f>
        <v>4.17</v>
      </c>
      <c r="B1820" s="79">
        <f>IFERROR(VLOOKUP($G1820,基本資料!$A:$J,4,0),"無")</f>
        <v>40</v>
      </c>
      <c r="C1820" s="79">
        <f>IFERROR(VLOOKUP($G1820,基本資料!$A:$J,5,0),"無")</f>
        <v>35</v>
      </c>
      <c r="D1820" s="79">
        <f>IFERROR(VLOOKUP($G1820,基本資料!$A:$J,6,0),"無")</f>
        <v>17</v>
      </c>
      <c r="E1820" s="79">
        <f>IFERROR(VLOOKUP($G1820,基本資料!$A:$J,7,0),"無")</f>
        <v>39</v>
      </c>
      <c r="F1820" s="6">
        <f>IFERROR(VLOOKUP($G1820,基本資料!$A:$J,8,0),"無")</f>
        <v>47.66</v>
      </c>
      <c r="G1820" s="79">
        <v>4171</v>
      </c>
      <c r="H1820" s="8" t="s">
        <v>1038</v>
      </c>
      <c r="I1820" s="16" t="s">
        <v>1039</v>
      </c>
      <c r="J1820" s="8" t="str">
        <f>IFERROR(VLOOKUP($G1820,今日總結!$A:$AJ,35,0),"")</f>
        <v>4券</v>
      </c>
      <c r="K1820" s="5">
        <f>IFERROR(VLOOKUP($G1820,今日總結!$A:$AJ,36,0),"")</f>
        <v>3</v>
      </c>
      <c r="L1820" s="156">
        <f>IFERROR(VLOOKUP($G1820,今日總結!$A:$AJ,33,0),"")</f>
        <v>2</v>
      </c>
      <c r="M1820" s="340">
        <f>IFERROR(VLOOKUP($G1820,今日總結!$A:$AJ,34,0),"")</f>
        <v>1</v>
      </c>
      <c r="N1820" s="240">
        <f t="shared" ref="N1820" si="356">IFERROR(L1820-M1820,"")</f>
        <v>1</v>
      </c>
      <c r="P1820" s="365">
        <f>IFERROR(VLOOKUP($G1820,融外自投!$A:$J,7,0),"無")</f>
        <v>42</v>
      </c>
      <c r="Q1820" s="79">
        <f>IFERROR(VLOOKUP($G1820,融外自投!$A:$J,9,0),"無")</f>
        <v>138</v>
      </c>
      <c r="R1820" s="346">
        <f>IFERROR(VLOOKUP($G1820,融外自投!$A:$J,8,0),"無")</f>
        <v>251</v>
      </c>
      <c r="S1820" s="81" t="str">
        <f>IFERROR(VLOOKUP($G1820,融外自投!$A:$J,10,0),"無")</f>
        <v>無</v>
      </c>
      <c r="T1820" s="327">
        <f>IFERROR(VLOOKUP($G1820,'321買'!$A:$E,5,0),"'沒有資料'")</f>
        <v>634</v>
      </c>
      <c r="U1820" s="186">
        <f>IFERROR(VLOOKUP($G1820,基本資料!$A:$J,9,0),"無")</f>
        <v>6</v>
      </c>
      <c r="V1820" s="310">
        <f t="shared" si="355"/>
        <v>4.5977011494252873E-2</v>
      </c>
      <c r="W1820" s="94">
        <f>IFERROR(VLOOKUP($G1820,基本資料!$A:$J,10,0),"無")</f>
        <v>9.01</v>
      </c>
      <c r="X1820" s="36">
        <f>RTD("money.excel",,"4171","Price")</f>
        <v>130.5</v>
      </c>
      <c r="Y1820" s="66"/>
      <c r="Z1820" s="15">
        <f>X1820-Y1820</f>
        <v>130.5</v>
      </c>
      <c r="AA1820" s="3" t="e">
        <f>Z1820/Y1820</f>
        <v>#DIV/0!</v>
      </c>
      <c r="AB1820" s="344">
        <f>IFERROR(VLOOKUP($G1820,基本資料!$A:$M,11,0),"無")</f>
        <v>-25.13</v>
      </c>
      <c r="AC1820" s="397">
        <f>IFERROR(VLOOKUP($G1820,基本資料!$A:$M,12,0),"無")</f>
        <v>64.11</v>
      </c>
      <c r="AD1820" s="16" t="s">
        <v>1039</v>
      </c>
      <c r="AG1820" s="33">
        <f>AF1820-AE1820</f>
        <v>0</v>
      </c>
      <c r="AH1820" s="43" t="s">
        <v>2703</v>
      </c>
      <c r="AI1820" s="63">
        <f>AJ1820/(A1820*10000)</f>
        <v>0.7147721822541967</v>
      </c>
      <c r="AJ1820" s="284">
        <f>RTD("money.excel",,$G1820,"PredictVolume")</f>
        <v>29806</v>
      </c>
      <c r="AK1820" s="399">
        <f>IFERROR(VLOOKUP($G1820,基本資料!$A:$M,13,0),"無")</f>
        <v>166.47</v>
      </c>
    </row>
    <row r="1821" spans="1:37">
      <c r="B1821" s="79"/>
      <c r="C1821" s="79"/>
      <c r="D1821" s="80"/>
      <c r="E1821" s="79"/>
      <c r="F1821" s="57"/>
      <c r="G1821" s="79"/>
      <c r="H1821" s="8"/>
      <c r="I1821" s="16"/>
      <c r="L1821" s="2"/>
      <c r="P1821" s="366"/>
      <c r="R1821" s="355"/>
      <c r="S1821" s="26"/>
      <c r="U1821" s="66"/>
      <c r="W1821" s="94"/>
      <c r="X1821" s="36"/>
      <c r="Y1821" s="66"/>
      <c r="Z1821" s="15"/>
      <c r="AA1821" s="3"/>
      <c r="AD1821" s="16"/>
      <c r="AG1821" s="33"/>
      <c r="AH1821" s="43"/>
      <c r="AI1821" s="63"/>
      <c r="AJ1821" s="284"/>
    </row>
    <row r="1822" spans="1:37">
      <c r="A1822" s="127" t="s">
        <v>1673</v>
      </c>
      <c r="B1822" s="90" t="s">
        <v>1572</v>
      </c>
      <c r="C1822" s="90" t="s">
        <v>1573</v>
      </c>
      <c r="D1822" s="90" t="s">
        <v>1574</v>
      </c>
      <c r="E1822" s="90" t="s">
        <v>1575</v>
      </c>
      <c r="F1822" s="8" t="s">
        <v>1060</v>
      </c>
      <c r="G1822" s="27" t="s">
        <v>877</v>
      </c>
      <c r="H1822" s="55" t="s">
        <v>320</v>
      </c>
      <c r="I1822" s="50" t="s">
        <v>876</v>
      </c>
      <c r="J1822" s="8" t="s">
        <v>6221</v>
      </c>
      <c r="K1822" s="5" t="s">
        <v>6222</v>
      </c>
      <c r="L1822" s="337" t="s">
        <v>6206</v>
      </c>
      <c r="M1822" s="338" t="s">
        <v>6207</v>
      </c>
      <c r="N1822" s="339" t="s">
        <v>6208</v>
      </c>
      <c r="O1822" s="4" t="s">
        <v>6713</v>
      </c>
      <c r="P1822" s="89" t="s">
        <v>6285</v>
      </c>
      <c r="Q1822" s="293" t="s">
        <v>6284</v>
      </c>
      <c r="R1822" s="354" t="s">
        <v>6283</v>
      </c>
      <c r="S1822" s="26" t="s">
        <v>6286</v>
      </c>
      <c r="T1822" s="321" t="s">
        <v>4716</v>
      </c>
      <c r="U1822" s="10" t="s">
        <v>66</v>
      </c>
      <c r="V1822" s="308" t="s">
        <v>4731</v>
      </c>
      <c r="W1822" s="68" t="s">
        <v>3273</v>
      </c>
      <c r="X1822" s="28" t="s">
        <v>2</v>
      </c>
      <c r="Y1822" s="17" t="s">
        <v>1399</v>
      </c>
      <c r="Z1822" s="14" t="s">
        <v>5</v>
      </c>
      <c r="AA1822" s="21" t="s">
        <v>3</v>
      </c>
      <c r="AB1822" s="96" t="s">
        <v>6174</v>
      </c>
      <c r="AC1822" s="384" t="s">
        <v>6420</v>
      </c>
      <c r="AD1822" s="50" t="s">
        <v>876</v>
      </c>
      <c r="AE1822" s="71" t="s">
        <v>1400</v>
      </c>
      <c r="AF1822" s="72" t="s">
        <v>1157</v>
      </c>
      <c r="AG1822" s="32" t="s">
        <v>1158</v>
      </c>
      <c r="AH1822" s="25" t="s">
        <v>6209</v>
      </c>
      <c r="AI1822" s="8" t="s">
        <v>6731</v>
      </c>
      <c r="AJ1822" s="50" t="s">
        <v>3361</v>
      </c>
      <c r="AK1822" s="44" t="s">
        <v>6730</v>
      </c>
    </row>
    <row r="1823" spans="1:37">
      <c r="A1823" s="347">
        <f>IFERROR(VLOOKUP($G1823,基本資料!$A:$J,3,0),"無")</f>
        <v>153</v>
      </c>
      <c r="B1823" s="79">
        <f>IFERROR(VLOOKUP($G1823,基本資料!$A:$J,4,0),"無")</f>
        <v>344</v>
      </c>
      <c r="C1823" s="79">
        <f>IFERROR(VLOOKUP($G1823,基本資料!$A:$J,5,0),"無")</f>
        <v>-195</v>
      </c>
      <c r="D1823" s="79">
        <f>IFERROR(VLOOKUP($G1823,基本資料!$A:$J,6,0),"無")</f>
        <v>-12</v>
      </c>
      <c r="E1823" s="79">
        <f>IFERROR(VLOOKUP($G1823,基本資料!$A:$J,7,0),"無")</f>
        <v>-29</v>
      </c>
      <c r="F1823" s="6">
        <f>IFERROR(VLOOKUP($G1823,基本資料!$A:$J,8,0),"無")</f>
        <v>-2.09</v>
      </c>
      <c r="G1823" s="79">
        <v>2515</v>
      </c>
      <c r="H1823" s="8" t="s">
        <v>4715</v>
      </c>
      <c r="I1823" s="22" t="s">
        <v>323</v>
      </c>
      <c r="J1823" s="8" t="str">
        <f>IFERROR(VLOOKUP($G1823,今日總結!$A:$AJ,35,0),"")</f>
        <v/>
      </c>
      <c r="K1823" s="5" t="str">
        <f>IFERROR(VLOOKUP($G1823,今日總結!$A:$AJ,36,0),"")</f>
        <v/>
      </c>
      <c r="L1823" s="156" t="str">
        <f>IFERROR(VLOOKUP($G1823,今日總結!$A:$AJ,33,0),"")</f>
        <v/>
      </c>
      <c r="M1823" s="340" t="str">
        <f>IFERROR(VLOOKUP($G1823,今日總結!$A:$AJ,34,0),"")</f>
        <v/>
      </c>
      <c r="N1823" s="240" t="str">
        <f t="shared" ref="N1823:N1824" si="357">IFERROR(L1823-M1823,"")</f>
        <v/>
      </c>
      <c r="P1823" s="365">
        <f>IFERROR(VLOOKUP($G1823,融外自投!$A:$J,7,0),"無")</f>
        <v>695</v>
      </c>
      <c r="Q1823" s="79">
        <f>IFERROR(VLOOKUP($G1823,融外自投!$A:$J,9,0),"無")</f>
        <v>474</v>
      </c>
      <c r="R1823" s="346">
        <f>IFERROR(VLOOKUP($G1823,融外自投!$A:$J,8,0),"無")</f>
        <v>344</v>
      </c>
      <c r="S1823" s="81">
        <f>IFERROR(VLOOKUP($G1823,融外自投!$A:$J,10,0),"無")</f>
        <v>357</v>
      </c>
      <c r="T1823" s="327">
        <f>IFERROR(VLOOKUP($G1823,'321買'!$A:$E,5,0),"'沒有資料'")</f>
        <v>379</v>
      </c>
      <c r="U1823" s="186">
        <f>IFERROR(VLOOKUP($G1823,基本資料!$A:$J,9,0),"無")</f>
        <v>0.53</v>
      </c>
      <c r="V1823" s="310">
        <f t="shared" ref="V1823:V1824" si="358">$U1823/$X1823</f>
        <v>5.8498896247240618E-2</v>
      </c>
      <c r="W1823" s="94">
        <f>IFERROR(VLOOKUP($G1823,基本資料!$A:$J,10,0),"無")</f>
        <v>1.75</v>
      </c>
      <c r="X1823" s="36">
        <f>RTD("money.excel",,"2515","Price")</f>
        <v>9.06</v>
      </c>
      <c r="Y1823" s="66"/>
      <c r="Z1823" s="15">
        <f>X1823-Y1823</f>
        <v>9.06</v>
      </c>
      <c r="AA1823" s="3" t="e">
        <f>Z1823/Y1823</f>
        <v>#DIV/0!</v>
      </c>
      <c r="AB1823" s="344">
        <f>IFERROR(VLOOKUP($G1823,基本資料!$A:$M,11,0),"無")</f>
        <v>-14.81</v>
      </c>
      <c r="AC1823" s="397">
        <f>IFERROR(VLOOKUP($G1823,基本資料!$A:$M,12,0),"無")</f>
        <v>39.58</v>
      </c>
      <c r="AD1823" s="22" t="s">
        <v>323</v>
      </c>
      <c r="AG1823" s="33">
        <f>AF1823-AE1823</f>
        <v>0</v>
      </c>
      <c r="AH1823" s="43" t="s">
        <v>1538</v>
      </c>
      <c r="AI1823" s="63">
        <f>AJ1823/(A1823*10000)</f>
        <v>2.8189542483660129E-3</v>
      </c>
      <c r="AJ1823" s="284">
        <f>RTD("money.excel",,$G1823,"PredictVolume")</f>
        <v>4313</v>
      </c>
      <c r="AK1823" s="399">
        <f>IFERROR(VLOOKUP($G1823,基本資料!$A:$M,13,0),"無")</f>
        <v>12.47</v>
      </c>
    </row>
    <row r="1824" spans="1:37">
      <c r="A1824" s="347">
        <f>IFERROR(VLOOKUP($G1824,基本資料!$A:$J,3,0),"無")</f>
        <v>78.150000000000006</v>
      </c>
      <c r="B1824" s="79">
        <f>IFERROR(VLOOKUP($G1824,基本資料!$A:$J,4,0),"無")</f>
        <v>58</v>
      </c>
      <c r="C1824" s="79">
        <f>IFERROR(VLOOKUP($G1824,基本資料!$A:$J,5,0),"無")</f>
        <v>60</v>
      </c>
      <c r="D1824" s="79">
        <f>IFERROR(VLOOKUP($G1824,基本資料!$A:$J,6,0),"無")</f>
        <v>-10</v>
      </c>
      <c r="E1824" s="79">
        <f>IFERROR(VLOOKUP($G1824,基本資料!$A:$J,7,0),"無")</f>
        <v>11</v>
      </c>
      <c r="F1824" s="6">
        <f>IFERROR(VLOOKUP($G1824,基本資料!$A:$J,8,0),"無")</f>
        <v>24.68</v>
      </c>
      <c r="G1824" s="79">
        <v>5522</v>
      </c>
      <c r="H1824" s="192" t="s">
        <v>4715</v>
      </c>
      <c r="I1824" s="22" t="s">
        <v>135</v>
      </c>
      <c r="J1824" s="8">
        <f>IFERROR(VLOOKUP($G1824,今日總結!$A:$AJ,35,0),"")</f>
        <v>0</v>
      </c>
      <c r="K1824" s="5" t="str">
        <f>IFERROR(VLOOKUP($G1824,今日總結!$A:$AJ,36,0),"")</f>
        <v>外</v>
      </c>
      <c r="L1824" s="156">
        <f>IFERROR(VLOOKUP($G1824,今日總結!$A:$AJ,33,0),"")</f>
        <v>0</v>
      </c>
      <c r="M1824" s="340">
        <f>IFERROR(VLOOKUP($G1824,今日總結!$A:$AJ,34,0),"")</f>
        <v>1</v>
      </c>
      <c r="N1824" s="240">
        <f t="shared" si="357"/>
        <v>-1</v>
      </c>
      <c r="P1824" s="365">
        <f>IFERROR(VLOOKUP($G1824,融外自投!$A:$J,7,0),"無")</f>
        <v>1410</v>
      </c>
      <c r="Q1824" s="79">
        <f>IFERROR(VLOOKUP($G1824,融外自投!$A:$J,9,0),"無")</f>
        <v>49</v>
      </c>
      <c r="R1824" s="346">
        <f>IFERROR(VLOOKUP($G1824,融外自投!$A:$J,8,0),"無")</f>
        <v>558</v>
      </c>
      <c r="S1824" s="81">
        <f>IFERROR(VLOOKUP($G1824,融外自投!$A:$J,10,0),"無")</f>
        <v>63</v>
      </c>
      <c r="T1824" s="327">
        <f>IFERROR(VLOOKUP($G1824,'321買'!$A:$E,5,0),"'沒有資料'")</f>
        <v>44</v>
      </c>
      <c r="U1824" s="186">
        <f>IFERROR(VLOOKUP($G1824,基本資料!$A:$J,9,0),"無")</f>
        <v>5.5</v>
      </c>
      <c r="V1824" s="310">
        <f t="shared" si="358"/>
        <v>8.5536547433903584E-2</v>
      </c>
      <c r="W1824" s="94">
        <f>IFERROR(VLOOKUP($G1824,基本資料!$A:$J,10,0),"無")</f>
        <v>7.78</v>
      </c>
      <c r="X1824" s="36">
        <f>RTD("money.excel",,"5522","Price")</f>
        <v>64.3</v>
      </c>
      <c r="Y1824" s="66"/>
      <c r="Z1824" s="15">
        <f>X1824-Y1824</f>
        <v>64.3</v>
      </c>
      <c r="AA1824" s="3" t="e">
        <f>Z1824/Y1824</f>
        <v>#DIV/0!</v>
      </c>
      <c r="AB1824" s="344">
        <f>IFERROR(VLOOKUP($G1824,基本資料!$A:$M,11,0),"無")</f>
        <v>-5.59</v>
      </c>
      <c r="AC1824" s="397">
        <f>IFERROR(VLOOKUP($G1824,基本資料!$A:$M,12,0),"無")</f>
        <v>66.400000000000006</v>
      </c>
      <c r="AD1824" s="22" t="s">
        <v>135</v>
      </c>
      <c r="AG1824" s="33">
        <f>AF1824-AE1824</f>
        <v>0</v>
      </c>
      <c r="AH1824" s="117" t="s">
        <v>2017</v>
      </c>
      <c r="AI1824" s="63">
        <f>AJ1824/(A1824*10000)</f>
        <v>8.291746641074856E-4</v>
      </c>
      <c r="AJ1824" s="284">
        <f>RTD("money.excel",,$G1824,"PredictVolume")</f>
        <v>648</v>
      </c>
      <c r="AK1824" s="399">
        <f>IFERROR(VLOOKUP($G1824,基本資料!$A:$M,13,0),"無")</f>
        <v>0.56999999999999995</v>
      </c>
    </row>
    <row r="1825" spans="1:36">
      <c r="A1825" s="129"/>
      <c r="B1825" s="245"/>
      <c r="C1825" s="245"/>
      <c r="D1825" s="245"/>
      <c r="E1825" s="245"/>
      <c r="F1825" s="245"/>
      <c r="G1825" s="187"/>
      <c r="H1825" s="187"/>
      <c r="I1825" s="245"/>
      <c r="J1825" s="262"/>
      <c r="K1825" s="368"/>
      <c r="L1825" s="2"/>
      <c r="M1825" s="268"/>
      <c r="N1825" s="22"/>
      <c r="P1825" s="366"/>
      <c r="R1825" s="355"/>
      <c r="S1825" s="371"/>
      <c r="T1825" s="325"/>
      <c r="U1825" s="245"/>
      <c r="W1825" s="245"/>
      <c r="X1825" s="245"/>
      <c r="Y1825" s="245"/>
      <c r="Z1825" s="245"/>
      <c r="AA1825" s="245"/>
      <c r="AB1825" s="353"/>
      <c r="AD1825" s="245"/>
      <c r="AE1825" s="245"/>
      <c r="AF1825" s="245"/>
      <c r="AG1825" s="245"/>
      <c r="AH1825" s="245"/>
      <c r="AI1825" s="245"/>
      <c r="AJ1825" s="245"/>
    </row>
    <row r="1826" spans="1:36">
      <c r="B1826" s="90"/>
      <c r="C1826" s="90"/>
      <c r="D1826" s="90"/>
      <c r="E1826" s="90"/>
      <c r="F1826" s="8"/>
      <c r="G1826" s="27"/>
      <c r="H1826" s="55"/>
      <c r="I1826" s="50"/>
      <c r="L1826" s="122"/>
      <c r="P1826" s="366"/>
      <c r="R1826" s="355"/>
      <c r="S1826" s="26"/>
      <c r="T1826" s="321"/>
      <c r="U1826" s="10"/>
      <c r="W1826" s="395"/>
      <c r="X1826" s="396"/>
      <c r="Y1826" s="17"/>
      <c r="Z1826" s="14"/>
      <c r="AA1826" s="21"/>
      <c r="AD1826" s="50"/>
      <c r="AE1826" s="71"/>
      <c r="AF1826" s="72"/>
      <c r="AG1826" s="32"/>
      <c r="AH1826" s="43"/>
      <c r="AI1826" s="8"/>
      <c r="AJ1826" s="50"/>
    </row>
    <row r="1827" spans="1:36">
      <c r="B1827" s="90"/>
      <c r="C1827" s="90"/>
      <c r="D1827" s="90"/>
      <c r="E1827" s="90"/>
      <c r="F1827" s="8"/>
      <c r="G1827" s="27"/>
      <c r="H1827" s="55"/>
      <c r="I1827" s="50"/>
      <c r="L1827" s="122"/>
      <c r="P1827" s="366"/>
      <c r="R1827" s="355"/>
      <c r="S1827" s="26"/>
      <c r="T1827" s="321"/>
      <c r="U1827" s="10"/>
      <c r="W1827" s="395"/>
      <c r="X1827" s="396"/>
      <c r="Y1827" s="17"/>
      <c r="Z1827" s="14"/>
      <c r="AA1827" s="21"/>
      <c r="AD1827" s="50"/>
      <c r="AE1827" s="71"/>
      <c r="AF1827" s="72"/>
      <c r="AG1827" s="32"/>
      <c r="AH1827" s="43"/>
      <c r="AI1827" s="8"/>
      <c r="AJ1827" s="50"/>
    </row>
    <row r="1828" spans="1:36">
      <c r="B1828" s="90"/>
      <c r="C1828" s="90"/>
      <c r="D1828" s="90"/>
      <c r="E1828" s="90"/>
      <c r="F1828" s="8"/>
      <c r="G1828" s="27"/>
      <c r="H1828" s="55"/>
      <c r="I1828" s="50"/>
      <c r="L1828" s="122"/>
      <c r="P1828" s="366"/>
      <c r="R1828" s="355"/>
      <c r="S1828" s="26"/>
      <c r="T1828" s="321"/>
      <c r="U1828" s="10"/>
      <c r="W1828" s="395"/>
      <c r="X1828" s="396"/>
      <c r="Y1828" s="17"/>
      <c r="Z1828" s="14"/>
      <c r="AA1828" s="21"/>
      <c r="AD1828" s="50"/>
      <c r="AE1828" s="71"/>
      <c r="AF1828" s="72"/>
      <c r="AG1828" s="32"/>
      <c r="AH1828" s="43"/>
      <c r="AI1828" s="8"/>
      <c r="AJ1828" s="50"/>
    </row>
    <row r="1829" spans="1:36">
      <c r="B1829" s="90"/>
      <c r="C1829" s="90"/>
      <c r="D1829" s="90"/>
      <c r="E1829" s="90"/>
      <c r="F1829" s="8"/>
      <c r="G1829" s="27"/>
      <c r="H1829" s="55"/>
      <c r="I1829" s="50"/>
      <c r="L1829" s="122"/>
      <c r="P1829" s="366"/>
      <c r="R1829" s="355"/>
      <c r="S1829" s="26"/>
      <c r="T1829" s="321"/>
      <c r="U1829" s="10"/>
      <c r="W1829" s="395"/>
      <c r="X1829" s="396"/>
      <c r="Y1829" s="17"/>
      <c r="Z1829" s="14"/>
      <c r="AA1829" s="21"/>
      <c r="AD1829" s="50"/>
      <c r="AE1829" s="71"/>
      <c r="AF1829" s="72"/>
      <c r="AG1829" s="32"/>
      <c r="AH1829" s="43"/>
      <c r="AI1829" s="8"/>
      <c r="AJ1829" s="50"/>
    </row>
    <row r="1830" spans="1:36">
      <c r="B1830" s="90"/>
      <c r="C1830" s="90"/>
      <c r="D1830" s="90"/>
      <c r="E1830" s="90"/>
      <c r="F1830" s="8"/>
      <c r="G1830" s="27"/>
      <c r="H1830" s="55"/>
      <c r="I1830" s="50"/>
      <c r="L1830" s="122"/>
      <c r="P1830" s="366"/>
      <c r="R1830" s="355"/>
      <c r="S1830" s="26"/>
      <c r="T1830" s="321"/>
      <c r="U1830" s="10"/>
      <c r="W1830" s="395"/>
      <c r="X1830" s="396"/>
      <c r="Y1830" s="17"/>
      <c r="Z1830" s="14"/>
      <c r="AA1830" s="21"/>
      <c r="AD1830" s="50"/>
      <c r="AE1830" s="71"/>
      <c r="AF1830" s="72"/>
      <c r="AG1830" s="32"/>
      <c r="AH1830" s="43"/>
      <c r="AI1830" s="8"/>
      <c r="AJ1830" s="50"/>
    </row>
    <row r="1831" spans="1:36">
      <c r="B1831" s="90"/>
      <c r="C1831" s="90"/>
      <c r="D1831" s="90"/>
      <c r="E1831" s="90"/>
      <c r="F1831" s="8"/>
      <c r="G1831" s="27"/>
      <c r="H1831" s="55"/>
      <c r="I1831" s="50"/>
      <c r="L1831" s="122"/>
      <c r="P1831" s="366"/>
      <c r="R1831" s="355"/>
      <c r="S1831" s="26"/>
      <c r="T1831" s="321"/>
      <c r="U1831" s="10"/>
      <c r="W1831" s="395"/>
      <c r="X1831" s="396"/>
      <c r="Y1831" s="17"/>
      <c r="Z1831" s="14"/>
      <c r="AA1831" s="21"/>
      <c r="AD1831" s="50"/>
      <c r="AE1831" s="71"/>
      <c r="AF1831" s="72"/>
      <c r="AG1831" s="32"/>
      <c r="AH1831" s="43"/>
      <c r="AI1831" s="8"/>
      <c r="AJ1831" s="50"/>
    </row>
    <row r="1832" spans="1:36">
      <c r="B1832" s="90"/>
      <c r="C1832" s="90"/>
      <c r="D1832" s="90"/>
      <c r="E1832" s="90"/>
      <c r="F1832" s="8"/>
      <c r="G1832" s="27"/>
      <c r="H1832" s="55"/>
      <c r="I1832" s="50"/>
      <c r="L1832" s="122"/>
      <c r="P1832" s="366"/>
      <c r="R1832" s="355"/>
      <c r="S1832" s="26"/>
      <c r="T1832" s="321"/>
      <c r="U1832" s="10"/>
      <c r="W1832" s="395"/>
      <c r="X1832" s="396"/>
      <c r="Y1832" s="17"/>
      <c r="Z1832" s="14"/>
      <c r="AA1832" s="21"/>
      <c r="AD1832" s="50"/>
      <c r="AE1832" s="71"/>
      <c r="AF1832" s="72"/>
      <c r="AG1832" s="32"/>
      <c r="AH1832" s="43"/>
      <c r="AI1832" s="8"/>
      <c r="AJ1832" s="50"/>
    </row>
    <row r="1833" spans="1:36">
      <c r="B1833" s="90"/>
      <c r="C1833" s="90"/>
      <c r="D1833" s="90"/>
      <c r="E1833" s="90"/>
      <c r="F1833" s="8"/>
      <c r="G1833" s="27"/>
      <c r="H1833" s="55"/>
      <c r="I1833" s="50"/>
      <c r="L1833" s="122"/>
      <c r="P1833" s="366"/>
      <c r="R1833" s="355"/>
      <c r="S1833" s="26"/>
      <c r="T1833" s="321"/>
      <c r="U1833" s="10"/>
      <c r="W1833" s="395"/>
      <c r="X1833" s="396"/>
      <c r="Y1833" s="17"/>
      <c r="Z1833" s="14"/>
      <c r="AA1833" s="21"/>
      <c r="AD1833" s="50"/>
      <c r="AE1833" s="71"/>
      <c r="AF1833" s="72"/>
      <c r="AG1833" s="32"/>
      <c r="AH1833" s="43"/>
      <c r="AI1833" s="8"/>
      <c r="AJ1833" s="50"/>
    </row>
    <row r="1834" spans="1:36">
      <c r="B1834" s="90"/>
      <c r="C1834" s="90"/>
      <c r="D1834" s="90"/>
      <c r="E1834" s="90"/>
      <c r="F1834" s="8"/>
      <c r="G1834" s="27"/>
      <c r="H1834" s="55"/>
      <c r="I1834" s="50"/>
      <c r="L1834" s="122"/>
      <c r="P1834" s="366"/>
      <c r="R1834" s="355"/>
      <c r="S1834" s="26"/>
      <c r="T1834" s="321"/>
      <c r="U1834" s="10"/>
      <c r="W1834" s="395"/>
      <c r="X1834" s="396"/>
      <c r="Y1834" s="17"/>
      <c r="Z1834" s="14"/>
      <c r="AA1834" s="21"/>
      <c r="AD1834" s="50"/>
      <c r="AE1834" s="71"/>
      <c r="AF1834" s="72"/>
      <c r="AG1834" s="32"/>
      <c r="AH1834" s="43"/>
      <c r="AI1834" s="8"/>
      <c r="AJ1834" s="50"/>
    </row>
    <row r="1835" spans="1:36">
      <c r="B1835" s="90"/>
      <c r="C1835" s="90"/>
      <c r="D1835" s="90"/>
      <c r="E1835" s="90"/>
      <c r="F1835" s="8"/>
      <c r="G1835" s="27"/>
      <c r="H1835" s="55"/>
      <c r="I1835" s="50"/>
      <c r="L1835" s="122"/>
      <c r="P1835" s="366"/>
      <c r="R1835" s="355"/>
      <c r="S1835" s="26"/>
      <c r="T1835" s="321"/>
      <c r="U1835" s="10"/>
      <c r="W1835" s="395"/>
      <c r="X1835" s="396"/>
      <c r="Y1835" s="17"/>
      <c r="Z1835" s="14"/>
      <c r="AA1835" s="21"/>
      <c r="AD1835" s="50"/>
      <c r="AE1835" s="71"/>
      <c r="AF1835" s="72"/>
      <c r="AG1835" s="32"/>
      <c r="AH1835" s="43"/>
      <c r="AI1835" s="8"/>
      <c r="AJ1835" s="50"/>
    </row>
    <row r="1836" spans="1:36">
      <c r="B1836" s="90"/>
      <c r="C1836" s="90"/>
      <c r="D1836" s="90"/>
      <c r="E1836" s="90"/>
      <c r="F1836" s="8"/>
      <c r="G1836" s="27"/>
      <c r="H1836" s="55"/>
      <c r="I1836" s="50"/>
      <c r="L1836" s="122"/>
      <c r="P1836" s="366"/>
      <c r="R1836" s="355"/>
      <c r="S1836" s="26"/>
      <c r="T1836" s="321"/>
      <c r="U1836" s="10"/>
      <c r="W1836" s="395"/>
      <c r="X1836" s="396"/>
      <c r="Y1836" s="17"/>
      <c r="Z1836" s="14"/>
      <c r="AA1836" s="21"/>
      <c r="AD1836" s="50"/>
      <c r="AE1836" s="71"/>
      <c r="AF1836" s="72"/>
      <c r="AG1836" s="32"/>
      <c r="AH1836" s="43"/>
      <c r="AI1836" s="8"/>
      <c r="AJ1836" s="50"/>
    </row>
    <row r="1837" spans="1:36">
      <c r="B1837" s="90"/>
      <c r="C1837" s="90"/>
      <c r="D1837" s="90"/>
      <c r="E1837" s="90"/>
      <c r="F1837" s="8"/>
      <c r="G1837" s="27"/>
      <c r="H1837" s="55"/>
      <c r="I1837" s="50"/>
      <c r="L1837" s="122"/>
      <c r="P1837" s="366"/>
      <c r="R1837" s="355"/>
      <c r="S1837" s="26"/>
      <c r="T1837" s="321"/>
      <c r="U1837" s="10"/>
      <c r="W1837" s="395"/>
      <c r="X1837" s="396"/>
      <c r="Y1837" s="17"/>
      <c r="Z1837" s="14"/>
      <c r="AA1837" s="21"/>
      <c r="AD1837" s="50"/>
      <c r="AE1837" s="71"/>
      <c r="AF1837" s="72"/>
      <c r="AG1837" s="33"/>
      <c r="AH1837" s="43"/>
      <c r="AI1837" s="8"/>
      <c r="AJ1837" s="50"/>
    </row>
    <row r="1838" spans="1:36">
      <c r="B1838" s="90"/>
      <c r="C1838" s="90"/>
      <c r="D1838" s="90"/>
      <c r="E1838" s="90"/>
      <c r="F1838" s="8"/>
      <c r="G1838" s="27"/>
      <c r="H1838" s="55"/>
      <c r="I1838" s="50"/>
      <c r="L1838" s="2"/>
      <c r="P1838" s="366"/>
      <c r="R1838" s="355"/>
      <c r="S1838" s="26"/>
      <c r="T1838" s="321"/>
      <c r="U1838" s="10"/>
      <c r="W1838" s="395"/>
      <c r="X1838" s="396"/>
      <c r="Y1838" s="17"/>
      <c r="Z1838" s="14"/>
      <c r="AA1838" s="21"/>
      <c r="AD1838" s="50"/>
      <c r="AE1838" s="71"/>
      <c r="AF1838" s="72"/>
      <c r="AG1838" s="32"/>
      <c r="AH1838" s="43"/>
      <c r="AI1838" s="8"/>
      <c r="AJ1838" s="50"/>
    </row>
    <row r="1839" spans="1:36">
      <c r="B1839" s="90"/>
      <c r="C1839" s="90"/>
      <c r="D1839" s="90"/>
      <c r="E1839" s="90"/>
      <c r="F1839" s="8"/>
      <c r="G1839" s="27"/>
      <c r="H1839" s="55"/>
      <c r="I1839" s="50"/>
      <c r="L1839" s="122"/>
      <c r="P1839" s="366"/>
      <c r="R1839" s="355"/>
      <c r="S1839" s="26"/>
      <c r="T1839" s="321"/>
      <c r="U1839" s="10"/>
      <c r="W1839" s="395"/>
      <c r="X1839" s="396"/>
      <c r="Y1839" s="17"/>
      <c r="Z1839" s="14"/>
      <c r="AA1839" s="21"/>
      <c r="AD1839" s="50"/>
      <c r="AE1839" s="71"/>
      <c r="AF1839" s="72"/>
      <c r="AG1839" s="32"/>
      <c r="AH1839" s="43"/>
      <c r="AI1839" s="8"/>
      <c r="AJ1839" s="50"/>
    </row>
    <row r="1840" spans="1:36">
      <c r="B1840" s="90"/>
      <c r="C1840" s="90"/>
      <c r="D1840" s="90"/>
      <c r="E1840" s="90"/>
      <c r="F1840" s="8"/>
      <c r="G1840" s="27"/>
      <c r="H1840" s="55"/>
      <c r="I1840" s="50"/>
      <c r="L1840" s="2"/>
      <c r="P1840" s="366"/>
      <c r="R1840" s="355"/>
      <c r="S1840" s="26"/>
      <c r="T1840" s="321"/>
      <c r="U1840" s="10"/>
      <c r="W1840" s="395"/>
      <c r="X1840" s="396"/>
      <c r="Y1840" s="17"/>
      <c r="Z1840" s="14"/>
      <c r="AA1840" s="21"/>
      <c r="AD1840" s="50"/>
      <c r="AE1840" s="71"/>
      <c r="AF1840" s="72"/>
      <c r="AG1840" s="32"/>
      <c r="AH1840" s="43"/>
      <c r="AI1840" s="8"/>
      <c r="AJ1840" s="50"/>
    </row>
    <row r="1841" spans="1:36">
      <c r="B1841" s="90"/>
      <c r="C1841" s="90"/>
      <c r="D1841" s="90"/>
      <c r="E1841" s="90"/>
      <c r="F1841" s="8"/>
      <c r="G1841" s="27"/>
      <c r="H1841" s="55"/>
      <c r="I1841" s="50"/>
      <c r="L1841" s="122"/>
      <c r="P1841" s="366"/>
      <c r="R1841" s="355"/>
      <c r="S1841" s="26"/>
      <c r="T1841" s="321"/>
      <c r="U1841" s="10"/>
      <c r="W1841" s="395"/>
      <c r="X1841" s="396"/>
      <c r="Y1841" s="17"/>
      <c r="Z1841" s="14"/>
      <c r="AA1841" s="21"/>
      <c r="AD1841" s="50"/>
      <c r="AE1841" s="71"/>
      <c r="AF1841" s="72"/>
      <c r="AG1841" s="32"/>
      <c r="AH1841" s="43"/>
      <c r="AI1841" s="8"/>
      <c r="AJ1841" s="50"/>
    </row>
    <row r="1842" spans="1:36">
      <c r="B1842" s="90"/>
      <c r="C1842" s="90"/>
      <c r="D1842" s="90"/>
      <c r="E1842" s="90"/>
      <c r="F1842" s="8"/>
      <c r="G1842" s="27"/>
      <c r="H1842" s="55"/>
      <c r="I1842" s="8"/>
      <c r="L1842" s="122"/>
      <c r="P1842" s="366"/>
      <c r="R1842" s="355"/>
      <c r="S1842" s="26"/>
      <c r="T1842" s="321"/>
      <c r="U1842" s="10"/>
      <c r="W1842" s="395"/>
      <c r="X1842" s="396"/>
      <c r="Y1842" s="17"/>
      <c r="Z1842" s="14"/>
      <c r="AA1842" s="21"/>
      <c r="AD1842" s="8"/>
      <c r="AE1842" s="71"/>
      <c r="AF1842" s="72"/>
      <c r="AG1842" s="32"/>
      <c r="AH1842" s="43"/>
      <c r="AI1842" s="8"/>
      <c r="AJ1842" s="50"/>
    </row>
    <row r="1843" spans="1:36">
      <c r="B1843" s="90"/>
      <c r="C1843" s="90"/>
      <c r="D1843" s="90"/>
      <c r="E1843" s="90"/>
      <c r="F1843" s="8"/>
      <c r="G1843" s="27"/>
      <c r="H1843" s="55"/>
      <c r="I1843" s="8"/>
      <c r="L1843" s="122"/>
      <c r="P1843" s="366"/>
      <c r="R1843" s="355"/>
      <c r="S1843" s="26"/>
      <c r="T1843" s="321"/>
      <c r="U1843" s="10"/>
      <c r="W1843" s="395"/>
      <c r="X1843" s="396"/>
      <c r="Y1843" s="17"/>
      <c r="Z1843" s="14"/>
      <c r="AA1843" s="21"/>
      <c r="AD1843" s="8"/>
      <c r="AE1843" s="71"/>
      <c r="AF1843" s="72"/>
      <c r="AG1843" s="32"/>
      <c r="AH1843" s="43"/>
      <c r="AI1843" s="8"/>
      <c r="AJ1843" s="50"/>
    </row>
    <row r="1844" spans="1:36">
      <c r="B1844" s="90"/>
      <c r="C1844" s="90"/>
      <c r="D1844" s="90"/>
      <c r="E1844" s="90"/>
      <c r="F1844" s="8"/>
      <c r="G1844" s="27"/>
      <c r="H1844" s="55"/>
      <c r="I1844" s="8"/>
      <c r="L1844" s="122"/>
      <c r="P1844" s="366"/>
      <c r="R1844" s="355"/>
      <c r="S1844" s="26"/>
      <c r="T1844" s="321"/>
      <c r="U1844" s="10"/>
      <c r="W1844" s="395"/>
      <c r="X1844" s="396"/>
      <c r="Y1844" s="17"/>
      <c r="Z1844" s="14"/>
      <c r="AA1844" s="21"/>
      <c r="AD1844" s="8"/>
      <c r="AE1844" s="71"/>
      <c r="AF1844" s="72"/>
      <c r="AG1844" s="32"/>
      <c r="AH1844" s="43"/>
      <c r="AI1844" s="8"/>
      <c r="AJ1844" s="50"/>
    </row>
    <row r="1845" spans="1:36">
      <c r="B1845" s="90"/>
      <c r="C1845" s="90"/>
      <c r="D1845" s="90"/>
      <c r="E1845" s="90"/>
      <c r="F1845" s="8"/>
      <c r="G1845" s="27"/>
      <c r="H1845" s="55"/>
      <c r="I1845" s="8"/>
      <c r="L1845" s="2"/>
      <c r="P1845" s="366"/>
      <c r="R1845" s="355"/>
      <c r="S1845" s="26"/>
      <c r="T1845" s="321"/>
      <c r="U1845" s="10"/>
      <c r="W1845" s="395"/>
      <c r="X1845" s="396"/>
      <c r="Y1845" s="17"/>
      <c r="Z1845" s="14"/>
      <c r="AA1845" s="21"/>
      <c r="AD1845" s="8"/>
      <c r="AE1845" s="71"/>
      <c r="AF1845" s="72"/>
      <c r="AG1845" s="32"/>
      <c r="AH1845" s="43"/>
      <c r="AI1845" s="8"/>
      <c r="AJ1845" s="50"/>
    </row>
    <row r="1846" spans="1:36">
      <c r="B1846" s="90"/>
      <c r="C1846" s="90"/>
      <c r="D1846" s="90"/>
      <c r="E1846" s="90"/>
      <c r="F1846" s="8"/>
      <c r="G1846" s="27"/>
      <c r="H1846" s="55"/>
      <c r="I1846" s="8"/>
      <c r="L1846" s="2"/>
      <c r="P1846" s="366"/>
      <c r="R1846" s="355"/>
      <c r="S1846" s="26"/>
      <c r="T1846" s="321"/>
      <c r="U1846" s="10"/>
      <c r="W1846" s="395"/>
      <c r="X1846" s="396"/>
      <c r="Y1846" s="17"/>
      <c r="Z1846" s="14"/>
      <c r="AA1846" s="21"/>
      <c r="AD1846" s="8"/>
      <c r="AE1846" s="71"/>
      <c r="AF1846" s="72"/>
      <c r="AG1846" s="32"/>
      <c r="AH1846" s="43"/>
      <c r="AI1846" s="8"/>
      <c r="AJ1846" s="50"/>
    </row>
    <row r="1847" spans="1:36">
      <c r="B1847" s="90"/>
      <c r="C1847" s="90"/>
      <c r="D1847" s="90"/>
      <c r="E1847" s="90"/>
      <c r="F1847" s="8"/>
      <c r="G1847" s="27"/>
      <c r="H1847" s="55"/>
      <c r="I1847" s="8"/>
      <c r="L1847" s="2"/>
      <c r="P1847" s="366"/>
      <c r="R1847" s="355"/>
      <c r="S1847" s="26"/>
      <c r="T1847" s="321"/>
      <c r="U1847" s="10"/>
      <c r="W1847" s="395"/>
      <c r="X1847" s="396"/>
      <c r="Y1847" s="17"/>
      <c r="Z1847" s="14"/>
      <c r="AA1847" s="21"/>
      <c r="AD1847" s="8"/>
      <c r="AE1847" s="71"/>
      <c r="AF1847" s="72"/>
      <c r="AG1847" s="32"/>
      <c r="AH1847" s="43"/>
      <c r="AI1847" s="8"/>
      <c r="AJ1847" s="50"/>
    </row>
    <row r="1848" spans="1:36">
      <c r="B1848" s="90"/>
      <c r="C1848" s="90"/>
      <c r="D1848" s="90"/>
      <c r="E1848" s="90"/>
      <c r="F1848" s="8"/>
      <c r="G1848" s="27"/>
      <c r="H1848" s="55"/>
      <c r="I1848" s="8"/>
      <c r="L1848" s="2"/>
      <c r="P1848" s="366"/>
      <c r="R1848" s="355"/>
      <c r="S1848" s="26"/>
      <c r="T1848" s="321"/>
      <c r="U1848" s="10"/>
      <c r="W1848" s="395"/>
      <c r="X1848" s="396"/>
      <c r="Y1848" s="17"/>
      <c r="Z1848" s="14"/>
      <c r="AA1848" s="21"/>
      <c r="AD1848" s="8"/>
      <c r="AE1848" s="71"/>
      <c r="AF1848" s="72"/>
      <c r="AG1848" s="32"/>
      <c r="AH1848" s="43"/>
      <c r="AI1848" s="8"/>
      <c r="AJ1848" s="50"/>
    </row>
    <row r="1849" spans="1:36">
      <c r="A1849" s="142"/>
      <c r="B1849" s="90"/>
      <c r="C1849" s="90"/>
      <c r="D1849" s="90"/>
      <c r="E1849" s="90"/>
      <c r="F1849" s="6"/>
      <c r="H1849" s="8"/>
      <c r="I1849" s="22"/>
      <c r="P1849" s="366"/>
      <c r="R1849" s="355"/>
      <c r="S1849" s="19"/>
      <c r="U1849" s="34"/>
      <c r="W1849" s="94"/>
      <c r="X1849" s="36"/>
      <c r="Y1849" s="66"/>
      <c r="Z1849" s="15"/>
      <c r="AA1849" s="3"/>
      <c r="AD1849" s="22"/>
      <c r="AG1849" s="33"/>
      <c r="AH1849" s="43"/>
    </row>
    <row r="1850" spans="1:36">
      <c r="P1850" s="366"/>
      <c r="R1850" s="355"/>
    </row>
    <row r="1851" spans="1:36">
      <c r="P1851" s="366"/>
      <c r="R1851" s="355"/>
    </row>
    <row r="1852" spans="1:36">
      <c r="P1852" s="366"/>
      <c r="R1852" s="355"/>
    </row>
    <row r="1853" spans="1:36">
      <c r="P1853" s="366"/>
      <c r="R1853" s="355"/>
    </row>
    <row r="1854" spans="1:36">
      <c r="P1854" s="366"/>
      <c r="R1854" s="355"/>
    </row>
    <row r="1855" spans="1:36">
      <c r="P1855" s="366"/>
      <c r="R1855" s="355"/>
    </row>
    <row r="1856" spans="1:36">
      <c r="P1856" s="366"/>
      <c r="R1856" s="355"/>
    </row>
    <row r="1857" spans="16:18">
      <c r="P1857" s="366"/>
      <c r="R1857" s="355"/>
    </row>
    <row r="1858" spans="16:18">
      <c r="P1858" s="366"/>
      <c r="R1858" s="355"/>
    </row>
    <row r="1859" spans="16:18" ht="17.25" customHeight="1">
      <c r="P1859" s="366"/>
      <c r="R1859" s="355"/>
    </row>
    <row r="1860" spans="16:18">
      <c r="P1860" s="366"/>
      <c r="R1860" s="355"/>
    </row>
    <row r="1861" spans="16:18">
      <c r="P1861" s="366"/>
      <c r="R1861" s="355"/>
    </row>
    <row r="1862" spans="16:18">
      <c r="P1862" s="366"/>
      <c r="R1862" s="355"/>
    </row>
    <row r="1863" spans="16:18">
      <c r="P1863" s="366"/>
      <c r="R1863" s="355"/>
    </row>
    <row r="1864" spans="16:18">
      <c r="P1864" s="366"/>
      <c r="R1864" s="355"/>
    </row>
    <row r="1865" spans="16:18">
      <c r="P1865" s="366"/>
      <c r="R1865" s="355"/>
    </row>
    <row r="1866" spans="16:18">
      <c r="P1866" s="366"/>
      <c r="R1866" s="355"/>
    </row>
    <row r="1867" spans="16:18">
      <c r="P1867" s="366"/>
      <c r="R1867" s="355"/>
    </row>
    <row r="1868" spans="16:18">
      <c r="P1868" s="366"/>
      <c r="R1868" s="355"/>
    </row>
    <row r="1869" spans="16:18">
      <c r="P1869" s="366"/>
      <c r="R1869" s="355"/>
    </row>
    <row r="1870" spans="16:18">
      <c r="P1870" s="366"/>
      <c r="R1870" s="355"/>
    </row>
    <row r="1871" spans="16:18">
      <c r="P1871" s="366"/>
      <c r="R1871" s="355"/>
    </row>
    <row r="1872" spans="16:18">
      <c r="P1872" s="366"/>
      <c r="R1872" s="355"/>
    </row>
    <row r="1873" spans="16:18">
      <c r="P1873" s="366"/>
      <c r="R1873" s="355"/>
    </row>
    <row r="1874" spans="16:18">
      <c r="P1874" s="366"/>
      <c r="R1874" s="355"/>
    </row>
    <row r="1875" spans="16:18">
      <c r="P1875" s="366"/>
      <c r="R1875" s="355"/>
    </row>
    <row r="1876" spans="16:18">
      <c r="P1876" s="366"/>
      <c r="R1876" s="355"/>
    </row>
    <row r="1877" spans="16:18">
      <c r="P1877" s="366"/>
      <c r="R1877" s="355"/>
    </row>
    <row r="1878" spans="16:18">
      <c r="P1878" s="366"/>
      <c r="R1878" s="355"/>
    </row>
    <row r="1879" spans="16:18">
      <c r="P1879" s="366"/>
      <c r="R1879" s="355"/>
    </row>
    <row r="1880" spans="16:18">
      <c r="P1880" s="366"/>
      <c r="R1880" s="355"/>
    </row>
    <row r="1881" spans="16:18">
      <c r="P1881" s="366"/>
      <c r="R1881" s="355"/>
    </row>
    <row r="1882" spans="16:18">
      <c r="P1882" s="366"/>
      <c r="R1882" s="355"/>
    </row>
    <row r="1883" spans="16:18">
      <c r="P1883" s="366"/>
      <c r="R1883" s="355"/>
    </row>
    <row r="1884" spans="16:18">
      <c r="P1884" s="366"/>
      <c r="R1884" s="355"/>
    </row>
    <row r="1885" spans="16:18">
      <c r="P1885" s="366"/>
      <c r="R1885" s="355"/>
    </row>
    <row r="1886" spans="16:18">
      <c r="P1886" s="366"/>
      <c r="R1886" s="355"/>
    </row>
    <row r="1887" spans="16:18">
      <c r="P1887" s="366"/>
      <c r="R1887" s="355"/>
    </row>
    <row r="1888" spans="16:18">
      <c r="P1888" s="366"/>
      <c r="R1888" s="355"/>
    </row>
    <row r="1889" spans="16:18">
      <c r="P1889" s="366"/>
      <c r="R1889" s="355"/>
    </row>
    <row r="1890" spans="16:18">
      <c r="P1890" s="366"/>
      <c r="R1890" s="355"/>
    </row>
    <row r="1891" spans="16:18">
      <c r="P1891" s="366"/>
      <c r="R1891" s="355"/>
    </row>
    <row r="1892" spans="16:18">
      <c r="P1892" s="366"/>
      <c r="R1892" s="355"/>
    </row>
    <row r="1893" spans="16:18">
      <c r="P1893" s="366"/>
      <c r="R1893" s="355"/>
    </row>
    <row r="1894" spans="16:18">
      <c r="P1894" s="366"/>
      <c r="R1894" s="355"/>
    </row>
    <row r="1895" spans="16:18">
      <c r="P1895" s="366"/>
      <c r="R1895" s="355"/>
    </row>
    <row r="1896" spans="16:18">
      <c r="P1896" s="366"/>
      <c r="R1896" s="355"/>
    </row>
    <row r="1897" spans="16:18">
      <c r="P1897" s="366"/>
      <c r="R1897" s="355"/>
    </row>
    <row r="1898" spans="16:18">
      <c r="P1898" s="366"/>
      <c r="R1898" s="355"/>
    </row>
    <row r="1899" spans="16:18">
      <c r="P1899" s="366"/>
      <c r="R1899" s="355"/>
    </row>
    <row r="1900" spans="16:18">
      <c r="P1900" s="366"/>
      <c r="R1900" s="355"/>
    </row>
    <row r="1901" spans="16:18">
      <c r="P1901" s="366"/>
      <c r="R1901" s="355"/>
    </row>
    <row r="1902" spans="16:18">
      <c r="P1902" s="366"/>
      <c r="R1902" s="355"/>
    </row>
    <row r="1903" spans="16:18">
      <c r="P1903" s="366"/>
      <c r="R1903" s="355"/>
    </row>
    <row r="1904" spans="16:18">
      <c r="P1904" s="366"/>
      <c r="R1904" s="355"/>
    </row>
    <row r="1905" spans="16:18">
      <c r="P1905" s="366"/>
      <c r="R1905" s="355"/>
    </row>
    <row r="1906" spans="16:18">
      <c r="P1906" s="366"/>
      <c r="R1906" s="355"/>
    </row>
    <row r="1907" spans="16:18">
      <c r="P1907" s="366"/>
      <c r="R1907" s="355"/>
    </row>
    <row r="1908" spans="16:18">
      <c r="P1908" s="366"/>
      <c r="R1908" s="355"/>
    </row>
    <row r="1909" spans="16:18">
      <c r="P1909" s="366"/>
      <c r="R1909" s="355"/>
    </row>
    <row r="1910" spans="16:18">
      <c r="P1910" s="366"/>
      <c r="R1910" s="355"/>
    </row>
    <row r="1911" spans="16:18">
      <c r="P1911" s="366"/>
      <c r="R1911" s="355"/>
    </row>
    <row r="1912" spans="16:18">
      <c r="P1912" s="366"/>
      <c r="R1912" s="355"/>
    </row>
    <row r="1913" spans="16:18">
      <c r="P1913" s="366"/>
      <c r="R1913" s="355"/>
    </row>
    <row r="1914" spans="16:18">
      <c r="P1914" s="366"/>
      <c r="R1914" s="355"/>
    </row>
    <row r="1915" spans="16:18">
      <c r="P1915" s="366"/>
      <c r="R1915" s="355"/>
    </row>
    <row r="1916" spans="16:18">
      <c r="P1916" s="366"/>
      <c r="R1916" s="355"/>
    </row>
    <row r="1917" spans="16:18">
      <c r="P1917" s="366"/>
      <c r="R1917" s="355"/>
    </row>
    <row r="1918" spans="16:18">
      <c r="P1918" s="366"/>
      <c r="R1918" s="355"/>
    </row>
    <row r="1919" spans="16:18">
      <c r="P1919" s="366"/>
      <c r="R1919" s="355"/>
    </row>
    <row r="1920" spans="16:18">
      <c r="P1920" s="366"/>
      <c r="R1920" s="355"/>
    </row>
    <row r="1921" spans="16:18">
      <c r="P1921" s="366"/>
      <c r="R1921" s="355"/>
    </row>
    <row r="1922" spans="16:18">
      <c r="P1922" s="366"/>
      <c r="R1922" s="355"/>
    </row>
    <row r="1923" spans="16:18">
      <c r="P1923" s="366"/>
      <c r="R1923" s="355"/>
    </row>
    <row r="1924" spans="16:18">
      <c r="P1924" s="366"/>
      <c r="R1924" s="355"/>
    </row>
    <row r="1925" spans="16:18">
      <c r="P1925" s="366"/>
      <c r="R1925" s="355"/>
    </row>
    <row r="1926" spans="16:18">
      <c r="P1926" s="366"/>
      <c r="R1926" s="355"/>
    </row>
    <row r="1927" spans="16:18">
      <c r="P1927" s="366"/>
      <c r="R1927" s="355"/>
    </row>
    <row r="1928" spans="16:18">
      <c r="P1928" s="366"/>
      <c r="R1928" s="355"/>
    </row>
    <row r="1929" spans="16:18">
      <c r="P1929" s="366"/>
      <c r="R1929" s="355"/>
    </row>
    <row r="1930" spans="16:18">
      <c r="P1930" s="366"/>
      <c r="R1930" s="355"/>
    </row>
    <row r="1931" spans="16:18">
      <c r="P1931" s="366"/>
      <c r="R1931" s="355"/>
    </row>
    <row r="1932" spans="16:18">
      <c r="P1932" s="366"/>
      <c r="R1932" s="355"/>
    </row>
    <row r="1933" spans="16:18">
      <c r="P1933" s="366"/>
      <c r="R1933" s="355"/>
    </row>
    <row r="1934" spans="16:18">
      <c r="P1934" s="366"/>
      <c r="R1934" s="355"/>
    </row>
    <row r="1935" spans="16:18">
      <c r="P1935" s="366"/>
      <c r="R1935" s="355"/>
    </row>
    <row r="1936" spans="16:18">
      <c r="P1936" s="366"/>
      <c r="R1936" s="355"/>
    </row>
    <row r="1937" spans="16:18">
      <c r="P1937" s="366"/>
      <c r="R1937" s="355"/>
    </row>
    <row r="1938" spans="16:18">
      <c r="P1938" s="366"/>
      <c r="R1938" s="355"/>
    </row>
    <row r="1939" spans="16:18">
      <c r="P1939" s="366"/>
      <c r="R1939" s="355"/>
    </row>
    <row r="1940" spans="16:18">
      <c r="P1940" s="366"/>
      <c r="R1940" s="355"/>
    </row>
    <row r="1941" spans="16:18">
      <c r="P1941" s="366"/>
      <c r="R1941" s="355"/>
    </row>
    <row r="1942" spans="16:18">
      <c r="P1942" s="366"/>
      <c r="R1942" s="355"/>
    </row>
    <row r="1943" spans="16:18">
      <c r="P1943" s="366"/>
      <c r="R1943" s="355"/>
    </row>
    <row r="1944" spans="16:18">
      <c r="P1944" s="366"/>
      <c r="R1944" s="355"/>
    </row>
    <row r="1945" spans="16:18">
      <c r="P1945" s="366"/>
      <c r="R1945" s="355"/>
    </row>
    <row r="1946" spans="16:18">
      <c r="P1946" s="366"/>
      <c r="R1946" s="355"/>
    </row>
    <row r="1947" spans="16:18">
      <c r="P1947" s="366"/>
      <c r="R1947" s="355"/>
    </row>
    <row r="1948" spans="16:18">
      <c r="P1948" s="366"/>
      <c r="R1948" s="355"/>
    </row>
    <row r="1949" spans="16:18">
      <c r="P1949" s="366"/>
      <c r="R1949" s="355"/>
    </row>
    <row r="1950" spans="16:18">
      <c r="P1950" s="366"/>
      <c r="R1950" s="355"/>
    </row>
    <row r="1951" spans="16:18">
      <c r="P1951" s="366"/>
      <c r="R1951" s="355"/>
    </row>
    <row r="1952" spans="16:18">
      <c r="P1952" s="366"/>
      <c r="R1952" s="355"/>
    </row>
    <row r="1953" spans="16:18">
      <c r="P1953" s="366"/>
      <c r="R1953" s="355"/>
    </row>
    <row r="1954" spans="16:18">
      <c r="P1954" s="366"/>
      <c r="R1954" s="355"/>
    </row>
    <row r="1955" spans="16:18">
      <c r="P1955" s="366"/>
      <c r="R1955" s="355"/>
    </row>
    <row r="1956" spans="16:18">
      <c r="P1956" s="366"/>
      <c r="R1956" s="355"/>
    </row>
    <row r="1957" spans="16:18">
      <c r="P1957" s="366"/>
      <c r="R1957" s="355"/>
    </row>
    <row r="1958" spans="16:18">
      <c r="P1958" s="366"/>
      <c r="R1958" s="355"/>
    </row>
    <row r="1959" spans="16:18">
      <c r="P1959" s="366"/>
      <c r="R1959" s="355"/>
    </row>
    <row r="1960" spans="16:18">
      <c r="P1960" s="366"/>
      <c r="R1960" s="355"/>
    </row>
    <row r="1961" spans="16:18">
      <c r="P1961" s="366"/>
      <c r="R1961" s="355"/>
    </row>
    <row r="1962" spans="16:18">
      <c r="P1962" s="366"/>
      <c r="R1962" s="355"/>
    </row>
    <row r="1963" spans="16:18">
      <c r="P1963" s="366"/>
      <c r="R1963" s="355"/>
    </row>
    <row r="1964" spans="16:18">
      <c r="P1964" s="366"/>
      <c r="R1964" s="355"/>
    </row>
    <row r="1965" spans="16:18">
      <c r="P1965" s="366"/>
      <c r="R1965" s="355"/>
    </row>
    <row r="1966" spans="16:18">
      <c r="P1966" s="366"/>
      <c r="R1966" s="355"/>
    </row>
    <row r="1967" spans="16:18">
      <c r="P1967" s="366"/>
      <c r="R1967" s="355"/>
    </row>
    <row r="1968" spans="16:18">
      <c r="P1968" s="366"/>
      <c r="R1968" s="355"/>
    </row>
    <row r="1969" spans="16:18">
      <c r="P1969" s="366"/>
      <c r="R1969" s="355"/>
    </row>
    <row r="1970" spans="16:18">
      <c r="P1970" s="366"/>
      <c r="R1970" s="355"/>
    </row>
    <row r="1971" spans="16:18">
      <c r="P1971" s="366"/>
      <c r="R1971" s="355"/>
    </row>
    <row r="1972" spans="16:18">
      <c r="P1972" s="366"/>
      <c r="R1972" s="355"/>
    </row>
    <row r="1973" spans="16:18">
      <c r="P1973" s="366"/>
      <c r="R1973" s="355"/>
    </row>
    <row r="1974" spans="16:18">
      <c r="P1974" s="366"/>
      <c r="R1974" s="355"/>
    </row>
    <row r="1975" spans="16:18">
      <c r="P1975" s="366"/>
      <c r="R1975" s="355"/>
    </row>
    <row r="1976" spans="16:18">
      <c r="P1976" s="366"/>
      <c r="R1976" s="355"/>
    </row>
    <row r="1977" spans="16:18">
      <c r="P1977" s="366"/>
      <c r="R1977" s="355"/>
    </row>
    <row r="1978" spans="16:18">
      <c r="P1978" s="366"/>
      <c r="R1978" s="355"/>
    </row>
    <row r="1979" spans="16:18">
      <c r="P1979" s="366"/>
      <c r="R1979" s="355"/>
    </row>
    <row r="1980" spans="16:18">
      <c r="P1980" s="366"/>
      <c r="R1980" s="355"/>
    </row>
    <row r="1981" spans="16:18">
      <c r="P1981" s="366"/>
      <c r="R1981" s="355"/>
    </row>
    <row r="1982" spans="16:18">
      <c r="P1982" s="366"/>
      <c r="R1982" s="355"/>
    </row>
    <row r="1983" spans="16:18">
      <c r="P1983" s="366"/>
      <c r="R1983" s="355"/>
    </row>
    <row r="1984" spans="16:18">
      <c r="P1984" s="366"/>
      <c r="R1984" s="355"/>
    </row>
    <row r="1985" spans="16:18">
      <c r="P1985" s="366"/>
      <c r="R1985" s="355"/>
    </row>
    <row r="1986" spans="16:18">
      <c r="P1986" s="366"/>
      <c r="R1986" s="355"/>
    </row>
    <row r="1987" spans="16:18">
      <c r="P1987" s="366"/>
      <c r="R1987" s="355"/>
    </row>
    <row r="1988" spans="16:18">
      <c r="P1988" s="366"/>
      <c r="R1988" s="355"/>
    </row>
    <row r="1989" spans="16:18">
      <c r="P1989" s="366"/>
      <c r="R1989" s="355"/>
    </row>
    <row r="1990" spans="16:18">
      <c r="P1990" s="366"/>
      <c r="R1990" s="355"/>
    </row>
    <row r="1991" spans="16:18">
      <c r="P1991" s="366"/>
      <c r="R1991" s="355"/>
    </row>
    <row r="1992" spans="16:18">
      <c r="P1992" s="366"/>
      <c r="R1992" s="355"/>
    </row>
    <row r="1993" spans="16:18">
      <c r="P1993" s="366"/>
      <c r="R1993" s="355"/>
    </row>
    <row r="1994" spans="16:18">
      <c r="P1994" s="366"/>
      <c r="R1994" s="355"/>
    </row>
    <row r="1995" spans="16:18">
      <c r="P1995" s="366"/>
      <c r="R1995" s="355"/>
    </row>
    <row r="1996" spans="16:18">
      <c r="P1996" s="366"/>
      <c r="R1996" s="355"/>
    </row>
    <row r="1997" spans="16:18">
      <c r="P1997" s="366"/>
      <c r="R1997" s="355"/>
    </row>
    <row r="1998" spans="16:18">
      <c r="P1998" s="366"/>
      <c r="R1998" s="355"/>
    </row>
    <row r="1999" spans="16:18">
      <c r="P1999" s="366"/>
      <c r="R1999" s="355"/>
    </row>
    <row r="2000" spans="16:18">
      <c r="P2000" s="366"/>
      <c r="R2000" s="355"/>
    </row>
    <row r="2001" spans="16:18">
      <c r="P2001" s="366"/>
      <c r="R2001" s="355"/>
    </row>
    <row r="2002" spans="16:18">
      <c r="P2002" s="366"/>
      <c r="R2002" s="355"/>
    </row>
    <row r="2003" spans="16:18">
      <c r="P2003" s="366"/>
      <c r="R2003" s="355"/>
    </row>
    <row r="2004" spans="16:18">
      <c r="P2004" s="366"/>
      <c r="R2004" s="355"/>
    </row>
    <row r="2005" spans="16:18">
      <c r="P2005" s="366"/>
      <c r="R2005" s="355"/>
    </row>
    <row r="2006" spans="16:18">
      <c r="P2006" s="366"/>
      <c r="R2006" s="355"/>
    </row>
    <row r="2007" spans="16:18">
      <c r="P2007" s="366"/>
      <c r="R2007" s="355"/>
    </row>
    <row r="2008" spans="16:18">
      <c r="P2008" s="366"/>
      <c r="R2008" s="355"/>
    </row>
    <row r="2009" spans="16:18">
      <c r="P2009" s="366"/>
      <c r="R2009" s="355"/>
    </row>
    <row r="2010" spans="16:18">
      <c r="P2010" s="366"/>
      <c r="R2010" s="355"/>
    </row>
    <row r="2011" spans="16:18">
      <c r="P2011" s="366"/>
      <c r="R2011" s="355"/>
    </row>
    <row r="2012" spans="16:18">
      <c r="P2012" s="366"/>
      <c r="R2012" s="355"/>
    </row>
    <row r="2013" spans="16:18">
      <c r="P2013" s="366"/>
      <c r="R2013" s="355"/>
    </row>
    <row r="2014" spans="16:18">
      <c r="P2014" s="366"/>
      <c r="R2014" s="355"/>
    </row>
    <row r="2015" spans="16:18">
      <c r="P2015" s="366"/>
      <c r="R2015" s="355"/>
    </row>
    <row r="2016" spans="16:18">
      <c r="P2016" s="366"/>
      <c r="R2016" s="355"/>
    </row>
    <row r="2017" spans="16:18">
      <c r="P2017" s="366"/>
      <c r="R2017" s="355"/>
    </row>
    <row r="2018" spans="16:18">
      <c r="P2018" s="366"/>
      <c r="R2018" s="355"/>
    </row>
    <row r="2019" spans="16:18">
      <c r="P2019" s="366"/>
      <c r="R2019" s="355"/>
    </row>
    <row r="2020" spans="16:18">
      <c r="P2020" s="366"/>
      <c r="R2020" s="355"/>
    </row>
    <row r="2021" spans="16:18">
      <c r="P2021" s="366"/>
      <c r="R2021" s="355"/>
    </row>
    <row r="2022" spans="16:18">
      <c r="P2022" s="366"/>
      <c r="R2022" s="355"/>
    </row>
    <row r="2023" spans="16:18">
      <c r="P2023" s="366"/>
      <c r="R2023" s="355"/>
    </row>
    <row r="2024" spans="16:18">
      <c r="P2024" s="366"/>
      <c r="R2024" s="355"/>
    </row>
    <row r="2025" spans="16:18">
      <c r="P2025" s="366"/>
      <c r="R2025" s="355"/>
    </row>
    <row r="2026" spans="16:18">
      <c r="P2026" s="366"/>
      <c r="R2026" s="355"/>
    </row>
    <row r="2027" spans="16:18">
      <c r="P2027" s="366"/>
      <c r="R2027" s="355"/>
    </row>
    <row r="2028" spans="16:18">
      <c r="P2028" s="366"/>
      <c r="R2028" s="355"/>
    </row>
    <row r="2029" spans="16:18">
      <c r="P2029" s="366"/>
      <c r="R2029" s="355"/>
    </row>
    <row r="2030" spans="16:18">
      <c r="P2030" s="366"/>
      <c r="R2030" s="355"/>
    </row>
    <row r="2031" spans="16:18">
      <c r="P2031" s="366"/>
      <c r="R2031" s="355"/>
    </row>
    <row r="2032" spans="16:18">
      <c r="P2032" s="366"/>
      <c r="R2032" s="355"/>
    </row>
    <row r="2033" spans="16:18">
      <c r="P2033" s="366"/>
      <c r="R2033" s="355"/>
    </row>
    <row r="2034" spans="16:18">
      <c r="P2034" s="366"/>
      <c r="R2034" s="355"/>
    </row>
    <row r="2035" spans="16:18">
      <c r="P2035" s="366"/>
      <c r="R2035" s="355"/>
    </row>
    <row r="2036" spans="16:18">
      <c r="P2036" s="366"/>
      <c r="R2036" s="355"/>
    </row>
    <row r="2037" spans="16:18">
      <c r="P2037" s="366"/>
      <c r="R2037" s="355"/>
    </row>
    <row r="2038" spans="16:18">
      <c r="P2038" s="366"/>
      <c r="R2038" s="355"/>
    </row>
    <row r="2039" spans="16:18">
      <c r="P2039" s="366"/>
      <c r="R2039" s="355"/>
    </row>
    <row r="2040" spans="16:18">
      <c r="P2040" s="366"/>
      <c r="R2040" s="355"/>
    </row>
    <row r="2041" spans="16:18">
      <c r="P2041" s="366"/>
      <c r="R2041" s="355"/>
    </row>
    <row r="2042" spans="16:18">
      <c r="P2042" s="366"/>
      <c r="R2042" s="355"/>
    </row>
    <row r="2043" spans="16:18">
      <c r="P2043" s="366"/>
      <c r="R2043" s="355"/>
    </row>
    <row r="2044" spans="16:18">
      <c r="P2044" s="366"/>
      <c r="R2044" s="355"/>
    </row>
    <row r="2045" spans="16:18">
      <c r="P2045" s="366"/>
      <c r="R2045" s="355"/>
    </row>
    <row r="2046" spans="16:18">
      <c r="P2046" s="366"/>
      <c r="R2046" s="355"/>
    </row>
    <row r="2047" spans="16:18">
      <c r="P2047" s="366"/>
      <c r="R2047" s="355"/>
    </row>
    <row r="2048" spans="16:18">
      <c r="P2048" s="366"/>
      <c r="R2048" s="355"/>
    </row>
    <row r="2049" spans="16:18">
      <c r="P2049" s="366"/>
      <c r="R2049" s="355"/>
    </row>
    <row r="2050" spans="16:18">
      <c r="P2050" s="366"/>
      <c r="R2050" s="355"/>
    </row>
    <row r="2051" spans="16:18">
      <c r="P2051" s="366"/>
      <c r="R2051" s="355"/>
    </row>
    <row r="2052" spans="16:18">
      <c r="P2052" s="366"/>
      <c r="R2052" s="355"/>
    </row>
    <row r="2053" spans="16:18">
      <c r="P2053" s="366"/>
      <c r="R2053" s="355"/>
    </row>
    <row r="2054" spans="16:18">
      <c r="P2054" s="366"/>
      <c r="R2054" s="355"/>
    </row>
    <row r="2055" spans="16:18">
      <c r="P2055" s="366"/>
      <c r="R2055" s="355"/>
    </row>
    <row r="2056" spans="16:18">
      <c r="P2056" s="366"/>
      <c r="R2056" s="355"/>
    </row>
    <row r="2057" spans="16:18">
      <c r="P2057" s="366"/>
      <c r="R2057" s="355"/>
    </row>
    <row r="2058" spans="16:18">
      <c r="P2058" s="366"/>
      <c r="R2058" s="355"/>
    </row>
    <row r="2059" spans="16:18">
      <c r="P2059" s="366"/>
      <c r="R2059" s="355"/>
    </row>
    <row r="2060" spans="16:18">
      <c r="P2060" s="366"/>
      <c r="R2060" s="355"/>
    </row>
    <row r="2061" spans="16:18">
      <c r="P2061" s="366"/>
      <c r="R2061" s="355"/>
    </row>
    <row r="2062" spans="16:18">
      <c r="P2062" s="366"/>
      <c r="R2062" s="355"/>
    </row>
    <row r="2063" spans="16:18">
      <c r="P2063" s="366"/>
      <c r="R2063" s="355"/>
    </row>
    <row r="2064" spans="16:18">
      <c r="P2064" s="366"/>
      <c r="R2064" s="355"/>
    </row>
    <row r="2065" spans="16:18">
      <c r="P2065" s="366"/>
      <c r="R2065" s="355"/>
    </row>
    <row r="2066" spans="16:18">
      <c r="P2066" s="366"/>
      <c r="R2066" s="355"/>
    </row>
    <row r="2067" spans="16:18">
      <c r="P2067" s="366"/>
      <c r="R2067" s="355"/>
    </row>
    <row r="2068" spans="16:18">
      <c r="P2068" s="366"/>
      <c r="R2068" s="355"/>
    </row>
    <row r="2069" spans="16:18">
      <c r="P2069" s="366"/>
      <c r="R2069" s="355"/>
    </row>
    <row r="2070" spans="16:18">
      <c r="P2070" s="366"/>
      <c r="R2070" s="355"/>
    </row>
    <row r="2071" spans="16:18">
      <c r="P2071" s="366"/>
      <c r="R2071" s="355"/>
    </row>
    <row r="2072" spans="16:18">
      <c r="P2072" s="366"/>
      <c r="R2072" s="355"/>
    </row>
    <row r="2073" spans="16:18">
      <c r="P2073" s="366"/>
      <c r="R2073" s="355"/>
    </row>
    <row r="2074" spans="16:18">
      <c r="P2074" s="366"/>
      <c r="R2074" s="355"/>
    </row>
    <row r="2075" spans="16:18">
      <c r="P2075" s="366"/>
      <c r="R2075" s="355"/>
    </row>
    <row r="2076" spans="16:18">
      <c r="P2076" s="366"/>
      <c r="R2076" s="355"/>
    </row>
    <row r="2077" spans="16:18">
      <c r="P2077" s="366"/>
      <c r="R2077" s="355"/>
    </row>
    <row r="2078" spans="16:18">
      <c r="P2078" s="366"/>
      <c r="R2078" s="355"/>
    </row>
    <row r="2079" spans="16:18">
      <c r="P2079" s="366"/>
      <c r="R2079" s="355"/>
    </row>
    <row r="2080" spans="16:18">
      <c r="P2080" s="366"/>
      <c r="R2080" s="355"/>
    </row>
    <row r="2081" spans="16:18">
      <c r="P2081" s="366"/>
      <c r="R2081" s="355"/>
    </row>
    <row r="2082" spans="16:18">
      <c r="P2082" s="366"/>
      <c r="R2082" s="355"/>
    </row>
    <row r="2083" spans="16:18">
      <c r="P2083" s="366"/>
      <c r="R2083" s="355"/>
    </row>
    <row r="2084" spans="16:18">
      <c r="P2084" s="366"/>
      <c r="R2084" s="355"/>
    </row>
    <row r="2085" spans="16:18">
      <c r="P2085" s="366"/>
      <c r="R2085" s="355"/>
    </row>
    <row r="2086" spans="16:18">
      <c r="P2086" s="366"/>
      <c r="R2086" s="355"/>
    </row>
    <row r="2087" spans="16:18">
      <c r="P2087" s="366"/>
      <c r="R2087" s="355"/>
    </row>
    <row r="2088" spans="16:18">
      <c r="P2088" s="366"/>
      <c r="R2088" s="355"/>
    </row>
    <row r="2089" spans="16:18">
      <c r="P2089" s="366"/>
      <c r="R2089" s="355"/>
    </row>
    <row r="2090" spans="16:18">
      <c r="P2090" s="366"/>
      <c r="R2090" s="355"/>
    </row>
    <row r="2091" spans="16:18">
      <c r="P2091" s="366"/>
      <c r="R2091" s="355"/>
    </row>
    <row r="2092" spans="16:18">
      <c r="P2092" s="366"/>
      <c r="R2092" s="355"/>
    </row>
    <row r="2093" spans="16:18">
      <c r="P2093" s="366"/>
      <c r="R2093" s="355"/>
    </row>
    <row r="2094" spans="16:18">
      <c r="P2094" s="366"/>
      <c r="R2094" s="355"/>
    </row>
    <row r="2095" spans="16:18">
      <c r="P2095" s="366"/>
      <c r="R2095" s="355"/>
    </row>
    <row r="2096" spans="16:18">
      <c r="P2096" s="366"/>
      <c r="R2096" s="355"/>
    </row>
    <row r="2097" spans="16:18">
      <c r="P2097" s="366"/>
      <c r="R2097" s="355"/>
    </row>
    <row r="2098" spans="16:18">
      <c r="P2098" s="366"/>
      <c r="R2098" s="355"/>
    </row>
    <row r="2099" spans="16:18">
      <c r="P2099" s="366"/>
      <c r="R2099" s="355"/>
    </row>
    <row r="2100" spans="16:18">
      <c r="P2100" s="366"/>
      <c r="R2100" s="355"/>
    </row>
    <row r="2101" spans="16:18">
      <c r="P2101" s="366"/>
      <c r="R2101" s="355"/>
    </row>
    <row r="2102" spans="16:18">
      <c r="P2102" s="366"/>
      <c r="R2102" s="355"/>
    </row>
    <row r="2103" spans="16:18">
      <c r="P2103" s="366"/>
      <c r="R2103" s="355"/>
    </row>
    <row r="2104" spans="16:18">
      <c r="P2104" s="366"/>
      <c r="R2104" s="355"/>
    </row>
    <row r="2105" spans="16:18">
      <c r="P2105" s="366"/>
      <c r="R2105" s="355"/>
    </row>
    <row r="2106" spans="16:18">
      <c r="P2106" s="366"/>
      <c r="R2106" s="355"/>
    </row>
    <row r="2107" spans="16:18">
      <c r="P2107" s="366"/>
      <c r="R2107" s="355"/>
    </row>
    <row r="2108" spans="16:18">
      <c r="P2108" s="366"/>
      <c r="R2108" s="355"/>
    </row>
    <row r="2109" spans="16:18">
      <c r="P2109" s="366"/>
      <c r="R2109" s="355"/>
    </row>
    <row r="2110" spans="16:18">
      <c r="P2110" s="366"/>
      <c r="R2110" s="355"/>
    </row>
    <row r="2111" spans="16:18">
      <c r="P2111" s="366"/>
      <c r="R2111" s="355"/>
    </row>
    <row r="2112" spans="16:18">
      <c r="P2112" s="366"/>
      <c r="R2112" s="355"/>
    </row>
    <row r="2113" spans="16:18">
      <c r="P2113" s="366"/>
      <c r="R2113" s="355"/>
    </row>
    <row r="2114" spans="16:18">
      <c r="P2114" s="366"/>
      <c r="R2114" s="355"/>
    </row>
    <row r="2115" spans="16:18">
      <c r="P2115" s="366"/>
      <c r="R2115" s="355"/>
    </row>
    <row r="2116" spans="16:18">
      <c r="P2116" s="366"/>
      <c r="R2116" s="355"/>
    </row>
    <row r="2117" spans="16:18">
      <c r="P2117" s="366"/>
      <c r="R2117" s="355"/>
    </row>
    <row r="2118" spans="16:18">
      <c r="P2118" s="366"/>
      <c r="R2118" s="355"/>
    </row>
    <row r="2119" spans="16:18">
      <c r="P2119" s="366"/>
      <c r="R2119" s="355"/>
    </row>
    <row r="2120" spans="16:18">
      <c r="P2120" s="366"/>
      <c r="R2120" s="355"/>
    </row>
    <row r="2121" spans="16:18">
      <c r="P2121" s="366"/>
      <c r="R2121" s="355"/>
    </row>
    <row r="2122" spans="16:18">
      <c r="P2122" s="366"/>
      <c r="R2122" s="355"/>
    </row>
    <row r="2123" spans="16:18">
      <c r="P2123" s="366"/>
      <c r="R2123" s="355"/>
    </row>
    <row r="2124" spans="16:18">
      <c r="P2124" s="366"/>
      <c r="R2124" s="355"/>
    </row>
    <row r="2125" spans="16:18">
      <c r="P2125" s="366"/>
      <c r="R2125" s="355"/>
    </row>
    <row r="2126" spans="16:18">
      <c r="P2126" s="366"/>
      <c r="R2126" s="355"/>
    </row>
    <row r="2127" spans="16:18">
      <c r="P2127" s="366"/>
      <c r="R2127" s="355"/>
    </row>
    <row r="2128" spans="16:18">
      <c r="P2128" s="366"/>
      <c r="R2128" s="355"/>
    </row>
    <row r="2129" spans="16:18">
      <c r="P2129" s="366"/>
      <c r="R2129" s="355"/>
    </row>
    <row r="2130" spans="16:18">
      <c r="P2130" s="366"/>
      <c r="R2130" s="355"/>
    </row>
    <row r="2131" spans="16:18">
      <c r="P2131" s="366"/>
      <c r="R2131" s="355"/>
    </row>
    <row r="2132" spans="16:18">
      <c r="P2132" s="366"/>
      <c r="R2132" s="355"/>
    </row>
    <row r="2133" spans="16:18">
      <c r="P2133" s="366"/>
      <c r="R2133" s="355"/>
    </row>
    <row r="2134" spans="16:18">
      <c r="P2134" s="366"/>
      <c r="R2134" s="355"/>
    </row>
    <row r="2135" spans="16:18">
      <c r="P2135" s="366"/>
      <c r="R2135" s="355"/>
    </row>
    <row r="2136" spans="16:18">
      <c r="P2136" s="366"/>
      <c r="R2136" s="355"/>
    </row>
    <row r="2137" spans="16:18">
      <c r="P2137" s="366"/>
      <c r="R2137" s="355"/>
    </row>
    <row r="2138" spans="16:18">
      <c r="P2138" s="366"/>
      <c r="R2138" s="355"/>
    </row>
    <row r="2139" spans="16:18">
      <c r="P2139" s="366"/>
      <c r="R2139" s="355"/>
    </row>
    <row r="2140" spans="16:18">
      <c r="P2140" s="366"/>
      <c r="R2140" s="355"/>
    </row>
    <row r="2141" spans="16:18">
      <c r="P2141" s="366"/>
      <c r="R2141" s="355"/>
    </row>
    <row r="2142" spans="16:18">
      <c r="P2142" s="366"/>
      <c r="R2142" s="355"/>
    </row>
    <row r="2143" spans="16:18">
      <c r="P2143" s="366"/>
      <c r="R2143" s="355"/>
    </row>
    <row r="2144" spans="16:18">
      <c r="P2144" s="366"/>
      <c r="R2144" s="355"/>
    </row>
    <row r="2145" spans="16:18">
      <c r="P2145" s="366"/>
      <c r="R2145" s="355"/>
    </row>
    <row r="2146" spans="16:18">
      <c r="P2146" s="366"/>
      <c r="R2146" s="355"/>
    </row>
    <row r="2147" spans="16:18">
      <c r="P2147" s="366"/>
      <c r="R2147" s="355"/>
    </row>
    <row r="2148" spans="16:18">
      <c r="P2148" s="366"/>
      <c r="R2148" s="355"/>
    </row>
    <row r="2149" spans="16:18">
      <c r="P2149" s="366"/>
      <c r="R2149" s="355"/>
    </row>
    <row r="2150" spans="16:18">
      <c r="P2150" s="366"/>
      <c r="R2150" s="355"/>
    </row>
    <row r="2151" spans="16:18">
      <c r="P2151" s="366"/>
      <c r="R2151" s="355"/>
    </row>
    <row r="2152" spans="16:18">
      <c r="P2152" s="366"/>
      <c r="R2152" s="355"/>
    </row>
    <row r="2153" spans="16:18">
      <c r="P2153" s="366"/>
      <c r="R2153" s="355"/>
    </row>
    <row r="2154" spans="16:18">
      <c r="P2154" s="366"/>
      <c r="R2154" s="355"/>
    </row>
    <row r="2155" spans="16:18">
      <c r="P2155" s="366"/>
      <c r="R2155" s="355"/>
    </row>
    <row r="2156" spans="16:18">
      <c r="P2156" s="366"/>
      <c r="R2156" s="355"/>
    </row>
    <row r="2157" spans="16:18">
      <c r="P2157" s="366"/>
      <c r="R2157" s="355"/>
    </row>
    <row r="2158" spans="16:18">
      <c r="P2158" s="366"/>
      <c r="R2158" s="355"/>
    </row>
    <row r="2159" spans="16:18">
      <c r="P2159" s="366"/>
      <c r="R2159" s="355"/>
    </row>
    <row r="2160" spans="16:18">
      <c r="P2160" s="366"/>
      <c r="R2160" s="355"/>
    </row>
    <row r="2161" spans="16:18">
      <c r="P2161" s="366"/>
      <c r="R2161" s="355"/>
    </row>
    <row r="2162" spans="16:18">
      <c r="P2162" s="366"/>
      <c r="R2162" s="355"/>
    </row>
    <row r="2163" spans="16:18">
      <c r="P2163" s="366"/>
      <c r="R2163" s="355"/>
    </row>
    <row r="2164" spans="16:18">
      <c r="P2164" s="366"/>
      <c r="R2164" s="355"/>
    </row>
    <row r="2165" spans="16:18">
      <c r="P2165" s="366"/>
      <c r="R2165" s="355"/>
    </row>
    <row r="2166" spans="16:18">
      <c r="P2166" s="366"/>
      <c r="R2166" s="355"/>
    </row>
    <row r="2167" spans="16:18">
      <c r="P2167" s="366"/>
      <c r="R2167" s="355"/>
    </row>
    <row r="2168" spans="16:18">
      <c r="P2168" s="366"/>
      <c r="R2168" s="355"/>
    </row>
    <row r="2169" spans="16:18">
      <c r="P2169" s="366"/>
      <c r="R2169" s="355"/>
    </row>
    <row r="2170" spans="16:18">
      <c r="P2170" s="366"/>
      <c r="R2170" s="355"/>
    </row>
    <row r="2171" spans="16:18">
      <c r="P2171" s="366"/>
      <c r="R2171" s="355"/>
    </row>
    <row r="2172" spans="16:18">
      <c r="P2172" s="366"/>
      <c r="R2172" s="355"/>
    </row>
    <row r="2173" spans="16:18">
      <c r="P2173" s="366"/>
      <c r="R2173" s="355"/>
    </row>
    <row r="2174" spans="16:18">
      <c r="P2174" s="366"/>
      <c r="R2174" s="355"/>
    </row>
    <row r="2175" spans="16:18">
      <c r="P2175" s="366"/>
      <c r="R2175" s="355"/>
    </row>
    <row r="2176" spans="16:18">
      <c r="P2176" s="366"/>
      <c r="R2176" s="355"/>
    </row>
    <row r="2177" spans="16:18">
      <c r="P2177" s="366"/>
      <c r="R2177" s="355"/>
    </row>
    <row r="2178" spans="16:18">
      <c r="P2178" s="366"/>
      <c r="R2178" s="355"/>
    </row>
    <row r="2179" spans="16:18">
      <c r="P2179" s="366"/>
      <c r="R2179" s="355"/>
    </row>
    <row r="2180" spans="16:18">
      <c r="P2180" s="366"/>
      <c r="R2180" s="355"/>
    </row>
    <row r="2181" spans="16:18">
      <c r="P2181" s="366"/>
      <c r="R2181" s="355"/>
    </row>
    <row r="2182" spans="16:18">
      <c r="P2182" s="366"/>
      <c r="R2182" s="355"/>
    </row>
    <row r="2183" spans="16:18">
      <c r="P2183" s="366"/>
      <c r="R2183" s="355"/>
    </row>
    <row r="2184" spans="16:18">
      <c r="P2184" s="366"/>
      <c r="R2184" s="355"/>
    </row>
    <row r="2185" spans="16:18">
      <c r="P2185" s="366"/>
      <c r="R2185" s="355"/>
    </row>
    <row r="2186" spans="16:18">
      <c r="P2186" s="366"/>
      <c r="R2186" s="355"/>
    </row>
    <row r="2187" spans="16:18">
      <c r="P2187" s="366"/>
      <c r="R2187" s="355"/>
    </row>
    <row r="2188" spans="16:18">
      <c r="P2188" s="366"/>
      <c r="R2188" s="355"/>
    </row>
    <row r="2189" spans="16:18">
      <c r="P2189" s="366"/>
      <c r="R2189" s="355"/>
    </row>
    <row r="2190" spans="16:18">
      <c r="P2190" s="366"/>
      <c r="R2190" s="355"/>
    </row>
    <row r="2191" spans="16:18">
      <c r="P2191" s="366"/>
      <c r="R2191" s="355"/>
    </row>
    <row r="2192" spans="16:18">
      <c r="P2192" s="366"/>
      <c r="R2192" s="355"/>
    </row>
    <row r="2193" spans="16:18">
      <c r="P2193" s="366"/>
      <c r="R2193" s="355"/>
    </row>
    <row r="2194" spans="16:18">
      <c r="P2194" s="366"/>
      <c r="R2194" s="355"/>
    </row>
    <row r="2195" spans="16:18">
      <c r="P2195" s="366"/>
      <c r="R2195" s="355"/>
    </row>
    <row r="2196" spans="16:18">
      <c r="P2196" s="366"/>
      <c r="R2196" s="355"/>
    </row>
    <row r="2197" spans="16:18">
      <c r="P2197" s="366"/>
      <c r="R2197" s="355"/>
    </row>
    <row r="2198" spans="16:18">
      <c r="P2198" s="366"/>
      <c r="R2198" s="355"/>
    </row>
    <row r="2199" spans="16:18">
      <c r="P2199" s="366"/>
      <c r="R2199" s="355"/>
    </row>
    <row r="2200" spans="16:18">
      <c r="P2200" s="366"/>
      <c r="R2200" s="355"/>
    </row>
    <row r="2201" spans="16:18">
      <c r="P2201" s="366"/>
      <c r="R2201" s="355"/>
    </row>
    <row r="2202" spans="16:18">
      <c r="P2202" s="366"/>
      <c r="R2202" s="355"/>
    </row>
    <row r="2203" spans="16:18">
      <c r="P2203" s="366"/>
      <c r="R2203" s="355"/>
    </row>
    <row r="2204" spans="16:18">
      <c r="P2204" s="366"/>
      <c r="R2204" s="355"/>
    </row>
    <row r="2205" spans="16:18">
      <c r="P2205" s="366"/>
      <c r="R2205" s="355"/>
    </row>
    <row r="2206" spans="16:18">
      <c r="P2206" s="366"/>
      <c r="R2206" s="355"/>
    </row>
    <row r="2207" spans="16:18">
      <c r="P2207" s="366"/>
      <c r="R2207" s="355"/>
    </row>
    <row r="2208" spans="16:18">
      <c r="P2208" s="366"/>
      <c r="R2208" s="355"/>
    </row>
    <row r="2209" spans="16:18">
      <c r="P2209" s="366"/>
      <c r="R2209" s="355"/>
    </row>
    <row r="2210" spans="16:18">
      <c r="P2210" s="366"/>
      <c r="R2210" s="355"/>
    </row>
    <row r="2211" spans="16:18">
      <c r="P2211" s="366"/>
      <c r="R2211" s="355"/>
    </row>
    <row r="2212" spans="16:18">
      <c r="P2212" s="366"/>
      <c r="R2212" s="355"/>
    </row>
    <row r="2213" spans="16:18">
      <c r="P2213" s="366"/>
      <c r="R2213" s="355"/>
    </row>
    <row r="2214" spans="16:18">
      <c r="P2214" s="366"/>
      <c r="R2214" s="355"/>
    </row>
    <row r="2215" spans="16:18">
      <c r="P2215" s="366"/>
      <c r="R2215" s="355"/>
    </row>
    <row r="2216" spans="16:18">
      <c r="P2216" s="366"/>
      <c r="R2216" s="355"/>
    </row>
    <row r="2217" spans="16:18">
      <c r="P2217" s="366"/>
      <c r="R2217" s="355"/>
    </row>
    <row r="2218" spans="16:18">
      <c r="P2218" s="366"/>
      <c r="R2218" s="355"/>
    </row>
    <row r="2219" spans="16:18">
      <c r="P2219" s="366"/>
      <c r="R2219" s="355"/>
    </row>
    <row r="2220" spans="16:18">
      <c r="P2220" s="366"/>
      <c r="R2220" s="355"/>
    </row>
    <row r="2221" spans="16:18">
      <c r="P2221" s="366"/>
      <c r="R2221" s="355"/>
    </row>
    <row r="2222" spans="16:18">
      <c r="P2222" s="366"/>
      <c r="R2222" s="355"/>
    </row>
    <row r="2223" spans="16:18">
      <c r="P2223" s="366"/>
      <c r="R2223" s="355"/>
    </row>
    <row r="2224" spans="16:18">
      <c r="P2224" s="366"/>
      <c r="R2224" s="355"/>
    </row>
    <row r="2225" spans="16:18">
      <c r="P2225" s="366"/>
      <c r="R2225" s="355"/>
    </row>
    <row r="2226" spans="16:18">
      <c r="P2226" s="366"/>
      <c r="R2226" s="355"/>
    </row>
    <row r="2227" spans="16:18">
      <c r="P2227" s="366"/>
      <c r="R2227" s="355"/>
    </row>
    <row r="2228" spans="16:18">
      <c r="P2228" s="366"/>
      <c r="R2228" s="355"/>
    </row>
    <row r="2229" spans="16:18">
      <c r="P2229" s="366"/>
      <c r="R2229" s="355"/>
    </row>
    <row r="2230" spans="16:18">
      <c r="P2230" s="366"/>
      <c r="R2230" s="355"/>
    </row>
    <row r="2231" spans="16:18">
      <c r="P2231" s="366"/>
      <c r="R2231" s="355"/>
    </row>
    <row r="2232" spans="16:18">
      <c r="P2232" s="366"/>
      <c r="R2232" s="355"/>
    </row>
    <row r="2233" spans="16:18">
      <c r="P2233" s="366"/>
      <c r="R2233" s="355"/>
    </row>
    <row r="2234" spans="16:18">
      <c r="P2234" s="366"/>
      <c r="R2234" s="355"/>
    </row>
    <row r="2235" spans="16:18">
      <c r="P2235" s="366"/>
      <c r="R2235" s="355"/>
    </row>
    <row r="2236" spans="16:18">
      <c r="P2236" s="366"/>
      <c r="R2236" s="355"/>
    </row>
    <row r="2237" spans="16:18">
      <c r="P2237" s="366"/>
      <c r="R2237" s="355"/>
    </row>
    <row r="2238" spans="16:18">
      <c r="P2238" s="366"/>
      <c r="R2238" s="355"/>
    </row>
    <row r="2239" spans="16:18">
      <c r="P2239" s="366"/>
      <c r="R2239" s="355"/>
    </row>
    <row r="2240" spans="16:18">
      <c r="P2240" s="366"/>
      <c r="R2240" s="355"/>
    </row>
    <row r="2241" spans="16:18">
      <c r="P2241" s="366"/>
      <c r="R2241" s="355"/>
    </row>
    <row r="2242" spans="16:18">
      <c r="P2242" s="366"/>
      <c r="R2242" s="355"/>
    </row>
    <row r="2243" spans="16:18">
      <c r="P2243" s="366"/>
      <c r="R2243" s="355"/>
    </row>
    <row r="2244" spans="16:18">
      <c r="P2244" s="366"/>
      <c r="R2244" s="355"/>
    </row>
    <row r="2245" spans="16:18">
      <c r="P2245" s="366"/>
      <c r="R2245" s="355"/>
    </row>
    <row r="2246" spans="16:18">
      <c r="P2246" s="366"/>
      <c r="R2246" s="355"/>
    </row>
    <row r="2247" spans="16:18">
      <c r="P2247" s="366"/>
      <c r="R2247" s="355"/>
    </row>
    <row r="2248" spans="16:18">
      <c r="P2248" s="366"/>
      <c r="R2248" s="355"/>
    </row>
    <row r="2249" spans="16:18">
      <c r="P2249" s="366"/>
      <c r="R2249" s="355"/>
    </row>
    <row r="2250" spans="16:18">
      <c r="P2250" s="366"/>
      <c r="R2250" s="355"/>
    </row>
    <row r="2251" spans="16:18">
      <c r="P2251" s="366"/>
      <c r="R2251" s="355"/>
    </row>
    <row r="2252" spans="16:18">
      <c r="P2252" s="366"/>
      <c r="R2252" s="355"/>
    </row>
    <row r="2253" spans="16:18">
      <c r="P2253" s="366"/>
      <c r="R2253" s="355"/>
    </row>
    <row r="2254" spans="16:18">
      <c r="P2254" s="366"/>
      <c r="R2254" s="355"/>
    </row>
    <row r="2255" spans="16:18">
      <c r="P2255" s="366"/>
      <c r="R2255" s="355"/>
    </row>
    <row r="2256" spans="16:18">
      <c r="P2256" s="366"/>
      <c r="R2256" s="355"/>
    </row>
    <row r="2257" spans="16:18">
      <c r="P2257" s="366"/>
      <c r="R2257" s="355"/>
    </row>
    <row r="2258" spans="16:18">
      <c r="P2258" s="366"/>
      <c r="R2258" s="355"/>
    </row>
    <row r="2259" spans="16:18">
      <c r="P2259" s="366"/>
      <c r="R2259" s="355"/>
    </row>
    <row r="2260" spans="16:18">
      <c r="P2260" s="366"/>
      <c r="R2260" s="355"/>
    </row>
    <row r="2261" spans="16:18">
      <c r="P2261" s="366"/>
      <c r="R2261" s="355"/>
    </row>
    <row r="2262" spans="16:18">
      <c r="P2262" s="366"/>
      <c r="R2262" s="355"/>
    </row>
    <row r="2263" spans="16:18">
      <c r="P2263" s="366"/>
      <c r="R2263" s="355"/>
    </row>
    <row r="2264" spans="16:18">
      <c r="P2264" s="366"/>
      <c r="R2264" s="355"/>
    </row>
    <row r="2265" spans="16:18">
      <c r="P2265" s="366"/>
      <c r="R2265" s="355"/>
    </row>
    <row r="2266" spans="16:18">
      <c r="P2266" s="366"/>
      <c r="R2266" s="355"/>
    </row>
    <row r="2267" spans="16:18">
      <c r="P2267" s="366"/>
      <c r="R2267" s="355"/>
    </row>
    <row r="2268" spans="16:18">
      <c r="P2268" s="366"/>
      <c r="R2268" s="355"/>
    </row>
    <row r="2269" spans="16:18">
      <c r="P2269" s="366"/>
      <c r="R2269" s="355"/>
    </row>
    <row r="2270" spans="16:18">
      <c r="P2270" s="366"/>
      <c r="R2270" s="355"/>
    </row>
    <row r="2271" spans="16:18">
      <c r="P2271" s="366"/>
      <c r="R2271" s="355"/>
    </row>
    <row r="2272" spans="16:18">
      <c r="P2272" s="366"/>
      <c r="R2272" s="355"/>
    </row>
    <row r="2273" spans="16:18">
      <c r="P2273" s="366"/>
      <c r="R2273" s="355"/>
    </row>
    <row r="2274" spans="16:18">
      <c r="P2274" s="366"/>
      <c r="R2274" s="355"/>
    </row>
    <row r="2275" spans="16:18">
      <c r="P2275" s="366"/>
      <c r="R2275" s="355"/>
    </row>
    <row r="2276" spans="16:18">
      <c r="P2276" s="366"/>
      <c r="R2276" s="355"/>
    </row>
    <row r="2277" spans="16:18">
      <c r="P2277" s="366"/>
      <c r="R2277" s="355"/>
    </row>
    <row r="2278" spans="16:18">
      <c r="P2278" s="366"/>
      <c r="R2278" s="355"/>
    </row>
    <row r="2279" spans="16:18">
      <c r="P2279" s="366"/>
      <c r="R2279" s="355"/>
    </row>
    <row r="2280" spans="16:18">
      <c r="P2280" s="366"/>
      <c r="R2280" s="355"/>
    </row>
    <row r="2281" spans="16:18">
      <c r="P2281" s="366"/>
      <c r="R2281" s="355"/>
    </row>
    <row r="2282" spans="16:18">
      <c r="P2282" s="366"/>
      <c r="R2282" s="355"/>
    </row>
    <row r="2283" spans="16:18">
      <c r="P2283" s="366"/>
      <c r="R2283" s="355"/>
    </row>
    <row r="2284" spans="16:18">
      <c r="P2284" s="366"/>
      <c r="R2284" s="355"/>
    </row>
    <row r="2285" spans="16:18">
      <c r="P2285" s="366"/>
      <c r="R2285" s="355"/>
    </row>
    <row r="2286" spans="16:18">
      <c r="P2286" s="366"/>
      <c r="R2286" s="355"/>
    </row>
    <row r="2287" spans="16:18">
      <c r="P2287" s="366"/>
      <c r="R2287" s="355"/>
    </row>
    <row r="2288" spans="16:18">
      <c r="P2288" s="366"/>
      <c r="R2288" s="355"/>
    </row>
    <row r="2289" spans="16:18">
      <c r="P2289" s="366"/>
      <c r="R2289" s="355"/>
    </row>
    <row r="2290" spans="16:18">
      <c r="P2290" s="366"/>
      <c r="R2290" s="355"/>
    </row>
    <row r="2291" spans="16:18">
      <c r="P2291" s="366"/>
      <c r="R2291" s="355"/>
    </row>
    <row r="2292" spans="16:18">
      <c r="P2292" s="366"/>
      <c r="R2292" s="355"/>
    </row>
    <row r="2293" spans="16:18">
      <c r="P2293" s="366"/>
      <c r="R2293" s="355"/>
    </row>
    <row r="2294" spans="16:18">
      <c r="P2294" s="366"/>
      <c r="R2294" s="355"/>
    </row>
    <row r="2295" spans="16:18">
      <c r="P2295" s="366"/>
      <c r="R2295" s="355"/>
    </row>
    <row r="2296" spans="16:18">
      <c r="P2296" s="366"/>
      <c r="R2296" s="355"/>
    </row>
    <row r="2297" spans="16:18">
      <c r="P2297" s="366"/>
      <c r="R2297" s="355"/>
    </row>
    <row r="2298" spans="16:18">
      <c r="P2298" s="366"/>
      <c r="R2298" s="355"/>
    </row>
    <row r="2299" spans="16:18">
      <c r="P2299" s="366"/>
      <c r="R2299" s="355"/>
    </row>
    <row r="2300" spans="16:18">
      <c r="P2300" s="366"/>
      <c r="R2300" s="355"/>
    </row>
    <row r="2301" spans="16:18">
      <c r="P2301" s="366"/>
      <c r="R2301" s="355"/>
    </row>
    <row r="2302" spans="16:18">
      <c r="P2302" s="366"/>
      <c r="R2302" s="355"/>
    </row>
    <row r="2303" spans="16:18">
      <c r="P2303" s="366"/>
      <c r="R2303" s="355"/>
    </row>
    <row r="2304" spans="16:18">
      <c r="P2304" s="366"/>
      <c r="R2304" s="355"/>
    </row>
    <row r="2305" spans="16:18">
      <c r="P2305" s="366"/>
      <c r="R2305" s="355"/>
    </row>
    <row r="2306" spans="16:18">
      <c r="P2306" s="366"/>
      <c r="R2306" s="355"/>
    </row>
    <row r="2307" spans="16:18">
      <c r="P2307" s="366"/>
      <c r="R2307" s="355"/>
    </row>
    <row r="2308" spans="16:18">
      <c r="P2308" s="366"/>
      <c r="R2308" s="355"/>
    </row>
    <row r="2309" spans="16:18">
      <c r="P2309" s="366"/>
      <c r="R2309" s="355"/>
    </row>
    <row r="2310" spans="16:18">
      <c r="P2310" s="366"/>
      <c r="R2310" s="355"/>
    </row>
    <row r="2311" spans="16:18">
      <c r="P2311" s="366"/>
      <c r="R2311" s="355"/>
    </row>
    <row r="2312" spans="16:18">
      <c r="P2312" s="366"/>
      <c r="R2312" s="355"/>
    </row>
    <row r="2313" spans="16:18">
      <c r="P2313" s="366"/>
      <c r="R2313" s="355"/>
    </row>
  </sheetData>
  <phoneticPr fontId="1" type="noConversion"/>
  <conditionalFormatting sqref="P1:Q1048576 S1:S1048576">
    <cfRule type="cellIs" dxfId="125" priority="1082" operator="between">
      <formula>100</formula>
      <formula>1</formula>
    </cfRule>
  </conditionalFormatting>
  <conditionalFormatting sqref="R1:R1048576">
    <cfRule type="cellIs" dxfId="124" priority="1081" operator="between">
      <formula>200</formula>
      <formula>1</formula>
    </cfRule>
  </conditionalFormatting>
  <conditionalFormatting sqref="T1:T1048576">
    <cfRule type="cellIs" dxfId="123" priority="700" operator="between">
      <formula>100</formula>
      <formula>1</formula>
    </cfRule>
  </conditionalFormatting>
  <conditionalFormatting sqref="B1228:E1263 B1266:E1305 B699:E806 B809:E927 B930:E1016 B1019:E1225 B225:E241 B244:E286 B289:E414 B417:E421 B424:E429 B432:E477 B480:E491 B494:E526 B529:E696 B4:E10 B13:E39 B42:E67 B70:E125 B128:E222 B1308:E1437 B1440:E1513 B1516:E1544 B1547:E1590 B1593:E1635 B1638:E1674 B1677:E1688 B1691:E1766">
    <cfRule type="cellIs" dxfId="122" priority="180" operator="lessThan">
      <formula>0</formula>
    </cfRule>
  </conditionalFormatting>
  <conditionalFormatting sqref="F1228:F1263 F1266:F1305 F699:F806 F809:F927 F930:F1016 F1019:F1225 F225:F241 F244:F286 F289:F414 F417:F421 F424:F429 F432:F477 F480:F491 F494:F526 F529:F696 F4:F10 F13:F39 F42:F67 F70:F125 F128:F222 F1308:F1437 F1440:F1513 F1516:F1544 F1547:F1590 F1593:F1635 F1638:F1674 F1677:F1688 F1691:F1766">
    <cfRule type="cellIs" dxfId="121" priority="179" operator="greaterThan">
      <formula>10</formula>
    </cfRule>
  </conditionalFormatting>
  <conditionalFormatting sqref="A4:A10 A1019:A1225 A1308:A1356">
    <cfRule type="expression" dxfId="120" priority="178">
      <formula>IF($F4&gt;0,$A4,"")</formula>
    </cfRule>
  </conditionalFormatting>
  <conditionalFormatting sqref="A13:A39">
    <cfRule type="expression" dxfId="119" priority="175">
      <formula>IF($F13&gt;0,$A13,"")</formula>
    </cfRule>
  </conditionalFormatting>
  <conditionalFormatting sqref="A42:A67">
    <cfRule type="expression" dxfId="118" priority="172">
      <formula>IF($F42&gt;0,$A42,"")</formula>
    </cfRule>
  </conditionalFormatting>
  <conditionalFormatting sqref="A70:A125">
    <cfRule type="expression" dxfId="117" priority="169">
      <formula>IF($F70&gt;0,$A70,"")</formula>
    </cfRule>
  </conditionalFormatting>
  <conditionalFormatting sqref="A128:A207">
    <cfRule type="expression" dxfId="116" priority="166">
      <formula>IF($F128&gt;0,$A128,"")</formula>
    </cfRule>
  </conditionalFormatting>
  <conditionalFormatting sqref="A208:A222">
    <cfRule type="expression" dxfId="115" priority="163">
      <formula>IF($F208&gt;0,$A208,"")</formula>
    </cfRule>
  </conditionalFormatting>
  <conditionalFormatting sqref="A225:A241">
    <cfRule type="expression" dxfId="114" priority="160">
      <formula>IF($F225&gt;0,$A225,"")</formula>
    </cfRule>
  </conditionalFormatting>
  <conditionalFormatting sqref="A244:A286">
    <cfRule type="expression" dxfId="113" priority="157">
      <formula>IF($F244&gt;0,$A244,"")</formula>
    </cfRule>
  </conditionalFormatting>
  <conditionalFormatting sqref="A289:A414">
    <cfRule type="expression" dxfId="112" priority="154">
      <formula>IF($F289&gt;0,$A289,"")</formula>
    </cfRule>
  </conditionalFormatting>
  <conditionalFormatting sqref="A417:A421">
    <cfRule type="expression" dxfId="111" priority="151">
      <formula>IF($F417&gt;0,$A417,"")</formula>
    </cfRule>
  </conditionalFormatting>
  <conditionalFormatting sqref="A424:A429">
    <cfRule type="expression" dxfId="110" priority="148">
      <formula>IF($F424&gt;0,$A424,"")</formula>
    </cfRule>
  </conditionalFormatting>
  <conditionalFormatting sqref="A432:A477">
    <cfRule type="expression" dxfId="109" priority="145">
      <formula>IF($F432&gt;0,$A432,"")</formula>
    </cfRule>
  </conditionalFormatting>
  <conditionalFormatting sqref="A480:A491">
    <cfRule type="expression" dxfId="108" priority="142">
      <formula>IF($F480&gt;0,$A480,"")</formula>
    </cfRule>
  </conditionalFormatting>
  <conditionalFormatting sqref="A494:A526">
    <cfRule type="expression" dxfId="107" priority="139">
      <formula>IF($F494&gt;0,$A494,"")</formula>
    </cfRule>
  </conditionalFormatting>
  <conditionalFormatting sqref="A529:A679">
    <cfRule type="expression" dxfId="106" priority="136">
      <formula>IF($F529&gt;0,$A529,"")</formula>
    </cfRule>
  </conditionalFormatting>
  <conditionalFormatting sqref="A680:A696">
    <cfRule type="expression" dxfId="105" priority="133">
      <formula>IF($F680&gt;0,$A680,"")</formula>
    </cfRule>
  </conditionalFormatting>
  <conditionalFormatting sqref="A699:A806">
    <cfRule type="expression" dxfId="104" priority="130">
      <formula>IF($F699&gt;0,$A699,"")</formula>
    </cfRule>
  </conditionalFormatting>
  <conditionalFormatting sqref="A809:A927">
    <cfRule type="expression" dxfId="103" priority="127">
      <formula>IF($F809&gt;0,$A809,"")</formula>
    </cfRule>
  </conditionalFormatting>
  <conditionalFormatting sqref="A930:A1016">
    <cfRule type="expression" dxfId="102" priority="124">
      <formula>IF($F930&gt;0,$A930,"")</formula>
    </cfRule>
  </conditionalFormatting>
  <conditionalFormatting sqref="A1228:A1263">
    <cfRule type="expression" dxfId="101" priority="118">
      <formula>IF($F1228&gt;0,$A1228,"")</formula>
    </cfRule>
  </conditionalFormatting>
  <conditionalFormatting sqref="A1266:A1305">
    <cfRule type="expression" dxfId="100" priority="115">
      <formula>IF($F1266&gt;0,$A1266,"")</formula>
    </cfRule>
  </conditionalFormatting>
  <conditionalFormatting sqref="A1357:A1437">
    <cfRule type="expression" dxfId="99" priority="109">
      <formula>IF($F1357&gt;0,$A1357,"")</formula>
    </cfRule>
  </conditionalFormatting>
  <conditionalFormatting sqref="A1440:A1513">
    <cfRule type="expression" dxfId="98" priority="106">
      <formula>IF($F1440&gt;0,$A1440,"")</formula>
    </cfRule>
  </conditionalFormatting>
  <conditionalFormatting sqref="A1516:A1544">
    <cfRule type="expression" dxfId="97" priority="103">
      <formula>IF($F1516&gt;0,$A1516,"")</formula>
    </cfRule>
  </conditionalFormatting>
  <conditionalFormatting sqref="A1547:A1590">
    <cfRule type="expression" dxfId="96" priority="100">
      <formula>IF($F1547&gt;0,$A1547,"")</formula>
    </cfRule>
  </conditionalFormatting>
  <conditionalFormatting sqref="A1593:A1635">
    <cfRule type="expression" dxfId="95" priority="97">
      <formula>IF($F1593&gt;0,$A1593,"")</formula>
    </cfRule>
  </conditionalFormatting>
  <conditionalFormatting sqref="A1638:A1674">
    <cfRule type="expression" dxfId="94" priority="94">
      <formula>IF($F1638&gt;0,$A1638,"")</formula>
    </cfRule>
  </conditionalFormatting>
  <conditionalFormatting sqref="A1677:A1688">
    <cfRule type="expression" dxfId="93" priority="91">
      <formula>IF($F1677&gt;0,$A1677,"")</formula>
    </cfRule>
  </conditionalFormatting>
  <conditionalFormatting sqref="A1691:A1766">
    <cfRule type="expression" dxfId="92" priority="88">
      <formula>IF($F1691&gt;0,$A1691,"")</formula>
    </cfRule>
  </conditionalFormatting>
  <conditionalFormatting sqref="B1767:E1776">
    <cfRule type="cellIs" dxfId="91" priority="87" operator="lessThan">
      <formula>0</formula>
    </cfRule>
  </conditionalFormatting>
  <conditionalFormatting sqref="F1767:F1776">
    <cfRule type="cellIs" dxfId="90" priority="86" operator="greaterThan">
      <formula>10</formula>
    </cfRule>
  </conditionalFormatting>
  <conditionalFormatting sqref="A1767:A1776">
    <cfRule type="expression" dxfId="89" priority="85">
      <formula>IF($F1767&gt;0,$A1767,"")</formula>
    </cfRule>
  </conditionalFormatting>
  <conditionalFormatting sqref="B1779:E1803">
    <cfRule type="cellIs" dxfId="88" priority="84" operator="lessThan">
      <formula>0</formula>
    </cfRule>
  </conditionalFormatting>
  <conditionalFormatting sqref="F1779:F1803">
    <cfRule type="cellIs" dxfId="87" priority="83" operator="greaterThan">
      <formula>10</formula>
    </cfRule>
  </conditionalFormatting>
  <conditionalFormatting sqref="A1779:A1803">
    <cfRule type="expression" dxfId="86" priority="82">
      <formula>IF($F1779&gt;0,$A1779,"")</formula>
    </cfRule>
  </conditionalFormatting>
  <conditionalFormatting sqref="B1806:E1814">
    <cfRule type="cellIs" dxfId="85" priority="81" operator="lessThan">
      <formula>0</formula>
    </cfRule>
  </conditionalFormatting>
  <conditionalFormatting sqref="F1806:F1814">
    <cfRule type="cellIs" dxfId="84" priority="80" operator="greaterThan">
      <formula>10</formula>
    </cfRule>
  </conditionalFormatting>
  <conditionalFormatting sqref="A1806:A1814">
    <cfRule type="expression" dxfId="83" priority="79">
      <formula>IF($F1806&gt;0,$A1806,"")</formula>
    </cfRule>
  </conditionalFormatting>
  <conditionalFormatting sqref="B1817:E1820">
    <cfRule type="cellIs" dxfId="82" priority="78" operator="lessThan">
      <formula>0</formula>
    </cfRule>
  </conditionalFormatting>
  <conditionalFormatting sqref="F1817:F1820">
    <cfRule type="cellIs" dxfId="81" priority="77" operator="greaterThan">
      <formula>10</formula>
    </cfRule>
  </conditionalFormatting>
  <conditionalFormatting sqref="A1817:A1820">
    <cfRule type="expression" dxfId="80" priority="76">
      <formula>IF($F1817&gt;0,$A1817,"")</formula>
    </cfRule>
  </conditionalFormatting>
  <conditionalFormatting sqref="B1823:E1824">
    <cfRule type="cellIs" dxfId="79" priority="75" operator="lessThan">
      <formula>0</formula>
    </cfRule>
  </conditionalFormatting>
  <conditionalFormatting sqref="F1823:F1824">
    <cfRule type="cellIs" dxfId="78" priority="74" operator="greaterThan">
      <formula>10</formula>
    </cfRule>
  </conditionalFormatting>
  <conditionalFormatting sqref="A1823:A1824">
    <cfRule type="expression" dxfId="77" priority="73">
      <formula>IF($F1823&gt;0,$A1823,"")</formula>
    </cfRule>
  </conditionalFormatting>
  <conditionalFormatting sqref="U1228:U1263 U1266:U1305 U699:U806 U809:U927 U930:U1016 U1019:U1225 U225:U241 U244:U286 U289:U414 U417:U421 U424:U429 U432:U477 U480:U491 U494:U526 U529:U696 U4:U10 U13:U39 U42:U68 U70:U125 U128:U222 U1308:U1437 U1440:U1513 U1516:U1544 U1547:U1590 U1593:U1635 U1638:U1674 U1677:U1688 U1691:U1766">
    <cfRule type="cellIs" dxfId="76" priority="72" operator="greaterThanOrEqual">
      <formula>3</formula>
    </cfRule>
  </conditionalFormatting>
  <conditionalFormatting sqref="W4:W10 W1019:W1225 W1308:W1356">
    <cfRule type="expression" dxfId="75" priority="71">
      <formula>IF($W4&lt;$U4,$W4,"")</formula>
    </cfRule>
  </conditionalFormatting>
  <conditionalFormatting sqref="W13:W39">
    <cfRule type="expression" dxfId="74" priority="69">
      <formula>IF($W13&lt;$U13,$W13,"")</formula>
    </cfRule>
  </conditionalFormatting>
  <conditionalFormatting sqref="W42:W68">
    <cfRule type="expression" dxfId="73" priority="67">
      <formula>IF($W42&lt;$U42,$W42,"")</formula>
    </cfRule>
  </conditionalFormatting>
  <conditionalFormatting sqref="W70:W125">
    <cfRule type="expression" dxfId="72" priority="65">
      <formula>IF($W70&lt;$U70,$W70,"")</formula>
    </cfRule>
  </conditionalFormatting>
  <conditionalFormatting sqref="W128:W207">
    <cfRule type="expression" dxfId="71" priority="63">
      <formula>IF($W128&lt;$U128,$W128,"")</formula>
    </cfRule>
  </conditionalFormatting>
  <conditionalFormatting sqref="W208:W222">
    <cfRule type="expression" dxfId="70" priority="61">
      <formula>IF($W208&lt;$U208,$W208,"")</formula>
    </cfRule>
  </conditionalFormatting>
  <conditionalFormatting sqref="W225:W241">
    <cfRule type="expression" dxfId="69" priority="59">
      <formula>IF($W225&lt;$U225,$W225,"")</formula>
    </cfRule>
  </conditionalFormatting>
  <conditionalFormatting sqref="W244:W286">
    <cfRule type="expression" dxfId="68" priority="57">
      <formula>IF($W244&lt;$U244,$W244,"")</formula>
    </cfRule>
  </conditionalFormatting>
  <conditionalFormatting sqref="W289:W414">
    <cfRule type="expression" dxfId="67" priority="55">
      <formula>IF($W289&lt;$U289,$W289,"")</formula>
    </cfRule>
  </conditionalFormatting>
  <conditionalFormatting sqref="W417:W421">
    <cfRule type="expression" dxfId="66" priority="53">
      <formula>IF($W417&lt;$U417,$W417,"")</formula>
    </cfRule>
  </conditionalFormatting>
  <conditionalFormatting sqref="W424:W429">
    <cfRule type="expression" dxfId="65" priority="51">
      <formula>IF($W424&lt;$U424,$W424,"")</formula>
    </cfRule>
  </conditionalFormatting>
  <conditionalFormatting sqref="W432:W477">
    <cfRule type="expression" dxfId="64" priority="49">
      <formula>IF($W432&lt;$U432,$W432,"")</formula>
    </cfRule>
  </conditionalFormatting>
  <conditionalFormatting sqref="W480:W491">
    <cfRule type="expression" dxfId="63" priority="47">
      <formula>IF($W480&lt;$U480,$W480,"")</formula>
    </cfRule>
  </conditionalFormatting>
  <conditionalFormatting sqref="W494:W526">
    <cfRule type="expression" dxfId="62" priority="45">
      <formula>IF($W494&lt;$U494,$W494,"")</formula>
    </cfRule>
  </conditionalFormatting>
  <conditionalFormatting sqref="W529:W679">
    <cfRule type="expression" dxfId="61" priority="43">
      <formula>IF($W529&lt;$U529,$W529,"")</formula>
    </cfRule>
  </conditionalFormatting>
  <conditionalFormatting sqref="W680:W696">
    <cfRule type="expression" dxfId="60" priority="41">
      <formula>IF($W680&lt;$U680,$W680,"")</formula>
    </cfRule>
  </conditionalFormatting>
  <conditionalFormatting sqref="W699:W806">
    <cfRule type="expression" dxfId="59" priority="39">
      <formula>IF($W699&lt;$U699,$W699,"")</formula>
    </cfRule>
  </conditionalFormatting>
  <conditionalFormatting sqref="W809:W927">
    <cfRule type="expression" dxfId="58" priority="37">
      <formula>IF($W809&lt;$U809,$W809,"")</formula>
    </cfRule>
  </conditionalFormatting>
  <conditionalFormatting sqref="W930:W1016">
    <cfRule type="expression" dxfId="57" priority="35">
      <formula>IF($W930&lt;$U930,$W930,"")</formula>
    </cfRule>
  </conditionalFormatting>
  <conditionalFormatting sqref="W1228:W1263">
    <cfRule type="expression" dxfId="56" priority="31">
      <formula>IF($W1228&lt;$U1228,$W1228,"")</formula>
    </cfRule>
  </conditionalFormatting>
  <conditionalFormatting sqref="W1266:W1305">
    <cfRule type="expression" dxfId="55" priority="29">
      <formula>IF($W1266&lt;$U1266,$W1266,"")</formula>
    </cfRule>
  </conditionalFormatting>
  <conditionalFormatting sqref="W1357:W1437">
    <cfRule type="expression" dxfId="54" priority="25">
      <formula>IF($W1357&lt;$U1357,$W1357,"")</formula>
    </cfRule>
  </conditionalFormatting>
  <conditionalFormatting sqref="W1440:W1513">
    <cfRule type="expression" dxfId="53" priority="23">
      <formula>IF($W1440&lt;$U1440,$W1440,"")</formula>
    </cfRule>
  </conditionalFormatting>
  <conditionalFormatting sqref="W1516:W1544">
    <cfRule type="expression" dxfId="52" priority="21">
      <formula>IF($W1516&lt;$U1516,$W1516,"")</formula>
    </cfRule>
  </conditionalFormatting>
  <conditionalFormatting sqref="W1547:W1590">
    <cfRule type="expression" dxfId="51" priority="19">
      <formula>IF($W1547&lt;$U1547,$W1547,"")</formula>
    </cfRule>
  </conditionalFormatting>
  <conditionalFormatting sqref="W1593:W1635">
    <cfRule type="expression" dxfId="50" priority="17">
      <formula>IF($W1593&lt;$U1593,$W1593,"")</formula>
    </cfRule>
  </conditionalFormatting>
  <conditionalFormatting sqref="W1638:W1674">
    <cfRule type="expression" dxfId="49" priority="15">
      <formula>IF($W1638&lt;$U1638,$W1638,"")</formula>
    </cfRule>
  </conditionalFormatting>
  <conditionalFormatting sqref="W1677:W1688">
    <cfRule type="expression" dxfId="48" priority="13">
      <formula>IF($W1677&lt;$U1677,$W1677,"")</formula>
    </cfRule>
  </conditionalFormatting>
  <conditionalFormatting sqref="W1691:W1766">
    <cfRule type="expression" dxfId="47" priority="11">
      <formula>IF($W1691&lt;$U1691,$W1691,"")</formula>
    </cfRule>
  </conditionalFormatting>
  <conditionalFormatting sqref="U1767:U1776">
    <cfRule type="cellIs" dxfId="46" priority="10" operator="greaterThanOrEqual">
      <formula>3</formula>
    </cfRule>
  </conditionalFormatting>
  <conditionalFormatting sqref="W1767:W1776">
    <cfRule type="expression" dxfId="45" priority="9">
      <formula>IF($W1767&lt;$U1767,$W1767,"")</formula>
    </cfRule>
  </conditionalFormatting>
  <conditionalFormatting sqref="U1779:U1803">
    <cfRule type="cellIs" dxfId="44" priority="8" operator="greaterThanOrEqual">
      <formula>3</formula>
    </cfRule>
  </conditionalFormatting>
  <conditionalFormatting sqref="W1779:W1803">
    <cfRule type="expression" dxfId="43" priority="7">
      <formula>IF($W1779&lt;$U1779,$W1779,"")</formula>
    </cfRule>
  </conditionalFormatting>
  <conditionalFormatting sqref="U1806:U1814">
    <cfRule type="cellIs" dxfId="42" priority="6" operator="greaterThanOrEqual">
      <formula>3</formula>
    </cfRule>
  </conditionalFormatting>
  <conditionalFormatting sqref="W1806:W1814">
    <cfRule type="expression" dxfId="41" priority="5">
      <formula>IF($W1806&lt;$U1806,$W1806,"")</formula>
    </cfRule>
  </conditionalFormatting>
  <conditionalFormatting sqref="U1817:U1820">
    <cfRule type="cellIs" dxfId="40" priority="4" operator="greaterThanOrEqual">
      <formula>3</formula>
    </cfRule>
  </conditionalFormatting>
  <conditionalFormatting sqref="W1817:W1820">
    <cfRule type="expression" dxfId="39" priority="3">
      <formula>IF($W1817&lt;$U1817,$W1817,"")</formula>
    </cfRule>
  </conditionalFormatting>
  <conditionalFormatting sqref="U1823:U1824">
    <cfRule type="cellIs" dxfId="38" priority="2" operator="greaterThanOrEqual">
      <formula>3</formula>
    </cfRule>
  </conditionalFormatting>
  <conditionalFormatting sqref="W1823:W1824">
    <cfRule type="expression" dxfId="37" priority="1">
      <formula>IF($W1823&lt;$U1823,$W1823,"")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rgb="FFFFC000"/>
  </sheetPr>
  <dimension ref="A1:AR6077"/>
  <sheetViews>
    <sheetView workbookViewId="0">
      <selection activeCell="J68" sqref="J68:N342"/>
    </sheetView>
  </sheetViews>
  <sheetFormatPr defaultColWidth="9.125" defaultRowHeight="16.2"/>
  <cols>
    <col min="1" max="1" width="7.75" style="127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7.75" style="9" customWidth="1"/>
    <col min="10" max="10" width="5.75" style="8" customWidth="1"/>
    <col min="11" max="11" width="5.75" style="5" customWidth="1"/>
    <col min="12" max="12" width="3.75" style="121" customWidth="1"/>
    <col min="13" max="13" width="3.75" style="234" customWidth="1"/>
    <col min="14" max="14" width="4.75" style="341" customWidth="1"/>
    <col min="15" max="15" width="2.75" style="245" customWidth="1"/>
    <col min="16" max="16" width="6.75" style="89" customWidth="1"/>
    <col min="17" max="17" width="6.75" style="73" customWidth="1"/>
    <col min="18" max="18" width="6.75" style="354" customWidth="1"/>
    <col min="19" max="19" width="5.75" style="26" customWidth="1"/>
    <col min="20" max="20" width="7.75" style="322" customWidth="1"/>
    <col min="21" max="21" width="7.75" style="61" customWidth="1"/>
    <col min="22" max="22" width="7.75" style="311" customWidth="1"/>
    <col min="23" max="23" width="7.75" style="215" customWidth="1"/>
    <col min="24" max="24" width="8.75" style="246" customWidth="1"/>
    <col min="25" max="25" width="8.75" style="69" customWidth="1"/>
    <col min="26" max="26" width="9.75" style="58" customWidth="1"/>
    <col min="27" max="27" width="8.75" style="11" customWidth="1"/>
    <col min="28" max="28" width="6.75" style="98" customWidth="1"/>
    <col min="29" max="29" width="6.75" style="382" customWidth="1"/>
    <col min="30" max="30" width="7.75" style="9" customWidth="1"/>
    <col min="31" max="31" width="11.75" style="84" customWidth="1"/>
    <col min="32" max="32" width="11.75" style="83" customWidth="1"/>
    <col min="33" max="33" width="3.75" style="285" customWidth="1"/>
    <col min="34" max="34" width="3.75" style="78" customWidth="1"/>
    <col min="35" max="35" width="3.75" style="245" customWidth="1"/>
    <col min="36" max="36" width="13.75" style="224" customWidth="1"/>
    <col min="37" max="37" width="7.75" style="9" customWidth="1"/>
    <col min="38" max="38" width="7.75" style="259" customWidth="1"/>
    <col min="39" max="39" width="7.75" style="250" customWidth="1"/>
    <col min="40" max="40" width="7.75" style="22" customWidth="1"/>
    <col min="41" max="41" width="7.75" style="127" customWidth="1"/>
    <col min="42" max="42" width="7.75" style="285" customWidth="1"/>
    <col min="43" max="43" width="7.75" style="377" customWidth="1"/>
    <col min="44" max="44" width="2.75" style="245" customWidth="1"/>
    <col min="45" max="16384" width="9.125" style="245"/>
  </cols>
  <sheetData>
    <row r="1" spans="1:44">
      <c r="G1" s="245"/>
      <c r="I1" s="2"/>
      <c r="AL1" s="19" t="s">
        <v>6441</v>
      </c>
      <c r="AM1" s="2" t="s">
        <v>6442</v>
      </c>
      <c r="AN1" s="48">
        <f>RTD("money.excel",,"TXF1","VolumeStrength")</f>
        <v>-13</v>
      </c>
      <c r="AO1" s="386">
        <f>RTD("money.excel",,"TXF1","PredictVolume")</f>
        <v>187356</v>
      </c>
      <c r="AP1" s="387">
        <f>RTD("money.excel",,"TXF1","PriorVolume")</f>
        <v>216539</v>
      </c>
      <c r="AQ1" s="40">
        <f>RTD("money.excel",,"TXF1","ChangePercent")</f>
        <v>-0.17458535977054496</v>
      </c>
    </row>
    <row r="2" spans="1:44" s="248" customFormat="1">
      <c r="A2" s="156" t="s">
        <v>3555</v>
      </c>
      <c r="B2" s="80"/>
      <c r="C2" s="80"/>
      <c r="D2" s="80"/>
      <c r="E2" s="79"/>
      <c r="F2" s="6"/>
      <c r="G2" s="51" t="s">
        <v>3176</v>
      </c>
      <c r="H2" s="5" t="s">
        <v>3178</v>
      </c>
      <c r="I2" s="153" t="s">
        <v>3177</v>
      </c>
      <c r="J2" s="8"/>
      <c r="L2" s="337"/>
      <c r="M2" s="338"/>
      <c r="N2" s="339"/>
      <c r="U2" s="231"/>
      <c r="V2" s="376" t="s">
        <v>3177</v>
      </c>
      <c r="W2" s="295" t="s">
        <v>3552</v>
      </c>
      <c r="X2" s="293" t="s">
        <v>6179</v>
      </c>
      <c r="Y2" s="293" t="s">
        <v>1151</v>
      </c>
      <c r="Z2" s="295" t="s">
        <v>282</v>
      </c>
      <c r="AB2" s="349"/>
      <c r="AC2" s="382"/>
      <c r="AE2" s="115"/>
      <c r="AF2" s="126"/>
      <c r="AG2" s="334"/>
      <c r="AH2" s="116"/>
      <c r="AM2" s="153" t="s">
        <v>3177</v>
      </c>
      <c r="AN2" s="48">
        <f>RTD("money.excel",,"$TWT","VolumeStrength")</f>
        <v>-19</v>
      </c>
      <c r="AO2" s="362">
        <f>RTD("money.excel",,"$TWT","PredictVolume")</f>
        <v>2067.34</v>
      </c>
      <c r="AP2" s="48">
        <f>RTD("money.excel",,"$TWT","PriorVolume")</f>
        <v>2565.14</v>
      </c>
      <c r="AQ2" s="40">
        <f>RTD("money.excel",,"$TWT","ChangePercent")</f>
        <v>-0.34523120217660647</v>
      </c>
    </row>
    <row r="3" spans="1:44" s="248" customFormat="1">
      <c r="A3" s="156" t="s">
        <v>3556</v>
      </c>
      <c r="B3" s="80"/>
      <c r="C3" s="80"/>
      <c r="D3" s="80"/>
      <c r="E3" s="79"/>
      <c r="F3" s="6"/>
      <c r="G3" s="51" t="s">
        <v>3179</v>
      </c>
      <c r="H3" s="5" t="s">
        <v>3178</v>
      </c>
      <c r="I3" s="166" t="s">
        <v>3180</v>
      </c>
      <c r="J3" s="8"/>
      <c r="K3" s="24" t="s">
        <v>6172</v>
      </c>
      <c r="L3" s="337"/>
      <c r="M3" s="338"/>
      <c r="N3" s="339"/>
      <c r="U3" s="231"/>
      <c r="V3" s="237" t="s">
        <v>3180</v>
      </c>
      <c r="W3" s="295" t="s">
        <v>3552</v>
      </c>
      <c r="X3" s="293" t="s">
        <v>6179</v>
      </c>
      <c r="Y3" s="295" t="s">
        <v>1151</v>
      </c>
      <c r="Z3" s="293" t="s">
        <v>282</v>
      </c>
      <c r="AB3" s="156" t="s">
        <v>6213</v>
      </c>
      <c r="AC3" s="382"/>
      <c r="AE3" s="115"/>
      <c r="AF3" s="86"/>
      <c r="AG3" s="334"/>
      <c r="AH3" s="116"/>
      <c r="AM3" s="166" t="s">
        <v>3180</v>
      </c>
      <c r="AN3" s="48">
        <f>RTD("money.excel",,"$TWO","VolumeStrength")</f>
        <v>16</v>
      </c>
      <c r="AO3" s="362">
        <f>RTD("money.excel",,"$TWO","PredictVolume")</f>
        <v>689.32</v>
      </c>
      <c r="AP3" s="48">
        <f>RTD("money.excel",,"$TWO","PriorVolume")</f>
        <v>591.51</v>
      </c>
      <c r="AQ3" s="40">
        <f>RTD("money.excel",,"$TWO","ChangePercent")</f>
        <v>-0.21316418841634605</v>
      </c>
    </row>
    <row r="4" spans="1:44" s="248" customFormat="1">
      <c r="A4" s="156" t="s">
        <v>3557</v>
      </c>
      <c r="B4" s="80"/>
      <c r="C4" s="80"/>
      <c r="D4" s="80"/>
      <c r="E4" s="79"/>
      <c r="F4" s="6"/>
      <c r="G4" s="51" t="s">
        <v>3176</v>
      </c>
      <c r="H4" s="5" t="s">
        <v>3178</v>
      </c>
      <c r="I4" s="153" t="s">
        <v>3259</v>
      </c>
      <c r="J4" s="8"/>
      <c r="K4" s="24" t="s">
        <v>6173</v>
      </c>
      <c r="L4" s="156"/>
      <c r="M4" s="340"/>
      <c r="N4" s="240"/>
      <c r="U4" s="231"/>
      <c r="V4" s="376" t="s">
        <v>3259</v>
      </c>
      <c r="W4" s="297"/>
      <c r="X4" s="293" t="s">
        <v>6179</v>
      </c>
      <c r="Y4" s="293" t="s">
        <v>1151</v>
      </c>
      <c r="Z4" s="295" t="s">
        <v>282</v>
      </c>
      <c r="AB4" s="309" t="s">
        <v>6418</v>
      </c>
      <c r="AC4" s="382"/>
      <c r="AE4" s="115"/>
      <c r="AF4" s="86"/>
      <c r="AG4" s="334"/>
      <c r="AH4" s="116"/>
      <c r="AJ4" s="220"/>
      <c r="AM4" s="153" t="s">
        <v>3259</v>
      </c>
      <c r="AN4" s="48">
        <f>RTD("money.excel",,"$TWTNB","VolumeStrength")</f>
        <v>-18</v>
      </c>
      <c r="AO4" s="362">
        <f>RTD("money.excel",,"$TWTNB","PredictVolume")</f>
        <v>873.72</v>
      </c>
      <c r="AP4" s="48">
        <f>RTD("money.excel",,"$TWTNB","PriorVolume")</f>
        <v>1068.28</v>
      </c>
      <c r="AQ4" s="40">
        <f>RTD("money.excel",,"$TWTNB","ChangePercent")</f>
        <v>-0.94335667529971101</v>
      </c>
    </row>
    <row r="5" spans="1:44" s="248" customFormat="1">
      <c r="A5" s="156" t="s">
        <v>3558</v>
      </c>
      <c r="B5" s="80"/>
      <c r="C5" s="80"/>
      <c r="D5" s="80"/>
      <c r="E5" s="79"/>
      <c r="F5" s="6"/>
      <c r="G5" s="27" t="s">
        <v>3176</v>
      </c>
      <c r="H5" s="5" t="s">
        <v>3178</v>
      </c>
      <c r="I5" s="153" t="s">
        <v>3245</v>
      </c>
      <c r="J5" s="8"/>
      <c r="K5" s="282" t="s">
        <v>6171</v>
      </c>
      <c r="L5" s="156"/>
      <c r="M5" s="340"/>
      <c r="N5" s="240"/>
      <c r="U5" s="230"/>
      <c r="V5" s="376" t="s">
        <v>3245</v>
      </c>
      <c r="W5" s="297"/>
      <c r="X5" s="293" t="s">
        <v>6179</v>
      </c>
      <c r="Y5" s="295" t="s">
        <v>1151</v>
      </c>
      <c r="Z5" s="293" t="s">
        <v>282</v>
      </c>
      <c r="AC5" s="382"/>
      <c r="AE5" s="115"/>
      <c r="AF5" s="86"/>
      <c r="AH5" s="116"/>
      <c r="AJ5" s="220"/>
      <c r="AM5" s="153" t="s">
        <v>3245</v>
      </c>
      <c r="AN5" s="48">
        <f>RTD("money.excel",,"$TWT17","VolumeStrength")</f>
        <v>-32</v>
      </c>
      <c r="AO5" s="362">
        <f>RTD("money.excel",,"$TWT17","PredictVolume")</f>
        <v>122.27</v>
      </c>
      <c r="AP5" s="48">
        <f>RTD("money.excel",,"$TWT17","PriorVolume")</f>
        <v>182.08</v>
      </c>
      <c r="AQ5" s="40">
        <f>RTD("money.excel",,"$TWT17","ChangePercent")</f>
        <v>-0.96872535517967917</v>
      </c>
    </row>
    <row r="6" spans="1:44" s="248" customFormat="1">
      <c r="A6" s="166" t="s">
        <v>3564</v>
      </c>
      <c r="B6" s="80"/>
      <c r="C6" s="80"/>
      <c r="D6" s="80"/>
      <c r="E6" s="79"/>
      <c r="F6" s="6"/>
      <c r="G6" s="51" t="s">
        <v>3176</v>
      </c>
      <c r="H6" s="5" t="s">
        <v>3178</v>
      </c>
      <c r="I6" s="153" t="s">
        <v>3325</v>
      </c>
      <c r="J6" s="8"/>
      <c r="K6" s="282" t="s">
        <v>4725</v>
      </c>
      <c r="L6" s="156"/>
      <c r="M6" s="340"/>
      <c r="N6" s="240"/>
      <c r="U6" s="231"/>
      <c r="V6" s="376" t="s">
        <v>3325</v>
      </c>
      <c r="W6" s="297"/>
      <c r="X6" s="293" t="s">
        <v>6179</v>
      </c>
      <c r="Y6" s="295" t="s">
        <v>1151</v>
      </c>
      <c r="Z6" s="295" t="s">
        <v>282</v>
      </c>
      <c r="AB6" s="349"/>
      <c r="AC6" s="382"/>
      <c r="AE6" s="86"/>
      <c r="AF6" s="83"/>
      <c r="AG6" s="334"/>
      <c r="AH6" s="116"/>
      <c r="AJ6" s="220"/>
      <c r="AM6" s="153" t="s">
        <v>3325</v>
      </c>
      <c r="AN6" s="48">
        <f>RTD("money.excel",,"$TWT13","VolumeStrength")</f>
        <v>-18</v>
      </c>
      <c r="AO6" s="362">
        <f>RTD("money.excel",,"$TWT13","PredictVolume")</f>
        <v>1066.1099999999999</v>
      </c>
      <c r="AP6" s="48">
        <f>RTD("money.excel",,"$TWT13","PriorVolume")</f>
        <v>1310.46</v>
      </c>
      <c r="AQ6" s="40">
        <f>RTD("money.excel",,"$TWT13","ChangePercent")</f>
        <v>6.661772303341762E-2</v>
      </c>
    </row>
    <row r="7" spans="1:44" s="248" customFormat="1">
      <c r="A7" s="156" t="s">
        <v>3572</v>
      </c>
      <c r="B7" s="80"/>
      <c r="C7" s="80"/>
      <c r="D7" s="80"/>
      <c r="E7" s="79"/>
      <c r="F7" s="6"/>
      <c r="G7" s="27" t="s">
        <v>3176</v>
      </c>
      <c r="H7" s="5" t="s">
        <v>3178</v>
      </c>
      <c r="I7" s="153" t="s">
        <v>3235</v>
      </c>
      <c r="J7" s="8"/>
      <c r="K7" s="134" t="s">
        <v>3551</v>
      </c>
      <c r="L7" s="156"/>
      <c r="M7" s="340"/>
      <c r="N7" s="240"/>
      <c r="U7" s="231"/>
      <c r="V7" s="376" t="s">
        <v>3235</v>
      </c>
      <c r="W7" s="297"/>
      <c r="X7" s="295" t="s">
        <v>6179</v>
      </c>
      <c r="Y7" s="293" t="s">
        <v>1151</v>
      </c>
      <c r="Z7" s="295" t="s">
        <v>282</v>
      </c>
      <c r="AA7" s="253"/>
      <c r="AB7" s="350"/>
      <c r="AC7" s="382"/>
      <c r="AE7" s="84"/>
      <c r="AF7" s="83"/>
      <c r="AG7" s="334"/>
      <c r="AH7" s="116"/>
      <c r="AJ7" s="220"/>
      <c r="AM7" s="153" t="s">
        <v>3235</v>
      </c>
      <c r="AN7" s="48">
        <f>RTD("money.excel",,"$TWT22","VolumeStrength")</f>
        <v>38</v>
      </c>
      <c r="AO7" s="362">
        <f>RTD("money.excel",,"$TWT22","PredictVolume")</f>
        <v>48.84</v>
      </c>
      <c r="AP7" s="48">
        <f>RTD("money.excel",,"$TWT22","PriorVolume")</f>
        <v>35.39</v>
      </c>
      <c r="AQ7" s="40">
        <f>RTD("money.excel",,"$TWT22","ChangePercent")</f>
        <v>-0.58313632781717883</v>
      </c>
    </row>
    <row r="8" spans="1:44">
      <c r="A8" s="298" t="s">
        <v>3580</v>
      </c>
      <c r="G8" s="51" t="s">
        <v>3179</v>
      </c>
      <c r="H8" s="5" t="s">
        <v>3178</v>
      </c>
      <c r="I8" s="166" t="s">
        <v>3325</v>
      </c>
      <c r="K8" s="134" t="s">
        <v>4733</v>
      </c>
      <c r="L8" s="156"/>
      <c r="M8" s="340"/>
      <c r="N8" s="240"/>
      <c r="U8" s="231"/>
      <c r="V8" s="237" t="s">
        <v>3325</v>
      </c>
      <c r="W8" s="294"/>
      <c r="X8" s="293" t="s">
        <v>6179</v>
      </c>
      <c r="Y8" s="295" t="s">
        <v>1151</v>
      </c>
      <c r="Z8" s="293" t="s">
        <v>282</v>
      </c>
      <c r="AA8" s="42"/>
      <c r="AB8" s="46"/>
      <c r="AG8" s="335"/>
      <c r="AI8" s="69"/>
      <c r="AM8" s="166" t="s">
        <v>3325</v>
      </c>
      <c r="AN8" s="48">
        <f>RTD("money.excel",,"$TWO13","VolumeStrength")</f>
        <v>22</v>
      </c>
      <c r="AO8" s="362">
        <f>RTD("money.excel",,"$TWO13","PredictVolume")</f>
        <v>448.1</v>
      </c>
      <c r="AP8" s="48">
        <f>RTD("money.excel",,"$TWO13","PriorVolume")</f>
        <v>366.56</v>
      </c>
      <c r="AQ8" s="40">
        <f>RTD("money.excel",,"$TWO13","ChangePercent")</f>
        <v>-0.291058931257767</v>
      </c>
    </row>
    <row r="9" spans="1:44">
      <c r="G9" s="51" t="s">
        <v>3179</v>
      </c>
      <c r="H9" s="5" t="s">
        <v>3178</v>
      </c>
      <c r="I9" s="166" t="s">
        <v>3235</v>
      </c>
      <c r="L9" s="156"/>
      <c r="M9" s="340"/>
      <c r="N9" s="240"/>
      <c r="U9" s="231"/>
      <c r="V9" s="237" t="s">
        <v>3235</v>
      </c>
      <c r="W9" s="294"/>
      <c r="X9" s="295" t="s">
        <v>6179</v>
      </c>
      <c r="Y9" s="293" t="s">
        <v>1151</v>
      </c>
      <c r="Z9" s="293" t="s">
        <v>282</v>
      </c>
      <c r="AA9" s="42"/>
      <c r="AB9" s="46"/>
      <c r="AG9" s="335"/>
      <c r="AI9" s="69"/>
      <c r="AJ9" s="245"/>
      <c r="AM9" s="166" t="s">
        <v>3235</v>
      </c>
      <c r="AN9" s="48">
        <f>RTD("money.excel",,"$TWO22","VolumeStrength")</f>
        <v>2</v>
      </c>
      <c r="AO9" s="362">
        <f>RTD("money.excel",,"$TWO22","PredictVolume")</f>
        <v>76.31</v>
      </c>
      <c r="AP9" s="48">
        <f>RTD("money.excel",,"$TWO22","PriorVolume")</f>
        <v>74.53</v>
      </c>
      <c r="AQ9" s="40">
        <f>RTD("money.excel",,"$TWO22","ChangePercent")</f>
        <v>0.65673742230561749</v>
      </c>
    </row>
    <row r="10" spans="1:44" s="248" customFormat="1">
      <c r="A10" s="127" t="s">
        <v>1673</v>
      </c>
      <c r="B10" s="90" t="s">
        <v>1572</v>
      </c>
      <c r="C10" s="90" t="s">
        <v>1573</v>
      </c>
      <c r="D10" s="90" t="s">
        <v>1574</v>
      </c>
      <c r="E10" s="90" t="s">
        <v>1575</v>
      </c>
      <c r="F10" s="8" t="s">
        <v>1060</v>
      </c>
      <c r="G10" s="89" t="s">
        <v>3442</v>
      </c>
      <c r="H10" s="272" t="s">
        <v>320</v>
      </c>
      <c r="I10" s="8" t="s">
        <v>2249</v>
      </c>
      <c r="J10" s="8" t="s">
        <v>6221</v>
      </c>
      <c r="K10" s="5" t="s">
        <v>6222</v>
      </c>
      <c r="L10" s="337" t="s">
        <v>6206</v>
      </c>
      <c r="M10" s="338" t="s">
        <v>6207</v>
      </c>
      <c r="N10" s="339" t="s">
        <v>6208</v>
      </c>
      <c r="O10" s="4" t="s">
        <v>6713</v>
      </c>
      <c r="P10" s="89" t="s">
        <v>6285</v>
      </c>
      <c r="Q10" s="293" t="s">
        <v>6284</v>
      </c>
      <c r="R10" s="354" t="s">
        <v>6283</v>
      </c>
      <c r="S10" s="26" t="s">
        <v>6286</v>
      </c>
      <c r="T10" s="321" t="s">
        <v>4716</v>
      </c>
      <c r="U10" s="10" t="s">
        <v>3094</v>
      </c>
      <c r="V10" s="308" t="s">
        <v>4731</v>
      </c>
      <c r="W10" s="68" t="s">
        <v>3273</v>
      </c>
      <c r="X10" s="28" t="s">
        <v>2</v>
      </c>
      <c r="Y10" s="17" t="s">
        <v>1399</v>
      </c>
      <c r="Z10" s="14" t="s">
        <v>2250</v>
      </c>
      <c r="AA10" s="21" t="s">
        <v>3</v>
      </c>
      <c r="AB10" s="351" t="s">
        <v>6174</v>
      </c>
      <c r="AC10" s="102" t="s">
        <v>6420</v>
      </c>
      <c r="AD10" s="8" t="s">
        <v>2249</v>
      </c>
      <c r="AE10" s="71" t="s">
        <v>6373</v>
      </c>
      <c r="AF10" s="72" t="s">
        <v>6145</v>
      </c>
      <c r="AG10" s="4" t="s">
        <v>6713</v>
      </c>
      <c r="AH10" s="8" t="s">
        <v>3466</v>
      </c>
      <c r="AJ10" s="220">
        <v>1208581</v>
      </c>
      <c r="AK10" s="8" t="s">
        <v>2249</v>
      </c>
      <c r="AN10" s="376" t="s">
        <v>6385</v>
      </c>
      <c r="AO10" s="50" t="s">
        <v>3361</v>
      </c>
      <c r="AP10" s="30" t="s">
        <v>6276</v>
      </c>
      <c r="AQ10" s="26" t="s">
        <v>6277</v>
      </c>
      <c r="AR10" s="4"/>
    </row>
    <row r="11" spans="1:44">
      <c r="B11" s="79"/>
      <c r="C11" s="79"/>
      <c r="D11" s="79"/>
      <c r="E11" s="79"/>
      <c r="F11" s="57"/>
      <c r="G11" s="51" t="s">
        <v>3484</v>
      </c>
      <c r="H11" s="5" t="s">
        <v>3178</v>
      </c>
      <c r="I11" s="22" t="s">
        <v>3485</v>
      </c>
      <c r="L11" s="156"/>
      <c r="M11" s="340"/>
      <c r="N11" s="240"/>
      <c r="P11" s="365"/>
      <c r="Q11" s="79"/>
      <c r="R11" s="346"/>
      <c r="S11" s="81"/>
      <c r="T11" s="327"/>
      <c r="U11" s="329">
        <v>3.2</v>
      </c>
      <c r="V11" s="310">
        <f t="shared" ref="V11" si="0">U11/X11</f>
        <v>2.5764895330112721E-2</v>
      </c>
      <c r="W11" s="186"/>
      <c r="X11" s="36">
        <f>RTD("money.excel",,"0050","Price")</f>
        <v>124.2</v>
      </c>
      <c r="Y11" s="65"/>
      <c r="Z11" s="15">
        <f t="shared" ref="Z11:Z14" si="1">X11-Y11</f>
        <v>124.2</v>
      </c>
      <c r="AA11" s="3" t="e">
        <f t="shared" ref="AA11:AA14" si="2">Z11/Y11</f>
        <v>#DIV/0!</v>
      </c>
      <c r="AB11" s="99"/>
      <c r="AC11" s="397"/>
      <c r="AD11" s="22" t="s">
        <v>3485</v>
      </c>
      <c r="AG11" s="33"/>
      <c r="AI11" s="232" t="s">
        <v>1848</v>
      </c>
      <c r="AJ11" s="220">
        <v>391475</v>
      </c>
      <c r="AK11" s="22" t="s">
        <v>3485</v>
      </c>
      <c r="AN11" s="16" t="s">
        <v>6384</v>
      </c>
      <c r="AP11" s="335"/>
    </row>
    <row r="12" spans="1:44">
      <c r="A12" s="347">
        <f>IFERROR(VLOOKUP($G12,基本資料!$A:$J,3,0),"無")</f>
        <v>11.75</v>
      </c>
      <c r="B12" s="79">
        <f>IFERROR(VLOOKUP($G12,基本資料!$A:$J,4,0),"無")</f>
        <v>-49</v>
      </c>
      <c r="C12" s="79">
        <f>IFERROR(VLOOKUP($G12,基本資料!$A:$J,5,0),"無")</f>
        <v>-45</v>
      </c>
      <c r="D12" s="79">
        <f>IFERROR(VLOOKUP($G12,基本資料!$A:$J,6,0),"無")</f>
        <v>27</v>
      </c>
      <c r="E12" s="79">
        <f>IFERROR(VLOOKUP($G12,基本資料!$A:$J,7,0),"無")</f>
        <v>212</v>
      </c>
      <c r="F12" s="6">
        <f>IFERROR(VLOOKUP($G12,基本資料!$A:$J,8,0),"無")</f>
        <v>11.76</v>
      </c>
      <c r="G12" s="79">
        <v>6477</v>
      </c>
      <c r="H12" s="5" t="s">
        <v>1878</v>
      </c>
      <c r="I12" s="22" t="s">
        <v>451</v>
      </c>
      <c r="J12" s="8" t="str">
        <f>IFERROR(VLOOKUP($G12,今日總結!$A:$AJ,35,0),"")</f>
        <v/>
      </c>
      <c r="K12" s="5" t="str">
        <f>IFERROR(VLOOKUP($G12,今日總結!$A:$AJ,36,0),"")</f>
        <v/>
      </c>
      <c r="L12" s="156" t="str">
        <f>IFERROR(VLOOKUP($G12,今日總結!$A:$AJ,33,0),"")</f>
        <v/>
      </c>
      <c r="M12" s="340" t="str">
        <f>IFERROR(VLOOKUP($G12,今日總結!$A:$AJ,34,0),"")</f>
        <v/>
      </c>
      <c r="N12" s="240" t="str">
        <f t="shared" ref="N12" si="3">IFERROR(L12-M12,"")</f>
        <v/>
      </c>
      <c r="P12" s="365">
        <f>IFERROR(VLOOKUP($G12,融外自投!$A:$J,7,0),"無")</f>
        <v>195</v>
      </c>
      <c r="Q12" s="79">
        <f>IFERROR(VLOOKUP($G12,融外自投!$A:$J,9,0),"無")</f>
        <v>256</v>
      </c>
      <c r="R12" s="346">
        <f>IFERROR(VLOOKUP($G12,融外自投!$A:$J,8,0),"無")</f>
        <v>956</v>
      </c>
      <c r="S12" s="81">
        <f>IFERROR(VLOOKUP($G12,融外自投!$A:$J,10,0),"無")</f>
        <v>27</v>
      </c>
      <c r="T12" s="327">
        <f>IFERROR(VLOOKUP($G12,'321買'!$A:$E,5,0),"'沒有資料'")</f>
        <v>164</v>
      </c>
      <c r="U12" s="186">
        <f>IFERROR(VLOOKUP($G12,基本資料!$A:$J,9,0),"無")</f>
        <v>0.52</v>
      </c>
      <c r="V12" s="310">
        <f>$U12/$X12</f>
        <v>9.4890510948905122E-3</v>
      </c>
      <c r="W12" s="94">
        <f>IFERROR(VLOOKUP($G12,基本資料!$A:$J,10,0),"無")</f>
        <v>1.1599999999999999</v>
      </c>
      <c r="X12" s="13">
        <f>RTD("money.excel",,"6477","Price")</f>
        <v>54.8</v>
      </c>
      <c r="Y12" s="66">
        <v>55</v>
      </c>
      <c r="Z12" s="15">
        <f t="shared" si="1"/>
        <v>-0.20000000000000284</v>
      </c>
      <c r="AA12" s="63">
        <f t="shared" si="2"/>
        <v>-3.636363636363688E-3</v>
      </c>
      <c r="AB12" s="345">
        <v>0</v>
      </c>
      <c r="AC12" s="397">
        <f>IFERROR(VLOOKUP($G12,基本資料!$A:$M,12,0),"無")</f>
        <v>44.05</v>
      </c>
      <c r="AD12" s="22" t="s">
        <v>451</v>
      </c>
      <c r="AG12" s="33"/>
      <c r="AH12" s="286"/>
      <c r="AI12" s="41"/>
      <c r="AJ12" s="221"/>
      <c r="AK12" s="22" t="s">
        <v>451</v>
      </c>
      <c r="AL12" s="299">
        <f>AM12/(A12*10000)</f>
        <v>4.0885106382978723E-2</v>
      </c>
      <c r="AM12" s="284">
        <f>RTD("money.excel",,"6477","PredictVolume")</f>
        <v>4804</v>
      </c>
      <c r="AN12" s="44">
        <v>96.9</v>
      </c>
      <c r="AO12" s="127" t="s">
        <v>6719</v>
      </c>
      <c r="AP12" s="275">
        <f>RTD("money.excel",,"6477","VolumeStrength")</f>
        <v>59</v>
      </c>
      <c r="AQ12" s="40">
        <f>RTD("money.excel",,"6477","ChangePercent")</f>
        <v>-0.36363636363636365</v>
      </c>
    </row>
    <row r="13" spans="1:44">
      <c r="A13" s="347">
        <f>IFERROR(VLOOKUP($G13,基本資料!$A:$J,3,0),"無")</f>
        <v>19.53</v>
      </c>
      <c r="B13" s="79">
        <f>IFERROR(VLOOKUP($G13,基本資料!$A:$J,4,0),"無")</f>
        <v>-88</v>
      </c>
      <c r="C13" s="79">
        <f>IFERROR(VLOOKUP($G13,基本資料!$A:$J,5,0),"無")</f>
        <v>-81</v>
      </c>
      <c r="D13" s="79">
        <f>IFERROR(VLOOKUP($G13,基本資料!$A:$J,6,0),"無")</f>
        <v>16</v>
      </c>
      <c r="E13" s="79">
        <f>IFERROR(VLOOKUP($G13,基本資料!$A:$J,7,0),"無")</f>
        <v>-6</v>
      </c>
      <c r="F13" s="6">
        <f>IFERROR(VLOOKUP($G13,基本資料!$A:$J,8,0),"無")</f>
        <v>3.83</v>
      </c>
      <c r="G13" s="80">
        <v>9919</v>
      </c>
      <c r="H13" s="5" t="s">
        <v>1960</v>
      </c>
      <c r="I13" s="22" t="s">
        <v>698</v>
      </c>
      <c r="J13" s="8" t="str">
        <f>IFERROR(VLOOKUP($G13,今日總結!$A:$AJ,35,0),"")</f>
        <v>主</v>
      </c>
      <c r="K13" s="5">
        <f>IFERROR(VLOOKUP($G13,今日總結!$A:$AJ,36,0),"")</f>
        <v>0</v>
      </c>
      <c r="L13" s="156">
        <f>IFERROR(VLOOKUP($G13,今日總結!$A:$AJ,33,0),"")</f>
        <v>1</v>
      </c>
      <c r="M13" s="340">
        <f>IFERROR(VLOOKUP($G13,今日總結!$A:$AJ,34,0),"")</f>
        <v>0</v>
      </c>
      <c r="N13" s="240">
        <f t="shared" ref="N13:N14" si="4">IFERROR(L13-M13,"")</f>
        <v>1</v>
      </c>
      <c r="P13" s="365">
        <f>IFERROR(VLOOKUP($G13,融外自投!$A:$J,7,0),"無")</f>
        <v>463</v>
      </c>
      <c r="Q13" s="79">
        <f>IFERROR(VLOOKUP($G13,融外自投!$A:$J,9,0),"無")</f>
        <v>122</v>
      </c>
      <c r="R13" s="346">
        <f>IFERROR(VLOOKUP($G13,融外自投!$A:$J,8,0),"無")</f>
        <v>930</v>
      </c>
      <c r="S13" s="81">
        <f>IFERROR(VLOOKUP($G13,融外自投!$A:$J,10,0),"無")</f>
        <v>458</v>
      </c>
      <c r="T13" s="327">
        <f>IFERROR(VLOOKUP($G13,'321買'!$A:$E,5,0),"'沒有資料'")</f>
        <v>255</v>
      </c>
      <c r="U13" s="186">
        <f>IFERROR(VLOOKUP($G13,基本資料!$A:$J,9,0),"無")</f>
        <v>0.3</v>
      </c>
      <c r="V13" s="310">
        <f t="shared" ref="V13:V14" si="5">$U13/$X13</f>
        <v>1.3888888888888888E-2</v>
      </c>
      <c r="W13" s="94">
        <f>IFERROR(VLOOKUP($G13,基本資料!$A:$J,10,0),"無")</f>
        <v>0.5</v>
      </c>
      <c r="X13" s="36">
        <f>RTD("money.excel",,"9919","Price")</f>
        <v>21.6</v>
      </c>
      <c r="Y13" s="66">
        <v>32.1</v>
      </c>
      <c r="Z13" s="15">
        <f t="shared" si="1"/>
        <v>-10.5</v>
      </c>
      <c r="AA13" s="76">
        <f t="shared" si="2"/>
        <v>-0.32710280373831774</v>
      </c>
      <c r="AB13" s="344">
        <v>-29.91</v>
      </c>
      <c r="AC13" s="397">
        <f>IFERROR(VLOOKUP($G13,基本資料!$A:$M,12,0),"無")</f>
        <v>27.7</v>
      </c>
      <c r="AD13" s="22" t="s">
        <v>698</v>
      </c>
      <c r="AF13" s="83">
        <v>44690</v>
      </c>
      <c r="AG13" s="8"/>
      <c r="AH13" s="286"/>
      <c r="AI13" s="41"/>
      <c r="AJ13" s="221"/>
      <c r="AK13" s="22" t="s">
        <v>698</v>
      </c>
      <c r="AL13" s="299">
        <f>AM13/(A13*10000)</f>
        <v>7.4091141833077315E-3</v>
      </c>
      <c r="AM13" s="284">
        <f>RTD("money.excel",,"9919","PredictVolume")</f>
        <v>1447</v>
      </c>
      <c r="AN13" s="44">
        <v>62.6</v>
      </c>
      <c r="AO13" s="127" t="s">
        <v>6714</v>
      </c>
      <c r="AP13" s="275">
        <f>RTD("money.excel",,"9919","VolumeStrength")</f>
        <v>17</v>
      </c>
      <c r="AQ13" s="40">
        <f>RTD("money.excel",,"9919","ChangePercent")</f>
        <v>-4</v>
      </c>
    </row>
    <row r="14" spans="1:44">
      <c r="A14" s="347">
        <f>IFERROR(VLOOKUP($G14,基本資料!$A:$J,3,0),"無")</f>
        <v>4.24</v>
      </c>
      <c r="B14" s="79">
        <f>IFERROR(VLOOKUP($G14,基本資料!$A:$J,4,0),"無")</f>
        <v>-49</v>
      </c>
      <c r="C14" s="79">
        <f>IFERROR(VLOOKUP($G14,基本資料!$A:$J,5,0),"無")</f>
        <v>-63</v>
      </c>
      <c r="D14" s="79">
        <f>IFERROR(VLOOKUP($G14,基本資料!$A:$J,6,0),"無")</f>
        <v>18</v>
      </c>
      <c r="E14" s="79">
        <f>IFERROR(VLOOKUP($G14,基本資料!$A:$J,7,0),"無")</f>
        <v>-6</v>
      </c>
      <c r="F14" s="6">
        <f>IFERROR(VLOOKUP($G14,基本資料!$A:$J,8,0),"無")</f>
        <v>2.78</v>
      </c>
      <c r="G14" s="79">
        <v>1732</v>
      </c>
      <c r="H14" s="8" t="s">
        <v>6368</v>
      </c>
      <c r="I14" s="22" t="s">
        <v>766</v>
      </c>
      <c r="J14" s="8">
        <f>IFERROR(VLOOKUP($G14,今日總結!$A:$AJ,35,0),"")</f>
        <v>42</v>
      </c>
      <c r="K14" s="5">
        <f>IFERROR(VLOOKUP($G14,今日總結!$A:$AJ,36,0),"")</f>
        <v>0</v>
      </c>
      <c r="L14" s="156">
        <f>IFERROR(VLOOKUP($G14,今日總結!$A:$AJ,33,0),"")</f>
        <v>2</v>
      </c>
      <c r="M14" s="340">
        <f>IFERROR(VLOOKUP($G14,今日總結!$A:$AJ,34,0),"")</f>
        <v>0</v>
      </c>
      <c r="N14" s="240">
        <f t="shared" si="4"/>
        <v>2</v>
      </c>
      <c r="P14" s="365">
        <f>IFERROR(VLOOKUP($G14,融外自投!$A:$J,7,0),"無")</f>
        <v>183</v>
      </c>
      <c r="Q14" s="79">
        <f>IFERROR(VLOOKUP($G14,融外自投!$A:$J,9,0),"無")</f>
        <v>75</v>
      </c>
      <c r="R14" s="346">
        <f>IFERROR(VLOOKUP($G14,融外自投!$A:$J,8,0),"無")</f>
        <v>1030</v>
      </c>
      <c r="S14" s="81">
        <f>IFERROR(VLOOKUP($G14,融外自投!$A:$J,10,0),"無")</f>
        <v>407</v>
      </c>
      <c r="T14" s="327">
        <f>IFERROR(VLOOKUP($G14,'321買'!$A:$E,5,0),"'沒有資料'")</f>
        <v>145</v>
      </c>
      <c r="U14" s="186">
        <f>IFERROR(VLOOKUP($G14,基本資料!$A:$J,9,0),"無")</f>
        <v>0.35</v>
      </c>
      <c r="V14" s="310">
        <f t="shared" si="5"/>
        <v>9.8176718092566617E-3</v>
      </c>
      <c r="W14" s="94">
        <f>IFERROR(VLOOKUP($G14,基本資料!$A:$J,10,0),"無")</f>
        <v>0.46</v>
      </c>
      <c r="X14" s="36">
        <f>RTD("money.excel",,"1732","Price")</f>
        <v>35.65</v>
      </c>
      <c r="Y14" s="66">
        <v>32</v>
      </c>
      <c r="Z14" s="15">
        <f t="shared" si="1"/>
        <v>3.6499999999999986</v>
      </c>
      <c r="AA14" s="63">
        <f t="shared" si="2"/>
        <v>0.11406249999999996</v>
      </c>
      <c r="AB14" s="345">
        <v>15.63</v>
      </c>
      <c r="AC14" s="397">
        <f>IFERROR(VLOOKUP($G14,基本資料!$A:$M,12,0),"無")</f>
        <v>45.11</v>
      </c>
      <c r="AD14" s="22" t="s">
        <v>766</v>
      </c>
      <c r="AH14" s="286"/>
      <c r="AI14" s="43"/>
      <c r="AJ14" s="123"/>
      <c r="AK14" s="22" t="s">
        <v>766</v>
      </c>
      <c r="AL14" s="300">
        <f>AM14/(A14*10000)</f>
        <v>6.5330188679245282E-2</v>
      </c>
      <c r="AM14" s="284">
        <f>RTD("money.excel",,"1732","PredictVolume")</f>
        <v>2770</v>
      </c>
      <c r="AN14" s="44">
        <v>172.15</v>
      </c>
      <c r="AO14" s="127" t="s">
        <v>1712</v>
      </c>
      <c r="AP14" s="275">
        <f>RTD("money.excel",,"1732","VolumeStrength")</f>
        <v>-28</v>
      </c>
      <c r="AQ14" s="40">
        <f>RTD("money.excel",,"1732","ChangePercent")</f>
        <v>-3.6486486486486487</v>
      </c>
    </row>
    <row r="15" spans="1:44" s="248" customFormat="1">
      <c r="A15" s="127" t="s">
        <v>3181</v>
      </c>
      <c r="B15" s="90" t="s">
        <v>3182</v>
      </c>
      <c r="C15" s="90" t="s">
        <v>3183</v>
      </c>
      <c r="D15" s="90" t="s">
        <v>3184</v>
      </c>
      <c r="E15" s="90" t="s">
        <v>3185</v>
      </c>
      <c r="F15" s="8" t="s">
        <v>3186</v>
      </c>
      <c r="G15" s="89" t="s">
        <v>3442</v>
      </c>
      <c r="H15" s="272" t="s">
        <v>320</v>
      </c>
      <c r="I15" s="8" t="s">
        <v>2249</v>
      </c>
      <c r="J15" s="8" t="s">
        <v>6221</v>
      </c>
      <c r="K15" s="5" t="s">
        <v>6222</v>
      </c>
      <c r="L15" s="337" t="s">
        <v>6206</v>
      </c>
      <c r="M15" s="338" t="s">
        <v>6207</v>
      </c>
      <c r="N15" s="339" t="s">
        <v>6208</v>
      </c>
      <c r="P15" s="89" t="s">
        <v>6285</v>
      </c>
      <c r="Q15" s="293" t="s">
        <v>6284</v>
      </c>
      <c r="R15" s="354" t="s">
        <v>6283</v>
      </c>
      <c r="S15" s="26" t="s">
        <v>6286</v>
      </c>
      <c r="T15" s="321" t="s">
        <v>4716</v>
      </c>
      <c r="U15" s="10" t="s">
        <v>3094</v>
      </c>
      <c r="V15" s="308" t="s">
        <v>4731</v>
      </c>
      <c r="W15" s="68" t="s">
        <v>3273</v>
      </c>
      <c r="X15" s="28" t="s">
        <v>2</v>
      </c>
      <c r="Y15" s="17" t="s">
        <v>1399</v>
      </c>
      <c r="Z15" s="14" t="s">
        <v>3188</v>
      </c>
      <c r="AA15" s="21" t="s">
        <v>3189</v>
      </c>
      <c r="AB15" s="351" t="s">
        <v>6174</v>
      </c>
      <c r="AC15" s="102" t="s">
        <v>6420</v>
      </c>
      <c r="AD15" s="8" t="s">
        <v>3187</v>
      </c>
      <c r="AE15" s="71" t="s">
        <v>6373</v>
      </c>
      <c r="AF15" s="72" t="s">
        <v>6145</v>
      </c>
      <c r="AG15" s="4"/>
      <c r="AH15" s="32"/>
      <c r="AI15" s="8"/>
      <c r="AJ15" s="220">
        <f>SUM(AJ10:AJ14)</f>
        <v>1600056</v>
      </c>
      <c r="AK15" s="8" t="s">
        <v>2249</v>
      </c>
      <c r="AL15" s="8" t="s">
        <v>6731</v>
      </c>
      <c r="AM15" s="50" t="s">
        <v>3361</v>
      </c>
      <c r="AN15" s="22" t="s">
        <v>6730</v>
      </c>
      <c r="AO15" s="354" t="s">
        <v>4717</v>
      </c>
      <c r="AP15" s="50" t="s">
        <v>6385</v>
      </c>
      <c r="AQ15" s="26" t="s">
        <v>6277</v>
      </c>
    </row>
    <row r="16" spans="1:44">
      <c r="A16" s="347">
        <f>IFERROR(VLOOKUP($G16,基本資料!$A:$J,3,0),"無")</f>
        <v>8.52</v>
      </c>
      <c r="B16" s="79">
        <f>IFERROR(VLOOKUP($G16,基本資料!$A:$J,4,0),"無")</f>
        <v>-86</v>
      </c>
      <c r="C16" s="79">
        <f>IFERROR(VLOOKUP($G16,基本資料!$A:$J,5,0),"無")</f>
        <v>-85</v>
      </c>
      <c r="D16" s="79">
        <f>IFERROR(VLOOKUP($G16,基本資料!$A:$J,6,0),"無")</f>
        <v>4</v>
      </c>
      <c r="E16" s="79">
        <f>IFERROR(VLOOKUP($G16,基本資料!$A:$J,7,0),"無")</f>
        <v>-69</v>
      </c>
      <c r="F16" s="6">
        <f>IFERROR(VLOOKUP($G16,基本資料!$A:$J,8,0),"無")</f>
        <v>31.07</v>
      </c>
      <c r="G16" s="80">
        <v>1325</v>
      </c>
      <c r="H16" s="5" t="s">
        <v>3329</v>
      </c>
      <c r="I16" s="22" t="s">
        <v>602</v>
      </c>
      <c r="J16" s="8" t="str">
        <f>IFERROR(VLOOKUP($G16,今日總結!$A:$AJ,35,0),"")</f>
        <v/>
      </c>
      <c r="K16" s="5" t="str">
        <f>IFERROR(VLOOKUP($G16,今日總結!$A:$AJ,36,0),"")</f>
        <v/>
      </c>
      <c r="L16" s="156" t="str">
        <f>IFERROR(VLOOKUP($G16,今日總結!$A:$AJ,33,0),"")</f>
        <v/>
      </c>
      <c r="M16" s="340" t="str">
        <f>IFERROR(VLOOKUP($G16,今日總結!$A:$AJ,34,0),"")</f>
        <v/>
      </c>
      <c r="N16" s="240" t="str">
        <f t="shared" ref="N16:N18" si="6">IFERROR(L16-M16,"")</f>
        <v/>
      </c>
      <c r="P16" s="365">
        <f>IFERROR(VLOOKUP($G16,融外自投!$A:$J,7,0),"無")</f>
        <v>301</v>
      </c>
      <c r="Q16" s="79">
        <f>IFERROR(VLOOKUP($G16,融外自投!$A:$J,9,0),"無")</f>
        <v>23</v>
      </c>
      <c r="R16" s="346">
        <f>IFERROR(VLOOKUP($G16,融外自投!$A:$J,8,0),"無")</f>
        <v>844</v>
      </c>
      <c r="S16" s="81" t="str">
        <f>IFERROR(VLOOKUP($G16,融外自投!$A:$J,10,0),"無")</f>
        <v>無</v>
      </c>
      <c r="T16" s="327">
        <f>IFERROR(VLOOKUP($G16,'321買'!$A:$E,5,0),"'沒有資料'")</f>
        <v>480</v>
      </c>
      <c r="U16" s="186">
        <f>IFERROR(VLOOKUP($G16,基本資料!$A:$J,9,0),"無")</f>
        <v>2</v>
      </c>
      <c r="V16" s="310">
        <f>$U16/$X16</f>
        <v>6.25E-2</v>
      </c>
      <c r="W16" s="94">
        <f>IFERROR(VLOOKUP($G16,基本資料!$A:$J,10,0),"無")</f>
        <v>3.26</v>
      </c>
      <c r="X16" s="36">
        <f>RTD("money.excel",,"1325","Price")</f>
        <v>32</v>
      </c>
      <c r="Y16" s="66">
        <f>104.5-12</f>
        <v>92.5</v>
      </c>
      <c r="Z16" s="15">
        <f t="shared" ref="Z16:Z39" si="7">X16-Y16</f>
        <v>-60.5</v>
      </c>
      <c r="AA16" s="76">
        <f t="shared" ref="AA16:AA39" si="8">Z16/Y16</f>
        <v>-0.65405405405405403</v>
      </c>
      <c r="AB16" s="344">
        <v>-63.89</v>
      </c>
      <c r="AC16" s="397">
        <f>IFERROR(VLOOKUP($G16,基本資料!$A:$M,12,0),"無")</f>
        <v>15.51</v>
      </c>
      <c r="AD16" s="22" t="s">
        <v>602</v>
      </c>
      <c r="AG16" s="33"/>
      <c r="AH16" s="81">
        <v>6</v>
      </c>
      <c r="AI16" s="79">
        <v>4</v>
      </c>
      <c r="AJ16" s="221">
        <f t="shared" ref="AJ16:AJ39" si="9">X16*AH16*1000</f>
        <v>192000</v>
      </c>
      <c r="AK16" s="22" t="s">
        <v>602</v>
      </c>
      <c r="AL16" s="299">
        <f t="shared" ref="AL16:AL39" si="10">AM16/(A16*10000)</f>
        <v>1.4307511737089202E-2</v>
      </c>
      <c r="AM16" s="284">
        <f>RTD("money.excel",,"1325","PredictVolume")</f>
        <v>1219</v>
      </c>
      <c r="AN16" s="44">
        <v>54.39</v>
      </c>
      <c r="AO16" s="127" t="s">
        <v>6720</v>
      </c>
      <c r="AP16" s="275">
        <f>RTD("money.excel",,"1325","VolumeStrength")</f>
        <v>-1</v>
      </c>
      <c r="AQ16" s="40">
        <f>RTD("money.excel",,"1325","ChangePercent")</f>
        <v>-4.1916167664670656</v>
      </c>
    </row>
    <row r="17" spans="1:43">
      <c r="A17" s="347">
        <f>IFERROR(VLOOKUP($G17,基本資料!$A:$J,3,0),"無")</f>
        <v>4.5</v>
      </c>
      <c r="B17" s="79">
        <f>IFERROR(VLOOKUP($G17,基本資料!$A:$J,4,0),"無")</f>
        <v>-55</v>
      </c>
      <c r="C17" s="79">
        <f>IFERROR(VLOOKUP($G17,基本資料!$A:$J,5,0),"無")</f>
        <v>58</v>
      </c>
      <c r="D17" s="79">
        <f>IFERROR(VLOOKUP($G17,基本資料!$A:$J,6,0),"無")</f>
        <v>12</v>
      </c>
      <c r="E17" s="79">
        <f>IFERROR(VLOOKUP($G17,基本資料!$A:$J,7,0),"無")</f>
        <v>10</v>
      </c>
      <c r="F17" s="6">
        <f>IFERROR(VLOOKUP($G17,基本資料!$A:$J,8,0),"無")</f>
        <v>34.03</v>
      </c>
      <c r="G17" s="80">
        <v>6523</v>
      </c>
      <c r="H17" s="5" t="s">
        <v>4726</v>
      </c>
      <c r="I17" s="16" t="s">
        <v>3835</v>
      </c>
      <c r="J17" s="8">
        <f>IFERROR(VLOOKUP($G17,今日總結!$A:$AJ,35,0),"")</f>
        <v>0</v>
      </c>
      <c r="K17" s="5">
        <f>IFERROR(VLOOKUP($G17,今日總結!$A:$AJ,36,0),"")</f>
        <v>0</v>
      </c>
      <c r="L17" s="156">
        <f>IFERROR(VLOOKUP($G17,今日總結!$A:$AJ,33,0),"")</f>
        <v>0</v>
      </c>
      <c r="M17" s="340">
        <f>IFERROR(VLOOKUP($G17,今日總結!$A:$AJ,34,0),"")</f>
        <v>1</v>
      </c>
      <c r="N17" s="240">
        <f t="shared" si="6"/>
        <v>-1</v>
      </c>
      <c r="P17" s="365">
        <f>IFERROR(VLOOKUP($G17,融外自投!$A:$J,7,0),"無")</f>
        <v>789</v>
      </c>
      <c r="Q17" s="79">
        <f>IFERROR(VLOOKUP($G17,融外自投!$A:$J,9,0),"無")</f>
        <v>708</v>
      </c>
      <c r="R17" s="346">
        <f>IFERROR(VLOOKUP($G17,融外自投!$A:$J,8,0),"無")</f>
        <v>945</v>
      </c>
      <c r="S17" s="81" t="str">
        <f>IFERROR(VLOOKUP($G17,融外自投!$A:$J,10,0),"無")</f>
        <v>無</v>
      </c>
      <c r="T17" s="327">
        <f>IFERROR(VLOOKUP($G17,'321買'!$A:$E,5,0),"'沒有資料'")</f>
        <v>349</v>
      </c>
      <c r="U17" s="186">
        <f>IFERROR(VLOOKUP($G17,基本資料!$A:$J,9,0),"無")</f>
        <v>15.22</v>
      </c>
      <c r="V17" s="310">
        <f t="shared" ref="V17:V39" si="11">$U17/$X17</f>
        <v>0.2</v>
      </c>
      <c r="W17" s="94">
        <f>IFERROR(VLOOKUP($G17,基本資料!$A:$J,10,0),"無")</f>
        <v>6.58</v>
      </c>
      <c r="X17" s="36">
        <f>RTD("money.excel",,"6523","Price")</f>
        <v>76.099999999999994</v>
      </c>
      <c r="Y17" s="217">
        <f>76.5-4-4-5.22-2</f>
        <v>61.28</v>
      </c>
      <c r="Z17" s="15">
        <f t="shared" si="7"/>
        <v>14.819999999999993</v>
      </c>
      <c r="AA17" s="63">
        <f t="shared" si="8"/>
        <v>0.24184073107049597</v>
      </c>
      <c r="AB17" s="345">
        <v>29.9</v>
      </c>
      <c r="AC17" s="397">
        <f>IFERROR(VLOOKUP($G17,基本資料!$A:$M,12,0),"無")</f>
        <v>8.58</v>
      </c>
      <c r="AD17" s="16" t="s">
        <v>622</v>
      </c>
      <c r="AG17" s="5"/>
      <c r="AH17" s="81">
        <v>4</v>
      </c>
      <c r="AI17" s="79">
        <v>2</v>
      </c>
      <c r="AJ17" s="221">
        <f t="shared" si="9"/>
        <v>304400</v>
      </c>
      <c r="AK17" s="16" t="s">
        <v>622</v>
      </c>
      <c r="AL17" s="63">
        <f t="shared" si="10"/>
        <v>4.4444444444444444E-3</v>
      </c>
      <c r="AM17" s="284">
        <f>RTD("money.excel",,"6523","PredictVolume")</f>
        <v>200</v>
      </c>
      <c r="AN17" s="44">
        <v>15.2</v>
      </c>
      <c r="AP17" s="275">
        <f>RTD("money.excel",,"6523","VolumeStrength")</f>
        <v>81</v>
      </c>
      <c r="AQ17" s="40">
        <f>RTD("money.excel",,"6523","ChangePercent")</f>
        <v>-4.3969849246231156</v>
      </c>
    </row>
    <row r="18" spans="1:43" s="248" customFormat="1">
      <c r="A18" s="347">
        <f>IFERROR(VLOOKUP($G18,基本資料!$A:$J,3,0),"無")</f>
        <v>13.62</v>
      </c>
      <c r="B18" s="79">
        <f>IFERROR(VLOOKUP($G18,基本資料!$A:$J,4,0),"無")</f>
        <v>88</v>
      </c>
      <c r="C18" s="79">
        <f>IFERROR(VLOOKUP($G18,基本資料!$A:$J,5,0),"無")</f>
        <v>111</v>
      </c>
      <c r="D18" s="79">
        <f>IFERROR(VLOOKUP($G18,基本資料!$A:$J,6,0),"無")</f>
        <v>-4</v>
      </c>
      <c r="E18" s="79">
        <f>IFERROR(VLOOKUP($G18,基本資料!$A:$J,7,0),"無")</f>
        <v>46</v>
      </c>
      <c r="F18" s="6">
        <f>IFERROR(VLOOKUP($G18,基本資料!$A:$J,8,0),"無")</f>
        <v>15.56</v>
      </c>
      <c r="G18" s="79">
        <v>3265</v>
      </c>
      <c r="H18" s="145" t="s">
        <v>307</v>
      </c>
      <c r="I18" s="166" t="s">
        <v>78</v>
      </c>
      <c r="J18" s="8">
        <f>IFERROR(VLOOKUP($G18,今日總結!$A:$AJ,35,0),"")</f>
        <v>0</v>
      </c>
      <c r="K18" s="5" t="str">
        <f>IFERROR(VLOOKUP($G18,今日總結!$A:$AJ,36,0),"")</f>
        <v>借</v>
      </c>
      <c r="L18" s="156">
        <f>IFERROR(VLOOKUP($G18,今日總結!$A:$AJ,33,0),"")</f>
        <v>0</v>
      </c>
      <c r="M18" s="340">
        <f>IFERROR(VLOOKUP($G18,今日總結!$A:$AJ,34,0),"")</f>
        <v>1</v>
      </c>
      <c r="N18" s="240">
        <f t="shared" si="6"/>
        <v>-1</v>
      </c>
      <c r="P18" s="365">
        <f>IFERROR(VLOOKUP($G18,融外自投!$A:$J,7,0),"無")</f>
        <v>590</v>
      </c>
      <c r="Q18" s="79">
        <f>IFERROR(VLOOKUP($G18,融外自投!$A:$J,9,0),"無")</f>
        <v>47</v>
      </c>
      <c r="R18" s="346">
        <f>IFERROR(VLOOKUP($G18,融外自投!$A:$J,8,0),"無")</f>
        <v>791</v>
      </c>
      <c r="S18" s="81" t="str">
        <f>IFERROR(VLOOKUP($G18,融外自投!$A:$J,10,0),"無")</f>
        <v>無</v>
      </c>
      <c r="T18" s="327">
        <f>IFERROR(VLOOKUP($G18,'321買'!$A:$E,5,0),"'沒有資料'")</f>
        <v>984</v>
      </c>
      <c r="U18" s="186">
        <f>IFERROR(VLOOKUP($G18,基本資料!$A:$J,9,0),"無")</f>
        <v>2.2999999999999998</v>
      </c>
      <c r="V18" s="310">
        <f t="shared" si="11"/>
        <v>4.8936170212765952E-2</v>
      </c>
      <c r="W18" s="94">
        <f>IFERROR(VLOOKUP($G18,基本資料!$A:$J,10,0),"無")</f>
        <v>2.89</v>
      </c>
      <c r="X18" s="161">
        <f>RTD("money.excel",,"3265","Price")</f>
        <v>47</v>
      </c>
      <c r="Y18" s="65">
        <v>39.450000000000003</v>
      </c>
      <c r="Z18" s="15">
        <f>X18-Y18</f>
        <v>7.5499999999999972</v>
      </c>
      <c r="AA18" s="63">
        <f>Z18/Y18</f>
        <v>0.19138149556400499</v>
      </c>
      <c r="AB18" s="345">
        <v>19.14</v>
      </c>
      <c r="AC18" s="397">
        <f>IFERROR(VLOOKUP($G18,基本資料!$A:$M,12,0),"無")</f>
        <v>85.36</v>
      </c>
      <c r="AD18" s="166" t="s">
        <v>2239</v>
      </c>
      <c r="AE18" s="84"/>
      <c r="AF18" s="83">
        <v>44690</v>
      </c>
      <c r="AG18" s="5"/>
      <c r="AH18" s="81">
        <v>0</v>
      </c>
      <c r="AI18" s="41"/>
      <c r="AJ18" s="221">
        <f t="shared" si="9"/>
        <v>0</v>
      </c>
      <c r="AK18" s="166" t="s">
        <v>2239</v>
      </c>
      <c r="AL18" s="299">
        <f t="shared" si="10"/>
        <v>5.026431718061674E-2</v>
      </c>
      <c r="AM18" s="284">
        <f>RTD("money.excel",,"3265","PredictVolume")</f>
        <v>6846</v>
      </c>
      <c r="AN18" s="44">
        <v>13.35</v>
      </c>
      <c r="AO18" s="127" t="s">
        <v>3553</v>
      </c>
      <c r="AP18" s="275">
        <f>RTD("money.excel",,"3265","VolumeStrength")</f>
        <v>-28</v>
      </c>
      <c r="AQ18" s="40">
        <f>RTD("money.excel",,"3265","ChangePercent")</f>
        <v>0</v>
      </c>
    </row>
    <row r="19" spans="1:43">
      <c r="A19" s="347">
        <f>IFERROR(VLOOKUP($G19,基本資料!$A:$J,3,0),"無")</f>
        <v>14.55</v>
      </c>
      <c r="B19" s="79">
        <f>IFERROR(VLOOKUP($G19,基本資料!$A:$J,4,0),"無")</f>
        <v>-29</v>
      </c>
      <c r="C19" s="79">
        <f>IFERROR(VLOOKUP($G19,基本資料!$A:$J,5,0),"無")</f>
        <v>-55</v>
      </c>
      <c r="D19" s="79">
        <f>IFERROR(VLOOKUP($G19,基本資料!$A:$J,6,0),"無")</f>
        <v>-85</v>
      </c>
      <c r="E19" s="79">
        <f>IFERROR(VLOOKUP($G19,基本資料!$A:$J,7,0),"無")</f>
        <v>-2</v>
      </c>
      <c r="F19" s="6">
        <f>IFERROR(VLOOKUP($G19,基本資料!$A:$J,8,0),"無")</f>
        <v>55.39</v>
      </c>
      <c r="G19" s="79">
        <v>4162</v>
      </c>
      <c r="H19" s="8" t="s">
        <v>4726</v>
      </c>
      <c r="I19" s="16" t="s">
        <v>37</v>
      </c>
      <c r="J19" s="8" t="str">
        <f>IFERROR(VLOOKUP($G19,今日總結!$A:$AJ,35,0),"")</f>
        <v/>
      </c>
      <c r="K19" s="5" t="str">
        <f>IFERROR(VLOOKUP($G19,今日總結!$A:$AJ,36,0),"")</f>
        <v/>
      </c>
      <c r="L19" s="156" t="str">
        <f>IFERROR(VLOOKUP($G19,今日總結!$A:$AJ,33,0),"")</f>
        <v/>
      </c>
      <c r="M19" s="340" t="str">
        <f>IFERROR(VLOOKUP($G19,今日總結!$A:$AJ,34,0),"")</f>
        <v/>
      </c>
      <c r="N19" s="240" t="str">
        <f t="shared" ref="N19:N30" si="12">IFERROR(L19-M19,"")</f>
        <v/>
      </c>
      <c r="P19" s="365">
        <f>IFERROR(VLOOKUP($G19,融外自投!$A:$J,7,0),"無")</f>
        <v>276</v>
      </c>
      <c r="Q19" s="79">
        <f>IFERROR(VLOOKUP($G19,融外自投!$A:$J,9,0),"無")</f>
        <v>312</v>
      </c>
      <c r="R19" s="346">
        <f>IFERROR(VLOOKUP($G19,融外自投!$A:$J,8,0),"無")</f>
        <v>748</v>
      </c>
      <c r="S19" s="81">
        <f>IFERROR(VLOOKUP($G19,融外自投!$A:$J,10,0),"無")</f>
        <v>217</v>
      </c>
      <c r="T19" s="327">
        <f>IFERROR(VLOOKUP($G19,'321買'!$A:$E,5,0),"'沒有資料'")</f>
        <v>606</v>
      </c>
      <c r="U19" s="186">
        <f>IFERROR(VLOOKUP($G19,基本資料!$A:$J,9,0),"無")</f>
        <v>2.7</v>
      </c>
      <c r="V19" s="310">
        <f t="shared" si="11"/>
        <v>3.3962264150943396E-2</v>
      </c>
      <c r="W19" s="94">
        <f>IFERROR(VLOOKUP($G19,基本資料!$A:$J,10,0),"無")</f>
        <v>2.95</v>
      </c>
      <c r="X19" s="36">
        <f>RTD("money.excel",,"4162","Price")</f>
        <v>79.5</v>
      </c>
      <c r="Y19" s="66">
        <v>79.2</v>
      </c>
      <c r="Z19" s="15">
        <f>X19-Y19</f>
        <v>0.29999999999999716</v>
      </c>
      <c r="AA19" s="63">
        <f>Z19/Y19</f>
        <v>3.787878787878752E-3</v>
      </c>
      <c r="AB19" s="345">
        <v>2.15</v>
      </c>
      <c r="AC19" s="397">
        <f>IFERROR(VLOOKUP($G19,基本資料!$A:$M,12,0),"無")</f>
        <v>37.26</v>
      </c>
      <c r="AD19" s="16" t="s">
        <v>37</v>
      </c>
      <c r="AG19" s="33"/>
      <c r="AH19" s="79">
        <v>0</v>
      </c>
      <c r="AI19" s="41"/>
      <c r="AJ19" s="221">
        <f>X19*AH19*1000</f>
        <v>0</v>
      </c>
      <c r="AK19" s="16" t="s">
        <v>37</v>
      </c>
      <c r="AL19" s="299">
        <f>AM19/(A19*10000)</f>
        <v>2.1573883161512028E-2</v>
      </c>
      <c r="AM19" s="284">
        <f>RTD("money.excel",,"4162","PredictVolume")</f>
        <v>3139</v>
      </c>
      <c r="AN19" s="44">
        <v>13.7</v>
      </c>
      <c r="AO19" s="127" t="s">
        <v>6721</v>
      </c>
      <c r="AP19" s="275">
        <f>RTD("money.excel",,"4162","VolumeStrength")</f>
        <v>-5</v>
      </c>
      <c r="AQ19" s="40">
        <f>RTD("money.excel",,"4162","ChangePercent")</f>
        <v>-1.73053152039555</v>
      </c>
    </row>
    <row r="20" spans="1:43">
      <c r="A20" s="347">
        <f>IFERROR(VLOOKUP($G20,基本資料!$A:$J,3,0),"無")</f>
        <v>94.7</v>
      </c>
      <c r="B20" s="79">
        <f>IFERROR(VLOOKUP($G20,基本資料!$A:$J,4,0),"無")</f>
        <v>19</v>
      </c>
      <c r="C20" s="79">
        <f>IFERROR(VLOOKUP($G20,基本資料!$A:$J,5,0),"無")</f>
        <v>11</v>
      </c>
      <c r="D20" s="79">
        <f>IFERROR(VLOOKUP($G20,基本資料!$A:$J,6,0),"無")</f>
        <v>-23</v>
      </c>
      <c r="E20" s="79">
        <f>IFERROR(VLOOKUP($G20,基本資料!$A:$J,7,0),"無")</f>
        <v>8</v>
      </c>
      <c r="F20" s="6">
        <f>IFERROR(VLOOKUP($G20,基本資料!$A:$J,8,0),"無")</f>
        <v>10.18</v>
      </c>
      <c r="G20" s="79">
        <v>4958</v>
      </c>
      <c r="H20" s="236" t="s">
        <v>3389</v>
      </c>
      <c r="I20" s="22" t="s">
        <v>27</v>
      </c>
      <c r="J20" s="8" t="str">
        <f>IFERROR(VLOOKUP($G20,今日總結!$A:$AJ,35,0),"")</f>
        <v/>
      </c>
      <c r="K20" s="5" t="str">
        <f>IFERROR(VLOOKUP($G20,今日總結!$A:$AJ,36,0),"")</f>
        <v/>
      </c>
      <c r="L20" s="156" t="str">
        <f>IFERROR(VLOOKUP($G20,今日總結!$A:$AJ,33,0),"")</f>
        <v/>
      </c>
      <c r="M20" s="340" t="str">
        <f>IFERROR(VLOOKUP($G20,今日總結!$A:$AJ,34,0),"")</f>
        <v/>
      </c>
      <c r="N20" s="240" t="str">
        <f>IFERROR(L20-M20,"")</f>
        <v/>
      </c>
      <c r="P20" s="365">
        <f>IFERROR(VLOOKUP($G20,融外自投!$A:$J,7,0),"無")</f>
        <v>907</v>
      </c>
      <c r="Q20" s="79">
        <f>IFERROR(VLOOKUP($G20,融外自投!$A:$J,9,0),"無")</f>
        <v>435</v>
      </c>
      <c r="R20" s="346">
        <f>IFERROR(VLOOKUP($G20,融外自投!$A:$J,8,0),"無")</f>
        <v>42</v>
      </c>
      <c r="S20" s="81">
        <f>IFERROR(VLOOKUP($G20,融外自投!$A:$J,10,0),"無")</f>
        <v>149</v>
      </c>
      <c r="T20" s="327">
        <f>IFERROR(VLOOKUP($G20,'321買'!$A:$E,5,0),"'沒有資料'")</f>
        <v>117</v>
      </c>
      <c r="U20" s="186">
        <f>IFERROR(VLOOKUP($G20,基本資料!$A:$J,9,0),"無")</f>
        <v>5</v>
      </c>
      <c r="V20" s="310">
        <f>$U20/$X20</f>
        <v>4.9504950495049507E-2</v>
      </c>
      <c r="W20" s="94">
        <f>IFERROR(VLOOKUP($G20,基本資料!$A:$J,10,0),"無")</f>
        <v>10.210000000000001</v>
      </c>
      <c r="X20" s="36">
        <f>RTD("money.excel",,"4958","Price")</f>
        <v>101</v>
      </c>
      <c r="Y20" s="66">
        <f>106-4.5</f>
        <v>101.5</v>
      </c>
      <c r="Z20" s="15">
        <f t="shared" ref="Z20" si="13">X20-Y20</f>
        <v>-0.5</v>
      </c>
      <c r="AA20" s="63">
        <f t="shared" ref="AA20" si="14">Z20/Y20</f>
        <v>-4.9261083743842365E-3</v>
      </c>
      <c r="AB20" s="345">
        <v>1.97</v>
      </c>
      <c r="AC20" s="397">
        <f>IFERROR(VLOOKUP($G20,基本資料!$A:$M,12,0),"無")</f>
        <v>64.72</v>
      </c>
      <c r="AD20" s="22" t="s">
        <v>27</v>
      </c>
      <c r="AG20" s="33"/>
      <c r="AH20" s="81">
        <v>3</v>
      </c>
      <c r="AI20" s="41"/>
      <c r="AJ20" s="221">
        <f>X20*AH20*1000</f>
        <v>303000</v>
      </c>
      <c r="AK20" s="22" t="s">
        <v>27</v>
      </c>
      <c r="AL20" s="63">
        <f>AM20/(A20*10000)</f>
        <v>3.9767687434002115E-3</v>
      </c>
      <c r="AM20" s="284">
        <f>RTD("money.excel",,"4958","PredictVolume")</f>
        <v>3766</v>
      </c>
      <c r="AN20" s="44">
        <v>1.89</v>
      </c>
      <c r="AP20" s="275">
        <f>RTD("money.excel",,"4958","VolumeStrength")</f>
        <v>26</v>
      </c>
      <c r="AQ20" s="40">
        <f>RTD("money.excel",,"4958","ChangePercent")</f>
        <v>-2.4154589371980677</v>
      </c>
    </row>
    <row r="21" spans="1:43" s="248" customFormat="1">
      <c r="A21" s="347">
        <f>IFERROR(VLOOKUP($G21,基本資料!$A:$J,3,0),"無")</f>
        <v>266</v>
      </c>
      <c r="B21" s="79">
        <f>IFERROR(VLOOKUP($G21,基本資料!$A:$J,4,0),"無")</f>
        <v>11</v>
      </c>
      <c r="C21" s="79">
        <f>IFERROR(VLOOKUP($G21,基本資料!$A:$J,5,0),"無")</f>
        <v>-11</v>
      </c>
      <c r="D21" s="79">
        <f>IFERROR(VLOOKUP($G21,基本資料!$A:$J,6,0),"無")</f>
        <v>35</v>
      </c>
      <c r="E21" s="79">
        <f>IFERROR(VLOOKUP($G21,基本資料!$A:$J,7,0),"無")</f>
        <v>43</v>
      </c>
      <c r="F21" s="6">
        <f>IFERROR(VLOOKUP($G21,基本資料!$A:$J,8,0),"無")</f>
        <v>1.33</v>
      </c>
      <c r="G21" s="80">
        <v>4938</v>
      </c>
      <c r="H21" s="197" t="s">
        <v>1146</v>
      </c>
      <c r="I21" s="153" t="s">
        <v>3190</v>
      </c>
      <c r="J21" s="8" t="str">
        <f>IFERROR(VLOOKUP($G21,今日總結!$A:$AJ,35,0),"")</f>
        <v>自</v>
      </c>
      <c r="K21" s="5">
        <f>IFERROR(VLOOKUP($G21,今日總結!$A:$AJ,36,0),"")</f>
        <v>0</v>
      </c>
      <c r="L21" s="156">
        <f>IFERROR(VLOOKUP($G21,今日總結!$A:$AJ,33,0),"")</f>
        <v>1</v>
      </c>
      <c r="M21" s="340">
        <f>IFERROR(VLOOKUP($G21,今日總結!$A:$AJ,34,0),"")</f>
        <v>1</v>
      </c>
      <c r="N21" s="240">
        <f>IFERROR(L21-M21,"")</f>
        <v>0</v>
      </c>
      <c r="P21" s="365">
        <f>IFERROR(VLOOKUP($G21,融外自投!$A:$J,7,0),"無")</f>
        <v>1237</v>
      </c>
      <c r="Q21" s="79">
        <f>IFERROR(VLOOKUP($G21,融外自投!$A:$J,9,0),"無")</f>
        <v>69</v>
      </c>
      <c r="R21" s="346">
        <f>IFERROR(VLOOKUP($G21,融外自投!$A:$J,8,0),"無")</f>
        <v>159</v>
      </c>
      <c r="S21" s="81">
        <f>IFERROR(VLOOKUP($G21,融外自投!$A:$J,10,0),"無")</f>
        <v>75</v>
      </c>
      <c r="T21" s="327">
        <f>IFERROR(VLOOKUP($G21,'321買'!$A:$E,5,0),"'沒有資料'")</f>
        <v>26</v>
      </c>
      <c r="U21" s="186">
        <f>IFERROR(VLOOKUP($G21,基本資料!$A:$J,9,0),"無")</f>
        <v>5</v>
      </c>
      <c r="V21" s="310">
        <f>$U21/$X21</f>
        <v>7.2992700729927001E-2</v>
      </c>
      <c r="W21" s="94">
        <f>IFERROR(VLOOKUP($G21,基本資料!$A:$J,10,0),"無")</f>
        <v>7.71</v>
      </c>
      <c r="X21" s="161">
        <f>RTD("money.excel",,"4938","Price")</f>
        <v>68.5</v>
      </c>
      <c r="Y21" s="65">
        <f>73.1-4.49</f>
        <v>68.61</v>
      </c>
      <c r="Z21" s="15">
        <f>X21-Y21</f>
        <v>-0.10999999999999943</v>
      </c>
      <c r="AA21" s="63">
        <f>Z21/Y21</f>
        <v>-1.603264830199671E-3</v>
      </c>
      <c r="AB21" s="345">
        <v>1.59</v>
      </c>
      <c r="AC21" s="397">
        <f>IFERROR(VLOOKUP($G21,基本資料!$A:$M,12,0),"無")</f>
        <v>42.1</v>
      </c>
      <c r="AD21" s="153" t="s">
        <v>3190</v>
      </c>
      <c r="AE21" s="253"/>
      <c r="AF21" s="83">
        <v>44690</v>
      </c>
      <c r="AG21" s="33"/>
      <c r="AH21" s="81">
        <v>1</v>
      </c>
      <c r="AI21" s="41"/>
      <c r="AJ21" s="221">
        <f>X21*AH21*1000</f>
        <v>68500</v>
      </c>
      <c r="AK21" s="153" t="s">
        <v>3190</v>
      </c>
      <c r="AL21" s="63">
        <f>AM21/(A21*10000)</f>
        <v>1.7714285714285714E-3</v>
      </c>
      <c r="AM21" s="284">
        <f>RTD("money.excel",,"4938","PredictVolume")</f>
        <v>4712</v>
      </c>
      <c r="AN21" s="44">
        <v>5.44</v>
      </c>
      <c r="AO21" s="127"/>
      <c r="AP21" s="275">
        <f>RTD("money.excel",,"4938","VolumeStrength")</f>
        <v>-22</v>
      </c>
      <c r="AQ21" s="40">
        <f>RTD("money.excel",,"4938","ChangePercent")</f>
        <v>-1.7216642754662841</v>
      </c>
    </row>
    <row r="22" spans="1:43">
      <c r="A22" s="347">
        <f>IFERROR(VLOOKUP($G22,基本資料!$A:$J,3,0),"無")</f>
        <v>56.88</v>
      </c>
      <c r="B22" s="79">
        <f>IFERROR(VLOOKUP($G22,基本資料!$A:$J,4,0),"無")</f>
        <v>72</v>
      </c>
      <c r="C22" s="79">
        <f>IFERROR(VLOOKUP($G22,基本資料!$A:$J,5,0),"無")</f>
        <v>73</v>
      </c>
      <c r="D22" s="79">
        <f>IFERROR(VLOOKUP($G22,基本資料!$A:$J,6,0),"無")</f>
        <v>2</v>
      </c>
      <c r="E22" s="79">
        <f>IFERROR(VLOOKUP($G22,基本資料!$A:$J,7,0),"無")</f>
        <v>7</v>
      </c>
      <c r="F22" s="6">
        <f>IFERROR(VLOOKUP($G22,基本資料!$A:$J,8,0),"無")</f>
        <v>29.02</v>
      </c>
      <c r="G22" s="80">
        <v>2441</v>
      </c>
      <c r="H22" s="18" t="s">
        <v>307</v>
      </c>
      <c r="I22" s="22" t="s">
        <v>275</v>
      </c>
      <c r="J22" s="8" t="str">
        <f>IFERROR(VLOOKUP($G22,今日總結!$A:$AJ,35,0),"")</f>
        <v>自</v>
      </c>
      <c r="K22" s="5" t="str">
        <f>IFERROR(VLOOKUP($G22,今日總結!$A:$AJ,36,0),"")</f>
        <v>融</v>
      </c>
      <c r="L22" s="156">
        <f>IFERROR(VLOOKUP($G22,今日總結!$A:$AJ,33,0),"")</f>
        <v>1</v>
      </c>
      <c r="M22" s="340">
        <f>IFERROR(VLOOKUP($G22,今日總結!$A:$AJ,34,0),"")</f>
        <v>1</v>
      </c>
      <c r="N22" s="240">
        <f t="shared" ref="N22" si="15">IFERROR(L22-M22,"")</f>
        <v>0</v>
      </c>
      <c r="P22" s="365">
        <f>IFERROR(VLOOKUP($G22,融外自投!$A:$J,7,0),"無")</f>
        <v>1171</v>
      </c>
      <c r="Q22" s="79">
        <f>IFERROR(VLOOKUP($G22,融外自投!$A:$J,9,0),"無")</f>
        <v>51</v>
      </c>
      <c r="R22" s="346">
        <f>IFERROR(VLOOKUP($G22,融外自投!$A:$J,8,0),"無")</f>
        <v>369</v>
      </c>
      <c r="S22" s="81">
        <f>IFERROR(VLOOKUP($G22,融外自投!$A:$J,10,0),"無")</f>
        <v>57</v>
      </c>
      <c r="T22" s="327">
        <f>IFERROR(VLOOKUP($G22,'321買'!$A:$E,5,0),"'沒有資料'")</f>
        <v>34</v>
      </c>
      <c r="U22" s="186">
        <f>IFERROR(VLOOKUP($G22,基本資料!$A:$J,9,0),"無")</f>
        <v>5</v>
      </c>
      <c r="V22" s="310">
        <f>$U22/$X22</f>
        <v>7.0521861777150904E-2</v>
      </c>
      <c r="W22" s="94">
        <f>IFERROR(VLOOKUP($G22,基本資料!$A:$J,10,0),"無")</f>
        <v>8.09</v>
      </c>
      <c r="X22" s="36">
        <f>RTD("money.excel",,"2441","Price")</f>
        <v>70.900000000000006</v>
      </c>
      <c r="Y22" s="66">
        <v>71.2</v>
      </c>
      <c r="Z22" s="15">
        <f>X22-Y22</f>
        <v>-0.29999999999999716</v>
      </c>
      <c r="AA22" s="63">
        <f>Z22/Y22</f>
        <v>-4.2134831460673757E-3</v>
      </c>
      <c r="AB22" s="345">
        <v>0.42</v>
      </c>
      <c r="AC22" s="397">
        <f>IFERROR(VLOOKUP($G22,基本資料!$A:$M,12,0),"無")</f>
        <v>28.85</v>
      </c>
      <c r="AD22" s="22" t="s">
        <v>275</v>
      </c>
      <c r="AG22" s="33"/>
      <c r="AH22" s="81">
        <v>1</v>
      </c>
      <c r="AI22" s="63"/>
      <c r="AJ22" s="221">
        <f>X22*AH22*1000</f>
        <v>70900</v>
      </c>
      <c r="AK22" s="22" t="s">
        <v>275</v>
      </c>
      <c r="AL22" s="63">
        <f t="shared" ref="AL22" si="16">AM22/(A22*10000)</f>
        <v>1.0900140646976091E-3</v>
      </c>
      <c r="AM22" s="284">
        <f>RTD("money.excel",,"2441","PredictVolume")</f>
        <v>620</v>
      </c>
      <c r="AN22" s="44">
        <v>4.28</v>
      </c>
      <c r="AP22" s="275">
        <f>RTD("money.excel",,"2441","VolumeStrength")</f>
        <v>-28</v>
      </c>
      <c r="AQ22" s="40">
        <f>RTD("money.excel",,"2441","ChangePercent")</f>
        <v>-0.83916083916083917</v>
      </c>
    </row>
    <row r="23" spans="1:43">
      <c r="A23" s="347">
        <f>IFERROR(VLOOKUP($G23,基本資料!$A:$J,3,0),"無")</f>
        <v>8.81</v>
      </c>
      <c r="B23" s="79">
        <f>IFERROR(VLOOKUP($G23,基本資料!$A:$J,4,0),"無")</f>
        <v>-17</v>
      </c>
      <c r="C23" s="79">
        <f>IFERROR(VLOOKUP($G23,基本資料!$A:$J,5,0),"無")</f>
        <v>-28</v>
      </c>
      <c r="D23" s="79">
        <f>IFERROR(VLOOKUP($G23,基本資料!$A:$J,6,0),"無")</f>
        <v>13</v>
      </c>
      <c r="E23" s="79">
        <f>IFERROR(VLOOKUP($G23,基本資料!$A:$J,7,0),"無")</f>
        <v>-15</v>
      </c>
      <c r="F23" s="6">
        <f>IFERROR(VLOOKUP($G23,基本資料!$A:$J,8,0),"無")</f>
        <v>6.45</v>
      </c>
      <c r="G23" s="79">
        <v>6179</v>
      </c>
      <c r="H23" s="5" t="s">
        <v>1960</v>
      </c>
      <c r="I23" s="16" t="s">
        <v>6169</v>
      </c>
      <c r="J23" s="8" t="str">
        <f>IFERROR(VLOOKUP($G23,今日總結!$A:$AJ,35,0),"")</f>
        <v/>
      </c>
      <c r="K23" s="5" t="str">
        <f>IFERROR(VLOOKUP($G23,今日總結!$A:$AJ,36,0),"")</f>
        <v/>
      </c>
      <c r="L23" s="156" t="str">
        <f>IFERROR(VLOOKUP($G23,今日總結!$A:$AJ,33,0),"")</f>
        <v/>
      </c>
      <c r="M23" s="340" t="str">
        <f>IFERROR(VLOOKUP($G23,今日總結!$A:$AJ,34,0),"")</f>
        <v/>
      </c>
      <c r="N23" s="240" t="str">
        <f t="shared" si="12"/>
        <v/>
      </c>
      <c r="P23" s="365">
        <f>IFERROR(VLOOKUP($G23,融外自投!$A:$J,7,0),"無")</f>
        <v>313</v>
      </c>
      <c r="Q23" s="79" t="str">
        <f>IFERROR(VLOOKUP($G23,融外自投!$A:$J,9,0),"無")</f>
        <v>無</v>
      </c>
      <c r="R23" s="346">
        <f>IFERROR(VLOOKUP($G23,融外自投!$A:$J,8,0),"無")</f>
        <v>1263</v>
      </c>
      <c r="S23" s="81" t="str">
        <f>IFERROR(VLOOKUP($G23,融外自投!$A:$J,10,0),"無")</f>
        <v>無</v>
      </c>
      <c r="T23" s="327">
        <f>IFERROR(VLOOKUP($G23,'321買'!$A:$E,5,0),"'沒有資料'")</f>
        <v>827</v>
      </c>
      <c r="U23" s="186">
        <f>IFERROR(VLOOKUP($G23,基本資料!$A:$J,9,0),"無")</f>
        <v>1.5</v>
      </c>
      <c r="V23" s="310">
        <f t="shared" si="11"/>
        <v>0.05</v>
      </c>
      <c r="W23" s="94">
        <f>IFERROR(VLOOKUP($G23,基本資料!$A:$J,10,0),"無")</f>
        <v>1.84</v>
      </c>
      <c r="X23" s="36">
        <f>RTD("money.excel",,"6179","Price")</f>
        <v>30</v>
      </c>
      <c r="Y23" s="66">
        <v>30.75</v>
      </c>
      <c r="Z23" s="15">
        <f t="shared" ref="Z23:Z25" si="17">X23-Y23</f>
        <v>-0.75</v>
      </c>
      <c r="AA23" s="76">
        <f t="shared" ref="AA23:AA25" si="18">Z23/Y23</f>
        <v>-2.4390243902439025E-2</v>
      </c>
      <c r="AB23" s="344">
        <v>-0.98</v>
      </c>
      <c r="AC23" s="397">
        <f>IFERROR(VLOOKUP($G23,基本資料!$A:$M,12,0),"無")</f>
        <v>67.45</v>
      </c>
      <c r="AD23" s="16" t="s">
        <v>645</v>
      </c>
      <c r="AG23" s="33"/>
      <c r="AH23" s="81">
        <v>1</v>
      </c>
      <c r="AI23" s="41"/>
      <c r="AJ23" s="221">
        <f t="shared" si="9"/>
        <v>30000</v>
      </c>
      <c r="AK23" s="16" t="s">
        <v>645</v>
      </c>
      <c r="AL23" s="63">
        <f t="shared" si="10"/>
        <v>1.0329171396140748E-3</v>
      </c>
      <c r="AM23" s="284">
        <f>RTD("money.excel",,"6179","PredictVolume")</f>
        <v>91</v>
      </c>
      <c r="AN23" s="44">
        <v>4.28</v>
      </c>
      <c r="AP23" s="275">
        <f>RTD("money.excel",,"6179","VolumeStrength")</f>
        <v>-26</v>
      </c>
      <c r="AQ23" s="40">
        <f>RTD("money.excel",,"6179","ChangePercent")</f>
        <v>-1.4778325123152709</v>
      </c>
    </row>
    <row r="24" spans="1:43">
      <c r="A24" s="347">
        <f>IFERROR(VLOOKUP($G24,基本資料!$A:$J,3,0),"無")</f>
        <v>4.82</v>
      </c>
      <c r="B24" s="79">
        <f>IFERROR(VLOOKUP($G24,基本資料!$A:$J,4,0),"無")</f>
        <v>-8</v>
      </c>
      <c r="C24" s="79">
        <f>IFERROR(VLOOKUP($G24,基本資料!$A:$J,5,0),"無")</f>
        <v>-32</v>
      </c>
      <c r="D24" s="79">
        <f>IFERROR(VLOOKUP($G24,基本資料!$A:$J,6,0),"無")</f>
        <v>-15</v>
      </c>
      <c r="E24" s="79">
        <f>IFERROR(VLOOKUP($G24,基本資料!$A:$J,7,0),"無")</f>
        <v>-7</v>
      </c>
      <c r="F24" s="6">
        <f>IFERROR(VLOOKUP($G24,基本資料!$A:$J,8,0),"無")</f>
        <v>11.25</v>
      </c>
      <c r="G24" s="80">
        <v>4163</v>
      </c>
      <c r="H24" s="5" t="s">
        <v>4726</v>
      </c>
      <c r="I24" s="16" t="s">
        <v>142</v>
      </c>
      <c r="J24" s="8" t="str">
        <f>IFERROR(VLOOKUP($G24,今日總結!$A:$AJ,35,0),"")</f>
        <v/>
      </c>
      <c r="K24" s="5" t="str">
        <f>IFERROR(VLOOKUP($G24,今日總結!$A:$AJ,36,0),"")</f>
        <v/>
      </c>
      <c r="L24" s="156" t="str">
        <f>IFERROR(VLOOKUP($G24,今日總結!$A:$AJ,33,0),"")</f>
        <v/>
      </c>
      <c r="M24" s="340" t="str">
        <f>IFERROR(VLOOKUP($G24,今日總結!$A:$AJ,34,0),"")</f>
        <v/>
      </c>
      <c r="N24" s="240" t="str">
        <f t="shared" si="12"/>
        <v/>
      </c>
      <c r="P24" s="365">
        <f>IFERROR(VLOOKUP($G24,融外自投!$A:$J,7,0),"無")</f>
        <v>1115</v>
      </c>
      <c r="Q24" s="79">
        <f>IFERROR(VLOOKUP($G24,融外自投!$A:$J,9,0),"無")</f>
        <v>653</v>
      </c>
      <c r="R24" s="346">
        <f>IFERROR(VLOOKUP($G24,融外自投!$A:$J,8,0),"無")</f>
        <v>981</v>
      </c>
      <c r="S24" s="81" t="str">
        <f>IFERROR(VLOOKUP($G24,融外自投!$A:$J,10,0),"無")</f>
        <v>無</v>
      </c>
      <c r="T24" s="327">
        <f>IFERROR(VLOOKUP($G24,'321買'!$A:$E,5,0),"'沒有資料'")</f>
        <v>1179</v>
      </c>
      <c r="U24" s="186">
        <f>IFERROR(VLOOKUP($G24,基本資料!$A:$J,9,0),"無")</f>
        <v>2.5</v>
      </c>
      <c r="V24" s="310">
        <f t="shared" si="11"/>
        <v>3.0562347188264061E-2</v>
      </c>
      <c r="W24" s="94">
        <f>IFERROR(VLOOKUP($G24,基本資料!$A:$J,10,0),"無")</f>
        <v>4.7300000000000004</v>
      </c>
      <c r="X24" s="36">
        <f>RTD("money.excel",,"4163","Price")</f>
        <v>81.8</v>
      </c>
      <c r="Y24" s="66">
        <f>91.7-3.5</f>
        <v>88.2</v>
      </c>
      <c r="Z24" s="15">
        <f>X24-Y24</f>
        <v>-6.4000000000000057</v>
      </c>
      <c r="AA24" s="76">
        <f>Z24/Y24</f>
        <v>-7.2562358276644048E-2</v>
      </c>
      <c r="AB24" s="344">
        <v>-6.46</v>
      </c>
      <c r="AC24" s="397">
        <f>IFERROR(VLOOKUP($G24,基本資料!$A:$M,12,0),"無")</f>
        <v>49.21</v>
      </c>
      <c r="AD24" s="16" t="s">
        <v>142</v>
      </c>
      <c r="AG24" s="33"/>
      <c r="AH24" s="81">
        <v>2</v>
      </c>
      <c r="AI24" s="79">
        <v>1</v>
      </c>
      <c r="AJ24" s="221">
        <f t="shared" si="9"/>
        <v>163600</v>
      </c>
      <c r="AK24" s="16" t="s">
        <v>142</v>
      </c>
      <c r="AL24" s="63">
        <f t="shared" si="10"/>
        <v>6.6390041493775932E-4</v>
      </c>
      <c r="AM24" s="284">
        <f>RTD("money.excel",,"4163","PredictVolume")</f>
        <v>32</v>
      </c>
      <c r="AN24" s="44">
        <v>0.74</v>
      </c>
      <c r="AP24" s="275">
        <f>RTD("money.excel",,"4163","VolumeStrength")</f>
        <v>68</v>
      </c>
      <c r="AQ24" s="40">
        <f>RTD("money.excel",,"4163","ChangePercent")</f>
        <v>-0.84848484848484851</v>
      </c>
    </row>
    <row r="25" spans="1:43">
      <c r="A25" s="347">
        <f>IFERROR(VLOOKUP($G25,基本資料!$A:$J,3,0),"無")</f>
        <v>18.72</v>
      </c>
      <c r="B25" s="79">
        <f>IFERROR(VLOOKUP($G25,基本資料!$A:$J,4,0),"無")</f>
        <v>15</v>
      </c>
      <c r="C25" s="79">
        <f>IFERROR(VLOOKUP($G25,基本資料!$A:$J,5,0),"無")</f>
        <v>45</v>
      </c>
      <c r="D25" s="79">
        <f>IFERROR(VLOOKUP($G25,基本資料!$A:$J,6,0),"無")</f>
        <v>4</v>
      </c>
      <c r="E25" s="79">
        <f>IFERROR(VLOOKUP($G25,基本資料!$A:$J,7,0),"無")</f>
        <v>-9</v>
      </c>
      <c r="F25" s="6">
        <f>IFERROR(VLOOKUP($G25,基本資料!$A:$J,8,0),"無")</f>
        <v>4.04</v>
      </c>
      <c r="G25" s="80">
        <v>3015</v>
      </c>
      <c r="H25" s="5" t="s">
        <v>3389</v>
      </c>
      <c r="I25" s="22" t="s">
        <v>388</v>
      </c>
      <c r="J25" s="8" t="str">
        <f>IFERROR(VLOOKUP($G25,今日總結!$A:$AJ,35,0),"")</f>
        <v/>
      </c>
      <c r="K25" s="5" t="str">
        <f>IFERROR(VLOOKUP($G25,今日總結!$A:$AJ,36,0),"")</f>
        <v/>
      </c>
      <c r="L25" s="156" t="str">
        <f>IFERROR(VLOOKUP($G25,今日總結!$A:$AJ,33,0),"")</f>
        <v/>
      </c>
      <c r="M25" s="340" t="str">
        <f>IFERROR(VLOOKUP($G25,今日總結!$A:$AJ,34,0),"")</f>
        <v/>
      </c>
      <c r="N25" s="240" t="str">
        <f t="shared" si="12"/>
        <v/>
      </c>
      <c r="P25" s="365">
        <f>IFERROR(VLOOKUP($G25,融外自投!$A:$J,7,0),"無")</f>
        <v>833</v>
      </c>
      <c r="Q25" s="79">
        <f>IFERROR(VLOOKUP($G25,融外自投!$A:$J,9,0),"無")</f>
        <v>1051</v>
      </c>
      <c r="R25" s="346">
        <f>IFERROR(VLOOKUP($G25,融外自投!$A:$J,8,0),"無")</f>
        <v>450</v>
      </c>
      <c r="S25" s="81" t="str">
        <f>IFERROR(VLOOKUP($G25,融外自投!$A:$J,10,0),"無")</f>
        <v>無</v>
      </c>
      <c r="T25" s="327">
        <f>IFERROR(VLOOKUP($G25,'321買'!$A:$E,5,0),"'沒有資料'")</f>
        <v>827</v>
      </c>
      <c r="U25" s="186">
        <f>IFERROR(VLOOKUP($G25,基本資料!$A:$J,9,0),"無")</f>
        <v>3.3</v>
      </c>
      <c r="V25" s="310">
        <f t="shared" si="11"/>
        <v>8.1481481481481474E-2</v>
      </c>
      <c r="W25" s="94">
        <f>IFERROR(VLOOKUP($G25,基本資料!$A:$J,10,0),"無")</f>
        <v>4.03</v>
      </c>
      <c r="X25" s="36">
        <f>RTD("money.excel",,"3015","Price")</f>
        <v>40.5</v>
      </c>
      <c r="Y25" s="66">
        <v>44.4</v>
      </c>
      <c r="Z25" s="15">
        <f t="shared" si="17"/>
        <v>-3.8999999999999986</v>
      </c>
      <c r="AA25" s="76">
        <f t="shared" si="18"/>
        <v>-8.7837837837837815E-2</v>
      </c>
      <c r="AB25" s="344">
        <v>-7.66</v>
      </c>
      <c r="AC25" s="397">
        <f>IFERROR(VLOOKUP($G25,基本資料!$A:$M,12,0),"無")</f>
        <v>18.27</v>
      </c>
      <c r="AD25" s="22" t="s">
        <v>388</v>
      </c>
      <c r="AG25" s="33"/>
      <c r="AH25" s="81">
        <v>1</v>
      </c>
      <c r="AI25" s="60"/>
      <c r="AJ25" s="221">
        <f t="shared" si="9"/>
        <v>40500</v>
      </c>
      <c r="AK25" s="22" t="s">
        <v>388</v>
      </c>
      <c r="AL25" s="63">
        <f t="shared" si="10"/>
        <v>4.6474358974358973E-4</v>
      </c>
      <c r="AM25" s="284">
        <f>RTD("money.excel",,"3015","PredictVolume")</f>
        <v>87</v>
      </c>
      <c r="AN25" s="44">
        <v>8.9499999999999993</v>
      </c>
      <c r="AP25" s="275">
        <f>RTD("money.excel",,"3015","VolumeStrength")</f>
        <v>-25</v>
      </c>
      <c r="AQ25" s="40">
        <f>RTD("money.excel",,"3015","ChangePercent")</f>
        <v>-1.2195121951219512</v>
      </c>
    </row>
    <row r="26" spans="1:43">
      <c r="A26" s="347">
        <f>IFERROR(VLOOKUP($G26,基本資料!$A:$J,3,0),"無")</f>
        <v>4.45</v>
      </c>
      <c r="B26" s="79">
        <f>IFERROR(VLOOKUP($G26,基本資料!$A:$J,4,0),"無")</f>
        <v>-18</v>
      </c>
      <c r="C26" s="79">
        <f>IFERROR(VLOOKUP($G26,基本資料!$A:$J,5,0),"無")</f>
        <v>-29</v>
      </c>
      <c r="D26" s="79">
        <f>IFERROR(VLOOKUP($G26,基本資料!$A:$J,6,0),"無")</f>
        <v>-73</v>
      </c>
      <c r="E26" s="79">
        <f>IFERROR(VLOOKUP($G26,基本資料!$A:$J,7,0),"無")</f>
        <v>-61</v>
      </c>
      <c r="F26" s="6">
        <f>IFERROR(VLOOKUP($G26,基本資料!$A:$J,8,0),"無")</f>
        <v>12.61</v>
      </c>
      <c r="G26" s="80">
        <v>5223</v>
      </c>
      <c r="H26" s="183" t="s">
        <v>1146</v>
      </c>
      <c r="I26" s="16" t="s">
        <v>2221</v>
      </c>
      <c r="J26" s="8" t="str">
        <f>IFERROR(VLOOKUP($G26,今日總結!$A:$AJ,35,0),"")</f>
        <v/>
      </c>
      <c r="K26" s="5" t="str">
        <f>IFERROR(VLOOKUP($G26,今日總結!$A:$AJ,36,0),"")</f>
        <v/>
      </c>
      <c r="L26" s="156" t="str">
        <f>IFERROR(VLOOKUP($G26,今日總結!$A:$AJ,33,0),"")</f>
        <v/>
      </c>
      <c r="M26" s="340" t="str">
        <f>IFERROR(VLOOKUP($G26,今日總結!$A:$AJ,34,0),"")</f>
        <v/>
      </c>
      <c r="N26" s="240" t="str">
        <f t="shared" si="12"/>
        <v/>
      </c>
      <c r="P26" s="365">
        <f>IFERROR(VLOOKUP($G26,融外自投!$A:$J,7,0),"無")</f>
        <v>298</v>
      </c>
      <c r="Q26" s="79" t="str">
        <f>IFERROR(VLOOKUP($G26,融外自投!$A:$J,9,0),"無")</f>
        <v>無</v>
      </c>
      <c r="R26" s="346">
        <f>IFERROR(VLOOKUP($G26,融外自投!$A:$J,8,0),"無")</f>
        <v>102</v>
      </c>
      <c r="S26" s="81" t="str">
        <f>IFERROR(VLOOKUP($G26,融外自投!$A:$J,10,0),"無")</f>
        <v>無</v>
      </c>
      <c r="T26" s="327">
        <f>IFERROR(VLOOKUP($G26,'321買'!$A:$E,5,0),"'沒有資料'")</f>
        <v>664</v>
      </c>
      <c r="U26" s="186">
        <f>IFERROR(VLOOKUP($G26,基本資料!$A:$J,9,0),"無")</f>
        <v>2.7</v>
      </c>
      <c r="V26" s="310">
        <f t="shared" si="11"/>
        <v>5.6962025316455701E-2</v>
      </c>
      <c r="W26" s="94">
        <f>IFERROR(VLOOKUP($G26,基本資料!$A:$J,10,0),"無")</f>
        <v>5.22</v>
      </c>
      <c r="X26" s="36">
        <f>RTD("money.excel",,"5223","Price")</f>
        <v>47.4</v>
      </c>
      <c r="Y26" s="66">
        <v>53.3</v>
      </c>
      <c r="Z26" s="15">
        <f t="shared" ref="Z26" si="19">X26-Y26</f>
        <v>-5.8999999999999986</v>
      </c>
      <c r="AA26" s="76">
        <f t="shared" ref="AA26" si="20">Z26/Y26</f>
        <v>-0.11069418386491556</v>
      </c>
      <c r="AB26" s="344">
        <v>-9.94</v>
      </c>
      <c r="AC26" s="397">
        <f>IFERROR(VLOOKUP($G26,基本資料!$A:$M,12,0),"無")</f>
        <v>25.89</v>
      </c>
      <c r="AD26" s="16" t="s">
        <v>2221</v>
      </c>
      <c r="AG26" s="33"/>
      <c r="AH26" s="81">
        <v>4</v>
      </c>
      <c r="AI26" s="41"/>
      <c r="AJ26" s="221">
        <f t="shared" si="9"/>
        <v>189600</v>
      </c>
      <c r="AK26" s="16" t="s">
        <v>2221</v>
      </c>
      <c r="AL26" s="63">
        <f t="shared" si="10"/>
        <v>7.415730337078652E-4</v>
      </c>
      <c r="AM26" s="284">
        <f>RTD("money.excel",,"5223","PredictVolume")</f>
        <v>33</v>
      </c>
      <c r="AN26" s="44">
        <v>43.31</v>
      </c>
      <c r="AP26" s="275">
        <f>RTD("money.excel",,"5223","VolumeStrength")</f>
        <v>-15</v>
      </c>
      <c r="AQ26" s="40">
        <f>RTD("money.excel",,"5223","ChangePercent")</f>
        <v>-1.25</v>
      </c>
    </row>
    <row r="27" spans="1:43" s="248" customFormat="1">
      <c r="A27" s="347">
        <f>IFERROR(VLOOKUP($G27,基本資料!$A:$J,3,0),"無")</f>
        <v>27.13</v>
      </c>
      <c r="B27" s="79">
        <f>IFERROR(VLOOKUP($G27,基本資料!$A:$J,4,0),"無")</f>
        <v>8</v>
      </c>
      <c r="C27" s="79">
        <f>IFERROR(VLOOKUP($G27,基本資料!$A:$J,5,0),"無")</f>
        <v>25</v>
      </c>
      <c r="D27" s="79">
        <f>IFERROR(VLOOKUP($G27,基本資料!$A:$J,6,0),"無")</f>
        <v>33</v>
      </c>
      <c r="E27" s="79">
        <f>IFERROR(VLOOKUP($G27,基本資料!$A:$J,7,0),"無")</f>
        <v>6</v>
      </c>
      <c r="F27" s="6">
        <f>IFERROR(VLOOKUP($G27,基本資料!$A:$J,8,0),"無")</f>
        <v>28.8</v>
      </c>
      <c r="G27" s="79">
        <v>3374</v>
      </c>
      <c r="H27" s="145" t="s">
        <v>307</v>
      </c>
      <c r="I27" s="16" t="s">
        <v>167</v>
      </c>
      <c r="J27" s="8" t="str">
        <f>IFERROR(VLOOKUP($G27,今日總結!$A:$AJ,35,0),"")</f>
        <v/>
      </c>
      <c r="K27" s="5" t="str">
        <f>IFERROR(VLOOKUP($G27,今日總結!$A:$AJ,36,0),"")</f>
        <v/>
      </c>
      <c r="L27" s="156" t="str">
        <f>IFERROR(VLOOKUP($G27,今日總結!$A:$AJ,33,0),"")</f>
        <v/>
      </c>
      <c r="M27" s="340" t="str">
        <f>IFERROR(VLOOKUP($G27,今日總結!$A:$AJ,34,0),"")</f>
        <v/>
      </c>
      <c r="N27" s="240" t="str">
        <f>IFERROR(L27-M27,"")</f>
        <v/>
      </c>
      <c r="P27" s="365">
        <f>IFERROR(VLOOKUP($G27,融外自投!$A:$J,7,0),"無")</f>
        <v>304</v>
      </c>
      <c r="Q27" s="79">
        <f>IFERROR(VLOOKUP($G27,融外自投!$A:$J,9,0),"無")</f>
        <v>200</v>
      </c>
      <c r="R27" s="346">
        <f>IFERROR(VLOOKUP($G27,融外自投!$A:$J,8,0),"無")</f>
        <v>692</v>
      </c>
      <c r="S27" s="81">
        <f>IFERROR(VLOOKUP($G27,融外自投!$A:$J,10,0),"無")</f>
        <v>72</v>
      </c>
      <c r="T27" s="327">
        <f>IFERROR(VLOOKUP($G27,'321買'!$A:$E,5,0),"'沒有資料'")</f>
        <v>349</v>
      </c>
      <c r="U27" s="186">
        <f>IFERROR(VLOOKUP($G27,基本資料!$A:$J,9,0),"無")</f>
        <v>3</v>
      </c>
      <c r="V27" s="310">
        <f>$U27/$X27</f>
        <v>2.1897810218978103E-2</v>
      </c>
      <c r="W27" s="94">
        <f>IFERROR(VLOOKUP($G27,基本資料!$A:$J,10,0),"無")</f>
        <v>6.92</v>
      </c>
      <c r="X27" s="36">
        <f>RTD("money.excel",,"3374","Price")</f>
        <v>137</v>
      </c>
      <c r="Y27" s="65">
        <v>160</v>
      </c>
      <c r="Z27" s="15">
        <f>X27-Y27</f>
        <v>-23</v>
      </c>
      <c r="AA27" s="76">
        <f>Z27/Y27</f>
        <v>-0.14374999999999999</v>
      </c>
      <c r="AB27" s="344">
        <v>-15.31</v>
      </c>
      <c r="AC27" s="397">
        <f>IFERROR(VLOOKUP($G27,基本資料!$A:$M,12,0),"無")</f>
        <v>60.86</v>
      </c>
      <c r="AD27" s="166" t="s">
        <v>167</v>
      </c>
      <c r="AE27" s="84"/>
      <c r="AF27" s="83"/>
      <c r="AG27" s="33"/>
      <c r="AH27" s="81">
        <v>4</v>
      </c>
      <c r="AI27" s="41"/>
      <c r="AJ27" s="221">
        <f>X27*AH27*1000</f>
        <v>548000</v>
      </c>
      <c r="AK27" s="16" t="s">
        <v>167</v>
      </c>
      <c r="AL27" s="299">
        <f>AM27/(A27*10000)</f>
        <v>1.4935495761150018E-2</v>
      </c>
      <c r="AM27" s="284">
        <f>RTD("money.excel",,"3374","PredictVolume")</f>
        <v>4052</v>
      </c>
      <c r="AN27" s="44">
        <v>24.49</v>
      </c>
      <c r="AO27" s="127" t="s">
        <v>6722</v>
      </c>
      <c r="AP27" s="275">
        <f>RTD("money.excel",,"3374","VolumeStrength")</f>
        <v>105</v>
      </c>
      <c r="AQ27" s="40">
        <f>RTD("money.excel",,"3374","ChangePercent")</f>
        <v>1.1070110701107012</v>
      </c>
    </row>
    <row r="28" spans="1:43">
      <c r="A28" s="347">
        <f>IFERROR(VLOOKUP($G28,基本資料!$A:$J,3,0),"無")</f>
        <v>46.63</v>
      </c>
      <c r="B28" s="79">
        <f>IFERROR(VLOOKUP($G28,基本資料!$A:$J,4,0),"無")</f>
        <v>-144</v>
      </c>
      <c r="C28" s="79">
        <f>IFERROR(VLOOKUP($G28,基本資料!$A:$J,5,0),"無")</f>
        <v>-5</v>
      </c>
      <c r="D28" s="79">
        <f>IFERROR(VLOOKUP($G28,基本資料!$A:$J,6,0),"無")</f>
        <v>49</v>
      </c>
      <c r="E28" s="79">
        <f>IFERROR(VLOOKUP($G28,基本資料!$A:$J,7,0),"無")</f>
        <v>61</v>
      </c>
      <c r="F28" s="6">
        <f>IFERROR(VLOOKUP($G28,基本資料!$A:$J,8,0),"無")</f>
        <v>-65.17</v>
      </c>
      <c r="G28" s="80">
        <v>4128</v>
      </c>
      <c r="H28" s="5" t="s">
        <v>4726</v>
      </c>
      <c r="I28" s="16" t="s">
        <v>3744</v>
      </c>
      <c r="J28" s="8">
        <f>IFERROR(VLOOKUP($G28,今日總結!$A:$AJ,35,0),"")</f>
        <v>0</v>
      </c>
      <c r="K28" s="5" t="str">
        <f>IFERROR(VLOOKUP($G28,今日總結!$A:$AJ,36,0),"")</f>
        <v>自</v>
      </c>
      <c r="L28" s="156">
        <f>IFERROR(VLOOKUP($G28,今日總結!$A:$AJ,33,0),"")</f>
        <v>0</v>
      </c>
      <c r="M28" s="340">
        <f>IFERROR(VLOOKUP($G28,今日總結!$A:$AJ,34,0),"")</f>
        <v>1</v>
      </c>
      <c r="N28" s="240">
        <f t="shared" si="12"/>
        <v>-1</v>
      </c>
      <c r="P28" s="365">
        <f>IFERROR(VLOOKUP($G28,融外自投!$A:$J,7,0),"無")</f>
        <v>386</v>
      </c>
      <c r="Q28" s="79">
        <f>IFERROR(VLOOKUP($G28,融外自投!$A:$J,9,0),"無")</f>
        <v>653</v>
      </c>
      <c r="R28" s="346">
        <f>IFERROR(VLOOKUP($G28,融外自投!$A:$J,8,0),"無")</f>
        <v>715</v>
      </c>
      <c r="S28" s="81">
        <f>IFERROR(VLOOKUP($G28,融外自投!$A:$J,10,0),"無")</f>
        <v>473</v>
      </c>
      <c r="T28" s="327">
        <f>IFERROR(VLOOKUP($G28,'321買'!$A:$E,5,0),"'沒有資料'")</f>
        <v>232</v>
      </c>
      <c r="U28" s="186">
        <f>IFERROR(VLOOKUP($G28,基本資料!$A:$J,9,0),"無")</f>
        <v>1</v>
      </c>
      <c r="V28" s="310">
        <f t="shared" si="11"/>
        <v>1.7953321364452424E-2</v>
      </c>
      <c r="W28" s="94">
        <f>IFERROR(VLOOKUP($G28,基本資料!$A:$J,10,0),"無")</f>
        <v>0.11</v>
      </c>
      <c r="X28" s="36">
        <f>RTD("money.excel",,"4128","Price")</f>
        <v>55.7</v>
      </c>
      <c r="Y28" s="66">
        <v>66.5</v>
      </c>
      <c r="Z28" s="15">
        <f>X28-Y28</f>
        <v>-10.799999999999997</v>
      </c>
      <c r="AA28" s="76">
        <f>Z28/Y28</f>
        <v>-0.16240601503759394</v>
      </c>
      <c r="AB28" s="344">
        <v>-16.54</v>
      </c>
      <c r="AC28" s="397">
        <f>IFERROR(VLOOKUP($G28,基本資料!$A:$M,12,0),"無")</f>
        <v>25.56</v>
      </c>
      <c r="AD28" s="16" t="s">
        <v>611</v>
      </c>
      <c r="AG28" s="33"/>
      <c r="AH28" s="81">
        <v>1</v>
      </c>
      <c r="AI28" s="79">
        <v>1</v>
      </c>
      <c r="AJ28" s="221">
        <f t="shared" si="9"/>
        <v>55700</v>
      </c>
      <c r="AK28" s="16" t="s">
        <v>611</v>
      </c>
      <c r="AL28" s="63">
        <f t="shared" si="10"/>
        <v>3.1567660304524982E-3</v>
      </c>
      <c r="AM28" s="284">
        <f>RTD("money.excel",,"4128","PredictVolume")</f>
        <v>1472</v>
      </c>
      <c r="AN28" s="44">
        <v>10.29</v>
      </c>
      <c r="AP28" s="275">
        <f>RTD("money.excel",,"4128","VolumeStrength")</f>
        <v>-25</v>
      </c>
      <c r="AQ28" s="40">
        <f>RTD("money.excel",,"4128","ChangePercent")</f>
        <v>0.36036036036036034</v>
      </c>
    </row>
    <row r="29" spans="1:43">
      <c r="A29" s="347">
        <f>IFERROR(VLOOKUP($G29,基本資料!$A:$J,3,0),"無")</f>
        <v>27.43</v>
      </c>
      <c r="B29" s="79">
        <f>IFERROR(VLOOKUP($G29,基本資料!$A:$J,4,0),"無")</f>
        <v>21</v>
      </c>
      <c r="C29" s="79">
        <f>IFERROR(VLOOKUP($G29,基本資料!$A:$J,5,0),"無")</f>
        <v>16</v>
      </c>
      <c r="D29" s="79">
        <f>IFERROR(VLOOKUP($G29,基本資料!$A:$J,6,0),"無")</f>
        <v>0</v>
      </c>
      <c r="E29" s="79">
        <f>IFERROR(VLOOKUP($G29,基本資料!$A:$J,7,0),"無")</f>
        <v>17</v>
      </c>
      <c r="F29" s="6">
        <f>IFERROR(VLOOKUP($G29,基本資料!$A:$J,8,0),"無")</f>
        <v>17.809999999999999</v>
      </c>
      <c r="G29" s="80">
        <v>1476</v>
      </c>
      <c r="H29" s="8" t="s">
        <v>294</v>
      </c>
      <c r="I29" s="22" t="s">
        <v>3589</v>
      </c>
      <c r="J29" s="8" t="str">
        <f>IFERROR(VLOOKUP($G29,今日總結!$A:$AJ,35,0),"")</f>
        <v/>
      </c>
      <c r="K29" s="5" t="str">
        <f>IFERROR(VLOOKUP($G29,今日總結!$A:$AJ,36,0),"")</f>
        <v/>
      </c>
      <c r="L29" s="156" t="str">
        <f>IFERROR(VLOOKUP($G29,今日總結!$A:$AJ,33,0),"")</f>
        <v/>
      </c>
      <c r="M29" s="340" t="str">
        <f>IFERROR(VLOOKUP($G29,今日總結!$A:$AJ,34,0),"")</f>
        <v/>
      </c>
      <c r="N29" s="240" t="str">
        <f t="shared" si="12"/>
        <v/>
      </c>
      <c r="P29" s="365">
        <f>IFERROR(VLOOKUP($G29,融外自投!$A:$J,7,0),"無")</f>
        <v>1281</v>
      </c>
      <c r="Q29" s="79">
        <f>IFERROR(VLOOKUP($G29,融外自投!$A:$J,9,0),"無")</f>
        <v>94</v>
      </c>
      <c r="R29" s="346">
        <f>IFERROR(VLOOKUP($G29,融外自投!$A:$J,8,0),"無")</f>
        <v>127</v>
      </c>
      <c r="S29" s="81">
        <f>IFERROR(VLOOKUP($G29,融外自投!$A:$J,10,0),"無")</f>
        <v>159</v>
      </c>
      <c r="T29" s="327">
        <f>IFERROR(VLOOKUP($G29,'321買'!$A:$E,5,0),"'沒有資料'")</f>
        <v>318</v>
      </c>
      <c r="U29" s="186">
        <f>IFERROR(VLOOKUP($G29,基本資料!$A:$J,9,0),"無")</f>
        <v>12</v>
      </c>
      <c r="V29" s="310">
        <f t="shared" si="11"/>
        <v>2.3762376237623763E-2</v>
      </c>
      <c r="W29" s="94">
        <f>IFERROR(VLOOKUP($G29,基本資料!$A:$J,10,0),"無")</f>
        <v>18.77</v>
      </c>
      <c r="X29" s="36">
        <f>RTD("money.excel",,"1476","Price")</f>
        <v>505</v>
      </c>
      <c r="Y29" s="66">
        <v>587</v>
      </c>
      <c r="Z29" s="137">
        <f t="shared" ref="Z29:Z30" si="21">X29-Y29</f>
        <v>-82</v>
      </c>
      <c r="AA29" s="76">
        <f t="shared" ref="AA29:AA30" si="22">Z29/Y29</f>
        <v>-0.13969335604770017</v>
      </c>
      <c r="AB29" s="344">
        <v>-20.61</v>
      </c>
      <c r="AC29" s="397">
        <f>IFERROR(VLOOKUP($G29,基本資料!$A:$M,12,0),"無")</f>
        <v>46.22</v>
      </c>
      <c r="AD29" s="22" t="s">
        <v>3589</v>
      </c>
      <c r="AG29" s="33"/>
      <c r="AH29" s="79">
        <v>0</v>
      </c>
      <c r="AI29" s="60"/>
      <c r="AJ29" s="221">
        <f t="shared" si="9"/>
        <v>0</v>
      </c>
      <c r="AK29" s="22" t="s">
        <v>3589</v>
      </c>
      <c r="AL29" s="195">
        <f t="shared" si="10"/>
        <v>9.1833758658403201E-3</v>
      </c>
      <c r="AM29" s="284">
        <f>RTD("money.excel",,$G29,"PredictVolume")</f>
        <v>2519</v>
      </c>
      <c r="AN29" s="400">
        <v>2.02</v>
      </c>
      <c r="AO29" s="127" t="s">
        <v>6723</v>
      </c>
      <c r="AP29" s="275">
        <f>RTD("money.excel",,"1476","VolumeStrength")</f>
        <v>22</v>
      </c>
      <c r="AQ29" s="40">
        <f>RTD("money.excel",,"1476","ChangePercent")</f>
        <v>8.3690987124463518</v>
      </c>
    </row>
    <row r="30" spans="1:43" s="248" customFormat="1" ht="16.5" customHeight="1">
      <c r="A30" s="347">
        <f>IFERROR(VLOOKUP($G30,基本資料!$A:$J,3,0),"無")</f>
        <v>5.05</v>
      </c>
      <c r="B30" s="79">
        <f>IFERROR(VLOOKUP($G30,基本資料!$A:$J,4,0),"無")</f>
        <v>-1063</v>
      </c>
      <c r="C30" s="79">
        <f>IFERROR(VLOOKUP($G30,基本資料!$A:$J,5,0),"無")</f>
        <v>-409</v>
      </c>
      <c r="D30" s="79">
        <f>IFERROR(VLOOKUP($G30,基本資料!$A:$J,6,0),"無")</f>
        <v>14</v>
      </c>
      <c r="E30" s="79">
        <f>IFERROR(VLOOKUP($G30,基本資料!$A:$J,7,0),"無")</f>
        <v>-22</v>
      </c>
      <c r="F30" s="6">
        <f>IFERROR(VLOOKUP($G30,基本資料!$A:$J,8,0),"無")</f>
        <v>-5.89</v>
      </c>
      <c r="G30" s="79">
        <v>4432</v>
      </c>
      <c r="H30" s="17" t="s">
        <v>294</v>
      </c>
      <c r="I30" s="166" t="s">
        <v>3591</v>
      </c>
      <c r="J30" s="8" t="str">
        <f>IFERROR(VLOOKUP($G30,今日總結!$A:$AJ,35,0),"")</f>
        <v/>
      </c>
      <c r="K30" s="5" t="str">
        <f>IFERROR(VLOOKUP($G30,今日總結!$A:$AJ,36,0),"")</f>
        <v/>
      </c>
      <c r="L30" s="156" t="str">
        <f>IFERROR(VLOOKUP($G30,今日總結!$A:$AJ,33,0),"")</f>
        <v/>
      </c>
      <c r="M30" s="340" t="str">
        <f>IFERROR(VLOOKUP($G30,今日總結!$A:$AJ,34,0),"")</f>
        <v/>
      </c>
      <c r="N30" s="240" t="str">
        <f t="shared" si="12"/>
        <v/>
      </c>
      <c r="P30" s="365">
        <f>IFERROR(VLOOKUP($G30,融外自投!$A:$J,7,0),"無")</f>
        <v>749</v>
      </c>
      <c r="Q30" s="79">
        <f>IFERROR(VLOOKUP($G30,融外自投!$A:$J,9,0),"無")</f>
        <v>302</v>
      </c>
      <c r="R30" s="346">
        <f>IFERROR(VLOOKUP($G30,融外自投!$A:$J,8,0),"無")</f>
        <v>1369</v>
      </c>
      <c r="S30" s="81" t="str">
        <f>IFERROR(VLOOKUP($G30,融外自投!$A:$J,10,0),"無")</f>
        <v>無</v>
      </c>
      <c r="T30" s="327">
        <f>IFERROR(VLOOKUP($G30,'321買'!$A:$E,5,0),"'沒有資料'")</f>
        <v>1085</v>
      </c>
      <c r="U30" s="186">
        <f>IFERROR(VLOOKUP($G30,基本資料!$A:$J,9,0),"無")</f>
        <v>0</v>
      </c>
      <c r="V30" s="310">
        <f t="shared" si="11"/>
        <v>0</v>
      </c>
      <c r="W30" s="94">
        <f>IFERROR(VLOOKUP($G30,基本資料!$A:$J,10,0),"無")</f>
        <v>-2.04</v>
      </c>
      <c r="X30" s="161">
        <f>RTD("money.excel",,"4432","Price")</f>
        <v>14.2</v>
      </c>
      <c r="Y30" s="65">
        <v>17.899999999999999</v>
      </c>
      <c r="Z30" s="15">
        <f t="shared" si="21"/>
        <v>-3.6999999999999993</v>
      </c>
      <c r="AA30" s="76">
        <f t="shared" si="22"/>
        <v>-0.20670391061452512</v>
      </c>
      <c r="AB30" s="344">
        <v>-17.600000000000001</v>
      </c>
      <c r="AC30" s="397">
        <f>IFERROR(VLOOKUP($G30,基本資料!$A:$M,12,0),"無")</f>
        <v>35.840000000000003</v>
      </c>
      <c r="AD30" s="166" t="s">
        <v>206</v>
      </c>
      <c r="AE30" s="84"/>
      <c r="AF30" s="83"/>
      <c r="AG30" s="33"/>
      <c r="AH30" s="79">
        <v>8</v>
      </c>
      <c r="AI30" s="79">
        <v>8</v>
      </c>
      <c r="AJ30" s="221">
        <f t="shared" si="9"/>
        <v>113600</v>
      </c>
      <c r="AK30" s="166" t="s">
        <v>206</v>
      </c>
      <c r="AL30" s="148">
        <f t="shared" si="10"/>
        <v>1.8811881188118811E-3</v>
      </c>
      <c r="AM30" s="284">
        <f>RTD("money.excel",,"4432","PredictVolume")</f>
        <v>95</v>
      </c>
      <c r="AN30" s="44">
        <v>5.74</v>
      </c>
      <c r="AO30" s="127"/>
      <c r="AP30" s="275">
        <f>RTD("money.excel",,"4432","VolumeStrength")</f>
        <v>35</v>
      </c>
      <c r="AQ30" s="40">
        <f>RTD("money.excel",,"4432","ChangePercent")</f>
        <v>-3.7288135593220337</v>
      </c>
    </row>
    <row r="31" spans="1:43">
      <c r="A31" s="347">
        <f>IFERROR(VLOOKUP($G31,基本資料!$A:$J,3,0),"無")</f>
        <v>16.78</v>
      </c>
      <c r="B31" s="79">
        <f>IFERROR(VLOOKUP($G31,基本資料!$A:$J,4,0),"無")</f>
        <v>42</v>
      </c>
      <c r="C31" s="79">
        <f>IFERROR(VLOOKUP($G31,基本資料!$A:$J,5,0),"無")</f>
        <v>49</v>
      </c>
      <c r="D31" s="79">
        <f>IFERROR(VLOOKUP($G31,基本資料!$A:$J,6,0),"無")</f>
        <v>-7</v>
      </c>
      <c r="E31" s="79">
        <f>IFERROR(VLOOKUP($G31,基本資料!$A:$J,7,0),"無")</f>
        <v>-35</v>
      </c>
      <c r="F31" s="6">
        <f>IFERROR(VLOOKUP($G31,基本資料!$A:$J,8,0),"無")</f>
        <v>31.48</v>
      </c>
      <c r="G31" s="80">
        <v>5471</v>
      </c>
      <c r="H31" s="5" t="s">
        <v>307</v>
      </c>
      <c r="I31" s="22" t="s">
        <v>4059</v>
      </c>
      <c r="J31" s="8" t="str">
        <f>IFERROR(VLOOKUP($G31,今日總結!$A:$AJ,35,0),"")</f>
        <v/>
      </c>
      <c r="K31" s="5" t="str">
        <f>IFERROR(VLOOKUP($G31,今日總結!$A:$AJ,36,0),"")</f>
        <v/>
      </c>
      <c r="L31" s="156" t="str">
        <f>IFERROR(VLOOKUP($G31,今日總結!$A:$AJ,33,0),"")</f>
        <v/>
      </c>
      <c r="M31" s="340" t="str">
        <f>IFERROR(VLOOKUP($G31,今日總結!$A:$AJ,34,0),"")</f>
        <v/>
      </c>
      <c r="N31" s="240" t="str">
        <f t="shared" ref="N31:N35" si="23">IFERROR(L31-M31,"")</f>
        <v/>
      </c>
      <c r="P31" s="365">
        <f>IFERROR(VLOOKUP($G31,融外自投!$A:$J,7,0),"無")</f>
        <v>352</v>
      </c>
      <c r="Q31" s="79">
        <f>IFERROR(VLOOKUP($G31,融外自投!$A:$J,9,0),"無")</f>
        <v>896</v>
      </c>
      <c r="R31" s="346">
        <f>IFERROR(VLOOKUP($G31,融外自投!$A:$J,8,0),"無")</f>
        <v>418</v>
      </c>
      <c r="S31" s="81">
        <f>IFERROR(VLOOKUP($G31,融外自投!$A:$J,10,0),"無")</f>
        <v>395</v>
      </c>
      <c r="T31" s="327">
        <f>IFERROR(VLOOKUP($G31,'321買'!$A:$E,5,0),"'沒有資料'")</f>
        <v>445</v>
      </c>
      <c r="U31" s="186">
        <f>IFERROR(VLOOKUP($G31,基本資料!$A:$J,9,0),"無")</f>
        <v>7</v>
      </c>
      <c r="V31" s="310">
        <f>$U31/$X31</f>
        <v>9.2592592592592601E-2</v>
      </c>
      <c r="W31" s="94">
        <f>IFERROR(VLOOKUP($G31,基本資料!$A:$J,10,0),"無")</f>
        <v>8.7100000000000009</v>
      </c>
      <c r="X31" s="36">
        <f>RTD("money.excel",,"5471","Price")</f>
        <v>75.599999999999994</v>
      </c>
      <c r="Y31" s="66">
        <v>91.8</v>
      </c>
      <c r="Z31" s="15">
        <f>X31-Y31</f>
        <v>-16.200000000000003</v>
      </c>
      <c r="AA31" s="76">
        <f>Z31/Y31</f>
        <v>-0.17647058823529416</v>
      </c>
      <c r="AB31" s="344">
        <v>-17.649999999999999</v>
      </c>
      <c r="AC31" s="397">
        <f>IFERROR(VLOOKUP($G31,基本資料!$A:$M,12,0),"無")</f>
        <v>18.420000000000002</v>
      </c>
      <c r="AD31" s="22" t="s">
        <v>352</v>
      </c>
      <c r="AF31" s="83">
        <v>44690</v>
      </c>
      <c r="AG31" s="33"/>
      <c r="AH31" s="81">
        <v>2</v>
      </c>
      <c r="AI31" s="41"/>
      <c r="AJ31" s="221">
        <f>X31*AH31*1000</f>
        <v>151200</v>
      </c>
      <c r="AK31" s="22" t="s">
        <v>352</v>
      </c>
      <c r="AL31" s="195">
        <f>AM31/(A31*10000)</f>
        <v>2.1454112038140644E-3</v>
      </c>
      <c r="AM31" s="284">
        <f>RTD("money.excel",,"5471","PredictVolume")</f>
        <v>360</v>
      </c>
      <c r="AN31" s="44">
        <v>35.799999999999997</v>
      </c>
      <c r="AO31" s="127" t="s">
        <v>6724</v>
      </c>
      <c r="AP31" s="275">
        <f>RTD("money.excel",,"5471","VolumeStrength")</f>
        <v>-62</v>
      </c>
      <c r="AQ31" s="40">
        <f>RTD("money.excel",,"5471","ChangePercent")</f>
        <v>0</v>
      </c>
    </row>
    <row r="32" spans="1:43">
      <c r="A32" s="347">
        <f>IFERROR(VLOOKUP($G32,基本資料!$A:$J,3,0),"無")</f>
        <v>24.8</v>
      </c>
      <c r="B32" s="79">
        <f>IFERROR(VLOOKUP($G32,基本資料!$A:$J,4,0),"無")</f>
        <v>184</v>
      </c>
      <c r="C32" s="79">
        <f>IFERROR(VLOOKUP($G32,基本資料!$A:$J,5,0),"無")</f>
        <v>62</v>
      </c>
      <c r="D32" s="79">
        <f>IFERROR(VLOOKUP($G32,基本資料!$A:$J,6,0),"無")</f>
        <v>13</v>
      </c>
      <c r="E32" s="79">
        <f>IFERROR(VLOOKUP($G32,基本資料!$A:$J,7,0),"無")</f>
        <v>9</v>
      </c>
      <c r="F32" s="6">
        <f>IFERROR(VLOOKUP($G32,基本資料!$A:$J,8,0),"無")</f>
        <v>12.89</v>
      </c>
      <c r="G32" s="79">
        <v>8936</v>
      </c>
      <c r="H32" s="5" t="s">
        <v>1960</v>
      </c>
      <c r="I32" s="16" t="s">
        <v>668</v>
      </c>
      <c r="J32" s="8">
        <f>IFERROR(VLOOKUP($G32,今日總結!$A:$AJ,35,0),"")</f>
        <v>0</v>
      </c>
      <c r="K32" s="5">
        <f>IFERROR(VLOOKUP($G32,今日總結!$A:$AJ,36,0),"")</f>
        <v>0</v>
      </c>
      <c r="L32" s="156">
        <f>IFERROR(VLOOKUP($G32,今日總結!$A:$AJ,33,0),"")</f>
        <v>0</v>
      </c>
      <c r="M32" s="340">
        <f>IFERROR(VLOOKUP($G32,今日總結!$A:$AJ,34,0),"")</f>
        <v>1</v>
      </c>
      <c r="N32" s="240">
        <f t="shared" si="23"/>
        <v>-1</v>
      </c>
      <c r="P32" s="365">
        <f>IFERROR(VLOOKUP($G32,融外自投!$A:$J,7,0),"無")</f>
        <v>217</v>
      </c>
      <c r="Q32" s="79">
        <f>IFERROR(VLOOKUP($G32,融外自投!$A:$J,9,0),"無")</f>
        <v>1051</v>
      </c>
      <c r="R32" s="346">
        <f>IFERROR(VLOOKUP($G32,融外自投!$A:$J,8,0),"無")</f>
        <v>704</v>
      </c>
      <c r="S32" s="81" t="str">
        <f>IFERROR(VLOOKUP($G32,融外自投!$A:$J,10,0),"無")</f>
        <v>無</v>
      </c>
      <c r="T32" s="327">
        <f>IFERROR(VLOOKUP($G32,'321買'!$A:$E,5,0),"'沒有資料'")</f>
        <v>984</v>
      </c>
      <c r="U32" s="186">
        <f>IFERROR(VLOOKUP($G32,基本資料!$A:$J,9,0),"無")</f>
        <v>0.5</v>
      </c>
      <c r="V32" s="310">
        <f>$U32/$X32</f>
        <v>2.4390243902439025E-2</v>
      </c>
      <c r="W32" s="94">
        <f>IFERROR(VLOOKUP($G32,基本資料!$A:$J,10,0),"無")</f>
        <v>1.81</v>
      </c>
      <c r="X32" s="36">
        <f>RTD("money.excel",,"8936","Price")</f>
        <v>20.5</v>
      </c>
      <c r="Y32" s="66">
        <f>25.1-0.25</f>
        <v>24.85</v>
      </c>
      <c r="Z32" s="15">
        <f>X32-Y32</f>
        <v>-4.3500000000000014</v>
      </c>
      <c r="AA32" s="76">
        <f>Z32/Y32</f>
        <v>-0.17505030181086523</v>
      </c>
      <c r="AB32" s="344">
        <v>-18.510000000000002</v>
      </c>
      <c r="AC32" s="397">
        <f>IFERROR(VLOOKUP($G32,基本資料!$A:$M,12,0),"無")</f>
        <v>36.29</v>
      </c>
      <c r="AD32" s="16" t="s">
        <v>668</v>
      </c>
      <c r="AG32" s="33"/>
      <c r="AH32" s="81">
        <v>3</v>
      </c>
      <c r="AI32" s="41"/>
      <c r="AJ32" s="221">
        <f>X32*AH32*1000</f>
        <v>61500</v>
      </c>
      <c r="AK32" s="16" t="s">
        <v>668</v>
      </c>
      <c r="AL32" s="63">
        <f>AM32/(A32*10000)</f>
        <v>2.0120967741935484E-3</v>
      </c>
      <c r="AM32" s="284">
        <f>RTD("money.excel",,"8936","PredictVolume")</f>
        <v>499</v>
      </c>
      <c r="AN32" s="44">
        <v>14.39</v>
      </c>
      <c r="AP32" s="275">
        <f>RTD("money.excel",,"8936","VolumeStrength")</f>
        <v>36</v>
      </c>
      <c r="AQ32" s="40">
        <f>RTD("money.excel",,"8936","ChangePercent")</f>
        <v>1.2345679012345678</v>
      </c>
    </row>
    <row r="33" spans="1:43">
      <c r="A33" s="347">
        <f>IFERROR(VLOOKUP($G33,基本資料!$A:$J,3,0),"無")</f>
        <v>7.8</v>
      </c>
      <c r="B33" s="79">
        <f>IFERROR(VLOOKUP($G33,基本資料!$A:$J,4,0),"無")</f>
        <v>771</v>
      </c>
      <c r="C33" s="79">
        <f>IFERROR(VLOOKUP($G33,基本資料!$A:$J,5,0),"無")</f>
        <v>1228</v>
      </c>
      <c r="D33" s="79">
        <f>IFERROR(VLOOKUP($G33,基本資料!$A:$J,6,0),"無")</f>
        <v>-38</v>
      </c>
      <c r="E33" s="79">
        <f>IFERROR(VLOOKUP($G33,基本資料!$A:$J,7,0),"無")</f>
        <v>62</v>
      </c>
      <c r="F33" s="6">
        <f>IFERROR(VLOOKUP($G33,基本資料!$A:$J,8,0),"無")</f>
        <v>6.41</v>
      </c>
      <c r="G33" s="80">
        <v>3713</v>
      </c>
      <c r="H33" s="5" t="s">
        <v>1878</v>
      </c>
      <c r="I33" s="16" t="s">
        <v>2058</v>
      </c>
      <c r="J33" s="8" t="str">
        <f>IFERROR(VLOOKUP($G33,今日總結!$A:$AJ,35,0),"")</f>
        <v/>
      </c>
      <c r="K33" s="5" t="str">
        <f>IFERROR(VLOOKUP($G33,今日總結!$A:$AJ,36,0),"")</f>
        <v/>
      </c>
      <c r="L33" s="156" t="str">
        <f>IFERROR(VLOOKUP($G33,今日總結!$A:$AJ,33,0),"")</f>
        <v/>
      </c>
      <c r="M33" s="340" t="str">
        <f>IFERROR(VLOOKUP($G33,今日總結!$A:$AJ,34,0),"")</f>
        <v/>
      </c>
      <c r="N33" s="240" t="str">
        <f t="shared" si="23"/>
        <v/>
      </c>
      <c r="P33" s="365" t="str">
        <f>IFERROR(VLOOKUP($G33,融外自投!$A:$J,7,0),"無")</f>
        <v>無</v>
      </c>
      <c r="Q33" s="79" t="str">
        <f>IFERROR(VLOOKUP($G33,融外自投!$A:$J,9,0),"無")</f>
        <v>無</v>
      </c>
      <c r="R33" s="346" t="str">
        <f>IFERROR(VLOOKUP($G33,融外自投!$A:$J,8,0),"無")</f>
        <v>無</v>
      </c>
      <c r="S33" s="81" t="str">
        <f>IFERROR(VLOOKUP($G33,融外自投!$A:$J,10,0),"無")</f>
        <v>無</v>
      </c>
      <c r="T33" s="327" t="str">
        <f>IFERROR(VLOOKUP($G33,'321買'!$A:$E,5,0),"'沒有資料'")</f>
        <v>'沒有資料'</v>
      </c>
      <c r="U33" s="186">
        <f>IFERROR(VLOOKUP($G33,基本資料!$A:$J,9,0),"無")</f>
        <v>0</v>
      </c>
      <c r="V33" s="310">
        <f>$U33/$X33</f>
        <v>0</v>
      </c>
      <c r="W33" s="94">
        <f>IFERROR(VLOOKUP($G33,基本資料!$A:$J,10,0),"無")</f>
        <v>0.43</v>
      </c>
      <c r="X33" s="36">
        <f>RTD("money.excel",,"3713","Price")</f>
        <v>32.5</v>
      </c>
      <c r="Y33" s="66">
        <v>40.75</v>
      </c>
      <c r="Z33" s="15">
        <f>X33-Y33</f>
        <v>-8.25</v>
      </c>
      <c r="AA33" s="76">
        <f>Z33/Y33</f>
        <v>-0.20245398773006135</v>
      </c>
      <c r="AB33" s="344">
        <v>-18.899999999999999</v>
      </c>
      <c r="AC33" s="397">
        <f>IFERROR(VLOOKUP($G33,基本資料!$A:$M,12,0),"無")</f>
        <v>22.64</v>
      </c>
      <c r="AD33" s="16" t="s">
        <v>2058</v>
      </c>
      <c r="AG33" s="33"/>
      <c r="AH33" s="81">
        <v>2</v>
      </c>
      <c r="AI33" s="41"/>
      <c r="AJ33" s="221">
        <f>X33*AH33*1000</f>
        <v>65000</v>
      </c>
      <c r="AK33" s="16" t="s">
        <v>2058</v>
      </c>
      <c r="AL33" s="63">
        <f>AM33/(A33*10000)</f>
        <v>6.7948717948717945E-4</v>
      </c>
      <c r="AM33" s="284">
        <f>RTD("money.excel",,"3713","PredictVolume")</f>
        <v>53</v>
      </c>
      <c r="AN33" s="44">
        <v>2.37</v>
      </c>
      <c r="AP33" s="275">
        <f>RTD("money.excel",,"3713","VolumeStrength")</f>
        <v>-69</v>
      </c>
      <c r="AQ33" s="40">
        <f>RTD("money.excel",,"3713","ChangePercent")</f>
        <v>-1.6641452344931922</v>
      </c>
    </row>
    <row r="34" spans="1:43">
      <c r="A34" s="347">
        <f>IFERROR(VLOOKUP($G34,基本資料!$A:$J,3,0),"無")</f>
        <v>37.86</v>
      </c>
      <c r="B34" s="79">
        <f>IFERROR(VLOOKUP($G34,基本資料!$A:$J,4,0),"無")</f>
        <v>-3</v>
      </c>
      <c r="C34" s="79">
        <f>IFERROR(VLOOKUP($G34,基本資料!$A:$J,5,0),"無")</f>
        <v>-7</v>
      </c>
      <c r="D34" s="79">
        <f>IFERROR(VLOOKUP($G34,基本資料!$A:$J,6,0),"無")</f>
        <v>0</v>
      </c>
      <c r="E34" s="79">
        <f>IFERROR(VLOOKUP($G34,基本資料!$A:$J,7,0),"無")</f>
        <v>-12</v>
      </c>
      <c r="F34" s="6">
        <f>IFERROR(VLOOKUP($G34,基本資料!$A:$J,8,0),"無")</f>
        <v>10.82</v>
      </c>
      <c r="G34" s="80">
        <v>1309</v>
      </c>
      <c r="H34" s="5" t="s">
        <v>3329</v>
      </c>
      <c r="I34" s="22" t="s">
        <v>315</v>
      </c>
      <c r="J34" s="8">
        <f>IFERROR(VLOOKUP($G34,今日總結!$A:$AJ,35,0),"")</f>
        <v>0</v>
      </c>
      <c r="K34" s="5">
        <f>IFERROR(VLOOKUP($G34,今日總結!$A:$AJ,36,0),"")</f>
        <v>0</v>
      </c>
      <c r="L34" s="156">
        <f>IFERROR(VLOOKUP($G34,今日總結!$A:$AJ,33,0),"")</f>
        <v>0</v>
      </c>
      <c r="M34" s="340">
        <f>IFERROR(VLOOKUP($G34,今日總結!$A:$AJ,34,0),"")</f>
        <v>1</v>
      </c>
      <c r="N34" s="240">
        <f t="shared" si="23"/>
        <v>-1</v>
      </c>
      <c r="P34" s="365">
        <f>IFERROR(VLOOKUP($G34,融外自投!$A:$J,7,0),"無")</f>
        <v>828</v>
      </c>
      <c r="Q34" s="79">
        <f>IFERROR(VLOOKUP($G34,融外自投!$A:$J,9,0),"無")</f>
        <v>350</v>
      </c>
      <c r="R34" s="346">
        <f>IFERROR(VLOOKUP($G34,融外自投!$A:$J,8,0),"無")</f>
        <v>984</v>
      </c>
      <c r="S34" s="81">
        <f>IFERROR(VLOOKUP($G34,融外自投!$A:$J,10,0),"無")</f>
        <v>491</v>
      </c>
      <c r="T34" s="327">
        <f>IFERROR(VLOOKUP($G34,'321買'!$A:$E,5,0),"'沒有資料'")</f>
        <v>894</v>
      </c>
      <c r="U34" s="186">
        <f>IFERROR(VLOOKUP($G34,基本資料!$A:$J,9,0),"無")</f>
        <v>2.5</v>
      </c>
      <c r="V34" s="310">
        <f>$U34/$X34</f>
        <v>8.9285714285714288E-2</v>
      </c>
      <c r="W34" s="94">
        <f>IFERROR(VLOOKUP($G34,基本資料!$A:$J,10,0),"無")</f>
        <v>4.8899999999999997</v>
      </c>
      <c r="X34" s="36">
        <f>RTD("money.excel",,"1309","Price")</f>
        <v>28</v>
      </c>
      <c r="Y34" s="66">
        <v>35.549999999999997</v>
      </c>
      <c r="Z34" s="15">
        <f>X34-Y34</f>
        <v>-7.5499999999999972</v>
      </c>
      <c r="AA34" s="76">
        <f>Z34/Y34</f>
        <v>-0.21237693389592119</v>
      </c>
      <c r="AB34" s="344">
        <v>-19.27</v>
      </c>
      <c r="AC34" s="397">
        <f>IFERROR(VLOOKUP($G34,基本資料!$A:$M,12,0),"無")</f>
        <v>18.190000000000001</v>
      </c>
      <c r="AD34" s="22" t="s">
        <v>315</v>
      </c>
      <c r="AF34" s="83">
        <v>44690</v>
      </c>
      <c r="AG34" s="33"/>
      <c r="AH34" s="81">
        <v>1</v>
      </c>
      <c r="AI34" s="60"/>
      <c r="AJ34" s="221">
        <f>X34*AH34*1000</f>
        <v>28000</v>
      </c>
      <c r="AK34" s="22" t="s">
        <v>315</v>
      </c>
      <c r="AL34" s="63">
        <f>AM34/(A34*10000)</f>
        <v>1.6930797675647122E-3</v>
      </c>
      <c r="AM34" s="284">
        <f>RTD("money.excel",,"1309","PredictVolume")</f>
        <v>641</v>
      </c>
      <c r="AN34" s="44">
        <v>37.53</v>
      </c>
      <c r="AP34" s="275">
        <f>RTD("money.excel",,"1309","VolumeStrength")</f>
        <v>-54</v>
      </c>
      <c r="AQ34" s="40">
        <f>RTD("money.excel",,"1309","ChangePercent")</f>
        <v>-2.4390243902439024</v>
      </c>
    </row>
    <row r="35" spans="1:43">
      <c r="A35" s="347">
        <f>IFERROR(VLOOKUP($G35,基本資料!$A:$J,3,0),"無")</f>
        <v>10.95</v>
      </c>
      <c r="B35" s="79">
        <f>IFERROR(VLOOKUP($G35,基本資料!$A:$J,4,0),"無")</f>
        <v>734</v>
      </c>
      <c r="C35" s="79">
        <f>IFERROR(VLOOKUP($G35,基本資料!$A:$J,5,0),"無")</f>
        <v>429</v>
      </c>
      <c r="D35" s="79">
        <f>IFERROR(VLOOKUP($G35,基本資料!$A:$J,6,0),"無")</f>
        <v>74</v>
      </c>
      <c r="E35" s="79">
        <f>IFERROR(VLOOKUP($G35,基本資料!$A:$J,7,0),"無")</f>
        <v>23</v>
      </c>
      <c r="F35" s="6">
        <f>IFERROR(VLOOKUP($G35,基本資料!$A:$J,8,0),"無")</f>
        <v>5.7</v>
      </c>
      <c r="G35" s="80">
        <v>3162</v>
      </c>
      <c r="H35" s="5" t="s">
        <v>3356</v>
      </c>
      <c r="I35" s="16" t="s">
        <v>531</v>
      </c>
      <c r="J35" s="8" t="str">
        <f>IFERROR(VLOOKUP($G35,今日總結!$A:$AJ,35,0),"")</f>
        <v/>
      </c>
      <c r="K35" s="5" t="str">
        <f>IFERROR(VLOOKUP($G35,今日總結!$A:$AJ,36,0),"")</f>
        <v/>
      </c>
      <c r="L35" s="156" t="str">
        <f>IFERROR(VLOOKUP($G35,今日總結!$A:$AJ,33,0),"")</f>
        <v/>
      </c>
      <c r="M35" s="340" t="str">
        <f>IFERROR(VLOOKUP($G35,今日總結!$A:$AJ,34,0),"")</f>
        <v/>
      </c>
      <c r="N35" s="240" t="str">
        <f t="shared" si="23"/>
        <v/>
      </c>
      <c r="P35" s="365">
        <f>IFERROR(VLOOKUP($G35,融外自投!$A:$J,7,0),"無")</f>
        <v>230</v>
      </c>
      <c r="Q35" s="79" t="str">
        <f>IFERROR(VLOOKUP($G35,融外自投!$A:$J,9,0),"無")</f>
        <v>無</v>
      </c>
      <c r="R35" s="346">
        <f>IFERROR(VLOOKUP($G35,融外自投!$A:$J,8,0),"無")</f>
        <v>74</v>
      </c>
      <c r="S35" s="81" t="str">
        <f>IFERROR(VLOOKUP($G35,融外自投!$A:$J,10,0),"無")</f>
        <v>無</v>
      </c>
      <c r="T35" s="327">
        <f>IFERROR(VLOOKUP($G35,'321買'!$A:$E,5,0),"'沒有資料'")</f>
        <v>292</v>
      </c>
      <c r="U35" s="186">
        <f>IFERROR(VLOOKUP($G35,基本資料!$A:$J,9,0),"無")</f>
        <v>0</v>
      </c>
      <c r="V35" s="310">
        <f t="shared" si="11"/>
        <v>0</v>
      </c>
      <c r="W35" s="94">
        <f>IFERROR(VLOOKUP($G35,基本資料!$A:$J,10,0),"無")</f>
        <v>0.82</v>
      </c>
      <c r="X35" s="36">
        <f>RTD("money.excel",,"3162","Price")</f>
        <v>36.549999999999997</v>
      </c>
      <c r="Y35" s="66">
        <v>46.2</v>
      </c>
      <c r="Z35" s="15">
        <f>X35-Y35</f>
        <v>-9.6500000000000057</v>
      </c>
      <c r="AA35" s="76">
        <f>Z35/Y35</f>
        <v>-0.20887445887445899</v>
      </c>
      <c r="AB35" s="344">
        <v>-21.75</v>
      </c>
      <c r="AC35" s="397">
        <f>IFERROR(VLOOKUP($G35,基本資料!$A:$M,12,0),"無")</f>
        <v>8.6199999999999992</v>
      </c>
      <c r="AD35" s="16" t="s">
        <v>531</v>
      </c>
      <c r="AG35" s="33"/>
      <c r="AH35" s="81">
        <v>1</v>
      </c>
      <c r="AI35" s="43"/>
      <c r="AJ35" s="221">
        <f t="shared" si="9"/>
        <v>36550</v>
      </c>
      <c r="AK35" s="16" t="s">
        <v>531</v>
      </c>
      <c r="AL35" s="63">
        <f t="shared" si="10"/>
        <v>5.2054794520547943E-4</v>
      </c>
      <c r="AM35" s="284">
        <f>RTD("money.excel",,"3162","PredictVolume")</f>
        <v>57</v>
      </c>
      <c r="AN35" s="44">
        <v>6.96</v>
      </c>
      <c r="AP35" s="275">
        <f>RTD("money.excel",,"3162","VolumeStrength")</f>
        <v>-38</v>
      </c>
      <c r="AQ35" s="40">
        <f>RTD("money.excel",,"3162","ChangePercent")</f>
        <v>1.1065006915629323</v>
      </c>
    </row>
    <row r="36" spans="1:43" ht="17.25" customHeight="1">
      <c r="A36" s="347">
        <f>IFERROR(VLOOKUP($G36,基本資料!$A:$J,3,0),"無")</f>
        <v>19.52</v>
      </c>
      <c r="B36" s="79">
        <f>IFERROR(VLOOKUP($G36,基本資料!$A:$J,4,0),"無")</f>
        <v>-19</v>
      </c>
      <c r="C36" s="79">
        <f>IFERROR(VLOOKUP($G36,基本資料!$A:$J,5,0),"無")</f>
        <v>-22</v>
      </c>
      <c r="D36" s="79">
        <f>IFERROR(VLOOKUP($G36,基本資料!$A:$J,6,0),"無")</f>
        <v>-46</v>
      </c>
      <c r="E36" s="79">
        <f>IFERROR(VLOOKUP($G36,基本資料!$A:$J,7,0),"無")</f>
        <v>-42</v>
      </c>
      <c r="F36" s="6">
        <f>IFERROR(VLOOKUP($G36,基本資料!$A:$J,8,0),"無")</f>
        <v>6.43</v>
      </c>
      <c r="G36" s="80">
        <v>2387</v>
      </c>
      <c r="H36" s="192" t="s">
        <v>1146</v>
      </c>
      <c r="I36" s="22" t="s">
        <v>6110</v>
      </c>
      <c r="J36" s="8" t="str">
        <f>IFERROR(VLOOKUP($G36,今日總結!$A:$AJ,35,0),"")</f>
        <v/>
      </c>
      <c r="K36" s="5" t="str">
        <f>IFERROR(VLOOKUP($G36,今日總結!$A:$AJ,36,0),"")</f>
        <v/>
      </c>
      <c r="L36" s="156" t="str">
        <f>IFERROR(VLOOKUP($G36,今日總結!$A:$AJ,33,0),"")</f>
        <v/>
      </c>
      <c r="M36" s="340" t="str">
        <f>IFERROR(VLOOKUP($G36,今日總結!$A:$AJ,34,0),"")</f>
        <v/>
      </c>
      <c r="N36" s="240" t="str">
        <f t="shared" ref="N36:N39" si="24">IFERROR(L36-M36,"")</f>
        <v/>
      </c>
      <c r="P36" s="365">
        <f>IFERROR(VLOOKUP($G36,融外自投!$A:$J,7,0),"無")</f>
        <v>599</v>
      </c>
      <c r="Q36" s="79">
        <f>IFERROR(VLOOKUP($G36,融外自投!$A:$J,9,0),"無")</f>
        <v>614</v>
      </c>
      <c r="R36" s="346">
        <f>IFERROR(VLOOKUP($G36,融外自投!$A:$J,8,0),"無")</f>
        <v>1041</v>
      </c>
      <c r="S36" s="81">
        <f>IFERROR(VLOOKUP($G36,融外自投!$A:$J,10,0),"無")</f>
        <v>151</v>
      </c>
      <c r="T36" s="327">
        <f>IFERROR(VLOOKUP($G36,'321買'!$A:$E,5,0),"'沒有資料'")</f>
        <v>729</v>
      </c>
      <c r="U36" s="186">
        <f>IFERROR(VLOOKUP($G36,基本資料!$A:$J,9,0),"無")</f>
        <v>3</v>
      </c>
      <c r="V36" s="310">
        <f t="shared" si="11"/>
        <v>8.4507042253521125E-2</v>
      </c>
      <c r="W36" s="94">
        <f>IFERROR(VLOOKUP($G36,基本資料!$A:$J,10,0),"無")</f>
        <v>5.31</v>
      </c>
      <c r="X36" s="36">
        <f>RTD("money.excel",,"2387","Price")</f>
        <v>35.5</v>
      </c>
      <c r="Y36" s="66">
        <f>51.9-2</f>
        <v>49.9</v>
      </c>
      <c r="Z36" s="15">
        <f t="shared" si="7"/>
        <v>-14.399999999999999</v>
      </c>
      <c r="AA36" s="76">
        <f t="shared" si="8"/>
        <v>-0.28857715430861719</v>
      </c>
      <c r="AB36" s="344">
        <v>-27.35</v>
      </c>
      <c r="AC36" s="397">
        <f>IFERROR(VLOOKUP($G36,基本資料!$A:$M,12,0),"無")</f>
        <v>15.34</v>
      </c>
      <c r="AD36" s="22" t="s">
        <v>234</v>
      </c>
      <c r="AG36" s="5"/>
      <c r="AH36" s="81">
        <v>1</v>
      </c>
      <c r="AI36" s="41"/>
      <c r="AJ36" s="221">
        <f t="shared" si="9"/>
        <v>35500</v>
      </c>
      <c r="AK36" s="22" t="s">
        <v>234</v>
      </c>
      <c r="AL36" s="63">
        <f t="shared" si="10"/>
        <v>2.9098360655737707E-3</v>
      </c>
      <c r="AM36" s="284">
        <f>RTD("money.excel",,"2387","PredictVolume")</f>
        <v>568</v>
      </c>
      <c r="AN36" s="44">
        <v>8.2799999999999994</v>
      </c>
      <c r="AP36" s="275">
        <f>RTD("money.excel",,"2387","VolumeStrength")</f>
        <v>-25</v>
      </c>
      <c r="AQ36" s="40">
        <f>RTD("money.excel",,"2387","ChangePercent")</f>
        <v>-2.0689655172413794</v>
      </c>
    </row>
    <row r="37" spans="1:43">
      <c r="A37" s="347">
        <f>IFERROR(VLOOKUP($G37,基本資料!$A:$J,3,0),"無")</f>
        <v>3.67</v>
      </c>
      <c r="B37" s="79">
        <f>IFERROR(VLOOKUP($G37,基本資料!$A:$J,4,0),"無")</f>
        <v>-39</v>
      </c>
      <c r="C37" s="79">
        <f>IFERROR(VLOOKUP($G37,基本資料!$A:$J,5,0),"無")</f>
        <v>-41</v>
      </c>
      <c r="D37" s="79">
        <f>IFERROR(VLOOKUP($G37,基本資料!$A:$J,6,0),"無")</f>
        <v>-4</v>
      </c>
      <c r="E37" s="79">
        <f>IFERROR(VLOOKUP($G37,基本資料!$A:$J,7,0),"無")</f>
        <v>-71</v>
      </c>
      <c r="F37" s="6">
        <f>IFERROR(VLOOKUP($G37,基本資料!$A:$J,8,0),"無")</f>
        <v>16.8</v>
      </c>
      <c r="G37" s="80">
        <v>4735</v>
      </c>
      <c r="H37" s="5" t="s">
        <v>4726</v>
      </c>
      <c r="I37" s="16" t="s">
        <v>617</v>
      </c>
      <c r="J37" s="8">
        <f>IFERROR(VLOOKUP($G37,今日總結!$A:$AJ,35,0),"")</f>
        <v>0</v>
      </c>
      <c r="K37" s="5">
        <f>IFERROR(VLOOKUP($G37,今日總結!$A:$AJ,36,0),"")</f>
        <v>0</v>
      </c>
      <c r="L37" s="156">
        <f>IFERROR(VLOOKUP($G37,今日總結!$A:$AJ,33,0),"")</f>
        <v>0</v>
      </c>
      <c r="M37" s="340">
        <f>IFERROR(VLOOKUP($G37,今日總結!$A:$AJ,34,0),"")</f>
        <v>1</v>
      </c>
      <c r="N37" s="240">
        <f t="shared" si="24"/>
        <v>-1</v>
      </c>
      <c r="P37" s="365">
        <f>IFERROR(VLOOKUP($G37,融外自投!$A:$J,7,0),"無")</f>
        <v>724</v>
      </c>
      <c r="Q37" s="79">
        <f>IFERROR(VLOOKUP($G37,融外自投!$A:$J,9,0),"無")</f>
        <v>391</v>
      </c>
      <c r="R37" s="346">
        <f>IFERROR(VLOOKUP($G37,融外自投!$A:$J,8,0),"無")</f>
        <v>1282</v>
      </c>
      <c r="S37" s="81" t="str">
        <f>IFERROR(VLOOKUP($G37,融外自投!$A:$J,10,0),"無")</f>
        <v>無</v>
      </c>
      <c r="T37" s="327">
        <f>IFERROR(VLOOKUP($G37,'321買'!$A:$E,5,0),"'沒有資料'")</f>
        <v>894</v>
      </c>
      <c r="U37" s="186">
        <f>IFERROR(VLOOKUP($G37,基本資料!$A:$J,9,0),"無")</f>
        <v>6.2</v>
      </c>
      <c r="V37" s="310">
        <f>$U37/$X37</f>
        <v>0.15480649188514359</v>
      </c>
      <c r="W37" s="94">
        <f>IFERROR(VLOOKUP($G37,基本資料!$A:$J,10,0),"無")</f>
        <v>8.65</v>
      </c>
      <c r="X37" s="36">
        <f>RTD("money.excel",,"4735","Price")</f>
        <v>40.049999999999997</v>
      </c>
      <c r="Y37" s="217">
        <f>71.1-2.5-1.2-1</f>
        <v>66.399999999999991</v>
      </c>
      <c r="Z37" s="15">
        <f>X37-Y37</f>
        <v>-26.349999999999994</v>
      </c>
      <c r="AA37" s="76">
        <f>Z37/Y37</f>
        <v>-0.3968373493975903</v>
      </c>
      <c r="AB37" s="344">
        <v>-39.01</v>
      </c>
      <c r="AC37" s="397">
        <f>IFERROR(VLOOKUP($G37,基本資料!$A:$M,12,0),"無")</f>
        <v>5.49</v>
      </c>
      <c r="AD37" s="16" t="s">
        <v>617</v>
      </c>
      <c r="AG37" s="33"/>
      <c r="AH37" s="81">
        <v>3</v>
      </c>
      <c r="AI37" s="79">
        <v>1</v>
      </c>
      <c r="AJ37" s="221">
        <f>X37*AH37*1000</f>
        <v>120149.99999999999</v>
      </c>
      <c r="AK37" s="16" t="s">
        <v>617</v>
      </c>
      <c r="AL37" s="63">
        <f>AM37/(A37*10000)</f>
        <v>2.425068119891008E-3</v>
      </c>
      <c r="AM37" s="284">
        <f>RTD("money.excel",,"4735","PredictVolume")</f>
        <v>89</v>
      </c>
      <c r="AN37" s="404">
        <v>52.6</v>
      </c>
      <c r="AP37" s="275">
        <f>RTD("money.excel",,"4735","VolumeStrength")</f>
        <v>-41</v>
      </c>
      <c r="AQ37" s="40">
        <f>RTD("money.excel",,"4735","ChangePercent")</f>
        <v>-1.1111111111111112</v>
      </c>
    </row>
    <row r="38" spans="1:43">
      <c r="A38" s="347">
        <f>IFERROR(VLOOKUP($G38,基本資料!$A:$J,3,0),"無")</f>
        <v>9.39</v>
      </c>
      <c r="B38" s="79">
        <f>IFERROR(VLOOKUP($G38,基本資料!$A:$J,4,0),"無")</f>
        <v>-94</v>
      </c>
      <c r="C38" s="79">
        <f>IFERROR(VLOOKUP($G38,基本資料!$A:$J,5,0),"無")</f>
        <v>-71</v>
      </c>
      <c r="D38" s="79">
        <f>IFERROR(VLOOKUP($G38,基本資料!$A:$J,6,0),"無")</f>
        <v>-80</v>
      </c>
      <c r="E38" s="79">
        <f>IFERROR(VLOOKUP($G38,基本資料!$A:$J,7,0),"無")</f>
        <v>-88</v>
      </c>
      <c r="F38" s="6">
        <f>IFERROR(VLOOKUP($G38,基本資料!$A:$J,8,0),"無")</f>
        <v>1.72</v>
      </c>
      <c r="G38" s="80">
        <v>6558</v>
      </c>
      <c r="H38" s="5" t="s">
        <v>314</v>
      </c>
      <c r="I38" s="22" t="s">
        <v>6170</v>
      </c>
      <c r="J38" s="8" t="str">
        <f>IFERROR(VLOOKUP($G38,今日總結!$A:$AJ,35,0),"")</f>
        <v/>
      </c>
      <c r="K38" s="5" t="str">
        <f>IFERROR(VLOOKUP($G38,今日總結!$A:$AJ,36,0),"")</f>
        <v/>
      </c>
      <c r="L38" s="156" t="str">
        <f>IFERROR(VLOOKUP($G38,今日總結!$A:$AJ,33,0),"")</f>
        <v/>
      </c>
      <c r="M38" s="340" t="str">
        <f>IFERROR(VLOOKUP($G38,今日總結!$A:$AJ,34,0),"")</f>
        <v/>
      </c>
      <c r="N38" s="240" t="str">
        <f t="shared" si="24"/>
        <v/>
      </c>
      <c r="P38" s="365">
        <f>IFERROR(VLOOKUP($G38,融外自投!$A:$J,7,0),"無")</f>
        <v>438</v>
      </c>
      <c r="Q38" s="79">
        <f>IFERROR(VLOOKUP($G38,融外自投!$A:$J,9,0),"無")</f>
        <v>1051</v>
      </c>
      <c r="R38" s="346">
        <f>IFERROR(VLOOKUP($G38,融外自投!$A:$J,8,0),"無")</f>
        <v>1032</v>
      </c>
      <c r="S38" s="81" t="str">
        <f>IFERROR(VLOOKUP($G38,融外自投!$A:$J,10,0),"無")</f>
        <v>無</v>
      </c>
      <c r="T38" s="327">
        <f>IFERROR(VLOOKUP($G38,'321買'!$A:$E,5,0),"'沒有資料'")</f>
        <v>710</v>
      </c>
      <c r="U38" s="186">
        <f>IFERROR(VLOOKUP($G38,基本資料!$A:$J,9,0),"無")</f>
        <v>0</v>
      </c>
      <c r="V38" s="310">
        <f>$U38/$X38</f>
        <v>0</v>
      </c>
      <c r="W38" s="94">
        <f>IFERROR(VLOOKUP($G38,基本資料!$A:$J,10,0),"無")</f>
        <v>0.04</v>
      </c>
      <c r="X38" s="36">
        <f>RTD("money.excel",,"6558","Price")</f>
        <v>23.1</v>
      </c>
      <c r="Y38" s="66">
        <f>39.1-0.3</f>
        <v>38.800000000000004</v>
      </c>
      <c r="Z38" s="15">
        <f>X38-Y38</f>
        <v>-15.700000000000003</v>
      </c>
      <c r="AA38" s="76">
        <f>Z38/Y38</f>
        <v>-0.40463917525773196</v>
      </c>
      <c r="AB38" s="344">
        <v>-39.69</v>
      </c>
      <c r="AC38" s="397">
        <f>IFERROR(VLOOKUP($G38,基本資料!$A:$M,12,0),"無")</f>
        <v>8.4600000000000009</v>
      </c>
      <c r="AD38" s="22" t="s">
        <v>1065</v>
      </c>
      <c r="AG38" s="33"/>
      <c r="AH38" s="81">
        <v>2</v>
      </c>
      <c r="AI38" s="41"/>
      <c r="AJ38" s="221">
        <f>X38*AH38*1000</f>
        <v>46200</v>
      </c>
      <c r="AK38" s="22" t="s">
        <v>1065</v>
      </c>
      <c r="AL38" s="63">
        <f>AM38/(A38*10000)</f>
        <v>7.5612353567625133E-4</v>
      </c>
      <c r="AM38" s="284">
        <f>RTD("money.excel",,"6558","PredictVolume")</f>
        <v>71</v>
      </c>
      <c r="AN38" s="44">
        <v>44.65</v>
      </c>
      <c r="AP38" s="275">
        <f>RTD("money.excel",,"6558","VolumeStrength")</f>
        <v>-67</v>
      </c>
      <c r="AQ38" s="40">
        <f>RTD("money.excel",,"6558","ChangePercent")</f>
        <v>-1.2820512820512822</v>
      </c>
    </row>
    <row r="39" spans="1:43">
      <c r="A39" s="347">
        <f>IFERROR(VLOOKUP($G39,基本資料!$A:$J,3,0),"無")</f>
        <v>13.41</v>
      </c>
      <c r="B39" s="79">
        <f>IFERROR(VLOOKUP($G39,基本資料!$A:$J,4,0),"無")</f>
        <v>-66</v>
      </c>
      <c r="C39" s="79">
        <f>IFERROR(VLOOKUP($G39,基本資料!$A:$J,5,0),"無")</f>
        <v>-57</v>
      </c>
      <c r="D39" s="79">
        <f>IFERROR(VLOOKUP($G39,基本資料!$A:$J,6,0),"無")</f>
        <v>15</v>
      </c>
      <c r="E39" s="79">
        <f>IFERROR(VLOOKUP($G39,基本資料!$A:$J,7,0),"無")</f>
        <v>-35</v>
      </c>
      <c r="F39" s="6">
        <f>IFERROR(VLOOKUP($G39,基本資料!$A:$J,8,0),"無")</f>
        <v>6.69</v>
      </c>
      <c r="G39" s="80">
        <v>1598</v>
      </c>
      <c r="H39" s="5" t="s">
        <v>309</v>
      </c>
      <c r="I39" s="22" t="s">
        <v>627</v>
      </c>
      <c r="J39" s="8" t="str">
        <f>IFERROR(VLOOKUP($G39,今日總結!$A:$AJ,35,0),"")</f>
        <v/>
      </c>
      <c r="K39" s="5" t="str">
        <f>IFERROR(VLOOKUP($G39,今日總結!$A:$AJ,36,0),"")</f>
        <v/>
      </c>
      <c r="L39" s="156" t="str">
        <f>IFERROR(VLOOKUP($G39,今日總結!$A:$AJ,33,0),"")</f>
        <v/>
      </c>
      <c r="M39" s="340" t="str">
        <f>IFERROR(VLOOKUP($G39,今日總結!$A:$AJ,34,0),"")</f>
        <v/>
      </c>
      <c r="N39" s="240" t="str">
        <f t="shared" si="24"/>
        <v/>
      </c>
      <c r="P39" s="365">
        <f>IFERROR(VLOOKUP($G39,融外自投!$A:$J,7,0),"無")</f>
        <v>439</v>
      </c>
      <c r="Q39" s="79">
        <f>IFERROR(VLOOKUP($G39,融外自投!$A:$J,9,0),"無")</f>
        <v>459</v>
      </c>
      <c r="R39" s="346">
        <f>IFERROR(VLOOKUP($G39,融外自投!$A:$J,8,0),"無")</f>
        <v>824</v>
      </c>
      <c r="S39" s="81">
        <f>IFERROR(VLOOKUP($G39,融外自投!$A:$J,10,0),"無")</f>
        <v>491</v>
      </c>
      <c r="T39" s="327">
        <f>IFERROR(VLOOKUP($G39,'321買'!$A:$E,5,0),"'沒有資料'")</f>
        <v>1099</v>
      </c>
      <c r="U39" s="186">
        <f>IFERROR(VLOOKUP($G39,基本資料!$A:$J,9,0),"無")</f>
        <v>2.5</v>
      </c>
      <c r="V39" s="310">
        <f t="shared" si="11"/>
        <v>6.2189054726368154E-2</v>
      </c>
      <c r="W39" s="94">
        <f>IFERROR(VLOOKUP($G39,基本資料!$A:$J,10,0),"無")</f>
        <v>3.48</v>
      </c>
      <c r="X39" s="36">
        <f>RTD("money.excel",,"1598","Price")</f>
        <v>40.200000000000003</v>
      </c>
      <c r="Y39" s="66">
        <f>89.4-7.47</f>
        <v>81.93</v>
      </c>
      <c r="Z39" s="15">
        <f t="shared" si="7"/>
        <v>-41.730000000000004</v>
      </c>
      <c r="AA39" s="76">
        <f t="shared" si="8"/>
        <v>-0.50933723910655437</v>
      </c>
      <c r="AB39" s="344">
        <v>-51.24</v>
      </c>
      <c r="AC39" s="397">
        <f>IFERROR(VLOOKUP($G39,基本資料!$A:$M,12,0),"無")</f>
        <v>14.56</v>
      </c>
      <c r="AD39" s="22" t="s">
        <v>627</v>
      </c>
      <c r="AG39" s="33"/>
      <c r="AH39" s="81">
        <v>4</v>
      </c>
      <c r="AI39" s="79">
        <v>2</v>
      </c>
      <c r="AJ39" s="221">
        <f t="shared" si="9"/>
        <v>160800</v>
      </c>
      <c r="AK39" s="22" t="s">
        <v>627</v>
      </c>
      <c r="AL39" s="63">
        <f t="shared" si="10"/>
        <v>1.7598806860551826E-3</v>
      </c>
      <c r="AM39" s="284">
        <f>RTD("money.excel",,"1598","PredictVolume")</f>
        <v>236</v>
      </c>
      <c r="AN39" s="44">
        <v>13.66</v>
      </c>
      <c r="AP39" s="275">
        <f>RTD("money.excel",,"1598","VolumeStrength")</f>
        <v>25</v>
      </c>
      <c r="AQ39" s="40">
        <f>RTD("money.excel",,"1598","ChangePercent")</f>
        <v>0.62578222778473092</v>
      </c>
    </row>
    <row r="40" spans="1:43" s="248" customFormat="1">
      <c r="A40" s="127"/>
      <c r="B40" s="90"/>
      <c r="C40" s="90"/>
      <c r="D40" s="80"/>
      <c r="E40" s="80"/>
      <c r="F40" s="8"/>
      <c r="G40" s="27"/>
      <c r="H40" s="8"/>
      <c r="I40" s="153"/>
      <c r="J40" s="8"/>
      <c r="K40" s="5"/>
      <c r="L40" s="156"/>
      <c r="M40" s="340"/>
      <c r="N40" s="240"/>
      <c r="P40" s="89"/>
      <c r="Q40" s="293"/>
      <c r="R40" s="354"/>
      <c r="S40" s="26"/>
      <c r="T40" s="321"/>
      <c r="U40" s="291"/>
      <c r="V40" s="308"/>
      <c r="X40" s="166"/>
      <c r="AB40" s="349"/>
      <c r="AC40" s="382"/>
      <c r="AD40" s="281"/>
      <c r="AE40" s="55"/>
      <c r="AF40" s="304"/>
      <c r="AG40" s="336"/>
      <c r="AH40" s="50"/>
      <c r="AI40" s="237" t="s">
        <v>3359</v>
      </c>
      <c r="AJ40" s="222">
        <f>SUM(AJ16:AJ39)</f>
        <v>2784700</v>
      </c>
      <c r="AK40" s="153"/>
      <c r="AL40" s="63"/>
      <c r="AM40" s="284"/>
      <c r="AN40" s="22"/>
      <c r="AO40" s="127"/>
      <c r="AP40" s="16"/>
      <c r="AQ40" s="342"/>
    </row>
    <row r="41" spans="1:43" s="248" customFormat="1">
      <c r="A41" s="46"/>
      <c r="B41" s="90"/>
      <c r="C41" s="90"/>
      <c r="D41" s="80"/>
      <c r="E41" s="80"/>
      <c r="F41" s="8"/>
      <c r="G41" s="27"/>
      <c r="H41" s="8"/>
      <c r="I41" s="153"/>
      <c r="J41" s="8"/>
      <c r="K41" s="5"/>
      <c r="L41" s="337"/>
      <c r="M41" s="338"/>
      <c r="N41" s="339"/>
      <c r="P41" s="89"/>
      <c r="Q41" s="293"/>
      <c r="R41" s="354"/>
      <c r="S41" s="26"/>
      <c r="T41" s="321"/>
      <c r="U41" s="230"/>
      <c r="V41" s="308"/>
      <c r="AB41" s="349"/>
      <c r="AC41" s="382"/>
      <c r="AG41" s="336"/>
      <c r="AH41" s="8"/>
      <c r="AI41" s="238" t="s">
        <v>3331</v>
      </c>
      <c r="AJ41" s="223">
        <f>AJ40+AJ15</f>
        <v>4384756</v>
      </c>
      <c r="AK41" s="153"/>
      <c r="AL41" s="63"/>
      <c r="AM41" s="284"/>
      <c r="AN41" s="22"/>
      <c r="AO41" s="127"/>
      <c r="AP41" s="336"/>
      <c r="AQ41" s="342"/>
    </row>
    <row r="42" spans="1:43">
      <c r="A42" s="46" t="s">
        <v>3357</v>
      </c>
      <c r="B42" s="79"/>
      <c r="C42" s="79"/>
      <c r="D42" s="79"/>
      <c r="E42" s="79"/>
      <c r="F42" s="6"/>
      <c r="G42" s="41"/>
      <c r="H42" s="69"/>
      <c r="I42" s="22"/>
      <c r="L42" s="123"/>
      <c r="W42" s="19" t="s">
        <v>1497</v>
      </c>
      <c r="X42" s="69" t="s">
        <v>3230</v>
      </c>
      <c r="Y42" s="66"/>
      <c r="Z42" s="15"/>
      <c r="AD42" s="22"/>
      <c r="AE42" s="277"/>
      <c r="AH42" s="33"/>
      <c r="AI42" s="43"/>
      <c r="AJ42" s="123"/>
      <c r="AK42" s="245"/>
      <c r="AL42" s="134"/>
      <c r="AM42" s="285"/>
    </row>
    <row r="43" spans="1:43">
      <c r="A43" s="46" t="s">
        <v>3424</v>
      </c>
      <c r="B43" s="92"/>
      <c r="C43" s="92"/>
      <c r="D43" s="79"/>
      <c r="E43" s="80"/>
      <c r="F43" s="69"/>
      <c r="H43" s="69"/>
      <c r="I43" s="16"/>
      <c r="L43" s="123"/>
      <c r="U43" s="198"/>
      <c r="X43" s="2" t="s">
        <v>3231</v>
      </c>
      <c r="AD43" s="22"/>
      <c r="AF43" s="221"/>
      <c r="AH43" s="33"/>
      <c r="AI43" s="348">
        <v>1</v>
      </c>
      <c r="AJ43" s="221">
        <f>AJ10+AF46</f>
        <v>1137280</v>
      </c>
      <c r="AK43" s="16"/>
      <c r="AL43" s="305"/>
    </row>
    <row r="44" spans="1:43">
      <c r="A44" s="46" t="s">
        <v>3425</v>
      </c>
      <c r="B44" s="92"/>
      <c r="C44" s="79"/>
      <c r="D44" s="79"/>
      <c r="E44" s="79"/>
      <c r="F44" s="6"/>
      <c r="H44" s="69"/>
      <c r="I44" s="155"/>
      <c r="L44" s="123"/>
      <c r="U44" s="198"/>
      <c r="X44" s="2" t="s">
        <v>3232</v>
      </c>
      <c r="Y44" s="66"/>
      <c r="Z44" s="15"/>
      <c r="AD44" s="16"/>
      <c r="AF44" s="221"/>
      <c r="AH44" s="33"/>
      <c r="AI44" s="348">
        <v>2</v>
      </c>
      <c r="AJ44" s="221">
        <f>AJ10+AF47</f>
        <v>1208581</v>
      </c>
      <c r="AK44" s="16"/>
    </row>
    <row r="45" spans="1:43">
      <c r="A45" s="195" t="s">
        <v>3527</v>
      </c>
      <c r="B45" s="92"/>
      <c r="C45" s="79"/>
      <c r="D45" s="79"/>
      <c r="E45" s="79"/>
      <c r="F45" s="8"/>
      <c r="H45" s="42"/>
      <c r="I45" s="16"/>
      <c r="L45" s="163"/>
      <c r="M45" s="248"/>
      <c r="N45" s="342"/>
      <c r="U45" s="198"/>
      <c r="X45" s="2" t="s">
        <v>3233</v>
      </c>
      <c r="AD45" s="16"/>
      <c r="AF45" s="221"/>
      <c r="AH45" s="33"/>
      <c r="AI45" s="348">
        <v>3</v>
      </c>
      <c r="AJ45" s="221">
        <f>AJ10+AF43</f>
        <v>1208581</v>
      </c>
      <c r="AK45" s="16"/>
    </row>
    <row r="46" spans="1:43">
      <c r="B46" s="90"/>
      <c r="C46" s="90"/>
      <c r="D46" s="90"/>
      <c r="E46" s="90"/>
      <c r="F46" s="8"/>
      <c r="H46" s="42"/>
      <c r="I46" s="82"/>
      <c r="L46" s="123"/>
      <c r="U46" s="198"/>
      <c r="X46" s="2" t="s">
        <v>3234</v>
      </c>
      <c r="AD46" s="16"/>
      <c r="AF46" s="221">
        <v>-71301</v>
      </c>
      <c r="AH46" s="33"/>
      <c r="AI46" s="348">
        <v>4</v>
      </c>
      <c r="AJ46" s="221">
        <f>AJ10+AF44</f>
        <v>1208581</v>
      </c>
      <c r="AK46" s="82"/>
    </row>
    <row r="47" spans="1:43">
      <c r="B47" s="90"/>
      <c r="C47" s="90"/>
      <c r="D47" s="90"/>
      <c r="E47" s="90"/>
      <c r="F47" s="8"/>
      <c r="G47" s="46"/>
      <c r="H47" s="42"/>
      <c r="I47" s="82"/>
      <c r="L47" s="123"/>
      <c r="Q47" s="293"/>
      <c r="T47" s="321"/>
      <c r="U47" s="132"/>
      <c r="W47" s="69"/>
      <c r="X47" s="42"/>
      <c r="Y47" s="203"/>
      <c r="Z47" s="69"/>
      <c r="AF47" s="221"/>
      <c r="AH47" s="33"/>
      <c r="AI47" s="348">
        <v>5</v>
      </c>
      <c r="AJ47" s="221">
        <f>AJ10+AF45</f>
        <v>1208581</v>
      </c>
      <c r="AK47" s="82"/>
      <c r="AL47" s="289"/>
    </row>
    <row r="48" spans="1:43">
      <c r="B48" s="90"/>
      <c r="C48" s="90"/>
      <c r="D48" s="90"/>
      <c r="E48" s="90"/>
      <c r="F48" s="8"/>
      <c r="G48" s="46"/>
      <c r="H48" s="42"/>
      <c r="I48" s="82"/>
      <c r="L48" s="123"/>
      <c r="Q48" s="293"/>
      <c r="T48" s="321"/>
      <c r="U48" s="132"/>
      <c r="W48" s="69"/>
      <c r="X48" s="42"/>
      <c r="Y48" s="203"/>
      <c r="Z48" s="69"/>
      <c r="AF48" s="221"/>
      <c r="AH48" s="33"/>
      <c r="AI48" s="348"/>
      <c r="AJ48" s="221"/>
      <c r="AK48" s="82"/>
      <c r="AL48" s="289"/>
    </row>
    <row r="49" spans="1:43" s="248" customFormat="1">
      <c r="A49" s="127" t="s">
        <v>1673</v>
      </c>
      <c r="B49" s="90" t="s">
        <v>1572</v>
      </c>
      <c r="C49" s="90" t="s">
        <v>1573</v>
      </c>
      <c r="D49" s="90" t="s">
        <v>1574</v>
      </c>
      <c r="E49" s="90" t="s">
        <v>1575</v>
      </c>
      <c r="F49" s="8" t="s">
        <v>1060</v>
      </c>
      <c r="G49" s="89" t="s">
        <v>3442</v>
      </c>
      <c r="H49" s="272" t="s">
        <v>320</v>
      </c>
      <c r="I49" s="50" t="s">
        <v>6419</v>
      </c>
      <c r="J49" s="8" t="s">
        <v>6221</v>
      </c>
      <c r="K49" s="5" t="s">
        <v>6222</v>
      </c>
      <c r="L49" s="337" t="s">
        <v>6206</v>
      </c>
      <c r="M49" s="338" t="s">
        <v>6207</v>
      </c>
      <c r="N49" s="339" t="s">
        <v>6208</v>
      </c>
      <c r="O49" s="4" t="s">
        <v>6713</v>
      </c>
      <c r="P49" s="89" t="s">
        <v>6285</v>
      </c>
      <c r="Q49" s="293" t="s">
        <v>6284</v>
      </c>
      <c r="R49" s="354" t="s">
        <v>6283</v>
      </c>
      <c r="S49" s="26" t="s">
        <v>6286</v>
      </c>
      <c r="T49" s="321" t="s">
        <v>4716</v>
      </c>
      <c r="U49" s="10" t="s">
        <v>66</v>
      </c>
      <c r="V49" s="308" t="s">
        <v>4731</v>
      </c>
      <c r="W49" s="68" t="s">
        <v>3273</v>
      </c>
      <c r="X49" s="28" t="s">
        <v>2</v>
      </c>
      <c r="Y49" s="17" t="s">
        <v>1399</v>
      </c>
      <c r="Z49" s="14" t="s">
        <v>2250</v>
      </c>
      <c r="AA49" s="21" t="s">
        <v>3</v>
      </c>
      <c r="AB49" s="351" t="s">
        <v>6174</v>
      </c>
      <c r="AC49" s="102" t="s">
        <v>6420</v>
      </c>
      <c r="AD49" s="50" t="s">
        <v>6419</v>
      </c>
      <c r="AE49" s="71" t="s">
        <v>2254</v>
      </c>
      <c r="AF49" s="72" t="s">
        <v>1157</v>
      </c>
      <c r="AG49" s="32" t="s">
        <v>3284</v>
      </c>
      <c r="AI49" s="24" t="s">
        <v>6443</v>
      </c>
      <c r="AJ49" s="220"/>
      <c r="AK49" s="8"/>
      <c r="AL49" s="8"/>
      <c r="AM49" s="50"/>
      <c r="AN49" s="22"/>
      <c r="AO49" s="127"/>
      <c r="AP49" s="336"/>
      <c r="AQ49" s="342"/>
    </row>
    <row r="50" spans="1:43">
      <c r="A50" s="347">
        <f>IFERROR(VLOOKUP($G50,基本資料!$A:$J,3,0),"無")</f>
        <v>6.21</v>
      </c>
      <c r="B50" s="79">
        <f>IFERROR(VLOOKUP($G50,基本資料!$A:$J,4,0),"無")</f>
        <v>80</v>
      </c>
      <c r="C50" s="79">
        <f>IFERROR(VLOOKUP($G50,基本資料!$A:$J,5,0),"無")</f>
        <v>24</v>
      </c>
      <c r="D50" s="79">
        <f>IFERROR(VLOOKUP($G50,基本資料!$A:$J,6,0),"無")</f>
        <v>-48</v>
      </c>
      <c r="E50" s="79">
        <f>IFERROR(VLOOKUP($G50,基本資料!$A:$J,7,0),"無")</f>
        <v>-29</v>
      </c>
      <c r="F50" s="6">
        <f>IFERROR(VLOOKUP($G50,基本資料!$A:$J,8,0),"無")</f>
        <v>12.59</v>
      </c>
      <c r="G50" s="79">
        <v>3491</v>
      </c>
      <c r="H50" s="5" t="s">
        <v>311</v>
      </c>
      <c r="I50" s="16" t="s">
        <v>4368</v>
      </c>
      <c r="J50" s="8" t="s">
        <v>3543</v>
      </c>
      <c r="L50" s="156">
        <v>1</v>
      </c>
      <c r="M50" s="340">
        <v>0</v>
      </c>
      <c r="N50" s="240">
        <f t="shared" ref="N50:N54" si="25">L50-M50</f>
        <v>1</v>
      </c>
      <c r="P50" s="365">
        <f>IFERROR(VLOOKUP($G50,融外自投!$A:$J,7,0),"無")</f>
        <v>135</v>
      </c>
      <c r="Q50" s="79">
        <f>IFERROR(VLOOKUP($G50,融外自投!$A:$J,9,0),"無")</f>
        <v>222</v>
      </c>
      <c r="R50" s="346">
        <f>IFERROR(VLOOKUP($G50,融外自投!$A:$J,8,0),"無")</f>
        <v>405</v>
      </c>
      <c r="S50" s="81">
        <f>IFERROR(VLOOKUP($G50,融外自投!$A:$J,10,0),"無")</f>
        <v>123</v>
      </c>
      <c r="T50" s="327">
        <f>IFERROR(VLOOKUP($G50,'321買'!$A:$E,5,0),"'沒有資料'")</f>
        <v>52</v>
      </c>
      <c r="U50" s="186">
        <f>IFERROR(VLOOKUP($G50,基本資料!$A:$J,9,0),"無")</f>
        <v>4</v>
      </c>
      <c r="V50" s="310">
        <f t="shared" ref="V50:V51" si="26">$U50/$X50</f>
        <v>2.9629629629629631E-2</v>
      </c>
      <c r="W50" s="94">
        <f>IFERROR(VLOOKUP($G50,基本資料!$A:$J,10,0),"無")</f>
        <v>3.81</v>
      </c>
      <c r="X50" s="36">
        <f>RTD("money.excel",,"3491","Price")</f>
        <v>135</v>
      </c>
      <c r="Y50" s="66">
        <v>169.5</v>
      </c>
      <c r="Z50" s="15">
        <f t="shared" ref="Z50:Z54" si="27">X50-Y50</f>
        <v>-34.5</v>
      </c>
      <c r="AA50" s="3">
        <f t="shared" ref="AA50:AA54" si="28">Z50/Y50</f>
        <v>-0.20353982300884957</v>
      </c>
      <c r="AB50" s="344">
        <v>-24.24</v>
      </c>
      <c r="AC50" s="397">
        <f>IFERROR(VLOOKUP($G50,基本資料!$A:$M,12,0),"無")</f>
        <v>22.5</v>
      </c>
      <c r="AD50" s="16" t="s">
        <v>4368</v>
      </c>
      <c r="AE50" s="84">
        <v>44673</v>
      </c>
      <c r="AG50" s="33">
        <f t="shared" ref="AG50:AG54" si="29">AF50-AE50</f>
        <v>-44673</v>
      </c>
      <c r="AH50" s="117" t="s">
        <v>4369</v>
      </c>
      <c r="AI50" s="63">
        <f t="shared" ref="AI50:AI54" si="30">AJ50/(A50*10000)</f>
        <v>2.6586151368760063E-2</v>
      </c>
      <c r="AJ50" s="284">
        <f>RTD("money.excel",,$G50,"PredictVolume")</f>
        <v>1651</v>
      </c>
      <c r="AK50" s="302">
        <v>37.909999999999997</v>
      </c>
      <c r="AL50" s="279"/>
      <c r="AM50" s="245"/>
      <c r="AN50" s="245"/>
      <c r="AO50" s="245"/>
      <c r="AP50" s="245"/>
      <c r="AQ50" s="245"/>
    </row>
    <row r="51" spans="1:43">
      <c r="A51" s="347">
        <f>IFERROR(VLOOKUP($G51,基本資料!$A:$J,3,0),"無")</f>
        <v>8.06</v>
      </c>
      <c r="B51" s="79">
        <f>IFERROR(VLOOKUP($G51,基本資料!$A:$J,4,0),"無")</f>
        <v>146</v>
      </c>
      <c r="C51" s="79">
        <f>IFERROR(VLOOKUP($G51,基本資料!$A:$J,5,0),"無")</f>
        <v>356</v>
      </c>
      <c r="D51" s="79">
        <f>IFERROR(VLOOKUP($G51,基本資料!$A:$J,6,0),"無")</f>
        <v>-5</v>
      </c>
      <c r="E51" s="79">
        <f>IFERROR(VLOOKUP($G51,基本資料!$A:$J,7,0),"無")</f>
        <v>-8</v>
      </c>
      <c r="F51" s="6">
        <f>IFERROR(VLOOKUP($G51,基本資料!$A:$J,8,0),"無")</f>
        <v>35.82</v>
      </c>
      <c r="G51" s="80">
        <v>6531</v>
      </c>
      <c r="H51" s="5" t="s">
        <v>307</v>
      </c>
      <c r="I51" s="22" t="s">
        <v>354</v>
      </c>
      <c r="J51" s="102" t="s">
        <v>6242</v>
      </c>
      <c r="L51" s="156">
        <v>2</v>
      </c>
      <c r="M51" s="340">
        <v>0</v>
      </c>
      <c r="N51" s="240">
        <f t="shared" si="25"/>
        <v>2</v>
      </c>
      <c r="P51" s="365">
        <f>IFERROR(VLOOKUP($G51,融外自投!$A:$J,7,0),"無")</f>
        <v>112</v>
      </c>
      <c r="Q51" s="79">
        <f>IFERROR(VLOOKUP($G51,融外自投!$A:$J,9,0),"無")</f>
        <v>379</v>
      </c>
      <c r="R51" s="346">
        <f>IFERROR(VLOOKUP($G51,融外自投!$A:$J,8,0),"無")</f>
        <v>332</v>
      </c>
      <c r="S51" s="81">
        <f>IFERROR(VLOOKUP($G51,融外自投!$A:$J,10,0),"無")</f>
        <v>278</v>
      </c>
      <c r="T51" s="327">
        <f>IFERROR(VLOOKUP($G51,'321買'!$A:$E,5,0),"'沒有資料'")</f>
        <v>83</v>
      </c>
      <c r="U51" s="186">
        <f>IFERROR(VLOOKUP($G51,基本資料!$A:$J,9,0),"無")</f>
        <v>6</v>
      </c>
      <c r="V51" s="310">
        <f t="shared" si="26"/>
        <v>2.3300970873786409E-2</v>
      </c>
      <c r="W51" s="94">
        <f>IFERROR(VLOOKUP($G51,基本資料!$A:$J,10,0),"無")</f>
        <v>13.67</v>
      </c>
      <c r="X51" s="36">
        <f>RTD("money.excel",,"6531","Price")</f>
        <v>257.5</v>
      </c>
      <c r="Y51" s="66">
        <v>278</v>
      </c>
      <c r="Z51" s="15">
        <f t="shared" si="27"/>
        <v>-20.5</v>
      </c>
      <c r="AA51" s="3">
        <f t="shared" si="28"/>
        <v>-7.3741007194244604E-2</v>
      </c>
      <c r="AB51" s="344">
        <v>-65.66</v>
      </c>
      <c r="AC51" s="397">
        <f>IFERROR(VLOOKUP($G51,基本資料!$A:$M,12,0),"無")</f>
        <v>10.45</v>
      </c>
      <c r="AD51" s="22" t="s">
        <v>354</v>
      </c>
      <c r="AE51" s="84">
        <v>44672</v>
      </c>
      <c r="AG51" s="33">
        <f t="shared" si="29"/>
        <v>-44672</v>
      </c>
      <c r="AH51" s="43" t="s">
        <v>2129</v>
      </c>
      <c r="AI51" s="63">
        <f t="shared" si="30"/>
        <v>3.4466501240694787E-2</v>
      </c>
      <c r="AJ51" s="284">
        <f>RTD("money.excel",,$G51,"PredictVolume")</f>
        <v>2778</v>
      </c>
      <c r="AK51" s="302">
        <v>30.22</v>
      </c>
      <c r="AL51" s="279"/>
      <c r="AM51" s="245"/>
      <c r="AN51" s="245"/>
      <c r="AO51" s="245"/>
      <c r="AP51" s="245"/>
      <c r="AQ51" s="245"/>
    </row>
    <row r="52" spans="1:43">
      <c r="B52" s="79"/>
      <c r="C52" s="79"/>
      <c r="D52" s="79"/>
      <c r="E52" s="79"/>
      <c r="F52" s="57"/>
      <c r="G52" s="80"/>
      <c r="H52" s="5"/>
      <c r="I52" s="22"/>
      <c r="J52" s="102"/>
      <c r="L52" s="156"/>
      <c r="M52" s="340"/>
      <c r="N52" s="240"/>
      <c r="P52" s="365"/>
      <c r="Q52" s="79"/>
      <c r="R52" s="346"/>
      <c r="S52" s="81"/>
      <c r="T52" s="327"/>
      <c r="U52" s="45"/>
      <c r="V52" s="310"/>
      <c r="W52" s="94"/>
      <c r="X52" s="36"/>
      <c r="Y52" s="66"/>
      <c r="Z52" s="15"/>
      <c r="AA52" s="3"/>
      <c r="AB52" s="344"/>
      <c r="AC52" s="397"/>
      <c r="AD52" s="22"/>
      <c r="AG52" s="33"/>
      <c r="AH52" s="43"/>
      <c r="AI52" s="63"/>
      <c r="AJ52" s="284"/>
      <c r="AK52" s="302"/>
      <c r="AL52" s="279"/>
      <c r="AM52" s="245"/>
      <c r="AN52" s="245"/>
      <c r="AO52" s="245"/>
      <c r="AP52" s="245"/>
      <c r="AQ52" s="245"/>
    </row>
    <row r="53" spans="1:43">
      <c r="A53" s="347">
        <f>IFERROR(VLOOKUP($G53,基本資料!$A:$J,3,0),"無")</f>
        <v>24.18</v>
      </c>
      <c r="B53" s="79">
        <f>IFERROR(VLOOKUP($G53,基本資料!$A:$J,4,0),"無")</f>
        <v>28</v>
      </c>
      <c r="C53" s="79">
        <f>IFERROR(VLOOKUP($G53,基本資料!$A:$J,5,0),"無")</f>
        <v>26</v>
      </c>
      <c r="D53" s="79">
        <f>IFERROR(VLOOKUP($G53,基本資料!$A:$J,6,0),"無")</f>
        <v>-9</v>
      </c>
      <c r="E53" s="79">
        <f>IFERROR(VLOOKUP($G53,基本資料!$A:$J,7,0),"無")</f>
        <v>-1</v>
      </c>
      <c r="F53" s="6">
        <f>IFERROR(VLOOKUP($G53,基本資料!$A:$J,8,0),"無")</f>
        <v>11.69</v>
      </c>
      <c r="G53" s="80">
        <v>1477</v>
      </c>
      <c r="H53" s="8" t="s">
        <v>294</v>
      </c>
      <c r="I53" s="22" t="s">
        <v>125</v>
      </c>
      <c r="J53" s="102" t="s">
        <v>3545</v>
      </c>
      <c r="L53" s="156">
        <v>1</v>
      </c>
      <c r="M53" s="340">
        <v>0</v>
      </c>
      <c r="N53" s="240">
        <f>L53-M53</f>
        <v>1</v>
      </c>
      <c r="P53" s="365">
        <f>IFERROR(VLOOKUP($G53,融外自投!$A:$J,7,0),"無")</f>
        <v>1083</v>
      </c>
      <c r="Q53" s="79">
        <f>IFERROR(VLOOKUP($G53,融外自投!$A:$J,9,0),"無")</f>
        <v>176</v>
      </c>
      <c r="R53" s="346">
        <f>IFERROR(VLOOKUP($G53,融外自投!$A:$J,8,0),"無")</f>
        <v>232</v>
      </c>
      <c r="S53" s="81">
        <f>IFERROR(VLOOKUP($G53,融外自投!$A:$J,10,0),"無")</f>
        <v>106</v>
      </c>
      <c r="T53" s="327">
        <f>IFERROR(VLOOKUP($G53,'321買'!$A:$E,5,0),"'沒有資料'")</f>
        <v>536</v>
      </c>
      <c r="U53" s="186">
        <f>IFERROR(VLOOKUP($G53,基本資料!$A:$J,9,0),"無")</f>
        <v>9.5</v>
      </c>
      <c r="V53" s="310">
        <f t="shared" ref="V53:V54" si="31">$U53/$X53</f>
        <v>5.9374999999999997E-2</v>
      </c>
      <c r="W53" s="94">
        <f>IFERROR(VLOOKUP($G53,基本資料!$A:$J,10,0),"無")</f>
        <v>11.2</v>
      </c>
      <c r="X53" s="36">
        <f>RTD("money.excel",,"1477","Price")</f>
        <v>160</v>
      </c>
      <c r="Y53" s="66">
        <v>185</v>
      </c>
      <c r="Z53" s="15">
        <f>X53-Y53</f>
        <v>-25</v>
      </c>
      <c r="AA53" s="3">
        <f>Z53/Y53</f>
        <v>-0.13513513513513514</v>
      </c>
      <c r="AB53" s="344">
        <v>-36.68</v>
      </c>
      <c r="AC53" s="397">
        <f>IFERROR(VLOOKUP($G53,基本資料!$A:$M,12,0),"無")</f>
        <v>11.59</v>
      </c>
      <c r="AD53" s="22" t="s">
        <v>125</v>
      </c>
      <c r="AE53" s="84">
        <v>44684</v>
      </c>
      <c r="AG53" s="33">
        <f>AF53-AE53</f>
        <v>-44684</v>
      </c>
      <c r="AH53" s="117" t="s">
        <v>3333</v>
      </c>
      <c r="AI53" s="63">
        <f>AJ53/(A53*10000)</f>
        <v>1.2837055417700579E-2</v>
      </c>
      <c r="AJ53" s="284">
        <f>RTD("money.excel",,$G53,"PredictVolume")</f>
        <v>3104</v>
      </c>
      <c r="AK53" s="302">
        <v>3.53</v>
      </c>
      <c r="AL53" s="279"/>
      <c r="AM53" s="245"/>
      <c r="AN53" s="245"/>
      <c r="AO53" s="245"/>
      <c r="AP53" s="245"/>
      <c r="AQ53" s="245"/>
    </row>
    <row r="54" spans="1:43">
      <c r="A54" s="347">
        <f>IFERROR(VLOOKUP($G54,基本資料!$A:$J,3,0),"無")</f>
        <v>18.12</v>
      </c>
      <c r="B54" s="79">
        <f>IFERROR(VLOOKUP($G54,基本資料!$A:$J,4,0),"無")</f>
        <v>196</v>
      </c>
      <c r="C54" s="79">
        <f>IFERROR(VLOOKUP($G54,基本資料!$A:$J,5,0),"無")</f>
        <v>190</v>
      </c>
      <c r="D54" s="79">
        <f>IFERROR(VLOOKUP($G54,基本資料!$A:$J,6,0),"無")</f>
        <v>38</v>
      </c>
      <c r="E54" s="79">
        <f>IFERROR(VLOOKUP($G54,基本資料!$A:$J,7,0),"無")</f>
        <v>10</v>
      </c>
      <c r="F54" s="6">
        <f>IFERROR(VLOOKUP($G54,基本資料!$A:$J,8,0),"無")</f>
        <v>5.09</v>
      </c>
      <c r="G54" s="79">
        <v>2038</v>
      </c>
      <c r="H54" s="8" t="s">
        <v>299</v>
      </c>
      <c r="I54" s="22" t="s">
        <v>3956</v>
      </c>
      <c r="J54" s="50" t="s">
        <v>6214</v>
      </c>
      <c r="L54" s="156">
        <v>3</v>
      </c>
      <c r="M54" s="340">
        <v>0</v>
      </c>
      <c r="N54" s="240">
        <f t="shared" si="25"/>
        <v>3</v>
      </c>
      <c r="P54" s="365">
        <f>IFERROR(VLOOKUP($G54,融外自投!$A:$J,7,0),"無")</f>
        <v>224</v>
      </c>
      <c r="Q54" s="79">
        <f>IFERROR(VLOOKUP($G54,融外自投!$A:$J,9,0),"無")</f>
        <v>379</v>
      </c>
      <c r="R54" s="346">
        <f>IFERROR(VLOOKUP($G54,融外自投!$A:$J,8,0),"無")</f>
        <v>1187</v>
      </c>
      <c r="S54" s="81" t="str">
        <f>IFERROR(VLOOKUP($G54,融外自投!$A:$J,10,0),"無")</f>
        <v>無</v>
      </c>
      <c r="T54" s="327">
        <f>IFERROR(VLOOKUP($G54,'321買'!$A:$E,5,0),"'沒有資料'")</f>
        <v>217</v>
      </c>
      <c r="U54" s="186">
        <f>IFERROR(VLOOKUP($G54,基本資料!$A:$J,9,0),"無")</f>
        <v>1.5</v>
      </c>
      <c r="V54" s="310">
        <f t="shared" si="31"/>
        <v>5.7581573896353162E-2</v>
      </c>
      <c r="W54" s="94">
        <f>IFERROR(VLOOKUP($G54,基本資料!$A:$J,10,0),"無")</f>
        <v>2.54</v>
      </c>
      <c r="X54" s="36">
        <f>RTD("money.excel",,"2038","Price")</f>
        <v>26.05</v>
      </c>
      <c r="Y54" s="66">
        <v>34.950000000000003</v>
      </c>
      <c r="Z54" s="15">
        <f t="shared" si="27"/>
        <v>-8.9000000000000021</v>
      </c>
      <c r="AA54" s="3">
        <f t="shared" si="28"/>
        <v>-0.25464949928469244</v>
      </c>
      <c r="AB54" s="344">
        <v>-49.49</v>
      </c>
      <c r="AC54" s="397">
        <f>IFERROR(VLOOKUP($G54,基本資料!$A:$M,12,0),"無")</f>
        <v>19.45</v>
      </c>
      <c r="AD54" s="22" t="s">
        <v>3956</v>
      </c>
      <c r="AE54" s="84">
        <v>44669</v>
      </c>
      <c r="AG54" s="33">
        <f t="shared" si="29"/>
        <v>-44669</v>
      </c>
      <c r="AH54" s="43" t="s">
        <v>2660</v>
      </c>
      <c r="AI54" s="63">
        <f t="shared" si="30"/>
        <v>3.8410596026490066E-3</v>
      </c>
      <c r="AJ54" s="284">
        <f>RTD("money.excel",,$G54,"PredictVolume")</f>
        <v>696</v>
      </c>
      <c r="AK54" s="302">
        <v>66</v>
      </c>
      <c r="AL54" s="279"/>
      <c r="AM54" s="245"/>
      <c r="AN54" s="245"/>
      <c r="AO54" s="245"/>
      <c r="AP54" s="245"/>
      <c r="AQ54" s="245"/>
    </row>
    <row r="55" spans="1:43">
      <c r="A55" s="142"/>
      <c r="B55" s="79"/>
      <c r="C55" s="79"/>
      <c r="D55" s="79"/>
      <c r="E55" s="79"/>
      <c r="F55" s="6"/>
      <c r="G55" s="79"/>
      <c r="H55" s="8"/>
      <c r="I55" s="22"/>
      <c r="L55" s="156"/>
      <c r="M55" s="340"/>
      <c r="N55" s="240"/>
      <c r="P55" s="365"/>
      <c r="Q55" s="47"/>
      <c r="R55" s="346"/>
      <c r="S55" s="81"/>
      <c r="T55" s="327"/>
      <c r="U55" s="34"/>
      <c r="V55" s="310"/>
      <c r="W55" s="57"/>
      <c r="X55" s="36"/>
      <c r="Y55" s="66"/>
      <c r="Z55" s="15"/>
      <c r="AA55" s="3"/>
      <c r="AB55" s="344"/>
      <c r="AD55" s="22"/>
      <c r="AG55" s="33"/>
      <c r="AH55" s="43"/>
      <c r="AI55" s="63"/>
      <c r="AJ55" s="284"/>
      <c r="AK55" s="302"/>
      <c r="AL55" s="279"/>
      <c r="AM55" s="245"/>
      <c r="AN55" s="377"/>
      <c r="AO55" s="285"/>
    </row>
    <row r="56" spans="1:43">
      <c r="A56" s="69"/>
      <c r="B56" s="132"/>
      <c r="G56" s="81"/>
      <c r="H56" s="156"/>
      <c r="I56" s="82"/>
      <c r="L56" s="123"/>
      <c r="Q56" s="134"/>
      <c r="T56" s="323"/>
      <c r="U56" s="202"/>
      <c r="W56" s="4"/>
      <c r="X56" s="4"/>
      <c r="Y56" s="10"/>
      <c r="Z56" s="69"/>
      <c r="AD56" s="42"/>
      <c r="AF56" s="278"/>
      <c r="AH56" s="145"/>
      <c r="AI56" s="43"/>
      <c r="AK56" s="82"/>
      <c r="AL56" s="289"/>
    </row>
    <row r="57" spans="1:43">
      <c r="A57" s="127" t="s">
        <v>1673</v>
      </c>
      <c r="B57" s="90" t="s">
        <v>1572</v>
      </c>
      <c r="C57" s="90" t="s">
        <v>1573</v>
      </c>
      <c r="D57" s="90" t="s">
        <v>1574</v>
      </c>
      <c r="E57" s="90" t="s">
        <v>1575</v>
      </c>
      <c r="F57" s="8" t="s">
        <v>1060</v>
      </c>
      <c r="G57" s="26" t="s">
        <v>3442</v>
      </c>
      <c r="H57" s="55" t="s">
        <v>320</v>
      </c>
      <c r="I57" s="8" t="s">
        <v>2278</v>
      </c>
      <c r="J57" s="8" t="s">
        <v>6221</v>
      </c>
      <c r="K57" s="5" t="s">
        <v>6222</v>
      </c>
      <c r="L57" s="337" t="s">
        <v>6206</v>
      </c>
      <c r="M57" s="338" t="s">
        <v>6207</v>
      </c>
      <c r="N57" s="339" t="s">
        <v>6208</v>
      </c>
      <c r="O57" s="4" t="s">
        <v>6713</v>
      </c>
      <c r="P57" s="89" t="s">
        <v>6285</v>
      </c>
      <c r="Q57" s="293" t="s">
        <v>6284</v>
      </c>
      <c r="R57" s="354" t="s">
        <v>6283</v>
      </c>
      <c r="S57" s="26" t="s">
        <v>6286</v>
      </c>
      <c r="T57" s="321" t="s">
        <v>4716</v>
      </c>
      <c r="U57" s="10" t="s">
        <v>66</v>
      </c>
      <c r="V57" s="308" t="s">
        <v>4731</v>
      </c>
      <c r="W57" s="68" t="s">
        <v>3273</v>
      </c>
      <c r="X57" s="28" t="s">
        <v>2</v>
      </c>
      <c r="Y57" s="17" t="s">
        <v>1399</v>
      </c>
      <c r="Z57" s="14" t="s">
        <v>5</v>
      </c>
      <c r="AA57" s="21" t="s">
        <v>3</v>
      </c>
      <c r="AB57" s="351" t="s">
        <v>6174</v>
      </c>
      <c r="AC57" s="102" t="s">
        <v>6420</v>
      </c>
      <c r="AD57" s="8" t="s">
        <v>2278</v>
      </c>
      <c r="AE57" s="71" t="s">
        <v>1400</v>
      </c>
      <c r="AF57" s="72" t="s">
        <v>1157</v>
      </c>
      <c r="AG57" s="32" t="s">
        <v>1158</v>
      </c>
      <c r="AH57" s="42" t="s">
        <v>2279</v>
      </c>
      <c r="AL57" s="262"/>
    </row>
    <row r="58" spans="1:43">
      <c r="A58" s="347" t="str">
        <f>IFERROR(VLOOKUP($G58,基本資料!$A:$J,3,0),"無")</f>
        <v>無</v>
      </c>
      <c r="B58" s="79" t="str">
        <f>IFERROR(VLOOKUP($G58,基本資料!$A:$J,4,0),"無")</f>
        <v>無</v>
      </c>
      <c r="C58" s="79" t="str">
        <f>IFERROR(VLOOKUP($G58,基本資料!$A:$J,5,0),"無")</f>
        <v>無</v>
      </c>
      <c r="D58" s="79" t="str">
        <f>IFERROR(VLOOKUP($G58,基本資料!$A:$J,6,0),"無")</f>
        <v>無</v>
      </c>
      <c r="E58" s="79" t="str">
        <f>IFERROR(VLOOKUP($G58,基本資料!$A:$J,7,0),"無")</f>
        <v>無</v>
      </c>
      <c r="F58" s="6" t="str">
        <f>IFERROR(VLOOKUP($G58,基本資料!$A:$J,8,0),"無")</f>
        <v>無</v>
      </c>
      <c r="G58" s="79">
        <v>6585</v>
      </c>
      <c r="H58" s="8" t="s">
        <v>235</v>
      </c>
      <c r="I58" s="22" t="s">
        <v>6728</v>
      </c>
      <c r="J58" s="8" t="str">
        <f>IFERROR(VLOOKUP($G58,今日總結!$A:$AJ,35,0),"")</f>
        <v/>
      </c>
      <c r="K58" s="5" t="str">
        <f>IFERROR(VLOOKUP($G58,今日總結!$A:$AJ,36,0),"")</f>
        <v/>
      </c>
      <c r="L58" s="156" t="str">
        <f>IFERROR(VLOOKUP($G58,今日總結!$A:$AJ,33,0),"")</f>
        <v/>
      </c>
      <c r="M58" s="340" t="str">
        <f>IFERROR(VLOOKUP($G58,今日總結!$A:$AJ,34,0),"")</f>
        <v/>
      </c>
      <c r="N58" s="240" t="str">
        <f t="shared" ref="N58" si="32">IFERROR(L58-M58,"")</f>
        <v/>
      </c>
      <c r="P58" s="365" t="str">
        <f>IFERROR(VLOOKUP($G58,融外自投!$A:$J,7,0),"無")</f>
        <v>無</v>
      </c>
      <c r="Q58" s="79" t="str">
        <f>IFERROR(VLOOKUP($G58,融外自投!$A:$J,9,0),"無")</f>
        <v>無</v>
      </c>
      <c r="R58" s="346" t="str">
        <f>IFERROR(VLOOKUP($G58,融外自投!$A:$J,8,0),"無")</f>
        <v>無</v>
      </c>
      <c r="S58" s="81" t="str">
        <f>IFERROR(VLOOKUP($G58,融外自投!$A:$J,10,0),"無")</f>
        <v>無</v>
      </c>
      <c r="T58" s="327" t="str">
        <f>IFERROR(VLOOKUP($G58,'321買'!$A:$E,5,0),"'沒有資料'")</f>
        <v>'沒有資料'</v>
      </c>
      <c r="U58" s="186" t="str">
        <f>IFERROR(VLOOKUP($G58,基本資料!$A:$J,9,0),"無")</f>
        <v>無</v>
      </c>
      <c r="V58" s="310" t="e">
        <f t="shared" ref="V58" si="33">$U58/$X58</f>
        <v>#VALUE!</v>
      </c>
      <c r="W58" s="94" t="str">
        <f>IFERROR(VLOOKUP($G58,基本資料!$A:$J,10,0),"無")</f>
        <v>無</v>
      </c>
      <c r="X58" s="36">
        <f>RTD("money.excel",,"6585","Price")</f>
        <v>69</v>
      </c>
      <c r="Y58" s="66">
        <v>60.79</v>
      </c>
      <c r="Z58" s="15">
        <f t="shared" ref="Z58" si="34">X58-Y58</f>
        <v>8.2100000000000009</v>
      </c>
      <c r="AA58" s="3">
        <f t="shared" ref="AA58" si="35">Z58/Y58</f>
        <v>0.13505510774798488</v>
      </c>
      <c r="AB58" s="344" t="str">
        <f>IFERROR(VLOOKUP($G58,基本資料!$A:$M,11,0),"無")</f>
        <v>無</v>
      </c>
      <c r="AC58" s="397" t="str">
        <f>IFERROR(VLOOKUP($G58,基本資料!$A:$M,12,0),"無")</f>
        <v>無</v>
      </c>
      <c r="AD58" s="22" t="s">
        <v>6728</v>
      </c>
      <c r="AE58" s="84">
        <v>44701</v>
      </c>
      <c r="AF58" s="83">
        <v>44711</v>
      </c>
      <c r="AG58" s="33">
        <f t="shared" ref="AG58" si="36">AF58-AE58</f>
        <v>10</v>
      </c>
      <c r="AH58" s="43" t="s">
        <v>6729</v>
      </c>
      <c r="AI58" s="63" t="e">
        <f t="shared" ref="AI58" si="37">AJ58/(A58*10000)</f>
        <v>#VALUE!</v>
      </c>
      <c r="AJ58" s="284">
        <f>RTD("money.excel",,$G58,"PredictVolume")</f>
        <v>88</v>
      </c>
      <c r="AK58" s="81" t="str">
        <f>IFERROR(VLOOKUP($G58,基本資料!$A:$M,13,0),"無")</f>
        <v>無</v>
      </c>
      <c r="AL58" s="279"/>
      <c r="AM58" s="245"/>
      <c r="AN58" s="245"/>
      <c r="AO58" s="245"/>
      <c r="AP58" s="245"/>
      <c r="AQ58" s="245"/>
    </row>
    <row r="59" spans="1:43">
      <c r="A59" s="347" t="str">
        <f>IFERROR(VLOOKUP($G59,基本資料!$A:$J,3,0),"無")</f>
        <v>無</v>
      </c>
      <c r="B59" s="79" t="str">
        <f>IFERROR(VLOOKUP($G59,基本資料!$A:$J,4,0),"無")</f>
        <v>無</v>
      </c>
      <c r="C59" s="79" t="str">
        <f>IFERROR(VLOOKUP($G59,基本資料!$A:$J,5,0),"無")</f>
        <v>無</v>
      </c>
      <c r="D59" s="79" t="str">
        <f>IFERROR(VLOOKUP($G59,基本資料!$A:$J,6,0),"無")</f>
        <v>無</v>
      </c>
      <c r="E59" s="79" t="str">
        <f>IFERROR(VLOOKUP($G59,基本資料!$A:$J,7,0),"無")</f>
        <v>無</v>
      </c>
      <c r="F59" s="6" t="str">
        <f>IFERROR(VLOOKUP($G59,基本資料!$A:$J,8,0),"無")</f>
        <v>無</v>
      </c>
      <c r="G59" s="79">
        <v>5228</v>
      </c>
      <c r="H59" s="8" t="s">
        <v>308</v>
      </c>
      <c r="I59" s="16" t="s">
        <v>6726</v>
      </c>
      <c r="J59" s="8" t="str">
        <f>IFERROR(VLOOKUP($G59,今日總結!$A:$AJ,35,0),"")</f>
        <v/>
      </c>
      <c r="K59" s="5" t="str">
        <f>IFERROR(VLOOKUP($G59,今日總結!$A:$AJ,36,0),"")</f>
        <v/>
      </c>
      <c r="L59" s="156" t="str">
        <f>IFERROR(VLOOKUP($G59,今日總結!$A:$AJ,33,0),"")</f>
        <v/>
      </c>
      <c r="M59" s="340" t="str">
        <f>IFERROR(VLOOKUP($G59,今日總結!$A:$AJ,34,0),"")</f>
        <v/>
      </c>
      <c r="N59" s="240" t="str">
        <f t="shared" ref="N59" si="38">IFERROR(L59-M59,"")</f>
        <v/>
      </c>
      <c r="P59" s="365" t="str">
        <f>IFERROR(VLOOKUP($G59,融外自投!$A:$J,7,0),"無")</f>
        <v>無</v>
      </c>
      <c r="Q59" s="79" t="str">
        <f>IFERROR(VLOOKUP($G59,融外自投!$A:$J,9,0),"無")</f>
        <v>無</v>
      </c>
      <c r="R59" s="346" t="str">
        <f>IFERROR(VLOOKUP($G59,融外自投!$A:$J,8,0),"無")</f>
        <v>無</v>
      </c>
      <c r="S59" s="81" t="str">
        <f>IFERROR(VLOOKUP($G59,融外自投!$A:$J,10,0),"無")</f>
        <v>無</v>
      </c>
      <c r="T59" s="327" t="str">
        <f>IFERROR(VLOOKUP($G59,'321買'!$A:$E,5,0),"'沒有資料'")</f>
        <v>'沒有資料'</v>
      </c>
      <c r="U59" s="186" t="str">
        <f>IFERROR(VLOOKUP($G59,基本資料!$A:$J,9,0),"無")</f>
        <v>無</v>
      </c>
      <c r="V59" s="310" t="e">
        <f t="shared" ref="V59" si="39">$U59/$X59</f>
        <v>#VALUE!</v>
      </c>
      <c r="W59" s="94" t="str">
        <f>IFERROR(VLOOKUP($G59,基本資料!$A:$J,10,0),"無")</f>
        <v>無</v>
      </c>
      <c r="X59" s="36">
        <f>RTD("money.excel",,"5228","Price")</f>
        <v>25.5</v>
      </c>
      <c r="Y59" s="66">
        <v>20</v>
      </c>
      <c r="Z59" s="15">
        <f t="shared" ref="Z59" si="40">X59-Y59</f>
        <v>5.5</v>
      </c>
      <c r="AA59" s="3">
        <f t="shared" ref="AA59" si="41">Z59/Y59</f>
        <v>0.27500000000000002</v>
      </c>
      <c r="AB59" s="344" t="str">
        <f>IFERROR(VLOOKUP($G59,基本資料!$A:$M,11,0),"無")</f>
        <v>無</v>
      </c>
      <c r="AC59" s="397" t="str">
        <f>IFERROR(VLOOKUP($G59,基本資料!$A:$M,12,0),"無")</f>
        <v>無</v>
      </c>
      <c r="AD59" s="16" t="s">
        <v>6726</v>
      </c>
      <c r="AE59" s="84">
        <v>44701</v>
      </c>
      <c r="AF59" s="83">
        <v>44711</v>
      </c>
      <c r="AG59" s="33">
        <f t="shared" ref="AG59" si="42">AF59-AE59</f>
        <v>10</v>
      </c>
      <c r="AH59" s="43" t="s">
        <v>6727</v>
      </c>
      <c r="AI59" s="63" t="e">
        <f t="shared" ref="AI59" si="43">AJ59/(A59*10000)</f>
        <v>#VALUE!</v>
      </c>
      <c r="AJ59" s="284">
        <f>RTD("money.excel",,$G59,"PredictVolume")</f>
        <v>32</v>
      </c>
      <c r="AK59" s="81" t="str">
        <f>IFERROR(VLOOKUP($G59,基本資料!$A:$M,13,0),"無")</f>
        <v>無</v>
      </c>
      <c r="AL59" s="279"/>
      <c r="AM59" s="245"/>
      <c r="AN59" s="245"/>
      <c r="AO59" s="245"/>
      <c r="AP59" s="245"/>
      <c r="AQ59" s="245"/>
    </row>
    <row r="60" spans="1:43">
      <c r="A60" s="347"/>
      <c r="B60" s="79"/>
      <c r="C60" s="79"/>
      <c r="D60" s="79"/>
      <c r="E60" s="79"/>
      <c r="F60" s="6"/>
      <c r="G60" s="79"/>
      <c r="H60" s="8"/>
      <c r="I60" s="16"/>
      <c r="L60" s="156"/>
      <c r="M60" s="340"/>
      <c r="N60" s="240"/>
      <c r="P60" s="365"/>
      <c r="Q60" s="79"/>
      <c r="R60" s="346"/>
      <c r="S60" s="81"/>
      <c r="T60" s="327"/>
      <c r="U60" s="186"/>
      <c r="V60" s="310"/>
      <c r="W60" s="94"/>
      <c r="X60" s="36"/>
      <c r="Y60" s="66"/>
      <c r="Z60" s="15"/>
      <c r="AA60" s="3"/>
      <c r="AB60" s="344"/>
      <c r="AC60" s="397"/>
      <c r="AD60" s="16"/>
      <c r="AG60" s="33"/>
      <c r="AH60" s="43"/>
      <c r="AI60" s="63"/>
      <c r="AJ60" s="284"/>
      <c r="AK60" s="81"/>
      <c r="AL60" s="279"/>
      <c r="AM60" s="245"/>
      <c r="AN60" s="245"/>
      <c r="AO60" s="245"/>
      <c r="AP60" s="245"/>
      <c r="AQ60" s="245"/>
    </row>
    <row r="61" spans="1:43">
      <c r="A61" s="347">
        <f>IFERROR(VLOOKUP($G61,基本資料!$A:$J,3,0),"無")</f>
        <v>7</v>
      </c>
      <c r="B61" s="79">
        <f>IFERROR(VLOOKUP($G61,基本資料!$A:$J,4,0),"無")</f>
        <v>17</v>
      </c>
      <c r="C61" s="79">
        <f>IFERROR(VLOOKUP($G61,基本資料!$A:$J,5,0),"無")</f>
        <v>27</v>
      </c>
      <c r="D61" s="79">
        <f>IFERROR(VLOOKUP($G61,基本資料!$A:$J,6,0),"無")</f>
        <v>-20</v>
      </c>
      <c r="E61" s="79">
        <f>IFERROR(VLOOKUP($G61,基本資料!$A:$J,7,0),"無")</f>
        <v>257</v>
      </c>
      <c r="F61" s="6">
        <f>IFERROR(VLOOKUP($G61,基本資料!$A:$J,8,0),"無")</f>
        <v>-87.06</v>
      </c>
      <c r="G61" s="79">
        <v>5227</v>
      </c>
      <c r="H61" s="8" t="s">
        <v>308</v>
      </c>
      <c r="I61" s="16" t="s">
        <v>411</v>
      </c>
      <c r="J61" s="8" t="str">
        <f>IFERROR(VLOOKUP($G61,今日總結!$A:$AJ,35,0),"")</f>
        <v/>
      </c>
      <c r="K61" s="5" t="str">
        <f>IFERROR(VLOOKUP($G61,今日總結!$A:$AJ,36,0),"")</f>
        <v/>
      </c>
      <c r="L61" s="156" t="str">
        <f>IFERROR(VLOOKUP($G61,今日總結!$A:$AJ,33,0),"")</f>
        <v/>
      </c>
      <c r="M61" s="340" t="str">
        <f>IFERROR(VLOOKUP($G61,今日總結!$A:$AJ,34,0),"")</f>
        <v/>
      </c>
      <c r="N61" s="240" t="str">
        <f t="shared" ref="N61" si="44">IFERROR(L61-M61,"")</f>
        <v/>
      </c>
      <c r="P61" s="365" t="str">
        <f>IFERROR(VLOOKUP($G61,融外自投!$A:$J,7,0),"無")</f>
        <v>無</v>
      </c>
      <c r="Q61" s="79" t="str">
        <f>IFERROR(VLOOKUP($G61,融外自投!$A:$J,9,0),"無")</f>
        <v>無</v>
      </c>
      <c r="R61" s="346" t="str">
        <f>IFERROR(VLOOKUP($G61,融外自投!$A:$J,8,0),"無")</f>
        <v>無</v>
      </c>
      <c r="S61" s="81" t="str">
        <f>IFERROR(VLOOKUP($G61,融外自投!$A:$J,10,0),"無")</f>
        <v>無</v>
      </c>
      <c r="T61" s="327" t="str">
        <f>IFERROR(VLOOKUP($G61,'321買'!$A:$E,5,0),"'沒有資料'")</f>
        <v>'沒有資料'</v>
      </c>
      <c r="U61" s="186">
        <f>IFERROR(VLOOKUP($G61,基本資料!$A:$J,9,0),"無")</f>
        <v>0</v>
      </c>
      <c r="V61" s="310">
        <f t="shared" ref="V61" si="45">$U61/$X61</f>
        <v>0</v>
      </c>
      <c r="W61" s="94">
        <f>IFERROR(VLOOKUP($G61,基本資料!$A:$J,10,0),"無")</f>
        <v>-9.31</v>
      </c>
      <c r="X61" s="36">
        <f>RTD("money.excel",,"5227","Price")</f>
        <v>60</v>
      </c>
      <c r="Y61" s="66">
        <v>60</v>
      </c>
      <c r="Z61" s="15">
        <f t="shared" ref="Z61" si="46">X61-Y61</f>
        <v>0</v>
      </c>
      <c r="AA61" s="3">
        <f t="shared" ref="AA61" si="47">Z61/Y61</f>
        <v>0</v>
      </c>
      <c r="AB61" s="344"/>
      <c r="AC61" s="397">
        <f>IFERROR(VLOOKUP($G61,基本資料!$A:$M,12,0),"無")</f>
        <v>9.0299999999999994</v>
      </c>
      <c r="AD61" s="16" t="s">
        <v>411</v>
      </c>
      <c r="AE61" s="84">
        <v>44699</v>
      </c>
      <c r="AF61" s="83">
        <v>44709</v>
      </c>
      <c r="AG61" s="33">
        <f t="shared" ref="AG61" si="48">AF61-AE61</f>
        <v>10</v>
      </c>
      <c r="AH61" s="43" t="s">
        <v>2290</v>
      </c>
      <c r="AI61" s="63">
        <f>AJ61/(A61*10000)</f>
        <v>4.5999999999999999E-3</v>
      </c>
      <c r="AJ61" s="284">
        <f>RTD("money.excel",,$G61,"PredictVolume")</f>
        <v>322</v>
      </c>
      <c r="AK61" s="302"/>
      <c r="AL61" s="279"/>
      <c r="AM61" s="245"/>
      <c r="AN61" s="377"/>
      <c r="AO61" s="285"/>
      <c r="AP61" s="245"/>
    </row>
    <row r="62" spans="1:43">
      <c r="A62" s="347">
        <f>IFERROR(VLOOKUP($G62,基本資料!$A:$J,3,0),"無")</f>
        <v>19.649999999999999</v>
      </c>
      <c r="B62" s="79">
        <f>IFERROR(VLOOKUP($G62,基本資料!$A:$J,4,0),"無")</f>
        <v>86</v>
      </c>
      <c r="C62" s="79">
        <f>IFERROR(VLOOKUP($G62,基本資料!$A:$J,5,0),"無")</f>
        <v>5378</v>
      </c>
      <c r="D62" s="79">
        <f>IFERROR(VLOOKUP($G62,基本資料!$A:$J,6,0),"無")</f>
        <v>32</v>
      </c>
      <c r="E62" s="79">
        <f>IFERROR(VLOOKUP($G62,基本資料!$A:$J,7,0),"無")</f>
        <v>-20</v>
      </c>
      <c r="F62" s="6">
        <f>IFERROR(VLOOKUP($G62,基本資料!$A:$J,8,0),"無")</f>
        <v>14.05</v>
      </c>
      <c r="G62" s="79">
        <v>6806</v>
      </c>
      <c r="H62" s="8" t="s">
        <v>1960</v>
      </c>
      <c r="I62" s="22" t="s">
        <v>3511</v>
      </c>
      <c r="J62" s="8" t="str">
        <f>IFERROR(VLOOKUP($G62,今日總結!$A:$AJ,35,0),"")</f>
        <v/>
      </c>
      <c r="K62" s="5" t="str">
        <f>IFERROR(VLOOKUP($G62,今日總結!$A:$AJ,36,0),"")</f>
        <v/>
      </c>
      <c r="L62" s="156" t="str">
        <f>IFERROR(VLOOKUP($G62,今日總結!$A:$AJ,33,0),"")</f>
        <v/>
      </c>
      <c r="M62" s="340" t="str">
        <f>IFERROR(VLOOKUP($G62,今日總結!$A:$AJ,34,0),"")</f>
        <v/>
      </c>
      <c r="N62" s="240" t="str">
        <f t="shared" ref="N62:N64" si="49">IFERROR(L62-M62,"")</f>
        <v/>
      </c>
      <c r="P62" s="365" t="str">
        <f>IFERROR(VLOOKUP($G62,融外自投!$A:$J,7,0),"無")</f>
        <v>無</v>
      </c>
      <c r="Q62" s="79" t="str">
        <f>IFERROR(VLOOKUP($G62,融外自投!$A:$J,9,0),"無")</f>
        <v>無</v>
      </c>
      <c r="R62" s="346" t="str">
        <f>IFERROR(VLOOKUP($G62,融外自投!$A:$J,8,0),"無")</f>
        <v>無</v>
      </c>
      <c r="S62" s="81" t="str">
        <f>IFERROR(VLOOKUP($G62,融外自投!$A:$J,10,0),"無")</f>
        <v>無</v>
      </c>
      <c r="T62" s="327" t="str">
        <f>IFERROR(VLOOKUP($G62,'321買'!$A:$E,5,0),"'沒有資料'")</f>
        <v>'沒有資料'</v>
      </c>
      <c r="U62" s="186">
        <f>IFERROR(VLOOKUP($G62,基本資料!$A:$J,9,0),"無")</f>
        <v>2.68</v>
      </c>
      <c r="V62" s="310">
        <f t="shared" ref="V62:V64" si="50">$U62/$X62</f>
        <v>2.8240252897787144E-2</v>
      </c>
      <c r="W62" s="94">
        <f>IFERROR(VLOOKUP($G62,基本資料!$A:$J,10,0),"無")</f>
        <v>3.78</v>
      </c>
      <c r="X62" s="36">
        <f>RTD("money.excel",,"6806","Price")</f>
        <v>94.9</v>
      </c>
      <c r="Y62" s="66">
        <v>88</v>
      </c>
      <c r="Z62" s="15">
        <f t="shared" ref="Z62" si="51">X62-Y62</f>
        <v>6.9000000000000057</v>
      </c>
      <c r="AA62" s="3">
        <f t="shared" ref="AA62" si="52">Z62/Y62</f>
        <v>7.840909090909097E-2</v>
      </c>
      <c r="AB62" s="352"/>
      <c r="AC62" s="397" t="str">
        <f>IFERROR(VLOOKUP($G62,基本資料!$A:$M,12,0),"無")</f>
        <v>無</v>
      </c>
      <c r="AD62" s="22" t="s">
        <v>3511</v>
      </c>
      <c r="AE62" s="84">
        <v>44694</v>
      </c>
      <c r="AF62" s="83">
        <v>44704</v>
      </c>
      <c r="AG62" s="33">
        <f t="shared" ref="AG62" si="53">AF62-AE62</f>
        <v>10</v>
      </c>
      <c r="AH62" s="43" t="s">
        <v>3512</v>
      </c>
      <c r="AI62" s="63">
        <f>AJ62/(A62*10000)</f>
        <v>5.1857506361323155E-3</v>
      </c>
      <c r="AJ62" s="284">
        <f>RTD("money.excel",,$G62,"PredictVolume")</f>
        <v>1019</v>
      </c>
      <c r="AK62" s="302">
        <v>3.8</v>
      </c>
      <c r="AL62" s="279"/>
      <c r="AM62" s="245"/>
      <c r="AN62" s="377"/>
      <c r="AO62" s="285"/>
    </row>
    <row r="63" spans="1:43">
      <c r="A63" s="347" t="str">
        <f>IFERROR(VLOOKUP($G63,基本資料!$A:$J,3,0),"無")</f>
        <v>無</v>
      </c>
      <c r="B63" s="79" t="str">
        <f>IFERROR(VLOOKUP($G63,基本資料!$A:$J,4,0),"無")</f>
        <v>無</v>
      </c>
      <c r="C63" s="79" t="str">
        <f>IFERROR(VLOOKUP($G63,基本資料!$A:$J,5,0),"無")</f>
        <v>無</v>
      </c>
      <c r="D63" s="79" t="str">
        <f>IFERROR(VLOOKUP($G63,基本資料!$A:$J,6,0),"無")</f>
        <v>無</v>
      </c>
      <c r="E63" s="79" t="str">
        <f>IFERROR(VLOOKUP($G63,基本資料!$A:$J,7,0),"無")</f>
        <v>無</v>
      </c>
      <c r="F63" s="6" t="str">
        <f>IFERROR(VLOOKUP($G63,基本資料!$A:$J,8,0),"無")</f>
        <v>無</v>
      </c>
      <c r="G63" s="79">
        <v>6799</v>
      </c>
      <c r="H63" s="8" t="s">
        <v>3039</v>
      </c>
      <c r="I63" s="22" t="s">
        <v>6278</v>
      </c>
      <c r="J63" s="8" t="str">
        <f>IFERROR(VLOOKUP($G63,今日總結!$A:$AJ,35,0),"")</f>
        <v/>
      </c>
      <c r="K63" s="5" t="str">
        <f>IFERROR(VLOOKUP($G63,今日總結!$A:$AJ,36,0),"")</f>
        <v/>
      </c>
      <c r="L63" s="156" t="str">
        <f>IFERROR(VLOOKUP($G63,今日總結!$A:$AJ,33,0),"")</f>
        <v/>
      </c>
      <c r="M63" s="340" t="str">
        <f>IFERROR(VLOOKUP($G63,今日總結!$A:$AJ,34,0),"")</f>
        <v/>
      </c>
      <c r="N63" s="240" t="str">
        <f>IFERROR(L63-M63,"")</f>
        <v/>
      </c>
      <c r="P63" s="365" t="str">
        <f>IFERROR(VLOOKUP($G63,融外自投!$A:$J,7,0),"無")</f>
        <v>無</v>
      </c>
      <c r="Q63" s="79" t="str">
        <f>IFERROR(VLOOKUP($G63,融外自投!$A:$J,9,0),"無")</f>
        <v>無</v>
      </c>
      <c r="R63" s="346" t="str">
        <f>IFERROR(VLOOKUP($G63,融外自投!$A:$J,8,0),"無")</f>
        <v>無</v>
      </c>
      <c r="S63" s="81" t="str">
        <f>IFERROR(VLOOKUP($G63,融外自投!$A:$J,10,0),"無")</f>
        <v>無</v>
      </c>
      <c r="T63" s="327" t="str">
        <f>IFERROR(VLOOKUP($G63,'321買'!$A:$E,5,0),"'沒有資料'")</f>
        <v>'沒有資料'</v>
      </c>
      <c r="U63" s="186" t="str">
        <f>IFERROR(VLOOKUP($G63,基本資料!$A:$J,9,0),"無")</f>
        <v>無</v>
      </c>
      <c r="V63" s="310" t="e">
        <f>$U63/$X63</f>
        <v>#VALUE!</v>
      </c>
      <c r="W63" s="94" t="str">
        <f>IFERROR(VLOOKUP($G63,基本資料!$A:$J,10,0),"無")</f>
        <v>無</v>
      </c>
      <c r="X63" s="36">
        <f>RTD("money.excel",,"6799","Price")</f>
        <v>165</v>
      </c>
      <c r="Y63" s="66">
        <v>139</v>
      </c>
      <c r="Z63" s="15">
        <f t="shared" ref="Z63" si="54">X63-Y63</f>
        <v>26</v>
      </c>
      <c r="AA63" s="3">
        <f t="shared" ref="AA63" si="55">Z63/Y63</f>
        <v>0.18705035971223022</v>
      </c>
      <c r="AB63" s="344"/>
      <c r="AC63" s="397" t="str">
        <f>IFERROR(VLOOKUP($G63,基本資料!$A:$M,12,0),"無")</f>
        <v>無</v>
      </c>
      <c r="AD63" s="22" t="s">
        <v>6278</v>
      </c>
      <c r="AE63" s="84">
        <v>44693</v>
      </c>
      <c r="AF63" s="83">
        <v>44703</v>
      </c>
      <c r="AG63" s="33">
        <f t="shared" ref="AG63" si="56">AF63-AE63</f>
        <v>10</v>
      </c>
      <c r="AH63" s="43" t="s">
        <v>6279</v>
      </c>
      <c r="AI63" s="63" t="e">
        <f>AJ63/(A63*10000)</f>
        <v>#VALUE!</v>
      </c>
      <c r="AJ63" s="284">
        <f>RTD("money.excel",,$G63,"PredictVolume")</f>
        <v>206</v>
      </c>
      <c r="AK63" s="302"/>
      <c r="AL63" s="279"/>
      <c r="AM63" s="245"/>
      <c r="AN63" s="377"/>
      <c r="AO63" s="285"/>
      <c r="AP63" s="245"/>
    </row>
    <row r="64" spans="1:43">
      <c r="A64" s="347" t="str">
        <f>IFERROR(VLOOKUP($G64,基本資料!$A:$J,3,0),"無")</f>
        <v>無</v>
      </c>
      <c r="B64" s="79" t="str">
        <f>IFERROR(VLOOKUP($G64,基本資料!$A:$J,4,0),"無")</f>
        <v>無</v>
      </c>
      <c r="C64" s="79" t="str">
        <f>IFERROR(VLOOKUP($G64,基本資料!$A:$J,5,0),"無")</f>
        <v>無</v>
      </c>
      <c r="D64" s="79" t="str">
        <f>IFERROR(VLOOKUP($G64,基本資料!$A:$J,6,0),"無")</f>
        <v>無</v>
      </c>
      <c r="E64" s="79" t="str">
        <f>IFERROR(VLOOKUP($G64,基本資料!$A:$J,7,0),"無")</f>
        <v>無</v>
      </c>
      <c r="F64" s="6" t="str">
        <f>IFERROR(VLOOKUP($G64,基本資料!$A:$J,8,0),"無")</f>
        <v>無</v>
      </c>
      <c r="G64" s="79">
        <v>4583</v>
      </c>
      <c r="H64" s="8" t="s">
        <v>295</v>
      </c>
      <c r="I64" s="22" t="s">
        <v>6271</v>
      </c>
      <c r="J64" s="8" t="str">
        <f>IFERROR(VLOOKUP($G64,今日總結!$A:$AJ,35,0),"")</f>
        <v/>
      </c>
      <c r="K64" s="5" t="str">
        <f>IFERROR(VLOOKUP($G64,今日總結!$A:$AJ,36,0),"")</f>
        <v/>
      </c>
      <c r="L64" s="156" t="str">
        <f>IFERROR(VLOOKUP($G64,今日總結!$A:$AJ,33,0),"")</f>
        <v/>
      </c>
      <c r="M64" s="340" t="str">
        <f>IFERROR(VLOOKUP($G64,今日總結!$A:$AJ,34,0),"")</f>
        <v/>
      </c>
      <c r="N64" s="240" t="str">
        <f t="shared" si="49"/>
        <v/>
      </c>
      <c r="P64" s="365" t="str">
        <f>IFERROR(VLOOKUP($G64,融外自投!$A:$J,7,0),"無")</f>
        <v>無</v>
      </c>
      <c r="Q64" s="79" t="str">
        <f>IFERROR(VLOOKUP($G64,融外自投!$A:$J,9,0),"無")</f>
        <v>無</v>
      </c>
      <c r="R64" s="346" t="str">
        <f>IFERROR(VLOOKUP($G64,融外自投!$A:$J,8,0),"無")</f>
        <v>無</v>
      </c>
      <c r="S64" s="81" t="str">
        <f>IFERROR(VLOOKUP($G64,融外自投!$A:$J,10,0),"無")</f>
        <v>無</v>
      </c>
      <c r="T64" s="327" t="str">
        <f>IFERROR(VLOOKUP($G64,'321買'!$A:$E,5,0),"'沒有資料'")</f>
        <v>'沒有資料'</v>
      </c>
      <c r="U64" s="186" t="str">
        <f>IFERROR(VLOOKUP($G64,基本資料!$A:$J,9,0),"無")</f>
        <v>無</v>
      </c>
      <c r="V64" s="310" t="e">
        <f t="shared" si="50"/>
        <v>#VALUE!</v>
      </c>
      <c r="W64" s="94" t="str">
        <f>IFERROR(VLOOKUP($G64,基本資料!$A:$J,10,0),"無")</f>
        <v>無</v>
      </c>
      <c r="X64" s="36">
        <f>RTD("money.excel",,"4583","Price")</f>
        <v>208</v>
      </c>
      <c r="Y64" s="66">
        <v>200</v>
      </c>
      <c r="Z64" s="15">
        <f t="shared" ref="Z64" si="57">X64-Y64</f>
        <v>8</v>
      </c>
      <c r="AA64" s="3">
        <f t="shared" ref="AA64" si="58">Z64/Y64</f>
        <v>0.04</v>
      </c>
      <c r="AB64" s="352" t="s">
        <v>6725</v>
      </c>
      <c r="AC64" s="397" t="str">
        <f>IFERROR(VLOOKUP($G64,基本資料!$A:$M,12,0),"無")</f>
        <v>無</v>
      </c>
      <c r="AD64" s="22" t="s">
        <v>6271</v>
      </c>
      <c r="AE64" s="84">
        <v>44690</v>
      </c>
      <c r="AF64" s="83">
        <v>44700</v>
      </c>
      <c r="AG64" s="33">
        <f t="shared" ref="AG64" si="59">AF64-AE64</f>
        <v>10</v>
      </c>
      <c r="AH64" s="43" t="s">
        <v>6274</v>
      </c>
      <c r="AI64" s="63" t="e">
        <f>AJ64/(A64*10000)</f>
        <v>#VALUE!</v>
      </c>
      <c r="AJ64" s="284">
        <f>RTD("money.excel",,$G64,"PredictVolume")</f>
        <v>258</v>
      </c>
      <c r="AK64" s="302"/>
      <c r="AL64" s="279"/>
      <c r="AM64" s="245"/>
      <c r="AN64" s="377"/>
      <c r="AO64" s="285"/>
    </row>
    <row r="65" spans="1:41">
      <c r="A65" s="142"/>
      <c r="B65" s="80"/>
      <c r="C65" s="80"/>
      <c r="D65" s="79"/>
      <c r="E65" s="79"/>
      <c r="F65" s="6"/>
      <c r="G65" s="79"/>
      <c r="H65" s="8"/>
      <c r="I65" s="22"/>
      <c r="L65" s="156"/>
      <c r="M65" s="340"/>
      <c r="N65" s="240"/>
      <c r="P65" s="365"/>
      <c r="Q65" s="79"/>
      <c r="R65" s="346"/>
      <c r="S65" s="81"/>
      <c r="T65" s="327"/>
      <c r="U65" s="34"/>
      <c r="V65" s="310"/>
      <c r="W65" s="94"/>
      <c r="X65" s="36"/>
      <c r="Y65" s="66"/>
      <c r="Z65" s="15"/>
      <c r="AA65" s="3"/>
      <c r="AB65" s="352"/>
      <c r="AD65" s="22"/>
      <c r="AG65" s="33"/>
      <c r="AH65" s="43"/>
      <c r="AI65" s="63"/>
      <c r="AJ65" s="284"/>
      <c r="AK65" s="302"/>
      <c r="AL65" s="279"/>
      <c r="AM65" s="245"/>
      <c r="AN65" s="377"/>
      <c r="AO65" s="285"/>
    </row>
    <row r="66" spans="1:41">
      <c r="B66" s="90"/>
      <c r="C66" s="90"/>
      <c r="D66" s="90"/>
      <c r="E66" s="90"/>
      <c r="F66" s="8"/>
      <c r="G66" s="26"/>
      <c r="H66" s="55"/>
      <c r="I66" s="8"/>
      <c r="L66" s="123"/>
      <c r="P66" s="365"/>
      <c r="Q66" s="293"/>
      <c r="R66" s="346"/>
      <c r="S66" s="81"/>
      <c r="T66" s="321"/>
      <c r="U66" s="10"/>
      <c r="V66" s="308"/>
      <c r="W66" s="68"/>
      <c r="X66" s="28"/>
      <c r="Y66" s="17"/>
      <c r="Z66" s="14"/>
      <c r="AA66" s="21"/>
      <c r="AB66" s="351"/>
      <c r="AD66" s="8"/>
      <c r="AE66" s="71"/>
      <c r="AF66" s="72"/>
      <c r="AH66" s="8"/>
      <c r="AI66" s="42"/>
      <c r="AL66" s="262"/>
    </row>
    <row r="67" spans="1:41">
      <c r="A67" s="127" t="s">
        <v>1673</v>
      </c>
      <c r="B67" s="90" t="s">
        <v>1572</v>
      </c>
      <c r="C67" s="90" t="s">
        <v>1573</v>
      </c>
      <c r="D67" s="90" t="s">
        <v>1574</v>
      </c>
      <c r="E67" s="90" t="s">
        <v>1575</v>
      </c>
      <c r="F67" s="8" t="s">
        <v>1060</v>
      </c>
      <c r="G67" s="26" t="s">
        <v>3442</v>
      </c>
      <c r="H67" s="55" t="s">
        <v>320</v>
      </c>
      <c r="I67" s="8" t="s">
        <v>2272</v>
      </c>
      <c r="J67" s="8" t="s">
        <v>6221</v>
      </c>
      <c r="K67" s="5" t="s">
        <v>6222</v>
      </c>
      <c r="L67" s="337" t="s">
        <v>6206</v>
      </c>
      <c r="M67" s="338" t="s">
        <v>6207</v>
      </c>
      <c r="N67" s="339" t="s">
        <v>6208</v>
      </c>
      <c r="O67" s="4" t="s">
        <v>6713</v>
      </c>
      <c r="P67" s="89" t="s">
        <v>6285</v>
      </c>
      <c r="Q67" s="293" t="s">
        <v>6284</v>
      </c>
      <c r="R67" s="354" t="s">
        <v>6283</v>
      </c>
      <c r="S67" s="26" t="s">
        <v>6286</v>
      </c>
      <c r="T67" s="321" t="s">
        <v>4716</v>
      </c>
      <c r="U67" s="10" t="s">
        <v>66</v>
      </c>
      <c r="V67" s="308" t="s">
        <v>4731</v>
      </c>
      <c r="W67" s="68" t="s">
        <v>3273</v>
      </c>
      <c r="X67" s="28" t="s">
        <v>2</v>
      </c>
      <c r="Y67" s="17" t="s">
        <v>1399</v>
      </c>
      <c r="Z67" s="14" t="s">
        <v>5</v>
      </c>
      <c r="AA67" s="21" t="s">
        <v>3</v>
      </c>
      <c r="AB67" s="351" t="s">
        <v>6174</v>
      </c>
      <c r="AC67" s="102" t="s">
        <v>6420</v>
      </c>
      <c r="AD67" s="8" t="s">
        <v>2272</v>
      </c>
      <c r="AE67" s="71" t="s">
        <v>1400</v>
      </c>
      <c r="AF67" s="72" t="s">
        <v>1157</v>
      </c>
      <c r="AG67" s="32" t="s">
        <v>1158</v>
      </c>
      <c r="AH67" s="42" t="s">
        <v>2273</v>
      </c>
      <c r="AI67" s="262"/>
      <c r="AK67" s="245"/>
      <c r="AL67" s="245"/>
    </row>
    <row r="68" spans="1:41">
      <c r="A68" s="347" t="str">
        <f>IFERROR(VLOOKUP($G68,基本資料!$A:$J,3,0),"無")</f>
        <v>無</v>
      </c>
      <c r="B68" s="79" t="str">
        <f>IFERROR(VLOOKUP($G68,基本資料!$A:$J,4,0),"無")</f>
        <v>無</v>
      </c>
      <c r="C68" s="79" t="str">
        <f>IFERROR(VLOOKUP($G68,基本資料!$A:$J,5,0),"無")</f>
        <v>無</v>
      </c>
      <c r="D68" s="79" t="str">
        <f>IFERROR(VLOOKUP($G68,基本資料!$A:$J,6,0),"無")</f>
        <v>無</v>
      </c>
      <c r="E68" s="79" t="str">
        <f>IFERROR(VLOOKUP($G68,基本資料!$A:$J,7,0),"無")</f>
        <v>無</v>
      </c>
      <c r="F68" s="6" t="str">
        <f>IFERROR(VLOOKUP($G68,基本資料!$A:$J,8,0),"無")</f>
        <v>無</v>
      </c>
      <c r="G68" s="79">
        <v>6735</v>
      </c>
      <c r="H68" s="8" t="s">
        <v>314</v>
      </c>
      <c r="I68" s="16" t="s">
        <v>6228</v>
      </c>
      <c r="J68" s="8" t="str">
        <f>IFERROR(VLOOKUP($G68,今日總結!$A:$AJ,35,0),"")</f>
        <v/>
      </c>
      <c r="K68" s="5" t="str">
        <f>IFERROR(VLOOKUP($G68,今日總結!$A:$AJ,36,0),"")</f>
        <v/>
      </c>
      <c r="L68" s="156" t="str">
        <f>IFERROR(VLOOKUP($G68,今日總結!$A:$AJ,33,0),"")</f>
        <v/>
      </c>
      <c r="M68" s="340" t="str">
        <f>IFERROR(VLOOKUP($G68,今日總結!$A:$AJ,34,0),"")</f>
        <v/>
      </c>
      <c r="N68" s="240" t="str">
        <f t="shared" ref="N68" si="60">IFERROR(L68-M68,"")</f>
        <v/>
      </c>
      <c r="P68" s="365" t="str">
        <f>IFERROR(VLOOKUP($G68,融外自投!$A:$J,7,0),"無")</f>
        <v>無</v>
      </c>
      <c r="Q68" s="79" t="str">
        <f>IFERROR(VLOOKUP($G68,融外自投!$A:$J,9,0),"無")</f>
        <v>無</v>
      </c>
      <c r="R68" s="346" t="str">
        <f>IFERROR(VLOOKUP($G68,融外自投!$A:$J,8,0),"無")</f>
        <v>無</v>
      </c>
      <c r="S68" s="81" t="str">
        <f>IFERROR(VLOOKUP($G68,融外自投!$A:$J,10,0),"無")</f>
        <v>無</v>
      </c>
      <c r="T68" s="327" t="str">
        <f>IFERROR(VLOOKUP($G68,'321買'!$A:$E,5,0),"'沒有資料'")</f>
        <v>'沒有資料'</v>
      </c>
      <c r="U68" s="186" t="str">
        <f>IFERROR(VLOOKUP($G68,基本資料!$A:$J,9,0),"無")</f>
        <v>無</v>
      </c>
      <c r="V68" s="310" t="e">
        <f>$U68/$X68</f>
        <v>#VALUE!</v>
      </c>
      <c r="W68" s="94" t="str">
        <f>IFERROR(VLOOKUP($G68,基本資料!$A:$J,10,0),"無")</f>
        <v>無</v>
      </c>
      <c r="X68" s="36">
        <v>80.599999999999994</v>
      </c>
      <c r="Y68" s="66">
        <v>83</v>
      </c>
      <c r="Z68" s="15">
        <f t="shared" ref="Z68" si="61">X68-Y68</f>
        <v>-2.4000000000000057</v>
      </c>
      <c r="AA68" s="76">
        <f t="shared" ref="AA68" si="62">Z68/Y68</f>
        <v>-2.891566265060248E-2</v>
      </c>
      <c r="AB68" s="99" t="s">
        <v>6280</v>
      </c>
      <c r="AC68" s="397" t="str">
        <f>IFERROR(VLOOKUP($G68,基本資料!$A:$M,12,0),"無")</f>
        <v>無</v>
      </c>
      <c r="AD68" s="16" t="s">
        <v>6228</v>
      </c>
      <c r="AE68" s="84">
        <v>44680</v>
      </c>
      <c r="AF68" s="86">
        <v>44690</v>
      </c>
      <c r="AG68" s="33">
        <f t="shared" ref="AG68" si="63">AF68-AE68</f>
        <v>10</v>
      </c>
      <c r="AH68" s="43" t="s">
        <v>6229</v>
      </c>
      <c r="AI68" s="63"/>
      <c r="AJ68" s="284"/>
      <c r="AK68" s="302"/>
      <c r="AL68" s="279"/>
      <c r="AM68" s="245"/>
      <c r="AN68" s="377"/>
      <c r="AO68" s="285"/>
    </row>
    <row r="69" spans="1:41">
      <c r="A69" s="347" t="str">
        <f>IFERROR(VLOOKUP($G69,基本資料!$A:$J,3,0),"無")</f>
        <v>無</v>
      </c>
      <c r="B69" s="79" t="str">
        <f>IFERROR(VLOOKUP($G69,基本資料!$A:$J,4,0),"無")</f>
        <v>無</v>
      </c>
      <c r="C69" s="79" t="str">
        <f>IFERROR(VLOOKUP($G69,基本資料!$A:$J,5,0),"無")</f>
        <v>無</v>
      </c>
      <c r="D69" s="79" t="str">
        <f>IFERROR(VLOOKUP($G69,基本資料!$A:$J,6,0),"無")</f>
        <v>無</v>
      </c>
      <c r="E69" s="79" t="str">
        <f>IFERROR(VLOOKUP($G69,基本資料!$A:$J,7,0),"無")</f>
        <v>無</v>
      </c>
      <c r="F69" s="6" t="str">
        <f>IFERROR(VLOOKUP($G69,基本資料!$A:$J,8,0),"無")</f>
        <v>無</v>
      </c>
      <c r="G69" s="79">
        <v>6721</v>
      </c>
      <c r="H69" s="8" t="s">
        <v>235</v>
      </c>
      <c r="I69" s="16" t="s">
        <v>6230</v>
      </c>
      <c r="J69" s="8" t="str">
        <f>IFERROR(VLOOKUP($G69,今日總結!$A:$AJ,35,0),"")</f>
        <v/>
      </c>
      <c r="K69" s="5" t="str">
        <f>IFERROR(VLOOKUP($G69,今日總結!$A:$AJ,36,0),"")</f>
        <v/>
      </c>
      <c r="L69" s="156" t="str">
        <f>IFERROR(VLOOKUP($G69,今日總結!$A:$AJ,33,0),"")</f>
        <v/>
      </c>
      <c r="M69" s="340" t="str">
        <f>IFERROR(VLOOKUP($G69,今日總結!$A:$AJ,34,0),"")</f>
        <v/>
      </c>
      <c r="N69" s="240" t="str">
        <f t="shared" ref="N69:N132" si="64">IFERROR(L69-M69,"")</f>
        <v/>
      </c>
      <c r="P69" s="365" t="str">
        <f>IFERROR(VLOOKUP($G69,融外自投!$A:$J,7,0),"無")</f>
        <v>無</v>
      </c>
      <c r="Q69" s="79" t="str">
        <f>IFERROR(VLOOKUP($G69,融外自投!$A:$J,9,0),"無")</f>
        <v>無</v>
      </c>
      <c r="R69" s="346" t="str">
        <f>IFERROR(VLOOKUP($G69,融外自投!$A:$J,8,0),"無")</f>
        <v>無</v>
      </c>
      <c r="S69" s="81" t="str">
        <f>IFERROR(VLOOKUP($G69,融外自投!$A:$J,10,0),"無")</f>
        <v>無</v>
      </c>
      <c r="T69" s="327" t="str">
        <f>IFERROR(VLOOKUP($G69,'321買'!$A:$E,5,0),"'沒有資料'")</f>
        <v>'沒有資料'</v>
      </c>
      <c r="U69" s="186" t="str">
        <f>IFERROR(VLOOKUP($G69,基本資料!$A:$J,9,0),"無")</f>
        <v>無</v>
      </c>
      <c r="V69" s="310" t="e">
        <f>$U69/$X69</f>
        <v>#VALUE!</v>
      </c>
      <c r="W69" s="94" t="str">
        <f>IFERROR(VLOOKUP($G69,基本資料!$A:$J,10,0),"無")</f>
        <v>無</v>
      </c>
      <c r="X69" s="36">
        <v>53.8</v>
      </c>
      <c r="Y69" s="66">
        <v>58</v>
      </c>
      <c r="Z69" s="15">
        <f>X69-Y69</f>
        <v>-4.2000000000000028</v>
      </c>
      <c r="AA69" s="76">
        <f>Z69/Y69</f>
        <v>-7.2413793103448323E-2</v>
      </c>
      <c r="AB69" s="99" t="s">
        <v>6281</v>
      </c>
      <c r="AC69" s="397" t="str">
        <f>IFERROR(VLOOKUP($G69,基本資料!$A:$M,12,0),"無")</f>
        <v>無</v>
      </c>
      <c r="AD69" s="16" t="s">
        <v>6230</v>
      </c>
      <c r="AE69" s="84">
        <v>44680</v>
      </c>
      <c r="AF69" s="86">
        <v>44690</v>
      </c>
      <c r="AG69" s="33">
        <f>AF69-AE69</f>
        <v>10</v>
      </c>
      <c r="AH69" s="117" t="s">
        <v>6231</v>
      </c>
      <c r="AI69" s="63"/>
      <c r="AJ69" s="284"/>
      <c r="AK69" s="302"/>
      <c r="AL69" s="279"/>
      <c r="AM69" s="245"/>
      <c r="AN69" s="377"/>
      <c r="AO69" s="285"/>
    </row>
    <row r="70" spans="1:41">
      <c r="A70" s="347" t="str">
        <f>IFERROR(VLOOKUP($G70,基本資料!$A:$J,3,0),"無")</f>
        <v>無</v>
      </c>
      <c r="B70" s="79" t="str">
        <f>IFERROR(VLOOKUP($G70,基本資料!$A:$J,4,0),"無")</f>
        <v>無</v>
      </c>
      <c r="C70" s="79" t="str">
        <f>IFERROR(VLOOKUP($G70,基本資料!$A:$J,5,0),"無")</f>
        <v>無</v>
      </c>
      <c r="D70" s="79" t="str">
        <f>IFERROR(VLOOKUP($G70,基本資料!$A:$J,6,0),"無")</f>
        <v>無</v>
      </c>
      <c r="E70" s="79" t="str">
        <f>IFERROR(VLOOKUP($G70,基本資料!$A:$J,7,0),"無")</f>
        <v>無</v>
      </c>
      <c r="F70" s="6" t="str">
        <f>IFERROR(VLOOKUP($G70,基本資料!$A:$J,8,0),"無")</f>
        <v>無</v>
      </c>
      <c r="G70" s="79">
        <v>6807</v>
      </c>
      <c r="H70" s="8" t="s">
        <v>235</v>
      </c>
      <c r="I70" s="22" t="s">
        <v>6227</v>
      </c>
      <c r="J70" s="8" t="str">
        <f>IFERROR(VLOOKUP($G70,今日總結!$A:$AJ,35,0),"")</f>
        <v/>
      </c>
      <c r="K70" s="5" t="str">
        <f>IFERROR(VLOOKUP($G70,今日總結!$A:$AJ,36,0),"")</f>
        <v/>
      </c>
      <c r="L70" s="156" t="str">
        <f>IFERROR(VLOOKUP($G70,今日總結!$A:$AJ,33,0),"")</f>
        <v/>
      </c>
      <c r="M70" s="340" t="str">
        <f>IFERROR(VLOOKUP($G70,今日總結!$A:$AJ,34,0),"")</f>
        <v/>
      </c>
      <c r="N70" s="240" t="str">
        <f t="shared" si="64"/>
        <v/>
      </c>
      <c r="P70" s="365" t="str">
        <f>IFERROR(VLOOKUP($G70,融外自投!$A:$J,7,0),"無")</f>
        <v>無</v>
      </c>
      <c r="Q70" s="79" t="str">
        <f>IFERROR(VLOOKUP($G70,融外自投!$A:$J,9,0),"無")</f>
        <v>無</v>
      </c>
      <c r="R70" s="346" t="str">
        <f>IFERROR(VLOOKUP($G70,融外自投!$A:$J,8,0),"無")</f>
        <v>無</v>
      </c>
      <c r="S70" s="81" t="str">
        <f>IFERROR(VLOOKUP($G70,融外自投!$A:$J,10,0),"無")</f>
        <v>無</v>
      </c>
      <c r="T70" s="327" t="str">
        <f>IFERROR(VLOOKUP($G70,'321買'!$A:$E,5,0),"'沒有資料'")</f>
        <v>'沒有資料'</v>
      </c>
      <c r="U70" s="186" t="str">
        <f>IFERROR(VLOOKUP($G70,基本資料!$A:$J,9,0),"無")</f>
        <v>無</v>
      </c>
      <c r="V70" s="310" t="e">
        <f t="shared" ref="V70:V133" si="65">$U70/$X70</f>
        <v>#VALUE!</v>
      </c>
      <c r="W70" s="94" t="str">
        <f>IFERROR(VLOOKUP($G70,基本資料!$A:$J,10,0),"無")</f>
        <v>無</v>
      </c>
      <c r="X70" s="36">
        <v>36.450000000000003</v>
      </c>
      <c r="Y70" s="66">
        <v>40</v>
      </c>
      <c r="Z70" s="15">
        <f t="shared" ref="Z70" si="66">X70-Y70</f>
        <v>-3.5499999999999972</v>
      </c>
      <c r="AA70" s="76">
        <f t="shared" ref="AA70" si="67">Z70/Y70</f>
        <v>-8.8749999999999926E-2</v>
      </c>
      <c r="AB70" s="99" t="s">
        <v>6270</v>
      </c>
      <c r="AC70" s="397" t="str">
        <f>IFERROR(VLOOKUP($G70,基本資料!$A:$M,12,0),"無")</f>
        <v>無</v>
      </c>
      <c r="AD70" s="22" t="s">
        <v>6227</v>
      </c>
      <c r="AE70" s="84">
        <v>44676</v>
      </c>
      <c r="AF70" s="86">
        <v>44686</v>
      </c>
      <c r="AG70" s="33">
        <f>AF70-AE70</f>
        <v>10</v>
      </c>
      <c r="AH70" s="43" t="s">
        <v>6275</v>
      </c>
      <c r="AI70" s="63"/>
      <c r="AJ70" s="284"/>
      <c r="AL70" s="63"/>
      <c r="AM70" s="284"/>
      <c r="AN70" s="302"/>
      <c r="AO70" s="378"/>
    </row>
    <row r="71" spans="1:41">
      <c r="A71" s="347">
        <f>IFERROR(VLOOKUP($G71,基本資料!$A:$J,3,0),"無")</f>
        <v>14.99</v>
      </c>
      <c r="B71" s="79">
        <f>IFERROR(VLOOKUP($G71,基本資料!$A:$J,4,0),"無")</f>
        <v>10</v>
      </c>
      <c r="C71" s="79">
        <f>IFERROR(VLOOKUP($G71,基本資料!$A:$J,5,0),"無")</f>
        <v>15</v>
      </c>
      <c r="D71" s="79">
        <f>IFERROR(VLOOKUP($G71,基本資料!$A:$J,6,0),"無")</f>
        <v>-100</v>
      </c>
      <c r="E71" s="79">
        <f>IFERROR(VLOOKUP($G71,基本資料!$A:$J,7,0),"無")</f>
        <v>-100</v>
      </c>
      <c r="F71" s="6">
        <f>IFERROR(VLOOKUP($G71,基本資料!$A:$J,8,0),"無")</f>
        <v>14.02</v>
      </c>
      <c r="G71" s="80">
        <v>6186</v>
      </c>
      <c r="H71" s="5" t="s">
        <v>4003</v>
      </c>
      <c r="I71" s="16" t="s">
        <v>893</v>
      </c>
      <c r="J71" s="8">
        <f>IFERROR(VLOOKUP($G71,今日總結!$A:$AJ,35,0),"")</f>
        <v>0</v>
      </c>
      <c r="K71" s="5" t="str">
        <f>IFERROR(VLOOKUP($G71,今日總結!$A:$AJ,36,0),"")</f>
        <v>外借</v>
      </c>
      <c r="L71" s="156">
        <f>IFERROR(VLOOKUP($G71,今日總結!$A:$AJ,33,0),"")</f>
        <v>0</v>
      </c>
      <c r="M71" s="340">
        <f>IFERROR(VLOOKUP($G71,今日總結!$A:$AJ,34,0),"")</f>
        <v>2</v>
      </c>
      <c r="N71" s="240">
        <f t="shared" si="64"/>
        <v>-2</v>
      </c>
      <c r="P71" s="365">
        <f>IFERROR(VLOOKUP($G71,融外自投!$A:$J,7,0),"無")</f>
        <v>670</v>
      </c>
      <c r="Q71" s="79" t="str">
        <f>IFERROR(VLOOKUP($G71,融外自投!$A:$J,9,0),"無")</f>
        <v>無</v>
      </c>
      <c r="R71" s="346">
        <f>IFERROR(VLOOKUP($G71,融外自投!$A:$J,8,0),"無")</f>
        <v>1390</v>
      </c>
      <c r="S71" s="81" t="str">
        <f>IFERROR(VLOOKUP($G71,融外自投!$A:$J,10,0),"無")</f>
        <v>無</v>
      </c>
      <c r="T71" s="327">
        <f>IFERROR(VLOOKUP($G71,'321買'!$A:$E,5,0),"'沒有資料'")</f>
        <v>729</v>
      </c>
      <c r="U71" s="186">
        <f>IFERROR(VLOOKUP($G71,基本資料!$A:$J,9,0),"無")</f>
        <v>0</v>
      </c>
      <c r="V71" s="310">
        <f t="shared" si="65"/>
        <v>0</v>
      </c>
      <c r="W71" s="94">
        <f>IFERROR(VLOOKUP($G71,基本資料!$A:$J,10,0),"無")</f>
        <v>3.08</v>
      </c>
      <c r="X71" s="36">
        <v>26.55</v>
      </c>
      <c r="Y71" s="66">
        <v>24.5</v>
      </c>
      <c r="Z71" s="15">
        <f t="shared" ref="Z71" si="68">X71-Y71</f>
        <v>2.0500000000000007</v>
      </c>
      <c r="AA71" s="63">
        <f t="shared" ref="AA71" si="69">Z71/Y71</f>
        <v>8.3673469387755134E-2</v>
      </c>
      <c r="AB71" s="99" t="s">
        <v>6266</v>
      </c>
      <c r="AC71" s="397">
        <f>IFERROR(VLOOKUP($G71,基本資料!$A:$M,12,0),"無")</f>
        <v>43.7</v>
      </c>
      <c r="AD71" s="16" t="s">
        <v>893</v>
      </c>
      <c r="AE71" s="84">
        <v>44665</v>
      </c>
      <c r="AF71" s="86">
        <v>44676</v>
      </c>
      <c r="AG71" s="33">
        <f t="shared" ref="AG71:AG77" si="70">AF71-AE71</f>
        <v>11</v>
      </c>
      <c r="AH71" s="43" t="s">
        <v>2012</v>
      </c>
      <c r="AL71" s="63"/>
      <c r="AM71" s="284"/>
      <c r="AN71" s="302"/>
      <c r="AO71" s="378"/>
    </row>
    <row r="72" spans="1:41">
      <c r="A72" s="347" t="str">
        <f>IFERROR(VLOOKUP($G72,基本資料!$A:$J,3,0),"無")</f>
        <v>無</v>
      </c>
      <c r="B72" s="79" t="str">
        <f>IFERROR(VLOOKUP($G72,基本資料!$A:$J,4,0),"無")</f>
        <v>無</v>
      </c>
      <c r="C72" s="79" t="str">
        <f>IFERROR(VLOOKUP($G72,基本資料!$A:$J,5,0),"無")</f>
        <v>無</v>
      </c>
      <c r="D72" s="79" t="str">
        <f>IFERROR(VLOOKUP($G72,基本資料!$A:$J,6,0),"無")</f>
        <v>無</v>
      </c>
      <c r="E72" s="79" t="str">
        <f>IFERROR(VLOOKUP($G72,基本資料!$A:$J,7,0),"無")</f>
        <v>無</v>
      </c>
      <c r="F72" s="6" t="str">
        <f>IFERROR(VLOOKUP($G72,基本資料!$A:$J,8,0),"無")</f>
        <v>無</v>
      </c>
      <c r="G72" s="80">
        <v>4768</v>
      </c>
      <c r="H72" s="5" t="s">
        <v>755</v>
      </c>
      <c r="I72" s="16" t="s">
        <v>6177</v>
      </c>
      <c r="J72" s="8" t="str">
        <f>IFERROR(VLOOKUP($G72,今日總結!$A:$AJ,35,0),"")</f>
        <v/>
      </c>
      <c r="K72" s="5" t="str">
        <f>IFERROR(VLOOKUP($G72,今日總結!$A:$AJ,36,0),"")</f>
        <v/>
      </c>
      <c r="L72" s="156" t="str">
        <f>IFERROR(VLOOKUP($G72,今日總結!$A:$AJ,33,0),"")</f>
        <v/>
      </c>
      <c r="M72" s="340" t="str">
        <f>IFERROR(VLOOKUP($G72,今日總結!$A:$AJ,34,0),"")</f>
        <v/>
      </c>
      <c r="N72" s="240" t="str">
        <f t="shared" si="64"/>
        <v/>
      </c>
      <c r="P72" s="365" t="str">
        <f>IFERROR(VLOOKUP($G72,融外自投!$A:$J,7,0),"無")</f>
        <v>無</v>
      </c>
      <c r="Q72" s="79" t="str">
        <f>IFERROR(VLOOKUP($G72,融外自投!$A:$J,9,0),"無")</f>
        <v>無</v>
      </c>
      <c r="R72" s="346" t="str">
        <f>IFERROR(VLOOKUP($G72,融外自投!$A:$J,8,0),"無")</f>
        <v>無</v>
      </c>
      <c r="S72" s="81" t="str">
        <f>IFERROR(VLOOKUP($G72,融外自投!$A:$J,10,0),"無")</f>
        <v>無</v>
      </c>
      <c r="T72" s="327" t="str">
        <f>IFERROR(VLOOKUP($G72,'321買'!$A:$E,5,0),"'沒有資料'")</f>
        <v>'沒有資料'</v>
      </c>
      <c r="U72" s="186" t="str">
        <f>IFERROR(VLOOKUP($G72,基本資料!$A:$J,9,0),"無")</f>
        <v>無</v>
      </c>
      <c r="V72" s="310" t="e">
        <f t="shared" si="65"/>
        <v>#VALUE!</v>
      </c>
      <c r="W72" s="94" t="str">
        <f>IFERROR(VLOOKUP($G72,基本資料!$A:$J,10,0),"無")</f>
        <v>無</v>
      </c>
      <c r="X72" s="36">
        <v>105</v>
      </c>
      <c r="Y72" s="66">
        <v>86.8</v>
      </c>
      <c r="Z72" s="15">
        <f t="shared" ref="Z72" si="71">X72-Y72</f>
        <v>18.200000000000003</v>
      </c>
      <c r="AA72" s="63">
        <f t="shared" ref="AA72" si="72">Z72/Y72</f>
        <v>0.20967741935483875</v>
      </c>
      <c r="AB72" s="99" t="s">
        <v>6267</v>
      </c>
      <c r="AC72" s="397" t="str">
        <f>IFERROR(VLOOKUP($G72,基本資料!$A:$M,12,0),"無")</f>
        <v>無</v>
      </c>
      <c r="AD72" s="16" t="s">
        <v>6177</v>
      </c>
      <c r="AE72" s="84">
        <v>44664</v>
      </c>
      <c r="AF72" s="86">
        <v>44676</v>
      </c>
      <c r="AG72" s="33">
        <f t="shared" si="70"/>
        <v>12</v>
      </c>
      <c r="AH72" s="43" t="s">
        <v>6178</v>
      </c>
      <c r="AL72" s="63"/>
      <c r="AM72" s="284"/>
      <c r="AN72" s="302"/>
      <c r="AO72" s="379"/>
    </row>
    <row r="73" spans="1:41">
      <c r="A73" s="347">
        <f>IFERROR(VLOOKUP($G73,基本資料!$A:$J,3,0),"無")</f>
        <v>4.3099999999999996</v>
      </c>
      <c r="B73" s="79">
        <f>IFERROR(VLOOKUP($G73,基本資料!$A:$J,4,0),"無")</f>
        <v>6</v>
      </c>
      <c r="C73" s="79">
        <f>IFERROR(VLOOKUP($G73,基本資料!$A:$J,5,0),"無")</f>
        <v>2</v>
      </c>
      <c r="D73" s="79">
        <f>IFERROR(VLOOKUP($G73,基本資料!$A:$J,6,0),"無")</f>
        <v>5</v>
      </c>
      <c r="E73" s="79">
        <f>IFERROR(VLOOKUP($G73,基本資料!$A:$J,7,0),"無")</f>
        <v>13</v>
      </c>
      <c r="F73" s="6">
        <f>IFERROR(VLOOKUP($G73,基本資料!$A:$J,8,0),"無")</f>
        <v>18.38</v>
      </c>
      <c r="G73" s="79">
        <v>4580</v>
      </c>
      <c r="H73" s="8" t="s">
        <v>295</v>
      </c>
      <c r="I73" s="16" t="s">
        <v>1780</v>
      </c>
      <c r="J73" s="8" t="str">
        <f>IFERROR(VLOOKUP($G73,今日總結!$A:$AJ,35,0),"")</f>
        <v/>
      </c>
      <c r="K73" s="5" t="str">
        <f>IFERROR(VLOOKUP($G73,今日總結!$A:$AJ,36,0),"")</f>
        <v/>
      </c>
      <c r="L73" s="156" t="str">
        <f>IFERROR(VLOOKUP($G73,今日總結!$A:$AJ,33,0),"")</f>
        <v/>
      </c>
      <c r="M73" s="340" t="str">
        <f>IFERROR(VLOOKUP($G73,今日總結!$A:$AJ,34,0),"")</f>
        <v/>
      </c>
      <c r="N73" s="240" t="str">
        <f t="shared" si="64"/>
        <v/>
      </c>
      <c r="P73" s="365">
        <f>IFERROR(VLOOKUP($G73,融外自投!$A:$J,7,0),"無")</f>
        <v>1138</v>
      </c>
      <c r="Q73" s="79">
        <f>IFERROR(VLOOKUP($G73,融外自投!$A:$J,9,0),"無")</f>
        <v>1110</v>
      </c>
      <c r="R73" s="346">
        <f>IFERROR(VLOOKUP($G73,融外自投!$A:$J,8,0),"無")</f>
        <v>1322</v>
      </c>
      <c r="S73" s="81" t="str">
        <f>IFERROR(VLOOKUP($G73,融外自投!$A:$J,10,0),"無")</f>
        <v>無</v>
      </c>
      <c r="T73" s="327">
        <f>IFERROR(VLOOKUP($G73,'321買'!$A:$E,5,0),"'沒有資料'")</f>
        <v>1085</v>
      </c>
      <c r="U73" s="186">
        <f>IFERROR(VLOOKUP($G73,基本資料!$A:$J,9,0),"無")</f>
        <v>5.75</v>
      </c>
      <c r="V73" s="310">
        <f t="shared" si="65"/>
        <v>6.4461883408071741E-2</v>
      </c>
      <c r="W73" s="94">
        <f>IFERROR(VLOOKUP($G73,基本資料!$A:$J,10,0),"無")</f>
        <v>8.0399999999999991</v>
      </c>
      <c r="X73" s="36">
        <v>89.2</v>
      </c>
      <c r="Y73" s="66">
        <v>84</v>
      </c>
      <c r="Z73" s="15">
        <f t="shared" ref="Z73" si="73">X73-Y73</f>
        <v>5.2000000000000028</v>
      </c>
      <c r="AA73" s="63">
        <f t="shared" ref="AA73" si="74">Z73/Y73</f>
        <v>6.1904761904761942E-2</v>
      </c>
      <c r="AB73" s="99" t="s">
        <v>6210</v>
      </c>
      <c r="AC73" s="397">
        <f>IFERROR(VLOOKUP($G73,基本資料!$A:$M,12,0),"無")</f>
        <v>12.11</v>
      </c>
      <c r="AD73" s="16" t="s">
        <v>1780</v>
      </c>
      <c r="AE73" s="84">
        <v>44663</v>
      </c>
      <c r="AF73" s="86">
        <v>44673</v>
      </c>
      <c r="AG73" s="33">
        <f t="shared" si="70"/>
        <v>10</v>
      </c>
      <c r="AH73" s="119" t="s">
        <v>1781</v>
      </c>
      <c r="AL73" s="63"/>
      <c r="AM73" s="284"/>
      <c r="AN73" s="302"/>
      <c r="AO73" s="378"/>
    </row>
    <row r="74" spans="1:41">
      <c r="A74" s="347">
        <f>IFERROR(VLOOKUP($G74,基本資料!$A:$J,3,0),"無")</f>
        <v>3.32</v>
      </c>
      <c r="B74" s="79">
        <f>IFERROR(VLOOKUP($G74,基本資料!$A:$J,4,0),"無")</f>
        <v>-23</v>
      </c>
      <c r="C74" s="79">
        <f>IFERROR(VLOOKUP($G74,基本資料!$A:$J,5,0),"無")</f>
        <v>-53</v>
      </c>
      <c r="D74" s="79">
        <f>IFERROR(VLOOKUP($G74,基本資料!$A:$J,6,0),"無")</f>
        <v>-25</v>
      </c>
      <c r="E74" s="79">
        <f>IFERROR(VLOOKUP($G74,基本資料!$A:$J,7,0),"無")</f>
        <v>73</v>
      </c>
      <c r="F74" s="6">
        <f>IFERROR(VLOOKUP($G74,基本資料!$A:$J,8,0),"無")</f>
        <v>6.2</v>
      </c>
      <c r="G74" s="79">
        <v>6569</v>
      </c>
      <c r="H74" s="5" t="s">
        <v>309</v>
      </c>
      <c r="I74" s="16" t="s">
        <v>3842</v>
      </c>
      <c r="J74" s="8" t="str">
        <f>IFERROR(VLOOKUP($G74,今日總結!$A:$AJ,35,0),"")</f>
        <v/>
      </c>
      <c r="K74" s="5" t="str">
        <f>IFERROR(VLOOKUP($G74,今日總結!$A:$AJ,36,0),"")</f>
        <v/>
      </c>
      <c r="L74" s="156" t="str">
        <f>IFERROR(VLOOKUP($G74,今日總結!$A:$AJ,33,0),"")</f>
        <v/>
      </c>
      <c r="M74" s="340" t="str">
        <f>IFERROR(VLOOKUP($G74,今日總結!$A:$AJ,34,0),"")</f>
        <v/>
      </c>
      <c r="N74" s="240" t="str">
        <f t="shared" si="64"/>
        <v/>
      </c>
      <c r="P74" s="365" t="str">
        <f>IFERROR(VLOOKUP($G74,融外自投!$A:$J,7,0),"無")</f>
        <v>無</v>
      </c>
      <c r="Q74" s="79" t="str">
        <f>IFERROR(VLOOKUP($G74,融外自投!$A:$J,9,0),"無")</f>
        <v>無</v>
      </c>
      <c r="R74" s="346" t="str">
        <f>IFERROR(VLOOKUP($G74,融外自投!$A:$J,8,0),"無")</f>
        <v>無</v>
      </c>
      <c r="S74" s="81" t="str">
        <f>IFERROR(VLOOKUP($G74,融外自投!$A:$J,10,0),"無")</f>
        <v>無</v>
      </c>
      <c r="T74" s="327" t="str">
        <f>IFERROR(VLOOKUP($G74,'321買'!$A:$E,5,0),"'沒有資料'")</f>
        <v>'沒有資料'</v>
      </c>
      <c r="U74" s="186">
        <f>IFERROR(VLOOKUP($G74,基本資料!$A:$J,9,0),"無")</f>
        <v>4</v>
      </c>
      <c r="V74" s="310">
        <f t="shared" si="65"/>
        <v>3.7914691943127965E-2</v>
      </c>
      <c r="W74" s="94">
        <f>IFERROR(VLOOKUP($G74,基本資料!$A:$J,10,0),"無")</f>
        <v>4.22</v>
      </c>
      <c r="X74" s="36">
        <v>105.5</v>
      </c>
      <c r="Y74" s="66">
        <v>88</v>
      </c>
      <c r="Z74" s="15">
        <f t="shared" ref="Z74" si="75">X74-Y74</f>
        <v>17.5</v>
      </c>
      <c r="AA74" s="63">
        <f t="shared" ref="AA74" si="76">Z74/Y74</f>
        <v>0.19886363636363635</v>
      </c>
      <c r="AB74" s="99" t="s">
        <v>6199</v>
      </c>
      <c r="AC74" s="397">
        <f>IFERROR(VLOOKUP($G74,基本資料!$A:$M,12,0),"無")</f>
        <v>48.45</v>
      </c>
      <c r="AD74" s="16" t="s">
        <v>3842</v>
      </c>
      <c r="AE74" s="84">
        <v>44659</v>
      </c>
      <c r="AF74" s="86">
        <v>44669</v>
      </c>
      <c r="AG74" s="33">
        <f t="shared" si="70"/>
        <v>10</v>
      </c>
      <c r="AH74" s="43" t="s">
        <v>3843</v>
      </c>
      <c r="AL74" s="63"/>
      <c r="AM74" s="284"/>
      <c r="AN74" s="302"/>
      <c r="AO74" s="378"/>
    </row>
    <row r="75" spans="1:41">
      <c r="A75" s="347">
        <f>IFERROR(VLOOKUP($G75,基本資料!$A:$J,3,0),"無")</f>
        <v>6.68</v>
      </c>
      <c r="B75" s="79">
        <f>IFERROR(VLOOKUP($G75,基本資料!$A:$J,4,0),"無")</f>
        <v>30</v>
      </c>
      <c r="C75" s="79">
        <f>IFERROR(VLOOKUP($G75,基本資料!$A:$J,5,0),"無")</f>
        <v>56</v>
      </c>
      <c r="D75" s="79">
        <f>IFERROR(VLOOKUP($G75,基本資料!$A:$J,6,0),"無")</f>
        <v>-4</v>
      </c>
      <c r="E75" s="79">
        <f>IFERROR(VLOOKUP($G75,基本資料!$A:$J,7,0),"無")</f>
        <v>-60</v>
      </c>
      <c r="F75" s="6">
        <f>IFERROR(VLOOKUP($G75,基本資料!$A:$J,8,0),"無")</f>
        <v>-8</v>
      </c>
      <c r="G75" s="80">
        <v>5484</v>
      </c>
      <c r="H75" s="5" t="s">
        <v>1878</v>
      </c>
      <c r="I75" s="22" t="s">
        <v>4261</v>
      </c>
      <c r="J75" s="8" t="str">
        <f>IFERROR(VLOOKUP($G75,今日總結!$A:$AJ,35,0),"")</f>
        <v/>
      </c>
      <c r="K75" s="5" t="str">
        <f>IFERROR(VLOOKUP($G75,今日總結!$A:$AJ,36,0),"")</f>
        <v/>
      </c>
      <c r="L75" s="156" t="str">
        <f>IFERROR(VLOOKUP($G75,今日總結!$A:$AJ,33,0),"")</f>
        <v/>
      </c>
      <c r="M75" s="340" t="str">
        <f>IFERROR(VLOOKUP($G75,今日總結!$A:$AJ,34,0),"")</f>
        <v/>
      </c>
      <c r="N75" s="240" t="str">
        <f t="shared" si="64"/>
        <v/>
      </c>
      <c r="P75" s="365" t="str">
        <f>IFERROR(VLOOKUP($G75,融外自投!$A:$J,7,0),"無")</f>
        <v>無</v>
      </c>
      <c r="Q75" s="79" t="str">
        <f>IFERROR(VLOOKUP($G75,融外自投!$A:$J,9,0),"無")</f>
        <v>無</v>
      </c>
      <c r="R75" s="346" t="str">
        <f>IFERROR(VLOOKUP($G75,融外自投!$A:$J,8,0),"無")</f>
        <v>無</v>
      </c>
      <c r="S75" s="81" t="str">
        <f>IFERROR(VLOOKUP($G75,融外自投!$A:$J,10,0),"無")</f>
        <v>無</v>
      </c>
      <c r="T75" s="327" t="str">
        <f>IFERROR(VLOOKUP($G75,'321買'!$A:$E,5,0),"'沒有資料'")</f>
        <v>'沒有資料'</v>
      </c>
      <c r="U75" s="186">
        <f>IFERROR(VLOOKUP($G75,基本資料!$A:$J,9,0),"無")</f>
        <v>0</v>
      </c>
      <c r="V75" s="310">
        <f t="shared" si="65"/>
        <v>0</v>
      </c>
      <c r="W75" s="94">
        <f>IFERROR(VLOOKUP($G75,基本資料!$A:$J,10,0),"無")</f>
        <v>-0.63</v>
      </c>
      <c r="X75" s="36">
        <v>14.2</v>
      </c>
      <c r="Y75" s="66">
        <v>14</v>
      </c>
      <c r="Z75" s="15">
        <f t="shared" ref="Z75" si="77">X75-Y75</f>
        <v>0.19999999999999929</v>
      </c>
      <c r="AA75" s="63">
        <f t="shared" ref="AA75" si="78">Z75/Y75</f>
        <v>1.4285714285714235E-2</v>
      </c>
      <c r="AB75" s="99" t="s">
        <v>6200</v>
      </c>
      <c r="AC75" s="397">
        <f>IFERROR(VLOOKUP($G75,基本資料!$A:$M,12,0),"無")</f>
        <v>8.19</v>
      </c>
      <c r="AD75" s="22" t="s">
        <v>4261</v>
      </c>
      <c r="AE75" s="84">
        <v>44659</v>
      </c>
      <c r="AF75" s="86">
        <v>44669</v>
      </c>
      <c r="AG75" s="33">
        <f t="shared" si="70"/>
        <v>10</v>
      </c>
      <c r="AH75" s="43" t="s">
        <v>4262</v>
      </c>
      <c r="AL75" s="63"/>
      <c r="AM75" s="284"/>
      <c r="AN75" s="302"/>
      <c r="AO75" s="378"/>
    </row>
    <row r="76" spans="1:41">
      <c r="A76" s="347">
        <f>IFERROR(VLOOKUP($G76,基本資料!$A:$J,3,0),"無")</f>
        <v>10.66</v>
      </c>
      <c r="B76" s="79">
        <f>IFERROR(VLOOKUP($G76,基本資料!$A:$J,4,0),"無")</f>
        <v>680</v>
      </c>
      <c r="C76" s="79">
        <f>IFERROR(VLOOKUP($G76,基本資料!$A:$J,5,0),"無")</f>
        <v>1465</v>
      </c>
      <c r="D76" s="79">
        <f>IFERROR(VLOOKUP($G76,基本資料!$A:$J,6,0),"無")</f>
        <v>-35</v>
      </c>
      <c r="E76" s="79">
        <f>IFERROR(VLOOKUP($G76,基本資料!$A:$J,7,0),"無")</f>
        <v>-13</v>
      </c>
      <c r="F76" s="6">
        <f>IFERROR(VLOOKUP($G76,基本資料!$A:$J,8,0),"無")</f>
        <v>1.62</v>
      </c>
      <c r="G76" s="80">
        <v>3346</v>
      </c>
      <c r="H76" s="5" t="s">
        <v>301</v>
      </c>
      <c r="I76" s="22" t="s">
        <v>577</v>
      </c>
      <c r="J76" s="8" t="str">
        <f>IFERROR(VLOOKUP($G76,今日總結!$A:$AJ,35,0),"")</f>
        <v/>
      </c>
      <c r="K76" s="5" t="str">
        <f>IFERROR(VLOOKUP($G76,今日總結!$A:$AJ,36,0),"")</f>
        <v/>
      </c>
      <c r="L76" s="156" t="str">
        <f>IFERROR(VLOOKUP($G76,今日總結!$A:$AJ,33,0),"")</f>
        <v/>
      </c>
      <c r="M76" s="340" t="str">
        <f>IFERROR(VLOOKUP($G76,今日總結!$A:$AJ,34,0),"")</f>
        <v/>
      </c>
      <c r="N76" s="240" t="str">
        <f t="shared" si="64"/>
        <v/>
      </c>
      <c r="P76" s="365">
        <f>IFERROR(VLOOKUP($G76,融外自投!$A:$J,7,0),"無")</f>
        <v>218</v>
      </c>
      <c r="Q76" s="79" t="str">
        <f>IFERROR(VLOOKUP($G76,融外自投!$A:$J,9,0),"無")</f>
        <v>無</v>
      </c>
      <c r="R76" s="346">
        <f>IFERROR(VLOOKUP($G76,融外自投!$A:$J,8,0),"無")</f>
        <v>933</v>
      </c>
      <c r="S76" s="81" t="str">
        <f>IFERROR(VLOOKUP($G76,融外自投!$A:$J,10,0),"無")</f>
        <v>無</v>
      </c>
      <c r="T76" s="327">
        <f>IFERROR(VLOOKUP($G76,'321買'!$A:$E,5,0),"'沒有資料'")</f>
        <v>779</v>
      </c>
      <c r="U76" s="186">
        <f>IFERROR(VLOOKUP($G76,基本資料!$A:$J,9,0),"無")</f>
        <v>0.62</v>
      </c>
      <c r="V76" s="310">
        <f t="shared" si="65"/>
        <v>1.7919075144508669E-2</v>
      </c>
      <c r="W76" s="94">
        <f>IFERROR(VLOOKUP($G76,基本資料!$A:$J,10,0),"無")</f>
        <v>1.03</v>
      </c>
      <c r="X76" s="36">
        <v>34.6</v>
      </c>
      <c r="Y76" s="66">
        <v>33</v>
      </c>
      <c r="Z76" s="15">
        <f t="shared" ref="Z76" si="79">X76-Y76</f>
        <v>1.6000000000000014</v>
      </c>
      <c r="AA76" s="63">
        <f t="shared" ref="AA76" si="80">Z76/Y76</f>
        <v>4.8484848484848526E-2</v>
      </c>
      <c r="AB76" s="99" t="s">
        <v>6201</v>
      </c>
      <c r="AC76" s="397">
        <f>IFERROR(VLOOKUP($G76,基本資料!$A:$M,12,0),"無")</f>
        <v>5.04</v>
      </c>
      <c r="AD76" s="22" t="s">
        <v>577</v>
      </c>
      <c r="AE76" s="84">
        <v>44659</v>
      </c>
      <c r="AF76" s="86">
        <v>44669</v>
      </c>
      <c r="AG76" s="33">
        <f t="shared" si="70"/>
        <v>10</v>
      </c>
      <c r="AH76" s="43" t="s">
        <v>2089</v>
      </c>
      <c r="AL76" s="63"/>
      <c r="AM76" s="284"/>
      <c r="AN76" s="302"/>
      <c r="AO76" s="378"/>
    </row>
    <row r="77" spans="1:41">
      <c r="A77" s="347">
        <f>IFERROR(VLOOKUP($G77,基本資料!$A:$J,3,0),"無")</f>
        <v>11.41</v>
      </c>
      <c r="B77" s="79">
        <f>IFERROR(VLOOKUP($G77,基本資料!$A:$J,4,0),"無")</f>
        <v>-2</v>
      </c>
      <c r="C77" s="79">
        <f>IFERROR(VLOOKUP($G77,基本資料!$A:$J,5,0),"無")</f>
        <v>-4</v>
      </c>
      <c r="D77" s="79">
        <f>IFERROR(VLOOKUP($G77,基本資料!$A:$J,6,0),"無")</f>
        <v>-4</v>
      </c>
      <c r="E77" s="79">
        <f>IFERROR(VLOOKUP($G77,基本資料!$A:$J,7,0),"無")</f>
        <v>0</v>
      </c>
      <c r="F77" s="6">
        <f>IFERROR(VLOOKUP($G77,基本資料!$A:$J,8,0),"無")</f>
        <v>-5.2</v>
      </c>
      <c r="G77" s="80">
        <v>3625</v>
      </c>
      <c r="H77" s="183" t="s">
        <v>1146</v>
      </c>
      <c r="I77" s="24" t="s">
        <v>2213</v>
      </c>
      <c r="J77" s="8" t="str">
        <f>IFERROR(VLOOKUP($G77,今日總結!$A:$AJ,35,0),"")</f>
        <v/>
      </c>
      <c r="K77" s="5" t="str">
        <f>IFERROR(VLOOKUP($G77,今日總結!$A:$AJ,36,0),"")</f>
        <v/>
      </c>
      <c r="L77" s="156" t="str">
        <f>IFERROR(VLOOKUP($G77,今日總結!$A:$AJ,33,0),"")</f>
        <v/>
      </c>
      <c r="M77" s="340" t="str">
        <f>IFERROR(VLOOKUP($G77,今日總結!$A:$AJ,34,0),"")</f>
        <v/>
      </c>
      <c r="N77" s="240" t="str">
        <f t="shared" si="64"/>
        <v/>
      </c>
      <c r="P77" s="365">
        <f>IFERROR(VLOOKUP($G77,融外自投!$A:$J,7,0),"無")</f>
        <v>529</v>
      </c>
      <c r="Q77" s="79" t="str">
        <f>IFERROR(VLOOKUP($G77,融外自投!$A:$J,9,0),"無")</f>
        <v>無</v>
      </c>
      <c r="R77" s="346">
        <f>IFERROR(VLOOKUP($G77,融外自投!$A:$J,8,0),"無")</f>
        <v>663</v>
      </c>
      <c r="S77" s="81" t="str">
        <f>IFERROR(VLOOKUP($G77,融外自投!$A:$J,10,0),"無")</f>
        <v>無</v>
      </c>
      <c r="T77" s="327">
        <f>IFERROR(VLOOKUP($G77,'321買'!$A:$E,5,0),"'沒有資料'")</f>
        <v>683</v>
      </c>
      <c r="U77" s="186">
        <f>IFERROR(VLOOKUP($G77,基本資料!$A:$J,9,0),"無")</f>
        <v>0</v>
      </c>
      <c r="V77" s="310">
        <f t="shared" si="65"/>
        <v>0</v>
      </c>
      <c r="W77" s="94">
        <f>IFERROR(VLOOKUP($G77,基本資料!$A:$J,10,0),"無")</f>
        <v>-1.92</v>
      </c>
      <c r="X77" s="36">
        <v>19.75</v>
      </c>
      <c r="Y77" s="66">
        <v>20</v>
      </c>
      <c r="Z77" s="15">
        <f t="shared" ref="Z77" si="81">X77-Y77</f>
        <v>-0.25</v>
      </c>
      <c r="AA77" s="76">
        <f t="shared" ref="AA77" si="82">Z77/Y77</f>
        <v>-1.2500000000000001E-2</v>
      </c>
      <c r="AB77" s="99" t="s">
        <v>1123</v>
      </c>
      <c r="AC77" s="397">
        <f>IFERROR(VLOOKUP($G77,基本資料!$A:$M,12,0),"無")</f>
        <v>8.36</v>
      </c>
      <c r="AD77" s="24" t="s">
        <v>2213</v>
      </c>
      <c r="AE77" s="84">
        <v>44658</v>
      </c>
      <c r="AF77" s="86">
        <v>44669</v>
      </c>
      <c r="AG77" s="33">
        <f t="shared" si="70"/>
        <v>11</v>
      </c>
      <c r="AH77" s="119" t="s">
        <v>2214</v>
      </c>
      <c r="AL77" s="63"/>
      <c r="AM77" s="284"/>
      <c r="AN77" s="302"/>
      <c r="AO77" s="378"/>
    </row>
    <row r="78" spans="1:41">
      <c r="A78" s="347" t="str">
        <f>IFERROR(VLOOKUP($G78,基本資料!$A:$J,3,0),"無")</f>
        <v>無</v>
      </c>
      <c r="B78" s="79" t="str">
        <f>IFERROR(VLOOKUP($G78,基本資料!$A:$J,4,0),"無")</f>
        <v>無</v>
      </c>
      <c r="C78" s="79" t="str">
        <f>IFERROR(VLOOKUP($G78,基本資料!$A:$J,5,0),"無")</f>
        <v>無</v>
      </c>
      <c r="D78" s="79" t="str">
        <f>IFERROR(VLOOKUP($G78,基本資料!$A:$J,6,0),"無")</f>
        <v>無</v>
      </c>
      <c r="E78" s="79" t="str">
        <f>IFERROR(VLOOKUP($G78,基本資料!$A:$J,7,0),"無")</f>
        <v>無</v>
      </c>
      <c r="F78" s="6" t="str">
        <f>IFERROR(VLOOKUP($G78,基本資料!$A:$J,8,0),"無")</f>
        <v>無</v>
      </c>
      <c r="G78" s="80">
        <v>6804</v>
      </c>
      <c r="H78" s="5" t="s">
        <v>235</v>
      </c>
      <c r="I78" s="16" t="s">
        <v>6142</v>
      </c>
      <c r="J78" s="8" t="str">
        <f>IFERROR(VLOOKUP($G78,今日總結!$A:$AJ,35,0),"")</f>
        <v/>
      </c>
      <c r="K78" s="5" t="str">
        <f>IFERROR(VLOOKUP($G78,今日總結!$A:$AJ,36,0),"")</f>
        <v/>
      </c>
      <c r="L78" s="156" t="str">
        <f>IFERROR(VLOOKUP($G78,今日總結!$A:$AJ,33,0),"")</f>
        <v/>
      </c>
      <c r="M78" s="340" t="str">
        <f>IFERROR(VLOOKUP($G78,今日總結!$A:$AJ,34,0),"")</f>
        <v/>
      </c>
      <c r="N78" s="240" t="str">
        <f t="shared" si="64"/>
        <v/>
      </c>
      <c r="P78" s="365" t="str">
        <f>IFERROR(VLOOKUP($G78,融外自投!$A:$J,7,0),"無")</f>
        <v>無</v>
      </c>
      <c r="Q78" s="79" t="str">
        <f>IFERROR(VLOOKUP($G78,融外自投!$A:$J,9,0),"無")</f>
        <v>無</v>
      </c>
      <c r="R78" s="346" t="str">
        <f>IFERROR(VLOOKUP($G78,融外自投!$A:$J,8,0),"無")</f>
        <v>無</v>
      </c>
      <c r="S78" s="81" t="str">
        <f>IFERROR(VLOOKUP($G78,融外自投!$A:$J,10,0),"無")</f>
        <v>無</v>
      </c>
      <c r="T78" s="327" t="str">
        <f>IFERROR(VLOOKUP($G78,'321買'!$A:$E,5,0),"'沒有資料'")</f>
        <v>'沒有資料'</v>
      </c>
      <c r="U78" s="186" t="str">
        <f>IFERROR(VLOOKUP($G78,基本資料!$A:$J,9,0),"無")</f>
        <v>無</v>
      </c>
      <c r="V78" s="310" t="e">
        <f t="shared" si="65"/>
        <v>#VALUE!</v>
      </c>
      <c r="W78" s="94" t="str">
        <f>IFERROR(VLOOKUP($G78,基本資料!$A:$J,10,0),"無")</f>
        <v>無</v>
      </c>
      <c r="X78" s="36">
        <v>49</v>
      </c>
      <c r="Y78" s="66">
        <v>40</v>
      </c>
      <c r="Z78" s="15">
        <f t="shared" ref="Z78" si="83">X78-Y78</f>
        <v>9</v>
      </c>
      <c r="AA78" s="63">
        <f t="shared" ref="AA78" si="84">Z78/Y78</f>
        <v>0.22500000000000001</v>
      </c>
      <c r="AB78" s="99" t="s">
        <v>1124</v>
      </c>
      <c r="AC78" s="397" t="str">
        <f>IFERROR(VLOOKUP($G78,基本資料!$A:$M,12,0),"無")</f>
        <v>無</v>
      </c>
      <c r="AD78" s="16" t="s">
        <v>6142</v>
      </c>
      <c r="AE78" s="84">
        <v>44651</v>
      </c>
      <c r="AF78" s="86">
        <v>44662</v>
      </c>
      <c r="AG78" s="33">
        <f t="shared" ref="AG78:AG141" si="85">AF78-AE78</f>
        <v>11</v>
      </c>
      <c r="AH78" s="117" t="s">
        <v>6143</v>
      </c>
      <c r="AI78" s="63"/>
      <c r="AK78" s="245"/>
      <c r="AL78" s="245"/>
      <c r="AM78" s="284"/>
      <c r="AN78" s="302"/>
      <c r="AO78" s="378"/>
    </row>
    <row r="79" spans="1:41">
      <c r="A79" s="347">
        <f>IFERROR(VLOOKUP($G79,基本資料!$A:$J,3,0),"無")</f>
        <v>22.92</v>
      </c>
      <c r="B79" s="79">
        <f>IFERROR(VLOOKUP($G79,基本資料!$A:$J,4,0),"無")</f>
        <v>-15</v>
      </c>
      <c r="C79" s="79">
        <f>IFERROR(VLOOKUP($G79,基本資料!$A:$J,5,0),"無")</f>
        <v>-17</v>
      </c>
      <c r="D79" s="79">
        <f>IFERROR(VLOOKUP($G79,基本資料!$A:$J,6,0),"無")</f>
        <v>-21</v>
      </c>
      <c r="E79" s="79">
        <f>IFERROR(VLOOKUP($G79,基本資料!$A:$J,7,0),"無")</f>
        <v>74</v>
      </c>
      <c r="F79" s="6">
        <f>IFERROR(VLOOKUP($G79,基本資料!$A:$J,8,0),"無")</f>
        <v>-9141.35</v>
      </c>
      <c r="G79" s="80">
        <v>4174</v>
      </c>
      <c r="H79" s="5" t="s">
        <v>309</v>
      </c>
      <c r="I79" s="16" t="s">
        <v>3787</v>
      </c>
      <c r="J79" s="8" t="str">
        <f>IFERROR(VLOOKUP($G79,今日總結!$A:$AJ,35,0),"")</f>
        <v>融</v>
      </c>
      <c r="K79" s="5">
        <f>IFERROR(VLOOKUP($G79,今日總結!$A:$AJ,36,0),"")</f>
        <v>0</v>
      </c>
      <c r="L79" s="156">
        <f>IFERROR(VLOOKUP($G79,今日總結!$A:$AJ,33,0),"")</f>
        <v>1</v>
      </c>
      <c r="M79" s="340">
        <f>IFERROR(VLOOKUP($G79,今日總結!$A:$AJ,34,0),"")</f>
        <v>0</v>
      </c>
      <c r="N79" s="240">
        <f t="shared" si="64"/>
        <v>1</v>
      </c>
      <c r="P79" s="365">
        <f>IFERROR(VLOOKUP($G79,融外自投!$A:$J,7,0),"無")</f>
        <v>320</v>
      </c>
      <c r="Q79" s="79">
        <f>IFERROR(VLOOKUP($G79,融外自投!$A:$J,9,0),"無")</f>
        <v>1110</v>
      </c>
      <c r="R79" s="346">
        <f>IFERROR(VLOOKUP($G79,融外自投!$A:$J,8,0),"無")</f>
        <v>442</v>
      </c>
      <c r="S79" s="81" t="str">
        <f>IFERROR(VLOOKUP($G79,融外自投!$A:$J,10,0),"無")</f>
        <v>無</v>
      </c>
      <c r="T79" s="327">
        <f>IFERROR(VLOOKUP($G79,'321買'!$A:$E,5,0),"'沒有資料'")</f>
        <v>606</v>
      </c>
      <c r="U79" s="186">
        <f>IFERROR(VLOOKUP($G79,基本資料!$A:$J,9,0),"無")</f>
        <v>0</v>
      </c>
      <c r="V79" s="310">
        <f t="shared" si="65"/>
        <v>0</v>
      </c>
      <c r="W79" s="94">
        <f>IFERROR(VLOOKUP($G79,基本資料!$A:$J,10,0),"無")</f>
        <v>-7.69</v>
      </c>
      <c r="X79" s="36">
        <v>107.5</v>
      </c>
      <c r="Y79" s="66">
        <v>105</v>
      </c>
      <c r="Z79" s="15">
        <f t="shared" ref="Z79" si="86">X79-Y79</f>
        <v>2.5</v>
      </c>
      <c r="AA79" s="63">
        <f t="shared" ref="AA79" si="87">Z79/Y79</f>
        <v>2.3809523809523808E-2</v>
      </c>
      <c r="AB79" s="99" t="s">
        <v>1459</v>
      </c>
      <c r="AC79" s="397">
        <f>IFERROR(VLOOKUP($G79,基本資料!$A:$M,12,0),"無")</f>
        <v>62.09</v>
      </c>
      <c r="AD79" s="16" t="s">
        <v>3787</v>
      </c>
      <c r="AE79" s="84">
        <v>44650</v>
      </c>
      <c r="AF79" s="86">
        <v>44662</v>
      </c>
      <c r="AG79" s="33">
        <f t="shared" si="85"/>
        <v>12</v>
      </c>
      <c r="AH79" s="43" t="s">
        <v>3788</v>
      </c>
      <c r="AI79" s="63"/>
      <c r="AK79" s="245"/>
      <c r="AL79" s="245"/>
      <c r="AM79" s="284"/>
      <c r="AN79" s="302"/>
      <c r="AO79" s="378"/>
    </row>
    <row r="80" spans="1:41">
      <c r="A80" s="347">
        <f>IFERROR(VLOOKUP($G80,基本資料!$A:$J,3,0),"無")</f>
        <v>309</v>
      </c>
      <c r="B80" s="79">
        <f>IFERROR(VLOOKUP($G80,基本資料!$A:$J,4,0),"無")</f>
        <v>-24</v>
      </c>
      <c r="C80" s="79">
        <f>IFERROR(VLOOKUP($G80,基本資料!$A:$J,5,0),"無")</f>
        <v>-175</v>
      </c>
      <c r="D80" s="79">
        <f>IFERROR(VLOOKUP($G80,基本資料!$A:$J,6,0),"無")</f>
        <v>32</v>
      </c>
      <c r="E80" s="79">
        <f>IFERROR(VLOOKUP($G80,基本資料!$A:$J,7,0),"無")</f>
        <v>-28</v>
      </c>
      <c r="F80" s="6">
        <f>IFERROR(VLOOKUP($G80,基本資料!$A:$J,8,0),"無")</f>
        <v>-0.83</v>
      </c>
      <c r="G80" s="80">
        <v>2867</v>
      </c>
      <c r="H80" s="18" t="s">
        <v>4641</v>
      </c>
      <c r="I80" s="22" t="s">
        <v>116</v>
      </c>
      <c r="J80" s="8">
        <f>IFERROR(VLOOKUP($G80,今日總結!$A:$AJ,35,0),"")</f>
        <v>0</v>
      </c>
      <c r="K80" s="5" t="str">
        <f>IFERROR(VLOOKUP($G80,今日總結!$A:$AJ,36,0),"")</f>
        <v>借</v>
      </c>
      <c r="L80" s="156">
        <f>IFERROR(VLOOKUP($G80,今日總結!$A:$AJ,33,0),"")</f>
        <v>0</v>
      </c>
      <c r="M80" s="340">
        <f>IFERROR(VLOOKUP($G80,今日總結!$A:$AJ,34,0),"")</f>
        <v>1</v>
      </c>
      <c r="N80" s="240">
        <f t="shared" si="64"/>
        <v>-1</v>
      </c>
      <c r="P80" s="365">
        <f>IFERROR(VLOOKUP($G80,融外自投!$A:$J,7,0),"無")</f>
        <v>875</v>
      </c>
      <c r="Q80" s="79" t="str">
        <f>IFERROR(VLOOKUP($G80,融外自投!$A:$J,9,0),"無")</f>
        <v>無</v>
      </c>
      <c r="R80" s="346">
        <f>IFERROR(VLOOKUP($G80,融外自投!$A:$J,8,0),"無")</f>
        <v>736</v>
      </c>
      <c r="S80" s="81" t="str">
        <f>IFERROR(VLOOKUP($G80,融外自投!$A:$J,10,0),"無")</f>
        <v>無</v>
      </c>
      <c r="T80" s="327">
        <f>IFERROR(VLOOKUP($G80,'321買'!$A:$E,5,0),"'沒有資料'")</f>
        <v>416</v>
      </c>
      <c r="U80" s="186">
        <f>IFERROR(VLOOKUP($G80,基本資料!$A:$J,9,0),"無")</f>
        <v>0</v>
      </c>
      <c r="V80" s="310">
        <f t="shared" si="65"/>
        <v>0</v>
      </c>
      <c r="W80" s="94">
        <f>IFERROR(VLOOKUP($G80,基本資料!$A:$J,10,0),"無")</f>
        <v>0.42</v>
      </c>
      <c r="X80" s="36">
        <v>8.65</v>
      </c>
      <c r="Y80" s="66">
        <v>8.1999999999999993</v>
      </c>
      <c r="Z80" s="15">
        <f>X80-Y80</f>
        <v>0.45000000000000107</v>
      </c>
      <c r="AA80" s="63">
        <f>Z80/Y80</f>
        <v>5.4878048780487937E-2</v>
      </c>
      <c r="AB80" s="99" t="s">
        <v>1709</v>
      </c>
      <c r="AC80" s="397">
        <f>IFERROR(VLOOKUP($G80,基本資料!$A:$M,12,0),"無")</f>
        <v>8.3000000000000007</v>
      </c>
      <c r="AD80" s="22" t="s">
        <v>116</v>
      </c>
      <c r="AE80" s="84">
        <v>44644</v>
      </c>
      <c r="AF80" s="86">
        <v>44657</v>
      </c>
      <c r="AG80" s="33">
        <f t="shared" si="85"/>
        <v>13</v>
      </c>
      <c r="AH80" s="117" t="s">
        <v>2157</v>
      </c>
      <c r="AI80" s="63"/>
      <c r="AK80" s="245"/>
      <c r="AL80" s="245"/>
      <c r="AM80" s="284"/>
      <c r="AN80" s="302"/>
      <c r="AO80" s="378"/>
    </row>
    <row r="81" spans="1:41">
      <c r="A81" s="347" t="str">
        <f>IFERROR(VLOOKUP($G81,基本資料!$A:$J,3,0),"無")</f>
        <v>無</v>
      </c>
      <c r="B81" s="79" t="str">
        <f>IFERROR(VLOOKUP($G81,基本資料!$A:$J,4,0),"無")</f>
        <v>無</v>
      </c>
      <c r="C81" s="79" t="str">
        <f>IFERROR(VLOOKUP($G81,基本資料!$A:$J,5,0),"無")</f>
        <v>無</v>
      </c>
      <c r="D81" s="79" t="str">
        <f>IFERROR(VLOOKUP($G81,基本資料!$A:$J,6,0),"無")</f>
        <v>無</v>
      </c>
      <c r="E81" s="79" t="str">
        <f>IFERROR(VLOOKUP($G81,基本資料!$A:$J,7,0),"無")</f>
        <v>無</v>
      </c>
      <c r="F81" s="6" t="str">
        <f>IFERROR(VLOOKUP($G81,基本資料!$A:$J,8,0),"無")</f>
        <v>無</v>
      </c>
      <c r="G81" s="80">
        <v>3349</v>
      </c>
      <c r="H81" s="183" t="s">
        <v>1146</v>
      </c>
      <c r="I81" s="16" t="s">
        <v>4771</v>
      </c>
      <c r="J81" s="8" t="str">
        <f>IFERROR(VLOOKUP($G81,今日總結!$A:$AJ,35,0),"")</f>
        <v/>
      </c>
      <c r="K81" s="5" t="str">
        <f>IFERROR(VLOOKUP($G81,今日總結!$A:$AJ,36,0),"")</f>
        <v/>
      </c>
      <c r="L81" s="156" t="str">
        <f>IFERROR(VLOOKUP($G81,今日總結!$A:$AJ,33,0),"")</f>
        <v/>
      </c>
      <c r="M81" s="340" t="str">
        <f>IFERROR(VLOOKUP($G81,今日總結!$A:$AJ,34,0),"")</f>
        <v/>
      </c>
      <c r="N81" s="240" t="str">
        <f t="shared" si="64"/>
        <v/>
      </c>
      <c r="P81" s="365" t="str">
        <f>IFERROR(VLOOKUP($G81,融外自投!$A:$J,7,0),"無")</f>
        <v>無</v>
      </c>
      <c r="Q81" s="79" t="str">
        <f>IFERROR(VLOOKUP($G81,融外自投!$A:$J,9,0),"無")</f>
        <v>無</v>
      </c>
      <c r="R81" s="346" t="str">
        <f>IFERROR(VLOOKUP($G81,融外自投!$A:$J,8,0),"無")</f>
        <v>無</v>
      </c>
      <c r="S81" s="81" t="str">
        <f>IFERROR(VLOOKUP($G81,融外自投!$A:$J,10,0),"無")</f>
        <v>無</v>
      </c>
      <c r="T81" s="327" t="str">
        <f>IFERROR(VLOOKUP($G81,'321買'!$A:$E,5,0),"'沒有資料'")</f>
        <v>'沒有資料'</v>
      </c>
      <c r="U81" s="186" t="str">
        <f>IFERROR(VLOOKUP($G81,基本資料!$A:$J,9,0),"無")</f>
        <v>無</v>
      </c>
      <c r="V81" s="310" t="e">
        <f t="shared" si="65"/>
        <v>#VALUE!</v>
      </c>
      <c r="W81" s="94" t="str">
        <f>IFERROR(VLOOKUP($G81,基本資料!$A:$J,10,0),"無")</f>
        <v>無</v>
      </c>
      <c r="X81" s="36">
        <v>20.65</v>
      </c>
      <c r="Y81" s="66">
        <v>18.88</v>
      </c>
      <c r="Z81" s="15">
        <f>X81-Y81</f>
        <v>1.7699999999999996</v>
      </c>
      <c r="AA81" s="63">
        <f>Z81/Y81</f>
        <v>9.3749999999999986E-2</v>
      </c>
      <c r="AB81" s="99" t="s">
        <v>6144</v>
      </c>
      <c r="AC81" s="397" t="str">
        <f>IFERROR(VLOOKUP($G81,基本資料!$A:$M,12,0),"無")</f>
        <v>無</v>
      </c>
      <c r="AD81" s="16" t="s">
        <v>4771</v>
      </c>
      <c r="AE81" s="84">
        <v>44643</v>
      </c>
      <c r="AF81" s="86">
        <v>44657</v>
      </c>
      <c r="AG81" s="33">
        <f t="shared" si="85"/>
        <v>14</v>
      </c>
      <c r="AH81" s="43" t="s">
        <v>4772</v>
      </c>
      <c r="AI81" s="63"/>
      <c r="AK81" s="245"/>
      <c r="AL81" s="245"/>
      <c r="AM81" s="284"/>
      <c r="AN81" s="302"/>
      <c r="AO81" s="378"/>
    </row>
    <row r="82" spans="1:41">
      <c r="A82" s="347" t="str">
        <f>IFERROR(VLOOKUP($G82,基本資料!$A:$J,3,0),"無")</f>
        <v>無</v>
      </c>
      <c r="B82" s="79" t="str">
        <f>IFERROR(VLOOKUP($G82,基本資料!$A:$J,4,0),"無")</f>
        <v>無</v>
      </c>
      <c r="C82" s="79" t="str">
        <f>IFERROR(VLOOKUP($G82,基本資料!$A:$J,5,0),"無")</f>
        <v>無</v>
      </c>
      <c r="D82" s="79" t="str">
        <f>IFERROR(VLOOKUP($G82,基本資料!$A:$J,6,0),"無")</f>
        <v>無</v>
      </c>
      <c r="E82" s="79" t="str">
        <f>IFERROR(VLOOKUP($G82,基本資料!$A:$J,7,0),"無")</f>
        <v>無</v>
      </c>
      <c r="F82" s="6" t="str">
        <f>IFERROR(VLOOKUP($G82,基本資料!$A:$J,8,0),"無")</f>
        <v>無</v>
      </c>
      <c r="G82" s="80">
        <v>4558</v>
      </c>
      <c r="H82" s="5" t="s">
        <v>295</v>
      </c>
      <c r="I82" s="16" t="s">
        <v>4769</v>
      </c>
      <c r="J82" s="8" t="str">
        <f>IFERROR(VLOOKUP($G82,今日總結!$A:$AJ,35,0),"")</f>
        <v/>
      </c>
      <c r="K82" s="5" t="str">
        <f>IFERROR(VLOOKUP($G82,今日總結!$A:$AJ,36,0),"")</f>
        <v/>
      </c>
      <c r="L82" s="156" t="str">
        <f>IFERROR(VLOOKUP($G82,今日總結!$A:$AJ,33,0),"")</f>
        <v/>
      </c>
      <c r="M82" s="340" t="str">
        <f>IFERROR(VLOOKUP($G82,今日總結!$A:$AJ,34,0),"")</f>
        <v/>
      </c>
      <c r="N82" s="240" t="str">
        <f t="shared" si="64"/>
        <v/>
      </c>
      <c r="P82" s="365" t="str">
        <f>IFERROR(VLOOKUP($G82,融外自投!$A:$J,7,0),"無")</f>
        <v>無</v>
      </c>
      <c r="Q82" s="79" t="str">
        <f>IFERROR(VLOOKUP($G82,融外自投!$A:$J,9,0),"無")</f>
        <v>無</v>
      </c>
      <c r="R82" s="346" t="str">
        <f>IFERROR(VLOOKUP($G82,融外自投!$A:$J,8,0),"無")</f>
        <v>無</v>
      </c>
      <c r="S82" s="81" t="str">
        <f>IFERROR(VLOOKUP($G82,融外自投!$A:$J,10,0),"無")</f>
        <v>無</v>
      </c>
      <c r="T82" s="327" t="str">
        <f>IFERROR(VLOOKUP($G82,'321買'!$A:$E,5,0),"'沒有資料'")</f>
        <v>'沒有資料'</v>
      </c>
      <c r="U82" s="186" t="str">
        <f>IFERROR(VLOOKUP($G82,基本資料!$A:$J,9,0),"無")</f>
        <v>無</v>
      </c>
      <c r="V82" s="310" t="e">
        <f t="shared" si="65"/>
        <v>#VALUE!</v>
      </c>
      <c r="W82" s="94" t="str">
        <f>IFERROR(VLOOKUP($G82,基本資料!$A:$J,10,0),"無")</f>
        <v>無</v>
      </c>
      <c r="X82" s="13">
        <v>46.15</v>
      </c>
      <c r="Y82" s="66">
        <v>40</v>
      </c>
      <c r="Z82" s="15">
        <f>X82-Y82</f>
        <v>6.1499999999999986</v>
      </c>
      <c r="AA82" s="63">
        <f>Z82/Y82</f>
        <v>0.15374999999999997</v>
      </c>
      <c r="AB82" s="99" t="s">
        <v>6141</v>
      </c>
      <c r="AC82" s="397" t="str">
        <f>IFERROR(VLOOKUP($G82,基本資料!$A:$M,12,0),"無")</f>
        <v>無</v>
      </c>
      <c r="AD82" s="16" t="s">
        <v>4769</v>
      </c>
      <c r="AE82" s="84">
        <v>44637</v>
      </c>
      <c r="AF82" s="86">
        <v>44648</v>
      </c>
      <c r="AG82" s="33">
        <f t="shared" si="85"/>
        <v>11</v>
      </c>
      <c r="AH82" s="43" t="s">
        <v>4770</v>
      </c>
      <c r="AI82" s="63"/>
      <c r="AK82" s="245"/>
      <c r="AL82" s="245"/>
      <c r="AM82" s="284"/>
      <c r="AN82" s="302"/>
      <c r="AO82" s="378"/>
    </row>
    <row r="83" spans="1:41">
      <c r="A83" s="347" t="str">
        <f>IFERROR(VLOOKUP($G83,基本資料!$A:$J,3,0),"無")</f>
        <v>無</v>
      </c>
      <c r="B83" s="79" t="str">
        <f>IFERROR(VLOOKUP($G83,基本資料!$A:$J,4,0),"無")</f>
        <v>無</v>
      </c>
      <c r="C83" s="79" t="str">
        <f>IFERROR(VLOOKUP($G83,基本資料!$A:$J,5,0),"無")</f>
        <v>無</v>
      </c>
      <c r="D83" s="79" t="str">
        <f>IFERROR(VLOOKUP($G83,基本資料!$A:$J,6,0),"無")</f>
        <v>無</v>
      </c>
      <c r="E83" s="79" t="str">
        <f>IFERROR(VLOOKUP($G83,基本資料!$A:$J,7,0),"無")</f>
        <v>無</v>
      </c>
      <c r="F83" s="6" t="str">
        <f>IFERROR(VLOOKUP($G83,基本資料!$A:$J,8,0),"無")</f>
        <v>無</v>
      </c>
      <c r="G83" s="80">
        <v>6763</v>
      </c>
      <c r="H83" s="183" t="s">
        <v>330</v>
      </c>
      <c r="I83" s="16" t="s">
        <v>4764</v>
      </c>
      <c r="J83" s="8" t="str">
        <f>IFERROR(VLOOKUP($G83,今日總結!$A:$AJ,35,0),"")</f>
        <v/>
      </c>
      <c r="K83" s="5" t="str">
        <f>IFERROR(VLOOKUP($G83,今日總結!$A:$AJ,36,0),"")</f>
        <v/>
      </c>
      <c r="L83" s="156" t="str">
        <f>IFERROR(VLOOKUP($G83,今日總結!$A:$AJ,33,0),"")</f>
        <v/>
      </c>
      <c r="M83" s="340" t="str">
        <f>IFERROR(VLOOKUP($G83,今日總結!$A:$AJ,34,0),"")</f>
        <v/>
      </c>
      <c r="N83" s="240" t="str">
        <f t="shared" si="64"/>
        <v/>
      </c>
      <c r="P83" s="365" t="str">
        <f>IFERROR(VLOOKUP($G83,融外自投!$A:$J,7,0),"無")</f>
        <v>無</v>
      </c>
      <c r="Q83" s="79" t="str">
        <f>IFERROR(VLOOKUP($G83,融外自投!$A:$J,9,0),"無")</f>
        <v>無</v>
      </c>
      <c r="R83" s="346" t="str">
        <f>IFERROR(VLOOKUP($G83,融外自投!$A:$J,8,0),"無")</f>
        <v>無</v>
      </c>
      <c r="S83" s="81" t="str">
        <f>IFERROR(VLOOKUP($G83,融外自投!$A:$J,10,0),"無")</f>
        <v>無</v>
      </c>
      <c r="T83" s="327" t="str">
        <f>IFERROR(VLOOKUP($G83,'321買'!$A:$E,5,0),"'沒有資料'")</f>
        <v>'沒有資料'</v>
      </c>
      <c r="U83" s="186" t="str">
        <f>IFERROR(VLOOKUP($G83,基本資料!$A:$J,9,0),"無")</f>
        <v>無</v>
      </c>
      <c r="V83" s="310" t="e">
        <f t="shared" si="65"/>
        <v>#VALUE!</v>
      </c>
      <c r="W83" s="94" t="str">
        <f>IFERROR(VLOOKUP($G83,基本資料!$A:$J,10,0),"無")</f>
        <v>無</v>
      </c>
      <c r="X83" s="36">
        <v>768</v>
      </c>
      <c r="Y83" s="66">
        <v>760</v>
      </c>
      <c r="Z83" s="15">
        <f t="shared" ref="Z83" si="88">X83-Y83</f>
        <v>8</v>
      </c>
      <c r="AA83" s="148">
        <f t="shared" ref="AA83" si="89">Z83/Y83</f>
        <v>1.0526315789473684E-2</v>
      </c>
      <c r="AB83" s="99" t="s">
        <v>6140</v>
      </c>
      <c r="AC83" s="397" t="str">
        <f>IFERROR(VLOOKUP($G83,基本資料!$A:$M,12,0),"無")</f>
        <v>無</v>
      </c>
      <c r="AD83" s="16" t="s">
        <v>4764</v>
      </c>
      <c r="AE83" s="84">
        <v>44635</v>
      </c>
      <c r="AF83" s="86">
        <v>44645</v>
      </c>
      <c r="AG83" s="33">
        <f t="shared" si="85"/>
        <v>10</v>
      </c>
      <c r="AH83" s="123" t="s">
        <v>4765</v>
      </c>
      <c r="AI83" s="63"/>
      <c r="AK83" s="245"/>
      <c r="AL83" s="245"/>
      <c r="AM83" s="284"/>
      <c r="AN83" s="302"/>
      <c r="AO83" s="378"/>
    </row>
    <row r="84" spans="1:41">
      <c r="A84" s="347" t="str">
        <f>IFERROR(VLOOKUP($G84,基本資料!$A:$J,3,0),"無")</f>
        <v>無</v>
      </c>
      <c r="B84" s="79" t="str">
        <f>IFERROR(VLOOKUP($G84,基本資料!$A:$J,4,0),"無")</f>
        <v>無</v>
      </c>
      <c r="C84" s="79" t="str">
        <f>IFERROR(VLOOKUP($G84,基本資料!$A:$J,5,0),"無")</f>
        <v>無</v>
      </c>
      <c r="D84" s="79" t="str">
        <f>IFERROR(VLOOKUP($G84,基本資料!$A:$J,6,0),"無")</f>
        <v>無</v>
      </c>
      <c r="E84" s="79" t="str">
        <f>IFERROR(VLOOKUP($G84,基本資料!$A:$J,7,0),"無")</f>
        <v>無</v>
      </c>
      <c r="F84" s="6" t="str">
        <f>IFERROR(VLOOKUP($G84,基本資料!$A:$J,8,0),"無")</f>
        <v>無</v>
      </c>
      <c r="G84" s="80">
        <v>4923</v>
      </c>
      <c r="H84" s="145" t="s">
        <v>3039</v>
      </c>
      <c r="I84" s="16" t="s">
        <v>4763</v>
      </c>
      <c r="J84" s="8" t="str">
        <f>IFERROR(VLOOKUP($G84,今日總結!$A:$AJ,35,0),"")</f>
        <v/>
      </c>
      <c r="K84" s="5" t="str">
        <f>IFERROR(VLOOKUP($G84,今日總結!$A:$AJ,36,0),"")</f>
        <v/>
      </c>
      <c r="L84" s="156" t="str">
        <f>IFERROR(VLOOKUP($G84,今日總結!$A:$AJ,33,0),"")</f>
        <v/>
      </c>
      <c r="M84" s="340" t="str">
        <f>IFERROR(VLOOKUP($G84,今日總結!$A:$AJ,34,0),"")</f>
        <v/>
      </c>
      <c r="N84" s="240" t="str">
        <f t="shared" si="64"/>
        <v/>
      </c>
      <c r="P84" s="365" t="str">
        <f>IFERROR(VLOOKUP($G84,融外自投!$A:$J,7,0),"無")</f>
        <v>無</v>
      </c>
      <c r="Q84" s="79" t="str">
        <f>IFERROR(VLOOKUP($G84,融外自投!$A:$J,9,0),"無")</f>
        <v>無</v>
      </c>
      <c r="R84" s="346" t="str">
        <f>IFERROR(VLOOKUP($G84,融外自投!$A:$J,8,0),"無")</f>
        <v>無</v>
      </c>
      <c r="S84" s="81" t="str">
        <f>IFERROR(VLOOKUP($G84,融外自投!$A:$J,10,0),"無")</f>
        <v>無</v>
      </c>
      <c r="T84" s="327" t="str">
        <f>IFERROR(VLOOKUP($G84,'321買'!$A:$E,5,0),"'沒有資料'")</f>
        <v>'沒有資料'</v>
      </c>
      <c r="U84" s="186" t="str">
        <f>IFERROR(VLOOKUP($G84,基本資料!$A:$J,9,0),"無")</f>
        <v>無</v>
      </c>
      <c r="V84" s="310" t="e">
        <f t="shared" si="65"/>
        <v>#VALUE!</v>
      </c>
      <c r="W84" s="94" t="str">
        <f>IFERROR(VLOOKUP($G84,基本資料!$A:$J,10,0),"無")</f>
        <v>無</v>
      </c>
      <c r="X84" s="36">
        <v>81.2</v>
      </c>
      <c r="Y84" s="66">
        <v>61.88</v>
      </c>
      <c r="Z84" s="15">
        <f>X84-Y84</f>
        <v>19.32</v>
      </c>
      <c r="AA84" s="63">
        <f>Z84/Y84</f>
        <v>0.31221719457013575</v>
      </c>
      <c r="AB84" s="99" t="s">
        <v>6139</v>
      </c>
      <c r="AC84" s="397" t="str">
        <f>IFERROR(VLOOKUP($G84,基本資料!$A:$M,12,0),"無")</f>
        <v>無</v>
      </c>
      <c r="AD84" s="16" t="s">
        <v>4763</v>
      </c>
      <c r="AE84" s="84">
        <v>44634</v>
      </c>
      <c r="AF84" s="86">
        <v>44644</v>
      </c>
      <c r="AG84" s="33">
        <f t="shared" si="85"/>
        <v>10</v>
      </c>
      <c r="AH84" s="123" t="s">
        <v>4766</v>
      </c>
      <c r="AI84" s="63"/>
      <c r="AK84" s="245"/>
      <c r="AL84" s="245"/>
      <c r="AM84" s="284"/>
      <c r="AN84" s="302"/>
      <c r="AO84" s="378"/>
    </row>
    <row r="85" spans="1:41">
      <c r="A85" s="347" t="str">
        <f>IFERROR(VLOOKUP($G85,基本資料!$A:$J,3,0),"無")</f>
        <v>無</v>
      </c>
      <c r="B85" s="79" t="str">
        <f>IFERROR(VLOOKUP($G85,基本資料!$A:$J,4,0),"無")</f>
        <v>無</v>
      </c>
      <c r="C85" s="79" t="str">
        <f>IFERROR(VLOOKUP($G85,基本資料!$A:$J,5,0),"無")</f>
        <v>無</v>
      </c>
      <c r="D85" s="79" t="str">
        <f>IFERROR(VLOOKUP($G85,基本資料!$A:$J,6,0),"無")</f>
        <v>無</v>
      </c>
      <c r="E85" s="79" t="str">
        <f>IFERROR(VLOOKUP($G85,基本資料!$A:$J,7,0),"無")</f>
        <v>無</v>
      </c>
      <c r="F85" s="6" t="str">
        <f>IFERROR(VLOOKUP($G85,基本資料!$A:$J,8,0),"無")</f>
        <v>無</v>
      </c>
      <c r="G85" s="80">
        <v>8438</v>
      </c>
      <c r="H85" s="5" t="s">
        <v>1960</v>
      </c>
      <c r="I85" s="22" t="s">
        <v>4762</v>
      </c>
      <c r="J85" s="8" t="str">
        <f>IFERROR(VLOOKUP($G85,今日總結!$A:$AJ,35,0),"")</f>
        <v/>
      </c>
      <c r="K85" s="5" t="str">
        <f>IFERROR(VLOOKUP($G85,今日總結!$A:$AJ,36,0),"")</f>
        <v/>
      </c>
      <c r="L85" s="156" t="str">
        <f>IFERROR(VLOOKUP($G85,今日總結!$A:$AJ,33,0),"")</f>
        <v/>
      </c>
      <c r="M85" s="340" t="str">
        <f>IFERROR(VLOOKUP($G85,今日總結!$A:$AJ,34,0),"")</f>
        <v/>
      </c>
      <c r="N85" s="240" t="str">
        <f t="shared" si="64"/>
        <v/>
      </c>
      <c r="P85" s="365" t="str">
        <f>IFERROR(VLOOKUP($G85,融外自投!$A:$J,7,0),"無")</f>
        <v>無</v>
      </c>
      <c r="Q85" s="79" t="str">
        <f>IFERROR(VLOOKUP($G85,融外自投!$A:$J,9,0),"無")</f>
        <v>無</v>
      </c>
      <c r="R85" s="346" t="str">
        <f>IFERROR(VLOOKUP($G85,融外自投!$A:$J,8,0),"無")</f>
        <v>無</v>
      </c>
      <c r="S85" s="81" t="str">
        <f>IFERROR(VLOOKUP($G85,融外自投!$A:$J,10,0),"無")</f>
        <v>無</v>
      </c>
      <c r="T85" s="327" t="str">
        <f>IFERROR(VLOOKUP($G85,'321買'!$A:$E,5,0),"'沒有資料'")</f>
        <v>'沒有資料'</v>
      </c>
      <c r="U85" s="186" t="str">
        <f>IFERROR(VLOOKUP($G85,基本資料!$A:$J,9,0),"無")</f>
        <v>無</v>
      </c>
      <c r="V85" s="310" t="e">
        <f t="shared" si="65"/>
        <v>#VALUE!</v>
      </c>
      <c r="W85" s="94" t="str">
        <f>IFERROR(VLOOKUP($G85,基本資料!$A:$J,10,0),"無")</f>
        <v>無</v>
      </c>
      <c r="X85" s="13">
        <v>39.950000000000003</v>
      </c>
      <c r="Y85" s="66">
        <v>40</v>
      </c>
      <c r="Z85" s="15">
        <f t="shared" ref="Z85:Z92" si="90">X85-Y85</f>
        <v>-4.9999999999997158E-2</v>
      </c>
      <c r="AA85" s="76">
        <f t="shared" ref="AA85:AA92" si="91">Z85/Y85</f>
        <v>-1.2499999999999289E-3</v>
      </c>
      <c r="AB85" s="99" t="s">
        <v>4773</v>
      </c>
      <c r="AC85" s="397" t="str">
        <f>IFERROR(VLOOKUP($G85,基本資料!$A:$M,12,0),"無")</f>
        <v>無</v>
      </c>
      <c r="AD85" s="22" t="s">
        <v>4762</v>
      </c>
      <c r="AE85" s="84">
        <v>44631</v>
      </c>
      <c r="AF85" s="86">
        <v>44641</v>
      </c>
      <c r="AG85" s="33">
        <f t="shared" si="85"/>
        <v>10</v>
      </c>
      <c r="AH85" s="123" t="s">
        <v>4767</v>
      </c>
      <c r="AI85" s="63"/>
      <c r="AK85" s="245"/>
      <c r="AL85" s="245"/>
      <c r="AM85" s="284"/>
      <c r="AN85" s="302"/>
      <c r="AO85" s="378"/>
    </row>
    <row r="86" spans="1:41">
      <c r="A86" s="347" t="str">
        <f>IFERROR(VLOOKUP($G86,基本資料!$A:$J,3,0),"無")</f>
        <v>無</v>
      </c>
      <c r="B86" s="79" t="str">
        <f>IFERROR(VLOOKUP($G86,基本資料!$A:$J,4,0),"無")</f>
        <v>無</v>
      </c>
      <c r="C86" s="79" t="str">
        <f>IFERROR(VLOOKUP($G86,基本資料!$A:$J,5,0),"無")</f>
        <v>無</v>
      </c>
      <c r="D86" s="79" t="str">
        <f>IFERROR(VLOOKUP($G86,基本資料!$A:$J,6,0),"無")</f>
        <v>無</v>
      </c>
      <c r="E86" s="79" t="str">
        <f>IFERROR(VLOOKUP($G86,基本資料!$A:$J,7,0),"無")</f>
        <v>無</v>
      </c>
      <c r="F86" s="6" t="str">
        <f>IFERROR(VLOOKUP($G86,基本資料!$A:$J,8,0),"無")</f>
        <v>無</v>
      </c>
      <c r="G86" s="80">
        <v>6829</v>
      </c>
      <c r="H86" s="8" t="s">
        <v>295</v>
      </c>
      <c r="I86" s="16" t="s">
        <v>4761</v>
      </c>
      <c r="J86" s="8" t="str">
        <f>IFERROR(VLOOKUP($G86,今日總結!$A:$AJ,35,0),"")</f>
        <v/>
      </c>
      <c r="K86" s="5" t="str">
        <f>IFERROR(VLOOKUP($G86,今日總結!$A:$AJ,36,0),"")</f>
        <v/>
      </c>
      <c r="L86" s="156" t="str">
        <f>IFERROR(VLOOKUP($G86,今日總結!$A:$AJ,33,0),"")</f>
        <v/>
      </c>
      <c r="M86" s="340" t="str">
        <f>IFERROR(VLOOKUP($G86,今日總結!$A:$AJ,34,0),"")</f>
        <v/>
      </c>
      <c r="N86" s="240" t="str">
        <f t="shared" si="64"/>
        <v/>
      </c>
      <c r="P86" s="365" t="str">
        <f>IFERROR(VLOOKUP($G86,融外自投!$A:$J,7,0),"無")</f>
        <v>無</v>
      </c>
      <c r="Q86" s="79" t="str">
        <f>IFERROR(VLOOKUP($G86,融外自投!$A:$J,9,0),"無")</f>
        <v>無</v>
      </c>
      <c r="R86" s="346" t="str">
        <f>IFERROR(VLOOKUP($G86,融外自投!$A:$J,8,0),"無")</f>
        <v>無</v>
      </c>
      <c r="S86" s="81" t="str">
        <f>IFERROR(VLOOKUP($G86,融外自投!$A:$J,10,0),"無")</f>
        <v>無</v>
      </c>
      <c r="T86" s="327" t="str">
        <f>IFERROR(VLOOKUP($G86,'321買'!$A:$E,5,0),"'沒有資料'")</f>
        <v>'沒有資料'</v>
      </c>
      <c r="U86" s="186" t="str">
        <f>IFERROR(VLOOKUP($G86,基本資料!$A:$J,9,0),"無")</f>
        <v>無</v>
      </c>
      <c r="V86" s="310" t="e">
        <f t="shared" si="65"/>
        <v>#VALUE!</v>
      </c>
      <c r="W86" s="94" t="str">
        <f>IFERROR(VLOOKUP($G86,基本資料!$A:$J,10,0),"無")</f>
        <v>無</v>
      </c>
      <c r="X86" s="36">
        <v>83.9</v>
      </c>
      <c r="Y86" s="66">
        <v>66</v>
      </c>
      <c r="Z86" s="15">
        <f t="shared" si="90"/>
        <v>17.900000000000006</v>
      </c>
      <c r="AA86" s="63">
        <f t="shared" si="91"/>
        <v>0.27121212121212129</v>
      </c>
      <c r="AB86" s="99" t="s">
        <v>4774</v>
      </c>
      <c r="AC86" s="397" t="str">
        <f>IFERROR(VLOOKUP($G86,基本資料!$A:$M,12,0),"無")</f>
        <v>無</v>
      </c>
      <c r="AD86" s="16" t="s">
        <v>4761</v>
      </c>
      <c r="AE86" s="84">
        <v>44631</v>
      </c>
      <c r="AF86" s="86">
        <v>44641</v>
      </c>
      <c r="AG86" s="33">
        <f t="shared" si="85"/>
        <v>10</v>
      </c>
      <c r="AH86" s="123" t="s">
        <v>4768</v>
      </c>
      <c r="AI86" s="63"/>
      <c r="AK86" s="245"/>
      <c r="AL86" s="245"/>
      <c r="AM86" s="284"/>
      <c r="AN86" s="302"/>
      <c r="AO86" s="378"/>
    </row>
    <row r="87" spans="1:41">
      <c r="A87" s="347">
        <f>IFERROR(VLOOKUP($G87,基本資料!$A:$J,3,0),"無")</f>
        <v>2</v>
      </c>
      <c r="B87" s="79">
        <f>IFERROR(VLOOKUP($G87,基本資料!$A:$J,4,0),"無")</f>
        <v>3</v>
      </c>
      <c r="C87" s="79">
        <f>IFERROR(VLOOKUP($G87,基本資料!$A:$J,5,0),"無")</f>
        <v>-4</v>
      </c>
      <c r="D87" s="79">
        <f>IFERROR(VLOOKUP($G87,基本資料!$A:$J,6,0),"無")</f>
        <v>0</v>
      </c>
      <c r="E87" s="79">
        <f>IFERROR(VLOOKUP($G87,基本資料!$A:$J,7,0),"無")</f>
        <v>39</v>
      </c>
      <c r="F87" s="6">
        <f>IFERROR(VLOOKUP($G87,基本資料!$A:$J,8,0),"無")</f>
        <v>3.12</v>
      </c>
      <c r="G87" s="80">
        <v>6751</v>
      </c>
      <c r="H87" s="5" t="s">
        <v>313</v>
      </c>
      <c r="I87" s="16" t="s">
        <v>2139</v>
      </c>
      <c r="J87" s="8" t="str">
        <f>IFERROR(VLOOKUP($G87,今日總結!$A:$AJ,35,0),"")</f>
        <v/>
      </c>
      <c r="K87" s="5" t="str">
        <f>IFERROR(VLOOKUP($G87,今日總結!$A:$AJ,36,0),"")</f>
        <v/>
      </c>
      <c r="L87" s="156" t="str">
        <f>IFERROR(VLOOKUP($G87,今日總結!$A:$AJ,33,0),"")</f>
        <v/>
      </c>
      <c r="M87" s="340" t="str">
        <f>IFERROR(VLOOKUP($G87,今日總結!$A:$AJ,34,0),"")</f>
        <v/>
      </c>
      <c r="N87" s="240" t="str">
        <f t="shared" si="64"/>
        <v/>
      </c>
      <c r="P87" s="365" t="str">
        <f>IFERROR(VLOOKUP($G87,融外自投!$A:$J,7,0),"無")</f>
        <v>無</v>
      </c>
      <c r="Q87" s="79" t="str">
        <f>IFERROR(VLOOKUP($G87,融外自投!$A:$J,9,0),"無")</f>
        <v>無</v>
      </c>
      <c r="R87" s="346" t="str">
        <f>IFERROR(VLOOKUP($G87,融外自投!$A:$J,8,0),"無")</f>
        <v>無</v>
      </c>
      <c r="S87" s="81" t="str">
        <f>IFERROR(VLOOKUP($G87,融外自投!$A:$J,10,0),"無")</f>
        <v>無</v>
      </c>
      <c r="T87" s="327" t="str">
        <f>IFERROR(VLOOKUP($G87,'321買'!$A:$E,5,0),"'沒有資料'")</f>
        <v>'沒有資料'</v>
      </c>
      <c r="U87" s="186">
        <f>IFERROR(VLOOKUP($G87,基本資料!$A:$J,9,0),"無")</f>
        <v>2.1</v>
      </c>
      <c r="V87" s="310">
        <f t="shared" si="65"/>
        <v>4.7511312217194568E-2</v>
      </c>
      <c r="W87" s="94">
        <f>IFERROR(VLOOKUP($G87,基本資料!$A:$J,10,0),"無")</f>
        <v>2.44</v>
      </c>
      <c r="X87" s="36">
        <v>44.2</v>
      </c>
      <c r="Y87" s="66">
        <v>45</v>
      </c>
      <c r="Z87" s="15">
        <f t="shared" si="90"/>
        <v>-0.79999999999999716</v>
      </c>
      <c r="AA87" s="76">
        <f t="shared" si="91"/>
        <v>-1.7777777777777715E-2</v>
      </c>
      <c r="AB87" s="99" t="s">
        <v>4775</v>
      </c>
      <c r="AC87" s="397">
        <f>IFERROR(VLOOKUP($G87,基本資料!$A:$M,12,0),"無")</f>
        <v>13.48</v>
      </c>
      <c r="AD87" s="16" t="s">
        <v>2139</v>
      </c>
      <c r="AE87" s="84">
        <v>44631</v>
      </c>
      <c r="AF87" s="86">
        <v>44641</v>
      </c>
      <c r="AG87" s="33">
        <f t="shared" si="85"/>
        <v>10</v>
      </c>
      <c r="AH87" s="43" t="s">
        <v>2140</v>
      </c>
      <c r="AI87" s="63"/>
      <c r="AK87" s="245"/>
      <c r="AL87" s="245"/>
      <c r="AM87" s="284"/>
      <c r="AN87" s="302"/>
      <c r="AO87" s="378"/>
    </row>
    <row r="88" spans="1:41">
      <c r="A88" s="347">
        <f>IFERROR(VLOOKUP($G88,基本資料!$A:$J,3,0),"無")</f>
        <v>23.8</v>
      </c>
      <c r="B88" s="79">
        <f>IFERROR(VLOOKUP($G88,基本資料!$A:$J,4,0),"無")</f>
        <v>-371</v>
      </c>
      <c r="C88" s="79">
        <f>IFERROR(VLOOKUP($G88,基本資料!$A:$J,5,0),"無")</f>
        <v>-246</v>
      </c>
      <c r="D88" s="79">
        <f>IFERROR(VLOOKUP($G88,基本資料!$A:$J,6,0),"無")</f>
        <v>-13</v>
      </c>
      <c r="E88" s="79">
        <f>IFERROR(VLOOKUP($G88,基本資料!$A:$J,7,0),"無")</f>
        <v>8</v>
      </c>
      <c r="F88" s="6">
        <f>IFERROR(VLOOKUP($G88,基本資料!$A:$J,8,0),"無")</f>
        <v>-12.09</v>
      </c>
      <c r="G88" s="80">
        <v>2314</v>
      </c>
      <c r="H88" s="5" t="s">
        <v>4315</v>
      </c>
      <c r="I88" s="22" t="s">
        <v>4316</v>
      </c>
      <c r="J88" s="8" t="str">
        <f>IFERROR(VLOOKUP($G88,今日總結!$A:$AJ,35,0),"")</f>
        <v/>
      </c>
      <c r="K88" s="5" t="str">
        <f>IFERROR(VLOOKUP($G88,今日總結!$A:$AJ,36,0),"")</f>
        <v/>
      </c>
      <c r="L88" s="156" t="str">
        <f>IFERROR(VLOOKUP($G88,今日總結!$A:$AJ,33,0),"")</f>
        <v/>
      </c>
      <c r="M88" s="340" t="str">
        <f>IFERROR(VLOOKUP($G88,今日總結!$A:$AJ,34,0),"")</f>
        <v/>
      </c>
      <c r="N88" s="240" t="str">
        <f t="shared" si="64"/>
        <v/>
      </c>
      <c r="P88" s="365" t="str">
        <f>IFERROR(VLOOKUP($G88,融外自投!$A:$J,7,0),"無")</f>
        <v>無</v>
      </c>
      <c r="Q88" s="79" t="str">
        <f>IFERROR(VLOOKUP($G88,融外自投!$A:$J,9,0),"無")</f>
        <v>無</v>
      </c>
      <c r="R88" s="346" t="str">
        <f>IFERROR(VLOOKUP($G88,融外自投!$A:$J,8,0),"無")</f>
        <v>無</v>
      </c>
      <c r="S88" s="81" t="str">
        <f>IFERROR(VLOOKUP($G88,融外自投!$A:$J,10,0),"無")</f>
        <v>無</v>
      </c>
      <c r="T88" s="327" t="str">
        <f>IFERROR(VLOOKUP($G88,'321買'!$A:$E,5,0),"'沒有資料'")</f>
        <v>'沒有資料'</v>
      </c>
      <c r="U88" s="186">
        <f>IFERROR(VLOOKUP($G88,基本資料!$A:$J,9,0),"無")</f>
        <v>0</v>
      </c>
      <c r="V88" s="310">
        <f t="shared" si="65"/>
        <v>0</v>
      </c>
      <c r="W88" s="94">
        <f>IFERROR(VLOOKUP($G88,基本資料!$A:$J,10,0),"無")</f>
        <v>-1.97</v>
      </c>
      <c r="X88" s="36">
        <v>57.7</v>
      </c>
      <c r="Y88" s="66">
        <v>52</v>
      </c>
      <c r="Z88" s="15">
        <f t="shared" si="90"/>
        <v>5.7000000000000028</v>
      </c>
      <c r="AA88" s="63">
        <f t="shared" si="91"/>
        <v>0.10961538461538467</v>
      </c>
      <c r="AB88" s="99" t="s">
        <v>3494</v>
      </c>
      <c r="AC88" s="397">
        <f>IFERROR(VLOOKUP($G88,基本資料!$A:$M,12,0),"無")</f>
        <v>30.36</v>
      </c>
      <c r="AD88" s="22" t="s">
        <v>4316</v>
      </c>
      <c r="AE88" s="84">
        <v>44631</v>
      </c>
      <c r="AF88" s="86">
        <v>44641</v>
      </c>
      <c r="AG88" s="33">
        <f t="shared" si="85"/>
        <v>10</v>
      </c>
      <c r="AH88" s="119" t="s">
        <v>4317</v>
      </c>
      <c r="AI88" s="63"/>
      <c r="AK88" s="245"/>
      <c r="AL88" s="245"/>
      <c r="AM88" s="284"/>
      <c r="AN88" s="302"/>
      <c r="AO88" s="378"/>
    </row>
    <row r="89" spans="1:41">
      <c r="A89" s="347">
        <f>IFERROR(VLOOKUP($G89,基本資料!$A:$J,3,0),"無")</f>
        <v>8.77</v>
      </c>
      <c r="B89" s="79">
        <f>IFERROR(VLOOKUP($G89,基本資料!$A:$J,4,0),"無")</f>
        <v>178</v>
      </c>
      <c r="C89" s="79">
        <f>IFERROR(VLOOKUP($G89,基本資料!$A:$J,5,0),"無")</f>
        <v>73</v>
      </c>
      <c r="D89" s="79">
        <f>IFERROR(VLOOKUP($G89,基本資料!$A:$J,6,0),"無")</f>
        <v>4</v>
      </c>
      <c r="E89" s="79">
        <f>IFERROR(VLOOKUP($G89,基本資料!$A:$J,7,0),"無")</f>
        <v>19</v>
      </c>
      <c r="F89" s="6">
        <f>IFERROR(VLOOKUP($G89,基本資料!$A:$J,8,0),"無")</f>
        <v>21.52</v>
      </c>
      <c r="G89" s="80">
        <v>8367</v>
      </c>
      <c r="H89" s="8" t="s">
        <v>302</v>
      </c>
      <c r="I89" s="22" t="s">
        <v>1776</v>
      </c>
      <c r="J89" s="8" t="str">
        <f>IFERROR(VLOOKUP($G89,今日總結!$A:$AJ,35,0),"")</f>
        <v/>
      </c>
      <c r="K89" s="5" t="str">
        <f>IFERROR(VLOOKUP($G89,今日總結!$A:$AJ,36,0),"")</f>
        <v/>
      </c>
      <c r="L89" s="156" t="str">
        <f>IFERROR(VLOOKUP($G89,今日總結!$A:$AJ,33,0),"")</f>
        <v/>
      </c>
      <c r="M89" s="340" t="str">
        <f>IFERROR(VLOOKUP($G89,今日總結!$A:$AJ,34,0),"")</f>
        <v/>
      </c>
      <c r="N89" s="240" t="str">
        <f t="shared" si="64"/>
        <v/>
      </c>
      <c r="P89" s="365">
        <f>IFERROR(VLOOKUP($G89,融外自投!$A:$J,7,0),"無")</f>
        <v>840</v>
      </c>
      <c r="Q89" s="79" t="str">
        <f>IFERROR(VLOOKUP($G89,融外自投!$A:$J,9,0),"無")</f>
        <v>無</v>
      </c>
      <c r="R89" s="346">
        <f>IFERROR(VLOOKUP($G89,融外自投!$A:$J,8,0),"無")</f>
        <v>1071</v>
      </c>
      <c r="S89" s="81" t="str">
        <f>IFERROR(VLOOKUP($G89,融外自投!$A:$J,10,0),"無")</f>
        <v>無</v>
      </c>
      <c r="T89" s="327">
        <f>IFERROR(VLOOKUP($G89,'321買'!$A:$E,5,0),"'沒有資料'")</f>
        <v>779</v>
      </c>
      <c r="U89" s="186">
        <f>IFERROR(VLOOKUP($G89,基本資料!$A:$J,9,0),"無")</f>
        <v>2.8</v>
      </c>
      <c r="V89" s="310">
        <f t="shared" si="65"/>
        <v>5.4901960784313725E-2</v>
      </c>
      <c r="W89" s="94">
        <f>IFERROR(VLOOKUP($G89,基本資料!$A:$J,10,0),"無")</f>
        <v>7.1</v>
      </c>
      <c r="X89" s="36">
        <v>51</v>
      </c>
      <c r="Y89" s="66">
        <v>42.5</v>
      </c>
      <c r="Z89" s="15">
        <f t="shared" si="90"/>
        <v>8.5</v>
      </c>
      <c r="AA89" s="63">
        <f t="shared" si="91"/>
        <v>0.2</v>
      </c>
      <c r="AB89" s="99" t="s">
        <v>4759</v>
      </c>
      <c r="AC89" s="397">
        <f>IFERROR(VLOOKUP($G89,基本資料!$A:$M,12,0),"無")</f>
        <v>17.510000000000002</v>
      </c>
      <c r="AD89" s="22" t="s">
        <v>1776</v>
      </c>
      <c r="AE89" s="84">
        <v>44623</v>
      </c>
      <c r="AF89" s="86">
        <v>44634</v>
      </c>
      <c r="AG89" s="33">
        <f t="shared" si="85"/>
        <v>11</v>
      </c>
      <c r="AH89" s="43" t="s">
        <v>1777</v>
      </c>
      <c r="AI89" s="63"/>
      <c r="AK89" s="245"/>
      <c r="AL89" s="245"/>
      <c r="AM89" s="284"/>
      <c r="AN89" s="302"/>
      <c r="AO89" s="378"/>
    </row>
    <row r="90" spans="1:41">
      <c r="A90" s="347">
        <f>IFERROR(VLOOKUP($G90,基本資料!$A:$J,3,0),"無")</f>
        <v>6.05</v>
      </c>
      <c r="B90" s="79">
        <f>IFERROR(VLOOKUP($G90,基本資料!$A:$J,4,0),"無")</f>
        <v>-33</v>
      </c>
      <c r="C90" s="79">
        <f>IFERROR(VLOOKUP($G90,基本資料!$A:$J,5,0),"無")</f>
        <v>-40</v>
      </c>
      <c r="D90" s="79">
        <f>IFERROR(VLOOKUP($G90,基本資料!$A:$J,6,0),"無")</f>
        <v>0</v>
      </c>
      <c r="E90" s="79">
        <f>IFERROR(VLOOKUP($G90,基本資料!$A:$J,7,0),"無")</f>
        <v>33</v>
      </c>
      <c r="F90" s="6">
        <f>IFERROR(VLOOKUP($G90,基本資料!$A:$J,8,0),"無")</f>
        <v>9.75</v>
      </c>
      <c r="G90" s="80">
        <v>6715</v>
      </c>
      <c r="H90" s="5" t="s">
        <v>3389</v>
      </c>
      <c r="I90" s="22" t="s">
        <v>1923</v>
      </c>
      <c r="J90" s="8" t="str">
        <f>IFERROR(VLOOKUP($G90,今日總結!$A:$AJ,35,0),"")</f>
        <v/>
      </c>
      <c r="K90" s="5" t="str">
        <f>IFERROR(VLOOKUP($G90,今日總結!$A:$AJ,36,0),"")</f>
        <v/>
      </c>
      <c r="L90" s="156" t="str">
        <f>IFERROR(VLOOKUP($G90,今日總結!$A:$AJ,33,0),"")</f>
        <v/>
      </c>
      <c r="M90" s="340" t="str">
        <f>IFERROR(VLOOKUP($G90,今日總結!$A:$AJ,34,0),"")</f>
        <v/>
      </c>
      <c r="N90" s="240" t="str">
        <f t="shared" si="64"/>
        <v/>
      </c>
      <c r="P90" s="365">
        <f>IFERROR(VLOOKUP($G90,融外自投!$A:$J,7,0),"無")</f>
        <v>325</v>
      </c>
      <c r="Q90" s="79">
        <f>IFERROR(VLOOKUP($G90,融外自投!$A:$J,9,0),"無")</f>
        <v>824</v>
      </c>
      <c r="R90" s="346">
        <f>IFERROR(VLOOKUP($G90,融外自投!$A:$J,8,0),"無")</f>
        <v>1113</v>
      </c>
      <c r="S90" s="81" t="str">
        <f>IFERROR(VLOOKUP($G90,融外自投!$A:$J,10,0),"無")</f>
        <v>無</v>
      </c>
      <c r="T90" s="327">
        <f>IFERROR(VLOOKUP($G90,'321買'!$A:$E,5,0),"'沒有資料'")</f>
        <v>852</v>
      </c>
      <c r="U90" s="186">
        <f>IFERROR(VLOOKUP($G90,基本資料!$A:$J,9,0),"無")</f>
        <v>1.8</v>
      </c>
      <c r="V90" s="310">
        <f t="shared" si="65"/>
        <v>1.7560975609756099E-2</v>
      </c>
      <c r="W90" s="94">
        <f>IFERROR(VLOOKUP($G90,基本資料!$A:$J,10,0),"無")</f>
        <v>3.05</v>
      </c>
      <c r="X90" s="36">
        <v>102.5</v>
      </c>
      <c r="Y90" s="66">
        <v>95</v>
      </c>
      <c r="Z90" s="15">
        <f t="shared" si="90"/>
        <v>7.5</v>
      </c>
      <c r="AA90" s="63">
        <f t="shared" si="91"/>
        <v>7.8947368421052627E-2</v>
      </c>
      <c r="AB90" s="99" t="s">
        <v>4758</v>
      </c>
      <c r="AC90" s="397">
        <f>IFERROR(VLOOKUP($G90,基本資料!$A:$M,12,0),"無")</f>
        <v>30.74</v>
      </c>
      <c r="AD90" s="22" t="s">
        <v>1923</v>
      </c>
      <c r="AE90" s="84">
        <v>44623</v>
      </c>
      <c r="AF90" s="86">
        <v>44634</v>
      </c>
      <c r="AG90" s="33">
        <f t="shared" si="85"/>
        <v>11</v>
      </c>
      <c r="AH90" s="119" t="s">
        <v>1924</v>
      </c>
      <c r="AI90" s="63"/>
      <c r="AK90" s="245"/>
      <c r="AL90" s="245"/>
      <c r="AM90" s="284"/>
      <c r="AN90" s="302"/>
      <c r="AO90" s="378"/>
    </row>
    <row r="91" spans="1:41">
      <c r="A91" s="347">
        <f>IFERROR(VLOOKUP($G91,基本資料!$A:$J,3,0),"無")</f>
        <v>35.090000000000003</v>
      </c>
      <c r="B91" s="79">
        <f>IFERROR(VLOOKUP($G91,基本資料!$A:$J,4,0),"無")</f>
        <v>51</v>
      </c>
      <c r="C91" s="79">
        <f>IFERROR(VLOOKUP($G91,基本資料!$A:$J,5,0),"無")</f>
        <v>57</v>
      </c>
      <c r="D91" s="79">
        <f>IFERROR(VLOOKUP($G91,基本資料!$A:$J,6,0),"無")</f>
        <v>-1</v>
      </c>
      <c r="E91" s="79">
        <f>IFERROR(VLOOKUP($G91,基本資料!$A:$J,7,0),"無")</f>
        <v>-23</v>
      </c>
      <c r="F91" s="6">
        <f>IFERROR(VLOOKUP($G91,基本資料!$A:$J,8,0),"無")</f>
        <v>-1.23</v>
      </c>
      <c r="G91" s="80">
        <v>2406</v>
      </c>
      <c r="H91" s="8" t="s">
        <v>306</v>
      </c>
      <c r="I91" s="22" t="s">
        <v>444</v>
      </c>
      <c r="J91" s="8">
        <f>IFERROR(VLOOKUP($G91,今日總結!$A:$AJ,35,0),"")</f>
        <v>0</v>
      </c>
      <c r="K91" s="5" t="str">
        <f>IFERROR(VLOOKUP($G91,今日總結!$A:$AJ,36,0),"")</f>
        <v>借</v>
      </c>
      <c r="L91" s="156">
        <f>IFERROR(VLOOKUP($G91,今日總結!$A:$AJ,33,0),"")</f>
        <v>0</v>
      </c>
      <c r="M91" s="340">
        <f>IFERROR(VLOOKUP($G91,今日總結!$A:$AJ,34,0),"")</f>
        <v>1</v>
      </c>
      <c r="N91" s="240">
        <f t="shared" si="64"/>
        <v>-1</v>
      </c>
      <c r="P91" s="365">
        <f>IFERROR(VLOOKUP($G91,融外自投!$A:$J,7,0),"無")</f>
        <v>165</v>
      </c>
      <c r="Q91" s="79">
        <f>IFERROR(VLOOKUP($G91,融外自投!$A:$J,9,0),"無")</f>
        <v>355</v>
      </c>
      <c r="R91" s="346">
        <f>IFERROR(VLOOKUP($G91,融外自投!$A:$J,8,0),"無")</f>
        <v>775</v>
      </c>
      <c r="S91" s="81" t="str">
        <f>IFERROR(VLOOKUP($G91,融外自投!$A:$J,10,0),"無")</f>
        <v>無</v>
      </c>
      <c r="T91" s="327">
        <f>IFERROR(VLOOKUP($G91,'321買'!$A:$E,5,0),"'沒有資料'")</f>
        <v>445</v>
      </c>
      <c r="U91" s="186">
        <f>IFERROR(VLOOKUP($G91,基本資料!$A:$J,9,0),"無")</f>
        <v>0</v>
      </c>
      <c r="V91" s="310">
        <f t="shared" si="65"/>
        <v>0</v>
      </c>
      <c r="W91" s="94">
        <f>IFERROR(VLOOKUP($G91,基本資料!$A:$J,10,0),"無")</f>
        <v>0.09</v>
      </c>
      <c r="X91" s="36">
        <v>25.65</v>
      </c>
      <c r="Y91" s="66">
        <v>25</v>
      </c>
      <c r="Z91" s="15">
        <f t="shared" si="90"/>
        <v>0.64999999999999858</v>
      </c>
      <c r="AA91" s="63">
        <f t="shared" si="91"/>
        <v>2.5999999999999943E-2</v>
      </c>
      <c r="AB91" s="100" t="s">
        <v>4760</v>
      </c>
      <c r="AC91" s="397">
        <f>IFERROR(VLOOKUP($G91,基本資料!$A:$M,12,0),"無")</f>
        <v>11.87</v>
      </c>
      <c r="AD91" s="22" t="s">
        <v>444</v>
      </c>
      <c r="AE91" s="84">
        <v>44622</v>
      </c>
      <c r="AF91" s="86">
        <v>44634</v>
      </c>
      <c r="AG91" s="33">
        <f t="shared" si="85"/>
        <v>12</v>
      </c>
      <c r="AH91" s="43" t="s">
        <v>4136</v>
      </c>
      <c r="AI91" s="63"/>
      <c r="AK91" s="245"/>
      <c r="AL91" s="245"/>
      <c r="AM91" s="284"/>
      <c r="AN91" s="302"/>
      <c r="AO91" s="378"/>
    </row>
    <row r="92" spans="1:41">
      <c r="A92" s="347" t="str">
        <f>IFERROR(VLOOKUP($G92,基本資料!$A:$J,3,0),"無")</f>
        <v>無</v>
      </c>
      <c r="B92" s="79" t="str">
        <f>IFERROR(VLOOKUP($G92,基本資料!$A:$J,4,0),"無")</f>
        <v>無</v>
      </c>
      <c r="C92" s="79" t="str">
        <f>IFERROR(VLOOKUP($G92,基本資料!$A:$J,5,0),"無")</f>
        <v>無</v>
      </c>
      <c r="D92" s="79" t="str">
        <f>IFERROR(VLOOKUP($G92,基本資料!$A:$J,6,0),"無")</f>
        <v>無</v>
      </c>
      <c r="E92" s="79" t="str">
        <f>IFERROR(VLOOKUP($G92,基本資料!$A:$J,7,0),"無")</f>
        <v>無</v>
      </c>
      <c r="F92" s="6" t="str">
        <f>IFERROR(VLOOKUP($G92,基本資料!$A:$J,8,0),"無")</f>
        <v>無</v>
      </c>
      <c r="G92" s="79">
        <v>6693</v>
      </c>
      <c r="H92" s="192" t="s">
        <v>3039</v>
      </c>
      <c r="I92" s="16" t="s">
        <v>4749</v>
      </c>
      <c r="J92" s="8" t="str">
        <f>IFERROR(VLOOKUP($G92,今日總結!$A:$AJ,35,0),"")</f>
        <v/>
      </c>
      <c r="K92" s="5" t="str">
        <f>IFERROR(VLOOKUP($G92,今日總結!$A:$AJ,36,0),"")</f>
        <v/>
      </c>
      <c r="L92" s="156" t="str">
        <f>IFERROR(VLOOKUP($G92,今日總結!$A:$AJ,33,0),"")</f>
        <v/>
      </c>
      <c r="M92" s="340" t="str">
        <f>IFERROR(VLOOKUP($G92,今日總結!$A:$AJ,34,0),"")</f>
        <v/>
      </c>
      <c r="N92" s="240" t="str">
        <f t="shared" si="64"/>
        <v/>
      </c>
      <c r="P92" s="365" t="str">
        <f>IFERROR(VLOOKUP($G92,融外自投!$A:$J,7,0),"無")</f>
        <v>無</v>
      </c>
      <c r="Q92" s="79" t="str">
        <f>IFERROR(VLOOKUP($G92,融外自投!$A:$J,9,0),"無")</f>
        <v>無</v>
      </c>
      <c r="R92" s="346" t="str">
        <f>IFERROR(VLOOKUP($G92,融外自投!$A:$J,8,0),"無")</f>
        <v>無</v>
      </c>
      <c r="S92" s="81" t="str">
        <f>IFERROR(VLOOKUP($G92,融外自投!$A:$J,10,0),"無")</f>
        <v>無</v>
      </c>
      <c r="T92" s="327" t="str">
        <f>IFERROR(VLOOKUP($G92,'321買'!$A:$E,5,0),"'沒有資料'")</f>
        <v>'沒有資料'</v>
      </c>
      <c r="U92" s="186" t="str">
        <f>IFERROR(VLOOKUP($G92,基本資料!$A:$J,9,0),"無")</f>
        <v>無</v>
      </c>
      <c r="V92" s="310" t="e">
        <f t="shared" si="65"/>
        <v>#VALUE!</v>
      </c>
      <c r="W92" s="94" t="str">
        <f>IFERROR(VLOOKUP($G92,基本資料!$A:$J,10,0),"無")</f>
        <v>無</v>
      </c>
      <c r="X92" s="36">
        <v>100</v>
      </c>
      <c r="Y92" s="66">
        <v>116</v>
      </c>
      <c r="Z92" s="15">
        <f t="shared" si="90"/>
        <v>-16</v>
      </c>
      <c r="AA92" s="76">
        <f t="shared" si="91"/>
        <v>-0.13793103448275862</v>
      </c>
      <c r="AB92" s="99" t="s">
        <v>1668</v>
      </c>
      <c r="AC92" s="397" t="str">
        <f>IFERROR(VLOOKUP($G92,基本資料!$A:$M,12,0),"無")</f>
        <v>無</v>
      </c>
      <c r="AD92" s="16" t="s">
        <v>4749</v>
      </c>
      <c r="AE92" s="84">
        <v>44621</v>
      </c>
      <c r="AF92" s="86">
        <v>44631</v>
      </c>
      <c r="AG92" s="33">
        <f t="shared" si="85"/>
        <v>10</v>
      </c>
      <c r="AH92" s="43" t="s">
        <v>4750</v>
      </c>
      <c r="AI92" s="63"/>
      <c r="AK92" s="245"/>
      <c r="AL92" s="245"/>
      <c r="AM92" s="284"/>
      <c r="AN92" s="302"/>
      <c r="AO92" s="378"/>
    </row>
    <row r="93" spans="1:41">
      <c r="A93" s="347">
        <f>IFERROR(VLOOKUP($G93,基本資料!$A:$J,3,0),"無")</f>
        <v>4.2</v>
      </c>
      <c r="B93" s="79">
        <f>IFERROR(VLOOKUP($G93,基本資料!$A:$J,4,0),"無")</f>
        <v>14</v>
      </c>
      <c r="C93" s="79">
        <f>IFERROR(VLOOKUP($G93,基本資料!$A:$J,5,0),"無")</f>
        <v>12</v>
      </c>
      <c r="D93" s="79">
        <f>IFERROR(VLOOKUP($G93,基本資料!$A:$J,6,0),"無")</f>
        <v>-20</v>
      </c>
      <c r="E93" s="79">
        <f>IFERROR(VLOOKUP($G93,基本資料!$A:$J,7,0),"無")</f>
        <v>106</v>
      </c>
      <c r="F93" s="6">
        <f>IFERROR(VLOOKUP($G93,基本資料!$A:$J,8,0),"無")</f>
        <v>-136.1</v>
      </c>
      <c r="G93" s="79">
        <v>6649</v>
      </c>
      <c r="H93" s="8" t="s">
        <v>4726</v>
      </c>
      <c r="I93" s="16" t="s">
        <v>3852</v>
      </c>
      <c r="J93" s="8" t="str">
        <f>IFERROR(VLOOKUP($G93,今日總結!$A:$AJ,35,0),"")</f>
        <v/>
      </c>
      <c r="K93" s="5" t="str">
        <f>IFERROR(VLOOKUP($G93,今日總結!$A:$AJ,36,0),"")</f>
        <v/>
      </c>
      <c r="L93" s="156" t="str">
        <f>IFERROR(VLOOKUP($G93,今日總結!$A:$AJ,33,0),"")</f>
        <v/>
      </c>
      <c r="M93" s="340" t="str">
        <f>IFERROR(VLOOKUP($G93,今日總結!$A:$AJ,34,0),"")</f>
        <v/>
      </c>
      <c r="N93" s="240" t="str">
        <f t="shared" si="64"/>
        <v/>
      </c>
      <c r="P93" s="365" t="str">
        <f>IFERROR(VLOOKUP($G93,融外自投!$A:$J,7,0),"無")</f>
        <v>無</v>
      </c>
      <c r="Q93" s="79" t="str">
        <f>IFERROR(VLOOKUP($G93,融外自投!$A:$J,9,0),"無")</f>
        <v>無</v>
      </c>
      <c r="R93" s="346" t="str">
        <f>IFERROR(VLOOKUP($G93,融外自投!$A:$J,8,0),"無")</f>
        <v>無</v>
      </c>
      <c r="S93" s="81" t="str">
        <f>IFERROR(VLOOKUP($G93,融外自投!$A:$J,10,0),"無")</f>
        <v>無</v>
      </c>
      <c r="T93" s="327" t="str">
        <f>IFERROR(VLOOKUP($G93,'321買'!$A:$E,5,0),"'沒有資料'")</f>
        <v>'沒有資料'</v>
      </c>
      <c r="U93" s="186">
        <f>IFERROR(VLOOKUP($G93,基本資料!$A:$J,9,0),"無")</f>
        <v>0</v>
      </c>
      <c r="V93" s="310">
        <f t="shared" si="65"/>
        <v>0</v>
      </c>
      <c r="W93" s="94">
        <f>IFERROR(VLOOKUP($G93,基本資料!$A:$J,10,0),"無")</f>
        <v>-1.44</v>
      </c>
      <c r="X93" s="36">
        <v>23.45</v>
      </c>
      <c r="Y93" s="66">
        <v>21.2</v>
      </c>
      <c r="Z93" s="15">
        <f t="shared" ref="Z93:Z124" si="92">X93-Y93</f>
        <v>2.25</v>
      </c>
      <c r="AA93" s="63">
        <f t="shared" ref="AA93:AA124" si="93">Z93/Y93</f>
        <v>0.10613207547169812</v>
      </c>
      <c r="AB93" s="99" t="s">
        <v>4752</v>
      </c>
      <c r="AC93" s="397">
        <f>IFERROR(VLOOKUP($G93,基本資料!$A:$M,12,0),"無")</f>
        <v>38.92</v>
      </c>
      <c r="AD93" s="16" t="s">
        <v>3852</v>
      </c>
      <c r="AE93" s="84">
        <v>44613</v>
      </c>
      <c r="AF93" s="86">
        <v>44623</v>
      </c>
      <c r="AG93" s="33">
        <f t="shared" si="85"/>
        <v>10</v>
      </c>
      <c r="AH93" s="43" t="s">
        <v>3853</v>
      </c>
      <c r="AI93" s="63"/>
      <c r="AK93" s="245"/>
      <c r="AL93" s="245"/>
      <c r="AM93" s="284"/>
      <c r="AN93" s="302"/>
      <c r="AO93" s="378"/>
    </row>
    <row r="94" spans="1:41">
      <c r="A94" s="347">
        <f>IFERROR(VLOOKUP($G94,基本資料!$A:$J,3,0),"無")</f>
        <v>3.93</v>
      </c>
      <c r="B94" s="79">
        <f>IFERROR(VLOOKUP($G94,基本資料!$A:$J,4,0),"無")</f>
        <v>-968</v>
      </c>
      <c r="C94" s="79">
        <f>IFERROR(VLOOKUP($G94,基本資料!$A:$J,5,0),"無")</f>
        <v>-514</v>
      </c>
      <c r="D94" s="79">
        <f>IFERROR(VLOOKUP($G94,基本資料!$A:$J,6,0),"無")</f>
        <v>103</v>
      </c>
      <c r="E94" s="79">
        <f>IFERROR(VLOOKUP($G94,基本資料!$A:$J,7,0),"無")</f>
        <v>23</v>
      </c>
      <c r="F94" s="6">
        <f>IFERROR(VLOOKUP($G94,基本資料!$A:$J,8,0),"無")</f>
        <v>-13.55</v>
      </c>
      <c r="G94" s="80">
        <v>6578</v>
      </c>
      <c r="H94" s="5" t="s">
        <v>1038</v>
      </c>
      <c r="I94" s="16" t="s">
        <v>1121</v>
      </c>
      <c r="J94" s="8">
        <f>IFERROR(VLOOKUP($G94,今日總結!$A:$AJ,35,0),"")</f>
        <v>0</v>
      </c>
      <c r="K94" s="5">
        <f>IFERROR(VLOOKUP($G94,今日總結!$A:$AJ,36,0),"")</f>
        <v>32</v>
      </c>
      <c r="L94" s="156">
        <f>IFERROR(VLOOKUP($G94,今日總結!$A:$AJ,33,0),"")</f>
        <v>0</v>
      </c>
      <c r="M94" s="340">
        <f>IFERROR(VLOOKUP($G94,今日總結!$A:$AJ,34,0),"")</f>
        <v>3</v>
      </c>
      <c r="N94" s="240">
        <f t="shared" si="64"/>
        <v>-3</v>
      </c>
      <c r="P94" s="365">
        <f>IFERROR(VLOOKUP($G94,融外自投!$A:$J,7,0),"無")</f>
        <v>93</v>
      </c>
      <c r="Q94" s="79">
        <f>IFERROR(VLOOKUP($G94,融外自投!$A:$J,9,0),"無")</f>
        <v>734</v>
      </c>
      <c r="R94" s="346">
        <f>IFERROR(VLOOKUP($G94,融外自投!$A:$J,8,0),"無")</f>
        <v>1276</v>
      </c>
      <c r="S94" s="81" t="str">
        <f>IFERROR(VLOOKUP($G94,融外自投!$A:$J,10,0),"無")</f>
        <v>無</v>
      </c>
      <c r="T94" s="327">
        <f>IFERROR(VLOOKUP($G94,'321買'!$A:$E,5,0),"'沒有資料'")</f>
        <v>915</v>
      </c>
      <c r="U94" s="186">
        <f>IFERROR(VLOOKUP($G94,基本資料!$A:$J,9,0),"無")</f>
        <v>0</v>
      </c>
      <c r="V94" s="310">
        <f t="shared" si="65"/>
        <v>0</v>
      </c>
      <c r="W94" s="94">
        <f>IFERROR(VLOOKUP($G94,基本資料!$A:$J,10,0),"無")</f>
        <v>-1.92</v>
      </c>
      <c r="X94" s="36">
        <v>16.600000000000001</v>
      </c>
      <c r="Y94" s="66">
        <v>16</v>
      </c>
      <c r="Z94" s="15">
        <f t="shared" si="92"/>
        <v>0.60000000000000142</v>
      </c>
      <c r="AA94" s="63">
        <f t="shared" si="93"/>
        <v>3.7500000000000089E-2</v>
      </c>
      <c r="AB94" s="99" t="s">
        <v>1667</v>
      </c>
      <c r="AC94" s="397">
        <f>IFERROR(VLOOKUP($G94,基本資料!$A:$M,12,0),"無")</f>
        <v>60.51</v>
      </c>
      <c r="AD94" s="16" t="s">
        <v>1121</v>
      </c>
      <c r="AE94" s="84">
        <v>44586</v>
      </c>
      <c r="AF94" s="86">
        <v>44599</v>
      </c>
      <c r="AG94" s="33">
        <f t="shared" si="85"/>
        <v>13</v>
      </c>
      <c r="AH94" s="43" t="s">
        <v>2615</v>
      </c>
      <c r="AI94" s="63"/>
      <c r="AK94" s="245"/>
      <c r="AL94" s="245"/>
      <c r="AM94" s="284"/>
      <c r="AN94" s="302"/>
      <c r="AO94" s="380"/>
    </row>
    <row r="95" spans="1:41">
      <c r="A95" s="347" t="str">
        <f>IFERROR(VLOOKUP($G95,基本資料!$A:$J,3,0),"無")</f>
        <v>無</v>
      </c>
      <c r="B95" s="79" t="str">
        <f>IFERROR(VLOOKUP($G95,基本資料!$A:$J,4,0),"無")</f>
        <v>無</v>
      </c>
      <c r="C95" s="79" t="str">
        <f>IFERROR(VLOOKUP($G95,基本資料!$A:$J,5,0),"無")</f>
        <v>無</v>
      </c>
      <c r="D95" s="79" t="str">
        <f>IFERROR(VLOOKUP($G95,基本資料!$A:$J,6,0),"無")</f>
        <v>無</v>
      </c>
      <c r="E95" s="79" t="str">
        <f>IFERROR(VLOOKUP($G95,基本資料!$A:$J,7,0),"無")</f>
        <v>無</v>
      </c>
      <c r="F95" s="6" t="str">
        <f>IFERROR(VLOOKUP($G95,基本資料!$A:$J,8,0),"無")</f>
        <v>無</v>
      </c>
      <c r="G95" s="80">
        <v>5244</v>
      </c>
      <c r="H95" s="5" t="s">
        <v>306</v>
      </c>
      <c r="I95" s="22" t="s">
        <v>4709</v>
      </c>
      <c r="J95" s="8" t="str">
        <f>IFERROR(VLOOKUP($G95,今日總結!$A:$AJ,35,0),"")</f>
        <v/>
      </c>
      <c r="K95" s="5" t="str">
        <f>IFERROR(VLOOKUP($G95,今日總結!$A:$AJ,36,0),"")</f>
        <v/>
      </c>
      <c r="L95" s="156" t="str">
        <f>IFERROR(VLOOKUP($G95,今日總結!$A:$AJ,33,0),"")</f>
        <v/>
      </c>
      <c r="M95" s="340" t="str">
        <f>IFERROR(VLOOKUP($G95,今日總結!$A:$AJ,34,0),"")</f>
        <v/>
      </c>
      <c r="N95" s="240" t="str">
        <f t="shared" si="64"/>
        <v/>
      </c>
      <c r="P95" s="365" t="str">
        <f>IFERROR(VLOOKUP($G95,融外自投!$A:$J,7,0),"無")</f>
        <v>無</v>
      </c>
      <c r="Q95" s="79" t="str">
        <f>IFERROR(VLOOKUP($G95,融外自投!$A:$J,9,0),"無")</f>
        <v>無</v>
      </c>
      <c r="R95" s="346" t="str">
        <f>IFERROR(VLOOKUP($G95,融外自投!$A:$J,8,0),"無")</f>
        <v>無</v>
      </c>
      <c r="S95" s="81" t="str">
        <f>IFERROR(VLOOKUP($G95,融外自投!$A:$J,10,0),"無")</f>
        <v>無</v>
      </c>
      <c r="T95" s="327" t="str">
        <f>IFERROR(VLOOKUP($G95,'321買'!$A:$E,5,0),"'沒有資料'")</f>
        <v>'沒有資料'</v>
      </c>
      <c r="U95" s="186" t="str">
        <f>IFERROR(VLOOKUP($G95,基本資料!$A:$J,9,0),"無")</f>
        <v>無</v>
      </c>
      <c r="V95" s="310" t="e">
        <f t="shared" si="65"/>
        <v>#VALUE!</v>
      </c>
      <c r="W95" s="94" t="str">
        <f>IFERROR(VLOOKUP($G95,基本資料!$A:$J,10,0),"無")</f>
        <v>無</v>
      </c>
      <c r="X95" s="36">
        <v>46.4</v>
      </c>
      <c r="Y95" s="66">
        <v>41</v>
      </c>
      <c r="Z95" s="15">
        <f t="shared" si="92"/>
        <v>5.3999999999999986</v>
      </c>
      <c r="AA95" s="63">
        <f t="shared" si="93"/>
        <v>0.13170731707317071</v>
      </c>
      <c r="AB95" s="99" t="s">
        <v>4735</v>
      </c>
      <c r="AC95" s="397" t="str">
        <f>IFERROR(VLOOKUP($G95,基本資料!$A:$M,12,0),"無")</f>
        <v>無</v>
      </c>
      <c r="AD95" s="22" t="s">
        <v>4709</v>
      </c>
      <c r="AE95" s="84">
        <v>44580</v>
      </c>
      <c r="AF95" s="86">
        <v>44599</v>
      </c>
      <c r="AG95" s="33">
        <f t="shared" si="85"/>
        <v>19</v>
      </c>
      <c r="AH95" s="43" t="s">
        <v>2510</v>
      </c>
      <c r="AI95" s="63"/>
      <c r="AK95" s="245"/>
      <c r="AL95" s="245"/>
      <c r="AM95" s="284"/>
      <c r="AN95" s="302"/>
      <c r="AO95" s="381"/>
    </row>
    <row r="96" spans="1:41">
      <c r="A96" s="347">
        <f>IFERROR(VLOOKUP($G96,基本資料!$A:$J,3,0),"無")</f>
        <v>18.53</v>
      </c>
      <c r="B96" s="79">
        <f>IFERROR(VLOOKUP($G96,基本資料!$A:$J,4,0),"無")</f>
        <v>204</v>
      </c>
      <c r="C96" s="79">
        <f>IFERROR(VLOOKUP($G96,基本資料!$A:$J,5,0),"無")</f>
        <v>641</v>
      </c>
      <c r="D96" s="79">
        <f>IFERROR(VLOOKUP($G96,基本資料!$A:$J,6,0),"無")</f>
        <v>-11</v>
      </c>
      <c r="E96" s="79">
        <f>IFERROR(VLOOKUP($G96,基本資料!$A:$J,7,0),"無")</f>
        <v>5</v>
      </c>
      <c r="F96" s="6">
        <f>IFERROR(VLOOKUP($G96,基本資料!$A:$J,8,0),"無")</f>
        <v>4.1500000000000004</v>
      </c>
      <c r="G96" s="80">
        <v>5014</v>
      </c>
      <c r="H96" s="8" t="s">
        <v>299</v>
      </c>
      <c r="I96" s="16" t="s">
        <v>3975</v>
      </c>
      <c r="J96" s="8" t="str">
        <f>IFERROR(VLOOKUP($G96,今日總結!$A:$AJ,35,0),"")</f>
        <v/>
      </c>
      <c r="K96" s="5" t="str">
        <f>IFERROR(VLOOKUP($G96,今日總結!$A:$AJ,36,0),"")</f>
        <v/>
      </c>
      <c r="L96" s="156" t="str">
        <f>IFERROR(VLOOKUP($G96,今日總結!$A:$AJ,33,0),"")</f>
        <v/>
      </c>
      <c r="M96" s="340" t="str">
        <f>IFERROR(VLOOKUP($G96,今日總結!$A:$AJ,34,0),"")</f>
        <v/>
      </c>
      <c r="N96" s="240" t="str">
        <f t="shared" si="64"/>
        <v/>
      </c>
      <c r="P96" s="365">
        <f>IFERROR(VLOOKUP($G96,融外自投!$A:$J,7,0),"無")</f>
        <v>46</v>
      </c>
      <c r="Q96" s="79" t="str">
        <f>IFERROR(VLOOKUP($G96,融外自投!$A:$J,9,0),"無")</f>
        <v>無</v>
      </c>
      <c r="R96" s="346">
        <f>IFERROR(VLOOKUP($G96,融外自投!$A:$J,8,0),"無")</f>
        <v>1100</v>
      </c>
      <c r="S96" s="81" t="str">
        <f>IFERROR(VLOOKUP($G96,融外自投!$A:$J,10,0),"無")</f>
        <v>無</v>
      </c>
      <c r="T96" s="327">
        <f>IFERROR(VLOOKUP($G96,'321買'!$A:$E,5,0),"'沒有資料'")</f>
        <v>584</v>
      </c>
      <c r="U96" s="186">
        <f>IFERROR(VLOOKUP($G96,基本資料!$A:$J,9,0),"無")</f>
        <v>0</v>
      </c>
      <c r="V96" s="310">
        <f t="shared" si="65"/>
        <v>0</v>
      </c>
      <c r="W96" s="94">
        <f>IFERROR(VLOOKUP($G96,基本資料!$A:$J,10,0),"無")</f>
        <v>3.14</v>
      </c>
      <c r="X96" s="36">
        <v>19.75</v>
      </c>
      <c r="Y96" s="66">
        <v>19</v>
      </c>
      <c r="Z96" s="15">
        <f t="shared" si="92"/>
        <v>0.75</v>
      </c>
      <c r="AA96" s="63">
        <f t="shared" si="93"/>
        <v>3.9473684210526314E-2</v>
      </c>
      <c r="AB96" s="99" t="s">
        <v>3961</v>
      </c>
      <c r="AC96" s="397">
        <f>IFERROR(VLOOKUP($G96,基本資料!$A:$M,12,0),"無")</f>
        <v>21.66</v>
      </c>
      <c r="AD96" s="16" t="s">
        <v>3975</v>
      </c>
      <c r="AE96" s="84">
        <v>44578</v>
      </c>
      <c r="AF96" s="86">
        <v>44599</v>
      </c>
      <c r="AG96" s="33">
        <f t="shared" si="85"/>
        <v>21</v>
      </c>
      <c r="AH96" s="43" t="s">
        <v>3976</v>
      </c>
      <c r="AI96" s="63"/>
      <c r="AK96" s="245"/>
      <c r="AL96" s="245"/>
      <c r="AM96" s="284"/>
      <c r="AO96" s="381"/>
    </row>
    <row r="97" spans="1:41">
      <c r="A97" s="347" t="str">
        <f>IFERROR(VLOOKUP($G97,基本資料!$A:$J,3,0),"無")</f>
        <v>無</v>
      </c>
      <c r="B97" s="79" t="str">
        <f>IFERROR(VLOOKUP($G97,基本資料!$A:$J,4,0),"無")</f>
        <v>無</v>
      </c>
      <c r="C97" s="79" t="str">
        <f>IFERROR(VLOOKUP($G97,基本資料!$A:$J,5,0),"無")</f>
        <v>無</v>
      </c>
      <c r="D97" s="79" t="str">
        <f>IFERROR(VLOOKUP($G97,基本資料!$A:$J,6,0),"無")</f>
        <v>無</v>
      </c>
      <c r="E97" s="79" t="str">
        <f>IFERROR(VLOOKUP($G97,基本資料!$A:$J,7,0),"無")</f>
        <v>無</v>
      </c>
      <c r="F97" s="6" t="str">
        <f>IFERROR(VLOOKUP($G97,基本資料!$A:$J,8,0),"無")</f>
        <v>無</v>
      </c>
      <c r="G97" s="80">
        <v>2756</v>
      </c>
      <c r="H97" s="5" t="s">
        <v>303</v>
      </c>
      <c r="I97" s="16" t="s">
        <v>4697</v>
      </c>
      <c r="J97" s="8" t="str">
        <f>IFERROR(VLOOKUP($G97,今日總結!$A:$AJ,35,0),"")</f>
        <v/>
      </c>
      <c r="K97" s="5" t="str">
        <f>IFERROR(VLOOKUP($G97,今日總結!$A:$AJ,36,0),"")</f>
        <v/>
      </c>
      <c r="L97" s="156" t="str">
        <f>IFERROR(VLOOKUP($G97,今日總結!$A:$AJ,33,0),"")</f>
        <v/>
      </c>
      <c r="M97" s="340" t="str">
        <f>IFERROR(VLOOKUP($G97,今日總結!$A:$AJ,34,0),"")</f>
        <v/>
      </c>
      <c r="N97" s="240" t="str">
        <f t="shared" si="64"/>
        <v/>
      </c>
      <c r="P97" s="365" t="str">
        <f>IFERROR(VLOOKUP($G97,融外自投!$A:$J,7,0),"無")</f>
        <v>無</v>
      </c>
      <c r="Q97" s="79" t="str">
        <f>IFERROR(VLOOKUP($G97,融外自投!$A:$J,9,0),"無")</f>
        <v>無</v>
      </c>
      <c r="R97" s="346" t="str">
        <f>IFERROR(VLOOKUP($G97,融外自投!$A:$J,8,0),"無")</f>
        <v>無</v>
      </c>
      <c r="S97" s="81" t="str">
        <f>IFERROR(VLOOKUP($G97,融外自投!$A:$J,10,0),"無")</f>
        <v>無</v>
      </c>
      <c r="T97" s="327" t="str">
        <f>IFERROR(VLOOKUP($G97,'321買'!$A:$E,5,0),"'沒有資料'")</f>
        <v>'沒有資料'</v>
      </c>
      <c r="U97" s="186" t="str">
        <f>IFERROR(VLOOKUP($G97,基本資料!$A:$J,9,0),"無")</f>
        <v>無</v>
      </c>
      <c r="V97" s="310" t="e">
        <f t="shared" si="65"/>
        <v>#VALUE!</v>
      </c>
      <c r="W97" s="94" t="str">
        <f>IFERROR(VLOOKUP($G97,基本資料!$A:$J,10,0),"無")</f>
        <v>無</v>
      </c>
      <c r="X97" s="36">
        <v>112.5</v>
      </c>
      <c r="Y97" s="66">
        <v>78.8</v>
      </c>
      <c r="Z97" s="15">
        <f t="shared" si="92"/>
        <v>33.700000000000003</v>
      </c>
      <c r="AA97" s="63">
        <f t="shared" si="93"/>
        <v>0.42766497461928937</v>
      </c>
      <c r="AB97" s="99" t="s">
        <v>4724</v>
      </c>
      <c r="AC97" s="397" t="str">
        <f>IFERROR(VLOOKUP($G97,基本資料!$A:$M,12,0),"無")</f>
        <v>無</v>
      </c>
      <c r="AD97" s="16" t="s">
        <v>4697</v>
      </c>
      <c r="AE97" s="84">
        <v>44575</v>
      </c>
      <c r="AF97" s="86">
        <v>44585</v>
      </c>
      <c r="AG97" s="33">
        <f t="shared" si="85"/>
        <v>10</v>
      </c>
      <c r="AH97" s="43" t="s">
        <v>4699</v>
      </c>
      <c r="AI97" s="63"/>
      <c r="AK97" s="245"/>
      <c r="AL97" s="245"/>
      <c r="AM97" s="284"/>
      <c r="AO97" s="381"/>
    </row>
    <row r="98" spans="1:41">
      <c r="A98" s="347" t="str">
        <f>IFERROR(VLOOKUP($G98,基本資料!$A:$J,3,0),"無")</f>
        <v>無</v>
      </c>
      <c r="B98" s="79" t="str">
        <f>IFERROR(VLOOKUP($G98,基本資料!$A:$J,4,0),"無")</f>
        <v>無</v>
      </c>
      <c r="C98" s="79" t="str">
        <f>IFERROR(VLOOKUP($G98,基本資料!$A:$J,5,0),"無")</f>
        <v>無</v>
      </c>
      <c r="D98" s="79" t="str">
        <f>IFERROR(VLOOKUP($G98,基本資料!$A:$J,6,0),"無")</f>
        <v>無</v>
      </c>
      <c r="E98" s="79" t="str">
        <f>IFERROR(VLOOKUP($G98,基本資料!$A:$J,7,0),"無")</f>
        <v>無</v>
      </c>
      <c r="F98" s="6" t="str">
        <f>IFERROR(VLOOKUP($G98,基本資料!$A:$J,8,0),"無")</f>
        <v>無</v>
      </c>
      <c r="G98" s="79">
        <v>6719</v>
      </c>
      <c r="H98" s="192" t="s">
        <v>3039</v>
      </c>
      <c r="I98" s="22" t="s">
        <v>4698</v>
      </c>
      <c r="J98" s="8" t="str">
        <f>IFERROR(VLOOKUP($G98,今日總結!$A:$AJ,35,0),"")</f>
        <v/>
      </c>
      <c r="K98" s="5" t="str">
        <f>IFERROR(VLOOKUP($G98,今日總結!$A:$AJ,36,0),"")</f>
        <v/>
      </c>
      <c r="L98" s="156" t="str">
        <f>IFERROR(VLOOKUP($G98,今日總結!$A:$AJ,33,0),"")</f>
        <v/>
      </c>
      <c r="M98" s="340" t="str">
        <f>IFERROR(VLOOKUP($G98,今日總結!$A:$AJ,34,0),"")</f>
        <v/>
      </c>
      <c r="N98" s="240" t="str">
        <f t="shared" si="64"/>
        <v/>
      </c>
      <c r="P98" s="365" t="str">
        <f>IFERROR(VLOOKUP($G98,融外自投!$A:$J,7,0),"無")</f>
        <v>無</v>
      </c>
      <c r="Q98" s="79" t="str">
        <f>IFERROR(VLOOKUP($G98,融外自投!$A:$J,9,0),"無")</f>
        <v>無</v>
      </c>
      <c r="R98" s="346" t="str">
        <f>IFERROR(VLOOKUP($G98,融外自投!$A:$J,8,0),"無")</f>
        <v>無</v>
      </c>
      <c r="S98" s="81" t="str">
        <f>IFERROR(VLOOKUP($G98,融外自投!$A:$J,10,0),"無")</f>
        <v>無</v>
      </c>
      <c r="T98" s="327" t="str">
        <f>IFERROR(VLOOKUP($G98,'321買'!$A:$E,5,0),"'沒有資料'")</f>
        <v>'沒有資料'</v>
      </c>
      <c r="U98" s="186" t="str">
        <f>IFERROR(VLOOKUP($G98,基本資料!$A:$J,9,0),"無")</f>
        <v>無</v>
      </c>
      <c r="V98" s="310" t="e">
        <f t="shared" si="65"/>
        <v>#VALUE!</v>
      </c>
      <c r="W98" s="94" t="str">
        <f>IFERROR(VLOOKUP($G98,基本資料!$A:$J,10,0),"無")</f>
        <v>無</v>
      </c>
      <c r="X98" s="36">
        <v>960</v>
      </c>
      <c r="Y98" s="66">
        <v>589</v>
      </c>
      <c r="Z98" s="15">
        <f t="shared" si="92"/>
        <v>371</v>
      </c>
      <c r="AA98" s="63">
        <f t="shared" si="93"/>
        <v>0.62988115449915105</v>
      </c>
      <c r="AB98" s="99" t="s">
        <v>4721</v>
      </c>
      <c r="AC98" s="397" t="str">
        <f>IFERROR(VLOOKUP($G98,基本資料!$A:$M,12,0),"無")</f>
        <v>無</v>
      </c>
      <c r="AD98" s="22" t="s">
        <v>4698</v>
      </c>
      <c r="AE98" s="84">
        <v>44574</v>
      </c>
      <c r="AF98" s="86">
        <v>44585</v>
      </c>
      <c r="AG98" s="33">
        <f t="shared" si="85"/>
        <v>11</v>
      </c>
      <c r="AH98" s="43" t="s">
        <v>4700</v>
      </c>
      <c r="AI98" s="63"/>
      <c r="AK98" s="245"/>
      <c r="AL98" s="245"/>
      <c r="AM98" s="284"/>
      <c r="AO98" s="381"/>
    </row>
    <row r="99" spans="1:41">
      <c r="A99" s="347" t="str">
        <f>IFERROR(VLOOKUP($G99,基本資料!$A:$J,3,0),"無")</f>
        <v>無</v>
      </c>
      <c r="B99" s="79" t="str">
        <f>IFERROR(VLOOKUP($G99,基本資料!$A:$J,4,0),"無")</f>
        <v>無</v>
      </c>
      <c r="C99" s="79" t="str">
        <f>IFERROR(VLOOKUP($G99,基本資料!$A:$J,5,0),"無")</f>
        <v>無</v>
      </c>
      <c r="D99" s="79" t="str">
        <f>IFERROR(VLOOKUP($G99,基本資料!$A:$J,6,0),"無")</f>
        <v>無</v>
      </c>
      <c r="E99" s="79" t="str">
        <f>IFERROR(VLOOKUP($G99,基本資料!$A:$J,7,0),"無")</f>
        <v>無</v>
      </c>
      <c r="F99" s="6" t="str">
        <f>IFERROR(VLOOKUP($G99,基本資料!$A:$J,8,0),"無")</f>
        <v>無</v>
      </c>
      <c r="G99" s="79">
        <v>3592</v>
      </c>
      <c r="H99" s="8" t="s">
        <v>3039</v>
      </c>
      <c r="I99" s="22" t="s">
        <v>3576</v>
      </c>
      <c r="J99" s="8" t="str">
        <f>IFERROR(VLOOKUP($G99,今日總結!$A:$AJ,35,0),"")</f>
        <v/>
      </c>
      <c r="K99" s="5" t="str">
        <f>IFERROR(VLOOKUP($G99,今日總結!$A:$AJ,36,0),"")</f>
        <v/>
      </c>
      <c r="L99" s="156" t="str">
        <f>IFERROR(VLOOKUP($G99,今日總結!$A:$AJ,33,0),"")</f>
        <v/>
      </c>
      <c r="M99" s="340" t="str">
        <f>IFERROR(VLOOKUP($G99,今日總結!$A:$AJ,34,0),"")</f>
        <v/>
      </c>
      <c r="N99" s="240" t="str">
        <f t="shared" si="64"/>
        <v/>
      </c>
      <c r="P99" s="365" t="str">
        <f>IFERROR(VLOOKUP($G99,融外自投!$A:$J,7,0),"無")</f>
        <v>無</v>
      </c>
      <c r="Q99" s="79" t="str">
        <f>IFERROR(VLOOKUP($G99,融外自投!$A:$J,9,0),"無")</f>
        <v>無</v>
      </c>
      <c r="R99" s="346" t="str">
        <f>IFERROR(VLOOKUP($G99,融外自投!$A:$J,8,0),"無")</f>
        <v>無</v>
      </c>
      <c r="S99" s="81" t="str">
        <f>IFERROR(VLOOKUP($G99,融外自投!$A:$J,10,0),"無")</f>
        <v>無</v>
      </c>
      <c r="T99" s="327" t="str">
        <f>IFERROR(VLOOKUP($G99,'321買'!$A:$E,5,0),"'沒有資料'")</f>
        <v>'沒有資料'</v>
      </c>
      <c r="U99" s="186" t="str">
        <f>IFERROR(VLOOKUP($G99,基本資料!$A:$J,9,0),"無")</f>
        <v>無</v>
      </c>
      <c r="V99" s="310" t="e">
        <f t="shared" si="65"/>
        <v>#VALUE!</v>
      </c>
      <c r="W99" s="94" t="str">
        <f>IFERROR(VLOOKUP($G99,基本資料!$A:$J,10,0),"無")</f>
        <v>無</v>
      </c>
      <c r="X99" s="36">
        <v>624</v>
      </c>
      <c r="Y99" s="66">
        <v>308</v>
      </c>
      <c r="Z99" s="15">
        <f t="shared" si="92"/>
        <v>316</v>
      </c>
      <c r="AA99" s="148">
        <f t="shared" si="93"/>
        <v>1.025974025974026</v>
      </c>
      <c r="AB99" s="99" t="s">
        <v>4710</v>
      </c>
      <c r="AC99" s="397" t="str">
        <f>IFERROR(VLOOKUP($G99,基本資料!$A:$M,12,0),"無")</f>
        <v>無</v>
      </c>
      <c r="AD99" s="22" t="s">
        <v>3576</v>
      </c>
      <c r="AE99" s="84">
        <v>44568</v>
      </c>
      <c r="AF99" s="86">
        <v>44578</v>
      </c>
      <c r="AG99" s="33">
        <f t="shared" si="85"/>
        <v>10</v>
      </c>
      <c r="AH99" s="43" t="s">
        <v>3577</v>
      </c>
      <c r="AI99" s="63"/>
      <c r="AK99" s="245"/>
      <c r="AL99" s="245"/>
      <c r="AM99" s="284"/>
    </row>
    <row r="100" spans="1:41">
      <c r="A100" s="347">
        <f>IFERROR(VLOOKUP($G100,基本資料!$A:$J,3,0),"無")</f>
        <v>10.6</v>
      </c>
      <c r="B100" s="79">
        <f>IFERROR(VLOOKUP($G100,基本資料!$A:$J,4,0),"無")</f>
        <v>6</v>
      </c>
      <c r="C100" s="79">
        <f>IFERROR(VLOOKUP($G100,基本資料!$A:$J,5,0),"無")</f>
        <v>-13</v>
      </c>
      <c r="D100" s="79">
        <f>IFERROR(VLOOKUP($G100,基本資料!$A:$J,6,0),"無")</f>
        <v>41</v>
      </c>
      <c r="E100" s="79">
        <f>IFERROR(VLOOKUP($G100,基本資料!$A:$J,7,0),"無")</f>
        <v>16</v>
      </c>
      <c r="F100" s="6">
        <f>IFERROR(VLOOKUP($G100,基本資料!$A:$J,8,0),"無")</f>
        <v>3.31</v>
      </c>
      <c r="G100" s="79">
        <v>6414</v>
      </c>
      <c r="H100" s="193" t="s">
        <v>1146</v>
      </c>
      <c r="I100" s="22" t="s">
        <v>213</v>
      </c>
      <c r="J100" s="8" t="str">
        <f>IFERROR(VLOOKUP($G100,今日總結!$A:$AJ,35,0),"")</f>
        <v/>
      </c>
      <c r="K100" s="5" t="str">
        <f>IFERROR(VLOOKUP($G100,今日總結!$A:$AJ,36,0),"")</f>
        <v/>
      </c>
      <c r="L100" s="156" t="str">
        <f>IFERROR(VLOOKUP($G100,今日總結!$A:$AJ,33,0),"")</f>
        <v/>
      </c>
      <c r="M100" s="340" t="str">
        <f>IFERROR(VLOOKUP($G100,今日總結!$A:$AJ,34,0),"")</f>
        <v/>
      </c>
      <c r="N100" s="240" t="str">
        <f t="shared" si="64"/>
        <v/>
      </c>
      <c r="P100" s="365">
        <f>IFERROR(VLOOKUP($G100,融外自投!$A:$J,7,0),"無")</f>
        <v>364</v>
      </c>
      <c r="Q100" s="79">
        <f>IFERROR(VLOOKUP($G100,融外自投!$A:$J,9,0),"無")</f>
        <v>571</v>
      </c>
      <c r="R100" s="346">
        <f>IFERROR(VLOOKUP($G100,融外自投!$A:$J,8,0),"無")</f>
        <v>474</v>
      </c>
      <c r="S100" s="81">
        <f>IFERROR(VLOOKUP($G100,融外自投!$A:$J,10,0),"無")</f>
        <v>253</v>
      </c>
      <c r="T100" s="327">
        <f>IFERROR(VLOOKUP($G100,'321買'!$A:$E,5,0),"'沒有資料'")</f>
        <v>131</v>
      </c>
      <c r="U100" s="186">
        <f>IFERROR(VLOOKUP($G100,基本資料!$A:$J,9,0),"無")</f>
        <v>7</v>
      </c>
      <c r="V100" s="310">
        <f t="shared" si="65"/>
        <v>2.9787234042553193E-2</v>
      </c>
      <c r="W100" s="94">
        <f>IFERROR(VLOOKUP($G100,基本資料!$A:$J,10,0),"無")</f>
        <v>13.91</v>
      </c>
      <c r="X100" s="36">
        <v>235</v>
      </c>
      <c r="Y100" s="66">
        <v>195</v>
      </c>
      <c r="Z100" s="15">
        <f t="shared" si="92"/>
        <v>40</v>
      </c>
      <c r="AA100" s="63">
        <f t="shared" si="93"/>
        <v>0.20512820512820512</v>
      </c>
      <c r="AB100" s="99" t="s">
        <v>4706</v>
      </c>
      <c r="AC100" s="397">
        <f>IFERROR(VLOOKUP($G100,基本資料!$A:$M,12,0),"無")</f>
        <v>25.02</v>
      </c>
      <c r="AD100" s="22" t="s">
        <v>213</v>
      </c>
      <c r="AE100" s="84">
        <v>44566</v>
      </c>
      <c r="AF100" s="86">
        <v>44578</v>
      </c>
      <c r="AG100" s="33">
        <f t="shared" si="85"/>
        <v>12</v>
      </c>
      <c r="AH100" s="117" t="s">
        <v>1506</v>
      </c>
      <c r="AI100" s="33"/>
      <c r="AK100" s="245"/>
      <c r="AL100" s="245"/>
      <c r="AM100" s="33"/>
    </row>
    <row r="101" spans="1:41">
      <c r="A101" s="347">
        <f>IFERROR(VLOOKUP($G101,基本資料!$A:$J,3,0),"無")</f>
        <v>32.92</v>
      </c>
      <c r="B101" s="79">
        <f>IFERROR(VLOOKUP($G101,基本資料!$A:$J,4,0),"無")</f>
        <v>289</v>
      </c>
      <c r="C101" s="79">
        <f>IFERROR(VLOOKUP($G101,基本資料!$A:$J,5,0),"無")</f>
        <v>430</v>
      </c>
      <c r="D101" s="79">
        <f>IFERROR(VLOOKUP($G101,基本資料!$A:$J,6,0),"無")</f>
        <v>3</v>
      </c>
      <c r="E101" s="79">
        <f>IFERROR(VLOOKUP($G101,基本資料!$A:$J,7,0),"無")</f>
        <v>76</v>
      </c>
      <c r="F101" s="6">
        <f>IFERROR(VLOOKUP($G101,基本資料!$A:$J,8,0),"無")</f>
        <v>41.05</v>
      </c>
      <c r="G101" s="80">
        <v>5608</v>
      </c>
      <c r="H101" s="5" t="s">
        <v>302</v>
      </c>
      <c r="I101" s="22" t="s">
        <v>875</v>
      </c>
      <c r="J101" s="8" t="str">
        <f>IFERROR(VLOOKUP($G101,今日總結!$A:$AJ,35,0),"")</f>
        <v/>
      </c>
      <c r="K101" s="5" t="str">
        <f>IFERROR(VLOOKUP($G101,今日總結!$A:$AJ,36,0),"")</f>
        <v/>
      </c>
      <c r="L101" s="156" t="str">
        <f>IFERROR(VLOOKUP($G101,今日總結!$A:$AJ,33,0),"")</f>
        <v/>
      </c>
      <c r="M101" s="340" t="str">
        <f>IFERROR(VLOOKUP($G101,今日總結!$A:$AJ,34,0),"")</f>
        <v/>
      </c>
      <c r="N101" s="240" t="str">
        <f t="shared" si="64"/>
        <v/>
      </c>
      <c r="P101" s="365">
        <f>IFERROR(VLOOKUP($G101,融外自投!$A:$J,7,0),"無")</f>
        <v>163</v>
      </c>
      <c r="Q101" s="79">
        <f>IFERROR(VLOOKUP($G101,融外自投!$A:$J,9,0),"無")</f>
        <v>189</v>
      </c>
      <c r="R101" s="346">
        <f>IFERROR(VLOOKUP($G101,融外自投!$A:$J,8,0),"無")</f>
        <v>717</v>
      </c>
      <c r="S101" s="81">
        <f>IFERROR(VLOOKUP($G101,融外自投!$A:$J,10,0),"無")</f>
        <v>491</v>
      </c>
      <c r="T101" s="327">
        <f>IFERROR(VLOOKUP($G101,'321買'!$A:$E,5,0),"'沒有資料'")</f>
        <v>117</v>
      </c>
      <c r="U101" s="186">
        <f>IFERROR(VLOOKUP($G101,基本資料!$A:$J,9,0),"無")</f>
        <v>2</v>
      </c>
      <c r="V101" s="310">
        <f t="shared" si="65"/>
        <v>5.0632911392405063E-2</v>
      </c>
      <c r="W101" s="94">
        <f>IFERROR(VLOOKUP($G101,基本資料!$A:$J,10,0),"無")</f>
        <v>7.16</v>
      </c>
      <c r="X101" s="36">
        <v>39.5</v>
      </c>
      <c r="Y101" s="66">
        <v>32.799999999999997</v>
      </c>
      <c r="Z101" s="15">
        <f t="shared" si="92"/>
        <v>6.7000000000000028</v>
      </c>
      <c r="AA101" s="63">
        <f t="shared" si="93"/>
        <v>0.20426829268292693</v>
      </c>
      <c r="AB101" s="99" t="s">
        <v>4707</v>
      </c>
      <c r="AC101" s="397">
        <f>IFERROR(VLOOKUP($G101,基本資料!$A:$M,12,0),"無")</f>
        <v>45.54</v>
      </c>
      <c r="AD101" s="22" t="s">
        <v>875</v>
      </c>
      <c r="AE101" s="84">
        <v>44566</v>
      </c>
      <c r="AF101" s="86">
        <v>44578</v>
      </c>
      <c r="AG101" s="33">
        <f t="shared" si="85"/>
        <v>12</v>
      </c>
      <c r="AH101" s="43" t="s">
        <v>1531</v>
      </c>
      <c r="AK101" s="245"/>
      <c r="AL101" s="245"/>
      <c r="AM101" s="245"/>
    </row>
    <row r="102" spans="1:41">
      <c r="A102" s="347">
        <f>IFERROR(VLOOKUP($G102,基本資料!$A:$J,3,0),"無")</f>
        <v>3.22</v>
      </c>
      <c r="B102" s="79">
        <f>IFERROR(VLOOKUP($G102,基本資料!$A:$J,4,0),"無")</f>
        <v>72</v>
      </c>
      <c r="C102" s="79">
        <f>IFERROR(VLOOKUP($G102,基本資料!$A:$J,5,0),"無")</f>
        <v>33</v>
      </c>
      <c r="D102" s="79">
        <f>IFERROR(VLOOKUP($G102,基本資料!$A:$J,6,0),"無")</f>
        <v>-8</v>
      </c>
      <c r="E102" s="79">
        <f>IFERROR(VLOOKUP($G102,基本資料!$A:$J,7,0),"無")</f>
        <v>34</v>
      </c>
      <c r="F102" s="6">
        <f>IFERROR(VLOOKUP($G102,基本資料!$A:$J,8,0),"無")</f>
        <v>5.15</v>
      </c>
      <c r="G102" s="79">
        <v>4542</v>
      </c>
      <c r="H102" s="5" t="s">
        <v>3389</v>
      </c>
      <c r="I102" s="16" t="s">
        <v>409</v>
      </c>
      <c r="J102" s="8" t="str">
        <f>IFERROR(VLOOKUP($G102,今日總結!$A:$AJ,35,0),"")</f>
        <v/>
      </c>
      <c r="K102" s="5" t="str">
        <f>IFERROR(VLOOKUP($G102,今日總結!$A:$AJ,36,0),"")</f>
        <v/>
      </c>
      <c r="L102" s="156" t="str">
        <f>IFERROR(VLOOKUP($G102,今日總結!$A:$AJ,33,0),"")</f>
        <v/>
      </c>
      <c r="M102" s="340" t="str">
        <f>IFERROR(VLOOKUP($G102,今日總結!$A:$AJ,34,0),"")</f>
        <v/>
      </c>
      <c r="N102" s="240" t="str">
        <f t="shared" si="64"/>
        <v/>
      </c>
      <c r="P102" s="365">
        <f>IFERROR(VLOOKUP($G102,融外自投!$A:$J,7,0),"無")</f>
        <v>1054</v>
      </c>
      <c r="Q102" s="79" t="str">
        <f>IFERROR(VLOOKUP($G102,融外自投!$A:$J,9,0),"無")</f>
        <v>無</v>
      </c>
      <c r="R102" s="346">
        <f>IFERROR(VLOOKUP($G102,融外自投!$A:$J,8,0),"無")</f>
        <v>862</v>
      </c>
      <c r="S102" s="81" t="str">
        <f>IFERROR(VLOOKUP($G102,融外自投!$A:$J,10,0),"無")</f>
        <v>無</v>
      </c>
      <c r="T102" s="327" t="str">
        <f>IFERROR(VLOOKUP($G102,'321買'!$A:$E,5,0),"'沒有資料'")</f>
        <v>'沒有資料'</v>
      </c>
      <c r="U102" s="186">
        <f>IFERROR(VLOOKUP($G102,基本資料!$A:$J,9,0),"無")</f>
        <v>1</v>
      </c>
      <c r="V102" s="310">
        <f t="shared" si="65"/>
        <v>3.3388981636060099E-2</v>
      </c>
      <c r="W102" s="94">
        <f>IFERROR(VLOOKUP($G102,基本資料!$A:$J,10,0),"無")</f>
        <v>1.1100000000000001</v>
      </c>
      <c r="X102" s="36">
        <v>29.95</v>
      </c>
      <c r="Y102" s="66">
        <v>25.7</v>
      </c>
      <c r="Z102" s="15">
        <f t="shared" si="92"/>
        <v>4.25</v>
      </c>
      <c r="AA102" s="63">
        <f t="shared" si="93"/>
        <v>0.16536964980544747</v>
      </c>
      <c r="AB102" s="99" t="s">
        <v>4701</v>
      </c>
      <c r="AC102" s="397">
        <f>IFERROR(VLOOKUP($G102,基本資料!$A:$M,12,0),"無")</f>
        <v>57.18</v>
      </c>
      <c r="AD102" s="16" t="s">
        <v>409</v>
      </c>
      <c r="AE102" s="84">
        <v>44565</v>
      </c>
      <c r="AF102" s="86">
        <v>44575</v>
      </c>
      <c r="AG102" s="33">
        <f t="shared" si="85"/>
        <v>10</v>
      </c>
      <c r="AH102" s="43" t="s">
        <v>2292</v>
      </c>
      <c r="AK102" s="245"/>
      <c r="AL102" s="245"/>
      <c r="AM102" s="245"/>
    </row>
    <row r="103" spans="1:41">
      <c r="A103" s="347" t="str">
        <f>IFERROR(VLOOKUP($G103,基本資料!$A:$J,3,0),"無")</f>
        <v>無</v>
      </c>
      <c r="B103" s="79" t="str">
        <f>IFERROR(VLOOKUP($G103,基本資料!$A:$J,4,0),"無")</f>
        <v>無</v>
      </c>
      <c r="C103" s="79" t="str">
        <f>IFERROR(VLOOKUP($G103,基本資料!$A:$J,5,0),"無")</f>
        <v>無</v>
      </c>
      <c r="D103" s="79" t="str">
        <f>IFERROR(VLOOKUP($G103,基本資料!$A:$J,6,0),"無")</f>
        <v>無</v>
      </c>
      <c r="E103" s="79" t="str">
        <f>IFERROR(VLOOKUP($G103,基本資料!$A:$J,7,0),"無")</f>
        <v>無</v>
      </c>
      <c r="F103" s="6" t="str">
        <f>IFERROR(VLOOKUP($G103,基本資料!$A:$J,8,0),"無")</f>
        <v>無</v>
      </c>
      <c r="G103" s="80">
        <v>6691</v>
      </c>
      <c r="H103" s="5" t="s">
        <v>314</v>
      </c>
      <c r="I103" s="22" t="s">
        <v>3570</v>
      </c>
      <c r="J103" s="8" t="str">
        <f>IFERROR(VLOOKUP($G103,今日總結!$A:$AJ,35,0),"")</f>
        <v/>
      </c>
      <c r="K103" s="5" t="str">
        <f>IFERROR(VLOOKUP($G103,今日總結!$A:$AJ,36,0),"")</f>
        <v/>
      </c>
      <c r="L103" s="156" t="str">
        <f>IFERROR(VLOOKUP($G103,今日總結!$A:$AJ,33,0),"")</f>
        <v/>
      </c>
      <c r="M103" s="340" t="str">
        <f>IFERROR(VLOOKUP($G103,今日總結!$A:$AJ,34,0),"")</f>
        <v/>
      </c>
      <c r="N103" s="240" t="str">
        <f t="shared" si="64"/>
        <v/>
      </c>
      <c r="P103" s="365" t="str">
        <f>IFERROR(VLOOKUP($G103,融外自投!$A:$J,7,0),"無")</f>
        <v>無</v>
      </c>
      <c r="Q103" s="79" t="str">
        <f>IFERROR(VLOOKUP($G103,融外自投!$A:$J,9,0),"無")</f>
        <v>無</v>
      </c>
      <c r="R103" s="346" t="str">
        <f>IFERROR(VLOOKUP($G103,融外自投!$A:$J,8,0),"無")</f>
        <v>無</v>
      </c>
      <c r="S103" s="81" t="str">
        <f>IFERROR(VLOOKUP($G103,融外自投!$A:$J,10,0),"無")</f>
        <v>無</v>
      </c>
      <c r="T103" s="327" t="str">
        <f>IFERROR(VLOOKUP($G103,'321買'!$A:$E,5,0),"'沒有資料'")</f>
        <v>'沒有資料'</v>
      </c>
      <c r="U103" s="186" t="str">
        <f>IFERROR(VLOOKUP($G103,基本資料!$A:$J,9,0),"無")</f>
        <v>無</v>
      </c>
      <c r="V103" s="310" t="e">
        <f t="shared" si="65"/>
        <v>#VALUE!</v>
      </c>
      <c r="W103" s="94" t="str">
        <f>IFERROR(VLOOKUP($G103,基本資料!$A:$J,10,0),"無")</f>
        <v>無</v>
      </c>
      <c r="X103" s="36">
        <v>211</v>
      </c>
      <c r="Y103" s="66">
        <v>180</v>
      </c>
      <c r="Z103" s="15">
        <f t="shared" si="92"/>
        <v>31</v>
      </c>
      <c r="AA103" s="63">
        <f t="shared" si="93"/>
        <v>0.17222222222222222</v>
      </c>
      <c r="AB103" s="99" t="s">
        <v>4696</v>
      </c>
      <c r="AC103" s="397" t="str">
        <f>IFERROR(VLOOKUP($G103,基本資料!$A:$M,12,0),"無")</f>
        <v>無</v>
      </c>
      <c r="AD103" s="22" t="s">
        <v>3570</v>
      </c>
      <c r="AE103" s="84">
        <v>44564</v>
      </c>
      <c r="AF103" s="86">
        <v>44574</v>
      </c>
      <c r="AG103" s="33">
        <f t="shared" si="85"/>
        <v>10</v>
      </c>
      <c r="AH103" s="43" t="s">
        <v>3571</v>
      </c>
      <c r="AK103" s="245"/>
      <c r="AL103" s="245"/>
      <c r="AM103" s="245"/>
      <c r="AN103" s="48"/>
    </row>
    <row r="104" spans="1:41">
      <c r="A104" s="347">
        <f>IFERROR(VLOOKUP($G104,基本資料!$A:$J,3,0),"無")</f>
        <v>8.75</v>
      </c>
      <c r="B104" s="79">
        <f>IFERROR(VLOOKUP($G104,基本資料!$A:$J,4,0),"無")</f>
        <v>10</v>
      </c>
      <c r="C104" s="79">
        <f>IFERROR(VLOOKUP($G104,基本資料!$A:$J,5,0),"無")</f>
        <v>29</v>
      </c>
      <c r="D104" s="79">
        <f>IFERROR(VLOOKUP($G104,基本資料!$A:$J,6,0),"無")</f>
        <v>41</v>
      </c>
      <c r="E104" s="79">
        <f>IFERROR(VLOOKUP($G104,基本資料!$A:$J,7,0),"無")</f>
        <v>13</v>
      </c>
      <c r="F104" s="6">
        <f>IFERROR(VLOOKUP($G104,基本資料!$A:$J,8,0),"無")</f>
        <v>-11.35</v>
      </c>
      <c r="G104" s="80">
        <v>4562</v>
      </c>
      <c r="H104" s="5" t="s">
        <v>295</v>
      </c>
      <c r="I104" s="22" t="s">
        <v>6111</v>
      </c>
      <c r="J104" s="8">
        <f>IFERROR(VLOOKUP($G104,今日總結!$A:$AJ,35,0),"")</f>
        <v>0</v>
      </c>
      <c r="K104" s="5" t="str">
        <f>IFERROR(VLOOKUP($G104,今日總結!$A:$AJ,36,0),"")</f>
        <v>融</v>
      </c>
      <c r="L104" s="156">
        <f>IFERROR(VLOOKUP($G104,今日總結!$A:$AJ,33,0),"")</f>
        <v>0</v>
      </c>
      <c r="M104" s="340">
        <f>IFERROR(VLOOKUP($G104,今日總結!$A:$AJ,34,0),"")</f>
        <v>1</v>
      </c>
      <c r="N104" s="240">
        <f t="shared" si="64"/>
        <v>-1</v>
      </c>
      <c r="P104" s="365">
        <f>IFERROR(VLOOKUP($G104,融外自投!$A:$J,7,0),"無")</f>
        <v>973</v>
      </c>
      <c r="Q104" s="79" t="str">
        <f>IFERROR(VLOOKUP($G104,融外自投!$A:$J,9,0),"無")</f>
        <v>無</v>
      </c>
      <c r="R104" s="346">
        <f>IFERROR(VLOOKUP($G104,融外自投!$A:$J,8,0),"無")</f>
        <v>1153</v>
      </c>
      <c r="S104" s="81" t="str">
        <f>IFERROR(VLOOKUP($G104,融外自投!$A:$J,10,0),"無")</f>
        <v>無</v>
      </c>
      <c r="T104" s="327">
        <f>IFERROR(VLOOKUP($G104,'321買'!$A:$E,5,0),"'沒有資料'")</f>
        <v>1143</v>
      </c>
      <c r="U104" s="186">
        <f>IFERROR(VLOOKUP($G104,基本資料!$A:$J,9,0),"無")</f>
        <v>0</v>
      </c>
      <c r="V104" s="310">
        <f t="shared" si="65"/>
        <v>0</v>
      </c>
      <c r="W104" s="94">
        <f>IFERROR(VLOOKUP($G104,基本資料!$A:$J,10,0),"無")</f>
        <v>-2.0099999999999998</v>
      </c>
      <c r="X104" s="36">
        <v>15.9</v>
      </c>
      <c r="Y104" s="66">
        <v>15</v>
      </c>
      <c r="Z104" s="15">
        <f t="shared" si="92"/>
        <v>0.90000000000000036</v>
      </c>
      <c r="AA104" s="63">
        <f t="shared" si="93"/>
        <v>6.0000000000000026E-2</v>
      </c>
      <c r="AB104" s="99" t="s">
        <v>3553</v>
      </c>
      <c r="AC104" s="397">
        <f>IFERROR(VLOOKUP($G104,基本資料!$A:$M,12,0),"無")</f>
        <v>48.79</v>
      </c>
      <c r="AD104" s="22" t="s">
        <v>583</v>
      </c>
      <c r="AE104" s="84">
        <v>44560</v>
      </c>
      <c r="AF104" s="86">
        <v>44571</v>
      </c>
      <c r="AG104" s="33">
        <f t="shared" si="85"/>
        <v>11</v>
      </c>
      <c r="AH104" s="43" t="s">
        <v>2748</v>
      </c>
      <c r="AK104" s="245"/>
      <c r="AL104" s="245"/>
      <c r="AM104" s="245"/>
    </row>
    <row r="105" spans="1:41">
      <c r="A105" s="347">
        <f>IFERROR(VLOOKUP($G105,基本資料!$A:$J,3,0),"無")</f>
        <v>7.05</v>
      </c>
      <c r="B105" s="79">
        <f>IFERROR(VLOOKUP($G105,基本資料!$A:$J,4,0),"無")</f>
        <v>53</v>
      </c>
      <c r="C105" s="79">
        <f>IFERROR(VLOOKUP($G105,基本資料!$A:$J,5,0),"無")</f>
        <v>162</v>
      </c>
      <c r="D105" s="79">
        <f>IFERROR(VLOOKUP($G105,基本資料!$A:$J,6,0),"無")</f>
        <v>11</v>
      </c>
      <c r="E105" s="79">
        <f>IFERROR(VLOOKUP($G105,基本資料!$A:$J,7,0),"無")</f>
        <v>163</v>
      </c>
      <c r="F105" s="6">
        <f>IFERROR(VLOOKUP($G105,基本資料!$A:$J,8,0),"無")</f>
        <v>2.8</v>
      </c>
      <c r="G105" s="80">
        <v>8476</v>
      </c>
      <c r="H105" s="5" t="s">
        <v>1960</v>
      </c>
      <c r="I105" s="16" t="s">
        <v>6112</v>
      </c>
      <c r="J105" s="8">
        <f>IFERROR(VLOOKUP($G105,今日總結!$A:$AJ,35,0),"")</f>
        <v>0</v>
      </c>
      <c r="K105" s="5">
        <f>IFERROR(VLOOKUP($G105,今日總結!$A:$AJ,36,0),"")</f>
        <v>9</v>
      </c>
      <c r="L105" s="156">
        <f>IFERROR(VLOOKUP($G105,今日總結!$A:$AJ,33,0),"")</f>
        <v>0</v>
      </c>
      <c r="M105" s="340">
        <f>IFERROR(VLOOKUP($G105,今日總結!$A:$AJ,34,0),"")</f>
        <v>1</v>
      </c>
      <c r="N105" s="240">
        <f t="shared" si="64"/>
        <v>-1</v>
      </c>
      <c r="P105" s="365">
        <f>IFERROR(VLOOKUP($G105,融外自投!$A:$J,7,0),"無")</f>
        <v>749</v>
      </c>
      <c r="Q105" s="79" t="str">
        <f>IFERROR(VLOOKUP($G105,融外自投!$A:$J,9,0),"無")</f>
        <v>無</v>
      </c>
      <c r="R105" s="346">
        <f>IFERROR(VLOOKUP($G105,融外自投!$A:$J,8,0),"無")</f>
        <v>1341</v>
      </c>
      <c r="S105" s="81" t="str">
        <f>IFERROR(VLOOKUP($G105,融外自投!$A:$J,10,0),"無")</f>
        <v>無</v>
      </c>
      <c r="T105" s="327">
        <f>IFERROR(VLOOKUP($G105,'321買'!$A:$E,5,0),"'沒有資料'")</f>
        <v>939</v>
      </c>
      <c r="U105" s="186">
        <f>IFERROR(VLOOKUP($G105,基本資料!$A:$J,9,0),"無")</f>
        <v>0</v>
      </c>
      <c r="V105" s="310">
        <f t="shared" si="65"/>
        <v>0</v>
      </c>
      <c r="W105" s="94">
        <f>IFERROR(VLOOKUP($G105,基本資料!$A:$J,10,0),"無")</f>
        <v>-0.49</v>
      </c>
      <c r="X105" s="36">
        <v>56.2</v>
      </c>
      <c r="Y105" s="66">
        <v>50</v>
      </c>
      <c r="Z105" s="15">
        <f t="shared" si="92"/>
        <v>6.2000000000000028</v>
      </c>
      <c r="AA105" s="63">
        <f t="shared" si="93"/>
        <v>0.12400000000000005</v>
      </c>
      <c r="AB105" s="99" t="s">
        <v>3579</v>
      </c>
      <c r="AC105" s="397">
        <f>IFERROR(VLOOKUP($G105,基本資料!$A:$M,12,0),"無")</f>
        <v>35.700000000000003</v>
      </c>
      <c r="AD105" s="16" t="s">
        <v>658</v>
      </c>
      <c r="AE105" s="84">
        <v>44557</v>
      </c>
      <c r="AF105" s="86">
        <v>44567</v>
      </c>
      <c r="AG105" s="33">
        <f t="shared" si="85"/>
        <v>10</v>
      </c>
      <c r="AH105" s="43" t="s">
        <v>2481</v>
      </c>
      <c r="AI105" s="288"/>
      <c r="AK105" s="245"/>
      <c r="AL105" s="245"/>
      <c r="AM105" s="285"/>
    </row>
    <row r="106" spans="1:41">
      <c r="A106" s="347">
        <f>IFERROR(VLOOKUP($G106,基本資料!$A:$J,3,0),"無")</f>
        <v>453</v>
      </c>
      <c r="B106" s="79">
        <f>IFERROR(VLOOKUP($G106,基本資料!$A:$J,4,0),"無")</f>
        <v>19</v>
      </c>
      <c r="C106" s="79">
        <f>IFERROR(VLOOKUP($G106,基本資料!$A:$J,5,0),"無")</f>
        <v>0</v>
      </c>
      <c r="D106" s="79">
        <f>IFERROR(VLOOKUP($G106,基本資料!$A:$J,6,0),"無")</f>
        <v>16</v>
      </c>
      <c r="E106" s="79">
        <f>IFERROR(VLOOKUP($G106,基本資料!$A:$J,7,0),"無")</f>
        <v>9</v>
      </c>
      <c r="F106" s="6">
        <f>IFERROR(VLOOKUP($G106,基本資料!$A:$J,8,0),"無")</f>
        <v>0</v>
      </c>
      <c r="G106" s="79">
        <v>2812</v>
      </c>
      <c r="H106" s="17" t="s">
        <v>304</v>
      </c>
      <c r="I106" s="22" t="s">
        <v>4645</v>
      </c>
      <c r="J106" s="8">
        <f>IFERROR(VLOOKUP($G106,今日總結!$A:$AJ,35,0),"")</f>
        <v>0</v>
      </c>
      <c r="K106" s="5" t="str">
        <f>IFERROR(VLOOKUP($G106,今日總結!$A:$AJ,36,0),"")</f>
        <v>融</v>
      </c>
      <c r="L106" s="156">
        <f>IFERROR(VLOOKUP($G106,今日總結!$A:$AJ,33,0),"")</f>
        <v>0</v>
      </c>
      <c r="M106" s="340">
        <f>IFERROR(VLOOKUP($G106,今日總結!$A:$AJ,34,0),"")</f>
        <v>1</v>
      </c>
      <c r="N106" s="240">
        <f t="shared" si="64"/>
        <v>-1</v>
      </c>
      <c r="P106" s="365">
        <f>IFERROR(VLOOKUP($G106,融外自投!$A:$J,7,0),"無")</f>
        <v>1352</v>
      </c>
      <c r="Q106" s="79">
        <f>IFERROR(VLOOKUP($G106,融外自投!$A:$J,9,0),"無")</f>
        <v>1110</v>
      </c>
      <c r="R106" s="346">
        <f>IFERROR(VLOOKUP($G106,融外自投!$A:$J,8,0),"無")</f>
        <v>449</v>
      </c>
      <c r="S106" s="81">
        <f>IFERROR(VLOOKUP($G106,融外自投!$A:$J,10,0),"無")</f>
        <v>299</v>
      </c>
      <c r="T106" s="327">
        <f>IFERROR(VLOOKUP($G106,'321買'!$A:$E,5,0),"'沒有資料'")</f>
        <v>306</v>
      </c>
      <c r="U106" s="186">
        <f>IFERROR(VLOOKUP($G106,基本資料!$A:$J,9,0),"無")</f>
        <v>0.75</v>
      </c>
      <c r="V106" s="310">
        <f t="shared" si="65"/>
        <v>6.0728744939271259E-2</v>
      </c>
      <c r="W106" s="94">
        <f>IFERROR(VLOOKUP($G106,基本資料!$A:$J,10,0),"無")</f>
        <v>1.1000000000000001</v>
      </c>
      <c r="X106" s="36">
        <v>12.35</v>
      </c>
      <c r="Y106" s="66">
        <v>11.15</v>
      </c>
      <c r="Z106" s="15">
        <f t="shared" si="92"/>
        <v>1.1999999999999993</v>
      </c>
      <c r="AA106" s="63">
        <f t="shared" si="93"/>
        <v>0.10762331838565016</v>
      </c>
      <c r="AB106" s="99" t="s">
        <v>1600</v>
      </c>
      <c r="AC106" s="397">
        <f>IFERROR(VLOOKUP($G106,基本資料!$A:$M,12,0),"無")</f>
        <v>40.200000000000003</v>
      </c>
      <c r="AD106" s="22" t="s">
        <v>133</v>
      </c>
      <c r="AE106" s="84">
        <v>44557</v>
      </c>
      <c r="AF106" s="86">
        <v>44567</v>
      </c>
      <c r="AG106" s="33">
        <f t="shared" si="85"/>
        <v>10</v>
      </c>
      <c r="AH106" s="117" t="s">
        <v>1429</v>
      </c>
      <c r="AI106" s="288"/>
      <c r="AK106" s="245"/>
      <c r="AL106" s="245"/>
      <c r="AM106" s="285"/>
    </row>
    <row r="107" spans="1:41">
      <c r="A107" s="347">
        <f>IFERROR(VLOOKUP($G107,基本資料!$A:$J,3,0),"無")</f>
        <v>15.24</v>
      </c>
      <c r="B107" s="79">
        <f>IFERROR(VLOOKUP($G107,基本資料!$A:$J,4,0),"無")</f>
        <v>21</v>
      </c>
      <c r="C107" s="79">
        <f>IFERROR(VLOOKUP($G107,基本資料!$A:$J,5,0),"無")</f>
        <v>24</v>
      </c>
      <c r="D107" s="79">
        <f>IFERROR(VLOOKUP($G107,基本資料!$A:$J,6,0),"無")</f>
        <v>-16</v>
      </c>
      <c r="E107" s="79">
        <f>IFERROR(VLOOKUP($G107,基本資料!$A:$J,7,0),"無")</f>
        <v>0</v>
      </c>
      <c r="F107" s="6">
        <f>IFERROR(VLOOKUP($G107,基本資料!$A:$J,8,0),"無")</f>
        <v>4.8600000000000003</v>
      </c>
      <c r="G107" s="80">
        <v>3029</v>
      </c>
      <c r="H107" s="5" t="s">
        <v>3436</v>
      </c>
      <c r="I107" s="22" t="s">
        <v>1019</v>
      </c>
      <c r="J107" s="8" t="str">
        <f>IFERROR(VLOOKUP($G107,今日總結!$A:$AJ,35,0),"")</f>
        <v/>
      </c>
      <c r="K107" s="5" t="str">
        <f>IFERROR(VLOOKUP($G107,今日總結!$A:$AJ,36,0),"")</f>
        <v/>
      </c>
      <c r="L107" s="156" t="str">
        <f>IFERROR(VLOOKUP($G107,今日總結!$A:$AJ,33,0),"")</f>
        <v/>
      </c>
      <c r="M107" s="340" t="str">
        <f>IFERROR(VLOOKUP($G107,今日總結!$A:$AJ,34,0),"")</f>
        <v/>
      </c>
      <c r="N107" s="240" t="str">
        <f t="shared" si="64"/>
        <v/>
      </c>
      <c r="P107" s="365">
        <f>IFERROR(VLOOKUP($G107,融外自投!$A:$J,7,0),"無")</f>
        <v>926</v>
      </c>
      <c r="Q107" s="79">
        <f>IFERROR(VLOOKUP($G107,融外自投!$A:$J,9,0),"無")</f>
        <v>350</v>
      </c>
      <c r="R107" s="346">
        <f>IFERROR(VLOOKUP($G107,融外自投!$A:$J,8,0),"無")</f>
        <v>816</v>
      </c>
      <c r="S107" s="81" t="str">
        <f>IFERROR(VLOOKUP($G107,融外自投!$A:$J,10,0),"無")</f>
        <v>無</v>
      </c>
      <c r="T107" s="327">
        <f>IFERROR(VLOOKUP($G107,'321買'!$A:$E,5,0),"'沒有資料'")</f>
        <v>664</v>
      </c>
      <c r="U107" s="186">
        <f>IFERROR(VLOOKUP($G107,基本資料!$A:$J,9,0),"無")</f>
        <v>3.6</v>
      </c>
      <c r="V107" s="310">
        <f t="shared" si="65"/>
        <v>8.2191780821917818E-2</v>
      </c>
      <c r="W107" s="94">
        <f>IFERROR(VLOOKUP($G107,基本資料!$A:$J,10,0),"無")</f>
        <v>4.24</v>
      </c>
      <c r="X107" s="36">
        <v>43.8</v>
      </c>
      <c r="Y107" s="66">
        <v>40</v>
      </c>
      <c r="Z107" s="15">
        <f t="shared" si="92"/>
        <v>3.7999999999999972</v>
      </c>
      <c r="AA107" s="63">
        <f t="shared" si="93"/>
        <v>9.4999999999999932E-2</v>
      </c>
      <c r="AB107" s="99" t="s">
        <v>1650</v>
      </c>
      <c r="AC107" s="397">
        <f>IFERROR(VLOOKUP($G107,基本資料!$A:$M,12,0),"無")</f>
        <v>11.68</v>
      </c>
      <c r="AD107" s="22" t="s">
        <v>1019</v>
      </c>
      <c r="AE107" s="84">
        <v>44554</v>
      </c>
      <c r="AF107" s="86">
        <v>44564</v>
      </c>
      <c r="AG107" s="33">
        <f t="shared" si="85"/>
        <v>10</v>
      </c>
      <c r="AH107" s="43" t="s">
        <v>1544</v>
      </c>
      <c r="AI107" s="288"/>
      <c r="AK107" s="245"/>
      <c r="AL107" s="245"/>
      <c r="AM107" s="285"/>
    </row>
    <row r="108" spans="1:41">
      <c r="A108" s="347">
        <f>IFERROR(VLOOKUP($G108,基本資料!$A:$J,3,0),"無")</f>
        <v>9</v>
      </c>
      <c r="B108" s="79">
        <f>IFERROR(VLOOKUP($G108,基本資料!$A:$J,4,0),"無")</f>
        <v>-1083</v>
      </c>
      <c r="C108" s="79">
        <f>IFERROR(VLOOKUP($G108,基本資料!$A:$J,5,0),"無")</f>
        <v>-221</v>
      </c>
      <c r="D108" s="79">
        <f>IFERROR(VLOOKUP($G108,基本資料!$A:$J,6,0),"無")</f>
        <v>-8</v>
      </c>
      <c r="E108" s="79">
        <f>IFERROR(VLOOKUP($G108,基本資料!$A:$J,7,0),"無")</f>
        <v>19</v>
      </c>
      <c r="F108" s="6">
        <f>IFERROR(VLOOKUP($G108,基本資料!$A:$J,8,0),"無")</f>
        <v>-18.34</v>
      </c>
      <c r="G108" s="80">
        <v>1432</v>
      </c>
      <c r="H108" s="5" t="s">
        <v>6113</v>
      </c>
      <c r="I108" s="22" t="s">
        <v>800</v>
      </c>
      <c r="J108" s="8" t="str">
        <f>IFERROR(VLOOKUP($G108,今日總結!$A:$AJ,35,0),"")</f>
        <v/>
      </c>
      <c r="K108" s="5" t="str">
        <f>IFERROR(VLOOKUP($G108,今日總結!$A:$AJ,36,0),"")</f>
        <v/>
      </c>
      <c r="L108" s="156" t="str">
        <f>IFERROR(VLOOKUP($G108,今日總結!$A:$AJ,33,0),"")</f>
        <v/>
      </c>
      <c r="M108" s="340" t="str">
        <f>IFERROR(VLOOKUP($G108,今日總結!$A:$AJ,34,0),"")</f>
        <v/>
      </c>
      <c r="N108" s="240" t="str">
        <f t="shared" si="64"/>
        <v/>
      </c>
      <c r="P108" s="365" t="str">
        <f>IFERROR(VLOOKUP($G108,融外自投!$A:$J,7,0),"無")</f>
        <v>無</v>
      </c>
      <c r="Q108" s="79" t="str">
        <f>IFERROR(VLOOKUP($G108,融外自投!$A:$J,9,0),"無")</f>
        <v>無</v>
      </c>
      <c r="R108" s="346" t="str">
        <f>IFERROR(VLOOKUP($G108,融外自投!$A:$J,8,0),"無")</f>
        <v>無</v>
      </c>
      <c r="S108" s="81" t="str">
        <f>IFERROR(VLOOKUP($G108,融外自投!$A:$J,10,0),"無")</f>
        <v>無</v>
      </c>
      <c r="T108" s="327" t="str">
        <f>IFERROR(VLOOKUP($G108,'321買'!$A:$E,5,0),"'沒有資料'")</f>
        <v>'沒有資料'</v>
      </c>
      <c r="U108" s="186">
        <f>IFERROR(VLOOKUP($G108,基本資料!$A:$J,9,0),"無")</f>
        <v>0</v>
      </c>
      <c r="V108" s="310">
        <f t="shared" si="65"/>
        <v>0</v>
      </c>
      <c r="W108" s="94">
        <f>IFERROR(VLOOKUP($G108,基本資料!$A:$J,10,0),"無")</f>
        <v>-2.0499999999999998</v>
      </c>
      <c r="X108" s="36">
        <v>11.7</v>
      </c>
      <c r="Y108" s="66">
        <v>11</v>
      </c>
      <c r="Z108" s="15">
        <f t="shared" si="92"/>
        <v>0.69999999999999929</v>
      </c>
      <c r="AA108" s="63">
        <f t="shared" si="93"/>
        <v>6.3636363636363574E-2</v>
      </c>
      <c r="AB108" s="99" t="s">
        <v>3574</v>
      </c>
      <c r="AC108" s="397">
        <f>IFERROR(VLOOKUP($G108,基本資料!$A:$M,12,0),"無")</f>
        <v>8.09</v>
      </c>
      <c r="AD108" s="22" t="s">
        <v>800</v>
      </c>
      <c r="AE108" s="84">
        <v>44554</v>
      </c>
      <c r="AF108" s="86">
        <v>44564</v>
      </c>
      <c r="AG108" s="33">
        <f t="shared" si="85"/>
        <v>10</v>
      </c>
      <c r="AH108" s="43" t="s">
        <v>2034</v>
      </c>
      <c r="AI108" s="288"/>
      <c r="AK108" s="245"/>
      <c r="AL108" s="245"/>
      <c r="AM108" s="285"/>
    </row>
    <row r="109" spans="1:41">
      <c r="A109" s="347">
        <f>IFERROR(VLOOKUP($G109,基本資料!$A:$J,3,0),"無")</f>
        <v>378</v>
      </c>
      <c r="B109" s="79">
        <f>IFERROR(VLOOKUP($G109,基本資料!$A:$J,4,0),"無")</f>
        <v>433</v>
      </c>
      <c r="C109" s="79">
        <f>IFERROR(VLOOKUP($G109,基本資料!$A:$J,5,0),"無")</f>
        <v>238</v>
      </c>
      <c r="D109" s="79">
        <f>IFERROR(VLOOKUP($G109,基本資料!$A:$J,6,0),"無")</f>
        <v>16</v>
      </c>
      <c r="E109" s="79">
        <f>IFERROR(VLOOKUP($G109,基本資料!$A:$J,7,0),"無")</f>
        <v>-10</v>
      </c>
      <c r="F109" s="6">
        <f>IFERROR(VLOOKUP($G109,基本資料!$A:$J,8,0),"無")</f>
        <v>7.15</v>
      </c>
      <c r="G109" s="79">
        <v>1314</v>
      </c>
      <c r="H109" s="193" t="s">
        <v>293</v>
      </c>
      <c r="I109" s="22" t="s">
        <v>3586</v>
      </c>
      <c r="J109" s="8">
        <f>IFERROR(VLOOKUP($G109,今日總結!$A:$AJ,35,0),"")</f>
        <v>0</v>
      </c>
      <c r="K109" s="5" t="str">
        <f>IFERROR(VLOOKUP($G109,今日總結!$A:$AJ,36,0),"")</f>
        <v>融</v>
      </c>
      <c r="L109" s="156">
        <f>IFERROR(VLOOKUP($G109,今日總結!$A:$AJ,33,0),"")</f>
        <v>0</v>
      </c>
      <c r="M109" s="340">
        <f>IFERROR(VLOOKUP($G109,今日總結!$A:$AJ,34,0),"")</f>
        <v>1</v>
      </c>
      <c r="N109" s="240">
        <f t="shared" si="64"/>
        <v>-1</v>
      </c>
      <c r="P109" s="365">
        <f>IFERROR(VLOOKUP($G109,融外自投!$A:$J,7,0),"無")</f>
        <v>385</v>
      </c>
      <c r="Q109" s="79">
        <f>IFERROR(VLOOKUP($G109,融外自投!$A:$J,9,0),"無")</f>
        <v>550</v>
      </c>
      <c r="R109" s="346">
        <f>IFERROR(VLOOKUP($G109,融外自投!$A:$J,8,0),"無")</f>
        <v>517</v>
      </c>
      <c r="S109" s="81" t="str">
        <f>IFERROR(VLOOKUP($G109,融外自投!$A:$J,10,0),"無")</f>
        <v>無</v>
      </c>
      <c r="T109" s="327">
        <f>IFERROR(VLOOKUP($G109,'321買'!$A:$E,5,0),"'沒有資料'")</f>
        <v>683</v>
      </c>
      <c r="U109" s="186">
        <f>IFERROR(VLOOKUP($G109,基本資料!$A:$J,9,0),"無")</f>
        <v>0.4</v>
      </c>
      <c r="V109" s="310">
        <f t="shared" si="65"/>
        <v>3.0888030888030892E-2</v>
      </c>
      <c r="W109" s="94">
        <f>IFERROR(VLOOKUP($G109,基本資料!$A:$J,10,0),"無")</f>
        <v>1.0900000000000001</v>
      </c>
      <c r="X109" s="36">
        <v>12.95</v>
      </c>
      <c r="Y109" s="66">
        <v>11.75</v>
      </c>
      <c r="Z109" s="15">
        <f t="shared" si="92"/>
        <v>1.1999999999999993</v>
      </c>
      <c r="AA109" s="63">
        <f t="shared" si="93"/>
        <v>0.10212765957446802</v>
      </c>
      <c r="AB109" s="99" t="s">
        <v>3575</v>
      </c>
      <c r="AC109" s="397">
        <f>IFERROR(VLOOKUP($G109,基本資料!$A:$M,12,0),"無")</f>
        <v>11.41</v>
      </c>
      <c r="AD109" s="22" t="s">
        <v>124</v>
      </c>
      <c r="AE109" s="84">
        <v>44554</v>
      </c>
      <c r="AF109" s="86">
        <v>44564</v>
      </c>
      <c r="AG109" s="33">
        <f t="shared" si="85"/>
        <v>10</v>
      </c>
      <c r="AH109" s="117" t="s">
        <v>2755</v>
      </c>
      <c r="AI109" s="288"/>
      <c r="AK109" s="245"/>
      <c r="AL109" s="245"/>
      <c r="AM109" s="285"/>
    </row>
    <row r="110" spans="1:41">
      <c r="A110" s="347">
        <f>IFERROR(VLOOKUP($G110,基本資料!$A:$J,3,0),"無")</f>
        <v>7.85</v>
      </c>
      <c r="B110" s="79">
        <f>IFERROR(VLOOKUP($G110,基本資料!$A:$J,4,0),"無")</f>
        <v>83</v>
      </c>
      <c r="C110" s="79">
        <f>IFERROR(VLOOKUP($G110,基本資料!$A:$J,5,0),"無")</f>
        <v>78</v>
      </c>
      <c r="D110" s="79">
        <f>IFERROR(VLOOKUP($G110,基本資料!$A:$J,6,0),"無")</f>
        <v>-8</v>
      </c>
      <c r="E110" s="79">
        <f>IFERROR(VLOOKUP($G110,基本資料!$A:$J,7,0),"無")</f>
        <v>75</v>
      </c>
      <c r="F110" s="6">
        <f>IFERROR(VLOOKUP($G110,基本資料!$A:$J,8,0),"無")</f>
        <v>31.15</v>
      </c>
      <c r="G110" s="79">
        <v>4770</v>
      </c>
      <c r="H110" s="8" t="s">
        <v>3578</v>
      </c>
      <c r="I110" s="22" t="s">
        <v>3550</v>
      </c>
      <c r="J110" s="8" t="str">
        <f>IFERROR(VLOOKUP($G110,今日總結!$A:$AJ,35,0),"")</f>
        <v/>
      </c>
      <c r="K110" s="5" t="str">
        <f>IFERROR(VLOOKUP($G110,今日總結!$A:$AJ,36,0),"")</f>
        <v/>
      </c>
      <c r="L110" s="156" t="str">
        <f>IFERROR(VLOOKUP($G110,今日總結!$A:$AJ,33,0),"")</f>
        <v/>
      </c>
      <c r="M110" s="340" t="str">
        <f>IFERROR(VLOOKUP($G110,今日總結!$A:$AJ,34,0),"")</f>
        <v/>
      </c>
      <c r="N110" s="240" t="str">
        <f t="shared" si="64"/>
        <v/>
      </c>
      <c r="P110" s="365" t="str">
        <f>IFERROR(VLOOKUP($G110,融外自投!$A:$J,7,0),"無")</f>
        <v>無</v>
      </c>
      <c r="Q110" s="79" t="str">
        <f>IFERROR(VLOOKUP($G110,融外自投!$A:$J,9,0),"無")</f>
        <v>無</v>
      </c>
      <c r="R110" s="346" t="str">
        <f>IFERROR(VLOOKUP($G110,融外自投!$A:$J,8,0),"無")</f>
        <v>無</v>
      </c>
      <c r="S110" s="81" t="str">
        <f>IFERROR(VLOOKUP($G110,融外自投!$A:$J,10,0),"無")</f>
        <v>無</v>
      </c>
      <c r="T110" s="327" t="str">
        <f>IFERROR(VLOOKUP($G110,'321買'!$A:$E,5,0),"'沒有資料'")</f>
        <v>'沒有資料'</v>
      </c>
      <c r="U110" s="186">
        <f>IFERROR(VLOOKUP($G110,基本資料!$A:$J,9,0),"無")</f>
        <v>8</v>
      </c>
      <c r="V110" s="310">
        <f t="shared" si="65"/>
        <v>2.768166089965398E-2</v>
      </c>
      <c r="W110" s="94">
        <f>IFERROR(VLOOKUP($G110,基本資料!$A:$J,10,0),"無")</f>
        <v>13.94</v>
      </c>
      <c r="X110" s="36">
        <v>289</v>
      </c>
      <c r="Y110" s="66">
        <v>166</v>
      </c>
      <c r="Z110" s="15">
        <f t="shared" si="92"/>
        <v>123</v>
      </c>
      <c r="AA110" s="63">
        <f t="shared" si="93"/>
        <v>0.74096385542168675</v>
      </c>
      <c r="AB110" s="99" t="s">
        <v>3573</v>
      </c>
      <c r="AC110" s="397" t="str">
        <f>IFERROR(VLOOKUP($G110,基本資料!$A:$M,12,0),"無")</f>
        <v>無</v>
      </c>
      <c r="AD110" s="22" t="s">
        <v>3550</v>
      </c>
      <c r="AE110" s="84">
        <v>44552</v>
      </c>
      <c r="AF110" s="86">
        <v>44564</v>
      </c>
      <c r="AG110" s="33">
        <f t="shared" si="85"/>
        <v>12</v>
      </c>
      <c r="AH110" s="43" t="s">
        <v>2638</v>
      </c>
      <c r="AI110" s="288"/>
      <c r="AK110" s="245"/>
      <c r="AL110" s="245"/>
      <c r="AM110" s="285"/>
    </row>
    <row r="111" spans="1:41">
      <c r="A111" s="347">
        <f>IFERROR(VLOOKUP($G111,基本資料!$A:$J,3,0),"無")</f>
        <v>16.32</v>
      </c>
      <c r="B111" s="79">
        <f>IFERROR(VLOOKUP($G111,基本資料!$A:$J,4,0),"無")</f>
        <v>129</v>
      </c>
      <c r="C111" s="79">
        <f>IFERROR(VLOOKUP($G111,基本資料!$A:$J,5,0),"無")</f>
        <v>-25</v>
      </c>
      <c r="D111" s="79">
        <f>IFERROR(VLOOKUP($G111,基本資料!$A:$J,6,0),"無")</f>
        <v>1673</v>
      </c>
      <c r="E111" s="79">
        <f>IFERROR(VLOOKUP($G111,基本資料!$A:$J,7,0),"無")</f>
        <v>14</v>
      </c>
      <c r="F111" s="6">
        <f>IFERROR(VLOOKUP($G111,基本資料!$A:$J,8,0),"無")</f>
        <v>-2478.27</v>
      </c>
      <c r="G111" s="79">
        <v>6535</v>
      </c>
      <c r="H111" s="8" t="s">
        <v>4726</v>
      </c>
      <c r="I111" s="16" t="s">
        <v>3838</v>
      </c>
      <c r="J111" s="8" t="str">
        <f>IFERROR(VLOOKUP($G111,今日總結!$A:$AJ,35,0),"")</f>
        <v/>
      </c>
      <c r="K111" s="5" t="str">
        <f>IFERROR(VLOOKUP($G111,今日總結!$A:$AJ,36,0),"")</f>
        <v/>
      </c>
      <c r="L111" s="156" t="str">
        <f>IFERROR(VLOOKUP($G111,今日總結!$A:$AJ,33,0),"")</f>
        <v/>
      </c>
      <c r="M111" s="340" t="str">
        <f>IFERROR(VLOOKUP($G111,今日總結!$A:$AJ,34,0),"")</f>
        <v/>
      </c>
      <c r="N111" s="240" t="str">
        <f t="shared" si="64"/>
        <v/>
      </c>
      <c r="P111" s="365" t="str">
        <f>IFERROR(VLOOKUP($G111,融外自投!$A:$J,7,0),"無")</f>
        <v>無</v>
      </c>
      <c r="Q111" s="79" t="str">
        <f>IFERROR(VLOOKUP($G111,融外自投!$A:$J,9,0),"無")</f>
        <v>無</v>
      </c>
      <c r="R111" s="346" t="str">
        <f>IFERROR(VLOOKUP($G111,融外自投!$A:$J,8,0),"無")</f>
        <v>無</v>
      </c>
      <c r="S111" s="81" t="str">
        <f>IFERROR(VLOOKUP($G111,融外自投!$A:$J,10,0),"無")</f>
        <v>無</v>
      </c>
      <c r="T111" s="327" t="str">
        <f>IFERROR(VLOOKUP($G111,'321買'!$A:$E,5,0),"'沒有資料'")</f>
        <v>'沒有資料'</v>
      </c>
      <c r="U111" s="186">
        <f>IFERROR(VLOOKUP($G111,基本資料!$A:$J,9,0),"無")</f>
        <v>0</v>
      </c>
      <c r="V111" s="310">
        <f t="shared" si="65"/>
        <v>0</v>
      </c>
      <c r="W111" s="94">
        <f>IFERROR(VLOOKUP($G111,基本資料!$A:$J,10,0),"無")</f>
        <v>0.64</v>
      </c>
      <c r="X111" s="36">
        <v>38.950000000000003</v>
      </c>
      <c r="Y111" s="66">
        <v>30</v>
      </c>
      <c r="Z111" s="15">
        <f t="shared" si="92"/>
        <v>8.9500000000000028</v>
      </c>
      <c r="AA111" s="63">
        <f t="shared" si="93"/>
        <v>0.29833333333333345</v>
      </c>
      <c r="AB111" s="99" t="s">
        <v>3257</v>
      </c>
      <c r="AC111" s="397">
        <f>IFERROR(VLOOKUP($G111,基本資料!$A:$M,12,0),"無")</f>
        <v>15.12</v>
      </c>
      <c r="AD111" s="16" t="s">
        <v>623</v>
      </c>
      <c r="AE111" s="84">
        <v>44552</v>
      </c>
      <c r="AF111" s="86">
        <v>44564</v>
      </c>
      <c r="AG111" s="33">
        <f t="shared" si="85"/>
        <v>12</v>
      </c>
      <c r="AH111" s="43" t="s">
        <v>2151</v>
      </c>
      <c r="AI111" s="288"/>
      <c r="AK111" s="245"/>
      <c r="AL111" s="245"/>
      <c r="AM111" s="285"/>
    </row>
    <row r="112" spans="1:41">
      <c r="A112" s="347">
        <f>IFERROR(VLOOKUP($G112,基本資料!$A:$J,3,0),"無")</f>
        <v>13.43</v>
      </c>
      <c r="B112" s="79">
        <f>IFERROR(VLOOKUP($G112,基本資料!$A:$J,4,0),"無")</f>
        <v>95</v>
      </c>
      <c r="C112" s="79">
        <f>IFERROR(VLOOKUP($G112,基本資料!$A:$J,5,0),"無")</f>
        <v>47</v>
      </c>
      <c r="D112" s="79">
        <f>IFERROR(VLOOKUP($G112,基本資料!$A:$J,6,0),"無")</f>
        <v>44</v>
      </c>
      <c r="E112" s="79">
        <f>IFERROR(VLOOKUP($G112,基本資料!$A:$J,7,0),"無")</f>
        <v>26</v>
      </c>
      <c r="F112" s="6">
        <f>IFERROR(VLOOKUP($G112,基本資料!$A:$J,8,0),"無")</f>
        <v>4.8600000000000003</v>
      </c>
      <c r="G112" s="79">
        <v>3605</v>
      </c>
      <c r="H112" s="8" t="s">
        <v>3389</v>
      </c>
      <c r="I112" s="22" t="s">
        <v>391</v>
      </c>
      <c r="J112" s="8" t="str">
        <f>IFERROR(VLOOKUP($G112,今日總結!$A:$AJ,35,0),"")</f>
        <v/>
      </c>
      <c r="K112" s="5" t="str">
        <f>IFERROR(VLOOKUP($G112,今日總結!$A:$AJ,36,0),"")</f>
        <v/>
      </c>
      <c r="L112" s="156" t="str">
        <f>IFERROR(VLOOKUP($G112,今日總結!$A:$AJ,33,0),"")</f>
        <v/>
      </c>
      <c r="M112" s="340" t="str">
        <f>IFERROR(VLOOKUP($G112,今日總結!$A:$AJ,34,0),"")</f>
        <v/>
      </c>
      <c r="N112" s="240" t="str">
        <f t="shared" si="64"/>
        <v/>
      </c>
      <c r="P112" s="365">
        <f>IFERROR(VLOOKUP($G112,融外自投!$A:$J,7,0),"無")</f>
        <v>279</v>
      </c>
      <c r="Q112" s="79">
        <f>IFERROR(VLOOKUP($G112,融外自投!$A:$J,9,0),"無")</f>
        <v>762</v>
      </c>
      <c r="R112" s="346">
        <f>IFERROR(VLOOKUP($G112,融外自投!$A:$J,8,0),"無")</f>
        <v>538</v>
      </c>
      <c r="S112" s="81" t="str">
        <f>IFERROR(VLOOKUP($G112,融外自投!$A:$J,10,0),"無")</f>
        <v>無</v>
      </c>
      <c r="T112" s="327">
        <f>IFERROR(VLOOKUP($G112,'321買'!$A:$E,5,0),"'沒有資料'")</f>
        <v>392</v>
      </c>
      <c r="U112" s="186">
        <f>IFERROR(VLOOKUP($G112,基本資料!$A:$J,9,0),"無")</f>
        <v>1.5</v>
      </c>
      <c r="V112" s="310">
        <f t="shared" si="65"/>
        <v>2.9411764705882353E-2</v>
      </c>
      <c r="W112" s="94">
        <f>IFERROR(VLOOKUP($G112,基本資料!$A:$J,10,0),"無")</f>
        <v>4.16</v>
      </c>
      <c r="X112" s="36">
        <v>51</v>
      </c>
      <c r="Y112" s="66">
        <v>40</v>
      </c>
      <c r="Z112" s="15">
        <f t="shared" si="92"/>
        <v>11</v>
      </c>
      <c r="AA112" s="63">
        <f t="shared" si="93"/>
        <v>0.27500000000000002</v>
      </c>
      <c r="AB112" s="99" t="s">
        <v>3569</v>
      </c>
      <c r="AC112" s="397">
        <f>IFERROR(VLOOKUP($G112,基本資料!$A:$M,12,0),"無")</f>
        <v>8.7200000000000006</v>
      </c>
      <c r="AD112" s="22" t="s">
        <v>391</v>
      </c>
      <c r="AE112" s="84">
        <v>44551</v>
      </c>
      <c r="AF112" s="86">
        <v>44564</v>
      </c>
      <c r="AG112" s="33">
        <f t="shared" si="85"/>
        <v>13</v>
      </c>
      <c r="AH112" s="43" t="s">
        <v>1903</v>
      </c>
      <c r="AI112" s="288"/>
      <c r="AK112" s="245"/>
      <c r="AL112" s="245"/>
      <c r="AM112" s="285"/>
    </row>
    <row r="113" spans="1:39">
      <c r="A113" s="347">
        <f>IFERROR(VLOOKUP($G113,基本資料!$A:$J,3,0),"無")</f>
        <v>24.76</v>
      </c>
      <c r="B113" s="79">
        <f>IFERROR(VLOOKUP($G113,基本資料!$A:$J,4,0),"無")</f>
        <v>18</v>
      </c>
      <c r="C113" s="79">
        <f>IFERROR(VLOOKUP($G113,基本資料!$A:$J,5,0),"無")</f>
        <v>-38</v>
      </c>
      <c r="D113" s="79">
        <f>IFERROR(VLOOKUP($G113,基本資料!$A:$J,6,0),"無")</f>
        <v>-4</v>
      </c>
      <c r="E113" s="79">
        <f>IFERROR(VLOOKUP($G113,基本資料!$A:$J,7,0),"無")</f>
        <v>22</v>
      </c>
      <c r="F113" s="6">
        <f>IFERROR(VLOOKUP($G113,基本資料!$A:$J,8,0),"無")</f>
        <v>1.23</v>
      </c>
      <c r="G113" s="80">
        <v>8927</v>
      </c>
      <c r="H113" s="5" t="s">
        <v>312</v>
      </c>
      <c r="I113" s="16" t="s">
        <v>6114</v>
      </c>
      <c r="J113" s="8">
        <f>IFERROR(VLOOKUP($G113,今日總結!$A:$AJ,35,0),"")</f>
        <v>0</v>
      </c>
      <c r="K113" s="5" t="str">
        <f>IFERROR(VLOOKUP($G113,今日總結!$A:$AJ,36,0),"")</f>
        <v>融</v>
      </c>
      <c r="L113" s="156">
        <f>IFERROR(VLOOKUP($G113,今日總結!$A:$AJ,33,0),"")</f>
        <v>0</v>
      </c>
      <c r="M113" s="340">
        <f>IFERROR(VLOOKUP($G113,今日總結!$A:$AJ,34,0),"")</f>
        <v>1</v>
      </c>
      <c r="N113" s="240">
        <f t="shared" si="64"/>
        <v>-1</v>
      </c>
      <c r="P113" s="365">
        <f>IFERROR(VLOOKUP($G113,融外自投!$A:$J,7,0),"無")</f>
        <v>624</v>
      </c>
      <c r="Q113" s="79">
        <f>IFERROR(VLOOKUP($G113,融外自投!$A:$J,9,0),"無")</f>
        <v>978</v>
      </c>
      <c r="R113" s="346">
        <f>IFERROR(VLOOKUP($G113,融外自投!$A:$J,8,0),"無")</f>
        <v>1420</v>
      </c>
      <c r="S113" s="81" t="str">
        <f>IFERROR(VLOOKUP($G113,融外自投!$A:$J,10,0),"無")</f>
        <v>無</v>
      </c>
      <c r="T113" s="327">
        <f>IFERROR(VLOOKUP($G113,'321買'!$A:$E,5,0),"'沒有資料'")</f>
        <v>729</v>
      </c>
      <c r="U113" s="186">
        <f>IFERROR(VLOOKUP($G113,基本資料!$A:$J,9,0),"無")</f>
        <v>1.6</v>
      </c>
      <c r="V113" s="310">
        <f t="shared" si="65"/>
        <v>5.2287581699346407E-2</v>
      </c>
      <c r="W113" s="94">
        <f>IFERROR(VLOOKUP($G113,基本資料!$A:$J,10,0),"無")</f>
        <v>0.69</v>
      </c>
      <c r="X113" s="36">
        <v>30.6</v>
      </c>
      <c r="Y113" s="66">
        <v>25</v>
      </c>
      <c r="Z113" s="15">
        <f t="shared" si="92"/>
        <v>5.6000000000000014</v>
      </c>
      <c r="AA113" s="63">
        <f t="shared" si="93"/>
        <v>0.22400000000000006</v>
      </c>
      <c r="AB113" s="99" t="s">
        <v>979</v>
      </c>
      <c r="AC113" s="397">
        <f>IFERROR(VLOOKUP($G113,基本資料!$A:$M,12,0),"無")</f>
        <v>61.1</v>
      </c>
      <c r="AD113" s="16" t="s">
        <v>982</v>
      </c>
      <c r="AE113" s="84">
        <v>44546</v>
      </c>
      <c r="AF113" s="86">
        <v>44557</v>
      </c>
      <c r="AG113" s="33">
        <f t="shared" si="85"/>
        <v>11</v>
      </c>
      <c r="AH113" s="43" t="s">
        <v>2683</v>
      </c>
      <c r="AI113" s="288"/>
      <c r="AK113" s="245"/>
      <c r="AL113" s="245"/>
      <c r="AM113" s="285"/>
    </row>
    <row r="114" spans="1:39">
      <c r="A114" s="347">
        <f>IFERROR(VLOOKUP($G114,基本資料!$A:$J,3,0),"無")</f>
        <v>6.88</v>
      </c>
      <c r="B114" s="79">
        <f>IFERROR(VLOOKUP($G114,基本資料!$A:$J,4,0),"無")</f>
        <v>-27</v>
      </c>
      <c r="C114" s="79">
        <f>IFERROR(VLOOKUP($G114,基本資料!$A:$J,5,0),"無")</f>
        <v>-15</v>
      </c>
      <c r="D114" s="79">
        <f>IFERROR(VLOOKUP($G114,基本資料!$A:$J,6,0),"無")</f>
        <v>14</v>
      </c>
      <c r="E114" s="79">
        <f>IFERROR(VLOOKUP($G114,基本資料!$A:$J,7,0),"無")</f>
        <v>30</v>
      </c>
      <c r="F114" s="6">
        <f>IFERROR(VLOOKUP($G114,基本資料!$A:$J,8,0),"無")</f>
        <v>2.0699999999999998</v>
      </c>
      <c r="G114" s="79">
        <v>3520</v>
      </c>
      <c r="H114" s="8" t="s">
        <v>3389</v>
      </c>
      <c r="I114" s="16" t="s">
        <v>2961</v>
      </c>
      <c r="J114" s="8" t="str">
        <f>IFERROR(VLOOKUP($G114,今日總結!$A:$AJ,35,0),"")</f>
        <v/>
      </c>
      <c r="K114" s="5" t="str">
        <f>IFERROR(VLOOKUP($G114,今日總結!$A:$AJ,36,0),"")</f>
        <v/>
      </c>
      <c r="L114" s="156" t="str">
        <f>IFERROR(VLOOKUP($G114,今日總結!$A:$AJ,33,0),"")</f>
        <v/>
      </c>
      <c r="M114" s="340" t="str">
        <f>IFERROR(VLOOKUP($G114,今日總結!$A:$AJ,34,0),"")</f>
        <v/>
      </c>
      <c r="N114" s="240" t="str">
        <f t="shared" si="64"/>
        <v/>
      </c>
      <c r="P114" s="365">
        <f>IFERROR(VLOOKUP($G114,融外自投!$A:$J,7,0),"無")</f>
        <v>1245</v>
      </c>
      <c r="Q114" s="79" t="str">
        <f>IFERROR(VLOOKUP($G114,融外自投!$A:$J,9,0),"無")</f>
        <v>無</v>
      </c>
      <c r="R114" s="346">
        <f>IFERROR(VLOOKUP($G114,融外自投!$A:$J,8,0),"無")</f>
        <v>1426</v>
      </c>
      <c r="S114" s="81" t="str">
        <f>IFERROR(VLOOKUP($G114,融外自投!$A:$J,10,0),"無")</f>
        <v>無</v>
      </c>
      <c r="T114" s="327" t="str">
        <f>IFERROR(VLOOKUP($G114,'321買'!$A:$E,5,0),"'沒有資料'")</f>
        <v>'沒有資料'</v>
      </c>
      <c r="U114" s="186">
        <f>IFERROR(VLOOKUP($G114,基本資料!$A:$J,9,0),"無")</f>
        <v>0</v>
      </c>
      <c r="V114" s="310">
        <f t="shared" si="65"/>
        <v>0</v>
      </c>
      <c r="W114" s="94">
        <f>IFERROR(VLOOKUP($G114,基本資料!$A:$J,10,0),"無")</f>
        <v>0.13</v>
      </c>
      <c r="X114" s="36">
        <v>15.8</v>
      </c>
      <c r="Y114" s="66">
        <v>12.8</v>
      </c>
      <c r="Z114" s="15">
        <f t="shared" si="92"/>
        <v>3</v>
      </c>
      <c r="AA114" s="63">
        <f t="shared" si="93"/>
        <v>0.234375</v>
      </c>
      <c r="AB114" s="99" t="s">
        <v>3565</v>
      </c>
      <c r="AC114" s="397">
        <f>IFERROR(VLOOKUP($G114,基本資料!$A:$M,12,0),"無")</f>
        <v>13.16</v>
      </c>
      <c r="AD114" s="16" t="s">
        <v>2961</v>
      </c>
      <c r="AE114" s="84">
        <v>44546</v>
      </c>
      <c r="AF114" s="86">
        <v>44557</v>
      </c>
      <c r="AG114" s="33">
        <f t="shared" si="85"/>
        <v>11</v>
      </c>
      <c r="AH114" s="43" t="s">
        <v>2403</v>
      </c>
      <c r="AI114" s="288"/>
      <c r="AK114" s="245"/>
      <c r="AL114" s="245"/>
      <c r="AM114" s="285"/>
    </row>
    <row r="115" spans="1:39">
      <c r="A115" s="347">
        <f>IFERROR(VLOOKUP($G115,基本資料!$A:$J,3,0),"無")</f>
        <v>9.0399999999999991</v>
      </c>
      <c r="B115" s="79">
        <f>IFERROR(VLOOKUP($G115,基本資料!$A:$J,4,0),"無")</f>
        <v>-126</v>
      </c>
      <c r="C115" s="79">
        <f>IFERROR(VLOOKUP($G115,基本資料!$A:$J,5,0),"無")</f>
        <v>-160</v>
      </c>
      <c r="D115" s="79">
        <f>IFERROR(VLOOKUP($G115,基本資料!$A:$J,6,0),"無")</f>
        <v>5</v>
      </c>
      <c r="E115" s="79">
        <f>IFERROR(VLOOKUP($G115,基本資料!$A:$J,7,0),"無")</f>
        <v>20</v>
      </c>
      <c r="F115" s="6">
        <f>IFERROR(VLOOKUP($G115,基本資料!$A:$J,8,0),"無")</f>
        <v>-3.78</v>
      </c>
      <c r="G115" s="80">
        <v>2748</v>
      </c>
      <c r="H115" s="5" t="s">
        <v>303</v>
      </c>
      <c r="I115" s="22" t="s">
        <v>978</v>
      </c>
      <c r="J115" s="8" t="str">
        <f>IFERROR(VLOOKUP($G115,今日總結!$A:$AJ,35,0),"")</f>
        <v/>
      </c>
      <c r="K115" s="5" t="str">
        <f>IFERROR(VLOOKUP($G115,今日總結!$A:$AJ,36,0),"")</f>
        <v/>
      </c>
      <c r="L115" s="156" t="str">
        <f>IFERROR(VLOOKUP($G115,今日總結!$A:$AJ,33,0),"")</f>
        <v/>
      </c>
      <c r="M115" s="340" t="str">
        <f>IFERROR(VLOOKUP($G115,今日總結!$A:$AJ,34,0),"")</f>
        <v/>
      </c>
      <c r="N115" s="240" t="str">
        <f t="shared" si="64"/>
        <v/>
      </c>
      <c r="P115" s="365">
        <f>IFERROR(VLOOKUP($G115,融外自投!$A:$J,7,0),"無")</f>
        <v>1172</v>
      </c>
      <c r="Q115" s="79">
        <f>IFERROR(VLOOKUP($G115,融外自投!$A:$J,9,0),"無")</f>
        <v>1110</v>
      </c>
      <c r="R115" s="346">
        <f>IFERROR(VLOOKUP($G115,融外自投!$A:$J,8,0),"無")</f>
        <v>1363</v>
      </c>
      <c r="S115" s="81" t="str">
        <f>IFERROR(VLOOKUP($G115,融外自投!$A:$J,10,0),"無")</f>
        <v>無</v>
      </c>
      <c r="T115" s="327">
        <f>IFERROR(VLOOKUP($G115,'321買'!$A:$E,5,0),"'沒有資料'")</f>
        <v>1099</v>
      </c>
      <c r="U115" s="186">
        <f>IFERROR(VLOOKUP($G115,基本資料!$A:$J,9,0),"無")</f>
        <v>0.5</v>
      </c>
      <c r="V115" s="310">
        <f t="shared" si="65"/>
        <v>1.282051282051282E-2</v>
      </c>
      <c r="W115" s="94">
        <f>IFERROR(VLOOKUP($G115,基本資料!$A:$J,10,0),"無")</f>
        <v>-0.38</v>
      </c>
      <c r="X115" s="36">
        <v>39</v>
      </c>
      <c r="Y115" s="66">
        <v>34</v>
      </c>
      <c r="Z115" s="15">
        <f t="shared" si="92"/>
        <v>5</v>
      </c>
      <c r="AA115" s="63">
        <f t="shared" si="93"/>
        <v>0.14705882352941177</v>
      </c>
      <c r="AB115" s="99" t="s">
        <v>3566</v>
      </c>
      <c r="AC115" s="397">
        <f>IFERROR(VLOOKUP($G115,基本資料!$A:$M,12,0),"無")</f>
        <v>27.3</v>
      </c>
      <c r="AD115" s="22" t="s">
        <v>978</v>
      </c>
      <c r="AE115" s="84">
        <v>44546</v>
      </c>
      <c r="AF115" s="86">
        <v>44557</v>
      </c>
      <c r="AG115" s="33">
        <f t="shared" si="85"/>
        <v>11</v>
      </c>
      <c r="AH115" s="43" t="s">
        <v>2681</v>
      </c>
      <c r="AI115" s="288"/>
      <c r="AK115" s="245"/>
      <c r="AL115" s="245"/>
      <c r="AM115" s="285"/>
    </row>
    <row r="116" spans="1:39">
      <c r="A116" s="347">
        <f>IFERROR(VLOOKUP($G116,基本資料!$A:$J,3,0),"無")</f>
        <v>4</v>
      </c>
      <c r="B116" s="79">
        <f>IFERROR(VLOOKUP($G116,基本資料!$A:$J,4,0),"無")</f>
        <v>-44</v>
      </c>
      <c r="C116" s="79">
        <f>IFERROR(VLOOKUP($G116,基本資料!$A:$J,5,0),"無")</f>
        <v>-44</v>
      </c>
      <c r="D116" s="79">
        <f>IFERROR(VLOOKUP($G116,基本資料!$A:$J,6,0),"無")</f>
        <v>2</v>
      </c>
      <c r="E116" s="79">
        <f>IFERROR(VLOOKUP($G116,基本資料!$A:$J,7,0),"無")</f>
        <v>-20</v>
      </c>
      <c r="F116" s="6">
        <f>IFERROR(VLOOKUP($G116,基本資料!$A:$J,8,0),"無")</f>
        <v>19.62</v>
      </c>
      <c r="G116" s="80">
        <v>1777</v>
      </c>
      <c r="H116" s="183" t="s">
        <v>4726</v>
      </c>
      <c r="I116" s="16" t="s">
        <v>138</v>
      </c>
      <c r="J116" s="8" t="str">
        <f>IFERROR(VLOOKUP($G116,今日總結!$A:$AJ,35,0),"")</f>
        <v/>
      </c>
      <c r="K116" s="5" t="str">
        <f>IFERROR(VLOOKUP($G116,今日總結!$A:$AJ,36,0),"")</f>
        <v/>
      </c>
      <c r="L116" s="156" t="str">
        <f>IFERROR(VLOOKUP($G116,今日總結!$A:$AJ,33,0),"")</f>
        <v/>
      </c>
      <c r="M116" s="340" t="str">
        <f>IFERROR(VLOOKUP($G116,今日總結!$A:$AJ,34,0),"")</f>
        <v/>
      </c>
      <c r="N116" s="240" t="str">
        <f t="shared" si="64"/>
        <v/>
      </c>
      <c r="P116" s="365">
        <f>IFERROR(VLOOKUP($G116,融外自投!$A:$J,7,0),"無")</f>
        <v>1212</v>
      </c>
      <c r="Q116" s="79" t="str">
        <f>IFERROR(VLOOKUP($G116,融外自投!$A:$J,9,0),"無")</f>
        <v>無</v>
      </c>
      <c r="R116" s="346">
        <f>IFERROR(VLOOKUP($G116,融外自投!$A:$J,8,0),"無")</f>
        <v>1412</v>
      </c>
      <c r="S116" s="81" t="str">
        <f>IFERROR(VLOOKUP($G116,融外自投!$A:$J,10,0),"無")</f>
        <v>無</v>
      </c>
      <c r="T116" s="327" t="str">
        <f>IFERROR(VLOOKUP($G116,'321買'!$A:$E,5,0),"'沒有資料'")</f>
        <v>'沒有資料'</v>
      </c>
      <c r="U116" s="186">
        <f>IFERROR(VLOOKUP($G116,基本資料!$A:$J,9,0),"無")</f>
        <v>2.15</v>
      </c>
      <c r="V116" s="310">
        <f t="shared" si="65"/>
        <v>3.3333333333333333E-2</v>
      </c>
      <c r="W116" s="94">
        <f>IFERROR(VLOOKUP($G116,基本資料!$A:$J,10,0),"無")</f>
        <v>3.38</v>
      </c>
      <c r="X116" s="36">
        <v>64.5</v>
      </c>
      <c r="Y116" s="66">
        <v>60</v>
      </c>
      <c r="Z116" s="15">
        <f t="shared" si="92"/>
        <v>4.5</v>
      </c>
      <c r="AA116" s="63">
        <f t="shared" si="93"/>
        <v>7.4999999999999997E-2</v>
      </c>
      <c r="AB116" s="99" t="s">
        <v>3553</v>
      </c>
      <c r="AC116" s="397">
        <f>IFERROR(VLOOKUP($G116,基本資料!$A:$M,12,0),"無")</f>
        <v>22.53</v>
      </c>
      <c r="AD116" s="16" t="s">
        <v>138</v>
      </c>
      <c r="AE116" s="84">
        <v>44543</v>
      </c>
      <c r="AF116" s="86">
        <v>44553</v>
      </c>
      <c r="AG116" s="33">
        <f t="shared" si="85"/>
        <v>10</v>
      </c>
      <c r="AH116" s="117" t="s">
        <v>2450</v>
      </c>
      <c r="AI116" s="288"/>
      <c r="AK116" s="245"/>
      <c r="AL116" s="245"/>
      <c r="AM116" s="285"/>
    </row>
    <row r="117" spans="1:39" ht="16.5" customHeight="1">
      <c r="A117" s="347">
        <f>IFERROR(VLOOKUP($G117,基本資料!$A:$J,3,0),"無")</f>
        <v>4.2699999999999996</v>
      </c>
      <c r="B117" s="79">
        <f>IFERROR(VLOOKUP($G117,基本資料!$A:$J,4,0),"無")</f>
        <v>-73</v>
      </c>
      <c r="C117" s="79">
        <f>IFERROR(VLOOKUP($G117,基本資料!$A:$J,5,0),"無")</f>
        <v>-140</v>
      </c>
      <c r="D117" s="79">
        <f>IFERROR(VLOOKUP($G117,基本資料!$A:$J,6,0),"無")</f>
        <v>0</v>
      </c>
      <c r="E117" s="79">
        <f>IFERROR(VLOOKUP($G117,基本資料!$A:$J,7,0),"無")</f>
        <v>8</v>
      </c>
      <c r="F117" s="6">
        <f>IFERROR(VLOOKUP($G117,基本資料!$A:$J,8,0),"無")</f>
        <v>-2.2599999999999998</v>
      </c>
      <c r="G117" s="80">
        <v>1268</v>
      </c>
      <c r="H117" s="5" t="s">
        <v>303</v>
      </c>
      <c r="I117" s="16" t="s">
        <v>960</v>
      </c>
      <c r="J117" s="8" t="str">
        <f>IFERROR(VLOOKUP($G117,今日總結!$A:$AJ,35,0),"")</f>
        <v/>
      </c>
      <c r="K117" s="5" t="str">
        <f>IFERROR(VLOOKUP($G117,今日總結!$A:$AJ,36,0),"")</f>
        <v/>
      </c>
      <c r="L117" s="156" t="str">
        <f>IFERROR(VLOOKUP($G117,今日總結!$A:$AJ,33,0),"")</f>
        <v/>
      </c>
      <c r="M117" s="340" t="str">
        <f>IFERROR(VLOOKUP($G117,今日總結!$A:$AJ,34,0),"")</f>
        <v/>
      </c>
      <c r="N117" s="240" t="str">
        <f t="shared" si="64"/>
        <v/>
      </c>
      <c r="P117" s="365">
        <f>IFERROR(VLOOKUP($G117,融外自投!$A:$J,7,0),"無")</f>
        <v>1383</v>
      </c>
      <c r="Q117" s="79" t="str">
        <f>IFERROR(VLOOKUP($G117,融外自投!$A:$J,9,0),"無")</f>
        <v>無</v>
      </c>
      <c r="R117" s="346">
        <f>IFERROR(VLOOKUP($G117,融外自投!$A:$J,8,0),"無")</f>
        <v>1445</v>
      </c>
      <c r="S117" s="81" t="str">
        <f>IFERROR(VLOOKUP($G117,融外自投!$A:$J,10,0),"無")</f>
        <v>無</v>
      </c>
      <c r="T117" s="327">
        <f>IFERROR(VLOOKUP($G117,'321買'!$A:$E,5,0),"'沒有資料'")</f>
        <v>1367</v>
      </c>
      <c r="U117" s="186">
        <f>IFERROR(VLOOKUP($G117,基本資料!$A:$J,9,0),"無")</f>
        <v>3</v>
      </c>
      <c r="V117" s="310">
        <f t="shared" si="65"/>
        <v>2.7027027027027029E-2</v>
      </c>
      <c r="W117" s="94">
        <f>IFERROR(VLOOKUP($G117,基本資料!$A:$J,10,0),"無")</f>
        <v>2.0099999999999998</v>
      </c>
      <c r="X117" s="36">
        <v>111</v>
      </c>
      <c r="Y117" s="66">
        <v>100</v>
      </c>
      <c r="Z117" s="15">
        <f t="shared" si="92"/>
        <v>11</v>
      </c>
      <c r="AA117" s="63">
        <f t="shared" si="93"/>
        <v>0.11</v>
      </c>
      <c r="AB117" s="99" t="s">
        <v>768</v>
      </c>
      <c r="AC117" s="397">
        <f>IFERROR(VLOOKUP($G117,基本資料!$A:$M,12,0),"無")</f>
        <v>15.25</v>
      </c>
      <c r="AD117" s="16" t="s">
        <v>960</v>
      </c>
      <c r="AE117" s="84">
        <v>44540</v>
      </c>
      <c r="AF117" s="86">
        <v>44550</v>
      </c>
      <c r="AG117" s="33">
        <f t="shared" si="85"/>
        <v>10</v>
      </c>
      <c r="AH117" s="43" t="s">
        <v>2672</v>
      </c>
      <c r="AI117" s="288"/>
      <c r="AK117" s="245"/>
      <c r="AL117" s="245"/>
      <c r="AM117" s="285"/>
    </row>
    <row r="118" spans="1:39">
      <c r="A118" s="347">
        <f>IFERROR(VLOOKUP($G118,基本資料!$A:$J,3,0),"無")</f>
        <v>4.78</v>
      </c>
      <c r="B118" s="79">
        <f>IFERROR(VLOOKUP($G118,基本資料!$A:$J,4,0),"無")</f>
        <v>67</v>
      </c>
      <c r="C118" s="79">
        <f>IFERROR(VLOOKUP($G118,基本資料!$A:$J,5,0),"無")</f>
        <v>92</v>
      </c>
      <c r="D118" s="79">
        <f>IFERROR(VLOOKUP($G118,基本資料!$A:$J,6,0),"無")</f>
        <v>19</v>
      </c>
      <c r="E118" s="79">
        <f>IFERROR(VLOOKUP($G118,基本資料!$A:$J,7,0),"無")</f>
        <v>9</v>
      </c>
      <c r="F118" s="6">
        <f>IFERROR(VLOOKUP($G118,基本資料!$A:$J,8,0),"無")</f>
        <v>20.38</v>
      </c>
      <c r="G118" s="79">
        <v>6792</v>
      </c>
      <c r="H118" s="8" t="s">
        <v>311</v>
      </c>
      <c r="I118" s="22" t="s">
        <v>3528</v>
      </c>
      <c r="J118" s="8" t="str">
        <f>IFERROR(VLOOKUP($G118,今日總結!$A:$AJ,35,0),"")</f>
        <v/>
      </c>
      <c r="K118" s="5" t="str">
        <f>IFERROR(VLOOKUP($G118,今日總結!$A:$AJ,36,0),"")</f>
        <v/>
      </c>
      <c r="L118" s="156" t="str">
        <f>IFERROR(VLOOKUP($G118,今日總結!$A:$AJ,33,0),"")</f>
        <v/>
      </c>
      <c r="M118" s="340" t="str">
        <f>IFERROR(VLOOKUP($G118,今日總結!$A:$AJ,34,0),"")</f>
        <v/>
      </c>
      <c r="N118" s="240" t="str">
        <f t="shared" si="64"/>
        <v/>
      </c>
      <c r="P118" s="365" t="str">
        <f>IFERROR(VLOOKUP($G118,融外自投!$A:$J,7,0),"無")</f>
        <v>無</v>
      </c>
      <c r="Q118" s="79" t="str">
        <f>IFERROR(VLOOKUP($G118,融外自投!$A:$J,9,0),"無")</f>
        <v>無</v>
      </c>
      <c r="R118" s="346" t="str">
        <f>IFERROR(VLOOKUP($G118,融外自投!$A:$J,8,0),"無")</f>
        <v>無</v>
      </c>
      <c r="S118" s="81" t="str">
        <f>IFERROR(VLOOKUP($G118,融外自投!$A:$J,10,0),"無")</f>
        <v>無</v>
      </c>
      <c r="T118" s="327" t="str">
        <f>IFERROR(VLOOKUP($G118,'321買'!$A:$E,5,0),"'沒有資料'")</f>
        <v>'沒有資料'</v>
      </c>
      <c r="U118" s="186">
        <f>IFERROR(VLOOKUP($G118,基本資料!$A:$J,9,0),"無")</f>
        <v>5.5</v>
      </c>
      <c r="V118" s="310">
        <f t="shared" si="65"/>
        <v>2.576112412177986E-2</v>
      </c>
      <c r="W118" s="94">
        <f>IFERROR(VLOOKUP($G118,基本資料!$A:$J,10,0),"無")</f>
        <v>6.6</v>
      </c>
      <c r="X118" s="36">
        <v>213.5</v>
      </c>
      <c r="Y118" s="66">
        <v>98</v>
      </c>
      <c r="Z118" s="15">
        <f t="shared" si="92"/>
        <v>115.5</v>
      </c>
      <c r="AA118" s="148">
        <f t="shared" si="93"/>
        <v>1.1785714285714286</v>
      </c>
      <c r="AB118" s="99" t="s">
        <v>3547</v>
      </c>
      <c r="AC118" s="397" t="str">
        <f>IFERROR(VLOOKUP($G118,基本資料!$A:$M,12,0),"無")</f>
        <v>無</v>
      </c>
      <c r="AD118" s="22" t="s">
        <v>3528</v>
      </c>
      <c r="AE118" s="84">
        <v>44538</v>
      </c>
      <c r="AF118" s="86">
        <v>44550</v>
      </c>
      <c r="AG118" s="33">
        <f t="shared" si="85"/>
        <v>12</v>
      </c>
      <c r="AH118" s="43" t="s">
        <v>3529</v>
      </c>
      <c r="AI118" s="288"/>
      <c r="AK118" s="245"/>
      <c r="AL118" s="245"/>
      <c r="AM118" s="285"/>
    </row>
    <row r="119" spans="1:39">
      <c r="A119" s="347">
        <f>IFERROR(VLOOKUP($G119,基本資料!$A:$J,3,0),"無")</f>
        <v>2.86</v>
      </c>
      <c r="B119" s="79">
        <f>IFERROR(VLOOKUP($G119,基本資料!$A:$J,4,0),"無")</f>
        <v>-163</v>
      </c>
      <c r="C119" s="79">
        <f>IFERROR(VLOOKUP($G119,基本資料!$A:$J,5,0),"無")</f>
        <v>-78</v>
      </c>
      <c r="D119" s="79">
        <f>IFERROR(VLOOKUP($G119,基本資料!$A:$J,6,0),"無")</f>
        <v>29</v>
      </c>
      <c r="E119" s="79">
        <f>IFERROR(VLOOKUP($G119,基本資料!$A:$J,7,0),"無")</f>
        <v>14</v>
      </c>
      <c r="F119" s="6">
        <f>IFERROR(VLOOKUP($G119,基本資料!$A:$J,8,0),"無")</f>
        <v>2.38</v>
      </c>
      <c r="G119" s="80">
        <v>6616</v>
      </c>
      <c r="H119" s="5" t="s">
        <v>1960</v>
      </c>
      <c r="I119" s="16" t="s">
        <v>648</v>
      </c>
      <c r="J119" s="8" t="str">
        <f>IFERROR(VLOOKUP($G119,今日總結!$A:$AJ,35,0),"")</f>
        <v/>
      </c>
      <c r="K119" s="5" t="str">
        <f>IFERROR(VLOOKUP($G119,今日總結!$A:$AJ,36,0),"")</f>
        <v/>
      </c>
      <c r="L119" s="156" t="str">
        <f>IFERROR(VLOOKUP($G119,今日總結!$A:$AJ,33,0),"")</f>
        <v/>
      </c>
      <c r="M119" s="340" t="str">
        <f>IFERROR(VLOOKUP($G119,今日總結!$A:$AJ,34,0),"")</f>
        <v/>
      </c>
      <c r="N119" s="240" t="str">
        <f t="shared" si="64"/>
        <v/>
      </c>
      <c r="P119" s="365" t="str">
        <f>IFERROR(VLOOKUP($G119,融外自投!$A:$J,7,0),"無")</f>
        <v>無</v>
      </c>
      <c r="Q119" s="79" t="str">
        <f>IFERROR(VLOOKUP($G119,融外自投!$A:$J,9,0),"無")</f>
        <v>無</v>
      </c>
      <c r="R119" s="346" t="str">
        <f>IFERROR(VLOOKUP($G119,融外自投!$A:$J,8,0),"無")</f>
        <v>無</v>
      </c>
      <c r="S119" s="81" t="str">
        <f>IFERROR(VLOOKUP($G119,融外自投!$A:$J,10,0),"無")</f>
        <v>無</v>
      </c>
      <c r="T119" s="327" t="str">
        <f>IFERROR(VLOOKUP($G119,'321買'!$A:$E,5,0),"'沒有資料'")</f>
        <v>'沒有資料'</v>
      </c>
      <c r="U119" s="186">
        <f>IFERROR(VLOOKUP($G119,基本資料!$A:$J,9,0),"無")</f>
        <v>0</v>
      </c>
      <c r="V119" s="310">
        <f t="shared" si="65"/>
        <v>0</v>
      </c>
      <c r="W119" s="94">
        <f>IFERROR(VLOOKUP($G119,基本資料!$A:$J,10,0),"無")</f>
        <v>-1.08</v>
      </c>
      <c r="X119" s="13">
        <v>18.5</v>
      </c>
      <c r="Y119" s="66">
        <v>16.25</v>
      </c>
      <c r="Z119" s="15">
        <f t="shared" si="92"/>
        <v>2.25</v>
      </c>
      <c r="AA119" s="63">
        <f t="shared" si="93"/>
        <v>0.13846153846153847</v>
      </c>
      <c r="AB119" s="99" t="s">
        <v>3548</v>
      </c>
      <c r="AC119" s="397">
        <f>IFERROR(VLOOKUP($G119,基本資料!$A:$M,12,0),"無")</f>
        <v>74.819999999999993</v>
      </c>
      <c r="AD119" s="16" t="s">
        <v>648</v>
      </c>
      <c r="AE119" s="84">
        <v>44538</v>
      </c>
      <c r="AF119" s="86">
        <v>44550</v>
      </c>
      <c r="AG119" s="33">
        <f t="shared" si="85"/>
        <v>12</v>
      </c>
      <c r="AH119" s="43" t="s">
        <v>2470</v>
      </c>
      <c r="AI119" s="288"/>
      <c r="AK119" s="245"/>
      <c r="AL119" s="245"/>
      <c r="AM119" s="285"/>
    </row>
    <row r="120" spans="1:39">
      <c r="A120" s="347">
        <f>IFERROR(VLOOKUP($G120,基本資料!$A:$J,3,0),"無")</f>
        <v>11.62</v>
      </c>
      <c r="B120" s="79">
        <f>IFERROR(VLOOKUP($G120,基本資料!$A:$J,4,0),"無")</f>
        <v>-20</v>
      </c>
      <c r="C120" s="79">
        <f>IFERROR(VLOOKUP($G120,基本資料!$A:$J,5,0),"無")</f>
        <v>-22</v>
      </c>
      <c r="D120" s="79">
        <f>IFERROR(VLOOKUP($G120,基本資料!$A:$J,6,0),"無")</f>
        <v>-20</v>
      </c>
      <c r="E120" s="79">
        <f>IFERROR(VLOOKUP($G120,基本資料!$A:$J,7,0),"無")</f>
        <v>-41</v>
      </c>
      <c r="F120" s="6">
        <f>IFERROR(VLOOKUP($G120,基本資料!$A:$J,8,0),"無")</f>
        <v>-755.76</v>
      </c>
      <c r="G120" s="80">
        <v>6461</v>
      </c>
      <c r="H120" s="5" t="s">
        <v>4726</v>
      </c>
      <c r="I120" s="16" t="s">
        <v>619</v>
      </c>
      <c r="J120" s="8">
        <f>IFERROR(VLOOKUP($G120,今日總結!$A:$AJ,35,0),"")</f>
        <v>0</v>
      </c>
      <c r="K120" s="5" t="str">
        <f>IFERROR(VLOOKUP($G120,今日總結!$A:$AJ,36,0),"")</f>
        <v>9借</v>
      </c>
      <c r="L120" s="156">
        <f>IFERROR(VLOOKUP($G120,今日總結!$A:$AJ,33,0),"")</f>
        <v>0</v>
      </c>
      <c r="M120" s="340">
        <f>IFERROR(VLOOKUP($G120,今日總結!$A:$AJ,34,0),"")</f>
        <v>2</v>
      </c>
      <c r="N120" s="240">
        <f t="shared" si="64"/>
        <v>-2</v>
      </c>
      <c r="P120" s="365">
        <f>IFERROR(VLOOKUP($G120,融外自投!$A:$J,7,0),"無")</f>
        <v>578</v>
      </c>
      <c r="Q120" s="79" t="str">
        <f>IFERROR(VLOOKUP($G120,融外自投!$A:$J,9,0),"無")</f>
        <v>無</v>
      </c>
      <c r="R120" s="346">
        <f>IFERROR(VLOOKUP($G120,融外自投!$A:$J,8,0),"無")</f>
        <v>1256</v>
      </c>
      <c r="S120" s="81" t="str">
        <f>IFERROR(VLOOKUP($G120,融外自投!$A:$J,10,0),"無")</f>
        <v>無</v>
      </c>
      <c r="T120" s="327">
        <f>IFERROR(VLOOKUP($G120,'321買'!$A:$E,5,0),"'沒有資料'")</f>
        <v>964</v>
      </c>
      <c r="U120" s="186">
        <f>IFERROR(VLOOKUP($G120,基本資料!$A:$J,9,0),"無")</f>
        <v>0</v>
      </c>
      <c r="V120" s="310">
        <f t="shared" si="65"/>
        <v>0</v>
      </c>
      <c r="W120" s="94">
        <f>IFERROR(VLOOKUP($G120,基本資料!$A:$J,10,0),"無")</f>
        <v>-2.97</v>
      </c>
      <c r="X120" s="36">
        <v>20.05</v>
      </c>
      <c r="Y120" s="66">
        <v>20</v>
      </c>
      <c r="Z120" s="15">
        <f t="shared" si="92"/>
        <v>5.0000000000000711E-2</v>
      </c>
      <c r="AA120" s="63">
        <f t="shared" si="93"/>
        <v>2.5000000000000356E-3</v>
      </c>
      <c r="AB120" s="99" t="s">
        <v>3549</v>
      </c>
      <c r="AC120" s="397">
        <f>IFERROR(VLOOKUP($G120,基本資料!$A:$M,12,0),"無")</f>
        <v>57.47</v>
      </c>
      <c r="AD120" s="16" t="s">
        <v>619</v>
      </c>
      <c r="AE120" s="84">
        <v>44538</v>
      </c>
      <c r="AF120" s="86">
        <v>44550</v>
      </c>
      <c r="AG120" s="33">
        <f t="shared" si="85"/>
        <v>12</v>
      </c>
      <c r="AH120" s="43" t="s">
        <v>2452</v>
      </c>
      <c r="AI120" s="288"/>
      <c r="AK120" s="245"/>
      <c r="AL120" s="245"/>
      <c r="AM120" s="285"/>
    </row>
    <row r="121" spans="1:39">
      <c r="A121" s="347">
        <f>IFERROR(VLOOKUP($G121,基本資料!$A:$J,3,0),"無")</f>
        <v>359</v>
      </c>
      <c r="B121" s="79">
        <f>IFERROR(VLOOKUP($G121,基本資料!$A:$J,4,0),"無")</f>
        <v>322</v>
      </c>
      <c r="C121" s="79">
        <f>IFERROR(VLOOKUP($G121,基本資料!$A:$J,5,0),"無")</f>
        <v>249</v>
      </c>
      <c r="D121" s="79">
        <f>IFERROR(VLOOKUP($G121,基本資料!$A:$J,6,0),"無")</f>
        <v>8</v>
      </c>
      <c r="E121" s="79">
        <f>IFERROR(VLOOKUP($G121,基本資料!$A:$J,7,0),"無")</f>
        <v>49</v>
      </c>
      <c r="F121" s="6">
        <f>IFERROR(VLOOKUP($G121,基本資料!$A:$J,8,0),"無")</f>
        <v>30.62</v>
      </c>
      <c r="G121" s="79">
        <v>6770</v>
      </c>
      <c r="H121" s="8" t="s">
        <v>3039</v>
      </c>
      <c r="I121" s="22" t="s">
        <v>3525</v>
      </c>
      <c r="J121" s="8" t="str">
        <f>IFERROR(VLOOKUP($G121,今日總結!$A:$AJ,35,0),"")</f>
        <v/>
      </c>
      <c r="K121" s="5" t="str">
        <f>IFERROR(VLOOKUP($G121,今日總結!$A:$AJ,36,0),"")</f>
        <v/>
      </c>
      <c r="L121" s="156" t="str">
        <f>IFERROR(VLOOKUP($G121,今日總結!$A:$AJ,33,0),"")</f>
        <v/>
      </c>
      <c r="M121" s="340" t="str">
        <f>IFERROR(VLOOKUP($G121,今日總結!$A:$AJ,34,0),"")</f>
        <v/>
      </c>
      <c r="N121" s="240" t="str">
        <f t="shared" si="64"/>
        <v/>
      </c>
      <c r="P121" s="365" t="str">
        <f>IFERROR(VLOOKUP($G121,融外自投!$A:$J,7,0),"無")</f>
        <v>無</v>
      </c>
      <c r="Q121" s="79" t="str">
        <f>IFERROR(VLOOKUP($G121,融外自投!$A:$J,9,0),"無")</f>
        <v>無</v>
      </c>
      <c r="R121" s="346" t="str">
        <f>IFERROR(VLOOKUP($G121,融外自投!$A:$J,8,0),"無")</f>
        <v>無</v>
      </c>
      <c r="S121" s="81" t="str">
        <f>IFERROR(VLOOKUP($G121,融外自投!$A:$J,10,0),"無")</f>
        <v>無</v>
      </c>
      <c r="T121" s="327" t="str">
        <f>IFERROR(VLOOKUP($G121,'321買'!$A:$E,5,0),"'沒有資料'")</f>
        <v>'沒有資料'</v>
      </c>
      <c r="U121" s="186">
        <f>IFERROR(VLOOKUP($G121,基本資料!$A:$J,9,0),"無")</f>
        <v>1.83</v>
      </c>
      <c r="V121" s="310">
        <f t="shared" si="65"/>
        <v>2.5920679886685557E-2</v>
      </c>
      <c r="W121" s="94">
        <f>IFERROR(VLOOKUP($G121,基本資料!$A:$J,10,0),"無")</f>
        <v>4.92</v>
      </c>
      <c r="X121" s="36">
        <v>70.599999999999994</v>
      </c>
      <c r="Y121" s="66">
        <v>49.88</v>
      </c>
      <c r="Z121" s="15">
        <f t="shared" si="92"/>
        <v>20.719999999999992</v>
      </c>
      <c r="AA121" s="63">
        <f t="shared" si="93"/>
        <v>0.41539695268644727</v>
      </c>
      <c r="AB121" s="99" t="s">
        <v>3546</v>
      </c>
      <c r="AC121" s="397" t="str">
        <f>IFERROR(VLOOKUP($G121,基本資料!$A:$M,12,0),"無")</f>
        <v>無</v>
      </c>
      <c r="AD121" s="22" t="s">
        <v>3525</v>
      </c>
      <c r="AE121" s="84">
        <v>44536</v>
      </c>
      <c r="AF121" s="86">
        <v>44546</v>
      </c>
      <c r="AG121" s="33">
        <f t="shared" si="85"/>
        <v>10</v>
      </c>
      <c r="AH121" s="43" t="s">
        <v>1797</v>
      </c>
      <c r="AI121" s="288"/>
      <c r="AK121" s="245"/>
      <c r="AL121" s="245"/>
      <c r="AM121" s="285"/>
    </row>
    <row r="122" spans="1:39">
      <c r="A122" s="347">
        <f>IFERROR(VLOOKUP($G122,基本資料!$A:$J,3,0),"無")</f>
        <v>6.75</v>
      </c>
      <c r="B122" s="79">
        <f>IFERROR(VLOOKUP($G122,基本資料!$A:$J,4,0),"無")</f>
        <v>6</v>
      </c>
      <c r="C122" s="79">
        <f>IFERROR(VLOOKUP($G122,基本資料!$A:$J,5,0),"無")</f>
        <v>-2</v>
      </c>
      <c r="D122" s="79">
        <f>IFERROR(VLOOKUP($G122,基本資料!$A:$J,6,0),"無")</f>
        <v>13</v>
      </c>
      <c r="E122" s="79">
        <f>IFERROR(VLOOKUP($G122,基本資料!$A:$J,7,0),"無")</f>
        <v>-1</v>
      </c>
      <c r="F122" s="6">
        <f>IFERROR(VLOOKUP($G122,基本資料!$A:$J,8,0),"無")</f>
        <v>1.76</v>
      </c>
      <c r="G122" s="80">
        <v>2945</v>
      </c>
      <c r="H122" s="5" t="s">
        <v>6113</v>
      </c>
      <c r="I122" s="22" t="s">
        <v>3516</v>
      </c>
      <c r="J122" s="8" t="str">
        <f>IFERROR(VLOOKUP($G122,今日總結!$A:$AJ,35,0),"")</f>
        <v/>
      </c>
      <c r="K122" s="5" t="str">
        <f>IFERROR(VLOOKUP($G122,今日總結!$A:$AJ,36,0),"")</f>
        <v/>
      </c>
      <c r="L122" s="156" t="str">
        <f>IFERROR(VLOOKUP($G122,今日總結!$A:$AJ,33,0),"")</f>
        <v/>
      </c>
      <c r="M122" s="340" t="str">
        <f>IFERROR(VLOOKUP($G122,今日總結!$A:$AJ,34,0),"")</f>
        <v/>
      </c>
      <c r="N122" s="240" t="str">
        <f t="shared" si="64"/>
        <v/>
      </c>
      <c r="P122" s="365" t="str">
        <f>IFERROR(VLOOKUP($G122,融外自投!$A:$J,7,0),"無")</f>
        <v>無</v>
      </c>
      <c r="Q122" s="79" t="str">
        <f>IFERROR(VLOOKUP($G122,融外自投!$A:$J,9,0),"無")</f>
        <v>無</v>
      </c>
      <c r="R122" s="346" t="str">
        <f>IFERROR(VLOOKUP($G122,融外自投!$A:$J,8,0),"無")</f>
        <v>無</v>
      </c>
      <c r="S122" s="81" t="str">
        <f>IFERROR(VLOOKUP($G122,融外自投!$A:$J,10,0),"無")</f>
        <v>無</v>
      </c>
      <c r="T122" s="327" t="str">
        <f>IFERROR(VLOOKUP($G122,'321買'!$A:$E,5,0),"'沒有資料'")</f>
        <v>'沒有資料'</v>
      </c>
      <c r="U122" s="186">
        <f>IFERROR(VLOOKUP($G122,基本資料!$A:$J,9,0),"無")</f>
        <v>2.59</v>
      </c>
      <c r="V122" s="310">
        <f t="shared" si="65"/>
        <v>3.5142469470827678E-2</v>
      </c>
      <c r="W122" s="94">
        <f>IFERROR(VLOOKUP($G122,基本資料!$A:$J,10,0),"無")</f>
        <v>3.21</v>
      </c>
      <c r="X122" s="36">
        <v>73.7</v>
      </c>
      <c r="Y122" s="66">
        <v>69</v>
      </c>
      <c r="Z122" s="15">
        <f t="shared" si="92"/>
        <v>4.7000000000000028</v>
      </c>
      <c r="AA122" s="63">
        <f t="shared" si="93"/>
        <v>6.8115942028985549E-2</v>
      </c>
      <c r="AB122" s="99" t="s">
        <v>3540</v>
      </c>
      <c r="AC122" s="397" t="str">
        <f>IFERROR(VLOOKUP($G122,基本資料!$A:$M,12,0),"無")</f>
        <v>無</v>
      </c>
      <c r="AD122" s="22" t="s">
        <v>3516</v>
      </c>
      <c r="AE122" s="84">
        <v>44530</v>
      </c>
      <c r="AF122" s="86">
        <v>44540</v>
      </c>
      <c r="AG122" s="33">
        <f t="shared" si="85"/>
        <v>10</v>
      </c>
      <c r="AH122" s="43" t="s">
        <v>3517</v>
      </c>
      <c r="AI122" s="288"/>
      <c r="AK122" s="245"/>
      <c r="AL122" s="245"/>
      <c r="AM122" s="285"/>
    </row>
    <row r="123" spans="1:39">
      <c r="A123" s="347">
        <f>IFERROR(VLOOKUP($G123,基本資料!$A:$J,3,0),"無")</f>
        <v>7.12</v>
      </c>
      <c r="B123" s="79">
        <f>IFERROR(VLOOKUP($G123,基本資料!$A:$J,4,0),"無")</f>
        <v>-34</v>
      </c>
      <c r="C123" s="79">
        <f>IFERROR(VLOOKUP($G123,基本資料!$A:$J,5,0),"無")</f>
        <v>-120</v>
      </c>
      <c r="D123" s="79">
        <f>IFERROR(VLOOKUP($G123,基本資料!$A:$J,6,0),"無")</f>
        <v>-100</v>
      </c>
      <c r="E123" s="79">
        <f>IFERROR(VLOOKUP($G123,基本資料!$A:$J,7,0),"無")</f>
        <v>-100</v>
      </c>
      <c r="F123" s="6">
        <f>IFERROR(VLOOKUP($G123,基本資料!$A:$J,8,0),"無")</f>
        <v>-77.83</v>
      </c>
      <c r="G123" s="80">
        <v>1438</v>
      </c>
      <c r="H123" s="8" t="s">
        <v>4003</v>
      </c>
      <c r="I123" s="22" t="s">
        <v>3012</v>
      </c>
      <c r="J123" s="8" t="str">
        <f>IFERROR(VLOOKUP($G123,今日總結!$A:$AJ,35,0),"")</f>
        <v>融</v>
      </c>
      <c r="K123" s="5">
        <f>IFERROR(VLOOKUP($G123,今日總結!$A:$AJ,36,0),"")</f>
        <v>0</v>
      </c>
      <c r="L123" s="156">
        <f>IFERROR(VLOOKUP($G123,今日總結!$A:$AJ,33,0),"")</f>
        <v>1</v>
      </c>
      <c r="M123" s="340">
        <f>IFERROR(VLOOKUP($G123,今日總結!$A:$AJ,34,0),"")</f>
        <v>0</v>
      </c>
      <c r="N123" s="240">
        <f t="shared" si="64"/>
        <v>1</v>
      </c>
      <c r="P123" s="365">
        <f>IFERROR(VLOOKUP($G123,融外自投!$A:$J,7,0),"無")</f>
        <v>785</v>
      </c>
      <c r="Q123" s="79" t="str">
        <f>IFERROR(VLOOKUP($G123,融外自投!$A:$J,9,0),"無")</f>
        <v>無</v>
      </c>
      <c r="R123" s="346">
        <f>IFERROR(VLOOKUP($G123,融外自投!$A:$J,8,0),"無")</f>
        <v>1276</v>
      </c>
      <c r="S123" s="81" t="str">
        <f>IFERROR(VLOOKUP($G123,融外自投!$A:$J,10,0),"無")</f>
        <v>無</v>
      </c>
      <c r="T123" s="327">
        <f>IFERROR(VLOOKUP($G123,'321買'!$A:$E,5,0),"'沒有資料'")</f>
        <v>1038</v>
      </c>
      <c r="U123" s="186">
        <f>IFERROR(VLOOKUP($G123,基本資料!$A:$J,9,0),"無")</f>
        <v>0</v>
      </c>
      <c r="V123" s="310">
        <f t="shared" si="65"/>
        <v>0</v>
      </c>
      <c r="W123" s="94">
        <f>IFERROR(VLOOKUP($G123,基本資料!$A:$J,10,0),"無")</f>
        <v>0.56999999999999995</v>
      </c>
      <c r="X123" s="36">
        <v>30.3</v>
      </c>
      <c r="Y123" s="66">
        <v>26</v>
      </c>
      <c r="Z123" s="15">
        <f t="shared" si="92"/>
        <v>4.3000000000000007</v>
      </c>
      <c r="AA123" s="63">
        <f t="shared" si="93"/>
        <v>0.16538461538461541</v>
      </c>
      <c r="AB123" s="99" t="s">
        <v>3539</v>
      </c>
      <c r="AC123" s="397">
        <f>IFERROR(VLOOKUP($G123,基本資料!$A:$M,12,0),"無")</f>
        <v>59.37</v>
      </c>
      <c r="AD123" s="22" t="s">
        <v>3012</v>
      </c>
      <c r="AE123" s="84">
        <v>44530</v>
      </c>
      <c r="AF123" s="86">
        <v>44540</v>
      </c>
      <c r="AG123" s="33">
        <f t="shared" si="85"/>
        <v>10</v>
      </c>
      <c r="AH123" s="43" t="s">
        <v>4003</v>
      </c>
      <c r="AI123" s="288"/>
      <c r="AK123" s="245"/>
      <c r="AL123" s="245"/>
      <c r="AM123" s="285"/>
    </row>
    <row r="124" spans="1:39">
      <c r="A124" s="347">
        <f>IFERROR(VLOOKUP($G124,基本資料!$A:$J,3,0),"無")</f>
        <v>5.33</v>
      </c>
      <c r="B124" s="79">
        <f>IFERROR(VLOOKUP($G124,基本資料!$A:$J,4,0),"無")</f>
        <v>37</v>
      </c>
      <c r="C124" s="79">
        <f>IFERROR(VLOOKUP($G124,基本資料!$A:$J,5,0),"無")</f>
        <v>25</v>
      </c>
      <c r="D124" s="79">
        <f>IFERROR(VLOOKUP($G124,基本資料!$A:$J,6,0),"無")</f>
        <v>-37</v>
      </c>
      <c r="E124" s="79">
        <f>IFERROR(VLOOKUP($G124,基本資料!$A:$J,7,0),"無")</f>
        <v>-27</v>
      </c>
      <c r="F124" s="6">
        <f>IFERROR(VLOOKUP($G124,基本資料!$A:$J,8,0),"無")</f>
        <v>15.86</v>
      </c>
      <c r="G124" s="79">
        <v>4571</v>
      </c>
      <c r="H124" s="8" t="s">
        <v>295</v>
      </c>
      <c r="I124" s="22" t="s">
        <v>1691</v>
      </c>
      <c r="J124" s="8" t="str">
        <f>IFERROR(VLOOKUP($G124,今日總結!$A:$AJ,35,0),"")</f>
        <v/>
      </c>
      <c r="K124" s="5" t="str">
        <f>IFERROR(VLOOKUP($G124,今日總結!$A:$AJ,36,0),"")</f>
        <v/>
      </c>
      <c r="L124" s="156" t="str">
        <f>IFERROR(VLOOKUP($G124,今日總結!$A:$AJ,33,0),"")</f>
        <v/>
      </c>
      <c r="M124" s="340" t="str">
        <f>IFERROR(VLOOKUP($G124,今日總結!$A:$AJ,34,0),"")</f>
        <v/>
      </c>
      <c r="N124" s="240" t="str">
        <f t="shared" si="64"/>
        <v/>
      </c>
      <c r="P124" s="365">
        <f>IFERROR(VLOOKUP($G124,融外自投!$A:$J,7,0),"無")</f>
        <v>825</v>
      </c>
      <c r="Q124" s="79" t="str">
        <f>IFERROR(VLOOKUP($G124,融外自投!$A:$J,9,0),"無")</f>
        <v>無</v>
      </c>
      <c r="R124" s="346">
        <f>IFERROR(VLOOKUP($G124,融外自投!$A:$J,8,0),"無")</f>
        <v>33</v>
      </c>
      <c r="S124" s="81" t="str">
        <f>IFERROR(VLOOKUP($G124,融外自投!$A:$J,10,0),"無")</f>
        <v>無</v>
      </c>
      <c r="T124" s="327">
        <f>IFERROR(VLOOKUP($G124,'321買'!$A:$E,5,0),"'沒有資料'")</f>
        <v>1038</v>
      </c>
      <c r="U124" s="186">
        <f>IFERROR(VLOOKUP($G124,基本資料!$A:$J,9,0),"無")</f>
        <v>4.5</v>
      </c>
      <c r="V124" s="310">
        <f t="shared" si="65"/>
        <v>4.3478260869565216E-2</v>
      </c>
      <c r="W124" s="94">
        <f>IFERROR(VLOOKUP($G124,基本資料!$A:$J,10,0),"無")</f>
        <v>8.18</v>
      </c>
      <c r="X124" s="13">
        <v>103.5</v>
      </c>
      <c r="Y124" s="66">
        <v>77</v>
      </c>
      <c r="Z124" s="15">
        <f t="shared" si="92"/>
        <v>26.5</v>
      </c>
      <c r="AA124" s="63">
        <f t="shared" si="93"/>
        <v>0.34415584415584416</v>
      </c>
      <c r="AB124" s="99" t="s">
        <v>3538</v>
      </c>
      <c r="AC124" s="397">
        <f>IFERROR(VLOOKUP($G124,基本資料!$A:$M,12,0),"無")</f>
        <v>6.04</v>
      </c>
      <c r="AD124" s="22" t="s">
        <v>1691</v>
      </c>
      <c r="AE124" s="84">
        <v>44529</v>
      </c>
      <c r="AF124" s="86">
        <v>44539</v>
      </c>
      <c r="AG124" s="33">
        <f t="shared" si="85"/>
        <v>10</v>
      </c>
      <c r="AH124" s="43" t="s">
        <v>1987</v>
      </c>
      <c r="AI124" s="288"/>
      <c r="AK124" s="245"/>
      <c r="AL124" s="245"/>
      <c r="AM124" s="285"/>
    </row>
    <row r="125" spans="1:39">
      <c r="A125" s="347">
        <f>IFERROR(VLOOKUP($G125,基本資料!$A:$J,3,0),"無")</f>
        <v>7.5</v>
      </c>
      <c r="B125" s="79">
        <f>IFERROR(VLOOKUP($G125,基本資料!$A:$J,4,0),"無")</f>
        <v>204</v>
      </c>
      <c r="C125" s="79">
        <f>IFERROR(VLOOKUP($G125,基本資料!$A:$J,5,0),"無")</f>
        <v>342</v>
      </c>
      <c r="D125" s="79">
        <f>IFERROR(VLOOKUP($G125,基本資料!$A:$J,6,0),"無")</f>
        <v>55</v>
      </c>
      <c r="E125" s="79">
        <f>IFERROR(VLOOKUP($G125,基本資料!$A:$J,7,0),"無")</f>
        <v>0</v>
      </c>
      <c r="F125" s="6">
        <f>IFERROR(VLOOKUP($G125,基本資料!$A:$J,8,0),"無")</f>
        <v>3.57</v>
      </c>
      <c r="G125" s="80">
        <v>3652</v>
      </c>
      <c r="H125" s="183" t="s">
        <v>1146</v>
      </c>
      <c r="I125" s="16" t="s">
        <v>2215</v>
      </c>
      <c r="J125" s="8" t="str">
        <f>IFERROR(VLOOKUP($G125,今日總結!$A:$AJ,35,0),"")</f>
        <v/>
      </c>
      <c r="K125" s="5" t="str">
        <f>IFERROR(VLOOKUP($G125,今日總結!$A:$AJ,36,0),"")</f>
        <v/>
      </c>
      <c r="L125" s="156" t="str">
        <f>IFERROR(VLOOKUP($G125,今日總結!$A:$AJ,33,0),"")</f>
        <v/>
      </c>
      <c r="M125" s="340" t="str">
        <f>IFERROR(VLOOKUP($G125,今日總結!$A:$AJ,34,0),"")</f>
        <v/>
      </c>
      <c r="N125" s="240" t="str">
        <f t="shared" si="64"/>
        <v/>
      </c>
      <c r="P125" s="365">
        <f>IFERROR(VLOOKUP($G125,融外自投!$A:$J,7,0),"無")</f>
        <v>1005</v>
      </c>
      <c r="Q125" s="79" t="str">
        <f>IFERROR(VLOOKUP($G125,融外自投!$A:$J,9,0),"無")</f>
        <v>無</v>
      </c>
      <c r="R125" s="346">
        <f>IFERROR(VLOOKUP($G125,融外自投!$A:$J,8,0),"無")</f>
        <v>1236</v>
      </c>
      <c r="S125" s="81" t="str">
        <f>IFERROR(VLOOKUP($G125,融外自投!$A:$J,10,0),"無")</f>
        <v>無</v>
      </c>
      <c r="T125" s="327" t="str">
        <f>IFERROR(VLOOKUP($G125,'321買'!$A:$E,5,0),"'沒有資料'")</f>
        <v>'沒有資料'</v>
      </c>
      <c r="U125" s="186">
        <f>IFERROR(VLOOKUP($G125,基本資料!$A:$J,9,0),"無")</f>
        <v>0.41</v>
      </c>
      <c r="V125" s="310">
        <f t="shared" si="65"/>
        <v>1.8061674008810574E-2</v>
      </c>
      <c r="W125" s="94">
        <f>IFERROR(VLOOKUP($G125,基本資料!$A:$J,10,0),"無")</f>
        <v>1.03</v>
      </c>
      <c r="X125" s="36">
        <v>22.7</v>
      </c>
      <c r="Y125" s="66">
        <v>21</v>
      </c>
      <c r="Z125" s="15">
        <f t="shared" ref="Z125:Z156" si="94">X125-Y125</f>
        <v>1.6999999999999993</v>
      </c>
      <c r="AA125" s="63">
        <f t="shared" ref="AA125:AA156" si="95">Z125/Y125</f>
        <v>8.0952380952380915E-2</v>
      </c>
      <c r="AB125" s="99" t="s">
        <v>2270</v>
      </c>
      <c r="AC125" s="397">
        <f>IFERROR(VLOOKUP($G125,基本資料!$A:$M,12,0),"無")</f>
        <v>34.590000000000003</v>
      </c>
      <c r="AD125" s="16" t="s">
        <v>2215</v>
      </c>
      <c r="AE125" s="84">
        <v>44529</v>
      </c>
      <c r="AF125" s="86">
        <v>44539</v>
      </c>
      <c r="AG125" s="33">
        <f t="shared" si="85"/>
        <v>10</v>
      </c>
      <c r="AH125" s="43" t="s">
        <v>2440</v>
      </c>
      <c r="AI125" s="288"/>
      <c r="AK125" s="245"/>
      <c r="AL125" s="245"/>
      <c r="AM125" s="285"/>
    </row>
    <row r="126" spans="1:39">
      <c r="A126" s="347">
        <f>IFERROR(VLOOKUP($G126,基本資料!$A:$J,3,0),"無")</f>
        <v>7.46</v>
      </c>
      <c r="B126" s="79">
        <f>IFERROR(VLOOKUP($G126,基本資料!$A:$J,4,0),"無")</f>
        <v>101</v>
      </c>
      <c r="C126" s="79">
        <f>IFERROR(VLOOKUP($G126,基本資料!$A:$J,5,0),"無")</f>
        <v>97</v>
      </c>
      <c r="D126" s="79">
        <f>IFERROR(VLOOKUP($G126,基本資料!$A:$J,6,0),"無")</f>
        <v>-18</v>
      </c>
      <c r="E126" s="79">
        <f>IFERROR(VLOOKUP($G126,基本資料!$A:$J,7,0),"無")</f>
        <v>-38</v>
      </c>
      <c r="F126" s="6">
        <f>IFERROR(VLOOKUP($G126,基本資料!$A:$J,8,0),"無")</f>
        <v>-0.5</v>
      </c>
      <c r="G126" s="80">
        <v>3259</v>
      </c>
      <c r="H126" s="183" t="s">
        <v>3039</v>
      </c>
      <c r="I126" s="16" t="s">
        <v>360</v>
      </c>
      <c r="J126" s="8" t="str">
        <f>IFERROR(VLOOKUP($G126,今日總結!$A:$AJ,35,0),"")</f>
        <v/>
      </c>
      <c r="K126" s="5" t="str">
        <f>IFERROR(VLOOKUP($G126,今日總結!$A:$AJ,36,0),"")</f>
        <v/>
      </c>
      <c r="L126" s="156" t="str">
        <f>IFERROR(VLOOKUP($G126,今日總結!$A:$AJ,33,0),"")</f>
        <v/>
      </c>
      <c r="M126" s="340" t="str">
        <f>IFERROR(VLOOKUP($G126,今日總結!$A:$AJ,34,0),"")</f>
        <v/>
      </c>
      <c r="N126" s="240" t="str">
        <f t="shared" si="64"/>
        <v/>
      </c>
      <c r="P126" s="365" t="str">
        <f>IFERROR(VLOOKUP($G126,融外自投!$A:$J,7,0),"無")</f>
        <v>無</v>
      </c>
      <c r="Q126" s="79" t="str">
        <f>IFERROR(VLOOKUP($G126,融外自投!$A:$J,9,0),"無")</f>
        <v>無</v>
      </c>
      <c r="R126" s="346" t="str">
        <f>IFERROR(VLOOKUP($G126,融外自投!$A:$J,8,0),"無")</f>
        <v>無</v>
      </c>
      <c r="S126" s="81" t="str">
        <f>IFERROR(VLOOKUP($G126,融外自投!$A:$J,10,0),"無")</f>
        <v>無</v>
      </c>
      <c r="T126" s="327" t="str">
        <f>IFERROR(VLOOKUP($G126,'321買'!$A:$E,5,0),"'沒有資料'")</f>
        <v>'沒有資料'</v>
      </c>
      <c r="U126" s="186">
        <f>IFERROR(VLOOKUP($G126,基本資料!$A:$J,9,0),"無")</f>
        <v>0</v>
      </c>
      <c r="V126" s="310">
        <f t="shared" si="65"/>
        <v>0</v>
      </c>
      <c r="W126" s="94">
        <f>IFERROR(VLOOKUP($G126,基本資料!$A:$J,10,0),"無")</f>
        <v>0.02</v>
      </c>
      <c r="X126" s="36">
        <v>27.35</v>
      </c>
      <c r="Y126" s="66">
        <v>27.2</v>
      </c>
      <c r="Z126" s="15">
        <f t="shared" si="94"/>
        <v>0.15000000000000213</v>
      </c>
      <c r="AA126" s="63">
        <f t="shared" si="95"/>
        <v>5.5147058823530196E-3</v>
      </c>
      <c r="AB126" s="99" t="s">
        <v>3536</v>
      </c>
      <c r="AC126" s="397">
        <f>IFERROR(VLOOKUP($G126,基本資料!$A:$M,12,0),"無")</f>
        <v>5.26</v>
      </c>
      <c r="AD126" s="16" t="s">
        <v>360</v>
      </c>
      <c r="AE126" s="84">
        <v>44526</v>
      </c>
      <c r="AF126" s="86">
        <v>44536</v>
      </c>
      <c r="AG126" s="33">
        <f t="shared" si="85"/>
        <v>10</v>
      </c>
      <c r="AH126" s="43" t="s">
        <v>2353</v>
      </c>
      <c r="AI126" s="288"/>
      <c r="AK126" s="245"/>
      <c r="AL126" s="245"/>
      <c r="AM126" s="285"/>
    </row>
    <row r="127" spans="1:39">
      <c r="A127" s="347">
        <f>IFERROR(VLOOKUP($G127,基本資料!$A:$J,3,0),"無")</f>
        <v>64.58</v>
      </c>
      <c r="B127" s="79">
        <f>IFERROR(VLOOKUP($G127,基本資料!$A:$J,4,0),"無")</f>
        <v>60</v>
      </c>
      <c r="C127" s="79">
        <f>IFERROR(VLOOKUP($G127,基本資料!$A:$J,5,0),"無")</f>
        <v>251</v>
      </c>
      <c r="D127" s="79">
        <f>IFERROR(VLOOKUP($G127,基本資料!$A:$J,6,0),"無")</f>
        <v>47</v>
      </c>
      <c r="E127" s="79">
        <f>IFERROR(VLOOKUP($G127,基本資料!$A:$J,7,0),"無")</f>
        <v>9</v>
      </c>
      <c r="F127" s="6">
        <f>IFERROR(VLOOKUP($G127,基本資料!$A:$J,8,0),"無")</f>
        <v>5.49</v>
      </c>
      <c r="G127" s="80">
        <v>1609</v>
      </c>
      <c r="H127" s="5" t="s">
        <v>296</v>
      </c>
      <c r="I127" s="22" t="s">
        <v>948</v>
      </c>
      <c r="J127" s="8">
        <f>IFERROR(VLOOKUP($G127,今日總結!$A:$AJ,35,0),"")</f>
        <v>0</v>
      </c>
      <c r="K127" s="5">
        <f>IFERROR(VLOOKUP($G127,今日總結!$A:$AJ,36,0),"")</f>
        <v>0</v>
      </c>
      <c r="L127" s="156">
        <f>IFERROR(VLOOKUP($G127,今日總結!$A:$AJ,33,0),"")</f>
        <v>0</v>
      </c>
      <c r="M127" s="340">
        <f>IFERROR(VLOOKUP($G127,今日總結!$A:$AJ,34,0),"")</f>
        <v>1</v>
      </c>
      <c r="N127" s="240">
        <f t="shared" si="64"/>
        <v>-1</v>
      </c>
      <c r="P127" s="365">
        <f>IFERROR(VLOOKUP($G127,融外自投!$A:$J,7,0),"無")</f>
        <v>309</v>
      </c>
      <c r="Q127" s="79">
        <f>IFERROR(VLOOKUP($G127,融外自投!$A:$J,9,0),"無")</f>
        <v>653</v>
      </c>
      <c r="R127" s="346">
        <f>IFERROR(VLOOKUP($G127,融外自投!$A:$J,8,0),"無")</f>
        <v>534</v>
      </c>
      <c r="S127" s="81">
        <f>IFERROR(VLOOKUP($G127,融外自投!$A:$J,10,0),"無")</f>
        <v>362</v>
      </c>
      <c r="T127" s="327">
        <f>IFERROR(VLOOKUP($G127,'321買'!$A:$E,5,0),"'沒有資料'")</f>
        <v>623</v>
      </c>
      <c r="U127" s="186">
        <f>IFERROR(VLOOKUP($G127,基本資料!$A:$J,9,0),"無")</f>
        <v>0.95</v>
      </c>
      <c r="V127" s="310">
        <f t="shared" si="65"/>
        <v>3.9419087136929459E-2</v>
      </c>
      <c r="W127" s="94">
        <f>IFERROR(VLOOKUP($G127,基本資料!$A:$J,10,0),"無")</f>
        <v>2.2999999999999998</v>
      </c>
      <c r="X127" s="36">
        <v>24.1</v>
      </c>
      <c r="Y127" s="66">
        <v>21</v>
      </c>
      <c r="Z127" s="15">
        <f t="shared" si="94"/>
        <v>3.1000000000000014</v>
      </c>
      <c r="AA127" s="63">
        <f t="shared" si="95"/>
        <v>0.14761904761904768</v>
      </c>
      <c r="AB127" s="99" t="s">
        <v>1662</v>
      </c>
      <c r="AC127" s="397">
        <f>IFERROR(VLOOKUP($G127,基本資料!$A:$M,12,0),"無")</f>
        <v>53.78</v>
      </c>
      <c r="AD127" s="22" t="s">
        <v>948</v>
      </c>
      <c r="AE127" s="84">
        <v>44523</v>
      </c>
      <c r="AF127" s="86">
        <v>44533</v>
      </c>
      <c r="AG127" s="33">
        <f t="shared" si="85"/>
        <v>10</v>
      </c>
      <c r="AH127" s="43" t="s">
        <v>2799</v>
      </c>
      <c r="AI127" s="288"/>
      <c r="AK127" s="245"/>
      <c r="AL127" s="245"/>
      <c r="AM127" s="285"/>
    </row>
    <row r="128" spans="1:39">
      <c r="A128" s="347">
        <f>IFERROR(VLOOKUP($G128,基本資料!$A:$J,3,0),"無")</f>
        <v>4.43</v>
      </c>
      <c r="B128" s="79">
        <f>IFERROR(VLOOKUP($G128,基本資料!$A:$J,4,0),"無")</f>
        <v>292</v>
      </c>
      <c r="C128" s="79">
        <f>IFERROR(VLOOKUP($G128,基本資料!$A:$J,5,0),"無")</f>
        <v>120</v>
      </c>
      <c r="D128" s="79">
        <f>IFERROR(VLOOKUP($G128,基本資料!$A:$J,6,0),"無")</f>
        <v>7</v>
      </c>
      <c r="E128" s="79">
        <f>IFERROR(VLOOKUP($G128,基本資料!$A:$J,7,0),"無")</f>
        <v>-37</v>
      </c>
      <c r="F128" s="6">
        <f>IFERROR(VLOOKUP($G128,基本資料!$A:$J,8,0),"無")</f>
        <v>1.63</v>
      </c>
      <c r="G128" s="79">
        <v>6130</v>
      </c>
      <c r="H128" s="8" t="s">
        <v>4726</v>
      </c>
      <c r="I128" s="16" t="s">
        <v>1087</v>
      </c>
      <c r="J128" s="8" t="str">
        <f>IFERROR(VLOOKUP($G128,今日總結!$A:$AJ,35,0),"")</f>
        <v/>
      </c>
      <c r="K128" s="5" t="str">
        <f>IFERROR(VLOOKUP($G128,今日總結!$A:$AJ,36,0),"")</f>
        <v/>
      </c>
      <c r="L128" s="156" t="str">
        <f>IFERROR(VLOOKUP($G128,今日總結!$A:$AJ,33,0),"")</f>
        <v/>
      </c>
      <c r="M128" s="340" t="str">
        <f>IFERROR(VLOOKUP($G128,今日總結!$A:$AJ,34,0),"")</f>
        <v/>
      </c>
      <c r="N128" s="240" t="str">
        <f t="shared" si="64"/>
        <v/>
      </c>
      <c r="P128" s="365" t="str">
        <f>IFERROR(VLOOKUP($G128,融外自投!$A:$J,7,0),"無")</f>
        <v>無</v>
      </c>
      <c r="Q128" s="79" t="str">
        <f>IFERROR(VLOOKUP($G128,融外自投!$A:$J,9,0),"無")</f>
        <v>無</v>
      </c>
      <c r="R128" s="346" t="str">
        <f>IFERROR(VLOOKUP($G128,融外自投!$A:$J,8,0),"無")</f>
        <v>無</v>
      </c>
      <c r="S128" s="81" t="str">
        <f>IFERROR(VLOOKUP($G128,融外自投!$A:$J,10,0),"無")</f>
        <v>無</v>
      </c>
      <c r="T128" s="327" t="str">
        <f>IFERROR(VLOOKUP($G128,'321買'!$A:$E,5,0),"'沒有資料'")</f>
        <v>'沒有資料'</v>
      </c>
      <c r="U128" s="186">
        <f>IFERROR(VLOOKUP($G128,基本資料!$A:$J,9,0),"無")</f>
        <v>0</v>
      </c>
      <c r="V128" s="310">
        <f t="shared" si="65"/>
        <v>0</v>
      </c>
      <c r="W128" s="94">
        <f>IFERROR(VLOOKUP($G128,基本資料!$A:$J,10,0),"無")</f>
        <v>1.06</v>
      </c>
      <c r="X128" s="36">
        <v>32.5</v>
      </c>
      <c r="Y128" s="66">
        <v>19</v>
      </c>
      <c r="Z128" s="15">
        <f t="shared" si="94"/>
        <v>13.5</v>
      </c>
      <c r="AA128" s="63">
        <f t="shared" si="95"/>
        <v>0.71052631578947367</v>
      </c>
      <c r="AB128" s="99" t="s">
        <v>3520</v>
      </c>
      <c r="AC128" s="397">
        <f>IFERROR(VLOOKUP($G128,基本資料!$A:$M,12,0),"無")</f>
        <v>21.98</v>
      </c>
      <c r="AD128" s="16" t="s">
        <v>1087</v>
      </c>
      <c r="AE128" s="84">
        <v>44519</v>
      </c>
      <c r="AF128" s="86">
        <v>44529</v>
      </c>
      <c r="AG128" s="33">
        <f t="shared" si="85"/>
        <v>10</v>
      </c>
      <c r="AH128" s="43" t="s">
        <v>3513</v>
      </c>
      <c r="AI128" s="288"/>
      <c r="AK128" s="245"/>
      <c r="AL128" s="245"/>
      <c r="AM128" s="285"/>
    </row>
    <row r="129" spans="1:39">
      <c r="A129" s="347">
        <f>IFERROR(VLOOKUP($G129,基本資料!$A:$J,3,0),"無")</f>
        <v>10.7</v>
      </c>
      <c r="B129" s="79">
        <f>IFERROR(VLOOKUP($G129,基本資料!$A:$J,4,0),"無")</f>
        <v>170</v>
      </c>
      <c r="C129" s="79">
        <f>IFERROR(VLOOKUP($G129,基本資料!$A:$J,5,0),"無")</f>
        <v>170</v>
      </c>
      <c r="D129" s="79">
        <f>IFERROR(VLOOKUP($G129,基本資料!$A:$J,6,0),"無")</f>
        <v>-16</v>
      </c>
      <c r="E129" s="79">
        <f>IFERROR(VLOOKUP($G129,基本資料!$A:$J,7,0),"無")</f>
        <v>33</v>
      </c>
      <c r="F129" s="6">
        <f>IFERROR(VLOOKUP($G129,基本資料!$A:$J,8,0),"無")</f>
        <v>7.96</v>
      </c>
      <c r="G129" s="79">
        <v>4739</v>
      </c>
      <c r="H129" s="8" t="s">
        <v>3578</v>
      </c>
      <c r="I129" s="22" t="s">
        <v>3632</v>
      </c>
      <c r="J129" s="8" t="str">
        <f>IFERROR(VLOOKUP($G129,今日總結!$A:$AJ,35,0),"")</f>
        <v/>
      </c>
      <c r="K129" s="5" t="str">
        <f>IFERROR(VLOOKUP($G129,今日總結!$A:$AJ,36,0),"")</f>
        <v/>
      </c>
      <c r="L129" s="156" t="str">
        <f>IFERROR(VLOOKUP($G129,今日總結!$A:$AJ,33,0),"")</f>
        <v/>
      </c>
      <c r="M129" s="340" t="str">
        <f>IFERROR(VLOOKUP($G129,今日總結!$A:$AJ,34,0),"")</f>
        <v/>
      </c>
      <c r="N129" s="240" t="str">
        <f t="shared" si="64"/>
        <v/>
      </c>
      <c r="P129" s="365">
        <f>IFERROR(VLOOKUP($G129,融外自投!$A:$J,7,0),"無")</f>
        <v>67</v>
      </c>
      <c r="Q129" s="79" t="str">
        <f>IFERROR(VLOOKUP($G129,融外自投!$A:$J,9,0),"無")</f>
        <v>無</v>
      </c>
      <c r="R129" s="346">
        <f>IFERROR(VLOOKUP($G129,融外自投!$A:$J,8,0),"無")</f>
        <v>1022</v>
      </c>
      <c r="S129" s="81">
        <f>IFERROR(VLOOKUP($G129,融外自投!$A:$J,10,0),"無")</f>
        <v>109</v>
      </c>
      <c r="T129" s="327">
        <f>IFERROR(VLOOKUP($G129,'321買'!$A:$E,5,0),"'沒有資料'")</f>
        <v>79</v>
      </c>
      <c r="U129" s="186">
        <f>IFERROR(VLOOKUP($G129,基本資料!$A:$J,9,0),"無")</f>
        <v>3</v>
      </c>
      <c r="V129" s="310">
        <f t="shared" si="65"/>
        <v>2.0618556701030927E-2</v>
      </c>
      <c r="W129" s="94">
        <f>IFERROR(VLOOKUP($G129,基本資料!$A:$J,10,0),"無")</f>
        <v>4.67</v>
      </c>
      <c r="X129" s="36">
        <v>145.5</v>
      </c>
      <c r="Y129" s="45">
        <v>90</v>
      </c>
      <c r="Z129" s="15">
        <f t="shared" si="94"/>
        <v>55.5</v>
      </c>
      <c r="AA129" s="63">
        <f t="shared" si="95"/>
        <v>0.6166666666666667</v>
      </c>
      <c r="AB129" s="99" t="s">
        <v>3519</v>
      </c>
      <c r="AC129" s="397">
        <f>IFERROR(VLOOKUP($G129,基本資料!$A:$M,12,0),"無")</f>
        <v>20.63</v>
      </c>
      <c r="AD129" s="22" t="s">
        <v>171</v>
      </c>
      <c r="AE129" s="84">
        <v>44518</v>
      </c>
      <c r="AF129" s="86">
        <v>44529</v>
      </c>
      <c r="AG129" s="33">
        <f t="shared" si="85"/>
        <v>11</v>
      </c>
      <c r="AH129" s="117" t="s">
        <v>2290</v>
      </c>
      <c r="AI129" s="288"/>
      <c r="AK129" s="245"/>
      <c r="AL129" s="245"/>
      <c r="AM129" s="254"/>
    </row>
    <row r="130" spans="1:39">
      <c r="A130" s="347">
        <f>IFERROR(VLOOKUP($G130,基本資料!$A:$J,3,0),"無")</f>
        <v>19.649999999999999</v>
      </c>
      <c r="B130" s="79">
        <f>IFERROR(VLOOKUP($G130,基本資料!$A:$J,4,0),"無")</f>
        <v>86</v>
      </c>
      <c r="C130" s="79">
        <f>IFERROR(VLOOKUP($G130,基本資料!$A:$J,5,0),"無")</f>
        <v>5378</v>
      </c>
      <c r="D130" s="79">
        <f>IFERROR(VLOOKUP($G130,基本資料!$A:$J,6,0),"無")</f>
        <v>32</v>
      </c>
      <c r="E130" s="79">
        <f>IFERROR(VLOOKUP($G130,基本資料!$A:$J,7,0),"無")</f>
        <v>-20</v>
      </c>
      <c r="F130" s="6">
        <f>IFERROR(VLOOKUP($G130,基本資料!$A:$J,8,0),"無")</f>
        <v>14.05</v>
      </c>
      <c r="G130" s="80">
        <v>6806</v>
      </c>
      <c r="H130" s="5" t="s">
        <v>1960</v>
      </c>
      <c r="I130" s="22" t="s">
        <v>3511</v>
      </c>
      <c r="J130" s="8" t="str">
        <f>IFERROR(VLOOKUP($G130,今日總結!$A:$AJ,35,0),"")</f>
        <v/>
      </c>
      <c r="K130" s="5" t="str">
        <f>IFERROR(VLOOKUP($G130,今日總結!$A:$AJ,36,0),"")</f>
        <v/>
      </c>
      <c r="L130" s="156" t="str">
        <f>IFERROR(VLOOKUP($G130,今日總結!$A:$AJ,33,0),"")</f>
        <v/>
      </c>
      <c r="M130" s="340" t="str">
        <f>IFERROR(VLOOKUP($G130,今日總結!$A:$AJ,34,0),"")</f>
        <v/>
      </c>
      <c r="N130" s="240" t="str">
        <f t="shared" si="64"/>
        <v/>
      </c>
      <c r="P130" s="365" t="str">
        <f>IFERROR(VLOOKUP($G130,融外自投!$A:$J,7,0),"無")</f>
        <v>無</v>
      </c>
      <c r="Q130" s="79" t="str">
        <f>IFERROR(VLOOKUP($G130,融外自投!$A:$J,9,0),"無")</f>
        <v>無</v>
      </c>
      <c r="R130" s="346" t="str">
        <f>IFERROR(VLOOKUP($G130,融外自投!$A:$J,8,0),"無")</f>
        <v>無</v>
      </c>
      <c r="S130" s="81" t="str">
        <f>IFERROR(VLOOKUP($G130,融外自投!$A:$J,10,0),"無")</f>
        <v>無</v>
      </c>
      <c r="T130" s="327" t="str">
        <f>IFERROR(VLOOKUP($G130,'321買'!$A:$E,5,0),"'沒有資料'")</f>
        <v>'沒有資料'</v>
      </c>
      <c r="U130" s="186">
        <f>IFERROR(VLOOKUP($G130,基本資料!$A:$J,9,0),"無")</f>
        <v>2.68</v>
      </c>
      <c r="V130" s="310">
        <f t="shared" si="65"/>
        <v>2.7180527383367143E-2</v>
      </c>
      <c r="W130" s="94">
        <f>IFERROR(VLOOKUP($G130,基本資料!$A:$J,10,0),"無")</f>
        <v>3.78</v>
      </c>
      <c r="X130" s="36">
        <v>98.6</v>
      </c>
      <c r="Y130" s="66">
        <v>104.4</v>
      </c>
      <c r="Z130" s="15">
        <f t="shared" si="94"/>
        <v>-5.8000000000000114</v>
      </c>
      <c r="AA130" s="76">
        <f t="shared" si="95"/>
        <v>-5.5555555555555663E-2</v>
      </c>
      <c r="AB130" s="99" t="s">
        <v>3515</v>
      </c>
      <c r="AC130" s="397" t="str">
        <f>IFERROR(VLOOKUP($G130,基本資料!$A:$M,12,0),"無")</f>
        <v>無</v>
      </c>
      <c r="AD130" s="22" t="s">
        <v>3511</v>
      </c>
      <c r="AE130" s="84">
        <v>44515</v>
      </c>
      <c r="AF130" s="86">
        <v>44525</v>
      </c>
      <c r="AG130" s="33">
        <f t="shared" si="85"/>
        <v>10</v>
      </c>
      <c r="AH130" s="43" t="s">
        <v>3512</v>
      </c>
      <c r="AI130" s="288"/>
      <c r="AK130" s="245"/>
      <c r="AL130" s="245"/>
      <c r="AM130" s="285"/>
    </row>
    <row r="131" spans="1:39">
      <c r="A131" s="347">
        <f>IFERROR(VLOOKUP($G131,基本資料!$A:$J,3,0),"無")</f>
        <v>2.39</v>
      </c>
      <c r="B131" s="79">
        <f>IFERROR(VLOOKUP($G131,基本資料!$A:$J,4,0),"無")</f>
        <v>104</v>
      </c>
      <c r="C131" s="79">
        <f>IFERROR(VLOOKUP($G131,基本資料!$A:$J,5,0),"無")</f>
        <v>97</v>
      </c>
      <c r="D131" s="79">
        <f>IFERROR(VLOOKUP($G131,基本資料!$A:$J,6,0),"無")</f>
        <v>1</v>
      </c>
      <c r="E131" s="79">
        <f>IFERROR(VLOOKUP($G131,基本資料!$A:$J,7,0),"無")</f>
        <v>-1</v>
      </c>
      <c r="F131" s="6">
        <f>IFERROR(VLOOKUP($G131,基本資料!$A:$J,8,0),"無")</f>
        <v>12.86</v>
      </c>
      <c r="G131" s="79">
        <v>6761</v>
      </c>
      <c r="H131" s="8" t="s">
        <v>3389</v>
      </c>
      <c r="I131" s="16" t="s">
        <v>3506</v>
      </c>
      <c r="J131" s="8" t="str">
        <f>IFERROR(VLOOKUP($G131,今日總結!$A:$AJ,35,0),"")</f>
        <v/>
      </c>
      <c r="K131" s="5" t="str">
        <f>IFERROR(VLOOKUP($G131,今日總結!$A:$AJ,36,0),"")</f>
        <v/>
      </c>
      <c r="L131" s="156" t="str">
        <f>IFERROR(VLOOKUP($G131,今日總結!$A:$AJ,33,0),"")</f>
        <v/>
      </c>
      <c r="M131" s="340" t="str">
        <f>IFERROR(VLOOKUP($G131,今日總結!$A:$AJ,34,0),"")</f>
        <v/>
      </c>
      <c r="N131" s="240" t="str">
        <f t="shared" si="64"/>
        <v/>
      </c>
      <c r="P131" s="365" t="str">
        <f>IFERROR(VLOOKUP($G131,融外自投!$A:$J,7,0),"無")</f>
        <v>無</v>
      </c>
      <c r="Q131" s="79" t="str">
        <f>IFERROR(VLOOKUP($G131,融外自投!$A:$J,9,0),"無")</f>
        <v>無</v>
      </c>
      <c r="R131" s="346" t="str">
        <f>IFERROR(VLOOKUP($G131,融外自投!$A:$J,8,0),"無")</f>
        <v>無</v>
      </c>
      <c r="S131" s="81" t="str">
        <f>IFERROR(VLOOKUP($G131,融外自投!$A:$J,10,0),"無")</f>
        <v>無</v>
      </c>
      <c r="T131" s="327" t="str">
        <f>IFERROR(VLOOKUP($G131,'321買'!$A:$E,5,0),"'沒有資料'")</f>
        <v>'沒有資料'</v>
      </c>
      <c r="U131" s="186">
        <f>IFERROR(VLOOKUP($G131,基本資料!$A:$J,9,0),"無")</f>
        <v>5.8</v>
      </c>
      <c r="V131" s="310">
        <f t="shared" si="65"/>
        <v>2.8927680798004986E-2</v>
      </c>
      <c r="W131" s="94">
        <f>IFERROR(VLOOKUP($G131,基本資料!$A:$J,10,0),"無")</f>
        <v>8.5399999999999991</v>
      </c>
      <c r="X131" s="36">
        <v>200.5</v>
      </c>
      <c r="Y131" s="66">
        <v>68</v>
      </c>
      <c r="Z131" s="15">
        <f t="shared" si="94"/>
        <v>132.5</v>
      </c>
      <c r="AA131" s="148">
        <f t="shared" si="95"/>
        <v>1.9485294117647058</v>
      </c>
      <c r="AB131" s="99" t="s">
        <v>3514</v>
      </c>
      <c r="AC131" s="397" t="str">
        <f>IFERROR(VLOOKUP($G131,基本資料!$A:$M,12,0),"無")</f>
        <v>無</v>
      </c>
      <c r="AD131" s="16" t="s">
        <v>3506</v>
      </c>
      <c r="AE131" s="84">
        <v>44508</v>
      </c>
      <c r="AF131" s="86">
        <v>44518</v>
      </c>
      <c r="AG131" s="33">
        <f t="shared" si="85"/>
        <v>10</v>
      </c>
      <c r="AH131" s="43" t="s">
        <v>3507</v>
      </c>
      <c r="AI131" s="288"/>
      <c r="AK131" s="245"/>
      <c r="AL131" s="245"/>
      <c r="AM131" s="285"/>
    </row>
    <row r="132" spans="1:39">
      <c r="A132" s="347">
        <f>IFERROR(VLOOKUP($G132,基本資料!$A:$J,3,0),"無")</f>
        <v>162</v>
      </c>
      <c r="B132" s="79">
        <f>IFERROR(VLOOKUP($G132,基本資料!$A:$J,4,0),"無")</f>
        <v>78</v>
      </c>
      <c r="C132" s="79">
        <f>IFERROR(VLOOKUP($G132,基本資料!$A:$J,5,0),"無")</f>
        <v>82</v>
      </c>
      <c r="D132" s="79">
        <f>IFERROR(VLOOKUP($G132,基本資料!$A:$J,6,0),"無")</f>
        <v>-35</v>
      </c>
      <c r="E132" s="79">
        <f>IFERROR(VLOOKUP($G132,基本資料!$A:$J,7,0),"無")</f>
        <v>5</v>
      </c>
      <c r="F132" s="6">
        <f>IFERROR(VLOOKUP($G132,基本資料!$A:$J,8,0),"無")</f>
        <v>-5.74</v>
      </c>
      <c r="G132" s="79">
        <v>3576</v>
      </c>
      <c r="H132" s="8" t="s">
        <v>306</v>
      </c>
      <c r="I132" s="22" t="s">
        <v>1069</v>
      </c>
      <c r="J132" s="8" t="str">
        <f>IFERROR(VLOOKUP($G132,今日總結!$A:$AJ,35,0),"")</f>
        <v/>
      </c>
      <c r="K132" s="5" t="str">
        <f>IFERROR(VLOOKUP($G132,今日總結!$A:$AJ,36,0),"")</f>
        <v/>
      </c>
      <c r="L132" s="156" t="str">
        <f>IFERROR(VLOOKUP($G132,今日總結!$A:$AJ,33,0),"")</f>
        <v/>
      </c>
      <c r="M132" s="340" t="str">
        <f>IFERROR(VLOOKUP($G132,今日總結!$A:$AJ,34,0),"")</f>
        <v/>
      </c>
      <c r="N132" s="240" t="str">
        <f t="shared" si="64"/>
        <v/>
      </c>
      <c r="P132" s="365" t="str">
        <f>IFERROR(VLOOKUP($G132,融外自投!$A:$J,7,0),"無")</f>
        <v>無</v>
      </c>
      <c r="Q132" s="79" t="str">
        <f>IFERROR(VLOOKUP($G132,融外自投!$A:$J,9,0),"無")</f>
        <v>無</v>
      </c>
      <c r="R132" s="346" t="str">
        <f>IFERROR(VLOOKUP($G132,融外自投!$A:$J,8,0),"無")</f>
        <v>無</v>
      </c>
      <c r="S132" s="81" t="str">
        <f>IFERROR(VLOOKUP($G132,融外自投!$A:$J,10,0),"無")</f>
        <v>無</v>
      </c>
      <c r="T132" s="327" t="str">
        <f>IFERROR(VLOOKUP($G132,'321買'!$A:$E,5,0),"'沒有資料'")</f>
        <v>'沒有資料'</v>
      </c>
      <c r="U132" s="186">
        <f>IFERROR(VLOOKUP($G132,基本資料!$A:$J,9,0),"無")</f>
        <v>0</v>
      </c>
      <c r="V132" s="310">
        <f t="shared" si="65"/>
        <v>0</v>
      </c>
      <c r="W132" s="94">
        <f>IFERROR(VLOOKUP($G132,基本資料!$A:$J,10,0),"無")</f>
        <v>-0.84</v>
      </c>
      <c r="X132" s="36">
        <v>22.55</v>
      </c>
      <c r="Y132" s="66">
        <v>16.600000000000001</v>
      </c>
      <c r="Z132" s="15">
        <f t="shared" si="94"/>
        <v>5.9499999999999993</v>
      </c>
      <c r="AA132" s="63">
        <f t="shared" si="95"/>
        <v>0.35843373493975894</v>
      </c>
      <c r="AB132" s="99" t="s">
        <v>3510</v>
      </c>
      <c r="AC132" s="397">
        <f>IFERROR(VLOOKUP($G132,基本資料!$A:$M,12,0),"無")</f>
        <v>26.77</v>
      </c>
      <c r="AD132" s="22" t="s">
        <v>1069</v>
      </c>
      <c r="AE132" s="84">
        <v>44504</v>
      </c>
      <c r="AF132" s="86">
        <v>44515</v>
      </c>
      <c r="AG132" s="33">
        <f t="shared" si="85"/>
        <v>11</v>
      </c>
      <c r="AH132" s="117" t="s">
        <v>1953</v>
      </c>
      <c r="AI132" s="288"/>
      <c r="AK132" s="245"/>
      <c r="AL132" s="245"/>
      <c r="AM132" s="285"/>
    </row>
    <row r="133" spans="1:39">
      <c r="A133" s="347">
        <f>IFERROR(VLOOKUP($G133,基本資料!$A:$J,3,0),"無")</f>
        <v>3.18</v>
      </c>
      <c r="B133" s="79">
        <f>IFERROR(VLOOKUP($G133,基本資料!$A:$J,4,0),"無")</f>
        <v>84</v>
      </c>
      <c r="C133" s="79">
        <f>IFERROR(VLOOKUP($G133,基本資料!$A:$J,5,0),"無")</f>
        <v>65</v>
      </c>
      <c r="D133" s="79">
        <f>IFERROR(VLOOKUP($G133,基本資料!$A:$J,6,0),"無")</f>
        <v>9</v>
      </c>
      <c r="E133" s="79">
        <f>IFERROR(VLOOKUP($G133,基本資料!$A:$J,7,0),"無")</f>
        <v>-23</v>
      </c>
      <c r="F133" s="6">
        <f>IFERROR(VLOOKUP($G133,基本資料!$A:$J,8,0),"無")</f>
        <v>30.78</v>
      </c>
      <c r="G133" s="79">
        <v>6457</v>
      </c>
      <c r="H133" s="145" t="s">
        <v>3039</v>
      </c>
      <c r="I133" s="16" t="s">
        <v>379</v>
      </c>
      <c r="J133" s="8" t="str">
        <f>IFERROR(VLOOKUP($G133,今日總結!$A:$AJ,35,0),"")</f>
        <v/>
      </c>
      <c r="K133" s="5" t="str">
        <f>IFERROR(VLOOKUP($G133,今日總結!$A:$AJ,36,0),"")</f>
        <v/>
      </c>
      <c r="L133" s="156" t="str">
        <f>IFERROR(VLOOKUP($G133,今日總結!$A:$AJ,33,0),"")</f>
        <v/>
      </c>
      <c r="M133" s="340" t="str">
        <f>IFERROR(VLOOKUP($G133,今日總結!$A:$AJ,34,0),"")</f>
        <v/>
      </c>
      <c r="N133" s="240" t="str">
        <f t="shared" ref="N133:N196" si="96">IFERROR(L133-M133,"")</f>
        <v/>
      </c>
      <c r="P133" s="365">
        <f>IFERROR(VLOOKUP($G133,融外自投!$A:$J,7,0),"無")</f>
        <v>677</v>
      </c>
      <c r="Q133" s="79">
        <f>IFERROR(VLOOKUP($G133,融外自投!$A:$J,9,0),"無")</f>
        <v>762</v>
      </c>
      <c r="R133" s="346">
        <f>IFERROR(VLOOKUP($G133,融外自投!$A:$J,8,0),"無")</f>
        <v>813</v>
      </c>
      <c r="S133" s="81" t="str">
        <f>IFERROR(VLOOKUP($G133,融外自投!$A:$J,10,0),"無")</f>
        <v>無</v>
      </c>
      <c r="T133" s="327">
        <f>IFERROR(VLOOKUP($G133,'321買'!$A:$E,5,0),"'沒有資料'")</f>
        <v>207</v>
      </c>
      <c r="U133" s="186">
        <f>IFERROR(VLOOKUP($G133,基本資料!$A:$J,9,0),"無")</f>
        <v>10.89</v>
      </c>
      <c r="V133" s="310">
        <f t="shared" si="65"/>
        <v>6.100840336134454E-2</v>
      </c>
      <c r="W133" s="94">
        <f>IFERROR(VLOOKUP($G133,基本資料!$A:$J,10,0),"無")</f>
        <v>12.71</v>
      </c>
      <c r="X133" s="36">
        <v>178.5</v>
      </c>
      <c r="Y133" s="66">
        <v>125</v>
      </c>
      <c r="Z133" s="15">
        <f t="shared" si="94"/>
        <v>53.5</v>
      </c>
      <c r="AA133" s="63">
        <f t="shared" si="95"/>
        <v>0.42799999999999999</v>
      </c>
      <c r="AB133" s="99" t="s">
        <v>3280</v>
      </c>
      <c r="AC133" s="397">
        <f>IFERROR(VLOOKUP($G133,基本資料!$A:$M,12,0),"無")</f>
        <v>8.07</v>
      </c>
      <c r="AD133" s="16" t="s">
        <v>379</v>
      </c>
      <c r="AE133" s="84">
        <v>44501</v>
      </c>
      <c r="AF133" s="86">
        <v>44511</v>
      </c>
      <c r="AG133" s="33">
        <f t="shared" si="85"/>
        <v>10</v>
      </c>
      <c r="AH133" s="43" t="s">
        <v>2364</v>
      </c>
      <c r="AI133" s="288"/>
      <c r="AK133" s="245"/>
      <c r="AL133" s="245"/>
      <c r="AM133" s="285"/>
    </row>
    <row r="134" spans="1:39">
      <c r="A134" s="347">
        <f>IFERROR(VLOOKUP($G134,基本資料!$A:$J,3,0),"無")</f>
        <v>16.63</v>
      </c>
      <c r="B134" s="79">
        <f>IFERROR(VLOOKUP($G134,基本資料!$A:$J,4,0),"無")</f>
        <v>1744</v>
      </c>
      <c r="C134" s="79">
        <f>IFERROR(VLOOKUP($G134,基本資料!$A:$J,5,0),"無")</f>
        <v>762</v>
      </c>
      <c r="D134" s="79">
        <f>IFERROR(VLOOKUP($G134,基本資料!$A:$J,6,0),"無")</f>
        <v>7</v>
      </c>
      <c r="E134" s="79">
        <f>IFERROR(VLOOKUP($G134,基本資料!$A:$J,7,0),"無")</f>
        <v>40</v>
      </c>
      <c r="F134" s="6">
        <f>IFERROR(VLOOKUP($G134,基本資料!$A:$J,8,0),"無")</f>
        <v>6.72</v>
      </c>
      <c r="G134" s="79">
        <v>2069</v>
      </c>
      <c r="H134" s="5" t="s">
        <v>299</v>
      </c>
      <c r="I134" s="22" t="s">
        <v>3963</v>
      </c>
      <c r="J134" s="8" t="str">
        <f>IFERROR(VLOOKUP($G134,今日總結!$A:$AJ,35,0),"")</f>
        <v/>
      </c>
      <c r="K134" s="5" t="str">
        <f>IFERROR(VLOOKUP($G134,今日總結!$A:$AJ,36,0),"")</f>
        <v/>
      </c>
      <c r="L134" s="156" t="str">
        <f>IFERROR(VLOOKUP($G134,今日總結!$A:$AJ,33,0),"")</f>
        <v/>
      </c>
      <c r="M134" s="340" t="str">
        <f>IFERROR(VLOOKUP($G134,今日總結!$A:$AJ,34,0),"")</f>
        <v/>
      </c>
      <c r="N134" s="240" t="str">
        <f t="shared" si="96"/>
        <v/>
      </c>
      <c r="P134" s="365">
        <f>IFERROR(VLOOKUP($G134,融外自投!$A:$J,7,0),"無")</f>
        <v>302</v>
      </c>
      <c r="Q134" s="79">
        <f>IFERROR(VLOOKUP($G134,融外自投!$A:$J,9,0),"無")</f>
        <v>614</v>
      </c>
      <c r="R134" s="346">
        <f>IFERROR(VLOOKUP($G134,融外自投!$A:$J,8,0),"無")</f>
        <v>1202</v>
      </c>
      <c r="S134" s="81" t="str">
        <f>IFERROR(VLOOKUP($G134,融外自投!$A:$J,10,0),"無")</f>
        <v>無</v>
      </c>
      <c r="T134" s="327">
        <f>IFERROR(VLOOKUP($G134,'321買'!$A:$E,5,0),"'沒有資料'")</f>
        <v>634</v>
      </c>
      <c r="U134" s="186">
        <f>IFERROR(VLOOKUP($G134,基本資料!$A:$J,9,0),"無")</f>
        <v>2.2000000000000002</v>
      </c>
      <c r="V134" s="310">
        <f t="shared" ref="V134:V197" si="97">$U134/$X134</f>
        <v>6.2857142857142861E-2</v>
      </c>
      <c r="W134" s="94">
        <f>IFERROR(VLOOKUP($G134,基本資料!$A:$J,10,0),"無")</f>
        <v>4.7300000000000004</v>
      </c>
      <c r="X134" s="36">
        <v>35</v>
      </c>
      <c r="Y134" s="45">
        <v>28</v>
      </c>
      <c r="Z134" s="15">
        <f t="shared" si="94"/>
        <v>7</v>
      </c>
      <c r="AA134" s="63">
        <f t="shared" si="95"/>
        <v>0.25</v>
      </c>
      <c r="AB134" s="99" t="s">
        <v>3508</v>
      </c>
      <c r="AC134" s="397">
        <f>IFERROR(VLOOKUP($G134,基本資料!$A:$M,12,0),"無")</f>
        <v>18.93</v>
      </c>
      <c r="AD134" s="22" t="s">
        <v>851</v>
      </c>
      <c r="AE134" s="84">
        <v>44501</v>
      </c>
      <c r="AF134" s="86">
        <v>44511</v>
      </c>
      <c r="AG134" s="33">
        <f t="shared" si="85"/>
        <v>10</v>
      </c>
      <c r="AH134" s="43" t="s">
        <v>2000</v>
      </c>
      <c r="AI134" s="288"/>
      <c r="AK134" s="245"/>
      <c r="AL134" s="245"/>
      <c r="AM134" s="285"/>
    </row>
    <row r="135" spans="1:39">
      <c r="A135" s="347">
        <f>IFERROR(VLOOKUP($G135,基本資料!$A:$J,3,0),"無")</f>
        <v>1180</v>
      </c>
      <c r="B135" s="79">
        <f>IFERROR(VLOOKUP($G135,基本資料!$A:$J,4,0),"無")</f>
        <v>61</v>
      </c>
      <c r="C135" s="79">
        <f>IFERROR(VLOOKUP($G135,基本資料!$A:$J,5,0),"無")</f>
        <v>0</v>
      </c>
      <c r="D135" s="79">
        <f>IFERROR(VLOOKUP($G135,基本資料!$A:$J,6,0),"無")</f>
        <v>14</v>
      </c>
      <c r="E135" s="79">
        <f>IFERROR(VLOOKUP($G135,基本資料!$A:$J,7,0),"無")</f>
        <v>-16</v>
      </c>
      <c r="F135" s="6">
        <f>IFERROR(VLOOKUP($G135,基本資料!$A:$J,8,0),"無")</f>
        <v>0</v>
      </c>
      <c r="G135" s="80">
        <v>2881</v>
      </c>
      <c r="H135" s="18" t="s">
        <v>304</v>
      </c>
      <c r="I135" s="22" t="s">
        <v>6132</v>
      </c>
      <c r="J135" s="8" t="str">
        <f>IFERROR(VLOOKUP($G135,今日總結!$A:$AJ,35,0),"")</f>
        <v>投</v>
      </c>
      <c r="K135" s="5">
        <f>IFERROR(VLOOKUP($G135,今日總結!$A:$AJ,36,0),"")</f>
        <v>0</v>
      </c>
      <c r="L135" s="156">
        <f>IFERROR(VLOOKUP($G135,今日總結!$A:$AJ,33,0),"")</f>
        <v>1</v>
      </c>
      <c r="M135" s="340">
        <f>IFERROR(VLOOKUP($G135,今日總結!$A:$AJ,34,0),"")</f>
        <v>0</v>
      </c>
      <c r="N135" s="240">
        <f t="shared" si="96"/>
        <v>1</v>
      </c>
      <c r="P135" s="365">
        <f>IFERROR(VLOOKUP($G135,融外自投!$A:$J,7,0),"無")</f>
        <v>1292</v>
      </c>
      <c r="Q135" s="79">
        <f>IFERROR(VLOOKUP($G135,融外自投!$A:$J,9,0),"無")</f>
        <v>485</v>
      </c>
      <c r="R135" s="346">
        <f>IFERROR(VLOOKUP($G135,融外自投!$A:$J,8,0),"無")</f>
        <v>278</v>
      </c>
      <c r="S135" s="81">
        <f>IFERROR(VLOOKUP($G135,融外自投!$A:$J,10,0),"無")</f>
        <v>184</v>
      </c>
      <c r="T135" s="327">
        <f>IFERROR(VLOOKUP($G135,'321買'!$A:$E,5,0),"'沒有資料'")</f>
        <v>117</v>
      </c>
      <c r="U135" s="186">
        <f>IFERROR(VLOOKUP($G135,基本資料!$A:$J,9,0),"無")</f>
        <v>4</v>
      </c>
      <c r="V135" s="310">
        <f t="shared" si="97"/>
        <v>5.4347826086956527E-2</v>
      </c>
      <c r="W135" s="94">
        <f>IFERROR(VLOOKUP($G135,基本資料!$A:$J,10,0),"無")</f>
        <v>12.49</v>
      </c>
      <c r="X135" s="36">
        <v>73.599999999999994</v>
      </c>
      <c r="Y135" s="65">
        <v>58.9</v>
      </c>
      <c r="Z135" s="15">
        <f t="shared" si="94"/>
        <v>14.699999999999996</v>
      </c>
      <c r="AA135" s="63">
        <f t="shared" si="95"/>
        <v>0.24957555178268245</v>
      </c>
      <c r="AB135" s="99" t="s">
        <v>3500</v>
      </c>
      <c r="AC135" s="397">
        <f>IFERROR(VLOOKUP($G135,基本資料!$A:$M,12,0),"無")</f>
        <v>32.39</v>
      </c>
      <c r="AD135" s="22" t="s">
        <v>68</v>
      </c>
      <c r="AE135" s="84">
        <v>44498</v>
      </c>
      <c r="AF135" s="86">
        <v>44508</v>
      </c>
      <c r="AG135" s="33">
        <f t="shared" si="85"/>
        <v>10</v>
      </c>
      <c r="AH135" s="43" t="s">
        <v>2599</v>
      </c>
      <c r="AI135" s="288"/>
      <c r="AK135" s="245"/>
      <c r="AL135" s="245"/>
      <c r="AM135" s="285"/>
    </row>
    <row r="136" spans="1:39">
      <c r="A136" s="347">
        <f>IFERROR(VLOOKUP($G136,基本資料!$A:$J,3,0),"無")</f>
        <v>16.11</v>
      </c>
      <c r="B136" s="79">
        <f>IFERROR(VLOOKUP($G136,基本資料!$A:$J,4,0),"無")</f>
        <v>52</v>
      </c>
      <c r="C136" s="79">
        <f>IFERROR(VLOOKUP($G136,基本資料!$A:$J,5,0),"無")</f>
        <v>46</v>
      </c>
      <c r="D136" s="79">
        <f>IFERROR(VLOOKUP($G136,基本資料!$A:$J,6,0),"無")</f>
        <v>7</v>
      </c>
      <c r="E136" s="79">
        <f>IFERROR(VLOOKUP($G136,基本資料!$A:$J,7,0),"無")</f>
        <v>49</v>
      </c>
      <c r="F136" s="6">
        <f>IFERROR(VLOOKUP($G136,基本資料!$A:$J,8,0),"無")</f>
        <v>4.7699999999999996</v>
      </c>
      <c r="G136" s="79">
        <v>6190</v>
      </c>
      <c r="H136" s="5" t="s">
        <v>311</v>
      </c>
      <c r="I136" s="16" t="s">
        <v>517</v>
      </c>
      <c r="J136" s="8" t="str">
        <f>IFERROR(VLOOKUP($G136,今日總結!$A:$AJ,35,0),"")</f>
        <v/>
      </c>
      <c r="K136" s="5" t="str">
        <f>IFERROR(VLOOKUP($G136,今日總結!$A:$AJ,36,0),"")</f>
        <v/>
      </c>
      <c r="L136" s="156" t="str">
        <f>IFERROR(VLOOKUP($G136,今日總結!$A:$AJ,33,0),"")</f>
        <v/>
      </c>
      <c r="M136" s="340" t="str">
        <f>IFERROR(VLOOKUP($G136,今日總結!$A:$AJ,34,0),"")</f>
        <v/>
      </c>
      <c r="N136" s="240" t="str">
        <f t="shared" si="96"/>
        <v/>
      </c>
      <c r="P136" s="365">
        <f>IFERROR(VLOOKUP($G136,融外自投!$A:$J,7,0),"無")</f>
        <v>161</v>
      </c>
      <c r="Q136" s="79">
        <f>IFERROR(VLOOKUP($G136,融外自投!$A:$J,9,0),"無")</f>
        <v>852</v>
      </c>
      <c r="R136" s="346">
        <f>IFERROR(VLOOKUP($G136,融外自投!$A:$J,8,0),"無")</f>
        <v>1224</v>
      </c>
      <c r="S136" s="81" t="str">
        <f>IFERROR(VLOOKUP($G136,融外自投!$A:$J,10,0),"無")</f>
        <v>無</v>
      </c>
      <c r="T136" s="327">
        <f>IFERROR(VLOOKUP($G136,'321買'!$A:$E,5,0),"'沒有資料'")</f>
        <v>430</v>
      </c>
      <c r="U136" s="186">
        <f>IFERROR(VLOOKUP($G136,基本資料!$A:$J,9,0),"無")</f>
        <v>1.4</v>
      </c>
      <c r="V136" s="310">
        <f t="shared" si="97"/>
        <v>5.1094890510948905E-2</v>
      </c>
      <c r="W136" s="94">
        <f>IFERROR(VLOOKUP($G136,基本資料!$A:$J,10,0),"無")</f>
        <v>1.68</v>
      </c>
      <c r="X136" s="36">
        <v>27.4</v>
      </c>
      <c r="Y136" s="66">
        <v>20.8</v>
      </c>
      <c r="Z136" s="15">
        <f t="shared" si="94"/>
        <v>6.5999999999999979</v>
      </c>
      <c r="AA136" s="63">
        <f t="shared" si="95"/>
        <v>0.31730769230769218</v>
      </c>
      <c r="AB136" s="99" t="s">
        <v>3502</v>
      </c>
      <c r="AC136" s="397">
        <f>IFERROR(VLOOKUP($G136,基本資料!$A:$M,12,0),"無")</f>
        <v>42.94</v>
      </c>
      <c r="AD136" s="16" t="s">
        <v>517</v>
      </c>
      <c r="AE136" s="84">
        <v>44496</v>
      </c>
      <c r="AF136" s="86">
        <v>44508</v>
      </c>
      <c r="AG136" s="33">
        <f t="shared" si="85"/>
        <v>12</v>
      </c>
      <c r="AH136" s="43" t="s">
        <v>2939</v>
      </c>
      <c r="AI136" s="288"/>
      <c r="AK136" s="245"/>
      <c r="AL136" s="245"/>
      <c r="AM136" s="285"/>
    </row>
    <row r="137" spans="1:39">
      <c r="A137" s="347">
        <f>IFERROR(VLOOKUP($G137,基本資料!$A:$J,3,0),"無")</f>
        <v>21.64</v>
      </c>
      <c r="B137" s="79">
        <f>IFERROR(VLOOKUP($G137,基本資料!$A:$J,4,0),"無")</f>
        <v>-2</v>
      </c>
      <c r="C137" s="79">
        <f>IFERROR(VLOOKUP($G137,基本資料!$A:$J,5,0),"無")</f>
        <v>-3</v>
      </c>
      <c r="D137" s="79">
        <f>IFERROR(VLOOKUP($G137,基本資料!$A:$J,6,0),"無")</f>
        <v>-3</v>
      </c>
      <c r="E137" s="79">
        <f>IFERROR(VLOOKUP($G137,基本資料!$A:$J,7,0),"無")</f>
        <v>-25</v>
      </c>
      <c r="F137" s="6">
        <f>IFERROR(VLOOKUP($G137,基本資料!$A:$J,8,0),"無")</f>
        <v>3.04</v>
      </c>
      <c r="G137" s="79">
        <v>2439</v>
      </c>
      <c r="H137" s="195" t="s">
        <v>311</v>
      </c>
      <c r="I137" s="22" t="s">
        <v>4328</v>
      </c>
      <c r="J137" s="8" t="str">
        <f>IFERROR(VLOOKUP($G137,今日總結!$A:$AJ,35,0),"")</f>
        <v/>
      </c>
      <c r="K137" s="5" t="str">
        <f>IFERROR(VLOOKUP($G137,今日總結!$A:$AJ,36,0),"")</f>
        <v/>
      </c>
      <c r="L137" s="156" t="str">
        <f>IFERROR(VLOOKUP($G137,今日總結!$A:$AJ,33,0),"")</f>
        <v/>
      </c>
      <c r="M137" s="340" t="str">
        <f>IFERROR(VLOOKUP($G137,今日總結!$A:$AJ,34,0),"")</f>
        <v/>
      </c>
      <c r="N137" s="240" t="str">
        <f t="shared" si="96"/>
        <v/>
      </c>
      <c r="P137" s="365">
        <f>IFERROR(VLOOKUP($G137,融外自投!$A:$J,7,0),"無")</f>
        <v>550</v>
      </c>
      <c r="Q137" s="79">
        <f>IFERROR(VLOOKUP($G137,融外自投!$A:$J,9,0),"無")</f>
        <v>17</v>
      </c>
      <c r="R137" s="346">
        <f>IFERROR(VLOOKUP($G137,融外自投!$A:$J,8,0),"無")</f>
        <v>481</v>
      </c>
      <c r="S137" s="81">
        <f>IFERROR(VLOOKUP($G137,融外自投!$A:$J,10,0),"無")</f>
        <v>491</v>
      </c>
      <c r="T137" s="327">
        <f>IFERROR(VLOOKUP($G137,'321買'!$A:$E,5,0),"'沒有資料'")</f>
        <v>634</v>
      </c>
      <c r="U137" s="186">
        <f>IFERROR(VLOOKUP($G137,基本資料!$A:$J,9,0),"無")</f>
        <v>4</v>
      </c>
      <c r="V137" s="310">
        <f t="shared" si="97"/>
        <v>4.3243243243243246E-2</v>
      </c>
      <c r="W137" s="94">
        <f>IFERROR(VLOOKUP($G137,基本資料!$A:$J,10,0),"無")</f>
        <v>5.4</v>
      </c>
      <c r="X137" s="36">
        <v>92.5</v>
      </c>
      <c r="Y137" s="66">
        <v>72</v>
      </c>
      <c r="Z137" s="15">
        <f t="shared" si="94"/>
        <v>20.5</v>
      </c>
      <c r="AA137" s="63">
        <f t="shared" si="95"/>
        <v>0.28472222222222221</v>
      </c>
      <c r="AB137" s="99" t="s">
        <v>3503</v>
      </c>
      <c r="AC137" s="397">
        <f>IFERROR(VLOOKUP($G137,基本資料!$A:$M,12,0),"無")</f>
        <v>33.200000000000003</v>
      </c>
      <c r="AD137" s="22" t="s">
        <v>211</v>
      </c>
      <c r="AE137" s="84">
        <v>44496</v>
      </c>
      <c r="AF137" s="86">
        <v>44508</v>
      </c>
      <c r="AG137" s="33">
        <f t="shared" si="85"/>
        <v>12</v>
      </c>
      <c r="AH137" s="117" t="s">
        <v>2375</v>
      </c>
      <c r="AI137" s="288"/>
      <c r="AK137" s="245"/>
      <c r="AL137" s="245"/>
      <c r="AM137" s="285"/>
    </row>
    <row r="138" spans="1:39">
      <c r="A138" s="347">
        <f>IFERROR(VLOOKUP($G138,基本資料!$A:$J,3,0),"無")</f>
        <v>200</v>
      </c>
      <c r="B138" s="79">
        <f>IFERROR(VLOOKUP($G138,基本資料!$A:$J,4,0),"無")</f>
        <v>11496</v>
      </c>
      <c r="C138" s="79">
        <f>IFERROR(VLOOKUP($G138,基本資料!$A:$J,5,0),"無")</f>
        <v>938</v>
      </c>
      <c r="D138" s="79">
        <f>IFERROR(VLOOKUP($G138,基本資料!$A:$J,6,0),"無")</f>
        <v>-6</v>
      </c>
      <c r="E138" s="79">
        <f>IFERROR(VLOOKUP($G138,基本資料!$A:$J,7,0),"無")</f>
        <v>33</v>
      </c>
      <c r="F138" s="6">
        <f>IFERROR(VLOOKUP($G138,基本資料!$A:$J,8,0),"無")</f>
        <v>19.55</v>
      </c>
      <c r="G138" s="79">
        <v>2027</v>
      </c>
      <c r="H138" s="5" t="s">
        <v>299</v>
      </c>
      <c r="I138" s="22" t="s">
        <v>3942</v>
      </c>
      <c r="J138" s="8">
        <f>IFERROR(VLOOKUP($G138,今日總結!$A:$AJ,35,0),"")</f>
        <v>0</v>
      </c>
      <c r="K138" s="5" t="str">
        <f>IFERROR(VLOOKUP($G138,今日總結!$A:$AJ,36,0),"")</f>
        <v>借</v>
      </c>
      <c r="L138" s="156">
        <f>IFERROR(VLOOKUP($G138,今日總結!$A:$AJ,33,0),"")</f>
        <v>0</v>
      </c>
      <c r="M138" s="340">
        <f>IFERROR(VLOOKUP($G138,今日總結!$A:$AJ,34,0),"")</f>
        <v>1</v>
      </c>
      <c r="N138" s="240">
        <f t="shared" si="96"/>
        <v>-1</v>
      </c>
      <c r="P138" s="365">
        <f>IFERROR(VLOOKUP($G138,融外自投!$A:$J,7,0),"無")</f>
        <v>442</v>
      </c>
      <c r="Q138" s="79">
        <f>IFERROR(VLOOKUP($G138,融外自投!$A:$J,9,0),"無")</f>
        <v>55</v>
      </c>
      <c r="R138" s="346">
        <f>IFERROR(VLOOKUP($G138,融外自投!$A:$J,8,0),"無")</f>
        <v>351</v>
      </c>
      <c r="S138" s="81">
        <f>IFERROR(VLOOKUP($G138,融外自投!$A:$J,10,0),"無")</f>
        <v>227</v>
      </c>
      <c r="T138" s="327">
        <f>IFERROR(VLOOKUP($G138,'321買'!$A:$E,5,0),"'沒有資料'")</f>
        <v>392</v>
      </c>
      <c r="U138" s="186">
        <f>IFERROR(VLOOKUP($G138,基本資料!$A:$J,9,0),"無")</f>
        <v>1.9</v>
      </c>
      <c r="V138" s="310">
        <f t="shared" si="97"/>
        <v>4.0992448759439047E-2</v>
      </c>
      <c r="W138" s="94">
        <f>IFERROR(VLOOKUP($G138,基本資料!$A:$J,10,0),"無")</f>
        <v>5.76</v>
      </c>
      <c r="X138" s="36">
        <v>46.35</v>
      </c>
      <c r="Y138" s="66">
        <v>43</v>
      </c>
      <c r="Z138" s="15">
        <f t="shared" si="94"/>
        <v>3.3500000000000014</v>
      </c>
      <c r="AA138" s="63">
        <f t="shared" si="95"/>
        <v>7.7906976744186077E-2</v>
      </c>
      <c r="AB138" s="99" t="s">
        <v>2960</v>
      </c>
      <c r="AC138" s="397">
        <f>IFERROR(VLOOKUP($G138,基本資料!$A:$M,12,0),"無")</f>
        <v>18.36</v>
      </c>
      <c r="AD138" s="22" t="s">
        <v>280</v>
      </c>
      <c r="AE138" s="84">
        <v>44496</v>
      </c>
      <c r="AF138" s="86">
        <v>44508</v>
      </c>
      <c r="AG138" s="33">
        <f t="shared" si="85"/>
        <v>12</v>
      </c>
      <c r="AH138" s="117" t="s">
        <v>3261</v>
      </c>
      <c r="AI138" s="288"/>
      <c r="AK138" s="245"/>
      <c r="AL138" s="245"/>
      <c r="AM138" s="285"/>
    </row>
    <row r="139" spans="1:39">
      <c r="A139" s="347">
        <f>IFERROR(VLOOKUP($G139,基本資料!$A:$J,3,0),"無")</f>
        <v>6.78</v>
      </c>
      <c r="B139" s="79">
        <f>IFERROR(VLOOKUP($G139,基本資料!$A:$J,4,0),"無")</f>
        <v>50</v>
      </c>
      <c r="C139" s="79">
        <f>IFERROR(VLOOKUP($G139,基本資料!$A:$J,5,0),"無")</f>
        <v>51</v>
      </c>
      <c r="D139" s="79">
        <f>IFERROR(VLOOKUP($G139,基本資料!$A:$J,6,0),"無")</f>
        <v>36</v>
      </c>
      <c r="E139" s="79">
        <f>IFERROR(VLOOKUP($G139,基本資料!$A:$J,7,0),"無")</f>
        <v>4</v>
      </c>
      <c r="F139" s="6">
        <f>IFERROR(VLOOKUP($G139,基本資料!$A:$J,8,0),"無")</f>
        <v>34.07</v>
      </c>
      <c r="G139" s="79">
        <v>5222</v>
      </c>
      <c r="H139" s="8" t="s">
        <v>3039</v>
      </c>
      <c r="I139" s="22" t="s">
        <v>3489</v>
      </c>
      <c r="J139" s="8" t="str">
        <f>IFERROR(VLOOKUP($G139,今日總結!$A:$AJ,35,0),"")</f>
        <v/>
      </c>
      <c r="K139" s="5" t="str">
        <f>IFERROR(VLOOKUP($G139,今日總結!$A:$AJ,36,0),"")</f>
        <v/>
      </c>
      <c r="L139" s="156" t="str">
        <f>IFERROR(VLOOKUP($G139,今日總結!$A:$AJ,33,0),"")</f>
        <v/>
      </c>
      <c r="M139" s="340" t="str">
        <f>IFERROR(VLOOKUP($G139,今日總結!$A:$AJ,34,0),"")</f>
        <v/>
      </c>
      <c r="N139" s="240" t="str">
        <f t="shared" si="96"/>
        <v/>
      </c>
      <c r="P139" s="365">
        <f>IFERROR(VLOOKUP($G139,融外自投!$A:$J,7,0),"無")</f>
        <v>1448</v>
      </c>
      <c r="Q139" s="79">
        <f>IFERROR(VLOOKUP($G139,融外自投!$A:$J,9,0),"無")</f>
        <v>67</v>
      </c>
      <c r="R139" s="346">
        <f>IFERROR(VLOOKUP($G139,融外自投!$A:$J,8,0),"無")</f>
        <v>901</v>
      </c>
      <c r="S139" s="81">
        <f>IFERROR(VLOOKUP($G139,融外自投!$A:$J,10,0),"無")</f>
        <v>437</v>
      </c>
      <c r="T139" s="327">
        <f>IFERROR(VLOOKUP($G139,'321買'!$A:$E,5,0),"'沒有資料'")</f>
        <v>894</v>
      </c>
      <c r="U139" s="186">
        <f>IFERROR(VLOOKUP($G139,基本資料!$A:$J,9,0),"無")</f>
        <v>3.5</v>
      </c>
      <c r="V139" s="310">
        <f t="shared" si="97"/>
        <v>1.7412935323383085E-2</v>
      </c>
      <c r="W139" s="94">
        <f>IFERROR(VLOOKUP($G139,基本資料!$A:$J,10,0),"無")</f>
        <v>4.04</v>
      </c>
      <c r="X139" s="36">
        <v>201</v>
      </c>
      <c r="Y139" s="66">
        <v>104.49</v>
      </c>
      <c r="Z139" s="15">
        <f t="shared" si="94"/>
        <v>96.51</v>
      </c>
      <c r="AA139" s="63">
        <f t="shared" si="95"/>
        <v>0.92362905541200124</v>
      </c>
      <c r="AB139" s="99" t="s">
        <v>3504</v>
      </c>
      <c r="AC139" s="397" t="str">
        <f>IFERROR(VLOOKUP($G139,基本資料!$A:$M,12,0),"無")</f>
        <v>無</v>
      </c>
      <c r="AD139" s="22" t="s">
        <v>3489</v>
      </c>
      <c r="AE139" s="84">
        <v>44494</v>
      </c>
      <c r="AF139" s="86">
        <v>44504</v>
      </c>
      <c r="AG139" s="33">
        <f t="shared" si="85"/>
        <v>10</v>
      </c>
      <c r="AH139" s="43" t="s">
        <v>3491</v>
      </c>
      <c r="AI139" s="288"/>
      <c r="AK139" s="245"/>
      <c r="AL139" s="245"/>
      <c r="AM139" s="285"/>
    </row>
    <row r="140" spans="1:39">
      <c r="A140" s="347">
        <f>IFERROR(VLOOKUP($G140,基本資料!$A:$J,3,0),"無")</f>
        <v>6.75</v>
      </c>
      <c r="B140" s="79">
        <f>IFERROR(VLOOKUP($G140,基本資料!$A:$J,4,0),"無")</f>
        <v>152</v>
      </c>
      <c r="C140" s="79">
        <f>IFERROR(VLOOKUP($G140,基本資料!$A:$J,5,0),"無")</f>
        <v>133</v>
      </c>
      <c r="D140" s="79">
        <f>IFERROR(VLOOKUP($G140,基本資料!$A:$J,6,0),"無")</f>
        <v>-14</v>
      </c>
      <c r="E140" s="79">
        <f>IFERROR(VLOOKUP($G140,基本資料!$A:$J,7,0),"無")</f>
        <v>-14</v>
      </c>
      <c r="F140" s="6">
        <f>IFERROR(VLOOKUP($G140,基本資料!$A:$J,8,0),"無")</f>
        <v>20.079999999999998</v>
      </c>
      <c r="G140" s="80">
        <v>4440</v>
      </c>
      <c r="H140" s="5" t="s">
        <v>3172</v>
      </c>
      <c r="I140" s="22" t="s">
        <v>3490</v>
      </c>
      <c r="J140" s="8" t="str">
        <f>IFERROR(VLOOKUP($G140,今日總結!$A:$AJ,35,0),"")</f>
        <v/>
      </c>
      <c r="K140" s="5" t="str">
        <f>IFERROR(VLOOKUP($G140,今日總結!$A:$AJ,36,0),"")</f>
        <v/>
      </c>
      <c r="L140" s="156" t="str">
        <f>IFERROR(VLOOKUP($G140,今日總結!$A:$AJ,33,0),"")</f>
        <v/>
      </c>
      <c r="M140" s="340" t="str">
        <f>IFERROR(VLOOKUP($G140,今日總結!$A:$AJ,34,0),"")</f>
        <v/>
      </c>
      <c r="N140" s="240" t="str">
        <f t="shared" si="96"/>
        <v/>
      </c>
      <c r="P140" s="365">
        <f>IFERROR(VLOOKUP($G140,融外自投!$A:$J,7,0),"無")</f>
        <v>1460</v>
      </c>
      <c r="Q140" s="79" t="str">
        <f>IFERROR(VLOOKUP($G140,融外自投!$A:$J,9,0),"無")</f>
        <v>無</v>
      </c>
      <c r="R140" s="346">
        <f>IFERROR(VLOOKUP($G140,融外自投!$A:$J,8,0),"無")</f>
        <v>1195</v>
      </c>
      <c r="S140" s="81" t="str">
        <f>IFERROR(VLOOKUP($G140,融外自投!$A:$J,10,0),"無")</f>
        <v>無</v>
      </c>
      <c r="T140" s="327">
        <f>IFERROR(VLOOKUP($G140,'321買'!$A:$E,5,0),"'沒有資料'")</f>
        <v>1259</v>
      </c>
      <c r="U140" s="186">
        <f>IFERROR(VLOOKUP($G140,基本資料!$A:$J,9,0),"無")</f>
        <v>4</v>
      </c>
      <c r="V140" s="310">
        <f t="shared" si="97"/>
        <v>8.8888888888888892E-2</v>
      </c>
      <c r="W140" s="94">
        <f>IFERROR(VLOOKUP($G140,基本資料!$A:$J,10,0),"無")</f>
        <v>5.0599999999999996</v>
      </c>
      <c r="X140" s="36">
        <v>45</v>
      </c>
      <c r="Y140" s="66">
        <v>38</v>
      </c>
      <c r="Z140" s="15">
        <f t="shared" si="94"/>
        <v>7</v>
      </c>
      <c r="AA140" s="63">
        <f t="shared" si="95"/>
        <v>0.18421052631578946</v>
      </c>
      <c r="AB140" s="99" t="s">
        <v>3505</v>
      </c>
      <c r="AC140" s="397" t="str">
        <f>IFERROR(VLOOKUP($G140,基本資料!$A:$M,12,0),"無")</f>
        <v>無</v>
      </c>
      <c r="AD140" s="22" t="s">
        <v>3490</v>
      </c>
      <c r="AE140" s="84">
        <v>44494</v>
      </c>
      <c r="AF140" s="86">
        <v>44504</v>
      </c>
      <c r="AG140" s="33">
        <f t="shared" si="85"/>
        <v>10</v>
      </c>
      <c r="AH140" s="43" t="s">
        <v>3492</v>
      </c>
      <c r="AI140" s="288"/>
      <c r="AK140" s="245"/>
      <c r="AL140" s="245"/>
      <c r="AM140" s="285"/>
    </row>
    <row r="141" spans="1:39">
      <c r="A141" s="347">
        <f>IFERROR(VLOOKUP($G141,基本資料!$A:$J,3,0),"無")</f>
        <v>3.72</v>
      </c>
      <c r="B141" s="79">
        <f>IFERROR(VLOOKUP($G141,基本資料!$A:$J,4,0),"無")</f>
        <v>1</v>
      </c>
      <c r="C141" s="79">
        <f>IFERROR(VLOOKUP($G141,基本資料!$A:$J,5,0),"無")</f>
        <v>15</v>
      </c>
      <c r="D141" s="79">
        <f>IFERROR(VLOOKUP($G141,基本資料!$A:$J,6,0),"無")</f>
        <v>54</v>
      </c>
      <c r="E141" s="79">
        <f>IFERROR(VLOOKUP($G141,基本資料!$A:$J,7,0),"無")</f>
        <v>-47</v>
      </c>
      <c r="F141" s="6">
        <f>IFERROR(VLOOKUP($G141,基本資料!$A:$J,8,0),"無")</f>
        <v>-45.5</v>
      </c>
      <c r="G141" s="79">
        <v>2734</v>
      </c>
      <c r="H141" s="5" t="s">
        <v>303</v>
      </c>
      <c r="I141" s="16" t="s">
        <v>965</v>
      </c>
      <c r="J141" s="8" t="str">
        <f>IFERROR(VLOOKUP($G141,今日總結!$A:$AJ,35,0),"")</f>
        <v/>
      </c>
      <c r="K141" s="5" t="str">
        <f>IFERROR(VLOOKUP($G141,今日總結!$A:$AJ,36,0),"")</f>
        <v/>
      </c>
      <c r="L141" s="156" t="str">
        <f>IFERROR(VLOOKUP($G141,今日總結!$A:$AJ,33,0),"")</f>
        <v/>
      </c>
      <c r="M141" s="340" t="str">
        <f>IFERROR(VLOOKUP($G141,今日總結!$A:$AJ,34,0),"")</f>
        <v/>
      </c>
      <c r="N141" s="240" t="str">
        <f t="shared" si="96"/>
        <v/>
      </c>
      <c r="P141" s="365" t="str">
        <f>IFERROR(VLOOKUP($G141,融外自投!$A:$J,7,0),"無")</f>
        <v>無</v>
      </c>
      <c r="Q141" s="79" t="str">
        <f>IFERROR(VLOOKUP($G141,融外自投!$A:$J,9,0),"無")</f>
        <v>無</v>
      </c>
      <c r="R141" s="346" t="str">
        <f>IFERROR(VLOOKUP($G141,融外自投!$A:$J,8,0),"無")</f>
        <v>無</v>
      </c>
      <c r="S141" s="81" t="str">
        <f>IFERROR(VLOOKUP($G141,融外自投!$A:$J,10,0),"無")</f>
        <v>無</v>
      </c>
      <c r="T141" s="327" t="str">
        <f>IFERROR(VLOOKUP($G141,'321買'!$A:$E,5,0),"'沒有資料'")</f>
        <v>'沒有資料'</v>
      </c>
      <c r="U141" s="186">
        <f>IFERROR(VLOOKUP($G141,基本資料!$A:$J,9,0),"無")</f>
        <v>0</v>
      </c>
      <c r="V141" s="310">
        <f t="shared" si="97"/>
        <v>0</v>
      </c>
      <c r="W141" s="94">
        <f>IFERROR(VLOOKUP($G141,基本資料!$A:$J,10,0),"無")</f>
        <v>-2.29</v>
      </c>
      <c r="X141" s="36">
        <v>22.1</v>
      </c>
      <c r="Y141" s="66">
        <v>15</v>
      </c>
      <c r="Z141" s="15">
        <f t="shared" si="94"/>
        <v>7.1000000000000014</v>
      </c>
      <c r="AA141" s="63">
        <f t="shared" si="95"/>
        <v>0.47333333333333344</v>
      </c>
      <c r="AB141" s="99" t="s">
        <v>3501</v>
      </c>
      <c r="AC141" s="397">
        <f>IFERROR(VLOOKUP($G141,基本資料!$A:$M,12,0),"無")</f>
        <v>64.569999999999993</v>
      </c>
      <c r="AD141" s="16" t="s">
        <v>965</v>
      </c>
      <c r="AE141" s="84">
        <v>44494</v>
      </c>
      <c r="AF141" s="86">
        <v>44504</v>
      </c>
      <c r="AG141" s="33">
        <f t="shared" si="85"/>
        <v>10</v>
      </c>
      <c r="AH141" s="43" t="s">
        <v>2676</v>
      </c>
      <c r="AI141" s="288"/>
      <c r="AK141" s="245"/>
      <c r="AL141" s="245"/>
      <c r="AM141" s="285"/>
    </row>
    <row r="142" spans="1:39">
      <c r="A142" s="347">
        <f>IFERROR(VLOOKUP($G142,基本資料!$A:$J,3,0),"無")</f>
        <v>5.89</v>
      </c>
      <c r="B142" s="79">
        <f>IFERROR(VLOOKUP($G142,基本資料!$A:$J,4,0),"無")</f>
        <v>-16</v>
      </c>
      <c r="C142" s="79">
        <f>IFERROR(VLOOKUP($G142,基本資料!$A:$J,5,0),"無")</f>
        <v>-31</v>
      </c>
      <c r="D142" s="79">
        <f>IFERROR(VLOOKUP($G142,基本資料!$A:$J,6,0),"無")</f>
        <v>1</v>
      </c>
      <c r="E142" s="79">
        <f>IFERROR(VLOOKUP($G142,基本資料!$A:$J,7,0),"無")</f>
        <v>-18</v>
      </c>
      <c r="F142" s="6">
        <f>IFERROR(VLOOKUP($G142,基本資料!$A:$J,8,0),"無")</f>
        <v>3.34</v>
      </c>
      <c r="G142" s="80">
        <v>3206</v>
      </c>
      <c r="H142" s="5" t="s">
        <v>3389</v>
      </c>
      <c r="I142" s="16" t="s">
        <v>140</v>
      </c>
      <c r="J142" s="8" t="str">
        <f>IFERROR(VLOOKUP($G142,今日總結!$A:$AJ,35,0),"")</f>
        <v/>
      </c>
      <c r="K142" s="5" t="str">
        <f>IFERROR(VLOOKUP($G142,今日總結!$A:$AJ,36,0),"")</f>
        <v/>
      </c>
      <c r="L142" s="156" t="str">
        <f>IFERROR(VLOOKUP($G142,今日總結!$A:$AJ,33,0),"")</f>
        <v/>
      </c>
      <c r="M142" s="340" t="str">
        <f>IFERROR(VLOOKUP($G142,今日總結!$A:$AJ,34,0),"")</f>
        <v/>
      </c>
      <c r="N142" s="240" t="str">
        <f t="shared" si="96"/>
        <v/>
      </c>
      <c r="P142" s="365">
        <f>IFERROR(VLOOKUP($G142,融外自投!$A:$J,7,0),"無")</f>
        <v>811</v>
      </c>
      <c r="Q142" s="79" t="str">
        <f>IFERROR(VLOOKUP($G142,融外自投!$A:$J,9,0),"無")</f>
        <v>無</v>
      </c>
      <c r="R142" s="346">
        <f>IFERROR(VLOOKUP($G142,融外自投!$A:$J,8,0),"無")</f>
        <v>1378</v>
      </c>
      <c r="S142" s="81" t="str">
        <f>IFERROR(VLOOKUP($G142,融外自投!$A:$J,10,0),"無")</f>
        <v>無</v>
      </c>
      <c r="T142" s="327">
        <f>IFERROR(VLOOKUP($G142,'321買'!$A:$E,5,0),"'沒有資料'")</f>
        <v>1198</v>
      </c>
      <c r="U142" s="186">
        <f>IFERROR(VLOOKUP($G142,基本資料!$A:$J,9,0),"無")</f>
        <v>1.8</v>
      </c>
      <c r="V142" s="310">
        <f t="shared" si="97"/>
        <v>6.2283737024221457E-2</v>
      </c>
      <c r="W142" s="94">
        <f>IFERROR(VLOOKUP($G142,基本資料!$A:$J,10,0),"無")</f>
        <v>2.39</v>
      </c>
      <c r="X142" s="36">
        <v>28.9</v>
      </c>
      <c r="Y142" s="66">
        <v>21.5</v>
      </c>
      <c r="Z142" s="15">
        <f t="shared" si="94"/>
        <v>7.3999999999999986</v>
      </c>
      <c r="AA142" s="63">
        <f t="shared" si="95"/>
        <v>0.34418604651162782</v>
      </c>
      <c r="AB142" s="99" t="s">
        <v>3499</v>
      </c>
      <c r="AC142" s="397">
        <f>IFERROR(VLOOKUP($G142,基本資料!$A:$M,12,0),"無")</f>
        <v>20.63</v>
      </c>
      <c r="AD142" s="16" t="s">
        <v>140</v>
      </c>
      <c r="AE142" s="84">
        <v>44490</v>
      </c>
      <c r="AF142" s="86">
        <v>44501</v>
      </c>
      <c r="AG142" s="33">
        <f t="shared" ref="AG142:AG205" si="98">AF142-AE142</f>
        <v>11</v>
      </c>
      <c r="AH142" s="117" t="s">
        <v>2375</v>
      </c>
      <c r="AI142" s="288"/>
      <c r="AK142" s="245"/>
      <c r="AL142" s="245"/>
      <c r="AM142" s="285"/>
    </row>
    <row r="143" spans="1:39">
      <c r="A143" s="347">
        <f>IFERROR(VLOOKUP($G143,基本資料!$A:$J,3,0),"無")</f>
        <v>8.9700000000000006</v>
      </c>
      <c r="B143" s="79">
        <f>IFERROR(VLOOKUP($G143,基本資料!$A:$J,4,0),"無")</f>
        <v>1231</v>
      </c>
      <c r="C143" s="79">
        <f>IFERROR(VLOOKUP($G143,基本資料!$A:$J,5,0),"無")</f>
        <v>591</v>
      </c>
      <c r="D143" s="79">
        <f>IFERROR(VLOOKUP($G143,基本資料!$A:$J,6,0),"無")</f>
        <v>41</v>
      </c>
      <c r="E143" s="79">
        <f>IFERROR(VLOOKUP($G143,基本資料!$A:$J,7,0),"無")</f>
        <v>-3</v>
      </c>
      <c r="F143" s="6">
        <f>IFERROR(VLOOKUP($G143,基本資料!$A:$J,8,0),"無")</f>
        <v>7.19</v>
      </c>
      <c r="G143" s="79">
        <v>8444</v>
      </c>
      <c r="H143" s="8" t="s">
        <v>1960</v>
      </c>
      <c r="I143" s="16" t="s">
        <v>223</v>
      </c>
      <c r="J143" s="8" t="str">
        <f>IFERROR(VLOOKUP($G143,今日總結!$A:$AJ,35,0),"")</f>
        <v/>
      </c>
      <c r="K143" s="5" t="str">
        <f>IFERROR(VLOOKUP($G143,今日總結!$A:$AJ,36,0),"")</f>
        <v/>
      </c>
      <c r="L143" s="156" t="str">
        <f>IFERROR(VLOOKUP($G143,今日總結!$A:$AJ,33,0),"")</f>
        <v/>
      </c>
      <c r="M143" s="340" t="str">
        <f>IFERROR(VLOOKUP($G143,今日總結!$A:$AJ,34,0),"")</f>
        <v/>
      </c>
      <c r="N143" s="240" t="str">
        <f t="shared" si="96"/>
        <v/>
      </c>
      <c r="P143" s="365">
        <f>IFERROR(VLOOKUP($G143,融外自投!$A:$J,7,0),"無")</f>
        <v>601</v>
      </c>
      <c r="Q143" s="79" t="str">
        <f>IFERROR(VLOOKUP($G143,融外自投!$A:$J,9,0),"無")</f>
        <v>無</v>
      </c>
      <c r="R143" s="346">
        <f>IFERROR(VLOOKUP($G143,融外自投!$A:$J,8,0),"無")</f>
        <v>35</v>
      </c>
      <c r="S143" s="81" t="str">
        <f>IFERROR(VLOOKUP($G143,融外自投!$A:$J,10,0),"無")</f>
        <v>無</v>
      </c>
      <c r="T143" s="327">
        <f>IFERROR(VLOOKUP($G143,'321買'!$A:$E,5,0),"'沒有資料'")</f>
        <v>515</v>
      </c>
      <c r="U143" s="186">
        <f>IFERROR(VLOOKUP($G143,基本資料!$A:$J,9,0),"無")</f>
        <v>0</v>
      </c>
      <c r="V143" s="310">
        <f t="shared" si="97"/>
        <v>0</v>
      </c>
      <c r="W143" s="94">
        <f>IFERROR(VLOOKUP($G143,基本資料!$A:$J,10,0),"無")</f>
        <v>4.62</v>
      </c>
      <c r="X143" s="13">
        <v>105</v>
      </c>
      <c r="Y143" s="66">
        <v>78</v>
      </c>
      <c r="Z143" s="15">
        <f t="shared" si="94"/>
        <v>27</v>
      </c>
      <c r="AA143" s="63">
        <f t="shared" si="95"/>
        <v>0.34615384615384615</v>
      </c>
      <c r="AB143" s="99" t="s">
        <v>3497</v>
      </c>
      <c r="AC143" s="397">
        <f>IFERROR(VLOOKUP($G143,基本資料!$A:$M,12,0),"無")</f>
        <v>9.34</v>
      </c>
      <c r="AD143" s="16" t="s">
        <v>223</v>
      </c>
      <c r="AE143" s="84">
        <v>44489</v>
      </c>
      <c r="AF143" s="86">
        <v>44501</v>
      </c>
      <c r="AG143" s="33">
        <f t="shared" si="98"/>
        <v>12</v>
      </c>
      <c r="AH143" s="117" t="s">
        <v>2480</v>
      </c>
      <c r="AI143" s="288"/>
      <c r="AK143" s="245"/>
      <c r="AL143" s="245"/>
      <c r="AM143" s="285"/>
    </row>
    <row r="144" spans="1:39">
      <c r="A144" s="347">
        <f>IFERROR(VLOOKUP($G144,基本資料!$A:$J,3,0),"無")</f>
        <v>20</v>
      </c>
      <c r="B144" s="79">
        <f>IFERROR(VLOOKUP($G144,基本資料!$A:$J,4,0),"無")</f>
        <v>32</v>
      </c>
      <c r="C144" s="79">
        <f>IFERROR(VLOOKUP($G144,基本資料!$A:$J,5,0),"無")</f>
        <v>37</v>
      </c>
      <c r="D144" s="79">
        <f>IFERROR(VLOOKUP($G144,基本資料!$A:$J,6,0),"無")</f>
        <v>-20</v>
      </c>
      <c r="E144" s="79">
        <f>IFERROR(VLOOKUP($G144,基本資料!$A:$J,7,0),"無")</f>
        <v>-6</v>
      </c>
      <c r="F144" s="6">
        <f>IFERROR(VLOOKUP($G144,基本資料!$A:$J,8,0),"無")</f>
        <v>32.35</v>
      </c>
      <c r="G144" s="80">
        <v>1590</v>
      </c>
      <c r="H144" s="193" t="s">
        <v>295</v>
      </c>
      <c r="I144" s="22" t="s">
        <v>127</v>
      </c>
      <c r="J144" s="8">
        <f>IFERROR(VLOOKUP($G144,今日總結!$A:$AJ,35,0),"")</f>
        <v>0</v>
      </c>
      <c r="K144" s="5" t="str">
        <f>IFERROR(VLOOKUP($G144,今日總結!$A:$AJ,36,0),"")</f>
        <v>借</v>
      </c>
      <c r="L144" s="156">
        <f>IFERROR(VLOOKUP($G144,今日總結!$A:$AJ,33,0),"")</f>
        <v>0</v>
      </c>
      <c r="M144" s="340">
        <f>IFERROR(VLOOKUP($G144,今日總結!$A:$AJ,34,0),"")</f>
        <v>1</v>
      </c>
      <c r="N144" s="240">
        <f t="shared" si="96"/>
        <v>-1</v>
      </c>
      <c r="P144" s="365">
        <f>IFERROR(VLOOKUP($G144,融外自投!$A:$J,7,0),"無")</f>
        <v>1276</v>
      </c>
      <c r="Q144" s="79">
        <f>IFERROR(VLOOKUP($G144,融外自投!$A:$J,9,0),"無")</f>
        <v>734</v>
      </c>
      <c r="R144" s="346">
        <f>IFERROR(VLOOKUP($G144,融外自投!$A:$J,8,0),"無")</f>
        <v>7</v>
      </c>
      <c r="S144" s="81">
        <f>IFERROR(VLOOKUP($G144,融外自投!$A:$J,10,0),"無")</f>
        <v>215</v>
      </c>
      <c r="T144" s="327">
        <f>IFERROR(VLOOKUP($G144,'321買'!$A:$E,5,0),"'沒有資料'")</f>
        <v>480</v>
      </c>
      <c r="U144" s="186">
        <f>IFERROR(VLOOKUP($G144,基本資料!$A:$J,9,0),"無")</f>
        <v>13.31</v>
      </c>
      <c r="V144" s="310">
        <f t="shared" si="97"/>
        <v>1.5567251461988304E-2</v>
      </c>
      <c r="W144" s="94">
        <f>IFERROR(VLOOKUP($G144,基本資料!$A:$J,10,0),"無")</f>
        <v>33.67</v>
      </c>
      <c r="X144" s="150">
        <v>855</v>
      </c>
      <c r="Y144" s="66">
        <v>718</v>
      </c>
      <c r="Z144" s="137">
        <f t="shared" si="94"/>
        <v>137</v>
      </c>
      <c r="AA144" s="63">
        <f t="shared" si="95"/>
        <v>0.19080779944289694</v>
      </c>
      <c r="AB144" s="99" t="s">
        <v>3498</v>
      </c>
      <c r="AC144" s="397">
        <f>IFERROR(VLOOKUP($G144,基本資料!$A:$M,12,0),"無")</f>
        <v>22.63</v>
      </c>
      <c r="AD144" s="22" t="s">
        <v>127</v>
      </c>
      <c r="AE144" s="84">
        <v>44489</v>
      </c>
      <c r="AF144" s="86">
        <v>44501</v>
      </c>
      <c r="AG144" s="33">
        <f t="shared" si="98"/>
        <v>12</v>
      </c>
      <c r="AH144" s="117" t="s">
        <v>2536</v>
      </c>
      <c r="AI144" s="288"/>
      <c r="AK144" s="245"/>
      <c r="AL144" s="245"/>
      <c r="AM144" s="285"/>
    </row>
    <row r="145" spans="1:39">
      <c r="A145" s="347">
        <f>IFERROR(VLOOKUP($G145,基本資料!$A:$J,3,0),"無")</f>
        <v>7.79</v>
      </c>
      <c r="B145" s="79">
        <f>IFERROR(VLOOKUP($G145,基本資料!$A:$J,4,0),"無")</f>
        <v>35</v>
      </c>
      <c r="C145" s="79">
        <f>IFERROR(VLOOKUP($G145,基本資料!$A:$J,5,0),"無")</f>
        <v>-16</v>
      </c>
      <c r="D145" s="79">
        <f>IFERROR(VLOOKUP($G145,基本資料!$A:$J,6,0),"無")</f>
        <v>61</v>
      </c>
      <c r="E145" s="79">
        <f>IFERROR(VLOOKUP($G145,基本資料!$A:$J,7,0),"無")</f>
        <v>35</v>
      </c>
      <c r="F145" s="6">
        <f>IFERROR(VLOOKUP($G145,基本資料!$A:$J,8,0),"無")</f>
        <v>5.23</v>
      </c>
      <c r="G145" s="80">
        <v>3483</v>
      </c>
      <c r="H145" s="183" t="s">
        <v>1146</v>
      </c>
      <c r="I145" s="16" t="s">
        <v>6115</v>
      </c>
      <c r="J145" s="8" t="str">
        <f>IFERROR(VLOOKUP($G145,今日總結!$A:$AJ,35,0),"")</f>
        <v/>
      </c>
      <c r="K145" s="5" t="str">
        <f>IFERROR(VLOOKUP($G145,今日總結!$A:$AJ,36,0),"")</f>
        <v/>
      </c>
      <c r="L145" s="156" t="str">
        <f>IFERROR(VLOOKUP($G145,今日總結!$A:$AJ,33,0),"")</f>
        <v/>
      </c>
      <c r="M145" s="340" t="str">
        <f>IFERROR(VLOOKUP($G145,今日總結!$A:$AJ,34,0),"")</f>
        <v/>
      </c>
      <c r="N145" s="240" t="str">
        <f t="shared" si="96"/>
        <v/>
      </c>
      <c r="P145" s="365">
        <f>IFERROR(VLOOKUP($G145,融外自投!$A:$J,7,0),"無")</f>
        <v>11</v>
      </c>
      <c r="Q145" s="79">
        <f>IFERROR(VLOOKUP($G145,融外自投!$A:$J,9,0),"無")</f>
        <v>586</v>
      </c>
      <c r="R145" s="346">
        <f>IFERROR(VLOOKUP($G145,融外自投!$A:$J,8,0),"無")</f>
        <v>1173</v>
      </c>
      <c r="S145" s="81">
        <f>IFERROR(VLOOKUP($G145,融外自投!$A:$J,10,0),"無")</f>
        <v>272</v>
      </c>
      <c r="T145" s="327">
        <f>IFERROR(VLOOKUP($G145,'321買'!$A:$E,5,0),"'沒有資料'")</f>
        <v>416</v>
      </c>
      <c r="U145" s="186">
        <f>IFERROR(VLOOKUP($G145,基本資料!$A:$J,9,0),"無")</f>
        <v>3</v>
      </c>
      <c r="V145" s="310">
        <f t="shared" si="97"/>
        <v>4.1841004184100417E-2</v>
      </c>
      <c r="W145" s="94">
        <f>IFERROR(VLOOKUP($G145,基本資料!$A:$J,10,0),"無")</f>
        <v>5.34</v>
      </c>
      <c r="X145" s="36">
        <v>71.7</v>
      </c>
      <c r="Y145" s="45">
        <v>54</v>
      </c>
      <c r="Z145" s="15">
        <f t="shared" si="94"/>
        <v>17.700000000000003</v>
      </c>
      <c r="AA145" s="63">
        <f t="shared" si="95"/>
        <v>0.32777777777777783</v>
      </c>
      <c r="AB145" s="99" t="s">
        <v>3495</v>
      </c>
      <c r="AC145" s="397">
        <f>IFERROR(VLOOKUP($G145,基本資料!$A:$M,12,0),"無")</f>
        <v>18.72</v>
      </c>
      <c r="AD145" s="16" t="s">
        <v>472</v>
      </c>
      <c r="AE145" s="84">
        <v>44488</v>
      </c>
      <c r="AF145" s="86">
        <v>44498</v>
      </c>
      <c r="AG145" s="33">
        <f t="shared" si="98"/>
        <v>10</v>
      </c>
      <c r="AH145" s="43" t="s">
        <v>2926</v>
      </c>
      <c r="AI145" s="288"/>
      <c r="AK145" s="245"/>
      <c r="AL145" s="245"/>
      <c r="AM145" s="285"/>
    </row>
    <row r="146" spans="1:39">
      <c r="A146" s="347">
        <f>IFERROR(VLOOKUP($G146,基本資料!$A:$J,3,0),"無")</f>
        <v>54.09</v>
      </c>
      <c r="B146" s="79">
        <f>IFERROR(VLOOKUP($G146,基本資料!$A:$J,4,0),"無")</f>
        <v>123</v>
      </c>
      <c r="C146" s="79">
        <f>IFERROR(VLOOKUP($G146,基本資料!$A:$J,5,0),"無")</f>
        <v>170</v>
      </c>
      <c r="D146" s="79">
        <f>IFERROR(VLOOKUP($G146,基本資料!$A:$J,6,0),"無")</f>
        <v>-4</v>
      </c>
      <c r="E146" s="79">
        <f>IFERROR(VLOOKUP($G146,基本資料!$A:$J,7,0),"無")</f>
        <v>20</v>
      </c>
      <c r="F146" s="6">
        <f>IFERROR(VLOOKUP($G146,基本資料!$A:$J,8,0),"無")</f>
        <v>19.239999999999998</v>
      </c>
      <c r="G146" s="80">
        <v>6182</v>
      </c>
      <c r="H146" s="236" t="s">
        <v>3039</v>
      </c>
      <c r="I146" s="16" t="s">
        <v>166</v>
      </c>
      <c r="J146" s="8" t="str">
        <f>IFERROR(VLOOKUP($G146,今日總結!$A:$AJ,35,0),"")</f>
        <v/>
      </c>
      <c r="K146" s="5" t="str">
        <f>IFERROR(VLOOKUP($G146,今日總結!$A:$AJ,36,0),"")</f>
        <v/>
      </c>
      <c r="L146" s="156" t="str">
        <f>IFERROR(VLOOKUP($G146,今日總結!$A:$AJ,33,0),"")</f>
        <v/>
      </c>
      <c r="M146" s="340" t="str">
        <f>IFERROR(VLOOKUP($G146,今日總結!$A:$AJ,34,0),"")</f>
        <v/>
      </c>
      <c r="N146" s="240" t="str">
        <f t="shared" si="96"/>
        <v/>
      </c>
      <c r="P146" s="365">
        <f>IFERROR(VLOOKUP($G146,融外自投!$A:$J,7,0),"無")</f>
        <v>115</v>
      </c>
      <c r="Q146" s="79" t="str">
        <f>IFERROR(VLOOKUP($G146,融外自投!$A:$J,9,0),"無")</f>
        <v>無</v>
      </c>
      <c r="R146" s="346">
        <f>IFERROR(VLOOKUP($G146,融外自投!$A:$J,8,0),"無")</f>
        <v>342</v>
      </c>
      <c r="S146" s="81" t="str">
        <f>IFERROR(VLOOKUP($G146,融外自投!$A:$J,10,0),"無")</f>
        <v>無</v>
      </c>
      <c r="T146" s="327">
        <f>IFERROR(VLOOKUP($G146,'321買'!$A:$E,5,0),"'沒有資料'")</f>
        <v>79</v>
      </c>
      <c r="U146" s="186">
        <f>IFERROR(VLOOKUP($G146,基本資料!$A:$J,9,0),"無")</f>
        <v>1.35</v>
      </c>
      <c r="V146" s="310">
        <f t="shared" si="97"/>
        <v>2.1915584415584416E-2</v>
      </c>
      <c r="W146" s="94">
        <f>IFERROR(VLOOKUP($G146,基本資料!$A:$J,10,0),"無")</f>
        <v>2.02</v>
      </c>
      <c r="X146" s="36">
        <v>61.6</v>
      </c>
      <c r="Y146" s="45">
        <v>52</v>
      </c>
      <c r="Z146" s="15">
        <f t="shared" si="94"/>
        <v>9.6000000000000014</v>
      </c>
      <c r="AA146" s="63">
        <f t="shared" si="95"/>
        <v>0.18461538461538465</v>
      </c>
      <c r="AB146" s="99" t="s">
        <v>3494</v>
      </c>
      <c r="AC146" s="397">
        <f>IFERROR(VLOOKUP($G146,基本資料!$A:$M,12,0),"無")</f>
        <v>14.52</v>
      </c>
      <c r="AD146" s="16" t="s">
        <v>166</v>
      </c>
      <c r="AE146" s="84">
        <v>44487</v>
      </c>
      <c r="AF146" s="86">
        <v>44497</v>
      </c>
      <c r="AG146" s="33">
        <f t="shared" si="98"/>
        <v>10</v>
      </c>
      <c r="AH146" s="117" t="s">
        <v>2168</v>
      </c>
      <c r="AI146" s="288"/>
      <c r="AK146" s="245"/>
      <c r="AL146" s="245"/>
      <c r="AM146" s="285"/>
    </row>
    <row r="147" spans="1:39">
      <c r="A147" s="347">
        <f>IFERROR(VLOOKUP($G147,基本資料!$A:$J,3,0),"無")</f>
        <v>22.5</v>
      </c>
      <c r="B147" s="79">
        <f>IFERROR(VLOOKUP($G147,基本資料!$A:$J,4,0),"無")</f>
        <v>-17251</v>
      </c>
      <c r="C147" s="79">
        <f>IFERROR(VLOOKUP($G147,基本資料!$A:$J,5,0),"無")</f>
        <v>-10351</v>
      </c>
      <c r="D147" s="79">
        <f>IFERROR(VLOOKUP($G147,基本資料!$A:$J,6,0),"無")</f>
        <v>45</v>
      </c>
      <c r="E147" s="79">
        <f>IFERROR(VLOOKUP($G147,基本資料!$A:$J,7,0),"無")</f>
        <v>-21</v>
      </c>
      <c r="F147" s="6">
        <f>IFERROR(VLOOKUP($G147,基本資料!$A:$J,8,0),"無")</f>
        <v>-33.979999999999997</v>
      </c>
      <c r="G147" s="79">
        <v>4934</v>
      </c>
      <c r="H147" s="8" t="s">
        <v>306</v>
      </c>
      <c r="I147" s="22" t="s">
        <v>446</v>
      </c>
      <c r="J147" s="8" t="str">
        <f>IFERROR(VLOOKUP($G147,今日總結!$A:$AJ,35,0),"")</f>
        <v/>
      </c>
      <c r="K147" s="5" t="str">
        <f>IFERROR(VLOOKUP($G147,今日總結!$A:$AJ,36,0),"")</f>
        <v/>
      </c>
      <c r="L147" s="156" t="str">
        <f>IFERROR(VLOOKUP($G147,今日總結!$A:$AJ,33,0),"")</f>
        <v/>
      </c>
      <c r="M147" s="340" t="str">
        <f>IFERROR(VLOOKUP($G147,今日總結!$A:$AJ,34,0),"")</f>
        <v/>
      </c>
      <c r="N147" s="240" t="str">
        <f t="shared" si="96"/>
        <v/>
      </c>
      <c r="P147" s="365" t="str">
        <f>IFERROR(VLOOKUP($G147,融外自投!$A:$J,7,0),"無")</f>
        <v>無</v>
      </c>
      <c r="Q147" s="79" t="str">
        <f>IFERROR(VLOOKUP($G147,融外自投!$A:$J,9,0),"無")</f>
        <v>無</v>
      </c>
      <c r="R147" s="346" t="str">
        <f>IFERROR(VLOOKUP($G147,融外自投!$A:$J,8,0),"無")</f>
        <v>無</v>
      </c>
      <c r="S147" s="81" t="str">
        <f>IFERROR(VLOOKUP($G147,融外自投!$A:$J,10,0),"無")</f>
        <v>無</v>
      </c>
      <c r="T147" s="327" t="str">
        <f>IFERROR(VLOOKUP($G147,'321買'!$A:$E,5,0),"'沒有資料'")</f>
        <v>'沒有資料'</v>
      </c>
      <c r="U147" s="186">
        <f>IFERROR(VLOOKUP($G147,基本資料!$A:$J,9,0),"無")</f>
        <v>0</v>
      </c>
      <c r="V147" s="310">
        <f t="shared" si="97"/>
        <v>0</v>
      </c>
      <c r="W147" s="94">
        <f>IFERROR(VLOOKUP($G147,基本資料!$A:$J,10,0),"無")</f>
        <v>-4.1900000000000004</v>
      </c>
      <c r="X147" s="36">
        <v>35.25</v>
      </c>
      <c r="Y147" s="66">
        <v>29.1</v>
      </c>
      <c r="Z147" s="15">
        <f t="shared" si="94"/>
        <v>6.1499999999999986</v>
      </c>
      <c r="AA147" s="63">
        <f t="shared" si="95"/>
        <v>0.21134020618556695</v>
      </c>
      <c r="AB147" s="99" t="s">
        <v>3488</v>
      </c>
      <c r="AC147" s="397">
        <f>IFERROR(VLOOKUP($G147,基本資料!$A:$M,12,0),"無")</f>
        <v>4.2300000000000004</v>
      </c>
      <c r="AD147" s="22" t="s">
        <v>446</v>
      </c>
      <c r="AE147" s="84">
        <v>44481</v>
      </c>
      <c r="AF147" s="86">
        <v>44491</v>
      </c>
      <c r="AG147" s="33">
        <f t="shared" si="98"/>
        <v>10</v>
      </c>
      <c r="AH147" s="43" t="s">
        <v>2020</v>
      </c>
      <c r="AI147" s="288"/>
      <c r="AK147" s="245"/>
      <c r="AL147" s="245"/>
      <c r="AM147" s="285"/>
    </row>
    <row r="148" spans="1:39">
      <c r="A148" s="347">
        <f>IFERROR(VLOOKUP($G148,基本資料!$A:$J,3,0),"無")</f>
        <v>3.7</v>
      </c>
      <c r="B148" s="79">
        <f>IFERROR(VLOOKUP($G148,基本資料!$A:$J,4,0),"無")</f>
        <v>-1</v>
      </c>
      <c r="C148" s="79">
        <f>IFERROR(VLOOKUP($G148,基本資料!$A:$J,5,0),"無")</f>
        <v>-22</v>
      </c>
      <c r="D148" s="79">
        <f>IFERROR(VLOOKUP($G148,基本資料!$A:$J,6,0),"無")</f>
        <v>-8</v>
      </c>
      <c r="E148" s="79">
        <f>IFERROR(VLOOKUP($G148,基本資料!$A:$J,7,0),"無")</f>
        <v>-28</v>
      </c>
      <c r="F148" s="6">
        <f>IFERROR(VLOOKUP($G148,基本資料!$A:$J,8,0),"無")</f>
        <v>10.37</v>
      </c>
      <c r="G148" s="80">
        <v>6641</v>
      </c>
      <c r="H148" s="5" t="s">
        <v>1960</v>
      </c>
      <c r="I148" s="22" t="s">
        <v>1089</v>
      </c>
      <c r="J148" s="8" t="str">
        <f>IFERROR(VLOOKUP($G148,今日總結!$A:$AJ,35,0),"")</f>
        <v/>
      </c>
      <c r="K148" s="5" t="str">
        <f>IFERROR(VLOOKUP($G148,今日總結!$A:$AJ,36,0),"")</f>
        <v/>
      </c>
      <c r="L148" s="156" t="str">
        <f>IFERROR(VLOOKUP($G148,今日總結!$A:$AJ,33,0),"")</f>
        <v/>
      </c>
      <c r="M148" s="340" t="str">
        <f>IFERROR(VLOOKUP($G148,今日總結!$A:$AJ,34,0),"")</f>
        <v/>
      </c>
      <c r="N148" s="240" t="str">
        <f t="shared" si="96"/>
        <v/>
      </c>
      <c r="P148" s="365">
        <f>IFERROR(VLOOKUP($G148,融外自投!$A:$J,7,0),"無")</f>
        <v>1135</v>
      </c>
      <c r="Q148" s="79" t="str">
        <f>IFERROR(VLOOKUP($G148,融外自投!$A:$J,9,0),"無")</f>
        <v>無</v>
      </c>
      <c r="R148" s="346">
        <f>IFERROR(VLOOKUP($G148,融外自投!$A:$J,8,0),"無")</f>
        <v>174</v>
      </c>
      <c r="S148" s="81" t="str">
        <f>IFERROR(VLOOKUP($G148,融外自投!$A:$J,10,0),"無")</f>
        <v>無</v>
      </c>
      <c r="T148" s="327">
        <f>IFERROR(VLOOKUP($G148,'321買'!$A:$E,5,0),"'沒有資料'")</f>
        <v>1367</v>
      </c>
      <c r="U148" s="186">
        <f>IFERROR(VLOOKUP($G148,基本資料!$A:$J,9,0),"無")</f>
        <v>4.5</v>
      </c>
      <c r="V148" s="310">
        <f t="shared" si="97"/>
        <v>8.0357142857142863E-2</v>
      </c>
      <c r="W148" s="94">
        <f>IFERROR(VLOOKUP($G148,基本資料!$A:$J,10,0),"無")</f>
        <v>6.3</v>
      </c>
      <c r="X148" s="36">
        <v>56</v>
      </c>
      <c r="Y148" s="66">
        <v>50</v>
      </c>
      <c r="Z148" s="15">
        <f t="shared" si="94"/>
        <v>6</v>
      </c>
      <c r="AA148" s="63">
        <f t="shared" si="95"/>
        <v>0.12</v>
      </c>
      <c r="AB148" s="99" t="s">
        <v>1703</v>
      </c>
      <c r="AC148" s="397">
        <f>IFERROR(VLOOKUP($G148,基本資料!$A:$M,12,0),"無")</f>
        <v>30.37</v>
      </c>
      <c r="AD148" s="22" t="s">
        <v>1089</v>
      </c>
      <c r="AE148" s="84">
        <v>44477</v>
      </c>
      <c r="AF148" s="86">
        <v>44487</v>
      </c>
      <c r="AG148" s="33">
        <f t="shared" si="98"/>
        <v>10</v>
      </c>
      <c r="AH148" s="43" t="s">
        <v>2825</v>
      </c>
      <c r="AI148" s="288"/>
      <c r="AK148" s="245"/>
      <c r="AL148" s="245"/>
      <c r="AM148" s="285"/>
    </row>
    <row r="149" spans="1:39">
      <c r="A149" s="347">
        <f>IFERROR(VLOOKUP($G149,基本資料!$A:$J,3,0),"無")</f>
        <v>18.989999999999998</v>
      </c>
      <c r="B149" s="79">
        <f>IFERROR(VLOOKUP($G149,基本資料!$A:$J,4,0),"無")</f>
        <v>-57</v>
      </c>
      <c r="C149" s="79">
        <f>IFERROR(VLOOKUP($G149,基本資料!$A:$J,5,0),"無")</f>
        <v>-23</v>
      </c>
      <c r="D149" s="79">
        <f>IFERROR(VLOOKUP($G149,基本資料!$A:$J,6,0),"無")</f>
        <v>28</v>
      </c>
      <c r="E149" s="79">
        <f>IFERROR(VLOOKUP($G149,基本資料!$A:$J,7,0),"無")</f>
        <v>0</v>
      </c>
      <c r="F149" s="6">
        <f>IFERROR(VLOOKUP($G149,基本資料!$A:$J,8,0),"無")</f>
        <v>1.79</v>
      </c>
      <c r="G149" s="80">
        <v>5498</v>
      </c>
      <c r="H149" s="5" t="s">
        <v>3389</v>
      </c>
      <c r="I149" s="16" t="s">
        <v>422</v>
      </c>
      <c r="J149" s="8" t="str">
        <f>IFERROR(VLOOKUP($G149,今日總結!$A:$AJ,35,0),"")</f>
        <v>外</v>
      </c>
      <c r="K149" s="5">
        <f>IFERROR(VLOOKUP($G149,今日總結!$A:$AJ,36,0),"")</f>
        <v>0</v>
      </c>
      <c r="L149" s="156">
        <f>IFERROR(VLOOKUP($G149,今日總結!$A:$AJ,33,0),"")</f>
        <v>1</v>
      </c>
      <c r="M149" s="340">
        <f>IFERROR(VLOOKUP($G149,今日總結!$A:$AJ,34,0),"")</f>
        <v>0</v>
      </c>
      <c r="N149" s="240">
        <f t="shared" si="96"/>
        <v>1</v>
      </c>
      <c r="P149" s="365">
        <f>IFERROR(VLOOKUP($G149,融外自投!$A:$J,7,0),"無")</f>
        <v>623</v>
      </c>
      <c r="Q149" s="79" t="str">
        <f>IFERROR(VLOOKUP($G149,融外自投!$A:$J,9,0),"無")</f>
        <v>無</v>
      </c>
      <c r="R149" s="346">
        <f>IFERROR(VLOOKUP($G149,融外自投!$A:$J,8,0),"無")</f>
        <v>1202</v>
      </c>
      <c r="S149" s="81" t="str">
        <f>IFERROR(VLOOKUP($G149,融外自投!$A:$J,10,0),"無")</f>
        <v>無</v>
      </c>
      <c r="T149" s="327">
        <f>IFERROR(VLOOKUP($G149,'321買'!$A:$E,5,0),"'沒有資料'")</f>
        <v>802</v>
      </c>
      <c r="U149" s="186">
        <f>IFERROR(VLOOKUP($G149,基本資料!$A:$J,9,0),"無")</f>
        <v>0</v>
      </c>
      <c r="V149" s="310">
        <f t="shared" si="97"/>
        <v>0</v>
      </c>
      <c r="W149" s="94">
        <f>IFERROR(VLOOKUP($G149,基本資料!$A:$J,10,0),"無")</f>
        <v>0.18</v>
      </c>
      <c r="X149" s="36">
        <v>14</v>
      </c>
      <c r="Y149" s="66">
        <v>14.6</v>
      </c>
      <c r="Z149" s="15">
        <f t="shared" si="94"/>
        <v>-0.59999999999999964</v>
      </c>
      <c r="AA149" s="76">
        <f t="shared" si="95"/>
        <v>-4.1095890410958881E-2</v>
      </c>
      <c r="AB149" s="99" t="s">
        <v>1740</v>
      </c>
      <c r="AC149" s="397">
        <f>IFERROR(VLOOKUP($G149,基本資料!$A:$M,12,0),"無")</f>
        <v>6.16</v>
      </c>
      <c r="AD149" s="16" t="s">
        <v>422</v>
      </c>
      <c r="AE149" s="84">
        <v>44477</v>
      </c>
      <c r="AF149" s="86">
        <v>44487</v>
      </c>
      <c r="AG149" s="33">
        <f t="shared" si="98"/>
        <v>10</v>
      </c>
      <c r="AH149" s="43" t="s">
        <v>423</v>
      </c>
      <c r="AI149" s="288"/>
      <c r="AK149" s="245"/>
      <c r="AL149" s="245"/>
      <c r="AM149" s="285"/>
    </row>
    <row r="150" spans="1:39">
      <c r="A150" s="347">
        <f>IFERROR(VLOOKUP($G150,基本資料!$A:$J,3,0),"無")</f>
        <v>1.92</v>
      </c>
      <c r="B150" s="79">
        <f>IFERROR(VLOOKUP($G150,基本資料!$A:$J,4,0),"無")</f>
        <v>9</v>
      </c>
      <c r="C150" s="79">
        <f>IFERROR(VLOOKUP($G150,基本資料!$A:$J,5,0),"無")</f>
        <v>5</v>
      </c>
      <c r="D150" s="79">
        <f>IFERROR(VLOOKUP($G150,基本資料!$A:$J,6,0),"無")</f>
        <v>0</v>
      </c>
      <c r="E150" s="79">
        <f>IFERROR(VLOOKUP($G150,基本資料!$A:$J,7,0),"無")</f>
        <v>9</v>
      </c>
      <c r="F150" s="6">
        <f>IFERROR(VLOOKUP($G150,基本資料!$A:$J,8,0),"無")</f>
        <v>8.56</v>
      </c>
      <c r="G150" s="80">
        <v>2947</v>
      </c>
      <c r="H150" s="8" t="s">
        <v>6113</v>
      </c>
      <c r="I150" s="16" t="s">
        <v>3456</v>
      </c>
      <c r="J150" s="8" t="str">
        <f>IFERROR(VLOOKUP($G150,今日總結!$A:$AJ,35,0),"")</f>
        <v/>
      </c>
      <c r="K150" s="5" t="str">
        <f>IFERROR(VLOOKUP($G150,今日總結!$A:$AJ,36,0),"")</f>
        <v/>
      </c>
      <c r="L150" s="156" t="str">
        <f>IFERROR(VLOOKUP($G150,今日總結!$A:$AJ,33,0),"")</f>
        <v/>
      </c>
      <c r="M150" s="340" t="str">
        <f>IFERROR(VLOOKUP($G150,今日總結!$A:$AJ,34,0),"")</f>
        <v/>
      </c>
      <c r="N150" s="240" t="str">
        <f t="shared" si="96"/>
        <v/>
      </c>
      <c r="P150" s="365" t="str">
        <f>IFERROR(VLOOKUP($G150,融外自投!$A:$J,7,0),"無")</f>
        <v>無</v>
      </c>
      <c r="Q150" s="79" t="str">
        <f>IFERROR(VLOOKUP($G150,融外自投!$A:$J,9,0),"無")</f>
        <v>無</v>
      </c>
      <c r="R150" s="346" t="str">
        <f>IFERROR(VLOOKUP($G150,融外自投!$A:$J,8,0),"無")</f>
        <v>無</v>
      </c>
      <c r="S150" s="81" t="str">
        <f>IFERROR(VLOOKUP($G150,融外自投!$A:$J,10,0),"無")</f>
        <v>無</v>
      </c>
      <c r="T150" s="327" t="str">
        <f>IFERROR(VLOOKUP($G150,'321買'!$A:$E,5,0),"'沒有資料'")</f>
        <v>'沒有資料'</v>
      </c>
      <c r="U150" s="186">
        <f>IFERROR(VLOOKUP($G150,基本資料!$A:$J,9,0),"無")</f>
        <v>3.8</v>
      </c>
      <c r="V150" s="310">
        <f t="shared" si="97"/>
        <v>3.619047619047619E-2</v>
      </c>
      <c r="W150" s="94">
        <f>IFERROR(VLOOKUP($G150,基本資料!$A:$J,10,0),"無")</f>
        <v>6.26</v>
      </c>
      <c r="X150" s="36">
        <v>105</v>
      </c>
      <c r="Y150" s="66">
        <v>80</v>
      </c>
      <c r="Z150" s="15">
        <f t="shared" si="94"/>
        <v>25</v>
      </c>
      <c r="AA150" s="63">
        <f t="shared" si="95"/>
        <v>0.3125</v>
      </c>
      <c r="AB150" s="99" t="s">
        <v>3486</v>
      </c>
      <c r="AC150" s="397" t="str">
        <f>IFERROR(VLOOKUP($G150,基本資料!$A:$M,12,0),"無")</f>
        <v>無</v>
      </c>
      <c r="AD150" s="16" t="s">
        <v>3456</v>
      </c>
      <c r="AE150" s="84">
        <v>44475</v>
      </c>
      <c r="AF150" s="86">
        <v>44487</v>
      </c>
      <c r="AG150" s="33">
        <f t="shared" si="98"/>
        <v>12</v>
      </c>
      <c r="AH150" s="43" t="s">
        <v>3457</v>
      </c>
      <c r="AI150" s="288"/>
      <c r="AK150" s="245"/>
      <c r="AL150" s="245"/>
      <c r="AM150" s="285"/>
    </row>
    <row r="151" spans="1:39">
      <c r="A151" s="347">
        <f>IFERROR(VLOOKUP($G151,基本資料!$A:$J,3,0),"無")</f>
        <v>4.22</v>
      </c>
      <c r="B151" s="79">
        <f>IFERROR(VLOOKUP($G151,基本資料!$A:$J,4,0),"無")</f>
        <v>17</v>
      </c>
      <c r="C151" s="79">
        <f>IFERROR(VLOOKUP($G151,基本資料!$A:$J,5,0),"無")</f>
        <v>10</v>
      </c>
      <c r="D151" s="79">
        <f>IFERROR(VLOOKUP($G151,基本資料!$A:$J,6,0),"無")</f>
        <v>12</v>
      </c>
      <c r="E151" s="79">
        <f>IFERROR(VLOOKUP($G151,基本資料!$A:$J,7,0),"無")</f>
        <v>22</v>
      </c>
      <c r="F151" s="6">
        <f>IFERROR(VLOOKUP($G151,基本資料!$A:$J,8,0),"無")</f>
        <v>12.09</v>
      </c>
      <c r="G151" s="80">
        <v>6417</v>
      </c>
      <c r="H151" s="5" t="s">
        <v>311</v>
      </c>
      <c r="I151" s="16" t="s">
        <v>4428</v>
      </c>
      <c r="J151" s="8" t="str">
        <f>IFERROR(VLOOKUP($G151,今日總結!$A:$AJ,35,0),"")</f>
        <v/>
      </c>
      <c r="K151" s="5" t="str">
        <f>IFERROR(VLOOKUP($G151,今日總結!$A:$AJ,36,0),"")</f>
        <v/>
      </c>
      <c r="L151" s="156" t="str">
        <f>IFERROR(VLOOKUP($G151,今日總結!$A:$AJ,33,0),"")</f>
        <v/>
      </c>
      <c r="M151" s="340" t="str">
        <f>IFERROR(VLOOKUP($G151,今日總結!$A:$AJ,34,0),"")</f>
        <v/>
      </c>
      <c r="N151" s="240" t="str">
        <f t="shared" si="96"/>
        <v/>
      </c>
      <c r="P151" s="365">
        <f>IFERROR(VLOOKUP($G151,融外自投!$A:$J,7,0),"無")</f>
        <v>145</v>
      </c>
      <c r="Q151" s="79" t="str">
        <f>IFERROR(VLOOKUP($G151,融外自投!$A:$J,9,0),"無")</f>
        <v>無</v>
      </c>
      <c r="R151" s="346">
        <f>IFERROR(VLOOKUP($G151,融外自投!$A:$J,8,0),"無")</f>
        <v>438</v>
      </c>
      <c r="S151" s="81" t="str">
        <f>IFERROR(VLOOKUP($G151,融外自投!$A:$J,10,0),"無")</f>
        <v>無</v>
      </c>
      <c r="T151" s="327" t="str">
        <f>IFERROR(VLOOKUP($G151,'321買'!$A:$E,5,0),"'沒有資料'")</f>
        <v>'沒有資料'</v>
      </c>
      <c r="U151" s="186">
        <f>IFERROR(VLOOKUP($G151,基本資料!$A:$J,9,0),"無")</f>
        <v>1.5</v>
      </c>
      <c r="V151" s="310">
        <f t="shared" si="97"/>
        <v>2.5000000000000001E-2</v>
      </c>
      <c r="W151" s="94">
        <f>IFERROR(VLOOKUP($G151,基本資料!$A:$J,10,0),"無")</f>
        <v>3.02</v>
      </c>
      <c r="X151" s="36">
        <v>60</v>
      </c>
      <c r="Y151" s="45">
        <v>60</v>
      </c>
      <c r="Z151" s="15">
        <f t="shared" si="94"/>
        <v>0</v>
      </c>
      <c r="AA151" s="63">
        <f t="shared" si="95"/>
        <v>0</v>
      </c>
      <c r="AB151" s="99" t="s">
        <v>3477</v>
      </c>
      <c r="AC151" s="397">
        <f>IFERROR(VLOOKUP($G151,基本資料!$A:$M,12,0),"無")</f>
        <v>20.39</v>
      </c>
      <c r="AD151" s="16" t="s">
        <v>519</v>
      </c>
      <c r="AE151" s="84">
        <v>44474</v>
      </c>
      <c r="AF151" s="86">
        <v>44484</v>
      </c>
      <c r="AG151" s="33">
        <f t="shared" si="98"/>
        <v>10</v>
      </c>
      <c r="AH151" s="43" t="s">
        <v>2624</v>
      </c>
      <c r="AI151" s="187"/>
      <c r="AK151" s="245"/>
      <c r="AL151" s="245"/>
      <c r="AM151" s="285"/>
    </row>
    <row r="152" spans="1:39">
      <c r="A152" s="347">
        <f>IFERROR(VLOOKUP($G152,基本資料!$A:$J,3,0),"無")</f>
        <v>17.420000000000002</v>
      </c>
      <c r="B152" s="79">
        <f>IFERROR(VLOOKUP($G152,基本資料!$A:$J,4,0),"無")</f>
        <v>30</v>
      </c>
      <c r="C152" s="79">
        <f>IFERROR(VLOOKUP($G152,基本資料!$A:$J,5,0),"無")</f>
        <v>-3</v>
      </c>
      <c r="D152" s="79">
        <f>IFERROR(VLOOKUP($G152,基本資料!$A:$J,6,0),"無")</f>
        <v>-19</v>
      </c>
      <c r="E152" s="79">
        <f>IFERROR(VLOOKUP($G152,基本資料!$A:$J,7,0),"無")</f>
        <v>10</v>
      </c>
      <c r="F152" s="6">
        <f>IFERROR(VLOOKUP($G152,基本資料!$A:$J,8,0),"無")</f>
        <v>-6.13</v>
      </c>
      <c r="G152" s="80">
        <v>6209</v>
      </c>
      <c r="H152" s="236" t="s">
        <v>306</v>
      </c>
      <c r="I152" s="22" t="s">
        <v>173</v>
      </c>
      <c r="J152" s="8">
        <f>IFERROR(VLOOKUP($G152,今日總結!$A:$AJ,35,0),"")</f>
        <v>0</v>
      </c>
      <c r="K152" s="5" t="str">
        <f>IFERROR(VLOOKUP($G152,今日總結!$A:$AJ,36,0),"")</f>
        <v>融</v>
      </c>
      <c r="L152" s="156">
        <f>IFERROR(VLOOKUP($G152,今日總結!$A:$AJ,33,0),"")</f>
        <v>0</v>
      </c>
      <c r="M152" s="340">
        <f>IFERROR(VLOOKUP($G152,今日總結!$A:$AJ,34,0),"")</f>
        <v>1</v>
      </c>
      <c r="N152" s="240">
        <f t="shared" si="96"/>
        <v>-1</v>
      </c>
      <c r="P152" s="365">
        <f>IFERROR(VLOOKUP($G152,融外自投!$A:$J,7,0),"無")</f>
        <v>225</v>
      </c>
      <c r="Q152" s="79">
        <f>IFERROR(VLOOKUP($G152,融外自投!$A:$J,9,0),"無")</f>
        <v>537</v>
      </c>
      <c r="R152" s="346">
        <f>IFERROR(VLOOKUP($G152,融外自投!$A:$J,8,0),"無")</f>
        <v>1188</v>
      </c>
      <c r="S152" s="81" t="str">
        <f>IFERROR(VLOOKUP($G152,融外自投!$A:$J,10,0),"無")</f>
        <v>無</v>
      </c>
      <c r="T152" s="327">
        <f>IFERROR(VLOOKUP($G152,'321買'!$A:$E,5,0),"'沒有資料'")</f>
        <v>683</v>
      </c>
      <c r="U152" s="186">
        <f>IFERROR(VLOOKUP($G152,基本資料!$A:$J,9,0),"無")</f>
        <v>0.5</v>
      </c>
      <c r="V152" s="310">
        <f t="shared" si="97"/>
        <v>1.8018018018018018E-2</v>
      </c>
      <c r="W152" s="94">
        <f>IFERROR(VLOOKUP($G152,基本資料!$A:$J,10,0),"無")</f>
        <v>-0.91</v>
      </c>
      <c r="X152" s="36">
        <v>27.75</v>
      </c>
      <c r="Y152" s="66">
        <v>24</v>
      </c>
      <c r="Z152" s="15">
        <f t="shared" si="94"/>
        <v>3.75</v>
      </c>
      <c r="AA152" s="63">
        <f t="shared" si="95"/>
        <v>0.15625</v>
      </c>
      <c r="AB152" s="99" t="s">
        <v>3478</v>
      </c>
      <c r="AC152" s="397">
        <f>IFERROR(VLOOKUP($G152,基本資料!$A:$M,12,0),"無")</f>
        <v>23.99</v>
      </c>
      <c r="AD152" s="22" t="s">
        <v>173</v>
      </c>
      <c r="AE152" s="84">
        <v>44474</v>
      </c>
      <c r="AF152" s="86">
        <v>44484</v>
      </c>
      <c r="AG152" s="33">
        <f t="shared" si="98"/>
        <v>10</v>
      </c>
      <c r="AH152" s="119" t="s">
        <v>2031</v>
      </c>
      <c r="AI152" s="290"/>
      <c r="AK152" s="245"/>
      <c r="AL152" s="245"/>
      <c r="AM152" s="24"/>
    </row>
    <row r="153" spans="1:39">
      <c r="A153" s="347">
        <f>IFERROR(VLOOKUP($G153,基本資料!$A:$J,3,0),"無")</f>
        <v>35.25</v>
      </c>
      <c r="B153" s="79">
        <f>IFERROR(VLOOKUP($G153,基本資料!$A:$J,4,0),"無")</f>
        <v>26</v>
      </c>
      <c r="C153" s="79">
        <f>IFERROR(VLOOKUP($G153,基本資料!$A:$J,5,0),"無")</f>
        <v>23</v>
      </c>
      <c r="D153" s="79">
        <f>IFERROR(VLOOKUP($G153,基本資料!$A:$J,6,0),"無")</f>
        <v>64</v>
      </c>
      <c r="E153" s="79">
        <f>IFERROR(VLOOKUP($G153,基本資料!$A:$J,7,0),"無")</f>
        <v>0</v>
      </c>
      <c r="F153" s="6">
        <f>IFERROR(VLOOKUP($G153,基本資料!$A:$J,8,0),"無")</f>
        <v>-29581.65</v>
      </c>
      <c r="G153" s="80">
        <v>6541</v>
      </c>
      <c r="H153" s="5" t="s">
        <v>4726</v>
      </c>
      <c r="I153" s="22" t="s">
        <v>636</v>
      </c>
      <c r="J153" s="8" t="str">
        <f>IFERROR(VLOOKUP($G153,今日總結!$A:$AJ,35,0),"")</f>
        <v/>
      </c>
      <c r="K153" s="5" t="str">
        <f>IFERROR(VLOOKUP($G153,今日總結!$A:$AJ,36,0),"")</f>
        <v/>
      </c>
      <c r="L153" s="156" t="str">
        <f>IFERROR(VLOOKUP($G153,今日總結!$A:$AJ,33,0),"")</f>
        <v/>
      </c>
      <c r="M153" s="340" t="str">
        <f>IFERROR(VLOOKUP($G153,今日總結!$A:$AJ,34,0),"")</f>
        <v/>
      </c>
      <c r="N153" s="240" t="str">
        <f t="shared" si="96"/>
        <v/>
      </c>
      <c r="P153" s="365" t="str">
        <f>IFERROR(VLOOKUP($G153,融外自投!$A:$J,7,0),"無")</f>
        <v>無</v>
      </c>
      <c r="Q153" s="79" t="str">
        <f>IFERROR(VLOOKUP($G153,融外自投!$A:$J,9,0),"無")</f>
        <v>無</v>
      </c>
      <c r="R153" s="346" t="str">
        <f>IFERROR(VLOOKUP($G153,融外自投!$A:$J,8,0),"無")</f>
        <v>無</v>
      </c>
      <c r="S153" s="81" t="str">
        <f>IFERROR(VLOOKUP($G153,融外自投!$A:$J,10,0),"無")</f>
        <v>無</v>
      </c>
      <c r="T153" s="327" t="str">
        <f>IFERROR(VLOOKUP($G153,'321買'!$A:$E,5,0),"'沒有資料'")</f>
        <v>'沒有資料'</v>
      </c>
      <c r="U153" s="186">
        <f>IFERROR(VLOOKUP($G153,基本資料!$A:$J,9,0),"無")</f>
        <v>0</v>
      </c>
      <c r="V153" s="310">
        <f t="shared" si="97"/>
        <v>0</v>
      </c>
      <c r="W153" s="94">
        <f>IFERROR(VLOOKUP($G153,基本資料!$A:$J,10,0),"無")</f>
        <v>-4.74</v>
      </c>
      <c r="X153" s="36">
        <v>42.15</v>
      </c>
      <c r="Y153" s="66">
        <v>42</v>
      </c>
      <c r="Z153" s="15">
        <f t="shared" si="94"/>
        <v>0.14999999999999858</v>
      </c>
      <c r="AA153" s="63">
        <f t="shared" si="95"/>
        <v>3.5714285714285375E-3</v>
      </c>
      <c r="AB153" s="99" t="s">
        <v>3474</v>
      </c>
      <c r="AC153" s="397">
        <f>IFERROR(VLOOKUP($G153,基本資料!$A:$M,12,0),"無")</f>
        <v>57.32</v>
      </c>
      <c r="AD153" s="22" t="s">
        <v>636</v>
      </c>
      <c r="AE153" s="84">
        <v>44473</v>
      </c>
      <c r="AF153" s="86">
        <v>44483</v>
      </c>
      <c r="AG153" s="33">
        <f t="shared" si="98"/>
        <v>10</v>
      </c>
      <c r="AH153" s="43" t="s">
        <v>2125</v>
      </c>
      <c r="AI153" s="187"/>
      <c r="AK153" s="245"/>
      <c r="AL153" s="245"/>
      <c r="AM153" s="285"/>
    </row>
    <row r="154" spans="1:39">
      <c r="A154" s="347">
        <f>IFERROR(VLOOKUP($G154,基本資料!$A:$J,3,0),"無")</f>
        <v>10.95</v>
      </c>
      <c r="B154" s="79">
        <f>IFERROR(VLOOKUP($G154,基本資料!$A:$J,4,0),"無")</f>
        <v>734</v>
      </c>
      <c r="C154" s="79">
        <f>IFERROR(VLOOKUP($G154,基本資料!$A:$J,5,0),"無")</f>
        <v>429</v>
      </c>
      <c r="D154" s="79">
        <f>IFERROR(VLOOKUP($G154,基本資料!$A:$J,6,0),"無")</f>
        <v>74</v>
      </c>
      <c r="E154" s="79">
        <f>IFERROR(VLOOKUP($G154,基本資料!$A:$J,7,0),"無")</f>
        <v>23</v>
      </c>
      <c r="F154" s="6">
        <f>IFERROR(VLOOKUP($G154,基本資料!$A:$J,8,0),"無")</f>
        <v>5.7</v>
      </c>
      <c r="G154" s="80">
        <v>3162</v>
      </c>
      <c r="H154" s="8" t="s">
        <v>295</v>
      </c>
      <c r="I154" s="16" t="s">
        <v>6109</v>
      </c>
      <c r="J154" s="8" t="str">
        <f>IFERROR(VLOOKUP($G154,今日總結!$A:$AJ,35,0),"")</f>
        <v/>
      </c>
      <c r="K154" s="5" t="str">
        <f>IFERROR(VLOOKUP($G154,今日總結!$A:$AJ,36,0),"")</f>
        <v/>
      </c>
      <c r="L154" s="156" t="str">
        <f>IFERROR(VLOOKUP($G154,今日總結!$A:$AJ,33,0),"")</f>
        <v/>
      </c>
      <c r="M154" s="340" t="str">
        <f>IFERROR(VLOOKUP($G154,今日總結!$A:$AJ,34,0),"")</f>
        <v/>
      </c>
      <c r="N154" s="240" t="str">
        <f t="shared" si="96"/>
        <v/>
      </c>
      <c r="P154" s="365">
        <f>IFERROR(VLOOKUP($G154,融外自投!$A:$J,7,0),"無")</f>
        <v>230</v>
      </c>
      <c r="Q154" s="79" t="str">
        <f>IFERROR(VLOOKUP($G154,融外自投!$A:$J,9,0),"無")</f>
        <v>無</v>
      </c>
      <c r="R154" s="346">
        <f>IFERROR(VLOOKUP($G154,融外自投!$A:$J,8,0),"無")</f>
        <v>74</v>
      </c>
      <c r="S154" s="81" t="str">
        <f>IFERROR(VLOOKUP($G154,融外自投!$A:$J,10,0),"無")</f>
        <v>無</v>
      </c>
      <c r="T154" s="327">
        <f>IFERROR(VLOOKUP($G154,'321買'!$A:$E,5,0),"'沒有資料'")</f>
        <v>292</v>
      </c>
      <c r="U154" s="186">
        <f>IFERROR(VLOOKUP($G154,基本資料!$A:$J,9,0),"無")</f>
        <v>0</v>
      </c>
      <c r="V154" s="310">
        <f t="shared" si="97"/>
        <v>0</v>
      </c>
      <c r="W154" s="94">
        <f>IFERROR(VLOOKUP($G154,基本資料!$A:$J,10,0),"無")</f>
        <v>0.82</v>
      </c>
      <c r="X154" s="13">
        <v>45.5</v>
      </c>
      <c r="Y154" s="66">
        <v>40</v>
      </c>
      <c r="Z154" s="15">
        <f t="shared" si="94"/>
        <v>5.5</v>
      </c>
      <c r="AA154" s="63">
        <f t="shared" si="95"/>
        <v>0.13750000000000001</v>
      </c>
      <c r="AB154" s="99" t="s">
        <v>3473</v>
      </c>
      <c r="AC154" s="397">
        <f>IFERROR(VLOOKUP($G154,基本資料!$A:$M,12,0),"無")</f>
        <v>8.6199999999999992</v>
      </c>
      <c r="AD154" s="16" t="s">
        <v>531</v>
      </c>
      <c r="AE154" s="84">
        <v>44470</v>
      </c>
      <c r="AF154" s="86">
        <v>44481</v>
      </c>
      <c r="AG154" s="33">
        <f t="shared" si="98"/>
        <v>11</v>
      </c>
      <c r="AH154" s="43" t="s">
        <v>3454</v>
      </c>
      <c r="AI154" s="187"/>
      <c r="AK154" s="245"/>
      <c r="AL154" s="245"/>
      <c r="AM154" s="285"/>
    </row>
    <row r="155" spans="1:39">
      <c r="A155" s="347">
        <f>IFERROR(VLOOKUP($G155,基本資料!$A:$J,3,0),"無")</f>
        <v>3.73</v>
      </c>
      <c r="B155" s="79">
        <f>IFERROR(VLOOKUP($G155,基本資料!$A:$J,4,0),"無")</f>
        <v>89</v>
      </c>
      <c r="C155" s="79">
        <f>IFERROR(VLOOKUP($G155,基本資料!$A:$J,5,0),"無")</f>
        <v>87</v>
      </c>
      <c r="D155" s="79">
        <f>IFERROR(VLOOKUP($G155,基本資料!$A:$J,6,0),"無")</f>
        <v>-17</v>
      </c>
      <c r="E155" s="79">
        <f>IFERROR(VLOOKUP($G155,基本資料!$A:$J,7,0),"無")</f>
        <v>-8</v>
      </c>
      <c r="F155" s="6">
        <f>IFERROR(VLOOKUP($G155,基本資料!$A:$J,8,0),"無")</f>
        <v>32.17</v>
      </c>
      <c r="G155" s="80">
        <v>6642</v>
      </c>
      <c r="H155" s="5" t="s">
        <v>3389</v>
      </c>
      <c r="I155" s="16" t="s">
        <v>1682</v>
      </c>
      <c r="J155" s="8" t="str">
        <f>IFERROR(VLOOKUP($G155,今日總結!$A:$AJ,35,0),"")</f>
        <v/>
      </c>
      <c r="K155" s="5" t="str">
        <f>IFERROR(VLOOKUP($G155,今日總結!$A:$AJ,36,0),"")</f>
        <v/>
      </c>
      <c r="L155" s="156" t="str">
        <f>IFERROR(VLOOKUP($G155,今日總結!$A:$AJ,33,0),"")</f>
        <v/>
      </c>
      <c r="M155" s="340" t="str">
        <f>IFERROR(VLOOKUP($G155,今日總結!$A:$AJ,34,0),"")</f>
        <v/>
      </c>
      <c r="N155" s="240" t="str">
        <f t="shared" si="96"/>
        <v/>
      </c>
      <c r="P155" s="365">
        <f>IFERROR(VLOOKUP($G155,融外自投!$A:$J,7,0),"無")</f>
        <v>146</v>
      </c>
      <c r="Q155" s="79" t="str">
        <f>IFERROR(VLOOKUP($G155,融外自投!$A:$J,9,0),"無")</f>
        <v>無</v>
      </c>
      <c r="R155" s="346">
        <f>IFERROR(VLOOKUP($G155,融外自投!$A:$J,8,0),"無")</f>
        <v>889</v>
      </c>
      <c r="S155" s="81" t="str">
        <f>IFERROR(VLOOKUP($G155,融外自投!$A:$J,10,0),"無")</f>
        <v>無</v>
      </c>
      <c r="T155" s="327">
        <f>IFERROR(VLOOKUP($G155,'321買'!$A:$E,5,0),"'沒有資料'")</f>
        <v>964</v>
      </c>
      <c r="U155" s="186">
        <f>IFERROR(VLOOKUP($G155,基本資料!$A:$J,9,0),"無")</f>
        <v>3.6</v>
      </c>
      <c r="V155" s="310">
        <f t="shared" si="97"/>
        <v>5.3333333333333337E-2</v>
      </c>
      <c r="W155" s="94">
        <f>IFERROR(VLOOKUP($G155,基本資料!$A:$J,10,0),"無")</f>
        <v>4.6500000000000004</v>
      </c>
      <c r="X155" s="36">
        <v>67.5</v>
      </c>
      <c r="Y155" s="45">
        <v>62</v>
      </c>
      <c r="Z155" s="15">
        <f t="shared" si="94"/>
        <v>5.5</v>
      </c>
      <c r="AA155" s="63">
        <f t="shared" si="95"/>
        <v>8.8709677419354843E-2</v>
      </c>
      <c r="AB155" s="99" t="s">
        <v>3467</v>
      </c>
      <c r="AC155" s="397">
        <f>IFERROR(VLOOKUP($G155,基本資料!$A:$M,12,0),"無")</f>
        <v>17.57</v>
      </c>
      <c r="AD155" s="16" t="s">
        <v>1682</v>
      </c>
      <c r="AE155" s="84">
        <v>44469</v>
      </c>
      <c r="AF155" s="86">
        <v>44481</v>
      </c>
      <c r="AG155" s="33">
        <f t="shared" si="98"/>
        <v>12</v>
      </c>
      <c r="AH155" s="43" t="s">
        <v>3073</v>
      </c>
      <c r="AI155" s="187"/>
      <c r="AK155" s="245"/>
      <c r="AL155" s="245"/>
      <c r="AM155" s="285"/>
    </row>
    <row r="156" spans="1:39">
      <c r="A156" s="347">
        <f>IFERROR(VLOOKUP($G156,基本資料!$A:$J,3,0),"無")</f>
        <v>6.81</v>
      </c>
      <c r="B156" s="79">
        <f>IFERROR(VLOOKUP($G156,基本資料!$A:$J,4,0),"無")</f>
        <v>35</v>
      </c>
      <c r="C156" s="79">
        <f>IFERROR(VLOOKUP($G156,基本資料!$A:$J,5,0),"無")</f>
        <v>55</v>
      </c>
      <c r="D156" s="79">
        <f>IFERROR(VLOOKUP($G156,基本資料!$A:$J,6,0),"無")</f>
        <v>-24</v>
      </c>
      <c r="E156" s="79">
        <f>IFERROR(VLOOKUP($G156,基本資料!$A:$J,7,0),"無")</f>
        <v>36</v>
      </c>
      <c r="F156" s="6">
        <f>IFERROR(VLOOKUP($G156,基本資料!$A:$J,8,0),"無")</f>
        <v>-1.79</v>
      </c>
      <c r="G156" s="80">
        <v>3224</v>
      </c>
      <c r="H156" s="5" t="s">
        <v>329</v>
      </c>
      <c r="I156" s="16" t="s">
        <v>815</v>
      </c>
      <c r="J156" s="8">
        <f>IFERROR(VLOOKUP($G156,今日總結!$A:$AJ,35,0),"")</f>
        <v>0</v>
      </c>
      <c r="K156" s="5">
        <f>IFERROR(VLOOKUP($G156,今日總結!$A:$AJ,36,0),"")</f>
        <v>0</v>
      </c>
      <c r="L156" s="156">
        <f>IFERROR(VLOOKUP($G156,今日總結!$A:$AJ,33,0),"")</f>
        <v>0</v>
      </c>
      <c r="M156" s="340">
        <f>IFERROR(VLOOKUP($G156,今日總結!$A:$AJ,34,0),"")</f>
        <v>1</v>
      </c>
      <c r="N156" s="240">
        <f t="shared" si="96"/>
        <v>-1</v>
      </c>
      <c r="P156" s="365">
        <f>IFERROR(VLOOKUP($G156,融外自投!$A:$J,7,0),"無")</f>
        <v>75</v>
      </c>
      <c r="Q156" s="79">
        <f>IFERROR(VLOOKUP($G156,融外自投!$A:$J,9,0),"無")</f>
        <v>762</v>
      </c>
      <c r="R156" s="346">
        <f>IFERROR(VLOOKUP($G156,融外自投!$A:$J,8,0),"無")</f>
        <v>1110</v>
      </c>
      <c r="S156" s="81" t="str">
        <f>IFERROR(VLOOKUP($G156,融外自投!$A:$J,10,0),"無")</f>
        <v>無</v>
      </c>
      <c r="T156" s="327">
        <f>IFERROR(VLOOKUP($G156,'321買'!$A:$E,5,0),"'沒有資料'")</f>
        <v>536</v>
      </c>
      <c r="U156" s="186">
        <f>IFERROR(VLOOKUP($G156,基本資料!$A:$J,9,0),"無")</f>
        <v>0</v>
      </c>
      <c r="V156" s="310">
        <f t="shared" si="97"/>
        <v>0</v>
      </c>
      <c r="W156" s="94">
        <f>IFERROR(VLOOKUP($G156,基本資料!$A:$J,10,0),"無")</f>
        <v>-0.4</v>
      </c>
      <c r="X156" s="36">
        <v>40.049999999999997</v>
      </c>
      <c r="Y156" s="66">
        <v>39.5</v>
      </c>
      <c r="Z156" s="15">
        <f t="shared" si="94"/>
        <v>0.54999999999999716</v>
      </c>
      <c r="AA156" s="63">
        <f t="shared" si="95"/>
        <v>1.3924050632911321E-2</v>
      </c>
      <c r="AB156" s="99" t="s">
        <v>1674</v>
      </c>
      <c r="AC156" s="397">
        <f>IFERROR(VLOOKUP($G156,基本資料!$A:$M,12,0),"無")</f>
        <v>50.48</v>
      </c>
      <c r="AD156" s="16" t="s">
        <v>815</v>
      </c>
      <c r="AE156" s="84">
        <v>44469</v>
      </c>
      <c r="AF156" s="86">
        <v>44481</v>
      </c>
      <c r="AG156" s="33">
        <f t="shared" si="98"/>
        <v>12</v>
      </c>
      <c r="AH156" s="43" t="s">
        <v>2651</v>
      </c>
      <c r="AI156" s="187"/>
      <c r="AK156" s="245"/>
      <c r="AL156" s="245"/>
      <c r="AM156" s="285"/>
    </row>
    <row r="157" spans="1:39">
      <c r="A157" s="347">
        <f>IFERROR(VLOOKUP($G157,基本資料!$A:$J,3,0),"無")</f>
        <v>26.71</v>
      </c>
      <c r="B157" s="79">
        <f>IFERROR(VLOOKUP($G157,基本資料!$A:$J,4,0),"無")</f>
        <v>-28</v>
      </c>
      <c r="C157" s="79">
        <f>IFERROR(VLOOKUP($G157,基本資料!$A:$J,5,0),"無")</f>
        <v>-19</v>
      </c>
      <c r="D157" s="79">
        <f>IFERROR(VLOOKUP($G157,基本資料!$A:$J,6,0),"無")</f>
        <v>13</v>
      </c>
      <c r="E157" s="79">
        <f>IFERROR(VLOOKUP($G157,基本資料!$A:$J,7,0),"無")</f>
        <v>-11</v>
      </c>
      <c r="F157" s="6">
        <f>IFERROR(VLOOKUP($G157,基本資料!$A:$J,8,0),"無")</f>
        <v>12.51</v>
      </c>
      <c r="G157" s="80">
        <v>6790</v>
      </c>
      <c r="H157" s="5" t="s">
        <v>1960</v>
      </c>
      <c r="I157" s="22" t="s">
        <v>3438</v>
      </c>
      <c r="J157" s="8">
        <f>IFERROR(VLOOKUP($G157,今日總結!$A:$AJ,35,0),"")</f>
        <v>0</v>
      </c>
      <c r="K157" s="5">
        <f>IFERROR(VLOOKUP($G157,今日總結!$A:$AJ,36,0),"")</f>
        <v>0</v>
      </c>
      <c r="L157" s="156">
        <f>IFERROR(VLOOKUP($G157,今日總結!$A:$AJ,33,0),"")</f>
        <v>0</v>
      </c>
      <c r="M157" s="340">
        <f>IFERROR(VLOOKUP($G157,今日總結!$A:$AJ,34,0),"")</f>
        <v>1</v>
      </c>
      <c r="N157" s="240">
        <f t="shared" si="96"/>
        <v>-1</v>
      </c>
      <c r="P157" s="365">
        <f>IFERROR(VLOOKUP($G157,融外自投!$A:$J,7,0),"無")</f>
        <v>1466</v>
      </c>
      <c r="Q157" s="79">
        <f>IFERROR(VLOOKUP($G157,融外自投!$A:$J,9,0),"無")</f>
        <v>466</v>
      </c>
      <c r="R157" s="346">
        <f>IFERROR(VLOOKUP($G157,融外自投!$A:$J,8,0),"無")</f>
        <v>898</v>
      </c>
      <c r="S157" s="81" t="str">
        <f>IFERROR(VLOOKUP($G157,融外自投!$A:$J,10,0),"無")</f>
        <v>無</v>
      </c>
      <c r="T157" s="327">
        <f>IFERROR(VLOOKUP($G157,'321買'!$A:$E,5,0),"'沒有資料'")</f>
        <v>1198</v>
      </c>
      <c r="U157" s="186">
        <f>IFERROR(VLOOKUP($G157,基本資料!$A:$J,9,0),"無")</f>
        <v>3</v>
      </c>
      <c r="V157" s="310">
        <f t="shared" si="97"/>
        <v>6.1538461538461542E-2</v>
      </c>
      <c r="W157" s="94">
        <f>IFERROR(VLOOKUP($G157,基本資料!$A:$J,10,0),"無")</f>
        <v>4.24</v>
      </c>
      <c r="X157" s="36">
        <v>48.75</v>
      </c>
      <c r="Y157" s="66">
        <v>52</v>
      </c>
      <c r="Z157" s="15">
        <f t="shared" ref="Z157:Z165" si="99">X157-Y157</f>
        <v>-3.25</v>
      </c>
      <c r="AA157" s="76">
        <f t="shared" ref="AA157:AA165" si="100">Z157/Y157</f>
        <v>-6.25E-2</v>
      </c>
      <c r="AB157" s="99" t="s">
        <v>3471</v>
      </c>
      <c r="AC157" s="397" t="str">
        <f>IFERROR(VLOOKUP($G157,基本資料!$A:$M,12,0),"無")</f>
        <v>無</v>
      </c>
      <c r="AD157" s="22" t="s">
        <v>3438</v>
      </c>
      <c r="AE157" s="84">
        <v>44468</v>
      </c>
      <c r="AF157" s="86">
        <v>44481</v>
      </c>
      <c r="AG157" s="33">
        <f t="shared" si="98"/>
        <v>13</v>
      </c>
      <c r="AH157" s="43" t="s">
        <v>3439</v>
      </c>
      <c r="AI157" s="187"/>
      <c r="AK157" s="245"/>
      <c r="AL157" s="245"/>
      <c r="AM157" s="285"/>
    </row>
    <row r="158" spans="1:39">
      <c r="A158" s="347">
        <f>IFERROR(VLOOKUP($G158,基本資料!$A:$J,3,0),"無")</f>
        <v>3.47</v>
      </c>
      <c r="B158" s="79">
        <f>IFERROR(VLOOKUP($G158,基本資料!$A:$J,4,0),"無")</f>
        <v>43</v>
      </c>
      <c r="C158" s="79">
        <f>IFERROR(VLOOKUP($G158,基本資料!$A:$J,5,0),"無")</f>
        <v>46</v>
      </c>
      <c r="D158" s="79">
        <f>IFERROR(VLOOKUP($G158,基本資料!$A:$J,6,0),"無")</f>
        <v>-9</v>
      </c>
      <c r="E158" s="79">
        <f>IFERROR(VLOOKUP($G158,基本資料!$A:$J,7,0),"無")</f>
        <v>10</v>
      </c>
      <c r="F158" s="6">
        <f>IFERROR(VLOOKUP($G158,基本資料!$A:$J,8,0),"無")</f>
        <v>27</v>
      </c>
      <c r="G158" s="80">
        <v>6788</v>
      </c>
      <c r="H158" s="193" t="s">
        <v>3039</v>
      </c>
      <c r="I158" s="16" t="s">
        <v>3440</v>
      </c>
      <c r="J158" s="8" t="str">
        <f>IFERROR(VLOOKUP($G158,今日總結!$A:$AJ,35,0),"")</f>
        <v/>
      </c>
      <c r="K158" s="5" t="str">
        <f>IFERROR(VLOOKUP($G158,今日總結!$A:$AJ,36,0),"")</f>
        <v/>
      </c>
      <c r="L158" s="156" t="str">
        <f>IFERROR(VLOOKUP($G158,今日總結!$A:$AJ,33,0),"")</f>
        <v/>
      </c>
      <c r="M158" s="340" t="str">
        <f>IFERROR(VLOOKUP($G158,今日總結!$A:$AJ,34,0),"")</f>
        <v/>
      </c>
      <c r="N158" s="240" t="str">
        <f t="shared" si="96"/>
        <v/>
      </c>
      <c r="P158" s="365">
        <f>IFERROR(VLOOKUP($G158,融外自投!$A:$J,7,0),"無")</f>
        <v>1067</v>
      </c>
      <c r="Q158" s="79">
        <f>IFERROR(VLOOKUP($G158,融外自投!$A:$J,9,0),"無")</f>
        <v>936</v>
      </c>
      <c r="R158" s="346">
        <f>IFERROR(VLOOKUP($G158,融外自投!$A:$J,8,0),"無")</f>
        <v>972</v>
      </c>
      <c r="S158" s="81" t="str">
        <f>IFERROR(VLOOKUP($G158,融外自投!$A:$J,10,0),"無")</f>
        <v>無</v>
      </c>
      <c r="T158" s="327">
        <f>IFERROR(VLOOKUP($G158,'321買'!$A:$E,5,0),"'沒有資料'")</f>
        <v>1007</v>
      </c>
      <c r="U158" s="186">
        <f>IFERROR(VLOOKUP($G158,基本資料!$A:$J,9,0),"無")</f>
        <v>5</v>
      </c>
      <c r="V158" s="310">
        <f t="shared" si="97"/>
        <v>2.5252525252525252E-2</v>
      </c>
      <c r="W158" s="94">
        <f>IFERROR(VLOOKUP($G158,基本資料!$A:$J,10,0),"無")</f>
        <v>7.08</v>
      </c>
      <c r="X158" s="36">
        <v>198</v>
      </c>
      <c r="Y158" s="66">
        <v>125</v>
      </c>
      <c r="Z158" s="15">
        <f t="shared" si="99"/>
        <v>73</v>
      </c>
      <c r="AA158" s="63">
        <f t="shared" si="100"/>
        <v>0.58399999999999996</v>
      </c>
      <c r="AB158" s="99" t="s">
        <v>3470</v>
      </c>
      <c r="AC158" s="397" t="str">
        <f>IFERROR(VLOOKUP($G158,基本資料!$A:$M,12,0),"無")</f>
        <v>無</v>
      </c>
      <c r="AD158" s="16" t="s">
        <v>3440</v>
      </c>
      <c r="AE158" s="84">
        <v>44468</v>
      </c>
      <c r="AF158" s="86">
        <v>44481</v>
      </c>
      <c r="AG158" s="33">
        <f t="shared" si="98"/>
        <v>13</v>
      </c>
      <c r="AH158" s="43" t="s">
        <v>3441</v>
      </c>
      <c r="AI158" s="187"/>
      <c r="AK158" s="245"/>
      <c r="AL158" s="245"/>
      <c r="AM158" s="285"/>
    </row>
    <row r="159" spans="1:39">
      <c r="A159" s="347">
        <f>IFERROR(VLOOKUP($G159,基本資料!$A:$J,3,0),"無")</f>
        <v>22.63</v>
      </c>
      <c r="B159" s="79">
        <f>IFERROR(VLOOKUP($G159,基本資料!$A:$J,4,0),"無")</f>
        <v>-146</v>
      </c>
      <c r="C159" s="79">
        <f>IFERROR(VLOOKUP($G159,基本資料!$A:$J,5,0),"無")</f>
        <v>38</v>
      </c>
      <c r="D159" s="79">
        <f>IFERROR(VLOOKUP($G159,基本資料!$A:$J,6,0),"無")</f>
        <v>-7</v>
      </c>
      <c r="E159" s="79">
        <f>IFERROR(VLOOKUP($G159,基本資料!$A:$J,7,0),"無")</f>
        <v>-20</v>
      </c>
      <c r="F159" s="6">
        <f>IFERROR(VLOOKUP($G159,基本資料!$A:$J,8,0),"無")</f>
        <v>-24.6</v>
      </c>
      <c r="G159" s="80">
        <v>5324</v>
      </c>
      <c r="H159" s="5" t="s">
        <v>4003</v>
      </c>
      <c r="I159" s="16" t="s">
        <v>886</v>
      </c>
      <c r="J159" s="8" t="str">
        <f>IFERROR(VLOOKUP($G159,今日總結!$A:$AJ,35,0),"")</f>
        <v/>
      </c>
      <c r="K159" s="5" t="str">
        <f>IFERROR(VLOOKUP($G159,今日總結!$A:$AJ,36,0),"")</f>
        <v/>
      </c>
      <c r="L159" s="156" t="str">
        <f>IFERROR(VLOOKUP($G159,今日總結!$A:$AJ,33,0),"")</f>
        <v/>
      </c>
      <c r="M159" s="340" t="str">
        <f>IFERROR(VLOOKUP($G159,今日總結!$A:$AJ,34,0),"")</f>
        <v/>
      </c>
      <c r="N159" s="240" t="str">
        <f t="shared" si="96"/>
        <v/>
      </c>
      <c r="P159" s="365" t="str">
        <f>IFERROR(VLOOKUP($G159,融外自投!$A:$J,7,0),"無")</f>
        <v>無</v>
      </c>
      <c r="Q159" s="79" t="str">
        <f>IFERROR(VLOOKUP($G159,融外自投!$A:$J,9,0),"無")</f>
        <v>無</v>
      </c>
      <c r="R159" s="346" t="str">
        <f>IFERROR(VLOOKUP($G159,融外自投!$A:$J,8,0),"無")</f>
        <v>無</v>
      </c>
      <c r="S159" s="81" t="str">
        <f>IFERROR(VLOOKUP($G159,融外自投!$A:$J,10,0),"無")</f>
        <v>無</v>
      </c>
      <c r="T159" s="327" t="str">
        <f>IFERROR(VLOOKUP($G159,'321買'!$A:$E,5,0),"'沒有資料'")</f>
        <v>'沒有資料'</v>
      </c>
      <c r="U159" s="186">
        <f>IFERROR(VLOOKUP($G159,基本資料!$A:$J,9,0),"無")</f>
        <v>0</v>
      </c>
      <c r="V159" s="310">
        <f t="shared" si="97"/>
        <v>0</v>
      </c>
      <c r="W159" s="94">
        <f>IFERROR(VLOOKUP($G159,基本資料!$A:$J,10,0),"無")</f>
        <v>-0.64</v>
      </c>
      <c r="X159" s="36">
        <v>9.3000000000000007</v>
      </c>
      <c r="Y159" s="66">
        <v>9.5</v>
      </c>
      <c r="Z159" s="15">
        <f t="shared" si="99"/>
        <v>-0.19999999999999929</v>
      </c>
      <c r="AA159" s="76">
        <f t="shared" si="100"/>
        <v>-2.1052631578947295E-2</v>
      </c>
      <c r="AB159" s="100" t="s">
        <v>3469</v>
      </c>
      <c r="AC159" s="397">
        <f>IFERROR(VLOOKUP($G159,基本資料!$A:$M,12,0),"無")</f>
        <v>64.510000000000005</v>
      </c>
      <c r="AD159" s="16" t="s">
        <v>886</v>
      </c>
      <c r="AE159" s="84">
        <v>44468</v>
      </c>
      <c r="AF159" s="86">
        <v>44481</v>
      </c>
      <c r="AG159" s="33">
        <f t="shared" si="98"/>
        <v>13</v>
      </c>
      <c r="AH159" s="43" t="s">
        <v>2668</v>
      </c>
      <c r="AI159" s="187"/>
      <c r="AK159" s="245"/>
      <c r="AL159" s="245"/>
      <c r="AM159" s="285"/>
    </row>
    <row r="160" spans="1:39">
      <c r="A160" s="347">
        <f>IFERROR(VLOOKUP($G160,基本資料!$A:$J,3,0),"無")</f>
        <v>8.57</v>
      </c>
      <c r="B160" s="79">
        <f>IFERROR(VLOOKUP($G160,基本資料!$A:$J,4,0),"無")</f>
        <v>274</v>
      </c>
      <c r="C160" s="79">
        <f>IFERROR(VLOOKUP($G160,基本資料!$A:$J,5,0),"無")</f>
        <v>58</v>
      </c>
      <c r="D160" s="79">
        <f>IFERROR(VLOOKUP($G160,基本資料!$A:$J,6,0),"無")</f>
        <v>-27</v>
      </c>
      <c r="E160" s="79">
        <f>IFERROR(VLOOKUP($G160,基本資料!$A:$J,7,0),"無")</f>
        <v>26</v>
      </c>
      <c r="F160" s="6">
        <f>IFERROR(VLOOKUP($G160,基本資料!$A:$J,8,0),"無")</f>
        <v>8.6999999999999993</v>
      </c>
      <c r="G160" s="80">
        <v>1760</v>
      </c>
      <c r="H160" s="193" t="s">
        <v>4726</v>
      </c>
      <c r="I160" s="22" t="s">
        <v>6116</v>
      </c>
      <c r="J160" s="8">
        <f>IFERROR(VLOOKUP($G160,今日總結!$A:$AJ,35,0),"")</f>
        <v>0</v>
      </c>
      <c r="K160" s="5">
        <f>IFERROR(VLOOKUP($G160,今日總結!$A:$AJ,36,0),"")</f>
        <v>3492</v>
      </c>
      <c r="L160" s="156">
        <f>IFERROR(VLOOKUP($G160,今日總結!$A:$AJ,33,0),"")</f>
        <v>0</v>
      </c>
      <c r="M160" s="340">
        <f>IFERROR(VLOOKUP($G160,今日總結!$A:$AJ,34,0),"")</f>
        <v>4</v>
      </c>
      <c r="N160" s="240">
        <f t="shared" si="96"/>
        <v>-4</v>
      </c>
      <c r="P160" s="365">
        <f>IFERROR(VLOOKUP($G160,融外自投!$A:$J,7,0),"無")</f>
        <v>85</v>
      </c>
      <c r="Q160" s="79">
        <f>IFERROR(VLOOKUP($G160,融外自投!$A:$J,9,0),"無")</f>
        <v>92</v>
      </c>
      <c r="R160" s="346">
        <f>IFERROR(VLOOKUP($G160,融外自投!$A:$J,8,0),"無")</f>
        <v>560</v>
      </c>
      <c r="S160" s="81" t="str">
        <f>IFERROR(VLOOKUP($G160,融外自投!$A:$J,10,0),"無")</f>
        <v>無</v>
      </c>
      <c r="T160" s="327">
        <f>IFERROR(VLOOKUP($G160,'321買'!$A:$E,5,0),"'沒有資料'")</f>
        <v>292</v>
      </c>
      <c r="U160" s="186">
        <f>IFERROR(VLOOKUP($G160,基本資料!$A:$J,9,0),"無")</f>
        <v>1.5</v>
      </c>
      <c r="V160" s="310">
        <f t="shared" si="97"/>
        <v>2.2865853658536588E-2</v>
      </c>
      <c r="W160" s="94">
        <f>IFERROR(VLOOKUP($G160,基本資料!$A:$J,10,0),"無")</f>
        <v>1.32</v>
      </c>
      <c r="X160" s="36">
        <v>65.599999999999994</v>
      </c>
      <c r="Y160" s="66">
        <v>70</v>
      </c>
      <c r="Z160" s="15">
        <f t="shared" si="99"/>
        <v>-4.4000000000000057</v>
      </c>
      <c r="AA160" s="76">
        <f t="shared" si="100"/>
        <v>-6.2857142857142945E-2</v>
      </c>
      <c r="AB160" s="99" t="s">
        <v>3468</v>
      </c>
      <c r="AC160" s="397">
        <f>IFERROR(VLOOKUP($G160,基本資料!$A:$M,12,0),"無")</f>
        <v>53.97</v>
      </c>
      <c r="AD160" s="22" t="s">
        <v>628</v>
      </c>
      <c r="AE160" s="84">
        <v>44468</v>
      </c>
      <c r="AF160" s="86">
        <v>44481</v>
      </c>
      <c r="AG160" s="33">
        <f t="shared" si="98"/>
        <v>13</v>
      </c>
      <c r="AH160" s="43" t="s">
        <v>2809</v>
      </c>
      <c r="AI160" s="187"/>
      <c r="AK160" s="245"/>
      <c r="AL160" s="245"/>
      <c r="AM160" s="285"/>
    </row>
    <row r="161" spans="1:39">
      <c r="A161" s="347">
        <f>IFERROR(VLOOKUP($G161,基本資料!$A:$J,3,0),"無")</f>
        <v>5.16</v>
      </c>
      <c r="B161" s="79">
        <f>IFERROR(VLOOKUP($G161,基本資料!$A:$J,4,0),"無")</f>
        <v>251</v>
      </c>
      <c r="C161" s="79">
        <f>IFERROR(VLOOKUP($G161,基本資料!$A:$J,5,0),"無")</f>
        <v>82</v>
      </c>
      <c r="D161" s="79">
        <f>IFERROR(VLOOKUP($G161,基本資料!$A:$J,6,0),"無")</f>
        <v>-12</v>
      </c>
      <c r="E161" s="79">
        <f>IFERROR(VLOOKUP($G161,基本資料!$A:$J,7,0),"無")</f>
        <v>-31</v>
      </c>
      <c r="F161" s="6">
        <f>IFERROR(VLOOKUP($G161,基本資料!$A:$J,8,0),"無")</f>
        <v>-1.1100000000000001</v>
      </c>
      <c r="G161" s="80">
        <v>3339</v>
      </c>
      <c r="H161" s="5" t="s">
        <v>306</v>
      </c>
      <c r="I161" s="16" t="s">
        <v>4172</v>
      </c>
      <c r="J161" s="8" t="str">
        <f>IFERROR(VLOOKUP($G161,今日總結!$A:$AJ,35,0),"")</f>
        <v/>
      </c>
      <c r="K161" s="5" t="str">
        <f>IFERROR(VLOOKUP($G161,今日總結!$A:$AJ,36,0),"")</f>
        <v/>
      </c>
      <c r="L161" s="156" t="str">
        <f>IFERROR(VLOOKUP($G161,今日總結!$A:$AJ,33,0),"")</f>
        <v/>
      </c>
      <c r="M161" s="340" t="str">
        <f>IFERROR(VLOOKUP($G161,今日總結!$A:$AJ,34,0),"")</f>
        <v/>
      </c>
      <c r="N161" s="240" t="str">
        <f t="shared" si="96"/>
        <v/>
      </c>
      <c r="P161" s="365">
        <f>IFERROR(VLOOKUP($G161,融外自投!$A:$J,7,0),"無")</f>
        <v>223</v>
      </c>
      <c r="Q161" s="79">
        <f>IFERROR(VLOOKUP($G161,融外自投!$A:$J,9,0),"無")</f>
        <v>350</v>
      </c>
      <c r="R161" s="346">
        <f>IFERROR(VLOOKUP($G161,融外自投!$A:$J,8,0),"無")</f>
        <v>936</v>
      </c>
      <c r="S161" s="81" t="str">
        <f>IFERROR(VLOOKUP($G161,融外自投!$A:$J,10,0),"無")</f>
        <v>無</v>
      </c>
      <c r="T161" s="327">
        <f>IFERROR(VLOOKUP($G161,'321買'!$A:$E,5,0),"'沒有資料'")</f>
        <v>1143</v>
      </c>
      <c r="U161" s="186">
        <f>IFERROR(VLOOKUP($G161,基本資料!$A:$J,9,0),"無")</f>
        <v>0</v>
      </c>
      <c r="V161" s="310">
        <f t="shared" si="97"/>
        <v>0</v>
      </c>
      <c r="W161" s="94">
        <f>IFERROR(VLOOKUP($G161,基本資料!$A:$J,10,0),"無")</f>
        <v>1.77</v>
      </c>
      <c r="X161" s="36">
        <v>18</v>
      </c>
      <c r="Y161" s="66">
        <v>15</v>
      </c>
      <c r="Z161" s="15">
        <f t="shared" si="99"/>
        <v>3</v>
      </c>
      <c r="AA161" s="63">
        <f t="shared" si="100"/>
        <v>0.2</v>
      </c>
      <c r="AB161" s="99" t="s">
        <v>3036</v>
      </c>
      <c r="AC161" s="397">
        <f>IFERROR(VLOOKUP($G161,基本資料!$A:$M,12,0),"無")</f>
        <v>9.34</v>
      </c>
      <c r="AD161" s="16" t="s">
        <v>453</v>
      </c>
      <c r="AE161" s="84">
        <v>44466</v>
      </c>
      <c r="AF161" s="86">
        <v>44476</v>
      </c>
      <c r="AG161" s="33">
        <f t="shared" si="98"/>
        <v>10</v>
      </c>
      <c r="AH161" s="43" t="s">
        <v>2433</v>
      </c>
      <c r="AI161" s="187"/>
      <c r="AK161" s="245"/>
      <c r="AL161" s="245"/>
      <c r="AM161" s="285"/>
    </row>
    <row r="162" spans="1:39">
      <c r="A162" s="347">
        <f>IFERROR(VLOOKUP($G162,基本資料!$A:$J,3,0),"無")</f>
        <v>8.81</v>
      </c>
      <c r="B162" s="79">
        <f>IFERROR(VLOOKUP($G162,基本資料!$A:$J,4,0),"無")</f>
        <v>-17</v>
      </c>
      <c r="C162" s="79">
        <f>IFERROR(VLOOKUP($G162,基本資料!$A:$J,5,0),"無")</f>
        <v>-28</v>
      </c>
      <c r="D162" s="79">
        <f>IFERROR(VLOOKUP($G162,基本資料!$A:$J,6,0),"無")</f>
        <v>13</v>
      </c>
      <c r="E162" s="79">
        <f>IFERROR(VLOOKUP($G162,基本資料!$A:$J,7,0),"無")</f>
        <v>-15</v>
      </c>
      <c r="F162" s="6">
        <f>IFERROR(VLOOKUP($G162,基本資料!$A:$J,8,0),"無")</f>
        <v>6.45</v>
      </c>
      <c r="G162" s="79">
        <v>6179</v>
      </c>
      <c r="H162" s="8" t="s">
        <v>1960</v>
      </c>
      <c r="I162" s="16" t="s">
        <v>645</v>
      </c>
      <c r="J162" s="8" t="str">
        <f>IFERROR(VLOOKUP($G162,今日總結!$A:$AJ,35,0),"")</f>
        <v/>
      </c>
      <c r="K162" s="5" t="str">
        <f>IFERROR(VLOOKUP($G162,今日總結!$A:$AJ,36,0),"")</f>
        <v/>
      </c>
      <c r="L162" s="156" t="str">
        <f>IFERROR(VLOOKUP($G162,今日總結!$A:$AJ,33,0),"")</f>
        <v/>
      </c>
      <c r="M162" s="340" t="str">
        <f>IFERROR(VLOOKUP($G162,今日總結!$A:$AJ,34,0),"")</f>
        <v/>
      </c>
      <c r="N162" s="240" t="str">
        <f t="shared" si="96"/>
        <v/>
      </c>
      <c r="P162" s="365">
        <f>IFERROR(VLOOKUP($G162,融外自投!$A:$J,7,0),"無")</f>
        <v>313</v>
      </c>
      <c r="Q162" s="79" t="str">
        <f>IFERROR(VLOOKUP($G162,融外自投!$A:$J,9,0),"無")</f>
        <v>無</v>
      </c>
      <c r="R162" s="346">
        <f>IFERROR(VLOOKUP($G162,融外自投!$A:$J,8,0),"無")</f>
        <v>1263</v>
      </c>
      <c r="S162" s="81" t="str">
        <f>IFERROR(VLOOKUP($G162,融外自投!$A:$J,10,0),"無")</f>
        <v>無</v>
      </c>
      <c r="T162" s="327">
        <f>IFERROR(VLOOKUP($G162,'321買'!$A:$E,5,0),"'沒有資料'")</f>
        <v>827</v>
      </c>
      <c r="U162" s="186">
        <f>IFERROR(VLOOKUP($G162,基本資料!$A:$J,9,0),"無")</f>
        <v>1.5</v>
      </c>
      <c r="V162" s="310">
        <f t="shared" si="97"/>
        <v>4.6875E-2</v>
      </c>
      <c r="W162" s="94">
        <f>IFERROR(VLOOKUP($G162,基本資料!$A:$J,10,0),"無")</f>
        <v>1.84</v>
      </c>
      <c r="X162" s="36">
        <v>32</v>
      </c>
      <c r="Y162" s="66">
        <v>28.5</v>
      </c>
      <c r="Z162" s="15">
        <f t="shared" si="99"/>
        <v>3.5</v>
      </c>
      <c r="AA162" s="63">
        <f t="shared" si="100"/>
        <v>0.12280701754385964</v>
      </c>
      <c r="AB162" s="99" t="s">
        <v>3465</v>
      </c>
      <c r="AC162" s="397">
        <f>IFERROR(VLOOKUP($G162,基本資料!$A:$M,12,0),"無")</f>
        <v>67.45</v>
      </c>
      <c r="AD162" s="16" t="s">
        <v>645</v>
      </c>
      <c r="AE162" s="84">
        <v>44466</v>
      </c>
      <c r="AF162" s="86">
        <v>44476</v>
      </c>
      <c r="AG162" s="33">
        <f t="shared" si="98"/>
        <v>10</v>
      </c>
      <c r="AH162" s="43" t="s">
        <v>2468</v>
      </c>
      <c r="AI162" s="187"/>
      <c r="AK162" s="245"/>
      <c r="AL162" s="245"/>
      <c r="AM162" s="285"/>
    </row>
    <row r="163" spans="1:39">
      <c r="A163" s="347">
        <f>IFERROR(VLOOKUP($G163,基本資料!$A:$J,3,0),"無")</f>
        <v>10.61</v>
      </c>
      <c r="B163" s="79">
        <f>IFERROR(VLOOKUP($G163,基本資料!$A:$J,4,0),"無")</f>
        <v>24</v>
      </c>
      <c r="C163" s="79">
        <f>IFERROR(VLOOKUP($G163,基本資料!$A:$J,5,0),"無")</f>
        <v>17</v>
      </c>
      <c r="D163" s="79">
        <f>IFERROR(VLOOKUP($G163,基本資料!$A:$J,6,0),"無")</f>
        <v>-9</v>
      </c>
      <c r="E163" s="79">
        <f>IFERROR(VLOOKUP($G163,基本資料!$A:$J,7,0),"無")</f>
        <v>23</v>
      </c>
      <c r="F163" s="6">
        <f>IFERROR(VLOOKUP($G163,基本資料!$A:$J,8,0),"無")</f>
        <v>20.38</v>
      </c>
      <c r="G163" s="80">
        <v>3533</v>
      </c>
      <c r="H163" s="8" t="s">
        <v>3389</v>
      </c>
      <c r="I163" s="22" t="s">
        <v>4573</v>
      </c>
      <c r="J163" s="8" t="str">
        <f>IFERROR(VLOOKUP($G163,今日總結!$A:$AJ,35,0),"")</f>
        <v/>
      </c>
      <c r="K163" s="5" t="str">
        <f>IFERROR(VLOOKUP($G163,今日總結!$A:$AJ,36,0),"")</f>
        <v/>
      </c>
      <c r="L163" s="156" t="str">
        <f>IFERROR(VLOOKUP($G163,今日總結!$A:$AJ,33,0),"")</f>
        <v/>
      </c>
      <c r="M163" s="340" t="str">
        <f>IFERROR(VLOOKUP($G163,今日總結!$A:$AJ,34,0),"")</f>
        <v/>
      </c>
      <c r="N163" s="240" t="str">
        <f t="shared" si="96"/>
        <v/>
      </c>
      <c r="P163" s="365">
        <f>IFERROR(VLOOKUP($G163,融外自投!$A:$J,7,0),"無")</f>
        <v>1120</v>
      </c>
      <c r="Q163" s="79">
        <f>IFERROR(VLOOKUP($G163,融外自投!$A:$J,9,0),"無")</f>
        <v>350</v>
      </c>
      <c r="R163" s="346">
        <f>IFERROR(VLOOKUP($G163,融外自投!$A:$J,8,0),"無")</f>
        <v>144</v>
      </c>
      <c r="S163" s="81">
        <f>IFERROR(VLOOKUP($G163,融外自投!$A:$J,10,0),"無")</f>
        <v>14</v>
      </c>
      <c r="T163" s="327">
        <f>IFERROR(VLOOKUP($G163,'321買'!$A:$E,5,0),"'沒有資料'")</f>
        <v>178</v>
      </c>
      <c r="U163" s="186">
        <f>IFERROR(VLOOKUP($G163,基本資料!$A:$J,9,0),"無")</f>
        <v>16</v>
      </c>
      <c r="V163" s="310">
        <f t="shared" si="97"/>
        <v>3.0651340996168581E-2</v>
      </c>
      <c r="W163" s="94">
        <f>IFERROR(VLOOKUP($G163,基本資料!$A:$J,10,0),"無")</f>
        <v>33.32</v>
      </c>
      <c r="X163" s="36">
        <v>522</v>
      </c>
      <c r="Y163" s="66">
        <v>432</v>
      </c>
      <c r="Z163" s="15">
        <f t="shared" si="99"/>
        <v>90</v>
      </c>
      <c r="AA163" s="63">
        <f t="shared" si="100"/>
        <v>0.20833333333333334</v>
      </c>
      <c r="AB163" s="99" t="s">
        <v>3455</v>
      </c>
      <c r="AC163" s="397">
        <f>IFERROR(VLOOKUP($G163,基本資料!$A:$M,12,0),"無")</f>
        <v>75.09</v>
      </c>
      <c r="AD163" s="22" t="s">
        <v>277</v>
      </c>
      <c r="AE163" s="84">
        <v>44463</v>
      </c>
      <c r="AF163" s="86">
        <v>44473</v>
      </c>
      <c r="AG163" s="33">
        <f t="shared" si="98"/>
        <v>10</v>
      </c>
      <c r="AH163" s="117" t="s">
        <v>2585</v>
      </c>
      <c r="AI163" s="187"/>
      <c r="AK163" s="245"/>
      <c r="AL163" s="245"/>
      <c r="AM163" s="285"/>
    </row>
    <row r="164" spans="1:39">
      <c r="A164" s="347">
        <f>IFERROR(VLOOKUP($G164,基本資料!$A:$J,3,0),"無")</f>
        <v>14.33</v>
      </c>
      <c r="B164" s="79">
        <f>IFERROR(VLOOKUP($G164,基本資料!$A:$J,4,0),"無")</f>
        <v>603</v>
      </c>
      <c r="C164" s="79">
        <f>IFERROR(VLOOKUP($G164,基本資料!$A:$J,5,0),"無")</f>
        <v>521</v>
      </c>
      <c r="D164" s="79">
        <f>IFERROR(VLOOKUP($G164,基本資料!$A:$J,6,0),"無")</f>
        <v>-18</v>
      </c>
      <c r="E164" s="79">
        <f>IFERROR(VLOOKUP($G164,基本資料!$A:$J,7,0),"無")</f>
        <v>30</v>
      </c>
      <c r="F164" s="6">
        <f>IFERROR(VLOOKUP($G164,基本資料!$A:$J,8,0),"無")</f>
        <v>12</v>
      </c>
      <c r="G164" s="80">
        <v>2636</v>
      </c>
      <c r="H164" s="5" t="s">
        <v>302</v>
      </c>
      <c r="I164" s="22" t="s">
        <v>1922</v>
      </c>
      <c r="J164" s="8" t="str">
        <f>IFERROR(VLOOKUP($G164,今日總結!$A:$AJ,35,0),"")</f>
        <v/>
      </c>
      <c r="K164" s="5" t="str">
        <f>IFERROR(VLOOKUP($G164,今日總結!$A:$AJ,36,0),"")</f>
        <v/>
      </c>
      <c r="L164" s="156" t="str">
        <f>IFERROR(VLOOKUP($G164,今日總結!$A:$AJ,33,0),"")</f>
        <v/>
      </c>
      <c r="M164" s="340" t="str">
        <f>IFERROR(VLOOKUP($G164,今日總結!$A:$AJ,34,0),"")</f>
        <v/>
      </c>
      <c r="N164" s="240" t="str">
        <f t="shared" si="96"/>
        <v/>
      </c>
      <c r="P164" s="365">
        <f>IFERROR(VLOOKUP($G164,融外自投!$A:$J,7,0),"無")</f>
        <v>92</v>
      </c>
      <c r="Q164" s="79">
        <f>IFERROR(VLOOKUP($G164,融外自投!$A:$J,9,0),"無")</f>
        <v>179</v>
      </c>
      <c r="R164" s="346">
        <f>IFERROR(VLOOKUP($G164,融外自投!$A:$J,8,0),"無")</f>
        <v>425</v>
      </c>
      <c r="S164" s="81">
        <f>IFERROR(VLOOKUP($G164,融外自投!$A:$J,10,0),"無")</f>
        <v>491</v>
      </c>
      <c r="T164" s="327">
        <f>IFERROR(VLOOKUP($G164,'321買'!$A:$E,5,0),"'沒有資料'")</f>
        <v>126</v>
      </c>
      <c r="U164" s="186">
        <f>IFERROR(VLOOKUP($G164,基本資料!$A:$J,9,0),"無")</f>
        <v>13</v>
      </c>
      <c r="V164" s="310">
        <f t="shared" si="97"/>
        <v>0.10317460317460317</v>
      </c>
      <c r="W164" s="94">
        <f>IFERROR(VLOOKUP($G164,基本資料!$A:$J,10,0),"無")</f>
        <v>30.03</v>
      </c>
      <c r="X164" s="36">
        <v>126</v>
      </c>
      <c r="Y164" s="45">
        <v>140</v>
      </c>
      <c r="Z164" s="15">
        <f t="shared" si="99"/>
        <v>-14</v>
      </c>
      <c r="AA164" s="76">
        <f t="shared" si="100"/>
        <v>-0.1</v>
      </c>
      <c r="AB164" s="99" t="s">
        <v>2127</v>
      </c>
      <c r="AC164" s="397">
        <f>IFERROR(VLOOKUP($G164,基本資料!$A:$M,12,0),"無")</f>
        <v>23.48</v>
      </c>
      <c r="AD164" s="22" t="s">
        <v>1922</v>
      </c>
      <c r="AE164" s="84">
        <v>44462</v>
      </c>
      <c r="AF164" s="86">
        <v>44473</v>
      </c>
      <c r="AG164" s="33">
        <f t="shared" si="98"/>
        <v>11</v>
      </c>
      <c r="AH164" s="43" t="s">
        <v>2014</v>
      </c>
      <c r="AI164" s="187"/>
      <c r="AK164" s="245"/>
      <c r="AL164" s="245"/>
      <c r="AM164" s="285"/>
    </row>
    <row r="165" spans="1:39">
      <c r="A165" s="347">
        <f>IFERROR(VLOOKUP($G165,基本資料!$A:$J,3,0),"無")</f>
        <v>69.459999999999994</v>
      </c>
      <c r="B165" s="79">
        <f>IFERROR(VLOOKUP($G165,基本資料!$A:$J,4,0),"無")</f>
        <v>119</v>
      </c>
      <c r="C165" s="79">
        <f>IFERROR(VLOOKUP($G165,基本資料!$A:$J,5,0),"無")</f>
        <v>142</v>
      </c>
      <c r="D165" s="79">
        <f>IFERROR(VLOOKUP($G165,基本資料!$A:$J,6,0),"無")</f>
        <v>18</v>
      </c>
      <c r="E165" s="79">
        <f>IFERROR(VLOOKUP($G165,基本資料!$A:$J,7,0),"無")</f>
        <v>30</v>
      </c>
      <c r="F165" s="6">
        <f>IFERROR(VLOOKUP($G165,基本資料!$A:$J,8,0),"無")</f>
        <v>3.64</v>
      </c>
      <c r="G165" s="80">
        <v>1460</v>
      </c>
      <c r="H165" s="5" t="s">
        <v>3172</v>
      </c>
      <c r="I165" s="22" t="s">
        <v>742</v>
      </c>
      <c r="J165" s="8" t="str">
        <f>IFERROR(VLOOKUP($G165,今日總結!$A:$AJ,35,0),"")</f>
        <v>融</v>
      </c>
      <c r="K165" s="5" t="str">
        <f>IFERROR(VLOOKUP($G165,今日總結!$A:$AJ,36,0),"")</f>
        <v>借</v>
      </c>
      <c r="L165" s="156">
        <f>IFERROR(VLOOKUP($G165,今日總結!$A:$AJ,33,0),"")</f>
        <v>1</v>
      </c>
      <c r="M165" s="340">
        <f>IFERROR(VLOOKUP($G165,今日總結!$A:$AJ,34,0),"")</f>
        <v>1</v>
      </c>
      <c r="N165" s="240">
        <f t="shared" si="96"/>
        <v>0</v>
      </c>
      <c r="P165" s="365">
        <f>IFERROR(VLOOKUP($G165,融外自投!$A:$J,7,0),"無")</f>
        <v>1239</v>
      </c>
      <c r="Q165" s="79" t="str">
        <f>IFERROR(VLOOKUP($G165,融外自投!$A:$J,9,0),"無")</f>
        <v>無</v>
      </c>
      <c r="R165" s="346">
        <f>IFERROR(VLOOKUP($G165,融外自投!$A:$J,8,0),"無")</f>
        <v>1113</v>
      </c>
      <c r="S165" s="81" t="str">
        <f>IFERROR(VLOOKUP($G165,融外自投!$A:$J,10,0),"無")</f>
        <v>無</v>
      </c>
      <c r="T165" s="327">
        <f>IFERROR(VLOOKUP($G165,'321買'!$A:$E,5,0),"'沒有資料'")</f>
        <v>1099</v>
      </c>
      <c r="U165" s="186">
        <f>IFERROR(VLOOKUP($G165,基本資料!$A:$J,9,0),"無")</f>
        <v>0</v>
      </c>
      <c r="V165" s="310">
        <f t="shared" si="97"/>
        <v>0</v>
      </c>
      <c r="W165" s="94">
        <f>IFERROR(VLOOKUP($G165,基本資料!$A:$J,10,0),"無")</f>
        <v>0.39</v>
      </c>
      <c r="X165" s="36">
        <v>9.69</v>
      </c>
      <c r="Y165" s="66">
        <v>10</v>
      </c>
      <c r="Z165" s="15">
        <f t="shared" si="99"/>
        <v>-0.3100000000000005</v>
      </c>
      <c r="AA165" s="76">
        <f t="shared" si="100"/>
        <v>-3.1000000000000048E-2</v>
      </c>
      <c r="AB165" s="99" t="s">
        <v>3453</v>
      </c>
      <c r="AC165" s="397">
        <f>IFERROR(VLOOKUP($G165,基本資料!$A:$M,12,0),"無")</f>
        <v>34.479999999999997</v>
      </c>
      <c r="AD165" s="22" t="s">
        <v>742</v>
      </c>
      <c r="AE165" s="84">
        <v>44461</v>
      </c>
      <c r="AF165" s="86">
        <v>44473</v>
      </c>
      <c r="AG165" s="33">
        <f t="shared" si="98"/>
        <v>12</v>
      </c>
      <c r="AH165" s="43" t="s">
        <v>3332</v>
      </c>
      <c r="AI165" s="187"/>
      <c r="AK165" s="245"/>
      <c r="AL165" s="245"/>
      <c r="AM165" s="285"/>
    </row>
    <row r="166" spans="1:39">
      <c r="A166" s="347">
        <f>IFERROR(VLOOKUP($G166,基本資料!$A:$J,3,0),"無")</f>
        <v>10.050000000000001</v>
      </c>
      <c r="B166" s="79">
        <f>IFERROR(VLOOKUP($G166,基本資料!$A:$J,4,0),"無")</f>
        <v>88</v>
      </c>
      <c r="C166" s="79">
        <f>IFERROR(VLOOKUP($G166,基本資料!$A:$J,5,0),"無")</f>
        <v>44</v>
      </c>
      <c r="D166" s="79">
        <f>IFERROR(VLOOKUP($G166,基本資料!$A:$J,6,0),"無")</f>
        <v>-24</v>
      </c>
      <c r="E166" s="79">
        <f>IFERROR(VLOOKUP($G166,基本資料!$A:$J,7,0),"無")</f>
        <v>-12</v>
      </c>
      <c r="F166" s="6">
        <f>IFERROR(VLOOKUP($G166,基本資料!$A:$J,8,0),"無")</f>
        <v>2.46</v>
      </c>
      <c r="G166" s="80">
        <v>3709</v>
      </c>
      <c r="H166" s="183" t="s">
        <v>1146</v>
      </c>
      <c r="I166" s="16" t="s">
        <v>2218</v>
      </c>
      <c r="J166" s="8">
        <f>IFERROR(VLOOKUP($G166,今日總結!$A:$AJ,35,0),"")</f>
        <v>0</v>
      </c>
      <c r="K166" s="5" t="str">
        <f>IFERROR(VLOOKUP($G166,今日總結!$A:$AJ,36,0),"")</f>
        <v>外</v>
      </c>
      <c r="L166" s="156">
        <f>IFERROR(VLOOKUP($G166,今日總結!$A:$AJ,33,0),"")</f>
        <v>0</v>
      </c>
      <c r="M166" s="340">
        <f>IFERROR(VLOOKUP($G166,今日總結!$A:$AJ,34,0),"")</f>
        <v>1</v>
      </c>
      <c r="N166" s="240">
        <f t="shared" si="96"/>
        <v>-1</v>
      </c>
      <c r="P166" s="365">
        <f>IFERROR(VLOOKUP($G166,融外自投!$A:$J,7,0),"無")</f>
        <v>1191</v>
      </c>
      <c r="Q166" s="79" t="str">
        <f>IFERROR(VLOOKUP($G166,融外自投!$A:$J,9,0),"無")</f>
        <v>無</v>
      </c>
      <c r="R166" s="346">
        <f>IFERROR(VLOOKUP($G166,融外自投!$A:$J,8,0),"無")</f>
        <v>981</v>
      </c>
      <c r="S166" s="81" t="str">
        <f>IFERROR(VLOOKUP($G166,融外自投!$A:$J,10,0),"無")</f>
        <v>無</v>
      </c>
      <c r="T166" s="327">
        <f>IFERROR(VLOOKUP($G166,'321買'!$A:$E,5,0),"'沒有資料'")</f>
        <v>1066</v>
      </c>
      <c r="U166" s="186">
        <f>IFERROR(VLOOKUP($G166,基本資料!$A:$J,9,0),"無")</f>
        <v>1.6</v>
      </c>
      <c r="V166" s="310">
        <f t="shared" si="97"/>
        <v>6.2015503875968991E-2</v>
      </c>
      <c r="W166" s="94">
        <f>IFERROR(VLOOKUP($G166,基本資料!$A:$J,10,0),"無")</f>
        <v>4.55</v>
      </c>
      <c r="X166" s="36">
        <v>25.8</v>
      </c>
      <c r="Y166" s="66">
        <v>21</v>
      </c>
      <c r="Z166" s="15">
        <f t="shared" ref="Z166:Z171" si="101">X166-Y166</f>
        <v>4.8000000000000007</v>
      </c>
      <c r="AA166" s="63">
        <f t="shared" ref="AA166:AA171" si="102">Z166/Y166</f>
        <v>0.22857142857142859</v>
      </c>
      <c r="AB166" s="99" t="s">
        <v>1662</v>
      </c>
      <c r="AC166" s="397">
        <f>IFERROR(VLOOKUP($G166,基本資料!$A:$M,12,0),"無")</f>
        <v>28.35</v>
      </c>
      <c r="AD166" s="16" t="s">
        <v>2218</v>
      </c>
      <c r="AE166" s="84">
        <v>44453</v>
      </c>
      <c r="AF166" s="86">
        <v>44463</v>
      </c>
      <c r="AG166" s="33">
        <f t="shared" si="98"/>
        <v>10</v>
      </c>
      <c r="AH166" s="43" t="s">
        <v>2441</v>
      </c>
      <c r="AI166" s="187"/>
      <c r="AK166" s="245"/>
      <c r="AL166" s="245"/>
      <c r="AM166" s="285"/>
    </row>
    <row r="167" spans="1:39">
      <c r="A167" s="347">
        <f>IFERROR(VLOOKUP($G167,基本資料!$A:$J,3,0),"無")</f>
        <v>6.6</v>
      </c>
      <c r="B167" s="79">
        <f>IFERROR(VLOOKUP($G167,基本資料!$A:$J,4,0),"無")</f>
        <v>-17</v>
      </c>
      <c r="C167" s="79">
        <f>IFERROR(VLOOKUP($G167,基本資料!$A:$J,5,0),"無")</f>
        <v>-14</v>
      </c>
      <c r="D167" s="79">
        <f>IFERROR(VLOOKUP($G167,基本資料!$A:$J,6,0),"無")</f>
        <v>16</v>
      </c>
      <c r="E167" s="79">
        <f>IFERROR(VLOOKUP($G167,基本資料!$A:$J,7,0),"無")</f>
        <v>9</v>
      </c>
      <c r="F167" s="6">
        <f>IFERROR(VLOOKUP($G167,基本資料!$A:$J,8,0),"無")</f>
        <v>10.97</v>
      </c>
      <c r="G167" s="80">
        <v>2753</v>
      </c>
      <c r="H167" s="5" t="s">
        <v>303</v>
      </c>
      <c r="I167" s="22" t="s">
        <v>3421</v>
      </c>
      <c r="J167" s="8" t="str">
        <f>IFERROR(VLOOKUP($G167,今日總結!$A:$AJ,35,0),"")</f>
        <v>主</v>
      </c>
      <c r="K167" s="5" t="str">
        <f>IFERROR(VLOOKUP($G167,今日總結!$A:$AJ,36,0),"")</f>
        <v>借</v>
      </c>
      <c r="L167" s="156">
        <f>IFERROR(VLOOKUP($G167,今日總結!$A:$AJ,33,0),"")</f>
        <v>1</v>
      </c>
      <c r="M167" s="340">
        <f>IFERROR(VLOOKUP($G167,今日總結!$A:$AJ,34,0),"")</f>
        <v>1</v>
      </c>
      <c r="N167" s="240">
        <f t="shared" si="96"/>
        <v>0</v>
      </c>
      <c r="P167" s="365">
        <f>IFERROR(VLOOKUP($G167,融外自投!$A:$J,7,0),"無")</f>
        <v>589</v>
      </c>
      <c r="Q167" s="79" t="str">
        <f>IFERROR(VLOOKUP($G167,融外自投!$A:$J,9,0),"無")</f>
        <v>無</v>
      </c>
      <c r="R167" s="346">
        <f>IFERROR(VLOOKUP($G167,融外自投!$A:$J,8,0),"無")</f>
        <v>1044</v>
      </c>
      <c r="S167" s="81" t="str">
        <f>IFERROR(VLOOKUP($G167,融外自投!$A:$J,10,0),"無")</f>
        <v>無</v>
      </c>
      <c r="T167" s="327">
        <f>IFERROR(VLOOKUP($G167,'321買'!$A:$E,5,0),"'沒有資料'")</f>
        <v>1007</v>
      </c>
      <c r="U167" s="186">
        <f>IFERROR(VLOOKUP($G167,基本資料!$A:$J,9,0),"無")</f>
        <v>6.5</v>
      </c>
      <c r="V167" s="310">
        <f t="shared" si="97"/>
        <v>4.4067796610169491E-2</v>
      </c>
      <c r="W167" s="94">
        <f>IFERROR(VLOOKUP($G167,基本資料!$A:$J,10,0),"無")</f>
        <v>8.74</v>
      </c>
      <c r="X167" s="36">
        <v>147.5</v>
      </c>
      <c r="Y167" s="66">
        <v>155</v>
      </c>
      <c r="Z167" s="15">
        <f t="shared" si="101"/>
        <v>-7.5</v>
      </c>
      <c r="AA167" s="76">
        <f t="shared" si="102"/>
        <v>-4.8387096774193547E-2</v>
      </c>
      <c r="AB167" s="99" t="s">
        <v>2985</v>
      </c>
      <c r="AC167" s="397" t="str">
        <f>IFERROR(VLOOKUP($G167,基本資料!$A:$M,12,0),"無")</f>
        <v>無</v>
      </c>
      <c r="AD167" s="22" t="s">
        <v>3421</v>
      </c>
      <c r="AE167" s="84">
        <v>44448</v>
      </c>
      <c r="AF167" s="86">
        <v>44461</v>
      </c>
      <c r="AG167" s="33">
        <f t="shared" si="98"/>
        <v>13</v>
      </c>
      <c r="AH167" s="43" t="s">
        <v>2999</v>
      </c>
      <c r="AI167" s="187"/>
      <c r="AK167" s="245"/>
      <c r="AL167" s="245"/>
      <c r="AM167" s="285"/>
    </row>
    <row r="168" spans="1:39">
      <c r="A168" s="347">
        <f>IFERROR(VLOOKUP($G168,基本資料!$A:$J,3,0),"無")</f>
        <v>3.73</v>
      </c>
      <c r="B168" s="79">
        <f>IFERROR(VLOOKUP($G168,基本資料!$A:$J,4,0),"無")</f>
        <v>459</v>
      </c>
      <c r="C168" s="79">
        <f>IFERROR(VLOOKUP($G168,基本資料!$A:$J,5,0),"無")</f>
        <v>482</v>
      </c>
      <c r="D168" s="79">
        <f>IFERROR(VLOOKUP($G168,基本資料!$A:$J,6,0),"無")</f>
        <v>11</v>
      </c>
      <c r="E168" s="79">
        <f>IFERROR(VLOOKUP($G168,基本資料!$A:$J,7,0),"無")</f>
        <v>95</v>
      </c>
      <c r="F168" s="6">
        <f>IFERROR(VLOOKUP($G168,基本資料!$A:$J,8,0),"無")</f>
        <v>8.75</v>
      </c>
      <c r="G168" s="79">
        <v>5543</v>
      </c>
      <c r="H168" s="8" t="s">
        <v>4003</v>
      </c>
      <c r="I168" s="16" t="s">
        <v>2997</v>
      </c>
      <c r="J168" s="8" t="str">
        <f>IFERROR(VLOOKUP($G168,今日總結!$A:$AJ,35,0),"")</f>
        <v/>
      </c>
      <c r="K168" s="5" t="str">
        <f>IFERROR(VLOOKUP($G168,今日總結!$A:$AJ,36,0),"")</f>
        <v/>
      </c>
      <c r="L168" s="156" t="str">
        <f>IFERROR(VLOOKUP($G168,今日總結!$A:$AJ,33,0),"")</f>
        <v/>
      </c>
      <c r="M168" s="340" t="str">
        <f>IFERROR(VLOOKUP($G168,今日總結!$A:$AJ,34,0),"")</f>
        <v/>
      </c>
      <c r="N168" s="240" t="str">
        <f t="shared" si="96"/>
        <v/>
      </c>
      <c r="P168" s="365">
        <f>IFERROR(VLOOKUP($G168,融外自投!$A:$J,7,0),"無")</f>
        <v>469</v>
      </c>
      <c r="Q168" s="79" t="str">
        <f>IFERROR(VLOOKUP($G168,融外自投!$A:$J,9,0),"無")</f>
        <v>無</v>
      </c>
      <c r="R168" s="346">
        <f>IFERROR(VLOOKUP($G168,融外自投!$A:$J,8,0),"無")</f>
        <v>1260</v>
      </c>
      <c r="S168" s="81" t="str">
        <f>IFERROR(VLOOKUP($G168,融外自投!$A:$J,10,0),"無")</f>
        <v>無</v>
      </c>
      <c r="T168" s="327">
        <f>IFERROR(VLOOKUP($G168,'321買'!$A:$E,5,0),"'沒有資料'")</f>
        <v>802</v>
      </c>
      <c r="U168" s="186">
        <f>IFERROR(VLOOKUP($G168,基本資料!$A:$J,9,0),"無")</f>
        <v>2</v>
      </c>
      <c r="V168" s="310">
        <f t="shared" si="97"/>
        <v>3.215434083601286E-2</v>
      </c>
      <c r="W168" s="94">
        <f>IFERROR(VLOOKUP($G168,基本資料!$A:$J,10,0),"無")</f>
        <v>3.26</v>
      </c>
      <c r="X168" s="36">
        <v>62.2</v>
      </c>
      <c r="Y168" s="66">
        <v>58</v>
      </c>
      <c r="Z168" s="15">
        <f t="shared" si="101"/>
        <v>4.2000000000000028</v>
      </c>
      <c r="AA168" s="63">
        <f t="shared" si="102"/>
        <v>7.2413793103448323E-2</v>
      </c>
      <c r="AB168" s="99" t="s">
        <v>3430</v>
      </c>
      <c r="AC168" s="397">
        <f>IFERROR(VLOOKUP($G168,基本資料!$A:$M,12,0),"無")</f>
        <v>27.12</v>
      </c>
      <c r="AD168" s="16" t="s">
        <v>2997</v>
      </c>
      <c r="AE168" s="84">
        <v>44448</v>
      </c>
      <c r="AF168" s="86">
        <v>44461</v>
      </c>
      <c r="AG168" s="33">
        <f t="shared" si="98"/>
        <v>13</v>
      </c>
      <c r="AH168" s="43" t="s">
        <v>2998</v>
      </c>
      <c r="AI168" s="187"/>
      <c r="AK168" s="245"/>
      <c r="AL168" s="245"/>
      <c r="AM168" s="285"/>
    </row>
    <row r="169" spans="1:39">
      <c r="A169" s="347">
        <f>IFERROR(VLOOKUP($G169,基本資料!$A:$J,3,0),"無")</f>
        <v>38.29</v>
      </c>
      <c r="B169" s="79">
        <f>IFERROR(VLOOKUP($G169,基本資料!$A:$J,4,0),"無")</f>
        <v>17</v>
      </c>
      <c r="C169" s="79">
        <f>IFERROR(VLOOKUP($G169,基本資料!$A:$J,5,0),"無")</f>
        <v>18</v>
      </c>
      <c r="D169" s="79">
        <f>IFERROR(VLOOKUP($G169,基本資料!$A:$J,6,0),"無")</f>
        <v>-3</v>
      </c>
      <c r="E169" s="79">
        <f>IFERROR(VLOOKUP($G169,基本資料!$A:$J,7,0),"無")</f>
        <v>0</v>
      </c>
      <c r="F169" s="6">
        <f>IFERROR(VLOOKUP($G169,基本資料!$A:$J,8,0),"無")</f>
        <v>11.74</v>
      </c>
      <c r="G169" s="79">
        <v>6213</v>
      </c>
      <c r="H169" s="192" t="s">
        <v>3389</v>
      </c>
      <c r="I169" s="22" t="s">
        <v>58</v>
      </c>
      <c r="J169" s="8" t="str">
        <f>IFERROR(VLOOKUP($G169,今日總結!$A:$AJ,35,0),"")</f>
        <v/>
      </c>
      <c r="K169" s="5" t="str">
        <f>IFERROR(VLOOKUP($G169,今日總結!$A:$AJ,36,0),"")</f>
        <v/>
      </c>
      <c r="L169" s="156" t="str">
        <f>IFERROR(VLOOKUP($G169,今日總結!$A:$AJ,33,0),"")</f>
        <v/>
      </c>
      <c r="M169" s="340" t="str">
        <f>IFERROR(VLOOKUP($G169,今日總結!$A:$AJ,34,0),"")</f>
        <v/>
      </c>
      <c r="N169" s="240" t="str">
        <f t="shared" si="96"/>
        <v/>
      </c>
      <c r="P169" s="365">
        <f>IFERROR(VLOOKUP($G169,融外自投!$A:$J,7,0),"無")</f>
        <v>802</v>
      </c>
      <c r="Q169" s="79">
        <f>IFERROR(VLOOKUP($G169,融外自投!$A:$J,9,0),"無")</f>
        <v>762</v>
      </c>
      <c r="R169" s="346">
        <f>IFERROR(VLOOKUP($G169,融外自投!$A:$J,8,0),"無")</f>
        <v>537</v>
      </c>
      <c r="S169" s="81">
        <f>IFERROR(VLOOKUP($G169,融外自投!$A:$J,10,0),"無")</f>
        <v>416</v>
      </c>
      <c r="T169" s="327">
        <f>IFERROR(VLOOKUP($G169,'321買'!$A:$E,5,0),"'沒有資料'")</f>
        <v>379</v>
      </c>
      <c r="U169" s="186">
        <f>IFERROR(VLOOKUP($G169,基本資料!$A:$J,9,0),"無")</f>
        <v>5</v>
      </c>
      <c r="V169" s="310">
        <f t="shared" si="97"/>
        <v>3.125E-2</v>
      </c>
      <c r="W169" s="94">
        <f>IFERROR(VLOOKUP($G169,基本資料!$A:$J,10,0),"無")</f>
        <v>9</v>
      </c>
      <c r="X169" s="36">
        <v>160</v>
      </c>
      <c r="Y169" s="66">
        <v>130</v>
      </c>
      <c r="Z169" s="15">
        <f t="shared" si="101"/>
        <v>30</v>
      </c>
      <c r="AA169" s="63">
        <f t="shared" si="102"/>
        <v>0.23076923076923078</v>
      </c>
      <c r="AB169" s="99" t="s">
        <v>1940</v>
      </c>
      <c r="AC169" s="397">
        <f>IFERROR(VLOOKUP($G169,基本資料!$A:$M,12,0),"無")</f>
        <v>11.36</v>
      </c>
      <c r="AD169" s="22" t="s">
        <v>58</v>
      </c>
      <c r="AE169" s="84">
        <v>44446</v>
      </c>
      <c r="AF169" s="86">
        <v>44456</v>
      </c>
      <c r="AG169" s="33">
        <f t="shared" si="98"/>
        <v>10</v>
      </c>
      <c r="AH169" s="117" t="s">
        <v>3278</v>
      </c>
      <c r="AI169" s="286"/>
      <c r="AK169" s="245"/>
      <c r="AL169" s="245"/>
      <c r="AM169" s="285"/>
    </row>
    <row r="170" spans="1:39">
      <c r="A170" s="347">
        <f>IFERROR(VLOOKUP($G170,基本資料!$A:$J,3,0),"無")</f>
        <v>9.2899999999999991</v>
      </c>
      <c r="B170" s="79">
        <f>IFERROR(VLOOKUP($G170,基本資料!$A:$J,4,0),"無")</f>
        <v>38</v>
      </c>
      <c r="C170" s="79">
        <f>IFERROR(VLOOKUP($G170,基本資料!$A:$J,5,0),"無")</f>
        <v>29</v>
      </c>
      <c r="D170" s="79">
        <f>IFERROR(VLOOKUP($G170,基本資料!$A:$J,6,0),"無")</f>
        <v>3</v>
      </c>
      <c r="E170" s="79">
        <f>IFERROR(VLOOKUP($G170,基本資料!$A:$J,7,0),"無")</f>
        <v>1</v>
      </c>
      <c r="F170" s="6">
        <f>IFERROR(VLOOKUP($G170,基本資料!$A:$J,8,0),"無")</f>
        <v>14.93</v>
      </c>
      <c r="G170" s="79">
        <v>5439</v>
      </c>
      <c r="H170" s="5" t="s">
        <v>3389</v>
      </c>
      <c r="I170" s="166" t="s">
        <v>80</v>
      </c>
      <c r="J170" s="8">
        <f>IFERROR(VLOOKUP($G170,今日總結!$A:$AJ,35,0),"")</f>
        <v>0</v>
      </c>
      <c r="K170" s="5" t="str">
        <f>IFERROR(VLOOKUP($G170,今日總結!$A:$AJ,36,0),"")</f>
        <v>投</v>
      </c>
      <c r="L170" s="156">
        <f>IFERROR(VLOOKUP($G170,今日總結!$A:$AJ,33,0),"")</f>
        <v>0</v>
      </c>
      <c r="M170" s="340">
        <f>IFERROR(VLOOKUP($G170,今日總結!$A:$AJ,34,0),"")</f>
        <v>2</v>
      </c>
      <c r="N170" s="240">
        <f t="shared" si="96"/>
        <v>-2</v>
      </c>
      <c r="P170" s="365">
        <f>IFERROR(VLOOKUP($G170,融外自投!$A:$J,7,0),"無")</f>
        <v>585</v>
      </c>
      <c r="Q170" s="79">
        <f>IFERROR(VLOOKUP($G170,融外自投!$A:$J,9,0),"無")</f>
        <v>789</v>
      </c>
      <c r="R170" s="346">
        <f>IFERROR(VLOOKUP($G170,融外自投!$A:$J,8,0),"無")</f>
        <v>1011</v>
      </c>
      <c r="S170" s="81">
        <f>IFERROR(VLOOKUP($G170,融外自投!$A:$J,10,0),"無")</f>
        <v>116</v>
      </c>
      <c r="T170" s="327">
        <f>IFERROR(VLOOKUP($G170,'321買'!$A:$E,5,0),"'沒有資料'")</f>
        <v>480</v>
      </c>
      <c r="U170" s="186">
        <f>IFERROR(VLOOKUP($G170,基本資料!$A:$J,9,0),"無")</f>
        <v>3.6</v>
      </c>
      <c r="V170" s="310">
        <f t="shared" si="97"/>
        <v>5.6872037914691947E-2</v>
      </c>
      <c r="W170" s="94">
        <f>IFERROR(VLOOKUP($G170,基本資料!$A:$J,10,0),"無")</f>
        <v>4.6100000000000003</v>
      </c>
      <c r="X170" s="36">
        <v>63.3</v>
      </c>
      <c r="Y170" s="45">
        <v>55</v>
      </c>
      <c r="Z170" s="15">
        <f t="shared" si="101"/>
        <v>8.2999999999999972</v>
      </c>
      <c r="AA170" s="63">
        <f t="shared" si="102"/>
        <v>0.15090909090909085</v>
      </c>
      <c r="AB170" s="99" t="s">
        <v>3429</v>
      </c>
      <c r="AC170" s="397">
        <f>IFERROR(VLOOKUP($G170,基本資料!$A:$M,12,0),"無")</f>
        <v>9.59</v>
      </c>
      <c r="AD170" s="16" t="s">
        <v>80</v>
      </c>
      <c r="AE170" s="84">
        <v>44446</v>
      </c>
      <c r="AF170" s="86">
        <v>44456</v>
      </c>
      <c r="AG170" s="33">
        <f t="shared" si="98"/>
        <v>10</v>
      </c>
      <c r="AH170" s="117" t="s">
        <v>1044</v>
      </c>
      <c r="AI170" s="187"/>
      <c r="AK170" s="245"/>
      <c r="AL170" s="245"/>
      <c r="AM170" s="285"/>
    </row>
    <row r="171" spans="1:39">
      <c r="A171" s="347">
        <f>IFERROR(VLOOKUP($G171,基本資料!$A:$J,3,0),"無")</f>
        <v>5.04</v>
      </c>
      <c r="B171" s="79">
        <f>IFERROR(VLOOKUP($G171,基本資料!$A:$J,4,0),"無")</f>
        <v>-4</v>
      </c>
      <c r="C171" s="79">
        <f>IFERROR(VLOOKUP($G171,基本資料!$A:$J,5,0),"無")</f>
        <v>-9</v>
      </c>
      <c r="D171" s="79">
        <f>IFERROR(VLOOKUP($G171,基本資料!$A:$J,6,0),"無")</f>
        <v>-23</v>
      </c>
      <c r="E171" s="79">
        <f>IFERROR(VLOOKUP($G171,基本資料!$A:$J,7,0),"無")</f>
        <v>28</v>
      </c>
      <c r="F171" s="6">
        <f>IFERROR(VLOOKUP($G171,基本資料!$A:$J,8,0),"無")</f>
        <v>12.82</v>
      </c>
      <c r="G171" s="80">
        <v>1341</v>
      </c>
      <c r="H171" s="5" t="s">
        <v>293</v>
      </c>
      <c r="I171" s="22" t="s">
        <v>1772</v>
      </c>
      <c r="J171" s="8" t="str">
        <f>IFERROR(VLOOKUP($G171,今日總結!$A:$AJ,35,0),"")</f>
        <v/>
      </c>
      <c r="K171" s="5" t="str">
        <f>IFERROR(VLOOKUP($G171,今日總結!$A:$AJ,36,0),"")</f>
        <v/>
      </c>
      <c r="L171" s="156" t="str">
        <f>IFERROR(VLOOKUP($G171,今日總結!$A:$AJ,33,0),"")</f>
        <v/>
      </c>
      <c r="M171" s="340" t="str">
        <f>IFERROR(VLOOKUP($G171,今日總結!$A:$AJ,34,0),"")</f>
        <v/>
      </c>
      <c r="N171" s="240" t="str">
        <f t="shared" si="96"/>
        <v/>
      </c>
      <c r="P171" s="365" t="str">
        <f>IFERROR(VLOOKUP($G171,融外自投!$A:$J,7,0),"無")</f>
        <v>無</v>
      </c>
      <c r="Q171" s="79" t="str">
        <f>IFERROR(VLOOKUP($G171,融外自投!$A:$J,9,0),"無")</f>
        <v>無</v>
      </c>
      <c r="R171" s="346" t="str">
        <f>IFERROR(VLOOKUP($G171,融外自投!$A:$J,8,0),"無")</f>
        <v>無</v>
      </c>
      <c r="S171" s="81" t="str">
        <f>IFERROR(VLOOKUP($G171,融外自投!$A:$J,10,0),"無")</f>
        <v>無</v>
      </c>
      <c r="T171" s="327" t="str">
        <f>IFERROR(VLOOKUP($G171,'321買'!$A:$E,5,0),"'沒有資料'")</f>
        <v>'沒有資料'</v>
      </c>
      <c r="U171" s="186">
        <f>IFERROR(VLOOKUP($G171,基本資料!$A:$J,9,0),"無")</f>
        <v>6</v>
      </c>
      <c r="V171" s="310">
        <f t="shared" si="97"/>
        <v>9.4043887147335428E-2</v>
      </c>
      <c r="W171" s="94">
        <f>IFERROR(VLOOKUP($G171,基本資料!$A:$J,10,0),"無")</f>
        <v>5.99</v>
      </c>
      <c r="X171" s="13">
        <v>63.8</v>
      </c>
      <c r="Y171" s="66">
        <v>60</v>
      </c>
      <c r="Z171" s="15">
        <f t="shared" si="101"/>
        <v>3.7999999999999972</v>
      </c>
      <c r="AA171" s="63">
        <f t="shared" si="102"/>
        <v>6.3333333333333283E-2</v>
      </c>
      <c r="AB171" s="99" t="s">
        <v>790</v>
      </c>
      <c r="AC171" s="397">
        <f>IFERROR(VLOOKUP($G171,基本資料!$A:$M,12,0),"無")</f>
        <v>86.98</v>
      </c>
      <c r="AD171" s="22" t="s">
        <v>1772</v>
      </c>
      <c r="AE171" s="84">
        <v>44446</v>
      </c>
      <c r="AF171" s="86">
        <v>44456</v>
      </c>
      <c r="AG171" s="33">
        <f t="shared" si="98"/>
        <v>10</v>
      </c>
      <c r="AH171" s="43" t="s">
        <v>2761</v>
      </c>
      <c r="AI171" s="187"/>
      <c r="AK171" s="245"/>
      <c r="AL171" s="245"/>
      <c r="AM171" s="285"/>
    </row>
    <row r="172" spans="1:39">
      <c r="A172" s="347">
        <f>IFERROR(VLOOKUP($G172,基本資料!$A:$J,3,0),"無")</f>
        <v>3.01</v>
      </c>
      <c r="B172" s="79">
        <f>IFERROR(VLOOKUP($G172,基本資料!$A:$J,4,0),"無")</f>
        <v>-24</v>
      </c>
      <c r="C172" s="79">
        <f>IFERROR(VLOOKUP($G172,基本資料!$A:$J,5,0),"無")</f>
        <v>-27</v>
      </c>
      <c r="D172" s="79">
        <f>IFERROR(VLOOKUP($G172,基本資料!$A:$J,6,0),"無")</f>
        <v>-4</v>
      </c>
      <c r="E172" s="79">
        <f>IFERROR(VLOOKUP($G172,基本資料!$A:$J,7,0),"無")</f>
        <v>32</v>
      </c>
      <c r="F172" s="6">
        <f>IFERROR(VLOOKUP($G172,基本資料!$A:$J,8,0),"無")</f>
        <v>5.79</v>
      </c>
      <c r="G172" s="80">
        <v>6594</v>
      </c>
      <c r="H172" s="193" t="s">
        <v>3039</v>
      </c>
      <c r="I172" s="16" t="s">
        <v>382</v>
      </c>
      <c r="J172" s="8" t="str">
        <f>IFERROR(VLOOKUP($G172,今日總結!$A:$AJ,35,0),"")</f>
        <v/>
      </c>
      <c r="K172" s="5" t="str">
        <f>IFERROR(VLOOKUP($G172,今日總結!$A:$AJ,36,0),"")</f>
        <v/>
      </c>
      <c r="L172" s="156" t="str">
        <f>IFERROR(VLOOKUP($G172,今日總結!$A:$AJ,33,0),"")</f>
        <v/>
      </c>
      <c r="M172" s="340" t="str">
        <f>IFERROR(VLOOKUP($G172,今日總結!$A:$AJ,34,0),"")</f>
        <v/>
      </c>
      <c r="N172" s="240" t="str">
        <f t="shared" si="96"/>
        <v/>
      </c>
      <c r="P172" s="365">
        <f>IFERROR(VLOOKUP($G172,融外自投!$A:$J,7,0),"無")</f>
        <v>1215</v>
      </c>
      <c r="Q172" s="79" t="str">
        <f>IFERROR(VLOOKUP($G172,融外自投!$A:$J,9,0),"無")</f>
        <v>無</v>
      </c>
      <c r="R172" s="346">
        <f>IFERROR(VLOOKUP($G172,融外自投!$A:$J,8,0),"無")</f>
        <v>1150</v>
      </c>
      <c r="S172" s="81" t="str">
        <f>IFERROR(VLOOKUP($G172,融外自投!$A:$J,10,0),"無")</f>
        <v>無</v>
      </c>
      <c r="T172" s="327">
        <f>IFERROR(VLOOKUP($G172,'321買'!$A:$E,5,0),"'沒有資料'")</f>
        <v>1296</v>
      </c>
      <c r="U172" s="186">
        <f>IFERROR(VLOOKUP($G172,基本資料!$A:$J,9,0),"無")</f>
        <v>1</v>
      </c>
      <c r="V172" s="310">
        <f t="shared" si="97"/>
        <v>2.8490028490028491E-2</v>
      </c>
      <c r="W172" s="94">
        <f>IFERROR(VLOOKUP($G172,基本資料!$A:$J,10,0),"無")</f>
        <v>1.08</v>
      </c>
      <c r="X172" s="36">
        <v>35.1</v>
      </c>
      <c r="Y172" s="66">
        <v>32.799999999999997</v>
      </c>
      <c r="Z172" s="15">
        <f t="shared" ref="Z172:Z178" si="103">X172-Y172</f>
        <v>2.3000000000000043</v>
      </c>
      <c r="AA172" s="63">
        <f t="shared" ref="AA172:AA184" si="104">Z172/Y172</f>
        <v>7.0121951219512327E-2</v>
      </c>
      <c r="AB172" s="99" t="s">
        <v>3428</v>
      </c>
      <c r="AC172" s="397">
        <f>IFERROR(VLOOKUP($G172,基本資料!$A:$M,12,0),"無")</f>
        <v>25.53</v>
      </c>
      <c r="AD172" s="16" t="s">
        <v>382</v>
      </c>
      <c r="AE172" s="84">
        <v>44445</v>
      </c>
      <c r="AF172" s="86">
        <v>44455</v>
      </c>
      <c r="AG172" s="33">
        <f t="shared" si="98"/>
        <v>10</v>
      </c>
      <c r="AH172" s="43" t="s">
        <v>2368</v>
      </c>
      <c r="AI172" s="187"/>
      <c r="AK172" s="245"/>
      <c r="AL172" s="245"/>
      <c r="AM172" s="285"/>
    </row>
    <row r="173" spans="1:39">
      <c r="A173" s="347">
        <f>IFERROR(VLOOKUP($G173,基本資料!$A:$J,3,0),"無")</f>
        <v>13.59</v>
      </c>
      <c r="B173" s="79">
        <f>IFERROR(VLOOKUP($G173,基本資料!$A:$J,4,0),"無")</f>
        <v>81</v>
      </c>
      <c r="C173" s="79">
        <f>IFERROR(VLOOKUP($G173,基本資料!$A:$J,5,0),"無")</f>
        <v>65</v>
      </c>
      <c r="D173" s="79">
        <f>IFERROR(VLOOKUP($G173,基本資料!$A:$J,6,0),"無")</f>
        <v>421</v>
      </c>
      <c r="E173" s="79">
        <f>IFERROR(VLOOKUP($G173,基本資料!$A:$J,7,0),"無")</f>
        <v>270</v>
      </c>
      <c r="F173" s="6">
        <f>IFERROR(VLOOKUP($G173,基本資料!$A:$J,8,0),"無")</f>
        <v>32.799999999999997</v>
      </c>
      <c r="G173" s="80">
        <v>1529</v>
      </c>
      <c r="H173" s="5" t="s">
        <v>295</v>
      </c>
      <c r="I173" s="22" t="s">
        <v>563</v>
      </c>
      <c r="J173" s="8">
        <f>IFERROR(VLOOKUP($G173,今日總結!$A:$AJ,35,0),"")</f>
        <v>0</v>
      </c>
      <c r="K173" s="5" t="str">
        <f>IFERROR(VLOOKUP($G173,今日總結!$A:$AJ,36,0),"")</f>
        <v>融</v>
      </c>
      <c r="L173" s="156">
        <f>IFERROR(VLOOKUP($G173,今日總結!$A:$AJ,33,0),"")</f>
        <v>0</v>
      </c>
      <c r="M173" s="340">
        <f>IFERROR(VLOOKUP($G173,今日總結!$A:$AJ,34,0),"")</f>
        <v>1</v>
      </c>
      <c r="N173" s="240">
        <f t="shared" si="96"/>
        <v>-1</v>
      </c>
      <c r="P173" s="365">
        <f>IFERROR(VLOOKUP($G173,融外自投!$A:$J,7,0),"無")</f>
        <v>43</v>
      </c>
      <c r="Q173" s="79">
        <f>IFERROR(VLOOKUP($G173,融外自投!$A:$J,9,0),"無")</f>
        <v>6</v>
      </c>
      <c r="R173" s="346">
        <f>IFERROR(VLOOKUP($G173,融外自投!$A:$J,8,0),"無")</f>
        <v>1338</v>
      </c>
      <c r="S173" s="81" t="str">
        <f>IFERROR(VLOOKUP($G173,融外自投!$A:$J,10,0),"無")</f>
        <v>無</v>
      </c>
      <c r="T173" s="327">
        <f>IFERROR(VLOOKUP($G173,'321買'!$A:$E,5,0),"'沒有資料'")</f>
        <v>271</v>
      </c>
      <c r="U173" s="186">
        <f>IFERROR(VLOOKUP($G173,基本資料!$A:$J,9,0),"無")</f>
        <v>0.9</v>
      </c>
      <c r="V173" s="310">
        <f t="shared" si="97"/>
        <v>5.5555555555555559E-2</v>
      </c>
      <c r="W173" s="94">
        <f>IFERROR(VLOOKUP($G173,基本資料!$A:$J,10,0),"無")</f>
        <v>1.03</v>
      </c>
      <c r="X173" s="36">
        <v>16.2</v>
      </c>
      <c r="Y173" s="45">
        <v>12.6</v>
      </c>
      <c r="Z173" s="15">
        <f t="shared" si="103"/>
        <v>3.5999999999999996</v>
      </c>
      <c r="AA173" s="63">
        <f t="shared" si="104"/>
        <v>0.2857142857142857</v>
      </c>
      <c r="AB173" s="99" t="s">
        <v>3005</v>
      </c>
      <c r="AC173" s="397">
        <f>IFERROR(VLOOKUP($G173,基本資料!$A:$M,12,0),"無")</f>
        <v>7.15</v>
      </c>
      <c r="AD173" s="22" t="s">
        <v>563</v>
      </c>
      <c r="AE173" s="84">
        <v>44445</v>
      </c>
      <c r="AF173" s="86">
        <v>44455</v>
      </c>
      <c r="AG173" s="33">
        <f t="shared" si="98"/>
        <v>10</v>
      </c>
      <c r="AH173" s="43" t="s">
        <v>2735</v>
      </c>
      <c r="AI173" s="187"/>
      <c r="AK173" s="245"/>
      <c r="AL173" s="245"/>
      <c r="AM173" s="285"/>
    </row>
    <row r="174" spans="1:39">
      <c r="A174" s="347">
        <f>IFERROR(VLOOKUP($G174,基本資料!$A:$J,3,0),"無")</f>
        <v>3.9</v>
      </c>
      <c r="B174" s="79">
        <f>IFERROR(VLOOKUP($G174,基本資料!$A:$J,4,0),"無")</f>
        <v>54</v>
      </c>
      <c r="C174" s="79">
        <f>IFERROR(VLOOKUP($G174,基本資料!$A:$J,5,0),"無")</f>
        <v>93</v>
      </c>
      <c r="D174" s="79">
        <f>IFERROR(VLOOKUP($G174,基本資料!$A:$J,6,0),"無")</f>
        <v>22</v>
      </c>
      <c r="E174" s="79">
        <f>IFERROR(VLOOKUP($G174,基本資料!$A:$J,7,0),"無")</f>
        <v>-11</v>
      </c>
      <c r="F174" s="6">
        <f>IFERROR(VLOOKUP($G174,基本資料!$A:$J,8,0),"無")</f>
        <v>5.26</v>
      </c>
      <c r="G174" s="79">
        <v>3147</v>
      </c>
      <c r="H174" s="5" t="s">
        <v>3436</v>
      </c>
      <c r="I174" s="16" t="s">
        <v>994</v>
      </c>
      <c r="J174" s="8" t="str">
        <f>IFERROR(VLOOKUP($G174,今日總結!$A:$AJ,35,0),"")</f>
        <v/>
      </c>
      <c r="K174" s="5" t="str">
        <f>IFERROR(VLOOKUP($G174,今日總結!$A:$AJ,36,0),"")</f>
        <v/>
      </c>
      <c r="L174" s="156" t="str">
        <f>IFERROR(VLOOKUP($G174,今日總結!$A:$AJ,33,0),"")</f>
        <v/>
      </c>
      <c r="M174" s="340" t="str">
        <f>IFERROR(VLOOKUP($G174,今日總結!$A:$AJ,34,0),"")</f>
        <v/>
      </c>
      <c r="N174" s="240" t="str">
        <f t="shared" si="96"/>
        <v/>
      </c>
      <c r="P174" s="365">
        <f>IFERROR(VLOOKUP($G174,融外自投!$A:$J,7,0),"無")</f>
        <v>619</v>
      </c>
      <c r="Q174" s="79" t="str">
        <f>IFERROR(VLOOKUP($G174,融外自投!$A:$J,9,0),"無")</f>
        <v>無</v>
      </c>
      <c r="R174" s="346">
        <f>IFERROR(VLOOKUP($G174,融外自投!$A:$J,8,0),"無")</f>
        <v>1348</v>
      </c>
      <c r="S174" s="81" t="str">
        <f>IFERROR(VLOOKUP($G174,融外自投!$A:$J,10,0),"無")</f>
        <v>無</v>
      </c>
      <c r="T174" s="327" t="str">
        <f>IFERROR(VLOOKUP($G174,'321買'!$A:$E,5,0),"'沒有資料'")</f>
        <v>'沒有資料'</v>
      </c>
      <c r="U174" s="186">
        <f>IFERROR(VLOOKUP($G174,基本資料!$A:$J,9,0),"無")</f>
        <v>4</v>
      </c>
      <c r="V174" s="310">
        <f t="shared" si="97"/>
        <v>7.8431372549019607E-2</v>
      </c>
      <c r="W174" s="94">
        <f>IFERROR(VLOOKUP($G174,基本資料!$A:$J,10,0),"無")</f>
        <v>4.9400000000000004</v>
      </c>
      <c r="X174" s="36">
        <v>51</v>
      </c>
      <c r="Y174" s="66">
        <v>47</v>
      </c>
      <c r="Z174" s="15">
        <f t="shared" si="103"/>
        <v>4</v>
      </c>
      <c r="AA174" s="63">
        <f t="shared" si="104"/>
        <v>8.5106382978723402E-2</v>
      </c>
      <c r="AB174" s="99" t="s">
        <v>3427</v>
      </c>
      <c r="AC174" s="397">
        <f>IFERROR(VLOOKUP($G174,基本資料!$A:$M,12,0),"無")</f>
        <v>26.38</v>
      </c>
      <c r="AD174" s="16" t="s">
        <v>994</v>
      </c>
      <c r="AE174" s="84">
        <v>44441</v>
      </c>
      <c r="AF174" s="86">
        <v>44452</v>
      </c>
      <c r="AG174" s="33">
        <f t="shared" si="98"/>
        <v>11</v>
      </c>
      <c r="AH174" s="43" t="s">
        <v>2684</v>
      </c>
      <c r="AI174" s="187"/>
      <c r="AK174" s="245"/>
      <c r="AL174" s="245"/>
      <c r="AM174" s="285"/>
    </row>
    <row r="175" spans="1:39">
      <c r="A175" s="347">
        <f>IFERROR(VLOOKUP($G175,基本資料!$A:$J,3,0),"無")</f>
        <v>3.91</v>
      </c>
      <c r="B175" s="79">
        <f>IFERROR(VLOOKUP($G175,基本資料!$A:$J,4,0),"無")</f>
        <v>76</v>
      </c>
      <c r="C175" s="79">
        <f>IFERROR(VLOOKUP($G175,基本資料!$A:$J,5,0),"無")</f>
        <v>47</v>
      </c>
      <c r="D175" s="79">
        <f>IFERROR(VLOOKUP($G175,基本資料!$A:$J,6,0),"無")</f>
        <v>-28</v>
      </c>
      <c r="E175" s="79">
        <f>IFERROR(VLOOKUP($G175,基本資料!$A:$J,7,0),"無")</f>
        <v>-28</v>
      </c>
      <c r="F175" s="6">
        <f>IFERROR(VLOOKUP($G175,基本資料!$A:$J,8,0),"無")</f>
        <v>10.4</v>
      </c>
      <c r="G175" s="79">
        <v>3597</v>
      </c>
      <c r="H175" s="5" t="s">
        <v>3389</v>
      </c>
      <c r="I175" s="16" t="s">
        <v>1807</v>
      </c>
      <c r="J175" s="8" t="str">
        <f>IFERROR(VLOOKUP($G175,今日總結!$A:$AJ,35,0),"")</f>
        <v/>
      </c>
      <c r="K175" s="5" t="str">
        <f>IFERROR(VLOOKUP($G175,今日總結!$A:$AJ,36,0),"")</f>
        <v/>
      </c>
      <c r="L175" s="156" t="str">
        <f>IFERROR(VLOOKUP($G175,今日總結!$A:$AJ,33,0),"")</f>
        <v/>
      </c>
      <c r="M175" s="340" t="str">
        <f>IFERROR(VLOOKUP($G175,今日總結!$A:$AJ,34,0),"")</f>
        <v/>
      </c>
      <c r="N175" s="240" t="str">
        <f t="shared" si="96"/>
        <v/>
      </c>
      <c r="P175" s="365">
        <f>IFERROR(VLOOKUP($G175,融外自投!$A:$J,7,0),"無")</f>
        <v>487</v>
      </c>
      <c r="Q175" s="79" t="str">
        <f>IFERROR(VLOOKUP($G175,融外自投!$A:$J,9,0),"無")</f>
        <v>無</v>
      </c>
      <c r="R175" s="346">
        <f>IFERROR(VLOOKUP($G175,融外自投!$A:$J,8,0),"無")</f>
        <v>1390</v>
      </c>
      <c r="S175" s="81" t="str">
        <f>IFERROR(VLOOKUP($G175,融外自投!$A:$J,10,0),"無")</f>
        <v>無</v>
      </c>
      <c r="T175" s="327" t="str">
        <f>IFERROR(VLOOKUP($G175,'321買'!$A:$E,5,0),"'沒有資料'")</f>
        <v>'沒有資料'</v>
      </c>
      <c r="U175" s="186">
        <f>IFERROR(VLOOKUP($G175,基本資料!$A:$J,9,0),"無")</f>
        <v>1.7</v>
      </c>
      <c r="V175" s="310">
        <f t="shared" si="97"/>
        <v>6.5384615384615388E-2</v>
      </c>
      <c r="W175" s="94">
        <f>IFERROR(VLOOKUP($G175,基本資料!$A:$J,10,0),"無")</f>
        <v>2.1</v>
      </c>
      <c r="X175" s="36">
        <v>26</v>
      </c>
      <c r="Y175" s="45">
        <v>22</v>
      </c>
      <c r="Z175" s="15">
        <f t="shared" si="103"/>
        <v>4</v>
      </c>
      <c r="AA175" s="63">
        <f t="shared" si="104"/>
        <v>0.18181818181818182</v>
      </c>
      <c r="AB175" s="99" t="s">
        <v>941</v>
      </c>
      <c r="AC175" s="397">
        <f>IFERROR(VLOOKUP($G175,基本資料!$A:$M,12,0),"無")</f>
        <v>17.27</v>
      </c>
      <c r="AD175" s="16" t="s">
        <v>1807</v>
      </c>
      <c r="AE175" s="84">
        <v>44440</v>
      </c>
      <c r="AF175" s="86">
        <v>44452</v>
      </c>
      <c r="AG175" s="33">
        <f t="shared" si="98"/>
        <v>12</v>
      </c>
      <c r="AH175" s="43" t="s">
        <v>1883</v>
      </c>
      <c r="AI175" s="187"/>
      <c r="AK175" s="245"/>
      <c r="AL175" s="245"/>
      <c r="AM175" s="285"/>
    </row>
    <row r="176" spans="1:39">
      <c r="A176" s="347">
        <f>IFERROR(VLOOKUP($G176,基本資料!$A:$J,3,0),"無")</f>
        <v>4.57</v>
      </c>
      <c r="B176" s="79">
        <f>IFERROR(VLOOKUP($G176,基本資料!$A:$J,4,0),"無")</f>
        <v>8</v>
      </c>
      <c r="C176" s="79">
        <f>IFERROR(VLOOKUP($G176,基本資料!$A:$J,5,0),"無")</f>
        <v>4</v>
      </c>
      <c r="D176" s="79">
        <f>IFERROR(VLOOKUP($G176,基本資料!$A:$J,6,0),"無")</f>
        <v>-1</v>
      </c>
      <c r="E176" s="79">
        <f>IFERROR(VLOOKUP($G176,基本資料!$A:$J,7,0),"無")</f>
        <v>37</v>
      </c>
      <c r="F176" s="6">
        <f>IFERROR(VLOOKUP($G176,基本資料!$A:$J,8,0),"無")</f>
        <v>1.68</v>
      </c>
      <c r="G176" s="80">
        <v>6248</v>
      </c>
      <c r="H176" s="5" t="s">
        <v>299</v>
      </c>
      <c r="I176" s="16" t="s">
        <v>3981</v>
      </c>
      <c r="J176" s="8">
        <f>IFERROR(VLOOKUP($G176,今日總結!$A:$AJ,35,0),"")</f>
        <v>0</v>
      </c>
      <c r="K176" s="5" t="str">
        <f>IFERROR(VLOOKUP($G176,今日總結!$A:$AJ,36,0),"")</f>
        <v>融</v>
      </c>
      <c r="L176" s="156">
        <f>IFERROR(VLOOKUP($G176,今日總結!$A:$AJ,33,0),"")</f>
        <v>0</v>
      </c>
      <c r="M176" s="340">
        <f>IFERROR(VLOOKUP($G176,今日總結!$A:$AJ,34,0),"")</f>
        <v>1</v>
      </c>
      <c r="N176" s="240">
        <f t="shared" si="96"/>
        <v>-1</v>
      </c>
      <c r="P176" s="365">
        <f>IFERROR(VLOOKUP($G176,融外自投!$A:$J,7,0),"無")</f>
        <v>779</v>
      </c>
      <c r="Q176" s="79">
        <f>IFERROR(VLOOKUP($G176,融外自投!$A:$J,9,0),"無")</f>
        <v>363</v>
      </c>
      <c r="R176" s="346">
        <f>IFERROR(VLOOKUP($G176,融外自投!$A:$J,8,0),"無")</f>
        <v>1209</v>
      </c>
      <c r="S176" s="81" t="str">
        <f>IFERROR(VLOOKUP($G176,融外自投!$A:$J,10,0),"無")</f>
        <v>無</v>
      </c>
      <c r="T176" s="327">
        <f>IFERROR(VLOOKUP($G176,'321買'!$A:$E,5,0),"'沒有資料'")</f>
        <v>1259</v>
      </c>
      <c r="U176" s="186">
        <f>IFERROR(VLOOKUP($G176,基本資料!$A:$J,9,0),"無")</f>
        <v>1.2</v>
      </c>
      <c r="V176" s="310">
        <f t="shared" si="97"/>
        <v>5.7971014492753624E-2</v>
      </c>
      <c r="W176" s="94">
        <f>IFERROR(VLOOKUP($G176,基本資料!$A:$J,10,0),"無")</f>
        <v>1.62</v>
      </c>
      <c r="X176" s="36">
        <v>20.7</v>
      </c>
      <c r="Y176" s="66">
        <v>19</v>
      </c>
      <c r="Z176" s="15">
        <f t="shared" si="103"/>
        <v>1.6999999999999993</v>
      </c>
      <c r="AA176" s="63">
        <f t="shared" si="104"/>
        <v>8.9473684210526275E-2</v>
      </c>
      <c r="AB176" s="99" t="s">
        <v>2963</v>
      </c>
      <c r="AC176" s="397">
        <f>IFERROR(VLOOKUP($G176,基本資料!$A:$M,12,0),"無")</f>
        <v>27.62</v>
      </c>
      <c r="AD176" s="16" t="s">
        <v>841</v>
      </c>
      <c r="AE176" s="84">
        <v>44439</v>
      </c>
      <c r="AF176" s="86">
        <v>44449</v>
      </c>
      <c r="AG176" s="33">
        <f t="shared" si="98"/>
        <v>10</v>
      </c>
      <c r="AH176" s="43" t="s">
        <v>2660</v>
      </c>
      <c r="AI176" s="187"/>
      <c r="AK176" s="245"/>
      <c r="AL176" s="245"/>
      <c r="AM176" s="285"/>
    </row>
    <row r="177" spans="1:39">
      <c r="A177" s="347">
        <f>IFERROR(VLOOKUP($G177,基本資料!$A:$J,3,0),"無")</f>
        <v>3.37</v>
      </c>
      <c r="B177" s="79">
        <f>IFERROR(VLOOKUP($G177,基本資料!$A:$J,4,0),"無")</f>
        <v>-764</v>
      </c>
      <c r="C177" s="79">
        <f>IFERROR(VLOOKUP($G177,基本資料!$A:$J,5,0),"無")</f>
        <v>-2471</v>
      </c>
      <c r="D177" s="79">
        <f>IFERROR(VLOOKUP($G177,基本資料!$A:$J,6,0),"無")</f>
        <v>205</v>
      </c>
      <c r="E177" s="79">
        <f>IFERROR(VLOOKUP($G177,基本資料!$A:$J,7,0),"無")</f>
        <v>856</v>
      </c>
      <c r="F177" s="6">
        <f>IFERROR(VLOOKUP($G177,基本資料!$A:$J,8,0),"無")</f>
        <v>-32.799999999999997</v>
      </c>
      <c r="G177" s="80">
        <v>6241</v>
      </c>
      <c r="H177" s="8" t="s">
        <v>311</v>
      </c>
      <c r="I177" s="16" t="s">
        <v>518</v>
      </c>
      <c r="J177" s="8" t="str">
        <f>IFERROR(VLOOKUP($G177,今日總結!$A:$AJ,35,0),"")</f>
        <v/>
      </c>
      <c r="K177" s="5" t="str">
        <f>IFERROR(VLOOKUP($G177,今日總結!$A:$AJ,36,0),"")</f>
        <v/>
      </c>
      <c r="L177" s="156" t="str">
        <f>IFERROR(VLOOKUP($G177,今日總結!$A:$AJ,33,0),"")</f>
        <v/>
      </c>
      <c r="M177" s="340" t="str">
        <f>IFERROR(VLOOKUP($G177,今日總結!$A:$AJ,34,0),"")</f>
        <v/>
      </c>
      <c r="N177" s="240" t="str">
        <f t="shared" si="96"/>
        <v/>
      </c>
      <c r="P177" s="365" t="str">
        <f>IFERROR(VLOOKUP($G177,融外自投!$A:$J,7,0),"無")</f>
        <v>無</v>
      </c>
      <c r="Q177" s="79" t="str">
        <f>IFERROR(VLOOKUP($G177,融外自投!$A:$J,9,0),"無")</f>
        <v>無</v>
      </c>
      <c r="R177" s="346" t="str">
        <f>IFERROR(VLOOKUP($G177,融外自投!$A:$J,8,0),"無")</f>
        <v>無</v>
      </c>
      <c r="S177" s="81" t="str">
        <f>IFERROR(VLOOKUP($G177,融外自投!$A:$J,10,0),"無")</f>
        <v>無</v>
      </c>
      <c r="T177" s="327" t="str">
        <f>IFERROR(VLOOKUP($G177,'321買'!$A:$E,5,0),"'沒有資料'")</f>
        <v>'沒有資料'</v>
      </c>
      <c r="U177" s="186">
        <f>IFERROR(VLOOKUP($G177,基本資料!$A:$J,9,0),"無")</f>
        <v>0</v>
      </c>
      <c r="V177" s="310">
        <f t="shared" si="97"/>
        <v>0</v>
      </c>
      <c r="W177" s="94">
        <f>IFERROR(VLOOKUP($G177,基本資料!$A:$J,10,0),"無")</f>
        <v>-3.15</v>
      </c>
      <c r="X177" s="36">
        <v>19.05</v>
      </c>
      <c r="Y177" s="66">
        <v>16</v>
      </c>
      <c r="Z177" s="15">
        <f t="shared" si="103"/>
        <v>3.0500000000000007</v>
      </c>
      <c r="AA177" s="63">
        <f t="shared" si="104"/>
        <v>0.19062500000000004</v>
      </c>
      <c r="AB177" s="99" t="s">
        <v>1875</v>
      </c>
      <c r="AC177" s="397">
        <f>IFERROR(VLOOKUP($G177,基本資料!$A:$M,12,0),"無")</f>
        <v>85.5</v>
      </c>
      <c r="AD177" s="16" t="s">
        <v>518</v>
      </c>
      <c r="AE177" s="84">
        <v>44439</v>
      </c>
      <c r="AF177" s="86">
        <v>44449</v>
      </c>
      <c r="AG177" s="33">
        <f t="shared" si="98"/>
        <v>10</v>
      </c>
      <c r="AH177" s="43" t="s">
        <v>2623</v>
      </c>
      <c r="AI177" s="187"/>
      <c r="AK177" s="245"/>
      <c r="AL177" s="245"/>
      <c r="AM177" s="285"/>
    </row>
    <row r="178" spans="1:39">
      <c r="A178" s="347">
        <f>IFERROR(VLOOKUP($G178,基本資料!$A:$J,3,0),"無")</f>
        <v>7.82</v>
      </c>
      <c r="B178" s="79">
        <f>IFERROR(VLOOKUP($G178,基本資料!$A:$J,4,0),"無")</f>
        <v>-341</v>
      </c>
      <c r="C178" s="79">
        <f>IFERROR(VLOOKUP($G178,基本資料!$A:$J,5,0),"無")</f>
        <v>-214</v>
      </c>
      <c r="D178" s="79">
        <f>IFERROR(VLOOKUP($G178,基本資料!$A:$J,6,0),"無")</f>
        <v>51</v>
      </c>
      <c r="E178" s="79">
        <f>IFERROR(VLOOKUP($G178,基本資料!$A:$J,7,0),"無")</f>
        <v>-27</v>
      </c>
      <c r="F178" s="6">
        <f>IFERROR(VLOOKUP($G178,基本資料!$A:$J,8,0),"無")</f>
        <v>-18.920000000000002</v>
      </c>
      <c r="G178" s="80">
        <v>6668</v>
      </c>
      <c r="H178" s="193" t="s">
        <v>306</v>
      </c>
      <c r="I178" s="22" t="s">
        <v>1082</v>
      </c>
      <c r="J178" s="8" t="str">
        <f>IFERROR(VLOOKUP($G178,今日總結!$A:$AJ,35,0),"")</f>
        <v/>
      </c>
      <c r="K178" s="5" t="str">
        <f>IFERROR(VLOOKUP($G178,今日總結!$A:$AJ,36,0),"")</f>
        <v/>
      </c>
      <c r="L178" s="156" t="str">
        <f>IFERROR(VLOOKUP($G178,今日總結!$A:$AJ,33,0),"")</f>
        <v/>
      </c>
      <c r="M178" s="340" t="str">
        <f>IFERROR(VLOOKUP($G178,今日總結!$A:$AJ,34,0),"")</f>
        <v/>
      </c>
      <c r="N178" s="240" t="str">
        <f t="shared" si="96"/>
        <v/>
      </c>
      <c r="P178" s="365">
        <f>IFERROR(VLOOKUP($G178,融外自投!$A:$J,7,0),"無")</f>
        <v>460</v>
      </c>
      <c r="Q178" s="79">
        <f>IFERROR(VLOOKUP($G178,融外自投!$A:$J,9,0),"無")</f>
        <v>243</v>
      </c>
      <c r="R178" s="346">
        <f>IFERROR(VLOOKUP($G178,融外自投!$A:$J,8,0),"無")</f>
        <v>260</v>
      </c>
      <c r="S178" s="81" t="str">
        <f>IFERROR(VLOOKUP($G178,融外自投!$A:$J,10,0),"無")</f>
        <v>無</v>
      </c>
      <c r="T178" s="327">
        <f>IFERROR(VLOOKUP($G178,'321買'!$A:$E,5,0),"'沒有資料'")</f>
        <v>827</v>
      </c>
      <c r="U178" s="186">
        <f>IFERROR(VLOOKUP($G178,基本資料!$A:$J,9,0),"無")</f>
        <v>0</v>
      </c>
      <c r="V178" s="310">
        <f t="shared" si="97"/>
        <v>0</v>
      </c>
      <c r="W178" s="94">
        <f>IFERROR(VLOOKUP($G178,基本資料!$A:$J,10,0),"無")</f>
        <v>-4.0199999999999996</v>
      </c>
      <c r="X178" s="36">
        <v>52.6</v>
      </c>
      <c r="Y178" s="66">
        <v>50</v>
      </c>
      <c r="Z178" s="15">
        <f t="shared" si="103"/>
        <v>2.6000000000000014</v>
      </c>
      <c r="AA178" s="63">
        <f t="shared" si="104"/>
        <v>5.2000000000000025E-2</v>
      </c>
      <c r="AB178" s="99" t="s">
        <v>3423</v>
      </c>
      <c r="AC178" s="397">
        <f>IFERROR(VLOOKUP($G178,基本資料!$A:$M,12,0),"無")</f>
        <v>8.16</v>
      </c>
      <c r="AD178" s="22" t="s">
        <v>1082</v>
      </c>
      <c r="AE178" s="84">
        <v>44438</v>
      </c>
      <c r="AF178" s="86">
        <v>44448</v>
      </c>
      <c r="AG178" s="33">
        <f t="shared" si="98"/>
        <v>10</v>
      </c>
      <c r="AH178" s="117" t="s">
        <v>2707</v>
      </c>
      <c r="AI178" s="286"/>
      <c r="AK178" s="245"/>
      <c r="AL178" s="245"/>
      <c r="AM178" s="254"/>
    </row>
    <row r="179" spans="1:39">
      <c r="A179" s="347">
        <f>IFERROR(VLOOKUP($G179,基本資料!$A:$J,3,0),"無")</f>
        <v>19.989999999999998</v>
      </c>
      <c r="B179" s="79">
        <f>IFERROR(VLOOKUP($G179,基本資料!$A:$J,4,0),"無")</f>
        <v>662</v>
      </c>
      <c r="C179" s="79">
        <f>IFERROR(VLOOKUP($G179,基本資料!$A:$J,5,0),"無")</f>
        <v>5365</v>
      </c>
      <c r="D179" s="79">
        <f>IFERROR(VLOOKUP($G179,基本資料!$A:$J,6,0),"無")</f>
        <v>-13</v>
      </c>
      <c r="E179" s="79">
        <f>IFERROR(VLOOKUP($G179,基本資料!$A:$J,7,0),"無")</f>
        <v>3</v>
      </c>
      <c r="F179" s="6">
        <f>IFERROR(VLOOKUP($G179,基本資料!$A:$J,8,0),"無")</f>
        <v>5.81</v>
      </c>
      <c r="G179" s="80">
        <v>2062</v>
      </c>
      <c r="H179" s="5" t="s">
        <v>1960</v>
      </c>
      <c r="I179" s="22" t="s">
        <v>673</v>
      </c>
      <c r="J179" s="8">
        <f>IFERROR(VLOOKUP($G179,今日總結!$A:$AJ,35,0),"")</f>
        <v>0</v>
      </c>
      <c r="K179" s="5" t="str">
        <f>IFERROR(VLOOKUP($G179,今日總結!$A:$AJ,36,0),"")</f>
        <v>外</v>
      </c>
      <c r="L179" s="156">
        <f>IFERROR(VLOOKUP($G179,今日總結!$A:$AJ,33,0),"")</f>
        <v>0</v>
      </c>
      <c r="M179" s="340">
        <f>IFERROR(VLOOKUP($G179,今日總結!$A:$AJ,34,0),"")</f>
        <v>1</v>
      </c>
      <c r="N179" s="240">
        <f t="shared" si="96"/>
        <v>-1</v>
      </c>
      <c r="P179" s="365">
        <f>IFERROR(VLOOKUP($G179,融外自投!$A:$J,7,0),"無")</f>
        <v>755</v>
      </c>
      <c r="Q179" s="79">
        <f>IFERROR(VLOOKUP($G179,融外自投!$A:$J,9,0),"無")</f>
        <v>414</v>
      </c>
      <c r="R179" s="346">
        <f>IFERROR(VLOOKUP($G179,融外自投!$A:$J,8,0),"無")</f>
        <v>517</v>
      </c>
      <c r="S179" s="81">
        <f>IFERROR(VLOOKUP($G179,融外自投!$A:$J,10,0),"無")</f>
        <v>268</v>
      </c>
      <c r="T179" s="327">
        <f>IFERROR(VLOOKUP($G179,'321買'!$A:$E,5,0),"'沒有資料'")</f>
        <v>463</v>
      </c>
      <c r="U179" s="186">
        <f>IFERROR(VLOOKUP($G179,基本資料!$A:$J,9,0),"無")</f>
        <v>0.5</v>
      </c>
      <c r="V179" s="310">
        <f t="shared" si="97"/>
        <v>1.926782273603083E-2</v>
      </c>
      <c r="W179" s="94">
        <f>IFERROR(VLOOKUP($G179,基本資料!$A:$J,10,0),"無")</f>
        <v>2.48</v>
      </c>
      <c r="X179" s="36">
        <v>25.95</v>
      </c>
      <c r="Y179" s="66">
        <v>25.5</v>
      </c>
      <c r="Z179" s="15">
        <f t="shared" ref="Z179:Z184" si="105">X179-Y179</f>
        <v>0.44999999999999929</v>
      </c>
      <c r="AA179" s="63">
        <f t="shared" si="104"/>
        <v>1.7647058823529384E-2</v>
      </c>
      <c r="AB179" s="99" t="s">
        <v>3419</v>
      </c>
      <c r="AC179" s="397">
        <f>IFERROR(VLOOKUP($G179,基本資料!$A:$M,12,0),"無")</f>
        <v>21.75</v>
      </c>
      <c r="AD179" s="22" t="s">
        <v>673</v>
      </c>
      <c r="AE179" s="84">
        <v>44435</v>
      </c>
      <c r="AF179" s="86">
        <v>44445</v>
      </c>
      <c r="AG179" s="33">
        <f t="shared" si="98"/>
        <v>10</v>
      </c>
      <c r="AH179" s="43" t="s">
        <v>2814</v>
      </c>
      <c r="AI179" s="187"/>
      <c r="AK179" s="245"/>
      <c r="AL179" s="245"/>
      <c r="AM179" s="285"/>
    </row>
    <row r="180" spans="1:39">
      <c r="A180" s="347">
        <f>IFERROR(VLOOKUP($G180,基本資料!$A:$J,3,0),"無")</f>
        <v>20.12</v>
      </c>
      <c r="B180" s="79">
        <f>IFERROR(VLOOKUP($G180,基本資料!$A:$J,4,0),"無")</f>
        <v>192</v>
      </c>
      <c r="C180" s="79">
        <f>IFERROR(VLOOKUP($G180,基本資料!$A:$J,5,0),"無")</f>
        <v>183</v>
      </c>
      <c r="D180" s="79">
        <f>IFERROR(VLOOKUP($G180,基本資料!$A:$J,6,0),"無")</f>
        <v>50</v>
      </c>
      <c r="E180" s="79">
        <f>IFERROR(VLOOKUP($G180,基本資料!$A:$J,7,0),"無")</f>
        <v>55</v>
      </c>
      <c r="F180" s="6">
        <f>IFERROR(VLOOKUP($G180,基本資料!$A:$J,8,0),"無")</f>
        <v>14.84</v>
      </c>
      <c r="G180" s="79">
        <v>5538</v>
      </c>
      <c r="H180" s="8" t="s">
        <v>299</v>
      </c>
      <c r="I180" s="22" t="s">
        <v>852</v>
      </c>
      <c r="J180" s="8">
        <f>IFERROR(VLOOKUP($G180,今日總結!$A:$AJ,35,0),"")</f>
        <v>0</v>
      </c>
      <c r="K180" s="5" t="str">
        <f>IFERROR(VLOOKUP($G180,今日總結!$A:$AJ,36,0),"")</f>
        <v>自</v>
      </c>
      <c r="L180" s="156">
        <f>IFERROR(VLOOKUP($G180,今日總結!$A:$AJ,33,0),"")</f>
        <v>0</v>
      </c>
      <c r="M180" s="340">
        <f>IFERROR(VLOOKUP($G180,今日總結!$A:$AJ,34,0),"")</f>
        <v>1</v>
      </c>
      <c r="N180" s="240">
        <f t="shared" si="96"/>
        <v>-1</v>
      </c>
      <c r="P180" s="365">
        <f>IFERROR(VLOOKUP($G180,融外自投!$A:$J,7,0),"無")</f>
        <v>1273</v>
      </c>
      <c r="Q180" s="79">
        <f>IFERROR(VLOOKUP($G180,融外自投!$A:$J,9,0),"無")</f>
        <v>1051</v>
      </c>
      <c r="R180" s="346">
        <f>IFERROR(VLOOKUP($G180,融外自投!$A:$J,8,0),"無")</f>
        <v>37</v>
      </c>
      <c r="S180" s="81">
        <f>IFERROR(VLOOKUP($G180,融外自投!$A:$J,10,0),"無")</f>
        <v>491</v>
      </c>
      <c r="T180" s="327">
        <f>IFERROR(VLOOKUP($G180,'321買'!$A:$E,5,0),"'沒有資料'")</f>
        <v>802</v>
      </c>
      <c r="U180" s="186">
        <f>IFERROR(VLOOKUP($G180,基本資料!$A:$J,9,0),"無")</f>
        <v>3.2</v>
      </c>
      <c r="V180" s="310">
        <f t="shared" si="97"/>
        <v>7.8144078144078144E-2</v>
      </c>
      <c r="W180" s="94">
        <f>IFERROR(VLOOKUP($G180,基本資料!$A:$J,10,0),"無")</f>
        <v>8</v>
      </c>
      <c r="X180" s="13">
        <v>40.950000000000003</v>
      </c>
      <c r="Y180" s="66">
        <v>36</v>
      </c>
      <c r="Z180" s="15">
        <f t="shared" si="105"/>
        <v>4.9500000000000028</v>
      </c>
      <c r="AA180" s="63">
        <f t="shared" si="104"/>
        <v>0.13750000000000007</v>
      </c>
      <c r="AB180" s="99" t="s">
        <v>3419</v>
      </c>
      <c r="AC180" s="397">
        <f>IFERROR(VLOOKUP($G180,基本資料!$A:$M,12,0),"無")</f>
        <v>14.15</v>
      </c>
      <c r="AD180" s="22" t="s">
        <v>852</v>
      </c>
      <c r="AE180" s="84">
        <v>44433</v>
      </c>
      <c r="AF180" s="86">
        <v>44445</v>
      </c>
      <c r="AG180" s="33">
        <f t="shared" si="98"/>
        <v>12</v>
      </c>
      <c r="AH180" s="43" t="s">
        <v>3262</v>
      </c>
      <c r="AI180" s="187"/>
      <c r="AK180" s="245"/>
      <c r="AL180" s="245"/>
      <c r="AM180" s="285"/>
    </row>
    <row r="181" spans="1:39">
      <c r="A181" s="347">
        <f>IFERROR(VLOOKUP($G181,基本資料!$A:$J,3,0),"無")</f>
        <v>1548</v>
      </c>
      <c r="B181" s="79">
        <f>IFERROR(VLOOKUP($G181,基本資料!$A:$J,4,0),"無")</f>
        <v>57</v>
      </c>
      <c r="C181" s="79">
        <f>IFERROR(VLOOKUP($G181,基本資料!$A:$J,5,0),"無")</f>
        <v>0</v>
      </c>
      <c r="D181" s="79">
        <f>IFERROR(VLOOKUP($G181,基本資料!$A:$J,6,0),"無")</f>
        <v>50</v>
      </c>
      <c r="E181" s="79">
        <f>IFERROR(VLOOKUP($G181,基本資料!$A:$J,7,0),"無")</f>
        <v>1</v>
      </c>
      <c r="F181" s="6">
        <f>IFERROR(VLOOKUP($G181,基本資料!$A:$J,8,0),"無")</f>
        <v>0</v>
      </c>
      <c r="G181" s="79">
        <v>2888</v>
      </c>
      <c r="H181" s="17" t="s">
        <v>304</v>
      </c>
      <c r="I181" s="22" t="s">
        <v>18</v>
      </c>
      <c r="J181" s="8">
        <f>IFERROR(VLOOKUP($G181,今日總結!$A:$AJ,35,0),"")</f>
        <v>0</v>
      </c>
      <c r="K181" s="5" t="str">
        <f>IFERROR(VLOOKUP($G181,今日總結!$A:$AJ,36,0),"")</f>
        <v>外</v>
      </c>
      <c r="L181" s="156">
        <f>IFERROR(VLOOKUP($G181,今日總結!$A:$AJ,33,0),"")</f>
        <v>0</v>
      </c>
      <c r="M181" s="340">
        <f>IFERROR(VLOOKUP($G181,今日總結!$A:$AJ,34,0),"")</f>
        <v>2</v>
      </c>
      <c r="N181" s="240">
        <f t="shared" si="96"/>
        <v>-2</v>
      </c>
      <c r="P181" s="365">
        <f>IFERROR(VLOOKUP($G181,融外自投!$A:$J,7,0),"無")</f>
        <v>926</v>
      </c>
      <c r="Q181" s="79" t="str">
        <f>IFERROR(VLOOKUP($G181,融外自投!$A:$J,9,0),"無")</f>
        <v>無</v>
      </c>
      <c r="R181" s="346">
        <f>IFERROR(VLOOKUP($G181,融外自投!$A:$J,8,0),"無")</f>
        <v>255</v>
      </c>
      <c r="S181" s="81">
        <f>IFERROR(VLOOKUP($G181,融外自投!$A:$J,10,0),"無")</f>
        <v>299</v>
      </c>
      <c r="T181" s="327">
        <f>IFERROR(VLOOKUP($G181,'321買'!$A:$E,5,0),"'沒有資料'")</f>
        <v>217</v>
      </c>
      <c r="U181" s="186">
        <f>IFERROR(VLOOKUP($G181,基本資料!$A:$J,9,0),"無")</f>
        <v>0.43</v>
      </c>
      <c r="V181" s="310">
        <f t="shared" si="97"/>
        <v>4.5989304812834225E-2</v>
      </c>
      <c r="W181" s="94">
        <f>IFERROR(VLOOKUP($G181,基本資料!$A:$J,10,0),"無")</f>
        <v>1.67</v>
      </c>
      <c r="X181" s="36">
        <v>9.35</v>
      </c>
      <c r="Y181" s="66">
        <v>8.1999999999999993</v>
      </c>
      <c r="Z181" s="15">
        <f t="shared" si="105"/>
        <v>1.1500000000000004</v>
      </c>
      <c r="AA181" s="63">
        <f t="shared" si="104"/>
        <v>0.14024390243902446</v>
      </c>
      <c r="AB181" s="99" t="s">
        <v>3420</v>
      </c>
      <c r="AC181" s="397">
        <f>IFERROR(VLOOKUP($G181,基本資料!$A:$M,12,0),"無")</f>
        <v>12.46</v>
      </c>
      <c r="AD181" s="22" t="s">
        <v>18</v>
      </c>
      <c r="AE181" s="84">
        <v>44433</v>
      </c>
      <c r="AF181" s="86">
        <v>44445</v>
      </c>
      <c r="AG181" s="33">
        <f t="shared" si="98"/>
        <v>12</v>
      </c>
      <c r="AH181" s="117" t="s">
        <v>2602</v>
      </c>
      <c r="AI181" s="187"/>
      <c r="AK181" s="245"/>
      <c r="AL181" s="245"/>
      <c r="AM181" s="285"/>
    </row>
    <row r="182" spans="1:39">
      <c r="A182" s="347">
        <f>IFERROR(VLOOKUP($G182,基本資料!$A:$J,3,0),"無")</f>
        <v>8.0299999999999994</v>
      </c>
      <c r="B182" s="79">
        <f>IFERROR(VLOOKUP($G182,基本資料!$A:$J,4,0),"無")</f>
        <v>-19</v>
      </c>
      <c r="C182" s="79">
        <f>IFERROR(VLOOKUP($G182,基本資料!$A:$J,5,0),"無")</f>
        <v>-19</v>
      </c>
      <c r="D182" s="79">
        <f>IFERROR(VLOOKUP($G182,基本資料!$A:$J,6,0),"無")</f>
        <v>-6</v>
      </c>
      <c r="E182" s="79">
        <f>IFERROR(VLOOKUP($G182,基本資料!$A:$J,7,0),"無")</f>
        <v>17</v>
      </c>
      <c r="F182" s="6">
        <f>IFERROR(VLOOKUP($G182,基本資料!$A:$J,8,0),"無")</f>
        <v>11.85</v>
      </c>
      <c r="G182" s="80">
        <v>3557</v>
      </c>
      <c r="H182" s="5" t="s">
        <v>1960</v>
      </c>
      <c r="I182" s="22" t="s">
        <v>445</v>
      </c>
      <c r="J182" s="8" t="str">
        <f>IFERROR(VLOOKUP($G182,今日總結!$A:$AJ,35,0),"")</f>
        <v>9外</v>
      </c>
      <c r="K182" s="5">
        <f>IFERROR(VLOOKUP($G182,今日總結!$A:$AJ,36,0),"")</f>
        <v>0</v>
      </c>
      <c r="L182" s="156">
        <f>IFERROR(VLOOKUP($G182,今日總結!$A:$AJ,33,0),"")</f>
        <v>2</v>
      </c>
      <c r="M182" s="340">
        <f>IFERROR(VLOOKUP($G182,今日總結!$A:$AJ,34,0),"")</f>
        <v>0</v>
      </c>
      <c r="N182" s="240">
        <f t="shared" si="96"/>
        <v>2</v>
      </c>
      <c r="P182" s="365">
        <f>IFERROR(VLOOKUP($G182,融外自投!$A:$J,7,0),"無")</f>
        <v>263</v>
      </c>
      <c r="Q182" s="79" t="str">
        <f>IFERROR(VLOOKUP($G182,融外自投!$A:$J,9,0),"無")</f>
        <v>無</v>
      </c>
      <c r="R182" s="346">
        <f>IFERROR(VLOOKUP($G182,融外自投!$A:$J,8,0),"無")</f>
        <v>292</v>
      </c>
      <c r="S182" s="81" t="str">
        <f>IFERROR(VLOOKUP($G182,融外自投!$A:$J,10,0),"無")</f>
        <v>無</v>
      </c>
      <c r="T182" s="327">
        <f>IFERROR(VLOOKUP($G182,'321買'!$A:$E,5,0),"'沒有資料'")</f>
        <v>306</v>
      </c>
      <c r="U182" s="186">
        <f>IFERROR(VLOOKUP($G182,基本資料!$A:$J,9,0),"無")</f>
        <v>6</v>
      </c>
      <c r="V182" s="310">
        <f t="shared" si="97"/>
        <v>7.4257425742574254E-2</v>
      </c>
      <c r="W182" s="94">
        <f>IFERROR(VLOOKUP($G182,基本資料!$A:$J,10,0),"無")</f>
        <v>7.74</v>
      </c>
      <c r="X182" s="36">
        <v>80.8</v>
      </c>
      <c r="Y182" s="45">
        <v>76</v>
      </c>
      <c r="Z182" s="15">
        <f t="shared" si="105"/>
        <v>4.7999999999999972</v>
      </c>
      <c r="AA182" s="63">
        <f t="shared" si="104"/>
        <v>6.3157894736842066E-2</v>
      </c>
      <c r="AB182" s="99" t="s">
        <v>1595</v>
      </c>
      <c r="AC182" s="397">
        <f>IFERROR(VLOOKUP($G182,基本資料!$A:$M,12,0),"無")</f>
        <v>27.97</v>
      </c>
      <c r="AD182" s="22" t="s">
        <v>445</v>
      </c>
      <c r="AE182" s="84">
        <v>44432</v>
      </c>
      <c r="AF182" s="86">
        <v>44442</v>
      </c>
      <c r="AG182" s="33">
        <f t="shared" si="98"/>
        <v>10</v>
      </c>
      <c r="AH182" s="43" t="s">
        <v>3404</v>
      </c>
      <c r="AI182" s="187"/>
      <c r="AK182" s="245"/>
      <c r="AL182" s="245"/>
      <c r="AM182" s="285"/>
    </row>
    <row r="183" spans="1:39">
      <c r="A183" s="347">
        <f>IFERROR(VLOOKUP($G183,基本資料!$A:$J,3,0),"無")</f>
        <v>22.19</v>
      </c>
      <c r="B183" s="79">
        <f>IFERROR(VLOOKUP($G183,基本資料!$A:$J,4,0),"無")</f>
        <v>344</v>
      </c>
      <c r="C183" s="79">
        <f>IFERROR(VLOOKUP($G183,基本資料!$A:$J,5,0),"無")</f>
        <v>1235</v>
      </c>
      <c r="D183" s="79">
        <f>IFERROR(VLOOKUP($G183,基本資料!$A:$J,6,0),"無")</f>
        <v>-2</v>
      </c>
      <c r="E183" s="79">
        <f>IFERROR(VLOOKUP($G183,基本資料!$A:$J,7,0),"無")</f>
        <v>-1</v>
      </c>
      <c r="F183" s="6">
        <f>IFERROR(VLOOKUP($G183,基本資料!$A:$J,8,0),"無")</f>
        <v>8.92</v>
      </c>
      <c r="G183" s="79">
        <v>2486</v>
      </c>
      <c r="H183" s="8" t="s">
        <v>306</v>
      </c>
      <c r="I183" s="22" t="s">
        <v>331</v>
      </c>
      <c r="J183" s="8" t="str">
        <f>IFERROR(VLOOKUP($G183,今日總結!$A:$AJ,35,0),"")</f>
        <v/>
      </c>
      <c r="K183" s="5" t="str">
        <f>IFERROR(VLOOKUP($G183,今日總結!$A:$AJ,36,0),"")</f>
        <v/>
      </c>
      <c r="L183" s="156" t="str">
        <f>IFERROR(VLOOKUP($G183,今日總結!$A:$AJ,33,0),"")</f>
        <v/>
      </c>
      <c r="M183" s="340" t="str">
        <f>IFERROR(VLOOKUP($G183,今日總結!$A:$AJ,34,0),"")</f>
        <v/>
      </c>
      <c r="N183" s="240" t="str">
        <f t="shared" si="96"/>
        <v/>
      </c>
      <c r="P183" s="365">
        <f>IFERROR(VLOOKUP($G183,融外自投!$A:$J,7,0),"無")</f>
        <v>123</v>
      </c>
      <c r="Q183" s="79" t="str">
        <f>IFERROR(VLOOKUP($G183,融外自投!$A:$J,9,0),"無")</f>
        <v>無</v>
      </c>
      <c r="R183" s="346">
        <f>IFERROR(VLOOKUP($G183,融外自投!$A:$J,8,0),"無")</f>
        <v>1092</v>
      </c>
      <c r="S183" s="81" t="str">
        <f>IFERROR(VLOOKUP($G183,融外自投!$A:$J,10,0),"無")</f>
        <v>無</v>
      </c>
      <c r="T183" s="327">
        <f>IFERROR(VLOOKUP($G183,'321買'!$A:$E,5,0),"'沒有資料'")</f>
        <v>178</v>
      </c>
      <c r="U183" s="186">
        <f>IFERROR(VLOOKUP($G183,基本資料!$A:$J,9,0),"無")</f>
        <v>0.5</v>
      </c>
      <c r="V183" s="310">
        <f t="shared" si="97"/>
        <v>9.1743119266055051E-3</v>
      </c>
      <c r="W183" s="94">
        <f>IFERROR(VLOOKUP($G183,基本資料!$A:$J,10,0),"無")</f>
        <v>1.79</v>
      </c>
      <c r="X183" s="36">
        <v>54.5</v>
      </c>
      <c r="Y183" s="45">
        <v>43</v>
      </c>
      <c r="Z183" s="15">
        <f t="shared" si="105"/>
        <v>11.5</v>
      </c>
      <c r="AA183" s="63">
        <f t="shared" si="104"/>
        <v>0.26744186046511625</v>
      </c>
      <c r="AB183" s="99" t="s">
        <v>3418</v>
      </c>
      <c r="AC183" s="397">
        <f>IFERROR(VLOOKUP($G183,基本資料!$A:$M,12,0),"無")</f>
        <v>14.43</v>
      </c>
      <c r="AD183" s="22" t="s">
        <v>331</v>
      </c>
      <c r="AE183" s="84">
        <v>44432</v>
      </c>
      <c r="AF183" s="86">
        <v>44442</v>
      </c>
      <c r="AG183" s="33">
        <f t="shared" si="98"/>
        <v>10</v>
      </c>
      <c r="AH183" s="43" t="s">
        <v>2583</v>
      </c>
      <c r="AI183" s="187"/>
      <c r="AK183" s="245"/>
      <c r="AL183" s="245"/>
      <c r="AM183" s="285"/>
    </row>
    <row r="184" spans="1:39">
      <c r="A184" s="347">
        <f>IFERROR(VLOOKUP($G184,基本資料!$A:$J,3,0),"無")</f>
        <v>7.1</v>
      </c>
      <c r="B184" s="79">
        <f>IFERROR(VLOOKUP($G184,基本資料!$A:$J,4,0),"無")</f>
        <v>-362</v>
      </c>
      <c r="C184" s="79">
        <f>IFERROR(VLOOKUP($G184,基本資料!$A:$J,5,0),"無")</f>
        <v>-80</v>
      </c>
      <c r="D184" s="79">
        <f>IFERROR(VLOOKUP($G184,基本資料!$A:$J,6,0),"無")</f>
        <v>-15</v>
      </c>
      <c r="E184" s="79">
        <f>IFERROR(VLOOKUP($G184,基本資料!$A:$J,7,0),"無")</f>
        <v>-41</v>
      </c>
      <c r="F184" s="6">
        <f>IFERROR(VLOOKUP($G184,基本資料!$A:$J,8,0),"無")</f>
        <v>0.74</v>
      </c>
      <c r="G184" s="79">
        <v>3230</v>
      </c>
      <c r="H184" s="8" t="s">
        <v>306</v>
      </c>
      <c r="I184" s="16" t="s">
        <v>4169</v>
      </c>
      <c r="J184" s="8" t="str">
        <f>IFERROR(VLOOKUP($G184,今日總結!$A:$AJ,35,0),"")</f>
        <v>融</v>
      </c>
      <c r="K184" s="5">
        <f>IFERROR(VLOOKUP($G184,今日總結!$A:$AJ,36,0),"")</f>
        <v>0</v>
      </c>
      <c r="L184" s="156">
        <f>IFERROR(VLOOKUP($G184,今日總結!$A:$AJ,33,0),"")</f>
        <v>1</v>
      </c>
      <c r="M184" s="340">
        <f>IFERROR(VLOOKUP($G184,今日總結!$A:$AJ,34,0),"")</f>
        <v>0</v>
      </c>
      <c r="N184" s="240">
        <f t="shared" si="96"/>
        <v>1</v>
      </c>
      <c r="P184" s="365">
        <f>IFERROR(VLOOKUP($G184,融外自投!$A:$J,7,0),"無")</f>
        <v>37</v>
      </c>
      <c r="Q184" s="79" t="str">
        <f>IFERROR(VLOOKUP($G184,融外自投!$A:$J,9,0),"無")</f>
        <v>無</v>
      </c>
      <c r="R184" s="346">
        <f>IFERROR(VLOOKUP($G184,融外自投!$A:$J,8,0),"無")</f>
        <v>1310</v>
      </c>
      <c r="S184" s="81" t="str">
        <f>IFERROR(VLOOKUP($G184,融外自投!$A:$J,10,0),"無")</f>
        <v>無</v>
      </c>
      <c r="T184" s="327">
        <f>IFERROR(VLOOKUP($G184,'321買'!$A:$E,5,0),"'沒有資料'")</f>
        <v>178</v>
      </c>
      <c r="U184" s="186">
        <f>IFERROR(VLOOKUP($G184,基本資料!$A:$J,9,0),"無")</f>
        <v>0</v>
      </c>
      <c r="V184" s="310">
        <f t="shared" si="97"/>
        <v>0</v>
      </c>
      <c r="W184" s="94">
        <f>IFERROR(VLOOKUP($G184,基本資料!$A:$J,10,0),"無")</f>
        <v>-0.51</v>
      </c>
      <c r="X184" s="36">
        <v>21.25</v>
      </c>
      <c r="Y184" s="66">
        <v>15</v>
      </c>
      <c r="Z184" s="15">
        <f t="shared" si="105"/>
        <v>6.25</v>
      </c>
      <c r="AA184" s="63">
        <f t="shared" si="104"/>
        <v>0.41666666666666669</v>
      </c>
      <c r="AB184" s="99" t="s">
        <v>3036</v>
      </c>
      <c r="AC184" s="397">
        <f>IFERROR(VLOOKUP($G184,基本資料!$A:$M,12,0),"無")</f>
        <v>59.15</v>
      </c>
      <c r="AD184" s="16" t="s">
        <v>452</v>
      </c>
      <c r="AE184" s="84">
        <v>44431</v>
      </c>
      <c r="AF184" s="86">
        <v>44441</v>
      </c>
      <c r="AG184" s="33">
        <f t="shared" si="98"/>
        <v>10</v>
      </c>
      <c r="AH184" s="43" t="s">
        <v>2432</v>
      </c>
      <c r="AI184" s="187"/>
      <c r="AK184" s="245"/>
      <c r="AL184" s="245"/>
      <c r="AM184" s="285"/>
    </row>
    <row r="185" spans="1:39">
      <c r="A185" s="347">
        <f>IFERROR(VLOOKUP($G185,基本資料!$A:$J,3,0),"無")</f>
        <v>33.31</v>
      </c>
      <c r="B185" s="79">
        <f>IFERROR(VLOOKUP($G185,基本資料!$A:$J,4,0),"無")</f>
        <v>179</v>
      </c>
      <c r="C185" s="79">
        <f>IFERROR(VLOOKUP($G185,基本資料!$A:$J,5,0),"無")</f>
        <v>202</v>
      </c>
      <c r="D185" s="79">
        <f>IFERROR(VLOOKUP($G185,基本資料!$A:$J,6,0),"無")</f>
        <v>0</v>
      </c>
      <c r="E185" s="79">
        <f>IFERROR(VLOOKUP($G185,基本資料!$A:$J,7,0),"無")</f>
        <v>29</v>
      </c>
      <c r="F185" s="6">
        <f>IFERROR(VLOOKUP($G185,基本資料!$A:$J,8,0),"無")</f>
        <v>6.68</v>
      </c>
      <c r="G185" s="79">
        <v>3707</v>
      </c>
      <c r="H185" s="195" t="s">
        <v>3039</v>
      </c>
      <c r="I185" s="24" t="s">
        <v>4053</v>
      </c>
      <c r="J185" s="8">
        <f>IFERROR(VLOOKUP($G185,今日總結!$A:$AJ,35,0),"")</f>
        <v>4</v>
      </c>
      <c r="K185" s="5">
        <f>IFERROR(VLOOKUP($G185,今日總結!$A:$AJ,36,0),"")</f>
        <v>0</v>
      </c>
      <c r="L185" s="156">
        <f>IFERROR(VLOOKUP($G185,今日總結!$A:$AJ,33,0),"")</f>
        <v>1</v>
      </c>
      <c r="M185" s="340">
        <f>IFERROR(VLOOKUP($G185,今日總結!$A:$AJ,34,0),"")</f>
        <v>0</v>
      </c>
      <c r="N185" s="240">
        <f t="shared" si="96"/>
        <v>1</v>
      </c>
      <c r="P185" s="365">
        <f>IFERROR(VLOOKUP($G185,融外自投!$A:$J,7,0),"無")</f>
        <v>155</v>
      </c>
      <c r="Q185" s="79">
        <f>IFERROR(VLOOKUP($G185,融外自投!$A:$J,9,0),"無")</f>
        <v>363</v>
      </c>
      <c r="R185" s="346">
        <f>IFERROR(VLOOKUP($G185,融外自投!$A:$J,8,0),"無")</f>
        <v>514</v>
      </c>
      <c r="S185" s="81">
        <f>IFERROR(VLOOKUP($G185,融外自投!$A:$J,10,0),"無")</f>
        <v>54</v>
      </c>
      <c r="T185" s="327">
        <f>IFERROR(VLOOKUP($G185,'321買'!$A:$E,5,0),"'沒有資料'")</f>
        <v>44</v>
      </c>
      <c r="U185" s="186">
        <f>IFERROR(VLOOKUP($G185,基本資料!$A:$J,9,0),"無")</f>
        <v>0.35</v>
      </c>
      <c r="V185" s="310">
        <f t="shared" si="97"/>
        <v>3.3018867924528299E-3</v>
      </c>
      <c r="W185" s="94">
        <f>IFERROR(VLOOKUP($G185,基本資料!$A:$J,10,0),"無")</f>
        <v>0.73</v>
      </c>
      <c r="X185" s="36">
        <v>106</v>
      </c>
      <c r="Y185" s="45">
        <v>63.9</v>
      </c>
      <c r="Z185" s="15">
        <f t="shared" ref="Z185:Z216" si="106">X185-Y185</f>
        <v>42.1</v>
      </c>
      <c r="AA185" s="63">
        <f t="shared" ref="AA185:AA216" si="107">Z185/Y185</f>
        <v>0.65884194053208145</v>
      </c>
      <c r="AB185" s="99" t="s">
        <v>3411</v>
      </c>
      <c r="AC185" s="397">
        <f>IFERROR(VLOOKUP($G185,基本資料!$A:$M,12,0),"無")</f>
        <v>32.520000000000003</v>
      </c>
      <c r="AD185" s="24" t="s">
        <v>247</v>
      </c>
      <c r="AE185" s="84">
        <v>44428</v>
      </c>
      <c r="AF185" s="86">
        <v>44438</v>
      </c>
      <c r="AG185" s="33">
        <f t="shared" si="98"/>
        <v>10</v>
      </c>
      <c r="AH185" s="119" t="s">
        <v>2555</v>
      </c>
      <c r="AI185" s="290"/>
      <c r="AK185" s="245"/>
      <c r="AL185" s="245"/>
      <c r="AM185" s="24"/>
    </row>
    <row r="186" spans="1:39">
      <c r="A186" s="347">
        <f>IFERROR(VLOOKUP($G186,基本資料!$A:$J,3,0),"無")</f>
        <v>2.46</v>
      </c>
      <c r="B186" s="79">
        <f>IFERROR(VLOOKUP($G186,基本資料!$A:$J,4,0),"無")</f>
        <v>260</v>
      </c>
      <c r="C186" s="79">
        <f>IFERROR(VLOOKUP($G186,基本資料!$A:$J,5,0),"無")</f>
        <v>274</v>
      </c>
      <c r="D186" s="79">
        <f>IFERROR(VLOOKUP($G186,基本資料!$A:$J,6,0),"無")</f>
        <v>-15</v>
      </c>
      <c r="E186" s="79">
        <f>IFERROR(VLOOKUP($G186,基本資料!$A:$J,7,0),"無")</f>
        <v>-3</v>
      </c>
      <c r="F186" s="6">
        <f>IFERROR(VLOOKUP($G186,基本資料!$A:$J,8,0),"無")</f>
        <v>29.39</v>
      </c>
      <c r="G186" s="79">
        <v>6684</v>
      </c>
      <c r="H186" s="193" t="s">
        <v>3039</v>
      </c>
      <c r="I186" s="16" t="s">
        <v>3394</v>
      </c>
      <c r="J186" s="8" t="str">
        <f>IFERROR(VLOOKUP($G186,今日總結!$A:$AJ,35,0),"")</f>
        <v/>
      </c>
      <c r="K186" s="5" t="str">
        <f>IFERROR(VLOOKUP($G186,今日總結!$A:$AJ,36,0),"")</f>
        <v/>
      </c>
      <c r="L186" s="156" t="str">
        <f>IFERROR(VLOOKUP($G186,今日總結!$A:$AJ,33,0),"")</f>
        <v/>
      </c>
      <c r="M186" s="340" t="str">
        <f>IFERROR(VLOOKUP($G186,今日總結!$A:$AJ,34,0),"")</f>
        <v/>
      </c>
      <c r="N186" s="240" t="str">
        <f t="shared" si="96"/>
        <v/>
      </c>
      <c r="P186" s="365" t="str">
        <f>IFERROR(VLOOKUP($G186,融外自投!$A:$J,7,0),"無")</f>
        <v>無</v>
      </c>
      <c r="Q186" s="79" t="str">
        <f>IFERROR(VLOOKUP($G186,融外自投!$A:$J,9,0),"無")</f>
        <v>無</v>
      </c>
      <c r="R186" s="346" t="str">
        <f>IFERROR(VLOOKUP($G186,融外自投!$A:$J,8,0),"無")</f>
        <v>無</v>
      </c>
      <c r="S186" s="81" t="str">
        <f>IFERROR(VLOOKUP($G186,融外自投!$A:$J,10,0),"無")</f>
        <v>無</v>
      </c>
      <c r="T186" s="327" t="str">
        <f>IFERROR(VLOOKUP($G186,'321買'!$A:$E,5,0),"'沒有資料'")</f>
        <v>'沒有資料'</v>
      </c>
      <c r="U186" s="186">
        <f>IFERROR(VLOOKUP($G186,基本資料!$A:$J,9,0),"無")</f>
        <v>5.5</v>
      </c>
      <c r="V186" s="310">
        <f t="shared" si="97"/>
        <v>3.8194444444444448E-2</v>
      </c>
      <c r="W186" s="94">
        <f>IFERROR(VLOOKUP($G186,基本資料!$A:$J,10,0),"無")</f>
        <v>6.59</v>
      </c>
      <c r="X186" s="36">
        <v>144</v>
      </c>
      <c r="Y186" s="66">
        <v>88</v>
      </c>
      <c r="Z186" s="15">
        <f t="shared" si="106"/>
        <v>56</v>
      </c>
      <c r="AA186" s="148">
        <f t="shared" si="107"/>
        <v>0.63636363636363635</v>
      </c>
      <c r="AB186" s="99" t="s">
        <v>2087</v>
      </c>
      <c r="AC186" s="397" t="str">
        <f>IFERROR(VLOOKUP($G186,基本資料!$A:$M,12,0),"無")</f>
        <v>無</v>
      </c>
      <c r="AD186" s="16" t="s">
        <v>3394</v>
      </c>
      <c r="AE186" s="84">
        <v>44419</v>
      </c>
      <c r="AF186" s="86">
        <v>44431</v>
      </c>
      <c r="AG186" s="33">
        <f t="shared" si="98"/>
        <v>12</v>
      </c>
      <c r="AH186" s="43" t="s">
        <v>3395</v>
      </c>
      <c r="AI186" s="187"/>
      <c r="AK186" s="245"/>
      <c r="AL186" s="245"/>
      <c r="AM186" s="285"/>
    </row>
    <row r="187" spans="1:39">
      <c r="A187" s="347">
        <f>IFERROR(VLOOKUP($G187,基本資料!$A:$J,3,0),"無")</f>
        <v>4.17</v>
      </c>
      <c r="B187" s="79">
        <f>IFERROR(VLOOKUP($G187,基本資料!$A:$J,4,0),"無")</f>
        <v>40</v>
      </c>
      <c r="C187" s="79">
        <f>IFERROR(VLOOKUP($G187,基本資料!$A:$J,5,0),"無")</f>
        <v>35</v>
      </c>
      <c r="D187" s="79">
        <f>IFERROR(VLOOKUP($G187,基本資料!$A:$J,6,0),"無")</f>
        <v>17</v>
      </c>
      <c r="E187" s="79">
        <f>IFERROR(VLOOKUP($G187,基本資料!$A:$J,7,0),"無")</f>
        <v>39</v>
      </c>
      <c r="F187" s="6">
        <f>IFERROR(VLOOKUP($G187,基本資料!$A:$J,8,0),"無")</f>
        <v>47.66</v>
      </c>
      <c r="G187" s="80">
        <v>4171</v>
      </c>
      <c r="H187" s="5" t="s">
        <v>1038</v>
      </c>
      <c r="I187" s="16" t="s">
        <v>1039</v>
      </c>
      <c r="J187" s="8" t="str">
        <f>IFERROR(VLOOKUP($G187,今日總結!$A:$AJ,35,0),"")</f>
        <v>4券</v>
      </c>
      <c r="K187" s="5">
        <f>IFERROR(VLOOKUP($G187,今日總結!$A:$AJ,36,0),"")</f>
        <v>3</v>
      </c>
      <c r="L187" s="156">
        <f>IFERROR(VLOOKUP($G187,今日總結!$A:$AJ,33,0),"")</f>
        <v>2</v>
      </c>
      <c r="M187" s="340">
        <f>IFERROR(VLOOKUP($G187,今日總結!$A:$AJ,34,0),"")</f>
        <v>1</v>
      </c>
      <c r="N187" s="240">
        <f t="shared" si="96"/>
        <v>1</v>
      </c>
      <c r="P187" s="365">
        <f>IFERROR(VLOOKUP($G187,融外自投!$A:$J,7,0),"無")</f>
        <v>42</v>
      </c>
      <c r="Q187" s="79">
        <f>IFERROR(VLOOKUP($G187,融外自投!$A:$J,9,0),"無")</f>
        <v>138</v>
      </c>
      <c r="R187" s="346">
        <f>IFERROR(VLOOKUP($G187,融外自投!$A:$J,8,0),"無")</f>
        <v>251</v>
      </c>
      <c r="S187" s="81" t="str">
        <f>IFERROR(VLOOKUP($G187,融外自投!$A:$J,10,0),"無")</f>
        <v>無</v>
      </c>
      <c r="T187" s="327">
        <f>IFERROR(VLOOKUP($G187,'321買'!$A:$E,5,0),"'沒有資料'")</f>
        <v>634</v>
      </c>
      <c r="U187" s="186">
        <f>IFERROR(VLOOKUP($G187,基本資料!$A:$J,9,0),"無")</f>
        <v>6</v>
      </c>
      <c r="V187" s="310">
        <f t="shared" si="97"/>
        <v>5.3571428571428568E-2</v>
      </c>
      <c r="W187" s="94">
        <f>IFERROR(VLOOKUP($G187,基本資料!$A:$J,10,0),"無")</f>
        <v>9.01</v>
      </c>
      <c r="X187" s="36">
        <v>112</v>
      </c>
      <c r="Y187" s="45">
        <v>120</v>
      </c>
      <c r="Z187" s="15">
        <f t="shared" si="106"/>
        <v>-8</v>
      </c>
      <c r="AA187" s="76">
        <f t="shared" si="107"/>
        <v>-6.6666666666666666E-2</v>
      </c>
      <c r="AB187" s="100" t="s">
        <v>3405</v>
      </c>
      <c r="AC187" s="397">
        <f>IFERROR(VLOOKUP($G187,基本資料!$A:$M,12,0),"無")</f>
        <v>64.11</v>
      </c>
      <c r="AD187" s="16" t="s">
        <v>1039</v>
      </c>
      <c r="AE187" s="84">
        <v>44419</v>
      </c>
      <c r="AF187" s="86">
        <v>44431</v>
      </c>
      <c r="AG187" s="33">
        <f t="shared" si="98"/>
        <v>12</v>
      </c>
      <c r="AH187" s="43" t="s">
        <v>2703</v>
      </c>
      <c r="AI187" s="187"/>
      <c r="AK187" s="245"/>
      <c r="AL187" s="245"/>
      <c r="AM187" s="285"/>
    </row>
    <row r="188" spans="1:39">
      <c r="A188" s="347">
        <f>IFERROR(VLOOKUP($G188,基本資料!$A:$J,3,0),"無")</f>
        <v>18.649999999999999</v>
      </c>
      <c r="B188" s="79">
        <f>IFERROR(VLOOKUP($G188,基本資料!$A:$J,4,0),"無")</f>
        <v>773</v>
      </c>
      <c r="C188" s="79">
        <f>IFERROR(VLOOKUP($G188,基本資料!$A:$J,5,0),"無")</f>
        <v>872</v>
      </c>
      <c r="D188" s="79">
        <f>IFERROR(VLOOKUP($G188,基本資料!$A:$J,6,0),"無")</f>
        <v>-10</v>
      </c>
      <c r="E188" s="79">
        <f>IFERROR(VLOOKUP($G188,基本資料!$A:$J,7,0),"無")</f>
        <v>15</v>
      </c>
      <c r="F188" s="6">
        <f>IFERROR(VLOOKUP($G188,基本資料!$A:$J,8,0),"無")</f>
        <v>33.75</v>
      </c>
      <c r="G188" s="79">
        <v>4961</v>
      </c>
      <c r="H188" s="5" t="s">
        <v>3039</v>
      </c>
      <c r="I188" s="22" t="s">
        <v>1062</v>
      </c>
      <c r="J188" s="8" t="str">
        <f>IFERROR(VLOOKUP($G188,今日總結!$A:$AJ,35,0),"")</f>
        <v/>
      </c>
      <c r="K188" s="5" t="str">
        <f>IFERROR(VLOOKUP($G188,今日總結!$A:$AJ,36,0),"")</f>
        <v/>
      </c>
      <c r="L188" s="156" t="str">
        <f>IFERROR(VLOOKUP($G188,今日總結!$A:$AJ,33,0),"")</f>
        <v/>
      </c>
      <c r="M188" s="340" t="str">
        <f>IFERROR(VLOOKUP($G188,今日總結!$A:$AJ,34,0),"")</f>
        <v/>
      </c>
      <c r="N188" s="240" t="str">
        <f t="shared" si="96"/>
        <v/>
      </c>
      <c r="P188" s="365">
        <f>IFERROR(VLOOKUP($G188,融外自投!$A:$J,7,0),"無")</f>
        <v>162</v>
      </c>
      <c r="Q188" s="79">
        <f>IFERROR(VLOOKUP($G188,融外自投!$A:$J,9,0),"無")</f>
        <v>176</v>
      </c>
      <c r="R188" s="346">
        <f>IFERROR(VLOOKUP($G188,融外自投!$A:$J,8,0),"無")</f>
        <v>604</v>
      </c>
      <c r="S188" s="81">
        <f>IFERROR(VLOOKUP($G188,融外自投!$A:$J,10,0),"無")</f>
        <v>324</v>
      </c>
      <c r="T188" s="327">
        <f>IFERROR(VLOOKUP($G188,'321買'!$A:$E,5,0),"'沒有資料'")</f>
        <v>164</v>
      </c>
      <c r="U188" s="186">
        <f>IFERROR(VLOOKUP($G188,基本資料!$A:$J,9,0),"無")</f>
        <v>17</v>
      </c>
      <c r="V188" s="310">
        <f t="shared" si="97"/>
        <v>7.4561403508771926E-2</v>
      </c>
      <c r="W188" s="94">
        <f>IFERROR(VLOOKUP($G188,基本資料!$A:$J,10,0),"無")</f>
        <v>33.83</v>
      </c>
      <c r="X188" s="36">
        <v>228</v>
      </c>
      <c r="Y188" s="45">
        <v>255</v>
      </c>
      <c r="Z188" s="15">
        <f t="shared" si="106"/>
        <v>-27</v>
      </c>
      <c r="AA188" s="76">
        <f t="shared" si="107"/>
        <v>-0.10588235294117647</v>
      </c>
      <c r="AB188" s="99" t="s">
        <v>3402</v>
      </c>
      <c r="AC188" s="397">
        <f>IFERROR(VLOOKUP($G188,基本資料!$A:$M,12,0),"無")</f>
        <v>25.55</v>
      </c>
      <c r="AD188" s="22" t="s">
        <v>1062</v>
      </c>
      <c r="AE188" s="84">
        <v>44418</v>
      </c>
      <c r="AF188" s="86">
        <v>44428</v>
      </c>
      <c r="AG188" s="33">
        <f t="shared" si="98"/>
        <v>10</v>
      </c>
      <c r="AH188" s="43" t="s">
        <v>3412</v>
      </c>
      <c r="AI188" s="187"/>
      <c r="AK188" s="245"/>
      <c r="AL188" s="245"/>
      <c r="AM188" s="285"/>
    </row>
    <row r="189" spans="1:39">
      <c r="A189" s="347">
        <f>IFERROR(VLOOKUP($G189,基本資料!$A:$J,3,0),"無")</f>
        <v>7.76</v>
      </c>
      <c r="B189" s="79">
        <f>IFERROR(VLOOKUP($G189,基本資料!$A:$J,4,0),"無")</f>
        <v>22</v>
      </c>
      <c r="C189" s="79">
        <f>IFERROR(VLOOKUP($G189,基本資料!$A:$J,5,0),"無")</f>
        <v>22</v>
      </c>
      <c r="D189" s="79">
        <f>IFERROR(VLOOKUP($G189,基本資料!$A:$J,6,0),"無")</f>
        <v>-10</v>
      </c>
      <c r="E189" s="79">
        <f>IFERROR(VLOOKUP($G189,基本資料!$A:$J,7,0),"無")</f>
        <v>4</v>
      </c>
      <c r="F189" s="6">
        <f>IFERROR(VLOOKUP($G189,基本資料!$A:$J,8,0),"無")</f>
        <v>35.26</v>
      </c>
      <c r="G189" s="79">
        <v>8109</v>
      </c>
      <c r="H189" s="5" t="s">
        <v>3389</v>
      </c>
      <c r="I189" s="16" t="s">
        <v>441</v>
      </c>
      <c r="J189" s="8" t="str">
        <f>IFERROR(VLOOKUP($G189,今日總結!$A:$AJ,35,0),"")</f>
        <v/>
      </c>
      <c r="K189" s="5" t="str">
        <f>IFERROR(VLOOKUP($G189,今日總結!$A:$AJ,36,0),"")</f>
        <v/>
      </c>
      <c r="L189" s="156" t="str">
        <f>IFERROR(VLOOKUP($G189,今日總結!$A:$AJ,33,0),"")</f>
        <v/>
      </c>
      <c r="M189" s="340" t="str">
        <f>IFERROR(VLOOKUP($G189,今日總結!$A:$AJ,34,0),"")</f>
        <v/>
      </c>
      <c r="N189" s="240" t="str">
        <f t="shared" si="96"/>
        <v/>
      </c>
      <c r="P189" s="365">
        <f>IFERROR(VLOOKUP($G189,融外自投!$A:$J,7,0),"無")</f>
        <v>1363</v>
      </c>
      <c r="Q189" s="79" t="str">
        <f>IFERROR(VLOOKUP($G189,融外自投!$A:$J,9,0),"無")</f>
        <v>無</v>
      </c>
      <c r="R189" s="346">
        <f>IFERROR(VLOOKUP($G189,融外自投!$A:$J,8,0),"無")</f>
        <v>1170</v>
      </c>
      <c r="S189" s="81">
        <f>IFERROR(VLOOKUP($G189,融外自投!$A:$J,10,0),"無")</f>
        <v>257</v>
      </c>
      <c r="T189" s="327">
        <f>IFERROR(VLOOKUP($G189,'321買'!$A:$E,5,0),"'沒有資料'")</f>
        <v>1239</v>
      </c>
      <c r="U189" s="186">
        <f>IFERROR(VLOOKUP($G189,基本資料!$A:$J,9,0),"無")</f>
        <v>4</v>
      </c>
      <c r="V189" s="310">
        <f t="shared" si="97"/>
        <v>5.4054054054054057E-2</v>
      </c>
      <c r="W189" s="94">
        <f>IFERROR(VLOOKUP($G189,基本資料!$A:$J,10,0),"無")</f>
        <v>5.28</v>
      </c>
      <c r="X189" s="36">
        <v>74</v>
      </c>
      <c r="Y189" s="66">
        <v>58</v>
      </c>
      <c r="Z189" s="15">
        <f t="shared" si="106"/>
        <v>16</v>
      </c>
      <c r="AA189" s="63">
        <f t="shared" si="107"/>
        <v>0.27586206896551724</v>
      </c>
      <c r="AB189" s="99" t="s">
        <v>3403</v>
      </c>
      <c r="AC189" s="397">
        <f>IFERROR(VLOOKUP($G189,基本資料!$A:$M,12,0),"無")</f>
        <v>13.86</v>
      </c>
      <c r="AD189" s="16" t="s">
        <v>441</v>
      </c>
      <c r="AE189" s="84">
        <v>44418</v>
      </c>
      <c r="AF189" s="86">
        <v>44428</v>
      </c>
      <c r="AG189" s="33">
        <f t="shared" si="98"/>
        <v>10</v>
      </c>
      <c r="AH189" s="43" t="s">
        <v>2429</v>
      </c>
      <c r="AI189" s="187"/>
      <c r="AK189" s="245"/>
      <c r="AL189" s="245"/>
      <c r="AM189" s="285"/>
    </row>
    <row r="190" spans="1:39">
      <c r="A190" s="347">
        <f>IFERROR(VLOOKUP($G190,基本資料!$A:$J,3,0),"無")</f>
        <v>19.010000000000002</v>
      </c>
      <c r="B190" s="79">
        <f>IFERROR(VLOOKUP($G190,基本資料!$A:$J,4,0),"無")</f>
        <v>294</v>
      </c>
      <c r="C190" s="79">
        <f>IFERROR(VLOOKUP($G190,基本資料!$A:$J,5,0),"無")</f>
        <v>169</v>
      </c>
      <c r="D190" s="79">
        <f>IFERROR(VLOOKUP($G190,基本資料!$A:$J,6,0),"無")</f>
        <v>20</v>
      </c>
      <c r="E190" s="79">
        <f>IFERROR(VLOOKUP($G190,基本資料!$A:$J,7,0),"無")</f>
        <v>90</v>
      </c>
      <c r="F190" s="6">
        <f>IFERROR(VLOOKUP($G190,基本資料!$A:$J,8,0),"無")</f>
        <v>30.87</v>
      </c>
      <c r="G190" s="79">
        <v>2641</v>
      </c>
      <c r="H190" s="5" t="s">
        <v>302</v>
      </c>
      <c r="I190" s="16" t="s">
        <v>6133</v>
      </c>
      <c r="J190" s="8">
        <f>IFERROR(VLOOKUP($G190,今日總結!$A:$AJ,35,0),"")</f>
        <v>0</v>
      </c>
      <c r="K190" s="5">
        <f>IFERROR(VLOOKUP($G190,今日總結!$A:$AJ,36,0),"")</f>
        <v>0</v>
      </c>
      <c r="L190" s="156">
        <f>IFERROR(VLOOKUP($G190,今日總結!$A:$AJ,33,0),"")</f>
        <v>0</v>
      </c>
      <c r="M190" s="340">
        <f>IFERROR(VLOOKUP($G190,今日總結!$A:$AJ,34,0),"")</f>
        <v>1</v>
      </c>
      <c r="N190" s="240">
        <f t="shared" si="96"/>
        <v>-1</v>
      </c>
      <c r="P190" s="365">
        <f>IFERROR(VLOOKUP($G190,融外自投!$A:$J,7,0),"無")</f>
        <v>132</v>
      </c>
      <c r="Q190" s="79">
        <f>IFERROR(VLOOKUP($G190,融外自投!$A:$J,9,0),"無")</f>
        <v>635</v>
      </c>
      <c r="R190" s="346">
        <f>IFERROR(VLOOKUP($G190,融外自投!$A:$J,8,0),"無")</f>
        <v>1051</v>
      </c>
      <c r="S190" s="81" t="str">
        <f>IFERROR(VLOOKUP($G190,融外自投!$A:$J,10,0),"無")</f>
        <v>無</v>
      </c>
      <c r="T190" s="327">
        <f>IFERROR(VLOOKUP($G190,'321買'!$A:$E,5,0),"'沒有資料'")</f>
        <v>336</v>
      </c>
      <c r="U190" s="186">
        <f>IFERROR(VLOOKUP($G190,基本資料!$A:$J,9,0),"無")</f>
        <v>0.8</v>
      </c>
      <c r="V190" s="310">
        <f t="shared" si="97"/>
        <v>3.1620553359683792E-2</v>
      </c>
      <c r="W190" s="94">
        <f>IFERROR(VLOOKUP($G190,基本資料!$A:$J,10,0),"無")</f>
        <v>2.2400000000000002</v>
      </c>
      <c r="X190" s="36">
        <v>25.3</v>
      </c>
      <c r="Y190" s="66">
        <v>28</v>
      </c>
      <c r="Z190" s="15">
        <f t="shared" si="106"/>
        <v>-2.6999999999999993</v>
      </c>
      <c r="AA190" s="76">
        <f t="shared" si="107"/>
        <v>-9.6428571428571405E-2</v>
      </c>
      <c r="AB190" s="99" t="s">
        <v>1483</v>
      </c>
      <c r="AC190" s="397">
        <f>IFERROR(VLOOKUP($G190,基本資料!$A:$M,12,0),"無")</f>
        <v>59.7</v>
      </c>
      <c r="AD190" s="16" t="s">
        <v>860</v>
      </c>
      <c r="AE190" s="84">
        <v>44413</v>
      </c>
      <c r="AF190" s="86">
        <v>44424</v>
      </c>
      <c r="AG190" s="33">
        <f t="shared" si="98"/>
        <v>11</v>
      </c>
      <c r="AH190" s="43" t="s">
        <v>2106</v>
      </c>
      <c r="AI190" s="187"/>
      <c r="AK190" s="245"/>
      <c r="AL190" s="245"/>
      <c r="AM190" s="285"/>
    </row>
    <row r="191" spans="1:39">
      <c r="A191" s="347">
        <f>IFERROR(VLOOKUP($G191,基本資料!$A:$J,3,0),"無")</f>
        <v>309</v>
      </c>
      <c r="B191" s="79">
        <f>IFERROR(VLOOKUP($G191,基本資料!$A:$J,4,0),"無")</f>
        <v>-24</v>
      </c>
      <c r="C191" s="79">
        <f>IFERROR(VLOOKUP($G191,基本資料!$A:$J,5,0),"無")</f>
        <v>-175</v>
      </c>
      <c r="D191" s="79">
        <f>IFERROR(VLOOKUP($G191,基本資料!$A:$J,6,0),"無")</f>
        <v>32</v>
      </c>
      <c r="E191" s="79">
        <f>IFERROR(VLOOKUP($G191,基本資料!$A:$J,7,0),"無")</f>
        <v>-28</v>
      </c>
      <c r="F191" s="6">
        <f>IFERROR(VLOOKUP($G191,基本資料!$A:$J,8,0),"無")</f>
        <v>-0.83</v>
      </c>
      <c r="G191" s="79">
        <v>2867</v>
      </c>
      <c r="H191" s="18" t="s">
        <v>304</v>
      </c>
      <c r="I191" s="22" t="s">
        <v>116</v>
      </c>
      <c r="J191" s="8">
        <f>IFERROR(VLOOKUP($G191,今日總結!$A:$AJ,35,0),"")</f>
        <v>0</v>
      </c>
      <c r="K191" s="5" t="str">
        <f>IFERROR(VLOOKUP($G191,今日總結!$A:$AJ,36,0),"")</f>
        <v>借</v>
      </c>
      <c r="L191" s="156">
        <f>IFERROR(VLOOKUP($G191,今日總結!$A:$AJ,33,0),"")</f>
        <v>0</v>
      </c>
      <c r="M191" s="340">
        <f>IFERROR(VLOOKUP($G191,今日總結!$A:$AJ,34,0),"")</f>
        <v>1</v>
      </c>
      <c r="N191" s="240">
        <f t="shared" si="96"/>
        <v>-1</v>
      </c>
      <c r="P191" s="365">
        <f>IFERROR(VLOOKUP($G191,融外自投!$A:$J,7,0),"無")</f>
        <v>875</v>
      </c>
      <c r="Q191" s="79" t="str">
        <f>IFERROR(VLOOKUP($G191,融外自投!$A:$J,9,0),"無")</f>
        <v>無</v>
      </c>
      <c r="R191" s="346">
        <f>IFERROR(VLOOKUP($G191,融外自投!$A:$J,8,0),"無")</f>
        <v>736</v>
      </c>
      <c r="S191" s="81" t="str">
        <f>IFERROR(VLOOKUP($G191,融外自投!$A:$J,10,0),"無")</f>
        <v>無</v>
      </c>
      <c r="T191" s="327">
        <f>IFERROR(VLOOKUP($G191,'321買'!$A:$E,5,0),"'沒有資料'")</f>
        <v>416</v>
      </c>
      <c r="U191" s="186">
        <f>IFERROR(VLOOKUP($G191,基本資料!$A:$J,9,0),"無")</f>
        <v>0</v>
      </c>
      <c r="V191" s="310">
        <f t="shared" si="97"/>
        <v>0</v>
      </c>
      <c r="W191" s="94">
        <f>IFERROR(VLOOKUP($G191,基本資料!$A:$J,10,0),"無")</f>
        <v>0.42</v>
      </c>
      <c r="X191" s="36">
        <v>9.14</v>
      </c>
      <c r="Y191" s="66">
        <v>8.3000000000000007</v>
      </c>
      <c r="Z191" s="15">
        <f t="shared" si="106"/>
        <v>0.83999999999999986</v>
      </c>
      <c r="AA191" s="63">
        <f t="shared" si="107"/>
        <v>0.10120481927710841</v>
      </c>
      <c r="AB191" s="99" t="s">
        <v>3393</v>
      </c>
      <c r="AC191" s="397">
        <f>IFERROR(VLOOKUP($G191,基本資料!$A:$M,12,0),"無")</f>
        <v>8.3000000000000007</v>
      </c>
      <c r="AD191" s="22" t="s">
        <v>116</v>
      </c>
      <c r="AE191" s="84">
        <v>44407</v>
      </c>
      <c r="AF191" s="86">
        <v>44417</v>
      </c>
      <c r="AG191" s="33">
        <f t="shared" si="98"/>
        <v>10</v>
      </c>
      <c r="AH191" s="117" t="s">
        <v>2157</v>
      </c>
      <c r="AI191" s="187"/>
      <c r="AK191" s="245"/>
      <c r="AL191" s="245"/>
      <c r="AM191" s="285"/>
    </row>
    <row r="192" spans="1:39">
      <c r="A192" s="347">
        <f>IFERROR(VLOOKUP($G192,基本資料!$A:$J,3,0),"無")</f>
        <v>5.85</v>
      </c>
      <c r="B192" s="79">
        <f>IFERROR(VLOOKUP($G192,基本資料!$A:$J,4,0),"無")</f>
        <v>35</v>
      </c>
      <c r="C192" s="79">
        <f>IFERROR(VLOOKUP($G192,基本資料!$A:$J,5,0),"無")</f>
        <v>34</v>
      </c>
      <c r="D192" s="79">
        <f>IFERROR(VLOOKUP($G192,基本資料!$A:$J,6,0),"無")</f>
        <v>-8</v>
      </c>
      <c r="E192" s="79">
        <f>IFERROR(VLOOKUP($G192,基本資料!$A:$J,7,0),"無")</f>
        <v>-17</v>
      </c>
      <c r="F192" s="6">
        <f>IFERROR(VLOOKUP($G192,基本資料!$A:$J,8,0),"無")</f>
        <v>33.83</v>
      </c>
      <c r="G192" s="79">
        <v>5236</v>
      </c>
      <c r="H192" s="183" t="s">
        <v>3039</v>
      </c>
      <c r="I192" s="16" t="s">
        <v>3384</v>
      </c>
      <c r="J192" s="8" t="str">
        <f>IFERROR(VLOOKUP($G192,今日總結!$A:$AJ,35,0),"")</f>
        <v/>
      </c>
      <c r="K192" s="5" t="str">
        <f>IFERROR(VLOOKUP($G192,今日總結!$A:$AJ,36,0),"")</f>
        <v/>
      </c>
      <c r="L192" s="156" t="str">
        <f>IFERROR(VLOOKUP($G192,今日總結!$A:$AJ,33,0),"")</f>
        <v/>
      </c>
      <c r="M192" s="340" t="str">
        <f>IFERROR(VLOOKUP($G192,今日總結!$A:$AJ,34,0),"")</f>
        <v/>
      </c>
      <c r="N192" s="240" t="str">
        <f t="shared" si="96"/>
        <v/>
      </c>
      <c r="P192" s="365">
        <f>IFERROR(VLOOKUP($G192,融外自投!$A:$J,7,0),"無")</f>
        <v>1096</v>
      </c>
      <c r="Q192" s="79">
        <f>IFERROR(VLOOKUP($G192,融外自投!$A:$J,9,0),"無")</f>
        <v>824</v>
      </c>
      <c r="R192" s="346">
        <f>IFERROR(VLOOKUP($G192,融外自投!$A:$J,8,0),"無")</f>
        <v>923</v>
      </c>
      <c r="S192" s="81" t="str">
        <f>IFERROR(VLOOKUP($G192,融外自投!$A:$J,10,0),"無")</f>
        <v>無</v>
      </c>
      <c r="T192" s="327">
        <f>IFERROR(VLOOKUP($G192,'321買'!$A:$E,5,0),"'沒有資料'")</f>
        <v>1281</v>
      </c>
      <c r="U192" s="186">
        <f>IFERROR(VLOOKUP($G192,基本資料!$A:$J,9,0),"無")</f>
        <v>10</v>
      </c>
      <c r="V192" s="310">
        <f t="shared" si="97"/>
        <v>5.2356020942408377E-2</v>
      </c>
      <c r="W192" s="94">
        <f>IFERROR(VLOOKUP($G192,基本資料!$A:$J,10,0),"無")</f>
        <v>11.83</v>
      </c>
      <c r="X192" s="36">
        <v>191</v>
      </c>
      <c r="Y192" s="66">
        <v>160</v>
      </c>
      <c r="Z192" s="15">
        <f t="shared" si="106"/>
        <v>31</v>
      </c>
      <c r="AA192" s="63">
        <f t="shared" si="107"/>
        <v>0.19375000000000001</v>
      </c>
      <c r="AB192" s="99" t="s">
        <v>3391</v>
      </c>
      <c r="AC192" s="397" t="str">
        <f>IFERROR(VLOOKUP($G192,基本資料!$A:$M,12,0),"無")</f>
        <v>無</v>
      </c>
      <c r="AD192" s="16" t="s">
        <v>3384</v>
      </c>
      <c r="AE192" s="84">
        <v>44406</v>
      </c>
      <c r="AF192" s="86">
        <v>44417</v>
      </c>
      <c r="AG192" s="33">
        <f t="shared" si="98"/>
        <v>11</v>
      </c>
      <c r="AH192" s="43" t="s">
        <v>3385</v>
      </c>
      <c r="AI192" s="187"/>
      <c r="AK192" s="245"/>
      <c r="AL192" s="245"/>
      <c r="AM192" s="285"/>
    </row>
    <row r="193" spans="1:39">
      <c r="A193" s="347">
        <f>IFERROR(VLOOKUP($G193,基本資料!$A:$J,3,0),"無")</f>
        <v>4.3099999999999996</v>
      </c>
      <c r="B193" s="79">
        <f>IFERROR(VLOOKUP($G193,基本資料!$A:$J,4,0),"無")</f>
        <v>-7</v>
      </c>
      <c r="C193" s="79">
        <f>IFERROR(VLOOKUP($G193,基本資料!$A:$J,5,0),"無")</f>
        <v>16</v>
      </c>
      <c r="D193" s="79">
        <f>IFERROR(VLOOKUP($G193,基本資料!$A:$J,6,0),"無")</f>
        <v>173</v>
      </c>
      <c r="E193" s="79">
        <f>IFERROR(VLOOKUP($G193,基本資料!$A:$J,7,0),"無")</f>
        <v>178</v>
      </c>
      <c r="F193" s="6">
        <f>IFERROR(VLOOKUP($G193,基本資料!$A:$J,8,0),"無")</f>
        <v>-3.24</v>
      </c>
      <c r="G193" s="79">
        <v>8097</v>
      </c>
      <c r="H193" s="8" t="s">
        <v>311</v>
      </c>
      <c r="I193" s="16" t="s">
        <v>4455</v>
      </c>
      <c r="J193" s="8">
        <f>IFERROR(VLOOKUP($G193,今日總結!$A:$AJ,35,0),"")</f>
        <v>0</v>
      </c>
      <c r="K193" s="5">
        <f>IFERROR(VLOOKUP($G193,今日總結!$A:$AJ,36,0),"")</f>
        <v>0</v>
      </c>
      <c r="L193" s="156">
        <f>IFERROR(VLOOKUP($G193,今日總結!$A:$AJ,33,0),"")</f>
        <v>0</v>
      </c>
      <c r="M193" s="340">
        <f>IFERROR(VLOOKUP($G193,今日總結!$A:$AJ,34,0),"")</f>
        <v>1</v>
      </c>
      <c r="N193" s="240">
        <f t="shared" si="96"/>
        <v>-1</v>
      </c>
      <c r="P193" s="365">
        <f>IFERROR(VLOOKUP($G193,融外自投!$A:$J,7,0),"無")</f>
        <v>2</v>
      </c>
      <c r="Q193" s="79">
        <f>IFERROR(VLOOKUP($G193,融外自投!$A:$J,9,0),"無")</f>
        <v>824</v>
      </c>
      <c r="R193" s="346">
        <f>IFERROR(VLOOKUP($G193,融外自投!$A:$J,8,0),"無")</f>
        <v>711</v>
      </c>
      <c r="S193" s="81" t="str">
        <f>IFERROR(VLOOKUP($G193,融外自投!$A:$J,10,0),"無")</f>
        <v>無</v>
      </c>
      <c r="T193" s="327">
        <f>IFERROR(VLOOKUP($G193,'321買'!$A:$E,5,0),"'沒有資料'")</f>
        <v>255</v>
      </c>
      <c r="U193" s="186">
        <f>IFERROR(VLOOKUP($G193,基本資料!$A:$J,9,0),"無")</f>
        <v>0</v>
      </c>
      <c r="V193" s="310">
        <f t="shared" si="97"/>
        <v>0</v>
      </c>
      <c r="W193" s="94">
        <f>IFERROR(VLOOKUP($G193,基本資料!$A:$J,10,0),"無")</f>
        <v>-0.31</v>
      </c>
      <c r="X193" s="36">
        <v>26.45</v>
      </c>
      <c r="Y193" s="45">
        <v>17</v>
      </c>
      <c r="Z193" s="15">
        <f t="shared" si="106"/>
        <v>9.4499999999999993</v>
      </c>
      <c r="AA193" s="63">
        <f t="shared" si="107"/>
        <v>0.55588235294117638</v>
      </c>
      <c r="AB193" s="99" t="s">
        <v>3392</v>
      </c>
      <c r="AC193" s="397">
        <f>IFERROR(VLOOKUP($G193,基本資料!$A:$M,12,0),"無")</f>
        <v>83.55</v>
      </c>
      <c r="AD193" s="16" t="s">
        <v>520</v>
      </c>
      <c r="AE193" s="84">
        <v>44406</v>
      </c>
      <c r="AF193" s="86">
        <v>44417</v>
      </c>
      <c r="AG193" s="33">
        <f t="shared" si="98"/>
        <v>11</v>
      </c>
      <c r="AH193" s="43" t="s">
        <v>2625</v>
      </c>
      <c r="AI193" s="187"/>
      <c r="AK193" s="245"/>
      <c r="AL193" s="245"/>
      <c r="AM193" s="285"/>
    </row>
    <row r="194" spans="1:39">
      <c r="A194" s="347">
        <f>IFERROR(VLOOKUP($G194,基本資料!$A:$J,3,0),"無")</f>
        <v>3.2</v>
      </c>
      <c r="B194" s="79">
        <f>IFERROR(VLOOKUP($G194,基本資料!$A:$J,4,0),"無")</f>
        <v>29</v>
      </c>
      <c r="C194" s="79">
        <f>IFERROR(VLOOKUP($G194,基本資料!$A:$J,5,0),"無")</f>
        <v>6</v>
      </c>
      <c r="D194" s="79">
        <f>IFERROR(VLOOKUP($G194,基本資料!$A:$J,6,0),"無")</f>
        <v>-93</v>
      </c>
      <c r="E194" s="79">
        <f>IFERROR(VLOOKUP($G194,基本資料!$A:$J,7,0),"無")</f>
        <v>22</v>
      </c>
      <c r="F194" s="6">
        <f>IFERROR(VLOOKUP($G194,基本資料!$A:$J,8,0),"無")</f>
        <v>-18.16</v>
      </c>
      <c r="G194" s="80">
        <v>8409</v>
      </c>
      <c r="H194" s="5" t="s">
        <v>4726</v>
      </c>
      <c r="I194" s="16" t="s">
        <v>626</v>
      </c>
      <c r="J194" s="8" t="str">
        <f>IFERROR(VLOOKUP($G194,今日總結!$A:$AJ,35,0),"")</f>
        <v/>
      </c>
      <c r="K194" s="5" t="str">
        <f>IFERROR(VLOOKUP($G194,今日總結!$A:$AJ,36,0),"")</f>
        <v/>
      </c>
      <c r="L194" s="156" t="str">
        <f>IFERROR(VLOOKUP($G194,今日總結!$A:$AJ,33,0),"")</f>
        <v/>
      </c>
      <c r="M194" s="340" t="str">
        <f>IFERROR(VLOOKUP($G194,今日總結!$A:$AJ,34,0),"")</f>
        <v/>
      </c>
      <c r="N194" s="240" t="str">
        <f t="shared" si="96"/>
        <v/>
      </c>
      <c r="P194" s="365" t="str">
        <f>IFERROR(VLOOKUP($G194,融外自投!$A:$J,7,0),"無")</f>
        <v>無</v>
      </c>
      <c r="Q194" s="79" t="str">
        <f>IFERROR(VLOOKUP($G194,融外自投!$A:$J,9,0),"無")</f>
        <v>無</v>
      </c>
      <c r="R194" s="346" t="str">
        <f>IFERROR(VLOOKUP($G194,融外自投!$A:$J,8,0),"無")</f>
        <v>無</v>
      </c>
      <c r="S194" s="81" t="str">
        <f>IFERROR(VLOOKUP($G194,融外自投!$A:$J,10,0),"無")</f>
        <v>無</v>
      </c>
      <c r="T194" s="327" t="str">
        <f>IFERROR(VLOOKUP($G194,'321買'!$A:$E,5,0),"'沒有資料'")</f>
        <v>'沒有資料'</v>
      </c>
      <c r="U194" s="186">
        <f>IFERROR(VLOOKUP($G194,基本資料!$A:$J,9,0),"無")</f>
        <v>0</v>
      </c>
      <c r="V194" s="310">
        <f t="shared" si="97"/>
        <v>0</v>
      </c>
      <c r="W194" s="94">
        <f>IFERROR(VLOOKUP($G194,基本資料!$A:$J,10,0),"無")</f>
        <v>-0.73</v>
      </c>
      <c r="X194" s="36">
        <v>18.149999999999999</v>
      </c>
      <c r="Y194" s="66">
        <v>14.5</v>
      </c>
      <c r="Z194" s="15">
        <f t="shared" si="106"/>
        <v>3.6499999999999986</v>
      </c>
      <c r="AA194" s="63">
        <f t="shared" si="107"/>
        <v>0.25172413793103438</v>
      </c>
      <c r="AB194" s="99" t="s">
        <v>3390</v>
      </c>
      <c r="AC194" s="397">
        <f>IFERROR(VLOOKUP($G194,基本資料!$A:$M,12,0),"無")</f>
        <v>71.069999999999993</v>
      </c>
      <c r="AD194" s="16" t="s">
        <v>626</v>
      </c>
      <c r="AE194" s="84">
        <v>44405</v>
      </c>
      <c r="AF194" s="86">
        <v>44417</v>
      </c>
      <c r="AG194" s="33">
        <f t="shared" si="98"/>
        <v>12</v>
      </c>
      <c r="AH194" s="43" t="s">
        <v>2455</v>
      </c>
      <c r="AI194" s="187"/>
      <c r="AK194" s="245"/>
      <c r="AL194" s="245"/>
      <c r="AM194" s="285"/>
    </row>
    <row r="195" spans="1:39">
      <c r="A195" s="347">
        <f>IFERROR(VLOOKUP($G195,基本資料!$A:$J,3,0),"無")</f>
        <v>13.87</v>
      </c>
      <c r="B195" s="79">
        <f>IFERROR(VLOOKUP($G195,基本資料!$A:$J,4,0),"無")</f>
        <v>110</v>
      </c>
      <c r="C195" s="79">
        <f>IFERROR(VLOOKUP($G195,基本資料!$A:$J,5,0),"無")</f>
        <v>119</v>
      </c>
      <c r="D195" s="79">
        <f>IFERROR(VLOOKUP($G195,基本資料!$A:$J,6,0),"無")</f>
        <v>16</v>
      </c>
      <c r="E195" s="79">
        <f>IFERROR(VLOOKUP($G195,基本資料!$A:$J,7,0),"無")</f>
        <v>-28</v>
      </c>
      <c r="F195" s="6">
        <f>IFERROR(VLOOKUP($G195,基本資料!$A:$J,8,0),"無")</f>
        <v>0.85</v>
      </c>
      <c r="G195" s="79">
        <v>4976</v>
      </c>
      <c r="H195" s="5" t="s">
        <v>306</v>
      </c>
      <c r="I195" s="22" t="s">
        <v>325</v>
      </c>
      <c r="J195" s="8" t="str">
        <f>IFERROR(VLOOKUP($G195,今日總結!$A:$AJ,35,0),"")</f>
        <v/>
      </c>
      <c r="K195" s="5" t="str">
        <f>IFERROR(VLOOKUP($G195,今日總結!$A:$AJ,36,0),"")</f>
        <v/>
      </c>
      <c r="L195" s="156" t="str">
        <f>IFERROR(VLOOKUP($G195,今日總結!$A:$AJ,33,0),"")</f>
        <v/>
      </c>
      <c r="M195" s="340" t="str">
        <f>IFERROR(VLOOKUP($G195,今日總結!$A:$AJ,34,0),"")</f>
        <v/>
      </c>
      <c r="N195" s="240" t="str">
        <f t="shared" si="96"/>
        <v/>
      </c>
      <c r="P195" s="365">
        <f>IFERROR(VLOOKUP($G195,融外自投!$A:$J,7,0),"無")</f>
        <v>199</v>
      </c>
      <c r="Q195" s="79">
        <f>IFERROR(VLOOKUP($G195,融外自投!$A:$J,9,0),"無")</f>
        <v>598</v>
      </c>
      <c r="R195" s="346">
        <f>IFERROR(VLOOKUP($G195,融外自投!$A:$J,8,0),"無")</f>
        <v>1260</v>
      </c>
      <c r="S195" s="81" t="str">
        <f>IFERROR(VLOOKUP($G195,融外自投!$A:$J,10,0),"無")</f>
        <v>無</v>
      </c>
      <c r="T195" s="327">
        <f>IFERROR(VLOOKUP($G195,'321買'!$A:$E,5,0),"'沒有資料'")</f>
        <v>357</v>
      </c>
      <c r="U195" s="186">
        <f>IFERROR(VLOOKUP($G195,基本資料!$A:$J,9,0),"無")</f>
        <v>0</v>
      </c>
      <c r="V195" s="310">
        <f t="shared" si="97"/>
        <v>0</v>
      </c>
      <c r="W195" s="94">
        <f>IFERROR(VLOOKUP($G195,基本資料!$A:$J,10,0),"無")</f>
        <v>0.05</v>
      </c>
      <c r="X195" s="36">
        <v>78.8</v>
      </c>
      <c r="Y195" s="45">
        <v>61</v>
      </c>
      <c r="Z195" s="15">
        <f t="shared" si="106"/>
        <v>17.799999999999997</v>
      </c>
      <c r="AA195" s="63">
        <f t="shared" si="107"/>
        <v>0.29180327868852457</v>
      </c>
      <c r="AB195" s="99" t="s">
        <v>3388</v>
      </c>
      <c r="AC195" s="397">
        <f>IFERROR(VLOOKUP($G195,基本資料!$A:$M,12,0),"無")</f>
        <v>22.9</v>
      </c>
      <c r="AD195" s="22" t="s">
        <v>325</v>
      </c>
      <c r="AE195" s="84">
        <v>44399</v>
      </c>
      <c r="AF195" s="86">
        <v>44410</v>
      </c>
      <c r="AG195" s="33">
        <f t="shared" si="98"/>
        <v>11</v>
      </c>
      <c r="AH195" s="43" t="s">
        <v>2123</v>
      </c>
      <c r="AI195" s="290"/>
      <c r="AK195" s="245"/>
      <c r="AL195" s="245"/>
      <c r="AM195" s="24"/>
    </row>
    <row r="196" spans="1:39">
      <c r="A196" s="347">
        <f>IFERROR(VLOOKUP($G196,基本資料!$A:$J,3,0),"無")</f>
        <v>10.01</v>
      </c>
      <c r="B196" s="79">
        <f>IFERROR(VLOOKUP($G196,基本資料!$A:$J,4,0),"無")</f>
        <v>58</v>
      </c>
      <c r="C196" s="79">
        <f>IFERROR(VLOOKUP($G196,基本資料!$A:$J,5,0),"無")</f>
        <v>46</v>
      </c>
      <c r="D196" s="79">
        <f>IFERROR(VLOOKUP($G196,基本資料!$A:$J,6,0),"無")</f>
        <v>1</v>
      </c>
      <c r="E196" s="79">
        <f>IFERROR(VLOOKUP($G196,基本資料!$A:$J,7,0),"無")</f>
        <v>205</v>
      </c>
      <c r="F196" s="6">
        <f>IFERROR(VLOOKUP($G196,基本資料!$A:$J,8,0),"無")</f>
        <v>12.27</v>
      </c>
      <c r="G196" s="80">
        <v>8027</v>
      </c>
      <c r="H196" s="5" t="s">
        <v>295</v>
      </c>
      <c r="I196" s="16" t="s">
        <v>551</v>
      </c>
      <c r="J196" s="8" t="str">
        <f>IFERROR(VLOOKUP($G196,今日總結!$A:$AJ,35,0),"")</f>
        <v/>
      </c>
      <c r="K196" s="5" t="str">
        <f>IFERROR(VLOOKUP($G196,今日總結!$A:$AJ,36,0),"")</f>
        <v/>
      </c>
      <c r="L196" s="156" t="str">
        <f>IFERROR(VLOOKUP($G196,今日總結!$A:$AJ,33,0),"")</f>
        <v/>
      </c>
      <c r="M196" s="340" t="str">
        <f>IFERROR(VLOOKUP($G196,今日總結!$A:$AJ,34,0),"")</f>
        <v/>
      </c>
      <c r="N196" s="240" t="str">
        <f t="shared" si="96"/>
        <v/>
      </c>
      <c r="P196" s="365">
        <f>IFERROR(VLOOKUP($G196,融外自投!$A:$J,7,0),"無")</f>
        <v>22</v>
      </c>
      <c r="Q196" s="79">
        <f>IFERROR(VLOOKUP($G196,融外自投!$A:$J,9,0),"無")</f>
        <v>734</v>
      </c>
      <c r="R196" s="346">
        <f>IFERROR(VLOOKUP($G196,融外自投!$A:$J,8,0),"無")</f>
        <v>722</v>
      </c>
      <c r="S196" s="81">
        <f>IFERROR(VLOOKUP($G196,融外自投!$A:$J,10,0),"無")</f>
        <v>362</v>
      </c>
      <c r="T196" s="327">
        <f>IFERROR(VLOOKUP($G196,'321買'!$A:$E,5,0),"'沒有資料'")</f>
        <v>416</v>
      </c>
      <c r="U196" s="186">
        <f>IFERROR(VLOOKUP($G196,基本資料!$A:$J,9,0),"無")</f>
        <v>1.6</v>
      </c>
      <c r="V196" s="310">
        <f t="shared" si="97"/>
        <v>2.2068965517241381E-2</v>
      </c>
      <c r="W196" s="94">
        <f>IFERROR(VLOOKUP($G196,基本資料!$A:$J,10,0),"無")</f>
        <v>2.62</v>
      </c>
      <c r="X196" s="36">
        <v>72.5</v>
      </c>
      <c r="Y196" s="45">
        <v>66</v>
      </c>
      <c r="Z196" s="15">
        <f t="shared" si="106"/>
        <v>6.5</v>
      </c>
      <c r="AA196" s="63">
        <f t="shared" si="107"/>
        <v>9.8484848484848481E-2</v>
      </c>
      <c r="AB196" s="99" t="s">
        <v>3386</v>
      </c>
      <c r="AC196" s="397">
        <f>IFERROR(VLOOKUP($G196,基本資料!$A:$M,12,0),"無")</f>
        <v>55.14</v>
      </c>
      <c r="AD196" s="16" t="s">
        <v>551</v>
      </c>
      <c r="AE196" s="84">
        <v>44393</v>
      </c>
      <c r="AF196" s="86">
        <v>44404</v>
      </c>
      <c r="AG196" s="33">
        <f t="shared" si="98"/>
        <v>11</v>
      </c>
      <c r="AH196" s="43" t="s">
        <v>2892</v>
      </c>
      <c r="AI196" s="187"/>
      <c r="AK196" s="245"/>
      <c r="AL196" s="245"/>
      <c r="AM196" s="285"/>
    </row>
    <row r="197" spans="1:39">
      <c r="A197" s="347">
        <f>IFERROR(VLOOKUP($G197,基本資料!$A:$J,3,0),"無")</f>
        <v>13.26</v>
      </c>
      <c r="B197" s="79">
        <f>IFERROR(VLOOKUP($G197,基本資料!$A:$J,4,0),"無")</f>
        <v>5</v>
      </c>
      <c r="C197" s="79">
        <f>IFERROR(VLOOKUP($G197,基本資料!$A:$J,5,0),"無")</f>
        <v>2686</v>
      </c>
      <c r="D197" s="79">
        <f>IFERROR(VLOOKUP($G197,基本資料!$A:$J,6,0),"無")</f>
        <v>-11</v>
      </c>
      <c r="E197" s="79">
        <f>IFERROR(VLOOKUP($G197,基本資料!$A:$J,7,0),"無")</f>
        <v>-22</v>
      </c>
      <c r="F197" s="6">
        <f>IFERROR(VLOOKUP($G197,基本資料!$A:$J,8,0),"無")</f>
        <v>6.19</v>
      </c>
      <c r="G197" s="79">
        <v>8033</v>
      </c>
      <c r="H197" s="5" t="s">
        <v>1960</v>
      </c>
      <c r="I197" s="22" t="s">
        <v>6117</v>
      </c>
      <c r="J197" s="8" t="str">
        <f>IFERROR(VLOOKUP($G197,今日總結!$A:$AJ,35,0),"")</f>
        <v/>
      </c>
      <c r="K197" s="5" t="str">
        <f>IFERROR(VLOOKUP($G197,今日總結!$A:$AJ,36,0),"")</f>
        <v/>
      </c>
      <c r="L197" s="156" t="str">
        <f>IFERROR(VLOOKUP($G197,今日總結!$A:$AJ,33,0),"")</f>
        <v/>
      </c>
      <c r="M197" s="340" t="str">
        <f>IFERROR(VLOOKUP($G197,今日總結!$A:$AJ,34,0),"")</f>
        <v/>
      </c>
      <c r="N197" s="240" t="str">
        <f t="shared" ref="N197:N260" si="108">IFERROR(L197-M197,"")</f>
        <v/>
      </c>
      <c r="P197" s="365" t="str">
        <f>IFERROR(VLOOKUP($G197,融外自投!$A:$J,7,0),"無")</f>
        <v>無</v>
      </c>
      <c r="Q197" s="79" t="str">
        <f>IFERROR(VLOOKUP($G197,融外自投!$A:$J,9,0),"無")</f>
        <v>無</v>
      </c>
      <c r="R197" s="346" t="str">
        <f>IFERROR(VLOOKUP($G197,融外自投!$A:$J,8,0),"無")</f>
        <v>無</v>
      </c>
      <c r="S197" s="81" t="str">
        <f>IFERROR(VLOOKUP($G197,融外自投!$A:$J,10,0),"無")</f>
        <v>無</v>
      </c>
      <c r="T197" s="327" t="str">
        <f>IFERROR(VLOOKUP($G197,'321買'!$A:$E,5,0),"'沒有資料'")</f>
        <v>'沒有資料'</v>
      </c>
      <c r="U197" s="186">
        <f>IFERROR(VLOOKUP($G197,基本資料!$A:$J,9,0),"無")</f>
        <v>0</v>
      </c>
      <c r="V197" s="310">
        <f t="shared" si="97"/>
        <v>0</v>
      </c>
      <c r="W197" s="94">
        <f>IFERROR(VLOOKUP($G197,基本資料!$A:$J,10,0),"無")</f>
        <v>0.18</v>
      </c>
      <c r="X197" s="36">
        <v>14.4</v>
      </c>
      <c r="Y197" s="66">
        <v>12.2</v>
      </c>
      <c r="Z197" s="15">
        <f t="shared" si="106"/>
        <v>2.2000000000000011</v>
      </c>
      <c r="AA197" s="63">
        <f t="shared" si="107"/>
        <v>0.18032786885245911</v>
      </c>
      <c r="AB197" s="99" t="s">
        <v>3380</v>
      </c>
      <c r="AC197" s="397">
        <f>IFERROR(VLOOKUP($G197,基本資料!$A:$M,12,0),"無")</f>
        <v>76.290000000000006</v>
      </c>
      <c r="AD197" s="22" t="s">
        <v>685</v>
      </c>
      <c r="AE197" s="84">
        <v>44385</v>
      </c>
      <c r="AF197" s="86">
        <v>44396</v>
      </c>
      <c r="AG197" s="33">
        <f t="shared" si="98"/>
        <v>11</v>
      </c>
      <c r="AH197" s="43" t="s">
        <v>2193</v>
      </c>
      <c r="AI197" s="259"/>
      <c r="AK197" s="245"/>
      <c r="AL197" s="245"/>
    </row>
    <row r="198" spans="1:39">
      <c r="A198" s="347">
        <f>IFERROR(VLOOKUP($G198,基本資料!$A:$J,3,0),"無")</f>
        <v>30.01</v>
      </c>
      <c r="B198" s="79">
        <f>IFERROR(VLOOKUP($G198,基本資料!$A:$J,4,0),"無")</f>
        <v>441</v>
      </c>
      <c r="C198" s="79">
        <f>IFERROR(VLOOKUP($G198,基本資料!$A:$J,5,0),"無")</f>
        <v>453</v>
      </c>
      <c r="D198" s="79">
        <f>IFERROR(VLOOKUP($G198,基本資料!$A:$J,6,0),"無")</f>
        <v>-38</v>
      </c>
      <c r="E198" s="79">
        <f>IFERROR(VLOOKUP($G198,基本資料!$A:$J,7,0),"無")</f>
        <v>-82</v>
      </c>
      <c r="F198" s="6">
        <f>IFERROR(VLOOKUP($G198,基本資料!$A:$J,8,0),"無")</f>
        <v>70.92</v>
      </c>
      <c r="G198" s="79">
        <v>6026</v>
      </c>
      <c r="H198" s="17" t="s">
        <v>304</v>
      </c>
      <c r="I198" s="16" t="s">
        <v>6118</v>
      </c>
      <c r="J198" s="8">
        <f>IFERROR(VLOOKUP($G198,今日總結!$A:$AJ,35,0),"")</f>
        <v>0</v>
      </c>
      <c r="K198" s="5" t="str">
        <f>IFERROR(VLOOKUP($G198,今日總結!$A:$AJ,36,0),"")</f>
        <v>融借</v>
      </c>
      <c r="L198" s="156">
        <f>IFERROR(VLOOKUP($G198,今日總結!$A:$AJ,33,0),"")</f>
        <v>0</v>
      </c>
      <c r="M198" s="340">
        <f>IFERROR(VLOOKUP($G198,今日總結!$A:$AJ,34,0),"")</f>
        <v>3</v>
      </c>
      <c r="N198" s="240">
        <f t="shared" si="108"/>
        <v>-3</v>
      </c>
      <c r="P198" s="365">
        <f>IFERROR(VLOOKUP($G198,融外自投!$A:$J,7,0),"無")</f>
        <v>342</v>
      </c>
      <c r="Q198" s="79" t="str">
        <f>IFERROR(VLOOKUP($G198,融外自投!$A:$J,9,0),"無")</f>
        <v>無</v>
      </c>
      <c r="R198" s="346">
        <f>IFERROR(VLOOKUP($G198,融外自投!$A:$J,8,0),"無")</f>
        <v>1053</v>
      </c>
      <c r="S198" s="81" t="str">
        <f>IFERROR(VLOOKUP($G198,融外自投!$A:$J,10,0),"無")</f>
        <v>無</v>
      </c>
      <c r="T198" s="327">
        <f>IFERROR(VLOOKUP($G198,'321買'!$A:$E,5,0),"'沒有資料'")</f>
        <v>729</v>
      </c>
      <c r="U198" s="186">
        <f>IFERROR(VLOOKUP($G198,基本資料!$A:$J,9,0),"無")</f>
        <v>3.28</v>
      </c>
      <c r="V198" s="310">
        <f t="shared" ref="V198:V261" si="109">$U198/$X198</f>
        <v>0.1842696629213483</v>
      </c>
      <c r="W198" s="94">
        <f>IFERROR(VLOOKUP($G198,基本資料!$A:$J,10,0),"無")</f>
        <v>5</v>
      </c>
      <c r="X198" s="36">
        <v>17.8</v>
      </c>
      <c r="Y198" s="45">
        <v>13.5</v>
      </c>
      <c r="Z198" s="15">
        <f t="shared" si="106"/>
        <v>4.3000000000000007</v>
      </c>
      <c r="AA198" s="63">
        <f t="shared" si="107"/>
        <v>0.31851851851851859</v>
      </c>
      <c r="AB198" s="99" t="s">
        <v>3360</v>
      </c>
      <c r="AC198" s="397">
        <f>IFERROR(VLOOKUP($G198,基本資料!$A:$M,12,0),"無")</f>
        <v>17.66</v>
      </c>
      <c r="AD198" s="16" t="s">
        <v>342</v>
      </c>
      <c r="AE198" s="84">
        <v>44371</v>
      </c>
      <c r="AF198" s="86">
        <v>44382</v>
      </c>
      <c r="AG198" s="33">
        <f t="shared" si="98"/>
        <v>11</v>
      </c>
      <c r="AH198" s="43" t="s">
        <v>2196</v>
      </c>
      <c r="AI198" s="259"/>
      <c r="AK198" s="245"/>
      <c r="AL198" s="245"/>
    </row>
    <row r="199" spans="1:39">
      <c r="A199" s="347">
        <f>IFERROR(VLOOKUP($G199,基本資料!$A:$J,3,0),"無")</f>
        <v>6.01</v>
      </c>
      <c r="B199" s="79">
        <f>IFERROR(VLOOKUP($G199,基本資料!$A:$J,4,0),"無")</f>
        <v>-37</v>
      </c>
      <c r="C199" s="79">
        <f>IFERROR(VLOOKUP($G199,基本資料!$A:$J,5,0),"無")</f>
        <v>7</v>
      </c>
      <c r="D199" s="79">
        <f>IFERROR(VLOOKUP($G199,基本資料!$A:$J,6,0),"無")</f>
        <v>108</v>
      </c>
      <c r="E199" s="79">
        <f>IFERROR(VLOOKUP($G199,基本資料!$A:$J,7,0),"無")</f>
        <v>5</v>
      </c>
      <c r="F199" s="6">
        <f>IFERROR(VLOOKUP($G199,基本資料!$A:$J,8,0),"無")</f>
        <v>-4.7699999999999996</v>
      </c>
      <c r="G199" s="79">
        <v>8932</v>
      </c>
      <c r="H199" s="8" t="s">
        <v>1960</v>
      </c>
      <c r="I199" s="16" t="s">
        <v>6119</v>
      </c>
      <c r="J199" s="8" t="str">
        <f>IFERROR(VLOOKUP($G199,今日總結!$A:$AJ,35,0),"")</f>
        <v/>
      </c>
      <c r="K199" s="5" t="str">
        <f>IFERROR(VLOOKUP($G199,今日總結!$A:$AJ,36,0),"")</f>
        <v/>
      </c>
      <c r="L199" s="156" t="str">
        <f>IFERROR(VLOOKUP($G199,今日總結!$A:$AJ,33,0),"")</f>
        <v/>
      </c>
      <c r="M199" s="340" t="str">
        <f>IFERROR(VLOOKUP($G199,今日總結!$A:$AJ,34,0),"")</f>
        <v/>
      </c>
      <c r="N199" s="240" t="str">
        <f t="shared" si="108"/>
        <v/>
      </c>
      <c r="P199" s="365">
        <f>IFERROR(VLOOKUP($G199,融外自投!$A:$J,7,0),"無")</f>
        <v>644</v>
      </c>
      <c r="Q199" s="79" t="str">
        <f>IFERROR(VLOOKUP($G199,融外自投!$A:$J,9,0),"無")</f>
        <v>無</v>
      </c>
      <c r="R199" s="346">
        <f>IFERROR(VLOOKUP($G199,融外自投!$A:$J,8,0),"無")</f>
        <v>377</v>
      </c>
      <c r="S199" s="81" t="str">
        <f>IFERROR(VLOOKUP($G199,融外自投!$A:$J,10,0),"無")</f>
        <v>無</v>
      </c>
      <c r="T199" s="327">
        <f>IFERROR(VLOOKUP($G199,'321買'!$A:$E,5,0),"'沒有資料'")</f>
        <v>1007</v>
      </c>
      <c r="U199" s="186">
        <f>IFERROR(VLOOKUP($G199,基本資料!$A:$J,9,0),"無")</f>
        <v>0</v>
      </c>
      <c r="V199" s="310">
        <f t="shared" si="109"/>
        <v>0</v>
      </c>
      <c r="W199" s="94">
        <f>IFERROR(VLOOKUP($G199,基本資料!$A:$J,10,0),"無")</f>
        <v>-1.21</v>
      </c>
      <c r="X199" s="36">
        <v>19.05</v>
      </c>
      <c r="Y199" s="66">
        <v>18</v>
      </c>
      <c r="Z199" s="15">
        <f t="shared" si="106"/>
        <v>1.0500000000000007</v>
      </c>
      <c r="AA199" s="63">
        <f t="shared" si="107"/>
        <v>5.8333333333333376E-2</v>
      </c>
      <c r="AB199" s="99" t="s">
        <v>3348</v>
      </c>
      <c r="AC199" s="397">
        <f>IFERROR(VLOOKUP($G199,基本資料!$A:$M,12,0),"無")</f>
        <v>61.71</v>
      </c>
      <c r="AD199" s="16" t="s">
        <v>665</v>
      </c>
      <c r="AE199" s="84">
        <v>44356</v>
      </c>
      <c r="AF199" s="86">
        <v>44368</v>
      </c>
      <c r="AG199" s="33">
        <f t="shared" si="98"/>
        <v>12</v>
      </c>
      <c r="AH199" s="43" t="s">
        <v>2486</v>
      </c>
      <c r="AI199" s="259"/>
      <c r="AK199" s="245"/>
      <c r="AL199" s="245"/>
    </row>
    <row r="200" spans="1:39">
      <c r="A200" s="347" t="str">
        <f>IFERROR(VLOOKUP($G200,基本資料!$A:$J,3,0),"無")</f>
        <v>無</v>
      </c>
      <c r="B200" s="79" t="str">
        <f>IFERROR(VLOOKUP($G200,基本資料!$A:$J,4,0),"無")</f>
        <v>無</v>
      </c>
      <c r="C200" s="79" t="str">
        <f>IFERROR(VLOOKUP($G200,基本資料!$A:$J,5,0),"無")</f>
        <v>無</v>
      </c>
      <c r="D200" s="79" t="str">
        <f>IFERROR(VLOOKUP($G200,基本資料!$A:$J,6,0),"無")</f>
        <v>無</v>
      </c>
      <c r="E200" s="79" t="str">
        <f>IFERROR(VLOOKUP($G200,基本資料!$A:$J,7,0),"無")</f>
        <v>無</v>
      </c>
      <c r="F200" s="6" t="str">
        <f>IFERROR(VLOOKUP($G200,基本資料!$A:$J,8,0),"無")</f>
        <v>無</v>
      </c>
      <c r="G200" s="79">
        <v>2250</v>
      </c>
      <c r="H200" s="8" t="s">
        <v>301</v>
      </c>
      <c r="I200" s="22" t="s">
        <v>3349</v>
      </c>
      <c r="J200" s="8" t="str">
        <f>IFERROR(VLOOKUP($G200,今日總結!$A:$AJ,35,0),"")</f>
        <v/>
      </c>
      <c r="K200" s="5" t="str">
        <f>IFERROR(VLOOKUP($G200,今日總結!$A:$AJ,36,0),"")</f>
        <v/>
      </c>
      <c r="L200" s="156" t="str">
        <f>IFERROR(VLOOKUP($G200,今日總結!$A:$AJ,33,0),"")</f>
        <v/>
      </c>
      <c r="M200" s="340" t="str">
        <f>IFERROR(VLOOKUP($G200,今日總結!$A:$AJ,34,0),"")</f>
        <v/>
      </c>
      <c r="N200" s="240" t="str">
        <f t="shared" si="108"/>
        <v/>
      </c>
      <c r="P200" s="365">
        <f>IFERROR(VLOOKUP($G200,融外自投!$A:$J,7,0),"無")</f>
        <v>776</v>
      </c>
      <c r="Q200" s="79" t="str">
        <f>IFERROR(VLOOKUP($G200,融外自投!$A:$J,9,0),"無")</f>
        <v>無</v>
      </c>
      <c r="R200" s="346">
        <f>IFERROR(VLOOKUP($G200,融外自投!$A:$J,8,0),"無")</f>
        <v>726</v>
      </c>
      <c r="S200" s="81">
        <f>IFERROR(VLOOKUP($G200,融外自投!$A:$J,10,0),"無")</f>
        <v>428</v>
      </c>
      <c r="T200" s="327">
        <f>IFERROR(VLOOKUP($G200,'321買'!$A:$E,5,0),"'沒有資料'")</f>
        <v>984</v>
      </c>
      <c r="U200" s="186" t="str">
        <f>IFERROR(VLOOKUP($G200,基本資料!$A:$J,9,0),"無")</f>
        <v>無</v>
      </c>
      <c r="V200" s="310" t="e">
        <f t="shared" si="109"/>
        <v>#VALUE!</v>
      </c>
      <c r="W200" s="94" t="str">
        <f>IFERROR(VLOOKUP($G200,基本資料!$A:$J,10,0),"無")</f>
        <v>無</v>
      </c>
      <c r="X200" s="36">
        <v>190</v>
      </c>
      <c r="Y200" s="66">
        <v>76</v>
      </c>
      <c r="Z200" s="15">
        <f t="shared" si="106"/>
        <v>114</v>
      </c>
      <c r="AA200" s="148">
        <f t="shared" si="107"/>
        <v>1.5</v>
      </c>
      <c r="AB200" s="99" t="s">
        <v>3345</v>
      </c>
      <c r="AC200" s="397" t="str">
        <f>IFERROR(VLOOKUP($G200,基本資料!$A:$M,12,0),"無")</f>
        <v>無</v>
      </c>
      <c r="AD200" s="22" t="s">
        <v>3349</v>
      </c>
      <c r="AE200" s="84">
        <v>44347</v>
      </c>
      <c r="AF200" s="86">
        <v>44357</v>
      </c>
      <c r="AG200" s="33">
        <f t="shared" si="98"/>
        <v>10</v>
      </c>
      <c r="AH200" s="43" t="s">
        <v>3346</v>
      </c>
      <c r="AI200" s="259"/>
      <c r="AK200" s="245"/>
      <c r="AL200" s="245"/>
    </row>
    <row r="201" spans="1:39">
      <c r="A201" s="347">
        <f>IFERROR(VLOOKUP($G201,基本資料!$A:$J,3,0),"無")</f>
        <v>6.02</v>
      </c>
      <c r="B201" s="79">
        <f>IFERROR(VLOOKUP($G201,基本資料!$A:$J,4,0),"無")</f>
        <v>44</v>
      </c>
      <c r="C201" s="79">
        <f>IFERROR(VLOOKUP($G201,基本資料!$A:$J,5,0),"無")</f>
        <v>51</v>
      </c>
      <c r="D201" s="79">
        <f>IFERROR(VLOOKUP($G201,基本資料!$A:$J,6,0),"無")</f>
        <v>15</v>
      </c>
      <c r="E201" s="79">
        <f>IFERROR(VLOOKUP($G201,基本資料!$A:$J,7,0),"無")</f>
        <v>19</v>
      </c>
      <c r="F201" s="6">
        <f>IFERROR(VLOOKUP($G201,基本資料!$A:$J,8,0),"無")</f>
        <v>33.43</v>
      </c>
      <c r="G201" s="79">
        <v>6741</v>
      </c>
      <c r="H201" s="145" t="s">
        <v>330</v>
      </c>
      <c r="I201" s="16" t="s">
        <v>3330</v>
      </c>
      <c r="J201" s="8" t="str">
        <f>IFERROR(VLOOKUP($G201,今日總結!$A:$AJ,35,0),"")</f>
        <v/>
      </c>
      <c r="K201" s="5" t="str">
        <f>IFERROR(VLOOKUP($G201,今日總結!$A:$AJ,36,0),"")</f>
        <v/>
      </c>
      <c r="L201" s="156" t="str">
        <f>IFERROR(VLOOKUP($G201,今日總結!$A:$AJ,33,0),"")</f>
        <v/>
      </c>
      <c r="M201" s="340" t="str">
        <f>IFERROR(VLOOKUP($G201,今日總結!$A:$AJ,34,0),"")</f>
        <v/>
      </c>
      <c r="N201" s="240" t="str">
        <f t="shared" si="108"/>
        <v/>
      </c>
      <c r="P201" s="365">
        <f>IFERROR(VLOOKUP($G201,融外自投!$A:$J,7,0),"無")</f>
        <v>1148</v>
      </c>
      <c r="Q201" s="79">
        <f>IFERROR(VLOOKUP($G201,融外自投!$A:$J,9,0),"無")</f>
        <v>1051</v>
      </c>
      <c r="R201" s="346">
        <f>IFERROR(VLOOKUP($G201,融外自投!$A:$J,8,0),"無")</f>
        <v>14</v>
      </c>
      <c r="S201" s="81">
        <f>IFERROR(VLOOKUP($G201,融外自投!$A:$J,10,0),"無")</f>
        <v>491</v>
      </c>
      <c r="T201" s="327">
        <f>IFERROR(VLOOKUP($G201,'321買'!$A:$E,5,0),"'沒有資料'")</f>
        <v>292</v>
      </c>
      <c r="U201" s="186">
        <f>IFERROR(VLOOKUP($G201,基本資料!$A:$J,9,0),"無")</f>
        <v>0.48</v>
      </c>
      <c r="V201" s="310">
        <f t="shared" si="109"/>
        <v>2.8656716417910445E-3</v>
      </c>
      <c r="W201" s="94">
        <f>IFERROR(VLOOKUP($G201,基本資料!$A:$J,10,0),"無")</f>
        <v>2.58</v>
      </c>
      <c r="X201" s="36">
        <v>167.5</v>
      </c>
      <c r="Y201" s="66">
        <v>66</v>
      </c>
      <c r="Z201" s="15">
        <f t="shared" si="106"/>
        <v>101.5</v>
      </c>
      <c r="AA201" s="148">
        <f t="shared" si="107"/>
        <v>1.5378787878787878</v>
      </c>
      <c r="AB201" s="99" t="s">
        <v>3013</v>
      </c>
      <c r="AC201" s="397" t="str">
        <f>IFERROR(VLOOKUP($G201,基本資料!$A:$M,12,0),"無")</f>
        <v>無</v>
      </c>
      <c r="AD201" s="16" t="s">
        <v>3330</v>
      </c>
      <c r="AE201" s="84">
        <v>44341</v>
      </c>
      <c r="AF201" s="86">
        <v>44351</v>
      </c>
      <c r="AG201" s="33">
        <f t="shared" si="98"/>
        <v>10</v>
      </c>
      <c r="AH201" s="43" t="s">
        <v>3336</v>
      </c>
      <c r="AI201" s="259"/>
      <c r="AK201" s="245"/>
      <c r="AL201" s="245"/>
    </row>
    <row r="202" spans="1:39">
      <c r="A202" s="347">
        <f>IFERROR(VLOOKUP($G202,基本資料!$A:$J,3,0),"無")</f>
        <v>12.46</v>
      </c>
      <c r="B202" s="79">
        <f>IFERROR(VLOOKUP($G202,基本資料!$A:$J,4,0),"無")</f>
        <v>1282</v>
      </c>
      <c r="C202" s="79">
        <f>IFERROR(VLOOKUP($G202,基本資料!$A:$J,5,0),"無")</f>
        <v>255</v>
      </c>
      <c r="D202" s="79">
        <f>IFERROR(VLOOKUP($G202,基本資料!$A:$J,6,0),"無")</f>
        <v>96</v>
      </c>
      <c r="E202" s="79">
        <f>IFERROR(VLOOKUP($G202,基本資料!$A:$J,7,0),"無")</f>
        <v>32</v>
      </c>
      <c r="F202" s="6">
        <f>IFERROR(VLOOKUP($G202,基本資料!$A:$J,8,0),"無")</f>
        <v>8.4</v>
      </c>
      <c r="G202" s="80">
        <v>2358</v>
      </c>
      <c r="H202" s="8" t="s">
        <v>1960</v>
      </c>
      <c r="I202" s="22" t="s">
        <v>675</v>
      </c>
      <c r="J202" s="8">
        <f>IFERROR(VLOOKUP($G202,今日總結!$A:$AJ,35,0),"")</f>
        <v>4</v>
      </c>
      <c r="K202" s="5">
        <f>IFERROR(VLOOKUP($G202,今日總結!$A:$AJ,36,0),"")</f>
        <v>0</v>
      </c>
      <c r="L202" s="156">
        <f>IFERROR(VLOOKUP($G202,今日總結!$A:$AJ,33,0),"")</f>
        <v>1</v>
      </c>
      <c r="M202" s="340">
        <f>IFERROR(VLOOKUP($G202,今日總結!$A:$AJ,34,0),"")</f>
        <v>0</v>
      </c>
      <c r="N202" s="240">
        <f t="shared" si="108"/>
        <v>1</v>
      </c>
      <c r="P202" s="365">
        <f>IFERROR(VLOOKUP($G202,融外自投!$A:$J,7,0),"無")</f>
        <v>66</v>
      </c>
      <c r="Q202" s="79">
        <f>IFERROR(VLOOKUP($G202,融外自投!$A:$J,9,0),"無")</f>
        <v>1051</v>
      </c>
      <c r="R202" s="346">
        <f>IFERROR(VLOOKUP($G202,融外自投!$A:$J,8,0),"無")</f>
        <v>1129</v>
      </c>
      <c r="S202" s="81" t="str">
        <f>IFERROR(VLOOKUP($G202,融外自投!$A:$J,10,0),"無")</f>
        <v>無</v>
      </c>
      <c r="T202" s="327">
        <f>IFERROR(VLOOKUP($G202,'321買'!$A:$E,5,0),"'沒有資料'")</f>
        <v>349</v>
      </c>
      <c r="U202" s="186">
        <f>IFERROR(VLOOKUP($G202,基本資料!$A:$J,9,0),"無")</f>
        <v>0.3</v>
      </c>
      <c r="V202" s="310">
        <f t="shared" si="109"/>
        <v>2.1126760563380281E-2</v>
      </c>
      <c r="W202" s="94">
        <f>IFERROR(VLOOKUP($G202,基本資料!$A:$J,10,0),"無")</f>
        <v>1.29</v>
      </c>
      <c r="X202" s="36">
        <v>14.2</v>
      </c>
      <c r="Y202" s="45">
        <v>13.5</v>
      </c>
      <c r="Z202" s="15">
        <f t="shared" si="106"/>
        <v>0.69999999999999929</v>
      </c>
      <c r="AA202" s="63">
        <f t="shared" si="107"/>
        <v>5.1851851851851802E-2</v>
      </c>
      <c r="AB202" s="99" t="s">
        <v>1849</v>
      </c>
      <c r="AC202" s="397">
        <f>IFERROR(VLOOKUP($G202,基本資料!$A:$M,12,0),"無")</f>
        <v>6.78</v>
      </c>
      <c r="AD202" s="22" t="s">
        <v>675</v>
      </c>
      <c r="AE202" s="84">
        <v>44341</v>
      </c>
      <c r="AF202" s="86">
        <v>44351</v>
      </c>
      <c r="AG202" s="33">
        <f t="shared" si="98"/>
        <v>10</v>
      </c>
      <c r="AH202" s="43" t="s">
        <v>2815</v>
      </c>
      <c r="AI202" s="259"/>
      <c r="AK202" s="245"/>
      <c r="AL202" s="245"/>
    </row>
    <row r="203" spans="1:39">
      <c r="A203" s="347">
        <f>IFERROR(VLOOKUP($G203,基本資料!$A:$J,3,0),"無")</f>
        <v>5.87</v>
      </c>
      <c r="B203" s="79">
        <f>IFERROR(VLOOKUP($G203,基本資料!$A:$J,4,0),"無")</f>
        <v>2</v>
      </c>
      <c r="C203" s="79">
        <f>IFERROR(VLOOKUP($G203,基本資料!$A:$J,5,0),"無")</f>
        <v>0</v>
      </c>
      <c r="D203" s="79">
        <f>IFERROR(VLOOKUP($G203,基本資料!$A:$J,6,0),"無")</f>
        <v>-30</v>
      </c>
      <c r="E203" s="79">
        <f>IFERROR(VLOOKUP($G203,基本資料!$A:$J,7,0),"無")</f>
        <v>93</v>
      </c>
      <c r="F203" s="6">
        <f>IFERROR(VLOOKUP($G203,基本資料!$A:$J,8,0),"無")</f>
        <v>-6.81</v>
      </c>
      <c r="G203" s="79">
        <v>8171</v>
      </c>
      <c r="H203" s="8" t="s">
        <v>311</v>
      </c>
      <c r="I203" s="16" t="s">
        <v>521</v>
      </c>
      <c r="J203" s="8">
        <f>IFERROR(VLOOKUP($G203,今日總結!$A:$AJ,35,0),"")</f>
        <v>0</v>
      </c>
      <c r="K203" s="5">
        <f>IFERROR(VLOOKUP($G203,今日總結!$A:$AJ,36,0),"")</f>
        <v>0</v>
      </c>
      <c r="L203" s="156">
        <f>IFERROR(VLOOKUP($G203,今日總結!$A:$AJ,33,0),"")</f>
        <v>0</v>
      </c>
      <c r="M203" s="340">
        <f>IFERROR(VLOOKUP($G203,今日總結!$A:$AJ,34,0),"")</f>
        <v>1</v>
      </c>
      <c r="N203" s="240">
        <f t="shared" si="108"/>
        <v>-1</v>
      </c>
      <c r="P203" s="365">
        <f>IFERROR(VLOOKUP($G203,融外自投!$A:$J,7,0),"無")</f>
        <v>9</v>
      </c>
      <c r="Q203" s="79" t="str">
        <f>IFERROR(VLOOKUP($G203,融外自投!$A:$J,9,0),"無")</f>
        <v>無</v>
      </c>
      <c r="R203" s="346">
        <f>IFERROR(VLOOKUP($G203,融外自投!$A:$J,8,0),"無")</f>
        <v>1311</v>
      </c>
      <c r="S203" s="81">
        <f>IFERROR(VLOOKUP($G203,融外自投!$A:$J,10,0),"無")</f>
        <v>198</v>
      </c>
      <c r="T203" s="327">
        <f>IFERROR(VLOOKUP($G203,'321買'!$A:$E,5,0),"'沒有資料'")</f>
        <v>503</v>
      </c>
      <c r="U203" s="186">
        <f>IFERROR(VLOOKUP($G203,基本資料!$A:$J,9,0),"無")</f>
        <v>0</v>
      </c>
      <c r="V203" s="310">
        <f t="shared" si="109"/>
        <v>0</v>
      </c>
      <c r="W203" s="94">
        <f>IFERROR(VLOOKUP($G203,基本資料!$A:$J,10,0),"無")</f>
        <v>-1.22</v>
      </c>
      <c r="X203" s="36">
        <v>53.6</v>
      </c>
      <c r="Y203" s="45">
        <v>45</v>
      </c>
      <c r="Z203" s="15">
        <f t="shared" si="106"/>
        <v>8.6000000000000014</v>
      </c>
      <c r="AA203" s="63">
        <f t="shared" si="107"/>
        <v>0.19111111111111115</v>
      </c>
      <c r="AB203" s="99" t="s">
        <v>2286</v>
      </c>
      <c r="AC203" s="397">
        <f>IFERROR(VLOOKUP($G203,基本資料!$A:$M,12,0),"無")</f>
        <v>47.77</v>
      </c>
      <c r="AD203" s="16" t="s">
        <v>521</v>
      </c>
      <c r="AE203" s="84">
        <v>44336</v>
      </c>
      <c r="AF203" s="86">
        <v>44347</v>
      </c>
      <c r="AG203" s="33">
        <f t="shared" si="98"/>
        <v>11</v>
      </c>
      <c r="AH203" s="43" t="s">
        <v>2552</v>
      </c>
      <c r="AI203" s="259"/>
      <c r="AK203" s="245"/>
      <c r="AL203" s="245"/>
    </row>
    <row r="204" spans="1:39">
      <c r="A204" s="347">
        <f>IFERROR(VLOOKUP($G204,基本資料!$A:$J,3,0),"無")</f>
        <v>8.18</v>
      </c>
      <c r="B204" s="79">
        <f>IFERROR(VLOOKUP($G204,基本資料!$A:$J,4,0),"無")</f>
        <v>-80</v>
      </c>
      <c r="C204" s="79">
        <f>IFERROR(VLOOKUP($G204,基本資料!$A:$J,5,0),"無")</f>
        <v>-50</v>
      </c>
      <c r="D204" s="79">
        <f>IFERROR(VLOOKUP($G204,基本資料!$A:$J,6,0),"無")</f>
        <v>81</v>
      </c>
      <c r="E204" s="79">
        <f>IFERROR(VLOOKUP($G204,基本資料!$A:$J,7,0),"無")</f>
        <v>-3</v>
      </c>
      <c r="F204" s="6">
        <f>IFERROR(VLOOKUP($G204,基本資料!$A:$J,8,0),"無")</f>
        <v>-24.03</v>
      </c>
      <c r="G204" s="79">
        <v>3631</v>
      </c>
      <c r="H204" s="8" t="s">
        <v>3389</v>
      </c>
      <c r="I204" s="16" t="s">
        <v>408</v>
      </c>
      <c r="J204" s="8" t="str">
        <f>IFERROR(VLOOKUP($G204,今日總結!$A:$AJ,35,0),"")</f>
        <v/>
      </c>
      <c r="K204" s="5" t="str">
        <f>IFERROR(VLOOKUP($G204,今日總結!$A:$AJ,36,0),"")</f>
        <v/>
      </c>
      <c r="L204" s="156" t="str">
        <f>IFERROR(VLOOKUP($G204,今日總結!$A:$AJ,33,0),"")</f>
        <v/>
      </c>
      <c r="M204" s="340" t="str">
        <f>IFERROR(VLOOKUP($G204,今日總結!$A:$AJ,34,0),"")</f>
        <v/>
      </c>
      <c r="N204" s="240" t="str">
        <f t="shared" si="108"/>
        <v/>
      </c>
      <c r="P204" s="365">
        <f>IFERROR(VLOOKUP($G204,融外自投!$A:$J,7,0),"無")</f>
        <v>74</v>
      </c>
      <c r="Q204" s="79" t="str">
        <f>IFERROR(VLOOKUP($G204,融外自投!$A:$J,9,0),"無")</f>
        <v>無</v>
      </c>
      <c r="R204" s="346">
        <f>IFERROR(VLOOKUP($G204,融外自投!$A:$J,8,0),"無")</f>
        <v>406</v>
      </c>
      <c r="S204" s="81" t="str">
        <f>IFERROR(VLOOKUP($G204,融外自投!$A:$J,10,0),"無")</f>
        <v>無</v>
      </c>
      <c r="T204" s="327">
        <f>IFERROR(VLOOKUP($G204,'321買'!$A:$E,5,0),"'沒有資料'")</f>
        <v>915</v>
      </c>
      <c r="U204" s="186">
        <f>IFERROR(VLOOKUP($G204,基本資料!$A:$J,9,0),"無")</f>
        <v>0.5</v>
      </c>
      <c r="V204" s="310">
        <f t="shared" si="109"/>
        <v>1.0090817356205853E-2</v>
      </c>
      <c r="W204" s="94">
        <f>IFERROR(VLOOKUP($G204,基本資料!$A:$J,10,0),"無")</f>
        <v>-0.16</v>
      </c>
      <c r="X204" s="36">
        <v>49.55</v>
      </c>
      <c r="Y204" s="45">
        <v>50</v>
      </c>
      <c r="Z204" s="15">
        <f t="shared" si="106"/>
        <v>-0.45000000000000284</v>
      </c>
      <c r="AA204" s="76">
        <f t="shared" si="107"/>
        <v>-9.0000000000000566E-3</v>
      </c>
      <c r="AB204" s="100" t="s">
        <v>3322</v>
      </c>
      <c r="AC204" s="397">
        <f>IFERROR(VLOOKUP($G204,基本資料!$A:$M,12,0),"無")</f>
        <v>19.32</v>
      </c>
      <c r="AD204" s="16" t="s">
        <v>408</v>
      </c>
      <c r="AE204" s="84">
        <v>44335</v>
      </c>
      <c r="AF204" s="86">
        <v>44347</v>
      </c>
      <c r="AG204" s="33">
        <f t="shared" si="98"/>
        <v>12</v>
      </c>
      <c r="AH204" s="43" t="s">
        <v>2408</v>
      </c>
      <c r="AI204" s="259"/>
      <c r="AK204" s="245"/>
      <c r="AL204" s="245"/>
    </row>
    <row r="205" spans="1:39">
      <c r="A205" s="347">
        <f>IFERROR(VLOOKUP($G205,基本資料!$A:$J,3,0),"無")</f>
        <v>42.84</v>
      </c>
      <c r="B205" s="79">
        <f>IFERROR(VLOOKUP($G205,基本資料!$A:$J,4,0),"無")</f>
        <v>71</v>
      </c>
      <c r="C205" s="79">
        <f>IFERROR(VLOOKUP($G205,基本資料!$A:$J,5,0),"無")</f>
        <v>93</v>
      </c>
      <c r="D205" s="79">
        <f>IFERROR(VLOOKUP($G205,基本資料!$A:$J,6,0),"無")</f>
        <v>-19</v>
      </c>
      <c r="E205" s="79">
        <f>IFERROR(VLOOKUP($G205,基本資料!$A:$J,7,0),"無")</f>
        <v>-3</v>
      </c>
      <c r="F205" s="6">
        <f>IFERROR(VLOOKUP($G205,基本資料!$A:$J,8,0),"無")</f>
        <v>2.15</v>
      </c>
      <c r="G205" s="79">
        <v>8112</v>
      </c>
      <c r="H205" s="8" t="s">
        <v>329</v>
      </c>
      <c r="I205" s="22" t="s">
        <v>120</v>
      </c>
      <c r="J205" s="8" t="str">
        <f>IFERROR(VLOOKUP($G205,今日總結!$A:$AJ,35,0),"")</f>
        <v/>
      </c>
      <c r="K205" s="5" t="str">
        <f>IFERROR(VLOOKUP($G205,今日總結!$A:$AJ,36,0),"")</f>
        <v/>
      </c>
      <c r="L205" s="156" t="str">
        <f>IFERROR(VLOOKUP($G205,今日總結!$A:$AJ,33,0),"")</f>
        <v/>
      </c>
      <c r="M205" s="340" t="str">
        <f>IFERROR(VLOOKUP($G205,今日總結!$A:$AJ,34,0),"")</f>
        <v/>
      </c>
      <c r="N205" s="240" t="str">
        <f t="shared" si="108"/>
        <v/>
      </c>
      <c r="P205" s="365">
        <f>IFERROR(VLOOKUP($G205,融外自投!$A:$J,7,0),"無")</f>
        <v>747</v>
      </c>
      <c r="Q205" s="79">
        <f>IFERROR(VLOOKUP($G205,融外自投!$A:$J,9,0),"無")</f>
        <v>57</v>
      </c>
      <c r="R205" s="346">
        <f>IFERROR(VLOOKUP($G205,融外自投!$A:$J,8,0),"無")</f>
        <v>335</v>
      </c>
      <c r="S205" s="81">
        <f>IFERROR(VLOOKUP($G205,融外自投!$A:$J,10,0),"無")</f>
        <v>437</v>
      </c>
      <c r="T205" s="327">
        <f>IFERROR(VLOOKUP($G205,'321買'!$A:$E,5,0),"'沒有資料'")</f>
        <v>131</v>
      </c>
      <c r="U205" s="186">
        <f>IFERROR(VLOOKUP($G205,基本資料!$A:$J,9,0),"無")</f>
        <v>4</v>
      </c>
      <c r="V205" s="310">
        <f t="shared" si="109"/>
        <v>0.10062893081761007</v>
      </c>
      <c r="W205" s="94">
        <f>IFERROR(VLOOKUP($G205,基本資料!$A:$J,10,0),"無")</f>
        <v>7.02</v>
      </c>
      <c r="X205" s="36">
        <v>39.75</v>
      </c>
      <c r="Y205" s="66">
        <v>32</v>
      </c>
      <c r="Z205" s="15">
        <f t="shared" si="106"/>
        <v>7.75</v>
      </c>
      <c r="AA205" s="63">
        <f t="shared" si="107"/>
        <v>0.2421875</v>
      </c>
      <c r="AB205" s="99" t="s">
        <v>3314</v>
      </c>
      <c r="AC205" s="397">
        <f>IFERROR(VLOOKUP($G205,基本資料!$A:$M,12,0),"無")</f>
        <v>20.94</v>
      </c>
      <c r="AD205" s="22" t="s">
        <v>120</v>
      </c>
      <c r="AE205" s="84">
        <v>44334</v>
      </c>
      <c r="AF205" s="86">
        <v>44344</v>
      </c>
      <c r="AG205" s="33">
        <f t="shared" si="98"/>
        <v>10</v>
      </c>
      <c r="AH205" s="117" t="s">
        <v>1965</v>
      </c>
      <c r="AI205" s="259"/>
      <c r="AK205" s="245"/>
      <c r="AL205" s="245"/>
    </row>
    <row r="206" spans="1:39">
      <c r="A206" s="347">
        <f>IFERROR(VLOOKUP($G206,基本資料!$A:$J,3,0),"無")</f>
        <v>30.38</v>
      </c>
      <c r="B206" s="79">
        <f>IFERROR(VLOOKUP($G206,基本資料!$A:$J,4,0),"無")</f>
        <v>95</v>
      </c>
      <c r="C206" s="79">
        <f>IFERROR(VLOOKUP($G206,基本資料!$A:$J,5,0),"無")</f>
        <v>94</v>
      </c>
      <c r="D206" s="79">
        <f>IFERROR(VLOOKUP($G206,基本資料!$A:$J,6,0),"無")</f>
        <v>46</v>
      </c>
      <c r="E206" s="79">
        <f>IFERROR(VLOOKUP($G206,基本資料!$A:$J,7,0),"無")</f>
        <v>-5</v>
      </c>
      <c r="F206" s="6">
        <f>IFERROR(VLOOKUP($G206,基本資料!$A:$J,8,0),"無")</f>
        <v>-3.44</v>
      </c>
      <c r="G206" s="79">
        <v>6589</v>
      </c>
      <c r="H206" s="8" t="s">
        <v>4726</v>
      </c>
      <c r="I206" s="16" t="s">
        <v>1793</v>
      </c>
      <c r="J206" s="8" t="str">
        <f>IFERROR(VLOOKUP($G206,今日總結!$A:$AJ,35,0),"")</f>
        <v/>
      </c>
      <c r="K206" s="5" t="str">
        <f>IFERROR(VLOOKUP($G206,今日總結!$A:$AJ,36,0),"")</f>
        <v/>
      </c>
      <c r="L206" s="156" t="str">
        <f>IFERROR(VLOOKUP($G206,今日總結!$A:$AJ,33,0),"")</f>
        <v/>
      </c>
      <c r="M206" s="340" t="str">
        <f>IFERROR(VLOOKUP($G206,今日總結!$A:$AJ,34,0),"")</f>
        <v/>
      </c>
      <c r="N206" s="240" t="str">
        <f t="shared" si="108"/>
        <v/>
      </c>
      <c r="P206" s="365" t="str">
        <f>IFERROR(VLOOKUP($G206,融外自投!$A:$J,7,0),"無")</f>
        <v>無</v>
      </c>
      <c r="Q206" s="79" t="str">
        <f>IFERROR(VLOOKUP($G206,融外自投!$A:$J,9,0),"無")</f>
        <v>無</v>
      </c>
      <c r="R206" s="346" t="str">
        <f>IFERROR(VLOOKUP($G206,融外自投!$A:$J,8,0),"無")</f>
        <v>無</v>
      </c>
      <c r="S206" s="81" t="str">
        <f>IFERROR(VLOOKUP($G206,融外自投!$A:$J,10,0),"無")</f>
        <v>無</v>
      </c>
      <c r="T206" s="327" t="str">
        <f>IFERROR(VLOOKUP($G206,'321買'!$A:$E,5,0),"'沒有資料'")</f>
        <v>'沒有資料'</v>
      </c>
      <c r="U206" s="186">
        <f>IFERROR(VLOOKUP($G206,基本資料!$A:$J,9,0),"無")</f>
        <v>0</v>
      </c>
      <c r="V206" s="310">
        <f t="shared" si="109"/>
        <v>0</v>
      </c>
      <c r="W206" s="94">
        <f>IFERROR(VLOOKUP($G206,基本資料!$A:$J,10,0),"無")</f>
        <v>-0.18</v>
      </c>
      <c r="X206" s="36">
        <v>170</v>
      </c>
      <c r="Y206" s="66">
        <v>91.5</v>
      </c>
      <c r="Z206" s="15">
        <f t="shared" si="106"/>
        <v>78.5</v>
      </c>
      <c r="AA206" s="63">
        <f t="shared" si="107"/>
        <v>0.85792349726775952</v>
      </c>
      <c r="AB206" s="99" t="s">
        <v>3301</v>
      </c>
      <c r="AC206" s="397">
        <f>IFERROR(VLOOKUP($G206,基本資料!$A:$M,12,0),"無")</f>
        <v>7.8</v>
      </c>
      <c r="AD206" s="16" t="s">
        <v>1793</v>
      </c>
      <c r="AE206" s="84">
        <v>44330</v>
      </c>
      <c r="AF206" s="86">
        <v>44340</v>
      </c>
      <c r="AG206" s="33">
        <f t="shared" ref="AG206:AG269" si="110">AF206-AE206</f>
        <v>10</v>
      </c>
      <c r="AH206" s="43" t="s">
        <v>2454</v>
      </c>
      <c r="AI206" s="259"/>
      <c r="AK206" s="245"/>
      <c r="AL206" s="245"/>
    </row>
    <row r="207" spans="1:39">
      <c r="A207" s="347">
        <f>IFERROR(VLOOKUP($G207,基本資料!$A:$J,3,0),"無")</f>
        <v>2.6</v>
      </c>
      <c r="B207" s="79">
        <f>IFERROR(VLOOKUP($G207,基本資料!$A:$J,4,0),"無")</f>
        <v>2005</v>
      </c>
      <c r="C207" s="79">
        <f>IFERROR(VLOOKUP($G207,基本資料!$A:$J,5,0),"無")</f>
        <v>469</v>
      </c>
      <c r="D207" s="79">
        <f>IFERROR(VLOOKUP($G207,基本資料!$A:$J,6,0),"無")</f>
        <v>-9</v>
      </c>
      <c r="E207" s="79">
        <f>IFERROR(VLOOKUP($G207,基本資料!$A:$J,7,0),"無")</f>
        <v>758</v>
      </c>
      <c r="F207" s="6">
        <f>IFERROR(VLOOKUP($G207,基本資料!$A:$J,8,0),"無")</f>
        <v>17.03</v>
      </c>
      <c r="G207" s="79">
        <v>1475</v>
      </c>
      <c r="H207" s="5" t="s">
        <v>3172</v>
      </c>
      <c r="I207" s="22" t="s">
        <v>3010</v>
      </c>
      <c r="J207" s="8" t="str">
        <f>IFERROR(VLOOKUP($G207,今日總結!$A:$AJ,35,0),"")</f>
        <v/>
      </c>
      <c r="K207" s="5" t="str">
        <f>IFERROR(VLOOKUP($G207,今日總結!$A:$AJ,36,0),"")</f>
        <v/>
      </c>
      <c r="L207" s="156" t="str">
        <f>IFERROR(VLOOKUP($G207,今日總結!$A:$AJ,33,0),"")</f>
        <v/>
      </c>
      <c r="M207" s="340" t="str">
        <f>IFERROR(VLOOKUP($G207,今日總結!$A:$AJ,34,0),"")</f>
        <v/>
      </c>
      <c r="N207" s="240" t="str">
        <f t="shared" si="108"/>
        <v/>
      </c>
      <c r="P207" s="365">
        <f>IFERROR(VLOOKUP($G207,融外自投!$A:$J,7,0),"無")</f>
        <v>458</v>
      </c>
      <c r="Q207" s="79">
        <f>IFERROR(VLOOKUP($G207,融外自投!$A:$J,9,0),"無")</f>
        <v>571</v>
      </c>
      <c r="R207" s="346">
        <f>IFERROR(VLOOKUP($G207,融外自投!$A:$J,8,0),"無")</f>
        <v>1382</v>
      </c>
      <c r="S207" s="81" t="str">
        <f>IFERROR(VLOOKUP($G207,融外自投!$A:$J,10,0),"無")</f>
        <v>無</v>
      </c>
      <c r="T207" s="327">
        <f>IFERROR(VLOOKUP($G207,'321買'!$A:$E,5,0),"'沒有資料'")</f>
        <v>1161</v>
      </c>
      <c r="U207" s="186">
        <f>IFERROR(VLOOKUP($G207,基本資料!$A:$J,9,0),"無")</f>
        <v>0</v>
      </c>
      <c r="V207" s="310">
        <f t="shared" si="109"/>
        <v>0</v>
      </c>
      <c r="W207" s="94">
        <f>IFERROR(VLOOKUP($G207,基本資料!$A:$J,10,0),"無")</f>
        <v>3.66</v>
      </c>
      <c r="X207" s="36">
        <v>34</v>
      </c>
      <c r="Y207" s="66">
        <v>26.8</v>
      </c>
      <c r="Z207" s="15">
        <f t="shared" si="106"/>
        <v>7.1999999999999993</v>
      </c>
      <c r="AA207" s="148">
        <f t="shared" si="107"/>
        <v>0.26865671641791039</v>
      </c>
      <c r="AB207" s="99" t="s">
        <v>1977</v>
      </c>
      <c r="AC207" s="397">
        <f>IFERROR(VLOOKUP($G207,基本資料!$A:$M,12,0),"無")</f>
        <v>48.95</v>
      </c>
      <c r="AD207" s="22" t="s">
        <v>3010</v>
      </c>
      <c r="AE207" s="84">
        <v>44329</v>
      </c>
      <c r="AF207" s="86">
        <v>44340</v>
      </c>
      <c r="AG207" s="33">
        <f t="shared" si="110"/>
        <v>11</v>
      </c>
      <c r="AH207" s="43" t="s">
        <v>2386</v>
      </c>
      <c r="AI207" s="259"/>
      <c r="AK207" s="245"/>
      <c r="AL207" s="245"/>
    </row>
    <row r="208" spans="1:39">
      <c r="A208" s="347">
        <f>IFERROR(VLOOKUP($G208,基本資料!$A:$J,3,0),"無")</f>
        <v>30.13</v>
      </c>
      <c r="B208" s="79">
        <f>IFERROR(VLOOKUP($G208,基本資料!$A:$J,4,0),"無")</f>
        <v>640</v>
      </c>
      <c r="C208" s="79">
        <f>IFERROR(VLOOKUP($G208,基本資料!$A:$J,5,0),"無")</f>
        <v>1602</v>
      </c>
      <c r="D208" s="79">
        <f>IFERROR(VLOOKUP($G208,基本資料!$A:$J,6,0),"無")</f>
        <v>40</v>
      </c>
      <c r="E208" s="79">
        <f>IFERROR(VLOOKUP($G208,基本資料!$A:$J,7,0),"無")</f>
        <v>34</v>
      </c>
      <c r="F208" s="6">
        <f>IFERROR(VLOOKUP($G208,基本資料!$A:$J,8,0),"無")</f>
        <v>2.77</v>
      </c>
      <c r="G208" s="79">
        <v>8933</v>
      </c>
      <c r="H208" s="5" t="s">
        <v>1960</v>
      </c>
      <c r="I208" s="16" t="s">
        <v>6120</v>
      </c>
      <c r="J208" s="8">
        <f>IFERROR(VLOOKUP($G208,今日總結!$A:$AJ,35,0),"")</f>
        <v>0</v>
      </c>
      <c r="K208" s="5" t="str">
        <f>IFERROR(VLOOKUP($G208,今日總結!$A:$AJ,36,0),"")</f>
        <v>外</v>
      </c>
      <c r="L208" s="156">
        <f>IFERROR(VLOOKUP($G208,今日總結!$A:$AJ,33,0),"")</f>
        <v>0</v>
      </c>
      <c r="M208" s="340">
        <f>IFERROR(VLOOKUP($G208,今日總結!$A:$AJ,34,0),"")</f>
        <v>1</v>
      </c>
      <c r="N208" s="240">
        <f t="shared" si="108"/>
        <v>-1</v>
      </c>
      <c r="P208" s="365" t="str">
        <f>IFERROR(VLOOKUP($G208,融外自投!$A:$J,7,0),"無")</f>
        <v>無</v>
      </c>
      <c r="Q208" s="79" t="str">
        <f>IFERROR(VLOOKUP($G208,融外自投!$A:$J,9,0),"無")</f>
        <v>無</v>
      </c>
      <c r="R208" s="346" t="str">
        <f>IFERROR(VLOOKUP($G208,融外自投!$A:$J,8,0),"無")</f>
        <v>無</v>
      </c>
      <c r="S208" s="81" t="str">
        <f>IFERROR(VLOOKUP($G208,融外自投!$A:$J,10,0),"無")</f>
        <v>無</v>
      </c>
      <c r="T208" s="327" t="str">
        <f>IFERROR(VLOOKUP($G208,'321買'!$A:$E,5,0),"'沒有資料'")</f>
        <v>'沒有資料'</v>
      </c>
      <c r="U208" s="186">
        <f>IFERROR(VLOOKUP($G208,基本資料!$A:$J,9,0),"無")</f>
        <v>0</v>
      </c>
      <c r="V208" s="310">
        <f t="shared" si="109"/>
        <v>0</v>
      </c>
      <c r="W208" s="94">
        <f>IFERROR(VLOOKUP($G208,基本資料!$A:$J,10,0),"無")</f>
        <v>0.28999999999999998</v>
      </c>
      <c r="X208" s="36">
        <v>14.4</v>
      </c>
      <c r="Y208" s="66">
        <v>10.199999999999999</v>
      </c>
      <c r="Z208" s="15">
        <f t="shared" si="106"/>
        <v>4.2000000000000011</v>
      </c>
      <c r="AA208" s="63">
        <f t="shared" si="107"/>
        <v>0.41176470588235309</v>
      </c>
      <c r="AB208" s="99" t="s">
        <v>3276</v>
      </c>
      <c r="AC208" s="397">
        <f>IFERROR(VLOOKUP($G208,基本資料!$A:$M,12,0),"無")</f>
        <v>14.35</v>
      </c>
      <c r="AD208" s="16" t="s">
        <v>666</v>
      </c>
      <c r="AE208" s="84">
        <v>44315</v>
      </c>
      <c r="AF208" s="86">
        <v>44326</v>
      </c>
      <c r="AG208" s="33">
        <f t="shared" si="110"/>
        <v>11</v>
      </c>
      <c r="AH208" s="43" t="s">
        <v>2372</v>
      </c>
      <c r="AI208" s="259"/>
      <c r="AK208" s="245"/>
      <c r="AL208" s="245"/>
    </row>
    <row r="209" spans="1:40">
      <c r="A209" s="347">
        <f>IFERROR(VLOOKUP($G209,基本資料!$A:$J,3,0),"無")</f>
        <v>10.31</v>
      </c>
      <c r="B209" s="79">
        <f>IFERROR(VLOOKUP($G209,基本資料!$A:$J,4,0),"無")</f>
        <v>62</v>
      </c>
      <c r="C209" s="79">
        <f>IFERROR(VLOOKUP($G209,基本資料!$A:$J,5,0),"無")</f>
        <v>49</v>
      </c>
      <c r="D209" s="79">
        <f>IFERROR(VLOOKUP($G209,基本資料!$A:$J,6,0),"無")</f>
        <v>-18</v>
      </c>
      <c r="E209" s="79">
        <f>IFERROR(VLOOKUP($G209,基本資料!$A:$J,7,0),"無")</f>
        <v>-13</v>
      </c>
      <c r="F209" s="6">
        <f>IFERROR(VLOOKUP($G209,基本資料!$A:$J,8,0),"無")</f>
        <v>21.58</v>
      </c>
      <c r="G209" s="80">
        <v>3357</v>
      </c>
      <c r="H209" s="5" t="s">
        <v>3389</v>
      </c>
      <c r="I209" s="16" t="s">
        <v>3236</v>
      </c>
      <c r="J209" s="8">
        <f>IFERROR(VLOOKUP($G209,今日總結!$A:$AJ,35,0),"")</f>
        <v>0</v>
      </c>
      <c r="K209" s="5">
        <f>IFERROR(VLOOKUP($G209,今日總結!$A:$AJ,36,0),"")</f>
        <v>9</v>
      </c>
      <c r="L209" s="156">
        <f>IFERROR(VLOOKUP($G209,今日總結!$A:$AJ,33,0),"")</f>
        <v>0</v>
      </c>
      <c r="M209" s="340">
        <f>IFERROR(VLOOKUP($G209,今日總結!$A:$AJ,34,0),"")</f>
        <v>2</v>
      </c>
      <c r="N209" s="240">
        <f t="shared" si="108"/>
        <v>-2</v>
      </c>
      <c r="P209" s="365">
        <f>IFERROR(VLOOKUP($G209,融外自投!$A:$J,7,0),"無")</f>
        <v>1088</v>
      </c>
      <c r="Q209" s="79" t="str">
        <f>IFERROR(VLOOKUP($G209,融外自投!$A:$J,9,0),"無")</f>
        <v>無</v>
      </c>
      <c r="R209" s="346">
        <f>IFERROR(VLOOKUP($G209,融外自投!$A:$J,8,0),"無")</f>
        <v>469</v>
      </c>
      <c r="S209" s="81" t="str">
        <f>IFERROR(VLOOKUP($G209,融外自投!$A:$J,10,0),"無")</f>
        <v>無</v>
      </c>
      <c r="T209" s="327">
        <f>IFERROR(VLOOKUP($G209,'321買'!$A:$E,5,0),"'沒有資料'")</f>
        <v>752</v>
      </c>
      <c r="U209" s="186">
        <f>IFERROR(VLOOKUP($G209,基本資料!$A:$J,9,0),"無")</f>
        <v>7</v>
      </c>
      <c r="V209" s="310">
        <f t="shared" si="109"/>
        <v>4.7945205479452052E-2</v>
      </c>
      <c r="W209" s="94">
        <f>IFERROR(VLOOKUP($G209,基本資料!$A:$J,10,0),"無")</f>
        <v>12.08</v>
      </c>
      <c r="X209" s="36">
        <v>146</v>
      </c>
      <c r="Y209" s="66">
        <v>118.78</v>
      </c>
      <c r="Z209" s="15">
        <f t="shared" si="106"/>
        <v>27.22</v>
      </c>
      <c r="AA209" s="63">
        <f t="shared" si="107"/>
        <v>0.22916315878093954</v>
      </c>
      <c r="AB209" s="99" t="s">
        <v>3274</v>
      </c>
      <c r="AC209" s="397" t="str">
        <f>IFERROR(VLOOKUP($G209,基本資料!$A:$M,12,0),"無")</f>
        <v>無</v>
      </c>
      <c r="AD209" s="16" t="s">
        <v>3236</v>
      </c>
      <c r="AE209" s="84">
        <v>44313</v>
      </c>
      <c r="AF209" s="86">
        <v>44323</v>
      </c>
      <c r="AG209" s="33">
        <f t="shared" si="110"/>
        <v>10</v>
      </c>
      <c r="AH209" s="43" t="s">
        <v>3237</v>
      </c>
      <c r="AI209" s="259"/>
      <c r="AK209" s="245"/>
      <c r="AL209" s="245"/>
      <c r="AN209" s="48"/>
    </row>
    <row r="210" spans="1:40">
      <c r="A210" s="347">
        <f>IFERROR(VLOOKUP($G210,基本資料!$A:$J,3,0),"無")</f>
        <v>19.600000000000001</v>
      </c>
      <c r="B210" s="79">
        <f>IFERROR(VLOOKUP($G210,基本資料!$A:$J,4,0),"無")</f>
        <v>57</v>
      </c>
      <c r="C210" s="79">
        <f>IFERROR(VLOOKUP($G210,基本資料!$A:$J,5,0),"無")</f>
        <v>0</v>
      </c>
      <c r="D210" s="79">
        <f>IFERROR(VLOOKUP($G210,基本資料!$A:$J,6,0),"無")</f>
        <v>2</v>
      </c>
      <c r="E210" s="79">
        <f>IFERROR(VLOOKUP($G210,基本資料!$A:$J,7,0),"無")</f>
        <v>0</v>
      </c>
      <c r="F210" s="6">
        <f>IFERROR(VLOOKUP($G210,基本資料!$A:$J,8,0),"無")</f>
        <v>6.45</v>
      </c>
      <c r="G210" s="79">
        <v>6768</v>
      </c>
      <c r="H210" s="5" t="s">
        <v>1960</v>
      </c>
      <c r="I210" s="22" t="s">
        <v>3212</v>
      </c>
      <c r="J210" s="8" t="str">
        <f>IFERROR(VLOOKUP($G210,今日總結!$A:$AJ,35,0),"")</f>
        <v/>
      </c>
      <c r="K210" s="5" t="str">
        <f>IFERROR(VLOOKUP($G210,今日總結!$A:$AJ,36,0),"")</f>
        <v/>
      </c>
      <c r="L210" s="156" t="str">
        <f>IFERROR(VLOOKUP($G210,今日總結!$A:$AJ,33,0),"")</f>
        <v/>
      </c>
      <c r="M210" s="340" t="str">
        <f>IFERROR(VLOOKUP($G210,今日總結!$A:$AJ,34,0),"")</f>
        <v/>
      </c>
      <c r="N210" s="240" t="str">
        <f t="shared" si="108"/>
        <v/>
      </c>
      <c r="P210" s="365">
        <f>IFERROR(VLOOKUP($G210,融外自投!$A:$J,7,0),"無")</f>
        <v>1060</v>
      </c>
      <c r="Q210" s="79">
        <f>IFERROR(VLOOKUP($G210,融外自投!$A:$J,9,0),"無")</f>
        <v>1051</v>
      </c>
      <c r="R210" s="346">
        <f>IFERROR(VLOOKUP($G210,融外自投!$A:$J,8,0),"無")</f>
        <v>12</v>
      </c>
      <c r="S210" s="81" t="str">
        <f>IFERROR(VLOOKUP($G210,融外自投!$A:$J,10,0),"無")</f>
        <v>無</v>
      </c>
      <c r="T210" s="327">
        <f>IFERROR(VLOOKUP($G210,'321買'!$A:$E,5,0),"'沒有資料'")</f>
        <v>852</v>
      </c>
      <c r="U210" s="186">
        <f>IFERROR(VLOOKUP($G210,基本資料!$A:$J,9,0),"無")</f>
        <v>3.5</v>
      </c>
      <c r="V210" s="310">
        <f t="shared" si="109"/>
        <v>0.05</v>
      </c>
      <c r="W210" s="94">
        <f>IFERROR(VLOOKUP($G210,基本資料!$A:$J,10,0),"無")</f>
        <v>3.42</v>
      </c>
      <c r="X210" s="36">
        <v>70</v>
      </c>
      <c r="Y210" s="66">
        <v>49</v>
      </c>
      <c r="Z210" s="15">
        <f t="shared" si="106"/>
        <v>21</v>
      </c>
      <c r="AA210" s="63">
        <f t="shared" si="107"/>
        <v>0.42857142857142855</v>
      </c>
      <c r="AB210" s="99" t="s">
        <v>3256</v>
      </c>
      <c r="AC210" s="397" t="str">
        <f>IFERROR(VLOOKUP($G210,基本資料!$A:$M,12,0),"無")</f>
        <v>無</v>
      </c>
      <c r="AD210" s="22" t="s">
        <v>3212</v>
      </c>
      <c r="AE210" s="84">
        <v>44308</v>
      </c>
      <c r="AF210" s="86">
        <v>44319</v>
      </c>
      <c r="AG210" s="33">
        <f t="shared" si="110"/>
        <v>11</v>
      </c>
      <c r="AH210" s="43" t="s">
        <v>3213</v>
      </c>
      <c r="AI210" s="259"/>
      <c r="AK210" s="245"/>
      <c r="AL210" s="245"/>
      <c r="AN210" s="48"/>
    </row>
    <row r="211" spans="1:40">
      <c r="A211" s="347">
        <f>IFERROR(VLOOKUP($G211,基本資料!$A:$J,3,0),"無")</f>
        <v>41.99</v>
      </c>
      <c r="B211" s="79">
        <f>IFERROR(VLOOKUP($G211,基本資料!$A:$J,4,0),"無")</f>
        <v>14</v>
      </c>
      <c r="C211" s="79">
        <f>IFERROR(VLOOKUP($G211,基本資料!$A:$J,5,0),"無")</f>
        <v>14</v>
      </c>
      <c r="D211" s="79">
        <f>IFERROR(VLOOKUP($G211,基本資料!$A:$J,6,0),"無")</f>
        <v>22</v>
      </c>
      <c r="E211" s="79">
        <f>IFERROR(VLOOKUP($G211,基本資料!$A:$J,7,0),"無")</f>
        <v>-5</v>
      </c>
      <c r="F211" s="6">
        <f>IFERROR(VLOOKUP($G211,基本資料!$A:$J,8,0),"無")</f>
        <v>12.89</v>
      </c>
      <c r="G211" s="79">
        <v>2211</v>
      </c>
      <c r="H211" s="5" t="s">
        <v>299</v>
      </c>
      <c r="I211" s="22" t="s">
        <v>3106</v>
      </c>
      <c r="J211" s="8" t="str">
        <f>IFERROR(VLOOKUP($G211,今日總結!$A:$AJ,35,0),"")</f>
        <v/>
      </c>
      <c r="K211" s="5" t="str">
        <f>IFERROR(VLOOKUP($G211,今日總結!$A:$AJ,36,0),"")</f>
        <v/>
      </c>
      <c r="L211" s="156" t="str">
        <f>IFERROR(VLOOKUP($G211,今日總結!$A:$AJ,33,0),"")</f>
        <v/>
      </c>
      <c r="M211" s="340" t="str">
        <f>IFERROR(VLOOKUP($G211,今日總結!$A:$AJ,34,0),"")</f>
        <v/>
      </c>
      <c r="N211" s="240" t="str">
        <f t="shared" si="108"/>
        <v/>
      </c>
      <c r="P211" s="365">
        <f>IFERROR(VLOOKUP($G211,融外自投!$A:$J,7,0),"無")</f>
        <v>1242</v>
      </c>
      <c r="Q211" s="79" t="str">
        <f>IFERROR(VLOOKUP($G211,融外自投!$A:$J,9,0),"無")</f>
        <v>無</v>
      </c>
      <c r="R211" s="346">
        <f>IFERROR(VLOOKUP($G211,融外自投!$A:$J,8,0),"無")</f>
        <v>1011</v>
      </c>
      <c r="S211" s="81" t="str">
        <f>IFERROR(VLOOKUP($G211,融外自投!$A:$J,10,0),"無")</f>
        <v>無</v>
      </c>
      <c r="T211" s="327">
        <f>IFERROR(VLOOKUP($G211,'321買'!$A:$E,5,0),"'沒有資料'")</f>
        <v>634</v>
      </c>
      <c r="U211" s="186">
        <f>IFERROR(VLOOKUP($G211,基本資料!$A:$J,9,0),"無")</f>
        <v>3</v>
      </c>
      <c r="V211" s="310">
        <f t="shared" si="109"/>
        <v>4.5454545454545456E-2</v>
      </c>
      <c r="W211" s="94">
        <f>IFERROR(VLOOKUP($G211,基本資料!$A:$J,10,0),"無")</f>
        <v>3.11</v>
      </c>
      <c r="X211" s="36">
        <v>66</v>
      </c>
      <c r="Y211" s="66">
        <v>41</v>
      </c>
      <c r="Z211" s="15">
        <f t="shared" si="106"/>
        <v>25</v>
      </c>
      <c r="AA211" s="63">
        <f t="shared" si="107"/>
        <v>0.6097560975609756</v>
      </c>
      <c r="AB211" s="99" t="s">
        <v>3220</v>
      </c>
      <c r="AC211" s="397">
        <f>IFERROR(VLOOKUP($G211,基本資料!$A:$M,12,0),"無")</f>
        <v>17.48</v>
      </c>
      <c r="AD211" s="22" t="s">
        <v>3106</v>
      </c>
      <c r="AE211" s="84">
        <v>44298</v>
      </c>
      <c r="AF211" s="86">
        <v>44308</v>
      </c>
      <c r="AG211" s="33">
        <f t="shared" si="110"/>
        <v>10</v>
      </c>
      <c r="AH211" s="43" t="s">
        <v>3107</v>
      </c>
      <c r="AI211" s="259"/>
      <c r="AK211" s="245"/>
      <c r="AL211" s="245"/>
    </row>
    <row r="212" spans="1:40">
      <c r="A212" s="347">
        <f>IFERROR(VLOOKUP($G212,基本資料!$A:$J,3,0),"無")</f>
        <v>8.15</v>
      </c>
      <c r="B212" s="79">
        <f>IFERROR(VLOOKUP($G212,基本資料!$A:$J,4,0),"無")</f>
        <v>85</v>
      </c>
      <c r="C212" s="79">
        <f>IFERROR(VLOOKUP($G212,基本資料!$A:$J,5,0),"無")</f>
        <v>79</v>
      </c>
      <c r="D212" s="79">
        <f>IFERROR(VLOOKUP($G212,基本資料!$A:$J,6,0),"無")</f>
        <v>-15</v>
      </c>
      <c r="E212" s="79">
        <f>IFERROR(VLOOKUP($G212,基本資料!$A:$J,7,0),"無")</f>
        <v>41</v>
      </c>
      <c r="F212" s="6">
        <f>IFERROR(VLOOKUP($G212,基本資料!$A:$J,8,0),"無")</f>
        <v>1.49</v>
      </c>
      <c r="G212" s="79">
        <v>6776</v>
      </c>
      <c r="H212" s="5" t="s">
        <v>329</v>
      </c>
      <c r="I212" s="22" t="s">
        <v>3092</v>
      </c>
      <c r="J212" s="8" t="str">
        <f>IFERROR(VLOOKUP($G212,今日總結!$A:$AJ,35,0),"")</f>
        <v/>
      </c>
      <c r="K212" s="5" t="str">
        <f>IFERROR(VLOOKUP($G212,今日總結!$A:$AJ,36,0),"")</f>
        <v/>
      </c>
      <c r="L212" s="156" t="str">
        <f>IFERROR(VLOOKUP($G212,今日總結!$A:$AJ,33,0),"")</f>
        <v/>
      </c>
      <c r="M212" s="340" t="str">
        <f>IFERROR(VLOOKUP($G212,今日總結!$A:$AJ,34,0),"")</f>
        <v/>
      </c>
      <c r="N212" s="240" t="str">
        <f t="shared" si="108"/>
        <v/>
      </c>
      <c r="P212" s="365">
        <f>IFERROR(VLOOKUP($G212,融外自投!$A:$J,7,0),"無")</f>
        <v>1373</v>
      </c>
      <c r="Q212" s="79">
        <f>IFERROR(VLOOKUP($G212,融外自投!$A:$J,9,0),"無")</f>
        <v>1110</v>
      </c>
      <c r="R212" s="346">
        <f>IFERROR(VLOOKUP($G212,融外自投!$A:$J,8,0),"無")</f>
        <v>1314</v>
      </c>
      <c r="S212" s="81" t="str">
        <f>IFERROR(VLOOKUP($G212,融外自投!$A:$J,10,0),"無")</f>
        <v>無</v>
      </c>
      <c r="T212" s="327">
        <f>IFERROR(VLOOKUP($G212,'321買'!$A:$E,5,0),"'沒有資料'")</f>
        <v>1214</v>
      </c>
      <c r="U212" s="186">
        <f>IFERROR(VLOOKUP($G212,基本資料!$A:$J,9,0),"無")</f>
        <v>3.2</v>
      </c>
      <c r="V212" s="310">
        <f t="shared" si="109"/>
        <v>6.2992125984251982E-2</v>
      </c>
      <c r="W212" s="94">
        <f>IFERROR(VLOOKUP($G212,基本資料!$A:$J,10,0),"無")</f>
        <v>4.28</v>
      </c>
      <c r="X212" s="36">
        <v>50.8</v>
      </c>
      <c r="Y212" s="66">
        <v>25</v>
      </c>
      <c r="Z212" s="15">
        <f t="shared" si="106"/>
        <v>25.799999999999997</v>
      </c>
      <c r="AA212" s="148">
        <f t="shared" si="107"/>
        <v>1.0319999999999998</v>
      </c>
      <c r="AB212" s="99" t="s">
        <v>3156</v>
      </c>
      <c r="AC212" s="397">
        <f>IFERROR(VLOOKUP($G212,基本資料!$A:$M,12,0),"無")</f>
        <v>43.47</v>
      </c>
      <c r="AD212" s="22" t="s">
        <v>3092</v>
      </c>
      <c r="AE212" s="84">
        <v>44286</v>
      </c>
      <c r="AF212" s="86">
        <v>44298</v>
      </c>
      <c r="AG212" s="33">
        <f t="shared" si="110"/>
        <v>12</v>
      </c>
      <c r="AH212" s="43" t="s">
        <v>1043</v>
      </c>
      <c r="AI212" s="259"/>
      <c r="AK212" s="245"/>
      <c r="AL212" s="245"/>
    </row>
    <row r="213" spans="1:40">
      <c r="A213" s="347">
        <f>IFERROR(VLOOKUP($G213,基本資料!$A:$J,3,0),"無")</f>
        <v>93.17</v>
      </c>
      <c r="B213" s="79">
        <f>IFERROR(VLOOKUP($G213,基本資料!$A:$J,4,0),"無")</f>
        <v>100</v>
      </c>
      <c r="C213" s="79">
        <f>IFERROR(VLOOKUP($G213,基本資料!$A:$J,5,0),"無")</f>
        <v>99</v>
      </c>
      <c r="D213" s="79">
        <f>IFERROR(VLOOKUP($G213,基本資料!$A:$J,6,0),"無")</f>
        <v>-9</v>
      </c>
      <c r="E213" s="79">
        <f>IFERROR(VLOOKUP($G213,基本資料!$A:$J,7,0),"無")</f>
        <v>11</v>
      </c>
      <c r="F213" s="6">
        <f>IFERROR(VLOOKUP($G213,基本資料!$A:$J,8,0),"無")</f>
        <v>-0.02</v>
      </c>
      <c r="G213" s="80">
        <v>2208</v>
      </c>
      <c r="H213" s="5" t="s">
        <v>302</v>
      </c>
      <c r="I213" s="22" t="s">
        <v>88</v>
      </c>
      <c r="J213" s="8">
        <f>IFERROR(VLOOKUP($G213,今日總結!$A:$AJ,35,0),"")</f>
        <v>0</v>
      </c>
      <c r="K213" s="5">
        <f>IFERROR(VLOOKUP($G213,今日總結!$A:$AJ,36,0),"")</f>
        <v>9</v>
      </c>
      <c r="L213" s="156">
        <f>IFERROR(VLOOKUP($G213,今日總結!$A:$AJ,33,0),"")</f>
        <v>0</v>
      </c>
      <c r="M213" s="340">
        <f>IFERROR(VLOOKUP($G213,今日總結!$A:$AJ,34,0),"")</f>
        <v>2</v>
      </c>
      <c r="N213" s="240">
        <f t="shared" si="108"/>
        <v>-2</v>
      </c>
      <c r="P213" s="365">
        <f>IFERROR(VLOOKUP($G213,融外自投!$A:$J,7,0),"無")</f>
        <v>684</v>
      </c>
      <c r="Q213" s="79">
        <f>IFERROR(VLOOKUP($G213,融外自投!$A:$J,9,0),"無")</f>
        <v>1051</v>
      </c>
      <c r="R213" s="346">
        <f>IFERROR(VLOOKUP($G213,融外自投!$A:$J,8,0),"無")</f>
        <v>745</v>
      </c>
      <c r="S213" s="81">
        <f>IFERROR(VLOOKUP($G213,融外自投!$A:$J,10,0),"無")</f>
        <v>458</v>
      </c>
      <c r="T213" s="327">
        <f>IFERROR(VLOOKUP($G213,'321買'!$A:$E,5,0),"'沒有資料'")</f>
        <v>164</v>
      </c>
      <c r="U213" s="186">
        <f>IFERROR(VLOOKUP($G213,基本資料!$A:$J,9,0),"無")</f>
        <v>0</v>
      </c>
      <c r="V213" s="310">
        <f t="shared" si="109"/>
        <v>0</v>
      </c>
      <c r="W213" s="94">
        <f>IFERROR(VLOOKUP($G213,基本資料!$A:$J,10,0),"無")</f>
        <v>0.02</v>
      </c>
      <c r="X213" s="36">
        <v>22.3</v>
      </c>
      <c r="Y213" s="66">
        <v>17.5</v>
      </c>
      <c r="Z213" s="15">
        <f t="shared" si="106"/>
        <v>4.8000000000000007</v>
      </c>
      <c r="AA213" s="63">
        <f t="shared" si="107"/>
        <v>0.2742857142857143</v>
      </c>
      <c r="AB213" s="99" t="s">
        <v>2274</v>
      </c>
      <c r="AC213" s="397">
        <f>IFERROR(VLOOKUP($G213,基本資料!$A:$M,12,0),"無")</f>
        <v>23.37</v>
      </c>
      <c r="AD213" s="22" t="s">
        <v>88</v>
      </c>
      <c r="AE213" s="84">
        <v>44286</v>
      </c>
      <c r="AF213" s="86">
        <v>44298</v>
      </c>
      <c r="AG213" s="33">
        <f t="shared" si="110"/>
        <v>12</v>
      </c>
      <c r="AH213" s="117" t="s">
        <v>3218</v>
      </c>
      <c r="AI213" s="259"/>
      <c r="AK213" s="245"/>
      <c r="AL213" s="245"/>
    </row>
    <row r="214" spans="1:40">
      <c r="A214" s="347">
        <f>IFERROR(VLOOKUP($G214,基本資料!$A:$J,3,0),"無")</f>
        <v>6.43</v>
      </c>
      <c r="B214" s="79">
        <f>IFERROR(VLOOKUP($G214,基本資料!$A:$J,4,0),"無")</f>
        <v>-26</v>
      </c>
      <c r="C214" s="79">
        <f>IFERROR(VLOOKUP($G214,基本資料!$A:$J,5,0),"無")</f>
        <v>-29</v>
      </c>
      <c r="D214" s="79">
        <f>IFERROR(VLOOKUP($G214,基本資料!$A:$J,6,0),"無")</f>
        <v>30</v>
      </c>
      <c r="E214" s="79">
        <f>IFERROR(VLOOKUP($G214,基本資料!$A:$J,7,0),"無")</f>
        <v>-37</v>
      </c>
      <c r="F214" s="6">
        <f>IFERROR(VLOOKUP($G214,基本資料!$A:$J,8,0),"無")</f>
        <v>20.62</v>
      </c>
      <c r="G214" s="79">
        <v>5215</v>
      </c>
      <c r="H214" s="192" t="s">
        <v>1146</v>
      </c>
      <c r="I214" s="22" t="s">
        <v>468</v>
      </c>
      <c r="J214" s="8" t="str">
        <f>IFERROR(VLOOKUP($G214,今日總結!$A:$AJ,35,0),"")</f>
        <v/>
      </c>
      <c r="K214" s="5" t="str">
        <f>IFERROR(VLOOKUP($G214,今日總結!$A:$AJ,36,0),"")</f>
        <v/>
      </c>
      <c r="L214" s="156" t="str">
        <f>IFERROR(VLOOKUP($G214,今日總結!$A:$AJ,33,0),"")</f>
        <v/>
      </c>
      <c r="M214" s="340" t="str">
        <f>IFERROR(VLOOKUP($G214,今日總結!$A:$AJ,34,0),"")</f>
        <v/>
      </c>
      <c r="N214" s="240" t="str">
        <f t="shared" si="108"/>
        <v/>
      </c>
      <c r="P214" s="365">
        <f>IFERROR(VLOOKUP($G214,融外自投!$A:$J,7,0),"無")</f>
        <v>483</v>
      </c>
      <c r="Q214" s="79">
        <f>IFERROR(VLOOKUP($G214,融外自投!$A:$J,9,0),"無")</f>
        <v>1110</v>
      </c>
      <c r="R214" s="346">
        <f>IFERROR(VLOOKUP($G214,融外自投!$A:$J,8,0),"無")</f>
        <v>215</v>
      </c>
      <c r="S214" s="81" t="str">
        <f>IFERROR(VLOOKUP($G214,融外自投!$A:$J,10,0),"無")</f>
        <v>無</v>
      </c>
      <c r="T214" s="327">
        <f>IFERROR(VLOOKUP($G214,'321買'!$A:$E,5,0),"'沒有資料'")</f>
        <v>1085</v>
      </c>
      <c r="U214" s="186">
        <f>IFERROR(VLOOKUP($G214,基本資料!$A:$J,9,0),"無")</f>
        <v>5</v>
      </c>
      <c r="V214" s="310">
        <f t="shared" si="109"/>
        <v>3.4364261168384883E-2</v>
      </c>
      <c r="W214" s="94">
        <f>IFERROR(VLOOKUP($G214,基本資料!$A:$J,10,0),"無")</f>
        <v>8.76</v>
      </c>
      <c r="X214" s="36">
        <v>145.5</v>
      </c>
      <c r="Y214" s="45">
        <v>105</v>
      </c>
      <c r="Z214" s="15">
        <f t="shared" si="106"/>
        <v>40.5</v>
      </c>
      <c r="AA214" s="63">
        <f t="shared" si="107"/>
        <v>0.38571428571428573</v>
      </c>
      <c r="AB214" s="99" t="s">
        <v>3108</v>
      </c>
      <c r="AC214" s="397">
        <f>IFERROR(VLOOKUP($G214,基本資料!$A:$M,12,0),"無")</f>
        <v>19.41</v>
      </c>
      <c r="AD214" s="22" t="s">
        <v>468</v>
      </c>
      <c r="AE214" s="84">
        <v>44285</v>
      </c>
      <c r="AF214" s="86">
        <v>44295</v>
      </c>
      <c r="AG214" s="33">
        <f t="shared" si="110"/>
        <v>10</v>
      </c>
      <c r="AH214" s="43" t="s">
        <v>2283</v>
      </c>
      <c r="AI214" s="259"/>
      <c r="AK214" s="245"/>
      <c r="AL214" s="245"/>
    </row>
    <row r="215" spans="1:40">
      <c r="A215" s="347">
        <f>IFERROR(VLOOKUP($G215,基本資料!$A:$J,3,0),"無")</f>
        <v>24.18</v>
      </c>
      <c r="B215" s="79">
        <f>IFERROR(VLOOKUP($G215,基本資料!$A:$J,4,0),"無")</f>
        <v>28</v>
      </c>
      <c r="C215" s="79">
        <f>IFERROR(VLOOKUP($G215,基本資料!$A:$J,5,0),"無")</f>
        <v>26</v>
      </c>
      <c r="D215" s="79">
        <f>IFERROR(VLOOKUP($G215,基本資料!$A:$J,6,0),"無")</f>
        <v>-9</v>
      </c>
      <c r="E215" s="79">
        <f>IFERROR(VLOOKUP($G215,基本資料!$A:$J,7,0),"無")</f>
        <v>-1</v>
      </c>
      <c r="F215" s="6">
        <f>IFERROR(VLOOKUP($G215,基本資料!$A:$J,8,0),"無")</f>
        <v>11.69</v>
      </c>
      <c r="G215" s="79">
        <v>1477</v>
      </c>
      <c r="H215" s="8" t="s">
        <v>3172</v>
      </c>
      <c r="I215" s="22" t="s">
        <v>3590</v>
      </c>
      <c r="J215" s="8">
        <f>IFERROR(VLOOKUP($G215,今日總結!$A:$AJ,35,0),"")</f>
        <v>4</v>
      </c>
      <c r="K215" s="5">
        <f>IFERROR(VLOOKUP($G215,今日總結!$A:$AJ,36,0),"")</f>
        <v>6</v>
      </c>
      <c r="L215" s="156">
        <f>IFERROR(VLOOKUP($G215,今日總結!$A:$AJ,33,0),"")</f>
        <v>1</v>
      </c>
      <c r="M215" s="340">
        <f>IFERROR(VLOOKUP($G215,今日總結!$A:$AJ,34,0),"")</f>
        <v>2</v>
      </c>
      <c r="N215" s="240">
        <f t="shared" si="108"/>
        <v>-1</v>
      </c>
      <c r="P215" s="365">
        <f>IFERROR(VLOOKUP($G215,融外自投!$A:$J,7,0),"無")</f>
        <v>1083</v>
      </c>
      <c r="Q215" s="79">
        <f>IFERROR(VLOOKUP($G215,融外自投!$A:$J,9,0),"無")</f>
        <v>176</v>
      </c>
      <c r="R215" s="346">
        <f>IFERROR(VLOOKUP($G215,融外自投!$A:$J,8,0),"無")</f>
        <v>232</v>
      </c>
      <c r="S215" s="81">
        <f>IFERROR(VLOOKUP($G215,融外自投!$A:$J,10,0),"無")</f>
        <v>106</v>
      </c>
      <c r="T215" s="327">
        <f>IFERROR(VLOOKUP($G215,'321買'!$A:$E,5,0),"'沒有資料'")</f>
        <v>536</v>
      </c>
      <c r="U215" s="186">
        <f>IFERROR(VLOOKUP($G215,基本資料!$A:$J,9,0),"無")</f>
        <v>9.5</v>
      </c>
      <c r="V215" s="310">
        <f t="shared" si="109"/>
        <v>3.9094650205761319E-2</v>
      </c>
      <c r="W215" s="94">
        <f>IFERROR(VLOOKUP($G215,基本資料!$A:$J,10,0),"無")</f>
        <v>11.2</v>
      </c>
      <c r="X215" s="36">
        <v>243</v>
      </c>
      <c r="Y215" s="66">
        <v>136</v>
      </c>
      <c r="Z215" s="15">
        <f t="shared" si="106"/>
        <v>107</v>
      </c>
      <c r="AA215" s="63">
        <f t="shared" si="107"/>
        <v>0.78676470588235292</v>
      </c>
      <c r="AB215" s="99" t="s">
        <v>3170</v>
      </c>
      <c r="AC215" s="397">
        <f>IFERROR(VLOOKUP($G215,基本資料!$A:$M,12,0),"無")</f>
        <v>11.59</v>
      </c>
      <c r="AD215" s="22" t="s">
        <v>125</v>
      </c>
      <c r="AE215" s="84">
        <v>44279</v>
      </c>
      <c r="AF215" s="86">
        <v>44292</v>
      </c>
      <c r="AG215" s="33">
        <f t="shared" si="110"/>
        <v>13</v>
      </c>
      <c r="AH215" s="117" t="s">
        <v>2382</v>
      </c>
      <c r="AI215" s="259"/>
      <c r="AK215" s="245"/>
      <c r="AL215" s="245"/>
    </row>
    <row r="216" spans="1:40">
      <c r="A216" s="347">
        <f>IFERROR(VLOOKUP($G216,基本資料!$A:$J,3,0),"無")</f>
        <v>10.66</v>
      </c>
      <c r="B216" s="79">
        <f>IFERROR(VLOOKUP($G216,基本資料!$A:$J,4,0),"無")</f>
        <v>680</v>
      </c>
      <c r="C216" s="79">
        <f>IFERROR(VLOOKUP($G216,基本資料!$A:$J,5,0),"無")</f>
        <v>1465</v>
      </c>
      <c r="D216" s="79">
        <f>IFERROR(VLOOKUP($G216,基本資料!$A:$J,6,0),"無")</f>
        <v>-35</v>
      </c>
      <c r="E216" s="79">
        <f>IFERROR(VLOOKUP($G216,基本資料!$A:$J,7,0),"無")</f>
        <v>-13</v>
      </c>
      <c r="F216" s="6">
        <f>IFERROR(VLOOKUP($G216,基本資料!$A:$J,8,0),"無")</f>
        <v>1.62</v>
      </c>
      <c r="G216" s="79">
        <v>3346</v>
      </c>
      <c r="H216" s="8" t="s">
        <v>301</v>
      </c>
      <c r="I216" s="22" t="s">
        <v>577</v>
      </c>
      <c r="J216" s="8" t="str">
        <f>IFERROR(VLOOKUP($G216,今日總結!$A:$AJ,35,0),"")</f>
        <v/>
      </c>
      <c r="K216" s="5" t="str">
        <f>IFERROR(VLOOKUP($G216,今日總結!$A:$AJ,36,0),"")</f>
        <v/>
      </c>
      <c r="L216" s="156" t="str">
        <f>IFERROR(VLOOKUP($G216,今日總結!$A:$AJ,33,0),"")</f>
        <v/>
      </c>
      <c r="M216" s="340" t="str">
        <f>IFERROR(VLOOKUP($G216,今日總結!$A:$AJ,34,0),"")</f>
        <v/>
      </c>
      <c r="N216" s="240" t="str">
        <f t="shared" si="108"/>
        <v/>
      </c>
      <c r="P216" s="365">
        <f>IFERROR(VLOOKUP($G216,融外自投!$A:$J,7,0),"無")</f>
        <v>218</v>
      </c>
      <c r="Q216" s="79" t="str">
        <f>IFERROR(VLOOKUP($G216,融外自投!$A:$J,9,0),"無")</f>
        <v>無</v>
      </c>
      <c r="R216" s="346">
        <f>IFERROR(VLOOKUP($G216,融外自投!$A:$J,8,0),"無")</f>
        <v>933</v>
      </c>
      <c r="S216" s="81" t="str">
        <f>IFERROR(VLOOKUP($G216,融外自投!$A:$J,10,0),"無")</f>
        <v>無</v>
      </c>
      <c r="T216" s="327">
        <f>IFERROR(VLOOKUP($G216,'321買'!$A:$E,5,0),"'沒有資料'")</f>
        <v>779</v>
      </c>
      <c r="U216" s="186">
        <f>IFERROR(VLOOKUP($G216,基本資料!$A:$J,9,0),"無")</f>
        <v>0.62</v>
      </c>
      <c r="V216" s="310">
        <f t="shared" si="109"/>
        <v>9.6723868954758201E-3</v>
      </c>
      <c r="W216" s="94">
        <f>IFERROR(VLOOKUP($G216,基本資料!$A:$J,10,0),"無")</f>
        <v>1.03</v>
      </c>
      <c r="X216" s="36">
        <v>64.099999999999994</v>
      </c>
      <c r="Y216" s="45">
        <v>39</v>
      </c>
      <c r="Z216" s="15">
        <f t="shared" si="106"/>
        <v>25.099999999999994</v>
      </c>
      <c r="AA216" s="63">
        <f t="shared" si="107"/>
        <v>0.64358974358974341</v>
      </c>
      <c r="AB216" s="99" t="s">
        <v>3171</v>
      </c>
      <c r="AC216" s="397">
        <f>IFERROR(VLOOKUP($G216,基本資料!$A:$M,12,0),"無")</f>
        <v>5.04</v>
      </c>
      <c r="AD216" s="22" t="s">
        <v>577</v>
      </c>
      <c r="AE216" s="84">
        <v>44278</v>
      </c>
      <c r="AF216" s="86">
        <v>44292</v>
      </c>
      <c r="AG216" s="33">
        <f t="shared" si="110"/>
        <v>14</v>
      </c>
      <c r="AH216" s="43" t="s">
        <v>2089</v>
      </c>
      <c r="AI216" s="259"/>
      <c r="AK216" s="245"/>
      <c r="AL216" s="245"/>
      <c r="AN216" s="48"/>
    </row>
    <row r="217" spans="1:40">
      <c r="A217" s="347">
        <f>IFERROR(VLOOKUP($G217,基本資料!$A:$J,3,0),"無")</f>
        <v>8.5399999999999991</v>
      </c>
      <c r="B217" s="79">
        <f>IFERROR(VLOOKUP($G217,基本資料!$A:$J,4,0),"無")</f>
        <v>168</v>
      </c>
      <c r="C217" s="79">
        <f>IFERROR(VLOOKUP($G217,基本資料!$A:$J,5,0),"無")</f>
        <v>146</v>
      </c>
      <c r="D217" s="79">
        <f>IFERROR(VLOOKUP($G217,基本資料!$A:$J,6,0),"無")</f>
        <v>0</v>
      </c>
      <c r="E217" s="79">
        <f>IFERROR(VLOOKUP($G217,基本資料!$A:$J,7,0),"無")</f>
        <v>40</v>
      </c>
      <c r="F217" s="6">
        <f>IFERROR(VLOOKUP($G217,基本資料!$A:$J,8,0),"無")</f>
        <v>26.21</v>
      </c>
      <c r="G217" s="79">
        <v>6781</v>
      </c>
      <c r="H217" s="8" t="s">
        <v>3389</v>
      </c>
      <c r="I217" s="22" t="s">
        <v>3093</v>
      </c>
      <c r="J217" s="8" t="str">
        <f>IFERROR(VLOOKUP($G217,今日總結!$A:$AJ,35,0),"")</f>
        <v/>
      </c>
      <c r="K217" s="5" t="str">
        <f>IFERROR(VLOOKUP($G217,今日總結!$A:$AJ,36,0),"")</f>
        <v/>
      </c>
      <c r="L217" s="156" t="str">
        <f>IFERROR(VLOOKUP($G217,今日總結!$A:$AJ,33,0),"")</f>
        <v/>
      </c>
      <c r="M217" s="340" t="str">
        <f>IFERROR(VLOOKUP($G217,今日總結!$A:$AJ,34,0),"")</f>
        <v/>
      </c>
      <c r="N217" s="240" t="str">
        <f t="shared" si="108"/>
        <v/>
      </c>
      <c r="P217" s="365">
        <f>IFERROR(VLOOKUP($G217,融外自投!$A:$J,7,0),"無")</f>
        <v>883</v>
      </c>
      <c r="Q217" s="79">
        <f>IFERROR(VLOOKUP($G217,融外自投!$A:$J,9,0),"無")</f>
        <v>978</v>
      </c>
      <c r="R217" s="346">
        <f>IFERROR(VLOOKUP($G217,融外自投!$A:$J,8,0),"無")</f>
        <v>9</v>
      </c>
      <c r="S217" s="81">
        <f>IFERROR(VLOOKUP($G217,融外自投!$A:$J,10,0),"無")</f>
        <v>96</v>
      </c>
      <c r="T217" s="327">
        <f>IFERROR(VLOOKUP($G217,'321買'!$A:$E,5,0),"'沒有資料'")</f>
        <v>281</v>
      </c>
      <c r="U217" s="186">
        <f>IFERROR(VLOOKUP($G217,基本資料!$A:$J,9,0),"無")</f>
        <v>15</v>
      </c>
      <c r="V217" s="310">
        <f t="shared" si="109"/>
        <v>2.3510971786833857E-2</v>
      </c>
      <c r="W217" s="94">
        <f>IFERROR(VLOOKUP($G217,基本資料!$A:$J,10,0),"無")</f>
        <v>30.18</v>
      </c>
      <c r="X217" s="13">
        <v>638</v>
      </c>
      <c r="Y217" s="66">
        <v>168</v>
      </c>
      <c r="Z217" s="15">
        <f t="shared" ref="Z217:Z248" si="111">X217-Y217</f>
        <v>470</v>
      </c>
      <c r="AA217" s="148">
        <f t="shared" ref="AA217:AA248" si="112">Z217/Y217</f>
        <v>2.7976190476190474</v>
      </c>
      <c r="AB217" s="99" t="s">
        <v>3097</v>
      </c>
      <c r="AC217" s="397">
        <f>IFERROR(VLOOKUP($G217,基本資料!$A:$M,12,0),"無")</f>
        <v>12.51</v>
      </c>
      <c r="AD217" s="22" t="s">
        <v>3093</v>
      </c>
      <c r="AE217" s="84">
        <v>44277</v>
      </c>
      <c r="AF217" s="86">
        <v>44287</v>
      </c>
      <c r="AG217" s="33">
        <f t="shared" si="110"/>
        <v>10</v>
      </c>
      <c r="AH217" s="43" t="s">
        <v>3098</v>
      </c>
      <c r="AI217" s="259"/>
      <c r="AK217" s="245"/>
      <c r="AL217" s="245"/>
    </row>
    <row r="218" spans="1:40">
      <c r="A218" s="347">
        <f>IFERROR(VLOOKUP($G218,基本資料!$A:$J,3,0),"無")</f>
        <v>2.78</v>
      </c>
      <c r="B218" s="79">
        <f>IFERROR(VLOOKUP($G218,基本資料!$A:$J,4,0),"無")</f>
        <v>138</v>
      </c>
      <c r="C218" s="79">
        <f>IFERROR(VLOOKUP($G218,基本資料!$A:$J,5,0),"無")</f>
        <v>187</v>
      </c>
      <c r="D218" s="79">
        <f>IFERROR(VLOOKUP($G218,基本資料!$A:$J,6,0),"無")</f>
        <v>0</v>
      </c>
      <c r="E218" s="79">
        <f>IFERROR(VLOOKUP($G218,基本資料!$A:$J,7,0),"無")</f>
        <v>67</v>
      </c>
      <c r="F218" s="6">
        <f>IFERROR(VLOOKUP($G218,基本資料!$A:$J,8,0),"無")</f>
        <v>5.03</v>
      </c>
      <c r="G218" s="79">
        <v>5468</v>
      </c>
      <c r="H218" s="145" t="s">
        <v>3039</v>
      </c>
      <c r="I218" s="16" t="s">
        <v>369</v>
      </c>
      <c r="J218" s="8" t="str">
        <f>IFERROR(VLOOKUP($G218,今日總結!$A:$AJ,35,0),"")</f>
        <v/>
      </c>
      <c r="K218" s="5" t="str">
        <f>IFERROR(VLOOKUP($G218,今日總結!$A:$AJ,36,0),"")</f>
        <v/>
      </c>
      <c r="L218" s="156" t="str">
        <f>IFERROR(VLOOKUP($G218,今日總結!$A:$AJ,33,0),"")</f>
        <v/>
      </c>
      <c r="M218" s="340" t="str">
        <f>IFERROR(VLOOKUP($G218,今日總結!$A:$AJ,34,0),"")</f>
        <v/>
      </c>
      <c r="N218" s="240" t="str">
        <f t="shared" si="108"/>
        <v/>
      </c>
      <c r="P218" s="365" t="str">
        <f>IFERROR(VLOOKUP($G218,融外自投!$A:$J,7,0),"無")</f>
        <v>無</v>
      </c>
      <c r="Q218" s="79" t="str">
        <f>IFERROR(VLOOKUP($G218,融外自投!$A:$J,9,0),"無")</f>
        <v>無</v>
      </c>
      <c r="R218" s="346" t="str">
        <f>IFERROR(VLOOKUP($G218,融外自投!$A:$J,8,0),"無")</f>
        <v>無</v>
      </c>
      <c r="S218" s="81" t="str">
        <f>IFERROR(VLOOKUP($G218,融外自投!$A:$J,10,0),"無")</f>
        <v>無</v>
      </c>
      <c r="T218" s="327" t="str">
        <f>IFERROR(VLOOKUP($G218,'321買'!$A:$E,5,0),"'沒有資料'")</f>
        <v>'沒有資料'</v>
      </c>
      <c r="U218" s="186">
        <f>IFERROR(VLOOKUP($G218,基本資料!$A:$J,9,0),"無")</f>
        <v>0</v>
      </c>
      <c r="V218" s="310">
        <f t="shared" si="109"/>
        <v>0</v>
      </c>
      <c r="W218" s="94">
        <f>IFERROR(VLOOKUP($G218,基本資料!$A:$J,10,0),"無")</f>
        <v>0.19</v>
      </c>
      <c r="X218" s="36">
        <v>21.5</v>
      </c>
      <c r="Y218" s="66">
        <v>10</v>
      </c>
      <c r="Z218" s="15">
        <f t="shared" si="111"/>
        <v>11.5</v>
      </c>
      <c r="AA218" s="148">
        <f t="shared" si="112"/>
        <v>1.1499999999999999</v>
      </c>
      <c r="AB218" s="99" t="s">
        <v>1651</v>
      </c>
      <c r="AC218" s="397">
        <f>IFERROR(VLOOKUP($G218,基本資料!$A:$M,12,0),"無")</f>
        <v>86.13</v>
      </c>
      <c r="AD218" s="16" t="s">
        <v>369</v>
      </c>
      <c r="AE218" s="84">
        <v>44272</v>
      </c>
      <c r="AF218" s="86">
        <v>44284</v>
      </c>
      <c r="AG218" s="33">
        <f t="shared" si="110"/>
        <v>12</v>
      </c>
      <c r="AH218" s="43" t="s">
        <v>2361</v>
      </c>
      <c r="AI218" s="259"/>
      <c r="AK218" s="245"/>
      <c r="AL218" s="245"/>
    </row>
    <row r="219" spans="1:40">
      <c r="A219" s="347">
        <f>IFERROR(VLOOKUP($G219,基本資料!$A:$J,3,0),"無")</f>
        <v>15.41</v>
      </c>
      <c r="B219" s="79">
        <f>IFERROR(VLOOKUP($G219,基本資料!$A:$J,4,0),"無")</f>
        <v>-390</v>
      </c>
      <c r="C219" s="79">
        <f>IFERROR(VLOOKUP($G219,基本資料!$A:$J,5,0),"無")</f>
        <v>-341</v>
      </c>
      <c r="D219" s="79">
        <f>IFERROR(VLOOKUP($G219,基本資料!$A:$J,6,0),"無")</f>
        <v>146</v>
      </c>
      <c r="E219" s="79">
        <f>IFERROR(VLOOKUP($G219,基本資料!$A:$J,7,0),"無")</f>
        <v>67</v>
      </c>
      <c r="F219" s="6">
        <f>IFERROR(VLOOKUP($G219,基本資料!$A:$J,8,0),"無")</f>
        <v>-11.02</v>
      </c>
      <c r="G219" s="79">
        <v>4726</v>
      </c>
      <c r="H219" s="8" t="s">
        <v>4726</v>
      </c>
      <c r="I219" s="16" t="s">
        <v>3800</v>
      </c>
      <c r="J219" s="8" t="str">
        <f>IFERROR(VLOOKUP($G219,今日總結!$A:$AJ,35,0),"")</f>
        <v/>
      </c>
      <c r="K219" s="5" t="str">
        <f>IFERROR(VLOOKUP($G219,今日總結!$A:$AJ,36,0),"")</f>
        <v/>
      </c>
      <c r="L219" s="156" t="str">
        <f>IFERROR(VLOOKUP($G219,今日總結!$A:$AJ,33,0),"")</f>
        <v/>
      </c>
      <c r="M219" s="340" t="str">
        <f>IFERROR(VLOOKUP($G219,今日總結!$A:$AJ,34,0),"")</f>
        <v/>
      </c>
      <c r="N219" s="240" t="str">
        <f t="shared" si="108"/>
        <v/>
      </c>
      <c r="P219" s="365" t="str">
        <f>IFERROR(VLOOKUP($G219,融外自投!$A:$J,7,0),"無")</f>
        <v>無</v>
      </c>
      <c r="Q219" s="79" t="str">
        <f>IFERROR(VLOOKUP($G219,融外自投!$A:$J,9,0),"無")</f>
        <v>無</v>
      </c>
      <c r="R219" s="346" t="str">
        <f>IFERROR(VLOOKUP($G219,融外自投!$A:$J,8,0),"無")</f>
        <v>無</v>
      </c>
      <c r="S219" s="81" t="str">
        <f>IFERROR(VLOOKUP($G219,融外自投!$A:$J,10,0),"無")</f>
        <v>無</v>
      </c>
      <c r="T219" s="327" t="str">
        <f>IFERROR(VLOOKUP($G219,'321買'!$A:$E,5,0),"'沒有資料'")</f>
        <v>'沒有資料'</v>
      </c>
      <c r="U219" s="186">
        <f>IFERROR(VLOOKUP($G219,基本資料!$A:$J,9,0),"無")</f>
        <v>0</v>
      </c>
      <c r="V219" s="310">
        <f t="shared" si="109"/>
        <v>0</v>
      </c>
      <c r="W219" s="94">
        <f>IFERROR(VLOOKUP($G219,基本資料!$A:$J,10,0),"無")</f>
        <v>-0.61</v>
      </c>
      <c r="X219" s="36">
        <v>34.65</v>
      </c>
      <c r="Y219" s="66">
        <v>30.5</v>
      </c>
      <c r="Z219" s="15">
        <f t="shared" si="111"/>
        <v>4.1499999999999986</v>
      </c>
      <c r="AA219" s="63">
        <f t="shared" si="112"/>
        <v>0.13606557377049175</v>
      </c>
      <c r="AB219" s="99" t="s">
        <v>3071</v>
      </c>
      <c r="AC219" s="397">
        <f>IFERROR(VLOOKUP($G219,基本資料!$A:$M,12,0),"無")</f>
        <v>15.09</v>
      </c>
      <c r="AD219" s="16" t="s">
        <v>616</v>
      </c>
      <c r="AE219" s="84">
        <v>44271</v>
      </c>
      <c r="AF219" s="86">
        <v>44281</v>
      </c>
      <c r="AG219" s="33">
        <f t="shared" si="110"/>
        <v>10</v>
      </c>
      <c r="AH219" s="43" t="s">
        <v>2982</v>
      </c>
      <c r="AI219" s="259"/>
      <c r="AK219" s="245"/>
      <c r="AL219" s="245"/>
    </row>
    <row r="220" spans="1:40">
      <c r="A220" s="347">
        <f>IFERROR(VLOOKUP($G220,基本資料!$A:$J,3,0),"無")</f>
        <v>7.35</v>
      </c>
      <c r="B220" s="79">
        <f>IFERROR(VLOOKUP($G220,基本資料!$A:$J,4,0),"無")</f>
        <v>191</v>
      </c>
      <c r="C220" s="79">
        <f>IFERROR(VLOOKUP($G220,基本資料!$A:$J,5,0),"無")</f>
        <v>178</v>
      </c>
      <c r="D220" s="79">
        <f>IFERROR(VLOOKUP($G220,基本資料!$A:$J,6,0),"無")</f>
        <v>0</v>
      </c>
      <c r="E220" s="79">
        <f>IFERROR(VLOOKUP($G220,基本資料!$A:$J,7,0),"無")</f>
        <v>49</v>
      </c>
      <c r="F220" s="6">
        <f>IFERROR(VLOOKUP($G220,基本資料!$A:$J,8,0),"無")</f>
        <v>21.45</v>
      </c>
      <c r="G220" s="79">
        <v>6706</v>
      </c>
      <c r="H220" s="8" t="s">
        <v>306</v>
      </c>
      <c r="I220" s="22" t="s">
        <v>1742</v>
      </c>
      <c r="J220" s="8">
        <f>IFERROR(VLOOKUP($G220,今日總結!$A:$AJ,35,0),"")</f>
        <v>0</v>
      </c>
      <c r="K220" s="5">
        <f>IFERROR(VLOOKUP($G220,今日總結!$A:$AJ,36,0),"")</f>
        <v>0</v>
      </c>
      <c r="L220" s="156">
        <f>IFERROR(VLOOKUP($G220,今日總結!$A:$AJ,33,0),"")</f>
        <v>0</v>
      </c>
      <c r="M220" s="340">
        <f>IFERROR(VLOOKUP($G220,今日總結!$A:$AJ,34,0),"")</f>
        <v>1</v>
      </c>
      <c r="N220" s="240">
        <f t="shared" si="108"/>
        <v>-1</v>
      </c>
      <c r="P220" s="365">
        <f>IFERROR(VLOOKUP($G220,融外自投!$A:$J,7,0),"無")</f>
        <v>105</v>
      </c>
      <c r="Q220" s="79">
        <f>IFERROR(VLOOKUP($G220,融外自投!$A:$J,9,0),"無")</f>
        <v>550</v>
      </c>
      <c r="R220" s="346">
        <f>IFERROR(VLOOKUP($G220,融外自投!$A:$J,8,0),"無")</f>
        <v>461</v>
      </c>
      <c r="S220" s="81" t="str">
        <f>IFERROR(VLOOKUP($G220,融外自投!$A:$J,10,0),"無")</f>
        <v>無</v>
      </c>
      <c r="T220" s="327">
        <f>IFERROR(VLOOKUP($G220,'321買'!$A:$E,5,0),"'沒有資料'")</f>
        <v>52</v>
      </c>
      <c r="U220" s="186">
        <f>IFERROR(VLOOKUP($G220,基本資料!$A:$J,9,0),"無")</f>
        <v>10</v>
      </c>
      <c r="V220" s="310">
        <f t="shared" si="109"/>
        <v>5.9171597633136092E-2</v>
      </c>
      <c r="W220" s="94">
        <f>IFERROR(VLOOKUP($G220,基本資料!$A:$J,10,0),"無")</f>
        <v>13.98</v>
      </c>
      <c r="X220" s="36">
        <v>169</v>
      </c>
      <c r="Y220" s="45">
        <v>126</v>
      </c>
      <c r="Z220" s="15">
        <f t="shared" si="111"/>
        <v>43</v>
      </c>
      <c r="AA220" s="63">
        <f t="shared" si="112"/>
        <v>0.34126984126984128</v>
      </c>
      <c r="AB220" s="99" t="s">
        <v>3070</v>
      </c>
      <c r="AC220" s="397">
        <f>IFERROR(VLOOKUP($G220,基本資料!$A:$M,12,0),"無")</f>
        <v>16.41</v>
      </c>
      <c r="AD220" s="22" t="s">
        <v>1742</v>
      </c>
      <c r="AE220" s="84">
        <v>44265</v>
      </c>
      <c r="AF220" s="86">
        <v>44277</v>
      </c>
      <c r="AG220" s="33">
        <f t="shared" si="110"/>
        <v>12</v>
      </c>
      <c r="AH220" s="119" t="s">
        <v>1865</v>
      </c>
      <c r="AI220" s="259"/>
      <c r="AK220" s="245"/>
      <c r="AL220" s="245"/>
      <c r="AN220" s="23"/>
    </row>
    <row r="221" spans="1:40">
      <c r="A221" s="347">
        <f>IFERROR(VLOOKUP($G221,基本資料!$A:$J,3,0),"無")</f>
        <v>8.56</v>
      </c>
      <c r="B221" s="79">
        <f>IFERROR(VLOOKUP($G221,基本資料!$A:$J,4,0),"無")</f>
        <v>12</v>
      </c>
      <c r="C221" s="79">
        <f>IFERROR(VLOOKUP($G221,基本資料!$A:$J,5,0),"無")</f>
        <v>19</v>
      </c>
      <c r="D221" s="79">
        <f>IFERROR(VLOOKUP($G221,基本資料!$A:$J,6,0),"無")</f>
        <v>18</v>
      </c>
      <c r="E221" s="79">
        <f>IFERROR(VLOOKUP($G221,基本資料!$A:$J,7,0),"無")</f>
        <v>49</v>
      </c>
      <c r="F221" s="6">
        <f>IFERROR(VLOOKUP($G221,基本資料!$A:$J,8,0),"無")</f>
        <v>16.41</v>
      </c>
      <c r="G221" s="79">
        <v>6224</v>
      </c>
      <c r="H221" s="195" t="s">
        <v>3389</v>
      </c>
      <c r="I221" s="22" t="s">
        <v>230</v>
      </c>
      <c r="J221" s="8" t="str">
        <f>IFERROR(VLOOKUP($G221,今日總結!$A:$AJ,35,0),"")</f>
        <v/>
      </c>
      <c r="K221" s="5" t="str">
        <f>IFERROR(VLOOKUP($G221,今日總結!$A:$AJ,36,0),"")</f>
        <v/>
      </c>
      <c r="L221" s="156" t="str">
        <f>IFERROR(VLOOKUP($G221,今日總結!$A:$AJ,33,0),"")</f>
        <v/>
      </c>
      <c r="M221" s="340" t="str">
        <f>IFERROR(VLOOKUP($G221,今日總結!$A:$AJ,34,0),"")</f>
        <v/>
      </c>
      <c r="N221" s="240" t="str">
        <f t="shared" si="108"/>
        <v/>
      </c>
      <c r="P221" s="365">
        <f>IFERROR(VLOOKUP($G221,融外自投!$A:$J,7,0),"無")</f>
        <v>518</v>
      </c>
      <c r="Q221" s="79">
        <f>IFERROR(VLOOKUP($G221,融外自投!$A:$J,9,0),"無")</f>
        <v>936</v>
      </c>
      <c r="R221" s="346">
        <f>IFERROR(VLOOKUP($G221,融外自投!$A:$J,8,0),"無")</f>
        <v>575</v>
      </c>
      <c r="S221" s="81" t="str">
        <f>IFERROR(VLOOKUP($G221,融外自投!$A:$J,10,0),"無")</f>
        <v>無</v>
      </c>
      <c r="T221" s="327">
        <f>IFERROR(VLOOKUP($G221,'321買'!$A:$E,5,0),"'沒有資料'")</f>
        <v>752</v>
      </c>
      <c r="U221" s="186">
        <f>IFERROR(VLOOKUP($G221,基本資料!$A:$J,9,0),"無")</f>
        <v>4.25</v>
      </c>
      <c r="V221" s="310">
        <f t="shared" si="109"/>
        <v>3.6016949152542374E-2</v>
      </c>
      <c r="W221" s="94">
        <f>IFERROR(VLOOKUP($G221,基本資料!$A:$J,10,0),"無")</f>
        <v>6.02</v>
      </c>
      <c r="X221" s="36">
        <v>118</v>
      </c>
      <c r="Y221" s="45">
        <v>68</v>
      </c>
      <c r="Z221" s="15">
        <f t="shared" si="111"/>
        <v>50</v>
      </c>
      <c r="AA221" s="63">
        <f t="shared" si="112"/>
        <v>0.73529411764705888</v>
      </c>
      <c r="AB221" s="99" t="s">
        <v>2945</v>
      </c>
      <c r="AC221" s="397">
        <f>IFERROR(VLOOKUP($G221,基本資料!$A:$M,12,0),"無")</f>
        <v>9.9700000000000006</v>
      </c>
      <c r="AD221" s="22" t="s">
        <v>230</v>
      </c>
      <c r="AE221" s="84">
        <v>44232</v>
      </c>
      <c r="AF221" s="86">
        <v>44244</v>
      </c>
      <c r="AG221" s="33">
        <f t="shared" si="110"/>
        <v>12</v>
      </c>
      <c r="AH221" s="119" t="s">
        <v>2545</v>
      </c>
      <c r="AI221" s="259"/>
      <c r="AK221" s="245"/>
      <c r="AL221" s="245"/>
      <c r="AN221" s="23"/>
    </row>
    <row r="222" spans="1:40" ht="16.5" customHeight="1">
      <c r="A222" s="347">
        <f>IFERROR(VLOOKUP($G222,基本資料!$A:$J,3,0),"無")</f>
        <v>8.4499999999999993</v>
      </c>
      <c r="B222" s="79">
        <f>IFERROR(VLOOKUP($G222,基本資料!$A:$J,4,0),"無")</f>
        <v>68</v>
      </c>
      <c r="C222" s="79">
        <f>IFERROR(VLOOKUP($G222,基本資料!$A:$J,5,0),"無")</f>
        <v>-3</v>
      </c>
      <c r="D222" s="79">
        <f>IFERROR(VLOOKUP($G222,基本資料!$A:$J,6,0),"無")</f>
        <v>26</v>
      </c>
      <c r="E222" s="79">
        <f>IFERROR(VLOOKUP($G222,基本資料!$A:$J,7,0),"無")</f>
        <v>89</v>
      </c>
      <c r="F222" s="6">
        <f>IFERROR(VLOOKUP($G222,基本資料!$A:$J,8,0),"無")</f>
        <v>-55.66</v>
      </c>
      <c r="G222" s="80">
        <v>2718</v>
      </c>
      <c r="H222" s="5" t="s">
        <v>303</v>
      </c>
      <c r="I222" s="16" t="s">
        <v>961</v>
      </c>
      <c r="J222" s="8" t="str">
        <f>IFERROR(VLOOKUP($G222,今日總結!$A:$AJ,35,0),"")</f>
        <v/>
      </c>
      <c r="K222" s="5" t="str">
        <f>IFERROR(VLOOKUP($G222,今日總結!$A:$AJ,36,0),"")</f>
        <v/>
      </c>
      <c r="L222" s="156" t="str">
        <f>IFERROR(VLOOKUP($G222,今日總結!$A:$AJ,33,0),"")</f>
        <v/>
      </c>
      <c r="M222" s="340" t="str">
        <f>IFERROR(VLOOKUP($G222,今日總結!$A:$AJ,34,0),"")</f>
        <v/>
      </c>
      <c r="N222" s="240" t="str">
        <f t="shared" si="108"/>
        <v/>
      </c>
      <c r="P222" s="365" t="str">
        <f>IFERROR(VLOOKUP($G222,融外自投!$A:$J,7,0),"無")</f>
        <v>無</v>
      </c>
      <c r="Q222" s="79" t="str">
        <f>IFERROR(VLOOKUP($G222,融外自投!$A:$J,9,0),"無")</f>
        <v>無</v>
      </c>
      <c r="R222" s="346" t="str">
        <f>IFERROR(VLOOKUP($G222,融外自投!$A:$J,8,0),"無")</f>
        <v>無</v>
      </c>
      <c r="S222" s="81" t="str">
        <f>IFERROR(VLOOKUP($G222,融外自投!$A:$J,10,0),"無")</f>
        <v>無</v>
      </c>
      <c r="T222" s="327" t="str">
        <f>IFERROR(VLOOKUP($G222,'321買'!$A:$E,5,0),"'沒有資料'")</f>
        <v>'沒有資料'</v>
      </c>
      <c r="U222" s="186">
        <f>IFERROR(VLOOKUP($G222,基本資料!$A:$J,9,0),"無")</f>
        <v>0</v>
      </c>
      <c r="V222" s="310">
        <f t="shared" si="109"/>
        <v>0</v>
      </c>
      <c r="W222" s="94">
        <f>IFERROR(VLOOKUP($G222,基本資料!$A:$J,10,0),"無")</f>
        <v>-0.55000000000000004</v>
      </c>
      <c r="X222" s="36">
        <v>17.850000000000001</v>
      </c>
      <c r="Y222" s="66">
        <v>17</v>
      </c>
      <c r="Z222" s="15">
        <f t="shared" si="111"/>
        <v>0.85000000000000142</v>
      </c>
      <c r="AA222" s="63">
        <f t="shared" si="112"/>
        <v>5.0000000000000086E-2</v>
      </c>
      <c r="AB222" s="99" t="s">
        <v>2944</v>
      </c>
      <c r="AC222" s="397">
        <f>IFERROR(VLOOKUP($G222,基本資料!$A:$M,12,0),"無")</f>
        <v>32.46</v>
      </c>
      <c r="AD222" s="16" t="s">
        <v>961</v>
      </c>
      <c r="AE222" s="84">
        <v>44232</v>
      </c>
      <c r="AF222" s="86">
        <v>44244</v>
      </c>
      <c r="AG222" s="33">
        <f t="shared" si="110"/>
        <v>12</v>
      </c>
      <c r="AH222" s="43" t="s">
        <v>2544</v>
      </c>
      <c r="AI222" s="259"/>
      <c r="AK222" s="245"/>
      <c r="AL222" s="245"/>
    </row>
    <row r="223" spans="1:40">
      <c r="A223" s="347">
        <f>IFERROR(VLOOKUP($G223,基本資料!$A:$J,3,0),"無")</f>
        <v>27.95</v>
      </c>
      <c r="B223" s="79">
        <f>IFERROR(VLOOKUP($G223,基本資料!$A:$J,4,0),"無")</f>
        <v>19</v>
      </c>
      <c r="C223" s="79">
        <f>IFERROR(VLOOKUP($G223,基本資料!$A:$J,5,0),"無")</f>
        <v>13</v>
      </c>
      <c r="D223" s="79">
        <f>IFERROR(VLOOKUP($G223,基本資料!$A:$J,6,0),"無")</f>
        <v>1</v>
      </c>
      <c r="E223" s="79">
        <f>IFERROR(VLOOKUP($G223,基本資料!$A:$J,7,0),"無")</f>
        <v>13</v>
      </c>
      <c r="F223" s="6">
        <f>IFERROR(VLOOKUP($G223,基本資料!$A:$J,8,0),"無")</f>
        <v>6.75</v>
      </c>
      <c r="G223" s="79">
        <v>1536</v>
      </c>
      <c r="H223" s="5" t="s">
        <v>301</v>
      </c>
      <c r="I223" s="22" t="s">
        <v>126</v>
      </c>
      <c r="J223" s="8" t="str">
        <f>IFERROR(VLOOKUP($G223,今日總結!$A:$AJ,35,0),"")</f>
        <v>外</v>
      </c>
      <c r="K223" s="5">
        <f>IFERROR(VLOOKUP($G223,今日總結!$A:$AJ,36,0),"")</f>
        <v>0</v>
      </c>
      <c r="L223" s="156">
        <f>IFERROR(VLOOKUP($G223,今日總結!$A:$AJ,33,0),"")</f>
        <v>1</v>
      </c>
      <c r="M223" s="340">
        <f>IFERROR(VLOOKUP($G223,今日總結!$A:$AJ,34,0),"")</f>
        <v>0</v>
      </c>
      <c r="N223" s="240">
        <f t="shared" si="108"/>
        <v>1</v>
      </c>
      <c r="P223" s="365">
        <f>IFERROR(VLOOKUP($G223,融外自投!$A:$J,7,0),"無")</f>
        <v>736</v>
      </c>
      <c r="Q223" s="79">
        <f>IFERROR(VLOOKUP($G223,融外自投!$A:$J,9,0),"無")</f>
        <v>329</v>
      </c>
      <c r="R223" s="346">
        <f>IFERROR(VLOOKUP($G223,融外自投!$A:$J,8,0),"無")</f>
        <v>446</v>
      </c>
      <c r="S223" s="81">
        <f>IFERROR(VLOOKUP($G223,融外自投!$A:$J,10,0),"無")</f>
        <v>491</v>
      </c>
      <c r="T223" s="327">
        <f>IFERROR(VLOOKUP($G223,'321買'!$A:$E,5,0),"'沒有資料'")</f>
        <v>237</v>
      </c>
      <c r="U223" s="186">
        <f>IFERROR(VLOOKUP($G223,基本資料!$A:$J,9,0),"無")</f>
        <v>1.36</v>
      </c>
      <c r="V223" s="310">
        <f t="shared" si="109"/>
        <v>1.1333333333333334E-2</v>
      </c>
      <c r="W223" s="94">
        <f>IFERROR(VLOOKUP($G223,基本資料!$A:$J,10,0),"無")</f>
        <v>1.23</v>
      </c>
      <c r="X223" s="36">
        <v>120</v>
      </c>
      <c r="Y223" s="66">
        <v>90</v>
      </c>
      <c r="Z223" s="15">
        <f t="shared" si="111"/>
        <v>30</v>
      </c>
      <c r="AA223" s="63">
        <f t="shared" si="112"/>
        <v>0.33333333333333331</v>
      </c>
      <c r="AB223" s="99" t="s">
        <v>2941</v>
      </c>
      <c r="AC223" s="397">
        <f>IFERROR(VLOOKUP($G223,基本資料!$A:$M,12,0),"無")</f>
        <v>28.31</v>
      </c>
      <c r="AD223" s="22" t="s">
        <v>126</v>
      </c>
      <c r="AE223" s="84">
        <v>44231</v>
      </c>
      <c r="AF223" s="86">
        <v>44244</v>
      </c>
      <c r="AG223" s="33">
        <f t="shared" si="110"/>
        <v>13</v>
      </c>
      <c r="AH223" s="117" t="s">
        <v>2321</v>
      </c>
      <c r="AI223" s="259"/>
      <c r="AK223" s="245"/>
      <c r="AL223" s="245"/>
    </row>
    <row r="224" spans="1:40">
      <c r="A224" s="347">
        <f>IFERROR(VLOOKUP($G224,基本資料!$A:$J,3,0),"無")</f>
        <v>19.86</v>
      </c>
      <c r="B224" s="79">
        <f>IFERROR(VLOOKUP($G224,基本資料!$A:$J,4,0),"無")</f>
        <v>19</v>
      </c>
      <c r="C224" s="79">
        <f>IFERROR(VLOOKUP($G224,基本資料!$A:$J,5,0),"無")</f>
        <v>22</v>
      </c>
      <c r="D224" s="79">
        <f>IFERROR(VLOOKUP($G224,基本資料!$A:$J,6,0),"無")</f>
        <v>-24</v>
      </c>
      <c r="E224" s="79">
        <f>IFERROR(VLOOKUP($G224,基本資料!$A:$J,7,0),"無")</f>
        <v>-43</v>
      </c>
      <c r="F224" s="6">
        <f>IFERROR(VLOOKUP($G224,基本資料!$A:$J,8,0),"無")</f>
        <v>-78.2</v>
      </c>
      <c r="G224" s="80">
        <v>4108</v>
      </c>
      <c r="H224" s="193" t="s">
        <v>4726</v>
      </c>
      <c r="I224" s="22" t="s">
        <v>3727</v>
      </c>
      <c r="J224" s="8" t="str">
        <f>IFERROR(VLOOKUP($G224,今日總結!$A:$AJ,35,0),"")</f>
        <v/>
      </c>
      <c r="K224" s="5" t="str">
        <f>IFERROR(VLOOKUP($G224,今日總結!$A:$AJ,36,0),"")</f>
        <v/>
      </c>
      <c r="L224" s="156" t="str">
        <f>IFERROR(VLOOKUP($G224,今日總結!$A:$AJ,33,0),"")</f>
        <v/>
      </c>
      <c r="M224" s="340" t="str">
        <f>IFERROR(VLOOKUP($G224,今日總結!$A:$AJ,34,0),"")</f>
        <v/>
      </c>
      <c r="N224" s="240" t="str">
        <f t="shared" si="108"/>
        <v/>
      </c>
      <c r="P224" s="365" t="str">
        <f>IFERROR(VLOOKUP($G224,融外自投!$A:$J,7,0),"無")</f>
        <v>無</v>
      </c>
      <c r="Q224" s="79" t="str">
        <f>IFERROR(VLOOKUP($G224,融外自投!$A:$J,9,0),"無")</f>
        <v>無</v>
      </c>
      <c r="R224" s="346" t="str">
        <f>IFERROR(VLOOKUP($G224,融外自投!$A:$J,8,0),"無")</f>
        <v>無</v>
      </c>
      <c r="S224" s="81" t="str">
        <f>IFERROR(VLOOKUP($G224,融外自投!$A:$J,10,0),"無")</f>
        <v>無</v>
      </c>
      <c r="T224" s="327">
        <f>IFERROR(VLOOKUP($G224,'321買'!$A:$E,5,0),"'沒有資料'")</f>
        <v>683</v>
      </c>
      <c r="U224" s="186">
        <f>IFERROR(VLOOKUP($G224,基本資料!$A:$J,9,0),"無")</f>
        <v>0</v>
      </c>
      <c r="V224" s="310">
        <f t="shared" si="109"/>
        <v>0</v>
      </c>
      <c r="W224" s="94">
        <f>IFERROR(VLOOKUP($G224,基本資料!$A:$J,10,0),"無")</f>
        <v>-0.4</v>
      </c>
      <c r="X224" s="36">
        <v>24.75</v>
      </c>
      <c r="Y224" s="66">
        <v>20</v>
      </c>
      <c r="Z224" s="15">
        <f t="shared" si="111"/>
        <v>4.75</v>
      </c>
      <c r="AA224" s="63">
        <f t="shared" si="112"/>
        <v>0.23749999999999999</v>
      </c>
      <c r="AB224" s="99" t="s">
        <v>859</v>
      </c>
      <c r="AC224" s="397">
        <f>IFERROR(VLOOKUP($G224,基本資料!$A:$M,12,0),"無")</f>
        <v>24.67</v>
      </c>
      <c r="AD224" s="22" t="s">
        <v>631</v>
      </c>
      <c r="AE224" s="84">
        <v>44230</v>
      </c>
      <c r="AF224" s="86">
        <v>44244</v>
      </c>
      <c r="AG224" s="33">
        <f t="shared" si="110"/>
        <v>14</v>
      </c>
      <c r="AH224" s="43" t="s">
        <v>2338</v>
      </c>
      <c r="AI224" s="259"/>
      <c r="AK224" s="245"/>
      <c r="AL224" s="245"/>
    </row>
    <row r="225" spans="1:39">
      <c r="A225" s="347">
        <f>IFERROR(VLOOKUP($G225,基本資料!$A:$J,3,0),"無")</f>
        <v>59.36</v>
      </c>
      <c r="B225" s="79">
        <f>IFERROR(VLOOKUP($G225,基本資料!$A:$J,4,0),"無")</f>
        <v>48</v>
      </c>
      <c r="C225" s="79">
        <f>IFERROR(VLOOKUP($G225,基本資料!$A:$J,5,0),"無")</f>
        <v>1</v>
      </c>
      <c r="D225" s="79">
        <f>IFERROR(VLOOKUP($G225,基本資料!$A:$J,6,0),"無")</f>
        <v>69</v>
      </c>
      <c r="E225" s="79">
        <f>IFERROR(VLOOKUP($G225,基本資料!$A:$J,7,0),"無")</f>
        <v>22</v>
      </c>
      <c r="F225" s="6">
        <f>IFERROR(VLOOKUP($G225,基本資料!$A:$J,8,0),"無")</f>
        <v>5.16</v>
      </c>
      <c r="G225" s="80">
        <v>1785</v>
      </c>
      <c r="H225" s="8" t="s">
        <v>314</v>
      </c>
      <c r="I225" s="16" t="s">
        <v>305</v>
      </c>
      <c r="J225" s="8" t="str">
        <f>IFERROR(VLOOKUP($G225,今日總結!$A:$AJ,35,0),"")</f>
        <v/>
      </c>
      <c r="K225" s="5" t="str">
        <f>IFERROR(VLOOKUP($G225,今日總結!$A:$AJ,36,0),"")</f>
        <v/>
      </c>
      <c r="L225" s="156" t="str">
        <f>IFERROR(VLOOKUP($G225,今日總結!$A:$AJ,33,0),"")</f>
        <v/>
      </c>
      <c r="M225" s="340" t="str">
        <f>IFERROR(VLOOKUP($G225,今日總結!$A:$AJ,34,0),"")</f>
        <v/>
      </c>
      <c r="N225" s="240" t="str">
        <f t="shared" si="108"/>
        <v/>
      </c>
      <c r="P225" s="365">
        <f>IFERROR(VLOOKUP($G225,融外自投!$A:$J,7,0),"無")</f>
        <v>314</v>
      </c>
      <c r="Q225" s="79">
        <f>IFERROR(VLOOKUP($G225,融外自投!$A:$J,9,0),"無")</f>
        <v>978</v>
      </c>
      <c r="R225" s="346">
        <f>IFERROR(VLOOKUP($G225,融外自投!$A:$J,8,0),"無")</f>
        <v>625</v>
      </c>
      <c r="S225" s="81">
        <f>IFERROR(VLOOKUP($G225,融外自投!$A:$J,10,0),"無")</f>
        <v>416</v>
      </c>
      <c r="T225" s="327">
        <f>IFERROR(VLOOKUP($G225,'321買'!$A:$E,5,0),"'沒有資料'")</f>
        <v>292</v>
      </c>
      <c r="U225" s="186">
        <f>IFERROR(VLOOKUP($G225,基本資料!$A:$J,9,0),"無")</f>
        <v>1.5</v>
      </c>
      <c r="V225" s="310">
        <f t="shared" si="109"/>
        <v>3.3112582781456956E-2</v>
      </c>
      <c r="W225" s="94">
        <f>IFERROR(VLOOKUP($G225,基本資料!$A:$J,10,0),"無")</f>
        <v>2.15</v>
      </c>
      <c r="X225" s="36">
        <v>45.3</v>
      </c>
      <c r="Y225" s="66">
        <v>36</v>
      </c>
      <c r="Z225" s="15">
        <f t="shared" si="111"/>
        <v>9.2999999999999972</v>
      </c>
      <c r="AA225" s="63">
        <f t="shared" si="112"/>
        <v>0.25833333333333325</v>
      </c>
      <c r="AB225" s="99" t="s">
        <v>941</v>
      </c>
      <c r="AC225" s="397">
        <f>IFERROR(VLOOKUP($G225,基本資料!$A:$M,12,0),"無")</f>
        <v>29.08</v>
      </c>
      <c r="AD225" s="16" t="s">
        <v>305</v>
      </c>
      <c r="AE225" s="84">
        <v>44229</v>
      </c>
      <c r="AF225" s="86">
        <v>44244</v>
      </c>
      <c r="AG225" s="33">
        <f t="shared" si="110"/>
        <v>15</v>
      </c>
      <c r="AH225" s="43" t="s">
        <v>2267</v>
      </c>
      <c r="AI225" s="259"/>
      <c r="AK225" s="245"/>
      <c r="AL225" s="245"/>
    </row>
    <row r="226" spans="1:39">
      <c r="A226" s="347">
        <f>IFERROR(VLOOKUP($G226,基本資料!$A:$J,3,0),"無")</f>
        <v>3.29</v>
      </c>
      <c r="B226" s="79">
        <f>IFERROR(VLOOKUP($G226,基本資料!$A:$J,4,0),"無")</f>
        <v>112</v>
      </c>
      <c r="C226" s="79">
        <f>IFERROR(VLOOKUP($G226,基本資料!$A:$J,5,0),"無")</f>
        <v>94</v>
      </c>
      <c r="D226" s="79">
        <f>IFERROR(VLOOKUP($G226,基本資料!$A:$J,6,0),"無")</f>
        <v>-14</v>
      </c>
      <c r="E226" s="79">
        <f>IFERROR(VLOOKUP($G226,基本資料!$A:$J,7,0),"無")</f>
        <v>0</v>
      </c>
      <c r="F226" s="6">
        <f>IFERROR(VLOOKUP($G226,基本資料!$A:$J,8,0),"無")</f>
        <v>19.71</v>
      </c>
      <c r="G226" s="79">
        <v>6651</v>
      </c>
      <c r="H226" s="192" t="s">
        <v>3039</v>
      </c>
      <c r="I226" s="16" t="s">
        <v>2337</v>
      </c>
      <c r="J226" s="8" t="str">
        <f>IFERROR(VLOOKUP($G226,今日總結!$A:$AJ,35,0),"")</f>
        <v/>
      </c>
      <c r="K226" s="5" t="str">
        <f>IFERROR(VLOOKUP($G226,今日總結!$A:$AJ,36,0),"")</f>
        <v/>
      </c>
      <c r="L226" s="156" t="str">
        <f>IFERROR(VLOOKUP($G226,今日總結!$A:$AJ,33,0),"")</f>
        <v/>
      </c>
      <c r="M226" s="340" t="str">
        <f>IFERROR(VLOOKUP($G226,今日總結!$A:$AJ,34,0),"")</f>
        <v/>
      </c>
      <c r="N226" s="240" t="str">
        <f t="shared" si="108"/>
        <v/>
      </c>
      <c r="P226" s="365">
        <f>IFERROR(VLOOKUP($G226,融外自投!$A:$J,7,0),"無")</f>
        <v>789</v>
      </c>
      <c r="Q226" s="79" t="str">
        <f>IFERROR(VLOOKUP($G226,融外自投!$A:$J,9,0),"無")</f>
        <v>無</v>
      </c>
      <c r="R226" s="346">
        <f>IFERROR(VLOOKUP($G226,融外自投!$A:$J,8,0),"無")</f>
        <v>1295</v>
      </c>
      <c r="S226" s="81" t="str">
        <f>IFERROR(VLOOKUP($G226,融外自投!$A:$J,10,0),"無")</f>
        <v>無</v>
      </c>
      <c r="T226" s="327">
        <f>IFERROR(VLOOKUP($G226,'321買'!$A:$E,5,0),"'沒有資料'")</f>
        <v>827</v>
      </c>
      <c r="U226" s="186">
        <f>IFERROR(VLOOKUP($G226,基本資料!$A:$J,9,0),"無")</f>
        <v>4.5</v>
      </c>
      <c r="V226" s="310">
        <f t="shared" si="109"/>
        <v>4.7021943573667707E-2</v>
      </c>
      <c r="W226" s="94">
        <f>IFERROR(VLOOKUP($G226,基本資料!$A:$J,10,0),"無")</f>
        <v>7.77</v>
      </c>
      <c r="X226" s="36">
        <v>95.7</v>
      </c>
      <c r="Y226" s="66">
        <v>50.6</v>
      </c>
      <c r="Z226" s="15">
        <f t="shared" si="111"/>
        <v>45.1</v>
      </c>
      <c r="AA226" s="63">
        <f t="shared" si="112"/>
        <v>0.89130434782608692</v>
      </c>
      <c r="AB226" s="99" t="s">
        <v>2937</v>
      </c>
      <c r="AC226" s="397">
        <f>IFERROR(VLOOKUP($G226,基本資料!$A:$M,12,0),"無")</f>
        <v>27.4</v>
      </c>
      <c r="AD226" s="16" t="s">
        <v>2337</v>
      </c>
      <c r="AE226" s="84">
        <v>44228</v>
      </c>
      <c r="AF226" s="86">
        <v>44244</v>
      </c>
      <c r="AG226" s="33">
        <f t="shared" si="110"/>
        <v>16</v>
      </c>
      <c r="AH226" s="43" t="s">
        <v>2176</v>
      </c>
      <c r="AI226" s="259"/>
      <c r="AK226" s="245"/>
      <c r="AL226" s="245"/>
    </row>
    <row r="227" spans="1:39">
      <c r="A227" s="347">
        <f>IFERROR(VLOOKUP($G227,基本資料!$A:$J,3,0),"無")</f>
        <v>10.3</v>
      </c>
      <c r="B227" s="79">
        <f>IFERROR(VLOOKUP($G227,基本資料!$A:$J,4,0),"無")</f>
        <v>0</v>
      </c>
      <c r="C227" s="79">
        <f>IFERROR(VLOOKUP($G227,基本資料!$A:$J,5,0),"無")</f>
        <v>-22</v>
      </c>
      <c r="D227" s="79">
        <f>IFERROR(VLOOKUP($G227,基本資料!$A:$J,6,0),"無")</f>
        <v>2</v>
      </c>
      <c r="E227" s="79">
        <f>IFERROR(VLOOKUP($G227,基本資料!$A:$J,7,0),"無")</f>
        <v>152</v>
      </c>
      <c r="F227" s="6">
        <f>IFERROR(VLOOKUP($G227,基本資料!$A:$J,8,0),"無")</f>
        <v>-1772.67</v>
      </c>
      <c r="G227" s="80">
        <v>6733</v>
      </c>
      <c r="H227" s="5" t="s">
        <v>4726</v>
      </c>
      <c r="I227" s="16" t="s">
        <v>2293</v>
      </c>
      <c r="J227" s="8" t="str">
        <f>IFERROR(VLOOKUP($G227,今日總結!$A:$AJ,35,0),"")</f>
        <v/>
      </c>
      <c r="K227" s="5" t="str">
        <f>IFERROR(VLOOKUP($G227,今日總結!$A:$AJ,36,0),"")</f>
        <v/>
      </c>
      <c r="L227" s="156" t="str">
        <f>IFERROR(VLOOKUP($G227,今日總結!$A:$AJ,33,0),"")</f>
        <v/>
      </c>
      <c r="M227" s="340" t="str">
        <f>IFERROR(VLOOKUP($G227,今日總結!$A:$AJ,34,0),"")</f>
        <v/>
      </c>
      <c r="N227" s="240" t="str">
        <f t="shared" si="108"/>
        <v/>
      </c>
      <c r="P227" s="365" t="str">
        <f>IFERROR(VLOOKUP($G227,融外自投!$A:$J,7,0),"無")</f>
        <v>無</v>
      </c>
      <c r="Q227" s="79" t="str">
        <f>IFERROR(VLOOKUP($G227,融外自投!$A:$J,9,0),"無")</f>
        <v>無</v>
      </c>
      <c r="R227" s="346" t="str">
        <f>IFERROR(VLOOKUP($G227,融外自投!$A:$J,8,0),"無")</f>
        <v>無</v>
      </c>
      <c r="S227" s="81" t="str">
        <f>IFERROR(VLOOKUP($G227,融外自投!$A:$J,10,0),"無")</f>
        <v>無</v>
      </c>
      <c r="T227" s="327" t="str">
        <f>IFERROR(VLOOKUP($G227,'321買'!$A:$E,5,0),"'沒有資料'")</f>
        <v>'沒有資料'</v>
      </c>
      <c r="U227" s="186">
        <f>IFERROR(VLOOKUP($G227,基本資料!$A:$J,9,0),"無")</f>
        <v>0</v>
      </c>
      <c r="V227" s="310">
        <f t="shared" si="109"/>
        <v>0</v>
      </c>
      <c r="W227" s="94">
        <f>IFERROR(VLOOKUP($G227,基本資料!$A:$J,10,0),"無")</f>
        <v>-1.37</v>
      </c>
      <c r="X227" s="36">
        <v>27.75</v>
      </c>
      <c r="Y227" s="66">
        <v>28</v>
      </c>
      <c r="Z227" s="15">
        <f t="shared" si="111"/>
        <v>-0.25</v>
      </c>
      <c r="AA227" s="76">
        <f t="shared" si="112"/>
        <v>-8.9285714285714281E-3</v>
      </c>
      <c r="AB227" s="99" t="s">
        <v>2929</v>
      </c>
      <c r="AC227" s="397">
        <f>IFERROR(VLOOKUP($G227,基本資料!$A:$M,12,0),"無")</f>
        <v>25.63</v>
      </c>
      <c r="AD227" s="16" t="s">
        <v>2293</v>
      </c>
      <c r="AE227" s="84">
        <v>44224</v>
      </c>
      <c r="AF227" s="86">
        <v>44244</v>
      </c>
      <c r="AG227" s="33">
        <f t="shared" si="110"/>
        <v>20</v>
      </c>
      <c r="AH227" s="43" t="s">
        <v>2294</v>
      </c>
      <c r="AI227" s="259"/>
      <c r="AK227" s="245"/>
      <c r="AL227" s="245"/>
    </row>
    <row r="228" spans="1:39">
      <c r="A228" s="347">
        <f>IFERROR(VLOOKUP($G228,基本資料!$A:$J,3,0),"無")</f>
        <v>10.7</v>
      </c>
      <c r="B228" s="79">
        <f>IFERROR(VLOOKUP($G228,基本資料!$A:$J,4,0),"無")</f>
        <v>170</v>
      </c>
      <c r="C228" s="79">
        <f>IFERROR(VLOOKUP($G228,基本資料!$A:$J,5,0),"無")</f>
        <v>170</v>
      </c>
      <c r="D228" s="79">
        <f>IFERROR(VLOOKUP($G228,基本資料!$A:$J,6,0),"無")</f>
        <v>-16</v>
      </c>
      <c r="E228" s="79">
        <f>IFERROR(VLOOKUP($G228,基本資料!$A:$J,7,0),"無")</f>
        <v>33</v>
      </c>
      <c r="F228" s="6">
        <f>IFERROR(VLOOKUP($G228,基本資料!$A:$J,8,0),"無")</f>
        <v>7.96</v>
      </c>
      <c r="G228" s="79">
        <v>4739</v>
      </c>
      <c r="H228" s="8" t="s">
        <v>3578</v>
      </c>
      <c r="I228" s="22" t="s">
        <v>3632</v>
      </c>
      <c r="J228" s="8" t="str">
        <f>IFERROR(VLOOKUP($G228,今日總結!$A:$AJ,35,0),"")</f>
        <v/>
      </c>
      <c r="K228" s="5" t="str">
        <f>IFERROR(VLOOKUP($G228,今日總結!$A:$AJ,36,0),"")</f>
        <v/>
      </c>
      <c r="L228" s="156" t="str">
        <f>IFERROR(VLOOKUP($G228,今日總結!$A:$AJ,33,0),"")</f>
        <v/>
      </c>
      <c r="M228" s="340" t="str">
        <f>IFERROR(VLOOKUP($G228,今日總結!$A:$AJ,34,0),"")</f>
        <v/>
      </c>
      <c r="N228" s="240" t="str">
        <f t="shared" si="108"/>
        <v/>
      </c>
      <c r="P228" s="365">
        <f>IFERROR(VLOOKUP($G228,融外自投!$A:$J,7,0),"無")</f>
        <v>67</v>
      </c>
      <c r="Q228" s="79" t="str">
        <f>IFERROR(VLOOKUP($G228,融外自投!$A:$J,9,0),"無")</f>
        <v>無</v>
      </c>
      <c r="R228" s="346">
        <f>IFERROR(VLOOKUP($G228,融外自投!$A:$J,8,0),"無")</f>
        <v>1022</v>
      </c>
      <c r="S228" s="81">
        <f>IFERROR(VLOOKUP($G228,融外自投!$A:$J,10,0),"無")</f>
        <v>109</v>
      </c>
      <c r="T228" s="327">
        <f>IFERROR(VLOOKUP($G228,'321買'!$A:$E,5,0),"'沒有資料'")</f>
        <v>79</v>
      </c>
      <c r="U228" s="186">
        <f>IFERROR(VLOOKUP($G228,基本資料!$A:$J,9,0),"無")</f>
        <v>3</v>
      </c>
      <c r="V228" s="310">
        <f t="shared" si="109"/>
        <v>4.6511627906976744E-2</v>
      </c>
      <c r="W228" s="94">
        <f>IFERROR(VLOOKUP($G228,基本資料!$A:$J,10,0),"無")</f>
        <v>4.67</v>
      </c>
      <c r="X228" s="36">
        <v>64.5</v>
      </c>
      <c r="Y228" s="66">
        <v>50</v>
      </c>
      <c r="Z228" s="15">
        <f t="shared" si="111"/>
        <v>14.5</v>
      </c>
      <c r="AA228" s="63">
        <f t="shared" si="112"/>
        <v>0.28999999999999998</v>
      </c>
      <c r="AB228" s="99" t="s">
        <v>2930</v>
      </c>
      <c r="AC228" s="397">
        <f>IFERROR(VLOOKUP($G228,基本資料!$A:$M,12,0),"無")</f>
        <v>20.63</v>
      </c>
      <c r="AD228" s="22" t="s">
        <v>171</v>
      </c>
      <c r="AE228" s="84">
        <v>44224</v>
      </c>
      <c r="AF228" s="86">
        <v>44244</v>
      </c>
      <c r="AG228" s="33">
        <f t="shared" si="110"/>
        <v>20</v>
      </c>
      <c r="AH228" s="117" t="s">
        <v>2290</v>
      </c>
      <c r="AI228" s="259"/>
      <c r="AK228" s="245"/>
      <c r="AL228" s="245"/>
      <c r="AM228" s="254"/>
    </row>
    <row r="229" spans="1:39">
      <c r="A229" s="347">
        <f>IFERROR(VLOOKUP($G229,基本資料!$A:$J,3,0),"無")</f>
        <v>2.33</v>
      </c>
      <c r="B229" s="79">
        <f>IFERROR(VLOOKUP($G229,基本資料!$A:$J,4,0),"無")</f>
        <v>-53</v>
      </c>
      <c r="C229" s="79">
        <f>IFERROR(VLOOKUP($G229,基本資料!$A:$J,5,0),"無")</f>
        <v>-59</v>
      </c>
      <c r="D229" s="79">
        <f>IFERROR(VLOOKUP($G229,基本資料!$A:$J,6,0),"無")</f>
        <v>26</v>
      </c>
      <c r="E229" s="79">
        <f>IFERROR(VLOOKUP($G229,基本資料!$A:$J,7,0),"無")</f>
        <v>60</v>
      </c>
      <c r="F229" s="6">
        <f>IFERROR(VLOOKUP($G229,基本資料!$A:$J,8,0),"無")</f>
        <v>4.6399999999999997</v>
      </c>
      <c r="G229" s="80">
        <v>6661</v>
      </c>
      <c r="H229" s="5" t="s">
        <v>4726</v>
      </c>
      <c r="I229" s="16" t="s">
        <v>2288</v>
      </c>
      <c r="J229" s="8" t="str">
        <f>IFERROR(VLOOKUP($G229,今日總結!$A:$AJ,35,0),"")</f>
        <v/>
      </c>
      <c r="K229" s="5" t="str">
        <f>IFERROR(VLOOKUP($G229,今日總結!$A:$AJ,36,0),"")</f>
        <v/>
      </c>
      <c r="L229" s="156" t="str">
        <f>IFERROR(VLOOKUP($G229,今日總結!$A:$AJ,33,0),"")</f>
        <v/>
      </c>
      <c r="M229" s="340" t="str">
        <f>IFERROR(VLOOKUP($G229,今日總結!$A:$AJ,34,0),"")</f>
        <v/>
      </c>
      <c r="N229" s="240" t="str">
        <f t="shared" si="108"/>
        <v/>
      </c>
      <c r="P229" s="365" t="str">
        <f>IFERROR(VLOOKUP($G229,融外自投!$A:$J,7,0),"無")</f>
        <v>無</v>
      </c>
      <c r="Q229" s="79" t="str">
        <f>IFERROR(VLOOKUP($G229,融外自投!$A:$J,9,0),"無")</f>
        <v>無</v>
      </c>
      <c r="R229" s="346" t="str">
        <f>IFERROR(VLOOKUP($G229,融外自投!$A:$J,8,0),"無")</f>
        <v>無</v>
      </c>
      <c r="S229" s="81" t="str">
        <f>IFERROR(VLOOKUP($G229,融外自投!$A:$J,10,0),"無")</f>
        <v>無</v>
      </c>
      <c r="T229" s="327" t="str">
        <f>IFERROR(VLOOKUP($G229,'321買'!$A:$E,5,0),"'沒有資料'")</f>
        <v>'沒有資料'</v>
      </c>
      <c r="U229" s="186">
        <f>IFERROR(VLOOKUP($G229,基本資料!$A:$J,9,0),"無")</f>
        <v>0.48</v>
      </c>
      <c r="V229" s="310">
        <f t="shared" si="109"/>
        <v>1.8823529411764704E-2</v>
      </c>
      <c r="W229" s="94">
        <f>IFERROR(VLOOKUP($G229,基本資料!$A:$J,10,0),"無")</f>
        <v>0.59</v>
      </c>
      <c r="X229" s="36">
        <v>25.5</v>
      </c>
      <c r="Y229" s="66">
        <v>26</v>
      </c>
      <c r="Z229" s="15">
        <f t="shared" si="111"/>
        <v>-0.5</v>
      </c>
      <c r="AA229" s="76">
        <f t="shared" si="112"/>
        <v>-1.9230769230769232E-2</v>
      </c>
      <c r="AB229" s="99" t="s">
        <v>2885</v>
      </c>
      <c r="AC229" s="397">
        <f>IFERROR(VLOOKUP($G229,基本資料!$A:$M,12,0),"無")</f>
        <v>54.81</v>
      </c>
      <c r="AD229" s="16" t="s">
        <v>2288</v>
      </c>
      <c r="AE229" s="84">
        <v>44223</v>
      </c>
      <c r="AF229" s="86">
        <v>44244</v>
      </c>
      <c r="AG229" s="33">
        <f t="shared" si="110"/>
        <v>21</v>
      </c>
      <c r="AH229" s="43" t="s">
        <v>2289</v>
      </c>
      <c r="AI229" s="259"/>
      <c r="AK229" s="245"/>
      <c r="AL229" s="245"/>
    </row>
    <row r="230" spans="1:39">
      <c r="A230" s="347">
        <f>IFERROR(VLOOKUP($G230,基本資料!$A:$J,3,0),"無")</f>
        <v>8.4</v>
      </c>
      <c r="B230" s="79">
        <f>IFERROR(VLOOKUP($G230,基本資料!$A:$J,4,0),"無")</f>
        <v>-24</v>
      </c>
      <c r="C230" s="79">
        <f>IFERROR(VLOOKUP($G230,基本資料!$A:$J,5,0),"無")</f>
        <v>369</v>
      </c>
      <c r="D230" s="79">
        <f>IFERROR(VLOOKUP($G230,基本資料!$A:$J,6,0),"無")</f>
        <v>47</v>
      </c>
      <c r="E230" s="79">
        <f>IFERROR(VLOOKUP($G230,基本資料!$A:$J,7,0),"無")</f>
        <v>73</v>
      </c>
      <c r="F230" s="6">
        <f>IFERROR(VLOOKUP($G230,基本資料!$A:$J,8,0),"無")</f>
        <v>14.74</v>
      </c>
      <c r="G230" s="79">
        <v>3680</v>
      </c>
      <c r="H230" s="183" t="s">
        <v>3039</v>
      </c>
      <c r="I230" s="16" t="s">
        <v>366</v>
      </c>
      <c r="J230" s="8" t="str">
        <f>IFERROR(VLOOKUP($G230,今日總結!$A:$AJ,35,0),"")</f>
        <v/>
      </c>
      <c r="K230" s="5" t="str">
        <f>IFERROR(VLOOKUP($G230,今日總結!$A:$AJ,36,0),"")</f>
        <v/>
      </c>
      <c r="L230" s="156" t="str">
        <f>IFERROR(VLOOKUP($G230,今日總結!$A:$AJ,33,0),"")</f>
        <v/>
      </c>
      <c r="M230" s="340" t="str">
        <f>IFERROR(VLOOKUP($G230,今日總結!$A:$AJ,34,0),"")</f>
        <v/>
      </c>
      <c r="N230" s="240" t="str">
        <f t="shared" si="108"/>
        <v/>
      </c>
      <c r="P230" s="365">
        <f>IFERROR(VLOOKUP($G230,融外自投!$A:$J,7,0),"無")</f>
        <v>455</v>
      </c>
      <c r="Q230" s="79">
        <f>IFERROR(VLOOKUP($G230,融外自投!$A:$J,9,0),"無")</f>
        <v>117</v>
      </c>
      <c r="R230" s="346">
        <f>IFERROR(VLOOKUP($G230,融外自投!$A:$J,8,0),"無")</f>
        <v>561</v>
      </c>
      <c r="S230" s="81">
        <f>IFERROR(VLOOKUP($G230,融外自投!$A:$J,10,0),"無")</f>
        <v>70</v>
      </c>
      <c r="T230" s="327">
        <f>IFERROR(VLOOKUP($G230,'321買'!$A:$E,5,0),"'沒有資料'")</f>
        <v>515</v>
      </c>
      <c r="U230" s="186">
        <f>IFERROR(VLOOKUP($G230,基本資料!$A:$J,9,0),"無")</f>
        <v>2.8</v>
      </c>
      <c r="V230" s="310">
        <f t="shared" si="109"/>
        <v>7.8762306610407878E-3</v>
      </c>
      <c r="W230" s="94">
        <f>IFERROR(VLOOKUP($G230,基本資料!$A:$J,10,0),"無")</f>
        <v>4.03</v>
      </c>
      <c r="X230" s="36">
        <v>355.5</v>
      </c>
      <c r="Y230" s="45">
        <v>236</v>
      </c>
      <c r="Z230" s="15">
        <f t="shared" si="111"/>
        <v>119.5</v>
      </c>
      <c r="AA230" s="63">
        <f t="shared" si="112"/>
        <v>0.50635593220338981</v>
      </c>
      <c r="AB230" s="99" t="s">
        <v>2886</v>
      </c>
      <c r="AC230" s="397">
        <f>IFERROR(VLOOKUP($G230,基本資料!$A:$M,12,0),"無")</f>
        <v>22.99</v>
      </c>
      <c r="AD230" s="16" t="s">
        <v>366</v>
      </c>
      <c r="AE230" s="84">
        <v>44223</v>
      </c>
      <c r="AF230" s="86">
        <v>44244</v>
      </c>
      <c r="AG230" s="33">
        <f t="shared" si="110"/>
        <v>21</v>
      </c>
      <c r="AH230" s="43" t="s">
        <v>1955</v>
      </c>
      <c r="AI230" s="259"/>
      <c r="AK230" s="245"/>
      <c r="AL230" s="245"/>
    </row>
    <row r="231" spans="1:39">
      <c r="A231" s="347">
        <f>IFERROR(VLOOKUP($G231,基本資料!$A:$J,3,0),"無")</f>
        <v>2.91</v>
      </c>
      <c r="B231" s="79">
        <f>IFERROR(VLOOKUP($G231,基本資料!$A:$J,4,0),"無")</f>
        <v>-255</v>
      </c>
      <c r="C231" s="79">
        <f>IFERROR(VLOOKUP($G231,基本資料!$A:$J,5,0),"無")</f>
        <v>23</v>
      </c>
      <c r="D231" s="79">
        <f>IFERROR(VLOOKUP($G231,基本資料!$A:$J,6,0),"無")</f>
        <v>112</v>
      </c>
      <c r="E231" s="79">
        <f>IFERROR(VLOOKUP($G231,基本資料!$A:$J,7,0),"無")</f>
        <v>53</v>
      </c>
      <c r="F231" s="6">
        <f>IFERROR(VLOOKUP($G231,基本資料!$A:$J,8,0),"無")</f>
        <v>-24.15</v>
      </c>
      <c r="G231" s="80">
        <v>6767</v>
      </c>
      <c r="H231" s="4" t="s">
        <v>4726</v>
      </c>
      <c r="I231" s="16" t="s">
        <v>2280</v>
      </c>
      <c r="J231" s="8" t="str">
        <f>IFERROR(VLOOKUP($G231,今日總結!$A:$AJ,35,0),"")</f>
        <v/>
      </c>
      <c r="K231" s="5" t="str">
        <f>IFERROR(VLOOKUP($G231,今日總結!$A:$AJ,36,0),"")</f>
        <v/>
      </c>
      <c r="L231" s="156" t="str">
        <f>IFERROR(VLOOKUP($G231,今日總結!$A:$AJ,33,0),"")</f>
        <v/>
      </c>
      <c r="M231" s="340" t="str">
        <f>IFERROR(VLOOKUP($G231,今日總結!$A:$AJ,34,0),"")</f>
        <v/>
      </c>
      <c r="N231" s="240" t="str">
        <f t="shared" si="108"/>
        <v/>
      </c>
      <c r="P231" s="365" t="str">
        <f>IFERROR(VLOOKUP($G231,融外自投!$A:$J,7,0),"無")</f>
        <v>無</v>
      </c>
      <c r="Q231" s="79" t="str">
        <f>IFERROR(VLOOKUP($G231,融外自投!$A:$J,9,0),"無")</f>
        <v>無</v>
      </c>
      <c r="R231" s="346" t="str">
        <f>IFERROR(VLOOKUP($G231,融外自投!$A:$J,8,0),"無")</f>
        <v>無</v>
      </c>
      <c r="S231" s="81" t="str">
        <f>IFERROR(VLOOKUP($G231,融外自投!$A:$J,10,0),"無")</f>
        <v>無</v>
      </c>
      <c r="T231" s="327" t="str">
        <f>IFERROR(VLOOKUP($G231,'321買'!$A:$E,5,0),"'沒有資料'")</f>
        <v>'沒有資料'</v>
      </c>
      <c r="U231" s="186">
        <f>IFERROR(VLOOKUP($G231,基本資料!$A:$J,9,0),"無")</f>
        <v>0</v>
      </c>
      <c r="V231" s="310">
        <f t="shared" si="109"/>
        <v>0</v>
      </c>
      <c r="W231" s="94">
        <f>IFERROR(VLOOKUP($G231,基本資料!$A:$J,10,0),"無")</f>
        <v>-1.64</v>
      </c>
      <c r="X231" s="36">
        <v>32.450000000000003</v>
      </c>
      <c r="Y231" s="66">
        <v>30</v>
      </c>
      <c r="Z231" s="15">
        <f t="shared" si="111"/>
        <v>2.4500000000000028</v>
      </c>
      <c r="AA231" s="63">
        <f t="shared" si="112"/>
        <v>8.1666666666666762E-2</v>
      </c>
      <c r="AB231" s="99" t="s">
        <v>958</v>
      </c>
      <c r="AC231" s="397">
        <f>IFERROR(VLOOKUP($G231,基本資料!$A:$M,12,0),"無")</f>
        <v>44.94</v>
      </c>
      <c r="AD231" s="16" t="s">
        <v>2280</v>
      </c>
      <c r="AE231" s="84">
        <v>44221</v>
      </c>
      <c r="AF231" s="86">
        <v>44231</v>
      </c>
      <c r="AG231" s="33">
        <f t="shared" si="110"/>
        <v>10</v>
      </c>
      <c r="AH231" s="43" t="s">
        <v>2282</v>
      </c>
      <c r="AI231" s="259"/>
      <c r="AK231" s="245"/>
      <c r="AL231" s="245"/>
    </row>
    <row r="232" spans="1:39">
      <c r="A232" s="347">
        <f>IFERROR(VLOOKUP($G232,基本資料!$A:$J,3,0),"無")</f>
        <v>8.94</v>
      </c>
      <c r="B232" s="79">
        <f>IFERROR(VLOOKUP($G232,基本資料!$A:$J,4,0),"無")</f>
        <v>303</v>
      </c>
      <c r="C232" s="79">
        <f>IFERROR(VLOOKUP($G232,基本資料!$A:$J,5,0),"無")</f>
        <v>340</v>
      </c>
      <c r="D232" s="79">
        <f>IFERROR(VLOOKUP($G232,基本資料!$A:$J,6,0),"無")</f>
        <v>-25</v>
      </c>
      <c r="E232" s="79">
        <f>IFERROR(VLOOKUP($G232,基本資料!$A:$J,7,0),"無")</f>
        <v>37</v>
      </c>
      <c r="F232" s="6">
        <f>IFERROR(VLOOKUP($G232,基本資料!$A:$J,8,0),"無")</f>
        <v>3.78</v>
      </c>
      <c r="G232" s="80">
        <v>5011</v>
      </c>
      <c r="H232" s="4" t="s">
        <v>299</v>
      </c>
      <c r="I232" s="16" t="s">
        <v>840</v>
      </c>
      <c r="J232" s="8">
        <f>IFERROR(VLOOKUP($G232,今日總結!$A:$AJ,35,0),"")</f>
        <v>0</v>
      </c>
      <c r="K232" s="5" t="str">
        <f>IFERROR(VLOOKUP($G232,今日總結!$A:$AJ,36,0),"")</f>
        <v>借</v>
      </c>
      <c r="L232" s="156">
        <f>IFERROR(VLOOKUP($G232,今日總結!$A:$AJ,33,0),"")</f>
        <v>0</v>
      </c>
      <c r="M232" s="340">
        <f>IFERROR(VLOOKUP($G232,今日總結!$A:$AJ,34,0),"")</f>
        <v>2</v>
      </c>
      <c r="N232" s="240">
        <f t="shared" si="108"/>
        <v>-2</v>
      </c>
      <c r="P232" s="365">
        <f>IFERROR(VLOOKUP($G232,融外自投!$A:$J,7,0),"無")</f>
        <v>31</v>
      </c>
      <c r="Q232" s="79">
        <f>IFERROR(VLOOKUP($G232,融外自投!$A:$J,9,0),"無")</f>
        <v>243</v>
      </c>
      <c r="R232" s="346">
        <f>IFERROR(VLOOKUP($G232,融外自投!$A:$J,8,0),"無")</f>
        <v>1100</v>
      </c>
      <c r="S232" s="81" t="str">
        <f>IFERROR(VLOOKUP($G232,融外自投!$A:$J,10,0),"無")</f>
        <v>無</v>
      </c>
      <c r="T232" s="327">
        <f>IFERROR(VLOOKUP($G232,'321買'!$A:$E,5,0),"'沒有資料'")</f>
        <v>480</v>
      </c>
      <c r="U232" s="186">
        <f>IFERROR(VLOOKUP($G232,基本資料!$A:$J,9,0),"無")</f>
        <v>0.95</v>
      </c>
      <c r="V232" s="310">
        <f t="shared" si="109"/>
        <v>3.0944625407166124E-2</v>
      </c>
      <c r="W232" s="94">
        <f>IFERROR(VLOOKUP($G232,基本資料!$A:$J,10,0),"無")</f>
        <v>1.74</v>
      </c>
      <c r="X232" s="36">
        <v>30.7</v>
      </c>
      <c r="Y232" s="45">
        <v>32.5</v>
      </c>
      <c r="Z232" s="15">
        <f t="shared" si="111"/>
        <v>-1.8000000000000007</v>
      </c>
      <c r="AA232" s="76">
        <f t="shared" si="112"/>
        <v>-5.5384615384615407E-2</v>
      </c>
      <c r="AB232" s="99" t="s">
        <v>2776</v>
      </c>
      <c r="AC232" s="397">
        <f>IFERROR(VLOOKUP($G232,基本資料!$A:$M,12,0),"無")</f>
        <v>22.69</v>
      </c>
      <c r="AD232" s="16" t="s">
        <v>840</v>
      </c>
      <c r="AE232" s="84">
        <v>44221</v>
      </c>
      <c r="AF232" s="86">
        <v>44231</v>
      </c>
      <c r="AG232" s="33">
        <f t="shared" si="110"/>
        <v>10</v>
      </c>
      <c r="AH232" s="43" t="s">
        <v>2265</v>
      </c>
      <c r="AI232" s="259"/>
      <c r="AK232" s="245"/>
      <c r="AL232" s="245"/>
    </row>
    <row r="233" spans="1:39">
      <c r="A233" s="347">
        <f>IFERROR(VLOOKUP($G233,基本資料!$A:$J,3,0),"無")</f>
        <v>3.42</v>
      </c>
      <c r="B233" s="79">
        <f>IFERROR(VLOOKUP($G233,基本資料!$A:$J,4,0),"無")</f>
        <v>-8</v>
      </c>
      <c r="C233" s="79">
        <f>IFERROR(VLOOKUP($G233,基本資料!$A:$J,5,0),"無")</f>
        <v>-11</v>
      </c>
      <c r="D233" s="79">
        <f>IFERROR(VLOOKUP($G233,基本資料!$A:$J,6,0),"無")</f>
        <v>-12</v>
      </c>
      <c r="E233" s="79">
        <f>IFERROR(VLOOKUP($G233,基本資料!$A:$J,7,0),"無")</f>
        <v>21</v>
      </c>
      <c r="F233" s="6">
        <f>IFERROR(VLOOKUP($G233,基本資料!$A:$J,8,0),"無")</f>
        <v>20.5</v>
      </c>
      <c r="G233" s="80">
        <v>6515</v>
      </c>
      <c r="H233" s="4" t="s">
        <v>3039</v>
      </c>
      <c r="I233" s="22" t="s">
        <v>2264</v>
      </c>
      <c r="J233" s="8" t="str">
        <f>IFERROR(VLOOKUP($G233,今日總結!$A:$AJ,35,0),"")</f>
        <v>借</v>
      </c>
      <c r="K233" s="5" t="str">
        <f>IFERROR(VLOOKUP($G233,今日總結!$A:$AJ,36,0),"")</f>
        <v>外</v>
      </c>
      <c r="L233" s="156">
        <f>IFERROR(VLOOKUP($G233,今日總結!$A:$AJ,33,0),"")</f>
        <v>1</v>
      </c>
      <c r="M233" s="340">
        <f>IFERROR(VLOOKUP($G233,今日總結!$A:$AJ,34,0),"")</f>
        <v>1</v>
      </c>
      <c r="N233" s="240">
        <f t="shared" si="108"/>
        <v>0</v>
      </c>
      <c r="P233" s="365">
        <f>IFERROR(VLOOKUP($G233,融外自投!$A:$J,7,0),"無")</f>
        <v>768</v>
      </c>
      <c r="Q233" s="79" t="str">
        <f>IFERROR(VLOOKUP($G233,融外自投!$A:$J,9,0),"無")</f>
        <v>無</v>
      </c>
      <c r="R233" s="346">
        <f>IFERROR(VLOOKUP($G233,融外自投!$A:$J,8,0),"無")</f>
        <v>594</v>
      </c>
      <c r="S233" s="81">
        <f>IFERROR(VLOOKUP($G233,融外自投!$A:$J,10,0),"無")</f>
        <v>28</v>
      </c>
      <c r="T233" s="327">
        <f>IFERROR(VLOOKUP($G233,'321買'!$A:$E,5,0),"'沒有資料'")</f>
        <v>248</v>
      </c>
      <c r="U233" s="186">
        <f>IFERROR(VLOOKUP($G233,基本資料!$A:$J,9,0),"無")</f>
        <v>11</v>
      </c>
      <c r="V233" s="310">
        <f t="shared" si="109"/>
        <v>2.679658952496955E-2</v>
      </c>
      <c r="W233" s="94">
        <f>IFERROR(VLOOKUP($G233,基本資料!$A:$J,10,0),"無")</f>
        <v>14.46</v>
      </c>
      <c r="X233" s="36">
        <v>410.5</v>
      </c>
      <c r="Y233" s="66">
        <v>348</v>
      </c>
      <c r="Z233" s="15">
        <f t="shared" si="111"/>
        <v>62.5</v>
      </c>
      <c r="AA233" s="63">
        <f t="shared" si="112"/>
        <v>0.17959770114942528</v>
      </c>
      <c r="AB233" s="99" t="s">
        <v>2549</v>
      </c>
      <c r="AC233" s="397">
        <f>IFERROR(VLOOKUP($G233,基本資料!$A:$M,12,0),"無")</f>
        <v>14.21</v>
      </c>
      <c r="AD233" s="22" t="s">
        <v>2264</v>
      </c>
      <c r="AE233" s="84">
        <v>44216</v>
      </c>
      <c r="AF233" s="86">
        <v>44228</v>
      </c>
      <c r="AG233" s="33">
        <f t="shared" si="110"/>
        <v>12</v>
      </c>
      <c r="AH233" s="117" t="s">
        <v>2266</v>
      </c>
      <c r="AI233" s="259"/>
      <c r="AK233" s="245"/>
      <c r="AL233" s="245"/>
    </row>
    <row r="234" spans="1:39">
      <c r="A234" s="347">
        <f>IFERROR(VLOOKUP($G234,基本資料!$A:$J,3,0),"無")</f>
        <v>2.41</v>
      </c>
      <c r="B234" s="79">
        <f>IFERROR(VLOOKUP($G234,基本資料!$A:$J,4,0),"無")</f>
        <v>93</v>
      </c>
      <c r="C234" s="79">
        <f>IFERROR(VLOOKUP($G234,基本資料!$A:$J,5,0),"無")</f>
        <v>49</v>
      </c>
      <c r="D234" s="79">
        <f>IFERROR(VLOOKUP($G234,基本資料!$A:$J,6,0),"無")</f>
        <v>-43</v>
      </c>
      <c r="E234" s="79">
        <f>IFERROR(VLOOKUP($G234,基本資料!$A:$J,7,0),"無")</f>
        <v>-9</v>
      </c>
      <c r="F234" s="6">
        <f>IFERROR(VLOOKUP($G234,基本資料!$A:$J,8,0),"無")</f>
        <v>34.840000000000003</v>
      </c>
      <c r="G234" s="79">
        <v>6747</v>
      </c>
      <c r="H234" s="4" t="s">
        <v>4726</v>
      </c>
      <c r="I234" s="16" t="s">
        <v>2238</v>
      </c>
      <c r="J234" s="8" t="str">
        <f>IFERROR(VLOOKUP($G234,今日總結!$A:$AJ,35,0),"")</f>
        <v/>
      </c>
      <c r="K234" s="5" t="str">
        <f>IFERROR(VLOOKUP($G234,今日總結!$A:$AJ,36,0),"")</f>
        <v/>
      </c>
      <c r="L234" s="156" t="str">
        <f>IFERROR(VLOOKUP($G234,今日總結!$A:$AJ,33,0),"")</f>
        <v/>
      </c>
      <c r="M234" s="340" t="str">
        <f>IFERROR(VLOOKUP($G234,今日總結!$A:$AJ,34,0),"")</f>
        <v/>
      </c>
      <c r="N234" s="240" t="str">
        <f t="shared" si="108"/>
        <v/>
      </c>
      <c r="P234" s="365" t="str">
        <f>IFERROR(VLOOKUP($G234,融外自投!$A:$J,7,0),"無")</f>
        <v>無</v>
      </c>
      <c r="Q234" s="79" t="str">
        <f>IFERROR(VLOOKUP($G234,融外自投!$A:$J,9,0),"無")</f>
        <v>無</v>
      </c>
      <c r="R234" s="346" t="str">
        <f>IFERROR(VLOOKUP($G234,融外自投!$A:$J,8,0),"無")</f>
        <v>無</v>
      </c>
      <c r="S234" s="81" t="str">
        <f>IFERROR(VLOOKUP($G234,融外自投!$A:$J,10,0),"無")</f>
        <v>無</v>
      </c>
      <c r="T234" s="327" t="str">
        <f>IFERROR(VLOOKUP($G234,'321買'!$A:$E,5,0),"'沒有資料'")</f>
        <v>'沒有資料'</v>
      </c>
      <c r="U234" s="186">
        <f>IFERROR(VLOOKUP($G234,基本資料!$A:$J,9,0),"無")</f>
        <v>8.68</v>
      </c>
      <c r="V234" s="310">
        <f t="shared" si="109"/>
        <v>4.5445026178010467E-2</v>
      </c>
      <c r="W234" s="94">
        <f>IFERROR(VLOOKUP($G234,基本資料!$A:$J,10,0),"無")</f>
        <v>10.01</v>
      </c>
      <c r="X234" s="36">
        <v>191</v>
      </c>
      <c r="Y234" s="66">
        <v>100</v>
      </c>
      <c r="Z234" s="15">
        <f t="shared" si="111"/>
        <v>91</v>
      </c>
      <c r="AA234" s="148">
        <f t="shared" si="112"/>
        <v>0.91</v>
      </c>
      <c r="AB234" s="99" t="s">
        <v>2339</v>
      </c>
      <c r="AC234" s="397">
        <f>IFERROR(VLOOKUP($G234,基本資料!$A:$M,12,0),"無")</f>
        <v>59.91</v>
      </c>
      <c r="AD234" s="16" t="s">
        <v>2238</v>
      </c>
      <c r="AE234" s="84">
        <v>44215</v>
      </c>
      <c r="AF234" s="86">
        <v>44225</v>
      </c>
      <c r="AG234" s="33">
        <f t="shared" si="110"/>
        <v>10</v>
      </c>
      <c r="AH234" s="43" t="s">
        <v>2281</v>
      </c>
      <c r="AI234" s="259"/>
      <c r="AK234" s="245"/>
      <c r="AL234" s="245"/>
    </row>
    <row r="235" spans="1:39">
      <c r="A235" s="347">
        <f>IFERROR(VLOOKUP($G235,基本資料!$A:$J,3,0),"無")</f>
        <v>14.33</v>
      </c>
      <c r="B235" s="79">
        <f>IFERROR(VLOOKUP($G235,基本資料!$A:$J,4,0),"無")</f>
        <v>603</v>
      </c>
      <c r="C235" s="79">
        <f>IFERROR(VLOOKUP($G235,基本資料!$A:$J,5,0),"無")</f>
        <v>521</v>
      </c>
      <c r="D235" s="79">
        <f>IFERROR(VLOOKUP($G235,基本資料!$A:$J,6,0),"無")</f>
        <v>-18</v>
      </c>
      <c r="E235" s="79">
        <f>IFERROR(VLOOKUP($G235,基本資料!$A:$J,7,0),"無")</f>
        <v>30</v>
      </c>
      <c r="F235" s="6">
        <f>IFERROR(VLOOKUP($G235,基本資料!$A:$J,8,0),"無")</f>
        <v>12</v>
      </c>
      <c r="G235" s="80">
        <v>2636</v>
      </c>
      <c r="H235" s="4" t="s">
        <v>302</v>
      </c>
      <c r="I235" s="22" t="s">
        <v>1922</v>
      </c>
      <c r="J235" s="8" t="str">
        <f>IFERROR(VLOOKUP($G235,今日總結!$A:$AJ,35,0),"")</f>
        <v/>
      </c>
      <c r="K235" s="5" t="str">
        <f>IFERROR(VLOOKUP($G235,今日總結!$A:$AJ,36,0),"")</f>
        <v/>
      </c>
      <c r="L235" s="156" t="str">
        <f>IFERROR(VLOOKUP($G235,今日總結!$A:$AJ,33,0),"")</f>
        <v/>
      </c>
      <c r="M235" s="340" t="str">
        <f>IFERROR(VLOOKUP($G235,今日總結!$A:$AJ,34,0),"")</f>
        <v/>
      </c>
      <c r="N235" s="240" t="str">
        <f t="shared" si="108"/>
        <v/>
      </c>
      <c r="P235" s="365">
        <f>IFERROR(VLOOKUP($G235,融外自投!$A:$J,7,0),"無")</f>
        <v>92</v>
      </c>
      <c r="Q235" s="79">
        <f>IFERROR(VLOOKUP($G235,融外自投!$A:$J,9,0),"無")</f>
        <v>179</v>
      </c>
      <c r="R235" s="346">
        <f>IFERROR(VLOOKUP($G235,融外自投!$A:$J,8,0),"無")</f>
        <v>425</v>
      </c>
      <c r="S235" s="81">
        <f>IFERROR(VLOOKUP($G235,融外自投!$A:$J,10,0),"無")</f>
        <v>491</v>
      </c>
      <c r="T235" s="327">
        <f>IFERROR(VLOOKUP($G235,'321買'!$A:$E,5,0),"'沒有資料'")</f>
        <v>126</v>
      </c>
      <c r="U235" s="186">
        <f>IFERROR(VLOOKUP($G235,基本資料!$A:$J,9,0),"無")</f>
        <v>13</v>
      </c>
      <c r="V235" s="310">
        <f t="shared" si="109"/>
        <v>0.34165571616294355</v>
      </c>
      <c r="W235" s="94">
        <f>IFERROR(VLOOKUP($G235,基本資料!$A:$J,10,0),"無")</f>
        <v>30.03</v>
      </c>
      <c r="X235" s="36">
        <v>38.049999999999997</v>
      </c>
      <c r="Y235" s="66">
        <v>30</v>
      </c>
      <c r="Z235" s="15">
        <f t="shared" si="111"/>
        <v>8.0499999999999972</v>
      </c>
      <c r="AA235" s="63">
        <f t="shared" si="112"/>
        <v>0.26833333333333326</v>
      </c>
      <c r="AB235" s="99" t="s">
        <v>2340</v>
      </c>
      <c r="AC235" s="397">
        <f>IFERROR(VLOOKUP($G235,基本資料!$A:$M,12,0),"無")</f>
        <v>23.48</v>
      </c>
      <c r="AD235" s="22" t="s">
        <v>1922</v>
      </c>
      <c r="AE235" s="84">
        <v>44215</v>
      </c>
      <c r="AF235" s="86">
        <v>44225</v>
      </c>
      <c r="AG235" s="33">
        <f t="shared" si="110"/>
        <v>10</v>
      </c>
      <c r="AH235" s="43" t="s">
        <v>2014</v>
      </c>
      <c r="AI235" s="259"/>
      <c r="AK235" s="245"/>
      <c r="AL235" s="245"/>
    </row>
    <row r="236" spans="1:39">
      <c r="A236" s="347">
        <f>IFERROR(VLOOKUP($G236,基本資料!$A:$J,3,0),"無")</f>
        <v>5.72</v>
      </c>
      <c r="B236" s="79">
        <f>IFERROR(VLOOKUP($G236,基本資料!$A:$J,4,0),"無")</f>
        <v>157</v>
      </c>
      <c r="C236" s="79">
        <f>IFERROR(VLOOKUP($G236,基本資料!$A:$J,5,0),"無")</f>
        <v>84</v>
      </c>
      <c r="D236" s="79">
        <f>IFERROR(VLOOKUP($G236,基本資料!$A:$J,6,0),"無")</f>
        <v>39</v>
      </c>
      <c r="E236" s="79">
        <f>IFERROR(VLOOKUP($G236,基本資料!$A:$J,7,0),"無")</f>
        <v>228</v>
      </c>
      <c r="F236" s="6">
        <f>IFERROR(VLOOKUP($G236,基本資料!$A:$J,8,0),"無")</f>
        <v>-2.82</v>
      </c>
      <c r="G236" s="79">
        <v>6431</v>
      </c>
      <c r="H236" s="4" t="s">
        <v>306</v>
      </c>
      <c r="I236" s="22" t="s">
        <v>449</v>
      </c>
      <c r="J236" s="8" t="str">
        <f>IFERROR(VLOOKUP($G236,今日總結!$A:$AJ,35,0),"")</f>
        <v/>
      </c>
      <c r="K236" s="5" t="str">
        <f>IFERROR(VLOOKUP($G236,今日總結!$A:$AJ,36,0),"")</f>
        <v/>
      </c>
      <c r="L236" s="156" t="str">
        <f>IFERROR(VLOOKUP($G236,今日總結!$A:$AJ,33,0),"")</f>
        <v/>
      </c>
      <c r="M236" s="340" t="str">
        <f>IFERROR(VLOOKUP($G236,今日總結!$A:$AJ,34,0),"")</f>
        <v/>
      </c>
      <c r="N236" s="240" t="str">
        <f t="shared" si="108"/>
        <v/>
      </c>
      <c r="P236" s="365" t="str">
        <f>IFERROR(VLOOKUP($G236,融外自投!$A:$J,7,0),"無")</f>
        <v>無</v>
      </c>
      <c r="Q236" s="79" t="str">
        <f>IFERROR(VLOOKUP($G236,融外自投!$A:$J,9,0),"無")</f>
        <v>無</v>
      </c>
      <c r="R236" s="346" t="str">
        <f>IFERROR(VLOOKUP($G236,融外自投!$A:$J,8,0),"無")</f>
        <v>無</v>
      </c>
      <c r="S236" s="81" t="str">
        <f>IFERROR(VLOOKUP($G236,融外自投!$A:$J,10,0),"無")</f>
        <v>無</v>
      </c>
      <c r="T236" s="327" t="str">
        <f>IFERROR(VLOOKUP($G236,'321買'!$A:$E,5,0),"'沒有資料'")</f>
        <v>'沒有資料'</v>
      </c>
      <c r="U236" s="186">
        <f>IFERROR(VLOOKUP($G236,基本資料!$A:$J,9,0),"無")</f>
        <v>0</v>
      </c>
      <c r="V236" s="310">
        <f t="shared" si="109"/>
        <v>0</v>
      </c>
      <c r="W236" s="94">
        <f>IFERROR(VLOOKUP($G236,基本資料!$A:$J,10,0),"無")</f>
        <v>0.51</v>
      </c>
      <c r="X236" s="36">
        <v>29.85</v>
      </c>
      <c r="Y236" s="66">
        <v>29.8</v>
      </c>
      <c r="Z236" s="15">
        <f t="shared" si="111"/>
        <v>5.0000000000000711E-2</v>
      </c>
      <c r="AA236" s="63">
        <f t="shared" si="112"/>
        <v>1.6778523489933124E-3</v>
      </c>
      <c r="AB236" s="100" t="s">
        <v>2284</v>
      </c>
      <c r="AC236" s="397">
        <f>IFERROR(VLOOKUP($G236,基本資料!$A:$M,12,0),"無")</f>
        <v>42.57</v>
      </c>
      <c r="AD236" s="22" t="s">
        <v>449</v>
      </c>
      <c r="AE236" s="84">
        <v>44209</v>
      </c>
      <c r="AF236" s="86">
        <v>44221</v>
      </c>
      <c r="AG236" s="33">
        <f t="shared" si="110"/>
        <v>12</v>
      </c>
      <c r="AH236" s="43" t="s">
        <v>2189</v>
      </c>
      <c r="AI236" s="259"/>
      <c r="AK236" s="245"/>
      <c r="AL236" s="245"/>
    </row>
    <row r="237" spans="1:39">
      <c r="A237" s="347">
        <f>IFERROR(VLOOKUP($G237,基本資料!$A:$J,3,0),"無")</f>
        <v>6.18</v>
      </c>
      <c r="B237" s="79">
        <f>IFERROR(VLOOKUP($G237,基本資料!$A:$J,4,0),"無")</f>
        <v>445</v>
      </c>
      <c r="C237" s="79">
        <f>IFERROR(VLOOKUP($G237,基本資料!$A:$J,5,0),"無")</f>
        <v>173</v>
      </c>
      <c r="D237" s="79">
        <f>IFERROR(VLOOKUP($G237,基本資料!$A:$J,6,0),"無")</f>
        <v>14</v>
      </c>
      <c r="E237" s="79">
        <f>IFERROR(VLOOKUP($G237,基本資料!$A:$J,7,0),"無")</f>
        <v>83</v>
      </c>
      <c r="F237" s="6">
        <f>IFERROR(VLOOKUP($G237,基本資料!$A:$J,8,0),"無")</f>
        <v>26.48</v>
      </c>
      <c r="G237" s="79">
        <v>6712</v>
      </c>
      <c r="H237" s="4" t="s">
        <v>4726</v>
      </c>
      <c r="I237" s="16" t="s">
        <v>2180</v>
      </c>
      <c r="J237" s="8" t="str">
        <f>IFERROR(VLOOKUP($G237,今日總結!$A:$AJ,35,0),"")</f>
        <v/>
      </c>
      <c r="K237" s="5" t="str">
        <f>IFERROR(VLOOKUP($G237,今日總結!$A:$AJ,36,0),"")</f>
        <v/>
      </c>
      <c r="L237" s="156" t="str">
        <f>IFERROR(VLOOKUP($G237,今日總結!$A:$AJ,33,0),"")</f>
        <v/>
      </c>
      <c r="M237" s="340" t="str">
        <f>IFERROR(VLOOKUP($G237,今日總結!$A:$AJ,34,0),"")</f>
        <v/>
      </c>
      <c r="N237" s="240" t="str">
        <f t="shared" si="108"/>
        <v/>
      </c>
      <c r="P237" s="365">
        <f>IFERROR(VLOOKUP($G237,融外自投!$A:$J,7,0),"無")</f>
        <v>1198</v>
      </c>
      <c r="Q237" s="79">
        <f>IFERROR(VLOOKUP($G237,融外自投!$A:$J,9,0),"無")</f>
        <v>200</v>
      </c>
      <c r="R237" s="346">
        <f>IFERROR(VLOOKUP($G237,融外自投!$A:$J,8,0),"無")</f>
        <v>1006</v>
      </c>
      <c r="S237" s="81">
        <f>IFERROR(VLOOKUP($G237,融外自投!$A:$J,10,0),"無")</f>
        <v>211</v>
      </c>
      <c r="T237" s="327">
        <f>IFERROR(VLOOKUP($G237,'321買'!$A:$E,5,0),"'沒有資料'")</f>
        <v>1214</v>
      </c>
      <c r="U237" s="186">
        <f>IFERROR(VLOOKUP($G237,基本資料!$A:$J,9,0),"無")</f>
        <v>6</v>
      </c>
      <c r="V237" s="310">
        <f t="shared" si="109"/>
        <v>2.7210884353741496E-2</v>
      </c>
      <c r="W237" s="94">
        <f>IFERROR(VLOOKUP($G237,基本資料!$A:$J,10,0),"無")</f>
        <v>6</v>
      </c>
      <c r="X237" s="36">
        <v>220.5</v>
      </c>
      <c r="Y237" s="66">
        <v>138</v>
      </c>
      <c r="Z237" s="15">
        <f t="shared" si="111"/>
        <v>82.5</v>
      </c>
      <c r="AA237" s="63">
        <f t="shared" si="112"/>
        <v>0.59782608695652173</v>
      </c>
      <c r="AB237" s="99" t="s">
        <v>2268</v>
      </c>
      <c r="AC237" s="397">
        <f>IFERROR(VLOOKUP($G237,基本資料!$A:$M,12,0),"無")</f>
        <v>42.59</v>
      </c>
      <c r="AD237" s="16" t="s">
        <v>2180</v>
      </c>
      <c r="AE237" s="84">
        <v>44204</v>
      </c>
      <c r="AF237" s="86">
        <v>44214</v>
      </c>
      <c r="AG237" s="33">
        <f t="shared" si="110"/>
        <v>10</v>
      </c>
      <c r="AH237" s="43" t="s">
        <v>2181</v>
      </c>
      <c r="AI237" s="259"/>
      <c r="AK237" s="245"/>
      <c r="AL237" s="245"/>
    </row>
    <row r="238" spans="1:39">
      <c r="A238" s="347">
        <f>IFERROR(VLOOKUP($G238,基本資料!$A:$J,3,0),"無")</f>
        <v>5.72</v>
      </c>
      <c r="B238" s="79">
        <f>IFERROR(VLOOKUP($G238,基本資料!$A:$J,4,0),"無")</f>
        <v>29</v>
      </c>
      <c r="C238" s="79">
        <f>IFERROR(VLOOKUP($G238,基本資料!$A:$J,5,0),"無")</f>
        <v>25</v>
      </c>
      <c r="D238" s="79">
        <f>IFERROR(VLOOKUP($G238,基本資料!$A:$J,6,0),"無")</f>
        <v>-22</v>
      </c>
      <c r="E238" s="79">
        <f>IFERROR(VLOOKUP($G238,基本資料!$A:$J,7,0),"無")</f>
        <v>-3</v>
      </c>
      <c r="F238" s="6">
        <f>IFERROR(VLOOKUP($G238,基本資料!$A:$J,8,0),"無")</f>
        <v>10.58</v>
      </c>
      <c r="G238" s="80">
        <v>5536</v>
      </c>
      <c r="H238" s="4" t="s">
        <v>314</v>
      </c>
      <c r="I238" s="16" t="s">
        <v>6121</v>
      </c>
      <c r="J238" s="8" t="str">
        <f>IFERROR(VLOOKUP($G238,今日總結!$A:$AJ,35,0),"")</f>
        <v/>
      </c>
      <c r="K238" s="5" t="str">
        <f>IFERROR(VLOOKUP($G238,今日總結!$A:$AJ,36,0),"")</f>
        <v/>
      </c>
      <c r="L238" s="156" t="str">
        <f>IFERROR(VLOOKUP($G238,今日總結!$A:$AJ,33,0),"")</f>
        <v/>
      </c>
      <c r="M238" s="340" t="str">
        <f>IFERROR(VLOOKUP($G238,今日總結!$A:$AJ,34,0),"")</f>
        <v/>
      </c>
      <c r="N238" s="240" t="str">
        <f t="shared" si="108"/>
        <v/>
      </c>
      <c r="P238" s="365">
        <f>IFERROR(VLOOKUP($G238,融外自投!$A:$J,7,0),"無")</f>
        <v>935</v>
      </c>
      <c r="Q238" s="79">
        <f>IFERROR(VLOOKUP($G238,融外自投!$A:$J,9,0),"無")</f>
        <v>87</v>
      </c>
      <c r="R238" s="346">
        <f>IFERROR(VLOOKUP($G238,融外自投!$A:$J,8,0),"無")</f>
        <v>295</v>
      </c>
      <c r="S238" s="81" t="str">
        <f>IFERROR(VLOOKUP($G238,融外自投!$A:$J,10,0),"無")</f>
        <v>無</v>
      </c>
      <c r="T238" s="327">
        <f>IFERROR(VLOOKUP($G238,'321買'!$A:$E,5,0),"'沒有資料'")</f>
        <v>318</v>
      </c>
      <c r="U238" s="186">
        <f>IFERROR(VLOOKUP($G238,基本資料!$A:$J,9,0),"無")</f>
        <v>15</v>
      </c>
      <c r="V238" s="310">
        <f t="shared" si="109"/>
        <v>7.9365079365079361E-2</v>
      </c>
      <c r="W238" s="94">
        <f>IFERROR(VLOOKUP($G238,基本資料!$A:$J,10,0),"無")</f>
        <v>21.08</v>
      </c>
      <c r="X238" s="36">
        <v>189</v>
      </c>
      <c r="Y238" s="66">
        <v>166</v>
      </c>
      <c r="Z238" s="15">
        <f t="shared" si="111"/>
        <v>23</v>
      </c>
      <c r="AA238" s="63">
        <f t="shared" si="112"/>
        <v>0.13855421686746988</v>
      </c>
      <c r="AB238" s="99" t="s">
        <v>2241</v>
      </c>
      <c r="AC238" s="397">
        <f>IFERROR(VLOOKUP($G238,基本資料!$A:$M,12,0),"無")</f>
        <v>21.32</v>
      </c>
      <c r="AD238" s="16" t="s">
        <v>148</v>
      </c>
      <c r="AE238" s="84">
        <v>44203</v>
      </c>
      <c r="AF238" s="86">
        <v>44214</v>
      </c>
      <c r="AG238" s="33">
        <f t="shared" si="110"/>
        <v>11</v>
      </c>
      <c r="AH238" s="117" t="s">
        <v>1445</v>
      </c>
      <c r="AI238" s="259"/>
      <c r="AK238" s="245"/>
      <c r="AL238" s="245"/>
    </row>
    <row r="239" spans="1:39">
      <c r="A239" s="347">
        <f>IFERROR(VLOOKUP($G239,基本資料!$A:$J,3,0),"無")</f>
        <v>5.86</v>
      </c>
      <c r="B239" s="79">
        <f>IFERROR(VLOOKUP($G239,基本資料!$A:$J,4,0),"無")</f>
        <v>-124</v>
      </c>
      <c r="C239" s="79">
        <f>IFERROR(VLOOKUP($G239,基本資料!$A:$J,5,0),"無")</f>
        <v>-148</v>
      </c>
      <c r="D239" s="79">
        <f>IFERROR(VLOOKUP($G239,基本資料!$A:$J,6,0),"無")</f>
        <v>-27</v>
      </c>
      <c r="E239" s="79">
        <f>IFERROR(VLOOKUP($G239,基本資料!$A:$J,7,0),"無")</f>
        <v>-46</v>
      </c>
      <c r="F239" s="6">
        <f>IFERROR(VLOOKUP($G239,基本資料!$A:$J,8,0),"無")</f>
        <v>-3.38</v>
      </c>
      <c r="G239" s="79">
        <v>3666</v>
      </c>
      <c r="H239" s="4" t="s">
        <v>306</v>
      </c>
      <c r="I239" s="16" t="s">
        <v>454</v>
      </c>
      <c r="J239" s="8" t="str">
        <f>IFERROR(VLOOKUP($G239,今日總結!$A:$AJ,35,0),"")</f>
        <v/>
      </c>
      <c r="K239" s="5" t="str">
        <f>IFERROR(VLOOKUP($G239,今日總結!$A:$AJ,36,0),"")</f>
        <v/>
      </c>
      <c r="L239" s="156" t="str">
        <f>IFERROR(VLOOKUP($G239,今日總結!$A:$AJ,33,0),"")</f>
        <v/>
      </c>
      <c r="M239" s="340" t="str">
        <f>IFERROR(VLOOKUP($G239,今日總結!$A:$AJ,34,0),"")</f>
        <v/>
      </c>
      <c r="N239" s="240" t="str">
        <f t="shared" si="108"/>
        <v/>
      </c>
      <c r="P239" s="365">
        <f>IFERROR(VLOOKUP($G239,融外自投!$A:$J,7,0),"無")</f>
        <v>509</v>
      </c>
      <c r="Q239" s="79">
        <f>IFERROR(VLOOKUP($G239,融外自投!$A:$J,9,0),"無")</f>
        <v>447</v>
      </c>
      <c r="R239" s="346">
        <f>IFERROR(VLOOKUP($G239,融外自投!$A:$J,8,0),"無")</f>
        <v>782</v>
      </c>
      <c r="S239" s="81" t="str">
        <f>IFERROR(VLOOKUP($G239,融外自投!$A:$J,10,0),"無")</f>
        <v>無</v>
      </c>
      <c r="T239" s="327">
        <f>IFERROR(VLOOKUP($G239,'321買'!$A:$E,5,0),"'沒有資料'")</f>
        <v>1007</v>
      </c>
      <c r="U239" s="186">
        <f>IFERROR(VLOOKUP($G239,基本資料!$A:$J,9,0),"無")</f>
        <v>0</v>
      </c>
      <c r="V239" s="310">
        <f t="shared" si="109"/>
        <v>0</v>
      </c>
      <c r="W239" s="94">
        <f>IFERROR(VLOOKUP($G239,基本資料!$A:$J,10,0),"無")</f>
        <v>-0.55000000000000004</v>
      </c>
      <c r="X239" s="36">
        <v>68</v>
      </c>
      <c r="Y239" s="45">
        <v>70</v>
      </c>
      <c r="Z239" s="15">
        <f t="shared" si="111"/>
        <v>-2</v>
      </c>
      <c r="AA239" s="76">
        <f t="shared" si="112"/>
        <v>-2.8571428571428571E-2</v>
      </c>
      <c r="AB239" s="100" t="s">
        <v>2236</v>
      </c>
      <c r="AC239" s="397">
        <f>IFERROR(VLOOKUP($G239,基本資料!$A:$M,12,0),"無")</f>
        <v>20.7</v>
      </c>
      <c r="AD239" s="16" t="s">
        <v>454</v>
      </c>
      <c r="AE239" s="84">
        <v>44202</v>
      </c>
      <c r="AF239" s="86">
        <v>44214</v>
      </c>
      <c r="AG239" s="33">
        <f t="shared" si="110"/>
        <v>12</v>
      </c>
      <c r="AH239" s="43" t="s">
        <v>1993</v>
      </c>
      <c r="AI239" s="259"/>
      <c r="AK239" s="245"/>
      <c r="AL239" s="245"/>
    </row>
    <row r="240" spans="1:39">
      <c r="A240" s="347">
        <f>IFERROR(VLOOKUP($G240,基本資料!$A:$J,3,0),"無")</f>
        <v>8.23</v>
      </c>
      <c r="B240" s="79">
        <f>IFERROR(VLOOKUP($G240,基本資料!$A:$J,4,0),"無")</f>
        <v>-67</v>
      </c>
      <c r="C240" s="79">
        <f>IFERROR(VLOOKUP($G240,基本資料!$A:$J,5,0),"無")</f>
        <v>-63</v>
      </c>
      <c r="D240" s="79">
        <f>IFERROR(VLOOKUP($G240,基本資料!$A:$J,6,0),"無")</f>
        <v>170</v>
      </c>
      <c r="E240" s="79">
        <f>IFERROR(VLOOKUP($G240,基本資料!$A:$J,7,0),"無")</f>
        <v>-2</v>
      </c>
      <c r="F240" s="6">
        <f>IFERROR(VLOOKUP($G240,基本資料!$A:$J,8,0),"無")</f>
        <v>5.49</v>
      </c>
      <c r="G240" s="79">
        <v>5546</v>
      </c>
      <c r="H240" s="4" t="s">
        <v>4003</v>
      </c>
      <c r="I240" s="22" t="s">
        <v>1902</v>
      </c>
      <c r="J240" s="8" t="str">
        <f>IFERROR(VLOOKUP($G240,今日總結!$A:$AJ,35,0),"")</f>
        <v/>
      </c>
      <c r="K240" s="5" t="str">
        <f>IFERROR(VLOOKUP($G240,今日總結!$A:$AJ,36,0),"")</f>
        <v/>
      </c>
      <c r="L240" s="156" t="str">
        <f>IFERROR(VLOOKUP($G240,今日總結!$A:$AJ,33,0),"")</f>
        <v/>
      </c>
      <c r="M240" s="340" t="str">
        <f>IFERROR(VLOOKUP($G240,今日總結!$A:$AJ,34,0),"")</f>
        <v/>
      </c>
      <c r="N240" s="240" t="str">
        <f t="shared" si="108"/>
        <v/>
      </c>
      <c r="P240" s="365">
        <f>IFERROR(VLOOKUP($G240,融外自投!$A:$J,7,0),"無")</f>
        <v>608</v>
      </c>
      <c r="Q240" s="79" t="str">
        <f>IFERROR(VLOOKUP($G240,融外自投!$A:$J,9,0),"無")</f>
        <v>無</v>
      </c>
      <c r="R240" s="346">
        <f>IFERROR(VLOOKUP($G240,融外自投!$A:$J,8,0),"無")</f>
        <v>61</v>
      </c>
      <c r="S240" s="81" t="str">
        <f>IFERROR(VLOOKUP($G240,融外自投!$A:$J,10,0),"無")</f>
        <v>無</v>
      </c>
      <c r="T240" s="327">
        <f>IFERROR(VLOOKUP($G240,'321買'!$A:$E,5,0),"'沒有資料'")</f>
        <v>869</v>
      </c>
      <c r="U240" s="186">
        <f>IFERROR(VLOOKUP($G240,基本資料!$A:$J,9,0),"無")</f>
        <v>5</v>
      </c>
      <c r="V240" s="310">
        <f t="shared" si="109"/>
        <v>6.4599483204134361E-2</v>
      </c>
      <c r="W240" s="94">
        <f>IFERROR(VLOOKUP($G240,基本資料!$A:$J,10,0),"無")</f>
        <v>3.18</v>
      </c>
      <c r="X240" s="13">
        <v>77.400000000000006</v>
      </c>
      <c r="Y240" s="66">
        <v>66</v>
      </c>
      <c r="Z240" s="15">
        <f t="shared" si="111"/>
        <v>11.400000000000006</v>
      </c>
      <c r="AA240" s="63">
        <f t="shared" si="112"/>
        <v>0.17272727272727281</v>
      </c>
      <c r="AB240" s="99" t="s">
        <v>2197</v>
      </c>
      <c r="AC240" s="397">
        <f>IFERROR(VLOOKUP($G240,基本資料!$A:$M,12,0),"無")</f>
        <v>21.34</v>
      </c>
      <c r="AD240" s="22" t="s">
        <v>1902</v>
      </c>
      <c r="AE240" s="84">
        <v>44196</v>
      </c>
      <c r="AF240" s="86">
        <v>44207</v>
      </c>
      <c r="AG240" s="33">
        <f t="shared" si="110"/>
        <v>11</v>
      </c>
      <c r="AH240" s="117" t="s">
        <v>1912</v>
      </c>
      <c r="AI240" s="259"/>
      <c r="AK240" s="245"/>
      <c r="AL240" s="245"/>
    </row>
    <row r="241" spans="1:43">
      <c r="A241" s="347">
        <f>IFERROR(VLOOKUP($G241,基本資料!$A:$J,3,0),"無")</f>
        <v>44.53</v>
      </c>
      <c r="B241" s="79">
        <f>IFERROR(VLOOKUP($G241,基本資料!$A:$J,4,0),"無")</f>
        <v>197</v>
      </c>
      <c r="C241" s="79">
        <f>IFERROR(VLOOKUP($G241,基本資料!$A:$J,5,0),"無")</f>
        <v>199</v>
      </c>
      <c r="D241" s="79">
        <f>IFERROR(VLOOKUP($G241,基本資料!$A:$J,6,0),"無")</f>
        <v>19</v>
      </c>
      <c r="E241" s="79">
        <f>IFERROR(VLOOKUP($G241,基本資料!$A:$J,7,0),"無")</f>
        <v>33</v>
      </c>
      <c r="F241" s="6">
        <f>IFERROR(VLOOKUP($G241,基本資料!$A:$J,8,0),"無")</f>
        <v>7.81</v>
      </c>
      <c r="G241" s="79">
        <v>2034</v>
      </c>
      <c r="H241" s="4" t="s">
        <v>299</v>
      </c>
      <c r="I241" s="22" t="s">
        <v>281</v>
      </c>
      <c r="J241" s="8">
        <f>IFERROR(VLOOKUP($G241,今日總結!$A:$AJ,35,0),"")</f>
        <v>0</v>
      </c>
      <c r="K241" s="5" t="str">
        <f>IFERROR(VLOOKUP($G241,今日總結!$A:$AJ,36,0),"")</f>
        <v>6借</v>
      </c>
      <c r="L241" s="156">
        <f>IFERROR(VLOOKUP($G241,今日總結!$A:$AJ,33,0),"")</f>
        <v>0</v>
      </c>
      <c r="M241" s="340">
        <f>IFERROR(VLOOKUP($G241,今日總結!$A:$AJ,34,0),"")</f>
        <v>3</v>
      </c>
      <c r="N241" s="240">
        <f t="shared" si="108"/>
        <v>-3</v>
      </c>
      <c r="P241" s="365">
        <f>IFERROR(VLOOKUP($G241,融外自投!$A:$J,7,0),"無")</f>
        <v>542</v>
      </c>
      <c r="Q241" s="79">
        <f>IFERROR(VLOOKUP($G241,融外自投!$A:$J,9,0),"無")</f>
        <v>896</v>
      </c>
      <c r="R241" s="346">
        <f>IFERROR(VLOOKUP($G241,融外自投!$A:$J,8,0),"無")</f>
        <v>548</v>
      </c>
      <c r="S241" s="81">
        <f>IFERROR(VLOOKUP($G241,融外自投!$A:$J,10,0),"無")</f>
        <v>201</v>
      </c>
      <c r="T241" s="327">
        <f>IFERROR(VLOOKUP($G241,'321買'!$A:$E,5,0),"'沒有資料'")</f>
        <v>430</v>
      </c>
      <c r="U241" s="186">
        <f>IFERROR(VLOOKUP($G241,基本資料!$A:$J,9,0),"無")</f>
        <v>1.5</v>
      </c>
      <c r="V241" s="310">
        <f t="shared" si="109"/>
        <v>5.4945054945054944E-2</v>
      </c>
      <c r="W241" s="94">
        <f>IFERROR(VLOOKUP($G241,基本資料!$A:$J,10,0),"無")</f>
        <v>2.86</v>
      </c>
      <c r="X241" s="36">
        <v>27.3</v>
      </c>
      <c r="Y241" s="66">
        <v>20</v>
      </c>
      <c r="Z241" s="15">
        <f t="shared" si="111"/>
        <v>7.3000000000000007</v>
      </c>
      <c r="AA241" s="63">
        <f t="shared" si="112"/>
        <v>0.36500000000000005</v>
      </c>
      <c r="AB241" s="99" t="s">
        <v>2198</v>
      </c>
      <c r="AC241" s="397">
        <f>IFERROR(VLOOKUP($G241,基本資料!$A:$M,12,0),"無")</f>
        <v>23.37</v>
      </c>
      <c r="AD241" s="22" t="s">
        <v>281</v>
      </c>
      <c r="AE241" s="84">
        <v>44196</v>
      </c>
      <c r="AF241" s="86">
        <v>44207</v>
      </c>
      <c r="AG241" s="33">
        <f t="shared" si="110"/>
        <v>11</v>
      </c>
      <c r="AH241" s="117" t="s">
        <v>2149</v>
      </c>
      <c r="AI241" s="259"/>
      <c r="AK241" s="245"/>
      <c r="AL241" s="245"/>
    </row>
    <row r="242" spans="1:43" s="7" customFormat="1" ht="17.100000000000001" customHeight="1">
      <c r="A242" s="347">
        <f>IFERROR(VLOOKUP($G242,基本資料!$A:$J,3,0),"無")</f>
        <v>16.34</v>
      </c>
      <c r="B242" s="79">
        <f>IFERROR(VLOOKUP($G242,基本資料!$A:$J,4,0),"無")</f>
        <v>51</v>
      </c>
      <c r="C242" s="79">
        <f>IFERROR(VLOOKUP($G242,基本資料!$A:$J,5,0),"無")</f>
        <v>39</v>
      </c>
      <c r="D242" s="79">
        <f>IFERROR(VLOOKUP($G242,基本資料!$A:$J,6,0),"無")</f>
        <v>0</v>
      </c>
      <c r="E242" s="79">
        <f>IFERROR(VLOOKUP($G242,基本資料!$A:$J,7,0),"無")</f>
        <v>17</v>
      </c>
      <c r="F242" s="6">
        <f>IFERROR(VLOOKUP($G242,基本資料!$A:$J,8,0),"無")</f>
        <v>18.03</v>
      </c>
      <c r="G242" s="79">
        <v>2472</v>
      </c>
      <c r="H242" s="53" t="s">
        <v>3389</v>
      </c>
      <c r="I242" s="22" t="s">
        <v>4512</v>
      </c>
      <c r="J242" s="8">
        <f>IFERROR(VLOOKUP($G242,今日總結!$A:$AJ,35,0),"")</f>
        <v>0</v>
      </c>
      <c r="K242" s="5">
        <f>IFERROR(VLOOKUP($G242,今日總結!$A:$AJ,36,0),"")</f>
        <v>0</v>
      </c>
      <c r="L242" s="156">
        <f>IFERROR(VLOOKUP($G242,今日總結!$A:$AJ,33,0),"")</f>
        <v>0</v>
      </c>
      <c r="M242" s="340">
        <f>IFERROR(VLOOKUP($G242,今日總結!$A:$AJ,34,0),"")</f>
        <v>1</v>
      </c>
      <c r="N242" s="240">
        <f t="shared" si="108"/>
        <v>-1</v>
      </c>
      <c r="P242" s="365">
        <f>IFERROR(VLOOKUP($G242,融外自投!$A:$J,7,0),"無")</f>
        <v>287</v>
      </c>
      <c r="Q242" s="79">
        <f>IFERROR(VLOOKUP($G242,融外自投!$A:$J,9,0),"無")</f>
        <v>734</v>
      </c>
      <c r="R242" s="346">
        <f>IFERROR(VLOOKUP($G242,融外自投!$A:$J,8,0),"無")</f>
        <v>1166</v>
      </c>
      <c r="S242" s="81">
        <f>IFERROR(VLOOKUP($G242,融外自投!$A:$J,10,0),"無")</f>
        <v>491</v>
      </c>
      <c r="T242" s="327">
        <f>IFERROR(VLOOKUP($G242,'321買'!$A:$E,5,0),"'沒有資料'")</f>
        <v>779</v>
      </c>
      <c r="U242" s="186">
        <f>IFERROR(VLOOKUP($G242,基本資料!$A:$J,9,0),"無")</f>
        <v>3.2</v>
      </c>
      <c r="V242" s="310">
        <f t="shared" si="109"/>
        <v>4.3715846994535519E-2</v>
      </c>
      <c r="W242" s="94">
        <f>IFERROR(VLOOKUP($G242,基本資料!$A:$J,10,0),"無")</f>
        <v>6.12</v>
      </c>
      <c r="X242" s="36">
        <v>73.2</v>
      </c>
      <c r="Y242" s="45">
        <v>46</v>
      </c>
      <c r="Z242" s="15">
        <f t="shared" si="111"/>
        <v>27.200000000000003</v>
      </c>
      <c r="AA242" s="63">
        <f t="shared" si="112"/>
        <v>0.59130434782608698</v>
      </c>
      <c r="AB242" s="99" t="s">
        <v>2190</v>
      </c>
      <c r="AC242" s="397">
        <f>IFERROR(VLOOKUP($G242,基本資料!$A:$M,12,0),"無")</f>
        <v>16.829999999999998</v>
      </c>
      <c r="AD242" s="22" t="s">
        <v>180</v>
      </c>
      <c r="AE242" s="84">
        <v>44195</v>
      </c>
      <c r="AF242" s="86">
        <v>44207</v>
      </c>
      <c r="AG242" s="33">
        <f t="shared" si="110"/>
        <v>12</v>
      </c>
      <c r="AH242" s="119" t="s">
        <v>1969</v>
      </c>
      <c r="AI242" s="259"/>
      <c r="AM242" s="250"/>
      <c r="AN242" s="22"/>
      <c r="AO242" s="127"/>
      <c r="AP242" s="250"/>
      <c r="AQ242" s="44"/>
    </row>
    <row r="243" spans="1:43" ht="17.25" customHeight="1">
      <c r="A243" s="347">
        <f>IFERROR(VLOOKUP($G243,基本資料!$A:$J,3,0),"無")</f>
        <v>2.76</v>
      </c>
      <c r="B243" s="79">
        <f>IFERROR(VLOOKUP($G243,基本資料!$A:$J,4,0),"無")</f>
        <v>101</v>
      </c>
      <c r="C243" s="79">
        <f>IFERROR(VLOOKUP($G243,基本資料!$A:$J,5,0),"無")</f>
        <v>-1</v>
      </c>
      <c r="D243" s="79">
        <f>IFERROR(VLOOKUP($G243,基本資料!$A:$J,6,0),"無")</f>
        <v>2</v>
      </c>
      <c r="E243" s="79">
        <f>IFERROR(VLOOKUP($G243,基本資料!$A:$J,7,0),"無")</f>
        <v>-36</v>
      </c>
      <c r="F243" s="6">
        <f>IFERROR(VLOOKUP($G243,基本資料!$A:$J,8,0),"無")</f>
        <v>3.92</v>
      </c>
      <c r="G243" s="79">
        <v>5209</v>
      </c>
      <c r="H243" s="4" t="s">
        <v>3436</v>
      </c>
      <c r="I243" s="16" t="s">
        <v>999</v>
      </c>
      <c r="J243" s="8" t="str">
        <f>IFERROR(VLOOKUP($G243,今日總結!$A:$AJ,35,0),"")</f>
        <v/>
      </c>
      <c r="K243" s="5" t="str">
        <f>IFERROR(VLOOKUP($G243,今日總結!$A:$AJ,36,0),"")</f>
        <v/>
      </c>
      <c r="L243" s="156" t="str">
        <f>IFERROR(VLOOKUP($G243,今日總結!$A:$AJ,33,0),"")</f>
        <v/>
      </c>
      <c r="M243" s="340" t="str">
        <f>IFERROR(VLOOKUP($G243,今日總結!$A:$AJ,34,0),"")</f>
        <v/>
      </c>
      <c r="N243" s="240" t="str">
        <f t="shared" si="108"/>
        <v/>
      </c>
      <c r="P243" s="365" t="str">
        <f>IFERROR(VLOOKUP($G243,融外自投!$A:$J,7,0),"無")</f>
        <v>無</v>
      </c>
      <c r="Q243" s="79" t="str">
        <f>IFERROR(VLOOKUP($G243,融外自投!$A:$J,9,0),"無")</f>
        <v>無</v>
      </c>
      <c r="R243" s="346" t="str">
        <f>IFERROR(VLOOKUP($G243,融外自投!$A:$J,8,0),"無")</f>
        <v>無</v>
      </c>
      <c r="S243" s="81" t="str">
        <f>IFERROR(VLOOKUP($G243,融外自投!$A:$J,10,0),"無")</f>
        <v>無</v>
      </c>
      <c r="T243" s="327" t="str">
        <f>IFERROR(VLOOKUP($G243,'321買'!$A:$E,5,0),"'沒有資料'")</f>
        <v>'沒有資料'</v>
      </c>
      <c r="U243" s="186">
        <f>IFERROR(VLOOKUP($G243,基本資料!$A:$J,9,0),"無")</f>
        <v>8.89</v>
      </c>
      <c r="V243" s="310">
        <f t="shared" si="109"/>
        <v>0.13348348348348352</v>
      </c>
      <c r="W243" s="94">
        <f>IFERROR(VLOOKUP($G243,基本資料!$A:$J,10,0),"無")</f>
        <v>10.02</v>
      </c>
      <c r="X243" s="36">
        <v>66.599999999999994</v>
      </c>
      <c r="Y243" s="66">
        <v>62.46</v>
      </c>
      <c r="Z243" s="15">
        <f t="shared" si="111"/>
        <v>4.1399999999999935</v>
      </c>
      <c r="AA243" s="63">
        <f t="shared" si="112"/>
        <v>6.6282420749279439E-2</v>
      </c>
      <c r="AB243" s="99" t="s">
        <v>2191</v>
      </c>
      <c r="AC243" s="397">
        <f>IFERROR(VLOOKUP($G243,基本資料!$A:$M,12,0),"無")</f>
        <v>43.24</v>
      </c>
      <c r="AD243" s="16" t="s">
        <v>999</v>
      </c>
      <c r="AE243" s="84">
        <v>44195</v>
      </c>
      <c r="AF243" s="86">
        <v>44207</v>
      </c>
      <c r="AG243" s="33">
        <f t="shared" si="110"/>
        <v>12</v>
      </c>
      <c r="AH243" s="43" t="s">
        <v>2143</v>
      </c>
      <c r="AI243" s="259"/>
      <c r="AK243" s="245"/>
      <c r="AL243" s="245"/>
    </row>
    <row r="244" spans="1:43">
      <c r="A244" s="347">
        <f>IFERROR(VLOOKUP($G244,基本資料!$A:$J,3,0),"無")</f>
        <v>5.67</v>
      </c>
      <c r="B244" s="79">
        <f>IFERROR(VLOOKUP($G244,基本資料!$A:$J,4,0),"無")</f>
        <v>57</v>
      </c>
      <c r="C244" s="79">
        <f>IFERROR(VLOOKUP($G244,基本資料!$A:$J,5,0),"無")</f>
        <v>35</v>
      </c>
      <c r="D244" s="79">
        <f>IFERROR(VLOOKUP($G244,基本資料!$A:$J,6,0),"無")</f>
        <v>-9</v>
      </c>
      <c r="E244" s="79">
        <f>IFERROR(VLOOKUP($G244,基本資料!$A:$J,7,0),"無")</f>
        <v>36</v>
      </c>
      <c r="F244" s="6">
        <f>IFERROR(VLOOKUP($G244,基本資料!$A:$J,8,0),"無")</f>
        <v>14.96</v>
      </c>
      <c r="G244" s="80">
        <v>3541</v>
      </c>
      <c r="H244" s="4" t="s">
        <v>314</v>
      </c>
      <c r="I244" s="16" t="s">
        <v>6122</v>
      </c>
      <c r="J244" s="8" t="str">
        <f>IFERROR(VLOOKUP($G244,今日總結!$A:$AJ,35,0),"")</f>
        <v/>
      </c>
      <c r="K244" s="5" t="str">
        <f>IFERROR(VLOOKUP($G244,今日總結!$A:$AJ,36,0),"")</f>
        <v/>
      </c>
      <c r="L244" s="156" t="str">
        <f>IFERROR(VLOOKUP($G244,今日總結!$A:$AJ,33,0),"")</f>
        <v/>
      </c>
      <c r="M244" s="340" t="str">
        <f>IFERROR(VLOOKUP($G244,今日總結!$A:$AJ,34,0),"")</f>
        <v/>
      </c>
      <c r="N244" s="240" t="str">
        <f t="shared" si="108"/>
        <v/>
      </c>
      <c r="P244" s="365">
        <f>IFERROR(VLOOKUP($G244,融外自投!$A:$J,7,0),"無")</f>
        <v>560</v>
      </c>
      <c r="Q244" s="79">
        <f>IFERROR(VLOOKUP($G244,融外自投!$A:$J,9,0),"無")</f>
        <v>296</v>
      </c>
      <c r="R244" s="346">
        <f>IFERROR(VLOOKUP($G244,融外自投!$A:$J,8,0),"無")</f>
        <v>722</v>
      </c>
      <c r="S244" s="81">
        <f>IFERROR(VLOOKUP($G244,融外自投!$A:$J,10,0),"無")</f>
        <v>437</v>
      </c>
      <c r="T244" s="327">
        <f>IFERROR(VLOOKUP($G244,'321買'!$A:$E,5,0),"'沒有資料'")</f>
        <v>634</v>
      </c>
      <c r="U244" s="186">
        <f>IFERROR(VLOOKUP($G244,基本資料!$A:$J,9,0),"無")</f>
        <v>3</v>
      </c>
      <c r="V244" s="310">
        <f t="shared" si="109"/>
        <v>5.3285968028419187E-2</v>
      </c>
      <c r="W244" s="94">
        <f>IFERROR(VLOOKUP($G244,基本資料!$A:$J,10,0),"無")</f>
        <v>3.38</v>
      </c>
      <c r="X244" s="36">
        <v>56.3</v>
      </c>
      <c r="Y244" s="66">
        <v>45</v>
      </c>
      <c r="Z244" s="15">
        <f t="shared" si="111"/>
        <v>11.299999999999997</v>
      </c>
      <c r="AA244" s="63">
        <f t="shared" si="112"/>
        <v>0.25111111111111106</v>
      </c>
      <c r="AB244" s="99" t="s">
        <v>2186</v>
      </c>
      <c r="AC244" s="397">
        <f>IFERROR(VLOOKUP($G244,基本資料!$A:$M,12,0),"無")</f>
        <v>73.5</v>
      </c>
      <c r="AD244" s="16" t="s">
        <v>157</v>
      </c>
      <c r="AE244" s="84">
        <v>44193</v>
      </c>
      <c r="AF244" s="86">
        <v>44203</v>
      </c>
      <c r="AG244" s="33">
        <f t="shared" si="110"/>
        <v>10</v>
      </c>
      <c r="AH244" s="117" t="s">
        <v>2135</v>
      </c>
      <c r="AI244" s="259"/>
      <c r="AK244" s="245"/>
      <c r="AL244" s="245"/>
    </row>
    <row r="245" spans="1:43">
      <c r="A245" s="347">
        <f>IFERROR(VLOOKUP($G245,基本資料!$A:$J,3,0),"無")</f>
        <v>127</v>
      </c>
      <c r="B245" s="79">
        <f>IFERROR(VLOOKUP($G245,基本資料!$A:$J,4,0),"無")</f>
        <v>153</v>
      </c>
      <c r="C245" s="79">
        <f>IFERROR(VLOOKUP($G245,基本資料!$A:$J,5,0),"無")</f>
        <v>80</v>
      </c>
      <c r="D245" s="79">
        <f>IFERROR(VLOOKUP($G245,基本資料!$A:$J,6,0),"無")</f>
        <v>-19</v>
      </c>
      <c r="E245" s="79">
        <f>IFERROR(VLOOKUP($G245,基本資料!$A:$J,7,0),"無")</f>
        <v>14</v>
      </c>
      <c r="F245" s="6">
        <f>IFERROR(VLOOKUP($G245,基本資料!$A:$J,8,0),"無")</f>
        <v>7.34</v>
      </c>
      <c r="G245" s="79">
        <v>1909</v>
      </c>
      <c r="H245" s="52" t="s">
        <v>3413</v>
      </c>
      <c r="I245" s="22" t="s">
        <v>131</v>
      </c>
      <c r="J245" s="8">
        <f>IFERROR(VLOOKUP($G245,今日總結!$A:$AJ,35,0),"")</f>
        <v>0</v>
      </c>
      <c r="K245" s="5">
        <f>IFERROR(VLOOKUP($G245,今日總結!$A:$AJ,36,0),"")</f>
        <v>0</v>
      </c>
      <c r="L245" s="156">
        <f>IFERROR(VLOOKUP($G245,今日總結!$A:$AJ,33,0),"")</f>
        <v>0</v>
      </c>
      <c r="M245" s="340">
        <f>IFERROR(VLOOKUP($G245,今日總結!$A:$AJ,34,0),"")</f>
        <v>1</v>
      </c>
      <c r="N245" s="240">
        <f t="shared" si="108"/>
        <v>-1</v>
      </c>
      <c r="P245" s="365">
        <f>IFERROR(VLOOKUP($G245,融外自投!$A:$J,7,0),"無")</f>
        <v>677</v>
      </c>
      <c r="Q245" s="79">
        <f>IFERROR(VLOOKUP($G245,融外自投!$A:$J,9,0),"無")</f>
        <v>896</v>
      </c>
      <c r="R245" s="346">
        <f>IFERROR(VLOOKUP($G245,融外自投!$A:$J,8,0),"無")</f>
        <v>477</v>
      </c>
      <c r="S245" s="81" t="str">
        <f>IFERROR(VLOOKUP($G245,融外自投!$A:$J,10,0),"無")</f>
        <v>無</v>
      </c>
      <c r="T245" s="327">
        <f>IFERROR(VLOOKUP($G245,'321買'!$A:$E,5,0),"'沒有資料'")</f>
        <v>357</v>
      </c>
      <c r="U245" s="186">
        <f>IFERROR(VLOOKUP($G245,基本資料!$A:$J,9,0),"無")</f>
        <v>1.2</v>
      </c>
      <c r="V245" s="310">
        <f t="shared" si="109"/>
        <v>5.3691275167785227E-2</v>
      </c>
      <c r="W245" s="94">
        <f>IFERROR(VLOOKUP($G245,基本資料!$A:$J,10,0),"無")</f>
        <v>1.84</v>
      </c>
      <c r="X245" s="36">
        <v>22.35</v>
      </c>
      <c r="Y245" s="66">
        <v>14.8</v>
      </c>
      <c r="Z245" s="15">
        <f t="shared" si="111"/>
        <v>7.5500000000000007</v>
      </c>
      <c r="AA245" s="63">
        <f t="shared" si="112"/>
        <v>0.5101351351351352</v>
      </c>
      <c r="AB245" s="99" t="s">
        <v>2187</v>
      </c>
      <c r="AC245" s="397">
        <f>IFERROR(VLOOKUP($G245,基本資料!$A:$M,12,0),"無")</f>
        <v>27.68</v>
      </c>
      <c r="AD245" s="22" t="s">
        <v>131</v>
      </c>
      <c r="AE245" s="84">
        <v>44193</v>
      </c>
      <c r="AF245" s="86">
        <v>44203</v>
      </c>
      <c r="AG245" s="33">
        <f t="shared" si="110"/>
        <v>10</v>
      </c>
      <c r="AH245" s="117" t="s">
        <v>2136</v>
      </c>
      <c r="AI245" s="259"/>
      <c r="AK245" s="245"/>
      <c r="AL245" s="245"/>
    </row>
    <row r="246" spans="1:43" ht="17.25" customHeight="1">
      <c r="A246" s="347">
        <f>IFERROR(VLOOKUP($G246,基本資料!$A:$J,3,0),"無")</f>
        <v>2</v>
      </c>
      <c r="B246" s="79">
        <f>IFERROR(VLOOKUP($G246,基本資料!$A:$J,4,0),"無")</f>
        <v>3</v>
      </c>
      <c r="C246" s="79">
        <f>IFERROR(VLOOKUP($G246,基本資料!$A:$J,5,0),"無")</f>
        <v>-4</v>
      </c>
      <c r="D246" s="79">
        <f>IFERROR(VLOOKUP($G246,基本資料!$A:$J,6,0),"無")</f>
        <v>0</v>
      </c>
      <c r="E246" s="79">
        <f>IFERROR(VLOOKUP($G246,基本資料!$A:$J,7,0),"無")</f>
        <v>39</v>
      </c>
      <c r="F246" s="6">
        <f>IFERROR(VLOOKUP($G246,基本資料!$A:$J,8,0),"無")</f>
        <v>3.12</v>
      </c>
      <c r="G246" s="80">
        <v>6751</v>
      </c>
      <c r="H246" s="4" t="s">
        <v>3436</v>
      </c>
      <c r="I246" s="16" t="s">
        <v>2139</v>
      </c>
      <c r="J246" s="8" t="str">
        <f>IFERROR(VLOOKUP($G246,今日總結!$A:$AJ,35,0),"")</f>
        <v/>
      </c>
      <c r="K246" s="5" t="str">
        <f>IFERROR(VLOOKUP($G246,今日總結!$A:$AJ,36,0),"")</f>
        <v/>
      </c>
      <c r="L246" s="156" t="str">
        <f>IFERROR(VLOOKUP($G246,今日總結!$A:$AJ,33,0),"")</f>
        <v/>
      </c>
      <c r="M246" s="340" t="str">
        <f>IFERROR(VLOOKUP($G246,今日總結!$A:$AJ,34,0),"")</f>
        <v/>
      </c>
      <c r="N246" s="240" t="str">
        <f t="shared" si="108"/>
        <v/>
      </c>
      <c r="P246" s="365" t="str">
        <f>IFERROR(VLOOKUP($G246,融外自投!$A:$J,7,0),"無")</f>
        <v>無</v>
      </c>
      <c r="Q246" s="79" t="str">
        <f>IFERROR(VLOOKUP($G246,融外自投!$A:$J,9,0),"無")</f>
        <v>無</v>
      </c>
      <c r="R246" s="346" t="str">
        <f>IFERROR(VLOOKUP($G246,融外自投!$A:$J,8,0),"無")</f>
        <v>無</v>
      </c>
      <c r="S246" s="81" t="str">
        <f>IFERROR(VLOOKUP($G246,融外自投!$A:$J,10,0),"無")</f>
        <v>無</v>
      </c>
      <c r="T246" s="327" t="str">
        <f>IFERROR(VLOOKUP($G246,'321買'!$A:$E,5,0),"'沒有資料'")</f>
        <v>'沒有資料'</v>
      </c>
      <c r="U246" s="186">
        <f>IFERROR(VLOOKUP($G246,基本資料!$A:$J,9,0),"無")</f>
        <v>2.1</v>
      </c>
      <c r="V246" s="310">
        <f t="shared" si="109"/>
        <v>2.6683608640406607E-2</v>
      </c>
      <c r="W246" s="94">
        <f>IFERROR(VLOOKUP($G246,基本資料!$A:$J,10,0),"無")</f>
        <v>2.44</v>
      </c>
      <c r="X246" s="36">
        <v>78.7</v>
      </c>
      <c r="Y246" s="66">
        <v>60</v>
      </c>
      <c r="Z246" s="15">
        <f t="shared" si="111"/>
        <v>18.700000000000003</v>
      </c>
      <c r="AA246" s="63">
        <f t="shared" si="112"/>
        <v>0.3116666666666667</v>
      </c>
      <c r="AB246" s="99" t="s">
        <v>2171</v>
      </c>
      <c r="AC246" s="397">
        <f>IFERROR(VLOOKUP($G246,基本資料!$A:$M,12,0),"無")</f>
        <v>13.48</v>
      </c>
      <c r="AD246" s="16" t="s">
        <v>2139</v>
      </c>
      <c r="AE246" s="84">
        <v>44190</v>
      </c>
      <c r="AF246" s="86">
        <v>44200</v>
      </c>
      <c r="AG246" s="33">
        <f t="shared" si="110"/>
        <v>10</v>
      </c>
      <c r="AH246" s="43" t="s">
        <v>2140</v>
      </c>
      <c r="AI246" s="259"/>
      <c r="AK246" s="245"/>
      <c r="AL246" s="245"/>
    </row>
    <row r="247" spans="1:43">
      <c r="A247" s="347">
        <f>IFERROR(VLOOKUP($G247,基本資料!$A:$J,3,0),"無")</f>
        <v>2.2999999999999998</v>
      </c>
      <c r="B247" s="79">
        <f>IFERROR(VLOOKUP($G247,基本資料!$A:$J,4,0),"無")</f>
        <v>167</v>
      </c>
      <c r="C247" s="79">
        <f>IFERROR(VLOOKUP($G247,基本資料!$A:$J,5,0),"無")</f>
        <v>168</v>
      </c>
      <c r="D247" s="79">
        <f>IFERROR(VLOOKUP($G247,基本資料!$A:$J,6,0),"無")</f>
        <v>56</v>
      </c>
      <c r="E247" s="79">
        <f>IFERROR(VLOOKUP($G247,基本資料!$A:$J,7,0),"無")</f>
        <v>58</v>
      </c>
      <c r="F247" s="6">
        <f>IFERROR(VLOOKUP($G247,基本資料!$A:$J,8,0),"無")</f>
        <v>17.600000000000001</v>
      </c>
      <c r="G247" s="80">
        <v>6728</v>
      </c>
      <c r="H247" s="4" t="s">
        <v>1960</v>
      </c>
      <c r="I247" s="16" t="s">
        <v>2141</v>
      </c>
      <c r="J247" s="8" t="str">
        <f>IFERROR(VLOOKUP($G247,今日總結!$A:$AJ,35,0),"")</f>
        <v/>
      </c>
      <c r="K247" s="5" t="str">
        <f>IFERROR(VLOOKUP($G247,今日總結!$A:$AJ,36,0),"")</f>
        <v/>
      </c>
      <c r="L247" s="156" t="str">
        <f>IFERROR(VLOOKUP($G247,今日總結!$A:$AJ,33,0),"")</f>
        <v/>
      </c>
      <c r="M247" s="340" t="str">
        <f>IFERROR(VLOOKUP($G247,今日總結!$A:$AJ,34,0),"")</f>
        <v/>
      </c>
      <c r="N247" s="240" t="str">
        <f t="shared" si="108"/>
        <v/>
      </c>
      <c r="P247" s="365" t="str">
        <f>IFERROR(VLOOKUP($G247,融外自投!$A:$J,7,0),"無")</f>
        <v>無</v>
      </c>
      <c r="Q247" s="79" t="str">
        <f>IFERROR(VLOOKUP($G247,融外自投!$A:$J,9,0),"無")</f>
        <v>無</v>
      </c>
      <c r="R247" s="346" t="str">
        <f>IFERROR(VLOOKUP($G247,融外自投!$A:$J,8,0),"無")</f>
        <v>無</v>
      </c>
      <c r="S247" s="81" t="str">
        <f>IFERROR(VLOOKUP($G247,融外自投!$A:$J,10,0),"無")</f>
        <v>無</v>
      </c>
      <c r="T247" s="327" t="str">
        <f>IFERROR(VLOOKUP($G247,'321買'!$A:$E,5,0),"'沒有資料'")</f>
        <v>'沒有資料'</v>
      </c>
      <c r="U247" s="186">
        <f>IFERROR(VLOOKUP($G247,基本資料!$A:$J,9,0),"無")</f>
        <v>9</v>
      </c>
      <c r="V247" s="310">
        <f t="shared" si="109"/>
        <v>0.15789473684210525</v>
      </c>
      <c r="W247" s="94">
        <f>IFERROR(VLOOKUP($G247,基本資料!$A:$J,10,0),"無")</f>
        <v>11.74</v>
      </c>
      <c r="X247" s="36">
        <v>57</v>
      </c>
      <c r="Y247" s="66">
        <v>43</v>
      </c>
      <c r="Z247" s="15">
        <f t="shared" si="111"/>
        <v>14</v>
      </c>
      <c r="AA247" s="63">
        <f t="shared" si="112"/>
        <v>0.32558139534883723</v>
      </c>
      <c r="AB247" s="99" t="s">
        <v>2172</v>
      </c>
      <c r="AC247" s="397">
        <f>IFERROR(VLOOKUP($G247,基本資料!$A:$M,12,0),"無")</f>
        <v>64.11</v>
      </c>
      <c r="AD247" s="16" t="s">
        <v>2141</v>
      </c>
      <c r="AE247" s="84">
        <v>44190</v>
      </c>
      <c r="AF247" s="86">
        <v>44200</v>
      </c>
      <c r="AG247" s="33">
        <f t="shared" si="110"/>
        <v>10</v>
      </c>
      <c r="AH247" s="43" t="s">
        <v>2142</v>
      </c>
      <c r="AI247" s="259"/>
      <c r="AK247" s="245"/>
      <c r="AL247" s="245"/>
    </row>
    <row r="248" spans="1:43">
      <c r="A248" s="347">
        <f>IFERROR(VLOOKUP($G248,基本資料!$A:$J,3,0),"無")</f>
        <v>11.8</v>
      </c>
      <c r="B248" s="79">
        <f>IFERROR(VLOOKUP($G248,基本資料!$A:$J,4,0),"無")</f>
        <v>-11</v>
      </c>
      <c r="C248" s="79">
        <f>IFERROR(VLOOKUP($G248,基本資料!$A:$J,5,0),"無")</f>
        <v>-11</v>
      </c>
      <c r="D248" s="79">
        <f>IFERROR(VLOOKUP($G248,基本資料!$A:$J,6,0),"無")</f>
        <v>143</v>
      </c>
      <c r="E248" s="79">
        <f>IFERROR(VLOOKUP($G248,基本資料!$A:$J,7,0),"無")</f>
        <v>176333</v>
      </c>
      <c r="F248" s="6">
        <f>IFERROR(VLOOKUP($G248,基本資料!$A:$J,8,0),"無")</f>
        <v>-238.3</v>
      </c>
      <c r="G248" s="79">
        <v>6576</v>
      </c>
      <c r="H248" s="4" t="s">
        <v>4726</v>
      </c>
      <c r="I248" s="16" t="s">
        <v>625</v>
      </c>
      <c r="J248" s="8" t="str">
        <f>IFERROR(VLOOKUP($G248,今日總結!$A:$AJ,35,0),"")</f>
        <v/>
      </c>
      <c r="K248" s="5" t="str">
        <f>IFERROR(VLOOKUP($G248,今日總結!$A:$AJ,36,0),"")</f>
        <v/>
      </c>
      <c r="L248" s="156" t="str">
        <f>IFERROR(VLOOKUP($G248,今日總結!$A:$AJ,33,0),"")</f>
        <v/>
      </c>
      <c r="M248" s="340" t="str">
        <f>IFERROR(VLOOKUP($G248,今日總結!$A:$AJ,34,0),"")</f>
        <v/>
      </c>
      <c r="N248" s="240" t="str">
        <f t="shared" si="108"/>
        <v/>
      </c>
      <c r="P248" s="365" t="str">
        <f>IFERROR(VLOOKUP($G248,融外自投!$A:$J,7,0),"無")</f>
        <v>無</v>
      </c>
      <c r="Q248" s="79" t="str">
        <f>IFERROR(VLOOKUP($G248,融外自投!$A:$J,9,0),"無")</f>
        <v>無</v>
      </c>
      <c r="R248" s="346" t="str">
        <f>IFERROR(VLOOKUP($G248,融外自投!$A:$J,8,0),"無")</f>
        <v>無</v>
      </c>
      <c r="S248" s="81" t="str">
        <f>IFERROR(VLOOKUP($G248,融外自投!$A:$J,10,0),"無")</f>
        <v>無</v>
      </c>
      <c r="T248" s="327" t="str">
        <f>IFERROR(VLOOKUP($G248,'321買'!$A:$E,5,0),"'沒有資料'")</f>
        <v>'沒有資料'</v>
      </c>
      <c r="U248" s="186">
        <f>IFERROR(VLOOKUP($G248,基本資料!$A:$J,9,0),"無")</f>
        <v>0</v>
      </c>
      <c r="V248" s="310">
        <f t="shared" si="109"/>
        <v>0</v>
      </c>
      <c r="W248" s="94">
        <f>IFERROR(VLOOKUP($G248,基本資料!$A:$J,10,0),"無")</f>
        <v>-4.8499999999999996</v>
      </c>
      <c r="X248" s="36">
        <v>88.8</v>
      </c>
      <c r="Y248" s="66">
        <v>88</v>
      </c>
      <c r="Z248" s="15">
        <f t="shared" si="111"/>
        <v>0.79999999999999716</v>
      </c>
      <c r="AA248" s="63">
        <f t="shared" si="112"/>
        <v>9.0909090909090592E-3</v>
      </c>
      <c r="AB248" s="99" t="s">
        <v>2173</v>
      </c>
      <c r="AC248" s="397">
        <f>IFERROR(VLOOKUP($G248,基本資料!$A:$M,12,0),"無")</f>
        <v>29.38</v>
      </c>
      <c r="AD248" s="16" t="s">
        <v>625</v>
      </c>
      <c r="AE248" s="84">
        <v>44190</v>
      </c>
      <c r="AF248" s="86">
        <v>44200</v>
      </c>
      <c r="AG248" s="33">
        <f t="shared" si="110"/>
        <v>10</v>
      </c>
      <c r="AH248" s="43" t="s">
        <v>2082</v>
      </c>
      <c r="AI248" s="259"/>
      <c r="AK248" s="245"/>
      <c r="AL248" s="245"/>
    </row>
    <row r="249" spans="1:43">
      <c r="A249" s="347">
        <f>IFERROR(VLOOKUP($G249,基本資料!$A:$J,3,0),"無")</f>
        <v>34.07</v>
      </c>
      <c r="B249" s="79">
        <f>IFERROR(VLOOKUP($G249,基本資料!$A:$J,4,0),"無")</f>
        <v>85</v>
      </c>
      <c r="C249" s="79">
        <f>IFERROR(VLOOKUP($G249,基本資料!$A:$J,5,0),"無")</f>
        <v>195</v>
      </c>
      <c r="D249" s="79">
        <f>IFERROR(VLOOKUP($G249,基本資料!$A:$J,6,0),"無")</f>
        <v>1</v>
      </c>
      <c r="E249" s="79">
        <f>IFERROR(VLOOKUP($G249,基本資料!$A:$J,7,0),"無")</f>
        <v>22</v>
      </c>
      <c r="F249" s="6">
        <f>IFERROR(VLOOKUP($G249,基本資料!$A:$J,8,0),"無")</f>
        <v>18.760000000000002</v>
      </c>
      <c r="G249" s="79">
        <v>2049</v>
      </c>
      <c r="H249" s="4" t="s">
        <v>295</v>
      </c>
      <c r="I249" s="22" t="s">
        <v>6123</v>
      </c>
      <c r="J249" s="8" t="str">
        <f>IFERROR(VLOOKUP($G249,今日總結!$A:$AJ,35,0),"")</f>
        <v/>
      </c>
      <c r="K249" s="5" t="str">
        <f>IFERROR(VLOOKUP($G249,今日總結!$A:$AJ,36,0),"")</f>
        <v/>
      </c>
      <c r="L249" s="156" t="str">
        <f>IFERROR(VLOOKUP($G249,今日總結!$A:$AJ,33,0),"")</f>
        <v/>
      </c>
      <c r="M249" s="340" t="str">
        <f>IFERROR(VLOOKUP($G249,今日總結!$A:$AJ,34,0),"")</f>
        <v/>
      </c>
      <c r="N249" s="240" t="str">
        <f t="shared" si="108"/>
        <v/>
      </c>
      <c r="P249" s="365">
        <f>IFERROR(VLOOKUP($G249,融外自投!$A:$J,7,0),"無")</f>
        <v>918</v>
      </c>
      <c r="Q249" s="79">
        <f>IFERROR(VLOOKUP($G249,融外自投!$A:$J,9,0),"無")</f>
        <v>65</v>
      </c>
      <c r="R249" s="346">
        <f>IFERROR(VLOOKUP($G249,融外自投!$A:$J,8,0),"無")</f>
        <v>120</v>
      </c>
      <c r="S249" s="81">
        <f>IFERROR(VLOOKUP($G249,融外自投!$A:$J,10,0),"無")</f>
        <v>312</v>
      </c>
      <c r="T249" s="327">
        <f>IFERROR(VLOOKUP($G249,'321買'!$A:$E,5,0),"'沒有資料'")</f>
        <v>430</v>
      </c>
      <c r="U249" s="186">
        <f>IFERROR(VLOOKUP($G249,基本資料!$A:$J,9,0),"無")</f>
        <v>4.5</v>
      </c>
      <c r="V249" s="310">
        <f t="shared" si="109"/>
        <v>1.171875E-2</v>
      </c>
      <c r="W249" s="94">
        <f>IFERROR(VLOOKUP($G249,基本資料!$A:$J,10,0),"無")</f>
        <v>10.36</v>
      </c>
      <c r="X249" s="13">
        <v>384</v>
      </c>
      <c r="Y249" s="66">
        <v>195</v>
      </c>
      <c r="Z249" s="15">
        <f t="shared" ref="Z249:Z280" si="113">X249-Y249</f>
        <v>189</v>
      </c>
      <c r="AA249" s="63">
        <f t="shared" ref="AA249:AA280" si="114">Z249/Y249</f>
        <v>0.96923076923076923</v>
      </c>
      <c r="AB249" s="99" t="s">
        <v>2174</v>
      </c>
      <c r="AC249" s="397">
        <f>IFERROR(VLOOKUP($G249,基本資料!$A:$M,12,0),"無")</f>
        <v>30.35</v>
      </c>
      <c r="AD249" s="22" t="s">
        <v>21</v>
      </c>
      <c r="AE249" s="84">
        <v>44190</v>
      </c>
      <c r="AF249" s="86">
        <v>44200</v>
      </c>
      <c r="AG249" s="33">
        <f t="shared" si="110"/>
        <v>10</v>
      </c>
      <c r="AH249" s="117" t="s">
        <v>1997</v>
      </c>
      <c r="AI249" s="259"/>
      <c r="AK249" s="245"/>
      <c r="AL249" s="245"/>
    </row>
    <row r="250" spans="1:43">
      <c r="A250" s="347">
        <f>IFERROR(VLOOKUP($G250,基本資料!$A:$J,3,0),"無")</f>
        <v>3.52</v>
      </c>
      <c r="B250" s="79">
        <f>IFERROR(VLOOKUP($G250,基本資料!$A:$J,4,0),"無")</f>
        <v>19</v>
      </c>
      <c r="C250" s="79">
        <f>IFERROR(VLOOKUP($G250,基本資料!$A:$J,5,0),"無")</f>
        <v>48</v>
      </c>
      <c r="D250" s="79">
        <f>IFERROR(VLOOKUP($G250,基本資料!$A:$J,6,0),"無")</f>
        <v>7</v>
      </c>
      <c r="E250" s="79">
        <f>IFERROR(VLOOKUP($G250,基本資料!$A:$J,7,0),"無")</f>
        <v>-56</v>
      </c>
      <c r="F250" s="6">
        <f>IFERROR(VLOOKUP($G250,基本資料!$A:$J,8,0),"無")</f>
        <v>14.77</v>
      </c>
      <c r="G250" s="79">
        <v>1593</v>
      </c>
      <c r="H250" s="4" t="s">
        <v>4726</v>
      </c>
      <c r="I250" s="16" t="s">
        <v>606</v>
      </c>
      <c r="J250" s="8" t="str">
        <f>IFERROR(VLOOKUP($G250,今日總結!$A:$AJ,35,0),"")</f>
        <v/>
      </c>
      <c r="K250" s="5" t="str">
        <f>IFERROR(VLOOKUP($G250,今日總結!$A:$AJ,36,0),"")</f>
        <v/>
      </c>
      <c r="L250" s="156" t="str">
        <f>IFERROR(VLOOKUP($G250,今日總結!$A:$AJ,33,0),"")</f>
        <v/>
      </c>
      <c r="M250" s="340" t="str">
        <f>IFERROR(VLOOKUP($G250,今日總結!$A:$AJ,34,0),"")</f>
        <v/>
      </c>
      <c r="N250" s="240" t="str">
        <f t="shared" si="108"/>
        <v/>
      </c>
      <c r="P250" s="365">
        <f>IFERROR(VLOOKUP($G250,融外自投!$A:$J,7,0),"無")</f>
        <v>381</v>
      </c>
      <c r="Q250" s="79">
        <f>IFERROR(VLOOKUP($G250,融外自投!$A:$J,9,0),"無")</f>
        <v>514</v>
      </c>
      <c r="R250" s="346">
        <f>IFERROR(VLOOKUP($G250,融外自投!$A:$J,8,0),"無")</f>
        <v>1063</v>
      </c>
      <c r="S250" s="81" t="str">
        <f>IFERROR(VLOOKUP($G250,融外自投!$A:$J,10,0),"無")</f>
        <v>無</v>
      </c>
      <c r="T250" s="327" t="str">
        <f>IFERROR(VLOOKUP($G250,'321買'!$A:$E,5,0),"'沒有資料'")</f>
        <v>'沒有資料'</v>
      </c>
      <c r="U250" s="186">
        <f>IFERROR(VLOOKUP($G250,基本資料!$A:$J,9,0),"無")</f>
        <v>3.8</v>
      </c>
      <c r="V250" s="310">
        <f t="shared" si="109"/>
        <v>4.6341463414634146E-2</v>
      </c>
      <c r="W250" s="94">
        <f>IFERROR(VLOOKUP($G250,基本資料!$A:$J,10,0),"無")</f>
        <v>4.9000000000000004</v>
      </c>
      <c r="X250" s="36">
        <v>82</v>
      </c>
      <c r="Y250" s="45">
        <v>50</v>
      </c>
      <c r="Z250" s="15">
        <f t="shared" si="113"/>
        <v>32</v>
      </c>
      <c r="AA250" s="63">
        <f t="shared" si="114"/>
        <v>0.64</v>
      </c>
      <c r="AB250" s="99" t="s">
        <v>942</v>
      </c>
      <c r="AC250" s="397">
        <f>IFERROR(VLOOKUP($G250,基本資料!$A:$M,12,0),"無")</f>
        <v>39.47</v>
      </c>
      <c r="AD250" s="16" t="s">
        <v>606</v>
      </c>
      <c r="AE250" s="84">
        <v>44190</v>
      </c>
      <c r="AF250" s="86">
        <v>44200</v>
      </c>
      <c r="AG250" s="33">
        <f t="shared" si="110"/>
        <v>10</v>
      </c>
      <c r="AH250" s="43" t="s">
        <v>1966</v>
      </c>
      <c r="AI250" s="259"/>
      <c r="AK250" s="245"/>
      <c r="AL250" s="245"/>
    </row>
    <row r="251" spans="1:43">
      <c r="A251" s="347">
        <f>IFERROR(VLOOKUP($G251,基本資料!$A:$J,3,0),"無")</f>
        <v>6.84</v>
      </c>
      <c r="B251" s="79">
        <f>IFERROR(VLOOKUP($G251,基本資料!$A:$J,4,0),"無")</f>
        <v>176</v>
      </c>
      <c r="C251" s="79">
        <f>IFERROR(VLOOKUP($G251,基本資料!$A:$J,5,0),"無")</f>
        <v>166</v>
      </c>
      <c r="D251" s="79">
        <f>IFERROR(VLOOKUP($G251,基本資料!$A:$J,6,0),"無")</f>
        <v>-3</v>
      </c>
      <c r="E251" s="79">
        <f>IFERROR(VLOOKUP($G251,基本資料!$A:$J,7,0),"無")</f>
        <v>26</v>
      </c>
      <c r="F251" s="6">
        <f>IFERROR(VLOOKUP($G251,基本資料!$A:$J,8,0),"無")</f>
        <v>30.58</v>
      </c>
      <c r="G251" s="79">
        <v>6756</v>
      </c>
      <c r="H251" s="4" t="s">
        <v>3039</v>
      </c>
      <c r="I251" s="22" t="s">
        <v>2133</v>
      </c>
      <c r="J251" s="8">
        <f>IFERROR(VLOOKUP($G251,今日總結!$A:$AJ,35,0),"")</f>
        <v>0</v>
      </c>
      <c r="K251" s="5">
        <f>IFERROR(VLOOKUP($G251,今日總結!$A:$AJ,36,0),"")</f>
        <v>6</v>
      </c>
      <c r="L251" s="156">
        <f>IFERROR(VLOOKUP($G251,今日總結!$A:$AJ,33,0),"")</f>
        <v>0</v>
      </c>
      <c r="M251" s="340">
        <f>IFERROR(VLOOKUP($G251,今日總結!$A:$AJ,34,0),"")</f>
        <v>1</v>
      </c>
      <c r="N251" s="240">
        <f t="shared" si="108"/>
        <v>-1</v>
      </c>
      <c r="P251" s="365">
        <f>IFERROR(VLOOKUP($G251,融外自投!$A:$J,7,0),"無")</f>
        <v>512</v>
      </c>
      <c r="Q251" s="79">
        <f>IFERROR(VLOOKUP($G251,融外自投!$A:$J,9,0),"無")</f>
        <v>1051</v>
      </c>
      <c r="R251" s="346">
        <f>IFERROR(VLOOKUP($G251,融外自投!$A:$J,8,0),"無")</f>
        <v>720</v>
      </c>
      <c r="S251" s="81" t="str">
        <f>IFERROR(VLOOKUP($G251,融外自投!$A:$J,10,0),"無")</f>
        <v>無</v>
      </c>
      <c r="T251" s="327">
        <f>IFERROR(VLOOKUP($G251,'321買'!$A:$E,5,0),"'沒有資料'")</f>
        <v>164</v>
      </c>
      <c r="U251" s="186">
        <f>IFERROR(VLOOKUP($G251,基本資料!$A:$J,9,0),"無")</f>
        <v>10.99</v>
      </c>
      <c r="V251" s="310">
        <f t="shared" si="109"/>
        <v>4.2026768642447421E-2</v>
      </c>
      <c r="W251" s="94">
        <f>IFERROR(VLOOKUP($G251,基本資料!$A:$J,10,0),"無")</f>
        <v>13.04</v>
      </c>
      <c r="X251" s="36">
        <v>261.5</v>
      </c>
      <c r="Y251" s="66">
        <v>168</v>
      </c>
      <c r="Z251" s="15">
        <f t="shared" si="113"/>
        <v>93.5</v>
      </c>
      <c r="AA251" s="63">
        <f t="shared" si="114"/>
        <v>0.55654761904761907</v>
      </c>
      <c r="AB251" s="99" t="s">
        <v>2169</v>
      </c>
      <c r="AC251" s="397">
        <f>IFERROR(VLOOKUP($G251,基本資料!$A:$M,12,0),"無")</f>
        <v>5.2</v>
      </c>
      <c r="AD251" s="22" t="s">
        <v>2133</v>
      </c>
      <c r="AE251" s="84">
        <v>44189</v>
      </c>
      <c r="AF251" s="86">
        <v>44200</v>
      </c>
      <c r="AG251" s="33">
        <f t="shared" si="110"/>
        <v>11</v>
      </c>
      <c r="AH251" s="43" t="s">
        <v>2134</v>
      </c>
      <c r="AI251" s="259"/>
      <c r="AK251" s="245"/>
      <c r="AL251" s="245"/>
    </row>
    <row r="252" spans="1:43">
      <c r="A252" s="347">
        <f>IFERROR(VLOOKUP($G252,基本資料!$A:$J,3,0),"無")</f>
        <v>35.25</v>
      </c>
      <c r="B252" s="79">
        <f>IFERROR(VLOOKUP($G252,基本資料!$A:$J,4,0),"無")</f>
        <v>26</v>
      </c>
      <c r="C252" s="79">
        <f>IFERROR(VLOOKUP($G252,基本資料!$A:$J,5,0),"無")</f>
        <v>23</v>
      </c>
      <c r="D252" s="79">
        <f>IFERROR(VLOOKUP($G252,基本資料!$A:$J,6,0),"無")</f>
        <v>64</v>
      </c>
      <c r="E252" s="79">
        <f>IFERROR(VLOOKUP($G252,基本資料!$A:$J,7,0),"無")</f>
        <v>0</v>
      </c>
      <c r="F252" s="6">
        <f>IFERROR(VLOOKUP($G252,基本資料!$A:$J,8,0),"無")</f>
        <v>-29581.65</v>
      </c>
      <c r="G252" s="80">
        <v>6541</v>
      </c>
      <c r="H252" s="4" t="s">
        <v>4726</v>
      </c>
      <c r="I252" s="22" t="s">
        <v>636</v>
      </c>
      <c r="J252" s="8" t="str">
        <f>IFERROR(VLOOKUP($G252,今日總結!$A:$AJ,35,0),"")</f>
        <v/>
      </c>
      <c r="K252" s="5" t="str">
        <f>IFERROR(VLOOKUP($G252,今日總結!$A:$AJ,36,0),"")</f>
        <v/>
      </c>
      <c r="L252" s="156" t="str">
        <f>IFERROR(VLOOKUP($G252,今日總結!$A:$AJ,33,0),"")</f>
        <v/>
      </c>
      <c r="M252" s="340" t="str">
        <f>IFERROR(VLOOKUP($G252,今日總結!$A:$AJ,34,0),"")</f>
        <v/>
      </c>
      <c r="N252" s="240" t="str">
        <f t="shared" si="108"/>
        <v/>
      </c>
      <c r="P252" s="365" t="str">
        <f>IFERROR(VLOOKUP($G252,融外自投!$A:$J,7,0),"無")</f>
        <v>無</v>
      </c>
      <c r="Q252" s="79" t="str">
        <f>IFERROR(VLOOKUP($G252,融外自投!$A:$J,9,0),"無")</f>
        <v>無</v>
      </c>
      <c r="R252" s="346" t="str">
        <f>IFERROR(VLOOKUP($G252,融外自投!$A:$J,8,0),"無")</f>
        <v>無</v>
      </c>
      <c r="S252" s="81" t="str">
        <f>IFERROR(VLOOKUP($G252,融外自投!$A:$J,10,0),"無")</f>
        <v>無</v>
      </c>
      <c r="T252" s="327" t="str">
        <f>IFERROR(VLOOKUP($G252,'321買'!$A:$E,5,0),"'沒有資料'")</f>
        <v>'沒有資料'</v>
      </c>
      <c r="U252" s="186">
        <f>IFERROR(VLOOKUP($G252,基本資料!$A:$J,9,0),"無")</f>
        <v>0</v>
      </c>
      <c r="V252" s="310">
        <f t="shared" si="109"/>
        <v>0</v>
      </c>
      <c r="W252" s="94">
        <f>IFERROR(VLOOKUP($G252,基本資料!$A:$J,10,0),"無")</f>
        <v>-4.74</v>
      </c>
      <c r="X252" s="36">
        <v>37.299999999999997</v>
      </c>
      <c r="Y252" s="66">
        <v>36</v>
      </c>
      <c r="Z252" s="15">
        <f t="shared" si="113"/>
        <v>1.2999999999999972</v>
      </c>
      <c r="AA252" s="63">
        <f t="shared" si="114"/>
        <v>3.6111111111111031E-2</v>
      </c>
      <c r="AB252" s="99" t="s">
        <v>1699</v>
      </c>
      <c r="AC252" s="397">
        <f>IFERROR(VLOOKUP($G252,基本資料!$A:$M,12,0),"無")</f>
        <v>57.32</v>
      </c>
      <c r="AD252" s="22" t="s">
        <v>636</v>
      </c>
      <c r="AE252" s="84">
        <v>44189</v>
      </c>
      <c r="AF252" s="86">
        <v>44200</v>
      </c>
      <c r="AG252" s="33">
        <f t="shared" si="110"/>
        <v>11</v>
      </c>
      <c r="AH252" s="43" t="s">
        <v>2125</v>
      </c>
      <c r="AI252" s="259"/>
      <c r="AK252" s="245"/>
      <c r="AL252" s="245"/>
    </row>
    <row r="253" spans="1:43">
      <c r="A253" s="347">
        <f>IFERROR(VLOOKUP($G253,基本資料!$A:$J,3,0),"無")</f>
        <v>8.4600000000000009</v>
      </c>
      <c r="B253" s="79">
        <f>IFERROR(VLOOKUP($G253,基本資料!$A:$J,4,0),"無")</f>
        <v>-138</v>
      </c>
      <c r="C253" s="79">
        <f>IFERROR(VLOOKUP($G253,基本資料!$A:$J,5,0),"無")</f>
        <v>-123</v>
      </c>
      <c r="D253" s="79">
        <f>IFERROR(VLOOKUP($G253,基本資料!$A:$J,6,0),"無")</f>
        <v>-35</v>
      </c>
      <c r="E253" s="79">
        <f>IFERROR(VLOOKUP($G253,基本資料!$A:$J,7,0),"無")</f>
        <v>-66</v>
      </c>
      <c r="F253" s="6">
        <f>IFERROR(VLOOKUP($G253,基本資料!$A:$J,8,0),"無")</f>
        <v>-4.2</v>
      </c>
      <c r="G253" s="79">
        <v>3325</v>
      </c>
      <c r="H253" s="54" t="s">
        <v>1146</v>
      </c>
      <c r="I253" s="16" t="s">
        <v>6124</v>
      </c>
      <c r="J253" s="8" t="str">
        <f>IFERROR(VLOOKUP($G253,今日總結!$A:$AJ,35,0),"")</f>
        <v/>
      </c>
      <c r="K253" s="5" t="str">
        <f>IFERROR(VLOOKUP($G253,今日總結!$A:$AJ,36,0),"")</f>
        <v/>
      </c>
      <c r="L253" s="156" t="str">
        <f>IFERROR(VLOOKUP($G253,今日總結!$A:$AJ,33,0),"")</f>
        <v/>
      </c>
      <c r="M253" s="340" t="str">
        <f>IFERROR(VLOOKUP($G253,今日總結!$A:$AJ,34,0),"")</f>
        <v/>
      </c>
      <c r="N253" s="240" t="str">
        <f t="shared" si="108"/>
        <v/>
      </c>
      <c r="P253" s="365">
        <f>IFERROR(VLOOKUP($G253,融外自投!$A:$J,7,0),"無")</f>
        <v>394</v>
      </c>
      <c r="Q253" s="79" t="str">
        <f>IFERROR(VLOOKUP($G253,融外自投!$A:$J,9,0),"無")</f>
        <v>無</v>
      </c>
      <c r="R253" s="346">
        <f>IFERROR(VLOOKUP($G253,融外自投!$A:$J,8,0),"無")</f>
        <v>1232</v>
      </c>
      <c r="S253" s="81" t="str">
        <f>IFERROR(VLOOKUP($G253,融外自投!$A:$J,10,0),"無")</f>
        <v>無</v>
      </c>
      <c r="T253" s="327">
        <f>IFERROR(VLOOKUP($G253,'321買'!$A:$E,5,0),"'沒有資料'")</f>
        <v>584</v>
      </c>
      <c r="U253" s="186">
        <f>IFERROR(VLOOKUP($G253,基本資料!$A:$J,9,0),"無")</f>
        <v>0</v>
      </c>
      <c r="V253" s="310">
        <f t="shared" si="109"/>
        <v>0</v>
      </c>
      <c r="W253" s="94">
        <f>IFERROR(VLOOKUP($G253,基本資料!$A:$J,10,0),"無")</f>
        <v>-0.7</v>
      </c>
      <c r="X253" s="36">
        <v>27.65</v>
      </c>
      <c r="Y253" s="45">
        <v>25</v>
      </c>
      <c r="Z253" s="15">
        <f t="shared" si="113"/>
        <v>2.6499999999999986</v>
      </c>
      <c r="AA253" s="63">
        <f t="shared" si="114"/>
        <v>0.10599999999999994</v>
      </c>
      <c r="AB253" s="99" t="s">
        <v>1694</v>
      </c>
      <c r="AC253" s="397">
        <f>IFERROR(VLOOKUP($G253,基本資料!$A:$M,12,0),"無")</f>
        <v>8.83</v>
      </c>
      <c r="AD253" s="16" t="s">
        <v>471</v>
      </c>
      <c r="AE253" s="84">
        <v>44189</v>
      </c>
      <c r="AF253" s="86">
        <v>44200</v>
      </c>
      <c r="AG253" s="33">
        <f t="shared" si="110"/>
        <v>11</v>
      </c>
      <c r="AH253" s="43" t="s">
        <v>2124</v>
      </c>
      <c r="AI253" s="259"/>
      <c r="AK253" s="245"/>
      <c r="AL253" s="245"/>
    </row>
    <row r="254" spans="1:43">
      <c r="A254" s="347">
        <f>IFERROR(VLOOKUP($G254,基本資料!$A:$J,3,0),"無")</f>
        <v>15.61</v>
      </c>
      <c r="B254" s="79">
        <f>IFERROR(VLOOKUP($G254,基本資料!$A:$J,4,0),"無")</f>
        <v>68</v>
      </c>
      <c r="C254" s="79">
        <f>IFERROR(VLOOKUP($G254,基本資料!$A:$J,5,0),"無")</f>
        <v>75</v>
      </c>
      <c r="D254" s="79">
        <f>IFERROR(VLOOKUP($G254,基本資料!$A:$J,6,0),"無")</f>
        <v>-3</v>
      </c>
      <c r="E254" s="79">
        <f>IFERROR(VLOOKUP($G254,基本資料!$A:$J,7,0),"無")</f>
        <v>-5</v>
      </c>
      <c r="F254" s="6">
        <f>IFERROR(VLOOKUP($G254,基本資料!$A:$J,8,0),"無")</f>
        <v>-2.4300000000000002</v>
      </c>
      <c r="G254" s="79">
        <v>3321</v>
      </c>
      <c r="H254" s="4" t="s">
        <v>3389</v>
      </c>
      <c r="I254" s="22" t="s">
        <v>6125</v>
      </c>
      <c r="J254" s="8" t="str">
        <f>IFERROR(VLOOKUP($G254,今日總結!$A:$AJ,35,0),"")</f>
        <v/>
      </c>
      <c r="K254" s="5" t="str">
        <f>IFERROR(VLOOKUP($G254,今日總結!$A:$AJ,36,0),"")</f>
        <v/>
      </c>
      <c r="L254" s="156" t="str">
        <f>IFERROR(VLOOKUP($G254,今日總結!$A:$AJ,33,0),"")</f>
        <v/>
      </c>
      <c r="M254" s="340" t="str">
        <f>IFERROR(VLOOKUP($G254,今日總結!$A:$AJ,34,0),"")</f>
        <v/>
      </c>
      <c r="N254" s="240" t="str">
        <f t="shared" si="108"/>
        <v/>
      </c>
      <c r="P254" s="365" t="str">
        <f>IFERROR(VLOOKUP($G254,融外自投!$A:$J,7,0),"無")</f>
        <v>無</v>
      </c>
      <c r="Q254" s="79" t="str">
        <f>IFERROR(VLOOKUP($G254,融外自投!$A:$J,9,0),"無")</f>
        <v>無</v>
      </c>
      <c r="R254" s="346" t="str">
        <f>IFERROR(VLOOKUP($G254,融外自投!$A:$J,8,0),"無")</f>
        <v>無</v>
      </c>
      <c r="S254" s="81" t="str">
        <f>IFERROR(VLOOKUP($G254,融外自投!$A:$J,10,0),"無")</f>
        <v>無</v>
      </c>
      <c r="T254" s="327" t="str">
        <f>IFERROR(VLOOKUP($G254,'321買'!$A:$E,5,0),"'沒有資料'")</f>
        <v>'沒有資料'</v>
      </c>
      <c r="U254" s="186">
        <f>IFERROR(VLOOKUP($G254,基本資料!$A:$J,9,0),"無")</f>
        <v>0</v>
      </c>
      <c r="V254" s="310">
        <f t="shared" si="109"/>
        <v>0</v>
      </c>
      <c r="W254" s="94">
        <f>IFERROR(VLOOKUP($G254,基本資料!$A:$J,10,0),"無")</f>
        <v>-0.54</v>
      </c>
      <c r="X254" s="36">
        <v>15.3</v>
      </c>
      <c r="Y254" s="66">
        <v>11.5</v>
      </c>
      <c r="Z254" s="15">
        <f t="shared" si="113"/>
        <v>3.8000000000000007</v>
      </c>
      <c r="AA254" s="63">
        <f t="shared" si="114"/>
        <v>0.33043478260869569</v>
      </c>
      <c r="AB254" s="99" t="s">
        <v>2170</v>
      </c>
      <c r="AC254" s="397">
        <f>IFERROR(VLOOKUP($G254,基本資料!$A:$M,12,0),"無")</f>
        <v>8.2799999999999994</v>
      </c>
      <c r="AD254" s="22" t="s">
        <v>389</v>
      </c>
      <c r="AE254" s="84">
        <v>44189</v>
      </c>
      <c r="AF254" s="86">
        <v>44200</v>
      </c>
      <c r="AG254" s="33">
        <f t="shared" si="110"/>
        <v>11</v>
      </c>
      <c r="AH254" s="43" t="s">
        <v>1050</v>
      </c>
      <c r="AI254" s="259"/>
      <c r="AK254" s="245"/>
      <c r="AL254" s="245"/>
    </row>
    <row r="255" spans="1:43">
      <c r="A255" s="347">
        <f>IFERROR(VLOOKUP($G255,基本資料!$A:$J,3,0),"無")</f>
        <v>453</v>
      </c>
      <c r="B255" s="79">
        <f>IFERROR(VLOOKUP($G255,基本資料!$A:$J,4,0),"無")</f>
        <v>19</v>
      </c>
      <c r="C255" s="79">
        <f>IFERROR(VLOOKUP($G255,基本資料!$A:$J,5,0),"無")</f>
        <v>0</v>
      </c>
      <c r="D255" s="79">
        <f>IFERROR(VLOOKUP($G255,基本資料!$A:$J,6,0),"無")</f>
        <v>16</v>
      </c>
      <c r="E255" s="79">
        <f>IFERROR(VLOOKUP($G255,基本資料!$A:$J,7,0),"無")</f>
        <v>9</v>
      </c>
      <c r="F255" s="6">
        <f>IFERROR(VLOOKUP($G255,基本資料!$A:$J,8,0),"無")</f>
        <v>0</v>
      </c>
      <c r="G255" s="80">
        <v>2812</v>
      </c>
      <c r="H255" s="10" t="s">
        <v>304</v>
      </c>
      <c r="I255" s="22" t="s">
        <v>4645</v>
      </c>
      <c r="J255" s="8">
        <f>IFERROR(VLOOKUP($G255,今日總結!$A:$AJ,35,0),"")</f>
        <v>0</v>
      </c>
      <c r="K255" s="5" t="str">
        <f>IFERROR(VLOOKUP($G255,今日總結!$A:$AJ,36,0),"")</f>
        <v>融</v>
      </c>
      <c r="L255" s="156">
        <f>IFERROR(VLOOKUP($G255,今日總結!$A:$AJ,33,0),"")</f>
        <v>0</v>
      </c>
      <c r="M255" s="340">
        <f>IFERROR(VLOOKUP($G255,今日總結!$A:$AJ,34,0),"")</f>
        <v>1</v>
      </c>
      <c r="N255" s="240">
        <f t="shared" si="108"/>
        <v>-1</v>
      </c>
      <c r="P255" s="365">
        <f>IFERROR(VLOOKUP($G255,融外自投!$A:$J,7,0),"無")</f>
        <v>1352</v>
      </c>
      <c r="Q255" s="79">
        <f>IFERROR(VLOOKUP($G255,融外自投!$A:$J,9,0),"無")</f>
        <v>1110</v>
      </c>
      <c r="R255" s="346">
        <f>IFERROR(VLOOKUP($G255,融外自投!$A:$J,8,0),"無")</f>
        <v>449</v>
      </c>
      <c r="S255" s="81">
        <f>IFERROR(VLOOKUP($G255,融外自投!$A:$J,10,0),"無")</f>
        <v>299</v>
      </c>
      <c r="T255" s="327">
        <f>IFERROR(VLOOKUP($G255,'321買'!$A:$E,5,0),"'沒有資料'")</f>
        <v>306</v>
      </c>
      <c r="U255" s="186">
        <f>IFERROR(VLOOKUP($G255,基本資料!$A:$J,9,0),"無")</f>
        <v>0.75</v>
      </c>
      <c r="V255" s="310">
        <f t="shared" si="109"/>
        <v>6.9124423963133647E-2</v>
      </c>
      <c r="W255" s="94">
        <f>IFERROR(VLOOKUP($G255,基本資料!$A:$J,10,0),"無")</f>
        <v>1.1000000000000001</v>
      </c>
      <c r="X255" s="36">
        <v>10.85</v>
      </c>
      <c r="Y255" s="66">
        <v>10.199999999999999</v>
      </c>
      <c r="Z255" s="15">
        <f t="shared" si="113"/>
        <v>0.65000000000000036</v>
      </c>
      <c r="AA255" s="63">
        <f t="shared" si="114"/>
        <v>6.3725490196078469E-2</v>
      </c>
      <c r="AB255" s="99" t="s">
        <v>2161</v>
      </c>
      <c r="AC255" s="397">
        <f>IFERROR(VLOOKUP($G255,基本資料!$A:$M,12,0),"無")</f>
        <v>40.200000000000003</v>
      </c>
      <c r="AD255" s="22" t="s">
        <v>133</v>
      </c>
      <c r="AE255" s="84">
        <v>44187</v>
      </c>
      <c r="AF255" s="86">
        <v>44200</v>
      </c>
      <c r="AG255" s="33">
        <f t="shared" si="110"/>
        <v>13</v>
      </c>
      <c r="AH255" s="117" t="s">
        <v>1429</v>
      </c>
      <c r="AI255" s="259"/>
      <c r="AK255" s="245"/>
      <c r="AL255" s="245"/>
    </row>
    <row r="256" spans="1:43">
      <c r="A256" s="347">
        <f>IFERROR(VLOOKUP($G256,基本資料!$A:$J,3,0),"無")</f>
        <v>2.15</v>
      </c>
      <c r="B256" s="79">
        <f>IFERROR(VLOOKUP($G256,基本資料!$A:$J,4,0),"無")</f>
        <v>-34</v>
      </c>
      <c r="C256" s="79">
        <f>IFERROR(VLOOKUP($G256,基本資料!$A:$J,5,0),"無")</f>
        <v>-31</v>
      </c>
      <c r="D256" s="79">
        <f>IFERROR(VLOOKUP($G256,基本資料!$A:$J,6,0),"無")</f>
        <v>19</v>
      </c>
      <c r="E256" s="79">
        <f>IFERROR(VLOOKUP($G256,基本資料!$A:$J,7,0),"無")</f>
        <v>-21</v>
      </c>
      <c r="F256" s="6">
        <f>IFERROR(VLOOKUP($G256,基本資料!$A:$J,8,0),"無")</f>
        <v>34.020000000000003</v>
      </c>
      <c r="G256" s="79">
        <v>6762</v>
      </c>
      <c r="H256" s="4" t="s">
        <v>4726</v>
      </c>
      <c r="I256" s="16" t="s">
        <v>2119</v>
      </c>
      <c r="J256" s="8" t="str">
        <f>IFERROR(VLOOKUP($G256,今日總結!$A:$AJ,35,0),"")</f>
        <v/>
      </c>
      <c r="K256" s="5" t="str">
        <f>IFERROR(VLOOKUP($G256,今日總結!$A:$AJ,36,0),"")</f>
        <v/>
      </c>
      <c r="L256" s="156" t="str">
        <f>IFERROR(VLOOKUP($G256,今日總結!$A:$AJ,33,0),"")</f>
        <v/>
      </c>
      <c r="M256" s="340" t="str">
        <f>IFERROR(VLOOKUP($G256,今日總結!$A:$AJ,34,0),"")</f>
        <v/>
      </c>
      <c r="N256" s="240" t="str">
        <f t="shared" si="108"/>
        <v/>
      </c>
      <c r="P256" s="365" t="str">
        <f>IFERROR(VLOOKUP($G256,融外自投!$A:$J,7,0),"無")</f>
        <v>無</v>
      </c>
      <c r="Q256" s="79" t="str">
        <f>IFERROR(VLOOKUP($G256,融外自投!$A:$J,9,0),"無")</f>
        <v>無</v>
      </c>
      <c r="R256" s="346" t="str">
        <f>IFERROR(VLOOKUP($G256,融外自投!$A:$J,8,0),"無")</f>
        <v>無</v>
      </c>
      <c r="S256" s="81" t="str">
        <f>IFERROR(VLOOKUP($G256,融外自投!$A:$J,10,0),"無")</f>
        <v>無</v>
      </c>
      <c r="T256" s="327" t="str">
        <f>IFERROR(VLOOKUP($G256,'321買'!$A:$E,5,0),"'沒有資料'")</f>
        <v>'沒有資料'</v>
      </c>
      <c r="U256" s="186">
        <f>IFERROR(VLOOKUP($G256,基本資料!$A:$J,9,0),"無")</f>
        <v>5</v>
      </c>
      <c r="V256" s="310">
        <f t="shared" si="109"/>
        <v>1.984126984126984E-2</v>
      </c>
      <c r="W256" s="94">
        <f>IFERROR(VLOOKUP($G256,基本資料!$A:$J,10,0),"無")</f>
        <v>6.04</v>
      </c>
      <c r="X256" s="36">
        <v>252</v>
      </c>
      <c r="Y256" s="66">
        <v>267.98</v>
      </c>
      <c r="Z256" s="15">
        <f t="shared" si="113"/>
        <v>-15.980000000000018</v>
      </c>
      <c r="AA256" s="76">
        <f t="shared" si="114"/>
        <v>-5.9631315769833632E-2</v>
      </c>
      <c r="AB256" s="100" t="s">
        <v>2155</v>
      </c>
      <c r="AC256" s="397">
        <f>IFERROR(VLOOKUP($G256,基本資料!$A:$M,12,0),"無")</f>
        <v>13.8</v>
      </c>
      <c r="AD256" s="16" t="s">
        <v>2119</v>
      </c>
      <c r="AE256" s="84">
        <v>44183</v>
      </c>
      <c r="AF256" s="86">
        <v>44193</v>
      </c>
      <c r="AG256" s="33">
        <f t="shared" si="110"/>
        <v>10</v>
      </c>
      <c r="AH256" s="43" t="s">
        <v>2122</v>
      </c>
      <c r="AI256" s="259"/>
      <c r="AK256" s="245"/>
      <c r="AL256" s="245"/>
    </row>
    <row r="257" spans="1:40" ht="17.25" customHeight="1">
      <c r="A257" s="347">
        <f>IFERROR(VLOOKUP($G257,基本資料!$A:$J,3,0),"無")</f>
        <v>83.99</v>
      </c>
      <c r="B257" s="79">
        <f>IFERROR(VLOOKUP($G257,基本資料!$A:$J,4,0),"無")</f>
        <v>-26</v>
      </c>
      <c r="C257" s="79">
        <f>IFERROR(VLOOKUP($G257,基本資料!$A:$J,5,0),"無")</f>
        <v>-36</v>
      </c>
      <c r="D257" s="79">
        <f>IFERROR(VLOOKUP($G257,基本資料!$A:$J,6,0),"無")</f>
        <v>-38</v>
      </c>
      <c r="E257" s="79">
        <f>IFERROR(VLOOKUP($G257,基本資料!$A:$J,7,0),"無")</f>
        <v>18740</v>
      </c>
      <c r="F257" s="6">
        <f>IFERROR(VLOOKUP($G257,基本資料!$A:$J,8,0),"無")</f>
        <v>-997.9</v>
      </c>
      <c r="G257" s="79">
        <v>2530</v>
      </c>
      <c r="H257" s="4" t="s">
        <v>4003</v>
      </c>
      <c r="I257" s="22" t="s">
        <v>6134</v>
      </c>
      <c r="J257" s="8">
        <f>IFERROR(VLOOKUP($G257,今日總結!$A:$AJ,35,0),"")</f>
        <v>0</v>
      </c>
      <c r="K257" s="5" t="str">
        <f>IFERROR(VLOOKUP($G257,今日總結!$A:$AJ,36,0),"")</f>
        <v>外</v>
      </c>
      <c r="L257" s="156">
        <f>IFERROR(VLOOKUP($G257,今日總結!$A:$AJ,33,0),"")</f>
        <v>0</v>
      </c>
      <c r="M257" s="340">
        <f>IFERROR(VLOOKUP($G257,今日總結!$A:$AJ,34,0),"")</f>
        <v>1</v>
      </c>
      <c r="N257" s="240">
        <f t="shared" si="108"/>
        <v>-1</v>
      </c>
      <c r="P257" s="365">
        <f>IFERROR(VLOOKUP($G257,融外自投!$A:$J,7,0),"無")</f>
        <v>866</v>
      </c>
      <c r="Q257" s="79" t="str">
        <f>IFERROR(VLOOKUP($G257,融外自投!$A:$J,9,0),"無")</f>
        <v>無</v>
      </c>
      <c r="R257" s="346">
        <f>IFERROR(VLOOKUP($G257,融外自投!$A:$J,8,0),"無")</f>
        <v>1291</v>
      </c>
      <c r="S257" s="81" t="str">
        <f>IFERROR(VLOOKUP($G257,融外自投!$A:$J,10,0),"無")</f>
        <v>無</v>
      </c>
      <c r="T257" s="327">
        <f>IFERROR(VLOOKUP($G257,'321買'!$A:$E,5,0),"'沒有資料'")</f>
        <v>827</v>
      </c>
      <c r="U257" s="186">
        <f>IFERROR(VLOOKUP($G257,基本資料!$A:$J,9,0),"無")</f>
        <v>0</v>
      </c>
      <c r="V257" s="310">
        <f t="shared" si="109"/>
        <v>0</v>
      </c>
      <c r="W257" s="94">
        <f>IFERROR(VLOOKUP($G257,基本資料!$A:$J,10,0),"無")</f>
        <v>-0.2</v>
      </c>
      <c r="X257" s="36">
        <v>14.05</v>
      </c>
      <c r="Y257" s="66">
        <v>12.56</v>
      </c>
      <c r="Z257" s="15">
        <f t="shared" si="113"/>
        <v>1.4900000000000002</v>
      </c>
      <c r="AA257" s="63">
        <f t="shared" si="114"/>
        <v>0.11863057324840766</v>
      </c>
      <c r="AB257" s="99" t="s">
        <v>2154</v>
      </c>
      <c r="AC257" s="397">
        <f>IFERROR(VLOOKUP($G257,基本資料!$A:$M,12,0),"無")</f>
        <v>17.82</v>
      </c>
      <c r="AD257" s="22" t="s">
        <v>913</v>
      </c>
      <c r="AE257" s="84">
        <v>44182</v>
      </c>
      <c r="AF257" s="86">
        <v>44193</v>
      </c>
      <c r="AG257" s="33">
        <f t="shared" si="110"/>
        <v>11</v>
      </c>
      <c r="AH257" s="43" t="s">
        <v>2012</v>
      </c>
      <c r="AI257" s="259"/>
      <c r="AK257" s="245"/>
      <c r="AL257" s="245"/>
      <c r="AN257" s="48"/>
    </row>
    <row r="258" spans="1:40" ht="17.25" customHeight="1">
      <c r="A258" s="347">
        <f>IFERROR(VLOOKUP($G258,基本資料!$A:$J,3,0),"無")</f>
        <v>2</v>
      </c>
      <c r="B258" s="79">
        <f>IFERROR(VLOOKUP($G258,基本資料!$A:$J,4,0),"無")</f>
        <v>3</v>
      </c>
      <c r="C258" s="79">
        <f>IFERROR(VLOOKUP($G258,基本資料!$A:$J,5,0),"無")</f>
        <v>8</v>
      </c>
      <c r="D258" s="79">
        <f>IFERROR(VLOOKUP($G258,基本資料!$A:$J,6,0),"無")</f>
        <v>29</v>
      </c>
      <c r="E258" s="79">
        <f>IFERROR(VLOOKUP($G258,基本資料!$A:$J,7,0),"無")</f>
        <v>16</v>
      </c>
      <c r="F258" s="6">
        <f>IFERROR(VLOOKUP($G258,基本資料!$A:$J,8,0),"無")</f>
        <v>6.31</v>
      </c>
      <c r="G258" s="79">
        <v>2755</v>
      </c>
      <c r="H258" s="4" t="s">
        <v>303</v>
      </c>
      <c r="I258" s="16" t="s">
        <v>2115</v>
      </c>
      <c r="J258" s="8" t="str">
        <f>IFERROR(VLOOKUP($G258,今日總結!$A:$AJ,35,0),"")</f>
        <v/>
      </c>
      <c r="K258" s="5" t="str">
        <f>IFERROR(VLOOKUP($G258,今日總結!$A:$AJ,36,0),"")</f>
        <v/>
      </c>
      <c r="L258" s="156" t="str">
        <f>IFERROR(VLOOKUP($G258,今日總結!$A:$AJ,33,0),"")</f>
        <v/>
      </c>
      <c r="M258" s="340" t="str">
        <f>IFERROR(VLOOKUP($G258,今日總結!$A:$AJ,34,0),"")</f>
        <v/>
      </c>
      <c r="N258" s="240" t="str">
        <f t="shared" si="108"/>
        <v/>
      </c>
      <c r="P258" s="365" t="str">
        <f>IFERROR(VLOOKUP($G258,融外自投!$A:$J,7,0),"無")</f>
        <v>無</v>
      </c>
      <c r="Q258" s="79" t="str">
        <f>IFERROR(VLOOKUP($G258,融外自投!$A:$J,9,0),"無")</f>
        <v>無</v>
      </c>
      <c r="R258" s="346" t="str">
        <f>IFERROR(VLOOKUP($G258,融外自投!$A:$J,8,0),"無")</f>
        <v>無</v>
      </c>
      <c r="S258" s="81" t="str">
        <f>IFERROR(VLOOKUP($G258,融外自投!$A:$J,10,0),"無")</f>
        <v>無</v>
      </c>
      <c r="T258" s="327" t="str">
        <f>IFERROR(VLOOKUP($G258,'321買'!$A:$E,5,0),"'沒有資料'")</f>
        <v>'沒有資料'</v>
      </c>
      <c r="U258" s="186">
        <f>IFERROR(VLOOKUP($G258,基本資料!$A:$J,9,0),"無")</f>
        <v>3</v>
      </c>
      <c r="V258" s="310">
        <f t="shared" si="109"/>
        <v>4.9180327868852458E-2</v>
      </c>
      <c r="W258" s="94">
        <f>IFERROR(VLOOKUP($G258,基本資料!$A:$J,10,0),"無")</f>
        <v>3.65</v>
      </c>
      <c r="X258" s="36">
        <v>61</v>
      </c>
      <c r="Y258" s="66">
        <v>60</v>
      </c>
      <c r="Z258" s="15">
        <f t="shared" si="113"/>
        <v>1</v>
      </c>
      <c r="AA258" s="63">
        <f t="shared" si="114"/>
        <v>1.6666666666666666E-2</v>
      </c>
      <c r="AB258" s="99" t="s">
        <v>2147</v>
      </c>
      <c r="AC258" s="397">
        <f>IFERROR(VLOOKUP($G258,基本資料!$A:$M,12,0),"無")</f>
        <v>82.9</v>
      </c>
      <c r="AD258" s="16" t="s">
        <v>2115</v>
      </c>
      <c r="AE258" s="84">
        <v>44181</v>
      </c>
      <c r="AF258" s="86">
        <v>44193</v>
      </c>
      <c r="AG258" s="33">
        <f t="shared" si="110"/>
        <v>12</v>
      </c>
      <c r="AH258" s="43" t="s">
        <v>2116</v>
      </c>
      <c r="AI258" s="259"/>
      <c r="AK258" s="245"/>
      <c r="AL258" s="245"/>
      <c r="AN258" s="48"/>
    </row>
    <row r="259" spans="1:40">
      <c r="A259" s="347">
        <f>IFERROR(VLOOKUP($G259,基本資料!$A:$J,3,0),"無")</f>
        <v>41.97</v>
      </c>
      <c r="B259" s="79">
        <f>IFERROR(VLOOKUP($G259,基本資料!$A:$J,4,0),"無")</f>
        <v>451</v>
      </c>
      <c r="C259" s="79">
        <f>IFERROR(VLOOKUP($G259,基本資料!$A:$J,5,0),"無")</f>
        <v>932</v>
      </c>
      <c r="D259" s="79">
        <f>IFERROR(VLOOKUP($G259,基本資料!$A:$J,6,0),"無")</f>
        <v>8</v>
      </c>
      <c r="E259" s="79">
        <f>IFERROR(VLOOKUP($G259,基本資料!$A:$J,7,0),"無")</f>
        <v>-2</v>
      </c>
      <c r="F259" s="6">
        <f>IFERROR(VLOOKUP($G259,基本資料!$A:$J,8,0),"無")</f>
        <v>8.0299999999999994</v>
      </c>
      <c r="G259" s="79">
        <v>4919</v>
      </c>
      <c r="H259" s="4" t="s">
        <v>3039</v>
      </c>
      <c r="I259" s="22" t="s">
        <v>118</v>
      </c>
      <c r="J259" s="8">
        <f>IFERROR(VLOOKUP($G259,今日總結!$A:$AJ,35,0),"")</f>
        <v>5</v>
      </c>
      <c r="K259" s="5" t="str">
        <f>IFERROR(VLOOKUP($G259,今日總結!$A:$AJ,36,0),"")</f>
        <v>借</v>
      </c>
      <c r="L259" s="156">
        <f>IFERROR(VLOOKUP($G259,今日總結!$A:$AJ,33,0),"")</f>
        <v>1</v>
      </c>
      <c r="M259" s="340">
        <f>IFERROR(VLOOKUP($G259,今日總結!$A:$AJ,34,0),"")</f>
        <v>1</v>
      </c>
      <c r="N259" s="240">
        <f t="shared" si="108"/>
        <v>0</v>
      </c>
      <c r="P259" s="365">
        <f>IFERROR(VLOOKUP($G259,融外自投!$A:$J,7,0),"無")</f>
        <v>299</v>
      </c>
      <c r="Q259" s="79">
        <f>IFERROR(VLOOKUP($G259,融外自投!$A:$J,9,0),"無")</f>
        <v>296</v>
      </c>
      <c r="R259" s="346">
        <f>IFERROR(VLOOKUP($G259,融外自投!$A:$J,8,0),"無")</f>
        <v>591</v>
      </c>
      <c r="S259" s="81">
        <f>IFERROR(VLOOKUP($G259,融外自投!$A:$J,10,0),"無")</f>
        <v>16</v>
      </c>
      <c r="T259" s="327">
        <f>IFERROR(VLOOKUP($G259,'321買'!$A:$E,5,0),"'沒有資料'")</f>
        <v>44</v>
      </c>
      <c r="U259" s="186">
        <f>IFERROR(VLOOKUP($G259,基本資料!$A:$J,9,0),"無")</f>
        <v>5</v>
      </c>
      <c r="V259" s="310">
        <f t="shared" si="109"/>
        <v>0.10775862068965518</v>
      </c>
      <c r="W259" s="94">
        <f>IFERROR(VLOOKUP($G259,基本資料!$A:$J,10,0),"無")</f>
        <v>7.27</v>
      </c>
      <c r="X259" s="36">
        <v>46.4</v>
      </c>
      <c r="Y259" s="66">
        <v>38</v>
      </c>
      <c r="Z259" s="15">
        <f t="shared" si="113"/>
        <v>8.3999999999999986</v>
      </c>
      <c r="AA259" s="63">
        <f t="shared" si="114"/>
        <v>0.22105263157894733</v>
      </c>
      <c r="AB259" s="99" t="s">
        <v>2145</v>
      </c>
      <c r="AC259" s="397">
        <f>IFERROR(VLOOKUP($G259,基本資料!$A:$M,12,0),"無")</f>
        <v>41.99</v>
      </c>
      <c r="AD259" s="22" t="s">
        <v>118</v>
      </c>
      <c r="AE259" s="84">
        <v>44180</v>
      </c>
      <c r="AF259" s="86">
        <v>44190</v>
      </c>
      <c r="AG259" s="33">
        <f t="shared" si="110"/>
        <v>10</v>
      </c>
      <c r="AH259" s="117" t="s">
        <v>1454</v>
      </c>
      <c r="AI259" s="259"/>
      <c r="AK259" s="245"/>
      <c r="AL259" s="245"/>
    </row>
    <row r="260" spans="1:40">
      <c r="A260" s="347">
        <f>IFERROR(VLOOKUP($G260,基本資料!$A:$J,3,0),"無")</f>
        <v>15</v>
      </c>
      <c r="B260" s="79">
        <f>IFERROR(VLOOKUP($G260,基本資料!$A:$J,4,0),"無")</f>
        <v>-109</v>
      </c>
      <c r="C260" s="79">
        <f>IFERROR(VLOOKUP($G260,基本資料!$A:$J,5,0),"無")</f>
        <v>-102</v>
      </c>
      <c r="D260" s="79">
        <f>IFERROR(VLOOKUP($G260,基本資料!$A:$J,6,0),"無")</f>
        <v>-5</v>
      </c>
      <c r="E260" s="79">
        <f>IFERROR(VLOOKUP($G260,基本資料!$A:$J,7,0),"無")</f>
        <v>-35</v>
      </c>
      <c r="F260" s="6">
        <f>IFERROR(VLOOKUP($G260,基本資料!$A:$J,8,0),"無")</f>
        <v>-0.33</v>
      </c>
      <c r="G260" s="79">
        <v>6743</v>
      </c>
      <c r="H260" s="4" t="s">
        <v>314</v>
      </c>
      <c r="I260" s="22" t="s">
        <v>2110</v>
      </c>
      <c r="J260" s="8">
        <f>IFERROR(VLOOKUP($G260,今日總結!$A:$AJ,35,0),"")</f>
        <v>0</v>
      </c>
      <c r="K260" s="5" t="str">
        <f>IFERROR(VLOOKUP($G260,今日總結!$A:$AJ,36,0),"")</f>
        <v>借</v>
      </c>
      <c r="L260" s="156">
        <f>IFERROR(VLOOKUP($G260,今日總結!$A:$AJ,33,0),"")</f>
        <v>0</v>
      </c>
      <c r="M260" s="340">
        <f>IFERROR(VLOOKUP($G260,今日總結!$A:$AJ,34,0),"")</f>
        <v>1</v>
      </c>
      <c r="N260" s="240">
        <f t="shared" si="108"/>
        <v>-1</v>
      </c>
      <c r="P260" s="365">
        <f>IFERROR(VLOOKUP($G260,融外自投!$A:$J,7,0),"無")</f>
        <v>718</v>
      </c>
      <c r="Q260" s="79" t="str">
        <f>IFERROR(VLOOKUP($G260,融外自投!$A:$J,9,0),"無")</f>
        <v>無</v>
      </c>
      <c r="R260" s="346">
        <f>IFERROR(VLOOKUP($G260,融外自投!$A:$J,8,0),"無")</f>
        <v>851</v>
      </c>
      <c r="S260" s="81" t="str">
        <f>IFERROR(VLOOKUP($G260,融外自投!$A:$J,10,0),"無")</f>
        <v>無</v>
      </c>
      <c r="T260" s="327">
        <f>IFERROR(VLOOKUP($G260,'321買'!$A:$E,5,0),"'沒有資料'")</f>
        <v>779</v>
      </c>
      <c r="U260" s="186">
        <f>IFERROR(VLOOKUP($G260,基本資料!$A:$J,9,0),"無")</f>
        <v>0.5</v>
      </c>
      <c r="V260" s="310">
        <f t="shared" si="109"/>
        <v>3.7174721189591076E-3</v>
      </c>
      <c r="W260" s="94">
        <f>IFERROR(VLOOKUP($G260,基本資料!$A:$J,10,0),"無")</f>
        <v>-0.33</v>
      </c>
      <c r="X260" s="36">
        <v>134.5</v>
      </c>
      <c r="Y260" s="66">
        <v>100</v>
      </c>
      <c r="Z260" s="15">
        <f t="shared" si="113"/>
        <v>34.5</v>
      </c>
      <c r="AA260" s="63">
        <f t="shared" si="114"/>
        <v>0.34499999999999997</v>
      </c>
      <c r="AB260" s="99" t="s">
        <v>941</v>
      </c>
      <c r="AC260" s="397">
        <f>IFERROR(VLOOKUP($G260,基本資料!$A:$M,12,0),"無")</f>
        <v>6.32</v>
      </c>
      <c r="AD260" s="22" t="s">
        <v>2110</v>
      </c>
      <c r="AE260" s="84">
        <v>44179</v>
      </c>
      <c r="AF260" s="86">
        <v>44189</v>
      </c>
      <c r="AG260" s="33">
        <f t="shared" si="110"/>
        <v>10</v>
      </c>
      <c r="AH260" s="43" t="s">
        <v>2120</v>
      </c>
      <c r="AI260" s="259"/>
      <c r="AK260" s="245"/>
      <c r="AL260" s="245"/>
    </row>
    <row r="261" spans="1:40">
      <c r="A261" s="347">
        <f>IFERROR(VLOOKUP($G261,基本資料!$A:$J,3,0),"無")</f>
        <v>8.44</v>
      </c>
      <c r="B261" s="79">
        <f>IFERROR(VLOOKUP($G261,基本資料!$A:$J,4,0),"無")</f>
        <v>-17</v>
      </c>
      <c r="C261" s="79">
        <f>IFERROR(VLOOKUP($G261,基本資料!$A:$J,5,0),"無")</f>
        <v>-9</v>
      </c>
      <c r="D261" s="79">
        <f>IFERROR(VLOOKUP($G261,基本資料!$A:$J,6,0),"無")</f>
        <v>51</v>
      </c>
      <c r="E261" s="79">
        <f>IFERROR(VLOOKUP($G261,基本資料!$A:$J,7,0),"無")</f>
        <v>51</v>
      </c>
      <c r="F261" s="6">
        <f>IFERROR(VLOOKUP($G261,基本資料!$A:$J,8,0),"無")</f>
        <v>3.4</v>
      </c>
      <c r="G261" s="79">
        <v>4121</v>
      </c>
      <c r="H261" s="4" t="s">
        <v>4726</v>
      </c>
      <c r="I261" s="16" t="s">
        <v>610</v>
      </c>
      <c r="J261" s="8">
        <f>IFERROR(VLOOKUP($G261,今日總結!$A:$AJ,35,0),"")</f>
        <v>452</v>
      </c>
      <c r="K261" s="5">
        <f>IFERROR(VLOOKUP($G261,今日總結!$A:$AJ,36,0),"")</f>
        <v>3</v>
      </c>
      <c r="L261" s="156">
        <f>IFERROR(VLOOKUP($G261,今日總結!$A:$AJ,33,0),"")</f>
        <v>3</v>
      </c>
      <c r="M261" s="340">
        <f>IFERROR(VLOOKUP($G261,今日總結!$A:$AJ,34,0),"")</f>
        <v>1</v>
      </c>
      <c r="N261" s="240">
        <f t="shared" ref="N261:N324" si="115">IFERROR(L261-M261,"")</f>
        <v>2</v>
      </c>
      <c r="P261" s="365">
        <f>IFERROR(VLOOKUP($G261,融外自投!$A:$J,7,0),"無")</f>
        <v>120</v>
      </c>
      <c r="Q261" s="79">
        <f>IFERROR(VLOOKUP($G261,融外自投!$A:$J,9,0),"無")</f>
        <v>140</v>
      </c>
      <c r="R261" s="346">
        <f>IFERROR(VLOOKUP($G261,融外自投!$A:$J,8,0),"無")</f>
        <v>1216</v>
      </c>
      <c r="S261" s="81" t="str">
        <f>IFERROR(VLOOKUP($G261,融外自投!$A:$J,10,0),"無")</f>
        <v>無</v>
      </c>
      <c r="T261" s="327">
        <f>IFERROR(VLOOKUP($G261,'321買'!$A:$E,5,0),"'沒有資料'")</f>
        <v>779</v>
      </c>
      <c r="U261" s="186">
        <f>IFERROR(VLOOKUP($G261,基本資料!$A:$J,9,0),"無")</f>
        <v>1.1000000000000001</v>
      </c>
      <c r="V261" s="310">
        <f t="shared" si="109"/>
        <v>4.9773755656108601E-2</v>
      </c>
      <c r="W261" s="94">
        <f>IFERROR(VLOOKUP($G261,基本資料!$A:$J,10,0),"無")</f>
        <v>1.35</v>
      </c>
      <c r="X261" s="36">
        <v>22.1</v>
      </c>
      <c r="Y261" s="45">
        <v>15.6</v>
      </c>
      <c r="Z261" s="15">
        <f t="shared" si="113"/>
        <v>6.5000000000000018</v>
      </c>
      <c r="AA261" s="63">
        <f t="shared" si="114"/>
        <v>0.4166666666666668</v>
      </c>
      <c r="AB261" s="99" t="s">
        <v>2138</v>
      </c>
      <c r="AC261" s="397">
        <f>IFERROR(VLOOKUP($G261,基本資料!$A:$M,12,0),"無")</f>
        <v>48.96</v>
      </c>
      <c r="AD261" s="16" t="s">
        <v>610</v>
      </c>
      <c r="AE261" s="84">
        <v>44179</v>
      </c>
      <c r="AF261" s="86">
        <v>44189</v>
      </c>
      <c r="AG261" s="33">
        <f t="shared" si="110"/>
        <v>10</v>
      </c>
      <c r="AH261" s="43" t="s">
        <v>2102</v>
      </c>
      <c r="AI261" s="259"/>
      <c r="AK261" s="245"/>
      <c r="AL261" s="245"/>
    </row>
    <row r="262" spans="1:40">
      <c r="A262" s="347">
        <f>IFERROR(VLOOKUP($G262,基本資料!$A:$J,3,0),"無")</f>
        <v>4.87</v>
      </c>
      <c r="B262" s="79">
        <f>IFERROR(VLOOKUP($G262,基本資料!$A:$J,4,0),"無")</f>
        <v>155</v>
      </c>
      <c r="C262" s="79">
        <f>IFERROR(VLOOKUP($G262,基本資料!$A:$J,5,0),"無")</f>
        <v>55</v>
      </c>
      <c r="D262" s="79">
        <f>IFERROR(VLOOKUP($G262,基本資料!$A:$J,6,0),"無")</f>
        <v>29</v>
      </c>
      <c r="E262" s="79">
        <f>IFERROR(VLOOKUP($G262,基本資料!$A:$J,7,0),"無")</f>
        <v>0</v>
      </c>
      <c r="F262" s="6">
        <f>IFERROR(VLOOKUP($G262,基本資料!$A:$J,8,0),"無")</f>
        <v>10.83</v>
      </c>
      <c r="G262" s="79">
        <v>3138</v>
      </c>
      <c r="H262" s="4" t="s">
        <v>311</v>
      </c>
      <c r="I262" s="22" t="s">
        <v>2111</v>
      </c>
      <c r="J262" s="8" t="str">
        <f>IFERROR(VLOOKUP($G262,今日總結!$A:$AJ,35,0),"")</f>
        <v/>
      </c>
      <c r="K262" s="5" t="str">
        <f>IFERROR(VLOOKUP($G262,今日總結!$A:$AJ,36,0),"")</f>
        <v/>
      </c>
      <c r="L262" s="156" t="str">
        <f>IFERROR(VLOOKUP($G262,今日總結!$A:$AJ,33,0),"")</f>
        <v/>
      </c>
      <c r="M262" s="340" t="str">
        <f>IFERROR(VLOOKUP($G262,今日總結!$A:$AJ,34,0),"")</f>
        <v/>
      </c>
      <c r="N262" s="240" t="str">
        <f t="shared" si="115"/>
        <v/>
      </c>
      <c r="P262" s="365">
        <f>IFERROR(VLOOKUP($G262,融外自投!$A:$J,7,0),"無")</f>
        <v>436</v>
      </c>
      <c r="Q262" s="79">
        <f>IFERROR(VLOOKUP($G262,融外自投!$A:$J,9,0),"無")</f>
        <v>635</v>
      </c>
      <c r="R262" s="346">
        <f>IFERROR(VLOOKUP($G262,融外自投!$A:$J,8,0),"無")</f>
        <v>1311</v>
      </c>
      <c r="S262" s="81" t="str">
        <f>IFERROR(VLOOKUP($G262,融外自投!$A:$J,10,0),"無")</f>
        <v>無</v>
      </c>
      <c r="T262" s="327">
        <f>IFERROR(VLOOKUP($G262,'321買'!$A:$E,5,0),"'沒有資料'")</f>
        <v>894</v>
      </c>
      <c r="U262" s="186">
        <f>IFERROR(VLOOKUP($G262,基本資料!$A:$J,9,0),"無")</f>
        <v>3</v>
      </c>
      <c r="V262" s="310">
        <f t="shared" ref="V262:V325" si="116">$U262/$X262</f>
        <v>2.5423728813559324E-2</v>
      </c>
      <c r="W262" s="94">
        <f>IFERROR(VLOOKUP($G262,基本資料!$A:$J,10,0),"無")</f>
        <v>5.96</v>
      </c>
      <c r="X262" s="36">
        <v>118</v>
      </c>
      <c r="Y262" s="66">
        <v>46</v>
      </c>
      <c r="Z262" s="15">
        <f t="shared" si="113"/>
        <v>72</v>
      </c>
      <c r="AA262" s="169">
        <f t="shared" si="114"/>
        <v>1.5652173913043479</v>
      </c>
      <c r="AB262" s="99" t="s">
        <v>2131</v>
      </c>
      <c r="AC262" s="397">
        <f>IFERROR(VLOOKUP($G262,基本資料!$A:$M,12,0),"無")</f>
        <v>14.28</v>
      </c>
      <c r="AD262" s="22" t="s">
        <v>2111</v>
      </c>
      <c r="AE262" s="84">
        <v>44176</v>
      </c>
      <c r="AF262" s="86">
        <v>44186</v>
      </c>
      <c r="AG262" s="33">
        <f t="shared" si="110"/>
        <v>10</v>
      </c>
      <c r="AH262" s="117" t="s">
        <v>2112</v>
      </c>
      <c r="AI262" s="259"/>
      <c r="AK262" s="245"/>
      <c r="AL262" s="245"/>
    </row>
    <row r="263" spans="1:40">
      <c r="A263" s="347">
        <f>IFERROR(VLOOKUP($G263,基本資料!$A:$J,3,0),"無")</f>
        <v>3.57</v>
      </c>
      <c r="B263" s="79">
        <f>IFERROR(VLOOKUP($G263,基本資料!$A:$J,4,0),"無")</f>
        <v>3</v>
      </c>
      <c r="C263" s="79">
        <f>IFERROR(VLOOKUP($G263,基本資料!$A:$J,5,0),"無")</f>
        <v>17</v>
      </c>
      <c r="D263" s="79">
        <f>IFERROR(VLOOKUP($G263,基本資料!$A:$J,6,0),"無")</f>
        <v>-2</v>
      </c>
      <c r="E263" s="79">
        <f>IFERROR(VLOOKUP($G263,基本資料!$A:$J,7,0),"無")</f>
        <v>0</v>
      </c>
      <c r="F263" s="6">
        <f>IFERROR(VLOOKUP($G263,基本資料!$A:$J,8,0),"無")</f>
        <v>20.94</v>
      </c>
      <c r="G263" s="79">
        <v>6629</v>
      </c>
      <c r="H263" s="4" t="s">
        <v>1960</v>
      </c>
      <c r="I263" s="16" t="s">
        <v>2097</v>
      </c>
      <c r="J263" s="8" t="str">
        <f>IFERROR(VLOOKUP($G263,今日總結!$A:$AJ,35,0),"")</f>
        <v/>
      </c>
      <c r="K263" s="5" t="str">
        <f>IFERROR(VLOOKUP($G263,今日總結!$A:$AJ,36,0),"")</f>
        <v/>
      </c>
      <c r="L263" s="156" t="str">
        <f>IFERROR(VLOOKUP($G263,今日總結!$A:$AJ,33,0),"")</f>
        <v/>
      </c>
      <c r="M263" s="340" t="str">
        <f>IFERROR(VLOOKUP($G263,今日總結!$A:$AJ,34,0),"")</f>
        <v/>
      </c>
      <c r="N263" s="240" t="str">
        <f t="shared" si="115"/>
        <v/>
      </c>
      <c r="P263" s="365" t="str">
        <f>IFERROR(VLOOKUP($G263,融外自投!$A:$J,7,0),"無")</f>
        <v>無</v>
      </c>
      <c r="Q263" s="79" t="str">
        <f>IFERROR(VLOOKUP($G263,融外自投!$A:$J,9,0),"無")</f>
        <v>無</v>
      </c>
      <c r="R263" s="346" t="str">
        <f>IFERROR(VLOOKUP($G263,融外自投!$A:$J,8,0),"無")</f>
        <v>無</v>
      </c>
      <c r="S263" s="81" t="str">
        <f>IFERROR(VLOOKUP($G263,融外自投!$A:$J,10,0),"無")</f>
        <v>無</v>
      </c>
      <c r="T263" s="327" t="str">
        <f>IFERROR(VLOOKUP($G263,'321買'!$A:$E,5,0),"'沒有資料'")</f>
        <v>'沒有資料'</v>
      </c>
      <c r="U263" s="186">
        <f>IFERROR(VLOOKUP($G263,基本資料!$A:$J,9,0),"無")</f>
        <v>3.2</v>
      </c>
      <c r="V263" s="310">
        <f t="shared" si="116"/>
        <v>4.9844236760124609E-2</v>
      </c>
      <c r="W263" s="94">
        <f>IFERROR(VLOOKUP($G263,基本資料!$A:$J,10,0),"無")</f>
        <v>6.51</v>
      </c>
      <c r="X263" s="13">
        <v>64.2</v>
      </c>
      <c r="Y263" s="66">
        <v>52</v>
      </c>
      <c r="Z263" s="15">
        <f t="shared" si="113"/>
        <v>12.200000000000003</v>
      </c>
      <c r="AA263" s="63">
        <f t="shared" si="114"/>
        <v>0.23461538461538467</v>
      </c>
      <c r="AB263" s="99" t="s">
        <v>2132</v>
      </c>
      <c r="AC263" s="397">
        <f>IFERROR(VLOOKUP($G263,基本資料!$A:$M,12,0),"無")</f>
        <v>45.55</v>
      </c>
      <c r="AD263" s="16" t="s">
        <v>2097</v>
      </c>
      <c r="AE263" s="84">
        <v>44176</v>
      </c>
      <c r="AF263" s="86">
        <v>44186</v>
      </c>
      <c r="AG263" s="33">
        <f t="shared" si="110"/>
        <v>10</v>
      </c>
      <c r="AH263" s="43" t="s">
        <v>2098</v>
      </c>
      <c r="AI263" s="259"/>
      <c r="AK263" s="245"/>
      <c r="AL263" s="245"/>
    </row>
    <row r="264" spans="1:40" ht="17.25" customHeight="1">
      <c r="A264" s="347">
        <f>IFERROR(VLOOKUP($G264,基本資料!$A:$J,3,0),"無")</f>
        <v>2.83</v>
      </c>
      <c r="B264" s="79">
        <f>IFERROR(VLOOKUP($G264,基本資料!$A:$J,4,0),"無")</f>
        <v>10</v>
      </c>
      <c r="C264" s="79">
        <f>IFERROR(VLOOKUP($G264,基本資料!$A:$J,5,0),"無")</f>
        <v>7</v>
      </c>
      <c r="D264" s="79">
        <f>IFERROR(VLOOKUP($G264,基本資料!$A:$J,6,0),"無")</f>
        <v>-7</v>
      </c>
      <c r="E264" s="79">
        <f>IFERROR(VLOOKUP($G264,基本資料!$A:$J,7,0),"無")</f>
        <v>9</v>
      </c>
      <c r="F264" s="6">
        <f>IFERROR(VLOOKUP($G264,基本資料!$A:$J,8,0),"無")</f>
        <v>12.07</v>
      </c>
      <c r="G264" s="79">
        <v>6752</v>
      </c>
      <c r="H264" s="4" t="s">
        <v>3436</v>
      </c>
      <c r="I264" s="16" t="s">
        <v>2101</v>
      </c>
      <c r="J264" s="8" t="str">
        <f>IFERROR(VLOOKUP($G264,今日總結!$A:$AJ,35,0),"")</f>
        <v/>
      </c>
      <c r="K264" s="5" t="str">
        <f>IFERROR(VLOOKUP($G264,今日總結!$A:$AJ,36,0),"")</f>
        <v/>
      </c>
      <c r="L264" s="156" t="str">
        <f>IFERROR(VLOOKUP($G264,今日總結!$A:$AJ,33,0),"")</f>
        <v/>
      </c>
      <c r="M264" s="340" t="str">
        <f>IFERROR(VLOOKUP($G264,今日總結!$A:$AJ,34,0),"")</f>
        <v/>
      </c>
      <c r="N264" s="240" t="str">
        <f t="shared" si="115"/>
        <v/>
      </c>
      <c r="P264" s="365" t="str">
        <f>IFERROR(VLOOKUP($G264,融外自投!$A:$J,7,0),"無")</f>
        <v>無</v>
      </c>
      <c r="Q264" s="79" t="str">
        <f>IFERROR(VLOOKUP($G264,融外自投!$A:$J,9,0),"無")</f>
        <v>無</v>
      </c>
      <c r="R264" s="346" t="str">
        <f>IFERROR(VLOOKUP($G264,融外自投!$A:$J,8,0),"無")</f>
        <v>無</v>
      </c>
      <c r="S264" s="81" t="str">
        <f>IFERROR(VLOOKUP($G264,融外自投!$A:$J,10,0),"無")</f>
        <v>無</v>
      </c>
      <c r="T264" s="327" t="str">
        <f>IFERROR(VLOOKUP($G264,'321買'!$A:$E,5,0),"'沒有資料'")</f>
        <v>'沒有資料'</v>
      </c>
      <c r="U264" s="186">
        <f>IFERROR(VLOOKUP($G264,基本資料!$A:$J,9,0),"無")</f>
        <v>2.8</v>
      </c>
      <c r="V264" s="310">
        <f t="shared" si="116"/>
        <v>4.7377326565143818E-2</v>
      </c>
      <c r="W264" s="94">
        <f>IFERROR(VLOOKUP($G264,基本資料!$A:$J,10,0),"無")</f>
        <v>4.7</v>
      </c>
      <c r="X264" s="36">
        <v>59.1</v>
      </c>
      <c r="Y264" s="66">
        <v>56</v>
      </c>
      <c r="Z264" s="15">
        <f t="shared" si="113"/>
        <v>3.1000000000000014</v>
      </c>
      <c r="AA264" s="63">
        <f t="shared" si="114"/>
        <v>5.5357142857142883E-2</v>
      </c>
      <c r="AB264" s="99" t="s">
        <v>2126</v>
      </c>
      <c r="AC264" s="397">
        <f>IFERROR(VLOOKUP($G264,基本資料!$A:$M,12,0),"無")</f>
        <v>55.54</v>
      </c>
      <c r="AD264" s="16" t="s">
        <v>2101</v>
      </c>
      <c r="AE264" s="84">
        <v>44175</v>
      </c>
      <c r="AF264" s="86">
        <v>44186</v>
      </c>
      <c r="AG264" s="33">
        <f t="shared" si="110"/>
        <v>11</v>
      </c>
      <c r="AH264" s="43" t="s">
        <v>2121</v>
      </c>
      <c r="AI264" s="259"/>
      <c r="AK264" s="245"/>
      <c r="AL264" s="245"/>
    </row>
    <row r="265" spans="1:40">
      <c r="A265" s="347">
        <f>IFERROR(VLOOKUP($G265,基本資料!$A:$J,3,0),"無")</f>
        <v>309</v>
      </c>
      <c r="B265" s="79">
        <f>IFERROR(VLOOKUP($G265,基本資料!$A:$J,4,0),"無")</f>
        <v>-24</v>
      </c>
      <c r="C265" s="79">
        <f>IFERROR(VLOOKUP($G265,基本資料!$A:$J,5,0),"無")</f>
        <v>-175</v>
      </c>
      <c r="D265" s="79">
        <f>IFERROR(VLOOKUP($G265,基本資料!$A:$J,6,0),"無")</f>
        <v>32</v>
      </c>
      <c r="E265" s="79">
        <f>IFERROR(VLOOKUP($G265,基本資料!$A:$J,7,0),"無")</f>
        <v>-28</v>
      </c>
      <c r="F265" s="6">
        <f>IFERROR(VLOOKUP($G265,基本資料!$A:$J,8,0),"無")</f>
        <v>-0.83</v>
      </c>
      <c r="G265" s="80">
        <v>2867</v>
      </c>
      <c r="H265" s="10" t="s">
        <v>304</v>
      </c>
      <c r="I265" s="22" t="s">
        <v>116</v>
      </c>
      <c r="J265" s="8">
        <f>IFERROR(VLOOKUP($G265,今日總結!$A:$AJ,35,0),"")</f>
        <v>0</v>
      </c>
      <c r="K265" s="5" t="str">
        <f>IFERROR(VLOOKUP($G265,今日總結!$A:$AJ,36,0),"")</f>
        <v>借</v>
      </c>
      <c r="L265" s="156">
        <f>IFERROR(VLOOKUP($G265,今日總結!$A:$AJ,33,0),"")</f>
        <v>0</v>
      </c>
      <c r="M265" s="340">
        <f>IFERROR(VLOOKUP($G265,今日總結!$A:$AJ,34,0),"")</f>
        <v>1</v>
      </c>
      <c r="N265" s="240">
        <f t="shared" si="115"/>
        <v>-1</v>
      </c>
      <c r="P265" s="365">
        <f>IFERROR(VLOOKUP($G265,融外自投!$A:$J,7,0),"無")</f>
        <v>875</v>
      </c>
      <c r="Q265" s="79" t="str">
        <f>IFERROR(VLOOKUP($G265,融外自投!$A:$J,9,0),"無")</f>
        <v>無</v>
      </c>
      <c r="R265" s="346">
        <f>IFERROR(VLOOKUP($G265,融外自投!$A:$J,8,0),"無")</f>
        <v>736</v>
      </c>
      <c r="S265" s="81" t="str">
        <f>IFERROR(VLOOKUP($G265,融外自投!$A:$J,10,0),"無")</f>
        <v>無</v>
      </c>
      <c r="T265" s="327">
        <f>IFERROR(VLOOKUP($G265,'321買'!$A:$E,5,0),"'沒有資料'")</f>
        <v>416</v>
      </c>
      <c r="U265" s="186">
        <f>IFERROR(VLOOKUP($G265,基本資料!$A:$J,9,0),"無")</f>
        <v>0</v>
      </c>
      <c r="V265" s="310">
        <f t="shared" si="116"/>
        <v>0</v>
      </c>
      <c r="W265" s="94">
        <f>IFERROR(VLOOKUP($G265,基本資料!$A:$J,10,0),"無")</f>
        <v>0.42</v>
      </c>
      <c r="X265" s="36">
        <v>8.3000000000000007</v>
      </c>
      <c r="Y265" s="66">
        <v>7.55</v>
      </c>
      <c r="Z265" s="15">
        <f t="shared" si="113"/>
        <v>0.75000000000000089</v>
      </c>
      <c r="AA265" s="63">
        <f t="shared" si="114"/>
        <v>9.933774834437098E-2</v>
      </c>
      <c r="AB265" s="99" t="s">
        <v>2127</v>
      </c>
      <c r="AC265" s="397">
        <f>IFERROR(VLOOKUP($G265,基本資料!$A:$M,12,0),"無")</f>
        <v>8.3000000000000007</v>
      </c>
      <c r="AD265" s="22" t="s">
        <v>116</v>
      </c>
      <c r="AE265" s="84">
        <v>44175</v>
      </c>
      <c r="AF265" s="86">
        <v>44186</v>
      </c>
      <c r="AG265" s="33">
        <f t="shared" si="110"/>
        <v>11</v>
      </c>
      <c r="AH265" s="117" t="s">
        <v>2157</v>
      </c>
      <c r="AI265" s="259"/>
      <c r="AK265" s="245"/>
      <c r="AL265" s="245"/>
    </row>
    <row r="266" spans="1:40">
      <c r="A266" s="347">
        <f>IFERROR(VLOOKUP($G266,基本資料!$A:$J,3,0),"無")</f>
        <v>44.57</v>
      </c>
      <c r="B266" s="79">
        <f>IFERROR(VLOOKUP($G266,基本資料!$A:$J,4,0),"無")</f>
        <v>116</v>
      </c>
      <c r="C266" s="79">
        <f>IFERROR(VLOOKUP($G266,基本資料!$A:$J,5,0),"無")</f>
        <v>119</v>
      </c>
      <c r="D266" s="79">
        <f>IFERROR(VLOOKUP($G266,基本資料!$A:$J,6,0),"無")</f>
        <v>1</v>
      </c>
      <c r="E266" s="79">
        <f>IFERROR(VLOOKUP($G266,基本資料!$A:$J,7,0),"無")</f>
        <v>54</v>
      </c>
      <c r="F266" s="6">
        <f>IFERROR(VLOOKUP($G266,基本資料!$A:$J,8,0),"無")</f>
        <v>0.92</v>
      </c>
      <c r="G266" s="79">
        <v>6443</v>
      </c>
      <c r="H266" s="4" t="s">
        <v>306</v>
      </c>
      <c r="I266" s="22" t="s">
        <v>4288</v>
      </c>
      <c r="J266" s="8">
        <f>IFERROR(VLOOKUP($G266,今日總結!$A:$AJ,35,0),"")</f>
        <v>0</v>
      </c>
      <c r="K266" s="5">
        <f>IFERROR(VLOOKUP($G266,今日總結!$A:$AJ,36,0),"")</f>
        <v>462</v>
      </c>
      <c r="L266" s="156">
        <f>IFERROR(VLOOKUP($G266,今日總結!$A:$AJ,33,0),"")</f>
        <v>0</v>
      </c>
      <c r="M266" s="340">
        <f>IFERROR(VLOOKUP($G266,今日總結!$A:$AJ,34,0),"")</f>
        <v>3</v>
      </c>
      <c r="N266" s="240">
        <f t="shared" si="115"/>
        <v>-3</v>
      </c>
      <c r="P266" s="365">
        <f>IFERROR(VLOOKUP($G266,融外自投!$A:$J,7,0),"無")</f>
        <v>113</v>
      </c>
      <c r="Q266" s="79">
        <f>IFERROR(VLOOKUP($G266,融外自投!$A:$J,9,0),"無")</f>
        <v>308</v>
      </c>
      <c r="R266" s="346">
        <f>IFERROR(VLOOKUP($G266,融外自投!$A:$J,8,0),"無")</f>
        <v>274</v>
      </c>
      <c r="S266" s="81">
        <f>IFERROR(VLOOKUP($G266,融外自投!$A:$J,10,0),"無")</f>
        <v>18</v>
      </c>
      <c r="T266" s="327">
        <f>IFERROR(VLOOKUP($G266,'321買'!$A:$E,5,0),"'沒有資料'")</f>
        <v>138</v>
      </c>
      <c r="U266" s="186">
        <f>IFERROR(VLOOKUP($G266,基本資料!$A:$J,9,0),"無")</f>
        <v>0</v>
      </c>
      <c r="V266" s="310">
        <f t="shared" si="116"/>
        <v>0</v>
      </c>
      <c r="W266" s="94">
        <f>IFERROR(VLOOKUP($G266,基本資料!$A:$J,10,0),"無")</f>
        <v>0.1</v>
      </c>
      <c r="X266" s="36">
        <v>39.450000000000003</v>
      </c>
      <c r="Y266" s="66">
        <v>25.8</v>
      </c>
      <c r="Z266" s="15">
        <f t="shared" si="113"/>
        <v>13.650000000000002</v>
      </c>
      <c r="AA266" s="63">
        <f t="shared" si="114"/>
        <v>0.52906976744186052</v>
      </c>
      <c r="AB266" s="99" t="s">
        <v>2118</v>
      </c>
      <c r="AC266" s="397">
        <f>IFERROR(VLOOKUP($G266,基本資料!$A:$M,12,0),"無")</f>
        <v>39.86</v>
      </c>
      <c r="AD266" s="22" t="s">
        <v>450</v>
      </c>
      <c r="AE266" s="84">
        <v>44172</v>
      </c>
      <c r="AF266" s="86">
        <v>44182</v>
      </c>
      <c r="AG266" s="33">
        <f t="shared" si="110"/>
        <v>10</v>
      </c>
      <c r="AH266" s="43" t="s">
        <v>1990</v>
      </c>
      <c r="AI266" s="259"/>
      <c r="AK266" s="245"/>
      <c r="AL266" s="245"/>
    </row>
    <row r="267" spans="1:40">
      <c r="A267" s="347">
        <f>IFERROR(VLOOKUP($G267,基本資料!$A:$J,3,0),"無")</f>
        <v>10.07</v>
      </c>
      <c r="B267" s="79">
        <f>IFERROR(VLOOKUP($G267,基本資料!$A:$J,4,0),"無")</f>
        <v>68</v>
      </c>
      <c r="C267" s="79">
        <f>IFERROR(VLOOKUP($G267,基本資料!$A:$J,5,0),"無")</f>
        <v>53</v>
      </c>
      <c r="D267" s="79">
        <f>IFERROR(VLOOKUP($G267,基本資料!$A:$J,6,0),"無")</f>
        <v>-8</v>
      </c>
      <c r="E267" s="79">
        <f>IFERROR(VLOOKUP($G267,基本資料!$A:$J,7,0),"無")</f>
        <v>73</v>
      </c>
      <c r="F267" s="6">
        <f>IFERROR(VLOOKUP($G267,基本資料!$A:$J,8,0),"無")</f>
        <v>15.09</v>
      </c>
      <c r="G267" s="79">
        <v>4755</v>
      </c>
      <c r="H267" s="4" t="s">
        <v>3578</v>
      </c>
      <c r="I267" s="22" t="s">
        <v>767</v>
      </c>
      <c r="J267" s="8">
        <f>IFERROR(VLOOKUP($G267,今日總結!$A:$AJ,35,0),"")</f>
        <v>0</v>
      </c>
      <c r="K267" s="5" t="str">
        <f>IFERROR(VLOOKUP($G267,今日總結!$A:$AJ,36,0),"")</f>
        <v>借</v>
      </c>
      <c r="L267" s="156">
        <f>IFERROR(VLOOKUP($G267,今日總結!$A:$AJ,33,0),"")</f>
        <v>0</v>
      </c>
      <c r="M267" s="340">
        <f>IFERROR(VLOOKUP($G267,今日總結!$A:$AJ,34,0),"")</f>
        <v>1</v>
      </c>
      <c r="N267" s="240">
        <f t="shared" si="115"/>
        <v>-1</v>
      </c>
      <c r="P267" s="365">
        <f>IFERROR(VLOOKUP($G267,融外自投!$A:$J,7,0),"無")</f>
        <v>613</v>
      </c>
      <c r="Q267" s="79">
        <f>IFERROR(VLOOKUP($G267,融外自投!$A:$J,9,0),"無")</f>
        <v>614</v>
      </c>
      <c r="R267" s="346">
        <f>IFERROR(VLOOKUP($G267,融外自投!$A:$J,8,0),"無")</f>
        <v>178</v>
      </c>
      <c r="S267" s="81">
        <f>IFERROR(VLOOKUP($G267,融外自投!$A:$J,10,0),"無")</f>
        <v>222</v>
      </c>
      <c r="T267" s="327">
        <f>IFERROR(VLOOKUP($G267,'321買'!$A:$E,5,0),"'沒有資料'")</f>
        <v>306</v>
      </c>
      <c r="U267" s="186">
        <f>IFERROR(VLOOKUP($G267,基本資料!$A:$J,9,0),"無")</f>
        <v>5</v>
      </c>
      <c r="V267" s="310">
        <f t="shared" si="116"/>
        <v>7.564296520423601E-2</v>
      </c>
      <c r="W267" s="94">
        <f>IFERROR(VLOOKUP($G267,基本資料!$A:$J,10,0),"無")</f>
        <v>6.69</v>
      </c>
      <c r="X267" s="36">
        <v>66.099999999999994</v>
      </c>
      <c r="Y267" s="66">
        <v>48.7</v>
      </c>
      <c r="Z267" s="15">
        <f t="shared" si="113"/>
        <v>17.399999999999991</v>
      </c>
      <c r="AA267" s="63">
        <f t="shared" si="114"/>
        <v>0.35728952772073902</v>
      </c>
      <c r="AB267" s="99" t="s">
        <v>2114</v>
      </c>
      <c r="AC267" s="397">
        <f>IFERROR(VLOOKUP($G267,基本資料!$A:$M,12,0),"無")</f>
        <v>49.22</v>
      </c>
      <c r="AD267" s="22" t="s">
        <v>767</v>
      </c>
      <c r="AE267" s="84">
        <v>44169</v>
      </c>
      <c r="AF267" s="86">
        <v>44179</v>
      </c>
      <c r="AG267" s="33">
        <f t="shared" si="110"/>
        <v>10</v>
      </c>
      <c r="AH267" s="43" t="s">
        <v>2085</v>
      </c>
      <c r="AI267" s="259"/>
      <c r="AK267" s="245"/>
      <c r="AL267" s="245"/>
    </row>
    <row r="268" spans="1:40">
      <c r="A268" s="347">
        <f>IFERROR(VLOOKUP($G268,基本資料!$A:$J,3,0),"無")</f>
        <v>2.2599999999999998</v>
      </c>
      <c r="B268" s="79">
        <f>IFERROR(VLOOKUP($G268,基本資料!$A:$J,4,0),"無")</f>
        <v>64</v>
      </c>
      <c r="C268" s="79">
        <f>IFERROR(VLOOKUP($G268,基本資料!$A:$J,5,0),"無")</f>
        <v>27</v>
      </c>
      <c r="D268" s="79">
        <f>IFERROR(VLOOKUP($G268,基本資料!$A:$J,6,0),"無")</f>
        <v>-15</v>
      </c>
      <c r="E268" s="79">
        <f>IFERROR(VLOOKUP($G268,基本資料!$A:$J,7,0),"無")</f>
        <v>59</v>
      </c>
      <c r="F268" s="6">
        <f>IFERROR(VLOOKUP($G268,基本資料!$A:$J,8,0),"無")</f>
        <v>13.45</v>
      </c>
      <c r="G268" s="80">
        <v>6727</v>
      </c>
      <c r="H268" s="4" t="s">
        <v>3389</v>
      </c>
      <c r="I268" s="16" t="s">
        <v>2083</v>
      </c>
      <c r="J268" s="8" t="str">
        <f>IFERROR(VLOOKUP($G268,今日總結!$A:$AJ,35,0),"")</f>
        <v/>
      </c>
      <c r="K268" s="5" t="str">
        <f>IFERROR(VLOOKUP($G268,今日總結!$A:$AJ,36,0),"")</f>
        <v/>
      </c>
      <c r="L268" s="156" t="str">
        <f>IFERROR(VLOOKUP($G268,今日總結!$A:$AJ,33,0),"")</f>
        <v/>
      </c>
      <c r="M268" s="340" t="str">
        <f>IFERROR(VLOOKUP($G268,今日總結!$A:$AJ,34,0),"")</f>
        <v/>
      </c>
      <c r="N268" s="240" t="str">
        <f t="shared" si="115"/>
        <v/>
      </c>
      <c r="P268" s="365" t="str">
        <f>IFERROR(VLOOKUP($G268,融外自投!$A:$J,7,0),"無")</f>
        <v>無</v>
      </c>
      <c r="Q268" s="79" t="str">
        <f>IFERROR(VLOOKUP($G268,融外自投!$A:$J,9,0),"無")</f>
        <v>無</v>
      </c>
      <c r="R268" s="346" t="str">
        <f>IFERROR(VLOOKUP($G268,融外自投!$A:$J,8,0),"無")</f>
        <v>無</v>
      </c>
      <c r="S268" s="81" t="str">
        <f>IFERROR(VLOOKUP($G268,融外自投!$A:$J,10,0),"無")</f>
        <v>無</v>
      </c>
      <c r="T268" s="327" t="str">
        <f>IFERROR(VLOOKUP($G268,'321買'!$A:$E,5,0),"'沒有資料'")</f>
        <v>'沒有資料'</v>
      </c>
      <c r="U268" s="186">
        <f>IFERROR(VLOOKUP($G268,基本資料!$A:$J,9,0),"無")</f>
        <v>3</v>
      </c>
      <c r="V268" s="310">
        <f t="shared" si="116"/>
        <v>5.0505050505050504E-2</v>
      </c>
      <c r="W268" s="94">
        <f>IFERROR(VLOOKUP($G268,基本資料!$A:$J,10,0),"無")</f>
        <v>5.75</v>
      </c>
      <c r="X268" s="36">
        <v>59.4</v>
      </c>
      <c r="Y268" s="66">
        <v>52.8</v>
      </c>
      <c r="Z268" s="15">
        <f t="shared" si="113"/>
        <v>6.6000000000000014</v>
      </c>
      <c r="AA268" s="63">
        <f t="shared" si="114"/>
        <v>0.12500000000000003</v>
      </c>
      <c r="AB268" s="99" t="s">
        <v>2107</v>
      </c>
      <c r="AC268" s="397">
        <f>IFERROR(VLOOKUP($G268,基本資料!$A:$M,12,0),"無")</f>
        <v>44.24</v>
      </c>
      <c r="AD268" s="16" t="s">
        <v>2083</v>
      </c>
      <c r="AE268" s="84">
        <v>44166</v>
      </c>
      <c r="AF268" s="86">
        <v>44176</v>
      </c>
      <c r="AG268" s="33">
        <f t="shared" si="110"/>
        <v>10</v>
      </c>
      <c r="AH268" s="43" t="s">
        <v>2084</v>
      </c>
      <c r="AI268" s="259"/>
      <c r="AK268" s="245"/>
      <c r="AL268" s="245"/>
    </row>
    <row r="269" spans="1:40">
      <c r="A269" s="347">
        <f>IFERROR(VLOOKUP($G269,基本資料!$A:$J,3,0),"無")</f>
        <v>6.78</v>
      </c>
      <c r="B269" s="79">
        <f>IFERROR(VLOOKUP($G269,基本資料!$A:$J,4,0),"無")</f>
        <v>35</v>
      </c>
      <c r="C269" s="79">
        <f>IFERROR(VLOOKUP($G269,基本資料!$A:$J,5,0),"無")</f>
        <v>26</v>
      </c>
      <c r="D269" s="79">
        <f>IFERROR(VLOOKUP($G269,基本資料!$A:$J,6,0),"無")</f>
        <v>0</v>
      </c>
      <c r="E269" s="79">
        <f>IFERROR(VLOOKUP($G269,基本資料!$A:$J,7,0),"無")</f>
        <v>58</v>
      </c>
      <c r="F269" s="6">
        <f>IFERROR(VLOOKUP($G269,基本資料!$A:$J,8,0),"無")</f>
        <v>15.28</v>
      </c>
      <c r="G269" s="80">
        <v>1342</v>
      </c>
      <c r="H269" s="4" t="s">
        <v>293</v>
      </c>
      <c r="I269" s="22" t="s">
        <v>2077</v>
      </c>
      <c r="J269" s="8" t="str">
        <f>IFERROR(VLOOKUP($G269,今日總結!$A:$AJ,35,0),"")</f>
        <v/>
      </c>
      <c r="K269" s="5" t="str">
        <f>IFERROR(VLOOKUP($G269,今日總結!$A:$AJ,36,0),"")</f>
        <v/>
      </c>
      <c r="L269" s="156" t="str">
        <f>IFERROR(VLOOKUP($G269,今日總結!$A:$AJ,33,0),"")</f>
        <v/>
      </c>
      <c r="M269" s="340" t="str">
        <f>IFERROR(VLOOKUP($G269,今日總結!$A:$AJ,34,0),"")</f>
        <v/>
      </c>
      <c r="N269" s="240" t="str">
        <f t="shared" si="115"/>
        <v/>
      </c>
      <c r="P269" s="365">
        <f>IFERROR(VLOOKUP($G269,融外自投!$A:$J,7,0),"無")</f>
        <v>988</v>
      </c>
      <c r="Q269" s="79">
        <f>IFERROR(VLOOKUP($G269,融外自投!$A:$J,9,0),"無")</f>
        <v>537</v>
      </c>
      <c r="R269" s="346">
        <f>IFERROR(VLOOKUP($G269,融外自投!$A:$J,8,0),"無")</f>
        <v>60</v>
      </c>
      <c r="S269" s="81" t="str">
        <f>IFERROR(VLOOKUP($G269,融外自投!$A:$J,10,0),"無")</f>
        <v>無</v>
      </c>
      <c r="T269" s="327">
        <f>IFERROR(VLOOKUP($G269,'321買'!$A:$E,5,0),"'沒有資料'")</f>
        <v>480</v>
      </c>
      <c r="U269" s="186">
        <f>IFERROR(VLOOKUP($G269,基本資料!$A:$J,9,0),"無")</f>
        <v>3</v>
      </c>
      <c r="V269" s="310">
        <f t="shared" si="116"/>
        <v>4.95049504950495E-2</v>
      </c>
      <c r="W269" s="94">
        <f>IFERROR(VLOOKUP($G269,基本資料!$A:$J,10,0),"無")</f>
        <v>3.92</v>
      </c>
      <c r="X269" s="13">
        <v>60.6</v>
      </c>
      <c r="Y269" s="66">
        <v>55</v>
      </c>
      <c r="Z269" s="15">
        <f t="shared" si="113"/>
        <v>5.6000000000000014</v>
      </c>
      <c r="AA269" s="63">
        <f t="shared" si="114"/>
        <v>0.10181818181818185</v>
      </c>
      <c r="AB269" s="99" t="s">
        <v>2091</v>
      </c>
      <c r="AC269" s="397">
        <f>IFERROR(VLOOKUP($G269,基本資料!$A:$M,12,0),"無")</f>
        <v>68.319999999999993</v>
      </c>
      <c r="AD269" s="22" t="s">
        <v>2077</v>
      </c>
      <c r="AE269" s="84">
        <v>44159</v>
      </c>
      <c r="AF269" s="86">
        <v>44169</v>
      </c>
      <c r="AG269" s="33">
        <f t="shared" si="110"/>
        <v>10</v>
      </c>
      <c r="AH269" s="43" t="s">
        <v>2078</v>
      </c>
      <c r="AI269" s="259"/>
      <c r="AK269" s="245"/>
      <c r="AL269" s="245"/>
    </row>
    <row r="270" spans="1:40">
      <c r="A270" s="347">
        <f>IFERROR(VLOOKUP($G270,基本資料!$A:$J,3,0),"無")</f>
        <v>4.43</v>
      </c>
      <c r="B270" s="79">
        <f>IFERROR(VLOOKUP($G270,基本資料!$A:$J,4,0),"無")</f>
        <v>29</v>
      </c>
      <c r="C270" s="79">
        <f>IFERROR(VLOOKUP($G270,基本資料!$A:$J,5,0),"無")</f>
        <v>44</v>
      </c>
      <c r="D270" s="79">
        <f>IFERROR(VLOOKUP($G270,基本資料!$A:$J,6,0),"無")</f>
        <v>-27</v>
      </c>
      <c r="E270" s="79">
        <f>IFERROR(VLOOKUP($G270,基本資料!$A:$J,7,0),"無")</f>
        <v>-52</v>
      </c>
      <c r="F270" s="6">
        <f>IFERROR(VLOOKUP($G270,基本資料!$A:$J,8,0),"無")</f>
        <v>-9.7899999999999991</v>
      </c>
      <c r="G270" s="80">
        <v>6625</v>
      </c>
      <c r="H270" s="4" t="s">
        <v>1960</v>
      </c>
      <c r="I270" s="22" t="s">
        <v>6126</v>
      </c>
      <c r="J270" s="8" t="str">
        <f>IFERROR(VLOOKUP($G270,今日總結!$A:$AJ,35,0),"")</f>
        <v/>
      </c>
      <c r="K270" s="5" t="str">
        <f>IFERROR(VLOOKUP($G270,今日總結!$A:$AJ,36,0),"")</f>
        <v/>
      </c>
      <c r="L270" s="156" t="str">
        <f>IFERROR(VLOOKUP($G270,今日總結!$A:$AJ,33,0),"")</f>
        <v/>
      </c>
      <c r="M270" s="340" t="str">
        <f>IFERROR(VLOOKUP($G270,今日總結!$A:$AJ,34,0),"")</f>
        <v/>
      </c>
      <c r="N270" s="240" t="str">
        <f t="shared" si="115"/>
        <v/>
      </c>
      <c r="P270" s="365">
        <f>IFERROR(VLOOKUP($G270,融外自投!$A:$J,7,0),"無")</f>
        <v>1047</v>
      </c>
      <c r="Q270" s="79">
        <f>IFERROR(VLOOKUP($G270,融外自投!$A:$J,9,0),"無")</f>
        <v>1051</v>
      </c>
      <c r="R270" s="346">
        <f>IFERROR(VLOOKUP($G270,融外自投!$A:$J,8,0),"無")</f>
        <v>1063</v>
      </c>
      <c r="S270" s="81" t="str">
        <f>IFERROR(VLOOKUP($G270,融外自投!$A:$J,10,0),"無")</f>
        <v>無</v>
      </c>
      <c r="T270" s="327">
        <f>IFERROR(VLOOKUP($G270,'321買'!$A:$E,5,0),"'沒有資料'")</f>
        <v>1383</v>
      </c>
      <c r="U270" s="186">
        <f>IFERROR(VLOOKUP($G270,基本資料!$A:$J,9,0),"無")</f>
        <v>0</v>
      </c>
      <c r="V270" s="310">
        <f t="shared" si="116"/>
        <v>0</v>
      </c>
      <c r="W270" s="94">
        <f>IFERROR(VLOOKUP($G270,基本資料!$A:$J,10,0),"無")</f>
        <v>-2</v>
      </c>
      <c r="X270" s="36">
        <v>33.6</v>
      </c>
      <c r="Y270" s="66">
        <v>30</v>
      </c>
      <c r="Z270" s="15">
        <f t="shared" si="113"/>
        <v>3.6000000000000014</v>
      </c>
      <c r="AA270" s="63">
        <f t="shared" si="114"/>
        <v>0.12000000000000005</v>
      </c>
      <c r="AB270" s="99" t="s">
        <v>2092</v>
      </c>
      <c r="AC270" s="397">
        <f>IFERROR(VLOOKUP($G270,基本資料!$A:$M,12,0),"無")</f>
        <v>11.83</v>
      </c>
      <c r="AD270" s="22" t="s">
        <v>684</v>
      </c>
      <c r="AE270" s="84">
        <v>44159</v>
      </c>
      <c r="AF270" s="86">
        <v>44169</v>
      </c>
      <c r="AG270" s="33">
        <f t="shared" ref="AG270:AG333" si="117">AF270-AE270</f>
        <v>10</v>
      </c>
      <c r="AH270" s="43" t="s">
        <v>2075</v>
      </c>
      <c r="AI270" s="259"/>
      <c r="AK270" s="245"/>
      <c r="AL270" s="245"/>
    </row>
    <row r="271" spans="1:40" ht="17.25" customHeight="1">
      <c r="A271" s="347">
        <f>IFERROR(VLOOKUP($G271,基本資料!$A:$J,3,0),"無")</f>
        <v>38.79</v>
      </c>
      <c r="B271" s="79">
        <f>IFERROR(VLOOKUP($G271,基本資料!$A:$J,4,0),"無")</f>
        <v>943</v>
      </c>
      <c r="C271" s="79">
        <f>IFERROR(VLOOKUP($G271,基本資料!$A:$J,5,0),"無")</f>
        <v>936</v>
      </c>
      <c r="D271" s="79">
        <f>IFERROR(VLOOKUP($G271,基本資料!$A:$J,6,0),"無")</f>
        <v>-83</v>
      </c>
      <c r="E271" s="79">
        <f>IFERROR(VLOOKUP($G271,基本資料!$A:$J,7,0),"無")</f>
        <v>4878</v>
      </c>
      <c r="F271" s="6">
        <f>IFERROR(VLOOKUP($G271,基本資料!$A:$J,8,0),"無")</f>
        <v>17.239999999999998</v>
      </c>
      <c r="G271" s="79">
        <v>6177</v>
      </c>
      <c r="H271" s="4" t="s">
        <v>4003</v>
      </c>
      <c r="I271" s="22" t="s">
        <v>6135</v>
      </c>
      <c r="J271" s="8">
        <f>IFERROR(VLOOKUP($G271,今日總結!$A:$AJ,35,0),"")</f>
        <v>0</v>
      </c>
      <c r="K271" s="5" t="str">
        <f>IFERROR(VLOOKUP($G271,今日總結!$A:$AJ,36,0),"")</f>
        <v>外</v>
      </c>
      <c r="L271" s="156">
        <f>IFERROR(VLOOKUP($G271,今日總結!$A:$AJ,33,0),"")</f>
        <v>0</v>
      </c>
      <c r="M271" s="340">
        <f>IFERROR(VLOOKUP($G271,今日總結!$A:$AJ,34,0),"")</f>
        <v>2</v>
      </c>
      <c r="N271" s="240">
        <f t="shared" si="115"/>
        <v>-2</v>
      </c>
      <c r="P271" s="365">
        <f>IFERROR(VLOOKUP($G271,融外自投!$A:$J,7,0),"無")</f>
        <v>877</v>
      </c>
      <c r="Q271" s="79">
        <f>IFERROR(VLOOKUP($G271,融外自投!$A:$J,9,0),"無")</f>
        <v>978</v>
      </c>
      <c r="R271" s="346">
        <f>IFERROR(VLOOKUP($G271,融外自投!$A:$J,8,0),"無")</f>
        <v>857</v>
      </c>
      <c r="S271" s="81" t="str">
        <f>IFERROR(VLOOKUP($G271,融外自投!$A:$J,10,0),"無")</f>
        <v>無</v>
      </c>
      <c r="T271" s="327">
        <f>IFERROR(VLOOKUP($G271,'321買'!$A:$E,5,0),"'沒有資料'")</f>
        <v>200</v>
      </c>
      <c r="U271" s="186">
        <f>IFERROR(VLOOKUP($G271,基本資料!$A:$J,9,0),"無")</f>
        <v>3</v>
      </c>
      <c r="V271" s="310">
        <f t="shared" si="116"/>
        <v>9.5846645367412137E-2</v>
      </c>
      <c r="W271" s="94">
        <f>IFERROR(VLOOKUP($G271,基本資料!$A:$J,10,0),"無")</f>
        <v>4.03</v>
      </c>
      <c r="X271" s="36">
        <v>31.3</v>
      </c>
      <c r="Y271" s="66">
        <v>25</v>
      </c>
      <c r="Z271" s="15">
        <f t="shared" si="113"/>
        <v>6.3000000000000007</v>
      </c>
      <c r="AA271" s="63">
        <f t="shared" si="114"/>
        <v>0.252</v>
      </c>
      <c r="AB271" s="99" t="s">
        <v>1791</v>
      </c>
      <c r="AC271" s="397">
        <f>IFERROR(VLOOKUP($G271,基本資料!$A:$M,12,0),"無")</f>
        <v>45.37</v>
      </c>
      <c r="AD271" s="22" t="s">
        <v>938</v>
      </c>
      <c r="AE271" s="84">
        <v>44159</v>
      </c>
      <c r="AF271" s="86">
        <v>44169</v>
      </c>
      <c r="AG271" s="33">
        <f t="shared" si="117"/>
        <v>10</v>
      </c>
      <c r="AH271" s="43" t="s">
        <v>2012</v>
      </c>
      <c r="AI271" s="259"/>
      <c r="AK271" s="245"/>
      <c r="AL271" s="245"/>
    </row>
    <row r="272" spans="1:40">
      <c r="A272" s="347">
        <f>IFERROR(VLOOKUP($G272,基本資料!$A:$J,3,0),"無")</f>
        <v>27.02</v>
      </c>
      <c r="B272" s="79">
        <f>IFERROR(VLOOKUP($G272,基本資料!$A:$J,4,0),"無")</f>
        <v>478</v>
      </c>
      <c r="C272" s="79">
        <f>IFERROR(VLOOKUP($G272,基本資料!$A:$J,5,0),"無")</f>
        <v>607</v>
      </c>
      <c r="D272" s="79">
        <f>IFERROR(VLOOKUP($G272,基本資料!$A:$J,6,0),"無")</f>
        <v>6</v>
      </c>
      <c r="E272" s="79">
        <f>IFERROR(VLOOKUP($G272,基本資料!$A:$J,7,0),"無")</f>
        <v>45</v>
      </c>
      <c r="F272" s="6">
        <f>IFERROR(VLOOKUP($G272,基本資料!$A:$J,8,0),"無")</f>
        <v>18.37</v>
      </c>
      <c r="G272" s="79">
        <v>5351</v>
      </c>
      <c r="H272" s="54" t="s">
        <v>3039</v>
      </c>
      <c r="I272" s="24" t="s">
        <v>250</v>
      </c>
      <c r="J272" s="8" t="str">
        <f>IFERROR(VLOOKUP($G272,今日總結!$A:$AJ,35,0),"")</f>
        <v>融</v>
      </c>
      <c r="K272" s="5" t="str">
        <f>IFERROR(VLOOKUP($G272,今日總結!$A:$AJ,36,0),"")</f>
        <v>2借</v>
      </c>
      <c r="L272" s="156">
        <f>IFERROR(VLOOKUP($G272,今日總結!$A:$AJ,33,0),"")</f>
        <v>1</v>
      </c>
      <c r="M272" s="340">
        <f>IFERROR(VLOOKUP($G272,今日總結!$A:$AJ,34,0),"")</f>
        <v>2</v>
      </c>
      <c r="N272" s="240">
        <f t="shared" si="115"/>
        <v>-1</v>
      </c>
      <c r="P272" s="365">
        <f>IFERROR(VLOOKUP($G272,融外自投!$A:$J,7,0),"無")</f>
        <v>80</v>
      </c>
      <c r="Q272" s="79">
        <f>IFERROR(VLOOKUP($G272,融外自投!$A:$J,9,0),"無")</f>
        <v>159</v>
      </c>
      <c r="R272" s="346">
        <f>IFERROR(VLOOKUP($G272,融外自投!$A:$J,8,0),"無")</f>
        <v>709</v>
      </c>
      <c r="S272" s="81">
        <f>IFERROR(VLOOKUP($G272,融外自投!$A:$J,10,0),"無")</f>
        <v>407</v>
      </c>
      <c r="T272" s="327">
        <f>IFERROR(VLOOKUP($G272,'321買'!$A:$E,5,0),"'沒有資料'")</f>
        <v>178</v>
      </c>
      <c r="U272" s="186">
        <f>IFERROR(VLOOKUP($G272,基本資料!$A:$J,9,0),"無")</f>
        <v>1.3</v>
      </c>
      <c r="V272" s="310">
        <f t="shared" si="116"/>
        <v>5.829596412556054E-2</v>
      </c>
      <c r="W272" s="94">
        <f>IFERROR(VLOOKUP($G272,基本資料!$A:$J,10,0),"無")</f>
        <v>3.91</v>
      </c>
      <c r="X272" s="36">
        <v>22.3</v>
      </c>
      <c r="Y272" s="45">
        <v>14.6</v>
      </c>
      <c r="Z272" s="15">
        <f t="shared" si="113"/>
        <v>7.7000000000000011</v>
      </c>
      <c r="AA272" s="63">
        <f t="shared" si="114"/>
        <v>0.52739726027397271</v>
      </c>
      <c r="AB272" s="99" t="s">
        <v>2093</v>
      </c>
      <c r="AC272" s="397">
        <f>IFERROR(VLOOKUP($G272,基本資料!$A:$M,12,0),"無")</f>
        <v>22.53</v>
      </c>
      <c r="AD272" s="24" t="s">
        <v>250</v>
      </c>
      <c r="AE272" s="84">
        <v>44159</v>
      </c>
      <c r="AF272" s="86">
        <v>44169</v>
      </c>
      <c r="AG272" s="33">
        <f t="shared" si="117"/>
        <v>10</v>
      </c>
      <c r="AH272" s="119" t="s">
        <v>1925</v>
      </c>
      <c r="AI272" s="290"/>
      <c r="AK272" s="245"/>
      <c r="AL272" s="245"/>
    </row>
    <row r="273" spans="1:43" s="7" customFormat="1" ht="17.100000000000001" customHeight="1">
      <c r="A273" s="347">
        <f>IFERROR(VLOOKUP($G273,基本資料!$A:$J,3,0),"無")</f>
        <v>3</v>
      </c>
      <c r="B273" s="79">
        <f>IFERROR(VLOOKUP($G273,基本資料!$A:$J,4,0),"無")</f>
        <v>93</v>
      </c>
      <c r="C273" s="79">
        <f>IFERROR(VLOOKUP($G273,基本資料!$A:$J,5,0),"無")</f>
        <v>73</v>
      </c>
      <c r="D273" s="79">
        <f>IFERROR(VLOOKUP($G273,基本資料!$A:$J,6,0),"無")</f>
        <v>-16</v>
      </c>
      <c r="E273" s="79">
        <f>IFERROR(VLOOKUP($G273,基本資料!$A:$J,7,0),"無")</f>
        <v>23</v>
      </c>
      <c r="F273" s="6">
        <f>IFERROR(VLOOKUP($G273,基本資料!$A:$J,8,0),"無")</f>
        <v>22.97</v>
      </c>
      <c r="G273" s="79">
        <v>4945</v>
      </c>
      <c r="H273" s="53" t="s">
        <v>3039</v>
      </c>
      <c r="I273" s="24" t="s">
        <v>2073</v>
      </c>
      <c r="J273" s="8" t="str">
        <f>IFERROR(VLOOKUP($G273,今日總結!$A:$AJ,35,0),"")</f>
        <v/>
      </c>
      <c r="K273" s="5" t="str">
        <f>IFERROR(VLOOKUP($G273,今日總結!$A:$AJ,36,0),"")</f>
        <v/>
      </c>
      <c r="L273" s="156" t="str">
        <f>IFERROR(VLOOKUP($G273,今日總結!$A:$AJ,33,0),"")</f>
        <v/>
      </c>
      <c r="M273" s="340" t="str">
        <f>IFERROR(VLOOKUP($G273,今日總結!$A:$AJ,34,0),"")</f>
        <v/>
      </c>
      <c r="N273" s="240" t="str">
        <f t="shared" si="115"/>
        <v/>
      </c>
      <c r="P273" s="365">
        <f>IFERROR(VLOOKUP($G273,融外自投!$A:$J,7,0),"無")</f>
        <v>588</v>
      </c>
      <c r="Q273" s="79">
        <f>IFERROR(VLOOKUP($G273,融外自投!$A:$J,9,0),"無")</f>
        <v>762</v>
      </c>
      <c r="R273" s="346">
        <f>IFERROR(VLOOKUP($G273,融外自投!$A:$J,8,0),"無")</f>
        <v>816</v>
      </c>
      <c r="S273" s="81">
        <f>IFERROR(VLOOKUP($G273,融外自投!$A:$J,10,0),"無")</f>
        <v>217</v>
      </c>
      <c r="T273" s="327">
        <f>IFERROR(VLOOKUP($G273,'321買'!$A:$E,5,0),"'沒有資料'")</f>
        <v>1099</v>
      </c>
      <c r="U273" s="186">
        <f>IFERROR(VLOOKUP($G273,基本資料!$A:$J,9,0),"無")</f>
        <v>3.2</v>
      </c>
      <c r="V273" s="310">
        <f t="shared" si="116"/>
        <v>6.3872255489021965E-2</v>
      </c>
      <c r="W273" s="94">
        <f>IFERROR(VLOOKUP($G273,基本資料!$A:$J,10,0),"無")</f>
        <v>3.51</v>
      </c>
      <c r="X273" s="36">
        <v>50.1</v>
      </c>
      <c r="Y273" s="66">
        <v>38</v>
      </c>
      <c r="Z273" s="15">
        <f t="shared" si="113"/>
        <v>12.100000000000001</v>
      </c>
      <c r="AA273" s="63">
        <f t="shared" si="114"/>
        <v>0.31842105263157899</v>
      </c>
      <c r="AB273" s="99" t="s">
        <v>2065</v>
      </c>
      <c r="AC273" s="397">
        <f>IFERROR(VLOOKUP($G273,基本資料!$A:$M,12,0),"無")</f>
        <v>19.45</v>
      </c>
      <c r="AD273" s="24" t="s">
        <v>2073</v>
      </c>
      <c r="AE273" s="84">
        <v>44155</v>
      </c>
      <c r="AF273" s="86">
        <v>44165</v>
      </c>
      <c r="AG273" s="33">
        <f t="shared" si="117"/>
        <v>10</v>
      </c>
      <c r="AH273" s="119" t="s">
        <v>2076</v>
      </c>
      <c r="AI273" s="290"/>
      <c r="AM273" s="250"/>
      <c r="AN273" s="22"/>
      <c r="AO273" s="127"/>
      <c r="AP273" s="250"/>
      <c r="AQ273" s="44"/>
    </row>
    <row r="274" spans="1:43">
      <c r="A274" s="347">
        <f>IFERROR(VLOOKUP($G274,基本資料!$A:$J,3,0),"無")</f>
        <v>22.04</v>
      </c>
      <c r="B274" s="79">
        <f>IFERROR(VLOOKUP($G274,基本資料!$A:$J,4,0),"無")</f>
        <v>309</v>
      </c>
      <c r="C274" s="79">
        <f>IFERROR(VLOOKUP($G274,基本資料!$A:$J,5,0),"無")</f>
        <v>226</v>
      </c>
      <c r="D274" s="79">
        <f>IFERROR(VLOOKUP($G274,基本資料!$A:$J,6,0),"無")</f>
        <v>2795</v>
      </c>
      <c r="E274" s="79">
        <f>IFERROR(VLOOKUP($G274,基本資料!$A:$J,7,0),"無")</f>
        <v>7583</v>
      </c>
      <c r="F274" s="6">
        <f>IFERROR(VLOOKUP($G274,基本資料!$A:$J,8,0),"無")</f>
        <v>29.37</v>
      </c>
      <c r="G274" s="79">
        <v>6547</v>
      </c>
      <c r="H274" s="4" t="s">
        <v>4726</v>
      </c>
      <c r="I274" s="16" t="s">
        <v>1088</v>
      </c>
      <c r="J274" s="8" t="str">
        <f>IFERROR(VLOOKUP($G274,今日總結!$A:$AJ,35,0),"")</f>
        <v/>
      </c>
      <c r="K274" s="5" t="str">
        <f>IFERROR(VLOOKUP($G274,今日總結!$A:$AJ,36,0),"")</f>
        <v/>
      </c>
      <c r="L274" s="156" t="str">
        <f>IFERROR(VLOOKUP($G274,今日總結!$A:$AJ,33,0),"")</f>
        <v/>
      </c>
      <c r="M274" s="340" t="str">
        <f>IFERROR(VLOOKUP($G274,今日總結!$A:$AJ,34,0),"")</f>
        <v/>
      </c>
      <c r="N274" s="240" t="str">
        <f t="shared" si="115"/>
        <v/>
      </c>
      <c r="P274" s="365" t="str">
        <f>IFERROR(VLOOKUP($G274,融外自投!$A:$J,7,0),"無")</f>
        <v>無</v>
      </c>
      <c r="Q274" s="79" t="str">
        <f>IFERROR(VLOOKUP($G274,融外自投!$A:$J,9,0),"無")</f>
        <v>無</v>
      </c>
      <c r="R274" s="346" t="str">
        <f>IFERROR(VLOOKUP($G274,融外自投!$A:$J,8,0),"無")</f>
        <v>無</v>
      </c>
      <c r="S274" s="81" t="str">
        <f>IFERROR(VLOOKUP($G274,融外自投!$A:$J,10,0),"無")</f>
        <v>無</v>
      </c>
      <c r="T274" s="327" t="str">
        <f>IFERROR(VLOOKUP($G274,'321買'!$A:$E,5,0),"'沒有資料'")</f>
        <v>'沒有資料'</v>
      </c>
      <c r="U274" s="186">
        <f>IFERROR(VLOOKUP($G274,基本資料!$A:$J,9,0),"無")</f>
        <v>5</v>
      </c>
      <c r="V274" s="310">
        <f t="shared" si="116"/>
        <v>4.6728971962616821E-2</v>
      </c>
      <c r="W274" s="94">
        <f>IFERROR(VLOOKUP($G274,基本資料!$A:$J,10,0),"無")</f>
        <v>6.65</v>
      </c>
      <c r="X274" s="36">
        <v>107</v>
      </c>
      <c r="Y274" s="66">
        <v>80</v>
      </c>
      <c r="Z274" s="15">
        <f t="shared" si="113"/>
        <v>27</v>
      </c>
      <c r="AA274" s="63">
        <f t="shared" si="114"/>
        <v>0.33750000000000002</v>
      </c>
      <c r="AB274" s="99" t="s">
        <v>2088</v>
      </c>
      <c r="AC274" s="397">
        <f>IFERROR(VLOOKUP($G274,基本資料!$A:$M,12,0),"無")</f>
        <v>24.21</v>
      </c>
      <c r="AD274" s="16" t="s">
        <v>1088</v>
      </c>
      <c r="AE274" s="84">
        <v>44155</v>
      </c>
      <c r="AF274" s="86">
        <v>44165</v>
      </c>
      <c r="AG274" s="33">
        <f t="shared" si="117"/>
        <v>10</v>
      </c>
      <c r="AH274" s="43" t="s">
        <v>1901</v>
      </c>
      <c r="AI274" s="259"/>
      <c r="AK274" s="245"/>
      <c r="AL274" s="245"/>
    </row>
    <row r="275" spans="1:43">
      <c r="A275" s="347">
        <f>IFERROR(VLOOKUP($G275,基本資料!$A:$J,3,0),"無")</f>
        <v>14.9</v>
      </c>
      <c r="B275" s="79">
        <f>IFERROR(VLOOKUP($G275,基本資料!$A:$J,4,0),"無")</f>
        <v>-283</v>
      </c>
      <c r="C275" s="79">
        <f>IFERROR(VLOOKUP($G275,基本資料!$A:$J,5,0),"無")</f>
        <v>-474</v>
      </c>
      <c r="D275" s="79">
        <f>IFERROR(VLOOKUP($G275,基本資料!$A:$J,6,0),"無")</f>
        <v>4</v>
      </c>
      <c r="E275" s="79">
        <f>IFERROR(VLOOKUP($G275,基本資料!$A:$J,7,0),"無")</f>
        <v>27</v>
      </c>
      <c r="F275" s="6">
        <f>IFERROR(VLOOKUP($G275,基本資料!$A:$J,8,0),"無")</f>
        <v>-10.59</v>
      </c>
      <c r="G275" s="79">
        <v>8011</v>
      </c>
      <c r="H275" s="4" t="s">
        <v>311</v>
      </c>
      <c r="I275" s="22" t="s">
        <v>236</v>
      </c>
      <c r="J275" s="8">
        <f>IFERROR(VLOOKUP($G275,今日總結!$A:$AJ,35,0),"")</f>
        <v>0</v>
      </c>
      <c r="K275" s="5" t="str">
        <f>IFERROR(VLOOKUP($G275,今日總結!$A:$AJ,36,0),"")</f>
        <v>融</v>
      </c>
      <c r="L275" s="156">
        <f>IFERROR(VLOOKUP($G275,今日總結!$A:$AJ,33,0),"")</f>
        <v>0</v>
      </c>
      <c r="M275" s="340">
        <f>IFERROR(VLOOKUP($G275,今日總結!$A:$AJ,34,0),"")</f>
        <v>1</v>
      </c>
      <c r="N275" s="240">
        <f t="shared" si="115"/>
        <v>-1</v>
      </c>
      <c r="P275" s="365">
        <f>IFERROR(VLOOKUP($G275,融外自投!$A:$J,7,0),"無")</f>
        <v>423</v>
      </c>
      <c r="Q275" s="79" t="str">
        <f>IFERROR(VLOOKUP($G275,融外自投!$A:$J,9,0),"無")</f>
        <v>無</v>
      </c>
      <c r="R275" s="346">
        <f>IFERROR(VLOOKUP($G275,融外自投!$A:$J,8,0),"無")</f>
        <v>1003</v>
      </c>
      <c r="S275" s="81" t="str">
        <f>IFERROR(VLOOKUP($G275,融外自投!$A:$J,10,0),"無")</f>
        <v>無</v>
      </c>
      <c r="T275" s="327">
        <f>IFERROR(VLOOKUP($G275,'321買'!$A:$E,5,0),"'沒有資料'")</f>
        <v>729</v>
      </c>
      <c r="U275" s="186">
        <f>IFERROR(VLOOKUP($G275,基本資料!$A:$J,9,0),"無")</f>
        <v>0</v>
      </c>
      <c r="V275" s="310">
        <f t="shared" si="116"/>
        <v>0</v>
      </c>
      <c r="W275" s="94">
        <f>IFERROR(VLOOKUP($G275,基本資料!$A:$J,10,0),"無")</f>
        <v>-1.36</v>
      </c>
      <c r="X275" s="36">
        <v>18.75</v>
      </c>
      <c r="Y275" s="66">
        <v>14.2</v>
      </c>
      <c r="Z275" s="15">
        <f t="shared" si="113"/>
        <v>4.5500000000000007</v>
      </c>
      <c r="AA275" s="63">
        <f t="shared" si="114"/>
        <v>0.32042253521126768</v>
      </c>
      <c r="AB275" s="99" t="s">
        <v>2081</v>
      </c>
      <c r="AC275" s="397">
        <f>IFERROR(VLOOKUP($G275,基本資料!$A:$M,12,0),"無")</f>
        <v>13.97</v>
      </c>
      <c r="AD275" s="22" t="s">
        <v>236</v>
      </c>
      <c r="AE275" s="84">
        <v>44152</v>
      </c>
      <c r="AF275" s="86">
        <v>44162</v>
      </c>
      <c r="AG275" s="33">
        <f t="shared" si="117"/>
        <v>10</v>
      </c>
      <c r="AH275" s="117" t="s">
        <v>2070</v>
      </c>
      <c r="AI275" s="259"/>
      <c r="AK275" s="245"/>
      <c r="AL275" s="245"/>
    </row>
    <row r="276" spans="1:43" ht="17.25" customHeight="1">
      <c r="A276" s="347">
        <f>IFERROR(VLOOKUP($G276,基本資料!$A:$J,3,0),"無")</f>
        <v>6.67</v>
      </c>
      <c r="B276" s="79">
        <f>IFERROR(VLOOKUP($G276,基本資料!$A:$J,4,0),"無")</f>
        <v>-16</v>
      </c>
      <c r="C276" s="79">
        <f>IFERROR(VLOOKUP($G276,基本資料!$A:$J,5,0),"無")</f>
        <v>-21</v>
      </c>
      <c r="D276" s="79">
        <f>IFERROR(VLOOKUP($G276,基本資料!$A:$J,6,0),"無")</f>
        <v>27</v>
      </c>
      <c r="E276" s="79">
        <f>IFERROR(VLOOKUP($G276,基本資料!$A:$J,7,0),"無")</f>
        <v>0</v>
      </c>
      <c r="F276" s="6">
        <f>IFERROR(VLOOKUP($G276,基本資料!$A:$J,8,0),"無")</f>
        <v>5.64</v>
      </c>
      <c r="G276" s="79">
        <v>3171</v>
      </c>
      <c r="H276" s="4" t="s">
        <v>6113</v>
      </c>
      <c r="I276" s="16" t="s">
        <v>6136</v>
      </c>
      <c r="J276" s="8" t="str">
        <f>IFERROR(VLOOKUP($G276,今日總結!$A:$AJ,35,0),"")</f>
        <v>融</v>
      </c>
      <c r="K276" s="5">
        <f>IFERROR(VLOOKUP($G276,今日總結!$A:$AJ,36,0),"")</f>
        <v>0</v>
      </c>
      <c r="L276" s="156">
        <f>IFERROR(VLOOKUP($G276,今日總結!$A:$AJ,33,0),"")</f>
        <v>1</v>
      </c>
      <c r="M276" s="340">
        <f>IFERROR(VLOOKUP($G276,今日總結!$A:$AJ,34,0),"")</f>
        <v>0</v>
      </c>
      <c r="N276" s="240">
        <f t="shared" si="115"/>
        <v>1</v>
      </c>
      <c r="P276" s="365">
        <f>IFERROR(VLOOKUP($G276,融外自投!$A:$J,7,0),"無")</f>
        <v>1014</v>
      </c>
      <c r="Q276" s="79" t="str">
        <f>IFERROR(VLOOKUP($G276,融外自投!$A:$J,9,0),"無")</f>
        <v>無</v>
      </c>
      <c r="R276" s="346">
        <f>IFERROR(VLOOKUP($G276,融外自投!$A:$J,8,0),"無")</f>
        <v>1344</v>
      </c>
      <c r="S276" s="81" t="str">
        <f>IFERROR(VLOOKUP($G276,融外自投!$A:$J,10,0),"無")</f>
        <v>無</v>
      </c>
      <c r="T276" s="327">
        <f>IFERROR(VLOOKUP($G276,'321買'!$A:$E,5,0),"'沒有資料'")</f>
        <v>1327</v>
      </c>
      <c r="U276" s="186">
        <f>IFERROR(VLOOKUP($G276,基本資料!$A:$J,9,0),"無")</f>
        <v>1.57</v>
      </c>
      <c r="V276" s="310">
        <f t="shared" si="116"/>
        <v>7.2853828306264495E-2</v>
      </c>
      <c r="W276" s="94">
        <f>IFERROR(VLOOKUP($G276,基本資料!$A:$J,10,0),"無")</f>
        <v>1.64</v>
      </c>
      <c r="X276" s="36">
        <v>21.55</v>
      </c>
      <c r="Y276" s="66">
        <v>20</v>
      </c>
      <c r="Z276" s="15">
        <f t="shared" si="113"/>
        <v>1.5500000000000007</v>
      </c>
      <c r="AA276" s="63">
        <f t="shared" si="114"/>
        <v>7.7500000000000041E-2</v>
      </c>
      <c r="AB276" s="99" t="s">
        <v>2080</v>
      </c>
      <c r="AC276" s="397">
        <f>IFERROR(VLOOKUP($G276,基本資料!$A:$M,12,0),"無")</f>
        <v>31.47</v>
      </c>
      <c r="AD276" s="16" t="s">
        <v>794</v>
      </c>
      <c r="AE276" s="84">
        <v>44147</v>
      </c>
      <c r="AF276" s="86">
        <v>44158</v>
      </c>
      <c r="AG276" s="33">
        <f t="shared" si="117"/>
        <v>11</v>
      </c>
      <c r="AH276" s="43" t="s">
        <v>2064</v>
      </c>
      <c r="AI276" s="259"/>
      <c r="AK276" s="245"/>
      <c r="AL276" s="245"/>
    </row>
    <row r="277" spans="1:43">
      <c r="A277" s="347">
        <f>IFERROR(VLOOKUP($G277,基本資料!$A:$J,3,0),"無")</f>
        <v>28.99</v>
      </c>
      <c r="B277" s="79">
        <f>IFERROR(VLOOKUP($G277,基本資料!$A:$J,4,0),"無")</f>
        <v>-19</v>
      </c>
      <c r="C277" s="79">
        <f>IFERROR(VLOOKUP($G277,基本資料!$A:$J,5,0),"無")</f>
        <v>-2</v>
      </c>
      <c r="D277" s="79">
        <f>IFERROR(VLOOKUP($G277,基本資料!$A:$J,6,0),"無")</f>
        <v>-23</v>
      </c>
      <c r="E277" s="79">
        <f>IFERROR(VLOOKUP($G277,基本資料!$A:$J,7,0),"無")</f>
        <v>5</v>
      </c>
      <c r="F277" s="6">
        <f>IFERROR(VLOOKUP($G277,基本資料!$A:$J,8,0),"無")</f>
        <v>11.88</v>
      </c>
      <c r="G277" s="80">
        <v>6023</v>
      </c>
      <c r="H277" s="10" t="s">
        <v>304</v>
      </c>
      <c r="I277" s="16" t="s">
        <v>149</v>
      </c>
      <c r="J277" s="8" t="str">
        <f>IFERROR(VLOOKUP($G277,今日總結!$A:$AJ,35,0),"")</f>
        <v/>
      </c>
      <c r="K277" s="5" t="str">
        <f>IFERROR(VLOOKUP($G277,今日總結!$A:$AJ,36,0),"")</f>
        <v/>
      </c>
      <c r="L277" s="156" t="str">
        <f>IFERROR(VLOOKUP($G277,今日總結!$A:$AJ,33,0),"")</f>
        <v/>
      </c>
      <c r="M277" s="340" t="str">
        <f>IFERROR(VLOOKUP($G277,今日總結!$A:$AJ,34,0),"")</f>
        <v/>
      </c>
      <c r="N277" s="240" t="str">
        <f t="shared" si="115"/>
        <v/>
      </c>
      <c r="P277" s="365">
        <f>IFERROR(VLOOKUP($G277,融外自投!$A:$J,7,0),"無")</f>
        <v>1377</v>
      </c>
      <c r="Q277" s="79" t="str">
        <f>IFERROR(VLOOKUP($G277,融外自投!$A:$J,9,0),"無")</f>
        <v>無</v>
      </c>
      <c r="R277" s="346">
        <f>IFERROR(VLOOKUP($G277,融外自投!$A:$J,8,0),"無")</f>
        <v>1298</v>
      </c>
      <c r="S277" s="81" t="str">
        <f>IFERROR(VLOOKUP($G277,融外自投!$A:$J,10,0),"無")</f>
        <v>無</v>
      </c>
      <c r="T277" s="327">
        <f>IFERROR(VLOOKUP($G277,'321買'!$A:$E,5,0),"'沒有資料'")</f>
        <v>1038</v>
      </c>
      <c r="U277" s="186">
        <f>IFERROR(VLOOKUP($G277,基本資料!$A:$J,9,0),"無")</f>
        <v>2.2999999999999998</v>
      </c>
      <c r="V277" s="310">
        <f t="shared" si="116"/>
        <v>4.4834307992202727E-2</v>
      </c>
      <c r="W277" s="94">
        <f>IFERROR(VLOOKUP($G277,基本資料!$A:$J,10,0),"無")</f>
        <v>2.97</v>
      </c>
      <c r="X277" s="36">
        <v>51.3</v>
      </c>
      <c r="Y277" s="66">
        <v>45.5</v>
      </c>
      <c r="Z277" s="15">
        <f t="shared" si="113"/>
        <v>5.7999999999999972</v>
      </c>
      <c r="AA277" s="63">
        <f t="shared" si="114"/>
        <v>0.12747252747252741</v>
      </c>
      <c r="AB277" s="99" t="s">
        <v>2072</v>
      </c>
      <c r="AC277" s="397">
        <f>IFERROR(VLOOKUP($G277,基本資料!$A:$M,12,0),"無")</f>
        <v>18</v>
      </c>
      <c r="AD277" s="16" t="s">
        <v>149</v>
      </c>
      <c r="AE277" s="84">
        <v>44139</v>
      </c>
      <c r="AF277" s="86">
        <v>44151</v>
      </c>
      <c r="AG277" s="33">
        <f t="shared" si="117"/>
        <v>12</v>
      </c>
      <c r="AH277" s="117" t="s">
        <v>1439</v>
      </c>
      <c r="AI277" s="259"/>
      <c r="AK277" s="245"/>
      <c r="AL277" s="245"/>
    </row>
    <row r="278" spans="1:43">
      <c r="A278" s="347">
        <f>IFERROR(VLOOKUP($G278,基本資料!$A:$J,3,0),"無")</f>
        <v>3.97</v>
      </c>
      <c r="B278" s="79">
        <f>IFERROR(VLOOKUP($G278,基本資料!$A:$J,4,0),"無")</f>
        <v>76</v>
      </c>
      <c r="C278" s="79">
        <f>IFERROR(VLOOKUP($G278,基本資料!$A:$J,5,0),"無")</f>
        <v>197</v>
      </c>
      <c r="D278" s="79">
        <f>IFERROR(VLOOKUP($G278,基本資料!$A:$J,6,0),"無")</f>
        <v>29</v>
      </c>
      <c r="E278" s="79">
        <f>IFERROR(VLOOKUP($G278,基本資料!$A:$J,7,0),"無")</f>
        <v>36</v>
      </c>
      <c r="F278" s="6">
        <f>IFERROR(VLOOKUP($G278,基本資料!$A:$J,8,0),"無")</f>
        <v>8.65</v>
      </c>
      <c r="G278" s="79">
        <v>6667</v>
      </c>
      <c r="H278" s="4" t="s">
        <v>314</v>
      </c>
      <c r="I278" s="16" t="s">
        <v>1074</v>
      </c>
      <c r="J278" s="8" t="str">
        <f>IFERROR(VLOOKUP($G278,今日總結!$A:$AJ,35,0),"")</f>
        <v/>
      </c>
      <c r="K278" s="5" t="str">
        <f>IFERROR(VLOOKUP($G278,今日總結!$A:$AJ,36,0),"")</f>
        <v/>
      </c>
      <c r="L278" s="156" t="str">
        <f>IFERROR(VLOOKUP($G278,今日總結!$A:$AJ,33,0),"")</f>
        <v/>
      </c>
      <c r="M278" s="340" t="str">
        <f>IFERROR(VLOOKUP($G278,今日總結!$A:$AJ,34,0),"")</f>
        <v/>
      </c>
      <c r="N278" s="240" t="str">
        <f t="shared" si="115"/>
        <v/>
      </c>
      <c r="P278" s="365">
        <f>IFERROR(VLOOKUP($G278,融外自投!$A:$J,7,0),"無")</f>
        <v>110</v>
      </c>
      <c r="Q278" s="79">
        <f>IFERROR(VLOOKUP($G278,融外自投!$A:$J,9,0),"無")</f>
        <v>474</v>
      </c>
      <c r="R278" s="346">
        <f>IFERROR(VLOOKUP($G278,融外自投!$A:$J,8,0),"無")</f>
        <v>863</v>
      </c>
      <c r="S278" s="81">
        <f>IFERROR(VLOOKUP($G278,融外自投!$A:$J,10,0),"無")</f>
        <v>262</v>
      </c>
      <c r="T278" s="327">
        <f>IFERROR(VLOOKUP($G278,'321買'!$A:$E,5,0),"'沒有資料'")</f>
        <v>392</v>
      </c>
      <c r="U278" s="186">
        <f>IFERROR(VLOOKUP($G278,基本資料!$A:$J,9,0),"無")</f>
        <v>2.94</v>
      </c>
      <c r="V278" s="310">
        <f t="shared" si="116"/>
        <v>4.4210526315789471E-2</v>
      </c>
      <c r="W278" s="94">
        <f>IFERROR(VLOOKUP($G278,基本資料!$A:$J,10,0),"無")</f>
        <v>3.27</v>
      </c>
      <c r="X278" s="36">
        <v>66.5</v>
      </c>
      <c r="Y278" s="66">
        <v>47</v>
      </c>
      <c r="Z278" s="15">
        <f t="shared" si="113"/>
        <v>19.5</v>
      </c>
      <c r="AA278" s="63">
        <f t="shared" si="114"/>
        <v>0.41489361702127658</v>
      </c>
      <c r="AB278" s="99" t="s">
        <v>2071</v>
      </c>
      <c r="AC278" s="397">
        <f>IFERROR(VLOOKUP($G278,基本資料!$A:$M,12,0),"無")</f>
        <v>18.940000000000001</v>
      </c>
      <c r="AD278" s="16" t="s">
        <v>1074</v>
      </c>
      <c r="AE278" s="84">
        <v>44138</v>
      </c>
      <c r="AF278" s="86">
        <v>44148</v>
      </c>
      <c r="AG278" s="33">
        <f t="shared" si="117"/>
        <v>10</v>
      </c>
      <c r="AH278" s="43" t="s">
        <v>2053</v>
      </c>
      <c r="AI278" s="259"/>
      <c r="AK278" s="245"/>
      <c r="AL278" s="245"/>
    </row>
    <row r="279" spans="1:43">
      <c r="A279" s="347">
        <f>IFERROR(VLOOKUP($G279,基本資料!$A:$J,3,0),"無")</f>
        <v>2.2000000000000002</v>
      </c>
      <c r="B279" s="79">
        <f>IFERROR(VLOOKUP($G279,基本資料!$A:$J,4,0),"無")</f>
        <v>33</v>
      </c>
      <c r="C279" s="79">
        <f>IFERROR(VLOOKUP($G279,基本資料!$A:$J,5,0),"無")</f>
        <v>12</v>
      </c>
      <c r="D279" s="79">
        <f>IFERROR(VLOOKUP($G279,基本資料!$A:$J,6,0),"無")</f>
        <v>8</v>
      </c>
      <c r="E279" s="79">
        <f>IFERROR(VLOOKUP($G279,基本資料!$A:$J,7,0),"無")</f>
        <v>31</v>
      </c>
      <c r="F279" s="6">
        <f>IFERROR(VLOOKUP($G279,基本資料!$A:$J,8,0),"無")</f>
        <v>24.64</v>
      </c>
      <c r="G279" s="79">
        <v>7556</v>
      </c>
      <c r="H279" s="52" t="s">
        <v>3039</v>
      </c>
      <c r="I279" s="16" t="s">
        <v>2052</v>
      </c>
      <c r="J279" s="8" t="str">
        <f>IFERROR(VLOOKUP($G279,今日總結!$A:$AJ,35,0),"")</f>
        <v/>
      </c>
      <c r="K279" s="5" t="str">
        <f>IFERROR(VLOOKUP($G279,今日總結!$A:$AJ,36,0),"")</f>
        <v/>
      </c>
      <c r="L279" s="156" t="str">
        <f>IFERROR(VLOOKUP($G279,今日總結!$A:$AJ,33,0),"")</f>
        <v/>
      </c>
      <c r="M279" s="340" t="str">
        <f>IFERROR(VLOOKUP($G279,今日總結!$A:$AJ,34,0),"")</f>
        <v/>
      </c>
      <c r="N279" s="240" t="str">
        <f t="shared" si="115"/>
        <v/>
      </c>
      <c r="P279" s="365" t="str">
        <f>IFERROR(VLOOKUP($G279,融外自投!$A:$J,7,0),"無")</f>
        <v>無</v>
      </c>
      <c r="Q279" s="79" t="str">
        <f>IFERROR(VLOOKUP($G279,融外自投!$A:$J,9,0),"無")</f>
        <v>無</v>
      </c>
      <c r="R279" s="346" t="str">
        <f>IFERROR(VLOOKUP($G279,融外自投!$A:$J,8,0),"無")</f>
        <v>無</v>
      </c>
      <c r="S279" s="81" t="str">
        <f>IFERROR(VLOOKUP($G279,融外自投!$A:$J,10,0),"無")</f>
        <v>無</v>
      </c>
      <c r="T279" s="327" t="str">
        <f>IFERROR(VLOOKUP($G279,'321買'!$A:$E,5,0),"'沒有資料'")</f>
        <v>'沒有資料'</v>
      </c>
      <c r="U279" s="186">
        <f>IFERROR(VLOOKUP($G279,基本資料!$A:$J,9,0),"無")</f>
        <v>2.8</v>
      </c>
      <c r="V279" s="310">
        <f t="shared" si="116"/>
        <v>2.9075804776739354E-2</v>
      </c>
      <c r="W279" s="94">
        <f>IFERROR(VLOOKUP($G279,基本資料!$A:$J,10,0),"無")</f>
        <v>4.62</v>
      </c>
      <c r="X279" s="36">
        <v>96.3</v>
      </c>
      <c r="Y279" s="66">
        <v>88</v>
      </c>
      <c r="Z279" s="15">
        <f t="shared" si="113"/>
        <v>8.2999999999999972</v>
      </c>
      <c r="AA279" s="63">
        <f t="shared" si="114"/>
        <v>9.4318181818181787E-2</v>
      </c>
      <c r="AB279" s="99" t="s">
        <v>2067</v>
      </c>
      <c r="AC279" s="397">
        <f>IFERROR(VLOOKUP($G279,基本資料!$A:$M,12,0),"無")</f>
        <v>52.32</v>
      </c>
      <c r="AD279" s="16" t="s">
        <v>2052</v>
      </c>
      <c r="AE279" s="84">
        <v>44134</v>
      </c>
      <c r="AF279" s="86">
        <v>44144</v>
      </c>
      <c r="AG279" s="33">
        <f t="shared" si="117"/>
        <v>10</v>
      </c>
      <c r="AH279" s="43" t="s">
        <v>2054</v>
      </c>
      <c r="AI279" s="259"/>
      <c r="AK279" s="245"/>
      <c r="AL279" s="245"/>
    </row>
    <row r="280" spans="1:43">
      <c r="A280" s="347">
        <f>IFERROR(VLOOKUP($G280,基本資料!$A:$J,3,0),"無")</f>
        <v>200</v>
      </c>
      <c r="B280" s="79">
        <f>IFERROR(VLOOKUP($G280,基本資料!$A:$J,4,0),"無")</f>
        <v>11496</v>
      </c>
      <c r="C280" s="79">
        <f>IFERROR(VLOOKUP($G280,基本資料!$A:$J,5,0),"無")</f>
        <v>938</v>
      </c>
      <c r="D280" s="79">
        <f>IFERROR(VLOOKUP($G280,基本資料!$A:$J,6,0),"無")</f>
        <v>-6</v>
      </c>
      <c r="E280" s="79">
        <f>IFERROR(VLOOKUP($G280,基本資料!$A:$J,7,0),"無")</f>
        <v>33</v>
      </c>
      <c r="F280" s="6">
        <f>IFERROR(VLOOKUP($G280,基本資料!$A:$J,8,0),"無")</f>
        <v>19.55</v>
      </c>
      <c r="G280" s="80">
        <v>2027</v>
      </c>
      <c r="H280" s="4" t="s">
        <v>299</v>
      </c>
      <c r="I280" s="22" t="s">
        <v>3942</v>
      </c>
      <c r="J280" s="8">
        <f>IFERROR(VLOOKUP($G280,今日總結!$A:$AJ,35,0),"")</f>
        <v>0</v>
      </c>
      <c r="K280" s="5" t="str">
        <f>IFERROR(VLOOKUP($G280,今日總結!$A:$AJ,36,0),"")</f>
        <v>借</v>
      </c>
      <c r="L280" s="156">
        <f>IFERROR(VLOOKUP($G280,今日總結!$A:$AJ,33,0),"")</f>
        <v>0</v>
      </c>
      <c r="M280" s="340">
        <f>IFERROR(VLOOKUP($G280,今日總結!$A:$AJ,34,0),"")</f>
        <v>1</v>
      </c>
      <c r="N280" s="240">
        <f t="shared" si="115"/>
        <v>-1</v>
      </c>
      <c r="P280" s="365">
        <f>IFERROR(VLOOKUP($G280,融外自投!$A:$J,7,0),"無")</f>
        <v>442</v>
      </c>
      <c r="Q280" s="79">
        <f>IFERROR(VLOOKUP($G280,融外自投!$A:$J,9,0),"無")</f>
        <v>55</v>
      </c>
      <c r="R280" s="346">
        <f>IFERROR(VLOOKUP($G280,融外自投!$A:$J,8,0),"無")</f>
        <v>351</v>
      </c>
      <c r="S280" s="81">
        <f>IFERROR(VLOOKUP($G280,融外自投!$A:$J,10,0),"無")</f>
        <v>227</v>
      </c>
      <c r="T280" s="327">
        <f>IFERROR(VLOOKUP($G280,'321買'!$A:$E,5,0),"'沒有資料'")</f>
        <v>392</v>
      </c>
      <c r="U280" s="186">
        <f>IFERROR(VLOOKUP($G280,基本資料!$A:$J,9,0),"無")</f>
        <v>1.9</v>
      </c>
      <c r="V280" s="310">
        <f t="shared" si="116"/>
        <v>7.6458752515090531E-2</v>
      </c>
      <c r="W280" s="94">
        <f>IFERROR(VLOOKUP($G280,基本資料!$A:$J,10,0),"無")</f>
        <v>5.76</v>
      </c>
      <c r="X280" s="36">
        <v>24.85</v>
      </c>
      <c r="Y280" s="66">
        <v>18</v>
      </c>
      <c r="Z280" s="15">
        <f t="shared" si="113"/>
        <v>6.8500000000000014</v>
      </c>
      <c r="AA280" s="63">
        <f t="shared" si="114"/>
        <v>0.38055555555555565</v>
      </c>
      <c r="AB280" s="99" t="s">
        <v>2068</v>
      </c>
      <c r="AC280" s="397">
        <f>IFERROR(VLOOKUP($G280,基本資料!$A:$M,12,0),"無")</f>
        <v>18.36</v>
      </c>
      <c r="AD280" s="22" t="s">
        <v>280</v>
      </c>
      <c r="AE280" s="84">
        <v>44134</v>
      </c>
      <c r="AF280" s="86">
        <v>44144</v>
      </c>
      <c r="AG280" s="33">
        <f t="shared" si="117"/>
        <v>10</v>
      </c>
      <c r="AH280" s="117" t="s">
        <v>1426</v>
      </c>
      <c r="AI280" s="259"/>
      <c r="AK280" s="245"/>
      <c r="AL280" s="245"/>
    </row>
    <row r="281" spans="1:43">
      <c r="A281" s="347">
        <f>IFERROR(VLOOKUP($G281,基本資料!$A:$J,3,0),"無")</f>
        <v>273</v>
      </c>
      <c r="B281" s="79">
        <f>IFERROR(VLOOKUP($G281,基本資料!$A:$J,4,0),"無")</f>
        <v>39</v>
      </c>
      <c r="C281" s="79">
        <f>IFERROR(VLOOKUP($G281,基本資料!$A:$J,5,0),"無")</f>
        <v>0</v>
      </c>
      <c r="D281" s="79">
        <f>IFERROR(VLOOKUP($G281,基本資料!$A:$J,6,0),"無")</f>
        <v>-8</v>
      </c>
      <c r="E281" s="79">
        <f>IFERROR(VLOOKUP($G281,基本資料!$A:$J,7,0),"無")</f>
        <v>-14</v>
      </c>
      <c r="F281" s="6">
        <f>IFERROR(VLOOKUP($G281,基本資料!$A:$J,8,0),"無")</f>
        <v>0</v>
      </c>
      <c r="G281" s="80">
        <v>2897</v>
      </c>
      <c r="H281" s="10" t="s">
        <v>304</v>
      </c>
      <c r="I281" s="22" t="s">
        <v>336</v>
      </c>
      <c r="J281" s="8" t="str">
        <f>IFERROR(VLOOKUP($G281,今日總結!$A:$AJ,35,0),"")</f>
        <v/>
      </c>
      <c r="K281" s="5" t="str">
        <f>IFERROR(VLOOKUP($G281,今日總結!$A:$AJ,36,0),"")</f>
        <v/>
      </c>
      <c r="L281" s="156" t="str">
        <f>IFERROR(VLOOKUP($G281,今日總結!$A:$AJ,33,0),"")</f>
        <v/>
      </c>
      <c r="M281" s="340" t="str">
        <f>IFERROR(VLOOKUP($G281,今日總結!$A:$AJ,34,0),"")</f>
        <v/>
      </c>
      <c r="N281" s="240" t="str">
        <f t="shared" si="115"/>
        <v/>
      </c>
      <c r="P281" s="365">
        <f>IFERROR(VLOOKUP($G281,融外自投!$A:$J,7,0),"無")</f>
        <v>1075</v>
      </c>
      <c r="Q281" s="79">
        <f>IFERROR(VLOOKUP($G281,融外自投!$A:$J,9,0),"無")</f>
        <v>789</v>
      </c>
      <c r="R281" s="346">
        <f>IFERROR(VLOOKUP($G281,融外自投!$A:$J,8,0),"無")</f>
        <v>744</v>
      </c>
      <c r="S281" s="81">
        <f>IFERROR(VLOOKUP($G281,融外自投!$A:$J,10,0),"無")</f>
        <v>395</v>
      </c>
      <c r="T281" s="327">
        <f>IFERROR(VLOOKUP($G281,'321買'!$A:$E,5,0),"'沒有資料'")</f>
        <v>232</v>
      </c>
      <c r="U281" s="186">
        <f>IFERROR(VLOOKUP($G281,基本資料!$A:$J,9,0),"無")</f>
        <v>0.3</v>
      </c>
      <c r="V281" s="310">
        <f t="shared" si="116"/>
        <v>4.6728971962616821E-2</v>
      </c>
      <c r="W281" s="94">
        <f>IFERROR(VLOOKUP($G281,基本資料!$A:$J,10,0),"無")</f>
        <v>0.63</v>
      </c>
      <c r="X281" s="36">
        <v>6.42</v>
      </c>
      <c r="Y281" s="66">
        <v>6.35</v>
      </c>
      <c r="Z281" s="15">
        <f t="shared" ref="Z281:Z312" si="118">X281-Y281</f>
        <v>7.0000000000000284E-2</v>
      </c>
      <c r="AA281" s="63">
        <f t="shared" ref="AA281:AA312" si="119">Z281/Y281</f>
        <v>1.1023622047244139E-2</v>
      </c>
      <c r="AB281" s="99" t="s">
        <v>2010</v>
      </c>
      <c r="AC281" s="397">
        <f>IFERROR(VLOOKUP($G281,基本資料!$A:$M,12,0),"無")</f>
        <v>29.6</v>
      </c>
      <c r="AD281" s="22" t="s">
        <v>336</v>
      </c>
      <c r="AE281" s="84">
        <v>44130</v>
      </c>
      <c r="AF281" s="86">
        <v>44140</v>
      </c>
      <c r="AG281" s="33">
        <f t="shared" si="117"/>
        <v>10</v>
      </c>
      <c r="AH281" s="43" t="s">
        <v>2026</v>
      </c>
      <c r="AI281" s="259"/>
      <c r="AK281" s="245"/>
      <c r="AL281" s="245"/>
    </row>
    <row r="282" spans="1:43">
      <c r="A282" s="347">
        <f>IFERROR(VLOOKUP($G282,基本資料!$A:$J,3,0),"無")</f>
        <v>2.08</v>
      </c>
      <c r="B282" s="79">
        <f>IFERROR(VLOOKUP($G282,基本資料!$A:$J,4,0),"無")</f>
        <v>17</v>
      </c>
      <c r="C282" s="79">
        <f>IFERROR(VLOOKUP($G282,基本資料!$A:$J,5,0),"無")</f>
        <v>18</v>
      </c>
      <c r="D282" s="79">
        <f>IFERROR(VLOOKUP($G282,基本資料!$A:$J,6,0),"無")</f>
        <v>2</v>
      </c>
      <c r="E282" s="79">
        <f>IFERROR(VLOOKUP($G282,基本資料!$A:$J,7,0),"無")</f>
        <v>26</v>
      </c>
      <c r="F282" s="6">
        <f>IFERROR(VLOOKUP($G282,基本資料!$A:$J,8,0),"無")</f>
        <v>13.83</v>
      </c>
      <c r="G282" s="79">
        <v>6703</v>
      </c>
      <c r="H282" s="4" t="s">
        <v>4726</v>
      </c>
      <c r="I282" s="16" t="s">
        <v>2040</v>
      </c>
      <c r="J282" s="8" t="str">
        <f>IFERROR(VLOOKUP($G282,今日總結!$A:$AJ,35,0),"")</f>
        <v/>
      </c>
      <c r="K282" s="5" t="str">
        <f>IFERROR(VLOOKUP($G282,今日總結!$A:$AJ,36,0),"")</f>
        <v/>
      </c>
      <c r="L282" s="156" t="str">
        <f>IFERROR(VLOOKUP($G282,今日總結!$A:$AJ,33,0),"")</f>
        <v/>
      </c>
      <c r="M282" s="340" t="str">
        <f>IFERROR(VLOOKUP($G282,今日總結!$A:$AJ,34,0),"")</f>
        <v/>
      </c>
      <c r="N282" s="240" t="str">
        <f t="shared" si="115"/>
        <v/>
      </c>
      <c r="P282" s="365" t="str">
        <f>IFERROR(VLOOKUP($G282,融外自投!$A:$J,7,0),"無")</f>
        <v>無</v>
      </c>
      <c r="Q282" s="79" t="str">
        <f>IFERROR(VLOOKUP($G282,融外自投!$A:$J,9,0),"無")</f>
        <v>無</v>
      </c>
      <c r="R282" s="346" t="str">
        <f>IFERROR(VLOOKUP($G282,融外自投!$A:$J,8,0),"無")</f>
        <v>無</v>
      </c>
      <c r="S282" s="81" t="str">
        <f>IFERROR(VLOOKUP($G282,融外自投!$A:$J,10,0),"無")</f>
        <v>無</v>
      </c>
      <c r="T282" s="327" t="str">
        <f>IFERROR(VLOOKUP($G282,'321買'!$A:$E,5,0),"'沒有資料'")</f>
        <v>'沒有資料'</v>
      </c>
      <c r="U282" s="186">
        <f>IFERROR(VLOOKUP($G282,基本資料!$A:$J,9,0),"無")</f>
        <v>8.5</v>
      </c>
      <c r="V282" s="310">
        <f t="shared" si="116"/>
        <v>7.9069767441860464E-2</v>
      </c>
      <c r="W282" s="94">
        <f>IFERROR(VLOOKUP($G282,基本資料!$A:$J,10,0),"無")</f>
        <v>6.84</v>
      </c>
      <c r="X282" s="36">
        <v>107.5</v>
      </c>
      <c r="Y282" s="66">
        <v>96.9</v>
      </c>
      <c r="Z282" s="15">
        <f t="shared" si="118"/>
        <v>10.599999999999994</v>
      </c>
      <c r="AA282" s="63">
        <f t="shared" si="119"/>
        <v>0.10939112487100097</v>
      </c>
      <c r="AB282" s="99" t="s">
        <v>2056</v>
      </c>
      <c r="AC282" s="397">
        <f>IFERROR(VLOOKUP($G282,基本資料!$A:$M,12,0),"無")</f>
        <v>58.74</v>
      </c>
      <c r="AD282" s="16" t="s">
        <v>2040</v>
      </c>
      <c r="AE282" s="84">
        <v>44124</v>
      </c>
      <c r="AF282" s="86">
        <v>44134</v>
      </c>
      <c r="AG282" s="33">
        <f t="shared" si="117"/>
        <v>10</v>
      </c>
      <c r="AH282" s="43" t="s">
        <v>2039</v>
      </c>
      <c r="AI282" s="259"/>
      <c r="AK282" s="245"/>
      <c r="AL282" s="245"/>
    </row>
    <row r="283" spans="1:43">
      <c r="A283" s="347">
        <f>IFERROR(VLOOKUP($G283,基本資料!$A:$J,3,0),"無")</f>
        <v>11.06</v>
      </c>
      <c r="B283" s="79">
        <f>IFERROR(VLOOKUP($G283,基本資料!$A:$J,4,0),"無")</f>
        <v>-58</v>
      </c>
      <c r="C283" s="79">
        <f>IFERROR(VLOOKUP($G283,基本資料!$A:$J,5,0),"無")</f>
        <v>-41</v>
      </c>
      <c r="D283" s="79">
        <f>IFERROR(VLOOKUP($G283,基本資料!$A:$J,6,0),"無")</f>
        <v>1</v>
      </c>
      <c r="E283" s="79">
        <f>IFERROR(VLOOKUP($G283,基本資料!$A:$J,7,0),"無")</f>
        <v>-11</v>
      </c>
      <c r="F283" s="6">
        <f>IFERROR(VLOOKUP($G283,基本資料!$A:$J,8,0),"無")</f>
        <v>3.53</v>
      </c>
      <c r="G283" s="79">
        <v>1589</v>
      </c>
      <c r="H283" s="4" t="s">
        <v>295</v>
      </c>
      <c r="I283" s="22" t="s">
        <v>574</v>
      </c>
      <c r="J283" s="8" t="str">
        <f>IFERROR(VLOOKUP($G283,今日總結!$A:$AJ,35,0),"")</f>
        <v/>
      </c>
      <c r="K283" s="5" t="str">
        <f>IFERROR(VLOOKUP($G283,今日總結!$A:$AJ,36,0),"")</f>
        <v/>
      </c>
      <c r="L283" s="156" t="str">
        <f>IFERROR(VLOOKUP($G283,今日總結!$A:$AJ,33,0),"")</f>
        <v/>
      </c>
      <c r="M283" s="340" t="str">
        <f>IFERROR(VLOOKUP($G283,今日總結!$A:$AJ,34,0),"")</f>
        <v/>
      </c>
      <c r="N283" s="240" t="str">
        <f t="shared" si="115"/>
        <v/>
      </c>
      <c r="P283" s="365">
        <f>IFERROR(VLOOKUP($G283,融外自投!$A:$J,7,0),"無")</f>
        <v>226</v>
      </c>
      <c r="Q283" s="79">
        <f>IFERROR(VLOOKUP($G283,融外自投!$A:$J,9,0),"無")</f>
        <v>316</v>
      </c>
      <c r="R283" s="346">
        <f>IFERROR(VLOOKUP($G283,融外自投!$A:$J,8,0),"無")</f>
        <v>815</v>
      </c>
      <c r="S283" s="81">
        <f>IFERROR(VLOOKUP($G283,融外自投!$A:$J,10,0),"無")</f>
        <v>334</v>
      </c>
      <c r="T283" s="327">
        <f>IFERROR(VLOOKUP($G283,'321買'!$A:$E,5,0),"'沒有資料'")</f>
        <v>1099</v>
      </c>
      <c r="U283" s="186">
        <f>IFERROR(VLOOKUP($G283,基本資料!$A:$J,9,0),"無")</f>
        <v>0.6</v>
      </c>
      <c r="V283" s="310">
        <f t="shared" si="116"/>
        <v>6.5573770491803279E-3</v>
      </c>
      <c r="W283" s="94">
        <f>IFERROR(VLOOKUP($G283,基本資料!$A:$J,10,0),"無")</f>
        <v>1.95</v>
      </c>
      <c r="X283" s="36">
        <v>91.5</v>
      </c>
      <c r="Y283" s="45">
        <v>80</v>
      </c>
      <c r="Z283" s="15">
        <f t="shared" si="118"/>
        <v>11.5</v>
      </c>
      <c r="AA283" s="63">
        <f t="shared" si="119"/>
        <v>0.14374999999999999</v>
      </c>
      <c r="AB283" s="99" t="s">
        <v>2055</v>
      </c>
      <c r="AC283" s="397">
        <f>IFERROR(VLOOKUP($G283,基本資料!$A:$M,12,0),"無")</f>
        <v>24.38</v>
      </c>
      <c r="AD283" s="22" t="s">
        <v>574</v>
      </c>
      <c r="AE283" s="84">
        <v>44124</v>
      </c>
      <c r="AF283" s="86">
        <v>44134</v>
      </c>
      <c r="AG283" s="33">
        <f t="shared" si="117"/>
        <v>10</v>
      </c>
      <c r="AH283" s="43" t="s">
        <v>1967</v>
      </c>
      <c r="AI283" s="259"/>
      <c r="AK283" s="245"/>
      <c r="AL283" s="245"/>
    </row>
    <row r="284" spans="1:43">
      <c r="A284" s="347">
        <f>IFERROR(VLOOKUP($G284,基本資料!$A:$J,3,0),"無")</f>
        <v>9.17</v>
      </c>
      <c r="B284" s="79">
        <f>IFERROR(VLOOKUP($G284,基本資料!$A:$J,4,0),"無")</f>
        <v>81</v>
      </c>
      <c r="C284" s="79">
        <f>IFERROR(VLOOKUP($G284,基本資料!$A:$J,5,0),"無")</f>
        <v>87</v>
      </c>
      <c r="D284" s="79">
        <f>IFERROR(VLOOKUP($G284,基本資料!$A:$J,6,0),"無")</f>
        <v>5</v>
      </c>
      <c r="E284" s="79">
        <f>IFERROR(VLOOKUP($G284,基本資料!$A:$J,7,0),"無")</f>
        <v>-12</v>
      </c>
      <c r="F284" s="6">
        <f>IFERROR(VLOOKUP($G284,基本資料!$A:$J,8,0),"無")</f>
        <v>27.55</v>
      </c>
      <c r="G284" s="80">
        <v>6411</v>
      </c>
      <c r="H284" s="54" t="s">
        <v>3039</v>
      </c>
      <c r="I284" s="16" t="s">
        <v>251</v>
      </c>
      <c r="J284" s="8" t="str">
        <f>IFERROR(VLOOKUP($G284,今日總結!$A:$AJ,35,0),"")</f>
        <v>42借</v>
      </c>
      <c r="K284" s="5">
        <f>IFERROR(VLOOKUP($G284,今日總結!$A:$AJ,36,0),"")</f>
        <v>0</v>
      </c>
      <c r="L284" s="156">
        <f>IFERROR(VLOOKUP($G284,今日總結!$A:$AJ,33,0),"")</f>
        <v>3</v>
      </c>
      <c r="M284" s="340">
        <f>IFERROR(VLOOKUP($G284,今日總結!$A:$AJ,34,0),"")</f>
        <v>0</v>
      </c>
      <c r="N284" s="240">
        <f t="shared" si="115"/>
        <v>3</v>
      </c>
      <c r="P284" s="365">
        <f>IFERROR(VLOOKUP($G284,融外自投!$A:$J,7,0),"無")</f>
        <v>76</v>
      </c>
      <c r="Q284" s="79">
        <f>IFERROR(VLOOKUP($G284,融外自投!$A:$J,9,0),"無")</f>
        <v>435</v>
      </c>
      <c r="R284" s="346">
        <f>IFERROR(VLOOKUP($G284,融外自投!$A:$J,8,0),"無")</f>
        <v>384</v>
      </c>
      <c r="S284" s="81">
        <f>IFERROR(VLOOKUP($G284,融外自投!$A:$J,10,0),"無")</f>
        <v>298</v>
      </c>
      <c r="T284" s="327">
        <f>IFERROR(VLOOKUP($G284,'321買'!$A:$E,5,0),"'沒有資料'")</f>
        <v>14</v>
      </c>
      <c r="U284" s="186">
        <f>IFERROR(VLOOKUP($G284,基本資料!$A:$J,9,0),"無")</f>
        <v>7.22</v>
      </c>
      <c r="V284" s="310">
        <f t="shared" si="116"/>
        <v>8.6987951807228917E-2</v>
      </c>
      <c r="W284" s="94">
        <f>IFERROR(VLOOKUP($G284,基本資料!$A:$J,10,0),"無")</f>
        <v>10.32</v>
      </c>
      <c r="X284" s="36">
        <v>83</v>
      </c>
      <c r="Y284" s="66">
        <v>72</v>
      </c>
      <c r="Z284" s="15">
        <f t="shared" si="118"/>
        <v>11</v>
      </c>
      <c r="AA284" s="63">
        <f t="shared" si="119"/>
        <v>0.15277777777777779</v>
      </c>
      <c r="AB284" s="99" t="s">
        <v>1665</v>
      </c>
      <c r="AC284" s="397">
        <f>IFERROR(VLOOKUP($G284,基本資料!$A:$M,12,0),"無")</f>
        <v>17.28</v>
      </c>
      <c r="AD284" s="16" t="s">
        <v>251</v>
      </c>
      <c r="AE284" s="84">
        <v>44120</v>
      </c>
      <c r="AF284" s="86">
        <v>44130</v>
      </c>
      <c r="AG284" s="33">
        <f t="shared" si="117"/>
        <v>10</v>
      </c>
      <c r="AH284" s="119" t="s">
        <v>1702</v>
      </c>
      <c r="AI284" s="259"/>
      <c r="AK284" s="245"/>
      <c r="AL284" s="245"/>
    </row>
    <row r="285" spans="1:43">
      <c r="A285" s="347">
        <f>IFERROR(VLOOKUP($G285,基本資料!$A:$J,3,0),"無")</f>
        <v>3.2</v>
      </c>
      <c r="B285" s="79">
        <f>IFERROR(VLOOKUP($G285,基本資料!$A:$J,4,0),"無")</f>
        <v>33</v>
      </c>
      <c r="C285" s="79">
        <f>IFERROR(VLOOKUP($G285,基本資料!$A:$J,5,0),"無")</f>
        <v>11</v>
      </c>
      <c r="D285" s="79">
        <f>IFERROR(VLOOKUP($G285,基本資料!$A:$J,6,0),"無")</f>
        <v>-54</v>
      </c>
      <c r="E285" s="79">
        <f>IFERROR(VLOOKUP($G285,基本資料!$A:$J,7,0),"無")</f>
        <v>-31</v>
      </c>
      <c r="F285" s="6">
        <f>IFERROR(VLOOKUP($G285,基本資料!$A:$J,8,0),"無")</f>
        <v>18.12</v>
      </c>
      <c r="G285" s="79">
        <v>6591</v>
      </c>
      <c r="H285" s="49" t="s">
        <v>1146</v>
      </c>
      <c r="I285" s="22" t="s">
        <v>470</v>
      </c>
      <c r="J285" s="8">
        <f>IFERROR(VLOOKUP($G285,今日總結!$A:$AJ,35,0),"")</f>
        <v>6</v>
      </c>
      <c r="K285" s="5">
        <f>IFERROR(VLOOKUP($G285,今日總結!$A:$AJ,36,0),"")</f>
        <v>0</v>
      </c>
      <c r="L285" s="156">
        <f>IFERROR(VLOOKUP($G285,今日總結!$A:$AJ,33,0),"")</f>
        <v>1</v>
      </c>
      <c r="M285" s="340">
        <f>IFERROR(VLOOKUP($G285,今日總結!$A:$AJ,34,0),"")</f>
        <v>0</v>
      </c>
      <c r="N285" s="240">
        <f t="shared" si="115"/>
        <v>1</v>
      </c>
      <c r="P285" s="365">
        <f>IFERROR(VLOOKUP($G285,融外自投!$A:$J,7,0),"無")</f>
        <v>102</v>
      </c>
      <c r="Q285" s="79">
        <f>IFERROR(VLOOKUP($G285,融外自投!$A:$J,9,0),"無")</f>
        <v>115</v>
      </c>
      <c r="R285" s="346">
        <f>IFERROR(VLOOKUP($G285,融外自投!$A:$J,8,0),"無")</f>
        <v>248</v>
      </c>
      <c r="S285" s="81">
        <f>IFERROR(VLOOKUP($G285,融外自投!$A:$J,10,0),"無")</f>
        <v>240</v>
      </c>
      <c r="T285" s="327">
        <f>IFERROR(VLOOKUP($G285,'321買'!$A:$E,5,0),"'沒有資料'")</f>
        <v>710</v>
      </c>
      <c r="U285" s="186">
        <f>IFERROR(VLOOKUP($G285,基本資料!$A:$J,9,0),"無")</f>
        <v>4</v>
      </c>
      <c r="V285" s="310">
        <f t="shared" si="116"/>
        <v>7.0796460176991149E-2</v>
      </c>
      <c r="W285" s="94">
        <f>IFERROR(VLOOKUP($G285,基本資料!$A:$J,10,0),"無")</f>
        <v>6.83</v>
      </c>
      <c r="X285" s="36">
        <v>56.5</v>
      </c>
      <c r="Y285" s="45">
        <v>47</v>
      </c>
      <c r="Z285" s="15">
        <f t="shared" si="118"/>
        <v>9.5</v>
      </c>
      <c r="AA285" s="63">
        <f t="shared" si="119"/>
        <v>0.20212765957446807</v>
      </c>
      <c r="AB285" s="99" t="s">
        <v>2045</v>
      </c>
      <c r="AC285" s="397">
        <f>IFERROR(VLOOKUP($G285,基本資料!$A:$M,12,0),"無")</f>
        <v>62.9</v>
      </c>
      <c r="AD285" s="22" t="s">
        <v>470</v>
      </c>
      <c r="AE285" s="84">
        <v>44117</v>
      </c>
      <c r="AF285" s="86">
        <v>44127</v>
      </c>
      <c r="AG285" s="33">
        <f t="shared" si="117"/>
        <v>10</v>
      </c>
      <c r="AH285" s="43" t="s">
        <v>1994</v>
      </c>
      <c r="AI285" s="259"/>
      <c r="AK285" s="245"/>
      <c r="AL285" s="245"/>
    </row>
    <row r="286" spans="1:43">
      <c r="A286" s="347">
        <f>IFERROR(VLOOKUP($G286,基本資料!$A:$J,3,0),"無")</f>
        <v>8.07</v>
      </c>
      <c r="B286" s="79">
        <f>IFERROR(VLOOKUP($G286,基本資料!$A:$J,4,0),"無")</f>
        <v>15</v>
      </c>
      <c r="C286" s="79">
        <f>IFERROR(VLOOKUP($G286,基本資料!$A:$J,5,0),"無")</f>
        <v>20</v>
      </c>
      <c r="D286" s="79">
        <f>IFERROR(VLOOKUP($G286,基本資料!$A:$J,6,0),"無")</f>
        <v>118</v>
      </c>
      <c r="E286" s="79">
        <f>IFERROR(VLOOKUP($G286,基本資料!$A:$J,7,0),"無")</f>
        <v>-10</v>
      </c>
      <c r="F286" s="6">
        <f>IFERROR(VLOOKUP($G286,基本資料!$A:$J,8,0),"無")</f>
        <v>3.69</v>
      </c>
      <c r="G286" s="79">
        <v>2247</v>
      </c>
      <c r="H286" s="4" t="s">
        <v>295</v>
      </c>
      <c r="I286" s="22" t="s">
        <v>2032</v>
      </c>
      <c r="J286" s="8" t="str">
        <f>IFERROR(VLOOKUP($G286,今日總結!$A:$AJ,35,0),"")</f>
        <v/>
      </c>
      <c r="K286" s="5" t="str">
        <f>IFERROR(VLOOKUP($G286,今日總結!$A:$AJ,36,0),"")</f>
        <v/>
      </c>
      <c r="L286" s="156" t="str">
        <f>IFERROR(VLOOKUP($G286,今日總結!$A:$AJ,33,0),"")</f>
        <v/>
      </c>
      <c r="M286" s="340" t="str">
        <f>IFERROR(VLOOKUP($G286,今日總結!$A:$AJ,34,0),"")</f>
        <v/>
      </c>
      <c r="N286" s="240" t="str">
        <f t="shared" si="115"/>
        <v/>
      </c>
      <c r="P286" s="365">
        <f>IFERROR(VLOOKUP($G286,融外自投!$A:$J,7,0),"無")</f>
        <v>1401</v>
      </c>
      <c r="Q286" s="79" t="str">
        <f>IFERROR(VLOOKUP($G286,融外自投!$A:$J,9,0),"無")</f>
        <v>無</v>
      </c>
      <c r="R286" s="346">
        <f>IFERROR(VLOOKUP($G286,融外自投!$A:$J,8,0),"無")</f>
        <v>1286</v>
      </c>
      <c r="S286" s="81" t="str">
        <f>IFERROR(VLOOKUP($G286,融外自投!$A:$J,10,0),"無")</f>
        <v>無</v>
      </c>
      <c r="T286" s="327">
        <f>IFERROR(VLOOKUP($G286,'321買'!$A:$E,5,0),"'沒有資料'")</f>
        <v>1007</v>
      </c>
      <c r="U286" s="186">
        <f>IFERROR(VLOOKUP($G286,基本資料!$A:$J,9,0),"無")</f>
        <v>12</v>
      </c>
      <c r="V286" s="310">
        <f t="shared" si="116"/>
        <v>4.4776119402985072E-2</v>
      </c>
      <c r="W286" s="94">
        <f>IFERROR(VLOOKUP($G286,基本資料!$A:$J,10,0),"無")</f>
        <v>15.36</v>
      </c>
      <c r="X286" s="36">
        <v>268</v>
      </c>
      <c r="Y286" s="66">
        <v>180</v>
      </c>
      <c r="Z286" s="15">
        <f t="shared" si="118"/>
        <v>88</v>
      </c>
      <c r="AA286" s="63">
        <f t="shared" si="119"/>
        <v>0.48888888888888887</v>
      </c>
      <c r="AB286" s="99" t="s">
        <v>2044</v>
      </c>
      <c r="AC286" s="397">
        <f>IFERROR(VLOOKUP($G286,基本資料!$A:$M,12,0),"無")</f>
        <v>26.9</v>
      </c>
      <c r="AD286" s="22" t="s">
        <v>2032</v>
      </c>
      <c r="AE286" s="84">
        <v>44116</v>
      </c>
      <c r="AF286" s="86">
        <v>44126</v>
      </c>
      <c r="AG286" s="33">
        <f t="shared" si="117"/>
        <v>10</v>
      </c>
      <c r="AH286" s="43" t="s">
        <v>2033</v>
      </c>
      <c r="AI286" s="259"/>
      <c r="AK286" s="245"/>
      <c r="AL286" s="245"/>
    </row>
    <row r="287" spans="1:43">
      <c r="A287" s="347">
        <f>IFERROR(VLOOKUP($G287,基本資料!$A:$J,3,0),"無")</f>
        <v>18.61</v>
      </c>
      <c r="B287" s="79">
        <f>IFERROR(VLOOKUP($G287,基本資料!$A:$J,4,0),"無")</f>
        <v>32</v>
      </c>
      <c r="C287" s="79">
        <f>IFERROR(VLOOKUP($G287,基本資料!$A:$J,5,0),"無")</f>
        <v>15</v>
      </c>
      <c r="D287" s="79">
        <f>IFERROR(VLOOKUP($G287,基本資料!$A:$J,6,0),"無")</f>
        <v>-9</v>
      </c>
      <c r="E287" s="79">
        <f>IFERROR(VLOOKUP($G287,基本資料!$A:$J,7,0),"無")</f>
        <v>57</v>
      </c>
      <c r="F287" s="6">
        <f>IFERROR(VLOOKUP($G287,基本資料!$A:$J,8,0),"無")</f>
        <v>9.4600000000000009</v>
      </c>
      <c r="G287" s="79">
        <v>9802</v>
      </c>
      <c r="H287" s="4" t="s">
        <v>1960</v>
      </c>
      <c r="I287" s="22" t="s">
        <v>1096</v>
      </c>
      <c r="J287" s="8" t="str">
        <f>IFERROR(VLOOKUP($G287,今日總結!$A:$AJ,35,0),"")</f>
        <v/>
      </c>
      <c r="K287" s="5" t="str">
        <f>IFERROR(VLOOKUP($G287,今日總結!$A:$AJ,36,0),"")</f>
        <v/>
      </c>
      <c r="L287" s="156" t="str">
        <f>IFERROR(VLOOKUP($G287,今日總結!$A:$AJ,33,0),"")</f>
        <v/>
      </c>
      <c r="M287" s="340" t="str">
        <f>IFERROR(VLOOKUP($G287,今日總結!$A:$AJ,34,0),"")</f>
        <v/>
      </c>
      <c r="N287" s="240" t="str">
        <f t="shared" si="115"/>
        <v/>
      </c>
      <c r="P287" s="365">
        <f>IFERROR(VLOOKUP($G287,融外自投!$A:$J,7,0),"無")</f>
        <v>134</v>
      </c>
      <c r="Q287" s="79">
        <f>IFERROR(VLOOKUP($G287,融外自投!$A:$J,9,0),"無")</f>
        <v>296</v>
      </c>
      <c r="R287" s="346">
        <f>IFERROR(VLOOKUP($G287,融外自投!$A:$J,8,0),"無")</f>
        <v>94</v>
      </c>
      <c r="S287" s="81">
        <f>IFERROR(VLOOKUP($G287,融外自投!$A:$J,10,0),"無")</f>
        <v>61</v>
      </c>
      <c r="T287" s="327">
        <f>IFERROR(VLOOKUP($G287,'321買'!$A:$E,5,0),"'沒有資料'")</f>
        <v>74</v>
      </c>
      <c r="U287" s="186">
        <f>IFERROR(VLOOKUP($G287,基本資料!$A:$J,9,0),"無")</f>
        <v>4.2300000000000004</v>
      </c>
      <c r="V287" s="310">
        <f t="shared" si="116"/>
        <v>3.6153846153846154E-2</v>
      </c>
      <c r="W287" s="94">
        <f>IFERROR(VLOOKUP($G287,基本資料!$A:$J,10,0),"無")</f>
        <v>6.39</v>
      </c>
      <c r="X287" s="13">
        <v>117</v>
      </c>
      <c r="Y287" s="66">
        <v>75</v>
      </c>
      <c r="Z287" s="15">
        <f t="shared" si="118"/>
        <v>42</v>
      </c>
      <c r="AA287" s="63">
        <f t="shared" si="119"/>
        <v>0.56000000000000005</v>
      </c>
      <c r="AB287" s="99" t="s">
        <v>2041</v>
      </c>
      <c r="AC287" s="397">
        <f>IFERROR(VLOOKUP($G287,基本資料!$A:$M,12,0),"無")</f>
        <v>91.03</v>
      </c>
      <c r="AD287" s="22" t="s">
        <v>1096</v>
      </c>
      <c r="AE287" s="84">
        <v>44112</v>
      </c>
      <c r="AF287" s="86">
        <v>44123</v>
      </c>
      <c r="AG287" s="33">
        <f t="shared" si="117"/>
        <v>11</v>
      </c>
      <c r="AH287" s="43" t="s">
        <v>1950</v>
      </c>
      <c r="AI287" s="259"/>
      <c r="AK287" s="245"/>
      <c r="AL287" s="245"/>
    </row>
    <row r="288" spans="1:43">
      <c r="A288" s="347">
        <f>IFERROR(VLOOKUP($G288,基本資料!$A:$J,3,0),"無")</f>
        <v>5.79</v>
      </c>
      <c r="B288" s="79">
        <f>IFERROR(VLOOKUP($G288,基本資料!$A:$J,4,0),"無")</f>
        <v>-112</v>
      </c>
      <c r="C288" s="79">
        <f>IFERROR(VLOOKUP($G288,基本資料!$A:$J,5,0),"無")</f>
        <v>-107</v>
      </c>
      <c r="D288" s="79">
        <f>IFERROR(VLOOKUP($G288,基本資料!$A:$J,6,0),"無")</f>
        <v>-14</v>
      </c>
      <c r="E288" s="79">
        <f>IFERROR(VLOOKUP($G288,基本資料!$A:$J,7,0),"無")</f>
        <v>-3</v>
      </c>
      <c r="F288" s="6">
        <f>IFERROR(VLOOKUP($G288,基本資料!$A:$J,8,0),"無")</f>
        <v>-1.22</v>
      </c>
      <c r="G288" s="79">
        <v>8089</v>
      </c>
      <c r="H288" s="4" t="s">
        <v>311</v>
      </c>
      <c r="I288" s="16" t="s">
        <v>2006</v>
      </c>
      <c r="J288" s="8" t="str">
        <f>IFERROR(VLOOKUP($G288,今日總結!$A:$AJ,35,0),"")</f>
        <v/>
      </c>
      <c r="K288" s="5" t="str">
        <f>IFERROR(VLOOKUP($G288,今日總結!$A:$AJ,36,0),"")</f>
        <v/>
      </c>
      <c r="L288" s="156" t="str">
        <f>IFERROR(VLOOKUP($G288,今日總結!$A:$AJ,33,0),"")</f>
        <v/>
      </c>
      <c r="M288" s="340" t="str">
        <f>IFERROR(VLOOKUP($G288,今日總結!$A:$AJ,34,0),"")</f>
        <v/>
      </c>
      <c r="N288" s="240" t="str">
        <f t="shared" si="115"/>
        <v/>
      </c>
      <c r="P288" s="365">
        <f>IFERROR(VLOOKUP($G288,融外自投!$A:$J,7,0),"無")</f>
        <v>923</v>
      </c>
      <c r="Q288" s="79" t="str">
        <f>IFERROR(VLOOKUP($G288,融外自投!$A:$J,9,0),"無")</f>
        <v>無</v>
      </c>
      <c r="R288" s="346">
        <f>IFERROR(VLOOKUP($G288,融外自投!$A:$J,8,0),"無")</f>
        <v>791</v>
      </c>
      <c r="S288" s="81" t="str">
        <f>IFERROR(VLOOKUP($G288,融外自投!$A:$J,10,0),"無")</f>
        <v>無</v>
      </c>
      <c r="T288" s="327">
        <f>IFERROR(VLOOKUP($G288,'321買'!$A:$E,5,0),"'沒有資料'")</f>
        <v>827</v>
      </c>
      <c r="U288" s="186">
        <f>IFERROR(VLOOKUP($G288,基本資料!$A:$J,9,0),"無")</f>
        <v>1</v>
      </c>
      <c r="V288" s="310">
        <f t="shared" si="116"/>
        <v>1.6025641025641028E-2</v>
      </c>
      <c r="W288" s="94">
        <f>IFERROR(VLOOKUP($G288,基本資料!$A:$J,10,0),"無")</f>
        <v>-0.46</v>
      </c>
      <c r="X288" s="36">
        <v>62.4</v>
      </c>
      <c r="Y288" s="66">
        <v>45.24</v>
      </c>
      <c r="Z288" s="15">
        <f t="shared" si="118"/>
        <v>17.159999999999997</v>
      </c>
      <c r="AA288" s="148">
        <f t="shared" si="119"/>
        <v>0.37931034482758613</v>
      </c>
      <c r="AB288" s="99" t="s">
        <v>2027</v>
      </c>
      <c r="AC288" s="397">
        <f>IFERROR(VLOOKUP($G288,基本資料!$A:$M,12,0),"無")</f>
        <v>21.84</v>
      </c>
      <c r="AD288" s="16" t="s">
        <v>2006</v>
      </c>
      <c r="AE288" s="84">
        <v>44097</v>
      </c>
      <c r="AF288" s="86">
        <v>44109</v>
      </c>
      <c r="AG288" s="33">
        <f t="shared" si="117"/>
        <v>12</v>
      </c>
      <c r="AH288" s="43" t="s">
        <v>2007</v>
      </c>
      <c r="AI288" s="259"/>
      <c r="AK288" s="245"/>
      <c r="AL288" s="245"/>
    </row>
    <row r="289" spans="1:38">
      <c r="A289" s="347">
        <f>IFERROR(VLOOKUP($G289,基本資料!$A:$J,3,0),"無")</f>
        <v>4.62</v>
      </c>
      <c r="B289" s="79">
        <f>IFERROR(VLOOKUP($G289,基本資料!$A:$J,4,0),"無")</f>
        <v>-29</v>
      </c>
      <c r="C289" s="79">
        <f>IFERROR(VLOOKUP($G289,基本資料!$A:$J,5,0),"無")</f>
        <v>-35</v>
      </c>
      <c r="D289" s="79">
        <f>IFERROR(VLOOKUP($G289,基本資料!$A:$J,6,0),"無")</f>
        <v>-2</v>
      </c>
      <c r="E289" s="79">
        <f>IFERROR(VLOOKUP($G289,基本資料!$A:$J,7,0),"無")</f>
        <v>24</v>
      </c>
      <c r="F289" s="6">
        <f>IFERROR(VLOOKUP($G289,基本資料!$A:$J,8,0),"無")</f>
        <v>1.29</v>
      </c>
      <c r="G289" s="80">
        <v>2754</v>
      </c>
      <c r="H289" s="4" t="s">
        <v>303</v>
      </c>
      <c r="I289" s="16" t="s">
        <v>2002</v>
      </c>
      <c r="J289" s="8" t="str">
        <f>IFERROR(VLOOKUP($G289,今日總結!$A:$AJ,35,0),"")</f>
        <v/>
      </c>
      <c r="K289" s="5" t="str">
        <f>IFERROR(VLOOKUP($G289,今日總結!$A:$AJ,36,0),"")</f>
        <v/>
      </c>
      <c r="L289" s="156" t="str">
        <f>IFERROR(VLOOKUP($G289,今日總結!$A:$AJ,33,0),"")</f>
        <v/>
      </c>
      <c r="M289" s="340" t="str">
        <f>IFERROR(VLOOKUP($G289,今日總結!$A:$AJ,34,0),"")</f>
        <v/>
      </c>
      <c r="N289" s="240" t="str">
        <f t="shared" si="115"/>
        <v/>
      </c>
      <c r="P289" s="365">
        <f>IFERROR(VLOOKUP($G289,融外自投!$A:$J,7,0),"無")</f>
        <v>887</v>
      </c>
      <c r="Q289" s="79" t="str">
        <f>IFERROR(VLOOKUP($G289,融外自投!$A:$J,9,0),"無")</f>
        <v>無</v>
      </c>
      <c r="R289" s="346">
        <f>IFERROR(VLOOKUP($G289,融外自投!$A:$J,8,0),"無")</f>
        <v>22</v>
      </c>
      <c r="S289" s="81" t="str">
        <f>IFERROR(VLOOKUP($G289,融外自投!$A:$J,10,0),"無")</f>
        <v>無</v>
      </c>
      <c r="T289" s="327">
        <f>IFERROR(VLOOKUP($G289,'321買'!$A:$E,5,0),"'沒有資料'")</f>
        <v>915</v>
      </c>
      <c r="U289" s="186">
        <f>IFERROR(VLOOKUP($G289,基本資料!$A:$J,9,0),"無")</f>
        <v>0</v>
      </c>
      <c r="V289" s="310">
        <f t="shared" si="116"/>
        <v>0</v>
      </c>
      <c r="W289" s="94">
        <f>IFERROR(VLOOKUP($G289,基本資料!$A:$J,10,0),"無")</f>
        <v>0.49</v>
      </c>
      <c r="X289" s="36">
        <v>76.5</v>
      </c>
      <c r="Y289" s="66">
        <v>55</v>
      </c>
      <c r="Z289" s="15">
        <f t="shared" si="118"/>
        <v>21.5</v>
      </c>
      <c r="AA289" s="148">
        <f t="shared" si="119"/>
        <v>0.39090909090909093</v>
      </c>
      <c r="AB289" s="99" t="s">
        <v>2018</v>
      </c>
      <c r="AC289" s="397">
        <f>IFERROR(VLOOKUP($G289,基本資料!$A:$M,12,0),"無")</f>
        <v>19.850000000000001</v>
      </c>
      <c r="AD289" s="16" t="s">
        <v>2002</v>
      </c>
      <c r="AE289" s="84">
        <v>44091</v>
      </c>
      <c r="AF289" s="86">
        <v>44102</v>
      </c>
      <c r="AG289" s="33">
        <f t="shared" si="117"/>
        <v>11</v>
      </c>
      <c r="AH289" s="43" t="s">
        <v>2003</v>
      </c>
      <c r="AI289" s="259"/>
      <c r="AK289" s="245"/>
      <c r="AL289" s="245"/>
    </row>
    <row r="290" spans="1:38">
      <c r="A290" s="347">
        <f>IFERROR(VLOOKUP($G290,基本資料!$A:$J,3,0),"無")</f>
        <v>8.9700000000000006</v>
      </c>
      <c r="B290" s="79">
        <f>IFERROR(VLOOKUP($G290,基本資料!$A:$J,4,0),"無")</f>
        <v>7</v>
      </c>
      <c r="C290" s="79">
        <f>IFERROR(VLOOKUP($G290,基本資料!$A:$J,5,0),"無")</f>
        <v>3</v>
      </c>
      <c r="D290" s="79">
        <f>IFERROR(VLOOKUP($G290,基本資料!$A:$J,6,0),"無")</f>
        <v>0</v>
      </c>
      <c r="E290" s="79">
        <f>IFERROR(VLOOKUP($G290,基本資料!$A:$J,7,0),"無")</f>
        <v>66</v>
      </c>
      <c r="F290" s="6">
        <f>IFERROR(VLOOKUP($G290,基本資料!$A:$J,8,0),"無")</f>
        <v>-62966.55</v>
      </c>
      <c r="G290" s="79">
        <v>6492</v>
      </c>
      <c r="H290" s="4" t="s">
        <v>4726</v>
      </c>
      <c r="I290" s="16" t="s">
        <v>621</v>
      </c>
      <c r="J290" s="8" t="str">
        <f>IFERROR(VLOOKUP($G290,今日總結!$A:$AJ,35,0),"")</f>
        <v/>
      </c>
      <c r="K290" s="5" t="str">
        <f>IFERROR(VLOOKUP($G290,今日總結!$A:$AJ,36,0),"")</f>
        <v/>
      </c>
      <c r="L290" s="156" t="str">
        <f>IFERROR(VLOOKUP($G290,今日總結!$A:$AJ,33,0),"")</f>
        <v/>
      </c>
      <c r="M290" s="340" t="str">
        <f>IFERROR(VLOOKUP($G290,今日總結!$A:$AJ,34,0),"")</f>
        <v/>
      </c>
      <c r="N290" s="240" t="str">
        <f t="shared" si="115"/>
        <v/>
      </c>
      <c r="P290" s="365" t="str">
        <f>IFERROR(VLOOKUP($G290,融外自投!$A:$J,7,0),"無")</f>
        <v>無</v>
      </c>
      <c r="Q290" s="79" t="str">
        <f>IFERROR(VLOOKUP($G290,融外自投!$A:$J,9,0),"無")</f>
        <v>無</v>
      </c>
      <c r="R290" s="346" t="str">
        <f>IFERROR(VLOOKUP($G290,融外自投!$A:$J,8,0),"無")</f>
        <v>無</v>
      </c>
      <c r="S290" s="81" t="str">
        <f>IFERROR(VLOOKUP($G290,融外自投!$A:$J,10,0),"無")</f>
        <v>無</v>
      </c>
      <c r="T290" s="327" t="str">
        <f>IFERROR(VLOOKUP($G290,'321買'!$A:$E,5,0),"'沒有資料'")</f>
        <v>'沒有資料'</v>
      </c>
      <c r="U290" s="186">
        <f>IFERROR(VLOOKUP($G290,基本資料!$A:$J,9,0),"無")</f>
        <v>0</v>
      </c>
      <c r="V290" s="310">
        <f t="shared" si="116"/>
        <v>0</v>
      </c>
      <c r="W290" s="94">
        <f>IFERROR(VLOOKUP($G290,基本資料!$A:$J,10,0),"無")</f>
        <v>-3.67</v>
      </c>
      <c r="X290" s="36">
        <v>276.5</v>
      </c>
      <c r="Y290" s="66">
        <v>120</v>
      </c>
      <c r="Z290" s="15">
        <f t="shared" si="118"/>
        <v>156.5</v>
      </c>
      <c r="AA290" s="169">
        <f t="shared" si="119"/>
        <v>1.3041666666666667</v>
      </c>
      <c r="AB290" s="99" t="s">
        <v>2019</v>
      </c>
      <c r="AC290" s="397">
        <f>IFERROR(VLOOKUP($G290,基本資料!$A:$M,12,0),"無")</f>
        <v>37.04</v>
      </c>
      <c r="AD290" s="16" t="s">
        <v>621</v>
      </c>
      <c r="AE290" s="84">
        <v>44091</v>
      </c>
      <c r="AF290" s="86">
        <v>44102</v>
      </c>
      <c r="AG290" s="33">
        <f t="shared" si="117"/>
        <v>11</v>
      </c>
      <c r="AH290" s="43" t="s">
        <v>1517</v>
      </c>
      <c r="AI290" s="259"/>
      <c r="AK290" s="245"/>
      <c r="AL290" s="245"/>
    </row>
    <row r="291" spans="1:38" ht="17.25" customHeight="1">
      <c r="A291" s="347">
        <f>IFERROR(VLOOKUP($G291,基本資料!$A:$J,3,0),"無")</f>
        <v>3</v>
      </c>
      <c r="B291" s="79">
        <f>IFERROR(VLOOKUP($G291,基本資料!$A:$J,4,0),"無")</f>
        <v>-198</v>
      </c>
      <c r="C291" s="79">
        <f>IFERROR(VLOOKUP($G291,基本資料!$A:$J,5,0),"無")</f>
        <v>-165</v>
      </c>
      <c r="D291" s="79">
        <f>IFERROR(VLOOKUP($G291,基本資料!$A:$J,6,0),"無")</f>
        <v>-47</v>
      </c>
      <c r="E291" s="79">
        <f>IFERROR(VLOOKUP($G291,基本資料!$A:$J,7,0),"無")</f>
        <v>610</v>
      </c>
      <c r="F291" s="6">
        <f>IFERROR(VLOOKUP($G291,基本資料!$A:$J,8,0),"無")</f>
        <v>-36.14</v>
      </c>
      <c r="G291" s="79">
        <v>6596</v>
      </c>
      <c r="H291" s="4" t="s">
        <v>1025</v>
      </c>
      <c r="I291" s="16" t="s">
        <v>1030</v>
      </c>
      <c r="J291" s="8" t="str">
        <f>IFERROR(VLOOKUP($G291,今日總結!$A:$AJ,35,0),"")</f>
        <v/>
      </c>
      <c r="K291" s="5" t="str">
        <f>IFERROR(VLOOKUP($G291,今日總結!$A:$AJ,36,0),"")</f>
        <v/>
      </c>
      <c r="L291" s="156" t="str">
        <f>IFERROR(VLOOKUP($G291,今日總結!$A:$AJ,33,0),"")</f>
        <v/>
      </c>
      <c r="M291" s="340" t="str">
        <f>IFERROR(VLOOKUP($G291,今日總結!$A:$AJ,34,0),"")</f>
        <v/>
      </c>
      <c r="N291" s="240" t="str">
        <f t="shared" si="115"/>
        <v/>
      </c>
      <c r="P291" s="365">
        <f>IFERROR(VLOOKUP($G291,融外自投!$A:$J,7,0),"無")</f>
        <v>1296</v>
      </c>
      <c r="Q291" s="79" t="str">
        <f>IFERROR(VLOOKUP($G291,融外自投!$A:$J,9,0),"無")</f>
        <v>無</v>
      </c>
      <c r="R291" s="346">
        <f>IFERROR(VLOOKUP($G291,融外自投!$A:$J,8,0),"無")</f>
        <v>1433</v>
      </c>
      <c r="S291" s="81" t="str">
        <f>IFERROR(VLOOKUP($G291,融外自投!$A:$J,10,0),"無")</f>
        <v>無</v>
      </c>
      <c r="T291" s="327">
        <f>IFERROR(VLOOKUP($G291,'321買'!$A:$E,5,0),"'沒有資料'")</f>
        <v>1367</v>
      </c>
      <c r="U291" s="186">
        <f>IFERROR(VLOOKUP($G291,基本資料!$A:$J,9,0),"無")</f>
        <v>0</v>
      </c>
      <c r="V291" s="310">
        <f t="shared" si="116"/>
        <v>0</v>
      </c>
      <c r="W291" s="94">
        <f>IFERROR(VLOOKUP($G291,基本資料!$A:$J,10,0),"無")</f>
        <v>-2.86</v>
      </c>
      <c r="X291" s="36">
        <v>46.1</v>
      </c>
      <c r="Y291" s="66">
        <v>45</v>
      </c>
      <c r="Z291" s="15">
        <f t="shared" si="118"/>
        <v>1.1000000000000014</v>
      </c>
      <c r="AA291" s="63">
        <f t="shared" si="119"/>
        <v>2.4444444444444477E-2</v>
      </c>
      <c r="AB291" s="99" t="s">
        <v>2001</v>
      </c>
      <c r="AC291" s="397">
        <f>IFERROR(VLOOKUP($G291,基本資料!$A:$M,12,0),"無")</f>
        <v>17.02</v>
      </c>
      <c r="AD291" s="16" t="s">
        <v>1030</v>
      </c>
      <c r="AE291" s="84">
        <v>44081</v>
      </c>
      <c r="AF291" s="86">
        <v>44091</v>
      </c>
      <c r="AG291" s="33">
        <f t="shared" si="117"/>
        <v>10</v>
      </c>
      <c r="AH291" s="43" t="s">
        <v>1984</v>
      </c>
      <c r="AI291" s="259"/>
      <c r="AK291" s="245"/>
      <c r="AL291" s="245"/>
    </row>
    <row r="292" spans="1:38">
      <c r="A292" s="347">
        <f>IFERROR(VLOOKUP($G292,基本資料!$A:$J,3,0),"無")</f>
        <v>19.239999999999998</v>
      </c>
      <c r="B292" s="79">
        <f>IFERROR(VLOOKUP($G292,基本資料!$A:$J,4,0),"無")</f>
        <v>-30</v>
      </c>
      <c r="C292" s="79">
        <f>IFERROR(VLOOKUP($G292,基本資料!$A:$J,5,0),"無")</f>
        <v>-41</v>
      </c>
      <c r="D292" s="79">
        <f>IFERROR(VLOOKUP($G292,基本資料!$A:$J,6,0),"無")</f>
        <v>-17</v>
      </c>
      <c r="E292" s="79">
        <f>IFERROR(VLOOKUP($G292,基本資料!$A:$J,7,0),"無")</f>
        <v>-20</v>
      </c>
      <c r="F292" s="6">
        <f>IFERROR(VLOOKUP($G292,基本資料!$A:$J,8,0),"無")</f>
        <v>12.99</v>
      </c>
      <c r="G292" s="79">
        <v>3376</v>
      </c>
      <c r="H292" s="4" t="s">
        <v>3389</v>
      </c>
      <c r="I292" s="22" t="s">
        <v>60</v>
      </c>
      <c r="J292" s="8" t="str">
        <f>IFERROR(VLOOKUP($G292,今日總結!$A:$AJ,35,0),"")</f>
        <v/>
      </c>
      <c r="K292" s="5" t="str">
        <f>IFERROR(VLOOKUP($G292,今日總結!$A:$AJ,36,0),"")</f>
        <v/>
      </c>
      <c r="L292" s="156" t="str">
        <f>IFERROR(VLOOKUP($G292,今日總結!$A:$AJ,33,0),"")</f>
        <v/>
      </c>
      <c r="M292" s="340" t="str">
        <f>IFERROR(VLOOKUP($G292,今日總結!$A:$AJ,34,0),"")</f>
        <v/>
      </c>
      <c r="N292" s="240" t="str">
        <f t="shared" si="115"/>
        <v/>
      </c>
      <c r="P292" s="365">
        <f>IFERROR(VLOOKUP($G292,融外自投!$A:$J,7,0),"無")</f>
        <v>733</v>
      </c>
      <c r="Q292" s="79">
        <f>IFERROR(VLOOKUP($G292,融外自投!$A:$J,9,0),"無")</f>
        <v>571</v>
      </c>
      <c r="R292" s="346">
        <f>IFERROR(VLOOKUP($G292,融外自投!$A:$J,8,0),"無")</f>
        <v>275</v>
      </c>
      <c r="S292" s="81">
        <f>IFERROR(VLOOKUP($G292,融外自投!$A:$J,10,0),"無")</f>
        <v>289</v>
      </c>
      <c r="T292" s="327">
        <f>IFERROR(VLOOKUP($G292,'321買'!$A:$E,5,0),"'沒有資料'")</f>
        <v>357</v>
      </c>
      <c r="U292" s="186">
        <f>IFERROR(VLOOKUP($G292,基本資料!$A:$J,9,0),"無")</f>
        <v>5</v>
      </c>
      <c r="V292" s="310">
        <f t="shared" si="116"/>
        <v>3.5087719298245612E-2</v>
      </c>
      <c r="W292" s="94">
        <f>IFERROR(VLOOKUP($G292,基本資料!$A:$J,10,0),"無")</f>
        <v>6.08</v>
      </c>
      <c r="X292" s="36">
        <v>142.5</v>
      </c>
      <c r="Y292" s="66">
        <v>110</v>
      </c>
      <c r="Z292" s="15">
        <f t="shared" si="118"/>
        <v>32.5</v>
      </c>
      <c r="AA292" s="63">
        <f t="shared" si="119"/>
        <v>0.29545454545454547</v>
      </c>
      <c r="AB292" s="99" t="s">
        <v>1996</v>
      </c>
      <c r="AC292" s="397">
        <f>IFERROR(VLOOKUP($G292,基本資料!$A:$M,12,0),"無")</f>
        <v>46.07</v>
      </c>
      <c r="AD292" s="22" t="s">
        <v>60</v>
      </c>
      <c r="AE292" s="84">
        <v>44076</v>
      </c>
      <c r="AF292" s="86">
        <v>44088</v>
      </c>
      <c r="AG292" s="33">
        <f t="shared" si="117"/>
        <v>12</v>
      </c>
      <c r="AH292" s="117" t="s">
        <v>1952</v>
      </c>
      <c r="AI292" s="259"/>
      <c r="AK292" s="245"/>
      <c r="AL292" s="245"/>
    </row>
    <row r="293" spans="1:38">
      <c r="A293" s="347">
        <f>IFERROR(VLOOKUP($G293,基本資料!$A:$J,3,0),"無")</f>
        <v>9.01</v>
      </c>
      <c r="B293" s="79">
        <f>IFERROR(VLOOKUP($G293,基本資料!$A:$J,4,0),"無")</f>
        <v>4</v>
      </c>
      <c r="C293" s="79">
        <f>IFERROR(VLOOKUP($G293,基本資料!$A:$J,5,0),"無")</f>
        <v>0</v>
      </c>
      <c r="D293" s="79">
        <f>IFERROR(VLOOKUP($G293,基本資料!$A:$J,6,0),"無")</f>
        <v>-37</v>
      </c>
      <c r="E293" s="79">
        <f>IFERROR(VLOOKUP($G293,基本資料!$A:$J,7,0),"無")</f>
        <v>-29</v>
      </c>
      <c r="F293" s="6">
        <f>IFERROR(VLOOKUP($G293,基本資料!$A:$J,8,0),"無")</f>
        <v>26.02</v>
      </c>
      <c r="G293" s="79">
        <v>3217</v>
      </c>
      <c r="H293" s="4" t="s">
        <v>3389</v>
      </c>
      <c r="I293" s="16" t="s">
        <v>402</v>
      </c>
      <c r="J293" s="8" t="str">
        <f>IFERROR(VLOOKUP($G293,今日總結!$A:$AJ,35,0),"")</f>
        <v/>
      </c>
      <c r="K293" s="5" t="str">
        <f>IFERROR(VLOOKUP($G293,今日總結!$A:$AJ,36,0),"")</f>
        <v/>
      </c>
      <c r="L293" s="156" t="str">
        <f>IFERROR(VLOOKUP($G293,今日總結!$A:$AJ,33,0),"")</f>
        <v/>
      </c>
      <c r="M293" s="340" t="str">
        <f>IFERROR(VLOOKUP($G293,今日總結!$A:$AJ,34,0),"")</f>
        <v/>
      </c>
      <c r="N293" s="240" t="str">
        <f t="shared" si="115"/>
        <v/>
      </c>
      <c r="P293" s="365">
        <f>IFERROR(VLOOKUP($G293,融外自投!$A:$J,7,0),"無")</f>
        <v>429</v>
      </c>
      <c r="Q293" s="79">
        <f>IFERROR(VLOOKUP($G293,融外自投!$A:$J,9,0),"無")</f>
        <v>824</v>
      </c>
      <c r="R293" s="346">
        <f>IFERROR(VLOOKUP($G293,融外自投!$A:$J,8,0),"無")</f>
        <v>895</v>
      </c>
      <c r="S293" s="81">
        <f>IFERROR(VLOOKUP($G293,融外自投!$A:$J,10,0),"無")</f>
        <v>62</v>
      </c>
      <c r="T293" s="327">
        <f>IFERROR(VLOOKUP($G293,'321買'!$A:$E,5,0),"'沒有資料'")</f>
        <v>255</v>
      </c>
      <c r="U293" s="186">
        <f>IFERROR(VLOOKUP($G293,基本資料!$A:$J,9,0),"無")</f>
        <v>5.6</v>
      </c>
      <c r="V293" s="310">
        <f t="shared" si="116"/>
        <v>4.7659574468085102E-2</v>
      </c>
      <c r="W293" s="94">
        <f>IFERROR(VLOOKUP($G293,基本資料!$A:$J,10,0),"無")</f>
        <v>7.11</v>
      </c>
      <c r="X293" s="36">
        <v>117.5</v>
      </c>
      <c r="Y293" s="45">
        <v>92</v>
      </c>
      <c r="Z293" s="15">
        <f t="shared" si="118"/>
        <v>25.5</v>
      </c>
      <c r="AA293" s="63">
        <f t="shared" si="119"/>
        <v>0.27717391304347827</v>
      </c>
      <c r="AB293" s="99" t="s">
        <v>1985</v>
      </c>
      <c r="AC293" s="397">
        <f>IFERROR(VLOOKUP($G293,基本資料!$A:$M,12,0),"無")</f>
        <v>11.48</v>
      </c>
      <c r="AD293" s="16" t="s">
        <v>402</v>
      </c>
      <c r="AE293" s="84">
        <v>44071</v>
      </c>
      <c r="AF293" s="86">
        <v>44081</v>
      </c>
      <c r="AG293" s="33">
        <f t="shared" si="117"/>
        <v>10</v>
      </c>
      <c r="AH293" s="43" t="s">
        <v>1903</v>
      </c>
      <c r="AI293" s="259"/>
      <c r="AK293" s="245"/>
      <c r="AL293" s="245"/>
    </row>
    <row r="294" spans="1:38" ht="17.25" customHeight="1">
      <c r="A294" s="347">
        <f>IFERROR(VLOOKUP($G294,基本資料!$A:$J,3,0),"無")</f>
        <v>14.99</v>
      </c>
      <c r="B294" s="79">
        <f>IFERROR(VLOOKUP($G294,基本資料!$A:$J,4,0),"無")</f>
        <v>10</v>
      </c>
      <c r="C294" s="79">
        <f>IFERROR(VLOOKUP($G294,基本資料!$A:$J,5,0),"無")</f>
        <v>15</v>
      </c>
      <c r="D294" s="79">
        <f>IFERROR(VLOOKUP($G294,基本資料!$A:$J,6,0),"無")</f>
        <v>-100</v>
      </c>
      <c r="E294" s="79">
        <f>IFERROR(VLOOKUP($G294,基本資料!$A:$J,7,0),"無")</f>
        <v>-100</v>
      </c>
      <c r="F294" s="6">
        <f>IFERROR(VLOOKUP($G294,基本資料!$A:$J,8,0),"無")</f>
        <v>14.02</v>
      </c>
      <c r="G294" s="80">
        <v>6186</v>
      </c>
      <c r="H294" s="4" t="s">
        <v>4003</v>
      </c>
      <c r="I294" s="16" t="s">
        <v>893</v>
      </c>
      <c r="J294" s="8">
        <f>IFERROR(VLOOKUP($G294,今日總結!$A:$AJ,35,0),"")</f>
        <v>0</v>
      </c>
      <c r="K294" s="5" t="str">
        <f>IFERROR(VLOOKUP($G294,今日總結!$A:$AJ,36,0),"")</f>
        <v>外借</v>
      </c>
      <c r="L294" s="156">
        <f>IFERROR(VLOOKUP($G294,今日總結!$A:$AJ,33,0),"")</f>
        <v>0</v>
      </c>
      <c r="M294" s="340">
        <f>IFERROR(VLOOKUP($G294,今日總結!$A:$AJ,34,0),"")</f>
        <v>2</v>
      </c>
      <c r="N294" s="240">
        <f t="shared" si="115"/>
        <v>-2</v>
      </c>
      <c r="P294" s="365">
        <f>IFERROR(VLOOKUP($G294,融外自投!$A:$J,7,0),"無")</f>
        <v>670</v>
      </c>
      <c r="Q294" s="79" t="str">
        <f>IFERROR(VLOOKUP($G294,融外自投!$A:$J,9,0),"無")</f>
        <v>無</v>
      </c>
      <c r="R294" s="346">
        <f>IFERROR(VLOOKUP($G294,融外自投!$A:$J,8,0),"無")</f>
        <v>1390</v>
      </c>
      <c r="S294" s="81" t="str">
        <f>IFERROR(VLOOKUP($G294,融外自投!$A:$J,10,0),"無")</f>
        <v>無</v>
      </c>
      <c r="T294" s="327">
        <f>IFERROR(VLOOKUP($G294,'321買'!$A:$E,5,0),"'沒有資料'")</f>
        <v>729</v>
      </c>
      <c r="U294" s="186">
        <f>IFERROR(VLOOKUP($G294,基本資料!$A:$J,9,0),"無")</f>
        <v>0</v>
      </c>
      <c r="V294" s="310">
        <f t="shared" si="116"/>
        <v>0</v>
      </c>
      <c r="W294" s="94">
        <f>IFERROR(VLOOKUP($G294,基本資料!$A:$J,10,0),"無")</f>
        <v>3.08</v>
      </c>
      <c r="X294" s="36">
        <v>28.05</v>
      </c>
      <c r="Y294" s="66">
        <v>24.5</v>
      </c>
      <c r="Z294" s="15">
        <f t="shared" si="118"/>
        <v>3.5500000000000007</v>
      </c>
      <c r="AA294" s="63">
        <f t="shared" si="119"/>
        <v>0.14489795918367349</v>
      </c>
      <c r="AB294" s="99" t="s">
        <v>1986</v>
      </c>
      <c r="AC294" s="397">
        <f>IFERROR(VLOOKUP($G294,基本資料!$A:$M,12,0),"無")</f>
        <v>43.7</v>
      </c>
      <c r="AD294" s="16" t="s">
        <v>893</v>
      </c>
      <c r="AE294" s="84">
        <v>44071</v>
      </c>
      <c r="AF294" s="86">
        <v>44081</v>
      </c>
      <c r="AG294" s="33">
        <f t="shared" si="117"/>
        <v>10</v>
      </c>
      <c r="AH294" s="43" t="s">
        <v>1962</v>
      </c>
      <c r="AI294" s="259"/>
      <c r="AK294" s="245"/>
      <c r="AL294" s="245"/>
    </row>
    <row r="295" spans="1:38">
      <c r="A295" s="347">
        <f>IFERROR(VLOOKUP($G295,基本資料!$A:$J,3,0),"無")</f>
        <v>8.9600000000000009</v>
      </c>
      <c r="B295" s="79">
        <f>IFERROR(VLOOKUP($G295,基本資料!$A:$J,4,0),"無")</f>
        <v>-1776</v>
      </c>
      <c r="C295" s="79">
        <f>IFERROR(VLOOKUP($G295,基本資料!$A:$J,5,0),"無")</f>
        <v>-265</v>
      </c>
      <c r="D295" s="79">
        <f>IFERROR(VLOOKUP($G295,基本資料!$A:$J,6,0),"無")</f>
        <v>-14</v>
      </c>
      <c r="E295" s="79">
        <f>IFERROR(VLOOKUP($G295,基本資料!$A:$J,7,0),"無")</f>
        <v>-17</v>
      </c>
      <c r="F295" s="6">
        <f>IFERROR(VLOOKUP($G295,基本資料!$A:$J,8,0),"無")</f>
        <v>-6.3</v>
      </c>
      <c r="G295" s="79">
        <v>2241</v>
      </c>
      <c r="H295" s="4" t="s">
        <v>1960</v>
      </c>
      <c r="I295" s="22" t="s">
        <v>1964</v>
      </c>
      <c r="J295" s="8" t="str">
        <f>IFERROR(VLOOKUP($G295,今日總結!$A:$AJ,35,0),"")</f>
        <v/>
      </c>
      <c r="K295" s="5" t="str">
        <f>IFERROR(VLOOKUP($G295,今日總結!$A:$AJ,36,0),"")</f>
        <v/>
      </c>
      <c r="L295" s="156" t="str">
        <f>IFERROR(VLOOKUP($G295,今日總結!$A:$AJ,33,0),"")</f>
        <v/>
      </c>
      <c r="M295" s="340" t="str">
        <f>IFERROR(VLOOKUP($G295,今日總結!$A:$AJ,34,0),"")</f>
        <v/>
      </c>
      <c r="N295" s="240" t="str">
        <f t="shared" si="115"/>
        <v/>
      </c>
      <c r="P295" s="365">
        <f>IFERROR(VLOOKUP($G295,融外自投!$A:$J,7,0),"無")</f>
        <v>805</v>
      </c>
      <c r="Q295" s="79">
        <f>IFERROR(VLOOKUP($G295,融外自投!$A:$J,9,0),"無")</f>
        <v>896</v>
      </c>
      <c r="R295" s="346">
        <f>IFERROR(VLOOKUP($G295,融外自投!$A:$J,8,0),"無")</f>
        <v>241</v>
      </c>
      <c r="S295" s="81">
        <f>IFERROR(VLOOKUP($G295,融外自投!$A:$J,10,0),"無")</f>
        <v>458</v>
      </c>
      <c r="T295" s="327">
        <f>IFERROR(VLOOKUP($G295,'321買'!$A:$E,5,0),"'沒有資料'")</f>
        <v>536</v>
      </c>
      <c r="U295" s="186">
        <f>IFERROR(VLOOKUP($G295,基本資料!$A:$J,9,0),"無")</f>
        <v>0</v>
      </c>
      <c r="V295" s="310">
        <f t="shared" si="116"/>
        <v>0</v>
      </c>
      <c r="W295" s="94">
        <f>IFERROR(VLOOKUP($G295,基本資料!$A:$J,10,0),"無")</f>
        <v>-1.23</v>
      </c>
      <c r="X295" s="36">
        <v>57.5</v>
      </c>
      <c r="Y295" s="66">
        <v>50</v>
      </c>
      <c r="Z295" s="15">
        <f t="shared" si="118"/>
        <v>7.5</v>
      </c>
      <c r="AA295" s="63">
        <f t="shared" si="119"/>
        <v>0.15</v>
      </c>
      <c r="AB295" s="99" t="s">
        <v>1981</v>
      </c>
      <c r="AC295" s="397">
        <f>IFERROR(VLOOKUP($G295,基本資料!$A:$M,12,0),"無")</f>
        <v>19.59</v>
      </c>
      <c r="AD295" s="22" t="s">
        <v>1964</v>
      </c>
      <c r="AE295" s="84">
        <v>44069</v>
      </c>
      <c r="AF295" s="86">
        <v>44081</v>
      </c>
      <c r="AG295" s="33">
        <f t="shared" si="117"/>
        <v>12</v>
      </c>
      <c r="AH295" s="152" t="s">
        <v>1971</v>
      </c>
      <c r="AI295" s="259"/>
      <c r="AK295" s="245"/>
      <c r="AL295" s="245"/>
    </row>
    <row r="296" spans="1:38">
      <c r="A296" s="347">
        <f>IFERROR(VLOOKUP($G296,基本資料!$A:$J,3,0),"無")</f>
        <v>6.6</v>
      </c>
      <c r="B296" s="79">
        <f>IFERROR(VLOOKUP($G296,基本資料!$A:$J,4,0),"無")</f>
        <v>8</v>
      </c>
      <c r="C296" s="79">
        <f>IFERROR(VLOOKUP($G296,基本資料!$A:$J,5,0),"無")</f>
        <v>-2</v>
      </c>
      <c r="D296" s="79">
        <f>IFERROR(VLOOKUP($G296,基本資料!$A:$J,6,0),"無")</f>
        <v>-3</v>
      </c>
      <c r="E296" s="79">
        <f>IFERROR(VLOOKUP($G296,基本資料!$A:$J,7,0),"無")</f>
        <v>0</v>
      </c>
      <c r="F296" s="6">
        <f>IFERROR(VLOOKUP($G296,基本資料!$A:$J,8,0),"無")</f>
        <v>8.36</v>
      </c>
      <c r="G296" s="79">
        <v>6754</v>
      </c>
      <c r="H296" s="4" t="s">
        <v>1960</v>
      </c>
      <c r="I296" s="22" t="s">
        <v>1959</v>
      </c>
      <c r="J296" s="8" t="str">
        <f>IFERROR(VLOOKUP($G296,今日總結!$A:$AJ,35,0),"")</f>
        <v/>
      </c>
      <c r="K296" s="5" t="str">
        <f>IFERROR(VLOOKUP($G296,今日總結!$A:$AJ,36,0),"")</f>
        <v/>
      </c>
      <c r="L296" s="156" t="str">
        <f>IFERROR(VLOOKUP($G296,今日總結!$A:$AJ,33,0),"")</f>
        <v/>
      </c>
      <c r="M296" s="340" t="str">
        <f>IFERROR(VLOOKUP($G296,今日總結!$A:$AJ,34,0),"")</f>
        <v/>
      </c>
      <c r="N296" s="240" t="str">
        <f t="shared" si="115"/>
        <v/>
      </c>
      <c r="P296" s="365">
        <f>IFERROR(VLOOKUP($G296,融外自投!$A:$J,7,0),"無")</f>
        <v>1193</v>
      </c>
      <c r="Q296" s="79" t="str">
        <f>IFERROR(VLOOKUP($G296,融外自投!$A:$J,9,0),"無")</f>
        <v>無</v>
      </c>
      <c r="R296" s="346">
        <f>IFERROR(VLOOKUP($G296,融外自投!$A:$J,8,0),"無")</f>
        <v>258</v>
      </c>
      <c r="S296" s="81" t="str">
        <f>IFERROR(VLOOKUP($G296,融外自投!$A:$J,10,0),"無")</f>
        <v>無</v>
      </c>
      <c r="T296" s="327">
        <f>IFERROR(VLOOKUP($G296,'321買'!$A:$E,5,0),"'沒有資料'")</f>
        <v>1338</v>
      </c>
      <c r="U296" s="186">
        <f>IFERROR(VLOOKUP($G296,基本資料!$A:$J,9,0),"無")</f>
        <v>3.5</v>
      </c>
      <c r="V296" s="310">
        <f t="shared" si="116"/>
        <v>6.9306930693069313E-2</v>
      </c>
      <c r="W296" s="94">
        <f>IFERROR(VLOOKUP($G296,基本資料!$A:$J,10,0),"無")</f>
        <v>3.52</v>
      </c>
      <c r="X296" s="36">
        <v>50.5</v>
      </c>
      <c r="Y296" s="66">
        <v>45</v>
      </c>
      <c r="Z296" s="15">
        <f t="shared" si="118"/>
        <v>5.5</v>
      </c>
      <c r="AA296" s="63">
        <f t="shared" si="119"/>
        <v>0.12222222222222222</v>
      </c>
      <c r="AB296" s="99" t="s">
        <v>1978</v>
      </c>
      <c r="AC296" s="397">
        <f>IFERROR(VLOOKUP($G296,基本資料!$A:$M,12,0),"無")</f>
        <v>84.27</v>
      </c>
      <c r="AD296" s="22" t="s">
        <v>1959</v>
      </c>
      <c r="AE296" s="84">
        <v>44068</v>
      </c>
      <c r="AF296" s="86">
        <v>44078</v>
      </c>
      <c r="AG296" s="33">
        <f t="shared" si="117"/>
        <v>10</v>
      </c>
      <c r="AH296" s="152" t="s">
        <v>1961</v>
      </c>
      <c r="AI296" s="259"/>
      <c r="AK296" s="245"/>
      <c r="AL296" s="245"/>
    </row>
    <row r="297" spans="1:38">
      <c r="A297" s="347">
        <f>IFERROR(VLOOKUP($G297,基本資料!$A:$J,3,0),"無")</f>
        <v>28.49</v>
      </c>
      <c r="B297" s="79">
        <f>IFERROR(VLOOKUP($G297,基本資料!$A:$J,4,0),"無")</f>
        <v>-44</v>
      </c>
      <c r="C297" s="79">
        <f>IFERROR(VLOOKUP($G297,基本資料!$A:$J,5,0),"無")</f>
        <v>-64</v>
      </c>
      <c r="D297" s="79">
        <f>IFERROR(VLOOKUP($G297,基本資料!$A:$J,6,0),"無")</f>
        <v>167</v>
      </c>
      <c r="E297" s="79">
        <f>IFERROR(VLOOKUP($G297,基本資料!$A:$J,7,0),"無")</f>
        <v>1078</v>
      </c>
      <c r="F297" s="6">
        <f>IFERROR(VLOOKUP($G297,基本資料!$A:$J,8,0),"無")</f>
        <v>-429.91</v>
      </c>
      <c r="G297" s="79">
        <v>6446</v>
      </c>
      <c r="H297" s="4" t="s">
        <v>4726</v>
      </c>
      <c r="I297" s="16" t="s">
        <v>618</v>
      </c>
      <c r="J297" s="8" t="str">
        <f>IFERROR(VLOOKUP($G297,今日總結!$A:$AJ,35,0),"")</f>
        <v/>
      </c>
      <c r="K297" s="5" t="str">
        <f>IFERROR(VLOOKUP($G297,今日總結!$A:$AJ,36,0),"")</f>
        <v/>
      </c>
      <c r="L297" s="156" t="str">
        <f>IFERROR(VLOOKUP($G297,今日總結!$A:$AJ,33,0),"")</f>
        <v/>
      </c>
      <c r="M297" s="340" t="str">
        <f>IFERROR(VLOOKUP($G297,今日總結!$A:$AJ,34,0),"")</f>
        <v/>
      </c>
      <c r="N297" s="240" t="str">
        <f t="shared" si="115"/>
        <v/>
      </c>
      <c r="P297" s="365" t="str">
        <f>IFERROR(VLOOKUP($G297,融外自投!$A:$J,7,0),"無")</f>
        <v>無</v>
      </c>
      <c r="Q297" s="79" t="str">
        <f>IFERROR(VLOOKUP($G297,融外自投!$A:$J,9,0),"無")</f>
        <v>無</v>
      </c>
      <c r="R297" s="346" t="str">
        <f>IFERROR(VLOOKUP($G297,融外自投!$A:$J,8,0),"無")</f>
        <v>無</v>
      </c>
      <c r="S297" s="81" t="str">
        <f>IFERROR(VLOOKUP($G297,融外自投!$A:$J,10,0),"無")</f>
        <v>無</v>
      </c>
      <c r="T297" s="327" t="str">
        <f>IFERROR(VLOOKUP($G297,'321買'!$A:$E,5,0),"'沒有資料'")</f>
        <v>'沒有資料'</v>
      </c>
      <c r="U297" s="186">
        <f>IFERROR(VLOOKUP($G297,基本資料!$A:$J,9,0),"無")</f>
        <v>0</v>
      </c>
      <c r="V297" s="310">
        <f t="shared" si="116"/>
        <v>0</v>
      </c>
      <c r="W297" s="94">
        <f>IFERROR(VLOOKUP($G297,基本資料!$A:$J,10,0),"無")</f>
        <v>-10.8</v>
      </c>
      <c r="X297" s="36">
        <v>107.5</v>
      </c>
      <c r="Y297" s="66">
        <v>102</v>
      </c>
      <c r="Z297" s="15">
        <f t="shared" si="118"/>
        <v>5.5</v>
      </c>
      <c r="AA297" s="63">
        <f t="shared" si="119"/>
        <v>5.3921568627450983E-2</v>
      </c>
      <c r="AB297" s="99" t="s">
        <v>1491</v>
      </c>
      <c r="AC297" s="397">
        <f>IFERROR(VLOOKUP($G297,基本資料!$A:$M,12,0),"無")</f>
        <v>82.31</v>
      </c>
      <c r="AD297" s="16" t="s">
        <v>618</v>
      </c>
      <c r="AE297" s="84">
        <v>44055</v>
      </c>
      <c r="AF297" s="86">
        <v>44067</v>
      </c>
      <c r="AG297" s="33">
        <f t="shared" si="117"/>
        <v>12</v>
      </c>
      <c r="AH297" s="43" t="s">
        <v>1515</v>
      </c>
      <c r="AI297" s="259"/>
      <c r="AK297" s="245"/>
      <c r="AL297" s="245"/>
    </row>
    <row r="298" spans="1:38">
      <c r="A298" s="347">
        <f>IFERROR(VLOOKUP($G298,基本資料!$A:$J,3,0),"無")</f>
        <v>9.49</v>
      </c>
      <c r="B298" s="79">
        <f>IFERROR(VLOOKUP($G298,基本資料!$A:$J,4,0),"無")</f>
        <v>-74</v>
      </c>
      <c r="C298" s="79">
        <f>IFERROR(VLOOKUP($G298,基本資料!$A:$J,5,0),"無")</f>
        <v>-93</v>
      </c>
      <c r="D298" s="79">
        <f>IFERROR(VLOOKUP($G298,基本資料!$A:$J,6,0),"無")</f>
        <v>68</v>
      </c>
      <c r="E298" s="79">
        <f>IFERROR(VLOOKUP($G298,基本資料!$A:$J,7,0),"無")</f>
        <v>93</v>
      </c>
      <c r="F298" s="6">
        <f>IFERROR(VLOOKUP($G298,基本資料!$A:$J,8,0),"無")</f>
        <v>0.64</v>
      </c>
      <c r="G298" s="80">
        <v>4155</v>
      </c>
      <c r="H298" s="4" t="s">
        <v>4726</v>
      </c>
      <c r="I298" s="22" t="s">
        <v>633</v>
      </c>
      <c r="J298" s="8">
        <f>IFERROR(VLOOKUP($G298,今日總結!$A:$AJ,35,0),"")</f>
        <v>0</v>
      </c>
      <c r="K298" s="5" t="str">
        <f>IFERROR(VLOOKUP($G298,今日總結!$A:$AJ,36,0),"")</f>
        <v>融</v>
      </c>
      <c r="L298" s="156">
        <f>IFERROR(VLOOKUP($G298,今日總結!$A:$AJ,33,0),"")</f>
        <v>0</v>
      </c>
      <c r="M298" s="340">
        <f>IFERROR(VLOOKUP($G298,今日總結!$A:$AJ,34,0),"")</f>
        <v>1</v>
      </c>
      <c r="N298" s="240">
        <f t="shared" si="115"/>
        <v>-1</v>
      </c>
      <c r="P298" s="365">
        <f>IFERROR(VLOOKUP($G298,融外自投!$A:$J,7,0),"無")</f>
        <v>860</v>
      </c>
      <c r="Q298" s="79">
        <f>IFERROR(VLOOKUP($G298,融外自投!$A:$J,9,0),"無")</f>
        <v>683</v>
      </c>
      <c r="R298" s="346">
        <f>IFERROR(VLOOKUP($G298,融外自投!$A:$J,8,0),"無")</f>
        <v>1108</v>
      </c>
      <c r="S298" s="81" t="str">
        <f>IFERROR(VLOOKUP($G298,融外自投!$A:$J,10,0),"無")</f>
        <v>無</v>
      </c>
      <c r="T298" s="327">
        <f>IFERROR(VLOOKUP($G298,'321買'!$A:$E,5,0),"'沒有資料'")</f>
        <v>984</v>
      </c>
      <c r="U298" s="186">
        <f>IFERROR(VLOOKUP($G298,基本資料!$A:$J,9,0),"無")</f>
        <v>1</v>
      </c>
      <c r="V298" s="310">
        <f t="shared" si="116"/>
        <v>3.8240917782026769E-2</v>
      </c>
      <c r="W298" s="94">
        <f>IFERROR(VLOOKUP($G298,基本資料!$A:$J,10,0),"無")</f>
        <v>0.46</v>
      </c>
      <c r="X298" s="36">
        <v>26.15</v>
      </c>
      <c r="Y298" s="66">
        <v>26</v>
      </c>
      <c r="Z298" s="15">
        <f t="shared" si="118"/>
        <v>0.14999999999999858</v>
      </c>
      <c r="AA298" s="63">
        <f t="shared" si="119"/>
        <v>5.7692307692307149E-3</v>
      </c>
      <c r="AB298" s="99" t="s">
        <v>1956</v>
      </c>
      <c r="AC298" s="397">
        <f>IFERROR(VLOOKUP($G298,基本資料!$A:$M,12,0),"無")</f>
        <v>30.79</v>
      </c>
      <c r="AD298" s="22" t="s">
        <v>633</v>
      </c>
      <c r="AE298" s="84">
        <v>44054</v>
      </c>
      <c r="AF298" s="86">
        <v>44064</v>
      </c>
      <c r="AG298" s="33">
        <f t="shared" si="117"/>
        <v>10</v>
      </c>
      <c r="AH298" s="43" t="s">
        <v>1513</v>
      </c>
      <c r="AI298" s="259"/>
      <c r="AK298" s="245"/>
      <c r="AL298" s="245"/>
    </row>
    <row r="299" spans="1:38">
      <c r="A299" s="347">
        <f>IFERROR(VLOOKUP($G299,基本資料!$A:$J,3,0),"無")</f>
        <v>7</v>
      </c>
      <c r="B299" s="79">
        <f>IFERROR(VLOOKUP($G299,基本資料!$A:$J,4,0),"無")</f>
        <v>17</v>
      </c>
      <c r="C299" s="79">
        <f>IFERROR(VLOOKUP($G299,基本資料!$A:$J,5,0),"無")</f>
        <v>27</v>
      </c>
      <c r="D299" s="79">
        <f>IFERROR(VLOOKUP($G299,基本資料!$A:$J,6,0),"無")</f>
        <v>-20</v>
      </c>
      <c r="E299" s="79">
        <f>IFERROR(VLOOKUP($G299,基本資料!$A:$J,7,0),"無")</f>
        <v>257</v>
      </c>
      <c r="F299" s="6">
        <f>IFERROR(VLOOKUP($G299,基本資料!$A:$J,8,0),"無")</f>
        <v>-87.06</v>
      </c>
      <c r="G299" s="80">
        <v>5227</v>
      </c>
      <c r="H299" s="4" t="s">
        <v>3389</v>
      </c>
      <c r="I299" s="16" t="s">
        <v>411</v>
      </c>
      <c r="J299" s="8" t="str">
        <f>IFERROR(VLOOKUP($G299,今日總結!$A:$AJ,35,0),"")</f>
        <v/>
      </c>
      <c r="K299" s="5" t="str">
        <f>IFERROR(VLOOKUP($G299,今日總結!$A:$AJ,36,0),"")</f>
        <v/>
      </c>
      <c r="L299" s="156" t="str">
        <f>IFERROR(VLOOKUP($G299,今日總結!$A:$AJ,33,0),"")</f>
        <v/>
      </c>
      <c r="M299" s="340" t="str">
        <f>IFERROR(VLOOKUP($G299,今日總結!$A:$AJ,34,0),"")</f>
        <v/>
      </c>
      <c r="N299" s="240" t="str">
        <f t="shared" si="115"/>
        <v/>
      </c>
      <c r="P299" s="365" t="str">
        <f>IFERROR(VLOOKUP($G299,融外自投!$A:$J,7,0),"無")</f>
        <v>無</v>
      </c>
      <c r="Q299" s="79" t="str">
        <f>IFERROR(VLOOKUP($G299,融外自投!$A:$J,9,0),"無")</f>
        <v>無</v>
      </c>
      <c r="R299" s="346" t="str">
        <f>IFERROR(VLOOKUP($G299,融外自投!$A:$J,8,0),"無")</f>
        <v>無</v>
      </c>
      <c r="S299" s="81" t="str">
        <f>IFERROR(VLOOKUP($G299,融外自投!$A:$J,10,0),"無")</f>
        <v>無</v>
      </c>
      <c r="T299" s="327" t="str">
        <f>IFERROR(VLOOKUP($G299,'321買'!$A:$E,5,0),"'沒有資料'")</f>
        <v>'沒有資料'</v>
      </c>
      <c r="U299" s="186">
        <f>IFERROR(VLOOKUP($G299,基本資料!$A:$J,9,0),"無")</f>
        <v>0</v>
      </c>
      <c r="V299" s="310">
        <f t="shared" si="116"/>
        <v>0</v>
      </c>
      <c r="W299" s="94">
        <f>IFERROR(VLOOKUP($G299,基本資料!$A:$J,10,0),"無")</f>
        <v>-9.31</v>
      </c>
      <c r="X299" s="36">
        <v>12.4</v>
      </c>
      <c r="Y299" s="66">
        <v>11.6</v>
      </c>
      <c r="Z299" s="15">
        <f t="shared" si="118"/>
        <v>0.80000000000000071</v>
      </c>
      <c r="AA299" s="63">
        <f t="shared" si="119"/>
        <v>6.8965517241379379E-2</v>
      </c>
      <c r="AB299" s="99" t="s">
        <v>1948</v>
      </c>
      <c r="AC299" s="397">
        <f>IFERROR(VLOOKUP($G299,基本資料!$A:$M,12,0),"無")</f>
        <v>9.0299999999999994</v>
      </c>
      <c r="AD299" s="16" t="s">
        <v>411</v>
      </c>
      <c r="AE299" s="84">
        <v>44050</v>
      </c>
      <c r="AF299" s="86">
        <v>44060</v>
      </c>
      <c r="AG299" s="33">
        <f t="shared" si="117"/>
        <v>10</v>
      </c>
      <c r="AH299" s="43" t="s">
        <v>1046</v>
      </c>
      <c r="AI299" s="259"/>
      <c r="AK299" s="245"/>
      <c r="AL299" s="245"/>
    </row>
    <row r="300" spans="1:38">
      <c r="A300" s="347">
        <f>IFERROR(VLOOKUP($G300,基本資料!$A:$J,3,0),"無")</f>
        <v>4.05</v>
      </c>
      <c r="B300" s="79">
        <f>IFERROR(VLOOKUP($G300,基本資料!$A:$J,4,0),"無")</f>
        <v>-326</v>
      </c>
      <c r="C300" s="79">
        <f>IFERROR(VLOOKUP($G300,基本資料!$A:$J,5,0),"無")</f>
        <v>-146</v>
      </c>
      <c r="D300" s="79">
        <f>IFERROR(VLOOKUP($G300,基本資料!$A:$J,6,0),"無")</f>
        <v>51</v>
      </c>
      <c r="E300" s="79">
        <f>IFERROR(VLOOKUP($G300,基本資料!$A:$J,7,0),"無")</f>
        <v>-93</v>
      </c>
      <c r="F300" s="6">
        <f>IFERROR(VLOOKUP($G300,基本資料!$A:$J,8,0),"無")</f>
        <v>-2.16</v>
      </c>
      <c r="G300" s="79">
        <v>6222</v>
      </c>
      <c r="H300" s="54" t="s">
        <v>1146</v>
      </c>
      <c r="I300" s="16" t="s">
        <v>4274</v>
      </c>
      <c r="J300" s="8" t="str">
        <f>IFERROR(VLOOKUP($G300,今日總結!$A:$AJ,35,0),"")</f>
        <v/>
      </c>
      <c r="K300" s="5" t="str">
        <f>IFERROR(VLOOKUP($G300,今日總結!$A:$AJ,36,0),"")</f>
        <v/>
      </c>
      <c r="L300" s="156" t="str">
        <f>IFERROR(VLOOKUP($G300,今日總結!$A:$AJ,33,0),"")</f>
        <v/>
      </c>
      <c r="M300" s="340" t="str">
        <f>IFERROR(VLOOKUP($G300,今日總結!$A:$AJ,34,0),"")</f>
        <v/>
      </c>
      <c r="N300" s="240" t="str">
        <f t="shared" si="115"/>
        <v/>
      </c>
      <c r="P300" s="365" t="str">
        <f>IFERROR(VLOOKUP($G300,融外自投!$A:$J,7,0),"無")</f>
        <v>無</v>
      </c>
      <c r="Q300" s="79" t="str">
        <f>IFERROR(VLOOKUP($G300,融外自投!$A:$J,9,0),"無")</f>
        <v>無</v>
      </c>
      <c r="R300" s="346" t="str">
        <f>IFERROR(VLOOKUP($G300,融外自投!$A:$J,8,0),"無")</f>
        <v>無</v>
      </c>
      <c r="S300" s="81" t="str">
        <f>IFERROR(VLOOKUP($G300,融外自投!$A:$J,10,0),"無")</f>
        <v>無</v>
      </c>
      <c r="T300" s="327" t="str">
        <f>IFERROR(VLOOKUP($G300,'321買'!$A:$E,5,0),"'沒有資料'")</f>
        <v>'沒有資料'</v>
      </c>
      <c r="U300" s="186">
        <f>IFERROR(VLOOKUP($G300,基本資料!$A:$J,9,0),"無")</f>
        <v>0</v>
      </c>
      <c r="V300" s="310">
        <f t="shared" si="116"/>
        <v>0</v>
      </c>
      <c r="W300" s="94">
        <f>IFERROR(VLOOKUP($G300,基本資料!$A:$J,10,0),"無")</f>
        <v>-0.38</v>
      </c>
      <c r="X300" s="36">
        <v>13.45</v>
      </c>
      <c r="Y300" s="66">
        <v>10</v>
      </c>
      <c r="Z300" s="15">
        <f t="shared" si="118"/>
        <v>3.4499999999999993</v>
      </c>
      <c r="AA300" s="63">
        <f t="shared" si="119"/>
        <v>0.34499999999999992</v>
      </c>
      <c r="AB300" s="99" t="s">
        <v>1672</v>
      </c>
      <c r="AC300" s="397">
        <f>IFERROR(VLOOKUP($G300,基本資料!$A:$M,12,0),"無")</f>
        <v>80.14</v>
      </c>
      <c r="AD300" s="16" t="s">
        <v>473</v>
      </c>
      <c r="AE300" s="84">
        <v>44048</v>
      </c>
      <c r="AF300" s="86">
        <v>44060</v>
      </c>
      <c r="AG300" s="33">
        <f t="shared" si="117"/>
        <v>12</v>
      </c>
      <c r="AH300" s="43" t="s">
        <v>1508</v>
      </c>
      <c r="AI300" s="259"/>
      <c r="AK300" s="245"/>
      <c r="AL300" s="245"/>
    </row>
    <row r="301" spans="1:38">
      <c r="A301" s="347">
        <f>IFERROR(VLOOKUP($G301,基本資料!$A:$J,3,0),"無")</f>
        <v>8.0399999999999991</v>
      </c>
      <c r="B301" s="79">
        <f>IFERROR(VLOOKUP($G301,基本資料!$A:$J,4,0),"無")</f>
        <v>23</v>
      </c>
      <c r="C301" s="79">
        <f>IFERROR(VLOOKUP($G301,基本資料!$A:$J,5,0),"無")</f>
        <v>37</v>
      </c>
      <c r="D301" s="79">
        <f>IFERROR(VLOOKUP($G301,基本資料!$A:$J,6,0),"無")</f>
        <v>58</v>
      </c>
      <c r="E301" s="79">
        <f>IFERROR(VLOOKUP($G301,基本資料!$A:$J,7,0),"無")</f>
        <v>-36</v>
      </c>
      <c r="F301" s="6">
        <f>IFERROR(VLOOKUP($G301,基本資料!$A:$J,8,0),"無")</f>
        <v>-5.52</v>
      </c>
      <c r="G301" s="80">
        <v>6573</v>
      </c>
      <c r="H301" s="4" t="s">
        <v>3039</v>
      </c>
      <c r="I301" s="22" t="s">
        <v>356</v>
      </c>
      <c r="J301" s="8" t="str">
        <f>IFERROR(VLOOKUP($G301,今日總結!$A:$AJ,35,0),"")</f>
        <v/>
      </c>
      <c r="K301" s="5" t="str">
        <f>IFERROR(VLOOKUP($G301,今日總結!$A:$AJ,36,0),"")</f>
        <v/>
      </c>
      <c r="L301" s="156" t="str">
        <f>IFERROR(VLOOKUP($G301,今日總結!$A:$AJ,33,0),"")</f>
        <v/>
      </c>
      <c r="M301" s="340" t="str">
        <f>IFERROR(VLOOKUP($G301,今日總結!$A:$AJ,34,0),"")</f>
        <v/>
      </c>
      <c r="N301" s="240" t="str">
        <f t="shared" si="115"/>
        <v/>
      </c>
      <c r="P301" s="365">
        <f>IFERROR(VLOOKUP($G301,融外自投!$A:$J,7,0),"無")</f>
        <v>632</v>
      </c>
      <c r="Q301" s="79">
        <f>IFERROR(VLOOKUP($G301,融外自投!$A:$J,9,0),"無")</f>
        <v>708</v>
      </c>
      <c r="R301" s="346">
        <f>IFERROR(VLOOKUP($G301,融外自投!$A:$J,8,0),"無")</f>
        <v>50</v>
      </c>
      <c r="S301" s="81" t="str">
        <f>IFERROR(VLOOKUP($G301,融外自投!$A:$J,10,0),"無")</f>
        <v>無</v>
      </c>
      <c r="T301" s="327">
        <f>IFERROR(VLOOKUP($G301,'321買'!$A:$E,5,0),"'沒有資料'")</f>
        <v>779</v>
      </c>
      <c r="U301" s="186">
        <f>IFERROR(VLOOKUP($G301,基本資料!$A:$J,9,0),"無")</f>
        <v>0</v>
      </c>
      <c r="V301" s="310">
        <f t="shared" si="116"/>
        <v>0</v>
      </c>
      <c r="W301" s="94">
        <f>IFERROR(VLOOKUP($G301,基本資料!$A:$J,10,0),"無")</f>
        <v>-1.93</v>
      </c>
      <c r="X301" s="13">
        <v>16.5</v>
      </c>
      <c r="Y301" s="66">
        <v>16.5</v>
      </c>
      <c r="Z301" s="15">
        <f t="shared" si="118"/>
        <v>0</v>
      </c>
      <c r="AA301" s="76">
        <f t="shared" si="119"/>
        <v>0</v>
      </c>
      <c r="AB301" s="99" t="s">
        <v>1693</v>
      </c>
      <c r="AC301" s="397">
        <f>IFERROR(VLOOKUP($G301,基本資料!$A:$M,12,0),"無")</f>
        <v>13.74</v>
      </c>
      <c r="AD301" s="22" t="s">
        <v>356</v>
      </c>
      <c r="AE301" s="84">
        <v>44033</v>
      </c>
      <c r="AF301" s="86">
        <v>44043</v>
      </c>
      <c r="AG301" s="33">
        <f t="shared" si="117"/>
        <v>10</v>
      </c>
      <c r="AH301" s="43" t="s">
        <v>1405</v>
      </c>
      <c r="AI301" s="259"/>
      <c r="AK301" s="245"/>
      <c r="AL301" s="245"/>
    </row>
    <row r="302" spans="1:38">
      <c r="A302" s="347">
        <f>IFERROR(VLOOKUP($G302,基本資料!$A:$J,3,0),"無")</f>
        <v>8.4</v>
      </c>
      <c r="B302" s="79">
        <f>IFERROR(VLOOKUP($G302,基本資料!$A:$J,4,0),"無")</f>
        <v>56</v>
      </c>
      <c r="C302" s="79">
        <f>IFERROR(VLOOKUP($G302,基本資料!$A:$J,5,0),"無")</f>
        <v>76</v>
      </c>
      <c r="D302" s="79">
        <f>IFERROR(VLOOKUP($G302,基本資料!$A:$J,6,0),"無")</f>
        <v>-26</v>
      </c>
      <c r="E302" s="79">
        <f>IFERROR(VLOOKUP($G302,基本資料!$A:$J,7,0),"無")</f>
        <v>46</v>
      </c>
      <c r="F302" s="6">
        <f>IFERROR(VLOOKUP($G302,基本資料!$A:$J,8,0),"無")</f>
        <v>16.18</v>
      </c>
      <c r="G302" s="80">
        <v>3512</v>
      </c>
      <c r="H302" s="4" t="s">
        <v>3389</v>
      </c>
      <c r="I302" s="16" t="s">
        <v>1066</v>
      </c>
      <c r="J302" s="8" t="str">
        <f>IFERROR(VLOOKUP($G302,今日總結!$A:$AJ,35,0),"")</f>
        <v/>
      </c>
      <c r="K302" s="5" t="str">
        <f>IFERROR(VLOOKUP($G302,今日總結!$A:$AJ,36,0),"")</f>
        <v/>
      </c>
      <c r="L302" s="156" t="str">
        <f>IFERROR(VLOOKUP($G302,今日總結!$A:$AJ,33,0),"")</f>
        <v/>
      </c>
      <c r="M302" s="340" t="str">
        <f>IFERROR(VLOOKUP($G302,今日總結!$A:$AJ,34,0),"")</f>
        <v/>
      </c>
      <c r="N302" s="240" t="str">
        <f t="shared" si="115"/>
        <v/>
      </c>
      <c r="P302" s="365">
        <f>IFERROR(VLOOKUP($G302,融外自投!$A:$J,7,0),"無")</f>
        <v>510</v>
      </c>
      <c r="Q302" s="79" t="str">
        <f>IFERROR(VLOOKUP($G302,融外自投!$A:$J,9,0),"無")</f>
        <v>無</v>
      </c>
      <c r="R302" s="346">
        <f>IFERROR(VLOOKUP($G302,融外自投!$A:$J,8,0),"無")</f>
        <v>1442</v>
      </c>
      <c r="S302" s="81" t="str">
        <f>IFERROR(VLOOKUP($G302,融外自投!$A:$J,10,0),"無")</f>
        <v>無</v>
      </c>
      <c r="T302" s="327" t="str">
        <f>IFERROR(VLOOKUP($G302,'321買'!$A:$E,5,0),"'沒有資料'")</f>
        <v>'沒有資料'</v>
      </c>
      <c r="U302" s="186">
        <f>IFERROR(VLOOKUP($G302,基本資料!$A:$J,9,0),"無")</f>
        <v>3</v>
      </c>
      <c r="V302" s="310">
        <f t="shared" si="116"/>
        <v>0.11320754716981132</v>
      </c>
      <c r="W302" s="94">
        <f>IFERROR(VLOOKUP($G302,基本資料!$A:$J,10,0),"無")</f>
        <v>3.79</v>
      </c>
      <c r="X302" s="36">
        <v>26.5</v>
      </c>
      <c r="Y302" s="66">
        <v>24</v>
      </c>
      <c r="Z302" s="15">
        <f t="shared" si="118"/>
        <v>2.5</v>
      </c>
      <c r="AA302" s="63">
        <f t="shared" si="119"/>
        <v>0.10416666666666667</v>
      </c>
      <c r="AB302" s="99" t="s">
        <v>1941</v>
      </c>
      <c r="AC302" s="397">
        <f>IFERROR(VLOOKUP($G302,基本資料!$A:$M,12,0),"無")</f>
        <v>37.1</v>
      </c>
      <c r="AD302" s="16" t="s">
        <v>1066</v>
      </c>
      <c r="AE302" s="84">
        <v>44026</v>
      </c>
      <c r="AF302" s="86">
        <v>44036</v>
      </c>
      <c r="AG302" s="33">
        <f t="shared" si="117"/>
        <v>10</v>
      </c>
      <c r="AH302" s="43" t="s">
        <v>4739</v>
      </c>
      <c r="AI302" s="259"/>
      <c r="AK302" s="245"/>
      <c r="AL302" s="245"/>
    </row>
    <row r="303" spans="1:38">
      <c r="A303" s="347" t="str">
        <f>IFERROR(VLOOKUP($G303,基本資料!$A:$J,3,0),"無")</f>
        <v>無</v>
      </c>
      <c r="B303" s="79" t="str">
        <f>IFERROR(VLOOKUP($G303,基本資料!$A:$J,4,0),"無")</f>
        <v>無</v>
      </c>
      <c r="C303" s="79" t="str">
        <f>IFERROR(VLOOKUP($G303,基本資料!$A:$J,5,0),"無")</f>
        <v>無</v>
      </c>
      <c r="D303" s="79" t="str">
        <f>IFERROR(VLOOKUP($G303,基本資料!$A:$J,6,0),"無")</f>
        <v>無</v>
      </c>
      <c r="E303" s="79" t="str">
        <f>IFERROR(VLOOKUP($G303,基本資料!$A:$J,7,0),"無")</f>
        <v>無</v>
      </c>
      <c r="F303" s="6" t="str">
        <f>IFERROR(VLOOKUP($G303,基本資料!$A:$J,8,0),"無")</f>
        <v>無</v>
      </c>
      <c r="G303" s="79">
        <v>4152</v>
      </c>
      <c r="H303" s="4" t="s">
        <v>4726</v>
      </c>
      <c r="I303" s="16" t="s">
        <v>6127</v>
      </c>
      <c r="J303" s="8" t="str">
        <f>IFERROR(VLOOKUP($G303,今日總結!$A:$AJ,35,0),"")</f>
        <v/>
      </c>
      <c r="K303" s="5" t="str">
        <f>IFERROR(VLOOKUP($G303,今日總結!$A:$AJ,36,0),"")</f>
        <v/>
      </c>
      <c r="L303" s="156" t="str">
        <f>IFERROR(VLOOKUP($G303,今日總結!$A:$AJ,33,0),"")</f>
        <v/>
      </c>
      <c r="M303" s="340" t="str">
        <f>IFERROR(VLOOKUP($G303,今日總結!$A:$AJ,34,0),"")</f>
        <v/>
      </c>
      <c r="N303" s="240" t="str">
        <f t="shared" si="115"/>
        <v/>
      </c>
      <c r="P303" s="365" t="str">
        <f>IFERROR(VLOOKUP($G303,融外自投!$A:$J,7,0),"無")</f>
        <v>無</v>
      </c>
      <c r="Q303" s="79" t="str">
        <f>IFERROR(VLOOKUP($G303,融外自投!$A:$J,9,0),"無")</f>
        <v>無</v>
      </c>
      <c r="R303" s="346" t="str">
        <f>IFERROR(VLOOKUP($G303,融外自投!$A:$J,8,0),"無")</f>
        <v>無</v>
      </c>
      <c r="S303" s="81" t="str">
        <f>IFERROR(VLOOKUP($G303,融外自投!$A:$J,10,0),"無")</f>
        <v>無</v>
      </c>
      <c r="T303" s="327" t="str">
        <f>IFERROR(VLOOKUP($G303,'321買'!$A:$E,5,0),"'沒有資料'")</f>
        <v>'沒有資料'</v>
      </c>
      <c r="U303" s="186" t="str">
        <f>IFERROR(VLOOKUP($G303,基本資料!$A:$J,9,0),"無")</f>
        <v>無</v>
      </c>
      <c r="V303" s="310" t="e">
        <f t="shared" si="116"/>
        <v>#VALUE!</v>
      </c>
      <c r="W303" s="94" t="str">
        <f>IFERROR(VLOOKUP($G303,基本資料!$A:$J,10,0),"無")</f>
        <v>無</v>
      </c>
      <c r="X303" s="36">
        <v>97.7</v>
      </c>
      <c r="Y303" s="66">
        <v>68</v>
      </c>
      <c r="Z303" s="15">
        <f t="shared" si="118"/>
        <v>29.700000000000003</v>
      </c>
      <c r="AA303" s="63">
        <f t="shared" si="119"/>
        <v>0.436764705882353</v>
      </c>
      <c r="AB303" s="99" t="s">
        <v>1939</v>
      </c>
      <c r="AC303" s="397" t="str">
        <f>IFERROR(VLOOKUP($G303,基本資料!$A:$M,12,0),"無")</f>
        <v>無</v>
      </c>
      <c r="AD303" s="16" t="s">
        <v>613</v>
      </c>
      <c r="AE303" s="84">
        <v>44015</v>
      </c>
      <c r="AF303" s="86">
        <v>44028</v>
      </c>
      <c r="AG303" s="33">
        <f t="shared" si="117"/>
        <v>13</v>
      </c>
      <c r="AH303" s="43" t="s">
        <v>1514</v>
      </c>
      <c r="AI303" s="259"/>
      <c r="AK303" s="245"/>
      <c r="AL303" s="245"/>
    </row>
    <row r="304" spans="1:38">
      <c r="A304" s="347">
        <f>IFERROR(VLOOKUP($G304,基本資料!$A:$J,3,0),"無")</f>
        <v>35.090000000000003</v>
      </c>
      <c r="B304" s="79">
        <f>IFERROR(VLOOKUP($G304,基本資料!$A:$J,4,0),"無")</f>
        <v>51</v>
      </c>
      <c r="C304" s="79">
        <f>IFERROR(VLOOKUP($G304,基本資料!$A:$J,5,0),"無")</f>
        <v>57</v>
      </c>
      <c r="D304" s="79">
        <f>IFERROR(VLOOKUP($G304,基本資料!$A:$J,6,0),"無")</f>
        <v>-1</v>
      </c>
      <c r="E304" s="79">
        <f>IFERROR(VLOOKUP($G304,基本資料!$A:$J,7,0),"無")</f>
        <v>-23</v>
      </c>
      <c r="F304" s="6">
        <f>IFERROR(VLOOKUP($G304,基本資料!$A:$J,8,0),"無")</f>
        <v>-1.23</v>
      </c>
      <c r="G304" s="80">
        <v>2406</v>
      </c>
      <c r="H304" s="4" t="s">
        <v>306</v>
      </c>
      <c r="I304" s="22" t="s">
        <v>444</v>
      </c>
      <c r="J304" s="8">
        <f>IFERROR(VLOOKUP($G304,今日總結!$A:$AJ,35,0),"")</f>
        <v>0</v>
      </c>
      <c r="K304" s="5" t="str">
        <f>IFERROR(VLOOKUP($G304,今日總結!$A:$AJ,36,0),"")</f>
        <v>借</v>
      </c>
      <c r="L304" s="156">
        <f>IFERROR(VLOOKUP($G304,今日總結!$A:$AJ,33,0),"")</f>
        <v>0</v>
      </c>
      <c r="M304" s="340">
        <f>IFERROR(VLOOKUP($G304,今日總結!$A:$AJ,34,0),"")</f>
        <v>1</v>
      </c>
      <c r="N304" s="240">
        <f t="shared" si="115"/>
        <v>-1</v>
      </c>
      <c r="P304" s="365">
        <f>IFERROR(VLOOKUP($G304,融外自投!$A:$J,7,0),"無")</f>
        <v>165</v>
      </c>
      <c r="Q304" s="79">
        <f>IFERROR(VLOOKUP($G304,融外自投!$A:$J,9,0),"無")</f>
        <v>355</v>
      </c>
      <c r="R304" s="346">
        <f>IFERROR(VLOOKUP($G304,融外自投!$A:$J,8,0),"無")</f>
        <v>775</v>
      </c>
      <c r="S304" s="81" t="str">
        <f>IFERROR(VLOOKUP($G304,融外自投!$A:$J,10,0),"無")</f>
        <v>無</v>
      </c>
      <c r="T304" s="327">
        <f>IFERROR(VLOOKUP($G304,'321買'!$A:$E,5,0),"'沒有資料'")</f>
        <v>445</v>
      </c>
      <c r="U304" s="186">
        <f>IFERROR(VLOOKUP($G304,基本資料!$A:$J,9,0),"無")</f>
        <v>0</v>
      </c>
      <c r="V304" s="310">
        <f t="shared" si="116"/>
        <v>0</v>
      </c>
      <c r="W304" s="94">
        <f>IFERROR(VLOOKUP($G304,基本資料!$A:$J,10,0),"無")</f>
        <v>0.09</v>
      </c>
      <c r="X304" s="36">
        <v>9.08</v>
      </c>
      <c r="Y304" s="66">
        <v>8.5</v>
      </c>
      <c r="Z304" s="15">
        <f t="shared" si="118"/>
        <v>0.58000000000000007</v>
      </c>
      <c r="AA304" s="63">
        <f t="shared" si="119"/>
        <v>6.8235294117647061E-2</v>
      </c>
      <c r="AB304" s="99" t="s">
        <v>1492</v>
      </c>
      <c r="AC304" s="397">
        <f>IFERROR(VLOOKUP($G304,基本資料!$A:$M,12,0),"無")</f>
        <v>11.87</v>
      </c>
      <c r="AD304" s="22" t="s">
        <v>444</v>
      </c>
      <c r="AE304" s="84">
        <v>44014</v>
      </c>
      <c r="AF304" s="86">
        <v>44028</v>
      </c>
      <c r="AG304" s="33">
        <f t="shared" si="117"/>
        <v>14</v>
      </c>
      <c r="AH304" s="43" t="s">
        <v>1932</v>
      </c>
      <c r="AI304" s="259"/>
      <c r="AK304" s="245"/>
      <c r="AL304" s="245"/>
    </row>
    <row r="305" spans="1:43">
      <c r="A305" s="347">
        <f>IFERROR(VLOOKUP($G305,基本資料!$A:$J,3,0),"無")</f>
        <v>2.67</v>
      </c>
      <c r="B305" s="79">
        <f>IFERROR(VLOOKUP($G305,基本資料!$A:$J,4,0),"無")</f>
        <v>-76</v>
      </c>
      <c r="C305" s="79">
        <f>IFERROR(VLOOKUP($G305,基本資料!$A:$J,5,0),"無")</f>
        <v>-79</v>
      </c>
      <c r="D305" s="79">
        <f>IFERROR(VLOOKUP($G305,基本資料!$A:$J,6,0),"無")</f>
        <v>-8</v>
      </c>
      <c r="E305" s="79">
        <f>IFERROR(VLOOKUP($G305,基本資料!$A:$J,7,0),"無")</f>
        <v>28</v>
      </c>
      <c r="F305" s="6">
        <f>IFERROR(VLOOKUP($G305,基本資料!$A:$J,8,0),"無")</f>
        <v>8.11</v>
      </c>
      <c r="G305" s="79">
        <v>6588</v>
      </c>
      <c r="H305" s="4" t="s">
        <v>311</v>
      </c>
      <c r="I305" s="16" t="s">
        <v>1935</v>
      </c>
      <c r="J305" s="8" t="str">
        <f>IFERROR(VLOOKUP($G305,今日總結!$A:$AJ,35,0),"")</f>
        <v/>
      </c>
      <c r="K305" s="5" t="str">
        <f>IFERROR(VLOOKUP($G305,今日總結!$A:$AJ,36,0),"")</f>
        <v/>
      </c>
      <c r="L305" s="156" t="str">
        <f>IFERROR(VLOOKUP($G305,今日總結!$A:$AJ,33,0),"")</f>
        <v/>
      </c>
      <c r="M305" s="340" t="str">
        <f>IFERROR(VLOOKUP($G305,今日總結!$A:$AJ,34,0),"")</f>
        <v/>
      </c>
      <c r="N305" s="240" t="str">
        <f t="shared" si="115"/>
        <v/>
      </c>
      <c r="P305" s="365" t="str">
        <f>IFERROR(VLOOKUP($G305,融外自投!$A:$J,7,0),"無")</f>
        <v>無</v>
      </c>
      <c r="Q305" s="79" t="str">
        <f>IFERROR(VLOOKUP($G305,融外自投!$A:$J,9,0),"無")</f>
        <v>無</v>
      </c>
      <c r="R305" s="346" t="str">
        <f>IFERROR(VLOOKUP($G305,融外自投!$A:$J,8,0),"無")</f>
        <v>無</v>
      </c>
      <c r="S305" s="81" t="str">
        <f>IFERROR(VLOOKUP($G305,融外自投!$A:$J,10,0),"無")</f>
        <v>無</v>
      </c>
      <c r="T305" s="327" t="str">
        <f>IFERROR(VLOOKUP($G305,'321買'!$A:$E,5,0),"'沒有資料'")</f>
        <v>'沒有資料'</v>
      </c>
      <c r="U305" s="186">
        <f>IFERROR(VLOOKUP($G305,基本資料!$A:$J,9,0),"無")</f>
        <v>0.75</v>
      </c>
      <c r="V305" s="310">
        <f t="shared" si="116"/>
        <v>5.8365758754863814E-3</v>
      </c>
      <c r="W305" s="94">
        <f>IFERROR(VLOOKUP($G305,基本資料!$A:$J,10,0),"無")</f>
        <v>0.48</v>
      </c>
      <c r="X305" s="36">
        <v>128.5</v>
      </c>
      <c r="Y305" s="66">
        <v>68</v>
      </c>
      <c r="Z305" s="15">
        <f t="shared" si="118"/>
        <v>60.5</v>
      </c>
      <c r="AA305" s="169">
        <f t="shared" si="119"/>
        <v>0.88970588235294112</v>
      </c>
      <c r="AB305" s="99" t="s">
        <v>1938</v>
      </c>
      <c r="AC305" s="397">
        <f>IFERROR(VLOOKUP($G305,基本資料!$A:$M,12,0),"無")</f>
        <v>25.75</v>
      </c>
      <c r="AD305" s="16" t="s">
        <v>1934</v>
      </c>
      <c r="AE305" s="84">
        <v>44013</v>
      </c>
      <c r="AF305" s="86">
        <v>44028</v>
      </c>
      <c r="AG305" s="33">
        <f t="shared" si="117"/>
        <v>15</v>
      </c>
      <c r="AH305" s="43" t="s">
        <v>1936</v>
      </c>
      <c r="AI305" s="259"/>
      <c r="AK305" s="245"/>
      <c r="AL305" s="245"/>
    </row>
    <row r="306" spans="1:43">
      <c r="A306" s="347">
        <f>IFERROR(VLOOKUP($G306,基本資料!$A:$J,3,0),"無")</f>
        <v>27.75</v>
      </c>
      <c r="B306" s="79">
        <f>IFERROR(VLOOKUP($G306,基本資料!$A:$J,4,0),"無")</f>
        <v>-30</v>
      </c>
      <c r="C306" s="79">
        <f>IFERROR(VLOOKUP($G306,基本資料!$A:$J,5,0),"無")</f>
        <v>18</v>
      </c>
      <c r="D306" s="79">
        <f>IFERROR(VLOOKUP($G306,基本資料!$A:$J,6,0),"無")</f>
        <v>-25</v>
      </c>
      <c r="E306" s="79">
        <f>IFERROR(VLOOKUP($G306,基本資料!$A:$J,7,0),"無")</f>
        <v>-6</v>
      </c>
      <c r="F306" s="6">
        <f>IFERROR(VLOOKUP($G306,基本資料!$A:$J,8,0),"無")</f>
        <v>4.12</v>
      </c>
      <c r="G306" s="79">
        <v>6251</v>
      </c>
      <c r="H306" s="53" t="s">
        <v>3389</v>
      </c>
      <c r="I306" s="22" t="s">
        <v>6128</v>
      </c>
      <c r="J306" s="8" t="str">
        <f>IFERROR(VLOOKUP($G306,今日總結!$A:$AJ,35,0),"")</f>
        <v>融借</v>
      </c>
      <c r="K306" s="5">
        <f>IFERROR(VLOOKUP($G306,今日總結!$A:$AJ,36,0),"")</f>
        <v>0</v>
      </c>
      <c r="L306" s="156">
        <f>IFERROR(VLOOKUP($G306,今日總結!$A:$AJ,33,0),"")</f>
        <v>2</v>
      </c>
      <c r="M306" s="340">
        <f>IFERROR(VLOOKUP($G306,今日總結!$A:$AJ,34,0),"")</f>
        <v>0</v>
      </c>
      <c r="N306" s="240">
        <f t="shared" si="115"/>
        <v>2</v>
      </c>
      <c r="P306" s="365">
        <f>IFERROR(VLOOKUP($G306,融外自投!$A:$J,7,0),"無")</f>
        <v>159</v>
      </c>
      <c r="Q306" s="79">
        <f>IFERROR(VLOOKUP($G306,融外自投!$A:$J,9,0),"無")</f>
        <v>189</v>
      </c>
      <c r="R306" s="346">
        <f>IFERROR(VLOOKUP($G306,融外自投!$A:$J,8,0),"無")</f>
        <v>337</v>
      </c>
      <c r="S306" s="81">
        <f>IFERROR(VLOOKUP($G306,融外自投!$A:$J,10,0),"無")</f>
        <v>383</v>
      </c>
      <c r="T306" s="327">
        <f>IFERROR(VLOOKUP($G306,'321買'!$A:$E,5,0),"'沒有資料'")</f>
        <v>232</v>
      </c>
      <c r="U306" s="186">
        <f>IFERROR(VLOOKUP($G306,基本資料!$A:$J,9,0),"無")</f>
        <v>0.7</v>
      </c>
      <c r="V306" s="310">
        <f t="shared" si="116"/>
        <v>3.9660056657223795E-2</v>
      </c>
      <c r="W306" s="94">
        <f>IFERROR(VLOOKUP($G306,基本資料!$A:$J,10,0),"無")</f>
        <v>1.7</v>
      </c>
      <c r="X306" s="36">
        <v>17.649999999999999</v>
      </c>
      <c r="Y306" s="45">
        <v>16</v>
      </c>
      <c r="Z306" s="15">
        <f t="shared" si="118"/>
        <v>1.6499999999999986</v>
      </c>
      <c r="AA306" s="63">
        <f t="shared" si="119"/>
        <v>0.10312499999999991</v>
      </c>
      <c r="AB306" s="99" t="s">
        <v>1937</v>
      </c>
      <c r="AC306" s="397">
        <f>IFERROR(VLOOKUP($G306,基本資料!$A:$M,12,0),"無")</f>
        <v>26.64</v>
      </c>
      <c r="AD306" s="22" t="s">
        <v>399</v>
      </c>
      <c r="AE306" s="84">
        <v>44005</v>
      </c>
      <c r="AF306" s="86">
        <v>44015</v>
      </c>
      <c r="AG306" s="33">
        <f t="shared" si="117"/>
        <v>10</v>
      </c>
      <c r="AH306" s="43" t="s">
        <v>1044</v>
      </c>
      <c r="AI306" s="259"/>
      <c r="AK306" s="245"/>
      <c r="AL306" s="245"/>
    </row>
    <row r="307" spans="1:43">
      <c r="A307" s="347">
        <f>IFERROR(VLOOKUP($G307,基本資料!$A:$J,3,0),"無")</f>
        <v>6.43</v>
      </c>
      <c r="B307" s="79">
        <f>IFERROR(VLOOKUP($G307,基本資料!$A:$J,4,0),"無")</f>
        <v>-26</v>
      </c>
      <c r="C307" s="79">
        <f>IFERROR(VLOOKUP($G307,基本資料!$A:$J,5,0),"無")</f>
        <v>-29</v>
      </c>
      <c r="D307" s="79">
        <f>IFERROR(VLOOKUP($G307,基本資料!$A:$J,6,0),"無")</f>
        <v>30</v>
      </c>
      <c r="E307" s="79">
        <f>IFERROR(VLOOKUP($G307,基本資料!$A:$J,7,0),"無")</f>
        <v>-37</v>
      </c>
      <c r="F307" s="6">
        <f>IFERROR(VLOOKUP($G307,基本資料!$A:$J,8,0),"無")</f>
        <v>20.62</v>
      </c>
      <c r="G307" s="79">
        <v>5215</v>
      </c>
      <c r="H307" s="52" t="s">
        <v>1146</v>
      </c>
      <c r="I307" s="22" t="s">
        <v>468</v>
      </c>
      <c r="J307" s="8" t="str">
        <f>IFERROR(VLOOKUP($G307,今日總結!$A:$AJ,35,0),"")</f>
        <v/>
      </c>
      <c r="K307" s="5" t="str">
        <f>IFERROR(VLOOKUP($G307,今日總結!$A:$AJ,36,0),"")</f>
        <v/>
      </c>
      <c r="L307" s="156" t="str">
        <f>IFERROR(VLOOKUP($G307,今日總結!$A:$AJ,33,0),"")</f>
        <v/>
      </c>
      <c r="M307" s="340" t="str">
        <f>IFERROR(VLOOKUP($G307,今日總結!$A:$AJ,34,0),"")</f>
        <v/>
      </c>
      <c r="N307" s="240" t="str">
        <f t="shared" si="115"/>
        <v/>
      </c>
      <c r="P307" s="365">
        <f>IFERROR(VLOOKUP($G307,融外自投!$A:$J,7,0),"無")</f>
        <v>483</v>
      </c>
      <c r="Q307" s="79">
        <f>IFERROR(VLOOKUP($G307,融外自投!$A:$J,9,0),"無")</f>
        <v>1110</v>
      </c>
      <c r="R307" s="346">
        <f>IFERROR(VLOOKUP($G307,融外自投!$A:$J,8,0),"無")</f>
        <v>215</v>
      </c>
      <c r="S307" s="81" t="str">
        <f>IFERROR(VLOOKUP($G307,融外自投!$A:$J,10,0),"無")</f>
        <v>無</v>
      </c>
      <c r="T307" s="327">
        <f>IFERROR(VLOOKUP($G307,'321買'!$A:$E,5,0),"'沒有資料'")</f>
        <v>1085</v>
      </c>
      <c r="U307" s="186">
        <f>IFERROR(VLOOKUP($G307,基本資料!$A:$J,9,0),"無")</f>
        <v>5</v>
      </c>
      <c r="V307" s="310">
        <f t="shared" si="116"/>
        <v>4.0160642570281124E-2</v>
      </c>
      <c r="W307" s="94">
        <f>IFERROR(VLOOKUP($G307,基本資料!$A:$J,10,0),"無")</f>
        <v>8.76</v>
      </c>
      <c r="X307" s="36">
        <v>124.5</v>
      </c>
      <c r="Y307" s="45">
        <v>50</v>
      </c>
      <c r="Z307" s="15">
        <f t="shared" si="118"/>
        <v>74.5</v>
      </c>
      <c r="AA307" s="169">
        <f t="shared" si="119"/>
        <v>1.49</v>
      </c>
      <c r="AB307" s="99" t="s">
        <v>1931</v>
      </c>
      <c r="AC307" s="397">
        <f>IFERROR(VLOOKUP($G307,基本資料!$A:$M,12,0),"無")</f>
        <v>19.41</v>
      </c>
      <c r="AD307" s="22" t="s">
        <v>468</v>
      </c>
      <c r="AE307" s="84">
        <v>43997</v>
      </c>
      <c r="AF307" s="86">
        <v>44011</v>
      </c>
      <c r="AG307" s="33">
        <f t="shared" si="117"/>
        <v>14</v>
      </c>
      <c r="AH307" s="43" t="s">
        <v>1634</v>
      </c>
      <c r="AI307" s="259"/>
      <c r="AK307" s="245"/>
      <c r="AL307" s="245"/>
    </row>
    <row r="308" spans="1:43">
      <c r="A308" s="347">
        <f>IFERROR(VLOOKUP($G308,基本資料!$A:$J,3,0),"無")</f>
        <v>4.8899999999999997</v>
      </c>
      <c r="B308" s="79">
        <f>IFERROR(VLOOKUP($G308,基本資料!$A:$J,4,0),"無")</f>
        <v>21</v>
      </c>
      <c r="C308" s="79">
        <f>IFERROR(VLOOKUP($G308,基本資料!$A:$J,5,0),"無")</f>
        <v>23</v>
      </c>
      <c r="D308" s="79">
        <f>IFERROR(VLOOKUP($G308,基本資料!$A:$J,6,0),"無")</f>
        <v>-11</v>
      </c>
      <c r="E308" s="79">
        <f>IFERROR(VLOOKUP($G308,基本資料!$A:$J,7,0),"無")</f>
        <v>-20</v>
      </c>
      <c r="F308" s="6">
        <f>IFERROR(VLOOKUP($G308,基本資料!$A:$J,8,0),"無")</f>
        <v>32.35</v>
      </c>
      <c r="G308" s="79">
        <v>6732</v>
      </c>
      <c r="H308" s="52" t="s">
        <v>3039</v>
      </c>
      <c r="I308" s="16" t="s">
        <v>1918</v>
      </c>
      <c r="J308" s="8">
        <f>IFERROR(VLOOKUP($G308,今日總結!$A:$AJ,35,0),"")</f>
        <v>0</v>
      </c>
      <c r="K308" s="5">
        <f>IFERROR(VLOOKUP($G308,今日總結!$A:$AJ,36,0),"")</f>
        <v>6</v>
      </c>
      <c r="L308" s="156">
        <f>IFERROR(VLOOKUP($G308,今日總結!$A:$AJ,33,0),"")</f>
        <v>0</v>
      </c>
      <c r="M308" s="340">
        <f>IFERROR(VLOOKUP($G308,今日總結!$A:$AJ,34,0),"")</f>
        <v>1</v>
      </c>
      <c r="N308" s="240">
        <f t="shared" si="115"/>
        <v>-1</v>
      </c>
      <c r="P308" s="365">
        <f>IFERROR(VLOOKUP($G308,融外自投!$A:$J,7,0),"無")</f>
        <v>671</v>
      </c>
      <c r="Q308" s="79">
        <f>IFERROR(VLOOKUP($G308,融外自投!$A:$J,9,0),"無")</f>
        <v>1051</v>
      </c>
      <c r="R308" s="346">
        <f>IFERROR(VLOOKUP($G308,融外自投!$A:$J,8,0),"無")</f>
        <v>702</v>
      </c>
      <c r="S308" s="81">
        <f>IFERROR(VLOOKUP($G308,融外自投!$A:$J,10,0),"無")</f>
        <v>105</v>
      </c>
      <c r="T308" s="327">
        <f>IFERROR(VLOOKUP($G308,'321買'!$A:$E,5,0),"'沒有資料'")</f>
        <v>164</v>
      </c>
      <c r="U308" s="186">
        <f>IFERROR(VLOOKUP($G308,基本資料!$A:$J,9,0),"無")</f>
        <v>30</v>
      </c>
      <c r="V308" s="310">
        <f t="shared" si="116"/>
        <v>3.1645569620253167E-2</v>
      </c>
      <c r="W308" s="94">
        <f>IFERROR(VLOOKUP($G308,基本資料!$A:$J,10,0),"無")</f>
        <v>33.97</v>
      </c>
      <c r="X308" s="36">
        <v>948</v>
      </c>
      <c r="Y308" s="66">
        <v>498</v>
      </c>
      <c r="Z308" s="15">
        <f t="shared" si="118"/>
        <v>450</v>
      </c>
      <c r="AA308" s="170">
        <f t="shared" si="119"/>
        <v>0.90361445783132532</v>
      </c>
      <c r="AB308" s="99" t="s">
        <v>1928</v>
      </c>
      <c r="AC308" s="397">
        <f>IFERROR(VLOOKUP($G308,基本資料!$A:$M,12,0),"無")</f>
        <v>10.32</v>
      </c>
      <c r="AD308" s="16" t="s">
        <v>1918</v>
      </c>
      <c r="AE308" s="84">
        <v>43990</v>
      </c>
      <c r="AF308" s="86">
        <v>44000</v>
      </c>
      <c r="AG308" s="33">
        <f t="shared" si="117"/>
        <v>10</v>
      </c>
      <c r="AH308" s="43" t="s">
        <v>1927</v>
      </c>
      <c r="AI308" s="259"/>
      <c r="AK308" s="245"/>
      <c r="AL308" s="245"/>
    </row>
    <row r="309" spans="1:43">
      <c r="A309" s="347">
        <f>IFERROR(VLOOKUP($G309,基本資料!$A:$J,3,0),"無")</f>
        <v>8.17</v>
      </c>
      <c r="B309" s="79">
        <f>IFERROR(VLOOKUP($G309,基本資料!$A:$J,4,0),"無")</f>
        <v>-59</v>
      </c>
      <c r="C309" s="79">
        <f>IFERROR(VLOOKUP($G309,基本資料!$A:$J,5,0),"無")</f>
        <v>-23</v>
      </c>
      <c r="D309" s="79">
        <f>IFERROR(VLOOKUP($G309,基本資料!$A:$J,6,0),"無")</f>
        <v>146</v>
      </c>
      <c r="E309" s="79">
        <f>IFERROR(VLOOKUP($G309,基本資料!$A:$J,7,0),"無")</f>
        <v>-35</v>
      </c>
      <c r="F309" s="6">
        <f>IFERROR(VLOOKUP($G309,基本資料!$A:$J,8,0),"無")</f>
        <v>-51.55</v>
      </c>
      <c r="G309" s="79">
        <v>6598</v>
      </c>
      <c r="H309" s="4" t="s">
        <v>4726</v>
      </c>
      <c r="I309" s="22" t="s">
        <v>1920</v>
      </c>
      <c r="J309" s="8">
        <f>IFERROR(VLOOKUP($G309,今日總結!$A:$AJ,35,0),"")</f>
        <v>52</v>
      </c>
      <c r="K309" s="5">
        <f>IFERROR(VLOOKUP($G309,今日總結!$A:$AJ,36,0),"")</f>
        <v>0</v>
      </c>
      <c r="L309" s="156">
        <f>IFERROR(VLOOKUP($G309,今日總結!$A:$AJ,33,0),"")</f>
        <v>2</v>
      </c>
      <c r="M309" s="340">
        <f>IFERROR(VLOOKUP($G309,今日總結!$A:$AJ,34,0),"")</f>
        <v>0</v>
      </c>
      <c r="N309" s="240">
        <f t="shared" si="115"/>
        <v>2</v>
      </c>
      <c r="P309" s="365">
        <f>IFERROR(VLOOKUP($G309,融外自投!$A:$J,7,0),"無")</f>
        <v>479</v>
      </c>
      <c r="Q309" s="79">
        <f>IFERROR(VLOOKUP($G309,融外自投!$A:$J,9,0),"無")</f>
        <v>789</v>
      </c>
      <c r="R309" s="346">
        <f>IFERROR(VLOOKUP($G309,融外自投!$A:$J,8,0),"無")</f>
        <v>152</v>
      </c>
      <c r="S309" s="81" t="str">
        <f>IFERROR(VLOOKUP($G309,融外自投!$A:$J,10,0),"無")</f>
        <v>無</v>
      </c>
      <c r="T309" s="327">
        <f>IFERROR(VLOOKUP($G309,'321買'!$A:$E,5,0),"'沒有資料'")</f>
        <v>915</v>
      </c>
      <c r="U309" s="186">
        <f>IFERROR(VLOOKUP($G309,基本資料!$A:$J,9,0),"無")</f>
        <v>0</v>
      </c>
      <c r="V309" s="310">
        <f t="shared" si="116"/>
        <v>0</v>
      </c>
      <c r="W309" s="94">
        <f>IFERROR(VLOOKUP($G309,基本資料!$A:$J,10,0),"無")</f>
        <v>-2.02</v>
      </c>
      <c r="X309" s="13">
        <v>166.5</v>
      </c>
      <c r="Y309" s="66">
        <v>48</v>
      </c>
      <c r="Z309" s="15">
        <f t="shared" si="118"/>
        <v>118.5</v>
      </c>
      <c r="AA309" s="169">
        <f t="shared" si="119"/>
        <v>2.46875</v>
      </c>
      <c r="AB309" s="99" t="s">
        <v>1929</v>
      </c>
      <c r="AC309" s="397">
        <f>IFERROR(VLOOKUP($G309,基本資料!$A:$M,12,0),"無")</f>
        <v>41.98</v>
      </c>
      <c r="AD309" s="22" t="s">
        <v>1920</v>
      </c>
      <c r="AE309" s="84">
        <v>43991</v>
      </c>
      <c r="AF309" s="86">
        <v>44001</v>
      </c>
      <c r="AG309" s="33">
        <f t="shared" si="117"/>
        <v>10</v>
      </c>
      <c r="AH309" s="43" t="s">
        <v>1921</v>
      </c>
      <c r="AI309" s="259"/>
      <c r="AK309" s="245"/>
      <c r="AL309" s="245"/>
    </row>
    <row r="310" spans="1:43" s="7" customFormat="1" ht="17.100000000000001" customHeight="1">
      <c r="A310" s="347">
        <f>IFERROR(VLOOKUP($G310,基本資料!$A:$J,3,0),"無")</f>
        <v>52.84</v>
      </c>
      <c r="B310" s="79">
        <f>IFERROR(VLOOKUP($G310,基本資料!$A:$J,4,0),"無")</f>
        <v>43</v>
      </c>
      <c r="C310" s="79">
        <f>IFERROR(VLOOKUP($G310,基本資料!$A:$J,5,0),"無")</f>
        <v>23</v>
      </c>
      <c r="D310" s="79">
        <f>IFERROR(VLOOKUP($G310,基本資料!$A:$J,6,0),"無")</f>
        <v>-21</v>
      </c>
      <c r="E310" s="79">
        <f>IFERROR(VLOOKUP($G310,基本資料!$A:$J,7,0),"無")</f>
        <v>-23</v>
      </c>
      <c r="F310" s="6">
        <f>IFERROR(VLOOKUP($G310,基本資料!$A:$J,8,0),"無")</f>
        <v>11.59</v>
      </c>
      <c r="G310" s="80">
        <v>5469</v>
      </c>
      <c r="H310" s="53" t="s">
        <v>3389</v>
      </c>
      <c r="I310" s="22" t="s">
        <v>237</v>
      </c>
      <c r="J310" s="8" t="str">
        <f>IFERROR(VLOOKUP($G310,今日總結!$A:$AJ,35,0),"")</f>
        <v/>
      </c>
      <c r="K310" s="5" t="str">
        <f>IFERROR(VLOOKUP($G310,今日總結!$A:$AJ,36,0),"")</f>
        <v/>
      </c>
      <c r="L310" s="156" t="str">
        <f>IFERROR(VLOOKUP($G310,今日總結!$A:$AJ,33,0),"")</f>
        <v/>
      </c>
      <c r="M310" s="340" t="str">
        <f>IFERROR(VLOOKUP($G310,今日總結!$A:$AJ,34,0),"")</f>
        <v/>
      </c>
      <c r="N310" s="240" t="str">
        <f t="shared" si="115"/>
        <v/>
      </c>
      <c r="P310" s="365">
        <f>IFERROR(VLOOKUP($G310,融外自投!$A:$J,7,0),"無")</f>
        <v>537</v>
      </c>
      <c r="Q310" s="79">
        <f>IFERROR(VLOOKUP($G310,融外自投!$A:$J,9,0),"無")</f>
        <v>978</v>
      </c>
      <c r="R310" s="346">
        <f>IFERROR(VLOOKUP($G310,融外自投!$A:$J,8,0),"無")</f>
        <v>450</v>
      </c>
      <c r="S310" s="81">
        <f>IFERROR(VLOOKUP($G310,融外自投!$A:$J,10,0),"無")</f>
        <v>278</v>
      </c>
      <c r="T310" s="327">
        <f>IFERROR(VLOOKUP($G310,'321買'!$A:$E,5,0),"'沒有資料'")</f>
        <v>729</v>
      </c>
      <c r="U310" s="186">
        <f>IFERROR(VLOOKUP($G310,基本資料!$A:$J,9,0),"無")</f>
        <v>2.2000000000000002</v>
      </c>
      <c r="V310" s="310">
        <f t="shared" si="116"/>
        <v>5.6555269922879181E-2</v>
      </c>
      <c r="W310" s="94">
        <f>IFERROR(VLOOKUP($G310,基本資料!$A:$J,10,0),"無")</f>
        <v>7.05</v>
      </c>
      <c r="X310" s="36">
        <v>38.9</v>
      </c>
      <c r="Y310" s="66">
        <v>36</v>
      </c>
      <c r="Z310" s="15">
        <f t="shared" si="118"/>
        <v>2.8999999999999986</v>
      </c>
      <c r="AA310" s="63">
        <f t="shared" si="119"/>
        <v>8.0555555555555519E-2</v>
      </c>
      <c r="AB310" s="99" t="s">
        <v>1919</v>
      </c>
      <c r="AC310" s="397">
        <f>IFERROR(VLOOKUP($G310,基本資料!$A:$M,12,0),"無")</f>
        <v>7.07</v>
      </c>
      <c r="AD310" s="22" t="s">
        <v>237</v>
      </c>
      <c r="AE310" s="84">
        <v>43978</v>
      </c>
      <c r="AF310" s="86">
        <v>43990</v>
      </c>
      <c r="AG310" s="33">
        <f t="shared" si="117"/>
        <v>12</v>
      </c>
      <c r="AH310" s="117" t="s">
        <v>1906</v>
      </c>
      <c r="AI310" s="259"/>
      <c r="AM310" s="250"/>
      <c r="AN310" s="22"/>
      <c r="AO310" s="127"/>
      <c r="AP310" s="250"/>
      <c r="AQ310" s="44"/>
    </row>
    <row r="311" spans="1:43">
      <c r="A311" s="347">
        <f>IFERROR(VLOOKUP($G311,基本資料!$A:$J,3,0),"無")</f>
        <v>8.23</v>
      </c>
      <c r="B311" s="79">
        <f>IFERROR(VLOOKUP($G311,基本資料!$A:$J,4,0),"無")</f>
        <v>-67</v>
      </c>
      <c r="C311" s="79">
        <f>IFERROR(VLOOKUP($G311,基本資料!$A:$J,5,0),"無")</f>
        <v>-63</v>
      </c>
      <c r="D311" s="79">
        <f>IFERROR(VLOOKUP($G311,基本資料!$A:$J,6,0),"無")</f>
        <v>170</v>
      </c>
      <c r="E311" s="79">
        <f>IFERROR(VLOOKUP($G311,基本資料!$A:$J,7,0),"無")</f>
        <v>-2</v>
      </c>
      <c r="F311" s="6">
        <f>IFERROR(VLOOKUP($G311,基本資料!$A:$J,8,0),"無")</f>
        <v>5.49</v>
      </c>
      <c r="G311" s="80">
        <v>5546</v>
      </c>
      <c r="H311" s="4" t="s">
        <v>4003</v>
      </c>
      <c r="I311" s="22" t="s">
        <v>1902</v>
      </c>
      <c r="J311" s="8" t="str">
        <f>IFERROR(VLOOKUP($G311,今日總結!$A:$AJ,35,0),"")</f>
        <v/>
      </c>
      <c r="K311" s="5" t="str">
        <f>IFERROR(VLOOKUP($G311,今日總結!$A:$AJ,36,0),"")</f>
        <v/>
      </c>
      <c r="L311" s="156" t="str">
        <f>IFERROR(VLOOKUP($G311,今日總結!$A:$AJ,33,0),"")</f>
        <v/>
      </c>
      <c r="M311" s="340" t="str">
        <f>IFERROR(VLOOKUP($G311,今日總結!$A:$AJ,34,0),"")</f>
        <v/>
      </c>
      <c r="N311" s="240" t="str">
        <f t="shared" si="115"/>
        <v/>
      </c>
      <c r="P311" s="365">
        <f>IFERROR(VLOOKUP($G311,融外自投!$A:$J,7,0),"無")</f>
        <v>608</v>
      </c>
      <c r="Q311" s="79" t="str">
        <f>IFERROR(VLOOKUP($G311,融外自投!$A:$J,9,0),"無")</f>
        <v>無</v>
      </c>
      <c r="R311" s="346">
        <f>IFERROR(VLOOKUP($G311,融外自投!$A:$J,8,0),"無")</f>
        <v>61</v>
      </c>
      <c r="S311" s="81" t="str">
        <f>IFERROR(VLOOKUP($G311,融外自投!$A:$J,10,0),"無")</f>
        <v>無</v>
      </c>
      <c r="T311" s="327">
        <f>IFERROR(VLOOKUP($G311,'321買'!$A:$E,5,0),"'沒有資料'")</f>
        <v>869</v>
      </c>
      <c r="U311" s="186">
        <f>IFERROR(VLOOKUP($G311,基本資料!$A:$J,9,0),"無")</f>
        <v>5</v>
      </c>
      <c r="V311" s="310">
        <f t="shared" si="116"/>
        <v>8.0645161290322578E-2</v>
      </c>
      <c r="W311" s="94">
        <f>IFERROR(VLOOKUP($G311,基本資料!$A:$J,10,0),"無")</f>
        <v>3.18</v>
      </c>
      <c r="X311" s="36">
        <v>62</v>
      </c>
      <c r="Y311" s="66">
        <v>58.5</v>
      </c>
      <c r="Z311" s="15">
        <f t="shared" si="118"/>
        <v>3.5</v>
      </c>
      <c r="AA311" s="63">
        <f t="shared" si="119"/>
        <v>5.9829059829059832E-2</v>
      </c>
      <c r="AB311" s="99" t="s">
        <v>1660</v>
      </c>
      <c r="AC311" s="397">
        <f>IFERROR(VLOOKUP($G311,基本資料!$A:$M,12,0),"無")</f>
        <v>21.34</v>
      </c>
      <c r="AD311" s="22" t="s">
        <v>1902</v>
      </c>
      <c r="AE311" s="84">
        <v>43971</v>
      </c>
      <c r="AF311" s="86">
        <v>43983</v>
      </c>
      <c r="AG311" s="33">
        <f t="shared" si="117"/>
        <v>12</v>
      </c>
      <c r="AH311" s="117" t="s">
        <v>1912</v>
      </c>
      <c r="AI311" s="259"/>
      <c r="AK311" s="245"/>
      <c r="AL311" s="245"/>
    </row>
    <row r="312" spans="1:43">
      <c r="A312" s="347">
        <f>IFERROR(VLOOKUP($G312,基本資料!$A:$J,3,0),"無")</f>
        <v>4.47</v>
      </c>
      <c r="B312" s="79">
        <f>IFERROR(VLOOKUP($G312,基本資料!$A:$J,4,0),"無")</f>
        <v>26</v>
      </c>
      <c r="C312" s="79">
        <f>IFERROR(VLOOKUP($G312,基本資料!$A:$J,5,0),"無")</f>
        <v>22</v>
      </c>
      <c r="D312" s="79">
        <f>IFERROR(VLOOKUP($G312,基本資料!$A:$J,6,0),"無")</f>
        <v>-6</v>
      </c>
      <c r="E312" s="79">
        <f>IFERROR(VLOOKUP($G312,基本資料!$A:$J,7,0),"無")</f>
        <v>-17</v>
      </c>
      <c r="F312" s="6">
        <f>IFERROR(VLOOKUP($G312,基本資料!$A:$J,8,0),"無")</f>
        <v>38.86</v>
      </c>
      <c r="G312" s="80">
        <v>3563</v>
      </c>
      <c r="H312" s="4" t="s">
        <v>306</v>
      </c>
      <c r="I312" s="22" t="s">
        <v>4199</v>
      </c>
      <c r="J312" s="8" t="str">
        <f>IFERROR(VLOOKUP($G312,今日總結!$A:$AJ,35,0),"")</f>
        <v>融</v>
      </c>
      <c r="K312" s="5">
        <f>IFERROR(VLOOKUP($G312,今日總結!$A:$AJ,36,0),"")</f>
        <v>0</v>
      </c>
      <c r="L312" s="156">
        <f>IFERROR(VLOOKUP($G312,今日總結!$A:$AJ,33,0),"")</f>
        <v>1</v>
      </c>
      <c r="M312" s="340">
        <f>IFERROR(VLOOKUP($G312,今日總結!$A:$AJ,34,0),"")</f>
        <v>1</v>
      </c>
      <c r="N312" s="240">
        <f t="shared" si="115"/>
        <v>0</v>
      </c>
      <c r="P312" s="365">
        <f>IFERROR(VLOOKUP($G312,融外自投!$A:$J,7,0),"無")</f>
        <v>434</v>
      </c>
      <c r="Q312" s="79">
        <f>IFERROR(VLOOKUP($G312,融外自投!$A:$J,9,0),"無")</f>
        <v>86</v>
      </c>
      <c r="R312" s="346">
        <f>IFERROR(VLOOKUP($G312,融外自投!$A:$J,8,0),"無")</f>
        <v>540</v>
      </c>
      <c r="S312" s="81" t="str">
        <f>IFERROR(VLOOKUP($G312,融外自投!$A:$J,10,0),"無")</f>
        <v>無</v>
      </c>
      <c r="T312" s="327">
        <f>IFERROR(VLOOKUP($G312,'321買'!$A:$E,5,0),"'沒有資料'")</f>
        <v>430</v>
      </c>
      <c r="U312" s="186">
        <f>IFERROR(VLOOKUP($G312,基本資料!$A:$J,9,0),"無")</f>
        <v>12</v>
      </c>
      <c r="V312" s="310">
        <f t="shared" si="116"/>
        <v>3.669724770642202E-2</v>
      </c>
      <c r="W312" s="94">
        <f>IFERROR(VLOOKUP($G312,基本資料!$A:$J,10,0),"無")</f>
        <v>18.510000000000002</v>
      </c>
      <c r="X312" s="36">
        <v>327</v>
      </c>
      <c r="Y312" s="45">
        <v>250</v>
      </c>
      <c r="Z312" s="15">
        <f t="shared" si="118"/>
        <v>77</v>
      </c>
      <c r="AA312" s="63">
        <f t="shared" si="119"/>
        <v>0.308</v>
      </c>
      <c r="AB312" s="99" t="s">
        <v>1892</v>
      </c>
      <c r="AC312" s="397">
        <f>IFERROR(VLOOKUP($G312,基本資料!$A:$M,12,0),"無")</f>
        <v>5.19</v>
      </c>
      <c r="AD312" s="22" t="s">
        <v>179</v>
      </c>
      <c r="AE312" s="84">
        <v>43970</v>
      </c>
      <c r="AF312" s="86">
        <v>43980</v>
      </c>
      <c r="AG312" s="33">
        <f t="shared" si="117"/>
        <v>10</v>
      </c>
      <c r="AH312" s="119" t="s">
        <v>1720</v>
      </c>
      <c r="AI312" s="259"/>
      <c r="AK312" s="245"/>
      <c r="AL312" s="245"/>
    </row>
    <row r="313" spans="1:43" ht="17.25" customHeight="1">
      <c r="A313" s="347">
        <f>IFERROR(VLOOKUP($G313,基本資料!$A:$J,3,0),"無")</f>
        <v>4.63</v>
      </c>
      <c r="B313" s="79">
        <f>IFERROR(VLOOKUP($G313,基本資料!$A:$J,4,0),"無")</f>
        <v>54</v>
      </c>
      <c r="C313" s="79">
        <f>IFERROR(VLOOKUP($G313,基本資料!$A:$J,5,0),"無")</f>
        <v>41</v>
      </c>
      <c r="D313" s="79">
        <f>IFERROR(VLOOKUP($G313,基本資料!$A:$J,6,0),"無")</f>
        <v>31</v>
      </c>
      <c r="E313" s="79">
        <f>IFERROR(VLOOKUP($G313,基本資料!$A:$J,7,0),"無")</f>
        <v>21</v>
      </c>
      <c r="F313" s="6">
        <f>IFERROR(VLOOKUP($G313,基本資料!$A:$J,8,0),"無")</f>
        <v>10.43</v>
      </c>
      <c r="G313" s="79">
        <v>8284</v>
      </c>
      <c r="H313" s="4" t="s">
        <v>3436</v>
      </c>
      <c r="I313" s="16" t="s">
        <v>1899</v>
      </c>
      <c r="J313" s="8" t="str">
        <f>IFERROR(VLOOKUP($G313,今日總結!$A:$AJ,35,0),"")</f>
        <v/>
      </c>
      <c r="K313" s="5" t="str">
        <f>IFERROR(VLOOKUP($G313,今日總結!$A:$AJ,36,0),"")</f>
        <v/>
      </c>
      <c r="L313" s="156" t="str">
        <f>IFERROR(VLOOKUP($G313,今日總結!$A:$AJ,33,0),"")</f>
        <v/>
      </c>
      <c r="M313" s="340" t="str">
        <f>IFERROR(VLOOKUP($G313,今日總結!$A:$AJ,34,0),"")</f>
        <v/>
      </c>
      <c r="N313" s="240" t="str">
        <f t="shared" si="115"/>
        <v/>
      </c>
      <c r="P313" s="365">
        <f>IFERROR(VLOOKUP($G313,融外自投!$A:$J,7,0),"無")</f>
        <v>976</v>
      </c>
      <c r="Q313" s="79">
        <f>IFERROR(VLOOKUP($G313,融外自投!$A:$J,9,0),"無")</f>
        <v>1051</v>
      </c>
      <c r="R313" s="346">
        <f>IFERROR(VLOOKUP($G313,融外自投!$A:$J,8,0),"無")</f>
        <v>1129</v>
      </c>
      <c r="S313" s="81" t="str">
        <f>IFERROR(VLOOKUP($G313,融外自投!$A:$J,10,0),"無")</f>
        <v>無</v>
      </c>
      <c r="T313" s="327">
        <f>IFERROR(VLOOKUP($G313,'321買'!$A:$E,5,0),"'沒有資料'")</f>
        <v>1259</v>
      </c>
      <c r="U313" s="186">
        <f>IFERROR(VLOOKUP($G313,基本資料!$A:$J,9,0),"無")</f>
        <v>3</v>
      </c>
      <c r="V313" s="310">
        <f t="shared" si="116"/>
        <v>4.7619047619047616E-2</v>
      </c>
      <c r="W313" s="94">
        <f>IFERROR(VLOOKUP($G313,基本資料!$A:$J,10,0),"無")</f>
        <v>4.0599999999999996</v>
      </c>
      <c r="X313" s="36">
        <v>63</v>
      </c>
      <c r="Y313" s="66">
        <v>45</v>
      </c>
      <c r="Z313" s="15">
        <f t="shared" ref="Z313:Z342" si="120">X313-Y313</f>
        <v>18</v>
      </c>
      <c r="AA313" s="63">
        <f t="shared" ref="AA313:AA342" si="121">Z313/Y313</f>
        <v>0.4</v>
      </c>
      <c r="AB313" s="99" t="s">
        <v>1910</v>
      </c>
      <c r="AC313" s="397">
        <f>IFERROR(VLOOKUP($G313,基本資料!$A:$M,12,0),"無")</f>
        <v>67.739999999999995</v>
      </c>
      <c r="AD313" s="16" t="s">
        <v>1899</v>
      </c>
      <c r="AE313" s="84">
        <v>43969</v>
      </c>
      <c r="AF313" s="86">
        <v>43980</v>
      </c>
      <c r="AG313" s="33">
        <f t="shared" si="117"/>
        <v>11</v>
      </c>
      <c r="AH313" s="43" t="s">
        <v>1900</v>
      </c>
      <c r="AI313" s="259"/>
      <c r="AK313" s="245"/>
      <c r="AL313" s="245"/>
    </row>
    <row r="314" spans="1:43">
      <c r="A314" s="347">
        <f>IFERROR(VLOOKUP($G314,基本資料!$A:$J,3,0),"無")</f>
        <v>1548</v>
      </c>
      <c r="B314" s="79">
        <f>IFERROR(VLOOKUP($G314,基本資料!$A:$J,4,0),"無")</f>
        <v>57</v>
      </c>
      <c r="C314" s="79">
        <f>IFERROR(VLOOKUP($G314,基本資料!$A:$J,5,0),"無")</f>
        <v>0</v>
      </c>
      <c r="D314" s="79">
        <f>IFERROR(VLOOKUP($G314,基本資料!$A:$J,6,0),"無")</f>
        <v>50</v>
      </c>
      <c r="E314" s="79">
        <f>IFERROR(VLOOKUP($G314,基本資料!$A:$J,7,0),"無")</f>
        <v>1</v>
      </c>
      <c r="F314" s="6">
        <f>IFERROR(VLOOKUP($G314,基本資料!$A:$J,8,0),"無")</f>
        <v>0</v>
      </c>
      <c r="G314" s="80">
        <v>2888</v>
      </c>
      <c r="H314" s="10" t="s">
        <v>304</v>
      </c>
      <c r="I314" s="22" t="s">
        <v>18</v>
      </c>
      <c r="J314" s="8">
        <f>IFERROR(VLOOKUP($G314,今日總結!$A:$AJ,35,0),"")</f>
        <v>0</v>
      </c>
      <c r="K314" s="5" t="str">
        <f>IFERROR(VLOOKUP($G314,今日總結!$A:$AJ,36,0),"")</f>
        <v>外</v>
      </c>
      <c r="L314" s="156">
        <f>IFERROR(VLOOKUP($G314,今日總結!$A:$AJ,33,0),"")</f>
        <v>0</v>
      </c>
      <c r="M314" s="340">
        <f>IFERROR(VLOOKUP($G314,今日總結!$A:$AJ,34,0),"")</f>
        <v>2</v>
      </c>
      <c r="N314" s="240">
        <f t="shared" si="115"/>
        <v>-2</v>
      </c>
      <c r="P314" s="365">
        <f>IFERROR(VLOOKUP($G314,融外自投!$A:$J,7,0),"無")</f>
        <v>926</v>
      </c>
      <c r="Q314" s="79" t="str">
        <f>IFERROR(VLOOKUP($G314,融外自投!$A:$J,9,0),"無")</f>
        <v>無</v>
      </c>
      <c r="R314" s="346">
        <f>IFERROR(VLOOKUP($G314,融外自投!$A:$J,8,0),"無")</f>
        <v>255</v>
      </c>
      <c r="S314" s="81">
        <f>IFERROR(VLOOKUP($G314,融外自投!$A:$J,10,0),"無")</f>
        <v>299</v>
      </c>
      <c r="T314" s="327">
        <f>IFERROR(VLOOKUP($G314,'321買'!$A:$E,5,0),"'沒有資料'")</f>
        <v>217</v>
      </c>
      <c r="U314" s="186">
        <f>IFERROR(VLOOKUP($G314,基本資料!$A:$J,9,0),"無")</f>
        <v>0.43</v>
      </c>
      <c r="V314" s="310">
        <f t="shared" si="116"/>
        <v>5.1558752997601917E-2</v>
      </c>
      <c r="W314" s="94">
        <f>IFERROR(VLOOKUP($G314,基本資料!$A:$J,10,0),"無")</f>
        <v>1.67</v>
      </c>
      <c r="X314" s="36">
        <v>8.34</v>
      </c>
      <c r="Y314" s="66">
        <v>7.8</v>
      </c>
      <c r="Z314" s="15">
        <f t="shared" si="120"/>
        <v>0.54</v>
      </c>
      <c r="AA314" s="63">
        <f t="shared" si="121"/>
        <v>6.9230769230769235E-2</v>
      </c>
      <c r="AB314" s="99" t="s">
        <v>1911</v>
      </c>
      <c r="AC314" s="397">
        <f>IFERROR(VLOOKUP($G314,基本資料!$A:$M,12,0),"無")</f>
        <v>12.46</v>
      </c>
      <c r="AD314" s="22" t="s">
        <v>18</v>
      </c>
      <c r="AE314" s="84">
        <v>43969</v>
      </c>
      <c r="AF314" s="86">
        <v>43980</v>
      </c>
      <c r="AG314" s="33">
        <f t="shared" si="117"/>
        <v>11</v>
      </c>
      <c r="AH314" s="117" t="s">
        <v>1451</v>
      </c>
      <c r="AI314" s="259"/>
      <c r="AK314" s="245"/>
      <c r="AL314" s="245"/>
    </row>
    <row r="315" spans="1:43">
      <c r="A315" s="347">
        <f>IFERROR(VLOOKUP($G315,基本資料!$A:$J,3,0),"無")</f>
        <v>11.82</v>
      </c>
      <c r="B315" s="79">
        <f>IFERROR(VLOOKUP($G315,基本資料!$A:$J,4,0),"無")</f>
        <v>23</v>
      </c>
      <c r="C315" s="79">
        <f>IFERROR(VLOOKUP($G315,基本資料!$A:$J,5,0),"無")</f>
        <v>69</v>
      </c>
      <c r="D315" s="79">
        <f>IFERROR(VLOOKUP($G315,基本資料!$A:$J,6,0),"無")</f>
        <v>-7</v>
      </c>
      <c r="E315" s="79">
        <f>IFERROR(VLOOKUP($G315,基本資料!$A:$J,7,0),"無")</f>
        <v>15</v>
      </c>
      <c r="F315" s="6">
        <f>IFERROR(VLOOKUP($G315,基本資料!$A:$J,8,0),"無")</f>
        <v>14.24</v>
      </c>
      <c r="G315" s="80">
        <v>6208</v>
      </c>
      <c r="H315" s="4" t="s">
        <v>3389</v>
      </c>
      <c r="I315" s="16" t="s">
        <v>434</v>
      </c>
      <c r="J315" s="8" t="str">
        <f>IFERROR(VLOOKUP($G315,今日總結!$A:$AJ,35,0),"")</f>
        <v/>
      </c>
      <c r="K315" s="5" t="str">
        <f>IFERROR(VLOOKUP($G315,今日總結!$A:$AJ,36,0),"")</f>
        <v/>
      </c>
      <c r="L315" s="156" t="str">
        <f>IFERROR(VLOOKUP($G315,今日總結!$A:$AJ,33,0),"")</f>
        <v/>
      </c>
      <c r="M315" s="340" t="str">
        <f>IFERROR(VLOOKUP($G315,今日總結!$A:$AJ,34,0),"")</f>
        <v/>
      </c>
      <c r="N315" s="240" t="str">
        <f t="shared" si="115"/>
        <v/>
      </c>
      <c r="P315" s="365">
        <f>IFERROR(VLOOKUP($G315,融外自投!$A:$J,7,0),"無")</f>
        <v>618</v>
      </c>
      <c r="Q315" s="79" t="str">
        <f>IFERROR(VLOOKUP($G315,融外自投!$A:$J,9,0),"無")</f>
        <v>無</v>
      </c>
      <c r="R315" s="346">
        <f>IFERROR(VLOOKUP($G315,融外自投!$A:$J,8,0),"無")</f>
        <v>1100</v>
      </c>
      <c r="S315" s="81" t="str">
        <f>IFERROR(VLOOKUP($G315,融外自投!$A:$J,10,0),"無")</f>
        <v>無</v>
      </c>
      <c r="T315" s="327">
        <f>IFERROR(VLOOKUP($G315,'321買'!$A:$E,5,0),"'沒有資料'")</f>
        <v>664</v>
      </c>
      <c r="U315" s="186">
        <f>IFERROR(VLOOKUP($G315,基本資料!$A:$J,9,0),"無")</f>
        <v>2.2000000000000002</v>
      </c>
      <c r="V315" s="310">
        <f t="shared" si="116"/>
        <v>8.5436893203883507E-2</v>
      </c>
      <c r="W315" s="94">
        <f>IFERROR(VLOOKUP($G315,基本資料!$A:$J,10,0),"無")</f>
        <v>3.32</v>
      </c>
      <c r="X315" s="36">
        <v>25.75</v>
      </c>
      <c r="Y315" s="66">
        <v>20</v>
      </c>
      <c r="Z315" s="15">
        <f t="shared" si="120"/>
        <v>5.75</v>
      </c>
      <c r="AA315" s="63">
        <f t="shared" si="121"/>
        <v>0.28749999999999998</v>
      </c>
      <c r="AB315" s="99" t="s">
        <v>1908</v>
      </c>
      <c r="AC315" s="397">
        <f>IFERROR(VLOOKUP($G315,基本資料!$A:$M,12,0),"無")</f>
        <v>20.78</v>
      </c>
      <c r="AD315" s="16" t="s">
        <v>434</v>
      </c>
      <c r="AE315" s="84">
        <v>43966</v>
      </c>
      <c r="AF315" s="86">
        <v>43980</v>
      </c>
      <c r="AG315" s="33">
        <f t="shared" si="117"/>
        <v>14</v>
      </c>
      <c r="AH315" s="43" t="s">
        <v>1897</v>
      </c>
      <c r="AI315" s="259"/>
      <c r="AK315" s="245"/>
      <c r="AL315" s="245"/>
    </row>
    <row r="316" spans="1:43">
      <c r="A316" s="347">
        <f>IFERROR(VLOOKUP($G316,基本資料!$A:$J,3,0),"無")</f>
        <v>30.38</v>
      </c>
      <c r="B316" s="79">
        <f>IFERROR(VLOOKUP($G316,基本資料!$A:$J,4,0),"無")</f>
        <v>95</v>
      </c>
      <c r="C316" s="79">
        <f>IFERROR(VLOOKUP($G316,基本資料!$A:$J,5,0),"無")</f>
        <v>94</v>
      </c>
      <c r="D316" s="79">
        <f>IFERROR(VLOOKUP($G316,基本資料!$A:$J,6,0),"無")</f>
        <v>46</v>
      </c>
      <c r="E316" s="79">
        <f>IFERROR(VLOOKUP($G316,基本資料!$A:$J,7,0),"無")</f>
        <v>-5</v>
      </c>
      <c r="F316" s="6">
        <f>IFERROR(VLOOKUP($G316,基本資料!$A:$J,8,0),"無")</f>
        <v>-3.44</v>
      </c>
      <c r="G316" s="79">
        <v>6589</v>
      </c>
      <c r="H316" s="4" t="s">
        <v>4726</v>
      </c>
      <c r="I316" s="16" t="s">
        <v>1793</v>
      </c>
      <c r="J316" s="8" t="str">
        <f>IFERROR(VLOOKUP($G316,今日總結!$A:$AJ,35,0),"")</f>
        <v/>
      </c>
      <c r="K316" s="5" t="str">
        <f>IFERROR(VLOOKUP($G316,今日總結!$A:$AJ,36,0),"")</f>
        <v/>
      </c>
      <c r="L316" s="156" t="str">
        <f>IFERROR(VLOOKUP($G316,今日總結!$A:$AJ,33,0),"")</f>
        <v/>
      </c>
      <c r="M316" s="340" t="str">
        <f>IFERROR(VLOOKUP($G316,今日總結!$A:$AJ,34,0),"")</f>
        <v/>
      </c>
      <c r="N316" s="240" t="str">
        <f t="shared" si="115"/>
        <v/>
      </c>
      <c r="P316" s="365" t="str">
        <f>IFERROR(VLOOKUP($G316,融外自投!$A:$J,7,0),"無")</f>
        <v>無</v>
      </c>
      <c r="Q316" s="79" t="str">
        <f>IFERROR(VLOOKUP($G316,融外自投!$A:$J,9,0),"無")</f>
        <v>無</v>
      </c>
      <c r="R316" s="346" t="str">
        <f>IFERROR(VLOOKUP($G316,融外自投!$A:$J,8,0),"無")</f>
        <v>無</v>
      </c>
      <c r="S316" s="81" t="str">
        <f>IFERROR(VLOOKUP($G316,融外自投!$A:$J,10,0),"無")</f>
        <v>無</v>
      </c>
      <c r="T316" s="327" t="str">
        <f>IFERROR(VLOOKUP($G316,'321買'!$A:$E,5,0),"'沒有資料'")</f>
        <v>'沒有資料'</v>
      </c>
      <c r="U316" s="186">
        <f>IFERROR(VLOOKUP($G316,基本資料!$A:$J,9,0),"無")</f>
        <v>0</v>
      </c>
      <c r="V316" s="310">
        <f t="shared" si="116"/>
        <v>0</v>
      </c>
      <c r="W316" s="94">
        <f>IFERROR(VLOOKUP($G316,基本資料!$A:$J,10,0),"無")</f>
        <v>-0.18</v>
      </c>
      <c r="X316" s="36">
        <v>61.5</v>
      </c>
      <c r="Y316" s="66">
        <v>29</v>
      </c>
      <c r="Z316" s="15">
        <f t="shared" si="120"/>
        <v>32.5</v>
      </c>
      <c r="AA316" s="169">
        <f t="shared" si="121"/>
        <v>1.1206896551724137</v>
      </c>
      <c r="AB316" s="99" t="s">
        <v>1909</v>
      </c>
      <c r="AC316" s="397">
        <f>IFERROR(VLOOKUP($G316,基本資料!$A:$M,12,0),"無")</f>
        <v>7.8</v>
      </c>
      <c r="AD316" s="16" t="s">
        <v>1793</v>
      </c>
      <c r="AE316" s="84">
        <v>43966</v>
      </c>
      <c r="AF316" s="86">
        <v>43980</v>
      </c>
      <c r="AG316" s="33">
        <f t="shared" si="117"/>
        <v>14</v>
      </c>
      <c r="AH316" s="43" t="s">
        <v>1794</v>
      </c>
      <c r="AI316" s="259"/>
      <c r="AK316" s="245"/>
      <c r="AL316" s="245"/>
    </row>
    <row r="317" spans="1:43">
      <c r="A317" s="347">
        <f>IFERROR(VLOOKUP($G317,基本資料!$A:$J,3,0),"無")</f>
        <v>7.45</v>
      </c>
      <c r="B317" s="79">
        <f>IFERROR(VLOOKUP($G317,基本資料!$A:$J,4,0),"無")</f>
        <v>17</v>
      </c>
      <c r="C317" s="79">
        <f>IFERROR(VLOOKUP($G317,基本資料!$A:$J,5,0),"無")</f>
        <v>12</v>
      </c>
      <c r="D317" s="79">
        <f>IFERROR(VLOOKUP($G317,基本資料!$A:$J,6,0),"無")</f>
        <v>-18</v>
      </c>
      <c r="E317" s="79">
        <f>IFERROR(VLOOKUP($G317,基本資料!$A:$J,7,0),"無")</f>
        <v>4</v>
      </c>
      <c r="F317" s="6">
        <f>IFERROR(VLOOKUP($G317,基本資料!$A:$J,8,0),"無")</f>
        <v>5.76</v>
      </c>
      <c r="G317" s="79">
        <v>4173</v>
      </c>
      <c r="H317" s="4" t="s">
        <v>4726</v>
      </c>
      <c r="I317" s="16" t="s">
        <v>615</v>
      </c>
      <c r="J317" s="8" t="str">
        <f>IFERROR(VLOOKUP($G317,今日總結!$A:$AJ,35,0),"")</f>
        <v/>
      </c>
      <c r="K317" s="5" t="str">
        <f>IFERROR(VLOOKUP($G317,今日總結!$A:$AJ,36,0),"")</f>
        <v/>
      </c>
      <c r="L317" s="156" t="str">
        <f>IFERROR(VLOOKUP($G317,今日總結!$A:$AJ,33,0),"")</f>
        <v/>
      </c>
      <c r="M317" s="340" t="str">
        <f>IFERROR(VLOOKUP($G317,今日總結!$A:$AJ,34,0),"")</f>
        <v/>
      </c>
      <c r="N317" s="240" t="str">
        <f t="shared" si="115"/>
        <v/>
      </c>
      <c r="P317" s="365">
        <f>IFERROR(VLOOKUP($G317,融外自投!$A:$J,7,0),"無")</f>
        <v>520</v>
      </c>
      <c r="Q317" s="79" t="str">
        <f>IFERROR(VLOOKUP($G317,融外自投!$A:$J,9,0),"無")</f>
        <v>無</v>
      </c>
      <c r="R317" s="346">
        <f>IFERROR(VLOOKUP($G317,融外自投!$A:$J,8,0),"無")</f>
        <v>1336</v>
      </c>
      <c r="S317" s="81" t="str">
        <f>IFERROR(VLOOKUP($G317,融外自投!$A:$J,10,0),"無")</f>
        <v>無</v>
      </c>
      <c r="T317" s="327">
        <f>IFERROR(VLOOKUP($G317,'321買'!$A:$E,5,0),"'沒有資料'")</f>
        <v>827</v>
      </c>
      <c r="U317" s="186">
        <f>IFERROR(VLOOKUP($G317,基本資料!$A:$J,9,0),"無")</f>
        <v>0.5</v>
      </c>
      <c r="V317" s="310">
        <f t="shared" si="116"/>
        <v>2.4509803921568631E-2</v>
      </c>
      <c r="W317" s="94">
        <f>IFERROR(VLOOKUP($G317,基本資料!$A:$J,10,0),"無")</f>
        <v>0.74</v>
      </c>
      <c r="X317" s="36">
        <v>20.399999999999999</v>
      </c>
      <c r="Y317" s="66">
        <v>15</v>
      </c>
      <c r="Z317" s="15">
        <f t="shared" si="120"/>
        <v>5.3999999999999986</v>
      </c>
      <c r="AA317" s="63">
        <f t="shared" si="121"/>
        <v>0.35999999999999993</v>
      </c>
      <c r="AB317" s="99" t="s">
        <v>1907</v>
      </c>
      <c r="AC317" s="397">
        <f>IFERROR(VLOOKUP($G317,基本資料!$A:$M,12,0),"無")</f>
        <v>38.25</v>
      </c>
      <c r="AD317" s="16" t="s">
        <v>615</v>
      </c>
      <c r="AE317" s="84">
        <v>43964</v>
      </c>
      <c r="AF317" s="86">
        <v>43980</v>
      </c>
      <c r="AG317" s="33">
        <f t="shared" si="117"/>
        <v>16</v>
      </c>
      <c r="AH317" s="43" t="s">
        <v>1898</v>
      </c>
      <c r="AI317" s="259"/>
      <c r="AK317" s="245"/>
      <c r="AL317" s="245"/>
    </row>
    <row r="318" spans="1:43">
      <c r="A318" s="347">
        <f>IFERROR(VLOOKUP($G318,基本資料!$A:$J,3,0),"無")</f>
        <v>26.32</v>
      </c>
      <c r="B318" s="79">
        <f>IFERROR(VLOOKUP($G318,基本資料!$A:$J,4,0),"無")</f>
        <v>113</v>
      </c>
      <c r="C318" s="79">
        <f>IFERROR(VLOOKUP($G318,基本資料!$A:$J,5,0),"無")</f>
        <v>85</v>
      </c>
      <c r="D318" s="79">
        <f>IFERROR(VLOOKUP($G318,基本資料!$A:$J,6,0),"無")</f>
        <v>5</v>
      </c>
      <c r="E318" s="79">
        <f>IFERROR(VLOOKUP($G318,基本資料!$A:$J,7,0),"無")</f>
        <v>51</v>
      </c>
      <c r="F318" s="6">
        <f>IFERROR(VLOOKUP($G318,基本資料!$A:$J,8,0),"無")</f>
        <v>-2.88</v>
      </c>
      <c r="G318" s="80">
        <v>1506</v>
      </c>
      <c r="H318" s="4" t="s">
        <v>295</v>
      </c>
      <c r="I318" s="22" t="s">
        <v>554</v>
      </c>
      <c r="J318" s="8" t="str">
        <f>IFERROR(VLOOKUP($G318,今日總結!$A:$AJ,35,0),"")</f>
        <v/>
      </c>
      <c r="K318" s="5" t="str">
        <f>IFERROR(VLOOKUP($G318,今日總結!$A:$AJ,36,0),"")</f>
        <v/>
      </c>
      <c r="L318" s="156" t="str">
        <f>IFERROR(VLOOKUP($G318,今日總結!$A:$AJ,33,0),"")</f>
        <v/>
      </c>
      <c r="M318" s="340" t="str">
        <f>IFERROR(VLOOKUP($G318,今日總結!$A:$AJ,34,0),"")</f>
        <v/>
      </c>
      <c r="N318" s="240" t="str">
        <f t="shared" si="115"/>
        <v/>
      </c>
      <c r="P318" s="365" t="str">
        <f>IFERROR(VLOOKUP($G318,融外自投!$A:$J,7,0),"無")</f>
        <v>無</v>
      </c>
      <c r="Q318" s="79" t="str">
        <f>IFERROR(VLOOKUP($G318,融外自投!$A:$J,9,0),"無")</f>
        <v>無</v>
      </c>
      <c r="R318" s="346" t="str">
        <f>IFERROR(VLOOKUP($G318,融外自投!$A:$J,8,0),"無")</f>
        <v>無</v>
      </c>
      <c r="S318" s="81" t="str">
        <f>IFERROR(VLOOKUP($G318,融外自投!$A:$J,10,0),"無")</f>
        <v>無</v>
      </c>
      <c r="T318" s="327" t="str">
        <f>IFERROR(VLOOKUP($G318,'321買'!$A:$E,5,0),"'沒有資料'")</f>
        <v>'沒有資料'</v>
      </c>
      <c r="U318" s="186">
        <f>IFERROR(VLOOKUP($G318,基本資料!$A:$J,9,0),"無")</f>
        <v>0</v>
      </c>
      <c r="V318" s="310">
        <f t="shared" si="116"/>
        <v>0</v>
      </c>
      <c r="W318" s="94">
        <f>IFERROR(VLOOKUP($G318,基本資料!$A:$J,10,0),"無")</f>
        <v>0.26</v>
      </c>
      <c r="X318" s="36">
        <v>12.35</v>
      </c>
      <c r="Y318" s="66">
        <v>10</v>
      </c>
      <c r="Z318" s="15">
        <f t="shared" si="120"/>
        <v>2.3499999999999996</v>
      </c>
      <c r="AA318" s="63">
        <f t="shared" si="121"/>
        <v>0.23499999999999996</v>
      </c>
      <c r="AB318" s="99" t="s">
        <v>1893</v>
      </c>
      <c r="AC318" s="397">
        <f>IFERROR(VLOOKUP($G318,基本資料!$A:$M,12,0),"無")</f>
        <v>55.81</v>
      </c>
      <c r="AD318" s="22" t="s">
        <v>554</v>
      </c>
      <c r="AE318" s="84">
        <v>43950</v>
      </c>
      <c r="AF318" s="86">
        <v>43980</v>
      </c>
      <c r="AG318" s="33">
        <f t="shared" si="117"/>
        <v>30</v>
      </c>
      <c r="AH318" s="43" t="s">
        <v>1886</v>
      </c>
      <c r="AI318" s="259"/>
      <c r="AK318" s="245"/>
      <c r="AL318" s="245"/>
    </row>
    <row r="319" spans="1:43">
      <c r="A319" s="347">
        <f>IFERROR(VLOOKUP($G319,基本資料!$A:$J,3,0),"無")</f>
        <v>8.92</v>
      </c>
      <c r="B319" s="79">
        <f>IFERROR(VLOOKUP($G319,基本資料!$A:$J,4,0),"無")</f>
        <v>145</v>
      </c>
      <c r="C319" s="79">
        <f>IFERROR(VLOOKUP($G319,基本資料!$A:$J,5,0),"無")</f>
        <v>-92</v>
      </c>
      <c r="D319" s="79">
        <f>IFERROR(VLOOKUP($G319,基本資料!$A:$J,6,0),"無")</f>
        <v>37</v>
      </c>
      <c r="E319" s="79">
        <f>IFERROR(VLOOKUP($G319,基本資料!$A:$J,7,0),"無")</f>
        <v>1</v>
      </c>
      <c r="F319" s="6">
        <f>IFERROR(VLOOKUP($G319,基本資料!$A:$J,8,0),"無")</f>
        <v>7.0000000000000007E-2</v>
      </c>
      <c r="G319" s="80">
        <v>3543</v>
      </c>
      <c r="H319" s="4" t="s">
        <v>306</v>
      </c>
      <c r="I319" s="22" t="s">
        <v>1880</v>
      </c>
      <c r="J319" s="8" t="str">
        <f>IFERROR(VLOOKUP($G319,今日總結!$A:$AJ,35,0),"")</f>
        <v/>
      </c>
      <c r="K319" s="5" t="str">
        <f>IFERROR(VLOOKUP($G319,今日總結!$A:$AJ,36,0),"")</f>
        <v/>
      </c>
      <c r="L319" s="156" t="str">
        <f>IFERROR(VLOOKUP($G319,今日總結!$A:$AJ,33,0),"")</f>
        <v/>
      </c>
      <c r="M319" s="340" t="str">
        <f>IFERROR(VLOOKUP($G319,今日總結!$A:$AJ,34,0),"")</f>
        <v/>
      </c>
      <c r="N319" s="240" t="str">
        <f t="shared" si="115"/>
        <v/>
      </c>
      <c r="P319" s="365">
        <f>IFERROR(VLOOKUP($G319,融外自投!$A:$J,7,0),"無")</f>
        <v>797</v>
      </c>
      <c r="Q319" s="79">
        <f>IFERROR(VLOOKUP($G319,融外自投!$A:$J,9,0),"無")</f>
        <v>936</v>
      </c>
      <c r="R319" s="346">
        <f>IFERROR(VLOOKUP($G319,融外自投!$A:$J,8,0),"無")</f>
        <v>1378</v>
      </c>
      <c r="S319" s="81" t="str">
        <f>IFERROR(VLOOKUP($G319,融外自投!$A:$J,10,0),"無")</f>
        <v>無</v>
      </c>
      <c r="T319" s="327">
        <f>IFERROR(VLOOKUP($G319,'321買'!$A:$E,5,0),"'沒有資料'")</f>
        <v>1214</v>
      </c>
      <c r="U319" s="186">
        <f>IFERROR(VLOOKUP($G319,基本資料!$A:$J,9,0),"無")</f>
        <v>1.2</v>
      </c>
      <c r="V319" s="310">
        <f t="shared" si="116"/>
        <v>6.9565217391304349E-2</v>
      </c>
      <c r="W319" s="94">
        <f>IFERROR(VLOOKUP($G319,基本資料!$A:$J,10,0),"無")</f>
        <v>1.99</v>
      </c>
      <c r="X319" s="36">
        <v>17.25</v>
      </c>
      <c r="Y319" s="66">
        <v>15</v>
      </c>
      <c r="Z319" s="15">
        <f t="shared" si="120"/>
        <v>2.25</v>
      </c>
      <c r="AA319" s="63">
        <f t="shared" si="121"/>
        <v>0.15</v>
      </c>
      <c r="AB319" s="99" t="s">
        <v>991</v>
      </c>
      <c r="AC319" s="397">
        <f>IFERROR(VLOOKUP($G319,基本資料!$A:$M,12,0),"無")</f>
        <v>31.53</v>
      </c>
      <c r="AD319" s="22" t="s">
        <v>1880</v>
      </c>
      <c r="AE319" s="84">
        <v>43936</v>
      </c>
      <c r="AF319" s="86">
        <v>43966</v>
      </c>
      <c r="AG319" s="33">
        <f t="shared" si="117"/>
        <v>30</v>
      </c>
      <c r="AH319" s="43" t="s">
        <v>1879</v>
      </c>
      <c r="AI319" s="259"/>
      <c r="AK319" s="245"/>
      <c r="AL319" s="245"/>
    </row>
    <row r="320" spans="1:43" s="7" customFormat="1" ht="17.100000000000001" customHeight="1">
      <c r="A320" s="347">
        <f>IFERROR(VLOOKUP($G320,基本資料!$A:$J,3,0),"無")</f>
        <v>38.29</v>
      </c>
      <c r="B320" s="79">
        <f>IFERROR(VLOOKUP($G320,基本資料!$A:$J,4,0),"無")</f>
        <v>17</v>
      </c>
      <c r="C320" s="79">
        <f>IFERROR(VLOOKUP($G320,基本資料!$A:$J,5,0),"無")</f>
        <v>18</v>
      </c>
      <c r="D320" s="79">
        <f>IFERROR(VLOOKUP($G320,基本資料!$A:$J,6,0),"無")</f>
        <v>-3</v>
      </c>
      <c r="E320" s="79">
        <f>IFERROR(VLOOKUP($G320,基本資料!$A:$J,7,0),"無")</f>
        <v>0</v>
      </c>
      <c r="F320" s="6">
        <f>IFERROR(VLOOKUP($G320,基本資料!$A:$J,8,0),"無")</f>
        <v>11.74</v>
      </c>
      <c r="G320" s="79">
        <v>6213</v>
      </c>
      <c r="H320" s="52" t="s">
        <v>3389</v>
      </c>
      <c r="I320" s="22" t="s">
        <v>58</v>
      </c>
      <c r="J320" s="8" t="str">
        <f>IFERROR(VLOOKUP($G320,今日總結!$A:$AJ,35,0),"")</f>
        <v/>
      </c>
      <c r="K320" s="5" t="str">
        <f>IFERROR(VLOOKUP($G320,今日總結!$A:$AJ,36,0),"")</f>
        <v/>
      </c>
      <c r="L320" s="156" t="str">
        <f>IFERROR(VLOOKUP($G320,今日總結!$A:$AJ,33,0),"")</f>
        <v/>
      </c>
      <c r="M320" s="340" t="str">
        <f>IFERROR(VLOOKUP($G320,今日總結!$A:$AJ,34,0),"")</f>
        <v/>
      </c>
      <c r="N320" s="240" t="str">
        <f t="shared" si="115"/>
        <v/>
      </c>
      <c r="P320" s="365">
        <f>IFERROR(VLOOKUP($G320,融外自投!$A:$J,7,0),"無")</f>
        <v>802</v>
      </c>
      <c r="Q320" s="79">
        <f>IFERROR(VLOOKUP($G320,融外自投!$A:$J,9,0),"無")</f>
        <v>762</v>
      </c>
      <c r="R320" s="346">
        <f>IFERROR(VLOOKUP($G320,融外自投!$A:$J,8,0),"無")</f>
        <v>537</v>
      </c>
      <c r="S320" s="81">
        <f>IFERROR(VLOOKUP($G320,融外自投!$A:$J,10,0),"無")</f>
        <v>416</v>
      </c>
      <c r="T320" s="327">
        <f>IFERROR(VLOOKUP($G320,'321買'!$A:$E,5,0),"'沒有資料'")</f>
        <v>379</v>
      </c>
      <c r="U320" s="186">
        <f>IFERROR(VLOOKUP($G320,基本資料!$A:$J,9,0),"無")</f>
        <v>5</v>
      </c>
      <c r="V320" s="310">
        <f t="shared" si="116"/>
        <v>3.5460992907801421E-2</v>
      </c>
      <c r="W320" s="94">
        <f>IFERROR(VLOOKUP($G320,基本資料!$A:$J,10,0),"無")</f>
        <v>9</v>
      </c>
      <c r="X320" s="36">
        <v>141</v>
      </c>
      <c r="Y320" s="66">
        <v>110</v>
      </c>
      <c r="Z320" s="15">
        <f t="shared" si="120"/>
        <v>31</v>
      </c>
      <c r="AA320" s="63">
        <f t="shared" si="121"/>
        <v>0.2818181818181818</v>
      </c>
      <c r="AB320" s="99" t="s">
        <v>1034</v>
      </c>
      <c r="AC320" s="397">
        <f>IFERROR(VLOOKUP($G320,基本資料!$A:$M,12,0),"無")</f>
        <v>11.36</v>
      </c>
      <c r="AD320" s="22" t="s">
        <v>58</v>
      </c>
      <c r="AE320" s="84">
        <v>43928</v>
      </c>
      <c r="AF320" s="86">
        <v>43958</v>
      </c>
      <c r="AG320" s="33">
        <f t="shared" si="117"/>
        <v>30</v>
      </c>
      <c r="AH320" s="117" t="s">
        <v>1460</v>
      </c>
      <c r="AI320" s="259"/>
      <c r="AM320" s="250"/>
      <c r="AN320" s="22"/>
      <c r="AO320" s="127"/>
      <c r="AP320" s="250"/>
      <c r="AQ320" s="44"/>
    </row>
    <row r="321" spans="1:38">
      <c r="A321" s="347">
        <f>IFERROR(VLOOKUP($G321,基本資料!$A:$J,3,0),"無")</f>
        <v>12.02</v>
      </c>
      <c r="B321" s="79">
        <f>IFERROR(VLOOKUP($G321,基本資料!$A:$J,4,0),"無")</f>
        <v>217</v>
      </c>
      <c r="C321" s="79">
        <f>IFERROR(VLOOKUP($G321,基本資料!$A:$J,5,0),"無")</f>
        <v>-699</v>
      </c>
      <c r="D321" s="79">
        <f>IFERROR(VLOOKUP($G321,基本資料!$A:$J,6,0),"無")</f>
        <v>-15</v>
      </c>
      <c r="E321" s="79">
        <f>IFERROR(VLOOKUP($G321,基本資料!$A:$J,7,0),"無")</f>
        <v>-2</v>
      </c>
      <c r="F321" s="6">
        <f>IFERROR(VLOOKUP($G321,基本資料!$A:$J,8,0),"無")</f>
        <v>-5.35</v>
      </c>
      <c r="G321" s="79">
        <v>4746</v>
      </c>
      <c r="H321" s="4" t="s">
        <v>4726</v>
      </c>
      <c r="I321" s="22" t="s">
        <v>3812</v>
      </c>
      <c r="J321" s="8" t="str">
        <f>IFERROR(VLOOKUP($G321,今日總結!$A:$AJ,35,0),"")</f>
        <v/>
      </c>
      <c r="K321" s="5" t="str">
        <f>IFERROR(VLOOKUP($G321,今日總結!$A:$AJ,36,0),"")</f>
        <v/>
      </c>
      <c r="L321" s="156" t="str">
        <f>IFERROR(VLOOKUP($G321,今日總結!$A:$AJ,33,0),"")</f>
        <v/>
      </c>
      <c r="M321" s="340" t="str">
        <f>IFERROR(VLOOKUP($G321,今日總結!$A:$AJ,34,0),"")</f>
        <v/>
      </c>
      <c r="N321" s="240" t="str">
        <f t="shared" si="115"/>
        <v/>
      </c>
      <c r="P321" s="365">
        <f>IFERROR(VLOOKUP($G321,融外自投!$A:$J,7,0),"無")</f>
        <v>128</v>
      </c>
      <c r="Q321" s="79">
        <f>IFERROR(VLOOKUP($G321,融外自投!$A:$J,9,0),"無")</f>
        <v>152</v>
      </c>
      <c r="R321" s="346">
        <f>IFERROR(VLOOKUP($G321,融外自投!$A:$J,8,0),"無")</f>
        <v>911</v>
      </c>
      <c r="S321" s="81" t="str">
        <f>IFERROR(VLOOKUP($G321,融外自投!$A:$J,10,0),"無")</f>
        <v>無</v>
      </c>
      <c r="T321" s="327">
        <f>IFERROR(VLOOKUP($G321,'321買'!$A:$E,5,0),"'沒有資料'")</f>
        <v>710</v>
      </c>
      <c r="U321" s="186">
        <f>IFERROR(VLOOKUP($G321,基本資料!$A:$J,9,0),"無")</f>
        <v>2</v>
      </c>
      <c r="V321" s="310">
        <f t="shared" si="116"/>
        <v>3.6166365280289332E-2</v>
      </c>
      <c r="W321" s="94">
        <f>IFERROR(VLOOKUP($G321,基本資料!$A:$J,10,0),"無")</f>
        <v>10.92</v>
      </c>
      <c r="X321" s="36">
        <v>55.3</v>
      </c>
      <c r="Y321" s="45">
        <v>37</v>
      </c>
      <c r="Z321" s="15">
        <f t="shared" si="120"/>
        <v>18.299999999999997</v>
      </c>
      <c r="AA321" s="63">
        <f t="shared" si="121"/>
        <v>0.49459459459459454</v>
      </c>
      <c r="AB321" s="99" t="s">
        <v>1876</v>
      </c>
      <c r="AC321" s="397">
        <f>IFERROR(VLOOKUP($G321,基本資料!$A:$M,12,0),"無")</f>
        <v>38.46</v>
      </c>
      <c r="AD321" s="22" t="s">
        <v>635</v>
      </c>
      <c r="AE321" s="84">
        <v>43922</v>
      </c>
      <c r="AF321" s="86">
        <v>43955</v>
      </c>
      <c r="AG321" s="33">
        <f t="shared" si="117"/>
        <v>33</v>
      </c>
      <c r="AH321" s="43" t="s">
        <v>1869</v>
      </c>
      <c r="AI321" s="259"/>
      <c r="AK321" s="245"/>
      <c r="AL321" s="245"/>
    </row>
    <row r="322" spans="1:38">
      <c r="A322" s="347">
        <f>IFERROR(VLOOKUP($G322,基本資料!$A:$J,3,0),"無")</f>
        <v>21.04</v>
      </c>
      <c r="B322" s="79">
        <f>IFERROR(VLOOKUP($G322,基本資料!$A:$J,4,0),"無")</f>
        <v>-21</v>
      </c>
      <c r="C322" s="79">
        <f>IFERROR(VLOOKUP($G322,基本資料!$A:$J,5,0),"無")</f>
        <v>13</v>
      </c>
      <c r="D322" s="79">
        <f>IFERROR(VLOOKUP($G322,基本資料!$A:$J,6,0),"無")</f>
        <v>20</v>
      </c>
      <c r="E322" s="79">
        <f>IFERROR(VLOOKUP($G322,基本資料!$A:$J,7,0),"無")</f>
        <v>13</v>
      </c>
      <c r="F322" s="6">
        <f>IFERROR(VLOOKUP($G322,基本資料!$A:$J,8,0),"無")</f>
        <v>17.23</v>
      </c>
      <c r="G322" s="80">
        <v>6024</v>
      </c>
      <c r="H322" s="10" t="s">
        <v>304</v>
      </c>
      <c r="I322" s="22" t="s">
        <v>6129</v>
      </c>
      <c r="J322" s="8">
        <f>IFERROR(VLOOKUP($G322,今日總結!$A:$AJ,35,0),"")</f>
        <v>0</v>
      </c>
      <c r="K322" s="5" t="str">
        <f>IFERROR(VLOOKUP($G322,今日總結!$A:$AJ,36,0),"")</f>
        <v>外</v>
      </c>
      <c r="L322" s="156">
        <f>IFERROR(VLOOKUP($G322,今日總結!$A:$AJ,33,0),"")</f>
        <v>0</v>
      </c>
      <c r="M322" s="340">
        <f>IFERROR(VLOOKUP($G322,今日總結!$A:$AJ,34,0),"")</f>
        <v>2</v>
      </c>
      <c r="N322" s="240">
        <f t="shared" si="115"/>
        <v>-2</v>
      </c>
      <c r="P322" s="365">
        <f>IFERROR(VLOOKUP($G322,融外自投!$A:$J,7,0),"無")</f>
        <v>1383</v>
      </c>
      <c r="Q322" s="79" t="str">
        <f>IFERROR(VLOOKUP($G322,融外自投!$A:$J,9,0),"無")</f>
        <v>無</v>
      </c>
      <c r="R322" s="346">
        <f>IFERROR(VLOOKUP($G322,融外自投!$A:$J,8,0),"無")</f>
        <v>1073</v>
      </c>
      <c r="S322" s="81" t="str">
        <f>IFERROR(VLOOKUP($G322,融外自投!$A:$J,10,0),"無")</f>
        <v>無</v>
      </c>
      <c r="T322" s="327">
        <f>IFERROR(VLOOKUP($G322,'321買'!$A:$E,5,0),"'沒有資料'")</f>
        <v>1038</v>
      </c>
      <c r="U322" s="186">
        <f>IFERROR(VLOOKUP($G322,基本資料!$A:$J,9,0),"無")</f>
        <v>1.6</v>
      </c>
      <c r="V322" s="310">
        <f t="shared" si="116"/>
        <v>4.0609137055837567E-2</v>
      </c>
      <c r="W322" s="94">
        <f>IFERROR(VLOOKUP($G322,基本資料!$A:$J,10,0),"無")</f>
        <v>2.33</v>
      </c>
      <c r="X322" s="36">
        <v>39.4</v>
      </c>
      <c r="Y322" s="66">
        <v>34.4</v>
      </c>
      <c r="Z322" s="15">
        <f t="shared" si="120"/>
        <v>5</v>
      </c>
      <c r="AA322" s="63">
        <f t="shared" si="121"/>
        <v>0.14534883720930233</v>
      </c>
      <c r="AB322" s="100" t="s">
        <v>1874</v>
      </c>
      <c r="AC322" s="397">
        <f>IFERROR(VLOOKUP($G322,基本資料!$A:$M,12,0),"無")</f>
        <v>18.3</v>
      </c>
      <c r="AD322" s="22" t="s">
        <v>337</v>
      </c>
      <c r="AE322" s="84">
        <v>43921</v>
      </c>
      <c r="AF322" s="86">
        <v>43951</v>
      </c>
      <c r="AG322" s="33">
        <f t="shared" si="117"/>
        <v>30</v>
      </c>
      <c r="AH322" s="43" t="s">
        <v>1440</v>
      </c>
      <c r="AI322" s="259"/>
      <c r="AK322" s="245"/>
      <c r="AL322" s="245"/>
    </row>
    <row r="323" spans="1:38">
      <c r="A323" s="347">
        <f>IFERROR(VLOOKUP($G323,基本資料!$A:$J,3,0),"無")</f>
        <v>5.49</v>
      </c>
      <c r="B323" s="79">
        <f>IFERROR(VLOOKUP($G323,基本資料!$A:$J,4,0),"無")</f>
        <v>47</v>
      </c>
      <c r="C323" s="79">
        <f>IFERROR(VLOOKUP($G323,基本資料!$A:$J,5,0),"無")</f>
        <v>54</v>
      </c>
      <c r="D323" s="79">
        <f>IFERROR(VLOOKUP($G323,基本資料!$A:$J,6,0),"無")</f>
        <v>45</v>
      </c>
      <c r="E323" s="79">
        <f>IFERROR(VLOOKUP($G323,基本資料!$A:$J,7,0),"無")</f>
        <v>72</v>
      </c>
      <c r="F323" s="6">
        <f>IFERROR(VLOOKUP($G323,基本資料!$A:$J,8,0),"無")</f>
        <v>-5.22</v>
      </c>
      <c r="G323" s="80">
        <v>4563</v>
      </c>
      <c r="H323" s="4" t="s">
        <v>295</v>
      </c>
      <c r="I323" s="16" t="s">
        <v>6130</v>
      </c>
      <c r="J323" s="8" t="str">
        <f>IFERROR(VLOOKUP($G323,今日總結!$A:$AJ,35,0),"")</f>
        <v/>
      </c>
      <c r="K323" s="5" t="str">
        <f>IFERROR(VLOOKUP($G323,今日總結!$A:$AJ,36,0),"")</f>
        <v/>
      </c>
      <c r="L323" s="156" t="str">
        <f>IFERROR(VLOOKUP($G323,今日總結!$A:$AJ,33,0),"")</f>
        <v/>
      </c>
      <c r="M323" s="340" t="str">
        <f>IFERROR(VLOOKUP($G323,今日總結!$A:$AJ,34,0),"")</f>
        <v/>
      </c>
      <c r="N323" s="240" t="str">
        <f t="shared" si="115"/>
        <v/>
      </c>
      <c r="P323" s="365">
        <f>IFERROR(VLOOKUP($G323,融外自投!$A:$J,7,0),"無")</f>
        <v>1155</v>
      </c>
      <c r="Q323" s="79" t="str">
        <f>IFERROR(VLOOKUP($G323,融外自投!$A:$J,9,0),"無")</f>
        <v>無</v>
      </c>
      <c r="R323" s="346" t="str">
        <f>IFERROR(VLOOKUP($G323,融外自投!$A:$J,8,0),"無")</f>
        <v>無</v>
      </c>
      <c r="S323" s="81" t="str">
        <f>IFERROR(VLOOKUP($G323,融外自投!$A:$J,10,0),"無")</f>
        <v>無</v>
      </c>
      <c r="T323" s="327">
        <f>IFERROR(VLOOKUP($G323,'321買'!$A:$E,5,0),"'沒有資料'")</f>
        <v>1367</v>
      </c>
      <c r="U323" s="186">
        <f>IFERROR(VLOOKUP($G323,基本資料!$A:$J,9,0),"無")</f>
        <v>0</v>
      </c>
      <c r="V323" s="310">
        <f t="shared" si="116"/>
        <v>0</v>
      </c>
      <c r="W323" s="94">
        <f>IFERROR(VLOOKUP($G323,基本資料!$A:$J,10,0),"無")</f>
        <v>-3.36</v>
      </c>
      <c r="X323" s="36">
        <v>36.200000000000003</v>
      </c>
      <c r="Y323" s="66">
        <v>40</v>
      </c>
      <c r="Z323" s="15">
        <f t="shared" si="120"/>
        <v>-3.7999999999999972</v>
      </c>
      <c r="AA323" s="76">
        <f t="shared" si="121"/>
        <v>-9.4999999999999932E-2</v>
      </c>
      <c r="AB323" s="100" t="s">
        <v>1895</v>
      </c>
      <c r="AC323" s="397">
        <f>IFERROR(VLOOKUP($G323,基本資料!$A:$M,12,0),"無")</f>
        <v>44.99</v>
      </c>
      <c r="AD323" s="16" t="s">
        <v>547</v>
      </c>
      <c r="AE323" s="84">
        <v>43921</v>
      </c>
      <c r="AF323" s="86">
        <v>43951</v>
      </c>
      <c r="AG323" s="33">
        <f t="shared" si="117"/>
        <v>30</v>
      </c>
      <c r="AH323" s="43" t="s">
        <v>1870</v>
      </c>
      <c r="AI323" s="259"/>
      <c r="AK323" s="245"/>
      <c r="AL323" s="245"/>
    </row>
    <row r="324" spans="1:38">
      <c r="A324" s="347">
        <f>IFERROR(VLOOKUP($G324,基本資料!$A:$J,3,0),"無")</f>
        <v>28.99</v>
      </c>
      <c r="B324" s="79">
        <f>IFERROR(VLOOKUP($G324,基本資料!$A:$J,4,0),"無")</f>
        <v>-19</v>
      </c>
      <c r="C324" s="79">
        <f>IFERROR(VLOOKUP($G324,基本資料!$A:$J,5,0),"無")</f>
        <v>-2</v>
      </c>
      <c r="D324" s="79">
        <f>IFERROR(VLOOKUP($G324,基本資料!$A:$J,6,0),"無")</f>
        <v>-23</v>
      </c>
      <c r="E324" s="79">
        <f>IFERROR(VLOOKUP($G324,基本資料!$A:$J,7,0),"無")</f>
        <v>5</v>
      </c>
      <c r="F324" s="6">
        <f>IFERROR(VLOOKUP($G324,基本資料!$A:$J,8,0),"無")</f>
        <v>11.88</v>
      </c>
      <c r="G324" s="79">
        <v>6023</v>
      </c>
      <c r="H324" s="10" t="s">
        <v>304</v>
      </c>
      <c r="I324" s="16" t="s">
        <v>149</v>
      </c>
      <c r="J324" s="8" t="str">
        <f>IFERROR(VLOOKUP($G324,今日總結!$A:$AJ,35,0),"")</f>
        <v/>
      </c>
      <c r="K324" s="5" t="str">
        <f>IFERROR(VLOOKUP($G324,今日總結!$A:$AJ,36,0),"")</f>
        <v/>
      </c>
      <c r="L324" s="156" t="str">
        <f>IFERROR(VLOOKUP($G324,今日總結!$A:$AJ,33,0),"")</f>
        <v/>
      </c>
      <c r="M324" s="340" t="str">
        <f>IFERROR(VLOOKUP($G324,今日總結!$A:$AJ,34,0),"")</f>
        <v/>
      </c>
      <c r="N324" s="240" t="str">
        <f t="shared" si="115"/>
        <v/>
      </c>
      <c r="P324" s="365">
        <f>IFERROR(VLOOKUP($G324,融外自投!$A:$J,7,0),"無")</f>
        <v>1377</v>
      </c>
      <c r="Q324" s="79" t="str">
        <f>IFERROR(VLOOKUP($G324,融外自投!$A:$J,9,0),"無")</f>
        <v>無</v>
      </c>
      <c r="R324" s="346">
        <f>IFERROR(VLOOKUP($G324,融外自投!$A:$J,8,0),"無")</f>
        <v>1298</v>
      </c>
      <c r="S324" s="81" t="str">
        <f>IFERROR(VLOOKUP($G324,融外自投!$A:$J,10,0),"無")</f>
        <v>無</v>
      </c>
      <c r="T324" s="327">
        <f>IFERROR(VLOOKUP($G324,'321買'!$A:$E,5,0),"'沒有資料'")</f>
        <v>1038</v>
      </c>
      <c r="U324" s="186">
        <f>IFERROR(VLOOKUP($G324,基本資料!$A:$J,9,0),"無")</f>
        <v>2.2999999999999998</v>
      </c>
      <c r="V324" s="310">
        <f t="shared" si="116"/>
        <v>4.2671614100185523E-2</v>
      </c>
      <c r="W324" s="94">
        <f>IFERROR(VLOOKUP($G324,基本資料!$A:$J,10,0),"無")</f>
        <v>2.97</v>
      </c>
      <c r="X324" s="36">
        <v>53.9</v>
      </c>
      <c r="Y324" s="66">
        <v>48</v>
      </c>
      <c r="Z324" s="15">
        <f t="shared" si="120"/>
        <v>5.8999999999999986</v>
      </c>
      <c r="AA324" s="63">
        <f t="shared" si="121"/>
        <v>0.12291666666666663</v>
      </c>
      <c r="AB324" s="99" t="s">
        <v>1872</v>
      </c>
      <c r="AC324" s="397">
        <f>IFERROR(VLOOKUP($G324,基本資料!$A:$M,12,0),"無")</f>
        <v>18</v>
      </c>
      <c r="AD324" s="16" t="s">
        <v>149</v>
      </c>
      <c r="AE324" s="84">
        <v>43920</v>
      </c>
      <c r="AF324" s="86">
        <v>43951</v>
      </c>
      <c r="AG324" s="33">
        <f t="shared" si="117"/>
        <v>31</v>
      </c>
      <c r="AH324" s="117" t="s">
        <v>1439</v>
      </c>
      <c r="AI324" s="259"/>
      <c r="AK324" s="245"/>
      <c r="AL324" s="245"/>
    </row>
    <row r="325" spans="1:38">
      <c r="A325" s="347">
        <f>IFERROR(VLOOKUP($G325,基本資料!$A:$J,3,0),"無")</f>
        <v>2.4500000000000002</v>
      </c>
      <c r="B325" s="79">
        <f>IFERROR(VLOOKUP($G325,基本資料!$A:$J,4,0),"無")</f>
        <v>140</v>
      </c>
      <c r="C325" s="79">
        <f>IFERROR(VLOOKUP($G325,基本資料!$A:$J,5,0),"無")</f>
        <v>149</v>
      </c>
      <c r="D325" s="79">
        <f>IFERROR(VLOOKUP($G325,基本資料!$A:$J,6,0),"無")</f>
        <v>-8</v>
      </c>
      <c r="E325" s="79">
        <f>IFERROR(VLOOKUP($G325,基本資料!$A:$J,7,0),"無")</f>
        <v>61</v>
      </c>
      <c r="F325" s="6">
        <f>IFERROR(VLOOKUP($G325,基本資料!$A:$J,8,0),"無")</f>
        <v>35.39</v>
      </c>
      <c r="G325" s="79">
        <v>6716</v>
      </c>
      <c r="H325" s="52" t="s">
        <v>3039</v>
      </c>
      <c r="I325" s="16" t="s">
        <v>1866</v>
      </c>
      <c r="J325" s="8" t="str">
        <f>IFERROR(VLOOKUP($G325,今日總結!$A:$AJ,35,0),"")</f>
        <v/>
      </c>
      <c r="K325" s="5" t="str">
        <f>IFERROR(VLOOKUP($G325,今日總結!$A:$AJ,36,0),"")</f>
        <v/>
      </c>
      <c r="L325" s="156" t="str">
        <f>IFERROR(VLOOKUP($G325,今日總結!$A:$AJ,33,0),"")</f>
        <v/>
      </c>
      <c r="M325" s="340" t="str">
        <f>IFERROR(VLOOKUP($G325,今日總結!$A:$AJ,34,0),"")</f>
        <v/>
      </c>
      <c r="N325" s="240" t="str">
        <f t="shared" ref="N325:N342" si="122">IFERROR(L325-M325,"")</f>
        <v/>
      </c>
      <c r="P325" s="365" t="str">
        <f>IFERROR(VLOOKUP($G325,融外自投!$A:$J,7,0),"無")</f>
        <v>無</v>
      </c>
      <c r="Q325" s="79" t="str">
        <f>IFERROR(VLOOKUP($G325,融外自投!$A:$J,9,0),"無")</f>
        <v>無</v>
      </c>
      <c r="R325" s="346" t="str">
        <f>IFERROR(VLOOKUP($G325,融外自投!$A:$J,8,0),"無")</f>
        <v>無</v>
      </c>
      <c r="S325" s="81" t="str">
        <f>IFERROR(VLOOKUP($G325,融外自投!$A:$J,10,0),"無")</f>
        <v>無</v>
      </c>
      <c r="T325" s="327" t="str">
        <f>IFERROR(VLOOKUP($G325,'321買'!$A:$E,5,0),"'沒有資料'")</f>
        <v>'沒有資料'</v>
      </c>
      <c r="U325" s="186">
        <f>IFERROR(VLOOKUP($G325,基本資料!$A:$J,9,0),"無")</f>
        <v>8.5</v>
      </c>
      <c r="V325" s="310">
        <f t="shared" si="116"/>
        <v>0.11888111888111888</v>
      </c>
      <c r="W325" s="94">
        <f>IFERROR(VLOOKUP($G325,基本資料!$A:$J,10,0),"無")</f>
        <v>11.52</v>
      </c>
      <c r="X325" s="36">
        <v>71.5</v>
      </c>
      <c r="Y325" s="66">
        <v>42</v>
      </c>
      <c r="Z325" s="15">
        <f t="shared" si="120"/>
        <v>29.5</v>
      </c>
      <c r="AA325" s="63">
        <f t="shared" si="121"/>
        <v>0.70238095238095233</v>
      </c>
      <c r="AB325" s="99" t="s">
        <v>1871</v>
      </c>
      <c r="AC325" s="397">
        <f>IFERROR(VLOOKUP($G325,基本資料!$A:$M,12,0),"無")</f>
        <v>32.39</v>
      </c>
      <c r="AD325" s="16" t="s">
        <v>1866</v>
      </c>
      <c r="AE325" s="84">
        <v>43917</v>
      </c>
      <c r="AF325" s="86">
        <v>43948</v>
      </c>
      <c r="AG325" s="33">
        <f t="shared" si="117"/>
        <v>31</v>
      </c>
      <c r="AH325" s="43" t="s">
        <v>1867</v>
      </c>
      <c r="AI325" s="259"/>
      <c r="AK325" s="245"/>
      <c r="AL325" s="245"/>
    </row>
    <row r="326" spans="1:38">
      <c r="A326" s="347">
        <f>IFERROR(VLOOKUP($G326,基本資料!$A:$J,3,0),"無")</f>
        <v>11.34</v>
      </c>
      <c r="B326" s="79">
        <f>IFERROR(VLOOKUP($G326,基本資料!$A:$J,4,0),"無")</f>
        <v>158</v>
      </c>
      <c r="C326" s="79">
        <f>IFERROR(VLOOKUP($G326,基本資料!$A:$J,5,0),"無")</f>
        <v>35</v>
      </c>
      <c r="D326" s="79">
        <f>IFERROR(VLOOKUP($G326,基本資料!$A:$J,6,0),"無")</f>
        <v>-12</v>
      </c>
      <c r="E326" s="79">
        <f>IFERROR(VLOOKUP($G326,基本資料!$A:$J,7,0),"無")</f>
        <v>-8</v>
      </c>
      <c r="F326" s="6">
        <f>IFERROR(VLOOKUP($G326,基本資料!$A:$J,8,0),"無")</f>
        <v>-6.18</v>
      </c>
      <c r="G326" s="79">
        <v>1449</v>
      </c>
      <c r="H326" s="4" t="s">
        <v>3172</v>
      </c>
      <c r="I326" s="22" t="s">
        <v>6131</v>
      </c>
      <c r="J326" s="8" t="str">
        <f>IFERROR(VLOOKUP($G326,今日總結!$A:$AJ,35,0),"")</f>
        <v>外</v>
      </c>
      <c r="K326" s="5">
        <f>IFERROR(VLOOKUP($G326,今日總結!$A:$AJ,36,0),"")</f>
        <v>0</v>
      </c>
      <c r="L326" s="156">
        <f>IFERROR(VLOOKUP($G326,今日總結!$A:$AJ,33,0),"")</f>
        <v>1</v>
      </c>
      <c r="M326" s="340">
        <f>IFERROR(VLOOKUP($G326,今日總結!$A:$AJ,34,0),"")</f>
        <v>0</v>
      </c>
      <c r="N326" s="240">
        <f t="shared" si="122"/>
        <v>1</v>
      </c>
      <c r="P326" s="365">
        <f>IFERROR(VLOOKUP($G326,融外自投!$A:$J,7,0),"無")</f>
        <v>833</v>
      </c>
      <c r="Q326" s="79">
        <f>IFERROR(VLOOKUP($G326,融外自投!$A:$J,9,0),"無")</f>
        <v>1</v>
      </c>
      <c r="R326" s="346">
        <f>IFERROR(VLOOKUP($G326,融外自投!$A:$J,8,0),"無")</f>
        <v>1375</v>
      </c>
      <c r="S326" s="81" t="str">
        <f>IFERROR(VLOOKUP($G326,融外自投!$A:$J,10,0),"無")</f>
        <v>無</v>
      </c>
      <c r="T326" s="327">
        <f>IFERROR(VLOOKUP($G326,'321買'!$A:$E,5,0),"'沒有資料'")</f>
        <v>1038</v>
      </c>
      <c r="U326" s="186">
        <f>IFERROR(VLOOKUP($G326,基本資料!$A:$J,9,0),"無")</f>
        <v>0</v>
      </c>
      <c r="V326" s="310">
        <f t="shared" ref="V326:V342" si="123">$U326/$X326</f>
        <v>0</v>
      </c>
      <c r="W326" s="94">
        <f>IFERROR(VLOOKUP($G326,基本資料!$A:$J,10,0),"無")</f>
        <v>0.83</v>
      </c>
      <c r="X326" s="36">
        <v>12.2</v>
      </c>
      <c r="Y326" s="66">
        <v>10</v>
      </c>
      <c r="Z326" s="15">
        <f t="shared" si="120"/>
        <v>2.1999999999999993</v>
      </c>
      <c r="AA326" s="63">
        <f t="shared" si="121"/>
        <v>0.21999999999999992</v>
      </c>
      <c r="AB326" s="99" t="s">
        <v>1122</v>
      </c>
      <c r="AC326" s="397">
        <f>IFERROR(VLOOKUP($G326,基本資料!$A:$M,12,0),"無")</f>
        <v>48.04</v>
      </c>
      <c r="AD326" s="22" t="s">
        <v>734</v>
      </c>
      <c r="AE326" s="84">
        <v>43917</v>
      </c>
      <c r="AF326" s="86">
        <v>43948</v>
      </c>
      <c r="AG326" s="33">
        <f t="shared" si="117"/>
        <v>31</v>
      </c>
      <c r="AH326" s="43" t="s">
        <v>1863</v>
      </c>
      <c r="AI326" s="259"/>
      <c r="AK326" s="245"/>
      <c r="AL326" s="245"/>
    </row>
    <row r="327" spans="1:38">
      <c r="A327" s="347">
        <f>IFERROR(VLOOKUP($G327,基本資料!$A:$J,3,0),"無")</f>
        <v>19.649999999999999</v>
      </c>
      <c r="B327" s="79">
        <f>IFERROR(VLOOKUP($G327,基本資料!$A:$J,4,0),"無")</f>
        <v>35</v>
      </c>
      <c r="C327" s="79">
        <f>IFERROR(VLOOKUP($G327,基本資料!$A:$J,5,0),"無")</f>
        <v>25</v>
      </c>
      <c r="D327" s="79">
        <f>IFERROR(VLOOKUP($G327,基本資料!$A:$J,6,0),"無")</f>
        <v>2</v>
      </c>
      <c r="E327" s="79">
        <f>IFERROR(VLOOKUP($G327,基本資料!$A:$J,7,0),"無")</f>
        <v>-50</v>
      </c>
      <c r="F327" s="6">
        <f>IFERROR(VLOOKUP($G327,基本資料!$A:$J,8,0),"無")</f>
        <v>20.71</v>
      </c>
      <c r="G327" s="80">
        <v>8086</v>
      </c>
      <c r="H327" s="52" t="s">
        <v>3039</v>
      </c>
      <c r="I327" s="16" t="s">
        <v>262</v>
      </c>
      <c r="J327" s="8" t="str">
        <f>IFERROR(VLOOKUP($G327,今日總結!$A:$AJ,35,0),"")</f>
        <v/>
      </c>
      <c r="K327" s="5" t="str">
        <f>IFERROR(VLOOKUP($G327,今日總結!$A:$AJ,36,0),"")</f>
        <v/>
      </c>
      <c r="L327" s="156" t="str">
        <f>IFERROR(VLOOKUP($G327,今日總結!$A:$AJ,33,0),"")</f>
        <v/>
      </c>
      <c r="M327" s="340" t="str">
        <f>IFERROR(VLOOKUP($G327,今日總結!$A:$AJ,34,0),"")</f>
        <v/>
      </c>
      <c r="N327" s="240" t="str">
        <f t="shared" si="122"/>
        <v/>
      </c>
      <c r="P327" s="365">
        <f>IFERROR(VLOOKUP($G327,融外自投!$A:$J,7,0),"無")</f>
        <v>193</v>
      </c>
      <c r="Q327" s="79">
        <f>IFERROR(VLOOKUP($G327,融外自投!$A:$J,9,0),"無")</f>
        <v>292</v>
      </c>
      <c r="R327" s="346">
        <f>IFERROR(VLOOKUP($G327,融外自投!$A:$J,8,0),"無")</f>
        <v>522</v>
      </c>
      <c r="S327" s="81">
        <f>IFERROR(VLOOKUP($G327,融外自投!$A:$J,10,0),"無")</f>
        <v>319</v>
      </c>
      <c r="T327" s="327">
        <f>IFERROR(VLOOKUP($G327,'321買'!$A:$E,5,0),"'沒有資料'")</f>
        <v>634</v>
      </c>
      <c r="U327" s="186">
        <f>IFERROR(VLOOKUP($G327,基本資料!$A:$J,9,0),"無")</f>
        <v>2.8</v>
      </c>
      <c r="V327" s="310">
        <f t="shared" si="123"/>
        <v>3.1782065834279227E-2</v>
      </c>
      <c r="W327" s="94">
        <f>IFERROR(VLOOKUP($G327,基本資料!$A:$J,10,0),"無")</f>
        <v>4.29</v>
      </c>
      <c r="X327" s="36">
        <v>88.1</v>
      </c>
      <c r="Y327" s="45">
        <v>75</v>
      </c>
      <c r="Z327" s="15">
        <f t="shared" si="120"/>
        <v>13.099999999999994</v>
      </c>
      <c r="AA327" s="63">
        <f t="shared" si="121"/>
        <v>0.17466666666666658</v>
      </c>
      <c r="AB327" s="100" t="s">
        <v>1862</v>
      </c>
      <c r="AC327" s="397">
        <f>IFERROR(VLOOKUP($G327,基本資料!$A:$M,12,0),"無")</f>
        <v>6.42</v>
      </c>
      <c r="AD327" s="16" t="s">
        <v>262</v>
      </c>
      <c r="AE327" s="84">
        <v>43907</v>
      </c>
      <c r="AF327" s="86">
        <v>43938</v>
      </c>
      <c r="AG327" s="33">
        <f t="shared" si="117"/>
        <v>31</v>
      </c>
      <c r="AH327" s="117" t="s">
        <v>1444</v>
      </c>
      <c r="AI327" s="259"/>
      <c r="AK327" s="245"/>
      <c r="AL327" s="245"/>
    </row>
    <row r="328" spans="1:38">
      <c r="A328" s="347">
        <f>IFERROR(VLOOKUP($G328,基本資料!$A:$J,3,0),"無")</f>
        <v>3.38</v>
      </c>
      <c r="B328" s="79">
        <f>IFERROR(VLOOKUP($G328,基本資料!$A:$J,4,0),"無")</f>
        <v>17</v>
      </c>
      <c r="C328" s="79">
        <f>IFERROR(VLOOKUP($G328,基本資料!$A:$J,5,0),"無")</f>
        <v>24</v>
      </c>
      <c r="D328" s="79">
        <f>IFERROR(VLOOKUP($G328,基本資料!$A:$J,6,0),"無")</f>
        <v>10</v>
      </c>
      <c r="E328" s="79">
        <f>IFERROR(VLOOKUP($G328,基本資料!$A:$J,7,0),"無")</f>
        <v>-10</v>
      </c>
      <c r="F328" s="6">
        <f>IFERROR(VLOOKUP($G328,基本資料!$A:$J,8,0),"無")</f>
        <v>9.76</v>
      </c>
      <c r="G328" s="80">
        <v>4581</v>
      </c>
      <c r="H328" s="4" t="s">
        <v>301</v>
      </c>
      <c r="I328" s="22" t="s">
        <v>1808</v>
      </c>
      <c r="J328" s="8" t="str">
        <f>IFERROR(VLOOKUP($G328,今日總結!$A:$AJ,35,0),"")</f>
        <v/>
      </c>
      <c r="K328" s="5" t="str">
        <f>IFERROR(VLOOKUP($G328,今日總結!$A:$AJ,36,0),"")</f>
        <v/>
      </c>
      <c r="L328" s="156" t="str">
        <f>IFERROR(VLOOKUP($G328,今日總結!$A:$AJ,33,0),"")</f>
        <v/>
      </c>
      <c r="M328" s="340" t="str">
        <f>IFERROR(VLOOKUP($G328,今日總結!$A:$AJ,34,0),"")</f>
        <v/>
      </c>
      <c r="N328" s="240" t="str">
        <f t="shared" si="122"/>
        <v/>
      </c>
      <c r="P328" s="365">
        <f>IFERROR(VLOOKUP($G328,融外自投!$A:$J,7,0),"無")</f>
        <v>1280</v>
      </c>
      <c r="Q328" s="79">
        <f>IFERROR(VLOOKUP($G328,融外自投!$A:$J,9,0),"無")</f>
        <v>1051</v>
      </c>
      <c r="R328" s="346">
        <f>IFERROR(VLOOKUP($G328,融外自投!$A:$J,8,0),"無")</f>
        <v>207</v>
      </c>
      <c r="S328" s="81" t="str">
        <f>IFERROR(VLOOKUP($G328,融外自投!$A:$J,10,0),"無")</f>
        <v>無</v>
      </c>
      <c r="T328" s="327">
        <f>IFERROR(VLOOKUP($G328,'321買'!$A:$E,5,0),"'沒有資料'")</f>
        <v>1408</v>
      </c>
      <c r="U328" s="186">
        <f>IFERROR(VLOOKUP($G328,基本資料!$A:$J,9,0),"無")</f>
        <v>1.5</v>
      </c>
      <c r="V328" s="310">
        <f t="shared" si="123"/>
        <v>3.9267015706806283E-2</v>
      </c>
      <c r="W328" s="94">
        <f>IFERROR(VLOOKUP($G328,基本資料!$A:$J,10,0),"無")</f>
        <v>2.38</v>
      </c>
      <c r="X328" s="36">
        <v>38.200000000000003</v>
      </c>
      <c r="Y328" s="66">
        <v>35</v>
      </c>
      <c r="Z328" s="15">
        <f t="shared" si="120"/>
        <v>3.2000000000000028</v>
      </c>
      <c r="AA328" s="63">
        <f t="shared" si="121"/>
        <v>9.1428571428571512E-2</v>
      </c>
      <c r="AB328" s="99" t="s">
        <v>1850</v>
      </c>
      <c r="AC328" s="397">
        <f>IFERROR(VLOOKUP($G328,基本資料!$A:$M,12,0),"無")</f>
        <v>19.86</v>
      </c>
      <c r="AD328" s="22" t="s">
        <v>1808</v>
      </c>
      <c r="AE328" s="84">
        <v>43899</v>
      </c>
      <c r="AF328" s="86">
        <v>43930</v>
      </c>
      <c r="AG328" s="33">
        <f t="shared" si="117"/>
        <v>31</v>
      </c>
      <c r="AH328" s="119" t="s">
        <v>1851</v>
      </c>
      <c r="AI328" s="259"/>
      <c r="AK328" s="245"/>
      <c r="AL328" s="245"/>
    </row>
    <row r="329" spans="1:38">
      <c r="A329" s="347">
        <f>IFERROR(VLOOKUP($G329,基本資料!$A:$J,3,0),"無")</f>
        <v>3.2</v>
      </c>
      <c r="B329" s="79">
        <f>IFERROR(VLOOKUP($G329,基本資料!$A:$J,4,0),"無")</f>
        <v>-34</v>
      </c>
      <c r="C329" s="79">
        <f>IFERROR(VLOOKUP($G329,基本資料!$A:$J,5,0),"無")</f>
        <v>0</v>
      </c>
      <c r="D329" s="79">
        <f>IFERROR(VLOOKUP($G329,基本資料!$A:$J,6,0),"無")</f>
        <v>-37</v>
      </c>
      <c r="E329" s="79">
        <f>IFERROR(VLOOKUP($G329,基本資料!$A:$J,7,0),"無")</f>
        <v>7</v>
      </c>
      <c r="F329" s="6">
        <f>IFERROR(VLOOKUP($G329,基本資料!$A:$J,8,0),"無")</f>
        <v>-44.6</v>
      </c>
      <c r="G329" s="80">
        <v>2743</v>
      </c>
      <c r="H329" s="54" t="s">
        <v>303</v>
      </c>
      <c r="I329" s="16" t="s">
        <v>1806</v>
      </c>
      <c r="J329" s="8">
        <f>IFERROR(VLOOKUP($G329,今日總結!$A:$AJ,35,0),"")</f>
        <v>0</v>
      </c>
      <c r="K329" s="5">
        <f>IFERROR(VLOOKUP($G329,今日總結!$A:$AJ,36,0),"")</f>
        <v>342</v>
      </c>
      <c r="L329" s="156">
        <f>IFERROR(VLOOKUP($G329,今日總結!$A:$AJ,33,0),"")</f>
        <v>0</v>
      </c>
      <c r="M329" s="340">
        <f>IFERROR(VLOOKUP($G329,今日總結!$A:$AJ,34,0),"")</f>
        <v>4</v>
      </c>
      <c r="N329" s="240">
        <f t="shared" si="122"/>
        <v>-4</v>
      </c>
      <c r="P329" s="365">
        <f>IFERROR(VLOOKUP($G329,融外自投!$A:$J,7,0),"無")</f>
        <v>33</v>
      </c>
      <c r="Q329" s="79" t="str">
        <f>IFERROR(VLOOKUP($G329,融外自投!$A:$J,9,0),"無")</f>
        <v>無</v>
      </c>
      <c r="R329" s="346">
        <f>IFERROR(VLOOKUP($G329,融外自投!$A:$J,8,0),"無")</f>
        <v>1193</v>
      </c>
      <c r="S329" s="81" t="str">
        <f>IFERROR(VLOOKUP($G329,融外自投!$A:$J,10,0),"無")</f>
        <v>無</v>
      </c>
      <c r="T329" s="327">
        <f>IFERROR(VLOOKUP($G329,'321買'!$A:$E,5,0),"'沒有資料'")</f>
        <v>802</v>
      </c>
      <c r="U329" s="186">
        <f>IFERROR(VLOOKUP($G329,基本資料!$A:$J,9,0),"無")</f>
        <v>0</v>
      </c>
      <c r="V329" s="310">
        <f t="shared" si="123"/>
        <v>0</v>
      </c>
      <c r="W329" s="94">
        <f>IFERROR(VLOOKUP($G329,基本資料!$A:$J,10,0),"無")</f>
        <v>-1.64</v>
      </c>
      <c r="X329" s="36">
        <v>12.25</v>
      </c>
      <c r="Y329" s="66">
        <v>12.5</v>
      </c>
      <c r="Z329" s="15">
        <f t="shared" si="120"/>
        <v>-0.25</v>
      </c>
      <c r="AA329" s="76">
        <f t="shared" si="121"/>
        <v>-0.02</v>
      </c>
      <c r="AB329" s="99" t="s">
        <v>1666</v>
      </c>
      <c r="AC329" s="397">
        <f>IFERROR(VLOOKUP($G329,基本資料!$A:$M,12,0),"無")</f>
        <v>90.87</v>
      </c>
      <c r="AD329" s="16" t="s">
        <v>1806</v>
      </c>
      <c r="AE329" s="84">
        <v>43899</v>
      </c>
      <c r="AF329" s="86">
        <v>43930</v>
      </c>
      <c r="AG329" s="33">
        <f t="shared" si="117"/>
        <v>31</v>
      </c>
      <c r="AH329" s="43" t="s">
        <v>1543</v>
      </c>
      <c r="AI329" s="259"/>
      <c r="AK329" s="245"/>
      <c r="AL329" s="245"/>
    </row>
    <row r="330" spans="1:38">
      <c r="A330" s="347">
        <f>IFERROR(VLOOKUP($G330,基本資料!$A:$J,3,0),"無")</f>
        <v>3.91</v>
      </c>
      <c r="B330" s="79">
        <f>IFERROR(VLOOKUP($G330,基本資料!$A:$J,4,0),"無")</f>
        <v>76</v>
      </c>
      <c r="C330" s="79">
        <f>IFERROR(VLOOKUP($G330,基本資料!$A:$J,5,0),"無")</f>
        <v>47</v>
      </c>
      <c r="D330" s="79">
        <f>IFERROR(VLOOKUP($G330,基本資料!$A:$J,6,0),"無")</f>
        <v>-28</v>
      </c>
      <c r="E330" s="79">
        <f>IFERROR(VLOOKUP($G330,基本資料!$A:$J,7,0),"無")</f>
        <v>-28</v>
      </c>
      <c r="F330" s="6">
        <f>IFERROR(VLOOKUP($G330,基本資料!$A:$J,8,0),"無")</f>
        <v>10.4</v>
      </c>
      <c r="G330" s="80">
        <v>3597</v>
      </c>
      <c r="H330" s="54" t="s">
        <v>329</v>
      </c>
      <c r="I330" s="16" t="s">
        <v>1807</v>
      </c>
      <c r="J330" s="8" t="str">
        <f>IFERROR(VLOOKUP($G330,今日總結!$A:$AJ,35,0),"")</f>
        <v/>
      </c>
      <c r="K330" s="5" t="str">
        <f>IFERROR(VLOOKUP($G330,今日總結!$A:$AJ,36,0),"")</f>
        <v/>
      </c>
      <c r="L330" s="156" t="str">
        <f>IFERROR(VLOOKUP($G330,今日總結!$A:$AJ,33,0),"")</f>
        <v/>
      </c>
      <c r="M330" s="340" t="str">
        <f>IFERROR(VLOOKUP($G330,今日總結!$A:$AJ,34,0),"")</f>
        <v/>
      </c>
      <c r="N330" s="240" t="str">
        <f t="shared" si="122"/>
        <v/>
      </c>
      <c r="P330" s="365">
        <f>IFERROR(VLOOKUP($G330,融外自投!$A:$J,7,0),"無")</f>
        <v>487</v>
      </c>
      <c r="Q330" s="79" t="str">
        <f>IFERROR(VLOOKUP($G330,融外自投!$A:$J,9,0),"無")</f>
        <v>無</v>
      </c>
      <c r="R330" s="346">
        <f>IFERROR(VLOOKUP($G330,融外自投!$A:$J,8,0),"無")</f>
        <v>1390</v>
      </c>
      <c r="S330" s="81" t="str">
        <f>IFERROR(VLOOKUP($G330,融外自投!$A:$J,10,0),"無")</f>
        <v>無</v>
      </c>
      <c r="T330" s="327" t="str">
        <f>IFERROR(VLOOKUP($G330,'321買'!$A:$E,5,0),"'沒有資料'")</f>
        <v>'沒有資料'</v>
      </c>
      <c r="U330" s="186">
        <f>IFERROR(VLOOKUP($G330,基本資料!$A:$J,9,0),"無")</f>
        <v>1.7</v>
      </c>
      <c r="V330" s="310">
        <f t="shared" si="123"/>
        <v>0.10967741935483871</v>
      </c>
      <c r="W330" s="94">
        <f>IFERROR(VLOOKUP($G330,基本資料!$A:$J,10,0),"無")</f>
        <v>2.1</v>
      </c>
      <c r="X330" s="36">
        <v>15.5</v>
      </c>
      <c r="Y330" s="66">
        <v>15.5</v>
      </c>
      <c r="Z330" s="15">
        <f t="shared" si="120"/>
        <v>0</v>
      </c>
      <c r="AA330" s="63">
        <f t="shared" si="121"/>
        <v>0</v>
      </c>
      <c r="AB330" s="99" t="s">
        <v>1734</v>
      </c>
      <c r="AC330" s="397">
        <f>IFERROR(VLOOKUP($G330,基本資料!$A:$M,12,0),"無")</f>
        <v>17.27</v>
      </c>
      <c r="AD330" s="16" t="s">
        <v>1807</v>
      </c>
      <c r="AE330" s="84">
        <v>43899</v>
      </c>
      <c r="AF330" s="86">
        <v>43930</v>
      </c>
      <c r="AG330" s="33">
        <f t="shared" si="117"/>
        <v>31</v>
      </c>
      <c r="AH330" s="43" t="s">
        <v>1883</v>
      </c>
      <c r="AI330" s="259"/>
      <c r="AK330" s="245"/>
      <c r="AL330" s="245"/>
    </row>
    <row r="331" spans="1:38">
      <c r="A331" s="347">
        <f>IFERROR(VLOOKUP($G331,基本資料!$A:$J,3,0),"無")</f>
        <v>7.79</v>
      </c>
      <c r="B331" s="79">
        <f>IFERROR(VLOOKUP($G331,基本資料!$A:$J,4,0),"無")</f>
        <v>35</v>
      </c>
      <c r="C331" s="79">
        <f>IFERROR(VLOOKUP($G331,基本資料!$A:$J,5,0),"無")</f>
        <v>-16</v>
      </c>
      <c r="D331" s="79">
        <f>IFERROR(VLOOKUP($G331,基本資料!$A:$J,6,0),"無")</f>
        <v>61</v>
      </c>
      <c r="E331" s="79">
        <f>IFERROR(VLOOKUP($G331,基本資料!$A:$J,7,0),"無")</f>
        <v>35</v>
      </c>
      <c r="F331" s="6">
        <f>IFERROR(VLOOKUP($G331,基本資料!$A:$J,8,0),"無")</f>
        <v>5.23</v>
      </c>
      <c r="G331" s="80">
        <v>3483</v>
      </c>
      <c r="H331" s="54" t="s">
        <v>1146</v>
      </c>
      <c r="I331" s="16" t="s">
        <v>6115</v>
      </c>
      <c r="J331" s="8" t="str">
        <f>IFERROR(VLOOKUP($G331,今日總結!$A:$AJ,35,0),"")</f>
        <v/>
      </c>
      <c r="K331" s="5" t="str">
        <f>IFERROR(VLOOKUP($G331,今日總結!$A:$AJ,36,0),"")</f>
        <v/>
      </c>
      <c r="L331" s="156" t="str">
        <f>IFERROR(VLOOKUP($G331,今日總結!$A:$AJ,33,0),"")</f>
        <v/>
      </c>
      <c r="M331" s="340" t="str">
        <f>IFERROR(VLOOKUP($G331,今日總結!$A:$AJ,34,0),"")</f>
        <v/>
      </c>
      <c r="N331" s="240" t="str">
        <f t="shared" si="122"/>
        <v/>
      </c>
      <c r="P331" s="365">
        <f>IFERROR(VLOOKUP($G331,融外自投!$A:$J,7,0),"無")</f>
        <v>11</v>
      </c>
      <c r="Q331" s="79">
        <f>IFERROR(VLOOKUP($G331,融外自投!$A:$J,9,0),"無")</f>
        <v>586</v>
      </c>
      <c r="R331" s="346">
        <f>IFERROR(VLOOKUP($G331,融外自投!$A:$J,8,0),"無")</f>
        <v>1173</v>
      </c>
      <c r="S331" s="81">
        <f>IFERROR(VLOOKUP($G331,融外自投!$A:$J,10,0),"無")</f>
        <v>272</v>
      </c>
      <c r="T331" s="327">
        <f>IFERROR(VLOOKUP($G331,'321買'!$A:$E,5,0),"'沒有資料'")</f>
        <v>416</v>
      </c>
      <c r="U331" s="186">
        <f>IFERROR(VLOOKUP($G331,基本資料!$A:$J,9,0),"無")</f>
        <v>3</v>
      </c>
      <c r="V331" s="310">
        <f t="shared" si="123"/>
        <v>6.3829787234042548E-2</v>
      </c>
      <c r="W331" s="94">
        <f>IFERROR(VLOOKUP($G331,基本資料!$A:$J,10,0),"無")</f>
        <v>5.34</v>
      </c>
      <c r="X331" s="36">
        <v>47</v>
      </c>
      <c r="Y331" s="45">
        <v>40</v>
      </c>
      <c r="Z331" s="15">
        <f t="shared" si="120"/>
        <v>7</v>
      </c>
      <c r="AA331" s="63">
        <f t="shared" si="121"/>
        <v>0.17499999999999999</v>
      </c>
      <c r="AB331" s="99" t="s">
        <v>1124</v>
      </c>
      <c r="AC331" s="397">
        <f>IFERROR(VLOOKUP($G331,基本資料!$A:$M,12,0),"無")</f>
        <v>18.72</v>
      </c>
      <c r="AD331" s="16" t="s">
        <v>472</v>
      </c>
      <c r="AE331" s="84">
        <v>43895</v>
      </c>
      <c r="AF331" s="86">
        <v>43927</v>
      </c>
      <c r="AG331" s="33">
        <f t="shared" si="117"/>
        <v>32</v>
      </c>
      <c r="AH331" s="43" t="s">
        <v>1507</v>
      </c>
      <c r="AI331" s="259"/>
      <c r="AK331" s="245"/>
      <c r="AL331" s="245"/>
    </row>
    <row r="332" spans="1:38">
      <c r="A332" s="347">
        <f>IFERROR(VLOOKUP($G332,基本資料!$A:$J,3,0),"無")</f>
        <v>6.85</v>
      </c>
      <c r="B332" s="79">
        <f>IFERROR(VLOOKUP($G332,基本資料!$A:$J,4,0),"無")</f>
        <v>29</v>
      </c>
      <c r="C332" s="79">
        <f>IFERROR(VLOOKUP($G332,基本資料!$A:$J,5,0),"無")</f>
        <v>362</v>
      </c>
      <c r="D332" s="79">
        <f>IFERROR(VLOOKUP($G332,基本資料!$A:$J,6,0),"無")</f>
        <v>9</v>
      </c>
      <c r="E332" s="79">
        <f>IFERROR(VLOOKUP($G332,基本資料!$A:$J,7,0),"無")</f>
        <v>8</v>
      </c>
      <c r="F332" s="6">
        <f>IFERROR(VLOOKUP($G332,基本資料!$A:$J,8,0),"無")</f>
        <v>21.35</v>
      </c>
      <c r="G332" s="80">
        <v>6472</v>
      </c>
      <c r="H332" s="4" t="s">
        <v>4726</v>
      </c>
      <c r="I332" s="16" t="s">
        <v>620</v>
      </c>
      <c r="J332" s="8" t="str">
        <f>IFERROR(VLOOKUP($G332,今日總結!$A:$AJ,35,0),"")</f>
        <v/>
      </c>
      <c r="K332" s="5" t="str">
        <f>IFERROR(VLOOKUP($G332,今日總結!$A:$AJ,36,0),"")</f>
        <v/>
      </c>
      <c r="L332" s="156" t="str">
        <f>IFERROR(VLOOKUP($G332,今日總結!$A:$AJ,33,0),"")</f>
        <v/>
      </c>
      <c r="M332" s="340" t="str">
        <f>IFERROR(VLOOKUP($G332,今日總結!$A:$AJ,34,0),"")</f>
        <v/>
      </c>
      <c r="N332" s="240" t="str">
        <f t="shared" si="122"/>
        <v/>
      </c>
      <c r="P332" s="365">
        <f>IFERROR(VLOOKUP($G332,融外自投!$A:$J,7,0),"無")</f>
        <v>809</v>
      </c>
      <c r="Q332" s="79">
        <f>IFERROR(VLOOKUP($G332,融外自投!$A:$J,9,0),"無")</f>
        <v>395</v>
      </c>
      <c r="R332" s="346">
        <f>IFERROR(VLOOKUP($G332,融外自投!$A:$J,8,0),"無")</f>
        <v>689</v>
      </c>
      <c r="S332" s="81">
        <f>IFERROR(VLOOKUP($G332,融外自投!$A:$J,10,0),"無")</f>
        <v>200</v>
      </c>
      <c r="T332" s="327">
        <f>IFERROR(VLOOKUP($G332,'321買'!$A:$E,5,0),"'沒有資料'")</f>
        <v>1066</v>
      </c>
      <c r="U332" s="186">
        <f>IFERROR(VLOOKUP($G332,基本資料!$A:$J,9,0),"無")</f>
        <v>4.5</v>
      </c>
      <c r="V332" s="310">
        <f t="shared" si="123"/>
        <v>4.1666666666666664E-2</v>
      </c>
      <c r="W332" s="94">
        <f>IFERROR(VLOOKUP($G332,基本資料!$A:$J,10,0),"無")</f>
        <v>11.04</v>
      </c>
      <c r="X332" s="36">
        <v>108</v>
      </c>
      <c r="Y332" s="66">
        <v>120</v>
      </c>
      <c r="Z332" s="15">
        <f t="shared" si="120"/>
        <v>-12</v>
      </c>
      <c r="AA332" s="76">
        <f t="shared" si="121"/>
        <v>-0.1</v>
      </c>
      <c r="AB332" s="99" t="s">
        <v>1805</v>
      </c>
      <c r="AC332" s="397">
        <f>IFERROR(VLOOKUP($G332,基本資料!$A:$M,12,0),"無")</f>
        <v>15.98</v>
      </c>
      <c r="AD332" s="16" t="s">
        <v>620</v>
      </c>
      <c r="AE332" s="84">
        <v>43880</v>
      </c>
      <c r="AF332" s="86">
        <v>43909</v>
      </c>
      <c r="AG332" s="33">
        <f t="shared" si="117"/>
        <v>29</v>
      </c>
      <c r="AH332" s="43" t="s">
        <v>1516</v>
      </c>
      <c r="AI332" s="259"/>
      <c r="AK332" s="245"/>
      <c r="AL332" s="245"/>
    </row>
    <row r="333" spans="1:38" ht="17.25" customHeight="1">
      <c r="A333" s="347">
        <f>IFERROR(VLOOKUP($G333,基本資料!$A:$J,3,0),"無")</f>
        <v>22.63</v>
      </c>
      <c r="B333" s="79">
        <f>IFERROR(VLOOKUP($G333,基本資料!$A:$J,4,0),"無")</f>
        <v>-146</v>
      </c>
      <c r="C333" s="79">
        <f>IFERROR(VLOOKUP($G333,基本資料!$A:$J,5,0),"無")</f>
        <v>38</v>
      </c>
      <c r="D333" s="79">
        <f>IFERROR(VLOOKUP($G333,基本資料!$A:$J,6,0),"無")</f>
        <v>-7</v>
      </c>
      <c r="E333" s="79">
        <f>IFERROR(VLOOKUP($G333,基本資料!$A:$J,7,0),"無")</f>
        <v>-20</v>
      </c>
      <c r="F333" s="6">
        <f>IFERROR(VLOOKUP($G333,基本資料!$A:$J,8,0),"無")</f>
        <v>-24.6</v>
      </c>
      <c r="G333" s="80">
        <v>5324</v>
      </c>
      <c r="H333" s="4" t="s">
        <v>4003</v>
      </c>
      <c r="I333" s="16" t="s">
        <v>886</v>
      </c>
      <c r="J333" s="8" t="str">
        <f>IFERROR(VLOOKUP($G333,今日總結!$A:$AJ,35,0),"")</f>
        <v/>
      </c>
      <c r="K333" s="5" t="str">
        <f>IFERROR(VLOOKUP($G333,今日總結!$A:$AJ,36,0),"")</f>
        <v/>
      </c>
      <c r="L333" s="156" t="str">
        <f>IFERROR(VLOOKUP($G333,今日總結!$A:$AJ,33,0),"")</f>
        <v/>
      </c>
      <c r="M333" s="340" t="str">
        <f>IFERROR(VLOOKUP($G333,今日總結!$A:$AJ,34,0),"")</f>
        <v/>
      </c>
      <c r="N333" s="240" t="str">
        <f t="shared" si="122"/>
        <v/>
      </c>
      <c r="P333" s="365" t="str">
        <f>IFERROR(VLOOKUP($G333,融外自投!$A:$J,7,0),"無")</f>
        <v>無</v>
      </c>
      <c r="Q333" s="79" t="str">
        <f>IFERROR(VLOOKUP($G333,融外自投!$A:$J,9,0),"無")</f>
        <v>無</v>
      </c>
      <c r="R333" s="346" t="str">
        <f>IFERROR(VLOOKUP($G333,融外自投!$A:$J,8,0),"無")</f>
        <v>無</v>
      </c>
      <c r="S333" s="81" t="str">
        <f>IFERROR(VLOOKUP($G333,融外自投!$A:$J,10,0),"無")</f>
        <v>無</v>
      </c>
      <c r="T333" s="327" t="str">
        <f>IFERROR(VLOOKUP($G333,'321買'!$A:$E,5,0),"'沒有資料'")</f>
        <v>'沒有資料'</v>
      </c>
      <c r="U333" s="186">
        <f>IFERROR(VLOOKUP($G333,基本資料!$A:$J,9,0),"無")</f>
        <v>0</v>
      </c>
      <c r="V333" s="310">
        <f t="shared" si="123"/>
        <v>0</v>
      </c>
      <c r="W333" s="94">
        <f>IFERROR(VLOOKUP($G333,基本資料!$A:$J,10,0),"無")</f>
        <v>-0.64</v>
      </c>
      <c r="X333" s="36">
        <v>7.35</v>
      </c>
      <c r="Y333" s="66">
        <v>9.5</v>
      </c>
      <c r="Z333" s="15">
        <f t="shared" si="120"/>
        <v>-2.1500000000000004</v>
      </c>
      <c r="AA333" s="76">
        <f t="shared" si="121"/>
        <v>-0.22631578947368425</v>
      </c>
      <c r="AB333" s="100" t="s">
        <v>1894</v>
      </c>
      <c r="AC333" s="397">
        <f>IFERROR(VLOOKUP($G333,基本資料!$A:$M,12,0),"無")</f>
        <v>64.510000000000005</v>
      </c>
      <c r="AD333" s="16" t="s">
        <v>886</v>
      </c>
      <c r="AE333" s="84">
        <v>43875</v>
      </c>
      <c r="AF333" s="86">
        <v>43906</v>
      </c>
      <c r="AG333" s="33">
        <f t="shared" si="117"/>
        <v>31</v>
      </c>
      <c r="AH333" s="43" t="s">
        <v>1542</v>
      </c>
      <c r="AI333" s="259"/>
      <c r="AK333" s="245"/>
      <c r="AL333" s="245"/>
    </row>
    <row r="334" spans="1:38">
      <c r="A334" s="347">
        <f>IFERROR(VLOOKUP($G334,基本資料!$A:$J,3,0),"無")</f>
        <v>7.1</v>
      </c>
      <c r="B334" s="79">
        <f>IFERROR(VLOOKUP($G334,基本資料!$A:$J,4,0),"無")</f>
        <v>71</v>
      </c>
      <c r="C334" s="79">
        <f>IFERROR(VLOOKUP($G334,基本資料!$A:$J,5,0),"無")</f>
        <v>65</v>
      </c>
      <c r="D334" s="79">
        <f>IFERROR(VLOOKUP($G334,基本資料!$A:$J,6,0),"無")</f>
        <v>-9</v>
      </c>
      <c r="E334" s="79">
        <f>IFERROR(VLOOKUP($G334,基本資料!$A:$J,7,0),"無")</f>
        <v>19</v>
      </c>
      <c r="F334" s="6">
        <f>IFERROR(VLOOKUP($G334,基本資料!$A:$J,8,0),"無")</f>
        <v>16.79</v>
      </c>
      <c r="G334" s="80">
        <v>6438</v>
      </c>
      <c r="H334" s="4" t="s">
        <v>314</v>
      </c>
      <c r="I334" s="16" t="s">
        <v>4688</v>
      </c>
      <c r="J334" s="8" t="str">
        <f>IFERROR(VLOOKUP($G334,今日總結!$A:$AJ,35,0),"")</f>
        <v/>
      </c>
      <c r="K334" s="5" t="str">
        <f>IFERROR(VLOOKUP($G334,今日總結!$A:$AJ,36,0),"")</f>
        <v/>
      </c>
      <c r="L334" s="156" t="str">
        <f>IFERROR(VLOOKUP($G334,今日總結!$A:$AJ,33,0),"")</f>
        <v/>
      </c>
      <c r="M334" s="340" t="str">
        <f>IFERROR(VLOOKUP($G334,今日總結!$A:$AJ,34,0),"")</f>
        <v/>
      </c>
      <c r="N334" s="240" t="str">
        <f t="shared" si="122"/>
        <v/>
      </c>
      <c r="P334" s="365">
        <f>IFERROR(VLOOKUP($G334,融外自投!$A:$J,7,0),"無")</f>
        <v>121</v>
      </c>
      <c r="Q334" s="79">
        <f>IFERROR(VLOOKUP($G334,融外自投!$A:$J,9,0),"無")</f>
        <v>485</v>
      </c>
      <c r="R334" s="346">
        <f>IFERROR(VLOOKUP($G334,融外自投!$A:$J,8,0),"無")</f>
        <v>386</v>
      </c>
      <c r="S334" s="81">
        <f>IFERROR(VLOOKUP($G334,融外自投!$A:$J,10,0),"無")</f>
        <v>42</v>
      </c>
      <c r="T334" s="327">
        <f>IFERROR(VLOOKUP($G334,'321買'!$A:$E,5,0),"'沒有資料'")</f>
        <v>207</v>
      </c>
      <c r="U334" s="186">
        <f>IFERROR(VLOOKUP($G334,基本資料!$A:$J,9,0),"無")</f>
        <v>6.5</v>
      </c>
      <c r="V334" s="310">
        <f t="shared" si="123"/>
        <v>0.14069264069264067</v>
      </c>
      <c r="W334" s="94">
        <f>IFERROR(VLOOKUP($G334,基本資料!$A:$J,10,0),"無")</f>
        <v>10.15</v>
      </c>
      <c r="X334" s="36">
        <v>46.2</v>
      </c>
      <c r="Y334" s="45">
        <v>68</v>
      </c>
      <c r="Z334" s="15">
        <f t="shared" si="120"/>
        <v>-21.799999999999997</v>
      </c>
      <c r="AA334" s="76">
        <f t="shared" si="121"/>
        <v>-0.32058823529411762</v>
      </c>
      <c r="AB334" s="99" t="s">
        <v>1804</v>
      </c>
      <c r="AC334" s="397">
        <f>IFERROR(VLOOKUP($G334,基本資料!$A:$M,12,0),"無")</f>
        <v>12.66</v>
      </c>
      <c r="AD334" s="16" t="s">
        <v>484</v>
      </c>
      <c r="AE334" s="84">
        <v>43874</v>
      </c>
      <c r="AF334" s="86">
        <v>43903</v>
      </c>
      <c r="AG334" s="33">
        <f t="shared" ref="AG334:AG342" si="124">AF334-AE334</f>
        <v>29</v>
      </c>
      <c r="AH334" s="43" t="s">
        <v>1509</v>
      </c>
      <c r="AI334" s="259"/>
      <c r="AK334" s="245"/>
      <c r="AL334" s="245"/>
    </row>
    <row r="335" spans="1:38">
      <c r="A335" s="347">
        <f>IFERROR(VLOOKUP($G335,基本資料!$A:$J,3,0),"無")</f>
        <v>22.04</v>
      </c>
      <c r="B335" s="79">
        <f>IFERROR(VLOOKUP($G335,基本資料!$A:$J,4,0),"無")</f>
        <v>309</v>
      </c>
      <c r="C335" s="79">
        <f>IFERROR(VLOOKUP($G335,基本資料!$A:$J,5,0),"無")</f>
        <v>226</v>
      </c>
      <c r="D335" s="79">
        <f>IFERROR(VLOOKUP($G335,基本資料!$A:$J,6,0),"無")</f>
        <v>2795</v>
      </c>
      <c r="E335" s="79">
        <f>IFERROR(VLOOKUP($G335,基本資料!$A:$J,7,0),"無")</f>
        <v>7583</v>
      </c>
      <c r="F335" s="6">
        <f>IFERROR(VLOOKUP($G335,基本資料!$A:$J,8,0),"無")</f>
        <v>29.37</v>
      </c>
      <c r="G335" s="81">
        <v>6547</v>
      </c>
      <c r="H335" s="4" t="s">
        <v>4726</v>
      </c>
      <c r="I335" s="16" t="s">
        <v>1088</v>
      </c>
      <c r="J335" s="8" t="str">
        <f>IFERROR(VLOOKUP($G335,今日總結!$A:$AJ,35,0),"")</f>
        <v/>
      </c>
      <c r="K335" s="5" t="str">
        <f>IFERROR(VLOOKUP($G335,今日總結!$A:$AJ,36,0),"")</f>
        <v/>
      </c>
      <c r="L335" s="156" t="str">
        <f>IFERROR(VLOOKUP($G335,今日總結!$A:$AJ,33,0),"")</f>
        <v/>
      </c>
      <c r="M335" s="340" t="str">
        <f>IFERROR(VLOOKUP($G335,今日總結!$A:$AJ,34,0),"")</f>
        <v/>
      </c>
      <c r="N335" s="240" t="str">
        <f t="shared" si="122"/>
        <v/>
      </c>
      <c r="P335" s="365" t="str">
        <f>IFERROR(VLOOKUP($G335,融外自投!$A:$J,7,0),"無")</f>
        <v>無</v>
      </c>
      <c r="Q335" s="79" t="str">
        <f>IFERROR(VLOOKUP($G335,融外自投!$A:$J,9,0),"無")</f>
        <v>無</v>
      </c>
      <c r="R335" s="346" t="str">
        <f>IFERROR(VLOOKUP($G335,融外自投!$A:$J,8,0),"無")</f>
        <v>無</v>
      </c>
      <c r="S335" s="81" t="str">
        <f>IFERROR(VLOOKUP($G335,融外自投!$A:$J,10,0),"無")</f>
        <v>無</v>
      </c>
      <c r="T335" s="327" t="str">
        <f>IFERROR(VLOOKUP($G335,'321買'!$A:$E,5,0),"'沒有資料'")</f>
        <v>'沒有資料'</v>
      </c>
      <c r="U335" s="186">
        <f>IFERROR(VLOOKUP($G335,基本資料!$A:$J,9,0),"無")</f>
        <v>5</v>
      </c>
      <c r="V335" s="310">
        <f t="shared" si="123"/>
        <v>9.4876660341555966E-2</v>
      </c>
      <c r="W335" s="94">
        <f>IFERROR(VLOOKUP($G335,基本資料!$A:$J,10,0),"無")</f>
        <v>6.65</v>
      </c>
      <c r="X335" s="36">
        <v>52.7</v>
      </c>
      <c r="Y335" s="66">
        <v>26</v>
      </c>
      <c r="Z335" s="15">
        <f t="shared" si="120"/>
        <v>26.700000000000003</v>
      </c>
      <c r="AA335" s="169">
        <f t="shared" si="121"/>
        <v>1.026923076923077</v>
      </c>
      <c r="AB335" s="99" t="s">
        <v>1847</v>
      </c>
      <c r="AC335" s="397">
        <f>IFERROR(VLOOKUP($G335,基本資料!$A:$M,12,0),"無")</f>
        <v>24.21</v>
      </c>
      <c r="AD335" s="16" t="s">
        <v>1088</v>
      </c>
      <c r="AE335" s="84">
        <v>43865</v>
      </c>
      <c r="AF335" s="86">
        <v>43894</v>
      </c>
      <c r="AG335" s="33">
        <f t="shared" si="124"/>
        <v>29</v>
      </c>
      <c r="AH335" s="43" t="s">
        <v>1901</v>
      </c>
      <c r="AI335" s="259"/>
      <c r="AK335" s="245"/>
      <c r="AL335" s="245"/>
    </row>
    <row r="336" spans="1:38">
      <c r="A336" s="347">
        <f>IFERROR(VLOOKUP($G336,基本資料!$A:$J,3,0),"無")</f>
        <v>14.11</v>
      </c>
      <c r="B336" s="79">
        <f>IFERROR(VLOOKUP($G336,基本資料!$A:$J,4,0),"無")</f>
        <v>7</v>
      </c>
      <c r="C336" s="79">
        <f>IFERROR(VLOOKUP($G336,基本資料!$A:$J,5,0),"無")</f>
        <v>12</v>
      </c>
      <c r="D336" s="79">
        <f>IFERROR(VLOOKUP($G336,基本資料!$A:$J,6,0),"無")</f>
        <v>12</v>
      </c>
      <c r="E336" s="79">
        <f>IFERROR(VLOOKUP($G336,基本資料!$A:$J,7,0),"無")</f>
        <v>4</v>
      </c>
      <c r="F336" s="6">
        <f>IFERROR(VLOOKUP($G336,基本資料!$A:$J,8,0),"無")</f>
        <v>9.0500000000000007</v>
      </c>
      <c r="G336" s="81">
        <v>4104</v>
      </c>
      <c r="H336" s="52" t="s">
        <v>4726</v>
      </c>
      <c r="I336" s="22" t="s">
        <v>629</v>
      </c>
      <c r="J336" s="8">
        <f>IFERROR(VLOOKUP($G336,今日總結!$A:$AJ,35,0),"")</f>
        <v>0</v>
      </c>
      <c r="K336" s="5" t="str">
        <f>IFERROR(VLOOKUP($G336,今日總結!$A:$AJ,36,0),"")</f>
        <v>融借</v>
      </c>
      <c r="L336" s="156">
        <f>IFERROR(VLOOKUP($G336,今日總結!$A:$AJ,33,0),"")</f>
        <v>0</v>
      </c>
      <c r="M336" s="340">
        <f>IFERROR(VLOOKUP($G336,今日總結!$A:$AJ,34,0),"")</f>
        <v>2</v>
      </c>
      <c r="N336" s="240">
        <f t="shared" si="122"/>
        <v>-2</v>
      </c>
      <c r="P336" s="365">
        <f>IFERROR(VLOOKUP($G336,融外自投!$A:$J,7,0),"無")</f>
        <v>1296</v>
      </c>
      <c r="Q336" s="79">
        <f>IFERROR(VLOOKUP($G336,融外自投!$A:$J,9,0),"無")</f>
        <v>537</v>
      </c>
      <c r="R336" s="346">
        <f>IFERROR(VLOOKUP($G336,融外自投!$A:$J,8,0),"無")</f>
        <v>568</v>
      </c>
      <c r="S336" s="81" t="str">
        <f>IFERROR(VLOOKUP($G336,融外自投!$A:$J,10,0),"無")</f>
        <v>無</v>
      </c>
      <c r="T336" s="327">
        <f>IFERROR(VLOOKUP($G336,'321買'!$A:$E,5,0),"'沒有資料'")</f>
        <v>536</v>
      </c>
      <c r="U336" s="186">
        <f>IFERROR(VLOOKUP($G336,基本資料!$A:$J,9,0),"無")</f>
        <v>4</v>
      </c>
      <c r="V336" s="310">
        <f t="shared" si="123"/>
        <v>7.4906367041198504E-2</v>
      </c>
      <c r="W336" s="94">
        <f>IFERROR(VLOOKUP($G336,基本資料!$A:$J,10,0),"無")</f>
        <v>4.3</v>
      </c>
      <c r="X336" s="36">
        <v>53.4</v>
      </c>
      <c r="Y336" s="66">
        <v>45</v>
      </c>
      <c r="Z336" s="15">
        <f t="shared" si="120"/>
        <v>8.3999999999999986</v>
      </c>
      <c r="AA336" s="63">
        <f t="shared" si="121"/>
        <v>0.18666666666666665</v>
      </c>
      <c r="AB336" s="99" t="s">
        <v>1803</v>
      </c>
      <c r="AC336" s="397">
        <f>IFERROR(VLOOKUP($G336,基本資料!$A:$M,12,0),"無")</f>
        <v>74.83</v>
      </c>
      <c r="AD336" s="22" t="s">
        <v>629</v>
      </c>
      <c r="AE336" s="84">
        <v>43850</v>
      </c>
      <c r="AF336" s="86">
        <v>43881</v>
      </c>
      <c r="AG336" s="33">
        <f t="shared" si="124"/>
        <v>31</v>
      </c>
      <c r="AH336" s="43" t="s">
        <v>1512</v>
      </c>
      <c r="AI336" s="259"/>
      <c r="AK336" s="245"/>
      <c r="AL336" s="245"/>
    </row>
    <row r="337" spans="1:38" ht="17.25" customHeight="1">
      <c r="A337" s="347">
        <f>IFERROR(VLOOKUP($G337,基本資料!$A:$J,3,0),"無")</f>
        <v>1.52</v>
      </c>
      <c r="B337" s="79">
        <f>IFERROR(VLOOKUP($G337,基本資料!$A:$J,4,0),"無")</f>
        <v>33</v>
      </c>
      <c r="C337" s="79">
        <f>IFERROR(VLOOKUP($G337,基本資料!$A:$J,5,0),"無")</f>
        <v>28</v>
      </c>
      <c r="D337" s="79">
        <f>IFERROR(VLOOKUP($G337,基本資料!$A:$J,6,0),"無")</f>
        <v>4</v>
      </c>
      <c r="E337" s="79">
        <f>IFERROR(VLOOKUP($G337,基本資料!$A:$J,7,0),"無")</f>
        <v>20</v>
      </c>
      <c r="F337" s="6">
        <f>IFERROR(VLOOKUP($G337,基本資料!$A:$J,8,0),"無")</f>
        <v>19.079999999999998</v>
      </c>
      <c r="G337" s="79">
        <v>5278</v>
      </c>
      <c r="H337" s="4" t="s">
        <v>330</v>
      </c>
      <c r="I337" s="16" t="s">
        <v>1035</v>
      </c>
      <c r="J337" s="8" t="str">
        <f>IFERROR(VLOOKUP($G337,今日總結!$A:$AJ,35,0),"")</f>
        <v/>
      </c>
      <c r="K337" s="5" t="str">
        <f>IFERROR(VLOOKUP($G337,今日總結!$A:$AJ,36,0),"")</f>
        <v/>
      </c>
      <c r="L337" s="156" t="str">
        <f>IFERROR(VLOOKUP($G337,今日總結!$A:$AJ,33,0),"")</f>
        <v/>
      </c>
      <c r="M337" s="340" t="str">
        <f>IFERROR(VLOOKUP($G337,今日總結!$A:$AJ,34,0),"")</f>
        <v/>
      </c>
      <c r="N337" s="240" t="str">
        <f t="shared" si="122"/>
        <v/>
      </c>
      <c r="P337" s="365" t="str">
        <f>IFERROR(VLOOKUP($G337,融外自投!$A:$J,7,0),"無")</f>
        <v>無</v>
      </c>
      <c r="Q337" s="79" t="str">
        <f>IFERROR(VLOOKUP($G337,融外自投!$A:$J,9,0),"無")</f>
        <v>無</v>
      </c>
      <c r="R337" s="346" t="str">
        <f>IFERROR(VLOOKUP($G337,融外自投!$A:$J,8,0),"無")</f>
        <v>無</v>
      </c>
      <c r="S337" s="81" t="str">
        <f>IFERROR(VLOOKUP($G337,融外自投!$A:$J,10,0),"無")</f>
        <v>無</v>
      </c>
      <c r="T337" s="327" t="str">
        <f>IFERROR(VLOOKUP($G337,'321買'!$A:$E,5,0),"'沒有資料'")</f>
        <v>'沒有資料'</v>
      </c>
      <c r="U337" s="186">
        <f>IFERROR(VLOOKUP($G337,基本資料!$A:$J,9,0),"無")</f>
        <v>20.18</v>
      </c>
      <c r="V337" s="310">
        <f t="shared" si="123"/>
        <v>0.13019354838709676</v>
      </c>
      <c r="W337" s="94">
        <f>IFERROR(VLOOKUP($G337,基本資料!$A:$J,10,0),"無")</f>
        <v>16.52</v>
      </c>
      <c r="X337" s="13">
        <v>155</v>
      </c>
      <c r="Y337" s="66">
        <v>106</v>
      </c>
      <c r="Z337" s="15">
        <f t="shared" si="120"/>
        <v>49</v>
      </c>
      <c r="AA337" s="63">
        <f t="shared" si="121"/>
        <v>0.46226415094339623</v>
      </c>
      <c r="AB337" s="99" t="s">
        <v>1802</v>
      </c>
      <c r="AC337" s="397">
        <f>IFERROR(VLOOKUP($G337,基本資料!$A:$M,12,0),"無")</f>
        <v>28.42</v>
      </c>
      <c r="AD337" s="16" t="s">
        <v>1035</v>
      </c>
      <c r="AE337" s="84">
        <v>43850</v>
      </c>
      <c r="AF337" s="86">
        <v>43881</v>
      </c>
      <c r="AG337" s="33">
        <f t="shared" si="124"/>
        <v>31</v>
      </c>
      <c r="AH337" s="43" t="s">
        <v>1546</v>
      </c>
      <c r="AI337" s="259"/>
      <c r="AK337" s="245"/>
      <c r="AL337" s="245"/>
    </row>
    <row r="338" spans="1:38">
      <c r="A338" s="347">
        <f>IFERROR(VLOOKUP($G338,基本資料!$A:$J,3,0),"無")</f>
        <v>13.41</v>
      </c>
      <c r="B338" s="79">
        <f>IFERROR(VLOOKUP($G338,基本資料!$A:$J,4,0),"無")</f>
        <v>-66</v>
      </c>
      <c r="C338" s="79">
        <f>IFERROR(VLOOKUP($G338,基本資料!$A:$J,5,0),"無")</f>
        <v>-57</v>
      </c>
      <c r="D338" s="79">
        <f>IFERROR(VLOOKUP($G338,基本資料!$A:$J,6,0),"無")</f>
        <v>15</v>
      </c>
      <c r="E338" s="79">
        <f>IFERROR(VLOOKUP($G338,基本資料!$A:$J,7,0),"無")</f>
        <v>-35</v>
      </c>
      <c r="F338" s="6">
        <f>IFERROR(VLOOKUP($G338,基本資料!$A:$J,8,0),"無")</f>
        <v>6.69</v>
      </c>
      <c r="G338" s="79">
        <v>1598</v>
      </c>
      <c r="H338" s="52" t="s">
        <v>4726</v>
      </c>
      <c r="I338" s="22" t="s">
        <v>3669</v>
      </c>
      <c r="J338" s="8" t="str">
        <f>IFERROR(VLOOKUP($G338,今日總結!$A:$AJ,35,0),"")</f>
        <v/>
      </c>
      <c r="K338" s="5" t="str">
        <f>IFERROR(VLOOKUP($G338,今日總結!$A:$AJ,36,0),"")</f>
        <v/>
      </c>
      <c r="L338" s="156" t="str">
        <f>IFERROR(VLOOKUP($G338,今日總結!$A:$AJ,33,0),"")</f>
        <v/>
      </c>
      <c r="M338" s="340" t="str">
        <f>IFERROR(VLOOKUP($G338,今日總結!$A:$AJ,34,0),"")</f>
        <v/>
      </c>
      <c r="N338" s="240" t="str">
        <f t="shared" si="122"/>
        <v/>
      </c>
      <c r="P338" s="365">
        <f>IFERROR(VLOOKUP($G338,融外自投!$A:$J,7,0),"無")</f>
        <v>439</v>
      </c>
      <c r="Q338" s="79">
        <f>IFERROR(VLOOKUP($G338,融外自投!$A:$J,9,0),"無")</f>
        <v>459</v>
      </c>
      <c r="R338" s="346">
        <f>IFERROR(VLOOKUP($G338,融外自投!$A:$J,8,0),"無")</f>
        <v>824</v>
      </c>
      <c r="S338" s="81">
        <f>IFERROR(VLOOKUP($G338,融外自投!$A:$J,10,0),"無")</f>
        <v>491</v>
      </c>
      <c r="T338" s="327">
        <f>IFERROR(VLOOKUP($G338,'321買'!$A:$E,5,0),"'沒有資料'")</f>
        <v>1099</v>
      </c>
      <c r="U338" s="186">
        <f>IFERROR(VLOOKUP($G338,基本資料!$A:$J,9,0),"無")</f>
        <v>2.5</v>
      </c>
      <c r="V338" s="310">
        <f t="shared" si="123"/>
        <v>6.6050198150594444E-2</v>
      </c>
      <c r="W338" s="94">
        <f>IFERROR(VLOOKUP($G338,基本資料!$A:$J,10,0),"無")</f>
        <v>3.48</v>
      </c>
      <c r="X338" s="13">
        <v>37.85</v>
      </c>
      <c r="Y338" s="45">
        <v>39</v>
      </c>
      <c r="Z338" s="15">
        <f t="shared" si="120"/>
        <v>-1.1499999999999986</v>
      </c>
      <c r="AA338" s="76">
        <f t="shared" si="121"/>
        <v>-2.9487179487179452E-2</v>
      </c>
      <c r="AB338" s="100" t="s">
        <v>1860</v>
      </c>
      <c r="AC338" s="397">
        <f>IFERROR(VLOOKUP($G338,基本資料!$A:$M,12,0),"無")</f>
        <v>14.56</v>
      </c>
      <c r="AD338" s="22" t="s">
        <v>627</v>
      </c>
      <c r="AE338" s="84">
        <v>43846</v>
      </c>
      <c r="AF338" s="86">
        <v>43878</v>
      </c>
      <c r="AG338" s="33">
        <f t="shared" si="124"/>
        <v>32</v>
      </c>
      <c r="AH338" s="43" t="s">
        <v>1785</v>
      </c>
      <c r="AI338" s="259"/>
      <c r="AK338" s="245"/>
      <c r="AL338" s="245"/>
    </row>
    <row r="339" spans="1:38" ht="17.25" customHeight="1">
      <c r="A339" s="347">
        <f>IFERROR(VLOOKUP($G339,基本資料!$A:$J,3,0),"無")</f>
        <v>3</v>
      </c>
      <c r="B339" s="79">
        <f>IFERROR(VLOOKUP($G339,基本資料!$A:$J,4,0),"無")</f>
        <v>36</v>
      </c>
      <c r="C339" s="79">
        <f>IFERROR(VLOOKUP($G339,基本資料!$A:$J,5,0),"無")</f>
        <v>56</v>
      </c>
      <c r="D339" s="79">
        <f>IFERROR(VLOOKUP($G339,基本資料!$A:$J,6,0),"無")</f>
        <v>17</v>
      </c>
      <c r="E339" s="79">
        <f>IFERROR(VLOOKUP($G339,基本資料!$A:$J,7,0),"無")</f>
        <v>38</v>
      </c>
      <c r="F339" s="6">
        <f>IFERROR(VLOOKUP($G339,基本資料!$A:$J,8,0),"無")</f>
        <v>7.23</v>
      </c>
      <c r="G339" s="81">
        <v>2643</v>
      </c>
      <c r="H339" s="4" t="s">
        <v>302</v>
      </c>
      <c r="I339" s="16" t="s">
        <v>6137</v>
      </c>
      <c r="J339" s="8" t="str">
        <f>IFERROR(VLOOKUP($G339,今日總結!$A:$AJ,35,0),"")</f>
        <v/>
      </c>
      <c r="K339" s="5" t="str">
        <f>IFERROR(VLOOKUP($G339,今日總結!$A:$AJ,36,0),"")</f>
        <v/>
      </c>
      <c r="L339" s="156" t="str">
        <f>IFERROR(VLOOKUP($G339,今日總結!$A:$AJ,33,0),"")</f>
        <v/>
      </c>
      <c r="M339" s="340" t="str">
        <f>IFERROR(VLOOKUP($G339,今日總結!$A:$AJ,34,0),"")</f>
        <v/>
      </c>
      <c r="N339" s="240" t="str">
        <f t="shared" si="122"/>
        <v/>
      </c>
      <c r="P339" s="365">
        <f>IFERROR(VLOOKUP($G339,融外自投!$A:$J,7,0),"無")</f>
        <v>557</v>
      </c>
      <c r="Q339" s="79">
        <f>IFERROR(VLOOKUP($G339,融外自投!$A:$J,9,0),"無")</f>
        <v>414</v>
      </c>
      <c r="R339" s="346">
        <f>IFERROR(VLOOKUP($G339,融外自投!$A:$J,8,0),"無")</f>
        <v>1188</v>
      </c>
      <c r="S339" s="81" t="str">
        <f>IFERROR(VLOOKUP($G339,融外自投!$A:$J,10,0),"無")</f>
        <v>無</v>
      </c>
      <c r="T339" s="327">
        <f>IFERROR(VLOOKUP($G339,'321買'!$A:$E,5,0),"'沒有資料'")</f>
        <v>964</v>
      </c>
      <c r="U339" s="186">
        <f>IFERROR(VLOOKUP($G339,基本資料!$A:$J,9,0),"無")</f>
        <v>5</v>
      </c>
      <c r="V339" s="310">
        <f t="shared" si="123"/>
        <v>0.13368983957219252</v>
      </c>
      <c r="W339" s="94">
        <f>IFERROR(VLOOKUP($G339,基本資料!$A:$J,10,0),"無")</f>
        <v>9.7200000000000006</v>
      </c>
      <c r="X339" s="36">
        <v>37.4</v>
      </c>
      <c r="Y339" s="66">
        <v>35</v>
      </c>
      <c r="Z339" s="15">
        <f t="shared" si="120"/>
        <v>2.3999999999999986</v>
      </c>
      <c r="AA339" s="63">
        <f t="shared" si="121"/>
        <v>6.8571428571428533E-2</v>
      </c>
      <c r="AB339" s="99" t="s">
        <v>1801</v>
      </c>
      <c r="AC339" s="397">
        <f>IFERROR(VLOOKUP($G339,基本資料!$A:$M,12,0),"無")</f>
        <v>29.12</v>
      </c>
      <c r="AD339" s="16" t="s">
        <v>861</v>
      </c>
      <c r="AE339" s="84">
        <v>43846</v>
      </c>
      <c r="AF339" s="86">
        <v>43878</v>
      </c>
      <c r="AG339" s="33">
        <f t="shared" si="124"/>
        <v>32</v>
      </c>
      <c r="AH339" s="43" t="s">
        <v>1532</v>
      </c>
      <c r="AI339" s="259"/>
      <c r="AK339" s="245"/>
      <c r="AL339" s="245"/>
    </row>
    <row r="340" spans="1:38">
      <c r="A340" s="347">
        <f>IFERROR(VLOOKUP($G340,基本資料!$A:$J,3,0),"無")</f>
        <v>9.74</v>
      </c>
      <c r="B340" s="79">
        <f>IFERROR(VLOOKUP($G340,基本資料!$A:$J,4,0),"無")</f>
        <v>-6</v>
      </c>
      <c r="C340" s="79">
        <f>IFERROR(VLOOKUP($G340,基本資料!$A:$J,5,0),"無")</f>
        <v>8</v>
      </c>
      <c r="D340" s="79">
        <f>IFERROR(VLOOKUP($G340,基本資料!$A:$J,6,0),"無")</f>
        <v>-26</v>
      </c>
      <c r="E340" s="79">
        <f>IFERROR(VLOOKUP($G340,基本資料!$A:$J,7,0),"無")</f>
        <v>0</v>
      </c>
      <c r="F340" s="6">
        <f>IFERROR(VLOOKUP($G340,基本資料!$A:$J,8,0),"無")</f>
        <v>-3560.33</v>
      </c>
      <c r="G340" s="79">
        <v>4168</v>
      </c>
      <c r="H340" s="52" t="s">
        <v>4726</v>
      </c>
      <c r="I340" s="16" t="s">
        <v>614</v>
      </c>
      <c r="J340" s="8">
        <f>IFERROR(VLOOKUP($G340,今日總結!$A:$AJ,35,0),"")</f>
        <v>0</v>
      </c>
      <c r="K340" s="5">
        <f>IFERROR(VLOOKUP($G340,今日總結!$A:$AJ,36,0),"")</f>
        <v>9</v>
      </c>
      <c r="L340" s="156">
        <f>IFERROR(VLOOKUP($G340,今日總結!$A:$AJ,33,0),"")</f>
        <v>0</v>
      </c>
      <c r="M340" s="340">
        <f>IFERROR(VLOOKUP($G340,今日總結!$A:$AJ,34,0),"")</f>
        <v>2</v>
      </c>
      <c r="N340" s="240">
        <f t="shared" si="122"/>
        <v>-2</v>
      </c>
      <c r="P340" s="365">
        <f>IFERROR(VLOOKUP($G340,融外自投!$A:$J,7,0),"無")</f>
        <v>62</v>
      </c>
      <c r="Q340" s="79" t="str">
        <f>IFERROR(VLOOKUP($G340,融外自投!$A:$J,9,0),"無")</f>
        <v>無</v>
      </c>
      <c r="R340" s="346">
        <f>IFERROR(VLOOKUP($G340,融外自投!$A:$J,8,0),"無")</f>
        <v>747</v>
      </c>
      <c r="S340" s="81" t="str">
        <f>IFERROR(VLOOKUP($G340,融外自投!$A:$J,10,0),"無")</f>
        <v>無</v>
      </c>
      <c r="T340" s="327">
        <f>IFERROR(VLOOKUP($G340,'321買'!$A:$E,5,0),"'沒有資料'")</f>
        <v>729</v>
      </c>
      <c r="U340" s="186">
        <f>IFERROR(VLOOKUP($G340,基本資料!$A:$J,9,0),"無")</f>
        <v>0</v>
      </c>
      <c r="V340" s="310">
        <f t="shared" si="123"/>
        <v>0</v>
      </c>
      <c r="W340" s="94">
        <f>IFERROR(VLOOKUP($G340,基本資料!$A:$J,10,0),"無")</f>
        <v>-1.78</v>
      </c>
      <c r="X340" s="36">
        <v>19.600000000000001</v>
      </c>
      <c r="Y340" s="66">
        <v>20</v>
      </c>
      <c r="Z340" s="15">
        <f t="shared" si="120"/>
        <v>-0.39999999999999858</v>
      </c>
      <c r="AA340" s="76">
        <f t="shared" si="121"/>
        <v>-1.9999999999999928E-2</v>
      </c>
      <c r="AB340" s="100" t="s">
        <v>1800</v>
      </c>
      <c r="AC340" s="397">
        <f>IFERROR(VLOOKUP($G340,基本資料!$A:$M,12,0),"無")</f>
        <v>28.38</v>
      </c>
      <c r="AD340" s="16" t="s">
        <v>614</v>
      </c>
      <c r="AE340" s="84">
        <v>43846</v>
      </c>
      <c r="AF340" s="86">
        <v>43878</v>
      </c>
      <c r="AG340" s="33">
        <f t="shared" si="124"/>
        <v>32</v>
      </c>
      <c r="AH340" s="43" t="s">
        <v>1447</v>
      </c>
      <c r="AI340" s="259"/>
      <c r="AK340" s="245"/>
      <c r="AL340" s="245"/>
    </row>
    <row r="341" spans="1:38">
      <c r="A341" s="347">
        <f>IFERROR(VLOOKUP($G341,基本資料!$A:$J,3,0),"無")</f>
        <v>8.4</v>
      </c>
      <c r="B341" s="79">
        <f>IFERROR(VLOOKUP($G341,基本資料!$A:$J,4,0),"無")</f>
        <v>-24</v>
      </c>
      <c r="C341" s="79">
        <f>IFERROR(VLOOKUP($G341,基本資料!$A:$J,5,0),"無")</f>
        <v>369</v>
      </c>
      <c r="D341" s="79">
        <f>IFERROR(VLOOKUP($G341,基本資料!$A:$J,6,0),"無")</f>
        <v>47</v>
      </c>
      <c r="E341" s="79">
        <f>IFERROR(VLOOKUP($G341,基本資料!$A:$J,7,0),"無")</f>
        <v>73</v>
      </c>
      <c r="F341" s="6">
        <f>IFERROR(VLOOKUP($G341,基本資料!$A:$J,8,0),"無")</f>
        <v>14.74</v>
      </c>
      <c r="G341" s="81">
        <v>3680</v>
      </c>
      <c r="H341" s="54" t="s">
        <v>3039</v>
      </c>
      <c r="I341" s="16" t="s">
        <v>366</v>
      </c>
      <c r="J341" s="8" t="str">
        <f>IFERROR(VLOOKUP($G341,今日總結!$A:$AJ,35,0),"")</f>
        <v/>
      </c>
      <c r="K341" s="5" t="str">
        <f>IFERROR(VLOOKUP($G341,今日總結!$A:$AJ,36,0),"")</f>
        <v/>
      </c>
      <c r="L341" s="156" t="str">
        <f>IFERROR(VLOOKUP($G341,今日總結!$A:$AJ,33,0),"")</f>
        <v/>
      </c>
      <c r="M341" s="340" t="str">
        <f>IFERROR(VLOOKUP($G341,今日總結!$A:$AJ,34,0),"")</f>
        <v/>
      </c>
      <c r="N341" s="240" t="str">
        <f t="shared" si="122"/>
        <v/>
      </c>
      <c r="P341" s="365">
        <f>IFERROR(VLOOKUP($G341,融外自投!$A:$J,7,0),"無")</f>
        <v>455</v>
      </c>
      <c r="Q341" s="79">
        <f>IFERROR(VLOOKUP($G341,融外自投!$A:$J,9,0),"無")</f>
        <v>117</v>
      </c>
      <c r="R341" s="346">
        <f>IFERROR(VLOOKUP($G341,融外自投!$A:$J,8,0),"無")</f>
        <v>561</v>
      </c>
      <c r="S341" s="81">
        <f>IFERROR(VLOOKUP($G341,融外自投!$A:$J,10,0),"無")</f>
        <v>70</v>
      </c>
      <c r="T341" s="327">
        <f>IFERROR(VLOOKUP($G341,'321買'!$A:$E,5,0),"'沒有資料'")</f>
        <v>515</v>
      </c>
      <c r="U341" s="186">
        <f>IFERROR(VLOOKUP($G341,基本資料!$A:$J,9,0),"無")</f>
        <v>2.8</v>
      </c>
      <c r="V341" s="310">
        <f t="shared" si="123"/>
        <v>1.6568047337278107E-2</v>
      </c>
      <c r="W341" s="94">
        <f>IFERROR(VLOOKUP($G341,基本資料!$A:$J,10,0),"無")</f>
        <v>4.03</v>
      </c>
      <c r="X341" s="36">
        <v>169</v>
      </c>
      <c r="Y341" s="66">
        <v>110</v>
      </c>
      <c r="Z341" s="15">
        <f t="shared" si="120"/>
        <v>59</v>
      </c>
      <c r="AA341" s="63">
        <f t="shared" si="121"/>
        <v>0.53636363636363638</v>
      </c>
      <c r="AB341" s="99" t="s">
        <v>1799</v>
      </c>
      <c r="AC341" s="397">
        <f>IFERROR(VLOOKUP($G341,基本資料!$A:$M,12,0),"無")</f>
        <v>22.99</v>
      </c>
      <c r="AD341" s="16" t="s">
        <v>366</v>
      </c>
      <c r="AE341" s="84">
        <v>43838</v>
      </c>
      <c r="AF341" s="86">
        <v>43871</v>
      </c>
      <c r="AG341" s="33">
        <f t="shared" si="124"/>
        <v>33</v>
      </c>
      <c r="AH341" s="43" t="s">
        <v>1725</v>
      </c>
      <c r="AI341" s="259"/>
      <c r="AK341" s="245"/>
      <c r="AL341" s="245"/>
    </row>
    <row r="342" spans="1:38">
      <c r="A342" s="347">
        <f>IFERROR(VLOOKUP($G342,基本資料!$A:$J,3,0),"無")</f>
        <v>4.3099999999999996</v>
      </c>
      <c r="B342" s="79">
        <f>IFERROR(VLOOKUP($G342,基本資料!$A:$J,4,0),"無")</f>
        <v>6</v>
      </c>
      <c r="C342" s="79">
        <f>IFERROR(VLOOKUP($G342,基本資料!$A:$J,5,0),"無")</f>
        <v>2</v>
      </c>
      <c r="D342" s="79">
        <f>IFERROR(VLOOKUP($G342,基本資料!$A:$J,6,0),"無")</f>
        <v>5</v>
      </c>
      <c r="E342" s="79">
        <f>IFERROR(VLOOKUP($G342,基本資料!$A:$J,7,0),"無")</f>
        <v>13</v>
      </c>
      <c r="F342" s="6">
        <f>IFERROR(VLOOKUP($G342,基本資料!$A:$J,8,0),"無")</f>
        <v>18.38</v>
      </c>
      <c r="G342" s="79">
        <v>4580</v>
      </c>
      <c r="H342" s="4" t="s">
        <v>295</v>
      </c>
      <c r="I342" s="16" t="s">
        <v>1780</v>
      </c>
      <c r="J342" s="8" t="str">
        <f>IFERROR(VLOOKUP($G342,今日總結!$A:$AJ,35,0),"")</f>
        <v/>
      </c>
      <c r="K342" s="5" t="str">
        <f>IFERROR(VLOOKUP($G342,今日總結!$A:$AJ,36,0),"")</f>
        <v/>
      </c>
      <c r="L342" s="156" t="str">
        <f>IFERROR(VLOOKUP($G342,今日總結!$A:$AJ,33,0),"")</f>
        <v/>
      </c>
      <c r="M342" s="340" t="str">
        <f>IFERROR(VLOOKUP($G342,今日總結!$A:$AJ,34,0),"")</f>
        <v/>
      </c>
      <c r="N342" s="240" t="str">
        <f t="shared" si="122"/>
        <v/>
      </c>
      <c r="P342" s="365">
        <f>IFERROR(VLOOKUP($G342,融外自投!$A:$J,7,0),"無")</f>
        <v>1138</v>
      </c>
      <c r="Q342" s="79">
        <f>IFERROR(VLOOKUP($G342,融外自投!$A:$J,9,0),"無")</f>
        <v>1110</v>
      </c>
      <c r="R342" s="346">
        <f>IFERROR(VLOOKUP($G342,融外自投!$A:$J,8,0),"無")</f>
        <v>1322</v>
      </c>
      <c r="S342" s="81" t="str">
        <f>IFERROR(VLOOKUP($G342,融外自投!$A:$J,10,0),"無")</f>
        <v>無</v>
      </c>
      <c r="T342" s="327">
        <f>IFERROR(VLOOKUP($G342,'321買'!$A:$E,5,0),"'沒有資料'")</f>
        <v>1085</v>
      </c>
      <c r="U342" s="186">
        <f>IFERROR(VLOOKUP($G342,基本資料!$A:$J,9,0),"無")</f>
        <v>5.75</v>
      </c>
      <c r="V342" s="310">
        <f t="shared" si="123"/>
        <v>5.773092369477912E-2</v>
      </c>
      <c r="W342" s="94">
        <f>IFERROR(VLOOKUP($G342,基本資料!$A:$J,10,0),"無")</f>
        <v>8.0399999999999991</v>
      </c>
      <c r="X342" s="36">
        <v>99.6</v>
      </c>
      <c r="Y342" s="66">
        <v>78</v>
      </c>
      <c r="Z342" s="15">
        <f t="shared" si="120"/>
        <v>21.599999999999994</v>
      </c>
      <c r="AA342" s="63">
        <f t="shared" si="121"/>
        <v>0.27692307692307683</v>
      </c>
      <c r="AB342" s="99" t="s">
        <v>1798</v>
      </c>
      <c r="AC342" s="397">
        <f>IFERROR(VLOOKUP($G342,基本資料!$A:$M,12,0),"無")</f>
        <v>12.11</v>
      </c>
      <c r="AD342" s="16" t="s">
        <v>1780</v>
      </c>
      <c r="AE342" s="84">
        <v>43836</v>
      </c>
      <c r="AF342" s="86">
        <v>43867</v>
      </c>
      <c r="AG342" s="33">
        <f t="shared" si="124"/>
        <v>31</v>
      </c>
      <c r="AH342" s="119" t="s">
        <v>1781</v>
      </c>
      <c r="AI342" s="259"/>
      <c r="AK342" s="245"/>
      <c r="AL342" s="245"/>
    </row>
    <row r="343" spans="1:38">
      <c r="A343" s="142"/>
      <c r="B343" s="79"/>
      <c r="C343" s="92"/>
      <c r="D343" s="79"/>
      <c r="E343" s="92"/>
      <c r="F343" s="6"/>
      <c r="H343" s="53"/>
      <c r="I343" s="16"/>
      <c r="L343" s="123"/>
      <c r="U343" s="34"/>
      <c r="W343" s="57"/>
      <c r="X343" s="36"/>
      <c r="Y343" s="45"/>
      <c r="Z343" s="15"/>
      <c r="AA343" s="76"/>
      <c r="AB343" s="100"/>
      <c r="AD343" s="16"/>
      <c r="AH343" s="33"/>
      <c r="AI343" s="247"/>
      <c r="AJ343" s="316"/>
      <c r="AK343" s="16"/>
    </row>
    <row r="344" spans="1:38">
      <c r="A344" s="142"/>
      <c r="B344" s="79"/>
      <c r="C344" s="79"/>
      <c r="D344" s="79"/>
      <c r="E344" s="79"/>
      <c r="F344" s="6"/>
      <c r="H344" s="4"/>
      <c r="I344" s="22"/>
      <c r="L344" s="123"/>
      <c r="U344" s="34"/>
      <c r="W344" s="94"/>
      <c r="X344" s="36"/>
      <c r="Y344" s="45"/>
      <c r="Z344" s="15"/>
      <c r="AA344" s="63"/>
      <c r="AB344" s="99"/>
      <c r="AD344" s="22"/>
      <c r="AH344" s="33"/>
      <c r="AI344" s="247"/>
      <c r="AJ344" s="316"/>
      <c r="AK344" s="22"/>
    </row>
    <row r="345" spans="1:38" ht="17.25" customHeight="1">
      <c r="B345" s="79"/>
      <c r="C345" s="79"/>
      <c r="D345" s="79"/>
      <c r="E345" s="80"/>
      <c r="F345" s="57"/>
      <c r="H345" s="4"/>
      <c r="I345" s="22"/>
      <c r="L345" s="123"/>
      <c r="U345" s="34"/>
      <c r="W345" s="94"/>
      <c r="X345" s="36"/>
      <c r="Y345" s="66"/>
      <c r="Z345" s="15"/>
      <c r="AA345" s="76"/>
      <c r="AB345" s="100"/>
      <c r="AD345" s="22"/>
      <c r="AH345" s="33"/>
      <c r="AI345" s="247"/>
      <c r="AJ345" s="316"/>
      <c r="AK345" s="22"/>
    </row>
    <row r="346" spans="1:38" ht="17.25" customHeight="1">
      <c r="B346" s="79"/>
      <c r="C346" s="79"/>
      <c r="D346" s="79"/>
      <c r="E346" s="80"/>
      <c r="F346" s="57"/>
      <c r="H346" s="4"/>
      <c r="I346" s="22"/>
      <c r="L346" s="123"/>
      <c r="U346" s="34"/>
      <c r="W346" s="94"/>
      <c r="X346" s="36"/>
      <c r="Y346" s="66"/>
      <c r="Z346" s="15"/>
      <c r="AA346" s="76"/>
      <c r="AB346" s="100"/>
      <c r="AD346" s="22"/>
      <c r="AH346" s="33"/>
      <c r="AI346" s="247"/>
      <c r="AK346" s="22"/>
    </row>
    <row r="347" spans="1:38">
      <c r="A347" s="142"/>
      <c r="B347" s="80"/>
      <c r="C347" s="80"/>
      <c r="D347" s="80"/>
      <c r="E347" s="79"/>
      <c r="F347" s="6"/>
      <c r="H347" s="4"/>
      <c r="I347" s="16"/>
      <c r="L347" s="123"/>
      <c r="U347" s="34"/>
      <c r="W347" s="57"/>
      <c r="X347" s="13"/>
      <c r="Y347" s="66"/>
      <c r="Z347" s="15"/>
      <c r="AA347" s="63"/>
      <c r="AB347" s="99"/>
      <c r="AD347" s="16"/>
      <c r="AH347" s="33"/>
      <c r="AI347" s="247"/>
      <c r="AK347" s="16"/>
    </row>
    <row r="348" spans="1:38">
      <c r="A348" s="142"/>
      <c r="B348" s="79"/>
      <c r="C348" s="79"/>
      <c r="D348" s="80"/>
      <c r="E348" s="79"/>
      <c r="F348" s="6"/>
      <c r="H348" s="54"/>
      <c r="I348" s="16"/>
      <c r="L348" s="123"/>
      <c r="U348" s="34"/>
      <c r="W348" s="94"/>
      <c r="X348" s="36"/>
      <c r="Y348" s="66"/>
      <c r="Z348" s="15"/>
      <c r="AA348" s="63"/>
      <c r="AB348" s="99"/>
      <c r="AD348" s="16"/>
      <c r="AH348" s="33"/>
      <c r="AI348" s="247"/>
      <c r="AK348" s="16"/>
    </row>
    <row r="349" spans="1:38">
      <c r="B349" s="80"/>
      <c r="C349" s="80"/>
      <c r="D349" s="79"/>
      <c r="E349" s="80"/>
      <c r="F349" s="57"/>
      <c r="H349" s="4"/>
      <c r="I349" s="22"/>
      <c r="L349" s="123"/>
      <c r="U349" s="34"/>
      <c r="W349" s="94"/>
      <c r="X349" s="36"/>
      <c r="Y349" s="66"/>
      <c r="Z349" s="15"/>
      <c r="AA349" s="63"/>
      <c r="AB349" s="99"/>
      <c r="AD349" s="22"/>
      <c r="AH349" s="33"/>
      <c r="AI349" s="247"/>
      <c r="AK349" s="22"/>
    </row>
    <row r="350" spans="1:38">
      <c r="A350" s="142"/>
      <c r="B350" s="79"/>
      <c r="C350" s="79"/>
      <c r="D350" s="80"/>
      <c r="E350" s="79"/>
      <c r="F350" s="6"/>
      <c r="H350" s="4"/>
      <c r="I350" s="22"/>
      <c r="L350" s="123"/>
      <c r="U350" s="34"/>
      <c r="W350" s="94"/>
      <c r="X350" s="36"/>
      <c r="Y350" s="66"/>
      <c r="Z350" s="15"/>
      <c r="AA350" s="76"/>
      <c r="AB350" s="100"/>
      <c r="AD350" s="22"/>
      <c r="AH350" s="33"/>
      <c r="AI350" s="247"/>
      <c r="AK350" s="22"/>
    </row>
    <row r="351" spans="1:38">
      <c r="A351" s="142"/>
      <c r="B351" s="80"/>
      <c r="C351" s="79"/>
      <c r="D351" s="80"/>
      <c r="E351" s="80"/>
      <c r="F351" s="6"/>
      <c r="H351" s="49"/>
      <c r="I351" s="22"/>
      <c r="L351" s="123"/>
      <c r="U351" s="34"/>
      <c r="W351" s="94"/>
      <c r="X351" s="36"/>
      <c r="Y351" s="66"/>
      <c r="Z351" s="15"/>
      <c r="AA351" s="76"/>
      <c r="AB351" s="100"/>
      <c r="AD351" s="22"/>
      <c r="AH351" s="33"/>
      <c r="AK351" s="22"/>
    </row>
    <row r="352" spans="1:38">
      <c r="A352" s="142"/>
      <c r="B352" s="80"/>
      <c r="C352" s="80"/>
      <c r="D352" s="80"/>
      <c r="E352" s="79"/>
      <c r="F352" s="6"/>
      <c r="H352" s="4"/>
      <c r="I352" s="22"/>
      <c r="L352" s="123"/>
      <c r="U352" s="34"/>
      <c r="W352" s="57"/>
      <c r="X352" s="36"/>
      <c r="Y352" s="66"/>
      <c r="Z352" s="15"/>
      <c r="AA352" s="3"/>
      <c r="AB352" s="99"/>
      <c r="AD352" s="22"/>
      <c r="AH352" s="33"/>
      <c r="AK352" s="22"/>
    </row>
    <row r="353" spans="12:12">
      <c r="L353" s="123"/>
    </row>
    <row r="354" spans="12:12">
      <c r="L354" s="123"/>
    </row>
    <row r="355" spans="12:12">
      <c r="L355" s="123"/>
    </row>
    <row r="356" spans="12:12">
      <c r="L356" s="123"/>
    </row>
    <row r="357" spans="12:12">
      <c r="L357" s="123"/>
    </row>
    <row r="358" spans="12:12">
      <c r="L358" s="123"/>
    </row>
    <row r="359" spans="12:12">
      <c r="L359" s="123"/>
    </row>
    <row r="360" spans="12:12">
      <c r="L360" s="245"/>
    </row>
    <row r="361" spans="12:12">
      <c r="L361" s="123"/>
    </row>
    <row r="362" spans="12:12">
      <c r="L362" s="123"/>
    </row>
    <row r="363" spans="12:12">
      <c r="L363" s="123"/>
    </row>
    <row r="364" spans="12:12">
      <c r="L364" s="123"/>
    </row>
    <row r="365" spans="12:12">
      <c r="L365" s="123"/>
    </row>
    <row r="366" spans="12:12">
      <c r="L366" s="123"/>
    </row>
    <row r="367" spans="12:12">
      <c r="L367" s="123"/>
    </row>
    <row r="368" spans="12:12">
      <c r="L368" s="51"/>
    </row>
    <row r="369" spans="12:12">
      <c r="L369" s="123"/>
    </row>
    <row r="370" spans="12:12">
      <c r="L370" s="123"/>
    </row>
    <row r="371" spans="12:12">
      <c r="L371" s="123"/>
    </row>
    <row r="372" spans="12:12">
      <c r="L372" s="123"/>
    </row>
    <row r="373" spans="12:12">
      <c r="L373" s="123"/>
    </row>
    <row r="374" spans="12:12">
      <c r="L374" s="123"/>
    </row>
    <row r="375" spans="12:12">
      <c r="L375" s="123"/>
    </row>
    <row r="376" spans="12:12">
      <c r="L376" s="123"/>
    </row>
    <row r="377" spans="12:12">
      <c r="L377" s="123"/>
    </row>
    <row r="378" spans="12:12">
      <c r="L378" s="123"/>
    </row>
    <row r="379" spans="12:12">
      <c r="L379" s="123"/>
    </row>
    <row r="380" spans="12:12">
      <c r="L380" s="123"/>
    </row>
    <row r="381" spans="12:12">
      <c r="L381" s="123"/>
    </row>
    <row r="382" spans="12:12">
      <c r="L382" s="123"/>
    </row>
    <row r="383" spans="12:12">
      <c r="L383" s="123"/>
    </row>
    <row r="384" spans="12:12">
      <c r="L384" s="123"/>
    </row>
    <row r="385" spans="12:12">
      <c r="L385" s="123"/>
    </row>
    <row r="386" spans="12:12">
      <c r="L386" s="123"/>
    </row>
    <row r="387" spans="12:12">
      <c r="L387" s="123"/>
    </row>
    <row r="388" spans="12:12">
      <c r="L388" s="123"/>
    </row>
    <row r="389" spans="12:12">
      <c r="L389" s="123"/>
    </row>
    <row r="390" spans="12:12">
      <c r="L390" s="123"/>
    </row>
    <row r="391" spans="12:12">
      <c r="L391" s="123"/>
    </row>
    <row r="392" spans="12:12">
      <c r="L392" s="123"/>
    </row>
    <row r="393" spans="12:12">
      <c r="L393" s="123"/>
    </row>
    <row r="394" spans="12:12">
      <c r="L394" s="123"/>
    </row>
    <row r="395" spans="12:12">
      <c r="L395" s="123"/>
    </row>
    <row r="396" spans="12:12">
      <c r="L396" s="123"/>
    </row>
    <row r="397" spans="12:12">
      <c r="L397" s="123"/>
    </row>
    <row r="398" spans="12:12">
      <c r="L398" s="245"/>
    </row>
    <row r="399" spans="12:12">
      <c r="L399" s="123"/>
    </row>
    <row r="401" spans="12:12">
      <c r="L401" s="123"/>
    </row>
    <row r="402" spans="12:12">
      <c r="L402" s="123"/>
    </row>
    <row r="403" spans="12:12">
      <c r="L403" s="123"/>
    </row>
    <row r="404" spans="12:12">
      <c r="L404" s="123"/>
    </row>
    <row r="405" spans="12:12">
      <c r="L405" s="123"/>
    </row>
    <row r="406" spans="12:12">
      <c r="L406" s="123"/>
    </row>
    <row r="407" spans="12:12">
      <c r="L407" s="123"/>
    </row>
    <row r="408" spans="12:12">
      <c r="L408" s="123"/>
    </row>
    <row r="409" spans="12:12">
      <c r="L409" s="123"/>
    </row>
    <row r="410" spans="12:12">
      <c r="L410" s="123"/>
    </row>
    <row r="411" spans="12:12">
      <c r="L411" s="123"/>
    </row>
    <row r="412" spans="12:12">
      <c r="L412" s="123"/>
    </row>
    <row r="413" spans="12:12">
      <c r="L413" s="123"/>
    </row>
    <row r="414" spans="12:12">
      <c r="L414" s="123"/>
    </row>
    <row r="415" spans="12:12">
      <c r="L415" s="123"/>
    </row>
    <row r="416" spans="12:12">
      <c r="L416" s="245"/>
    </row>
    <row r="417" spans="12:12">
      <c r="L417" s="123"/>
    </row>
    <row r="418" spans="12:12">
      <c r="L418" s="123"/>
    </row>
    <row r="419" spans="12:12">
      <c r="L419" s="123"/>
    </row>
    <row r="420" spans="12:12">
      <c r="L420" s="123"/>
    </row>
    <row r="421" spans="12:12">
      <c r="L421" s="123"/>
    </row>
    <row r="422" spans="12:12">
      <c r="L422" s="123"/>
    </row>
    <row r="423" spans="12:12">
      <c r="L423" s="123"/>
    </row>
    <row r="424" spans="12:12">
      <c r="L424" s="123"/>
    </row>
    <row r="425" spans="12:12">
      <c r="L425" s="123"/>
    </row>
    <row r="426" spans="12:12">
      <c r="L426" s="123"/>
    </row>
    <row r="427" spans="12:12">
      <c r="L427" s="123"/>
    </row>
    <row r="428" spans="12:12">
      <c r="L428" s="123"/>
    </row>
    <row r="429" spans="12:12">
      <c r="L429" s="123"/>
    </row>
    <row r="430" spans="12:12">
      <c r="L430" s="123"/>
    </row>
    <row r="431" spans="12:12">
      <c r="L431" s="123"/>
    </row>
    <row r="432" spans="12:12">
      <c r="L432" s="123"/>
    </row>
    <row r="433" spans="12:12">
      <c r="L433" s="123"/>
    </row>
    <row r="434" spans="12:12">
      <c r="L434" s="123"/>
    </row>
    <row r="435" spans="12:12">
      <c r="L435" s="123"/>
    </row>
    <row r="436" spans="12:12">
      <c r="L436" s="123"/>
    </row>
    <row r="437" spans="12:12">
      <c r="L437" s="123"/>
    </row>
    <row r="438" spans="12:12">
      <c r="L438" s="123"/>
    </row>
    <row r="439" spans="12:12">
      <c r="L439" s="123"/>
    </row>
    <row r="440" spans="12:12">
      <c r="L440" s="123"/>
    </row>
    <row r="441" spans="12:12">
      <c r="L441" s="123"/>
    </row>
    <row r="442" spans="12:12">
      <c r="L442" s="123"/>
    </row>
    <row r="443" spans="12:12">
      <c r="L443" s="123"/>
    </row>
    <row r="444" spans="12:12">
      <c r="L444" s="245"/>
    </row>
    <row r="445" spans="12:12">
      <c r="L445" s="123"/>
    </row>
    <row r="446" spans="12:12">
      <c r="L446" s="123"/>
    </row>
    <row r="447" spans="12:12">
      <c r="L447" s="123"/>
    </row>
    <row r="448" spans="12:12">
      <c r="L448" s="123"/>
    </row>
    <row r="449" spans="12:12">
      <c r="L449" s="123"/>
    </row>
    <row r="450" spans="12:12">
      <c r="L450" s="123"/>
    </row>
    <row r="451" spans="12:12">
      <c r="L451" s="123"/>
    </row>
    <row r="452" spans="12:12">
      <c r="L452" s="123"/>
    </row>
    <row r="453" spans="12:12">
      <c r="L453" s="123"/>
    </row>
    <row r="454" spans="12:12">
      <c r="L454" s="123"/>
    </row>
    <row r="455" spans="12:12">
      <c r="L455" s="123"/>
    </row>
    <row r="456" spans="12:12">
      <c r="L456" s="123"/>
    </row>
    <row r="457" spans="12:12">
      <c r="L457" s="123"/>
    </row>
    <row r="458" spans="12:12">
      <c r="L458" s="123"/>
    </row>
    <row r="459" spans="12:12">
      <c r="L459" s="123"/>
    </row>
    <row r="460" spans="12:12">
      <c r="L460" s="123"/>
    </row>
    <row r="461" spans="12:12">
      <c r="L461" s="123"/>
    </row>
    <row r="462" spans="12:12">
      <c r="L462" s="245"/>
    </row>
    <row r="463" spans="12:12">
      <c r="L463" s="123"/>
    </row>
    <row r="464" spans="12:12">
      <c r="L464" s="245"/>
    </row>
    <row r="465" spans="12:12">
      <c r="L465" s="123"/>
    </row>
    <row r="466" spans="12:12">
      <c r="L466" s="123"/>
    </row>
    <row r="467" spans="12:12">
      <c r="L467" s="123"/>
    </row>
    <row r="468" spans="12:12">
      <c r="L468" s="123"/>
    </row>
    <row r="469" spans="12:12">
      <c r="L469" s="123"/>
    </row>
    <row r="470" spans="12:12">
      <c r="L470" s="123"/>
    </row>
    <row r="471" spans="12:12">
      <c r="L471" s="123"/>
    </row>
    <row r="472" spans="12:12">
      <c r="L472" s="123"/>
    </row>
    <row r="473" spans="12:12">
      <c r="L473" s="123"/>
    </row>
    <row r="474" spans="12:12">
      <c r="L474" s="123"/>
    </row>
    <row r="475" spans="12:12">
      <c r="L475" s="123"/>
    </row>
    <row r="476" spans="12:12">
      <c r="L476" s="123"/>
    </row>
    <row r="477" spans="12:12">
      <c r="L477" s="123"/>
    </row>
    <row r="478" spans="12:12">
      <c r="L478" s="123"/>
    </row>
    <row r="479" spans="12:12">
      <c r="L479" s="123"/>
    </row>
    <row r="480" spans="12:12">
      <c r="L480" s="123"/>
    </row>
    <row r="481" spans="12:12">
      <c r="L481" s="123"/>
    </row>
    <row r="482" spans="12:12">
      <c r="L482" s="123"/>
    </row>
    <row r="483" spans="12:12">
      <c r="L483" s="123"/>
    </row>
    <row r="484" spans="12:12">
      <c r="L484" s="123"/>
    </row>
    <row r="485" spans="12:12">
      <c r="L485" s="123"/>
    </row>
    <row r="486" spans="12:12">
      <c r="L486" s="123"/>
    </row>
    <row r="487" spans="12:12">
      <c r="L487" s="123"/>
    </row>
    <row r="488" spans="12:12">
      <c r="L488" s="123"/>
    </row>
    <row r="489" spans="12:12">
      <c r="L489" s="123"/>
    </row>
    <row r="490" spans="12:12">
      <c r="L490" s="123"/>
    </row>
    <row r="491" spans="12:12">
      <c r="L491" s="123"/>
    </row>
    <row r="492" spans="12:12">
      <c r="L492" s="123"/>
    </row>
    <row r="493" spans="12:12">
      <c r="L493" s="123"/>
    </row>
    <row r="494" spans="12:12">
      <c r="L494" s="123"/>
    </row>
    <row r="495" spans="12:12">
      <c r="L495" s="123"/>
    </row>
    <row r="496" spans="12:12">
      <c r="L496" s="123"/>
    </row>
    <row r="497" spans="12:12">
      <c r="L497" s="123"/>
    </row>
    <row r="498" spans="12:12">
      <c r="L498" s="123"/>
    </row>
    <row r="499" spans="12:12">
      <c r="L499" s="245"/>
    </row>
    <row r="500" spans="12:12">
      <c r="L500" s="123"/>
    </row>
    <row r="501" spans="12:12">
      <c r="L501" s="123"/>
    </row>
    <row r="502" spans="12:12">
      <c r="L502" s="123"/>
    </row>
    <row r="503" spans="12:12">
      <c r="L503" s="123"/>
    </row>
    <row r="504" spans="12:12">
      <c r="L504" s="123"/>
    </row>
    <row r="505" spans="12:12">
      <c r="L505" s="123"/>
    </row>
    <row r="506" spans="12:12">
      <c r="L506" s="123"/>
    </row>
    <row r="507" spans="12:12">
      <c r="L507" s="123"/>
    </row>
    <row r="508" spans="12:12">
      <c r="L508" s="123"/>
    </row>
    <row r="509" spans="12:12">
      <c r="L509" s="123"/>
    </row>
    <row r="510" spans="12:12">
      <c r="L510" s="123"/>
    </row>
    <row r="511" spans="12:12">
      <c r="L511" s="123"/>
    </row>
    <row r="512" spans="12:12">
      <c r="L512" s="123"/>
    </row>
    <row r="513" spans="12:12">
      <c r="L513" s="123"/>
    </row>
    <row r="514" spans="12:12">
      <c r="L514" s="123"/>
    </row>
    <row r="515" spans="12:12">
      <c r="L515" s="123"/>
    </row>
    <row r="516" spans="12:12">
      <c r="L516" s="123"/>
    </row>
    <row r="517" spans="12:12">
      <c r="L517" s="123"/>
    </row>
    <row r="518" spans="12:12">
      <c r="L518" s="123"/>
    </row>
    <row r="519" spans="12:12">
      <c r="L519" s="123"/>
    </row>
    <row r="520" spans="12:12">
      <c r="L520" s="123"/>
    </row>
    <row r="521" spans="12:12">
      <c r="L521" s="123"/>
    </row>
    <row r="522" spans="12:12">
      <c r="L522" s="123"/>
    </row>
    <row r="523" spans="12:12">
      <c r="L523" s="123"/>
    </row>
    <row r="524" spans="12:12">
      <c r="L524" s="123"/>
    </row>
    <row r="525" spans="12:12">
      <c r="L525" s="123"/>
    </row>
    <row r="526" spans="12:12">
      <c r="L526" s="123"/>
    </row>
    <row r="527" spans="12:12">
      <c r="L527" s="123"/>
    </row>
    <row r="528" spans="12:12">
      <c r="L528" s="123"/>
    </row>
    <row r="529" spans="12:12">
      <c r="L529" s="123"/>
    </row>
    <row r="530" spans="12:12">
      <c r="L530" s="123"/>
    </row>
    <row r="531" spans="12:12">
      <c r="L531" s="123"/>
    </row>
    <row r="532" spans="12:12">
      <c r="L532" s="123"/>
    </row>
    <row r="533" spans="12:12">
      <c r="L533" s="123"/>
    </row>
    <row r="534" spans="12:12">
      <c r="L534" s="123"/>
    </row>
    <row r="535" spans="12:12">
      <c r="L535" s="123"/>
    </row>
    <row r="536" spans="12:12">
      <c r="L536" s="123"/>
    </row>
    <row r="537" spans="12:12">
      <c r="L537" s="123"/>
    </row>
    <row r="538" spans="12:12">
      <c r="L538" s="123"/>
    </row>
    <row r="539" spans="12:12">
      <c r="L539" s="123"/>
    </row>
    <row r="540" spans="12:12">
      <c r="L540" s="123"/>
    </row>
    <row r="541" spans="12:12">
      <c r="L541" s="123"/>
    </row>
    <row r="542" spans="12:12">
      <c r="L542" s="123"/>
    </row>
    <row r="543" spans="12:12">
      <c r="L543" s="123"/>
    </row>
    <row r="544" spans="12:12">
      <c r="L544" s="247"/>
    </row>
    <row r="545" spans="12:12">
      <c r="L545" s="123"/>
    </row>
    <row r="546" spans="12:12">
      <c r="L546" s="123"/>
    </row>
    <row r="547" spans="12:12">
      <c r="L547" s="123"/>
    </row>
    <row r="548" spans="12:12">
      <c r="L548" s="123"/>
    </row>
    <row r="549" spans="12:12">
      <c r="L549" s="123"/>
    </row>
    <row r="550" spans="12:12">
      <c r="L550" s="123"/>
    </row>
    <row r="551" spans="12:12">
      <c r="L551" s="123"/>
    </row>
    <row r="552" spans="12:12">
      <c r="L552" s="123"/>
    </row>
    <row r="553" spans="12:12">
      <c r="L553" s="123"/>
    </row>
    <row r="554" spans="12:12">
      <c r="L554" s="123"/>
    </row>
    <row r="555" spans="12:12">
      <c r="L555" s="123"/>
    </row>
    <row r="556" spans="12:12">
      <c r="L556" s="123"/>
    </row>
    <row r="557" spans="12:12">
      <c r="L557" s="123"/>
    </row>
    <row r="558" spans="12:12">
      <c r="L558" s="123"/>
    </row>
    <row r="559" spans="12:12">
      <c r="L559" s="123"/>
    </row>
    <row r="560" spans="12:12">
      <c r="L560" s="123"/>
    </row>
    <row r="561" spans="12:12">
      <c r="L561" s="123"/>
    </row>
    <row r="562" spans="12:12">
      <c r="L562" s="123"/>
    </row>
    <row r="563" spans="12:12">
      <c r="L563" s="123"/>
    </row>
    <row r="564" spans="12:12">
      <c r="L564" s="123"/>
    </row>
    <row r="565" spans="12:12">
      <c r="L565" s="123"/>
    </row>
    <row r="566" spans="12:12">
      <c r="L566" s="123"/>
    </row>
    <row r="567" spans="12:12">
      <c r="L567" s="123"/>
    </row>
    <row r="568" spans="12:12">
      <c r="L568" s="123"/>
    </row>
    <row r="569" spans="12:12">
      <c r="L569" s="123"/>
    </row>
    <row r="570" spans="12:12">
      <c r="L570" s="123"/>
    </row>
    <row r="571" spans="12:12">
      <c r="L571" s="123"/>
    </row>
    <row r="572" spans="12:12">
      <c r="L572" s="123"/>
    </row>
    <row r="573" spans="12:12">
      <c r="L573" s="123"/>
    </row>
    <row r="574" spans="12:12">
      <c r="L574" s="123"/>
    </row>
    <row r="575" spans="12:12">
      <c r="L575" s="123"/>
    </row>
    <row r="576" spans="12:12">
      <c r="L576" s="123"/>
    </row>
    <row r="577" spans="12:12">
      <c r="L577" s="123"/>
    </row>
    <row r="578" spans="12:12">
      <c r="L578" s="123"/>
    </row>
    <row r="579" spans="12:12">
      <c r="L579" s="123"/>
    </row>
    <row r="580" spans="12:12">
      <c r="L580" s="123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33"/>
    </row>
    <row r="586" spans="12:12">
      <c r="L586" s="123"/>
    </row>
    <row r="587" spans="12:12">
      <c r="L587" s="123"/>
    </row>
    <row r="588" spans="12:12">
      <c r="L588" s="245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245"/>
    </row>
    <row r="595" spans="12:12">
      <c r="L595" s="123"/>
    </row>
    <row r="596" spans="12:12">
      <c r="L596" s="123"/>
    </row>
    <row r="597" spans="12:12">
      <c r="L597" s="123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245"/>
    </row>
    <row r="606" spans="12:12">
      <c r="L606" s="123"/>
    </row>
    <row r="607" spans="12:12">
      <c r="L607" s="123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245"/>
    </row>
    <row r="624" spans="12:12">
      <c r="L624" s="123"/>
    </row>
    <row r="625" spans="12:12">
      <c r="L625" s="123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245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123"/>
    </row>
    <row r="647" spans="12:12">
      <c r="L647" s="123"/>
    </row>
    <row r="648" spans="12:12">
      <c r="L648" s="123"/>
    </row>
    <row r="649" spans="12:12">
      <c r="L649" s="123"/>
    </row>
    <row r="650" spans="12:12">
      <c r="L650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245"/>
    </row>
    <row r="655" spans="12:12">
      <c r="L655" s="123"/>
    </row>
    <row r="656" spans="12:12">
      <c r="L656" s="123"/>
    </row>
    <row r="657" spans="12:12">
      <c r="L657" s="123"/>
    </row>
    <row r="659" spans="12:12">
      <c r="L659" s="123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123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245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245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9">
      <c r="L705" s="123"/>
    </row>
    <row r="706" spans="12:29">
      <c r="L706" s="123"/>
    </row>
    <row r="707" spans="12:29">
      <c r="L707" s="123"/>
    </row>
    <row r="708" spans="12:29">
      <c r="L708" s="123"/>
    </row>
    <row r="709" spans="12:29">
      <c r="L709" s="123"/>
    </row>
    <row r="710" spans="12:29">
      <c r="L710" s="123"/>
    </row>
    <row r="711" spans="12:29">
      <c r="L711" s="123"/>
    </row>
    <row r="712" spans="12:29">
      <c r="L712" s="123"/>
    </row>
    <row r="713" spans="12:29">
      <c r="L713" s="123"/>
    </row>
    <row r="714" spans="12:29">
      <c r="L714" s="123"/>
    </row>
    <row r="715" spans="12:29">
      <c r="L715" s="123"/>
    </row>
    <row r="716" spans="12:29">
      <c r="L716" s="27"/>
    </row>
    <row r="717" spans="12:29">
      <c r="L717" s="123"/>
    </row>
    <row r="718" spans="12:29">
      <c r="L718" s="123"/>
    </row>
    <row r="719" spans="12:29">
      <c r="L719" s="123"/>
    </row>
    <row r="720" spans="12:29">
      <c r="L720" s="123"/>
      <c r="AC720" s="38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9">
      <c r="L737" s="123"/>
    </row>
    <row r="738" spans="12:29">
      <c r="L738" s="123"/>
    </row>
    <row r="739" spans="12:29">
      <c r="L739" s="123"/>
    </row>
    <row r="740" spans="12:29">
      <c r="L740" s="123"/>
    </row>
    <row r="741" spans="12:29">
      <c r="L741" s="123"/>
    </row>
    <row r="742" spans="12:29">
      <c r="L742" s="123"/>
    </row>
    <row r="743" spans="12:29">
      <c r="L743" s="123"/>
    </row>
    <row r="744" spans="12:29">
      <c r="L744" s="123"/>
    </row>
    <row r="745" spans="12:29">
      <c r="L745" s="123"/>
    </row>
    <row r="746" spans="12:29">
      <c r="L746" s="123"/>
    </row>
    <row r="747" spans="12:29">
      <c r="L747" s="123"/>
    </row>
    <row r="748" spans="12:29">
      <c r="L748" s="123"/>
    </row>
    <row r="749" spans="12:29">
      <c r="L749" s="245"/>
    </row>
    <row r="750" spans="12:29">
      <c r="L750" s="245"/>
      <c r="AC750" s="383"/>
    </row>
    <row r="751" spans="12:29">
      <c r="L751" s="123"/>
    </row>
    <row r="752" spans="12:29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123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245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123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245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123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245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123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225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123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245"/>
    </row>
    <row r="947" spans="12:12">
      <c r="L947" s="123"/>
    </row>
    <row r="948" spans="12:12">
      <c r="L948" s="123"/>
    </row>
    <row r="949" spans="12:12">
      <c r="L949" s="123"/>
    </row>
    <row r="950" spans="12:12">
      <c r="L950" s="123"/>
    </row>
    <row r="951" spans="12:12">
      <c r="L951" s="123"/>
    </row>
    <row r="952" spans="12:12">
      <c r="L952" s="123"/>
    </row>
    <row r="953" spans="12:12">
      <c r="L953" s="123"/>
    </row>
    <row r="954" spans="12:12">
      <c r="L954" s="123"/>
    </row>
    <row r="956" spans="12:12">
      <c r="L956" s="123"/>
    </row>
    <row r="957" spans="12:12">
      <c r="L957" s="123"/>
    </row>
    <row r="958" spans="12:12">
      <c r="L958" s="245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123"/>
    </row>
    <row r="964" spans="12:12">
      <c r="L964" s="245"/>
    </row>
    <row r="965" spans="12:12">
      <c r="L965" s="120"/>
    </row>
    <row r="967" spans="12:12">
      <c r="L967" s="123"/>
    </row>
    <row r="968" spans="12:12">
      <c r="L968" s="245"/>
    </row>
    <row r="969" spans="12:12">
      <c r="L969" s="123"/>
    </row>
    <row r="970" spans="12:12">
      <c r="L970" s="123"/>
    </row>
    <row r="971" spans="12:12">
      <c r="L971" s="245"/>
    </row>
    <row r="972" spans="12:12">
      <c r="L972" s="123"/>
    </row>
    <row r="973" spans="12:12">
      <c r="L973" s="123"/>
    </row>
    <row r="974" spans="12:12">
      <c r="L974" s="123"/>
    </row>
    <row r="975" spans="12:12">
      <c r="L975" s="123"/>
    </row>
    <row r="976" spans="12:12">
      <c r="L976" s="123"/>
    </row>
    <row r="977" spans="12:12">
      <c r="L977" s="245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3" spans="12:12">
      <c r="L983" s="245"/>
    </row>
    <row r="984" spans="12:12">
      <c r="L984" s="123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6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123"/>
    </row>
    <row r="1000" spans="12:12">
      <c r="L1000" s="245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245"/>
    </row>
    <row r="1016" spans="12:12">
      <c r="L1016" s="123"/>
    </row>
    <row r="1017" spans="12:12">
      <c r="L1017" s="123"/>
    </row>
    <row r="1018" spans="12:12">
      <c r="L1018" s="123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0"/>
    </row>
    <row r="1026" spans="12:12">
      <c r="L1026" s="120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123"/>
    </row>
    <row r="1031" spans="12:12">
      <c r="L1031" s="123"/>
    </row>
    <row r="1032" spans="12:12">
      <c r="L1032" s="123"/>
    </row>
    <row r="1033" spans="12:12">
      <c r="L1033" s="123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123"/>
    </row>
    <row r="1038" spans="12:12">
      <c r="L1038" s="245"/>
    </row>
    <row r="1039" spans="12:12">
      <c r="L1039" s="123"/>
    </row>
    <row r="1040" spans="12:12">
      <c r="L1040" s="123"/>
    </row>
    <row r="1041" spans="12:12">
      <c r="L1041" s="245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43"/>
    </row>
    <row r="1047" spans="12:12">
      <c r="L1047" s="123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0"/>
    </row>
    <row r="1056" spans="12:12">
      <c r="L1056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123"/>
    </row>
    <row r="1062" spans="12:12">
      <c r="L1062" s="123"/>
    </row>
    <row r="1063" spans="12:12">
      <c r="L1063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3"/>
    </row>
    <row r="1069" spans="12:12">
      <c r="L1069" s="245"/>
    </row>
    <row r="1070" spans="12:12">
      <c r="L1070" s="123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0"/>
    </row>
    <row r="1077" spans="12:12">
      <c r="L1077" s="123"/>
    </row>
    <row r="1078" spans="12:12">
      <c r="L1078" s="245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3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123"/>
    </row>
    <row r="1096" spans="12:12">
      <c r="L1096" s="123"/>
    </row>
    <row r="1097" spans="12:12">
      <c r="L1097" s="120"/>
    </row>
    <row r="1098" spans="12:12">
      <c r="L1098" s="123"/>
    </row>
    <row r="1099" spans="12:12">
      <c r="L1099" s="123"/>
    </row>
    <row r="1100" spans="12:12">
      <c r="L1100" s="123"/>
    </row>
    <row r="1101" spans="12:12">
      <c r="L1101" s="123"/>
    </row>
    <row r="1102" spans="12:12">
      <c r="L1102" s="123"/>
    </row>
    <row r="1103" spans="12:12">
      <c r="L1103" s="27"/>
    </row>
    <row r="1104" spans="12:12">
      <c r="L1104" s="120"/>
    </row>
    <row r="1105" spans="12:12">
      <c r="L1105" s="245"/>
    </row>
    <row r="1106" spans="12:12">
      <c r="L1106" s="245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3"/>
    </row>
    <row r="1112" spans="12:12">
      <c r="L1112" s="43"/>
    </row>
    <row r="1113" spans="12:12">
      <c r="L1113" s="123"/>
    </row>
    <row r="1115" spans="12:12">
      <c r="L1115" s="123"/>
    </row>
    <row r="1116" spans="12:12">
      <c r="L1116" s="120"/>
    </row>
    <row r="1117" spans="12:12">
      <c r="L1117" s="123"/>
    </row>
    <row r="1118" spans="12:12">
      <c r="L1118" s="123"/>
    </row>
    <row r="1119" spans="12:12">
      <c r="L1119" s="120"/>
    </row>
    <row r="1120" spans="12:12">
      <c r="L1120" s="123"/>
    </row>
    <row r="1121" spans="12:29">
      <c r="L1121" s="123"/>
    </row>
    <row r="1122" spans="12:29">
      <c r="L1122" s="123"/>
    </row>
    <row r="1123" spans="12:29">
      <c r="L1123" s="123"/>
    </row>
    <row r="1124" spans="12:29">
      <c r="L1124" s="123"/>
    </row>
    <row r="1125" spans="12:29">
      <c r="L1125" s="123"/>
    </row>
    <row r="1126" spans="12:29">
      <c r="L1126" s="123"/>
    </row>
    <row r="1127" spans="12:29">
      <c r="L1127" s="123"/>
    </row>
    <row r="1128" spans="12:29">
      <c r="L1128" s="123"/>
    </row>
    <row r="1129" spans="12:29">
      <c r="L1129" s="123"/>
    </row>
    <row r="1130" spans="12:29">
      <c r="L1130" s="245"/>
      <c r="AC1130" s="383"/>
    </row>
    <row r="1131" spans="12:29">
      <c r="L1131" s="123"/>
    </row>
    <row r="1132" spans="12:29">
      <c r="L1132" s="123"/>
    </row>
    <row r="1133" spans="12:29">
      <c r="L1133" s="123"/>
    </row>
    <row r="1134" spans="12:29">
      <c r="L1134" s="123"/>
    </row>
    <row r="1135" spans="12:29">
      <c r="L1135" s="123"/>
      <c r="M1135" s="234" t="s">
        <v>3323</v>
      </c>
      <c r="N1135" s="341" t="s">
        <v>3323</v>
      </c>
    </row>
    <row r="1136" spans="12:29">
      <c r="L1136" s="123"/>
    </row>
    <row r="1137" spans="12:12">
      <c r="L1137" s="120"/>
    </row>
    <row r="1138" spans="12:12">
      <c r="L1138" s="123"/>
    </row>
    <row r="1139" spans="12:12">
      <c r="L1139" s="123"/>
    </row>
    <row r="1140" spans="12:12">
      <c r="L1140" s="123"/>
    </row>
    <row r="1141" spans="12:12">
      <c r="L1141" s="123"/>
    </row>
    <row r="1142" spans="12:12">
      <c r="L1142" s="245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27"/>
    </row>
    <row r="1148" spans="12:12">
      <c r="L1148" s="123"/>
    </row>
    <row r="1149" spans="12:12">
      <c r="L1149" s="245"/>
    </row>
    <row r="1150" spans="12:12">
      <c r="L1150" s="120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123"/>
    </row>
    <row r="1157" spans="12:12">
      <c r="L1157" s="123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245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2" spans="12:12">
      <c r="L1172" s="123"/>
    </row>
    <row r="1173" spans="12:12">
      <c r="L1173" s="123"/>
    </row>
    <row r="1174" spans="12:12">
      <c r="L1174" s="123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1" spans="12:12">
      <c r="L1181" s="123"/>
    </row>
    <row r="1182" spans="12:12">
      <c r="L1182" s="120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90" spans="12:12">
      <c r="L1190" s="123"/>
    </row>
    <row r="1191" spans="12:12">
      <c r="L1191" s="123"/>
    </row>
    <row r="1192" spans="12:12">
      <c r="L1192" s="123"/>
    </row>
    <row r="1193" spans="12:12">
      <c r="L1193" s="123"/>
    </row>
    <row r="1194" spans="12:12">
      <c r="L1194" s="123"/>
    </row>
    <row r="1195" spans="12:12">
      <c r="L1195" s="123"/>
    </row>
    <row r="1196" spans="12:12">
      <c r="L1196" s="123"/>
    </row>
    <row r="1197" spans="12:12">
      <c r="L1197" s="123"/>
    </row>
    <row r="1198" spans="12:12">
      <c r="L1198" s="123"/>
    </row>
    <row r="1199" spans="12:12">
      <c r="L1199" s="120"/>
    </row>
    <row r="1200" spans="12:12">
      <c r="L1200" s="123"/>
    </row>
    <row r="1201" spans="12:12">
      <c r="L1201" s="123"/>
    </row>
    <row r="1202" spans="12:12">
      <c r="L1202" s="123"/>
    </row>
    <row r="1204" spans="12:12">
      <c r="L1204" s="123"/>
    </row>
    <row r="1205" spans="12:12">
      <c r="L1205" s="123"/>
    </row>
    <row r="1206" spans="12:12">
      <c r="L1206" s="245"/>
    </row>
    <row r="1207" spans="12:12">
      <c r="L1207" s="123"/>
    </row>
    <row r="1208" spans="12:12">
      <c r="L1208" s="245"/>
    </row>
    <row r="1209" spans="12:12">
      <c r="L1209" s="123"/>
    </row>
    <row r="1210" spans="12:12">
      <c r="L1210" s="123"/>
    </row>
    <row r="1211" spans="12:12">
      <c r="L1211" s="123"/>
    </row>
    <row r="1212" spans="12:12">
      <c r="L1212" s="245"/>
    </row>
    <row r="1213" spans="12:12">
      <c r="L1213" s="245"/>
    </row>
    <row r="1214" spans="12:12">
      <c r="L1214" s="123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245"/>
    </row>
    <row r="1219" spans="12:12">
      <c r="L1219" s="123"/>
    </row>
    <row r="1220" spans="12:12">
      <c r="L1220" s="245"/>
    </row>
    <row r="1221" spans="12:12">
      <c r="L1221" s="123"/>
    </row>
    <row r="1222" spans="12:12">
      <c r="L1222" s="245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123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245"/>
    </row>
    <row r="1248" spans="12:12">
      <c r="L1248" s="123"/>
    </row>
    <row r="1249" spans="12:12">
      <c r="L1249" s="123"/>
    </row>
    <row r="1250" spans="12:12">
      <c r="L1250" s="123"/>
    </row>
    <row r="1251" spans="12:12">
      <c r="L1251" s="123"/>
    </row>
    <row r="1252" spans="12:12">
      <c r="L1252" s="123"/>
    </row>
    <row r="1253" spans="12:12">
      <c r="L1253" s="123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0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123"/>
    </row>
    <row r="1263" spans="12:12">
      <c r="L1263" s="123"/>
    </row>
    <row r="1264" spans="12:12">
      <c r="L1264" s="123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245"/>
    </row>
    <row r="1270" spans="12:12">
      <c r="L1270" s="245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245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3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124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9">
      <c r="L1297" s="123"/>
    </row>
    <row r="1298" spans="12:19">
      <c r="L1298" s="123"/>
    </row>
    <row r="1299" spans="12:19">
      <c r="L1299" s="123"/>
    </row>
    <row r="1300" spans="12:19">
      <c r="L1300" s="245"/>
    </row>
    <row r="1301" spans="12:19">
      <c r="L1301" s="123"/>
    </row>
    <row r="1302" spans="12:19">
      <c r="L1302" s="123"/>
    </row>
    <row r="1303" spans="12:19">
      <c r="L1303" s="123"/>
    </row>
    <row r="1304" spans="12:19">
      <c r="L1304" s="123"/>
    </row>
    <row r="1305" spans="12:19">
      <c r="L1305" s="123"/>
    </row>
    <row r="1306" spans="12:19">
      <c r="L1306" s="123"/>
    </row>
    <row r="1307" spans="12:19">
      <c r="L1307" s="123"/>
    </row>
    <row r="1308" spans="12:19">
      <c r="L1308" s="123"/>
      <c r="P1308" s="366"/>
      <c r="R1308" s="355"/>
      <c r="S1308" s="242"/>
    </row>
    <row r="1309" spans="12:19">
      <c r="L1309" s="123"/>
    </row>
    <row r="1310" spans="12:19">
      <c r="L1310" s="123"/>
    </row>
    <row r="1311" spans="12:19">
      <c r="L1311" s="123"/>
    </row>
    <row r="1312" spans="12:19">
      <c r="L1312" s="123"/>
    </row>
    <row r="1313" spans="12:19">
      <c r="L1313" s="123"/>
    </row>
    <row r="1314" spans="12:19">
      <c r="L1314" s="123"/>
    </row>
    <row r="1315" spans="12:19">
      <c r="L1315" s="245"/>
    </row>
    <row r="1316" spans="12:19">
      <c r="L1316" s="245"/>
    </row>
    <row r="1317" spans="12:19">
      <c r="L1317" s="123"/>
    </row>
    <row r="1318" spans="12:19">
      <c r="L1318" s="123"/>
      <c r="P1318" s="366"/>
      <c r="R1318" s="355"/>
      <c r="S1318" s="242"/>
    </row>
    <row r="1319" spans="12:19">
      <c r="L1319" s="123"/>
    </row>
    <row r="1320" spans="12:19">
      <c r="L1320" s="123"/>
    </row>
    <row r="1321" spans="12:19">
      <c r="L1321" s="123"/>
    </row>
    <row r="1322" spans="12:19">
      <c r="L1322" s="123"/>
      <c r="P1322" s="366"/>
      <c r="R1322" s="355"/>
      <c r="S1322" s="242"/>
    </row>
    <row r="1323" spans="12:19">
      <c r="L1323" s="123"/>
    </row>
    <row r="1324" spans="12:19">
      <c r="L1324" s="123"/>
    </row>
    <row r="1325" spans="12:19">
      <c r="L1325" s="123"/>
    </row>
    <row r="1326" spans="12:19">
      <c r="L1326" s="245"/>
    </row>
    <row r="1327" spans="12:19">
      <c r="L1327" s="123"/>
      <c r="P1327" s="366"/>
      <c r="R1327" s="355"/>
      <c r="S1327" s="242"/>
    </row>
    <row r="1328" spans="12:19">
      <c r="L1328" s="123"/>
      <c r="P1328" s="366"/>
      <c r="R1328" s="355"/>
      <c r="S1328" s="242"/>
    </row>
    <row r="1329" spans="12:19">
      <c r="L1329" s="123"/>
      <c r="P1329" s="366"/>
      <c r="R1329" s="355"/>
      <c r="S1329" s="242"/>
    </row>
    <row r="1330" spans="12:19">
      <c r="L1330" s="123"/>
    </row>
    <row r="1331" spans="12:19">
      <c r="L1331" s="123"/>
      <c r="P1331" s="366"/>
      <c r="R1331" s="355"/>
      <c r="S1331" s="242"/>
    </row>
    <row r="1332" spans="12:19">
      <c r="L1332" s="123"/>
      <c r="P1332" s="366"/>
      <c r="R1332" s="355"/>
      <c r="S1332" s="242"/>
    </row>
    <row r="1333" spans="12:19">
      <c r="L1333" s="120"/>
    </row>
    <row r="1334" spans="12:19">
      <c r="L1334" s="123"/>
      <c r="P1334" s="366"/>
      <c r="R1334" s="355"/>
      <c r="S1334" s="242"/>
    </row>
    <row r="1336" spans="12:19">
      <c r="L1336" s="123"/>
      <c r="P1336" s="366"/>
      <c r="R1336" s="355"/>
      <c r="S1336" s="242"/>
    </row>
    <row r="1337" spans="12:19">
      <c r="L1337" s="245"/>
      <c r="P1337" s="366"/>
      <c r="R1337" s="355"/>
      <c r="S1337" s="242"/>
    </row>
    <row r="1338" spans="12:19">
      <c r="L1338" s="123"/>
      <c r="P1338" s="366"/>
      <c r="R1338" s="355"/>
      <c r="S1338" s="242"/>
    </row>
    <row r="1339" spans="12:19">
      <c r="L1339" s="123"/>
      <c r="P1339" s="366"/>
      <c r="R1339" s="355"/>
      <c r="S1339" s="242"/>
    </row>
    <row r="1340" spans="12:19">
      <c r="L1340" s="123"/>
      <c r="P1340" s="366"/>
      <c r="R1340" s="355"/>
      <c r="S1340" s="242"/>
    </row>
    <row r="1341" spans="12:19">
      <c r="L1341" s="123"/>
      <c r="P1341" s="366"/>
      <c r="R1341" s="355"/>
      <c r="S1341" s="242"/>
    </row>
    <row r="1342" spans="12:19">
      <c r="L1342" s="123"/>
      <c r="P1342" s="366"/>
      <c r="R1342" s="355"/>
      <c r="S1342" s="242"/>
    </row>
    <row r="1343" spans="12:19">
      <c r="L1343" s="123"/>
      <c r="P1343" s="366"/>
      <c r="R1343" s="355"/>
      <c r="S1343" s="242"/>
    </row>
    <row r="1344" spans="12:19">
      <c r="L1344" s="123"/>
    </row>
    <row r="1345" spans="12:19">
      <c r="L1345" s="123"/>
    </row>
    <row r="1346" spans="12:19">
      <c r="L1346" s="123"/>
    </row>
    <row r="1347" spans="12:19">
      <c r="L1347" s="123"/>
    </row>
    <row r="1348" spans="12:19">
      <c r="L1348" s="123"/>
    </row>
    <row r="1349" spans="12:19">
      <c r="L1349" s="123"/>
    </row>
    <row r="1350" spans="12:19">
      <c r="L1350" s="123"/>
    </row>
    <row r="1351" spans="12:19">
      <c r="L1351" s="123"/>
    </row>
    <row r="1352" spans="12:19">
      <c r="L1352" s="123"/>
      <c r="P1352" s="366"/>
      <c r="R1352" s="355"/>
      <c r="S1352" s="242"/>
    </row>
    <row r="1353" spans="12:19">
      <c r="L1353" s="123"/>
      <c r="P1353" s="366"/>
      <c r="R1353" s="355"/>
      <c r="S1353" s="242"/>
    </row>
    <row r="1354" spans="12:19">
      <c r="L1354" s="123"/>
      <c r="P1354" s="366"/>
      <c r="R1354" s="355"/>
      <c r="S1354" s="242"/>
    </row>
    <row r="1355" spans="12:19">
      <c r="L1355" s="123"/>
    </row>
    <row r="1356" spans="12:19">
      <c r="L1356" s="123"/>
      <c r="P1356" s="366"/>
      <c r="R1356" s="355"/>
      <c r="S1356" s="242"/>
    </row>
    <row r="1357" spans="12:19">
      <c r="L1357" s="123"/>
      <c r="P1357" s="366"/>
      <c r="R1357" s="355"/>
      <c r="S1357" s="242"/>
    </row>
    <row r="1358" spans="12:19">
      <c r="L1358" s="123"/>
      <c r="P1358" s="366"/>
      <c r="R1358" s="355"/>
      <c r="S1358" s="242"/>
    </row>
    <row r="1359" spans="12:19">
      <c r="L1359" s="123"/>
      <c r="P1359" s="366"/>
      <c r="R1359" s="355"/>
      <c r="S1359" s="242"/>
    </row>
    <row r="1360" spans="12:19">
      <c r="L1360" s="123"/>
    </row>
    <row r="1362" spans="12:29">
      <c r="L1362" s="123"/>
    </row>
    <row r="1363" spans="12:29">
      <c r="L1363" s="123"/>
    </row>
    <row r="1364" spans="12:29">
      <c r="L1364" s="123"/>
    </row>
    <row r="1365" spans="12:29">
      <c r="L1365" s="123"/>
    </row>
    <row r="1366" spans="12:29">
      <c r="L1366" s="123"/>
    </row>
    <row r="1367" spans="12:29">
      <c r="L1367" s="123"/>
      <c r="AC1367" s="383"/>
    </row>
    <row r="1368" spans="12:29">
      <c r="L1368" s="123"/>
    </row>
    <row r="1369" spans="12:29">
      <c r="L1369" s="123"/>
    </row>
    <row r="1370" spans="12:29">
      <c r="L1370" s="51"/>
    </row>
    <row r="1371" spans="12:29">
      <c r="L1371" s="123"/>
    </row>
    <row r="1372" spans="12:29">
      <c r="L1372" s="123"/>
    </row>
    <row r="1373" spans="12:29">
      <c r="L1373" s="123"/>
    </row>
    <row r="1374" spans="12:29">
      <c r="L1374" s="123"/>
    </row>
    <row r="1375" spans="12:29">
      <c r="L1375" s="123"/>
    </row>
    <row r="1376" spans="12:29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245"/>
    </row>
    <row r="1382" spans="12:12">
      <c r="L1382" s="26"/>
    </row>
    <row r="1383" spans="12:12">
      <c r="L1383" s="245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123"/>
    </row>
    <row r="1398" spans="12:12">
      <c r="L1398" s="123"/>
    </row>
    <row r="1399" spans="12:12">
      <c r="L1399" s="123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245"/>
    </row>
    <row r="1406" spans="12:12">
      <c r="L1406" s="245"/>
    </row>
    <row r="1407" spans="12:12">
      <c r="L1407" s="27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123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245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123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3"/>
    </row>
    <row r="1433" spans="12:12">
      <c r="L1433" s="27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0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123"/>
    </row>
    <row r="1473" spans="12:19">
      <c r="L1473" s="123"/>
    </row>
    <row r="1474" spans="12:19">
      <c r="L1474" s="123"/>
    </row>
    <row r="1475" spans="12:19">
      <c r="L1475" s="123"/>
    </row>
    <row r="1476" spans="12:19">
      <c r="L1476" s="123"/>
    </row>
    <row r="1477" spans="12:19">
      <c r="L1477" s="123"/>
    </row>
    <row r="1478" spans="12:19">
      <c r="L1478" s="123"/>
    </row>
    <row r="1479" spans="12:19">
      <c r="L1479" s="123"/>
    </row>
    <row r="1480" spans="12:19">
      <c r="L1480" s="245"/>
    </row>
    <row r="1481" spans="12:19">
      <c r="L1481" s="123"/>
    </row>
    <row r="1482" spans="12:19">
      <c r="L1482" s="123"/>
    </row>
    <row r="1483" spans="12:19">
      <c r="L1483" s="123"/>
    </row>
    <row r="1484" spans="12:19">
      <c r="L1484" s="123"/>
    </row>
    <row r="1485" spans="12:19">
      <c r="L1485" s="247"/>
      <c r="P1485" s="366"/>
      <c r="R1485" s="355"/>
      <c r="S1485" s="242"/>
    </row>
    <row r="1486" spans="12:19">
      <c r="L1486" s="123"/>
    </row>
    <row r="1487" spans="12:19">
      <c r="L1487" s="123"/>
    </row>
    <row r="1488" spans="12:19">
      <c r="L1488" s="123"/>
    </row>
    <row r="1489" spans="12:19">
      <c r="L1489" s="123"/>
    </row>
    <row r="1490" spans="12:19">
      <c r="L1490" s="123"/>
    </row>
    <row r="1491" spans="12:19">
      <c r="L1491" s="123"/>
    </row>
    <row r="1492" spans="12:19">
      <c r="L1492" s="211"/>
    </row>
    <row r="1493" spans="12:19">
      <c r="L1493" s="123"/>
    </row>
    <row r="1494" spans="12:19">
      <c r="L1494" s="123"/>
    </row>
    <row r="1495" spans="12:19">
      <c r="L1495" s="123"/>
      <c r="P1495" s="366"/>
      <c r="R1495" s="355"/>
      <c r="S1495" s="242"/>
    </row>
    <row r="1496" spans="12:19">
      <c r="L1496" s="123"/>
    </row>
    <row r="1497" spans="12:19">
      <c r="L1497" s="123"/>
    </row>
    <row r="1498" spans="12:19">
      <c r="L1498" s="123"/>
    </row>
    <row r="1499" spans="12:19">
      <c r="L1499" s="123"/>
      <c r="P1499" s="366"/>
      <c r="R1499" s="355"/>
      <c r="S1499" s="242"/>
    </row>
    <row r="1500" spans="12:19">
      <c r="L1500" s="123"/>
    </row>
    <row r="1501" spans="12:19">
      <c r="L1501" s="123"/>
    </row>
    <row r="1502" spans="12:19">
      <c r="L1502" s="123"/>
    </row>
    <row r="1503" spans="12:19">
      <c r="L1503" s="245"/>
    </row>
    <row r="1504" spans="12:19">
      <c r="L1504" s="123"/>
      <c r="P1504" s="366"/>
      <c r="R1504" s="355"/>
      <c r="S1504" s="242"/>
    </row>
    <row r="1505" spans="12:19">
      <c r="L1505" s="123"/>
      <c r="P1505" s="366"/>
      <c r="R1505" s="355"/>
      <c r="S1505" s="242"/>
    </row>
    <row r="1506" spans="12:19">
      <c r="L1506" s="123"/>
      <c r="P1506" s="366"/>
      <c r="R1506" s="355"/>
      <c r="S1506" s="242"/>
    </row>
    <row r="1507" spans="12:19">
      <c r="L1507" s="123"/>
    </row>
    <row r="1508" spans="12:19">
      <c r="L1508" s="123"/>
      <c r="P1508" s="366"/>
      <c r="R1508" s="355"/>
      <c r="S1508" s="242"/>
    </row>
    <row r="1509" spans="12:19">
      <c r="L1509" s="123"/>
      <c r="P1509" s="366"/>
      <c r="R1509" s="355"/>
      <c r="S1509" s="242"/>
    </row>
    <row r="1510" spans="12:19">
      <c r="L1510" s="123"/>
    </row>
    <row r="1511" spans="12:19">
      <c r="L1511" s="123"/>
      <c r="P1511" s="366"/>
      <c r="R1511" s="355"/>
      <c r="S1511" s="242"/>
    </row>
    <row r="1512" spans="12:19">
      <c r="L1512" s="123"/>
    </row>
    <row r="1513" spans="12:19">
      <c r="L1513" s="123"/>
      <c r="P1513" s="366"/>
      <c r="R1513" s="355"/>
      <c r="S1513" s="242"/>
    </row>
    <row r="1514" spans="12:19">
      <c r="L1514" s="123"/>
      <c r="P1514" s="366"/>
      <c r="R1514" s="355"/>
      <c r="S1514" s="242"/>
    </row>
    <row r="1515" spans="12:19">
      <c r="L1515" s="245"/>
      <c r="P1515" s="366"/>
      <c r="R1515" s="355"/>
      <c r="S1515" s="242"/>
    </row>
    <row r="1516" spans="12:19">
      <c r="L1516" s="123"/>
      <c r="P1516" s="366"/>
      <c r="R1516" s="355"/>
      <c r="S1516" s="242"/>
    </row>
    <row r="1517" spans="12:19">
      <c r="L1517" s="27"/>
      <c r="P1517" s="366"/>
      <c r="R1517" s="355"/>
      <c r="S1517" s="242"/>
    </row>
    <row r="1518" spans="12:19">
      <c r="L1518" s="245"/>
      <c r="P1518" s="366"/>
      <c r="R1518" s="355"/>
      <c r="S1518" s="242"/>
    </row>
    <row r="1519" spans="12:19">
      <c r="L1519" s="123"/>
      <c r="P1519" s="366"/>
      <c r="R1519" s="355"/>
      <c r="S1519" s="242"/>
    </row>
    <row r="1520" spans="12:19">
      <c r="L1520" s="123"/>
      <c r="P1520" s="366"/>
      <c r="R1520" s="355"/>
      <c r="S1520" s="242"/>
    </row>
    <row r="1521" spans="12:19">
      <c r="L1521" s="123"/>
      <c r="P1521" s="366"/>
      <c r="R1521" s="355"/>
      <c r="S1521" s="242"/>
    </row>
    <row r="1522" spans="12:19">
      <c r="L1522" s="123"/>
      <c r="P1522" s="366"/>
      <c r="R1522" s="355"/>
      <c r="S1522" s="242"/>
    </row>
    <row r="1523" spans="12:19">
      <c r="L1523" s="245"/>
    </row>
    <row r="1524" spans="12:19">
      <c r="L1524" s="123"/>
      <c r="P1524" s="366"/>
      <c r="R1524" s="355"/>
      <c r="S1524" s="242"/>
    </row>
    <row r="1525" spans="12:19">
      <c r="L1525" s="123"/>
      <c r="P1525" s="366"/>
      <c r="R1525" s="355"/>
      <c r="S1525" s="242"/>
    </row>
    <row r="1526" spans="12:19">
      <c r="L1526" s="123"/>
      <c r="P1526" s="366"/>
      <c r="R1526" s="355"/>
      <c r="S1526" s="242"/>
    </row>
    <row r="1527" spans="12:19">
      <c r="L1527" s="123"/>
      <c r="P1527" s="366"/>
      <c r="R1527" s="355"/>
      <c r="S1527" s="242"/>
    </row>
    <row r="1528" spans="12:19">
      <c r="L1528" s="123"/>
      <c r="P1528" s="366"/>
      <c r="R1528" s="355"/>
      <c r="S1528" s="242"/>
    </row>
    <row r="1529" spans="12:19">
      <c r="L1529" s="123"/>
      <c r="P1529" s="366"/>
      <c r="R1529" s="355"/>
      <c r="S1529" s="242"/>
    </row>
    <row r="1530" spans="12:19">
      <c r="L1530" s="123"/>
      <c r="P1530" s="366"/>
      <c r="R1530" s="355"/>
      <c r="S1530" s="242"/>
    </row>
    <row r="1531" spans="12:19">
      <c r="L1531" s="123"/>
      <c r="P1531" s="366"/>
      <c r="R1531" s="355"/>
      <c r="S1531" s="242"/>
    </row>
    <row r="1532" spans="12:19">
      <c r="L1532" s="123"/>
    </row>
    <row r="1533" spans="12:19">
      <c r="L1533" s="123"/>
      <c r="P1533" s="366"/>
      <c r="R1533" s="355"/>
      <c r="S1533" s="242"/>
    </row>
    <row r="1534" spans="12:19">
      <c r="L1534" s="123"/>
      <c r="P1534" s="366"/>
      <c r="R1534" s="355"/>
      <c r="S1534" s="242"/>
    </row>
    <row r="1535" spans="12:19">
      <c r="L1535" s="123"/>
      <c r="P1535" s="366"/>
      <c r="R1535" s="355"/>
      <c r="S1535" s="242"/>
    </row>
    <row r="1536" spans="12:19">
      <c r="L1536" s="123"/>
      <c r="P1536" s="366"/>
      <c r="R1536" s="355"/>
      <c r="S1536" s="242"/>
    </row>
    <row r="1537" spans="12:19">
      <c r="L1537" s="123"/>
      <c r="P1537" s="366"/>
      <c r="R1537" s="355"/>
      <c r="S1537" s="242"/>
    </row>
    <row r="1538" spans="12:19">
      <c r="L1538" s="123"/>
      <c r="P1538" s="366"/>
      <c r="R1538" s="355"/>
      <c r="S1538" s="242"/>
    </row>
    <row r="1539" spans="12:19">
      <c r="L1539" s="123"/>
      <c r="P1539" s="366"/>
      <c r="R1539" s="355"/>
      <c r="S1539" s="242"/>
    </row>
    <row r="1540" spans="12:19">
      <c r="L1540" s="123"/>
      <c r="P1540" s="366"/>
      <c r="R1540" s="355"/>
      <c r="S1540" s="242"/>
    </row>
    <row r="1541" spans="12:19">
      <c r="L1541" s="123"/>
      <c r="P1541" s="366"/>
      <c r="R1541" s="355"/>
      <c r="S1541" s="242"/>
    </row>
    <row r="1542" spans="12:19">
      <c r="L1542" s="123"/>
      <c r="P1542" s="366"/>
      <c r="R1542" s="355"/>
      <c r="S1542" s="242"/>
    </row>
    <row r="1543" spans="12:19">
      <c r="L1543" s="245"/>
      <c r="P1543" s="366"/>
      <c r="R1543" s="355"/>
      <c r="S1543" s="242"/>
    </row>
    <row r="1544" spans="12:19">
      <c r="L1544" s="123"/>
    </row>
    <row r="1545" spans="12:19">
      <c r="L1545" s="123"/>
      <c r="P1545" s="366"/>
      <c r="R1545" s="355"/>
      <c r="S1545" s="242"/>
    </row>
    <row r="1546" spans="12:19">
      <c r="L1546" s="123"/>
      <c r="P1546" s="366"/>
      <c r="R1546" s="355"/>
      <c r="S1546" s="242"/>
    </row>
    <row r="1547" spans="12:19">
      <c r="L1547" s="123"/>
      <c r="P1547" s="366"/>
      <c r="R1547" s="355"/>
      <c r="S1547" s="242"/>
    </row>
    <row r="1548" spans="12:19">
      <c r="L1548" s="123"/>
      <c r="P1548" s="366"/>
      <c r="R1548" s="355"/>
      <c r="S1548" s="242"/>
    </row>
    <row r="1549" spans="12:19">
      <c r="L1549" s="123"/>
      <c r="P1549" s="366"/>
      <c r="R1549" s="355"/>
      <c r="S1549" s="242"/>
    </row>
    <row r="1550" spans="12:19">
      <c r="L1550" s="123"/>
      <c r="P1550" s="366"/>
      <c r="R1550" s="355"/>
      <c r="S1550" s="242"/>
    </row>
    <row r="1551" spans="12:19">
      <c r="L1551" s="123"/>
      <c r="P1551" s="366"/>
      <c r="R1551" s="355"/>
      <c r="S1551" s="242"/>
    </row>
    <row r="1552" spans="12:19">
      <c r="L1552" s="123"/>
      <c r="P1552" s="366"/>
      <c r="R1552" s="355"/>
      <c r="S1552" s="242"/>
    </row>
    <row r="1553" spans="12:19">
      <c r="L1553" s="123"/>
    </row>
    <row r="1554" spans="12:19">
      <c r="L1554" s="123"/>
      <c r="P1554" s="366"/>
      <c r="R1554" s="355"/>
      <c r="S1554" s="242"/>
    </row>
    <row r="1555" spans="12:19">
      <c r="L1555" s="123"/>
      <c r="P1555" s="366"/>
      <c r="R1555" s="355"/>
      <c r="S1555" s="242"/>
    </row>
    <row r="1556" spans="12:19">
      <c r="L1556" s="123"/>
      <c r="P1556" s="366"/>
      <c r="R1556" s="355"/>
      <c r="S1556" s="242"/>
    </row>
    <row r="1557" spans="12:19">
      <c r="L1557" s="123"/>
      <c r="P1557" s="366"/>
      <c r="R1557" s="355"/>
      <c r="S1557" s="242"/>
    </row>
    <row r="1558" spans="12:19">
      <c r="L1558" s="123"/>
      <c r="P1558" s="366"/>
      <c r="R1558" s="355"/>
      <c r="S1558" s="242"/>
    </row>
    <row r="1559" spans="12:19">
      <c r="L1559" s="123"/>
      <c r="P1559" s="366"/>
      <c r="R1559" s="355"/>
      <c r="S1559" s="242"/>
    </row>
    <row r="1560" spans="12:19">
      <c r="L1560" s="123"/>
      <c r="P1560" s="366"/>
      <c r="R1560" s="355"/>
      <c r="S1560" s="242"/>
    </row>
    <row r="1561" spans="12:19">
      <c r="L1561" s="123"/>
      <c r="P1561" s="366"/>
      <c r="R1561" s="355"/>
      <c r="S1561" s="242"/>
    </row>
    <row r="1562" spans="12:19">
      <c r="L1562" s="123"/>
      <c r="P1562" s="366"/>
      <c r="R1562" s="355"/>
      <c r="S1562" s="242"/>
    </row>
    <row r="1563" spans="12:19">
      <c r="L1563" s="123"/>
      <c r="P1563" s="366"/>
      <c r="R1563" s="355"/>
      <c r="S1563" s="242"/>
    </row>
    <row r="1564" spans="12:19">
      <c r="L1564" s="123"/>
      <c r="P1564" s="366"/>
      <c r="R1564" s="355"/>
      <c r="S1564" s="242"/>
    </row>
    <row r="1565" spans="12:19">
      <c r="L1565" s="123"/>
      <c r="P1565" s="366"/>
      <c r="R1565" s="355"/>
      <c r="S1565" s="242"/>
    </row>
    <row r="1566" spans="12:19">
      <c r="L1566" s="123"/>
      <c r="P1566" s="366"/>
      <c r="R1566" s="355"/>
      <c r="S1566" s="242"/>
    </row>
    <row r="1567" spans="12:19">
      <c r="L1567" s="123"/>
      <c r="P1567" s="366"/>
      <c r="R1567" s="355"/>
      <c r="S1567" s="242"/>
    </row>
    <row r="1568" spans="12:19">
      <c r="L1568" s="123"/>
      <c r="P1568" s="366"/>
      <c r="R1568" s="355"/>
      <c r="S1568" s="242"/>
    </row>
    <row r="1569" spans="12:19">
      <c r="L1569" s="123"/>
      <c r="P1569" s="366"/>
      <c r="R1569" s="355"/>
      <c r="S1569" s="242"/>
    </row>
    <row r="1570" spans="12:19">
      <c r="L1570" s="123"/>
      <c r="P1570" s="366"/>
      <c r="R1570" s="355"/>
      <c r="S1570" s="242"/>
    </row>
    <row r="1571" spans="12:19">
      <c r="L1571" s="123"/>
      <c r="P1571" s="366"/>
      <c r="R1571" s="355"/>
      <c r="S1571" s="242"/>
    </row>
    <row r="1572" spans="12:19">
      <c r="L1572" s="123"/>
      <c r="P1572" s="366"/>
      <c r="R1572" s="355"/>
      <c r="S1572" s="242"/>
    </row>
    <row r="1573" spans="12:19">
      <c r="L1573" s="123"/>
      <c r="P1573" s="366"/>
      <c r="R1573" s="355"/>
      <c r="S1573" s="242"/>
    </row>
    <row r="1574" spans="12:19">
      <c r="L1574" s="123"/>
      <c r="P1574" s="366"/>
      <c r="R1574" s="355"/>
      <c r="S1574" s="242"/>
    </row>
    <row r="1575" spans="12:19">
      <c r="L1575" s="123"/>
      <c r="P1575" s="366"/>
      <c r="R1575" s="355"/>
      <c r="S1575" s="242"/>
    </row>
    <row r="1576" spans="12:19">
      <c r="L1576" s="123"/>
      <c r="P1576" s="366"/>
      <c r="R1576" s="355"/>
      <c r="S1576" s="242"/>
    </row>
    <row r="1577" spans="12:19">
      <c r="L1577" s="123"/>
      <c r="P1577" s="366"/>
      <c r="R1577" s="355"/>
      <c r="S1577" s="242"/>
    </row>
    <row r="1578" spans="12:19">
      <c r="L1578" s="123"/>
      <c r="P1578" s="366"/>
      <c r="R1578" s="355"/>
      <c r="S1578" s="242"/>
    </row>
    <row r="1579" spans="12:19">
      <c r="L1579" s="123"/>
      <c r="P1579" s="366"/>
      <c r="R1579" s="355"/>
      <c r="S1579" s="242"/>
    </row>
    <row r="1580" spans="12:19">
      <c r="L1580" s="123"/>
      <c r="P1580" s="366"/>
      <c r="R1580" s="355"/>
      <c r="S1580" s="242"/>
    </row>
    <row r="1581" spans="12:19">
      <c r="L1581" s="123"/>
      <c r="P1581" s="366"/>
      <c r="R1581" s="355"/>
      <c r="S1581" s="242"/>
    </row>
    <row r="1582" spans="12:19">
      <c r="L1582" s="245"/>
      <c r="P1582" s="366"/>
      <c r="R1582" s="355"/>
      <c r="S1582" s="242"/>
    </row>
    <row r="1583" spans="12:19">
      <c r="L1583" s="123"/>
      <c r="P1583" s="366"/>
      <c r="R1583" s="355"/>
      <c r="S1583" s="242"/>
    </row>
    <row r="1584" spans="12:19">
      <c r="L1584" s="123"/>
      <c r="P1584" s="366"/>
      <c r="R1584" s="355"/>
      <c r="S1584" s="242"/>
    </row>
    <row r="1585" spans="12:19">
      <c r="L1585" s="123"/>
      <c r="P1585" s="366"/>
      <c r="R1585" s="355"/>
      <c r="S1585" s="242"/>
    </row>
    <row r="1586" spans="12:19">
      <c r="L1586" s="123"/>
      <c r="P1586" s="366"/>
      <c r="R1586" s="355"/>
      <c r="S1586" s="242"/>
    </row>
    <row r="1587" spans="12:19">
      <c r="L1587" s="123"/>
      <c r="P1587" s="366"/>
      <c r="R1587" s="355"/>
      <c r="S1587" s="242"/>
    </row>
    <row r="1588" spans="12:19">
      <c r="L1588" s="123"/>
      <c r="P1588" s="366"/>
      <c r="R1588" s="355"/>
      <c r="S1588" s="242"/>
    </row>
    <row r="1589" spans="12:19">
      <c r="L1589" s="123"/>
      <c r="P1589" s="366"/>
      <c r="R1589" s="355"/>
      <c r="S1589" s="242"/>
    </row>
    <row r="1590" spans="12:19">
      <c r="L1590" s="123"/>
      <c r="P1590" s="366"/>
      <c r="R1590" s="355"/>
      <c r="S1590" s="242"/>
    </row>
    <row r="1591" spans="12:19">
      <c r="L1591" s="123"/>
      <c r="P1591" s="366"/>
      <c r="R1591" s="355"/>
      <c r="S1591" s="242"/>
    </row>
    <row r="1592" spans="12:19">
      <c r="L1592" s="123"/>
      <c r="P1592" s="366"/>
      <c r="R1592" s="355"/>
      <c r="S1592" s="242"/>
    </row>
    <row r="1593" spans="12:19">
      <c r="L1593" s="123"/>
      <c r="P1593" s="366"/>
      <c r="R1593" s="355"/>
      <c r="S1593" s="242"/>
    </row>
    <row r="1594" spans="12:19">
      <c r="L1594" s="123"/>
      <c r="P1594" s="366"/>
      <c r="R1594" s="355"/>
      <c r="S1594" s="242"/>
    </row>
    <row r="1595" spans="12:19">
      <c r="L1595" s="123"/>
      <c r="P1595" s="366"/>
      <c r="R1595" s="355"/>
      <c r="S1595" s="242"/>
    </row>
    <row r="1596" spans="12:19">
      <c r="L1596" s="123"/>
      <c r="P1596" s="366"/>
      <c r="R1596" s="355"/>
      <c r="S1596" s="242"/>
    </row>
    <row r="1597" spans="12:19">
      <c r="L1597" s="123"/>
      <c r="P1597" s="366"/>
      <c r="R1597" s="355"/>
      <c r="S1597" s="242"/>
    </row>
    <row r="1598" spans="12:19">
      <c r="L1598" s="123"/>
      <c r="P1598" s="366"/>
      <c r="R1598" s="355"/>
      <c r="S1598" s="242"/>
    </row>
    <row r="1599" spans="12:19">
      <c r="L1599" s="123"/>
      <c r="P1599" s="366"/>
      <c r="R1599" s="355"/>
      <c r="S1599" s="242"/>
    </row>
    <row r="1600" spans="12:19">
      <c r="L1600" s="123"/>
      <c r="P1600" s="366"/>
      <c r="R1600" s="355"/>
      <c r="S1600" s="242"/>
    </row>
    <row r="1601" spans="12:19">
      <c r="L1601" s="123"/>
      <c r="P1601" s="366"/>
      <c r="R1601" s="355"/>
      <c r="S1601" s="242"/>
    </row>
    <row r="1602" spans="12:19">
      <c r="L1602" s="123"/>
      <c r="P1602" s="366"/>
      <c r="R1602" s="355"/>
      <c r="S1602" s="242"/>
    </row>
    <row r="1603" spans="12:19">
      <c r="L1603" s="123"/>
      <c r="P1603" s="366"/>
      <c r="R1603" s="355"/>
      <c r="S1603" s="242"/>
    </row>
    <row r="1604" spans="12:19">
      <c r="L1604" s="123"/>
      <c r="P1604" s="366"/>
      <c r="R1604" s="355"/>
      <c r="S1604" s="242"/>
    </row>
    <row r="1605" spans="12:19">
      <c r="L1605" s="123"/>
      <c r="P1605" s="366"/>
      <c r="R1605" s="355"/>
      <c r="S1605" s="242"/>
    </row>
    <row r="1606" spans="12:19">
      <c r="L1606" s="123"/>
      <c r="P1606" s="366"/>
      <c r="R1606" s="355"/>
      <c r="S1606" s="242"/>
    </row>
    <row r="1607" spans="12:19">
      <c r="L1607" s="123"/>
      <c r="P1607" s="366"/>
      <c r="R1607" s="355"/>
      <c r="S1607" s="242"/>
    </row>
    <row r="1608" spans="12:19">
      <c r="L1608" s="123"/>
      <c r="P1608" s="366"/>
      <c r="R1608" s="355"/>
      <c r="S1608" s="242"/>
    </row>
    <row r="1609" spans="12:19">
      <c r="L1609" s="123"/>
      <c r="P1609" s="366"/>
      <c r="R1609" s="355"/>
      <c r="S1609" s="242"/>
    </row>
    <row r="1610" spans="12:19">
      <c r="L1610" s="123"/>
      <c r="P1610" s="366"/>
      <c r="R1610" s="355"/>
      <c r="S1610" s="242"/>
    </row>
    <row r="1611" spans="12:19">
      <c r="L1611" s="123"/>
      <c r="P1611" s="366"/>
      <c r="R1611" s="355"/>
      <c r="S1611" s="242"/>
    </row>
    <row r="1612" spans="12:19">
      <c r="L1612" s="123"/>
      <c r="P1612" s="366"/>
      <c r="R1612" s="355"/>
      <c r="S1612" s="242"/>
    </row>
    <row r="1613" spans="12:19">
      <c r="L1613" s="123"/>
      <c r="P1613" s="366"/>
      <c r="R1613" s="355"/>
      <c r="S1613" s="242"/>
    </row>
    <row r="1614" spans="12:19">
      <c r="L1614" s="123"/>
      <c r="P1614" s="366"/>
      <c r="R1614" s="355"/>
      <c r="S1614" s="242"/>
    </row>
    <row r="1615" spans="12:19">
      <c r="L1615" s="120"/>
      <c r="P1615" s="366"/>
      <c r="R1615" s="355"/>
      <c r="S1615" s="242"/>
    </row>
    <row r="1616" spans="12:19">
      <c r="L1616" s="123"/>
      <c r="P1616" s="366"/>
      <c r="R1616" s="355"/>
      <c r="S1616" s="242"/>
    </row>
    <row r="1617" spans="12:19">
      <c r="L1617" s="123"/>
      <c r="P1617" s="366"/>
      <c r="R1617" s="355"/>
      <c r="S1617" s="242"/>
    </row>
    <row r="1618" spans="12:19">
      <c r="L1618" s="123"/>
      <c r="P1618" s="366"/>
      <c r="R1618" s="355"/>
      <c r="S1618" s="242"/>
    </row>
    <row r="1619" spans="12:19">
      <c r="L1619" s="123"/>
      <c r="P1619" s="366"/>
      <c r="R1619" s="355"/>
      <c r="S1619" s="242"/>
    </row>
    <row r="1620" spans="12:19">
      <c r="L1620" s="123"/>
      <c r="P1620" s="366"/>
      <c r="R1620" s="355"/>
      <c r="S1620" s="242"/>
    </row>
    <row r="1621" spans="12:19">
      <c r="L1621" s="123"/>
      <c r="P1621" s="366"/>
      <c r="R1621" s="355"/>
      <c r="S1621" s="242"/>
    </row>
    <row r="1622" spans="12:19">
      <c r="L1622" s="123"/>
      <c r="P1622" s="366"/>
      <c r="R1622" s="355"/>
      <c r="S1622" s="242"/>
    </row>
    <row r="1623" spans="12:19">
      <c r="L1623" s="123"/>
      <c r="P1623" s="366"/>
      <c r="R1623" s="355"/>
      <c r="S1623" s="242"/>
    </row>
    <row r="1624" spans="12:19">
      <c r="L1624" s="123"/>
      <c r="P1624" s="366"/>
      <c r="R1624" s="355"/>
      <c r="S1624" s="242"/>
    </row>
    <row r="1625" spans="12:19">
      <c r="L1625" s="123"/>
      <c r="P1625" s="366"/>
      <c r="R1625" s="355"/>
      <c r="S1625" s="242"/>
    </row>
    <row r="1626" spans="12:19">
      <c r="L1626" s="123"/>
      <c r="P1626" s="366"/>
      <c r="R1626" s="355"/>
      <c r="S1626" s="242"/>
    </row>
    <row r="1627" spans="12:19">
      <c r="L1627" s="123"/>
      <c r="P1627" s="366"/>
      <c r="R1627" s="355"/>
      <c r="S1627" s="242"/>
    </row>
    <row r="1628" spans="12:19">
      <c r="L1628" s="123"/>
      <c r="P1628" s="366"/>
      <c r="R1628" s="355"/>
      <c r="S1628" s="242"/>
    </row>
    <row r="1629" spans="12:19">
      <c r="L1629" s="245"/>
      <c r="P1629" s="366"/>
      <c r="R1629" s="355"/>
      <c r="S1629" s="242"/>
    </row>
    <row r="1630" spans="12:19">
      <c r="L1630" s="123"/>
      <c r="P1630" s="366"/>
      <c r="R1630" s="355"/>
      <c r="S1630" s="242"/>
    </row>
    <row r="1631" spans="12:19">
      <c r="L1631" s="123"/>
      <c r="P1631" s="366"/>
      <c r="R1631" s="355"/>
      <c r="S1631" s="242"/>
    </row>
    <row r="1632" spans="12:19">
      <c r="L1632" s="123"/>
      <c r="P1632" s="366"/>
      <c r="R1632" s="355"/>
      <c r="S1632" s="242"/>
    </row>
    <row r="1633" spans="12:19">
      <c r="L1633" s="123"/>
      <c r="P1633" s="366"/>
      <c r="R1633" s="355"/>
      <c r="S1633" s="242"/>
    </row>
    <row r="1634" spans="12:19">
      <c r="L1634" s="123"/>
      <c r="P1634" s="366"/>
      <c r="R1634" s="355"/>
      <c r="S1634" s="242"/>
    </row>
    <row r="1635" spans="12:19">
      <c r="L1635" s="123"/>
      <c r="P1635" s="366"/>
      <c r="R1635" s="355"/>
      <c r="S1635" s="242"/>
    </row>
    <row r="1636" spans="12:19">
      <c r="L1636" s="123"/>
      <c r="P1636" s="366"/>
      <c r="R1636" s="355"/>
      <c r="S1636" s="242"/>
    </row>
    <row r="1637" spans="12:19">
      <c r="L1637" s="123"/>
      <c r="P1637" s="366"/>
      <c r="R1637" s="355"/>
      <c r="S1637" s="242"/>
    </row>
    <row r="1638" spans="12:19">
      <c r="L1638" s="123"/>
      <c r="P1638" s="366"/>
      <c r="R1638" s="355"/>
      <c r="S1638" s="242"/>
    </row>
    <row r="1639" spans="12:19">
      <c r="L1639" s="123"/>
      <c r="P1639" s="366"/>
      <c r="R1639" s="355"/>
      <c r="S1639" s="242"/>
    </row>
    <row r="1640" spans="12:19">
      <c r="L1640" s="123"/>
      <c r="P1640" s="366"/>
      <c r="R1640" s="355"/>
      <c r="S1640" s="242"/>
    </row>
    <row r="1641" spans="12:19">
      <c r="L1641" s="123"/>
      <c r="P1641" s="366"/>
      <c r="R1641" s="355"/>
      <c r="S1641" s="242"/>
    </row>
    <row r="1642" spans="12:19">
      <c r="L1642" s="123"/>
      <c r="P1642" s="366"/>
      <c r="R1642" s="355"/>
      <c r="S1642" s="242"/>
    </row>
    <row r="1643" spans="12:19">
      <c r="L1643" s="123"/>
      <c r="P1643" s="366"/>
      <c r="R1643" s="355"/>
      <c r="S1643" s="242"/>
    </row>
    <row r="1644" spans="12:19">
      <c r="L1644" s="27"/>
      <c r="P1644" s="366"/>
      <c r="R1644" s="355"/>
      <c r="S1644" s="242"/>
    </row>
    <row r="1645" spans="12:19">
      <c r="L1645" s="123"/>
      <c r="P1645" s="366"/>
      <c r="R1645" s="355"/>
      <c r="S1645" s="242"/>
    </row>
    <row r="1646" spans="12:19">
      <c r="L1646" s="123"/>
      <c r="P1646" s="366"/>
      <c r="R1646" s="355"/>
      <c r="S1646" s="242"/>
    </row>
    <row r="1647" spans="12:19">
      <c r="L1647" s="123"/>
      <c r="P1647" s="366"/>
      <c r="R1647" s="355"/>
      <c r="S1647" s="242"/>
    </row>
    <row r="1648" spans="12:19">
      <c r="L1648" s="123"/>
      <c r="P1648" s="366"/>
      <c r="R1648" s="355"/>
      <c r="S1648" s="242"/>
    </row>
    <row r="1649" spans="12:19">
      <c r="L1649" s="123"/>
      <c r="P1649" s="366"/>
      <c r="R1649" s="355"/>
      <c r="S1649" s="242"/>
    </row>
    <row r="1650" spans="12:19">
      <c r="L1650" s="123"/>
      <c r="P1650" s="366"/>
      <c r="R1650" s="355"/>
      <c r="S1650" s="242"/>
    </row>
    <row r="1651" spans="12:19">
      <c r="L1651" s="123"/>
      <c r="P1651" s="366"/>
      <c r="R1651" s="355"/>
      <c r="S1651" s="242"/>
    </row>
    <row r="1652" spans="12:19">
      <c r="L1652" s="123"/>
      <c r="P1652" s="366"/>
      <c r="R1652" s="355"/>
      <c r="S1652" s="242"/>
    </row>
    <row r="1653" spans="12:19">
      <c r="L1653" s="123"/>
      <c r="P1653" s="366"/>
      <c r="R1653" s="355"/>
      <c r="S1653" s="242"/>
    </row>
    <row r="1654" spans="12:19">
      <c r="L1654" s="123"/>
      <c r="P1654" s="366"/>
      <c r="R1654" s="355"/>
      <c r="S1654" s="242"/>
    </row>
    <row r="1655" spans="12:19">
      <c r="L1655" s="123"/>
      <c r="P1655" s="366"/>
      <c r="R1655" s="355"/>
      <c r="S1655" s="242"/>
    </row>
    <row r="1656" spans="12:19">
      <c r="L1656" s="123"/>
      <c r="P1656" s="366"/>
      <c r="R1656" s="355"/>
      <c r="S1656" s="242"/>
    </row>
    <row r="1657" spans="12:19">
      <c r="L1657" s="123"/>
      <c r="P1657" s="366"/>
      <c r="R1657" s="355"/>
      <c r="S1657" s="242"/>
    </row>
    <row r="1658" spans="12:19">
      <c r="L1658" s="245"/>
      <c r="P1658" s="366"/>
      <c r="R1658" s="355"/>
      <c r="S1658" s="242"/>
    </row>
    <row r="1659" spans="12:19">
      <c r="L1659" s="123"/>
      <c r="P1659" s="366"/>
      <c r="R1659" s="355"/>
      <c r="S1659" s="242"/>
    </row>
    <row r="1660" spans="12:19">
      <c r="L1660" s="123"/>
      <c r="P1660" s="366"/>
      <c r="R1660" s="355"/>
      <c r="S1660" s="242"/>
    </row>
    <row r="1661" spans="12:19">
      <c r="L1661" s="123"/>
      <c r="P1661" s="366"/>
      <c r="R1661" s="355"/>
      <c r="S1661" s="242"/>
    </row>
    <row r="1662" spans="12:19">
      <c r="L1662" s="123"/>
      <c r="P1662" s="366"/>
      <c r="R1662" s="355"/>
      <c r="S1662" s="242"/>
    </row>
    <row r="1663" spans="12:19">
      <c r="L1663" s="123"/>
      <c r="P1663" s="366"/>
      <c r="R1663" s="355"/>
      <c r="S1663" s="242"/>
    </row>
    <row r="1664" spans="12:19">
      <c r="L1664" s="123"/>
      <c r="P1664" s="366"/>
      <c r="R1664" s="355"/>
      <c r="S1664" s="242"/>
    </row>
    <row r="1665" spans="12:19">
      <c r="L1665" s="123"/>
      <c r="P1665" s="366"/>
      <c r="R1665" s="355"/>
      <c r="S1665" s="242"/>
    </row>
    <row r="1666" spans="12:19">
      <c r="L1666" s="123"/>
      <c r="P1666" s="366"/>
      <c r="R1666" s="355"/>
      <c r="S1666" s="242"/>
    </row>
    <row r="1667" spans="12:19">
      <c r="L1667" s="123"/>
      <c r="P1667" s="366"/>
      <c r="R1667" s="355"/>
      <c r="S1667" s="242"/>
    </row>
    <row r="1668" spans="12:19">
      <c r="L1668" s="123"/>
      <c r="P1668" s="366"/>
      <c r="R1668" s="355"/>
      <c r="S1668" s="242"/>
    </row>
    <row r="1669" spans="12:19">
      <c r="L1669" s="245"/>
      <c r="P1669" s="366"/>
      <c r="R1669" s="355"/>
      <c r="S1669" s="242"/>
    </row>
    <row r="1670" spans="12:19">
      <c r="L1670" s="123"/>
      <c r="P1670" s="366"/>
      <c r="R1670" s="355"/>
      <c r="S1670" s="242"/>
    </row>
    <row r="1671" spans="12:19">
      <c r="L1671" s="123"/>
      <c r="P1671" s="366"/>
      <c r="R1671" s="355"/>
      <c r="S1671" s="242"/>
    </row>
    <row r="1672" spans="12:19">
      <c r="L1672" s="245"/>
      <c r="P1672" s="366"/>
      <c r="R1672" s="355"/>
      <c r="S1672" s="242"/>
    </row>
    <row r="1673" spans="12:19">
      <c r="L1673" s="123"/>
      <c r="P1673" s="366"/>
      <c r="R1673" s="355"/>
      <c r="S1673" s="242"/>
    </row>
    <row r="1674" spans="12:19">
      <c r="L1674" s="123"/>
      <c r="P1674" s="366"/>
      <c r="R1674" s="355"/>
      <c r="S1674" s="242"/>
    </row>
    <row r="1675" spans="12:19">
      <c r="L1675" s="123"/>
      <c r="P1675" s="366"/>
      <c r="R1675" s="355"/>
      <c r="S1675" s="242"/>
    </row>
    <row r="1676" spans="12:19">
      <c r="L1676" s="123"/>
      <c r="P1676" s="366"/>
      <c r="R1676" s="355"/>
      <c r="S1676" s="242"/>
    </row>
    <row r="1677" spans="12:19">
      <c r="L1677" s="123"/>
      <c r="P1677" s="366"/>
      <c r="R1677" s="355"/>
      <c r="S1677" s="242"/>
    </row>
    <row r="1678" spans="12:19">
      <c r="L1678" s="123"/>
      <c r="P1678" s="366"/>
      <c r="R1678" s="355"/>
      <c r="S1678" s="242"/>
    </row>
    <row r="1679" spans="12:19">
      <c r="L1679" s="123"/>
      <c r="P1679" s="366"/>
      <c r="R1679" s="355"/>
      <c r="S1679" s="242"/>
    </row>
    <row r="1680" spans="12:19">
      <c r="L1680" s="123"/>
      <c r="P1680" s="366"/>
      <c r="R1680" s="355"/>
      <c r="S1680" s="242"/>
    </row>
    <row r="1681" spans="12:19">
      <c r="L1681" s="123"/>
      <c r="P1681" s="366"/>
      <c r="R1681" s="355"/>
      <c r="S1681" s="242"/>
    </row>
    <row r="1682" spans="12:19">
      <c r="L1682" s="123"/>
      <c r="P1682" s="366"/>
      <c r="R1682" s="355"/>
      <c r="S1682" s="242"/>
    </row>
    <row r="1683" spans="12:19">
      <c r="L1683" s="123"/>
      <c r="P1683" s="366"/>
      <c r="R1683" s="355"/>
      <c r="S1683" s="242"/>
    </row>
    <row r="1684" spans="12:19">
      <c r="L1684" s="123"/>
      <c r="P1684" s="366"/>
      <c r="R1684" s="355"/>
      <c r="S1684" s="242"/>
    </row>
    <row r="1685" spans="12:19">
      <c r="L1685" s="123"/>
      <c r="P1685" s="366"/>
      <c r="R1685" s="355"/>
      <c r="S1685" s="242"/>
    </row>
    <row r="1686" spans="12:19">
      <c r="L1686" s="123"/>
      <c r="P1686" s="366"/>
      <c r="R1686" s="355"/>
      <c r="S1686" s="242"/>
    </row>
    <row r="1687" spans="12:19">
      <c r="L1687" s="123"/>
      <c r="P1687" s="366"/>
      <c r="R1687" s="355"/>
      <c r="S1687" s="242"/>
    </row>
    <row r="1688" spans="12:19">
      <c r="L1688" s="123"/>
      <c r="P1688" s="366"/>
      <c r="R1688" s="355"/>
      <c r="S1688" s="242"/>
    </row>
    <row r="1689" spans="12:19">
      <c r="L1689" s="123"/>
      <c r="P1689" s="366"/>
      <c r="R1689" s="355"/>
      <c r="S1689" s="242"/>
    </row>
    <row r="1690" spans="12:19">
      <c r="L1690" s="123"/>
      <c r="P1690" s="366"/>
      <c r="R1690" s="355"/>
      <c r="S1690" s="242"/>
    </row>
    <row r="1691" spans="12:19">
      <c r="L1691" s="123"/>
      <c r="P1691" s="366"/>
      <c r="R1691" s="355"/>
      <c r="S1691" s="242"/>
    </row>
    <row r="1692" spans="12:19">
      <c r="L1692" s="123"/>
      <c r="P1692" s="366"/>
      <c r="R1692" s="355"/>
      <c r="S1692" s="242"/>
    </row>
    <row r="1693" spans="12:19">
      <c r="L1693" s="123"/>
      <c r="P1693" s="366"/>
      <c r="R1693" s="355"/>
      <c r="S1693" s="242"/>
    </row>
    <row r="1694" spans="12:19">
      <c r="L1694" s="123"/>
      <c r="P1694" s="366"/>
      <c r="R1694" s="355"/>
      <c r="S1694" s="242"/>
    </row>
    <row r="1695" spans="12:19">
      <c r="L1695" s="245"/>
      <c r="P1695" s="366"/>
      <c r="R1695" s="355"/>
      <c r="S1695" s="242"/>
    </row>
    <row r="1696" spans="12:19">
      <c r="L1696" s="123"/>
      <c r="P1696" s="366"/>
      <c r="R1696" s="355"/>
      <c r="S1696" s="242"/>
    </row>
    <row r="1697" spans="12:19">
      <c r="L1697" s="123"/>
      <c r="P1697" s="366"/>
      <c r="R1697" s="355"/>
      <c r="S1697" s="242"/>
    </row>
    <row r="1698" spans="12:19">
      <c r="L1698" s="123"/>
      <c r="P1698" s="366"/>
      <c r="R1698" s="355"/>
      <c r="S1698" s="242"/>
    </row>
    <row r="1699" spans="12:19">
      <c r="L1699" s="123"/>
      <c r="P1699" s="366"/>
      <c r="R1699" s="355"/>
      <c r="S1699" s="242"/>
    </row>
    <row r="1700" spans="12:19">
      <c r="L1700" s="123"/>
      <c r="P1700" s="366"/>
      <c r="R1700" s="355"/>
      <c r="S1700" s="242"/>
    </row>
    <row r="1701" spans="12:19">
      <c r="L1701" s="123"/>
      <c r="P1701" s="366"/>
      <c r="R1701" s="355"/>
      <c r="S1701" s="242"/>
    </row>
    <row r="1702" spans="12:19">
      <c r="L1702" s="123"/>
      <c r="P1702" s="366"/>
      <c r="R1702" s="355"/>
      <c r="S1702" s="242"/>
    </row>
    <row r="1703" spans="12:19">
      <c r="L1703" s="123"/>
      <c r="P1703" s="366"/>
      <c r="R1703" s="355"/>
      <c r="S1703" s="242"/>
    </row>
    <row r="1704" spans="12:19">
      <c r="L1704" s="123"/>
      <c r="P1704" s="366"/>
      <c r="R1704" s="355"/>
      <c r="S1704" s="242"/>
    </row>
    <row r="1705" spans="12:19">
      <c r="L1705" s="123"/>
      <c r="P1705" s="366"/>
      <c r="R1705" s="355"/>
      <c r="S1705" s="242"/>
    </row>
    <row r="1706" spans="12:19">
      <c r="L1706" s="123"/>
      <c r="P1706" s="366"/>
      <c r="R1706" s="355"/>
      <c r="S1706" s="242"/>
    </row>
    <row r="1707" spans="12:19">
      <c r="L1707" s="123"/>
      <c r="P1707" s="366"/>
      <c r="R1707" s="355"/>
      <c r="S1707" s="242"/>
    </row>
    <row r="1708" spans="12:19">
      <c r="L1708" s="123"/>
      <c r="P1708" s="366"/>
      <c r="R1708" s="355"/>
      <c r="S1708" s="242"/>
    </row>
    <row r="1709" spans="12:19">
      <c r="L1709" s="123"/>
      <c r="P1709" s="366"/>
      <c r="R1709" s="355"/>
      <c r="S1709" s="242"/>
    </row>
    <row r="1710" spans="12:19">
      <c r="L1710" s="123"/>
      <c r="P1710" s="366"/>
      <c r="R1710" s="355"/>
      <c r="S1710" s="242"/>
    </row>
    <row r="1711" spans="12:19">
      <c r="L1711" s="123"/>
      <c r="P1711" s="366"/>
      <c r="R1711" s="355"/>
      <c r="S1711" s="242"/>
    </row>
    <row r="1712" spans="12:19">
      <c r="L1712" s="123"/>
      <c r="P1712" s="366"/>
      <c r="R1712" s="355"/>
      <c r="S1712" s="242"/>
    </row>
    <row r="1713" spans="12:19">
      <c r="L1713" s="123"/>
      <c r="P1713" s="366"/>
      <c r="R1713" s="355"/>
      <c r="S1713" s="242"/>
    </row>
    <row r="1714" spans="12:19">
      <c r="L1714" s="123"/>
      <c r="P1714" s="366"/>
      <c r="R1714" s="355"/>
      <c r="S1714" s="242"/>
    </row>
    <row r="1715" spans="12:19">
      <c r="L1715" s="123"/>
      <c r="P1715" s="366"/>
      <c r="R1715" s="355"/>
      <c r="S1715" s="242"/>
    </row>
    <row r="1716" spans="12:19">
      <c r="L1716" s="123"/>
      <c r="P1716" s="366"/>
      <c r="R1716" s="355"/>
      <c r="S1716" s="242"/>
    </row>
    <row r="1717" spans="12:19">
      <c r="L1717" s="123"/>
      <c r="P1717" s="366"/>
      <c r="R1717" s="355"/>
      <c r="S1717" s="242"/>
    </row>
    <row r="1718" spans="12:19">
      <c r="L1718" s="123"/>
      <c r="P1718" s="366"/>
      <c r="R1718" s="355"/>
      <c r="S1718" s="242"/>
    </row>
    <row r="1719" spans="12:19">
      <c r="L1719" s="123"/>
      <c r="P1719" s="366"/>
      <c r="R1719" s="355"/>
      <c r="S1719" s="242"/>
    </row>
    <row r="1720" spans="12:19">
      <c r="L1720" s="123"/>
      <c r="P1720" s="366"/>
      <c r="R1720" s="355"/>
      <c r="S1720" s="242"/>
    </row>
    <row r="1721" spans="12:19">
      <c r="L1721" s="123"/>
      <c r="P1721" s="366"/>
      <c r="R1721" s="355"/>
      <c r="S1721" s="242"/>
    </row>
    <row r="1722" spans="12:19">
      <c r="L1722" s="123"/>
      <c r="P1722" s="366"/>
      <c r="R1722" s="355"/>
      <c r="S1722" s="242"/>
    </row>
    <row r="1723" spans="12:19">
      <c r="L1723" s="123"/>
      <c r="P1723" s="366"/>
      <c r="R1723" s="355"/>
      <c r="S1723" s="242"/>
    </row>
    <row r="1724" spans="12:19">
      <c r="L1724" s="123"/>
      <c r="P1724" s="366"/>
      <c r="R1724" s="355"/>
      <c r="S1724" s="242"/>
    </row>
    <row r="1725" spans="12:19">
      <c r="L1725" s="123"/>
      <c r="P1725" s="366"/>
      <c r="R1725" s="355"/>
      <c r="S1725" s="242"/>
    </row>
    <row r="1726" spans="12:19">
      <c r="L1726" s="123"/>
      <c r="P1726" s="366"/>
      <c r="R1726" s="355"/>
      <c r="S1726" s="242"/>
    </row>
    <row r="1727" spans="12:19">
      <c r="L1727" s="123"/>
      <c r="P1727" s="366"/>
      <c r="R1727" s="355"/>
      <c r="S1727" s="242"/>
    </row>
    <row r="1728" spans="12:19">
      <c r="L1728" s="245"/>
      <c r="P1728" s="366"/>
      <c r="R1728" s="355"/>
      <c r="S1728" s="242"/>
    </row>
    <row r="1729" spans="12:19">
      <c r="L1729" s="245"/>
      <c r="P1729" s="366"/>
      <c r="R1729" s="355"/>
      <c r="S1729" s="242"/>
    </row>
    <row r="1730" spans="12:19">
      <c r="L1730" s="123"/>
      <c r="P1730" s="366"/>
      <c r="R1730" s="355"/>
      <c r="S1730" s="242"/>
    </row>
    <row r="1731" spans="12:19">
      <c r="L1731" s="123"/>
      <c r="P1731" s="366"/>
      <c r="R1731" s="355"/>
      <c r="S1731" s="242"/>
    </row>
    <row r="1732" spans="12:19">
      <c r="L1732" s="123"/>
      <c r="P1732" s="366"/>
      <c r="R1732" s="355"/>
      <c r="S1732" s="242"/>
    </row>
    <row r="1733" spans="12:19">
      <c r="L1733" s="123"/>
      <c r="P1733" s="366"/>
      <c r="R1733" s="355"/>
      <c r="S1733" s="242"/>
    </row>
    <row r="1734" spans="12:19">
      <c r="L1734" s="123"/>
      <c r="P1734" s="366"/>
      <c r="R1734" s="355"/>
      <c r="S1734" s="242"/>
    </row>
    <row r="1735" spans="12:19">
      <c r="L1735" s="123"/>
      <c r="P1735" s="366"/>
      <c r="R1735" s="355"/>
      <c r="S1735" s="242"/>
    </row>
    <row r="1736" spans="12:19">
      <c r="L1736" s="123"/>
      <c r="P1736" s="366"/>
      <c r="R1736" s="355"/>
      <c r="S1736" s="242"/>
    </row>
    <row r="1737" spans="12:19">
      <c r="L1737" s="123"/>
      <c r="P1737" s="366"/>
      <c r="R1737" s="355"/>
      <c r="S1737" s="242"/>
    </row>
    <row r="1738" spans="12:19">
      <c r="L1738" s="245"/>
      <c r="P1738" s="366"/>
      <c r="R1738" s="355"/>
      <c r="S1738" s="242"/>
    </row>
    <row r="1739" spans="12:19">
      <c r="L1739" s="123"/>
      <c r="P1739" s="366"/>
      <c r="R1739" s="355"/>
      <c r="S1739" s="242"/>
    </row>
    <row r="1740" spans="12:19">
      <c r="L1740" s="123"/>
      <c r="P1740" s="366"/>
      <c r="R1740" s="355"/>
      <c r="S1740" s="242"/>
    </row>
    <row r="1741" spans="12:19">
      <c r="L1741" s="123"/>
      <c r="P1741" s="366"/>
      <c r="R1741" s="355"/>
      <c r="S1741" s="242"/>
    </row>
    <row r="1742" spans="12:19">
      <c r="L1742" s="123"/>
      <c r="P1742" s="366"/>
      <c r="R1742" s="355"/>
      <c r="S1742" s="242"/>
    </row>
    <row r="1743" spans="12:19">
      <c r="L1743" s="123"/>
      <c r="P1743" s="366"/>
      <c r="R1743" s="355"/>
      <c r="S1743" s="242"/>
    </row>
    <row r="1744" spans="12:19">
      <c r="L1744" s="123"/>
      <c r="P1744" s="366"/>
      <c r="R1744" s="355"/>
      <c r="S1744" s="242"/>
    </row>
    <row r="1745" spans="12:21">
      <c r="L1745" s="123"/>
      <c r="P1745" s="366"/>
      <c r="R1745" s="355"/>
      <c r="S1745" s="242"/>
    </row>
    <row r="1746" spans="12:21">
      <c r="L1746" s="123"/>
      <c r="P1746" s="366"/>
      <c r="R1746" s="355"/>
      <c r="S1746" s="242"/>
    </row>
    <row r="1747" spans="12:21">
      <c r="L1747" s="123"/>
      <c r="P1747" s="366"/>
      <c r="R1747" s="355"/>
      <c r="S1747" s="242"/>
    </row>
    <row r="1748" spans="12:21" ht="26.4">
      <c r="L1748" s="245"/>
      <c r="P1748" s="366"/>
      <c r="R1748" s="355"/>
      <c r="S1748" s="242"/>
      <c r="U1748" s="61" ph="1"/>
    </row>
    <row r="1749" spans="12:21">
      <c r="L1749" s="123"/>
      <c r="P1749" s="366"/>
      <c r="R1749" s="355"/>
      <c r="S1749" s="242"/>
    </row>
    <row r="1750" spans="12:21">
      <c r="L1750" s="123"/>
      <c r="P1750" s="366"/>
      <c r="R1750" s="355"/>
      <c r="S1750" s="242"/>
    </row>
    <row r="1751" spans="12:21">
      <c r="L1751" s="123"/>
      <c r="P1751" s="366"/>
      <c r="R1751" s="355"/>
      <c r="S1751" s="242"/>
    </row>
    <row r="1752" spans="12:21">
      <c r="L1752" s="245"/>
      <c r="P1752" s="366"/>
      <c r="R1752" s="355"/>
      <c r="S1752" s="242"/>
    </row>
    <row r="1753" spans="12:21">
      <c r="L1753" s="123"/>
      <c r="P1753" s="366"/>
      <c r="R1753" s="355"/>
      <c r="S1753" s="242"/>
    </row>
    <row r="1754" spans="12:21">
      <c r="L1754" s="123"/>
      <c r="P1754" s="366"/>
      <c r="R1754" s="355"/>
      <c r="S1754" s="242"/>
    </row>
    <row r="1755" spans="12:21">
      <c r="L1755" s="123"/>
      <c r="P1755" s="366"/>
      <c r="R1755" s="355"/>
      <c r="S1755" s="242"/>
    </row>
    <row r="1756" spans="12:21">
      <c r="L1756" s="123"/>
      <c r="P1756" s="366"/>
      <c r="R1756" s="355"/>
      <c r="S1756" s="242"/>
    </row>
    <row r="1757" spans="12:21">
      <c r="L1757" s="123"/>
      <c r="P1757" s="366"/>
      <c r="R1757" s="355"/>
      <c r="S1757" s="242"/>
    </row>
    <row r="1758" spans="12:21" ht="26.4">
      <c r="L1758" s="123"/>
      <c r="P1758" s="366"/>
      <c r="R1758" s="355"/>
      <c r="S1758" s="242"/>
      <c r="U1758" s="61" ph="1"/>
    </row>
    <row r="1759" spans="12:21">
      <c r="L1759" s="123"/>
      <c r="P1759" s="366"/>
      <c r="R1759" s="355"/>
      <c r="S1759" s="242"/>
    </row>
    <row r="1760" spans="12:21">
      <c r="L1760" s="123"/>
      <c r="P1760" s="366"/>
      <c r="R1760" s="355"/>
      <c r="S1760" s="242"/>
    </row>
    <row r="1761" spans="12:21">
      <c r="L1761" s="123"/>
      <c r="P1761" s="366"/>
      <c r="R1761" s="355"/>
      <c r="S1761" s="242"/>
    </row>
    <row r="1762" spans="12:21" ht="26.4">
      <c r="L1762" s="123"/>
      <c r="P1762" s="366"/>
      <c r="R1762" s="355"/>
      <c r="S1762" s="242"/>
      <c r="U1762" s="61" ph="1"/>
    </row>
    <row r="1763" spans="12:21">
      <c r="L1763" s="123"/>
      <c r="P1763" s="366"/>
      <c r="R1763" s="355"/>
      <c r="S1763" s="242"/>
    </row>
    <row r="1764" spans="12:21">
      <c r="L1764" s="123"/>
      <c r="P1764" s="366"/>
      <c r="R1764" s="355"/>
      <c r="S1764" s="242"/>
    </row>
    <row r="1765" spans="12:21">
      <c r="L1765" s="123"/>
      <c r="P1765" s="366"/>
      <c r="R1765" s="355"/>
      <c r="S1765" s="242"/>
    </row>
    <row r="1766" spans="12:21">
      <c r="L1766" s="123"/>
      <c r="P1766" s="366"/>
      <c r="R1766" s="355"/>
      <c r="S1766" s="242"/>
    </row>
    <row r="1767" spans="12:21" ht="26.4">
      <c r="L1767" s="123"/>
      <c r="P1767" s="366"/>
      <c r="R1767" s="355"/>
      <c r="S1767" s="242"/>
      <c r="U1767" s="61" ph="1"/>
    </row>
    <row r="1768" spans="12:21" ht="26.4">
      <c r="L1768" s="123"/>
      <c r="P1768" s="366"/>
      <c r="R1768" s="355"/>
      <c r="S1768" s="242"/>
      <c r="U1768" s="61" ph="1"/>
    </row>
    <row r="1769" spans="12:21" ht="26.4">
      <c r="L1769" s="123"/>
      <c r="P1769" s="366"/>
      <c r="R1769" s="355"/>
      <c r="S1769" s="242"/>
      <c r="U1769" s="61" ph="1"/>
    </row>
    <row r="1770" spans="12:21">
      <c r="L1770" s="123"/>
      <c r="P1770" s="366"/>
      <c r="R1770" s="355"/>
      <c r="S1770" s="242"/>
    </row>
    <row r="1771" spans="12:21" ht="26.4">
      <c r="L1771" s="123"/>
      <c r="P1771" s="366"/>
      <c r="R1771" s="355"/>
      <c r="S1771" s="242"/>
      <c r="U1771" s="61" ph="1"/>
    </row>
    <row r="1772" spans="12:21" ht="26.4">
      <c r="L1772" s="123"/>
      <c r="P1772" s="366"/>
      <c r="R1772" s="355"/>
      <c r="S1772" s="242"/>
      <c r="U1772" s="61" ph="1"/>
    </row>
    <row r="1773" spans="12:21">
      <c r="L1773" s="123"/>
      <c r="P1773" s="366"/>
      <c r="R1773" s="355"/>
      <c r="S1773" s="242"/>
    </row>
    <row r="1774" spans="12:21" ht="26.4">
      <c r="P1774" s="366"/>
      <c r="R1774" s="355"/>
      <c r="S1774" s="242"/>
      <c r="U1774" s="61" ph="1"/>
    </row>
    <row r="1775" spans="12:21">
      <c r="L1775" s="123"/>
      <c r="P1775" s="366"/>
      <c r="R1775" s="355"/>
      <c r="S1775" s="242"/>
    </row>
    <row r="1776" spans="12:21" ht="26.4">
      <c r="L1776" s="123"/>
      <c r="P1776" s="366"/>
      <c r="R1776" s="355"/>
      <c r="S1776" s="242"/>
      <c r="U1776" s="61" ph="1"/>
    </row>
    <row r="1777" spans="12:21" ht="26.4">
      <c r="L1777" s="123"/>
      <c r="P1777" s="366"/>
      <c r="R1777" s="355"/>
      <c r="S1777" s="242"/>
      <c r="U1777" s="61" ph="1"/>
    </row>
    <row r="1778" spans="12:21" ht="26.4">
      <c r="L1778" s="123"/>
      <c r="P1778" s="366"/>
      <c r="R1778" s="355"/>
      <c r="S1778" s="242"/>
      <c r="U1778" s="61" ph="1"/>
    </row>
    <row r="1779" spans="12:21" ht="26.4">
      <c r="L1779" s="123"/>
      <c r="P1779" s="366"/>
      <c r="R1779" s="355"/>
      <c r="S1779" s="242"/>
      <c r="U1779" s="61" ph="1"/>
    </row>
    <row r="1780" spans="12:21" ht="26.4">
      <c r="L1780" s="123"/>
      <c r="P1780" s="366"/>
      <c r="R1780" s="355"/>
      <c r="S1780" s="242"/>
      <c r="U1780" s="61" ph="1"/>
    </row>
    <row r="1781" spans="12:21" ht="26.4">
      <c r="L1781" s="123"/>
      <c r="P1781" s="366"/>
      <c r="R1781" s="355"/>
      <c r="S1781" s="242"/>
      <c r="U1781" s="61" ph="1"/>
    </row>
    <row r="1782" spans="12:21" ht="26.4">
      <c r="L1782" s="123"/>
      <c r="P1782" s="366"/>
      <c r="R1782" s="355"/>
      <c r="S1782" s="242"/>
      <c r="U1782" s="61" ph="1"/>
    </row>
    <row r="1783" spans="12:21" ht="26.4">
      <c r="L1783" s="123"/>
      <c r="P1783" s="366"/>
      <c r="R1783" s="355"/>
      <c r="S1783" s="242"/>
      <c r="U1783" s="61" ph="1"/>
    </row>
    <row r="1784" spans="12:21" ht="26.4">
      <c r="L1784" s="123"/>
      <c r="P1784" s="366"/>
      <c r="R1784" s="355"/>
      <c r="S1784" s="242"/>
      <c r="U1784" s="61" ph="1"/>
    </row>
    <row r="1785" spans="12:21" ht="26.4">
      <c r="L1785" s="123"/>
      <c r="P1785" s="366"/>
      <c r="R1785" s="355"/>
      <c r="S1785" s="242"/>
      <c r="U1785" s="61" ph="1"/>
    </row>
    <row r="1786" spans="12:21">
      <c r="L1786" s="123"/>
      <c r="P1786" s="366"/>
      <c r="R1786" s="355"/>
      <c r="S1786" s="242"/>
    </row>
    <row r="1787" spans="12:21" ht="26.4">
      <c r="L1787" s="123"/>
      <c r="P1787" s="366"/>
      <c r="R1787" s="355"/>
      <c r="S1787" s="242"/>
      <c r="U1787" s="61" ph="1"/>
    </row>
    <row r="1788" spans="12:21" ht="26.4">
      <c r="L1788" s="123"/>
      <c r="P1788" s="366"/>
      <c r="R1788" s="355"/>
      <c r="S1788" s="242"/>
      <c r="U1788" s="61" ph="1"/>
    </row>
    <row r="1789" spans="12:21" ht="26.4">
      <c r="L1789" s="123"/>
      <c r="P1789" s="366"/>
      <c r="R1789" s="355"/>
      <c r="S1789" s="242"/>
      <c r="U1789" s="61" ph="1"/>
    </row>
    <row r="1790" spans="12:21" ht="26.4">
      <c r="L1790" s="123"/>
      <c r="P1790" s="366"/>
      <c r="R1790" s="355"/>
      <c r="S1790" s="242"/>
      <c r="U1790" s="61" ph="1"/>
    </row>
    <row r="1791" spans="12:21" ht="26.4">
      <c r="L1791" s="123"/>
      <c r="P1791" s="366"/>
      <c r="R1791" s="355"/>
      <c r="S1791" s="242"/>
      <c r="U1791" s="61" ph="1"/>
    </row>
    <row r="1792" spans="12:21" ht="26.4">
      <c r="L1792" s="123"/>
      <c r="P1792" s="366"/>
      <c r="R1792" s="355"/>
      <c r="S1792" s="242"/>
      <c r="U1792" s="61" ph="1"/>
    </row>
    <row r="1793" spans="12:21" ht="26.4">
      <c r="L1793" s="123"/>
      <c r="P1793" s="366"/>
      <c r="R1793" s="355"/>
      <c r="S1793" s="242"/>
      <c r="U1793" s="61" ph="1"/>
    </row>
    <row r="1794" spans="12:21" ht="26.4">
      <c r="L1794" s="123"/>
      <c r="P1794" s="366"/>
      <c r="R1794" s="355"/>
      <c r="S1794" s="242"/>
      <c r="U1794" s="61" ph="1"/>
    </row>
    <row r="1795" spans="12:21">
      <c r="L1795" s="123"/>
      <c r="P1795" s="366"/>
      <c r="R1795" s="355"/>
      <c r="S1795" s="242"/>
    </row>
    <row r="1796" spans="12:21" ht="26.4">
      <c r="L1796" s="123"/>
      <c r="P1796" s="366"/>
      <c r="R1796" s="355"/>
      <c r="S1796" s="242"/>
      <c r="U1796" s="61" ph="1"/>
    </row>
    <row r="1797" spans="12:21" ht="26.4">
      <c r="L1797" s="123"/>
      <c r="P1797" s="366"/>
      <c r="R1797" s="355"/>
      <c r="S1797" s="242"/>
      <c r="U1797" s="61" ph="1"/>
    </row>
    <row r="1798" spans="12:21" ht="26.4">
      <c r="L1798" s="123"/>
      <c r="P1798" s="366"/>
      <c r="R1798" s="355"/>
      <c r="S1798" s="242"/>
      <c r="U1798" s="61" ph="1"/>
    </row>
    <row r="1799" spans="12:21" ht="26.4">
      <c r="L1799" s="123"/>
      <c r="P1799" s="366"/>
      <c r="R1799" s="355"/>
      <c r="S1799" s="242"/>
      <c r="U1799" s="61" ph="1"/>
    </row>
    <row r="1800" spans="12:21">
      <c r="L1800" s="123"/>
      <c r="P1800" s="366"/>
      <c r="R1800" s="355"/>
      <c r="S1800" s="242"/>
    </row>
    <row r="1801" spans="12:21">
      <c r="L1801" s="123"/>
      <c r="P1801" s="366"/>
      <c r="R1801" s="355"/>
      <c r="S1801" s="242"/>
    </row>
    <row r="1802" spans="12:21">
      <c r="L1802" s="123"/>
      <c r="P1802" s="366"/>
      <c r="R1802" s="355"/>
      <c r="S1802" s="242"/>
    </row>
    <row r="1803" spans="12:21">
      <c r="L1803" s="123"/>
      <c r="P1803" s="366"/>
      <c r="R1803" s="355"/>
      <c r="S1803" s="242"/>
    </row>
    <row r="1804" spans="12:21">
      <c r="L1804" s="123"/>
      <c r="P1804" s="366"/>
      <c r="R1804" s="355"/>
      <c r="S1804" s="242"/>
    </row>
    <row r="1805" spans="12:21">
      <c r="L1805" s="123"/>
      <c r="P1805" s="366"/>
      <c r="R1805" s="355"/>
      <c r="S1805" s="242"/>
    </row>
    <row r="1806" spans="12:21">
      <c r="L1806" s="123"/>
      <c r="P1806" s="366"/>
      <c r="R1806" s="355"/>
      <c r="S1806" s="242"/>
    </row>
    <row r="1807" spans="12:21">
      <c r="L1807" s="123"/>
      <c r="P1807" s="366"/>
      <c r="R1807" s="355"/>
      <c r="S1807" s="242"/>
    </row>
    <row r="1808" spans="12:21">
      <c r="L1808" s="123"/>
      <c r="P1808" s="366"/>
      <c r="R1808" s="355"/>
      <c r="S1808" s="242"/>
    </row>
    <row r="1809" spans="12:19">
      <c r="L1809" s="123"/>
      <c r="P1809" s="366"/>
      <c r="R1809" s="355"/>
      <c r="S1809" s="242"/>
    </row>
    <row r="1810" spans="12:19">
      <c r="L1810" s="123"/>
      <c r="P1810" s="366"/>
      <c r="R1810" s="355"/>
      <c r="S1810" s="242"/>
    </row>
    <row r="1811" spans="12:19">
      <c r="L1811" s="123"/>
      <c r="P1811" s="366"/>
      <c r="R1811" s="355"/>
      <c r="S1811" s="242"/>
    </row>
    <row r="1812" spans="12:19">
      <c r="L1812" s="123"/>
      <c r="P1812" s="366"/>
      <c r="R1812" s="355"/>
      <c r="S1812" s="242"/>
    </row>
    <row r="1813" spans="12:19">
      <c r="L1813" s="123"/>
      <c r="P1813" s="366"/>
      <c r="R1813" s="355"/>
      <c r="S1813" s="242"/>
    </row>
    <row r="1814" spans="12:19">
      <c r="L1814" s="123"/>
      <c r="P1814" s="366"/>
      <c r="R1814" s="355"/>
      <c r="S1814" s="242"/>
    </row>
    <row r="1815" spans="12:19">
      <c r="L1815" s="123"/>
      <c r="P1815" s="366"/>
      <c r="R1815" s="355"/>
      <c r="S1815" s="242"/>
    </row>
    <row r="1816" spans="12:19">
      <c r="L1816" s="123"/>
      <c r="P1816" s="366"/>
      <c r="R1816" s="355"/>
      <c r="S1816" s="242"/>
    </row>
    <row r="1817" spans="12:19">
      <c r="L1817" s="123"/>
      <c r="P1817" s="366"/>
      <c r="R1817" s="355"/>
      <c r="S1817" s="242"/>
    </row>
    <row r="1818" spans="12:19">
      <c r="L1818" s="123"/>
      <c r="P1818" s="366"/>
      <c r="R1818" s="355"/>
      <c r="S1818" s="242"/>
    </row>
    <row r="1819" spans="12:19">
      <c r="L1819" s="245"/>
      <c r="P1819" s="366"/>
      <c r="R1819" s="355"/>
      <c r="S1819" s="242"/>
    </row>
    <row r="1820" spans="12:19">
      <c r="L1820" s="123"/>
      <c r="P1820" s="366"/>
      <c r="R1820" s="355"/>
      <c r="S1820" s="242"/>
    </row>
    <row r="1821" spans="12:19">
      <c r="L1821" s="123"/>
      <c r="P1821" s="366"/>
      <c r="R1821" s="355"/>
      <c r="S1821" s="242"/>
    </row>
    <row r="1822" spans="12:19">
      <c r="L1822" s="123"/>
      <c r="P1822" s="366"/>
      <c r="R1822" s="355"/>
      <c r="S1822" s="242"/>
    </row>
    <row r="1823" spans="12:19">
      <c r="L1823" s="123"/>
      <c r="P1823" s="366"/>
      <c r="R1823" s="355"/>
      <c r="S1823" s="242"/>
    </row>
    <row r="1824" spans="12:19">
      <c r="L1824" s="123"/>
      <c r="P1824" s="366"/>
      <c r="R1824" s="355"/>
      <c r="S1824" s="242"/>
    </row>
    <row r="1825" spans="12:19">
      <c r="L1825" s="123"/>
      <c r="P1825" s="366"/>
      <c r="R1825" s="355"/>
      <c r="S1825" s="242"/>
    </row>
    <row r="1826" spans="12:19">
      <c r="L1826" s="123"/>
      <c r="P1826" s="366"/>
      <c r="R1826" s="355"/>
      <c r="S1826" s="242"/>
    </row>
    <row r="1827" spans="12:19">
      <c r="L1827" s="123"/>
      <c r="P1827" s="366"/>
      <c r="R1827" s="355"/>
      <c r="S1827" s="242"/>
    </row>
    <row r="1828" spans="12:19">
      <c r="L1828" s="123"/>
      <c r="P1828" s="366"/>
      <c r="R1828" s="355"/>
      <c r="S1828" s="242"/>
    </row>
    <row r="1829" spans="12:19">
      <c r="L1829" s="123"/>
      <c r="P1829" s="366"/>
      <c r="R1829" s="355"/>
      <c r="S1829" s="242"/>
    </row>
    <row r="1830" spans="12:19">
      <c r="L1830" s="123"/>
      <c r="P1830" s="366"/>
      <c r="R1830" s="355"/>
      <c r="S1830" s="242"/>
    </row>
    <row r="1831" spans="12:19">
      <c r="L1831" s="123"/>
      <c r="P1831" s="366"/>
      <c r="R1831" s="355"/>
      <c r="S1831" s="242"/>
    </row>
    <row r="1832" spans="12:19">
      <c r="L1832" s="123"/>
      <c r="P1832" s="366"/>
      <c r="R1832" s="355"/>
      <c r="S1832" s="242"/>
    </row>
    <row r="1833" spans="12:19">
      <c r="L1833" s="123"/>
      <c r="P1833" s="366"/>
      <c r="R1833" s="355"/>
      <c r="S1833" s="242"/>
    </row>
    <row r="1834" spans="12:19">
      <c r="L1834" s="123"/>
      <c r="P1834" s="366"/>
      <c r="R1834" s="355"/>
      <c r="S1834" s="242"/>
    </row>
    <row r="1835" spans="12:19">
      <c r="L1835" s="123"/>
      <c r="P1835" s="366"/>
      <c r="R1835" s="355"/>
      <c r="S1835" s="242"/>
    </row>
    <row r="1836" spans="12:19">
      <c r="L1836" s="123"/>
      <c r="P1836" s="366"/>
      <c r="R1836" s="355"/>
      <c r="S1836" s="242"/>
    </row>
    <row r="1837" spans="12:19">
      <c r="L1837" s="123"/>
      <c r="P1837" s="366"/>
      <c r="R1837" s="355"/>
      <c r="S1837" s="242"/>
    </row>
    <row r="1838" spans="12:19">
      <c r="L1838" s="123"/>
      <c r="P1838" s="366"/>
      <c r="R1838" s="355"/>
      <c r="S1838" s="242"/>
    </row>
    <row r="1839" spans="12:19">
      <c r="L1839" s="123"/>
      <c r="P1839" s="366"/>
      <c r="R1839" s="355"/>
      <c r="S1839" s="242"/>
    </row>
    <row r="1840" spans="12:19">
      <c r="L1840" s="123"/>
      <c r="P1840" s="366"/>
      <c r="R1840" s="355"/>
      <c r="S1840" s="242"/>
    </row>
    <row r="1841" spans="12:19">
      <c r="L1841" s="123"/>
      <c r="P1841" s="366"/>
      <c r="R1841" s="355"/>
      <c r="S1841" s="242"/>
    </row>
    <row r="1842" spans="12:19">
      <c r="L1842" s="123"/>
      <c r="P1842" s="366"/>
      <c r="R1842" s="355"/>
      <c r="S1842" s="242"/>
    </row>
    <row r="1843" spans="12:19">
      <c r="L1843" s="123"/>
      <c r="P1843" s="366"/>
      <c r="R1843" s="355"/>
      <c r="S1843" s="242"/>
    </row>
    <row r="1844" spans="12:19">
      <c r="L1844" s="123"/>
      <c r="P1844" s="366"/>
      <c r="R1844" s="355"/>
      <c r="S1844" s="242"/>
    </row>
    <row r="1845" spans="12:19">
      <c r="L1845" s="123"/>
      <c r="P1845" s="366"/>
      <c r="R1845" s="355"/>
      <c r="S1845" s="242"/>
    </row>
    <row r="1846" spans="12:19">
      <c r="L1846" s="123"/>
      <c r="P1846" s="366"/>
      <c r="R1846" s="355"/>
      <c r="S1846" s="242"/>
    </row>
    <row r="1847" spans="12:19">
      <c r="L1847" s="123"/>
      <c r="P1847" s="366"/>
      <c r="R1847" s="355"/>
      <c r="S1847" s="242"/>
    </row>
    <row r="1848" spans="12:19">
      <c r="L1848" s="123"/>
      <c r="P1848" s="366"/>
      <c r="R1848" s="355"/>
      <c r="S1848" s="242"/>
    </row>
    <row r="1849" spans="12:19">
      <c r="L1849" s="123"/>
      <c r="P1849" s="366"/>
      <c r="R1849" s="355"/>
      <c r="S1849" s="242"/>
    </row>
    <row r="1850" spans="12:19">
      <c r="L1850" s="123"/>
      <c r="P1850" s="366"/>
      <c r="R1850" s="355"/>
      <c r="S1850" s="242"/>
    </row>
    <row r="1851" spans="12:19">
      <c r="L1851" s="123"/>
      <c r="P1851" s="366"/>
      <c r="R1851" s="355"/>
      <c r="S1851" s="242"/>
    </row>
    <row r="1852" spans="12:19">
      <c r="L1852" s="123"/>
      <c r="P1852" s="366"/>
      <c r="R1852" s="355"/>
      <c r="S1852" s="242"/>
    </row>
    <row r="1853" spans="12:19">
      <c r="L1853" s="123"/>
      <c r="P1853" s="366"/>
      <c r="R1853" s="355"/>
      <c r="S1853" s="242"/>
    </row>
    <row r="1854" spans="12:19">
      <c r="L1854" s="123"/>
      <c r="P1854" s="366"/>
      <c r="R1854" s="355"/>
      <c r="S1854" s="242"/>
    </row>
    <row r="1855" spans="12:19">
      <c r="L1855" s="123"/>
      <c r="P1855" s="366"/>
      <c r="R1855" s="355"/>
      <c r="S1855" s="242"/>
    </row>
    <row r="1856" spans="12:19">
      <c r="L1856" s="123"/>
      <c r="P1856" s="366"/>
      <c r="R1856" s="355"/>
      <c r="S1856" s="242"/>
    </row>
    <row r="1857" spans="12:19">
      <c r="L1857" s="123"/>
      <c r="P1857" s="366"/>
      <c r="R1857" s="355"/>
      <c r="S1857" s="242"/>
    </row>
    <row r="1858" spans="12:19">
      <c r="L1858" s="123"/>
      <c r="P1858" s="366"/>
      <c r="R1858" s="355"/>
      <c r="S1858" s="242"/>
    </row>
    <row r="1859" spans="12:19">
      <c r="L1859" s="123"/>
      <c r="P1859" s="366"/>
      <c r="R1859" s="355"/>
      <c r="S1859" s="242"/>
    </row>
    <row r="1860" spans="12:19">
      <c r="L1860" s="123"/>
      <c r="P1860" s="366"/>
      <c r="R1860" s="355"/>
      <c r="S1860" s="242"/>
    </row>
    <row r="1861" spans="12:19">
      <c r="L1861" s="123"/>
      <c r="P1861" s="366"/>
      <c r="R1861" s="355"/>
      <c r="S1861" s="242"/>
    </row>
    <row r="1862" spans="12:19">
      <c r="L1862" s="245"/>
      <c r="P1862" s="366"/>
      <c r="R1862" s="355"/>
      <c r="S1862" s="242"/>
    </row>
    <row r="1863" spans="12:19">
      <c r="L1863" s="245"/>
      <c r="P1863" s="366"/>
      <c r="R1863" s="355"/>
      <c r="S1863" s="242"/>
    </row>
    <row r="1864" spans="12:19">
      <c r="L1864" s="123"/>
      <c r="P1864" s="366"/>
      <c r="R1864" s="355"/>
      <c r="S1864" s="242"/>
    </row>
    <row r="1865" spans="12:19">
      <c r="L1865" s="123"/>
      <c r="P1865" s="366"/>
      <c r="R1865" s="355"/>
      <c r="S1865" s="242"/>
    </row>
    <row r="1866" spans="12:19">
      <c r="L1866" s="123"/>
      <c r="P1866" s="366"/>
      <c r="R1866" s="355"/>
      <c r="S1866" s="242"/>
    </row>
    <row r="1867" spans="12:19">
      <c r="L1867" s="123"/>
      <c r="P1867" s="366"/>
      <c r="R1867" s="355"/>
      <c r="S1867" s="242"/>
    </row>
    <row r="1868" spans="12:19">
      <c r="L1868" s="123"/>
      <c r="P1868" s="366"/>
      <c r="R1868" s="355"/>
      <c r="S1868" s="242"/>
    </row>
    <row r="1869" spans="12:19">
      <c r="L1869" s="123"/>
      <c r="P1869" s="366"/>
      <c r="R1869" s="355"/>
      <c r="S1869" s="242"/>
    </row>
    <row r="1870" spans="12:19">
      <c r="L1870" s="123"/>
      <c r="P1870" s="366"/>
      <c r="R1870" s="355"/>
      <c r="S1870" s="242"/>
    </row>
    <row r="1871" spans="12:19">
      <c r="L1871" s="123"/>
      <c r="P1871" s="366"/>
      <c r="R1871" s="355"/>
      <c r="S1871" s="242"/>
    </row>
    <row r="1872" spans="12:19">
      <c r="L1872" s="123"/>
      <c r="P1872" s="366"/>
      <c r="R1872" s="355"/>
      <c r="S1872" s="242"/>
    </row>
    <row r="1873" spans="12:19">
      <c r="L1873" s="123"/>
      <c r="P1873" s="366"/>
      <c r="R1873" s="355"/>
      <c r="S1873" s="242"/>
    </row>
    <row r="1874" spans="12:19">
      <c r="L1874" s="123"/>
      <c r="P1874" s="366"/>
      <c r="R1874" s="355"/>
      <c r="S1874" s="242"/>
    </row>
    <row r="1875" spans="12:19">
      <c r="L1875" s="123"/>
      <c r="P1875" s="366"/>
      <c r="R1875" s="355"/>
      <c r="S1875" s="242"/>
    </row>
    <row r="1876" spans="12:19">
      <c r="L1876" s="245"/>
      <c r="P1876" s="366"/>
      <c r="R1876" s="355"/>
      <c r="S1876" s="242"/>
    </row>
    <row r="1877" spans="12:19">
      <c r="L1877" s="123"/>
      <c r="P1877" s="366"/>
      <c r="R1877" s="355"/>
      <c r="S1877" s="242"/>
    </row>
    <row r="1878" spans="12:19">
      <c r="L1878" s="123"/>
      <c r="P1878" s="366"/>
      <c r="R1878" s="355"/>
      <c r="S1878" s="242"/>
    </row>
    <row r="1879" spans="12:19">
      <c r="L1879" s="123"/>
      <c r="P1879" s="366"/>
      <c r="R1879" s="355"/>
      <c r="S1879" s="242"/>
    </row>
    <row r="1880" spans="12:19">
      <c r="L1880" s="123"/>
      <c r="P1880" s="366"/>
      <c r="R1880" s="355"/>
      <c r="S1880" s="242"/>
    </row>
    <row r="1881" spans="12:19">
      <c r="L1881" s="123"/>
      <c r="P1881" s="366"/>
      <c r="R1881" s="355"/>
      <c r="S1881" s="242"/>
    </row>
    <row r="1882" spans="12:19">
      <c r="L1882" s="123"/>
      <c r="P1882" s="366"/>
      <c r="R1882" s="355"/>
      <c r="S1882" s="242"/>
    </row>
    <row r="1883" spans="12:19">
      <c r="L1883" s="51"/>
      <c r="P1883" s="366"/>
      <c r="R1883" s="355"/>
      <c r="S1883" s="242"/>
    </row>
    <row r="1884" spans="12:19">
      <c r="L1884" s="123"/>
      <c r="P1884" s="366"/>
      <c r="R1884" s="355"/>
      <c r="S1884" s="242"/>
    </row>
    <row r="1885" spans="12:19">
      <c r="L1885" s="123"/>
      <c r="P1885" s="366"/>
      <c r="R1885" s="355"/>
      <c r="S1885" s="242"/>
    </row>
    <row r="1886" spans="12:19">
      <c r="L1886" s="123"/>
      <c r="P1886" s="366"/>
      <c r="R1886" s="355"/>
      <c r="S1886" s="242"/>
    </row>
    <row r="1887" spans="12:19">
      <c r="L1887" s="123"/>
      <c r="P1887" s="366"/>
      <c r="R1887" s="355"/>
      <c r="S1887" s="242"/>
    </row>
    <row r="1888" spans="12:19">
      <c r="L1888" s="123"/>
      <c r="P1888" s="366"/>
      <c r="R1888" s="355"/>
      <c r="S1888" s="242"/>
    </row>
    <row r="1889" spans="12:19">
      <c r="L1889" s="123"/>
      <c r="P1889" s="366"/>
      <c r="R1889" s="355"/>
      <c r="S1889" s="242"/>
    </row>
    <row r="1890" spans="12:19">
      <c r="L1890" s="123"/>
      <c r="P1890" s="366"/>
      <c r="R1890" s="355"/>
      <c r="S1890" s="242"/>
    </row>
    <row r="1891" spans="12:19">
      <c r="L1891" s="123"/>
      <c r="P1891" s="366"/>
      <c r="R1891" s="355"/>
      <c r="S1891" s="242"/>
    </row>
    <row r="1892" spans="12:19">
      <c r="L1892" s="123"/>
      <c r="P1892" s="366"/>
      <c r="R1892" s="355"/>
      <c r="S1892" s="242"/>
    </row>
    <row r="1893" spans="12:19">
      <c r="L1893" s="123"/>
      <c r="P1893" s="366"/>
      <c r="R1893" s="355"/>
      <c r="S1893" s="242"/>
    </row>
    <row r="1894" spans="12:19">
      <c r="L1894" s="123"/>
      <c r="P1894" s="366"/>
      <c r="R1894" s="355"/>
      <c r="S1894" s="242"/>
    </row>
    <row r="1895" spans="12:19">
      <c r="L1895" s="123"/>
      <c r="P1895" s="366"/>
      <c r="R1895" s="355"/>
      <c r="S1895" s="242"/>
    </row>
    <row r="1896" spans="12:19">
      <c r="L1896" s="123"/>
      <c r="P1896" s="366"/>
      <c r="R1896" s="355"/>
      <c r="S1896" s="242"/>
    </row>
    <row r="1897" spans="12:19">
      <c r="L1897" s="123"/>
      <c r="P1897" s="366"/>
      <c r="R1897" s="355"/>
      <c r="S1897" s="242"/>
    </row>
    <row r="1898" spans="12:19">
      <c r="L1898" s="123"/>
      <c r="P1898" s="366"/>
      <c r="R1898" s="355"/>
      <c r="S1898" s="242"/>
    </row>
    <row r="1899" spans="12:19">
      <c r="L1899" s="123"/>
      <c r="P1899" s="366"/>
      <c r="R1899" s="355"/>
      <c r="S1899" s="242"/>
    </row>
    <row r="1900" spans="12:19">
      <c r="L1900" s="123"/>
      <c r="P1900" s="366"/>
      <c r="R1900" s="355"/>
      <c r="S1900" s="242"/>
    </row>
    <row r="1901" spans="12:19">
      <c r="L1901" s="123"/>
      <c r="P1901" s="366"/>
      <c r="R1901" s="355"/>
      <c r="S1901" s="242"/>
    </row>
    <row r="1902" spans="12:19">
      <c r="L1902" s="123"/>
      <c r="P1902" s="366"/>
      <c r="R1902" s="355"/>
      <c r="S1902" s="242"/>
    </row>
    <row r="1903" spans="12:19">
      <c r="L1903" s="123"/>
      <c r="P1903" s="366"/>
      <c r="R1903" s="355"/>
      <c r="S1903" s="242"/>
    </row>
    <row r="1904" spans="12:19">
      <c r="L1904" s="123"/>
      <c r="P1904" s="366"/>
      <c r="R1904" s="355"/>
      <c r="S1904" s="242"/>
    </row>
    <row r="1905" spans="12:19">
      <c r="L1905" s="123"/>
      <c r="P1905" s="366"/>
      <c r="R1905" s="355"/>
      <c r="S1905" s="242"/>
    </row>
    <row r="1906" spans="12:19">
      <c r="L1906" s="123"/>
      <c r="P1906" s="366"/>
      <c r="R1906" s="355"/>
      <c r="S1906" s="242"/>
    </row>
    <row r="1907" spans="12:19">
      <c r="L1907" s="123"/>
      <c r="P1907" s="366"/>
      <c r="R1907" s="355"/>
      <c r="S1907" s="242"/>
    </row>
    <row r="1908" spans="12:19">
      <c r="L1908" s="123"/>
      <c r="P1908" s="366"/>
      <c r="R1908" s="355"/>
      <c r="S1908" s="242"/>
    </row>
    <row r="1909" spans="12:19">
      <c r="L1909" s="123"/>
      <c r="P1909" s="366"/>
      <c r="R1909" s="355"/>
      <c r="S1909" s="242"/>
    </row>
    <row r="1910" spans="12:19">
      <c r="L1910" s="123"/>
      <c r="P1910" s="366"/>
      <c r="R1910" s="355"/>
      <c r="S1910" s="242"/>
    </row>
    <row r="1911" spans="12:19">
      <c r="L1911" s="123"/>
      <c r="P1911" s="366"/>
      <c r="R1911" s="355"/>
      <c r="S1911" s="242"/>
    </row>
    <row r="1912" spans="12:19">
      <c r="L1912" s="123"/>
      <c r="P1912" s="366"/>
      <c r="R1912" s="355"/>
      <c r="S1912" s="242"/>
    </row>
    <row r="1913" spans="12:19">
      <c r="L1913" s="123"/>
      <c r="P1913" s="366"/>
      <c r="R1913" s="355"/>
      <c r="S1913" s="242"/>
    </row>
    <row r="1914" spans="12:19">
      <c r="L1914" s="123"/>
      <c r="P1914" s="366"/>
      <c r="R1914" s="355"/>
      <c r="S1914" s="242"/>
    </row>
    <row r="1915" spans="12:19">
      <c r="L1915" s="123"/>
      <c r="P1915" s="366"/>
      <c r="R1915" s="355"/>
      <c r="S1915" s="242"/>
    </row>
    <row r="1916" spans="12:19">
      <c r="L1916" s="120"/>
      <c r="P1916" s="366"/>
      <c r="R1916" s="355"/>
      <c r="S1916" s="242"/>
    </row>
    <row r="1917" spans="12:19">
      <c r="L1917" s="123"/>
      <c r="P1917" s="366"/>
      <c r="R1917" s="355"/>
      <c r="S1917" s="242"/>
    </row>
    <row r="1918" spans="12:19">
      <c r="L1918" s="123"/>
      <c r="P1918" s="366"/>
      <c r="R1918" s="355"/>
      <c r="S1918" s="242"/>
    </row>
    <row r="1919" spans="12:19">
      <c r="L1919" s="123"/>
      <c r="P1919" s="366"/>
      <c r="R1919" s="355"/>
      <c r="S1919" s="242"/>
    </row>
    <row r="1920" spans="12:19">
      <c r="L1920" s="123"/>
      <c r="P1920" s="366"/>
      <c r="R1920" s="355"/>
      <c r="S1920" s="242"/>
    </row>
    <row r="1921" spans="12:21">
      <c r="L1921" s="123"/>
      <c r="P1921" s="366"/>
      <c r="R1921" s="355"/>
      <c r="S1921" s="242"/>
    </row>
    <row r="1922" spans="12:21">
      <c r="L1922" s="123"/>
      <c r="P1922" s="366"/>
      <c r="R1922" s="355"/>
      <c r="S1922" s="242"/>
    </row>
    <row r="1923" spans="12:21">
      <c r="L1923" s="123"/>
      <c r="P1923" s="366"/>
      <c r="R1923" s="355"/>
      <c r="S1923" s="242"/>
    </row>
    <row r="1924" spans="12:21">
      <c r="L1924" s="123"/>
      <c r="P1924" s="366"/>
      <c r="R1924" s="355"/>
      <c r="S1924" s="242"/>
    </row>
    <row r="1925" spans="12:21" ht="26.4">
      <c r="L1925" s="123"/>
      <c r="P1925" s="366"/>
      <c r="R1925" s="355"/>
      <c r="S1925" s="242"/>
      <c r="U1925" s="61" ph="1"/>
    </row>
    <row r="1926" spans="12:21">
      <c r="L1926" s="123"/>
      <c r="P1926" s="366"/>
      <c r="R1926" s="355"/>
      <c r="S1926" s="242"/>
    </row>
    <row r="1927" spans="12:21">
      <c r="L1927" s="123"/>
      <c r="P1927" s="366"/>
      <c r="R1927" s="355"/>
      <c r="S1927" s="242"/>
    </row>
    <row r="1928" spans="12:21">
      <c r="L1928" s="123"/>
      <c r="P1928" s="366"/>
      <c r="R1928" s="355"/>
      <c r="S1928" s="242"/>
    </row>
    <row r="1929" spans="12:21">
      <c r="L1929" s="123"/>
      <c r="P1929" s="366"/>
      <c r="R1929" s="355"/>
      <c r="S1929" s="242"/>
    </row>
    <row r="1930" spans="12:21">
      <c r="L1930" s="123"/>
      <c r="P1930" s="366"/>
      <c r="R1930" s="355"/>
      <c r="S1930" s="242"/>
    </row>
    <row r="1931" spans="12:21">
      <c r="L1931" s="123"/>
      <c r="P1931" s="366"/>
      <c r="R1931" s="355"/>
      <c r="S1931" s="242"/>
    </row>
    <row r="1932" spans="12:21">
      <c r="L1932" s="123"/>
      <c r="P1932" s="366"/>
      <c r="R1932" s="355"/>
      <c r="S1932" s="242"/>
    </row>
    <row r="1933" spans="12:21">
      <c r="L1933" s="123"/>
      <c r="P1933" s="366"/>
      <c r="R1933" s="355"/>
      <c r="S1933" s="242"/>
    </row>
    <row r="1934" spans="12:21">
      <c r="L1934" s="123"/>
      <c r="P1934" s="366"/>
      <c r="R1934" s="355"/>
      <c r="S1934" s="242"/>
    </row>
    <row r="1935" spans="12:21" ht="26.4">
      <c r="L1935" s="123"/>
      <c r="P1935" s="366"/>
      <c r="R1935" s="355"/>
      <c r="S1935" s="242"/>
      <c r="U1935" s="61" ph="1"/>
    </row>
    <row r="1936" spans="12:21">
      <c r="L1936" s="123"/>
      <c r="P1936" s="366"/>
      <c r="R1936" s="355"/>
      <c r="S1936" s="242"/>
    </row>
    <row r="1937" spans="12:21">
      <c r="L1937" s="123"/>
      <c r="P1937" s="366"/>
      <c r="R1937" s="355"/>
      <c r="S1937" s="242"/>
    </row>
    <row r="1938" spans="12:21">
      <c r="L1938" s="123"/>
      <c r="P1938" s="366"/>
      <c r="R1938" s="355"/>
      <c r="S1938" s="242"/>
    </row>
    <row r="1939" spans="12:21" ht="26.4">
      <c r="L1939" s="123"/>
      <c r="P1939" s="366"/>
      <c r="R1939" s="355"/>
      <c r="S1939" s="242"/>
      <c r="U1939" s="61" ph="1"/>
    </row>
    <row r="1940" spans="12:21">
      <c r="L1940" s="245"/>
      <c r="P1940" s="366"/>
      <c r="R1940" s="355"/>
      <c r="S1940" s="242"/>
    </row>
    <row r="1941" spans="12:21">
      <c r="L1941" s="123"/>
      <c r="P1941" s="366"/>
      <c r="R1941" s="355"/>
      <c r="S1941" s="242"/>
    </row>
    <row r="1942" spans="12:21">
      <c r="L1942" s="123"/>
      <c r="P1942" s="366"/>
      <c r="R1942" s="355"/>
      <c r="S1942" s="242"/>
    </row>
    <row r="1943" spans="12:21">
      <c r="L1943" s="123"/>
      <c r="P1943" s="366"/>
      <c r="R1943" s="355"/>
      <c r="S1943" s="242"/>
    </row>
    <row r="1944" spans="12:21" ht="26.4">
      <c r="L1944" s="123"/>
      <c r="P1944" s="366"/>
      <c r="R1944" s="355"/>
      <c r="S1944" s="242"/>
      <c r="U1944" s="61" ph="1"/>
    </row>
    <row r="1945" spans="12:21" ht="26.4">
      <c r="L1945" s="245"/>
      <c r="P1945" s="366"/>
      <c r="R1945" s="355"/>
      <c r="S1945" s="242"/>
      <c r="U1945" s="61" ph="1"/>
    </row>
    <row r="1946" spans="12:21" ht="26.4">
      <c r="L1946" s="123"/>
      <c r="P1946" s="366"/>
      <c r="R1946" s="355"/>
      <c r="S1946" s="242"/>
      <c r="U1946" s="61" ph="1"/>
    </row>
    <row r="1947" spans="12:21">
      <c r="L1947" s="123"/>
      <c r="P1947" s="366"/>
      <c r="R1947" s="355"/>
      <c r="S1947" s="242"/>
    </row>
    <row r="1948" spans="12:21" ht="26.4">
      <c r="L1948" s="123"/>
      <c r="P1948" s="366"/>
      <c r="R1948" s="355"/>
      <c r="S1948" s="242"/>
      <c r="U1948" s="61" ph="1"/>
    </row>
    <row r="1949" spans="12:21" ht="26.4">
      <c r="L1949" s="123"/>
      <c r="P1949" s="366"/>
      <c r="R1949" s="355"/>
      <c r="S1949" s="242"/>
      <c r="U1949" s="61" ph="1"/>
    </row>
    <row r="1950" spans="12:21">
      <c r="L1950" s="123"/>
      <c r="P1950" s="366"/>
      <c r="R1950" s="355"/>
      <c r="S1950" s="242"/>
    </row>
    <row r="1951" spans="12:21" ht="26.4">
      <c r="L1951" s="123"/>
      <c r="P1951" s="366"/>
      <c r="R1951" s="355"/>
      <c r="S1951" s="242"/>
      <c r="U1951" s="61" ph="1"/>
    </row>
    <row r="1952" spans="12:21">
      <c r="L1952" s="123"/>
      <c r="P1952" s="366"/>
      <c r="R1952" s="355"/>
      <c r="S1952" s="242"/>
    </row>
    <row r="1953" spans="12:21" ht="26.4">
      <c r="L1953" s="123"/>
      <c r="P1953" s="366"/>
      <c r="R1953" s="355"/>
      <c r="S1953" s="242"/>
      <c r="U1953" s="61" ph="1"/>
    </row>
    <row r="1954" spans="12:21" ht="26.4">
      <c r="L1954" s="123"/>
      <c r="P1954" s="366"/>
      <c r="R1954" s="355"/>
      <c r="S1954" s="242"/>
      <c r="U1954" s="61" ph="1"/>
    </row>
    <row r="1955" spans="12:21" ht="26.4">
      <c r="L1955" s="123"/>
      <c r="P1955" s="366"/>
      <c r="R1955" s="355"/>
      <c r="S1955" s="242"/>
      <c r="U1955" s="61" ph="1"/>
    </row>
    <row r="1956" spans="12:21" ht="26.4">
      <c r="L1956" s="123"/>
      <c r="P1956" s="366"/>
      <c r="R1956" s="355"/>
      <c r="S1956" s="242"/>
      <c r="U1956" s="61" ph="1"/>
    </row>
    <row r="1957" spans="12:21" ht="26.4">
      <c r="L1957" s="245"/>
      <c r="P1957" s="366"/>
      <c r="R1957" s="355"/>
      <c r="S1957" s="242"/>
      <c r="U1957" s="61" ph="1"/>
    </row>
    <row r="1958" spans="12:21" ht="26.4">
      <c r="L1958" s="245"/>
      <c r="P1958" s="366"/>
      <c r="R1958" s="355"/>
      <c r="S1958" s="242"/>
      <c r="U1958" s="61" ph="1"/>
    </row>
    <row r="1959" spans="12:21" ht="26.4">
      <c r="L1959" s="245"/>
      <c r="P1959" s="366"/>
      <c r="R1959" s="355"/>
      <c r="S1959" s="242"/>
      <c r="U1959" s="61" ph="1"/>
    </row>
    <row r="1960" spans="12:21" ht="26.4">
      <c r="L1960" s="245"/>
      <c r="P1960" s="366"/>
      <c r="R1960" s="355"/>
      <c r="S1960" s="242"/>
      <c r="U1960" s="61" ph="1"/>
    </row>
    <row r="1961" spans="12:21" ht="26.4">
      <c r="L1961" s="245"/>
      <c r="P1961" s="366"/>
      <c r="R1961" s="355"/>
      <c r="S1961" s="242"/>
      <c r="U1961" s="61" ph="1"/>
    </row>
    <row r="1962" spans="12:21" ht="26.4">
      <c r="L1962" s="245"/>
      <c r="P1962" s="366"/>
      <c r="R1962" s="355"/>
      <c r="S1962" s="242"/>
      <c r="U1962" s="61" ph="1"/>
    </row>
    <row r="1963" spans="12:21">
      <c r="L1963" s="245"/>
      <c r="P1963" s="366"/>
      <c r="R1963" s="355"/>
      <c r="S1963" s="242"/>
    </row>
    <row r="1964" spans="12:21" ht="26.4">
      <c r="L1964" s="245"/>
      <c r="P1964" s="366"/>
      <c r="R1964" s="355"/>
      <c r="S1964" s="242"/>
      <c r="U1964" s="61" ph="1"/>
    </row>
    <row r="1965" spans="12:21" ht="26.4">
      <c r="L1965" s="245"/>
      <c r="P1965" s="366"/>
      <c r="R1965" s="355"/>
      <c r="S1965" s="242"/>
      <c r="U1965" s="61" ph="1"/>
    </row>
    <row r="1966" spans="12:21" ht="26.4">
      <c r="L1966" s="123"/>
      <c r="P1966" s="366"/>
      <c r="R1966" s="355"/>
      <c r="S1966" s="242"/>
      <c r="U1966" s="61" ph="1"/>
    </row>
    <row r="1967" spans="12:21" ht="26.4">
      <c r="L1967" s="245"/>
      <c r="P1967" s="366"/>
      <c r="R1967" s="355"/>
      <c r="S1967" s="242"/>
      <c r="U1967" s="61" ph="1"/>
    </row>
    <row r="1968" spans="12:21" ht="26.4">
      <c r="L1968" s="245"/>
      <c r="P1968" s="366"/>
      <c r="R1968" s="355"/>
      <c r="S1968" s="242"/>
      <c r="U1968" s="61" ph="1"/>
    </row>
    <row r="1969" spans="12:21" ht="26.4">
      <c r="L1969" s="245"/>
      <c r="P1969" s="366"/>
      <c r="R1969" s="355"/>
      <c r="S1969" s="242"/>
      <c r="U1969" s="61" ph="1"/>
    </row>
    <row r="1970" spans="12:21" ht="26.4">
      <c r="L1970" s="123"/>
      <c r="P1970" s="366"/>
      <c r="R1970" s="355"/>
      <c r="S1970" s="242"/>
      <c r="U1970" s="61" ph="1"/>
    </row>
    <row r="1971" spans="12:21" ht="26.4">
      <c r="L1971" s="245"/>
      <c r="P1971" s="366"/>
      <c r="R1971" s="355"/>
      <c r="S1971" s="242"/>
      <c r="U1971" s="61" ph="1"/>
    </row>
    <row r="1972" spans="12:21">
      <c r="L1972" s="245"/>
      <c r="P1972" s="366"/>
      <c r="R1972" s="355"/>
      <c r="S1972" s="242"/>
    </row>
    <row r="1973" spans="12:21" ht="26.4">
      <c r="L1973" s="123"/>
      <c r="P1973" s="366"/>
      <c r="R1973" s="355"/>
      <c r="S1973" s="242"/>
      <c r="U1973" s="61" ph="1"/>
    </row>
    <row r="1974" spans="12:21" ht="26.4">
      <c r="L1974" s="123"/>
      <c r="P1974" s="366"/>
      <c r="R1974" s="355"/>
      <c r="S1974" s="242"/>
      <c r="U1974" s="61" ph="1"/>
    </row>
    <row r="1975" spans="12:21" ht="26.4">
      <c r="P1975" s="366"/>
      <c r="R1975" s="355"/>
      <c r="S1975" s="242"/>
      <c r="U1975" s="61" ph="1"/>
    </row>
    <row r="1976" spans="12:21" ht="26.4">
      <c r="P1976" s="366"/>
      <c r="R1976" s="355"/>
      <c r="S1976" s="242"/>
      <c r="U1976" s="61" ph="1"/>
    </row>
    <row r="1977" spans="12:21" ht="26.4">
      <c r="P1977" s="366"/>
      <c r="R1977" s="355"/>
      <c r="S1977" s="242"/>
      <c r="U1977" s="61" ph="1"/>
    </row>
    <row r="1978" spans="12:21" ht="26.4">
      <c r="P1978" s="366"/>
      <c r="R1978" s="355"/>
      <c r="S1978" s="242"/>
      <c r="U1978" s="61" ph="1"/>
    </row>
    <row r="1979" spans="12:21" ht="26.4">
      <c r="P1979" s="366"/>
      <c r="R1979" s="355"/>
      <c r="S1979" s="242"/>
      <c r="U1979" s="61" ph="1"/>
    </row>
    <row r="1980" spans="12:21" ht="26.4">
      <c r="P1980" s="366"/>
      <c r="R1980" s="355"/>
      <c r="S1980" s="242"/>
      <c r="U1980" s="61" ph="1"/>
    </row>
    <row r="1981" spans="12:21" ht="26.4">
      <c r="P1981" s="366"/>
      <c r="R1981" s="355"/>
      <c r="S1981" s="242"/>
      <c r="U1981" s="61" ph="1"/>
    </row>
    <row r="1982" spans="12:21" ht="26.4">
      <c r="P1982" s="366"/>
      <c r="R1982" s="355"/>
      <c r="S1982" s="242"/>
      <c r="U1982" s="61" ph="1"/>
    </row>
    <row r="1983" spans="12:21" ht="26.4">
      <c r="P1983" s="366"/>
      <c r="R1983" s="355"/>
      <c r="S1983" s="242"/>
      <c r="U1983" s="61" ph="1"/>
    </row>
    <row r="1984" spans="12:21">
      <c r="P1984" s="366"/>
      <c r="R1984" s="355"/>
      <c r="S1984" s="242"/>
    </row>
    <row r="1985" spans="16:21" ht="26.4">
      <c r="P1985" s="366"/>
      <c r="R1985" s="355"/>
      <c r="S1985" s="242"/>
      <c r="U1985" s="61" ph="1"/>
    </row>
    <row r="1986" spans="16:21" ht="26.4">
      <c r="P1986" s="366"/>
      <c r="R1986" s="355"/>
      <c r="S1986" s="242"/>
      <c r="U1986" s="61" ph="1"/>
    </row>
    <row r="1987" spans="16:21" ht="26.4">
      <c r="P1987" s="366"/>
      <c r="R1987" s="355"/>
      <c r="S1987" s="242"/>
      <c r="U1987" s="61" ph="1"/>
    </row>
    <row r="1988" spans="16:21" ht="26.4">
      <c r="P1988" s="366"/>
      <c r="R1988" s="355"/>
      <c r="S1988" s="242"/>
      <c r="U1988" s="61" ph="1"/>
    </row>
    <row r="1989" spans="16:21" ht="26.4">
      <c r="P1989" s="366"/>
      <c r="R1989" s="355"/>
      <c r="S1989" s="242"/>
      <c r="U1989" s="61" ph="1"/>
    </row>
    <row r="1990" spans="16:21" ht="26.4">
      <c r="P1990" s="366"/>
      <c r="R1990" s="355"/>
      <c r="S1990" s="242"/>
      <c r="U1990" s="61" ph="1"/>
    </row>
    <row r="1991" spans="16:21" ht="26.4">
      <c r="P1991" s="366"/>
      <c r="R1991" s="355"/>
      <c r="S1991" s="242"/>
      <c r="U1991" s="61" ph="1"/>
    </row>
    <row r="1992" spans="16:21" ht="26.4">
      <c r="P1992" s="366"/>
      <c r="R1992" s="355"/>
      <c r="S1992" s="242"/>
      <c r="U1992" s="61" ph="1"/>
    </row>
    <row r="1993" spans="16:21">
      <c r="P1993" s="366"/>
      <c r="R1993" s="355"/>
      <c r="S1993" s="242"/>
    </row>
    <row r="1994" spans="16:21" ht="26.4">
      <c r="P1994" s="366"/>
      <c r="R1994" s="355"/>
      <c r="S1994" s="242"/>
      <c r="U1994" s="61" ph="1"/>
    </row>
    <row r="1995" spans="16:21" ht="26.4">
      <c r="P1995" s="366"/>
      <c r="R1995" s="355"/>
      <c r="S1995" s="242"/>
      <c r="U1995" s="61" ph="1"/>
    </row>
    <row r="1996" spans="16:21" ht="26.4">
      <c r="P1996" s="366"/>
      <c r="R1996" s="355"/>
      <c r="S1996" s="242"/>
      <c r="U1996" s="61" ph="1"/>
    </row>
    <row r="1997" spans="16:21" ht="26.4">
      <c r="P1997" s="366"/>
      <c r="R1997" s="355"/>
      <c r="S1997" s="242"/>
      <c r="U1997" s="61" ph="1"/>
    </row>
    <row r="1998" spans="16:21" ht="26.4">
      <c r="P1998" s="366"/>
      <c r="R1998" s="355"/>
      <c r="S1998" s="242"/>
      <c r="U1998" s="61" ph="1"/>
    </row>
    <row r="1999" spans="16:21" ht="26.4">
      <c r="P1999" s="366"/>
      <c r="R1999" s="355"/>
      <c r="S1999" s="242"/>
      <c r="U1999" s="61" ph="1"/>
    </row>
    <row r="2000" spans="16:21" ht="26.4">
      <c r="P2000" s="366"/>
      <c r="R2000" s="355"/>
      <c r="S2000" s="242"/>
      <c r="U2000" s="61" ph="1"/>
    </row>
    <row r="2001" spans="16:21" ht="26.4">
      <c r="P2001" s="366"/>
      <c r="R2001" s="355"/>
      <c r="S2001" s="242"/>
      <c r="U2001" s="61" ph="1"/>
    </row>
    <row r="2002" spans="16:21" ht="26.4">
      <c r="P2002" s="366"/>
      <c r="R2002" s="355"/>
      <c r="S2002" s="242"/>
      <c r="U2002" s="61" ph="1"/>
    </row>
    <row r="2003" spans="16:21" ht="26.4">
      <c r="P2003" s="366"/>
      <c r="R2003" s="355"/>
      <c r="S2003" s="242"/>
      <c r="U2003" s="61" ph="1"/>
    </row>
    <row r="2004" spans="16:21" ht="26.4">
      <c r="P2004" s="366"/>
      <c r="R2004" s="355"/>
      <c r="S2004" s="242"/>
      <c r="U2004" s="61" ph="1"/>
    </row>
    <row r="2005" spans="16:21" ht="26.4">
      <c r="P2005" s="366"/>
      <c r="R2005" s="355"/>
      <c r="S2005" s="242"/>
      <c r="U2005" s="61" ph="1"/>
    </row>
    <row r="2006" spans="16:21" ht="26.4">
      <c r="P2006" s="366"/>
      <c r="R2006" s="355"/>
      <c r="S2006" s="242"/>
      <c r="U2006" s="61" ph="1"/>
    </row>
    <row r="2007" spans="16:21" ht="26.4">
      <c r="P2007" s="366"/>
      <c r="R2007" s="355"/>
      <c r="S2007" s="242"/>
      <c r="U2007" s="61" ph="1"/>
    </row>
    <row r="2008" spans="16:21" ht="26.4">
      <c r="P2008" s="366"/>
      <c r="R2008" s="355"/>
      <c r="S2008" s="242"/>
      <c r="U2008" s="61" ph="1"/>
    </row>
    <row r="2009" spans="16:21" ht="26.4">
      <c r="P2009" s="366"/>
      <c r="R2009" s="355"/>
      <c r="S2009" s="242"/>
      <c r="U2009" s="61" ph="1"/>
    </row>
    <row r="2010" spans="16:21" ht="26.4">
      <c r="P2010" s="366"/>
      <c r="R2010" s="355"/>
      <c r="S2010" s="242"/>
      <c r="U2010" s="61" ph="1"/>
    </row>
    <row r="2011" spans="16:21" ht="26.4">
      <c r="P2011" s="366"/>
      <c r="R2011" s="355"/>
      <c r="S2011" s="242"/>
      <c r="U2011" s="61" ph="1"/>
    </row>
    <row r="2012" spans="16:21" ht="26.4">
      <c r="P2012" s="366"/>
      <c r="R2012" s="355"/>
      <c r="S2012" s="242"/>
      <c r="U2012" s="61" ph="1"/>
    </row>
    <row r="2013" spans="16:21" ht="26.4">
      <c r="P2013" s="366"/>
      <c r="R2013" s="355"/>
      <c r="S2013" s="242"/>
      <c r="U2013" s="61" ph="1"/>
    </row>
    <row r="2014" spans="16:21" ht="26.4">
      <c r="P2014" s="366"/>
      <c r="R2014" s="355"/>
      <c r="S2014" s="242"/>
      <c r="U2014" s="61" ph="1"/>
    </row>
    <row r="2015" spans="16:21" ht="26.4">
      <c r="P2015" s="366"/>
      <c r="R2015" s="355"/>
      <c r="S2015" s="242"/>
      <c r="U2015" s="61" ph="1"/>
    </row>
    <row r="2016" spans="16:21" ht="26.4">
      <c r="P2016" s="366"/>
      <c r="R2016" s="355"/>
      <c r="S2016" s="242"/>
      <c r="U2016" s="61" ph="1"/>
    </row>
    <row r="2017" spans="16:21" ht="26.4">
      <c r="P2017" s="366"/>
      <c r="R2017" s="355"/>
      <c r="S2017" s="242"/>
      <c r="U2017" s="61" ph="1"/>
    </row>
    <row r="2018" spans="16:21" ht="26.4">
      <c r="P2018" s="366"/>
      <c r="R2018" s="355"/>
      <c r="S2018" s="242"/>
      <c r="U2018" s="61" ph="1"/>
    </row>
    <row r="2019" spans="16:21" ht="26.4">
      <c r="P2019" s="366"/>
      <c r="R2019" s="355"/>
      <c r="S2019" s="242"/>
      <c r="U2019" s="61" ph="1"/>
    </row>
    <row r="2020" spans="16:21" ht="26.4">
      <c r="P2020" s="366"/>
      <c r="R2020" s="355"/>
      <c r="S2020" s="242"/>
      <c r="U2020" s="61" ph="1"/>
    </row>
    <row r="2021" spans="16:21" ht="26.4">
      <c r="P2021" s="366"/>
      <c r="R2021" s="355"/>
      <c r="S2021" s="242"/>
      <c r="U2021" s="61" ph="1"/>
    </row>
    <row r="2022" spans="16:21" ht="26.4">
      <c r="P2022" s="366"/>
      <c r="R2022" s="355"/>
      <c r="S2022" s="242"/>
      <c r="U2022" s="61" ph="1"/>
    </row>
    <row r="2023" spans="16:21" ht="26.4">
      <c r="P2023" s="366"/>
      <c r="R2023" s="355"/>
      <c r="S2023" s="242"/>
      <c r="U2023" s="61" ph="1"/>
    </row>
    <row r="2024" spans="16:21" ht="26.4">
      <c r="P2024" s="366"/>
      <c r="R2024" s="355"/>
      <c r="S2024" s="242"/>
      <c r="U2024" s="61" ph="1"/>
    </row>
    <row r="2025" spans="16:21" ht="26.4">
      <c r="P2025" s="366"/>
      <c r="R2025" s="355"/>
      <c r="S2025" s="242"/>
      <c r="U2025" s="61" ph="1"/>
    </row>
    <row r="2026" spans="16:21" ht="26.4">
      <c r="P2026" s="366"/>
      <c r="R2026" s="355"/>
      <c r="S2026" s="242"/>
      <c r="U2026" s="61" ph="1"/>
    </row>
    <row r="2027" spans="16:21" ht="26.4">
      <c r="P2027" s="366"/>
      <c r="R2027" s="355"/>
      <c r="S2027" s="242"/>
      <c r="U2027" s="61" ph="1"/>
    </row>
    <row r="2028" spans="16:21" ht="26.4">
      <c r="P2028" s="366"/>
      <c r="R2028" s="355"/>
      <c r="S2028" s="242"/>
      <c r="U2028" s="61" ph="1"/>
    </row>
    <row r="2029" spans="16:21" ht="26.4">
      <c r="P2029" s="366"/>
      <c r="R2029" s="355"/>
      <c r="S2029" s="242"/>
      <c r="U2029" s="61" ph="1"/>
    </row>
    <row r="2030" spans="16:21" ht="26.4">
      <c r="P2030" s="366"/>
      <c r="R2030" s="355"/>
      <c r="S2030" s="242"/>
      <c r="U2030" s="61" ph="1"/>
    </row>
    <row r="2031" spans="16:21" ht="26.4">
      <c r="P2031" s="366"/>
      <c r="R2031" s="355"/>
      <c r="S2031" s="242"/>
      <c r="U2031" s="61" ph="1"/>
    </row>
    <row r="2032" spans="16:21" ht="26.4">
      <c r="P2032" s="366"/>
      <c r="R2032" s="355"/>
      <c r="S2032" s="242"/>
      <c r="U2032" s="61" ph="1"/>
    </row>
    <row r="2033" spans="16:21" ht="26.4">
      <c r="P2033" s="366"/>
      <c r="R2033" s="355"/>
      <c r="S2033" s="242"/>
      <c r="U2033" s="61" ph="1"/>
    </row>
    <row r="2034" spans="16:21" ht="26.4">
      <c r="P2034" s="366"/>
      <c r="R2034" s="355"/>
      <c r="S2034" s="242"/>
      <c r="U2034" s="61" ph="1"/>
    </row>
    <row r="2035" spans="16:21" ht="26.4">
      <c r="P2035" s="366"/>
      <c r="R2035" s="355"/>
      <c r="S2035" s="242"/>
      <c r="U2035" s="61" ph="1"/>
    </row>
    <row r="2036" spans="16:21" ht="26.4">
      <c r="P2036" s="366"/>
      <c r="R2036" s="355"/>
      <c r="S2036" s="242"/>
      <c r="U2036" s="61" ph="1"/>
    </row>
    <row r="2037" spans="16:21" ht="26.4">
      <c r="P2037" s="366"/>
      <c r="R2037" s="355"/>
      <c r="S2037" s="242"/>
      <c r="U2037" s="61" ph="1"/>
    </row>
    <row r="2038" spans="16:21" ht="26.4">
      <c r="P2038" s="366"/>
      <c r="R2038" s="355"/>
      <c r="S2038" s="242"/>
      <c r="U2038" s="61" ph="1"/>
    </row>
    <row r="2039" spans="16:21" ht="26.4">
      <c r="P2039" s="366"/>
      <c r="R2039" s="355"/>
      <c r="S2039" s="242"/>
      <c r="U2039" s="61" ph="1"/>
    </row>
    <row r="2040" spans="16:21" ht="26.4">
      <c r="P2040" s="366"/>
      <c r="R2040" s="355"/>
      <c r="S2040" s="242"/>
      <c r="U2040" s="61" ph="1"/>
    </row>
    <row r="2041" spans="16:21" ht="26.4">
      <c r="P2041" s="366"/>
      <c r="R2041" s="355"/>
      <c r="S2041" s="242"/>
      <c r="U2041" s="61" ph="1"/>
    </row>
    <row r="2042" spans="16:21" ht="26.4">
      <c r="P2042" s="366"/>
      <c r="R2042" s="355"/>
      <c r="S2042" s="242"/>
      <c r="U2042" s="61" ph="1"/>
    </row>
    <row r="2043" spans="16:21" ht="26.4">
      <c r="P2043" s="366"/>
      <c r="R2043" s="355"/>
      <c r="S2043" s="242"/>
      <c r="U2043" s="61" ph="1"/>
    </row>
    <row r="2044" spans="16:21" ht="26.4">
      <c r="P2044" s="366"/>
      <c r="R2044" s="355"/>
      <c r="S2044" s="242"/>
      <c r="U2044" s="61" ph="1"/>
    </row>
    <row r="2045" spans="16:21" ht="26.4">
      <c r="P2045" s="366"/>
      <c r="R2045" s="355"/>
      <c r="S2045" s="242"/>
      <c r="U2045" s="61" ph="1"/>
    </row>
    <row r="2046" spans="16:21" ht="26.4">
      <c r="P2046" s="366"/>
      <c r="R2046" s="355"/>
      <c r="S2046" s="242"/>
      <c r="U2046" s="61" ph="1"/>
    </row>
    <row r="2047" spans="16:21" ht="26.4">
      <c r="P2047" s="366"/>
      <c r="R2047" s="355"/>
      <c r="S2047" s="242"/>
      <c r="U2047" s="61" ph="1"/>
    </row>
    <row r="2048" spans="16:21" ht="26.4">
      <c r="P2048" s="366"/>
      <c r="R2048" s="355"/>
      <c r="S2048" s="242"/>
      <c r="U2048" s="61" ph="1"/>
    </row>
    <row r="2049" spans="16:21" ht="26.4">
      <c r="P2049" s="366"/>
      <c r="R2049" s="355"/>
      <c r="S2049" s="242"/>
      <c r="U2049" s="61" ph="1"/>
    </row>
    <row r="2050" spans="16:21" ht="26.4">
      <c r="P2050" s="366"/>
      <c r="R2050" s="355"/>
      <c r="S2050" s="242"/>
      <c r="U2050" s="61" ph="1"/>
    </row>
    <row r="2051" spans="16:21" ht="26.4">
      <c r="P2051" s="366"/>
      <c r="R2051" s="355"/>
      <c r="S2051" s="242"/>
      <c r="U2051" s="61" ph="1"/>
    </row>
    <row r="2052" spans="16:21" ht="26.4">
      <c r="P2052" s="366"/>
      <c r="R2052" s="355"/>
      <c r="S2052" s="242"/>
      <c r="U2052" s="61" ph="1"/>
    </row>
    <row r="2053" spans="16:21" ht="26.4">
      <c r="P2053" s="366"/>
      <c r="R2053" s="355"/>
      <c r="S2053" s="242"/>
      <c r="U2053" s="61" ph="1"/>
    </row>
    <row r="2054" spans="16:21" ht="26.4">
      <c r="P2054" s="366"/>
      <c r="R2054" s="355"/>
      <c r="S2054" s="242"/>
      <c r="U2054" s="61" ph="1"/>
    </row>
    <row r="2055" spans="16:21" ht="26.4">
      <c r="P2055" s="366"/>
      <c r="R2055" s="355"/>
      <c r="S2055" s="242"/>
      <c r="U2055" s="61" ph="1"/>
    </row>
    <row r="2056" spans="16:21" ht="26.4">
      <c r="P2056" s="366"/>
      <c r="R2056" s="355"/>
      <c r="S2056" s="242"/>
      <c r="U2056" s="61" ph="1"/>
    </row>
    <row r="2057" spans="16:21" ht="26.4">
      <c r="P2057" s="366"/>
      <c r="R2057" s="355"/>
      <c r="S2057" s="242"/>
      <c r="U2057" s="61" ph="1"/>
    </row>
    <row r="2058" spans="16:21" ht="26.4">
      <c r="P2058" s="366"/>
      <c r="R2058" s="355"/>
      <c r="S2058" s="242"/>
      <c r="U2058" s="61" ph="1"/>
    </row>
    <row r="2059" spans="16:21" ht="26.4">
      <c r="P2059" s="366"/>
      <c r="R2059" s="355"/>
      <c r="S2059" s="242"/>
      <c r="U2059" s="61" ph="1"/>
    </row>
    <row r="2060" spans="16:21" ht="26.4">
      <c r="P2060" s="366"/>
      <c r="R2060" s="355"/>
      <c r="S2060" s="242"/>
      <c r="U2060" s="61" ph="1"/>
    </row>
    <row r="2061" spans="16:21" ht="26.4">
      <c r="P2061" s="366"/>
      <c r="R2061" s="355"/>
      <c r="S2061" s="242"/>
      <c r="U2061" s="61" ph="1"/>
    </row>
    <row r="2062" spans="16:21" ht="26.4">
      <c r="P2062" s="366"/>
      <c r="R2062" s="355"/>
      <c r="S2062" s="242"/>
      <c r="U2062" s="61" ph="1"/>
    </row>
    <row r="2063" spans="16:21" ht="26.4">
      <c r="P2063" s="366"/>
      <c r="R2063" s="355"/>
      <c r="S2063" s="242"/>
      <c r="U2063" s="61" ph="1"/>
    </row>
    <row r="2064" spans="16:21" ht="26.4">
      <c r="P2064" s="366"/>
      <c r="R2064" s="355"/>
      <c r="S2064" s="242"/>
      <c r="U2064" s="61" ph="1"/>
    </row>
    <row r="2065" spans="16:21" ht="26.4">
      <c r="P2065" s="366"/>
      <c r="R2065" s="355"/>
      <c r="S2065" s="242"/>
      <c r="U2065" s="61" ph="1"/>
    </row>
    <row r="2066" spans="16:21" ht="26.4">
      <c r="P2066" s="366"/>
      <c r="R2066" s="355"/>
      <c r="S2066" s="242"/>
      <c r="U2066" s="61" ph="1"/>
    </row>
    <row r="2067" spans="16:21" ht="26.4">
      <c r="P2067" s="366"/>
      <c r="R2067" s="355"/>
      <c r="S2067" s="242"/>
      <c r="U2067" s="61" ph="1"/>
    </row>
    <row r="2068" spans="16:21" ht="26.4">
      <c r="P2068" s="366"/>
      <c r="R2068" s="355"/>
      <c r="S2068" s="242"/>
      <c r="U2068" s="61" ph="1"/>
    </row>
    <row r="2069" spans="16:21" ht="26.4">
      <c r="P2069" s="366"/>
      <c r="R2069" s="355"/>
      <c r="S2069" s="242"/>
      <c r="U2069" s="61" ph="1"/>
    </row>
    <row r="2070" spans="16:21" ht="26.4">
      <c r="P2070" s="366"/>
      <c r="R2070" s="355"/>
      <c r="S2070" s="242"/>
      <c r="U2070" s="61" ph="1"/>
    </row>
    <row r="2071" spans="16:21" ht="26.4">
      <c r="P2071" s="366"/>
      <c r="R2071" s="355"/>
      <c r="S2071" s="242"/>
      <c r="U2071" s="61" ph="1"/>
    </row>
    <row r="2072" spans="16:21" ht="26.4">
      <c r="P2072" s="366"/>
      <c r="R2072" s="355"/>
      <c r="S2072" s="242"/>
      <c r="U2072" s="61" ph="1"/>
    </row>
    <row r="2073" spans="16:21" ht="26.4">
      <c r="P2073" s="366"/>
      <c r="R2073" s="355"/>
      <c r="S2073" s="242"/>
      <c r="U2073" s="61" ph="1"/>
    </row>
    <row r="2074" spans="16:21" ht="26.4">
      <c r="P2074" s="366"/>
      <c r="R2074" s="355"/>
      <c r="S2074" s="242"/>
      <c r="U2074" s="61" ph="1"/>
    </row>
    <row r="2075" spans="16:21" ht="26.4">
      <c r="P2075" s="366"/>
      <c r="R2075" s="355"/>
      <c r="S2075" s="242"/>
      <c r="U2075" s="61" ph="1"/>
    </row>
    <row r="2076" spans="16:21" ht="26.4">
      <c r="P2076" s="366"/>
      <c r="R2076" s="355"/>
      <c r="S2076" s="242"/>
      <c r="U2076" s="61" ph="1"/>
    </row>
    <row r="2077" spans="16:21" ht="26.4">
      <c r="P2077" s="366"/>
      <c r="R2077" s="355"/>
      <c r="S2077" s="242"/>
      <c r="U2077" s="61" ph="1"/>
    </row>
    <row r="2078" spans="16:21" ht="26.4">
      <c r="P2078" s="366"/>
      <c r="R2078" s="355"/>
      <c r="S2078" s="242"/>
      <c r="U2078" s="61" ph="1"/>
    </row>
    <row r="2079" spans="16:21" ht="26.4">
      <c r="P2079" s="366"/>
      <c r="R2079" s="355"/>
      <c r="S2079" s="242"/>
      <c r="U2079" s="61" ph="1"/>
    </row>
    <row r="2080" spans="16:21" ht="26.4">
      <c r="P2080" s="366"/>
      <c r="R2080" s="355"/>
      <c r="S2080" s="242"/>
      <c r="U2080" s="61" ph="1"/>
    </row>
    <row r="2081" spans="16:21" ht="26.4">
      <c r="P2081" s="366"/>
      <c r="R2081" s="355"/>
      <c r="S2081" s="242"/>
      <c r="U2081" s="61" ph="1"/>
    </row>
    <row r="2082" spans="16:21" ht="26.4">
      <c r="P2082" s="366"/>
      <c r="R2082" s="355"/>
      <c r="S2082" s="242"/>
      <c r="U2082" s="61" ph="1"/>
    </row>
    <row r="2083" spans="16:21" ht="26.4">
      <c r="P2083" s="366"/>
      <c r="R2083" s="355"/>
      <c r="S2083" s="242"/>
      <c r="U2083" s="61" ph="1"/>
    </row>
    <row r="2084" spans="16:21" ht="26.4">
      <c r="P2084" s="366"/>
      <c r="R2084" s="355"/>
      <c r="S2084" s="242"/>
      <c r="U2084" s="61" ph="1"/>
    </row>
    <row r="2085" spans="16:21" ht="26.4">
      <c r="P2085" s="366"/>
      <c r="R2085" s="355"/>
      <c r="S2085" s="242"/>
      <c r="U2085" s="61" ph="1"/>
    </row>
    <row r="2086" spans="16:21" ht="26.4">
      <c r="P2086" s="366"/>
      <c r="R2086" s="355"/>
      <c r="S2086" s="242"/>
      <c r="U2086" s="61" ph="1"/>
    </row>
    <row r="2087" spans="16:21" ht="26.4">
      <c r="P2087" s="366"/>
      <c r="R2087" s="355"/>
      <c r="S2087" s="242"/>
      <c r="U2087" s="61" ph="1"/>
    </row>
    <row r="2088" spans="16:21" ht="26.4">
      <c r="P2088" s="366"/>
      <c r="R2088" s="355"/>
      <c r="S2088" s="242"/>
      <c r="U2088" s="61" ph="1"/>
    </row>
    <row r="2089" spans="16:21" ht="26.4">
      <c r="P2089" s="366"/>
      <c r="R2089" s="355"/>
      <c r="S2089" s="242"/>
      <c r="U2089" s="61" ph="1"/>
    </row>
    <row r="2090" spans="16:21" ht="26.4">
      <c r="P2090" s="366"/>
      <c r="R2090" s="355"/>
      <c r="S2090" s="242"/>
      <c r="U2090" s="61" ph="1"/>
    </row>
    <row r="2091" spans="16:21" ht="26.4">
      <c r="P2091" s="366"/>
      <c r="R2091" s="355"/>
      <c r="S2091" s="242"/>
      <c r="U2091" s="61" ph="1"/>
    </row>
    <row r="2092" spans="16:21" ht="26.4">
      <c r="P2092" s="366"/>
      <c r="R2092" s="355"/>
      <c r="S2092" s="242"/>
      <c r="U2092" s="61" ph="1"/>
    </row>
    <row r="2093" spans="16:21" ht="26.4">
      <c r="P2093" s="366"/>
      <c r="R2093" s="355"/>
      <c r="S2093" s="242"/>
      <c r="U2093" s="61" ph="1"/>
    </row>
    <row r="2094" spans="16:21" ht="26.4">
      <c r="P2094" s="366"/>
      <c r="R2094" s="355"/>
      <c r="S2094" s="242"/>
      <c r="U2094" s="61" ph="1"/>
    </row>
    <row r="2095" spans="16:21" ht="26.4">
      <c r="P2095" s="366"/>
      <c r="R2095" s="355"/>
      <c r="S2095" s="242"/>
      <c r="U2095" s="61" ph="1"/>
    </row>
    <row r="2096" spans="16:21" ht="26.4">
      <c r="P2096" s="366"/>
      <c r="R2096" s="355"/>
      <c r="S2096" s="242"/>
      <c r="U2096" s="61" ph="1"/>
    </row>
    <row r="2097" spans="16:21" ht="26.4">
      <c r="P2097" s="366"/>
      <c r="R2097" s="355"/>
      <c r="S2097" s="242"/>
      <c r="U2097" s="61" ph="1"/>
    </row>
    <row r="2098" spans="16:21" ht="26.4">
      <c r="P2098" s="366"/>
      <c r="R2098" s="355"/>
      <c r="S2098" s="242"/>
      <c r="U2098" s="61" ph="1"/>
    </row>
    <row r="2099" spans="16:21" ht="26.4">
      <c r="P2099" s="366"/>
      <c r="R2099" s="355"/>
      <c r="S2099" s="242"/>
      <c r="U2099" s="61" ph="1"/>
    </row>
    <row r="2100" spans="16:21" ht="26.4">
      <c r="P2100" s="366"/>
      <c r="R2100" s="355"/>
      <c r="S2100" s="242"/>
      <c r="U2100" s="61" ph="1"/>
    </row>
    <row r="2101" spans="16:21" ht="26.4">
      <c r="P2101" s="366"/>
      <c r="R2101" s="355"/>
      <c r="S2101" s="242"/>
      <c r="U2101" s="61" ph="1"/>
    </row>
    <row r="2102" spans="16:21" ht="26.4">
      <c r="P2102" s="366"/>
      <c r="R2102" s="355"/>
      <c r="S2102" s="242"/>
      <c r="U2102" s="61" ph="1"/>
    </row>
    <row r="2103" spans="16:21" ht="26.4">
      <c r="P2103" s="366"/>
      <c r="R2103" s="355"/>
      <c r="S2103" s="242"/>
      <c r="U2103" s="61" ph="1"/>
    </row>
    <row r="2104" spans="16:21" ht="26.4">
      <c r="P2104" s="366"/>
      <c r="R2104" s="355"/>
      <c r="S2104" s="242"/>
      <c r="U2104" s="61" ph="1"/>
    </row>
    <row r="2105" spans="16:21" ht="26.4">
      <c r="P2105" s="366"/>
      <c r="R2105" s="355"/>
      <c r="S2105" s="242"/>
      <c r="U2105" s="61" ph="1"/>
    </row>
    <row r="2106" spans="16:21" ht="26.4">
      <c r="P2106" s="366"/>
      <c r="R2106" s="355"/>
      <c r="S2106" s="242"/>
      <c r="U2106" s="61" ph="1"/>
    </row>
    <row r="2107" spans="16:21" ht="26.4">
      <c r="P2107" s="366"/>
      <c r="R2107" s="355"/>
      <c r="S2107" s="242"/>
      <c r="U2107" s="61" ph="1"/>
    </row>
    <row r="2108" spans="16:21" ht="26.4">
      <c r="P2108" s="366"/>
      <c r="R2108" s="355"/>
      <c r="S2108" s="242"/>
      <c r="U2108" s="61" ph="1"/>
    </row>
    <row r="2109" spans="16:21" ht="26.4">
      <c r="P2109" s="366"/>
      <c r="R2109" s="355"/>
      <c r="S2109" s="242"/>
      <c r="U2109" s="61" ph="1"/>
    </row>
    <row r="2110" spans="16:21" ht="26.4">
      <c r="P2110" s="366"/>
      <c r="R2110" s="355"/>
      <c r="S2110" s="242"/>
      <c r="U2110" s="61" ph="1"/>
    </row>
    <row r="2111" spans="16:21" ht="26.4">
      <c r="P2111" s="366"/>
      <c r="R2111" s="355"/>
      <c r="S2111" s="242"/>
      <c r="U2111" s="61" ph="1"/>
    </row>
    <row r="2112" spans="16:21" ht="26.4">
      <c r="P2112" s="366"/>
      <c r="R2112" s="355"/>
      <c r="S2112" s="242"/>
      <c r="U2112" s="61" ph="1"/>
    </row>
    <row r="2113" spans="16:21" ht="26.4">
      <c r="P2113" s="366"/>
      <c r="R2113" s="355"/>
      <c r="S2113" s="242"/>
      <c r="U2113" s="61" ph="1"/>
    </row>
    <row r="2114" spans="16:21" ht="26.4">
      <c r="P2114" s="366"/>
      <c r="R2114" s="355"/>
      <c r="S2114" s="242"/>
      <c r="U2114" s="61" ph="1"/>
    </row>
    <row r="2115" spans="16:21" ht="26.4">
      <c r="P2115" s="366"/>
      <c r="R2115" s="355"/>
      <c r="S2115" s="242"/>
      <c r="U2115" s="61" ph="1"/>
    </row>
    <row r="2116" spans="16:21" ht="26.4">
      <c r="P2116" s="366"/>
      <c r="R2116" s="355"/>
      <c r="S2116" s="242"/>
      <c r="U2116" s="61" ph="1"/>
    </row>
    <row r="2117" spans="16:21" ht="26.4">
      <c r="P2117" s="366"/>
      <c r="R2117" s="355"/>
      <c r="S2117" s="242"/>
      <c r="U2117" s="61" ph="1"/>
    </row>
    <row r="2118" spans="16:21" ht="26.4">
      <c r="P2118" s="366"/>
      <c r="R2118" s="355"/>
      <c r="S2118" s="242"/>
      <c r="U2118" s="61" ph="1"/>
    </row>
    <row r="2119" spans="16:21" ht="26.4">
      <c r="P2119" s="366"/>
      <c r="R2119" s="355"/>
      <c r="S2119" s="242"/>
      <c r="U2119" s="61" ph="1"/>
    </row>
    <row r="2120" spans="16:21" ht="26.4">
      <c r="P2120" s="366"/>
      <c r="R2120" s="355"/>
      <c r="S2120" s="242"/>
      <c r="U2120" s="61" ph="1"/>
    </row>
    <row r="2121" spans="16:21" ht="26.4">
      <c r="P2121" s="366"/>
      <c r="R2121" s="355"/>
      <c r="S2121" s="242"/>
      <c r="U2121" s="61" ph="1"/>
    </row>
    <row r="2122" spans="16:21" ht="26.4">
      <c r="P2122" s="366"/>
      <c r="R2122" s="355"/>
      <c r="S2122" s="242"/>
      <c r="U2122" s="61" ph="1"/>
    </row>
    <row r="2123" spans="16:21" ht="26.4">
      <c r="P2123" s="366"/>
      <c r="R2123" s="355"/>
      <c r="S2123" s="242"/>
      <c r="U2123" s="61" ph="1"/>
    </row>
    <row r="2124" spans="16:21" ht="26.4">
      <c r="P2124" s="366"/>
      <c r="R2124" s="355"/>
      <c r="S2124" s="242"/>
      <c r="U2124" s="61" ph="1"/>
    </row>
    <row r="2125" spans="16:21" ht="26.4">
      <c r="P2125" s="366"/>
      <c r="R2125" s="355"/>
      <c r="S2125" s="242"/>
      <c r="U2125" s="61" ph="1"/>
    </row>
    <row r="2126" spans="16:21" ht="26.4">
      <c r="P2126" s="366"/>
      <c r="R2126" s="355"/>
      <c r="S2126" s="242"/>
      <c r="U2126" s="61" ph="1"/>
    </row>
    <row r="2127" spans="16:21" ht="26.4">
      <c r="P2127" s="366"/>
      <c r="R2127" s="355"/>
      <c r="S2127" s="242"/>
      <c r="U2127" s="61" ph="1"/>
    </row>
    <row r="2128" spans="16:21" ht="26.4">
      <c r="P2128" s="366"/>
      <c r="R2128" s="355"/>
      <c r="S2128" s="242"/>
      <c r="U2128" s="61" ph="1"/>
    </row>
    <row r="2129" spans="16:21" ht="26.4">
      <c r="P2129" s="366"/>
      <c r="R2129" s="355"/>
      <c r="S2129" s="242"/>
      <c r="U2129" s="61" ph="1"/>
    </row>
    <row r="2130" spans="16:21" ht="26.4">
      <c r="P2130" s="366"/>
      <c r="R2130" s="355"/>
      <c r="S2130" s="242"/>
      <c r="U2130" s="61" ph="1"/>
    </row>
    <row r="2131" spans="16:21" ht="26.4">
      <c r="P2131" s="366"/>
      <c r="R2131" s="355"/>
      <c r="S2131" s="242"/>
      <c r="U2131" s="61" ph="1"/>
    </row>
    <row r="2132" spans="16:21" ht="26.4">
      <c r="P2132" s="366"/>
      <c r="R2132" s="355"/>
      <c r="S2132" s="242"/>
      <c r="U2132" s="61" ph="1"/>
    </row>
    <row r="2133" spans="16:21" ht="26.4">
      <c r="P2133" s="366"/>
      <c r="R2133" s="355"/>
      <c r="S2133" s="242"/>
      <c r="U2133" s="61" ph="1"/>
    </row>
    <row r="2134" spans="16:21" ht="26.4">
      <c r="P2134" s="366"/>
      <c r="R2134" s="355"/>
      <c r="S2134" s="242"/>
      <c r="U2134" s="61" ph="1"/>
    </row>
    <row r="2135" spans="16:21" ht="26.4">
      <c r="P2135" s="366"/>
      <c r="R2135" s="355"/>
      <c r="S2135" s="242"/>
      <c r="U2135" s="61" ph="1"/>
    </row>
    <row r="2136" spans="16:21" ht="26.4">
      <c r="P2136" s="366"/>
      <c r="R2136" s="355"/>
      <c r="S2136" s="242"/>
      <c r="U2136" s="61" ph="1"/>
    </row>
    <row r="2137" spans="16:21" ht="26.4">
      <c r="P2137" s="366"/>
      <c r="R2137" s="355"/>
      <c r="S2137" s="242"/>
      <c r="U2137" s="61" ph="1"/>
    </row>
    <row r="2138" spans="16:21" ht="26.4">
      <c r="P2138" s="366"/>
      <c r="R2138" s="355"/>
      <c r="S2138" s="242"/>
      <c r="U2138" s="61" ph="1"/>
    </row>
    <row r="2139" spans="16:21" ht="26.4">
      <c r="P2139" s="366"/>
      <c r="R2139" s="355"/>
      <c r="S2139" s="242"/>
      <c r="U2139" s="61" ph="1"/>
    </row>
    <row r="2140" spans="16:21" ht="26.4">
      <c r="P2140" s="366"/>
      <c r="R2140" s="355"/>
      <c r="S2140" s="242"/>
      <c r="U2140" s="61" ph="1"/>
    </row>
    <row r="2141" spans="16:21" ht="26.4">
      <c r="P2141" s="366"/>
      <c r="R2141" s="355"/>
      <c r="S2141" s="242"/>
      <c r="U2141" s="61" ph="1"/>
    </row>
    <row r="2142" spans="16:21" ht="26.4">
      <c r="P2142" s="366"/>
      <c r="R2142" s="355"/>
      <c r="S2142" s="242"/>
      <c r="U2142" s="61" ph="1"/>
    </row>
    <row r="2143" spans="16:21" ht="26.4">
      <c r="P2143" s="366"/>
      <c r="R2143" s="355"/>
      <c r="S2143" s="242"/>
      <c r="U2143" s="61" ph="1"/>
    </row>
    <row r="2144" spans="16:21" ht="26.4">
      <c r="P2144" s="366"/>
      <c r="R2144" s="355"/>
      <c r="S2144" s="242"/>
      <c r="U2144" s="61" ph="1"/>
    </row>
    <row r="2145" spans="16:21" ht="26.4">
      <c r="P2145" s="366"/>
      <c r="R2145" s="355"/>
      <c r="S2145" s="242"/>
      <c r="U2145" s="61" ph="1"/>
    </row>
    <row r="2146" spans="16:21" ht="26.4">
      <c r="P2146" s="366"/>
      <c r="R2146" s="355"/>
      <c r="S2146" s="242"/>
      <c r="U2146" s="61" ph="1"/>
    </row>
    <row r="2147" spans="16:21" ht="26.4">
      <c r="P2147" s="366"/>
      <c r="R2147" s="355"/>
      <c r="S2147" s="242"/>
      <c r="U2147" s="61" ph="1"/>
    </row>
    <row r="2148" spans="16:21" ht="26.4">
      <c r="P2148" s="366"/>
      <c r="R2148" s="355"/>
      <c r="S2148" s="242"/>
      <c r="U2148" s="61" ph="1"/>
    </row>
    <row r="2149" spans="16:21" ht="26.4">
      <c r="P2149" s="366"/>
      <c r="R2149" s="355"/>
      <c r="S2149" s="242"/>
      <c r="U2149" s="61" ph="1"/>
    </row>
    <row r="2150" spans="16:21" ht="26.4">
      <c r="P2150" s="366"/>
      <c r="R2150" s="355"/>
      <c r="S2150" s="242"/>
      <c r="U2150" s="61" ph="1"/>
    </row>
    <row r="2151" spans="16:21" ht="26.4">
      <c r="P2151" s="366"/>
      <c r="R2151" s="355"/>
      <c r="S2151" s="242"/>
      <c r="U2151" s="61" ph="1"/>
    </row>
    <row r="2152" spans="16:21" ht="26.4">
      <c r="P2152" s="366"/>
      <c r="R2152" s="355"/>
      <c r="S2152" s="242"/>
      <c r="U2152" s="61" ph="1"/>
    </row>
    <row r="2153" spans="16:21" ht="26.4">
      <c r="P2153" s="366"/>
      <c r="R2153" s="355"/>
      <c r="S2153" s="242"/>
      <c r="U2153" s="61" ph="1"/>
    </row>
    <row r="2154" spans="16:21" ht="26.4">
      <c r="P2154" s="366"/>
      <c r="R2154" s="355"/>
      <c r="S2154" s="242"/>
      <c r="U2154" s="61" ph="1"/>
    </row>
    <row r="2155" spans="16:21" ht="26.4">
      <c r="P2155" s="366"/>
      <c r="R2155" s="355"/>
      <c r="S2155" s="242"/>
      <c r="U2155" s="61" ph="1"/>
    </row>
    <row r="2156" spans="16:21" ht="26.4">
      <c r="P2156" s="366"/>
      <c r="R2156" s="355"/>
      <c r="S2156" s="242"/>
      <c r="U2156" s="61" ph="1"/>
    </row>
    <row r="2157" spans="16:21" ht="26.4">
      <c r="P2157" s="366"/>
      <c r="R2157" s="355"/>
      <c r="S2157" s="242"/>
      <c r="U2157" s="61" ph="1"/>
    </row>
    <row r="2158" spans="16:21" ht="26.4">
      <c r="P2158" s="366"/>
      <c r="R2158" s="355"/>
      <c r="S2158" s="242"/>
      <c r="U2158" s="61" ph="1"/>
    </row>
    <row r="2159" spans="16:21" ht="26.4">
      <c r="P2159" s="366"/>
      <c r="R2159" s="355"/>
      <c r="S2159" s="242"/>
      <c r="U2159" s="61" ph="1"/>
    </row>
    <row r="2160" spans="16:21" ht="26.4">
      <c r="P2160" s="366"/>
      <c r="R2160" s="355"/>
      <c r="S2160" s="242"/>
      <c r="U2160" s="61" ph="1"/>
    </row>
    <row r="2161" spans="16:21" ht="26.4">
      <c r="P2161" s="366"/>
      <c r="R2161" s="355"/>
      <c r="S2161" s="242"/>
      <c r="U2161" s="61" ph="1"/>
    </row>
    <row r="2162" spans="16:21" ht="26.4">
      <c r="P2162" s="366"/>
      <c r="R2162" s="355"/>
      <c r="S2162" s="242"/>
      <c r="U2162" s="61" ph="1"/>
    </row>
    <row r="2163" spans="16:21" ht="26.4">
      <c r="P2163" s="366"/>
      <c r="R2163" s="355"/>
      <c r="S2163" s="242"/>
      <c r="U2163" s="61" ph="1"/>
    </row>
    <row r="2164" spans="16:21" ht="26.4">
      <c r="P2164" s="366"/>
      <c r="R2164" s="355"/>
      <c r="S2164" s="242"/>
      <c r="U2164" s="61" ph="1"/>
    </row>
    <row r="2165" spans="16:21" ht="26.4">
      <c r="P2165" s="366"/>
      <c r="R2165" s="355"/>
      <c r="S2165" s="242"/>
      <c r="U2165" s="61" ph="1"/>
    </row>
    <row r="2166" spans="16:21" ht="26.4">
      <c r="P2166" s="366"/>
      <c r="R2166" s="355"/>
      <c r="S2166" s="242"/>
      <c r="U2166" s="61" ph="1"/>
    </row>
    <row r="2167" spans="16:21" ht="26.4">
      <c r="P2167" s="366"/>
      <c r="R2167" s="355"/>
      <c r="S2167" s="242"/>
      <c r="U2167" s="61" ph="1"/>
    </row>
    <row r="2168" spans="16:21" ht="26.4">
      <c r="P2168" s="366"/>
      <c r="R2168" s="355"/>
      <c r="S2168" s="242"/>
      <c r="U2168" s="61" ph="1"/>
    </row>
    <row r="2169" spans="16:21" ht="26.4">
      <c r="P2169" s="366"/>
      <c r="R2169" s="355"/>
      <c r="S2169" s="242"/>
      <c r="U2169" s="61" ph="1"/>
    </row>
    <row r="2170" spans="16:21" ht="26.4">
      <c r="P2170" s="366"/>
      <c r="R2170" s="355"/>
      <c r="S2170" s="242"/>
      <c r="U2170" s="61" ph="1"/>
    </row>
    <row r="2171" spans="16:21" ht="26.4">
      <c r="P2171" s="366"/>
      <c r="R2171" s="355"/>
      <c r="S2171" s="242"/>
      <c r="U2171" s="61" ph="1"/>
    </row>
    <row r="2172" spans="16:21" ht="26.4">
      <c r="P2172" s="366"/>
      <c r="R2172" s="355"/>
      <c r="S2172" s="242"/>
      <c r="U2172" s="61" ph="1"/>
    </row>
    <row r="2173" spans="16:21" ht="26.4">
      <c r="P2173" s="366"/>
      <c r="R2173" s="355"/>
      <c r="S2173" s="242"/>
      <c r="U2173" s="61" ph="1"/>
    </row>
    <row r="2174" spans="16:21" ht="26.4">
      <c r="P2174" s="366"/>
      <c r="R2174" s="355"/>
      <c r="S2174" s="242"/>
      <c r="U2174" s="61" ph="1"/>
    </row>
    <row r="2175" spans="16:21" ht="26.4">
      <c r="P2175" s="366"/>
      <c r="R2175" s="355"/>
      <c r="S2175" s="242"/>
      <c r="U2175" s="61" ph="1"/>
    </row>
    <row r="2176" spans="16:21" ht="26.4">
      <c r="P2176" s="366"/>
      <c r="R2176" s="355"/>
      <c r="S2176" s="242"/>
      <c r="U2176" s="61" ph="1"/>
    </row>
    <row r="2177" spans="16:21" ht="26.4">
      <c r="P2177" s="366"/>
      <c r="R2177" s="355"/>
      <c r="S2177" s="242"/>
      <c r="U2177" s="61" ph="1"/>
    </row>
    <row r="2178" spans="16:21" ht="26.4">
      <c r="P2178" s="366"/>
      <c r="R2178" s="355"/>
      <c r="S2178" s="242"/>
      <c r="U2178" s="61" ph="1"/>
    </row>
    <row r="2179" spans="16:21" ht="26.4">
      <c r="P2179" s="366"/>
      <c r="R2179" s="355"/>
      <c r="S2179" s="242"/>
      <c r="U2179" s="61" ph="1"/>
    </row>
    <row r="2180" spans="16:21" ht="26.4">
      <c r="P2180" s="366"/>
      <c r="R2180" s="355"/>
      <c r="S2180" s="242"/>
      <c r="U2180" s="61" ph="1"/>
    </row>
    <row r="2181" spans="16:21" ht="26.4">
      <c r="P2181" s="366"/>
      <c r="R2181" s="355"/>
      <c r="S2181" s="242"/>
      <c r="U2181" s="61" ph="1"/>
    </row>
    <row r="2182" spans="16:21" ht="26.4">
      <c r="P2182" s="366"/>
      <c r="R2182" s="355"/>
      <c r="S2182" s="242"/>
      <c r="U2182" s="61" ph="1"/>
    </row>
    <row r="2183" spans="16:21" ht="26.4">
      <c r="P2183" s="366"/>
      <c r="R2183" s="355"/>
      <c r="S2183" s="242"/>
      <c r="U2183" s="61" ph="1"/>
    </row>
    <row r="2184" spans="16:21" ht="26.4">
      <c r="P2184" s="366"/>
      <c r="R2184" s="355"/>
      <c r="S2184" s="242"/>
      <c r="U2184" s="61" ph="1"/>
    </row>
    <row r="2185" spans="16:21" ht="26.4">
      <c r="P2185" s="366"/>
      <c r="R2185" s="355"/>
      <c r="S2185" s="242"/>
      <c r="U2185" s="61" ph="1"/>
    </row>
    <row r="2186" spans="16:21" ht="26.4">
      <c r="P2186" s="366"/>
      <c r="R2186" s="355"/>
      <c r="S2186" s="242"/>
      <c r="U2186" s="61" ph="1"/>
    </row>
    <row r="2187" spans="16:21" ht="26.4">
      <c r="P2187" s="366"/>
      <c r="R2187" s="355"/>
      <c r="S2187" s="242"/>
      <c r="U2187" s="61" ph="1"/>
    </row>
    <row r="2188" spans="16:21" ht="26.4">
      <c r="P2188" s="366"/>
      <c r="R2188" s="355"/>
      <c r="S2188" s="242"/>
      <c r="U2188" s="61" ph="1"/>
    </row>
    <row r="2189" spans="16:21" ht="26.4">
      <c r="P2189" s="366"/>
      <c r="R2189" s="355"/>
      <c r="S2189" s="242"/>
      <c r="U2189" s="61" ph="1"/>
    </row>
    <row r="2190" spans="16:21" ht="26.4">
      <c r="P2190" s="366"/>
      <c r="R2190" s="355"/>
      <c r="S2190" s="242"/>
      <c r="U2190" s="61" ph="1"/>
    </row>
    <row r="2191" spans="16:21" ht="26.4">
      <c r="P2191" s="366"/>
      <c r="R2191" s="355"/>
      <c r="S2191" s="242"/>
      <c r="U2191" s="61" ph="1"/>
    </row>
    <row r="2192" spans="16:21" ht="26.4">
      <c r="P2192" s="366"/>
      <c r="R2192" s="355"/>
      <c r="S2192" s="242"/>
      <c r="U2192" s="61" ph="1"/>
    </row>
    <row r="2193" spans="16:21" ht="26.4">
      <c r="P2193" s="366"/>
      <c r="R2193" s="355"/>
      <c r="S2193" s="242"/>
      <c r="U2193" s="61" ph="1"/>
    </row>
    <row r="2194" spans="16:21" ht="26.4">
      <c r="P2194" s="366"/>
      <c r="R2194" s="355"/>
      <c r="S2194" s="242"/>
      <c r="U2194" s="61" ph="1"/>
    </row>
    <row r="2195" spans="16:21" ht="26.4">
      <c r="P2195" s="366"/>
      <c r="R2195" s="355"/>
      <c r="S2195" s="242"/>
      <c r="U2195" s="61" ph="1"/>
    </row>
    <row r="2196" spans="16:21" ht="26.4">
      <c r="P2196" s="366"/>
      <c r="R2196" s="355"/>
      <c r="S2196" s="242"/>
      <c r="U2196" s="61" ph="1"/>
    </row>
    <row r="2197" spans="16:21" ht="26.4">
      <c r="P2197" s="366"/>
      <c r="R2197" s="355"/>
      <c r="S2197" s="242"/>
      <c r="U2197" s="61" ph="1"/>
    </row>
    <row r="2198" spans="16:21" ht="26.4">
      <c r="P2198" s="366"/>
      <c r="R2198" s="355"/>
      <c r="S2198" s="242"/>
      <c r="U2198" s="61" ph="1"/>
    </row>
    <row r="2199" spans="16:21" ht="26.4">
      <c r="P2199" s="366"/>
      <c r="R2199" s="355"/>
      <c r="S2199" s="242"/>
      <c r="U2199" s="61" ph="1"/>
    </row>
    <row r="2200" spans="16:21" ht="26.4">
      <c r="P2200" s="366"/>
      <c r="R2200" s="355"/>
      <c r="S2200" s="242"/>
      <c r="U2200" s="61" ph="1"/>
    </row>
    <row r="2201" spans="16:21" ht="26.4">
      <c r="P2201" s="366"/>
      <c r="R2201" s="355"/>
      <c r="S2201" s="242"/>
      <c r="U2201" s="61" ph="1"/>
    </row>
    <row r="2202" spans="16:21" ht="26.4">
      <c r="P2202" s="366"/>
      <c r="R2202" s="355"/>
      <c r="S2202" s="242"/>
      <c r="U2202" s="61" ph="1"/>
    </row>
    <row r="2203" spans="16:21" ht="26.4">
      <c r="P2203" s="366"/>
      <c r="R2203" s="355"/>
      <c r="S2203" s="242"/>
      <c r="U2203" s="61" ph="1"/>
    </row>
    <row r="2204" spans="16:21" ht="26.4">
      <c r="P2204" s="366"/>
      <c r="R2204" s="355"/>
      <c r="S2204" s="242"/>
      <c r="U2204" s="61" ph="1"/>
    </row>
    <row r="2205" spans="16:21" ht="26.4">
      <c r="P2205" s="366"/>
      <c r="R2205" s="355"/>
      <c r="S2205" s="242"/>
      <c r="U2205" s="61" ph="1"/>
    </row>
    <row r="2206" spans="16:21" ht="26.4">
      <c r="P2206" s="366"/>
      <c r="R2206" s="355"/>
      <c r="S2206" s="242"/>
      <c r="U2206" s="61" ph="1"/>
    </row>
    <row r="2207" spans="16:21" ht="26.4">
      <c r="P2207" s="366"/>
      <c r="R2207" s="355"/>
      <c r="S2207" s="242"/>
      <c r="U2207" s="61" ph="1"/>
    </row>
    <row r="2208" spans="16:21" ht="26.4">
      <c r="P2208" s="366"/>
      <c r="R2208" s="355"/>
      <c r="S2208" s="242"/>
      <c r="U2208" s="61" ph="1"/>
    </row>
    <row r="2209" spans="16:21" ht="26.4">
      <c r="P2209" s="366"/>
      <c r="R2209" s="355"/>
      <c r="S2209" s="242"/>
      <c r="U2209" s="61" ph="1"/>
    </row>
    <row r="2210" spans="16:21" ht="26.4">
      <c r="P2210" s="366"/>
      <c r="R2210" s="355"/>
      <c r="S2210" s="242"/>
      <c r="U2210" s="61" ph="1"/>
    </row>
    <row r="2211" spans="16:21" ht="26.4">
      <c r="P2211" s="366"/>
      <c r="R2211" s="355"/>
      <c r="S2211" s="242"/>
      <c r="U2211" s="61" ph="1"/>
    </row>
    <row r="2212" spans="16:21" ht="26.4">
      <c r="P2212" s="366"/>
      <c r="R2212" s="355"/>
      <c r="S2212" s="242"/>
      <c r="U2212" s="61" ph="1"/>
    </row>
    <row r="2213" spans="16:21" ht="26.4">
      <c r="P2213" s="366"/>
      <c r="R2213" s="355"/>
      <c r="S2213" s="242"/>
      <c r="U2213" s="61" ph="1"/>
    </row>
    <row r="2214" spans="16:21" ht="26.4">
      <c r="P2214" s="366"/>
      <c r="R2214" s="355"/>
      <c r="S2214" s="242"/>
      <c r="U2214" s="61" ph="1"/>
    </row>
    <row r="2215" spans="16:21" ht="26.4">
      <c r="P2215" s="366"/>
      <c r="R2215" s="355"/>
      <c r="S2215" s="242"/>
      <c r="U2215" s="61" ph="1"/>
    </row>
    <row r="2216" spans="16:21" ht="26.4">
      <c r="P2216" s="366"/>
      <c r="R2216" s="355"/>
      <c r="S2216" s="242"/>
      <c r="U2216" s="61" ph="1"/>
    </row>
    <row r="2217" spans="16:21" ht="26.4">
      <c r="P2217" s="366"/>
      <c r="R2217" s="355"/>
      <c r="S2217" s="242"/>
      <c r="U2217" s="61" ph="1"/>
    </row>
    <row r="2218" spans="16:21" ht="26.4">
      <c r="P2218" s="366"/>
      <c r="R2218" s="355"/>
      <c r="S2218" s="242"/>
      <c r="U2218" s="61" ph="1"/>
    </row>
    <row r="2219" spans="16:21" ht="26.4">
      <c r="P2219" s="366"/>
      <c r="R2219" s="355"/>
      <c r="S2219" s="242"/>
      <c r="U2219" s="61" ph="1"/>
    </row>
    <row r="2220" spans="16:21" ht="26.4">
      <c r="P2220" s="366"/>
      <c r="R2220" s="355"/>
      <c r="S2220" s="242"/>
      <c r="U2220" s="61" ph="1"/>
    </row>
    <row r="2221" spans="16:21" ht="26.4">
      <c r="P2221" s="366"/>
      <c r="R2221" s="355"/>
      <c r="S2221" s="242"/>
      <c r="U2221" s="61" ph="1"/>
    </row>
    <row r="2222" spans="16:21" ht="26.4">
      <c r="P2222" s="366"/>
      <c r="R2222" s="355"/>
      <c r="S2222" s="242"/>
      <c r="U2222" s="61" ph="1"/>
    </row>
    <row r="2223" spans="16:21" ht="26.4">
      <c r="P2223" s="366"/>
      <c r="R2223" s="355"/>
      <c r="S2223" s="242"/>
      <c r="U2223" s="61" ph="1"/>
    </row>
    <row r="2224" spans="16:21" ht="26.4">
      <c r="P2224" s="366"/>
      <c r="R2224" s="355"/>
      <c r="S2224" s="242"/>
      <c r="U2224" s="61" ph="1"/>
    </row>
    <row r="2225" spans="16:21" ht="26.4">
      <c r="P2225" s="366"/>
      <c r="R2225" s="355"/>
      <c r="S2225" s="242"/>
      <c r="U2225" s="61" ph="1"/>
    </row>
    <row r="2226" spans="16:21" ht="26.4">
      <c r="P2226" s="366"/>
      <c r="R2226" s="355"/>
      <c r="S2226" s="242"/>
      <c r="U2226" s="61" ph="1"/>
    </row>
    <row r="2227" spans="16:21" ht="26.4">
      <c r="P2227" s="366"/>
      <c r="R2227" s="355"/>
      <c r="S2227" s="242"/>
      <c r="U2227" s="61" ph="1"/>
    </row>
    <row r="2228" spans="16:21" ht="26.4">
      <c r="P2228" s="366"/>
      <c r="R2228" s="355"/>
      <c r="S2228" s="242"/>
      <c r="U2228" s="61" ph="1"/>
    </row>
    <row r="2229" spans="16:21" ht="26.4">
      <c r="P2229" s="366"/>
      <c r="R2229" s="355"/>
      <c r="S2229" s="242"/>
      <c r="U2229" s="61" ph="1"/>
    </row>
    <row r="2230" spans="16:21" ht="26.4">
      <c r="P2230" s="366"/>
      <c r="R2230" s="355"/>
      <c r="S2230" s="242"/>
      <c r="U2230" s="61" ph="1"/>
    </row>
    <row r="2231" spans="16:21" ht="26.4">
      <c r="P2231" s="366"/>
      <c r="R2231" s="355"/>
      <c r="S2231" s="242"/>
      <c r="U2231" s="61" ph="1"/>
    </row>
    <row r="2232" spans="16:21" ht="26.4">
      <c r="P2232" s="366"/>
      <c r="R2232" s="355"/>
      <c r="S2232" s="242"/>
      <c r="U2232" s="61" ph="1"/>
    </row>
    <row r="2233" spans="16:21" ht="26.4">
      <c r="P2233" s="366"/>
      <c r="R2233" s="355"/>
      <c r="S2233" s="242"/>
      <c r="U2233" s="61" ph="1"/>
    </row>
    <row r="2234" spans="16:21" ht="26.4">
      <c r="P2234" s="366"/>
      <c r="R2234" s="355"/>
      <c r="S2234" s="242"/>
      <c r="U2234" s="61" ph="1"/>
    </row>
    <row r="2235" spans="16:21" ht="26.4">
      <c r="P2235" s="366"/>
      <c r="R2235" s="355"/>
      <c r="S2235" s="242"/>
      <c r="U2235" s="61" ph="1"/>
    </row>
    <row r="2236" spans="16:21" ht="26.4">
      <c r="P2236" s="366"/>
      <c r="R2236" s="355"/>
      <c r="S2236" s="242"/>
      <c r="U2236" s="61" ph="1"/>
    </row>
    <row r="2237" spans="16:21" ht="26.4">
      <c r="P2237" s="366"/>
      <c r="R2237" s="355"/>
      <c r="S2237" s="242"/>
      <c r="U2237" s="61" ph="1"/>
    </row>
    <row r="2238" spans="16:21" ht="26.4">
      <c r="P2238" s="366"/>
      <c r="R2238" s="355"/>
      <c r="S2238" s="242"/>
      <c r="U2238" s="61" ph="1"/>
    </row>
    <row r="2239" spans="16:21" ht="26.4">
      <c r="P2239" s="366"/>
      <c r="R2239" s="355"/>
      <c r="S2239" s="242"/>
      <c r="U2239" s="61" ph="1"/>
    </row>
    <row r="2240" spans="16:21" ht="26.4">
      <c r="P2240" s="366"/>
      <c r="R2240" s="355"/>
      <c r="S2240" s="242"/>
      <c r="U2240" s="61" ph="1"/>
    </row>
    <row r="2241" spans="16:21" ht="26.4">
      <c r="P2241" s="366"/>
      <c r="R2241" s="355"/>
      <c r="S2241" s="242"/>
      <c r="U2241" s="61" ph="1"/>
    </row>
    <row r="2242" spans="16:21" ht="26.4">
      <c r="P2242" s="366"/>
      <c r="R2242" s="355"/>
      <c r="S2242" s="242"/>
      <c r="U2242" s="61" ph="1"/>
    </row>
    <row r="2243" spans="16:21" ht="26.4">
      <c r="P2243" s="366"/>
      <c r="R2243" s="355"/>
      <c r="S2243" s="242"/>
      <c r="U2243" s="61" ph="1"/>
    </row>
    <row r="2244" spans="16:21" ht="26.4">
      <c r="P2244" s="366"/>
      <c r="R2244" s="355"/>
      <c r="S2244" s="242"/>
      <c r="U2244" s="61" ph="1"/>
    </row>
    <row r="2245" spans="16:21" ht="26.4">
      <c r="P2245" s="366"/>
      <c r="R2245" s="355"/>
      <c r="S2245" s="242"/>
      <c r="U2245" s="61" ph="1"/>
    </row>
    <row r="2246" spans="16:21" ht="26.4">
      <c r="P2246" s="366"/>
      <c r="R2246" s="355"/>
      <c r="S2246" s="242"/>
      <c r="U2246" s="61" ph="1"/>
    </row>
    <row r="2247" spans="16:21" ht="26.4">
      <c r="P2247" s="366"/>
      <c r="R2247" s="355"/>
      <c r="S2247" s="242"/>
      <c r="U2247" s="61" ph="1"/>
    </row>
    <row r="2248" spans="16:21" ht="26.4">
      <c r="P2248" s="366"/>
      <c r="R2248" s="355"/>
      <c r="S2248" s="242"/>
      <c r="U2248" s="61" ph="1"/>
    </row>
    <row r="2249" spans="16:21" ht="26.4">
      <c r="P2249" s="366"/>
      <c r="R2249" s="355"/>
      <c r="S2249" s="242"/>
      <c r="U2249" s="61" ph="1"/>
    </row>
    <row r="2250" spans="16:21" ht="26.4">
      <c r="P2250" s="366"/>
      <c r="R2250" s="355"/>
      <c r="S2250" s="242"/>
      <c r="U2250" s="61" ph="1"/>
    </row>
    <row r="2251" spans="16:21" ht="26.4">
      <c r="P2251" s="366"/>
      <c r="R2251" s="355"/>
      <c r="S2251" s="242"/>
      <c r="U2251" s="61" ph="1"/>
    </row>
    <row r="2252" spans="16:21" ht="26.4">
      <c r="P2252" s="366"/>
      <c r="R2252" s="355"/>
      <c r="S2252" s="242"/>
      <c r="U2252" s="61" ph="1"/>
    </row>
    <row r="2253" spans="16:21" ht="26.4">
      <c r="P2253" s="366"/>
      <c r="R2253" s="355"/>
      <c r="S2253" s="242"/>
      <c r="U2253" s="61" ph="1"/>
    </row>
    <row r="2254" spans="16:21" ht="26.4">
      <c r="P2254" s="366"/>
      <c r="R2254" s="355"/>
      <c r="S2254" s="242"/>
      <c r="U2254" s="61" ph="1"/>
    </row>
    <row r="2255" spans="16:21" ht="26.4">
      <c r="P2255" s="366"/>
      <c r="R2255" s="355"/>
      <c r="S2255" s="242"/>
      <c r="U2255" s="61" ph="1"/>
    </row>
    <row r="2256" spans="16:21" ht="26.4">
      <c r="P2256" s="366"/>
      <c r="R2256" s="355"/>
      <c r="S2256" s="242"/>
      <c r="U2256" s="61" ph="1"/>
    </row>
    <row r="2257" spans="16:21" ht="26.4">
      <c r="P2257" s="366"/>
      <c r="R2257" s="355"/>
      <c r="S2257" s="242"/>
      <c r="U2257" s="61" ph="1"/>
    </row>
    <row r="2258" spans="16:21" ht="26.4">
      <c r="P2258" s="366"/>
      <c r="R2258" s="355"/>
      <c r="S2258" s="242"/>
      <c r="U2258" s="61" ph="1"/>
    </row>
    <row r="2259" spans="16:21" ht="26.4">
      <c r="P2259" s="366"/>
      <c r="R2259" s="355"/>
      <c r="S2259" s="242"/>
      <c r="U2259" s="61" ph="1"/>
    </row>
    <row r="2260" spans="16:21" ht="26.4">
      <c r="P2260" s="366"/>
      <c r="R2260" s="355"/>
      <c r="S2260" s="242"/>
      <c r="U2260" s="61" ph="1"/>
    </row>
    <row r="2261" spans="16:21" ht="26.4">
      <c r="P2261" s="366"/>
      <c r="R2261" s="355"/>
      <c r="S2261" s="242"/>
      <c r="U2261" s="61" ph="1"/>
    </row>
    <row r="2262" spans="16:21" ht="26.4">
      <c r="P2262" s="366"/>
      <c r="R2262" s="355"/>
      <c r="S2262" s="242"/>
      <c r="U2262" s="61" ph="1"/>
    </row>
    <row r="2263" spans="16:21" ht="26.4">
      <c r="P2263" s="366"/>
      <c r="R2263" s="355"/>
      <c r="S2263" s="242"/>
      <c r="U2263" s="61" ph="1"/>
    </row>
    <row r="2264" spans="16:21" ht="26.4">
      <c r="P2264" s="366"/>
      <c r="R2264" s="355"/>
      <c r="S2264" s="242"/>
      <c r="U2264" s="61" ph="1"/>
    </row>
    <row r="2265" spans="16:21" ht="26.4">
      <c r="P2265" s="366"/>
      <c r="R2265" s="355"/>
      <c r="S2265" s="242"/>
      <c r="U2265" s="61" ph="1"/>
    </row>
    <row r="2266" spans="16:21" ht="26.4">
      <c r="P2266" s="366"/>
      <c r="R2266" s="355"/>
      <c r="S2266" s="242"/>
      <c r="U2266" s="61" ph="1"/>
    </row>
    <row r="2267" spans="16:21" ht="26.4">
      <c r="P2267" s="366"/>
      <c r="R2267" s="355"/>
      <c r="S2267" s="242"/>
      <c r="U2267" s="61" ph="1"/>
    </row>
    <row r="2268" spans="16:21" ht="26.4">
      <c r="P2268" s="366"/>
      <c r="R2268" s="355"/>
      <c r="S2268" s="242"/>
      <c r="U2268" s="61" ph="1"/>
    </row>
    <row r="2269" spans="16:21" ht="26.4">
      <c r="P2269" s="366"/>
      <c r="R2269" s="355"/>
      <c r="S2269" s="242"/>
      <c r="U2269" s="61" ph="1"/>
    </row>
    <row r="2270" spans="16:21" ht="26.4">
      <c r="P2270" s="366"/>
      <c r="R2270" s="355"/>
      <c r="S2270" s="242"/>
      <c r="U2270" s="61" ph="1"/>
    </row>
    <row r="2271" spans="16:21" ht="26.4">
      <c r="P2271" s="366"/>
      <c r="R2271" s="355"/>
      <c r="S2271" s="242"/>
      <c r="U2271" s="61" ph="1"/>
    </row>
    <row r="2272" spans="16:21" ht="26.4">
      <c r="P2272" s="366"/>
      <c r="R2272" s="355"/>
      <c r="S2272" s="242"/>
      <c r="U2272" s="61" ph="1"/>
    </row>
    <row r="2273" spans="16:21" ht="26.4">
      <c r="P2273" s="366"/>
      <c r="R2273" s="355"/>
      <c r="S2273" s="242"/>
      <c r="U2273" s="61" ph="1"/>
    </row>
    <row r="2274" spans="16:21" ht="26.4">
      <c r="P2274" s="366"/>
      <c r="R2274" s="355"/>
      <c r="S2274" s="242"/>
      <c r="U2274" s="61" ph="1"/>
    </row>
    <row r="2275" spans="16:21" ht="26.4">
      <c r="P2275" s="366"/>
      <c r="R2275" s="355"/>
      <c r="S2275" s="242"/>
      <c r="U2275" s="61" ph="1"/>
    </row>
    <row r="2276" spans="16:21" ht="26.4">
      <c r="P2276" s="366"/>
      <c r="R2276" s="355"/>
      <c r="S2276" s="242"/>
      <c r="U2276" s="61" ph="1"/>
    </row>
    <row r="2277" spans="16:21" ht="26.4">
      <c r="P2277" s="366"/>
      <c r="R2277" s="355"/>
      <c r="S2277" s="242"/>
      <c r="U2277" s="61" ph="1"/>
    </row>
    <row r="2278" spans="16:21" ht="26.4">
      <c r="P2278" s="366"/>
      <c r="R2278" s="355"/>
      <c r="S2278" s="242"/>
      <c r="U2278" s="61" ph="1"/>
    </row>
    <row r="2279" spans="16:21" ht="26.4">
      <c r="P2279" s="366"/>
      <c r="R2279" s="355"/>
      <c r="S2279" s="242"/>
      <c r="U2279" s="61" ph="1"/>
    </row>
    <row r="2280" spans="16:21" ht="26.4">
      <c r="P2280" s="366"/>
      <c r="R2280" s="355"/>
      <c r="S2280" s="242"/>
      <c r="U2280" s="61" ph="1"/>
    </row>
    <row r="2281" spans="16:21" ht="26.4">
      <c r="P2281" s="366"/>
      <c r="R2281" s="355"/>
      <c r="S2281" s="242"/>
      <c r="U2281" s="61" ph="1"/>
    </row>
    <row r="2282" spans="16:21" ht="26.4">
      <c r="P2282" s="366"/>
      <c r="R2282" s="355"/>
      <c r="S2282" s="242"/>
      <c r="U2282" s="61" ph="1"/>
    </row>
    <row r="2283" spans="16:21" ht="26.4">
      <c r="P2283" s="366"/>
      <c r="R2283" s="355"/>
      <c r="S2283" s="242"/>
      <c r="U2283" s="61" ph="1"/>
    </row>
    <row r="2284" spans="16:21" ht="26.4">
      <c r="P2284" s="366"/>
      <c r="R2284" s="355"/>
      <c r="S2284" s="242"/>
      <c r="U2284" s="61" ph="1"/>
    </row>
    <row r="2285" spans="16:21" ht="26.4">
      <c r="P2285" s="366"/>
      <c r="R2285" s="355"/>
      <c r="S2285" s="242"/>
      <c r="U2285" s="61" ph="1"/>
    </row>
    <row r="2286" spans="16:21" ht="26.4">
      <c r="P2286" s="366"/>
      <c r="R2286" s="355"/>
      <c r="S2286" s="242"/>
      <c r="U2286" s="61" ph="1"/>
    </row>
    <row r="2287" spans="16:21" ht="26.4">
      <c r="P2287" s="366"/>
      <c r="R2287" s="355"/>
      <c r="S2287" s="242"/>
      <c r="U2287" s="61" ph="1"/>
    </row>
    <row r="2288" spans="16:21" ht="26.4">
      <c r="P2288" s="366"/>
      <c r="R2288" s="355"/>
      <c r="S2288" s="242"/>
      <c r="U2288" s="61" ph="1"/>
    </row>
    <row r="2289" spans="16:21" ht="26.4">
      <c r="P2289" s="366"/>
      <c r="R2289" s="355"/>
      <c r="S2289" s="242"/>
      <c r="U2289" s="61" ph="1"/>
    </row>
    <row r="2290" spans="16:21" ht="26.4">
      <c r="P2290" s="366"/>
      <c r="R2290" s="355"/>
      <c r="S2290" s="242"/>
      <c r="U2290" s="61" ph="1"/>
    </row>
    <row r="2291" spans="16:21" ht="26.4">
      <c r="P2291" s="366"/>
      <c r="R2291" s="355"/>
      <c r="S2291" s="242"/>
      <c r="U2291" s="61" ph="1"/>
    </row>
    <row r="2292" spans="16:21" ht="26.4">
      <c r="P2292" s="366"/>
      <c r="R2292" s="355"/>
      <c r="S2292" s="242"/>
      <c r="U2292" s="61" ph="1"/>
    </row>
    <row r="2293" spans="16:21" ht="26.4">
      <c r="P2293" s="366"/>
      <c r="R2293" s="355"/>
      <c r="S2293" s="242"/>
      <c r="U2293" s="61" ph="1"/>
    </row>
    <row r="2294" spans="16:21" ht="26.4">
      <c r="P2294" s="366"/>
      <c r="R2294" s="355"/>
      <c r="S2294" s="242"/>
      <c r="U2294" s="61" ph="1"/>
    </row>
    <row r="2295" spans="16:21" ht="26.4">
      <c r="P2295" s="366"/>
      <c r="R2295" s="355"/>
      <c r="S2295" s="242"/>
      <c r="U2295" s="61" ph="1"/>
    </row>
    <row r="2296" spans="16:21" ht="26.4">
      <c r="P2296" s="366"/>
      <c r="R2296" s="355"/>
      <c r="S2296" s="242"/>
      <c r="U2296" s="61" ph="1"/>
    </row>
    <row r="2297" spans="16:21" ht="26.4">
      <c r="P2297" s="366"/>
      <c r="R2297" s="355"/>
      <c r="S2297" s="242"/>
      <c r="U2297" s="61" ph="1"/>
    </row>
    <row r="2298" spans="16:21" ht="26.4">
      <c r="P2298" s="366"/>
      <c r="R2298" s="355"/>
      <c r="S2298" s="242"/>
      <c r="U2298" s="61" ph="1"/>
    </row>
    <row r="2299" spans="16:21" ht="26.4">
      <c r="P2299" s="366"/>
      <c r="R2299" s="355"/>
      <c r="S2299" s="242"/>
      <c r="U2299" s="61" ph="1"/>
    </row>
    <row r="2300" spans="16:21" ht="26.4">
      <c r="P2300" s="366"/>
      <c r="R2300" s="355"/>
      <c r="S2300" s="242"/>
      <c r="U2300" s="61" ph="1"/>
    </row>
    <row r="2301" spans="16:21" ht="26.4">
      <c r="P2301" s="366"/>
      <c r="R2301" s="355"/>
      <c r="S2301" s="242"/>
      <c r="U2301" s="61" ph="1"/>
    </row>
    <row r="2302" spans="16:21" ht="26.4">
      <c r="P2302" s="366"/>
      <c r="R2302" s="355"/>
      <c r="S2302" s="242"/>
      <c r="U2302" s="61" ph="1"/>
    </row>
    <row r="2303" spans="16:21" ht="26.4">
      <c r="P2303" s="366"/>
      <c r="R2303" s="355"/>
      <c r="S2303" s="242"/>
      <c r="U2303" s="61" ph="1"/>
    </row>
    <row r="2304" spans="16:21" ht="26.4">
      <c r="P2304" s="366"/>
      <c r="R2304" s="355"/>
      <c r="S2304" s="242"/>
      <c r="U2304" s="61" ph="1"/>
    </row>
    <row r="2305" spans="16:21" ht="26.4">
      <c r="P2305" s="366"/>
      <c r="R2305" s="355"/>
      <c r="S2305" s="242"/>
      <c r="U2305" s="61" ph="1"/>
    </row>
    <row r="2306" spans="16:21" ht="26.4">
      <c r="P2306" s="366"/>
      <c r="R2306" s="355"/>
      <c r="S2306" s="242"/>
      <c r="U2306" s="61" ph="1"/>
    </row>
    <row r="2307" spans="16:21" ht="26.4">
      <c r="P2307" s="366"/>
      <c r="R2307" s="355"/>
      <c r="S2307" s="242"/>
      <c r="U2307" s="61" ph="1"/>
    </row>
    <row r="2308" spans="16:21" ht="26.4">
      <c r="P2308" s="366"/>
      <c r="R2308" s="355"/>
      <c r="S2308" s="242"/>
      <c r="U2308" s="61" ph="1"/>
    </row>
    <row r="2309" spans="16:21" ht="26.4">
      <c r="P2309" s="366"/>
      <c r="R2309" s="355"/>
      <c r="S2309" s="242"/>
      <c r="U2309" s="61" ph="1"/>
    </row>
    <row r="2310" spans="16:21" ht="26.4">
      <c r="P2310" s="366"/>
      <c r="R2310" s="355"/>
      <c r="S2310" s="242"/>
      <c r="U2310" s="61" ph="1"/>
    </row>
    <row r="2311" spans="16:21" ht="26.4">
      <c r="P2311" s="366"/>
      <c r="R2311" s="355"/>
      <c r="S2311" s="242"/>
      <c r="U2311" s="61" ph="1"/>
    </row>
    <row r="2312" spans="16:21" ht="26.4">
      <c r="P2312" s="366"/>
      <c r="R2312" s="355"/>
      <c r="S2312" s="242"/>
      <c r="U2312" s="61" ph="1"/>
    </row>
    <row r="2313" spans="16:21" ht="26.4">
      <c r="P2313" s="366"/>
      <c r="R2313" s="355"/>
      <c r="S2313" s="242"/>
      <c r="U2313" s="61" ph="1"/>
    </row>
    <row r="2314" spans="16:21" ht="26.4">
      <c r="P2314" s="366"/>
      <c r="R2314" s="355"/>
      <c r="S2314" s="242"/>
      <c r="U2314" s="61" ph="1"/>
    </row>
    <row r="2315" spans="16:21" ht="26.4">
      <c r="P2315" s="366"/>
      <c r="R2315" s="355"/>
      <c r="S2315" s="242"/>
      <c r="U2315" s="61" ph="1"/>
    </row>
    <row r="2316" spans="16:21" ht="26.4">
      <c r="P2316" s="366"/>
      <c r="R2316" s="355"/>
      <c r="S2316" s="242"/>
      <c r="U2316" s="61" ph="1"/>
    </row>
    <row r="2317" spans="16:21" ht="26.4">
      <c r="P2317" s="366"/>
      <c r="R2317" s="355"/>
      <c r="S2317" s="242"/>
      <c r="U2317" s="61" ph="1"/>
    </row>
    <row r="2318" spans="16:21" ht="26.4">
      <c r="P2318" s="366"/>
      <c r="R2318" s="355"/>
      <c r="S2318" s="242"/>
      <c r="U2318" s="61" ph="1"/>
    </row>
    <row r="2319" spans="16:21" ht="26.4">
      <c r="P2319" s="366"/>
      <c r="R2319" s="355"/>
      <c r="S2319" s="242"/>
      <c r="U2319" s="61" ph="1"/>
    </row>
    <row r="2320" spans="16:21" ht="26.4">
      <c r="P2320" s="366"/>
      <c r="R2320" s="355"/>
      <c r="S2320" s="242"/>
      <c r="U2320" s="61" ph="1"/>
    </row>
    <row r="2321" spans="21:21" ht="26.4">
      <c r="U2321" s="61" ph="1"/>
    </row>
    <row r="2322" spans="21:21" ht="26.4">
      <c r="U2322" s="61" ph="1"/>
    </row>
    <row r="2323" spans="21:21" ht="26.4">
      <c r="U2323" s="61" ph="1"/>
    </row>
    <row r="2324" spans="21:21" ht="26.4">
      <c r="U2324" s="61" ph="1"/>
    </row>
    <row r="2325" spans="21:21" ht="26.4">
      <c r="U2325" s="61" ph="1"/>
    </row>
    <row r="2326" spans="21:21" ht="26.4">
      <c r="U2326" s="61" ph="1"/>
    </row>
    <row r="2327" spans="21:21" ht="26.4">
      <c r="U2327" s="61" ph="1"/>
    </row>
    <row r="2328" spans="21:21" ht="26.4">
      <c r="U2328" s="61" ph="1"/>
    </row>
    <row r="2329" spans="21:21" ht="26.4">
      <c r="U2329" s="61" ph="1"/>
    </row>
    <row r="2330" spans="21:21" ht="26.4">
      <c r="U2330" s="61" ph="1"/>
    </row>
    <row r="2331" spans="21:21" ht="26.4">
      <c r="U2331" s="61" ph="1"/>
    </row>
    <row r="2332" spans="21:21" ht="26.4">
      <c r="U2332" s="61" ph="1"/>
    </row>
    <row r="2333" spans="21:21" ht="26.4">
      <c r="U2333" s="61" ph="1"/>
    </row>
    <row r="2334" spans="21:21" ht="26.4">
      <c r="U2334" s="61" ph="1"/>
    </row>
    <row r="2335" spans="21:21" ht="26.4">
      <c r="U2335" s="61" ph="1"/>
    </row>
    <row r="2336" spans="21:21" ht="26.4">
      <c r="U2336" s="61" ph="1"/>
    </row>
    <row r="2337" spans="21:21" ht="26.4">
      <c r="U2337" s="61" ph="1"/>
    </row>
    <row r="2338" spans="21:21" ht="26.4">
      <c r="U2338" s="61" ph="1"/>
    </row>
    <row r="2339" spans="21:21" ht="26.4">
      <c r="U2339" s="61" ph="1"/>
    </row>
    <row r="2340" spans="21:21" ht="26.4">
      <c r="U2340" s="61" ph="1"/>
    </row>
    <row r="2341" spans="21:21" ht="26.4">
      <c r="U2341" s="61" ph="1"/>
    </row>
    <row r="2342" spans="21:21" ht="26.4">
      <c r="U2342" s="61" ph="1"/>
    </row>
    <row r="2343" spans="21:21" ht="26.4">
      <c r="U2343" s="61" ph="1"/>
    </row>
    <row r="2344" spans="21:21" ht="26.4">
      <c r="U2344" s="61" ph="1"/>
    </row>
    <row r="2345" spans="21:21" ht="26.4">
      <c r="U2345" s="61" ph="1"/>
    </row>
    <row r="2346" spans="21:21" ht="26.4">
      <c r="U2346" s="61" ph="1"/>
    </row>
    <row r="2347" spans="21:21" ht="26.4">
      <c r="U2347" s="61" ph="1"/>
    </row>
    <row r="2348" spans="21:21" ht="26.4">
      <c r="U2348" s="61" ph="1"/>
    </row>
    <row r="2349" spans="21:21" ht="26.4">
      <c r="U2349" s="61" ph="1"/>
    </row>
    <row r="2350" spans="21:21" ht="26.4">
      <c r="U2350" s="61" ph="1"/>
    </row>
    <row r="2351" spans="21:21" ht="26.4">
      <c r="U2351" s="61" ph="1"/>
    </row>
    <row r="2352" spans="21:21" ht="26.4">
      <c r="U2352" s="61" ph="1"/>
    </row>
    <row r="2353" spans="21:21" ht="26.4">
      <c r="U2353" s="61" ph="1"/>
    </row>
    <row r="2354" spans="21:21" ht="26.4">
      <c r="U2354" s="61" ph="1"/>
    </row>
    <row r="2355" spans="21:21" ht="26.4">
      <c r="U2355" s="61" ph="1"/>
    </row>
    <row r="2356" spans="21:21" ht="26.4">
      <c r="U2356" s="61" ph="1"/>
    </row>
    <row r="2357" spans="21:21" ht="26.4">
      <c r="U2357" s="61" ph="1"/>
    </row>
    <row r="2358" spans="21:21" ht="26.4">
      <c r="U2358" s="61" ph="1"/>
    </row>
    <row r="2359" spans="21:21" ht="26.4">
      <c r="U2359" s="61" ph="1"/>
    </row>
    <row r="2360" spans="21:21" ht="26.4">
      <c r="U2360" s="61" ph="1"/>
    </row>
    <row r="2361" spans="21:21" ht="26.4">
      <c r="U2361" s="61" ph="1"/>
    </row>
    <row r="2362" spans="21:21" ht="26.4">
      <c r="U2362" s="61" ph="1"/>
    </row>
    <row r="2363" spans="21:21" ht="26.4">
      <c r="U2363" s="61" ph="1"/>
    </row>
    <row r="2364" spans="21:21" ht="26.4">
      <c r="U2364" s="61" ph="1"/>
    </row>
    <row r="2365" spans="21:21" ht="26.4">
      <c r="U2365" s="61" ph="1"/>
    </row>
    <row r="2366" spans="21:21" ht="26.4">
      <c r="U2366" s="61" ph="1"/>
    </row>
    <row r="2367" spans="21:21" ht="26.4">
      <c r="U2367" s="61" ph="1"/>
    </row>
    <row r="2368" spans="21:21" ht="26.4">
      <c r="U2368" s="61" ph="1"/>
    </row>
    <row r="2369" spans="21:21" ht="26.4">
      <c r="U2369" s="61" ph="1"/>
    </row>
    <row r="2370" spans="21:21" ht="26.4">
      <c r="U2370" s="61" ph="1"/>
    </row>
    <row r="2371" spans="21:21" ht="26.4">
      <c r="U2371" s="61" ph="1"/>
    </row>
    <row r="2372" spans="21:21" ht="26.4">
      <c r="U2372" s="61" ph="1"/>
    </row>
    <row r="2373" spans="21:21" ht="26.4">
      <c r="U2373" s="61" ph="1"/>
    </row>
    <row r="2374" spans="21:21" ht="26.4">
      <c r="U2374" s="61" ph="1"/>
    </row>
    <row r="2375" spans="21:21" ht="26.4">
      <c r="U2375" s="61" ph="1"/>
    </row>
    <row r="2376" spans="21:21" ht="26.4">
      <c r="U2376" s="61" ph="1"/>
    </row>
    <row r="2377" spans="21:21" ht="26.4">
      <c r="U2377" s="61" ph="1"/>
    </row>
    <row r="2378" spans="21:21" ht="26.4">
      <c r="U2378" s="61" ph="1"/>
    </row>
    <row r="2379" spans="21:21" ht="26.4">
      <c r="U2379" s="61" ph="1"/>
    </row>
    <row r="2380" spans="21:21" ht="26.4">
      <c r="U2380" s="61" ph="1"/>
    </row>
    <row r="2381" spans="21:21" ht="26.4">
      <c r="U2381" s="61" ph="1"/>
    </row>
    <row r="2382" spans="21:21" ht="26.4">
      <c r="U2382" s="61" ph="1"/>
    </row>
    <row r="2383" spans="21:21" ht="26.4">
      <c r="U2383" s="61" ph="1"/>
    </row>
    <row r="2384" spans="21:21" ht="26.4">
      <c r="U2384" s="61" ph="1"/>
    </row>
    <row r="2385" spans="21:21" ht="26.4">
      <c r="U2385" s="61" ph="1"/>
    </row>
    <row r="2386" spans="21:21" ht="26.4">
      <c r="U2386" s="61" ph="1"/>
    </row>
    <row r="2387" spans="21:21" ht="26.4">
      <c r="U2387" s="61" ph="1"/>
    </row>
    <row r="2388" spans="21:21" ht="26.4">
      <c r="U2388" s="61" ph="1"/>
    </row>
    <row r="2389" spans="21:21" ht="26.4">
      <c r="U2389" s="61" ph="1"/>
    </row>
    <row r="2390" spans="21:21" ht="26.4">
      <c r="U2390" s="61" ph="1"/>
    </row>
    <row r="2391" spans="21:21" ht="26.4">
      <c r="U2391" s="61" ph="1"/>
    </row>
    <row r="2392" spans="21:21" ht="26.4">
      <c r="U2392" s="61" ph="1"/>
    </row>
    <row r="2393" spans="21:21" ht="26.4">
      <c r="U2393" s="61" ph="1"/>
    </row>
    <row r="2394" spans="21:21" ht="26.4">
      <c r="U2394" s="61" ph="1"/>
    </row>
    <row r="2395" spans="21:21" ht="26.4">
      <c r="U2395" s="61" ph="1"/>
    </row>
    <row r="2396" spans="21:21" ht="26.4">
      <c r="U2396" s="61" ph="1"/>
    </row>
    <row r="2397" spans="21:21" ht="26.4">
      <c r="U2397" s="61" ph="1"/>
    </row>
    <row r="2398" spans="21:21" ht="26.4">
      <c r="U2398" s="61" ph="1"/>
    </row>
    <row r="2399" spans="21:21" ht="26.4">
      <c r="U2399" s="61" ph="1"/>
    </row>
    <row r="2400" spans="21:21" ht="26.4">
      <c r="U2400" s="61" ph="1"/>
    </row>
    <row r="2401" spans="21:21" ht="26.4">
      <c r="U2401" s="61" ph="1"/>
    </row>
    <row r="2402" spans="21:21" ht="26.4">
      <c r="U2402" s="61" ph="1"/>
    </row>
    <row r="2403" spans="21:21" ht="26.4">
      <c r="U2403" s="61" ph="1"/>
    </row>
    <row r="2404" spans="21:21" ht="26.4">
      <c r="U2404" s="61" ph="1"/>
    </row>
    <row r="2405" spans="21:21" ht="26.4">
      <c r="U2405" s="61" ph="1"/>
    </row>
    <row r="2406" spans="21:21" ht="26.4">
      <c r="U2406" s="61" ph="1"/>
    </row>
    <row r="2407" spans="21:21" ht="26.4">
      <c r="U2407" s="61" ph="1"/>
    </row>
    <row r="2408" spans="21:21" ht="26.4">
      <c r="U2408" s="61" ph="1"/>
    </row>
    <row r="2409" spans="21:21" ht="26.4">
      <c r="U2409" s="61" ph="1"/>
    </row>
    <row r="2410" spans="21:21" ht="26.4">
      <c r="U2410" s="61" ph="1"/>
    </row>
    <row r="2411" spans="21:21" ht="26.4">
      <c r="U2411" s="61" ph="1"/>
    </row>
    <row r="2412" spans="21:21" ht="26.4">
      <c r="U2412" s="61" ph="1"/>
    </row>
    <row r="2413" spans="21:21" ht="26.4">
      <c r="U2413" s="61" ph="1"/>
    </row>
    <row r="2414" spans="21:21" ht="26.4">
      <c r="U2414" s="61" ph="1"/>
    </row>
    <row r="2415" spans="21:21" ht="26.4">
      <c r="U2415" s="61" ph="1"/>
    </row>
    <row r="2416" spans="21:21" ht="26.4">
      <c r="U2416" s="61" ph="1"/>
    </row>
    <row r="2417" spans="21:21" ht="26.4">
      <c r="U2417" s="61" ph="1"/>
    </row>
    <row r="2418" spans="21:21" ht="26.4">
      <c r="U2418" s="61" ph="1"/>
    </row>
    <row r="2419" spans="21:21" ht="26.4">
      <c r="U2419" s="61" ph="1"/>
    </row>
    <row r="2420" spans="21:21" ht="26.4">
      <c r="U2420" s="61" ph="1"/>
    </row>
    <row r="2421" spans="21:21" ht="26.4">
      <c r="U2421" s="61" ph="1"/>
    </row>
    <row r="2422" spans="21:21" ht="26.4">
      <c r="U2422" s="61" ph="1"/>
    </row>
    <row r="2423" spans="21:21" ht="26.4">
      <c r="U2423" s="61" ph="1"/>
    </row>
    <row r="2424" spans="21:21" ht="26.4">
      <c r="U2424" s="61" ph="1"/>
    </row>
    <row r="2425" spans="21:21" ht="26.4">
      <c r="U2425" s="61" ph="1"/>
    </row>
    <row r="2426" spans="21:21" ht="26.4">
      <c r="U2426" s="61" ph="1"/>
    </row>
    <row r="2427" spans="21:21" ht="26.4">
      <c r="U2427" s="61" ph="1"/>
    </row>
    <row r="2428" spans="21:21" ht="26.4">
      <c r="U2428" s="61" ph="1"/>
    </row>
    <row r="2429" spans="21:21" ht="26.4">
      <c r="U2429" s="61" ph="1"/>
    </row>
    <row r="2430" spans="21:21" ht="26.4">
      <c r="U2430" s="61" ph="1"/>
    </row>
    <row r="2431" spans="21:21" ht="26.4">
      <c r="U2431" s="61" ph="1"/>
    </row>
    <row r="2432" spans="21:21" ht="26.4">
      <c r="U2432" s="61" ph="1"/>
    </row>
    <row r="2433" spans="21:21" ht="26.4">
      <c r="U2433" s="61" ph="1"/>
    </row>
    <row r="2434" spans="21:21" ht="26.4">
      <c r="U2434" s="61" ph="1"/>
    </row>
    <row r="2435" spans="21:21" ht="26.4">
      <c r="U2435" s="61" ph="1"/>
    </row>
    <row r="2436" spans="21:21" ht="26.4">
      <c r="U2436" s="61" ph="1"/>
    </row>
    <row r="2437" spans="21:21" ht="26.4">
      <c r="U2437" s="61" ph="1"/>
    </row>
    <row r="2438" spans="21:21" ht="26.4">
      <c r="U2438" s="61" ph="1"/>
    </row>
    <row r="2439" spans="21:21" ht="26.4">
      <c r="U2439" s="61" ph="1"/>
    </row>
    <row r="2440" spans="21:21" ht="26.4">
      <c r="U2440" s="61" ph="1"/>
    </row>
    <row r="2441" spans="21:21" ht="26.4">
      <c r="U2441" s="61" ph="1"/>
    </row>
    <row r="2442" spans="21:21" ht="26.4">
      <c r="U2442" s="61" ph="1"/>
    </row>
    <row r="2443" spans="21:21" ht="26.4">
      <c r="U2443" s="61" ph="1"/>
    </row>
    <row r="2444" spans="21:21" ht="26.4">
      <c r="U2444" s="61" ph="1"/>
    </row>
    <row r="2445" spans="21:21" ht="26.4">
      <c r="U2445" s="61" ph="1"/>
    </row>
    <row r="2446" spans="21:21" ht="26.4">
      <c r="U2446" s="61" ph="1"/>
    </row>
    <row r="2447" spans="21:21" ht="26.4">
      <c r="U2447" s="61" ph="1"/>
    </row>
    <row r="2448" spans="21:21" ht="26.4">
      <c r="U2448" s="61" ph="1"/>
    </row>
    <row r="2449" spans="21:21" ht="26.4">
      <c r="U2449" s="61" ph="1"/>
    </row>
    <row r="2450" spans="21:21" ht="26.4">
      <c r="U2450" s="61" ph="1"/>
    </row>
    <row r="2451" spans="21:21" ht="26.4">
      <c r="U2451" s="61" ph="1"/>
    </row>
    <row r="2452" spans="21:21" ht="26.4">
      <c r="U2452" s="61" ph="1"/>
    </row>
    <row r="2453" spans="21:21" ht="26.4">
      <c r="U2453" s="61" ph="1"/>
    </row>
    <row r="2454" spans="21:21" ht="26.4">
      <c r="U2454" s="61" ph="1"/>
    </row>
    <row r="2455" spans="21:21" ht="26.4">
      <c r="U2455" s="61" ph="1"/>
    </row>
    <row r="2456" spans="21:21" ht="26.4">
      <c r="U2456" s="61" ph="1"/>
    </row>
    <row r="2457" spans="21:21" ht="26.4">
      <c r="U2457" s="61" ph="1"/>
    </row>
    <row r="2458" spans="21:21" ht="26.4">
      <c r="U2458" s="61" ph="1"/>
    </row>
    <row r="2459" spans="21:21" ht="26.4">
      <c r="U2459" s="61" ph="1"/>
    </row>
    <row r="2460" spans="21:21" ht="26.4">
      <c r="U2460" s="61" ph="1"/>
    </row>
    <row r="2461" spans="21:21" ht="26.4">
      <c r="U2461" s="61" ph="1"/>
    </row>
    <row r="2462" spans="21:21" ht="26.4">
      <c r="U2462" s="61" ph="1"/>
    </row>
    <row r="2463" spans="21:21" ht="26.4">
      <c r="U2463" s="61" ph="1"/>
    </row>
    <row r="2464" spans="21:21" ht="26.4">
      <c r="U2464" s="61" ph="1"/>
    </row>
    <row r="2465" spans="21:21" ht="26.4">
      <c r="U2465" s="61" ph="1"/>
    </row>
    <row r="2466" spans="21:21" ht="26.4">
      <c r="U2466" s="61" ph="1"/>
    </row>
    <row r="2467" spans="21:21" ht="26.4">
      <c r="U2467" s="61" ph="1"/>
    </row>
    <row r="2468" spans="21:21" ht="26.4">
      <c r="U2468" s="61" ph="1"/>
    </row>
    <row r="2469" spans="21:21" ht="26.4">
      <c r="U2469" s="61" ph="1"/>
    </row>
    <row r="2470" spans="21:21" ht="26.4">
      <c r="U2470" s="61" ph="1"/>
    </row>
    <row r="2471" spans="21:21" ht="26.4">
      <c r="U2471" s="61" ph="1"/>
    </row>
    <row r="2472" spans="21:21" ht="26.4">
      <c r="U2472" s="61" ph="1"/>
    </row>
    <row r="2473" spans="21:21" ht="26.4">
      <c r="U2473" s="61" ph="1"/>
    </row>
    <row r="2474" spans="21:21" ht="26.4">
      <c r="U2474" s="61" ph="1"/>
    </row>
    <row r="2475" spans="21:21" ht="26.4">
      <c r="U2475" s="61" ph="1"/>
    </row>
    <row r="2476" spans="21:21" ht="26.4">
      <c r="U2476" s="61" ph="1"/>
    </row>
    <row r="2477" spans="21:21" ht="26.4">
      <c r="U2477" s="61" ph="1"/>
    </row>
    <row r="2478" spans="21:21" ht="26.4">
      <c r="U2478" s="61" ph="1"/>
    </row>
    <row r="2479" spans="21:21" ht="26.4">
      <c r="U2479" s="61" ph="1"/>
    </row>
    <row r="2480" spans="21:21" ht="26.4">
      <c r="U2480" s="61" ph="1"/>
    </row>
    <row r="2481" spans="21:21" ht="26.4">
      <c r="U2481" s="61" ph="1"/>
    </row>
    <row r="2482" spans="21:21" ht="26.4">
      <c r="U2482" s="61" ph="1"/>
    </row>
    <row r="2483" spans="21:21" ht="26.4">
      <c r="U2483" s="61" ph="1"/>
    </row>
    <row r="2484" spans="21:21" ht="26.4">
      <c r="U2484" s="61" ph="1"/>
    </row>
    <row r="2485" spans="21:21" ht="26.4">
      <c r="U2485" s="61" ph="1"/>
    </row>
    <row r="2486" spans="21:21" ht="26.4">
      <c r="U2486" s="61" ph="1"/>
    </row>
    <row r="2487" spans="21:21" ht="26.4">
      <c r="U2487" s="61" ph="1"/>
    </row>
    <row r="2488" spans="21:21" ht="26.4">
      <c r="U2488" s="61" ph="1"/>
    </row>
    <row r="2489" spans="21:21" ht="26.4">
      <c r="U2489" s="61" ph="1"/>
    </row>
    <row r="2490" spans="21:21" ht="26.4">
      <c r="U2490" s="61" ph="1"/>
    </row>
    <row r="2491" spans="21:21" ht="26.4">
      <c r="U2491" s="61" ph="1"/>
    </row>
    <row r="2492" spans="21:21" ht="26.4">
      <c r="U2492" s="61" ph="1"/>
    </row>
    <row r="2493" spans="21:21" ht="26.4">
      <c r="U2493" s="61" ph="1"/>
    </row>
    <row r="2494" spans="21:21" ht="26.4">
      <c r="U2494" s="61" ph="1"/>
    </row>
    <row r="2495" spans="21:21" ht="26.4">
      <c r="U2495" s="61" ph="1"/>
    </row>
    <row r="2496" spans="21:21" ht="26.4">
      <c r="U2496" s="61" ph="1"/>
    </row>
    <row r="2497" spans="21:21" ht="26.4">
      <c r="U2497" s="61" ph="1"/>
    </row>
    <row r="2498" spans="21:21" ht="26.4">
      <c r="U2498" s="61" ph="1"/>
    </row>
    <row r="2499" spans="21:21" ht="26.4">
      <c r="U2499" s="61" ph="1"/>
    </row>
    <row r="2500" spans="21:21" ht="26.4">
      <c r="U2500" s="61" ph="1"/>
    </row>
    <row r="2501" spans="21:21" ht="26.4">
      <c r="U2501" s="61" ph="1"/>
    </row>
    <row r="2502" spans="21:21" ht="26.4">
      <c r="U2502" s="61" ph="1"/>
    </row>
    <row r="2503" spans="21:21" ht="26.4">
      <c r="U2503" s="61" ph="1"/>
    </row>
    <row r="2504" spans="21:21" ht="26.4">
      <c r="U2504" s="61" ph="1"/>
    </row>
    <row r="2505" spans="21:21" ht="26.4">
      <c r="U2505" s="61" ph="1"/>
    </row>
    <row r="2506" spans="21:21" ht="26.4">
      <c r="U2506" s="61" ph="1"/>
    </row>
    <row r="2507" spans="21:21" ht="26.4">
      <c r="U2507" s="61" ph="1"/>
    </row>
    <row r="2508" spans="21:21" ht="26.4">
      <c r="U2508" s="61" ph="1"/>
    </row>
    <row r="2509" spans="21:21" ht="26.4">
      <c r="U2509" s="61" ph="1"/>
    </row>
    <row r="2510" spans="21:21" ht="26.4">
      <c r="U2510" s="61" ph="1"/>
    </row>
    <row r="2511" spans="21:21" ht="26.4">
      <c r="U2511" s="61" ph="1"/>
    </row>
    <row r="2512" spans="21:21" ht="26.4">
      <c r="U2512" s="61" ph="1"/>
    </row>
    <row r="2513" spans="21:21" ht="26.4">
      <c r="U2513" s="61" ph="1"/>
    </row>
    <row r="2514" spans="21:21" ht="26.4">
      <c r="U2514" s="61" ph="1"/>
    </row>
    <row r="2515" spans="21:21" ht="26.4">
      <c r="U2515" s="61" ph="1"/>
    </row>
    <row r="2516" spans="21:21" ht="26.4">
      <c r="U2516" s="61" ph="1"/>
    </row>
    <row r="2517" spans="21:21" ht="26.4">
      <c r="U2517" s="61" ph="1"/>
    </row>
    <row r="2518" spans="21:21" ht="26.4">
      <c r="U2518" s="61" ph="1"/>
    </row>
    <row r="2519" spans="21:21" ht="26.4">
      <c r="U2519" s="61" ph="1"/>
    </row>
    <row r="2520" spans="21:21" ht="26.4">
      <c r="U2520" s="61" ph="1"/>
    </row>
    <row r="2521" spans="21:21" ht="26.4">
      <c r="U2521" s="61" ph="1"/>
    </row>
    <row r="2522" spans="21:21" ht="26.4">
      <c r="U2522" s="61" ph="1"/>
    </row>
    <row r="2523" spans="21:21" ht="26.4">
      <c r="U2523" s="61" ph="1"/>
    </row>
    <row r="2524" spans="21:21" ht="26.4">
      <c r="U2524" s="61" ph="1"/>
    </row>
    <row r="2525" spans="21:21" ht="26.4">
      <c r="U2525" s="61" ph="1"/>
    </row>
    <row r="2526" spans="21:21" ht="26.4">
      <c r="U2526" s="61" ph="1"/>
    </row>
    <row r="2527" spans="21:21" ht="26.4">
      <c r="U2527" s="61" ph="1"/>
    </row>
    <row r="2528" spans="21:21" ht="26.4">
      <c r="U2528" s="61" ph="1"/>
    </row>
    <row r="2529" spans="21:21" ht="26.4">
      <c r="U2529" s="61" ph="1"/>
    </row>
    <row r="2530" spans="21:21" ht="26.4">
      <c r="U2530" s="61" ph="1"/>
    </row>
    <row r="2531" spans="21:21" ht="26.4">
      <c r="U2531" s="61" ph="1"/>
    </row>
    <row r="2532" spans="21:21" ht="26.4">
      <c r="U2532" s="61" ph="1"/>
    </row>
    <row r="2533" spans="21:21" ht="26.4">
      <c r="U2533" s="61" ph="1"/>
    </row>
    <row r="2534" spans="21:21" ht="26.4">
      <c r="U2534" s="61" ph="1"/>
    </row>
    <row r="2535" spans="21:21" ht="26.4">
      <c r="U2535" s="61" ph="1"/>
    </row>
    <row r="2536" spans="21:21" ht="26.4">
      <c r="U2536" s="61" ph="1"/>
    </row>
    <row r="2537" spans="21:21" ht="26.4">
      <c r="U2537" s="61" ph="1"/>
    </row>
    <row r="2538" spans="21:21" ht="26.4">
      <c r="U2538" s="61" ph="1"/>
    </row>
    <row r="2539" spans="21:21" ht="26.4">
      <c r="U2539" s="61" ph="1"/>
    </row>
    <row r="2540" spans="21:21" ht="26.4">
      <c r="U2540" s="61" ph="1"/>
    </row>
    <row r="2541" spans="21:21" ht="26.4">
      <c r="U2541" s="61" ph="1"/>
    </row>
    <row r="2542" spans="21:21" ht="26.4">
      <c r="U2542" s="61" ph="1"/>
    </row>
    <row r="2543" spans="21:21" ht="26.4">
      <c r="U2543" s="61" ph="1"/>
    </row>
    <row r="2544" spans="21:21" ht="26.4">
      <c r="U2544" s="61" ph="1"/>
    </row>
    <row r="2545" spans="21:21" ht="26.4">
      <c r="U2545" s="61" ph="1"/>
    </row>
    <row r="2546" spans="21:21" ht="26.4">
      <c r="U2546" s="61" ph="1"/>
    </row>
    <row r="2547" spans="21:21" ht="26.4">
      <c r="U2547" s="61" ph="1"/>
    </row>
    <row r="2548" spans="21:21" ht="26.4">
      <c r="U2548" s="61" ph="1"/>
    </row>
    <row r="2549" spans="21:21" ht="26.4">
      <c r="U2549" s="61" ph="1"/>
    </row>
    <row r="2550" spans="21:21" ht="26.4">
      <c r="U2550" s="61" ph="1"/>
    </row>
    <row r="2551" spans="21:21" ht="26.4">
      <c r="U2551" s="61" ph="1"/>
    </row>
    <row r="2552" spans="21:21" ht="26.4">
      <c r="U2552" s="61" ph="1"/>
    </row>
    <row r="2553" spans="21:21" ht="26.4">
      <c r="U2553" s="61" ph="1"/>
    </row>
    <row r="2554" spans="21:21" ht="26.4">
      <c r="U2554" s="61" ph="1"/>
    </row>
    <row r="2555" spans="21:21" ht="26.4">
      <c r="U2555" s="61" ph="1"/>
    </row>
    <row r="2556" spans="21:21" ht="26.4">
      <c r="U2556" s="61" ph="1"/>
    </row>
    <row r="2557" spans="21:21" ht="26.4">
      <c r="U2557" s="61" ph="1"/>
    </row>
    <row r="2558" spans="21:21" ht="26.4">
      <c r="U2558" s="61" ph="1"/>
    </row>
    <row r="2559" spans="21:21" ht="26.4">
      <c r="U2559" s="61" ph="1"/>
    </row>
    <row r="2560" spans="21:21" ht="26.4">
      <c r="U2560" s="61" ph="1"/>
    </row>
    <row r="2561" spans="21:21" ht="26.4">
      <c r="U2561" s="61" ph="1"/>
    </row>
    <row r="2562" spans="21:21" ht="26.4">
      <c r="U2562" s="61" ph="1"/>
    </row>
    <row r="2563" spans="21:21" ht="26.4">
      <c r="U2563" s="61" ph="1"/>
    </row>
    <row r="2564" spans="21:21" ht="26.4">
      <c r="U2564" s="61" ph="1"/>
    </row>
    <row r="2565" spans="21:21" ht="26.4">
      <c r="U2565" s="61" ph="1"/>
    </row>
    <row r="2566" spans="21:21" ht="26.4">
      <c r="U2566" s="61" ph="1"/>
    </row>
    <row r="2567" spans="21:21" ht="26.4">
      <c r="U2567" s="61" ph="1"/>
    </row>
    <row r="2568" spans="21:21" ht="26.4">
      <c r="U2568" s="61" ph="1"/>
    </row>
    <row r="2569" spans="21:21" ht="26.4">
      <c r="U2569" s="61" ph="1"/>
    </row>
    <row r="2570" spans="21:21" ht="26.4">
      <c r="U2570" s="61" ph="1"/>
    </row>
    <row r="2571" spans="21:21" ht="26.4">
      <c r="U2571" s="61" ph="1"/>
    </row>
    <row r="2572" spans="21:21" ht="26.4">
      <c r="U2572" s="61" ph="1"/>
    </row>
    <row r="2573" spans="21:21" ht="26.4">
      <c r="U2573" s="61" ph="1"/>
    </row>
    <row r="2574" spans="21:21" ht="26.4">
      <c r="U2574" s="61" ph="1"/>
    </row>
    <row r="2575" spans="21:21" ht="26.4">
      <c r="U2575" s="61" ph="1"/>
    </row>
    <row r="2576" spans="21:21" ht="26.4">
      <c r="U2576" s="61" ph="1"/>
    </row>
    <row r="2577" spans="21:21" ht="26.4">
      <c r="U2577" s="61" ph="1"/>
    </row>
    <row r="2578" spans="21:21" ht="26.4">
      <c r="U2578" s="61" ph="1"/>
    </row>
    <row r="2579" spans="21:21" ht="26.4">
      <c r="U2579" s="61" ph="1"/>
    </row>
    <row r="2580" spans="21:21" ht="26.4">
      <c r="U2580" s="61" ph="1"/>
    </row>
    <row r="2581" spans="21:21" ht="26.4">
      <c r="U2581" s="61" ph="1"/>
    </row>
    <row r="2582" spans="21:21" ht="26.4">
      <c r="U2582" s="61" ph="1"/>
    </row>
    <row r="2583" spans="21:21" ht="26.4">
      <c r="U2583" s="61" ph="1"/>
    </row>
    <row r="2584" spans="21:21" ht="26.4">
      <c r="U2584" s="61" ph="1"/>
    </row>
    <row r="2585" spans="21:21" ht="26.4">
      <c r="U2585" s="61" ph="1"/>
    </row>
    <row r="2586" spans="21:21" ht="26.4">
      <c r="U2586" s="61" ph="1"/>
    </row>
    <row r="2587" spans="21:21" ht="26.4">
      <c r="U2587" s="61" ph="1"/>
    </row>
    <row r="2588" spans="21:21" ht="26.4">
      <c r="U2588" s="61" ph="1"/>
    </row>
    <row r="2589" spans="21:21" ht="26.4">
      <c r="U2589" s="61" ph="1"/>
    </row>
    <row r="2590" spans="21:21" ht="26.4">
      <c r="U2590" s="61" ph="1"/>
    </row>
    <row r="2591" spans="21:21" ht="26.4">
      <c r="U2591" s="61" ph="1"/>
    </row>
    <row r="2592" spans="21:21" ht="26.4">
      <c r="U2592" s="61" ph="1"/>
    </row>
    <row r="2593" spans="21:21" ht="26.4">
      <c r="U2593" s="61" ph="1"/>
    </row>
    <row r="2594" spans="21:21" ht="26.4">
      <c r="U2594" s="61" ph="1"/>
    </row>
    <row r="2595" spans="21:21" ht="26.4">
      <c r="U2595" s="61" ph="1"/>
    </row>
    <row r="2596" spans="21:21" ht="26.4">
      <c r="U2596" s="61" ph="1"/>
    </row>
    <row r="2597" spans="21:21" ht="26.4">
      <c r="U2597" s="61" ph="1"/>
    </row>
    <row r="2598" spans="21:21" ht="26.4">
      <c r="U2598" s="61" ph="1"/>
    </row>
    <row r="2599" spans="21:21" ht="26.4">
      <c r="U2599" s="61" ph="1"/>
    </row>
    <row r="2600" spans="21:21" ht="26.4">
      <c r="U2600" s="61" ph="1"/>
    </row>
    <row r="2601" spans="21:21" ht="26.4">
      <c r="U2601" s="61" ph="1"/>
    </row>
    <row r="2602" spans="21:21" ht="26.4">
      <c r="U2602" s="61" ph="1"/>
    </row>
    <row r="2603" spans="21:21" ht="26.4">
      <c r="U2603" s="61" ph="1"/>
    </row>
    <row r="2604" spans="21:21" ht="26.4">
      <c r="U2604" s="61" ph="1"/>
    </row>
    <row r="2605" spans="21:21" ht="26.4">
      <c r="U2605" s="61" ph="1"/>
    </row>
    <row r="2606" spans="21:21" ht="26.4">
      <c r="U2606" s="61" ph="1"/>
    </row>
    <row r="2607" spans="21:21" ht="26.4">
      <c r="U2607" s="61" ph="1"/>
    </row>
    <row r="2608" spans="21:21" ht="26.4">
      <c r="U2608" s="61" ph="1"/>
    </row>
    <row r="2609" spans="21:21" ht="26.4">
      <c r="U2609" s="61" ph="1"/>
    </row>
    <row r="2610" spans="21:21" ht="26.4">
      <c r="U2610" s="61" ph="1"/>
    </row>
    <row r="2611" spans="21:21" ht="26.4">
      <c r="U2611" s="61" ph="1"/>
    </row>
    <row r="2612" spans="21:21" ht="26.4">
      <c r="U2612" s="61" ph="1"/>
    </row>
    <row r="2613" spans="21:21" ht="26.4">
      <c r="U2613" s="61" ph="1"/>
    </row>
    <row r="2614" spans="21:21" ht="26.4">
      <c r="U2614" s="61" ph="1"/>
    </row>
    <row r="2615" spans="21:21" ht="26.4">
      <c r="U2615" s="61" ph="1"/>
    </row>
    <row r="2616" spans="21:21" ht="26.4">
      <c r="U2616" s="61" ph="1"/>
    </row>
    <row r="2617" spans="21:21" ht="26.4">
      <c r="U2617" s="61" ph="1"/>
    </row>
    <row r="2618" spans="21:21" ht="26.4">
      <c r="U2618" s="61" ph="1"/>
    </row>
    <row r="2619" spans="21:21" ht="26.4">
      <c r="U2619" s="61" ph="1"/>
    </row>
    <row r="2620" spans="21:21" ht="26.4">
      <c r="U2620" s="61" ph="1"/>
    </row>
    <row r="2621" spans="21:21" ht="26.4">
      <c r="U2621" s="61" ph="1"/>
    </row>
    <row r="2622" spans="21:21" ht="26.4">
      <c r="U2622" s="61" ph="1"/>
    </row>
    <row r="2623" spans="21:21" ht="26.4">
      <c r="U2623" s="61" ph="1"/>
    </row>
    <row r="2624" spans="21:21" ht="26.4">
      <c r="U2624" s="61" ph="1"/>
    </row>
    <row r="2625" spans="21:21" ht="26.4">
      <c r="U2625" s="61" ph="1"/>
    </row>
    <row r="2626" spans="21:21" ht="26.4">
      <c r="U2626" s="61" ph="1"/>
    </row>
    <row r="2627" spans="21:21" ht="26.4">
      <c r="U2627" s="61" ph="1"/>
    </row>
    <row r="2628" spans="21:21" ht="26.4">
      <c r="U2628" s="61" ph="1"/>
    </row>
    <row r="2629" spans="21:21" ht="26.4">
      <c r="U2629" s="61" ph="1"/>
    </row>
    <row r="2630" spans="21:21" ht="26.4">
      <c r="U2630" s="61" ph="1"/>
    </row>
    <row r="2631" spans="21:21" ht="26.4">
      <c r="U2631" s="61" ph="1"/>
    </row>
    <row r="2632" spans="21:21" ht="26.4">
      <c r="U2632" s="61" ph="1"/>
    </row>
    <row r="2633" spans="21:21" ht="26.4">
      <c r="U2633" s="61" ph="1"/>
    </row>
    <row r="2634" spans="21:21" ht="26.4">
      <c r="U2634" s="61" ph="1"/>
    </row>
    <row r="2635" spans="21:21" ht="26.4">
      <c r="U2635" s="61" ph="1"/>
    </row>
    <row r="2636" spans="21:21" ht="26.4">
      <c r="U2636" s="61" ph="1"/>
    </row>
    <row r="2637" spans="21:21" ht="26.4">
      <c r="U2637" s="61" ph="1"/>
    </row>
    <row r="2638" spans="21:21" ht="26.4">
      <c r="U2638" s="61" ph="1"/>
    </row>
    <row r="2639" spans="21:21" ht="26.4">
      <c r="U2639" s="61" ph="1"/>
    </row>
    <row r="2640" spans="21:21" ht="26.4">
      <c r="U2640" s="61" ph="1"/>
    </row>
    <row r="2641" spans="21:21" ht="26.4">
      <c r="U2641" s="61" ph="1"/>
    </row>
    <row r="2642" spans="21:21" ht="26.4">
      <c r="U2642" s="61" ph="1"/>
    </row>
    <row r="2643" spans="21:21" ht="26.4">
      <c r="U2643" s="61" ph="1"/>
    </row>
    <row r="2644" spans="21:21" ht="26.4">
      <c r="U2644" s="61" ph="1"/>
    </row>
    <row r="2645" spans="21:21" ht="26.4">
      <c r="U2645" s="61" ph="1"/>
    </row>
    <row r="2646" spans="21:21" ht="26.4">
      <c r="U2646" s="61" ph="1"/>
    </row>
    <row r="2647" spans="21:21" ht="26.4">
      <c r="U2647" s="61" ph="1"/>
    </row>
    <row r="2648" spans="21:21" ht="26.4">
      <c r="U2648" s="61" ph="1"/>
    </row>
    <row r="2649" spans="21:21" ht="26.4">
      <c r="U2649" s="61" ph="1"/>
    </row>
    <row r="2650" spans="21:21" ht="26.4">
      <c r="U2650" s="61" ph="1"/>
    </row>
    <row r="2651" spans="21:21" ht="26.4">
      <c r="U2651" s="61" ph="1"/>
    </row>
    <row r="2652" spans="21:21" ht="26.4">
      <c r="U2652" s="61" ph="1"/>
    </row>
    <row r="2653" spans="21:21" ht="26.4">
      <c r="U2653" s="61" ph="1"/>
    </row>
    <row r="2654" spans="21:21" ht="26.4">
      <c r="U2654" s="61" ph="1"/>
    </row>
    <row r="2655" spans="21:21" ht="26.4">
      <c r="U2655" s="61" ph="1"/>
    </row>
    <row r="2656" spans="21:21" ht="26.4">
      <c r="U2656" s="61" ph="1"/>
    </row>
    <row r="2657" spans="21:21" ht="26.4">
      <c r="U2657" s="61" ph="1"/>
    </row>
    <row r="2658" spans="21:21" ht="26.4">
      <c r="U2658" s="61" ph="1"/>
    </row>
    <row r="2659" spans="21:21" ht="26.4">
      <c r="U2659" s="61" ph="1"/>
    </row>
    <row r="2660" spans="21:21" ht="26.4">
      <c r="U2660" s="61" ph="1"/>
    </row>
    <row r="2661" spans="21:21" ht="26.4">
      <c r="U2661" s="61" ph="1"/>
    </row>
    <row r="2662" spans="21:21" ht="26.4">
      <c r="U2662" s="61" ph="1"/>
    </row>
    <row r="2663" spans="21:21" ht="26.4">
      <c r="U2663" s="61" ph="1"/>
    </row>
    <row r="2664" spans="21:21" ht="26.4">
      <c r="U2664" s="61" ph="1"/>
    </row>
    <row r="2665" spans="21:21" ht="26.4">
      <c r="U2665" s="61" ph="1"/>
    </row>
    <row r="2666" spans="21:21" ht="26.4">
      <c r="U2666" s="61" ph="1"/>
    </row>
    <row r="2667" spans="21:21" ht="26.4">
      <c r="U2667" s="61" ph="1"/>
    </row>
    <row r="2668" spans="21:21" ht="26.4">
      <c r="U2668" s="61" ph="1"/>
    </row>
    <row r="2669" spans="21:21" ht="26.4">
      <c r="U2669" s="61" ph="1"/>
    </row>
    <row r="2670" spans="21:21" ht="26.4">
      <c r="U2670" s="61" ph="1"/>
    </row>
    <row r="2671" spans="21:21" ht="26.4">
      <c r="U2671" s="61" ph="1"/>
    </row>
    <row r="2672" spans="21:21" ht="26.4">
      <c r="U2672" s="61" ph="1"/>
    </row>
    <row r="2673" spans="21:21" ht="26.4">
      <c r="U2673" s="61" ph="1"/>
    </row>
    <row r="2674" spans="21:21" ht="26.4">
      <c r="U2674" s="61" ph="1"/>
    </row>
    <row r="2675" spans="21:21" ht="26.4">
      <c r="U2675" s="61" ph="1"/>
    </row>
    <row r="2676" spans="21:21" ht="26.4">
      <c r="U2676" s="61" ph="1"/>
    </row>
    <row r="2677" spans="21:21" ht="26.4">
      <c r="U2677" s="61" ph="1"/>
    </row>
    <row r="2678" spans="21:21" ht="26.4">
      <c r="U2678" s="61" ph="1"/>
    </row>
    <row r="2679" spans="21:21" ht="26.4">
      <c r="U2679" s="61" ph="1"/>
    </row>
    <row r="2680" spans="21:21" ht="26.4">
      <c r="U2680" s="61" ph="1"/>
    </row>
    <row r="2681" spans="21:21" ht="26.4">
      <c r="U2681" s="61" ph="1"/>
    </row>
    <row r="2682" spans="21:21" ht="26.4">
      <c r="U2682" s="61" ph="1"/>
    </row>
    <row r="2683" spans="21:21" ht="26.4">
      <c r="U2683" s="61" ph="1"/>
    </row>
    <row r="2684" spans="21:21" ht="26.4">
      <c r="U2684" s="61" ph="1"/>
    </row>
    <row r="2685" spans="21:21" ht="26.4">
      <c r="U2685" s="61" ph="1"/>
    </row>
    <row r="2686" spans="21:21" ht="26.4">
      <c r="U2686" s="61" ph="1"/>
    </row>
    <row r="2687" spans="21:21" ht="26.4">
      <c r="U2687" s="61" ph="1"/>
    </row>
    <row r="2688" spans="21:21" ht="26.4">
      <c r="U2688" s="61" ph="1"/>
    </row>
    <row r="2689" spans="21:21" ht="26.4">
      <c r="U2689" s="61" ph="1"/>
    </row>
    <row r="2690" spans="21:21" ht="26.4">
      <c r="U2690" s="61" ph="1"/>
    </row>
    <row r="2691" spans="21:21" ht="26.4">
      <c r="U2691" s="61" ph="1"/>
    </row>
    <row r="2692" spans="21:21" ht="26.4">
      <c r="U2692" s="61" ph="1"/>
    </row>
    <row r="2693" spans="21:21" ht="26.4">
      <c r="U2693" s="61" ph="1"/>
    </row>
    <row r="2694" spans="21:21" ht="26.4">
      <c r="U2694" s="61" ph="1"/>
    </row>
    <row r="2695" spans="21:21" ht="26.4">
      <c r="U2695" s="61" ph="1"/>
    </row>
    <row r="2696" spans="21:21" ht="26.4">
      <c r="U2696" s="61" ph="1"/>
    </row>
    <row r="2697" spans="21:21" ht="26.4">
      <c r="U2697" s="61" ph="1"/>
    </row>
    <row r="2698" spans="21:21" ht="26.4">
      <c r="U2698" s="61" ph="1"/>
    </row>
    <row r="2699" spans="21:21" ht="26.4">
      <c r="U2699" s="61" ph="1"/>
    </row>
    <row r="2700" spans="21:21" ht="26.4">
      <c r="U2700" s="61" ph="1"/>
    </row>
    <row r="2701" spans="21:21" ht="26.4">
      <c r="U2701" s="61" ph="1"/>
    </row>
    <row r="2702" spans="21:21" ht="26.4">
      <c r="U2702" s="61" ph="1"/>
    </row>
    <row r="2703" spans="21:21" ht="26.4">
      <c r="U2703" s="61" ph="1"/>
    </row>
    <row r="2704" spans="21:21" ht="26.4">
      <c r="U2704" s="61" ph="1"/>
    </row>
    <row r="2705" spans="21:21" ht="26.4">
      <c r="U2705" s="61" ph="1"/>
    </row>
    <row r="2706" spans="21:21" ht="26.4">
      <c r="U2706" s="61" ph="1"/>
    </row>
    <row r="2707" spans="21:21" ht="26.4">
      <c r="U2707" s="61" ph="1"/>
    </row>
    <row r="2708" spans="21:21" ht="26.4">
      <c r="U2708" s="61" ph="1"/>
    </row>
    <row r="2709" spans="21:21" ht="26.4">
      <c r="U2709" s="61" ph="1"/>
    </row>
    <row r="2710" spans="21:21" ht="26.4">
      <c r="U2710" s="61" ph="1"/>
    </row>
    <row r="2711" spans="21:21" ht="26.4">
      <c r="U2711" s="61" ph="1"/>
    </row>
    <row r="2712" spans="21:21" ht="26.4">
      <c r="U2712" s="61" ph="1"/>
    </row>
    <row r="2713" spans="21:21" ht="26.4">
      <c r="U2713" s="61" ph="1"/>
    </row>
    <row r="2714" spans="21:21" ht="26.4">
      <c r="U2714" s="61" ph="1"/>
    </row>
    <row r="2715" spans="21:21" ht="26.4">
      <c r="U2715" s="61" ph="1"/>
    </row>
    <row r="2716" spans="21:21" ht="26.4">
      <c r="U2716" s="61" ph="1"/>
    </row>
    <row r="2717" spans="21:21" ht="26.4">
      <c r="U2717" s="61" ph="1"/>
    </row>
    <row r="2718" spans="21:21" ht="26.4">
      <c r="U2718" s="61" ph="1"/>
    </row>
    <row r="2719" spans="21:21" ht="26.4">
      <c r="U2719" s="61" ph="1"/>
    </row>
    <row r="2720" spans="21:21" ht="26.4">
      <c r="U2720" s="61" ph="1"/>
    </row>
    <row r="2721" spans="21:21" ht="26.4">
      <c r="U2721" s="61" ph="1"/>
    </row>
    <row r="2722" spans="21:21" ht="26.4">
      <c r="U2722" s="61" ph="1"/>
    </row>
    <row r="2723" spans="21:21" ht="26.4">
      <c r="U2723" s="61" ph="1"/>
    </row>
    <row r="2724" spans="21:21" ht="26.4">
      <c r="U2724" s="61" ph="1"/>
    </row>
    <row r="2725" spans="21:21" ht="26.4">
      <c r="U2725" s="61" ph="1"/>
    </row>
    <row r="2726" spans="21:21" ht="26.4">
      <c r="U2726" s="61" ph="1"/>
    </row>
    <row r="2727" spans="21:21" ht="26.4">
      <c r="U2727" s="61" ph="1"/>
    </row>
    <row r="2728" spans="21:21" ht="26.4">
      <c r="U2728" s="61" ph="1"/>
    </row>
    <row r="2729" spans="21:21" ht="26.4">
      <c r="U2729" s="61" ph="1"/>
    </row>
    <row r="2730" spans="21:21" ht="26.4">
      <c r="U2730" s="61" ph="1"/>
    </row>
    <row r="2731" spans="21:21" ht="26.4">
      <c r="U2731" s="61" ph="1"/>
    </row>
    <row r="2732" spans="21:21" ht="26.4">
      <c r="U2732" s="61" ph="1"/>
    </row>
    <row r="2733" spans="21:21" ht="26.4">
      <c r="U2733" s="61" ph="1"/>
    </row>
    <row r="2734" spans="21:21" ht="26.4">
      <c r="U2734" s="61" ph="1"/>
    </row>
    <row r="2735" spans="21:21" ht="26.4">
      <c r="U2735" s="61" ph="1"/>
    </row>
    <row r="2736" spans="21:21" ht="26.4">
      <c r="U2736" s="61" ph="1"/>
    </row>
    <row r="2737" spans="21:21" ht="26.4">
      <c r="U2737" s="61" ph="1"/>
    </row>
    <row r="2738" spans="21:21" ht="26.4">
      <c r="U2738" s="61" ph="1"/>
    </row>
    <row r="2739" spans="21:21" ht="26.4">
      <c r="U2739" s="61" ph="1"/>
    </row>
    <row r="2740" spans="21:21" ht="26.4">
      <c r="U2740" s="61" ph="1"/>
    </row>
    <row r="2741" spans="21:21" ht="26.4">
      <c r="U2741" s="61" ph="1"/>
    </row>
    <row r="2742" spans="21:21" ht="26.4">
      <c r="U2742" s="61" ph="1"/>
    </row>
    <row r="2743" spans="21:21" ht="26.4">
      <c r="U2743" s="61" ph="1"/>
    </row>
    <row r="2744" spans="21:21" ht="26.4">
      <c r="U2744" s="61" ph="1"/>
    </row>
    <row r="2745" spans="21:21" ht="26.4">
      <c r="U2745" s="61" ph="1"/>
    </row>
    <row r="2746" spans="21:21" ht="26.4">
      <c r="U2746" s="61" ph="1"/>
    </row>
    <row r="2747" spans="21:21" ht="26.4">
      <c r="U2747" s="61" ph="1"/>
    </row>
    <row r="2748" spans="21:21" ht="26.4">
      <c r="U2748" s="61" ph="1"/>
    </row>
    <row r="2749" spans="21:21" ht="26.4">
      <c r="U2749" s="61" ph="1"/>
    </row>
    <row r="2750" spans="21:21" ht="26.4">
      <c r="U2750" s="61" ph="1"/>
    </row>
    <row r="2751" spans="21:21" ht="26.4">
      <c r="U2751" s="61" ph="1"/>
    </row>
    <row r="2752" spans="21:21" ht="26.4">
      <c r="U2752" s="61" ph="1"/>
    </row>
    <row r="2753" spans="21:21" ht="26.4">
      <c r="U2753" s="61" ph="1"/>
    </row>
    <row r="2754" spans="21:21" ht="26.4">
      <c r="U2754" s="61" ph="1"/>
    </row>
    <row r="2755" spans="21:21" ht="26.4">
      <c r="U2755" s="61" ph="1"/>
    </row>
    <row r="2756" spans="21:21" ht="26.4">
      <c r="U2756" s="61" ph="1"/>
    </row>
    <row r="2757" spans="21:21" ht="26.4">
      <c r="U2757" s="61" ph="1"/>
    </row>
    <row r="2758" spans="21:21" ht="26.4">
      <c r="U2758" s="61" ph="1"/>
    </row>
    <row r="2759" spans="21:21" ht="26.4">
      <c r="U2759" s="61" ph="1"/>
    </row>
    <row r="2760" spans="21:21" ht="26.4">
      <c r="U2760" s="61" ph="1"/>
    </row>
    <row r="2761" spans="21:21" ht="26.4">
      <c r="U2761" s="61" ph="1"/>
    </row>
    <row r="2762" spans="21:21" ht="26.4">
      <c r="U2762" s="61" ph="1"/>
    </row>
    <row r="2763" spans="21:21" ht="26.4">
      <c r="U2763" s="61" ph="1"/>
    </row>
    <row r="2764" spans="21:21" ht="26.4">
      <c r="U2764" s="61" ph="1"/>
    </row>
    <row r="2765" spans="21:21" ht="26.4">
      <c r="U2765" s="61" ph="1"/>
    </row>
    <row r="2766" spans="21:21" ht="26.4">
      <c r="U2766" s="61" ph="1"/>
    </row>
    <row r="2767" spans="21:21" ht="26.4">
      <c r="U2767" s="61" ph="1"/>
    </row>
    <row r="2768" spans="21:21" ht="26.4">
      <c r="U2768" s="61" ph="1"/>
    </row>
    <row r="2769" spans="21:21" ht="26.4">
      <c r="U2769" s="61" ph="1"/>
    </row>
    <row r="2770" spans="21:21" ht="26.4">
      <c r="U2770" s="61" ph="1"/>
    </row>
    <row r="2771" spans="21:21" ht="26.4">
      <c r="U2771" s="61" ph="1"/>
    </row>
    <row r="2772" spans="21:21" ht="26.4">
      <c r="U2772" s="61" ph="1"/>
    </row>
    <row r="2773" spans="21:21" ht="26.4">
      <c r="U2773" s="61" ph="1"/>
    </row>
    <row r="2774" spans="21:21" ht="26.4">
      <c r="U2774" s="61" ph="1"/>
    </row>
    <row r="2775" spans="21:21" ht="26.4">
      <c r="U2775" s="61" ph="1"/>
    </row>
    <row r="2776" spans="21:21" ht="26.4">
      <c r="U2776" s="61" ph="1"/>
    </row>
    <row r="2777" spans="21:21" ht="26.4">
      <c r="U2777" s="61" ph="1"/>
    </row>
    <row r="2778" spans="21:21" ht="26.4">
      <c r="U2778" s="61" ph="1"/>
    </row>
    <row r="2779" spans="21:21" ht="26.4">
      <c r="U2779" s="61" ph="1"/>
    </row>
    <row r="2780" spans="21:21" ht="26.4">
      <c r="U2780" s="61" ph="1"/>
    </row>
    <row r="2781" spans="21:21" ht="26.4">
      <c r="U2781" s="61" ph="1"/>
    </row>
    <row r="2782" spans="21:21" ht="26.4">
      <c r="U2782" s="61" ph="1"/>
    </row>
    <row r="2783" spans="21:21" ht="26.4">
      <c r="U2783" s="61" ph="1"/>
    </row>
    <row r="2784" spans="21:21" ht="26.4">
      <c r="U2784" s="61" ph="1"/>
    </row>
    <row r="2785" spans="21:21" ht="26.4">
      <c r="U2785" s="61" ph="1"/>
    </row>
    <row r="2786" spans="21:21" ht="26.4">
      <c r="U2786" s="61" ph="1"/>
    </row>
    <row r="2787" spans="21:21" ht="26.4">
      <c r="U2787" s="61" ph="1"/>
    </row>
    <row r="2788" spans="21:21" ht="26.4">
      <c r="U2788" s="61" ph="1"/>
    </row>
    <row r="2789" spans="21:21" ht="26.4">
      <c r="U2789" s="61" ph="1"/>
    </row>
    <row r="2790" spans="21:21" ht="26.4">
      <c r="U2790" s="61" ph="1"/>
    </row>
    <row r="2791" spans="21:21" ht="26.4">
      <c r="U2791" s="61" ph="1"/>
    </row>
    <row r="2792" spans="21:21" ht="26.4">
      <c r="U2792" s="61" ph="1"/>
    </row>
    <row r="2793" spans="21:21" ht="26.4">
      <c r="U2793" s="61" ph="1"/>
    </row>
    <row r="2794" spans="21:21" ht="26.4">
      <c r="U2794" s="61" ph="1"/>
    </row>
    <row r="2795" spans="21:21" ht="26.4">
      <c r="U2795" s="61" ph="1"/>
    </row>
    <row r="2796" spans="21:21" ht="26.4">
      <c r="U2796" s="61" ph="1"/>
    </row>
    <row r="2797" spans="21:21" ht="26.4">
      <c r="U2797" s="61" ph="1"/>
    </row>
    <row r="2798" spans="21:21" ht="26.4">
      <c r="U2798" s="61" ph="1"/>
    </row>
    <row r="2799" spans="21:21" ht="26.4">
      <c r="U2799" s="61" ph="1"/>
    </row>
    <row r="2800" spans="21:21" ht="26.4">
      <c r="U2800" s="61" ph="1"/>
    </row>
    <row r="2801" spans="21:21" ht="26.4">
      <c r="U2801" s="61" ph="1"/>
    </row>
    <row r="2802" spans="21:21" ht="26.4">
      <c r="U2802" s="61" ph="1"/>
    </row>
    <row r="2803" spans="21:21" ht="26.4">
      <c r="U2803" s="61" ph="1"/>
    </row>
    <row r="2804" spans="21:21" ht="26.4">
      <c r="U2804" s="61" ph="1"/>
    </row>
    <row r="2805" spans="21:21" ht="26.4">
      <c r="U2805" s="61" ph="1"/>
    </row>
    <row r="2806" spans="21:21" ht="26.4">
      <c r="U2806" s="61" ph="1"/>
    </row>
    <row r="2807" spans="21:21" ht="26.4">
      <c r="U2807" s="61" ph="1"/>
    </row>
    <row r="2808" spans="21:21" ht="26.4">
      <c r="U2808" s="61" ph="1"/>
    </row>
    <row r="2809" spans="21:21" ht="26.4">
      <c r="U2809" s="61" ph="1"/>
    </row>
    <row r="2810" spans="21:21" ht="26.4">
      <c r="U2810" s="61" ph="1"/>
    </row>
    <row r="2811" spans="21:21" ht="26.4">
      <c r="U2811" s="61" ph="1"/>
    </row>
    <row r="2812" spans="21:21" ht="26.4">
      <c r="U2812" s="61" ph="1"/>
    </row>
    <row r="2813" spans="21:21" ht="26.4">
      <c r="U2813" s="61" ph="1"/>
    </row>
    <row r="2814" spans="21:21" ht="26.4">
      <c r="U2814" s="61" ph="1"/>
    </row>
    <row r="2815" spans="21:21" ht="26.4">
      <c r="U2815" s="61" ph="1"/>
    </row>
    <row r="2816" spans="21:21" ht="26.4">
      <c r="U2816" s="61" ph="1"/>
    </row>
    <row r="2817" spans="21:21" ht="26.4">
      <c r="U2817" s="61" ph="1"/>
    </row>
    <row r="2818" spans="21:21" ht="26.4">
      <c r="U2818" s="61" ph="1"/>
    </row>
    <row r="2819" spans="21:21" ht="26.4">
      <c r="U2819" s="61" ph="1"/>
    </row>
    <row r="2820" spans="21:21" ht="26.4">
      <c r="U2820" s="61" ph="1"/>
    </row>
    <row r="2821" spans="21:21" ht="26.4">
      <c r="U2821" s="61" ph="1"/>
    </row>
    <row r="2822" spans="21:21" ht="26.4">
      <c r="U2822" s="61" ph="1"/>
    </row>
    <row r="2823" spans="21:21" ht="26.4">
      <c r="U2823" s="61" ph="1"/>
    </row>
    <row r="2824" spans="21:21" ht="26.4">
      <c r="U2824" s="61" ph="1"/>
    </row>
    <row r="2825" spans="21:21" ht="26.4">
      <c r="U2825" s="61" ph="1"/>
    </row>
    <row r="2826" spans="21:21" ht="26.4">
      <c r="U2826" s="61" ph="1"/>
    </row>
    <row r="2827" spans="21:21" ht="26.4">
      <c r="U2827" s="61" ph="1"/>
    </row>
    <row r="2828" spans="21:21" ht="26.4">
      <c r="U2828" s="61" ph="1"/>
    </row>
    <row r="2829" spans="21:21" ht="26.4">
      <c r="U2829" s="61" ph="1"/>
    </row>
    <row r="2830" spans="21:21" ht="26.4">
      <c r="U2830" s="61" ph="1"/>
    </row>
    <row r="2831" spans="21:21" ht="26.4">
      <c r="U2831" s="61" ph="1"/>
    </row>
    <row r="2832" spans="21:21" ht="26.4">
      <c r="U2832" s="61" ph="1"/>
    </row>
    <row r="2833" spans="21:21" ht="26.4">
      <c r="U2833" s="61" ph="1"/>
    </row>
    <row r="2834" spans="21:21" ht="26.4">
      <c r="U2834" s="61" ph="1"/>
    </row>
    <row r="2835" spans="21:21" ht="26.4">
      <c r="U2835" s="61" ph="1"/>
    </row>
    <row r="2836" spans="21:21" ht="26.4">
      <c r="U2836" s="61" ph="1"/>
    </row>
    <row r="2837" spans="21:21" ht="26.4">
      <c r="U2837" s="61" ph="1"/>
    </row>
    <row r="2838" spans="21:21" ht="26.4">
      <c r="U2838" s="61" ph="1"/>
    </row>
    <row r="2839" spans="21:21" ht="26.4">
      <c r="U2839" s="61" ph="1"/>
    </row>
    <row r="2840" spans="21:21" ht="26.4">
      <c r="U2840" s="61" ph="1"/>
    </row>
    <row r="2841" spans="21:21" ht="26.4">
      <c r="U2841" s="61" ph="1"/>
    </row>
    <row r="2842" spans="21:21" ht="26.4">
      <c r="U2842" s="61" ph="1"/>
    </row>
    <row r="2843" spans="21:21" ht="26.4">
      <c r="U2843" s="61" ph="1"/>
    </row>
    <row r="2844" spans="21:21" ht="26.4">
      <c r="U2844" s="61" ph="1"/>
    </row>
    <row r="2845" spans="21:21" ht="26.4">
      <c r="U2845" s="61" ph="1"/>
    </row>
    <row r="2846" spans="21:21" ht="26.4">
      <c r="U2846" s="61" ph="1"/>
    </row>
    <row r="2847" spans="21:21" ht="26.4">
      <c r="U2847" s="61" ph="1"/>
    </row>
    <row r="2848" spans="21:21" ht="26.4">
      <c r="U2848" s="61" ph="1"/>
    </row>
    <row r="2849" spans="21:21" ht="26.4">
      <c r="U2849" s="61" ph="1"/>
    </row>
    <row r="2850" spans="21:21" ht="26.4">
      <c r="U2850" s="61" ph="1"/>
    </row>
    <row r="2851" spans="21:21" ht="26.4">
      <c r="U2851" s="61" ph="1"/>
    </row>
    <row r="2852" spans="21:21" ht="26.4">
      <c r="U2852" s="61" ph="1"/>
    </row>
    <row r="2853" spans="21:21" ht="26.4">
      <c r="U2853" s="61" ph="1"/>
    </row>
    <row r="2854" spans="21:21" ht="26.4">
      <c r="U2854" s="61" ph="1"/>
    </row>
    <row r="2855" spans="21:21" ht="26.4">
      <c r="U2855" s="61" ph="1"/>
    </row>
    <row r="2856" spans="21:21" ht="26.4">
      <c r="U2856" s="61" ph="1"/>
    </row>
    <row r="2857" spans="21:21" ht="26.4">
      <c r="U2857" s="61" ph="1"/>
    </row>
    <row r="2858" spans="21:21" ht="26.4">
      <c r="U2858" s="61" ph="1"/>
    </row>
    <row r="2859" spans="21:21" ht="26.4">
      <c r="U2859" s="61" ph="1"/>
    </row>
    <row r="2860" spans="21:21" ht="26.4">
      <c r="U2860" s="61" ph="1"/>
    </row>
    <row r="2861" spans="21:21" ht="26.4">
      <c r="U2861" s="61" ph="1"/>
    </row>
    <row r="2862" spans="21:21" ht="26.4">
      <c r="U2862" s="61" ph="1"/>
    </row>
    <row r="2863" spans="21:21" ht="26.4">
      <c r="U2863" s="61" ph="1"/>
    </row>
    <row r="2864" spans="21:21" ht="26.4">
      <c r="U2864" s="61" ph="1"/>
    </row>
    <row r="2865" spans="21:21" ht="26.4">
      <c r="U2865" s="61" ph="1"/>
    </row>
    <row r="2866" spans="21:21" ht="26.4">
      <c r="U2866" s="61" ph="1"/>
    </row>
    <row r="2867" spans="21:21" ht="26.4">
      <c r="U2867" s="61" ph="1"/>
    </row>
    <row r="2868" spans="21:21" ht="26.4">
      <c r="U2868" s="61" ph="1"/>
    </row>
    <row r="2869" spans="21:21" ht="26.4">
      <c r="U2869" s="61" ph="1"/>
    </row>
    <row r="2870" spans="21:21" ht="26.4">
      <c r="U2870" s="61" ph="1"/>
    </row>
    <row r="2871" spans="21:21" ht="26.4">
      <c r="U2871" s="61" ph="1"/>
    </row>
    <row r="2872" spans="21:21" ht="26.4">
      <c r="U2872" s="61" ph="1"/>
    </row>
    <row r="2873" spans="21:21" ht="26.4">
      <c r="U2873" s="61" ph="1"/>
    </row>
    <row r="2874" spans="21:21" ht="26.4">
      <c r="U2874" s="61" ph="1"/>
    </row>
    <row r="2875" spans="21:21" ht="26.4">
      <c r="U2875" s="61" ph="1"/>
    </row>
    <row r="2876" spans="21:21" ht="26.4">
      <c r="U2876" s="61" ph="1"/>
    </row>
    <row r="2877" spans="21:21" ht="26.4">
      <c r="U2877" s="61" ph="1"/>
    </row>
    <row r="2878" spans="21:21" ht="26.4">
      <c r="U2878" s="61" ph="1"/>
    </row>
    <row r="2879" spans="21:21" ht="26.4">
      <c r="U2879" s="61" ph="1"/>
    </row>
    <row r="2880" spans="21:21" ht="26.4">
      <c r="U2880" s="61" ph="1"/>
    </row>
    <row r="2881" spans="21:21" ht="26.4">
      <c r="U2881" s="61" ph="1"/>
    </row>
    <row r="2882" spans="21:21" ht="26.4">
      <c r="U2882" s="61" ph="1"/>
    </row>
    <row r="2883" spans="21:21" ht="26.4">
      <c r="U2883" s="61" ph="1"/>
    </row>
    <row r="2884" spans="21:21" ht="26.4">
      <c r="U2884" s="61" ph="1"/>
    </row>
    <row r="2885" spans="21:21" ht="26.4">
      <c r="U2885" s="61" ph="1"/>
    </row>
    <row r="2886" spans="21:21" ht="26.4">
      <c r="U2886" s="61" ph="1"/>
    </row>
    <row r="2887" spans="21:21" ht="26.4">
      <c r="U2887" s="61" ph="1"/>
    </row>
    <row r="2888" spans="21:21" ht="26.4">
      <c r="U2888" s="61" ph="1"/>
    </row>
    <row r="2889" spans="21:21" ht="26.4">
      <c r="U2889" s="61" ph="1"/>
    </row>
    <row r="2890" spans="21:21" ht="26.4">
      <c r="U2890" s="61" ph="1"/>
    </row>
    <row r="2891" spans="21:21" ht="26.4">
      <c r="U2891" s="61" ph="1"/>
    </row>
    <row r="2892" spans="21:21" ht="26.4">
      <c r="U2892" s="61" ph="1"/>
    </row>
    <row r="2893" spans="21:21" ht="26.4">
      <c r="U2893" s="61" ph="1"/>
    </row>
    <row r="2894" spans="21:21" ht="26.4">
      <c r="U2894" s="61" ph="1"/>
    </row>
    <row r="2895" spans="21:21" ht="26.4">
      <c r="U2895" s="61" ph="1"/>
    </row>
    <row r="2896" spans="21:21" ht="26.4">
      <c r="U2896" s="61" ph="1"/>
    </row>
    <row r="2897" spans="21:21" ht="26.4">
      <c r="U2897" s="61" ph="1"/>
    </row>
    <row r="2898" spans="21:21" ht="26.4">
      <c r="U2898" s="61" ph="1"/>
    </row>
    <row r="2899" spans="21:21" ht="26.4">
      <c r="U2899" s="61" ph="1"/>
    </row>
    <row r="2900" spans="21:21" ht="26.4">
      <c r="U2900" s="61" ph="1"/>
    </row>
    <row r="2901" spans="21:21" ht="26.4">
      <c r="U2901" s="61" ph="1"/>
    </row>
    <row r="2902" spans="21:21" ht="26.4">
      <c r="U2902" s="61" ph="1"/>
    </row>
    <row r="2903" spans="21:21" ht="26.4">
      <c r="U2903" s="61" ph="1"/>
    </row>
    <row r="2904" spans="21:21" ht="26.4">
      <c r="U2904" s="61" ph="1"/>
    </row>
    <row r="2905" spans="21:21" ht="26.4">
      <c r="U2905" s="61" ph="1"/>
    </row>
    <row r="2906" spans="21:21" ht="26.4">
      <c r="U2906" s="61" ph="1"/>
    </row>
    <row r="2907" spans="21:21" ht="26.4">
      <c r="U2907" s="61" ph="1"/>
    </row>
    <row r="2908" spans="21:21" ht="26.4">
      <c r="U2908" s="61" ph="1"/>
    </row>
    <row r="2909" spans="21:21" ht="26.4">
      <c r="U2909" s="61" ph="1"/>
    </row>
    <row r="2910" spans="21:21" ht="26.4">
      <c r="U2910" s="61" ph="1"/>
    </row>
    <row r="2911" spans="21:21" ht="26.4">
      <c r="U2911" s="61" ph="1"/>
    </row>
    <row r="2912" spans="21:21" ht="26.4">
      <c r="U2912" s="61" ph="1"/>
    </row>
    <row r="2913" spans="21:21" ht="26.4">
      <c r="U2913" s="61" ph="1"/>
    </row>
    <row r="2914" spans="21:21" ht="26.4">
      <c r="U2914" s="61" ph="1"/>
    </row>
    <row r="2915" spans="21:21" ht="26.4">
      <c r="U2915" s="61" ph="1"/>
    </row>
    <row r="2916" spans="21:21" ht="26.4">
      <c r="U2916" s="61" ph="1"/>
    </row>
    <row r="2917" spans="21:21" ht="26.4">
      <c r="U2917" s="61" ph="1"/>
    </row>
    <row r="2918" spans="21:21" ht="26.4">
      <c r="U2918" s="61" ph="1"/>
    </row>
    <row r="2919" spans="21:21" ht="26.4">
      <c r="U2919" s="61" ph="1"/>
    </row>
    <row r="2920" spans="21:21" ht="26.4">
      <c r="U2920" s="61" ph="1"/>
    </row>
    <row r="2921" spans="21:21" ht="26.4">
      <c r="U2921" s="61" ph="1"/>
    </row>
    <row r="2922" spans="21:21" ht="26.4">
      <c r="U2922" s="61" ph="1"/>
    </row>
    <row r="2923" spans="21:21" ht="26.4">
      <c r="U2923" s="61" ph="1"/>
    </row>
    <row r="2924" spans="21:21" ht="26.4">
      <c r="U2924" s="61" ph="1"/>
    </row>
    <row r="2925" spans="21:21" ht="26.4">
      <c r="U2925" s="61" ph="1"/>
    </row>
    <row r="2926" spans="21:21" ht="26.4">
      <c r="U2926" s="61" ph="1"/>
    </row>
    <row r="2927" spans="21:21" ht="26.4">
      <c r="U2927" s="61" ph="1"/>
    </row>
    <row r="2928" spans="21:21" ht="26.4">
      <c r="U2928" s="61" ph="1"/>
    </row>
    <row r="2929" spans="21:21" ht="26.4">
      <c r="U2929" s="61" ph="1"/>
    </row>
    <row r="2930" spans="21:21" ht="26.4">
      <c r="U2930" s="61" ph="1"/>
    </row>
    <row r="2931" spans="21:21" ht="26.4">
      <c r="U2931" s="61" ph="1"/>
    </row>
    <row r="2932" spans="21:21" ht="26.4">
      <c r="U2932" s="61" ph="1"/>
    </row>
    <row r="2933" spans="21:21" ht="26.4">
      <c r="U2933" s="61" ph="1"/>
    </row>
    <row r="2934" spans="21:21" ht="26.4">
      <c r="U2934" s="61" ph="1"/>
    </row>
    <row r="2935" spans="21:21" ht="26.4">
      <c r="U2935" s="61" ph="1"/>
    </row>
    <row r="2936" spans="21:21" ht="26.4">
      <c r="U2936" s="61" ph="1"/>
    </row>
    <row r="2937" spans="21:21" ht="26.4">
      <c r="U2937" s="61" ph="1"/>
    </row>
    <row r="2938" spans="21:21" ht="26.4">
      <c r="U2938" s="61" ph="1"/>
    </row>
    <row r="2939" spans="21:21" ht="26.4">
      <c r="U2939" s="61" ph="1"/>
    </row>
    <row r="2940" spans="21:21" ht="26.4">
      <c r="U2940" s="61" ph="1"/>
    </row>
    <row r="2941" spans="21:21" ht="26.4">
      <c r="U2941" s="61" ph="1"/>
    </row>
    <row r="2942" spans="21:21" ht="26.4">
      <c r="U2942" s="61" ph="1"/>
    </row>
    <row r="2943" spans="21:21" ht="26.4">
      <c r="U2943" s="61" ph="1"/>
    </row>
    <row r="2944" spans="21:21" ht="26.4">
      <c r="U2944" s="61" ph="1"/>
    </row>
    <row r="2945" spans="21:21" ht="26.4">
      <c r="U2945" s="61" ph="1"/>
    </row>
    <row r="2946" spans="21:21" ht="26.4">
      <c r="U2946" s="61" ph="1"/>
    </row>
    <row r="2947" spans="21:21" ht="26.4">
      <c r="U2947" s="61" ph="1"/>
    </row>
    <row r="2948" spans="21:21" ht="26.4">
      <c r="U2948" s="61" ph="1"/>
    </row>
    <row r="2949" spans="21:21" ht="26.4">
      <c r="U2949" s="61" ph="1"/>
    </row>
    <row r="2950" spans="21:21" ht="26.4">
      <c r="U2950" s="61" ph="1"/>
    </row>
    <row r="2951" spans="21:21" ht="26.4">
      <c r="U2951" s="61" ph="1"/>
    </row>
    <row r="2952" spans="21:21" ht="26.4">
      <c r="U2952" s="61" ph="1"/>
    </row>
    <row r="2953" spans="21:21" ht="26.4">
      <c r="U2953" s="61" ph="1"/>
    </row>
    <row r="2954" spans="21:21" ht="26.4">
      <c r="U2954" s="61" ph="1"/>
    </row>
    <row r="2955" spans="21:21" ht="26.4">
      <c r="U2955" s="61" ph="1"/>
    </row>
    <row r="2956" spans="21:21" ht="26.4">
      <c r="U2956" s="61" ph="1"/>
    </row>
    <row r="2957" spans="21:21" ht="26.4">
      <c r="U2957" s="61" ph="1"/>
    </row>
    <row r="2958" spans="21:21" ht="26.4">
      <c r="U2958" s="61" ph="1"/>
    </row>
    <row r="2959" spans="21:21" ht="26.4">
      <c r="U2959" s="61" ph="1"/>
    </row>
    <row r="2960" spans="21:21" ht="26.4">
      <c r="U2960" s="61" ph="1"/>
    </row>
    <row r="2961" spans="21:21" ht="26.4">
      <c r="U2961" s="61" ph="1"/>
    </row>
    <row r="2962" spans="21:21" ht="26.4">
      <c r="U2962" s="61" ph="1"/>
    </row>
    <row r="2963" spans="21:21" ht="26.4">
      <c r="U2963" s="61" ph="1"/>
    </row>
    <row r="2964" spans="21:21" ht="26.4">
      <c r="U2964" s="61" ph="1"/>
    </row>
    <row r="2965" spans="21:21" ht="26.4">
      <c r="U2965" s="61" ph="1"/>
    </row>
    <row r="2966" spans="21:21" ht="26.4">
      <c r="U2966" s="61" ph="1"/>
    </row>
    <row r="2967" spans="21:21" ht="26.4">
      <c r="U2967" s="61" ph="1"/>
    </row>
    <row r="2968" spans="21:21" ht="26.4">
      <c r="U2968" s="61" ph="1"/>
    </row>
    <row r="2969" spans="21:21" ht="26.4">
      <c r="U2969" s="61" ph="1"/>
    </row>
    <row r="2970" spans="21:21" ht="26.4">
      <c r="U2970" s="61" ph="1"/>
    </row>
    <row r="2971" spans="21:21" ht="26.4">
      <c r="U2971" s="61" ph="1"/>
    </row>
    <row r="2972" spans="21:21" ht="26.4">
      <c r="U2972" s="61" ph="1"/>
    </row>
    <row r="2973" spans="21:21" ht="26.4">
      <c r="U2973" s="61" ph="1"/>
    </row>
    <row r="2974" spans="21:21" ht="26.4">
      <c r="U2974" s="61" ph="1"/>
    </row>
    <row r="2975" spans="21:21" ht="26.4">
      <c r="U2975" s="61" ph="1"/>
    </row>
    <row r="2976" spans="21:21" ht="26.4">
      <c r="U2976" s="61" ph="1"/>
    </row>
    <row r="2977" spans="21:21" ht="26.4">
      <c r="U2977" s="61" ph="1"/>
    </row>
    <row r="2978" spans="21:21" ht="26.4">
      <c r="U2978" s="61" ph="1"/>
    </row>
    <row r="2979" spans="21:21" ht="26.4">
      <c r="U2979" s="61" ph="1"/>
    </row>
    <row r="2980" spans="21:21" ht="26.4">
      <c r="U2980" s="61" ph="1"/>
    </row>
    <row r="2981" spans="21:21" ht="26.4">
      <c r="U2981" s="61" ph="1"/>
    </row>
    <row r="2982" spans="21:21" ht="26.4">
      <c r="U2982" s="61" ph="1"/>
    </row>
    <row r="2983" spans="21:21" ht="26.4">
      <c r="U2983" s="61" ph="1"/>
    </row>
    <row r="2984" spans="21:21" ht="26.4">
      <c r="U2984" s="61" ph="1"/>
    </row>
    <row r="2985" spans="21:21" ht="26.4">
      <c r="U2985" s="61" ph="1"/>
    </row>
    <row r="2986" spans="21:21" ht="26.4">
      <c r="U2986" s="61" ph="1"/>
    </row>
    <row r="2987" spans="21:21" ht="26.4">
      <c r="U2987" s="61" ph="1"/>
    </row>
    <row r="2988" spans="21:21" ht="26.4">
      <c r="U2988" s="61" ph="1"/>
    </row>
    <row r="2989" spans="21:21" ht="26.4">
      <c r="U2989" s="61" ph="1"/>
    </row>
    <row r="2990" spans="21:21" ht="26.4">
      <c r="U2990" s="61" ph="1"/>
    </row>
    <row r="2991" spans="21:21" ht="26.4">
      <c r="U2991" s="61" ph="1"/>
    </row>
    <row r="2992" spans="21:21" ht="26.4">
      <c r="U2992" s="61" ph="1"/>
    </row>
    <row r="2993" spans="21:21" ht="26.4">
      <c r="U2993" s="61" ph="1"/>
    </row>
    <row r="2994" spans="21:21" ht="26.4">
      <c r="U2994" s="61" ph="1"/>
    </row>
    <row r="2995" spans="21:21" ht="26.4">
      <c r="U2995" s="61" ph="1"/>
    </row>
    <row r="2996" spans="21:21" ht="26.4">
      <c r="U2996" s="61" ph="1"/>
    </row>
    <row r="2997" spans="21:21" ht="26.4">
      <c r="U2997" s="61" ph="1"/>
    </row>
    <row r="2998" spans="21:21" ht="26.4">
      <c r="U2998" s="61" ph="1"/>
    </row>
    <row r="2999" spans="21:21" ht="26.4">
      <c r="U2999" s="61" ph="1"/>
    </row>
    <row r="3000" spans="21:21" ht="26.4">
      <c r="U3000" s="61" ph="1"/>
    </row>
    <row r="3001" spans="21:21" ht="26.4">
      <c r="U3001" s="61" ph="1"/>
    </row>
    <row r="3002" spans="21:21" ht="26.4">
      <c r="U3002" s="61" ph="1"/>
    </row>
    <row r="3003" spans="21:21" ht="26.4">
      <c r="U3003" s="61" ph="1"/>
    </row>
    <row r="3004" spans="21:21" ht="26.4">
      <c r="U3004" s="61" ph="1"/>
    </row>
    <row r="3005" spans="21:21" ht="26.4">
      <c r="U3005" s="61" ph="1"/>
    </row>
    <row r="3006" spans="21:21" ht="26.4">
      <c r="U3006" s="61" ph="1"/>
    </row>
    <row r="3007" spans="21:21" ht="26.4">
      <c r="U3007" s="61" ph="1"/>
    </row>
    <row r="3008" spans="21:21" ht="26.4">
      <c r="U3008" s="61" ph="1"/>
    </row>
    <row r="3009" spans="21:21" ht="26.4">
      <c r="U3009" s="61" ph="1"/>
    </row>
    <row r="3010" spans="21:21" ht="26.4">
      <c r="U3010" s="61" ph="1"/>
    </row>
    <row r="3011" spans="21:21" ht="26.4">
      <c r="U3011" s="61" ph="1"/>
    </row>
    <row r="3012" spans="21:21" ht="26.4">
      <c r="U3012" s="61" ph="1"/>
    </row>
    <row r="3013" spans="21:21" ht="26.4">
      <c r="U3013" s="61" ph="1"/>
    </row>
    <row r="3014" spans="21:21" ht="26.4">
      <c r="U3014" s="61" ph="1"/>
    </row>
    <row r="3015" spans="21:21" ht="26.4">
      <c r="U3015" s="61" ph="1"/>
    </row>
    <row r="3016" spans="21:21" ht="26.4">
      <c r="U3016" s="61" ph="1"/>
    </row>
    <row r="3017" spans="21:21" ht="26.4">
      <c r="U3017" s="61" ph="1"/>
    </row>
    <row r="3018" spans="21:21" ht="26.4">
      <c r="U3018" s="61" ph="1"/>
    </row>
    <row r="3019" spans="21:21" ht="26.4">
      <c r="U3019" s="61" ph="1"/>
    </row>
    <row r="3020" spans="21:21" ht="26.4">
      <c r="U3020" s="61" ph="1"/>
    </row>
    <row r="3021" spans="21:21" ht="26.4">
      <c r="U3021" s="61" ph="1"/>
    </row>
    <row r="3022" spans="21:21" ht="26.4">
      <c r="U3022" s="61" ph="1"/>
    </row>
    <row r="3023" spans="21:21" ht="26.4">
      <c r="U3023" s="61" ph="1"/>
    </row>
    <row r="3024" spans="21:21" ht="26.4">
      <c r="U3024" s="61" ph="1"/>
    </row>
    <row r="3025" spans="21:21" ht="26.4">
      <c r="U3025" s="61" ph="1"/>
    </row>
    <row r="3026" spans="21:21" ht="26.4">
      <c r="U3026" s="61" ph="1"/>
    </row>
    <row r="3027" spans="21:21" ht="26.4">
      <c r="U3027" s="61" ph="1"/>
    </row>
    <row r="3028" spans="21:21" ht="26.4">
      <c r="U3028" s="61" ph="1"/>
    </row>
    <row r="3029" spans="21:21" ht="26.4">
      <c r="U3029" s="61" ph="1"/>
    </row>
    <row r="3030" spans="21:21" ht="26.4">
      <c r="U3030" s="61" ph="1"/>
    </row>
    <row r="3031" spans="21:21" ht="26.4">
      <c r="U3031" s="61" ph="1"/>
    </row>
    <row r="3032" spans="21:21" ht="26.4">
      <c r="U3032" s="61" ph="1"/>
    </row>
    <row r="3033" spans="21:21" ht="26.4">
      <c r="U3033" s="61" ph="1"/>
    </row>
    <row r="3034" spans="21:21" ht="26.4">
      <c r="U3034" s="61" ph="1"/>
    </row>
    <row r="3035" spans="21:21" ht="26.4">
      <c r="U3035" s="61" ph="1"/>
    </row>
    <row r="3036" spans="21:21" ht="26.4">
      <c r="U3036" s="61" ph="1"/>
    </row>
    <row r="3037" spans="21:21" ht="26.4">
      <c r="U3037" s="61" ph="1"/>
    </row>
    <row r="3038" spans="21:21" ht="26.4">
      <c r="U3038" s="61" ph="1"/>
    </row>
    <row r="3039" spans="21:21" ht="26.4">
      <c r="U3039" s="61" ph="1"/>
    </row>
    <row r="3040" spans="21:21" ht="26.4">
      <c r="U3040" s="61" ph="1"/>
    </row>
    <row r="3041" spans="21:21" ht="26.4">
      <c r="U3041" s="61" ph="1"/>
    </row>
    <row r="3042" spans="21:21" ht="26.4">
      <c r="U3042" s="61" ph="1"/>
    </row>
    <row r="3043" spans="21:21" ht="26.4">
      <c r="U3043" s="61" ph="1"/>
    </row>
    <row r="3044" spans="21:21" ht="26.4">
      <c r="U3044" s="61" ph="1"/>
    </row>
    <row r="3045" spans="21:21" ht="26.4">
      <c r="U3045" s="61" ph="1"/>
    </row>
    <row r="3046" spans="21:21" ht="26.4">
      <c r="U3046" s="61" ph="1"/>
    </row>
    <row r="3047" spans="21:21" ht="26.4">
      <c r="U3047" s="61" ph="1"/>
    </row>
    <row r="3048" spans="21:21" ht="26.4">
      <c r="U3048" s="61" ph="1"/>
    </row>
    <row r="3049" spans="21:21" ht="26.4">
      <c r="U3049" s="61" ph="1"/>
    </row>
    <row r="3050" spans="21:21" ht="26.4">
      <c r="U3050" s="61" ph="1"/>
    </row>
    <row r="3051" spans="21:21" ht="26.4">
      <c r="U3051" s="61" ph="1"/>
    </row>
    <row r="3052" spans="21:21" ht="26.4">
      <c r="U3052" s="61" ph="1"/>
    </row>
    <row r="3053" spans="21:21" ht="26.4">
      <c r="U3053" s="61" ph="1"/>
    </row>
    <row r="3054" spans="21:21" ht="26.4">
      <c r="U3054" s="61" ph="1"/>
    </row>
    <row r="3055" spans="21:21" ht="26.4">
      <c r="U3055" s="61" ph="1"/>
    </row>
    <row r="3056" spans="21:21" ht="26.4">
      <c r="U3056" s="61" ph="1"/>
    </row>
    <row r="3057" spans="21:21" ht="26.4">
      <c r="U3057" s="61" ph="1"/>
    </row>
    <row r="3058" spans="21:21" ht="26.4">
      <c r="U3058" s="61" ph="1"/>
    </row>
    <row r="3059" spans="21:21" ht="26.4">
      <c r="U3059" s="61" ph="1"/>
    </row>
    <row r="3060" spans="21:21" ht="26.4">
      <c r="U3060" s="61" ph="1"/>
    </row>
    <row r="3061" spans="21:21" ht="26.4">
      <c r="U3061" s="61" ph="1"/>
    </row>
    <row r="3062" spans="21:21" ht="26.4">
      <c r="U3062" s="61" ph="1"/>
    </row>
    <row r="3063" spans="21:21" ht="26.4">
      <c r="U3063" s="61" ph="1"/>
    </row>
    <row r="3064" spans="21:21" ht="26.4">
      <c r="U3064" s="61" ph="1"/>
    </row>
    <row r="3065" spans="21:21" ht="26.4">
      <c r="U3065" s="61" ph="1"/>
    </row>
    <row r="3066" spans="21:21" ht="26.4">
      <c r="U3066" s="61" ph="1"/>
    </row>
    <row r="3067" spans="21:21" ht="26.4">
      <c r="U3067" s="61" ph="1"/>
    </row>
    <row r="3068" spans="21:21" ht="26.4">
      <c r="U3068" s="61" ph="1"/>
    </row>
    <row r="3069" spans="21:21" ht="26.4">
      <c r="U3069" s="61" ph="1"/>
    </row>
    <row r="3070" spans="21:21" ht="26.4">
      <c r="U3070" s="61" ph="1"/>
    </row>
    <row r="3071" spans="21:21" ht="26.4">
      <c r="U3071" s="61" ph="1"/>
    </row>
    <row r="3072" spans="21:21" ht="26.4">
      <c r="U3072" s="61" ph="1"/>
    </row>
    <row r="3073" spans="21:21" ht="26.4">
      <c r="U3073" s="61" ph="1"/>
    </row>
    <row r="3074" spans="21:21" ht="26.4">
      <c r="U3074" s="61" ph="1"/>
    </row>
    <row r="3075" spans="21:21" ht="26.4">
      <c r="U3075" s="61" ph="1"/>
    </row>
    <row r="3076" spans="21:21" ht="26.4">
      <c r="U3076" s="61" ph="1"/>
    </row>
    <row r="3077" spans="21:21" ht="26.4">
      <c r="U3077" s="61" ph="1"/>
    </row>
    <row r="3078" spans="21:21" ht="26.4">
      <c r="U3078" s="61" ph="1"/>
    </row>
    <row r="3079" spans="21:21" ht="26.4">
      <c r="U3079" s="61" ph="1"/>
    </row>
    <row r="3080" spans="21:21" ht="26.4">
      <c r="U3080" s="61" ph="1"/>
    </row>
    <row r="3081" spans="21:21" ht="26.4">
      <c r="U3081" s="61" ph="1"/>
    </row>
    <row r="3082" spans="21:21" ht="26.4">
      <c r="U3082" s="61" ph="1"/>
    </row>
    <row r="3083" spans="21:21" ht="26.4">
      <c r="U3083" s="61" ph="1"/>
    </row>
    <row r="3084" spans="21:21" ht="26.4">
      <c r="U3084" s="61" ph="1"/>
    </row>
    <row r="3085" spans="21:21" ht="26.4">
      <c r="U3085" s="61" ph="1"/>
    </row>
    <row r="3086" spans="21:21" ht="26.4">
      <c r="U3086" s="61" ph="1"/>
    </row>
    <row r="3087" spans="21:21" ht="26.4">
      <c r="U3087" s="61" ph="1"/>
    </row>
    <row r="3088" spans="21:21" ht="26.4">
      <c r="U3088" s="61" ph="1"/>
    </row>
    <row r="3089" spans="21:21" ht="26.4">
      <c r="U3089" s="61" ph="1"/>
    </row>
    <row r="3090" spans="21:21" ht="26.4">
      <c r="U3090" s="61" ph="1"/>
    </row>
    <row r="3091" spans="21:21" ht="26.4">
      <c r="U3091" s="61" ph="1"/>
    </row>
    <row r="3092" spans="21:21" ht="26.4">
      <c r="U3092" s="61" ph="1"/>
    </row>
    <row r="3093" spans="21:21" ht="26.4">
      <c r="U3093" s="61" ph="1"/>
    </row>
    <row r="3094" spans="21:21" ht="26.4">
      <c r="U3094" s="61" ph="1"/>
    </row>
    <row r="3095" spans="21:21" ht="26.4">
      <c r="U3095" s="61" ph="1"/>
    </row>
    <row r="3096" spans="21:21" ht="26.4">
      <c r="U3096" s="61" ph="1"/>
    </row>
    <row r="3097" spans="21:21" ht="26.4">
      <c r="U3097" s="61" ph="1"/>
    </row>
    <row r="3098" spans="21:21" ht="26.4">
      <c r="U3098" s="61" ph="1"/>
    </row>
    <row r="3099" spans="21:21" ht="26.4">
      <c r="U3099" s="61" ph="1"/>
    </row>
    <row r="3100" spans="21:21" ht="26.4">
      <c r="U3100" s="61" ph="1"/>
    </row>
    <row r="3101" spans="21:21" ht="26.4">
      <c r="U3101" s="61" ph="1"/>
    </row>
    <row r="3102" spans="21:21" ht="26.4">
      <c r="U3102" s="61" ph="1"/>
    </row>
    <row r="3103" spans="21:21" ht="26.4">
      <c r="U3103" s="61" ph="1"/>
    </row>
    <row r="3104" spans="21:21" ht="26.4">
      <c r="U3104" s="61" ph="1"/>
    </row>
    <row r="3105" spans="21:21" ht="26.4">
      <c r="U3105" s="61" ph="1"/>
    </row>
    <row r="3106" spans="21:21" ht="26.4">
      <c r="U3106" s="61" ph="1"/>
    </row>
    <row r="3107" spans="21:21" ht="26.4">
      <c r="U3107" s="61" ph="1"/>
    </row>
    <row r="3108" spans="21:21" ht="26.4">
      <c r="U3108" s="61" ph="1"/>
    </row>
    <row r="3109" spans="21:21" ht="26.4">
      <c r="U3109" s="61" ph="1"/>
    </row>
    <row r="3110" spans="21:21" ht="26.4">
      <c r="U3110" s="61" ph="1"/>
    </row>
    <row r="3111" spans="21:21" ht="26.4">
      <c r="U3111" s="61" ph="1"/>
    </row>
    <row r="3112" spans="21:21" ht="26.4">
      <c r="U3112" s="61" ph="1"/>
    </row>
    <row r="3113" spans="21:21" ht="26.4">
      <c r="U3113" s="61" ph="1"/>
    </row>
    <row r="3114" spans="21:21" ht="26.4">
      <c r="U3114" s="61" ph="1"/>
    </row>
    <row r="3115" spans="21:21" ht="26.4">
      <c r="U3115" s="61" ph="1"/>
    </row>
    <row r="3116" spans="21:21" ht="26.4">
      <c r="U3116" s="61" ph="1"/>
    </row>
    <row r="3117" spans="21:21" ht="26.4">
      <c r="U3117" s="61" ph="1"/>
    </row>
    <row r="3118" spans="21:21" ht="26.4">
      <c r="U3118" s="61" ph="1"/>
    </row>
    <row r="3119" spans="21:21" ht="26.4">
      <c r="U3119" s="61" ph="1"/>
    </row>
    <row r="3120" spans="21:21" ht="26.4">
      <c r="U3120" s="61" ph="1"/>
    </row>
    <row r="3121" spans="21:21" ht="26.4">
      <c r="U3121" s="61" ph="1"/>
    </row>
    <row r="3122" spans="21:21" ht="26.4">
      <c r="U3122" s="61" ph="1"/>
    </row>
    <row r="3123" spans="21:21" ht="26.4">
      <c r="U3123" s="61" ph="1"/>
    </row>
    <row r="3124" spans="21:21" ht="26.4">
      <c r="U3124" s="61" ph="1"/>
    </row>
    <row r="3125" spans="21:21" ht="26.4">
      <c r="U3125" s="61" ph="1"/>
    </row>
    <row r="3126" spans="21:21" ht="26.4">
      <c r="U3126" s="61" ph="1"/>
    </row>
    <row r="3127" spans="21:21" ht="26.4">
      <c r="U3127" s="61" ph="1"/>
    </row>
    <row r="3128" spans="21:21" ht="26.4">
      <c r="U3128" s="61" ph="1"/>
    </row>
    <row r="3129" spans="21:21" ht="26.4">
      <c r="U3129" s="61" ph="1"/>
    </row>
    <row r="3130" spans="21:21" ht="26.4">
      <c r="U3130" s="61" ph="1"/>
    </row>
    <row r="3131" spans="21:21" ht="26.4">
      <c r="U3131" s="61" ph="1"/>
    </row>
    <row r="3132" spans="21:21" ht="26.4">
      <c r="U3132" s="61" ph="1"/>
    </row>
    <row r="3133" spans="21:21" ht="26.4">
      <c r="U3133" s="61" ph="1"/>
    </row>
    <row r="3134" spans="21:21" ht="26.4">
      <c r="U3134" s="61" ph="1"/>
    </row>
    <row r="3135" spans="21:21" ht="26.4">
      <c r="U3135" s="61" ph="1"/>
    </row>
    <row r="3136" spans="21:21" ht="26.4">
      <c r="U3136" s="61" ph="1"/>
    </row>
    <row r="3137" spans="21:21" ht="26.4">
      <c r="U3137" s="61" ph="1"/>
    </row>
    <row r="3138" spans="21:21" ht="26.4">
      <c r="U3138" s="61" ph="1"/>
    </row>
    <row r="3139" spans="21:21" ht="26.4">
      <c r="U3139" s="61" ph="1"/>
    </row>
    <row r="3140" spans="21:21" ht="26.4">
      <c r="U3140" s="61" ph="1"/>
    </row>
    <row r="3141" spans="21:21" ht="26.4">
      <c r="U3141" s="61" ph="1"/>
    </row>
    <row r="3142" spans="21:21" ht="26.4">
      <c r="U3142" s="61" ph="1"/>
    </row>
    <row r="3143" spans="21:21" ht="26.4">
      <c r="U3143" s="61" ph="1"/>
    </row>
    <row r="3144" spans="21:21" ht="26.4">
      <c r="U3144" s="61" ph="1"/>
    </row>
    <row r="3145" spans="21:21" ht="26.4">
      <c r="U3145" s="61" ph="1"/>
    </row>
    <row r="3146" spans="21:21" ht="26.4">
      <c r="U3146" s="61" ph="1"/>
    </row>
    <row r="3147" spans="21:21" ht="26.4">
      <c r="U3147" s="61" ph="1"/>
    </row>
    <row r="3148" spans="21:21" ht="26.4">
      <c r="U3148" s="61" ph="1"/>
    </row>
    <row r="3149" spans="21:21" ht="26.4">
      <c r="U3149" s="61" ph="1"/>
    </row>
    <row r="3150" spans="21:21" ht="26.4">
      <c r="U3150" s="61" ph="1"/>
    </row>
    <row r="3151" spans="21:21" ht="26.4">
      <c r="U3151" s="61" ph="1"/>
    </row>
    <row r="3152" spans="21:21" ht="26.4">
      <c r="U3152" s="61" ph="1"/>
    </row>
    <row r="3153" spans="21:21" ht="26.4">
      <c r="U3153" s="61" ph="1"/>
    </row>
    <row r="3154" spans="21:21" ht="26.4">
      <c r="U3154" s="61" ph="1"/>
    </row>
    <row r="3155" spans="21:21" ht="26.4">
      <c r="U3155" s="61" ph="1"/>
    </row>
    <row r="3156" spans="21:21" ht="26.4">
      <c r="U3156" s="61" ph="1"/>
    </row>
    <row r="3157" spans="21:21" ht="26.4">
      <c r="U3157" s="61" ph="1"/>
    </row>
    <row r="3158" spans="21:21" ht="26.4">
      <c r="U3158" s="61" ph="1"/>
    </row>
    <row r="3159" spans="21:21" ht="26.4">
      <c r="U3159" s="61" ph="1"/>
    </row>
    <row r="3160" spans="21:21" ht="26.4">
      <c r="U3160" s="61" ph="1"/>
    </row>
    <row r="3161" spans="21:21" ht="26.4">
      <c r="U3161" s="61" ph="1"/>
    </row>
    <row r="3162" spans="21:21" ht="26.4">
      <c r="U3162" s="61" ph="1"/>
    </row>
    <row r="3163" spans="21:21" ht="26.4">
      <c r="U3163" s="61" ph="1"/>
    </row>
    <row r="3164" spans="21:21" ht="26.4">
      <c r="U3164" s="61" ph="1"/>
    </row>
    <row r="3165" spans="21:21" ht="26.4">
      <c r="U3165" s="61" ph="1"/>
    </row>
    <row r="3166" spans="21:21" ht="26.4">
      <c r="U3166" s="61" ph="1"/>
    </row>
    <row r="3167" spans="21:21" ht="26.4">
      <c r="U3167" s="61" ph="1"/>
    </row>
    <row r="3168" spans="21:21" ht="26.4">
      <c r="U3168" s="61" ph="1"/>
    </row>
    <row r="3169" spans="21:21" ht="26.4">
      <c r="U3169" s="61" ph="1"/>
    </row>
    <row r="3170" spans="21:21" ht="26.4">
      <c r="U3170" s="61" ph="1"/>
    </row>
    <row r="3171" spans="21:21" ht="26.4">
      <c r="U3171" s="61" ph="1"/>
    </row>
    <row r="3172" spans="21:21" ht="26.4">
      <c r="U3172" s="61" ph="1"/>
    </row>
    <row r="3173" spans="21:21" ht="26.4">
      <c r="U3173" s="61" ph="1"/>
    </row>
    <row r="3174" spans="21:21" ht="26.4">
      <c r="U3174" s="61" ph="1"/>
    </row>
    <row r="3175" spans="21:21" ht="26.4">
      <c r="U3175" s="61" ph="1"/>
    </row>
    <row r="3176" spans="21:21" ht="26.4">
      <c r="U3176" s="61" ph="1"/>
    </row>
    <row r="3177" spans="21:21" ht="26.4">
      <c r="U3177" s="61" ph="1"/>
    </row>
    <row r="3178" spans="21:21" ht="26.4">
      <c r="U3178" s="61" ph="1"/>
    </row>
    <row r="3179" spans="21:21" ht="26.4">
      <c r="U3179" s="61" ph="1"/>
    </row>
    <row r="3180" spans="21:21" ht="26.4">
      <c r="U3180" s="61" ph="1"/>
    </row>
    <row r="3181" spans="21:21" ht="26.4">
      <c r="U3181" s="61" ph="1"/>
    </row>
    <row r="3182" spans="21:21" ht="26.4">
      <c r="U3182" s="61" ph="1"/>
    </row>
    <row r="3183" spans="21:21" ht="26.4">
      <c r="U3183" s="61" ph="1"/>
    </row>
    <row r="3184" spans="21:21" ht="26.4">
      <c r="U3184" s="61" ph="1"/>
    </row>
    <row r="3185" spans="21:21" ht="26.4">
      <c r="U3185" s="61" ph="1"/>
    </row>
    <row r="3186" spans="21:21" ht="26.4">
      <c r="U3186" s="61" ph="1"/>
    </row>
    <row r="3187" spans="21:21" ht="26.4">
      <c r="U3187" s="61" ph="1"/>
    </row>
    <row r="3188" spans="21:21" ht="26.4">
      <c r="U3188" s="61" ph="1"/>
    </row>
    <row r="3189" spans="21:21" ht="26.4">
      <c r="U3189" s="61" ph="1"/>
    </row>
    <row r="3190" spans="21:21" ht="26.4">
      <c r="U3190" s="61" ph="1"/>
    </row>
    <row r="3191" spans="21:21" ht="26.4">
      <c r="U3191" s="61" ph="1"/>
    </row>
    <row r="3192" spans="21:21" ht="26.4">
      <c r="U3192" s="61" ph="1"/>
    </row>
    <row r="3193" spans="21:21" ht="26.4">
      <c r="U3193" s="61" ph="1"/>
    </row>
    <row r="3194" spans="21:21" ht="26.4">
      <c r="U3194" s="61" ph="1"/>
    </row>
    <row r="3195" spans="21:21" ht="26.4">
      <c r="U3195" s="61" ph="1"/>
    </row>
    <row r="3196" spans="21:21" ht="26.4">
      <c r="U3196" s="61" ph="1"/>
    </row>
    <row r="3197" spans="21:21" ht="26.4">
      <c r="U3197" s="61" ph="1"/>
    </row>
    <row r="3198" spans="21:21" ht="26.4">
      <c r="U3198" s="61" ph="1"/>
    </row>
    <row r="3199" spans="21:21" ht="26.4">
      <c r="U3199" s="61" ph="1"/>
    </row>
    <row r="3200" spans="21:21" ht="26.4">
      <c r="U3200" s="61" ph="1"/>
    </row>
    <row r="3201" spans="21:21" ht="26.4">
      <c r="U3201" s="61" ph="1"/>
    </row>
    <row r="3202" spans="21:21" ht="26.4">
      <c r="U3202" s="61" ph="1"/>
    </row>
    <row r="3203" spans="21:21" ht="26.4">
      <c r="U3203" s="61" ph="1"/>
    </row>
    <row r="3204" spans="21:21" ht="26.4">
      <c r="U3204" s="61" ph="1"/>
    </row>
    <row r="3205" spans="21:21" ht="26.4">
      <c r="U3205" s="61" ph="1"/>
    </row>
    <row r="3206" spans="21:21" ht="26.4">
      <c r="U3206" s="61" ph="1"/>
    </row>
    <row r="3207" spans="21:21" ht="26.4">
      <c r="U3207" s="61" ph="1"/>
    </row>
    <row r="3208" spans="21:21" ht="26.4">
      <c r="U3208" s="61" ph="1"/>
    </row>
    <row r="3209" spans="21:21" ht="26.4">
      <c r="U3209" s="61" ph="1"/>
    </row>
    <row r="3210" spans="21:21" ht="26.4">
      <c r="U3210" s="61" ph="1"/>
    </row>
    <row r="3211" spans="21:21" ht="26.4">
      <c r="U3211" s="61" ph="1"/>
    </row>
    <row r="3212" spans="21:21" ht="26.4">
      <c r="U3212" s="61" ph="1"/>
    </row>
    <row r="3213" spans="21:21" ht="26.4">
      <c r="U3213" s="61" ph="1"/>
    </row>
    <row r="3214" spans="21:21" ht="26.4">
      <c r="U3214" s="61" ph="1"/>
    </row>
    <row r="3215" spans="21:21" ht="26.4">
      <c r="U3215" s="61" ph="1"/>
    </row>
    <row r="3216" spans="21:21" ht="26.4">
      <c r="U3216" s="61" ph="1"/>
    </row>
    <row r="3217" spans="21:21" ht="26.4">
      <c r="U3217" s="61" ph="1"/>
    </row>
    <row r="3218" spans="21:21" ht="26.4">
      <c r="U3218" s="61" ph="1"/>
    </row>
    <row r="3219" spans="21:21" ht="26.4">
      <c r="U3219" s="61" ph="1"/>
    </row>
    <row r="3220" spans="21:21" ht="26.4">
      <c r="U3220" s="61" ph="1"/>
    </row>
    <row r="3221" spans="21:21" ht="26.4">
      <c r="U3221" s="61" ph="1"/>
    </row>
    <row r="3222" spans="21:21" ht="26.4">
      <c r="U3222" s="61" ph="1"/>
    </row>
    <row r="3223" spans="21:21" ht="26.4">
      <c r="U3223" s="61" ph="1"/>
    </row>
    <row r="3224" spans="21:21" ht="26.4">
      <c r="U3224" s="61" ph="1"/>
    </row>
    <row r="3225" spans="21:21" ht="26.4">
      <c r="U3225" s="61" ph="1"/>
    </row>
    <row r="3226" spans="21:21" ht="26.4">
      <c r="U3226" s="61" ph="1"/>
    </row>
    <row r="3227" spans="21:21" ht="26.4">
      <c r="U3227" s="61" ph="1"/>
    </row>
    <row r="3228" spans="21:21" ht="26.4">
      <c r="U3228" s="61" ph="1"/>
    </row>
    <row r="3229" spans="21:21" ht="26.4">
      <c r="U3229" s="61" ph="1"/>
    </row>
    <row r="3230" spans="21:21" ht="26.4">
      <c r="U3230" s="61" ph="1"/>
    </row>
    <row r="3231" spans="21:21" ht="26.4">
      <c r="U3231" s="61" ph="1"/>
    </row>
    <row r="3232" spans="21:21" ht="26.4">
      <c r="U3232" s="61" ph="1"/>
    </row>
    <row r="3233" spans="21:21" ht="26.4">
      <c r="U3233" s="61" ph="1"/>
    </row>
    <row r="3234" spans="21:21" ht="26.4">
      <c r="U3234" s="61" ph="1"/>
    </row>
    <row r="3235" spans="21:21" ht="26.4">
      <c r="U3235" s="61" ph="1"/>
    </row>
    <row r="3236" spans="21:21" ht="26.4">
      <c r="U3236" s="61" ph="1"/>
    </row>
    <row r="3237" spans="21:21" ht="26.4">
      <c r="U3237" s="61" ph="1"/>
    </row>
    <row r="3238" spans="21:21" ht="26.4">
      <c r="U3238" s="61" ph="1"/>
    </row>
    <row r="3239" spans="21:21" ht="26.4">
      <c r="U3239" s="61" ph="1"/>
    </row>
    <row r="3240" spans="21:21" ht="26.4">
      <c r="U3240" s="61" ph="1"/>
    </row>
    <row r="3241" spans="21:21" ht="26.4">
      <c r="U3241" s="61" ph="1"/>
    </row>
    <row r="3242" spans="21:21" ht="26.4">
      <c r="U3242" s="61" ph="1"/>
    </row>
    <row r="3243" spans="21:21" ht="26.4">
      <c r="U3243" s="61" ph="1"/>
    </row>
    <row r="3244" spans="21:21" ht="26.4">
      <c r="U3244" s="61" ph="1"/>
    </row>
    <row r="3245" spans="21:21" ht="26.4">
      <c r="U3245" s="61" ph="1"/>
    </row>
    <row r="3246" spans="21:21" ht="26.4">
      <c r="U3246" s="61" ph="1"/>
    </row>
    <row r="3247" spans="21:21" ht="26.4">
      <c r="U3247" s="61" ph="1"/>
    </row>
    <row r="3248" spans="21:21" ht="26.4">
      <c r="U3248" s="61" ph="1"/>
    </row>
    <row r="3249" spans="21:21" ht="26.4">
      <c r="U3249" s="61" ph="1"/>
    </row>
    <row r="3250" spans="21:21" ht="26.4">
      <c r="U3250" s="61" ph="1"/>
    </row>
    <row r="3251" spans="21:21" ht="26.4">
      <c r="U3251" s="61" ph="1"/>
    </row>
    <row r="3252" spans="21:21" ht="26.4">
      <c r="U3252" s="61" ph="1"/>
    </row>
    <row r="3253" spans="21:21" ht="26.4">
      <c r="U3253" s="61" ph="1"/>
    </row>
    <row r="3254" spans="21:21" ht="26.4">
      <c r="U3254" s="61" ph="1"/>
    </row>
    <row r="3255" spans="21:21" ht="26.4">
      <c r="U3255" s="61" ph="1"/>
    </row>
    <row r="3256" spans="21:21" ht="26.4">
      <c r="U3256" s="61" ph="1"/>
    </row>
    <row r="3257" spans="21:21" ht="26.4">
      <c r="U3257" s="61" ph="1"/>
    </row>
    <row r="3258" spans="21:21" ht="26.4">
      <c r="U3258" s="61" ph="1"/>
    </row>
    <row r="3259" spans="21:21" ht="26.4">
      <c r="U3259" s="61" ph="1"/>
    </row>
    <row r="3260" spans="21:21" ht="26.4">
      <c r="U3260" s="61" ph="1"/>
    </row>
    <row r="3261" spans="21:21" ht="26.4">
      <c r="U3261" s="61" ph="1"/>
    </row>
    <row r="3262" spans="21:21" ht="26.4">
      <c r="U3262" s="61" ph="1"/>
    </row>
    <row r="3263" spans="21:21" ht="26.4">
      <c r="U3263" s="61" ph="1"/>
    </row>
    <row r="3264" spans="21:21" ht="26.4">
      <c r="U3264" s="61" ph="1"/>
    </row>
    <row r="3265" spans="21:21" ht="26.4">
      <c r="U3265" s="61" ph="1"/>
    </row>
    <row r="3266" spans="21:21" ht="26.4">
      <c r="U3266" s="61" ph="1"/>
    </row>
    <row r="3267" spans="21:21" ht="26.4">
      <c r="U3267" s="61" ph="1"/>
    </row>
    <row r="3268" spans="21:21" ht="26.4">
      <c r="U3268" s="61" ph="1"/>
    </row>
    <row r="3269" spans="21:21" ht="26.4">
      <c r="U3269" s="61" ph="1"/>
    </row>
    <row r="3270" spans="21:21" ht="26.4">
      <c r="U3270" s="61" ph="1"/>
    </row>
    <row r="3271" spans="21:21" ht="26.4">
      <c r="U3271" s="61" ph="1"/>
    </row>
    <row r="3272" spans="21:21" ht="26.4">
      <c r="U3272" s="61" ph="1"/>
    </row>
    <row r="3273" spans="21:21" ht="26.4">
      <c r="U3273" s="61" ph="1"/>
    </row>
    <row r="3274" spans="21:21" ht="26.4">
      <c r="U3274" s="61" ph="1"/>
    </row>
    <row r="3275" spans="21:21" ht="26.4">
      <c r="U3275" s="61" ph="1"/>
    </row>
    <row r="3276" spans="21:21" ht="26.4">
      <c r="U3276" s="61" ph="1"/>
    </row>
    <row r="3277" spans="21:21" ht="26.4">
      <c r="U3277" s="61" ph="1"/>
    </row>
    <row r="3278" spans="21:21" ht="26.4">
      <c r="U3278" s="61" ph="1"/>
    </row>
    <row r="3279" spans="21:21" ht="26.4">
      <c r="U3279" s="61" ph="1"/>
    </row>
    <row r="3280" spans="21:21" ht="26.4">
      <c r="U3280" s="61" ph="1"/>
    </row>
    <row r="3281" spans="21:21" ht="26.4">
      <c r="U3281" s="61" ph="1"/>
    </row>
    <row r="3282" spans="21:21" ht="26.4">
      <c r="U3282" s="61" ph="1"/>
    </row>
    <row r="3283" spans="21:21" ht="26.4">
      <c r="U3283" s="61" ph="1"/>
    </row>
    <row r="3284" spans="21:21" ht="26.4">
      <c r="U3284" s="61" ph="1"/>
    </row>
    <row r="3285" spans="21:21" ht="26.4">
      <c r="U3285" s="61" ph="1"/>
    </row>
    <row r="3286" spans="21:21" ht="26.4">
      <c r="U3286" s="61" ph="1"/>
    </row>
    <row r="3287" spans="21:21" ht="26.4">
      <c r="U3287" s="61" ph="1"/>
    </row>
    <row r="3288" spans="21:21" ht="26.4">
      <c r="U3288" s="61" ph="1"/>
    </row>
    <row r="3289" spans="21:21" ht="26.4">
      <c r="U3289" s="61" ph="1"/>
    </row>
    <row r="3290" spans="21:21" ht="26.4">
      <c r="U3290" s="61" ph="1"/>
    </row>
    <row r="3291" spans="21:21" ht="26.4">
      <c r="U3291" s="61" ph="1"/>
    </row>
    <row r="3292" spans="21:21" ht="26.4">
      <c r="U3292" s="61" ph="1"/>
    </row>
    <row r="3293" spans="21:21" ht="26.4">
      <c r="U3293" s="61" ph="1"/>
    </row>
    <row r="3294" spans="21:21" ht="26.4">
      <c r="U3294" s="61" ph="1"/>
    </row>
    <row r="3295" spans="21:21" ht="26.4">
      <c r="U3295" s="61" ph="1"/>
    </row>
    <row r="3296" spans="21:21" ht="26.4">
      <c r="U3296" s="61" ph="1"/>
    </row>
    <row r="3297" spans="21:21" ht="26.4">
      <c r="U3297" s="61" ph="1"/>
    </row>
    <row r="3298" spans="21:21" ht="26.4">
      <c r="U3298" s="61" ph="1"/>
    </row>
    <row r="3299" spans="21:21" ht="26.4">
      <c r="U3299" s="61" ph="1"/>
    </row>
    <row r="3300" spans="21:21" ht="26.4">
      <c r="U3300" s="61" ph="1"/>
    </row>
    <row r="3301" spans="21:21" ht="26.4">
      <c r="U3301" s="61" ph="1"/>
    </row>
    <row r="3302" spans="21:21" ht="26.4">
      <c r="U3302" s="61" ph="1"/>
    </row>
    <row r="3303" spans="21:21" ht="26.4">
      <c r="U3303" s="61" ph="1"/>
    </row>
    <row r="3304" spans="21:21" ht="26.4">
      <c r="U3304" s="61" ph="1"/>
    </row>
    <row r="3305" spans="21:21" ht="26.4">
      <c r="U3305" s="61" ph="1"/>
    </row>
    <row r="3306" spans="21:21" ht="26.4">
      <c r="U3306" s="61" ph="1"/>
    </row>
    <row r="3307" spans="21:21" ht="26.4">
      <c r="U3307" s="61" ph="1"/>
    </row>
    <row r="3308" spans="21:21" ht="26.4">
      <c r="U3308" s="61" ph="1"/>
    </row>
    <row r="3309" spans="21:21" ht="26.4">
      <c r="U3309" s="61" ph="1"/>
    </row>
    <row r="3310" spans="21:21" ht="26.4">
      <c r="U3310" s="61" ph="1"/>
    </row>
    <row r="3311" spans="21:21" ht="26.4">
      <c r="U3311" s="61" ph="1"/>
    </row>
    <row r="3312" spans="21:21" ht="26.4">
      <c r="U3312" s="61" ph="1"/>
    </row>
    <row r="3313" spans="21:21" ht="26.4">
      <c r="U3313" s="61" ph="1"/>
    </row>
    <row r="3314" spans="21:21" ht="26.4">
      <c r="U3314" s="61" ph="1"/>
    </row>
    <row r="3315" spans="21:21" ht="26.4">
      <c r="U3315" s="61" ph="1"/>
    </row>
    <row r="3316" spans="21:21" ht="26.4">
      <c r="U3316" s="61" ph="1"/>
    </row>
    <row r="3317" spans="21:21" ht="26.4">
      <c r="U3317" s="61" ph="1"/>
    </row>
    <row r="3318" spans="21:21" ht="26.4">
      <c r="U3318" s="61" ph="1"/>
    </row>
    <row r="3319" spans="21:21" ht="26.4">
      <c r="U3319" s="61" ph="1"/>
    </row>
    <row r="3320" spans="21:21" ht="26.4">
      <c r="U3320" s="61" ph="1"/>
    </row>
    <row r="3321" spans="21:21" ht="26.4">
      <c r="U3321" s="61" ph="1"/>
    </row>
    <row r="3322" spans="21:21" ht="26.4">
      <c r="U3322" s="61" ph="1"/>
    </row>
    <row r="3323" spans="21:21" ht="26.4">
      <c r="U3323" s="61" ph="1"/>
    </row>
    <row r="3324" spans="21:21" ht="26.4">
      <c r="U3324" s="61" ph="1"/>
    </row>
    <row r="3325" spans="21:21" ht="26.4">
      <c r="U3325" s="61" ph="1"/>
    </row>
    <row r="3326" spans="21:21" ht="26.4">
      <c r="U3326" s="61" ph="1"/>
    </row>
    <row r="3327" spans="21:21" ht="26.4">
      <c r="U3327" s="61" ph="1"/>
    </row>
    <row r="3328" spans="21:21" ht="26.4">
      <c r="U3328" s="61" ph="1"/>
    </row>
    <row r="3329" spans="21:21" ht="26.4">
      <c r="U3329" s="61" ph="1"/>
    </row>
    <row r="3330" spans="21:21" ht="26.4">
      <c r="U3330" s="61" ph="1"/>
    </row>
    <row r="3331" spans="21:21" ht="26.4">
      <c r="U3331" s="61" ph="1"/>
    </row>
    <row r="3332" spans="21:21" ht="26.4">
      <c r="U3332" s="61" ph="1"/>
    </row>
    <row r="3333" spans="21:21" ht="26.4">
      <c r="U3333" s="61" ph="1"/>
    </row>
    <row r="3334" spans="21:21" ht="26.4">
      <c r="U3334" s="61" ph="1"/>
    </row>
    <row r="3335" spans="21:21" ht="26.4">
      <c r="U3335" s="61" ph="1"/>
    </row>
    <row r="3336" spans="21:21" ht="26.4">
      <c r="U3336" s="61" ph="1"/>
    </row>
    <row r="3337" spans="21:21" ht="26.4">
      <c r="U3337" s="61" ph="1"/>
    </row>
    <row r="3338" spans="21:21" ht="26.4">
      <c r="U3338" s="61" ph="1"/>
    </row>
    <row r="3339" spans="21:21" ht="26.4">
      <c r="U3339" s="61" ph="1"/>
    </row>
    <row r="3340" spans="21:21" ht="26.4">
      <c r="U3340" s="61" ph="1"/>
    </row>
    <row r="3341" spans="21:21" ht="26.4">
      <c r="U3341" s="61" ph="1"/>
    </row>
    <row r="3342" spans="21:21" ht="26.4">
      <c r="U3342" s="61" ph="1"/>
    </row>
    <row r="3343" spans="21:21" ht="26.4">
      <c r="U3343" s="61" ph="1"/>
    </row>
    <row r="3344" spans="21:21" ht="26.4">
      <c r="U3344" s="61" ph="1"/>
    </row>
    <row r="3345" spans="21:21" ht="26.4">
      <c r="U3345" s="61" ph="1"/>
    </row>
    <row r="3346" spans="21:21" ht="26.4">
      <c r="U3346" s="61" ph="1"/>
    </row>
    <row r="3347" spans="21:21" ht="26.4">
      <c r="U3347" s="61" ph="1"/>
    </row>
    <row r="3348" spans="21:21" ht="26.4">
      <c r="U3348" s="61" ph="1"/>
    </row>
    <row r="3349" spans="21:21" ht="26.4">
      <c r="U3349" s="61" ph="1"/>
    </row>
    <row r="3350" spans="21:21" ht="26.4">
      <c r="U3350" s="61" ph="1"/>
    </row>
    <row r="3351" spans="21:21" ht="26.4">
      <c r="U3351" s="61" ph="1"/>
    </row>
    <row r="3352" spans="21:21" ht="26.4">
      <c r="U3352" s="61" ph="1"/>
    </row>
    <row r="3353" spans="21:21" ht="26.4">
      <c r="U3353" s="61" ph="1"/>
    </row>
    <row r="3354" spans="21:21" ht="26.4">
      <c r="U3354" s="61" ph="1"/>
    </row>
    <row r="3355" spans="21:21" ht="26.4">
      <c r="U3355" s="61" ph="1"/>
    </row>
    <row r="3356" spans="21:21" ht="26.4">
      <c r="U3356" s="61" ph="1"/>
    </row>
    <row r="3357" spans="21:21" ht="26.4">
      <c r="U3357" s="61" ph="1"/>
    </row>
    <row r="3358" spans="21:21" ht="26.4">
      <c r="U3358" s="61" ph="1"/>
    </row>
    <row r="3359" spans="21:21" ht="26.4">
      <c r="U3359" s="61" ph="1"/>
    </row>
    <row r="3360" spans="21:21" ht="26.4">
      <c r="U3360" s="61" ph="1"/>
    </row>
    <row r="3361" spans="21:21" ht="26.4">
      <c r="U3361" s="61" ph="1"/>
    </row>
    <row r="3362" spans="21:21" ht="26.4">
      <c r="U3362" s="61" ph="1"/>
    </row>
    <row r="3363" spans="21:21" ht="26.4">
      <c r="U3363" s="61" ph="1"/>
    </row>
    <row r="3364" spans="21:21" ht="26.4">
      <c r="U3364" s="61" ph="1"/>
    </row>
    <row r="3365" spans="21:21" ht="26.4">
      <c r="U3365" s="61" ph="1"/>
    </row>
    <row r="3366" spans="21:21" ht="26.4">
      <c r="U3366" s="61" ph="1"/>
    </row>
    <row r="3367" spans="21:21" ht="26.4">
      <c r="U3367" s="61" ph="1"/>
    </row>
    <row r="3368" spans="21:21" ht="26.4">
      <c r="U3368" s="61" ph="1"/>
    </row>
    <row r="3369" spans="21:21" ht="26.4">
      <c r="U3369" s="61" ph="1"/>
    </row>
    <row r="3370" spans="21:21" ht="26.4">
      <c r="U3370" s="61" ph="1"/>
    </row>
    <row r="3371" spans="21:21" ht="26.4">
      <c r="U3371" s="61" ph="1"/>
    </row>
    <row r="3372" spans="21:21" ht="26.4">
      <c r="U3372" s="61" ph="1"/>
    </row>
    <row r="3373" spans="21:21" ht="26.4">
      <c r="U3373" s="61" ph="1"/>
    </row>
    <row r="3374" spans="21:21" ht="26.4">
      <c r="U3374" s="61" ph="1"/>
    </row>
    <row r="3375" spans="21:21" ht="26.4">
      <c r="U3375" s="61" ph="1"/>
    </row>
    <row r="3376" spans="21:21" ht="26.4">
      <c r="U3376" s="61" ph="1"/>
    </row>
    <row r="3377" spans="21:21" ht="26.4">
      <c r="U3377" s="61" ph="1"/>
    </row>
    <row r="3378" spans="21:21" ht="26.4">
      <c r="U3378" s="61" ph="1"/>
    </row>
    <row r="3379" spans="21:21" ht="26.4">
      <c r="U3379" s="61" ph="1"/>
    </row>
    <row r="3380" spans="21:21" ht="26.4">
      <c r="U3380" s="61" ph="1"/>
    </row>
    <row r="3381" spans="21:21" ht="26.4">
      <c r="U3381" s="61" ph="1"/>
    </row>
    <row r="3382" spans="21:21" ht="26.4">
      <c r="U3382" s="61" ph="1"/>
    </row>
    <row r="3383" spans="21:21" ht="26.4">
      <c r="U3383" s="61" ph="1"/>
    </row>
    <row r="3384" spans="21:21" ht="26.4">
      <c r="U3384" s="61" ph="1"/>
    </row>
    <row r="3385" spans="21:21" ht="26.4">
      <c r="U3385" s="61" ph="1"/>
    </row>
    <row r="3386" spans="21:21" ht="26.4">
      <c r="U3386" s="61" ph="1"/>
    </row>
    <row r="3387" spans="21:21" ht="26.4">
      <c r="U3387" s="61" ph="1"/>
    </row>
    <row r="3388" spans="21:21" ht="26.4">
      <c r="U3388" s="61" ph="1"/>
    </row>
    <row r="3389" spans="21:21" ht="26.4">
      <c r="U3389" s="61" ph="1"/>
    </row>
    <row r="3390" spans="21:21" ht="26.4">
      <c r="U3390" s="61" ph="1"/>
    </row>
    <row r="3391" spans="21:21" ht="26.4">
      <c r="U3391" s="61" ph="1"/>
    </row>
    <row r="3392" spans="21:21" ht="26.4">
      <c r="U3392" s="61" ph="1"/>
    </row>
    <row r="3393" spans="21:21" ht="26.4">
      <c r="U3393" s="61" ph="1"/>
    </row>
    <row r="3394" spans="21:21" ht="26.4">
      <c r="U3394" s="61" ph="1"/>
    </row>
    <row r="3395" spans="21:21" ht="26.4">
      <c r="U3395" s="61" ph="1"/>
    </row>
    <row r="3396" spans="21:21" ht="26.4">
      <c r="U3396" s="61" ph="1"/>
    </row>
    <row r="3397" spans="21:21" ht="26.4">
      <c r="U3397" s="61" ph="1"/>
    </row>
    <row r="3398" spans="21:21" ht="26.4">
      <c r="U3398" s="61" ph="1"/>
    </row>
    <row r="3399" spans="21:21" ht="26.4">
      <c r="U3399" s="61" ph="1"/>
    </row>
    <row r="3400" spans="21:21" ht="26.4">
      <c r="U3400" s="61" ph="1"/>
    </row>
    <row r="3401" spans="21:21" ht="26.4">
      <c r="U3401" s="61" ph="1"/>
    </row>
    <row r="3402" spans="21:21" ht="26.4">
      <c r="U3402" s="61" ph="1"/>
    </row>
    <row r="3403" spans="21:21" ht="26.4">
      <c r="U3403" s="61" ph="1"/>
    </row>
    <row r="3404" spans="21:21" ht="26.4">
      <c r="U3404" s="61" ph="1"/>
    </row>
    <row r="3405" spans="21:21" ht="26.4">
      <c r="U3405" s="61" ph="1"/>
    </row>
    <row r="3406" spans="21:21" ht="26.4">
      <c r="U3406" s="61" ph="1"/>
    </row>
    <row r="3407" spans="21:21" ht="26.4">
      <c r="U3407" s="61" ph="1"/>
    </row>
    <row r="3408" spans="21:21" ht="26.4">
      <c r="U3408" s="61" ph="1"/>
    </row>
    <row r="3409" spans="21:21" ht="26.4">
      <c r="U3409" s="61" ph="1"/>
    </row>
    <row r="3410" spans="21:21" ht="26.4">
      <c r="U3410" s="61" ph="1"/>
    </row>
    <row r="3411" spans="21:21" ht="26.4">
      <c r="U3411" s="61" ph="1"/>
    </row>
    <row r="3412" spans="21:21" ht="26.4">
      <c r="U3412" s="61" ph="1"/>
    </row>
    <row r="3413" spans="21:21" ht="26.4">
      <c r="U3413" s="61" ph="1"/>
    </row>
    <row r="3414" spans="21:21" ht="26.4">
      <c r="U3414" s="61" ph="1"/>
    </row>
    <row r="3415" spans="21:21" ht="26.4">
      <c r="U3415" s="61" ph="1"/>
    </row>
    <row r="3416" spans="21:21" ht="26.4">
      <c r="U3416" s="61" ph="1"/>
    </row>
    <row r="3417" spans="21:21" ht="26.4">
      <c r="U3417" s="61" ph="1"/>
    </row>
    <row r="3418" spans="21:21" ht="26.4">
      <c r="U3418" s="61" ph="1"/>
    </row>
    <row r="3419" spans="21:21" ht="26.4">
      <c r="U3419" s="61" ph="1"/>
    </row>
    <row r="3420" spans="21:21" ht="26.4">
      <c r="U3420" s="61" ph="1"/>
    </row>
    <row r="3421" spans="21:21" ht="26.4">
      <c r="U3421" s="61" ph="1"/>
    </row>
    <row r="3422" spans="21:21" ht="26.4">
      <c r="U3422" s="61" ph="1"/>
    </row>
    <row r="3423" spans="21:21" ht="26.4">
      <c r="U3423" s="61" ph="1"/>
    </row>
    <row r="3424" spans="21:21" ht="26.4">
      <c r="U3424" s="61" ph="1"/>
    </row>
    <row r="3425" spans="21:21" ht="26.4">
      <c r="U3425" s="61" ph="1"/>
    </row>
    <row r="3426" spans="21:21" ht="26.4">
      <c r="U3426" s="61" ph="1"/>
    </row>
    <row r="3427" spans="21:21" ht="26.4">
      <c r="U3427" s="61" ph="1"/>
    </row>
    <row r="3428" spans="21:21" ht="26.4">
      <c r="U3428" s="61" ph="1"/>
    </row>
    <row r="3429" spans="21:21" ht="26.4">
      <c r="U3429" s="61" ph="1"/>
    </row>
    <row r="3430" spans="21:21" ht="26.4">
      <c r="U3430" s="61" ph="1"/>
    </row>
    <row r="3431" spans="21:21" ht="26.4">
      <c r="U3431" s="61" ph="1"/>
    </row>
    <row r="3432" spans="21:21" ht="26.4">
      <c r="U3432" s="61" ph="1"/>
    </row>
    <row r="3433" spans="21:21" ht="26.4">
      <c r="U3433" s="61" ph="1"/>
    </row>
    <row r="3434" spans="21:21" ht="26.4">
      <c r="U3434" s="61" ph="1"/>
    </row>
    <row r="3435" spans="21:21" ht="26.4">
      <c r="U3435" s="61" ph="1"/>
    </row>
    <row r="3436" spans="21:21" ht="26.4">
      <c r="U3436" s="61" ph="1"/>
    </row>
    <row r="3437" spans="21:21" ht="26.4">
      <c r="U3437" s="61" ph="1"/>
    </row>
    <row r="3438" spans="21:21" ht="26.4">
      <c r="U3438" s="61" ph="1"/>
    </row>
    <row r="3439" spans="21:21" ht="26.4">
      <c r="U3439" s="61" ph="1"/>
    </row>
    <row r="3440" spans="21:21" ht="26.4">
      <c r="U3440" s="61" ph="1"/>
    </row>
    <row r="3441" spans="21:21" ht="26.4">
      <c r="U3441" s="61" ph="1"/>
    </row>
    <row r="3442" spans="21:21" ht="26.4">
      <c r="U3442" s="61" ph="1"/>
    </row>
    <row r="3443" spans="21:21" ht="26.4">
      <c r="U3443" s="61" ph="1"/>
    </row>
    <row r="3444" spans="21:21" ht="26.4">
      <c r="U3444" s="61" ph="1"/>
    </row>
    <row r="3445" spans="21:21" ht="26.4">
      <c r="U3445" s="61" ph="1"/>
    </row>
    <row r="3446" spans="21:21" ht="26.4">
      <c r="U3446" s="61" ph="1"/>
    </row>
    <row r="3447" spans="21:21" ht="26.4">
      <c r="U3447" s="61" ph="1"/>
    </row>
    <row r="3448" spans="21:21" ht="26.4">
      <c r="U3448" s="61" ph="1"/>
    </row>
    <row r="3449" spans="21:21" ht="26.4">
      <c r="U3449" s="61" ph="1"/>
    </row>
    <row r="3450" spans="21:21" ht="26.4">
      <c r="U3450" s="61" ph="1"/>
    </row>
    <row r="3451" spans="21:21" ht="26.4">
      <c r="U3451" s="61" ph="1"/>
    </row>
    <row r="3452" spans="21:21" ht="26.4">
      <c r="U3452" s="61" ph="1"/>
    </row>
    <row r="3453" spans="21:21" ht="26.4">
      <c r="U3453" s="61" ph="1"/>
    </row>
    <row r="3454" spans="21:21" ht="26.4">
      <c r="U3454" s="61" ph="1"/>
    </row>
    <row r="3455" spans="21:21" ht="26.4">
      <c r="U3455" s="61" ph="1"/>
    </row>
    <row r="3456" spans="21:21" ht="26.4">
      <c r="U3456" s="61" ph="1"/>
    </row>
    <row r="3457" spans="21:21" ht="26.4">
      <c r="U3457" s="61" ph="1"/>
    </row>
    <row r="3458" spans="21:21" ht="26.4">
      <c r="U3458" s="61" ph="1"/>
    </row>
    <row r="3459" spans="21:21" ht="26.4">
      <c r="U3459" s="61" ph="1"/>
    </row>
    <row r="3460" spans="21:21" ht="26.4">
      <c r="U3460" s="61" ph="1"/>
    </row>
    <row r="3461" spans="21:21" ht="26.4">
      <c r="U3461" s="61" ph="1"/>
    </row>
    <row r="3462" spans="21:21" ht="26.4">
      <c r="U3462" s="61" ph="1"/>
    </row>
    <row r="3463" spans="21:21" ht="26.4">
      <c r="U3463" s="61" ph="1"/>
    </row>
    <row r="3464" spans="21:21" ht="26.4">
      <c r="U3464" s="61" ph="1"/>
    </row>
    <row r="3465" spans="21:21" ht="26.4">
      <c r="U3465" s="61" ph="1"/>
    </row>
    <row r="3466" spans="21:21" ht="26.4">
      <c r="U3466" s="61" ph="1"/>
    </row>
    <row r="3467" spans="21:21" ht="26.4">
      <c r="U3467" s="61" ph="1"/>
    </row>
    <row r="3468" spans="21:21" ht="26.4">
      <c r="U3468" s="61" ph="1"/>
    </row>
    <row r="3469" spans="21:21" ht="26.4">
      <c r="U3469" s="61" ph="1"/>
    </row>
    <row r="3470" spans="21:21" ht="26.4">
      <c r="U3470" s="61" ph="1"/>
    </row>
    <row r="3471" spans="21:21" ht="26.4">
      <c r="U3471" s="61" ph="1"/>
    </row>
    <row r="3472" spans="21:21" ht="26.4">
      <c r="U3472" s="61" ph="1"/>
    </row>
    <row r="3473" spans="21:21" ht="26.4">
      <c r="U3473" s="61" ph="1"/>
    </row>
    <row r="3474" spans="21:21" ht="26.4">
      <c r="U3474" s="61" ph="1"/>
    </row>
    <row r="3475" spans="21:21" ht="26.4">
      <c r="U3475" s="61" ph="1"/>
    </row>
    <row r="3476" spans="21:21" ht="26.4">
      <c r="U3476" s="61" ph="1"/>
    </row>
    <row r="3477" spans="21:21" ht="26.4">
      <c r="U3477" s="61" ph="1"/>
    </row>
    <row r="3478" spans="21:21" ht="26.4">
      <c r="U3478" s="61" ph="1"/>
    </row>
    <row r="3479" spans="21:21" ht="26.4">
      <c r="U3479" s="61" ph="1"/>
    </row>
    <row r="3480" spans="21:21" ht="26.4">
      <c r="U3480" s="61" ph="1"/>
    </row>
    <row r="3481" spans="21:21" ht="26.4">
      <c r="U3481" s="61" ph="1"/>
    </row>
    <row r="3482" spans="21:21" ht="26.4">
      <c r="U3482" s="61" ph="1"/>
    </row>
    <row r="3483" spans="21:21" ht="26.4">
      <c r="U3483" s="61" ph="1"/>
    </row>
    <row r="3484" spans="21:21" ht="26.4">
      <c r="U3484" s="61" ph="1"/>
    </row>
    <row r="3485" spans="21:21" ht="26.4">
      <c r="U3485" s="61" ph="1"/>
    </row>
    <row r="3486" spans="21:21" ht="26.4">
      <c r="U3486" s="61" ph="1"/>
    </row>
    <row r="3487" spans="21:21" ht="26.4">
      <c r="U3487" s="61" ph="1"/>
    </row>
    <row r="3488" spans="21:21" ht="26.4">
      <c r="U3488" s="61" ph="1"/>
    </row>
    <row r="3489" spans="21:21" ht="26.4">
      <c r="U3489" s="61" ph="1"/>
    </row>
    <row r="3490" spans="21:21" ht="26.4">
      <c r="U3490" s="61" ph="1"/>
    </row>
    <row r="3491" spans="21:21" ht="26.4">
      <c r="U3491" s="61" ph="1"/>
    </row>
    <row r="3492" spans="21:21" ht="26.4">
      <c r="U3492" s="61" ph="1"/>
    </row>
    <row r="3493" spans="21:21" ht="26.4">
      <c r="U3493" s="61" ph="1"/>
    </row>
    <row r="3494" spans="21:21" ht="26.4">
      <c r="U3494" s="61" ph="1"/>
    </row>
    <row r="3495" spans="21:21" ht="26.4">
      <c r="U3495" s="61" ph="1"/>
    </row>
    <row r="3496" spans="21:21" ht="26.4">
      <c r="U3496" s="61" ph="1"/>
    </row>
    <row r="3497" spans="21:21" ht="26.4">
      <c r="U3497" s="61" ph="1"/>
    </row>
    <row r="3498" spans="21:21" ht="26.4">
      <c r="U3498" s="61" ph="1"/>
    </row>
    <row r="3499" spans="21:21" ht="26.4">
      <c r="U3499" s="61" ph="1"/>
    </row>
    <row r="3500" spans="21:21" ht="26.4">
      <c r="U3500" s="61" ph="1"/>
    </row>
    <row r="3501" spans="21:21" ht="26.4">
      <c r="U3501" s="61" ph="1"/>
    </row>
    <row r="3502" spans="21:21" ht="26.4">
      <c r="U3502" s="61" ph="1"/>
    </row>
    <row r="3503" spans="21:21" ht="26.4">
      <c r="U3503" s="61" ph="1"/>
    </row>
    <row r="3504" spans="21:21" ht="26.4">
      <c r="U3504" s="61" ph="1"/>
    </row>
    <row r="3505" spans="21:21" ht="26.4">
      <c r="U3505" s="61" ph="1"/>
    </row>
    <row r="3506" spans="21:21" ht="26.4">
      <c r="U3506" s="61" ph="1"/>
    </row>
    <row r="3507" spans="21:21" ht="26.4">
      <c r="U3507" s="61" ph="1"/>
    </row>
    <row r="3508" spans="21:21" ht="26.4">
      <c r="U3508" s="61" ph="1"/>
    </row>
    <row r="3509" spans="21:21" ht="26.4">
      <c r="U3509" s="61" ph="1"/>
    </row>
    <row r="3510" spans="21:21" ht="26.4">
      <c r="U3510" s="61" ph="1"/>
    </row>
    <row r="3511" spans="21:21" ht="26.4">
      <c r="U3511" s="61" ph="1"/>
    </row>
    <row r="3512" spans="21:21" ht="26.4">
      <c r="U3512" s="61" ph="1"/>
    </row>
    <row r="3513" spans="21:21" ht="26.4">
      <c r="U3513" s="61" ph="1"/>
    </row>
    <row r="3514" spans="21:21" ht="26.4">
      <c r="U3514" s="61" ph="1"/>
    </row>
    <row r="3515" spans="21:21" ht="26.4">
      <c r="U3515" s="61" ph="1"/>
    </row>
    <row r="3516" spans="21:21" ht="26.4">
      <c r="U3516" s="61" ph="1"/>
    </row>
    <row r="3517" spans="21:21" ht="26.4">
      <c r="U3517" s="61" ph="1"/>
    </row>
    <row r="3518" spans="21:21" ht="26.4">
      <c r="U3518" s="61" ph="1"/>
    </row>
    <row r="3519" spans="21:21" ht="26.4">
      <c r="U3519" s="61" ph="1"/>
    </row>
    <row r="3520" spans="21:21" ht="26.4">
      <c r="U3520" s="61" ph="1"/>
    </row>
    <row r="3521" spans="21:21" ht="26.4">
      <c r="U3521" s="61" ph="1"/>
    </row>
    <row r="3522" spans="21:21" ht="26.4">
      <c r="U3522" s="61" ph="1"/>
    </row>
    <row r="3523" spans="21:21" ht="26.4">
      <c r="U3523" s="61" ph="1"/>
    </row>
    <row r="3524" spans="21:21" ht="26.4">
      <c r="U3524" s="61" ph="1"/>
    </row>
    <row r="3525" spans="21:21" ht="26.4">
      <c r="U3525" s="61" ph="1"/>
    </row>
    <row r="3526" spans="21:21" ht="26.4">
      <c r="U3526" s="61" ph="1"/>
    </row>
    <row r="3527" spans="21:21" ht="26.4">
      <c r="U3527" s="61" ph="1"/>
    </row>
    <row r="3528" spans="21:21" ht="26.4">
      <c r="U3528" s="61" ph="1"/>
    </row>
    <row r="3529" spans="21:21" ht="26.4">
      <c r="U3529" s="61" ph="1"/>
    </row>
    <row r="3530" spans="21:21" ht="26.4">
      <c r="U3530" s="61" ph="1"/>
    </row>
    <row r="3531" spans="21:21" ht="26.4">
      <c r="U3531" s="61" ph="1"/>
    </row>
    <row r="3532" spans="21:21" ht="26.4">
      <c r="U3532" s="61" ph="1"/>
    </row>
    <row r="3533" spans="21:21" ht="26.4">
      <c r="U3533" s="61" ph="1"/>
    </row>
    <row r="3534" spans="21:21" ht="26.4">
      <c r="U3534" s="61" ph="1"/>
    </row>
    <row r="3535" spans="21:21" ht="26.4">
      <c r="U3535" s="61" ph="1"/>
    </row>
    <row r="3536" spans="21:21" ht="26.4">
      <c r="U3536" s="61" ph="1"/>
    </row>
    <row r="3537" spans="21:21" ht="26.4">
      <c r="U3537" s="61" ph="1"/>
    </row>
    <row r="3538" spans="21:21" ht="26.4">
      <c r="U3538" s="61" ph="1"/>
    </row>
    <row r="3539" spans="21:21" ht="26.4">
      <c r="U3539" s="61" ph="1"/>
    </row>
    <row r="3540" spans="21:21" ht="26.4">
      <c r="U3540" s="61" ph="1"/>
    </row>
    <row r="3541" spans="21:21" ht="26.4">
      <c r="U3541" s="61" ph="1"/>
    </row>
    <row r="3542" spans="21:21" ht="26.4">
      <c r="U3542" s="61" ph="1"/>
    </row>
    <row r="3543" spans="21:21" ht="26.4">
      <c r="U3543" s="61" ph="1"/>
    </row>
    <row r="3544" spans="21:21" ht="26.4">
      <c r="U3544" s="61" ph="1"/>
    </row>
    <row r="3545" spans="21:21" ht="26.4">
      <c r="U3545" s="61" ph="1"/>
    </row>
    <row r="3546" spans="21:21" ht="26.4">
      <c r="U3546" s="61" ph="1"/>
    </row>
    <row r="3547" spans="21:21" ht="26.4">
      <c r="U3547" s="61" ph="1"/>
    </row>
    <row r="3548" spans="21:21" ht="26.4">
      <c r="U3548" s="61" ph="1"/>
    </row>
    <row r="3549" spans="21:21" ht="26.4">
      <c r="U3549" s="61" ph="1"/>
    </row>
    <row r="3550" spans="21:21" ht="26.4">
      <c r="U3550" s="61" ph="1"/>
    </row>
    <row r="3551" spans="21:21" ht="26.4">
      <c r="U3551" s="61" ph="1"/>
    </row>
    <row r="3552" spans="21:21" ht="26.4">
      <c r="U3552" s="61" ph="1"/>
    </row>
    <row r="3553" spans="21:21" ht="26.4">
      <c r="U3553" s="61" ph="1"/>
    </row>
    <row r="3554" spans="21:21" ht="26.4">
      <c r="U3554" s="61" ph="1"/>
    </row>
    <row r="3555" spans="21:21" ht="26.4">
      <c r="U3555" s="61" ph="1"/>
    </row>
    <row r="3556" spans="21:21" ht="26.4">
      <c r="U3556" s="61" ph="1"/>
    </row>
    <row r="3557" spans="21:21" ht="26.4">
      <c r="U3557" s="61" ph="1"/>
    </row>
    <row r="3558" spans="21:21" ht="26.4">
      <c r="U3558" s="61" ph="1"/>
    </row>
    <row r="3559" spans="21:21" ht="26.4">
      <c r="U3559" s="61" ph="1"/>
    </row>
    <row r="3560" spans="21:21" ht="26.4">
      <c r="U3560" s="61" ph="1"/>
    </row>
    <row r="3561" spans="21:21" ht="26.4">
      <c r="U3561" s="61" ph="1"/>
    </row>
    <row r="3562" spans="21:21" ht="26.4">
      <c r="U3562" s="61" ph="1"/>
    </row>
    <row r="3563" spans="21:21" ht="26.4">
      <c r="U3563" s="61" ph="1"/>
    </row>
    <row r="3564" spans="21:21" ht="26.4">
      <c r="U3564" s="61" ph="1"/>
    </row>
    <row r="3565" spans="21:21" ht="26.4">
      <c r="U3565" s="61" ph="1"/>
    </row>
    <row r="3566" spans="21:21" ht="26.4">
      <c r="U3566" s="61" ph="1"/>
    </row>
    <row r="3567" spans="21:21" ht="26.4">
      <c r="U3567" s="61" ph="1"/>
    </row>
    <row r="3568" spans="21:21" ht="26.4">
      <c r="U3568" s="61" ph="1"/>
    </row>
    <row r="3569" spans="21:21" ht="26.4">
      <c r="U3569" s="61" ph="1"/>
    </row>
    <row r="3570" spans="21:21" ht="26.4">
      <c r="U3570" s="61" ph="1"/>
    </row>
    <row r="3571" spans="21:21" ht="26.4">
      <c r="U3571" s="61" ph="1"/>
    </row>
    <row r="3572" spans="21:21" ht="26.4">
      <c r="U3572" s="61" ph="1"/>
    </row>
    <row r="3573" spans="21:21" ht="26.4">
      <c r="U3573" s="61" ph="1"/>
    </row>
    <row r="3574" spans="21:21" ht="26.4">
      <c r="U3574" s="61" ph="1"/>
    </row>
    <row r="3575" spans="21:21" ht="26.4">
      <c r="U3575" s="61" ph="1"/>
    </row>
    <row r="3576" spans="21:21" ht="26.4">
      <c r="U3576" s="61" ph="1"/>
    </row>
    <row r="3577" spans="21:21" ht="26.4">
      <c r="U3577" s="61" ph="1"/>
    </row>
    <row r="3578" spans="21:21" ht="26.4">
      <c r="U3578" s="61" ph="1"/>
    </row>
    <row r="3579" spans="21:21" ht="26.4">
      <c r="U3579" s="61" ph="1"/>
    </row>
    <row r="3580" spans="21:21" ht="26.4">
      <c r="U3580" s="61" ph="1"/>
    </row>
    <row r="3581" spans="21:21" ht="26.4">
      <c r="U3581" s="61" ph="1"/>
    </row>
    <row r="3582" spans="21:21" ht="26.4">
      <c r="U3582" s="61" ph="1"/>
    </row>
    <row r="3583" spans="21:21" ht="26.4">
      <c r="U3583" s="61" ph="1"/>
    </row>
    <row r="3584" spans="21:21" ht="26.4">
      <c r="U3584" s="61" ph="1"/>
    </row>
    <row r="3585" spans="21:21" ht="26.4">
      <c r="U3585" s="61" ph="1"/>
    </row>
    <row r="3586" spans="21:21" ht="26.4">
      <c r="U3586" s="61" ph="1"/>
    </row>
    <row r="3587" spans="21:21" ht="26.4">
      <c r="U3587" s="61" ph="1"/>
    </row>
    <row r="3588" spans="21:21" ht="26.4">
      <c r="U3588" s="61" ph="1"/>
    </row>
    <row r="3589" spans="21:21" ht="26.4">
      <c r="U3589" s="61" ph="1"/>
    </row>
    <row r="3590" spans="21:21" ht="26.4">
      <c r="U3590" s="61" ph="1"/>
    </row>
    <row r="3591" spans="21:21" ht="26.4">
      <c r="U3591" s="61" ph="1"/>
    </row>
    <row r="3592" spans="21:21" ht="26.4">
      <c r="U3592" s="61" ph="1"/>
    </row>
    <row r="3593" spans="21:21" ht="26.4">
      <c r="U3593" s="61" ph="1"/>
    </row>
    <row r="3594" spans="21:21" ht="26.4">
      <c r="U3594" s="61" ph="1"/>
    </row>
    <row r="3595" spans="21:21" ht="26.4">
      <c r="U3595" s="61" ph="1"/>
    </row>
    <row r="3596" spans="21:21" ht="26.4">
      <c r="U3596" s="61" ph="1"/>
    </row>
    <row r="3597" spans="21:21" ht="26.4">
      <c r="U3597" s="61" ph="1"/>
    </row>
    <row r="3598" spans="21:21" ht="26.4">
      <c r="U3598" s="61" ph="1"/>
    </row>
    <row r="3599" spans="21:21" ht="26.4">
      <c r="U3599" s="61" ph="1"/>
    </row>
    <row r="3600" spans="21:21" ht="26.4">
      <c r="U3600" s="61" ph="1"/>
    </row>
    <row r="3601" spans="21:21" ht="26.4">
      <c r="U3601" s="61" ph="1"/>
    </row>
    <row r="3602" spans="21:21" ht="26.4">
      <c r="U3602" s="61" ph="1"/>
    </row>
    <row r="3603" spans="21:21" ht="26.4">
      <c r="U3603" s="61" ph="1"/>
    </row>
    <row r="3604" spans="21:21" ht="26.4">
      <c r="U3604" s="61" ph="1"/>
    </row>
    <row r="3605" spans="21:21" ht="26.4">
      <c r="U3605" s="61" ph="1"/>
    </row>
    <row r="3606" spans="21:21" ht="26.4">
      <c r="U3606" s="61" ph="1"/>
    </row>
    <row r="3607" spans="21:21" ht="26.4">
      <c r="U3607" s="61" ph="1"/>
    </row>
    <row r="3608" spans="21:21" ht="26.4">
      <c r="U3608" s="61" ph="1"/>
    </row>
    <row r="3609" spans="21:21" ht="26.4">
      <c r="U3609" s="61" ph="1"/>
    </row>
    <row r="3610" spans="21:21" ht="26.4">
      <c r="U3610" s="61" ph="1"/>
    </row>
    <row r="3611" spans="21:21" ht="26.4">
      <c r="U3611" s="61" ph="1"/>
    </row>
    <row r="3612" spans="21:21" ht="26.4">
      <c r="U3612" s="61" ph="1"/>
    </row>
    <row r="3613" spans="21:21" ht="26.4">
      <c r="U3613" s="61" ph="1"/>
    </row>
    <row r="3614" spans="21:21" ht="26.4">
      <c r="U3614" s="61" ph="1"/>
    </row>
    <row r="3615" spans="21:21" ht="26.4">
      <c r="U3615" s="61" ph="1"/>
    </row>
    <row r="3616" spans="21:21" ht="26.4">
      <c r="U3616" s="61" ph="1"/>
    </row>
    <row r="3617" spans="21:21" ht="26.4">
      <c r="U3617" s="61" ph="1"/>
    </row>
    <row r="3618" spans="21:21" ht="26.4">
      <c r="U3618" s="61" ph="1"/>
    </row>
    <row r="3619" spans="21:21" ht="26.4">
      <c r="U3619" s="61" ph="1"/>
    </row>
    <row r="3620" spans="21:21" ht="26.4">
      <c r="U3620" s="61" ph="1"/>
    </row>
    <row r="3621" spans="21:21" ht="26.4">
      <c r="U3621" s="61" ph="1"/>
    </row>
    <row r="3622" spans="21:21" ht="26.4">
      <c r="U3622" s="61" ph="1"/>
    </row>
    <row r="3623" spans="21:21" ht="26.4">
      <c r="U3623" s="61" ph="1"/>
    </row>
    <row r="3624" spans="21:21" ht="26.4">
      <c r="U3624" s="61" ph="1"/>
    </row>
    <row r="3625" spans="21:21" ht="26.4">
      <c r="U3625" s="61" ph="1"/>
    </row>
    <row r="3626" spans="21:21" ht="26.4">
      <c r="U3626" s="61" ph="1"/>
    </row>
    <row r="3627" spans="21:21" ht="26.4">
      <c r="U3627" s="61" ph="1"/>
    </row>
    <row r="3628" spans="21:21" ht="26.4">
      <c r="U3628" s="61" ph="1"/>
    </row>
    <row r="3629" spans="21:21" ht="26.4">
      <c r="U3629" s="61" ph="1"/>
    </row>
    <row r="3630" spans="21:21" ht="26.4">
      <c r="U3630" s="61" ph="1"/>
    </row>
    <row r="3631" spans="21:21" ht="26.4">
      <c r="U3631" s="61" ph="1"/>
    </row>
    <row r="3632" spans="21:21" ht="26.4">
      <c r="U3632" s="61" ph="1"/>
    </row>
    <row r="3633" spans="21:21" ht="26.4">
      <c r="U3633" s="61" ph="1"/>
    </row>
    <row r="3634" spans="21:21" ht="26.4">
      <c r="U3634" s="61" ph="1"/>
    </row>
    <row r="3635" spans="21:21" ht="26.4">
      <c r="U3635" s="61" ph="1"/>
    </row>
    <row r="3636" spans="21:21" ht="26.4">
      <c r="U3636" s="61" ph="1"/>
    </row>
    <row r="3637" spans="21:21" ht="26.4">
      <c r="U3637" s="61" ph="1"/>
    </row>
    <row r="3638" spans="21:21" ht="26.4">
      <c r="U3638" s="61" ph="1"/>
    </row>
    <row r="3639" spans="21:21" ht="26.4">
      <c r="U3639" s="61" ph="1"/>
    </row>
    <row r="3640" spans="21:21" ht="26.4">
      <c r="U3640" s="61" ph="1"/>
    </row>
    <row r="3641" spans="21:21" ht="26.4">
      <c r="U3641" s="61" ph="1"/>
    </row>
    <row r="3642" spans="21:21" ht="26.4">
      <c r="U3642" s="61" ph="1"/>
    </row>
    <row r="3643" spans="21:21" ht="26.4">
      <c r="U3643" s="61" ph="1"/>
    </row>
    <row r="3644" spans="21:21" ht="26.4">
      <c r="U3644" s="61" ph="1"/>
    </row>
    <row r="3645" spans="21:21" ht="26.4">
      <c r="U3645" s="61" ph="1"/>
    </row>
    <row r="3646" spans="21:21" ht="26.4">
      <c r="U3646" s="61" ph="1"/>
    </row>
    <row r="3647" spans="21:21" ht="26.4">
      <c r="U3647" s="61" ph="1"/>
    </row>
    <row r="3648" spans="21:21" ht="26.4">
      <c r="U3648" s="61" ph="1"/>
    </row>
    <row r="3649" spans="21:21" ht="26.4">
      <c r="U3649" s="61" ph="1"/>
    </row>
    <row r="3650" spans="21:21" ht="26.4">
      <c r="U3650" s="61" ph="1"/>
    </row>
    <row r="3651" spans="21:21" ht="26.4">
      <c r="U3651" s="61" ph="1"/>
    </row>
    <row r="3652" spans="21:21" ht="26.4">
      <c r="U3652" s="61" ph="1"/>
    </row>
    <row r="3653" spans="21:21" ht="26.4">
      <c r="U3653" s="61" ph="1"/>
    </row>
    <row r="3654" spans="21:21" ht="26.4">
      <c r="U3654" s="61" ph="1"/>
    </row>
    <row r="3655" spans="21:21" ht="26.4">
      <c r="U3655" s="61" ph="1"/>
    </row>
    <row r="3656" spans="21:21" ht="26.4">
      <c r="U3656" s="61" ph="1"/>
    </row>
    <row r="3657" spans="21:21" ht="26.4">
      <c r="U3657" s="61" ph="1"/>
    </row>
    <row r="3658" spans="21:21" ht="26.4">
      <c r="U3658" s="61" ph="1"/>
    </row>
    <row r="3659" spans="21:21" ht="26.4">
      <c r="U3659" s="61" ph="1"/>
    </row>
    <row r="3660" spans="21:21" ht="26.4">
      <c r="U3660" s="61" ph="1"/>
    </row>
    <row r="3661" spans="21:21" ht="26.4">
      <c r="U3661" s="61" ph="1"/>
    </row>
    <row r="3662" spans="21:21" ht="26.4">
      <c r="U3662" s="61" ph="1"/>
    </row>
    <row r="3663" spans="21:21" ht="26.4">
      <c r="U3663" s="61" ph="1"/>
    </row>
    <row r="3664" spans="21:21" ht="26.4">
      <c r="U3664" s="61" ph="1"/>
    </row>
    <row r="3665" spans="21:21" ht="26.4">
      <c r="U3665" s="61" ph="1"/>
    </row>
    <row r="3666" spans="21:21" ht="26.4">
      <c r="U3666" s="61" ph="1"/>
    </row>
    <row r="3667" spans="21:21" ht="26.4">
      <c r="U3667" s="61" ph="1"/>
    </row>
    <row r="3668" spans="21:21" ht="26.4">
      <c r="U3668" s="61" ph="1"/>
    </row>
    <row r="3669" spans="21:21" ht="26.4">
      <c r="U3669" s="61" ph="1"/>
    </row>
    <row r="3670" spans="21:21" ht="26.4">
      <c r="U3670" s="61" ph="1"/>
    </row>
    <row r="3671" spans="21:21" ht="26.4">
      <c r="U3671" s="61" ph="1"/>
    </row>
    <row r="3672" spans="21:21" ht="26.4">
      <c r="U3672" s="61" ph="1"/>
    </row>
    <row r="3673" spans="21:21" ht="26.4">
      <c r="U3673" s="61" ph="1"/>
    </row>
    <row r="3674" spans="21:21" ht="26.4">
      <c r="U3674" s="61" ph="1"/>
    </row>
    <row r="3675" spans="21:21" ht="26.4">
      <c r="U3675" s="61" ph="1"/>
    </row>
    <row r="3676" spans="21:21" ht="26.4">
      <c r="U3676" s="61" ph="1"/>
    </row>
    <row r="3677" spans="21:21" ht="26.4">
      <c r="U3677" s="61" ph="1"/>
    </row>
    <row r="3678" spans="21:21" ht="26.4">
      <c r="U3678" s="61" ph="1"/>
    </row>
    <row r="3679" spans="21:21" ht="26.4">
      <c r="U3679" s="61" ph="1"/>
    </row>
    <row r="3680" spans="21:21" ht="26.4">
      <c r="U3680" s="61" ph="1"/>
    </row>
    <row r="3681" spans="21:21" ht="26.4">
      <c r="U3681" s="61" ph="1"/>
    </row>
    <row r="3682" spans="21:21" ht="26.4">
      <c r="U3682" s="61" ph="1"/>
    </row>
    <row r="3683" spans="21:21" ht="26.4">
      <c r="U3683" s="61" ph="1"/>
    </row>
    <row r="3684" spans="21:21" ht="26.4">
      <c r="U3684" s="61" ph="1"/>
    </row>
    <row r="3685" spans="21:21" ht="26.4">
      <c r="U3685" s="61" ph="1"/>
    </row>
    <row r="3686" spans="21:21" ht="26.4">
      <c r="U3686" s="61" ph="1"/>
    </row>
    <row r="3687" spans="21:21" ht="26.4">
      <c r="U3687" s="61" ph="1"/>
    </row>
    <row r="3688" spans="21:21" ht="26.4">
      <c r="U3688" s="61" ph="1"/>
    </row>
    <row r="3689" spans="21:21" ht="26.4">
      <c r="U3689" s="61" ph="1"/>
    </row>
    <row r="3690" spans="21:21" ht="26.4">
      <c r="U3690" s="61" ph="1"/>
    </row>
    <row r="3691" spans="21:21" ht="26.4">
      <c r="U3691" s="61" ph="1"/>
    </row>
    <row r="3692" spans="21:21" ht="26.4">
      <c r="U3692" s="61" ph="1"/>
    </row>
    <row r="3693" spans="21:21" ht="26.4">
      <c r="U3693" s="61" ph="1"/>
    </row>
    <row r="3694" spans="21:21" ht="26.4">
      <c r="U3694" s="61" ph="1"/>
    </row>
    <row r="3695" spans="21:21" ht="26.4">
      <c r="U3695" s="61" ph="1"/>
    </row>
    <row r="3696" spans="21:21" ht="26.4">
      <c r="U3696" s="61" ph="1"/>
    </row>
    <row r="3697" spans="21:21" ht="26.4">
      <c r="U3697" s="61" ph="1"/>
    </row>
    <row r="3698" spans="21:21" ht="26.4">
      <c r="U3698" s="61" ph="1"/>
    </row>
    <row r="3699" spans="21:21" ht="26.4">
      <c r="U3699" s="61" ph="1"/>
    </row>
    <row r="3700" spans="21:21" ht="26.4">
      <c r="U3700" s="61" ph="1"/>
    </row>
    <row r="3701" spans="21:21" ht="26.4">
      <c r="U3701" s="61" ph="1"/>
    </row>
    <row r="3702" spans="21:21" ht="26.4">
      <c r="U3702" s="61" ph="1"/>
    </row>
    <row r="3703" spans="21:21" ht="26.4">
      <c r="U3703" s="61" ph="1"/>
    </row>
    <row r="3704" spans="21:21" ht="26.4">
      <c r="U3704" s="61" ph="1"/>
    </row>
    <row r="3705" spans="21:21" ht="26.4">
      <c r="U3705" s="61" ph="1"/>
    </row>
    <row r="3706" spans="21:21" ht="26.4">
      <c r="U3706" s="61" ph="1"/>
    </row>
    <row r="3707" spans="21:21" ht="26.4">
      <c r="U3707" s="61" ph="1"/>
    </row>
    <row r="3708" spans="21:21" ht="26.4">
      <c r="U3708" s="61" ph="1"/>
    </row>
    <row r="3709" spans="21:21" ht="26.4">
      <c r="U3709" s="61" ph="1"/>
    </row>
    <row r="3710" spans="21:21" ht="26.4">
      <c r="U3710" s="61" ph="1"/>
    </row>
    <row r="3711" spans="21:21" ht="26.4">
      <c r="U3711" s="61" ph="1"/>
    </row>
    <row r="3712" spans="21:21" ht="26.4">
      <c r="U3712" s="61" ph="1"/>
    </row>
    <row r="3713" spans="21:21" ht="26.4">
      <c r="U3713" s="61" ph="1"/>
    </row>
    <row r="3714" spans="21:21" ht="26.4">
      <c r="U3714" s="61" ph="1"/>
    </row>
    <row r="3715" spans="21:21" ht="26.4">
      <c r="U3715" s="61" ph="1"/>
    </row>
    <row r="3716" spans="21:21" ht="26.4">
      <c r="U3716" s="61" ph="1"/>
    </row>
    <row r="3717" spans="21:21" ht="26.4">
      <c r="U3717" s="61" ph="1"/>
    </row>
    <row r="3718" spans="21:21" ht="26.4">
      <c r="U3718" s="61" ph="1"/>
    </row>
    <row r="3719" spans="21:21" ht="26.4">
      <c r="U3719" s="61" ph="1"/>
    </row>
    <row r="3720" spans="21:21" ht="26.4">
      <c r="U3720" s="61" ph="1"/>
    </row>
    <row r="3721" spans="21:21" ht="26.4">
      <c r="U3721" s="61" ph="1"/>
    </row>
    <row r="3722" spans="21:21" ht="26.4">
      <c r="U3722" s="61" ph="1"/>
    </row>
    <row r="3723" spans="21:21" ht="26.4">
      <c r="U3723" s="61" ph="1"/>
    </row>
    <row r="3724" spans="21:21" ht="26.4">
      <c r="U3724" s="61" ph="1"/>
    </row>
    <row r="3725" spans="21:21" ht="26.4">
      <c r="U3725" s="61" ph="1"/>
    </row>
    <row r="3726" spans="21:21" ht="26.4">
      <c r="U3726" s="61" ph="1"/>
    </row>
    <row r="3727" spans="21:21" ht="26.4">
      <c r="U3727" s="61" ph="1"/>
    </row>
    <row r="3728" spans="21:21" ht="26.4">
      <c r="U3728" s="61" ph="1"/>
    </row>
    <row r="3729" spans="21:21" ht="26.4">
      <c r="U3729" s="61" ph="1"/>
    </row>
    <row r="3730" spans="21:21" ht="26.4">
      <c r="U3730" s="61" ph="1"/>
    </row>
    <row r="3731" spans="21:21" ht="26.4">
      <c r="U3731" s="61" ph="1"/>
    </row>
    <row r="3732" spans="21:21" ht="26.4">
      <c r="U3732" s="61" ph="1"/>
    </row>
    <row r="3733" spans="21:21" ht="26.4">
      <c r="U3733" s="61" ph="1"/>
    </row>
    <row r="3734" spans="21:21" ht="26.4">
      <c r="U3734" s="61" ph="1"/>
    </row>
    <row r="3735" spans="21:21" ht="26.4">
      <c r="U3735" s="61" ph="1"/>
    </row>
    <row r="3736" spans="21:21" ht="26.4">
      <c r="U3736" s="61" ph="1"/>
    </row>
    <row r="3737" spans="21:21" ht="26.4">
      <c r="U3737" s="61" ph="1"/>
    </row>
    <row r="3738" spans="21:21" ht="26.4">
      <c r="U3738" s="61" ph="1"/>
    </row>
    <row r="3739" spans="21:21" ht="26.4">
      <c r="U3739" s="61" ph="1"/>
    </row>
    <row r="3740" spans="21:21" ht="26.4">
      <c r="U3740" s="61" ph="1"/>
    </row>
    <row r="3741" spans="21:21" ht="26.4">
      <c r="U3741" s="61" ph="1"/>
    </row>
    <row r="3742" spans="21:21" ht="26.4">
      <c r="U3742" s="61" ph="1"/>
    </row>
    <row r="3743" spans="21:21" ht="26.4">
      <c r="U3743" s="61" ph="1"/>
    </row>
    <row r="3744" spans="21:21" ht="26.4">
      <c r="U3744" s="61" ph="1"/>
    </row>
    <row r="3745" spans="21:21" ht="26.4">
      <c r="U3745" s="61" ph="1"/>
    </row>
    <row r="3746" spans="21:21" ht="26.4">
      <c r="U3746" s="61" ph="1"/>
    </row>
    <row r="3747" spans="21:21" ht="26.4">
      <c r="U3747" s="61" ph="1"/>
    </row>
    <row r="3748" spans="21:21" ht="26.4">
      <c r="U3748" s="61" ph="1"/>
    </row>
    <row r="3749" spans="21:21" ht="26.4">
      <c r="U3749" s="61" ph="1"/>
    </row>
    <row r="3750" spans="21:21" ht="26.4">
      <c r="U3750" s="61" ph="1"/>
    </row>
    <row r="3751" spans="21:21" ht="26.4">
      <c r="U3751" s="61" ph="1"/>
    </row>
    <row r="3752" spans="21:21" ht="26.4">
      <c r="U3752" s="61" ph="1"/>
    </row>
    <row r="3753" spans="21:21" ht="26.4">
      <c r="U3753" s="61" ph="1"/>
    </row>
    <row r="3754" spans="21:21" ht="26.4">
      <c r="U3754" s="61" ph="1"/>
    </row>
    <row r="3755" spans="21:21" ht="26.4">
      <c r="U3755" s="61" ph="1"/>
    </row>
    <row r="3756" spans="21:21" ht="26.4">
      <c r="U3756" s="61" ph="1"/>
    </row>
    <row r="3757" spans="21:21" ht="26.4">
      <c r="U3757" s="61" ph="1"/>
    </row>
    <row r="3758" spans="21:21" ht="26.4">
      <c r="U3758" s="61" ph="1"/>
    </row>
    <row r="3759" spans="21:21" ht="26.4">
      <c r="U3759" s="61" ph="1"/>
    </row>
    <row r="3760" spans="21:21" ht="26.4">
      <c r="U3760" s="61" ph="1"/>
    </row>
    <row r="3761" spans="21:21" ht="26.4">
      <c r="U3761" s="61" ph="1"/>
    </row>
    <row r="3762" spans="21:21" ht="26.4">
      <c r="U3762" s="61" ph="1"/>
    </row>
    <row r="3763" spans="21:21" ht="26.4">
      <c r="U3763" s="61" ph="1"/>
    </row>
    <row r="3764" spans="21:21" ht="26.4">
      <c r="U3764" s="61" ph="1"/>
    </row>
    <row r="3765" spans="21:21" ht="26.4">
      <c r="U3765" s="61" ph="1"/>
    </row>
    <row r="3766" spans="21:21" ht="26.4">
      <c r="U3766" s="61" ph="1"/>
    </row>
    <row r="3767" spans="21:21" ht="26.4">
      <c r="U3767" s="61" ph="1"/>
    </row>
    <row r="3768" spans="21:21" ht="26.4">
      <c r="U3768" s="61" ph="1"/>
    </row>
    <row r="3769" spans="21:21" ht="26.4">
      <c r="U3769" s="61" ph="1"/>
    </row>
    <row r="3770" spans="21:21" ht="26.4">
      <c r="U3770" s="61" ph="1"/>
    </row>
    <row r="3771" spans="21:21" ht="26.4">
      <c r="U3771" s="61" ph="1"/>
    </row>
    <row r="3772" spans="21:21" ht="26.4">
      <c r="U3772" s="61" ph="1"/>
    </row>
    <row r="3773" spans="21:21" ht="26.4">
      <c r="U3773" s="61" ph="1"/>
    </row>
    <row r="3774" spans="21:21" ht="26.4">
      <c r="U3774" s="61" ph="1"/>
    </row>
    <row r="3775" spans="21:21" ht="26.4">
      <c r="U3775" s="61" ph="1"/>
    </row>
    <row r="3776" spans="21:21" ht="26.4">
      <c r="U3776" s="61" ph="1"/>
    </row>
    <row r="3777" spans="21:21" ht="26.4">
      <c r="U3777" s="61" ph="1"/>
    </row>
    <row r="3778" spans="21:21" ht="26.4">
      <c r="U3778" s="61" ph="1"/>
    </row>
    <row r="3779" spans="21:21" ht="26.4">
      <c r="U3779" s="61" ph="1"/>
    </row>
    <row r="3780" spans="21:21" ht="26.4">
      <c r="U3780" s="61" ph="1"/>
    </row>
    <row r="3781" spans="21:21" ht="26.4">
      <c r="U3781" s="61" ph="1"/>
    </row>
    <row r="3782" spans="21:21" ht="26.4">
      <c r="U3782" s="61" ph="1"/>
    </row>
    <row r="3783" spans="21:21" ht="26.4">
      <c r="U3783" s="61" ph="1"/>
    </row>
    <row r="3784" spans="21:21" ht="26.4">
      <c r="U3784" s="61" ph="1"/>
    </row>
    <row r="3785" spans="21:21" ht="26.4">
      <c r="U3785" s="61" ph="1"/>
    </row>
    <row r="3786" spans="21:21" ht="26.4">
      <c r="U3786" s="61" ph="1"/>
    </row>
    <row r="3787" spans="21:21" ht="26.4">
      <c r="U3787" s="61" ph="1"/>
    </row>
    <row r="3788" spans="21:21" ht="26.4">
      <c r="U3788" s="61" ph="1"/>
    </row>
    <row r="3789" spans="21:21" ht="26.4">
      <c r="U3789" s="61" ph="1"/>
    </row>
    <row r="3790" spans="21:21" ht="26.4">
      <c r="U3790" s="61" ph="1"/>
    </row>
    <row r="3791" spans="21:21" ht="26.4">
      <c r="U3791" s="61" ph="1"/>
    </row>
    <row r="3792" spans="21:21" ht="26.4">
      <c r="U3792" s="61" ph="1"/>
    </row>
    <row r="3793" spans="21:21" ht="26.4">
      <c r="U3793" s="61" ph="1"/>
    </row>
    <row r="3794" spans="21:21" ht="26.4">
      <c r="U3794" s="61" ph="1"/>
    </row>
    <row r="3795" spans="21:21" ht="26.4">
      <c r="U3795" s="61" ph="1"/>
    </row>
    <row r="3796" spans="21:21" ht="26.4">
      <c r="U3796" s="61" ph="1"/>
    </row>
    <row r="3797" spans="21:21" ht="26.4">
      <c r="U3797" s="61" ph="1"/>
    </row>
    <row r="3798" spans="21:21" ht="26.4">
      <c r="U3798" s="61" ph="1"/>
    </row>
    <row r="3799" spans="21:21" ht="26.4">
      <c r="U3799" s="61" ph="1"/>
    </row>
    <row r="3800" spans="21:21" ht="26.4">
      <c r="U3800" s="61" ph="1"/>
    </row>
    <row r="3801" spans="21:21" ht="26.4">
      <c r="U3801" s="61" ph="1"/>
    </row>
    <row r="3802" spans="21:21" ht="26.4">
      <c r="U3802" s="61" ph="1"/>
    </row>
    <row r="3803" spans="21:21" ht="26.4">
      <c r="U3803" s="61" ph="1"/>
    </row>
    <row r="3804" spans="21:21" ht="26.4">
      <c r="U3804" s="61" ph="1"/>
    </row>
    <row r="3805" spans="21:21" ht="26.4">
      <c r="U3805" s="61" ph="1"/>
    </row>
    <row r="3806" spans="21:21" ht="26.4">
      <c r="U3806" s="61" ph="1"/>
    </row>
    <row r="3807" spans="21:21" ht="26.4">
      <c r="U3807" s="61" ph="1"/>
    </row>
    <row r="3808" spans="21:21" ht="26.4">
      <c r="U3808" s="61" ph="1"/>
    </row>
    <row r="3809" spans="21:21" ht="26.4">
      <c r="U3809" s="61" ph="1"/>
    </row>
    <row r="3810" spans="21:21" ht="26.4">
      <c r="U3810" s="61" ph="1"/>
    </row>
    <row r="3811" spans="21:21" ht="26.4">
      <c r="U3811" s="61" ph="1"/>
    </row>
    <row r="3812" spans="21:21" ht="26.4">
      <c r="U3812" s="61" ph="1"/>
    </row>
    <row r="3813" spans="21:21" ht="26.4">
      <c r="U3813" s="61" ph="1"/>
    </row>
    <row r="3814" spans="21:21" ht="26.4">
      <c r="U3814" s="61" ph="1"/>
    </row>
    <row r="3815" spans="21:21" ht="26.4">
      <c r="U3815" s="61" ph="1"/>
    </row>
    <row r="3816" spans="21:21" ht="26.4">
      <c r="U3816" s="61" ph="1"/>
    </row>
    <row r="3817" spans="21:21" ht="26.4">
      <c r="U3817" s="61" ph="1"/>
    </row>
    <row r="3818" spans="21:21" ht="26.4">
      <c r="U3818" s="61" ph="1"/>
    </row>
    <row r="3819" spans="21:21" ht="26.4">
      <c r="U3819" s="61" ph="1"/>
    </row>
    <row r="3820" spans="21:21" ht="26.4">
      <c r="U3820" s="61" ph="1"/>
    </row>
    <row r="3821" spans="21:21" ht="26.4">
      <c r="U3821" s="61" ph="1"/>
    </row>
    <row r="3822" spans="21:21" ht="26.4">
      <c r="U3822" s="61" ph="1"/>
    </row>
    <row r="3823" spans="21:21" ht="26.4">
      <c r="U3823" s="61" ph="1"/>
    </row>
    <row r="3824" spans="21:21" ht="26.4">
      <c r="U3824" s="61" ph="1"/>
    </row>
    <row r="3825" spans="21:21" ht="26.4">
      <c r="U3825" s="61" ph="1"/>
    </row>
    <row r="3826" spans="21:21" ht="26.4">
      <c r="U3826" s="61" ph="1"/>
    </row>
    <row r="3827" spans="21:21" ht="26.4">
      <c r="U3827" s="61" ph="1"/>
    </row>
    <row r="3828" spans="21:21" ht="26.4">
      <c r="U3828" s="61" ph="1"/>
    </row>
    <row r="3829" spans="21:21" ht="26.4">
      <c r="U3829" s="61" ph="1"/>
    </row>
    <row r="3830" spans="21:21" ht="26.4">
      <c r="U3830" s="61" ph="1"/>
    </row>
    <row r="3831" spans="21:21" ht="26.4">
      <c r="U3831" s="61" ph="1"/>
    </row>
    <row r="3832" spans="21:21" ht="26.4">
      <c r="U3832" s="61" ph="1"/>
    </row>
    <row r="3833" spans="21:21" ht="26.4">
      <c r="U3833" s="61" ph="1"/>
    </row>
    <row r="3834" spans="21:21" ht="26.4">
      <c r="U3834" s="61" ph="1"/>
    </row>
    <row r="3835" spans="21:21" ht="26.4">
      <c r="U3835" s="61" ph="1"/>
    </row>
    <row r="3836" spans="21:21" ht="26.4">
      <c r="U3836" s="61" ph="1"/>
    </row>
    <row r="3837" spans="21:21" ht="26.4">
      <c r="U3837" s="61" ph="1"/>
    </row>
    <row r="3838" spans="21:21" ht="26.4">
      <c r="U3838" s="61" ph="1"/>
    </row>
    <row r="3839" spans="21:21" ht="26.4">
      <c r="U3839" s="61" ph="1"/>
    </row>
    <row r="3840" spans="21:21" ht="26.4">
      <c r="U3840" s="61" ph="1"/>
    </row>
    <row r="3841" spans="21:21" ht="26.4">
      <c r="U3841" s="61" ph="1"/>
    </row>
    <row r="3842" spans="21:21" ht="26.4">
      <c r="U3842" s="61" ph="1"/>
    </row>
    <row r="3843" spans="21:21" ht="26.4">
      <c r="U3843" s="61" ph="1"/>
    </row>
    <row r="3844" spans="21:21" ht="26.4">
      <c r="U3844" s="61" ph="1"/>
    </row>
    <row r="3845" spans="21:21" ht="26.4">
      <c r="U3845" s="61" ph="1"/>
    </row>
    <row r="3846" spans="21:21" ht="26.4">
      <c r="U3846" s="61" ph="1"/>
    </row>
    <row r="3847" spans="21:21" ht="26.4">
      <c r="U3847" s="61" ph="1"/>
    </row>
    <row r="3848" spans="21:21" ht="26.4">
      <c r="U3848" s="61" ph="1"/>
    </row>
    <row r="3849" spans="21:21" ht="26.4">
      <c r="U3849" s="61" ph="1"/>
    </row>
    <row r="3850" spans="21:21" ht="26.4">
      <c r="U3850" s="61" ph="1"/>
    </row>
    <row r="3851" spans="21:21" ht="26.4">
      <c r="U3851" s="61" ph="1"/>
    </row>
    <row r="3852" spans="21:21" ht="26.4">
      <c r="U3852" s="61" ph="1"/>
    </row>
    <row r="3853" spans="21:21" ht="26.4">
      <c r="U3853" s="61" ph="1"/>
    </row>
    <row r="3854" spans="21:21" ht="26.4">
      <c r="U3854" s="61" ph="1"/>
    </row>
    <row r="3855" spans="21:21" ht="26.4">
      <c r="U3855" s="61" ph="1"/>
    </row>
    <row r="3856" spans="21:21" ht="26.4">
      <c r="U3856" s="61" ph="1"/>
    </row>
    <row r="3857" spans="21:21" ht="26.4">
      <c r="U3857" s="61" ph="1"/>
    </row>
    <row r="3858" spans="21:21" ht="26.4">
      <c r="U3858" s="61" ph="1"/>
    </row>
    <row r="3859" spans="21:21" ht="26.4">
      <c r="U3859" s="61" ph="1"/>
    </row>
    <row r="3860" spans="21:21" ht="26.4">
      <c r="U3860" s="61" ph="1"/>
    </row>
    <row r="3861" spans="21:21" ht="26.4">
      <c r="U3861" s="61" ph="1"/>
    </row>
    <row r="3862" spans="21:21" ht="26.4">
      <c r="U3862" s="61" ph="1"/>
    </row>
    <row r="3863" spans="21:21" ht="26.4">
      <c r="U3863" s="61" ph="1"/>
    </row>
    <row r="3864" spans="21:21" ht="26.4">
      <c r="U3864" s="61" ph="1"/>
    </row>
    <row r="3865" spans="21:21" ht="26.4">
      <c r="U3865" s="61" ph="1"/>
    </row>
    <row r="3866" spans="21:21" ht="26.4">
      <c r="U3866" s="61" ph="1"/>
    </row>
    <row r="3867" spans="21:21" ht="26.4">
      <c r="U3867" s="61" ph="1"/>
    </row>
    <row r="3868" spans="21:21" ht="26.4">
      <c r="U3868" s="61" ph="1"/>
    </row>
    <row r="3869" spans="21:21" ht="26.4">
      <c r="U3869" s="61" ph="1"/>
    </row>
    <row r="3870" spans="21:21" ht="26.4">
      <c r="U3870" s="61" ph="1"/>
    </row>
    <row r="3871" spans="21:21" ht="26.4">
      <c r="U3871" s="61" ph="1"/>
    </row>
    <row r="3872" spans="21:21" ht="26.4">
      <c r="U3872" s="61" ph="1"/>
    </row>
    <row r="3873" spans="21:21" ht="26.4">
      <c r="U3873" s="61" ph="1"/>
    </row>
    <row r="3874" spans="21:21" ht="26.4">
      <c r="U3874" s="61" ph="1"/>
    </row>
    <row r="3875" spans="21:21" ht="26.4">
      <c r="U3875" s="61" ph="1"/>
    </row>
    <row r="3876" spans="21:21" ht="26.4">
      <c r="U3876" s="61" ph="1"/>
    </row>
    <row r="3877" spans="21:21" ht="26.4">
      <c r="U3877" s="61" ph="1"/>
    </row>
    <row r="3878" spans="21:21" ht="26.4">
      <c r="U3878" s="61" ph="1"/>
    </row>
    <row r="3879" spans="21:21" ht="26.4">
      <c r="U3879" s="61" ph="1"/>
    </row>
    <row r="3880" spans="21:21" ht="26.4">
      <c r="U3880" s="61" ph="1"/>
    </row>
    <row r="3881" spans="21:21" ht="26.4">
      <c r="U3881" s="61" ph="1"/>
    </row>
    <row r="3882" spans="21:21" ht="26.4">
      <c r="U3882" s="61" ph="1"/>
    </row>
    <row r="3883" spans="21:21" ht="26.4">
      <c r="U3883" s="61" ph="1"/>
    </row>
    <row r="3884" spans="21:21" ht="26.4">
      <c r="U3884" s="61" ph="1"/>
    </row>
    <row r="3885" spans="21:21" ht="26.4">
      <c r="U3885" s="61" ph="1"/>
    </row>
    <row r="3886" spans="21:21" ht="26.4">
      <c r="U3886" s="61" ph="1"/>
    </row>
    <row r="3887" spans="21:21" ht="26.4">
      <c r="U3887" s="61" ph="1"/>
    </row>
    <row r="3888" spans="21:21" ht="26.4">
      <c r="U3888" s="61" ph="1"/>
    </row>
    <row r="3889" spans="21:21" ht="26.4">
      <c r="U3889" s="61" ph="1"/>
    </row>
    <row r="3890" spans="21:21" ht="26.4">
      <c r="U3890" s="61" ph="1"/>
    </row>
    <row r="3891" spans="21:21" ht="26.4">
      <c r="U3891" s="61" ph="1"/>
    </row>
    <row r="3892" spans="21:21" ht="26.4">
      <c r="U3892" s="61" ph="1"/>
    </row>
    <row r="3893" spans="21:21" ht="26.4">
      <c r="U3893" s="61" ph="1"/>
    </row>
    <row r="3894" spans="21:21" ht="26.4">
      <c r="U3894" s="61" ph="1"/>
    </row>
    <row r="3895" spans="21:21" ht="26.4">
      <c r="U3895" s="61" ph="1"/>
    </row>
    <row r="3896" spans="21:21" ht="26.4">
      <c r="U3896" s="61" ph="1"/>
    </row>
    <row r="3897" spans="21:21" ht="26.4">
      <c r="U3897" s="61" ph="1"/>
    </row>
    <row r="3898" spans="21:21" ht="26.4">
      <c r="U3898" s="61" ph="1"/>
    </row>
    <row r="3899" spans="21:21" ht="26.4">
      <c r="U3899" s="61" ph="1"/>
    </row>
    <row r="3900" spans="21:21" ht="26.4">
      <c r="U3900" s="61" ph="1"/>
    </row>
    <row r="3901" spans="21:21" ht="26.4">
      <c r="U3901" s="61" ph="1"/>
    </row>
    <row r="3902" spans="21:21" ht="26.4">
      <c r="U3902" s="61" ph="1"/>
    </row>
    <row r="3903" spans="21:21" ht="26.4">
      <c r="U3903" s="61" ph="1"/>
    </row>
    <row r="3904" spans="21:21" ht="26.4">
      <c r="U3904" s="61" ph="1"/>
    </row>
    <row r="3905" spans="21:21" ht="26.4">
      <c r="U3905" s="61" ph="1"/>
    </row>
    <row r="3906" spans="21:21" ht="26.4">
      <c r="U3906" s="61" ph="1"/>
    </row>
    <row r="3907" spans="21:21" ht="26.4">
      <c r="U3907" s="61" ph="1"/>
    </row>
    <row r="3908" spans="21:21" ht="26.4">
      <c r="U3908" s="61" ph="1"/>
    </row>
    <row r="3909" spans="21:21" ht="26.4">
      <c r="U3909" s="61" ph="1"/>
    </row>
    <row r="3910" spans="21:21" ht="26.4">
      <c r="U3910" s="61" ph="1"/>
    </row>
    <row r="3911" spans="21:21" ht="26.4">
      <c r="U3911" s="61" ph="1"/>
    </row>
    <row r="3912" spans="21:21" ht="26.4">
      <c r="U3912" s="61" ph="1"/>
    </row>
    <row r="3913" spans="21:21" ht="26.4">
      <c r="U3913" s="61" ph="1"/>
    </row>
    <row r="3914" spans="21:21" ht="26.4">
      <c r="U3914" s="61" ph="1"/>
    </row>
    <row r="3915" spans="21:21" ht="26.4">
      <c r="U3915" s="61" ph="1"/>
    </row>
    <row r="3916" spans="21:21" ht="26.4">
      <c r="U3916" s="61" ph="1"/>
    </row>
    <row r="3917" spans="21:21" ht="26.4">
      <c r="U3917" s="61" ph="1"/>
    </row>
    <row r="3918" spans="21:21" ht="26.4">
      <c r="U3918" s="61" ph="1"/>
    </row>
    <row r="3919" spans="21:21" ht="26.4">
      <c r="U3919" s="61" ph="1"/>
    </row>
    <row r="3920" spans="21:21" ht="26.4">
      <c r="U3920" s="61" ph="1"/>
    </row>
    <row r="3921" spans="21:21" ht="26.4">
      <c r="U3921" s="61" ph="1"/>
    </row>
    <row r="3922" spans="21:21" ht="26.4">
      <c r="U3922" s="61" ph="1"/>
    </row>
    <row r="3923" spans="21:21" ht="26.4">
      <c r="U3923" s="61" ph="1"/>
    </row>
    <row r="3924" spans="21:21" ht="26.4">
      <c r="U3924" s="61" ph="1"/>
    </row>
    <row r="3925" spans="21:21" ht="26.4">
      <c r="U3925" s="61" ph="1"/>
    </row>
    <row r="3926" spans="21:21" ht="26.4">
      <c r="U3926" s="61" ph="1"/>
    </row>
    <row r="3927" spans="21:21" ht="26.4">
      <c r="U3927" s="61" ph="1"/>
    </row>
    <row r="3928" spans="21:21" ht="26.4">
      <c r="U3928" s="61" ph="1"/>
    </row>
    <row r="3929" spans="21:21" ht="26.4">
      <c r="U3929" s="61" ph="1"/>
    </row>
    <row r="3930" spans="21:21" ht="26.4">
      <c r="U3930" s="61" ph="1"/>
    </row>
    <row r="3931" spans="21:21" ht="26.4">
      <c r="U3931" s="61" ph="1"/>
    </row>
    <row r="3932" spans="21:21" ht="26.4">
      <c r="U3932" s="61" ph="1"/>
    </row>
    <row r="3933" spans="21:21" ht="26.4">
      <c r="U3933" s="61" ph="1"/>
    </row>
    <row r="3934" spans="21:21" ht="26.4">
      <c r="U3934" s="61" ph="1"/>
    </row>
    <row r="3935" spans="21:21" ht="26.4">
      <c r="U3935" s="61" ph="1"/>
    </row>
    <row r="3936" spans="21:21" ht="26.4">
      <c r="U3936" s="61" ph="1"/>
    </row>
    <row r="3937" spans="21:21" ht="26.4">
      <c r="U3937" s="61" ph="1"/>
    </row>
    <row r="3938" spans="21:21" ht="26.4">
      <c r="U3938" s="61" ph="1"/>
    </row>
    <row r="3939" spans="21:21" ht="26.4">
      <c r="U3939" s="61" ph="1"/>
    </row>
    <row r="3940" spans="21:21" ht="26.4">
      <c r="U3940" s="61" ph="1"/>
    </row>
    <row r="3941" spans="21:21" ht="26.4">
      <c r="U3941" s="61" ph="1"/>
    </row>
    <row r="3942" spans="21:21" ht="26.4">
      <c r="U3942" s="61" ph="1"/>
    </row>
    <row r="3943" spans="21:21" ht="26.4">
      <c r="U3943" s="61" ph="1"/>
    </row>
    <row r="3944" spans="21:21" ht="26.4">
      <c r="U3944" s="61" ph="1"/>
    </row>
    <row r="3945" spans="21:21" ht="26.4">
      <c r="U3945" s="61" ph="1"/>
    </row>
    <row r="3946" spans="21:21" ht="26.4">
      <c r="U3946" s="61" ph="1"/>
    </row>
    <row r="3947" spans="21:21" ht="26.4">
      <c r="U3947" s="61" ph="1"/>
    </row>
    <row r="3948" spans="21:21" ht="26.4">
      <c r="U3948" s="61" ph="1"/>
    </row>
    <row r="3949" spans="21:21" ht="26.4">
      <c r="U3949" s="61" ph="1"/>
    </row>
    <row r="3950" spans="21:21" ht="26.4">
      <c r="U3950" s="61" ph="1"/>
    </row>
    <row r="3951" spans="21:21" ht="26.4">
      <c r="U3951" s="61" ph="1"/>
    </row>
    <row r="3952" spans="21:21" ht="26.4">
      <c r="U3952" s="61" ph="1"/>
    </row>
    <row r="3953" spans="21:21" ht="26.4">
      <c r="U3953" s="61" ph="1"/>
    </row>
    <row r="3954" spans="21:21" ht="26.4">
      <c r="U3954" s="61" ph="1"/>
    </row>
    <row r="3955" spans="21:21" ht="26.4">
      <c r="U3955" s="61" ph="1"/>
    </row>
    <row r="3956" spans="21:21" ht="26.4">
      <c r="U3956" s="61" ph="1"/>
    </row>
    <row r="3957" spans="21:21" ht="26.4">
      <c r="U3957" s="61" ph="1"/>
    </row>
    <row r="3958" spans="21:21" ht="26.4">
      <c r="U3958" s="61" ph="1"/>
    </row>
    <row r="3959" spans="21:21" ht="26.4">
      <c r="U3959" s="61" ph="1"/>
    </row>
    <row r="3960" spans="21:21" ht="26.4">
      <c r="U3960" s="61" ph="1"/>
    </row>
    <row r="3961" spans="21:21" ht="26.4">
      <c r="U3961" s="61" ph="1"/>
    </row>
    <row r="3962" spans="21:21" ht="26.4">
      <c r="U3962" s="61" ph="1"/>
    </row>
    <row r="3963" spans="21:21" ht="26.4">
      <c r="U3963" s="61" ph="1"/>
    </row>
    <row r="3964" spans="21:21" ht="26.4">
      <c r="U3964" s="61" ph="1"/>
    </row>
    <row r="3965" spans="21:21" ht="26.4">
      <c r="U3965" s="61" ph="1"/>
    </row>
    <row r="3966" spans="21:21" ht="26.4">
      <c r="U3966" s="61" ph="1"/>
    </row>
    <row r="3967" spans="21:21" ht="26.4">
      <c r="U3967" s="61" ph="1"/>
    </row>
    <row r="3968" spans="21:21" ht="26.4">
      <c r="U3968" s="61" ph="1"/>
    </row>
    <row r="3969" spans="21:21" ht="26.4">
      <c r="U3969" s="61" ph="1"/>
    </row>
    <row r="3970" spans="21:21" ht="26.4">
      <c r="U3970" s="61" ph="1"/>
    </row>
    <row r="3971" spans="21:21" ht="26.4">
      <c r="U3971" s="61" ph="1"/>
    </row>
    <row r="3972" spans="21:21" ht="26.4">
      <c r="U3972" s="61" ph="1"/>
    </row>
    <row r="3973" spans="21:21" ht="26.4">
      <c r="U3973" s="61" ph="1"/>
    </row>
    <row r="3974" spans="21:21" ht="26.4">
      <c r="U3974" s="61" ph="1"/>
    </row>
    <row r="3975" spans="21:21" ht="26.4">
      <c r="U3975" s="61" ph="1"/>
    </row>
    <row r="3976" spans="21:21" ht="26.4">
      <c r="U3976" s="61" ph="1"/>
    </row>
    <row r="3977" spans="21:21" ht="26.4">
      <c r="U3977" s="61" ph="1"/>
    </row>
    <row r="3978" spans="21:21" ht="26.4">
      <c r="U3978" s="61" ph="1"/>
    </row>
    <row r="3979" spans="21:21" ht="26.4">
      <c r="U3979" s="61" ph="1"/>
    </row>
    <row r="3980" spans="21:21" ht="26.4">
      <c r="U3980" s="61" ph="1"/>
    </row>
    <row r="3981" spans="21:21" ht="26.4">
      <c r="U3981" s="61" ph="1"/>
    </row>
    <row r="3982" spans="21:21" ht="26.4">
      <c r="U3982" s="61" ph="1"/>
    </row>
    <row r="3983" spans="21:21" ht="26.4">
      <c r="U3983" s="61" ph="1"/>
    </row>
    <row r="3984" spans="21:21" ht="26.4">
      <c r="U3984" s="61" ph="1"/>
    </row>
    <row r="3985" spans="21:21" ht="26.4">
      <c r="U3985" s="61" ph="1"/>
    </row>
    <row r="3986" spans="21:21" ht="26.4">
      <c r="U3986" s="61" ph="1"/>
    </row>
    <row r="3987" spans="21:21" ht="26.4">
      <c r="U3987" s="61" ph="1"/>
    </row>
    <row r="3988" spans="21:21" ht="26.4">
      <c r="U3988" s="61" ph="1"/>
    </row>
    <row r="3989" spans="21:21" ht="26.4">
      <c r="U3989" s="61" ph="1"/>
    </row>
    <row r="3990" spans="21:21" ht="26.4">
      <c r="U3990" s="61" ph="1"/>
    </row>
    <row r="3991" spans="21:21" ht="26.4">
      <c r="U3991" s="61" ph="1"/>
    </row>
    <row r="3992" spans="21:21" ht="26.4">
      <c r="U3992" s="61" ph="1"/>
    </row>
    <row r="3993" spans="21:21" ht="26.4">
      <c r="U3993" s="61" ph="1"/>
    </row>
    <row r="3994" spans="21:21" ht="26.4">
      <c r="U3994" s="61" ph="1"/>
    </row>
    <row r="3995" spans="21:21" ht="26.4">
      <c r="U3995" s="61" ph="1"/>
    </row>
    <row r="3996" spans="21:21" ht="26.4">
      <c r="U3996" s="61" ph="1"/>
    </row>
    <row r="3997" spans="21:21" ht="26.4">
      <c r="U3997" s="61" ph="1"/>
    </row>
    <row r="3998" spans="21:21" ht="26.4">
      <c r="U3998" s="61" ph="1"/>
    </row>
    <row r="3999" spans="21:21" ht="26.4">
      <c r="U3999" s="61" ph="1"/>
    </row>
    <row r="4000" spans="21:21" ht="26.4">
      <c r="U4000" s="61" ph="1"/>
    </row>
    <row r="4001" spans="21:21" ht="26.4">
      <c r="U4001" s="61" ph="1"/>
    </row>
    <row r="4002" spans="21:21" ht="26.4">
      <c r="U4002" s="61" ph="1"/>
    </row>
    <row r="4003" spans="21:21" ht="26.4">
      <c r="U4003" s="61" ph="1"/>
    </row>
    <row r="4004" spans="21:21" ht="26.4">
      <c r="U4004" s="61" ph="1"/>
    </row>
    <row r="4005" spans="21:21" ht="26.4">
      <c r="U4005" s="61" ph="1"/>
    </row>
    <row r="4006" spans="21:21" ht="26.4">
      <c r="U4006" s="61" ph="1"/>
    </row>
    <row r="4007" spans="21:21" ht="26.4">
      <c r="U4007" s="61" ph="1"/>
    </row>
    <row r="4008" spans="21:21" ht="26.4">
      <c r="U4008" s="61" ph="1"/>
    </row>
    <row r="4009" spans="21:21" ht="26.4">
      <c r="U4009" s="61" ph="1"/>
    </row>
    <row r="4010" spans="21:21" ht="26.4">
      <c r="U4010" s="61" ph="1"/>
    </row>
    <row r="4011" spans="21:21" ht="26.4">
      <c r="U4011" s="61" ph="1"/>
    </row>
    <row r="4012" spans="21:21" ht="26.4">
      <c r="U4012" s="61" ph="1"/>
    </row>
    <row r="4013" spans="21:21" ht="26.4">
      <c r="U4013" s="61" ph="1"/>
    </row>
    <row r="4014" spans="21:21" ht="26.4">
      <c r="U4014" s="61" ph="1"/>
    </row>
    <row r="4015" spans="21:21" ht="26.4">
      <c r="U4015" s="61" ph="1"/>
    </row>
    <row r="4016" spans="21:21" ht="26.4">
      <c r="U4016" s="61" ph="1"/>
    </row>
    <row r="4017" spans="21:21" ht="26.4">
      <c r="U4017" s="61" ph="1"/>
    </row>
    <row r="4018" spans="21:21" ht="26.4">
      <c r="U4018" s="61" ph="1"/>
    </row>
    <row r="4019" spans="21:21" ht="26.4">
      <c r="U4019" s="61" ph="1"/>
    </row>
    <row r="4020" spans="21:21" ht="26.4">
      <c r="U4020" s="61" ph="1"/>
    </row>
    <row r="4021" spans="21:21" ht="26.4">
      <c r="U4021" s="61" ph="1"/>
    </row>
    <row r="4022" spans="21:21" ht="26.4">
      <c r="U4022" s="61" ph="1"/>
    </row>
    <row r="4023" spans="21:21" ht="26.4">
      <c r="U4023" s="61" ph="1"/>
    </row>
    <row r="4024" spans="21:21" ht="26.4">
      <c r="U4024" s="61" ph="1"/>
    </row>
    <row r="4025" spans="21:21" ht="26.4">
      <c r="U4025" s="61" ph="1"/>
    </row>
    <row r="4026" spans="21:21" ht="26.4">
      <c r="U4026" s="61" ph="1"/>
    </row>
    <row r="4027" spans="21:21" ht="26.4">
      <c r="U4027" s="61" ph="1"/>
    </row>
    <row r="4028" spans="21:21" ht="26.4">
      <c r="U4028" s="61" ph="1"/>
    </row>
    <row r="4029" spans="21:21" ht="26.4">
      <c r="U4029" s="61" ph="1"/>
    </row>
    <row r="4030" spans="21:21" ht="26.4">
      <c r="U4030" s="61" ph="1"/>
    </row>
    <row r="4031" spans="21:21" ht="26.4">
      <c r="U4031" s="61" ph="1"/>
    </row>
    <row r="4032" spans="21:21" ht="26.4">
      <c r="U4032" s="61" ph="1"/>
    </row>
    <row r="4033" spans="21:21" ht="26.4">
      <c r="U4033" s="61" ph="1"/>
    </row>
    <row r="4034" spans="21:21" ht="26.4">
      <c r="U4034" s="61" ph="1"/>
    </row>
    <row r="4035" spans="21:21" ht="26.4">
      <c r="U4035" s="61" ph="1"/>
    </row>
    <row r="4036" spans="21:21" ht="26.4">
      <c r="U4036" s="61" ph="1"/>
    </row>
    <row r="4037" spans="21:21" ht="26.4">
      <c r="U4037" s="61" ph="1"/>
    </row>
    <row r="4038" spans="21:21" ht="26.4">
      <c r="U4038" s="61" ph="1"/>
    </row>
    <row r="4039" spans="21:21" ht="26.4">
      <c r="U4039" s="61" ph="1"/>
    </row>
    <row r="4040" spans="21:21" ht="26.4">
      <c r="U4040" s="61" ph="1"/>
    </row>
    <row r="4041" spans="21:21" ht="26.4">
      <c r="U4041" s="61" ph="1"/>
    </row>
    <row r="4042" spans="21:21" ht="26.4">
      <c r="U4042" s="61" ph="1"/>
    </row>
    <row r="4043" spans="21:21" ht="26.4">
      <c r="U4043" s="61" ph="1"/>
    </row>
    <row r="4044" spans="21:21" ht="26.4">
      <c r="U4044" s="61" ph="1"/>
    </row>
    <row r="4045" spans="21:21" ht="26.4">
      <c r="U4045" s="61" ph="1"/>
    </row>
    <row r="4046" spans="21:21" ht="26.4">
      <c r="U4046" s="61" ph="1"/>
    </row>
    <row r="4047" spans="21:21" ht="26.4">
      <c r="U4047" s="61" ph="1"/>
    </row>
    <row r="4048" spans="21:21" ht="26.4">
      <c r="U4048" s="61" ph="1"/>
    </row>
    <row r="4049" spans="21:21" ht="26.4">
      <c r="U4049" s="61" ph="1"/>
    </row>
    <row r="4050" spans="21:21" ht="26.4">
      <c r="U4050" s="61" ph="1"/>
    </row>
    <row r="4051" spans="21:21" ht="26.4">
      <c r="U4051" s="61" ph="1"/>
    </row>
    <row r="4052" spans="21:21" ht="26.4">
      <c r="U4052" s="61" ph="1"/>
    </row>
    <row r="4053" spans="21:21" ht="26.4">
      <c r="U4053" s="61" ph="1"/>
    </row>
    <row r="4054" spans="21:21" ht="26.4">
      <c r="U4054" s="61" ph="1"/>
    </row>
    <row r="4055" spans="21:21" ht="26.4">
      <c r="U4055" s="61" ph="1"/>
    </row>
    <row r="4056" spans="21:21" ht="26.4">
      <c r="U4056" s="61" ph="1"/>
    </row>
    <row r="4057" spans="21:21" ht="26.4">
      <c r="U4057" s="61" ph="1"/>
    </row>
    <row r="4058" spans="21:21" ht="26.4">
      <c r="U4058" s="61" ph="1"/>
    </row>
    <row r="4059" spans="21:21" ht="26.4">
      <c r="U4059" s="61" ph="1"/>
    </row>
    <row r="4060" spans="21:21" ht="26.4">
      <c r="U4060" s="61" ph="1"/>
    </row>
    <row r="4061" spans="21:21" ht="26.4">
      <c r="U4061" s="61" ph="1"/>
    </row>
    <row r="4062" spans="21:21" ht="26.4">
      <c r="U4062" s="61" ph="1"/>
    </row>
    <row r="4063" spans="21:21" ht="26.4">
      <c r="U4063" s="61" ph="1"/>
    </row>
    <row r="4064" spans="21:21" ht="26.4">
      <c r="U4064" s="61" ph="1"/>
    </row>
    <row r="4065" spans="21:21" ht="26.4">
      <c r="U4065" s="61" ph="1"/>
    </row>
    <row r="4066" spans="21:21" ht="26.4">
      <c r="U4066" s="61" ph="1"/>
    </row>
    <row r="4067" spans="21:21" ht="26.4">
      <c r="U4067" s="61" ph="1"/>
    </row>
    <row r="4068" spans="21:21" ht="26.4">
      <c r="U4068" s="61" ph="1"/>
    </row>
    <row r="4069" spans="21:21" ht="26.4">
      <c r="U4069" s="61" ph="1"/>
    </row>
    <row r="4070" spans="21:21" ht="26.4">
      <c r="U4070" s="61" ph="1"/>
    </row>
    <row r="4071" spans="21:21" ht="26.4">
      <c r="U4071" s="61" ph="1"/>
    </row>
    <row r="4072" spans="21:21" ht="26.4">
      <c r="U4072" s="61" ph="1"/>
    </row>
    <row r="4073" spans="21:21" ht="26.4">
      <c r="U4073" s="61" ph="1"/>
    </row>
    <row r="4074" spans="21:21" ht="26.4">
      <c r="U4074" s="61" ph="1"/>
    </row>
    <row r="4075" spans="21:21" ht="26.4">
      <c r="U4075" s="61" ph="1"/>
    </row>
    <row r="4076" spans="21:21" ht="26.4">
      <c r="U4076" s="61" ph="1"/>
    </row>
    <row r="4077" spans="21:21" ht="26.4">
      <c r="U4077" s="61" ph="1"/>
    </row>
    <row r="4078" spans="21:21" ht="26.4">
      <c r="U4078" s="61" ph="1"/>
    </row>
    <row r="4079" spans="21:21" ht="26.4">
      <c r="U4079" s="61" ph="1"/>
    </row>
    <row r="4080" spans="21:21" ht="26.4">
      <c r="U4080" s="61" ph="1"/>
    </row>
    <row r="4081" spans="21:21" ht="26.4">
      <c r="U4081" s="61" ph="1"/>
    </row>
    <row r="4082" spans="21:21" ht="26.4">
      <c r="U4082" s="61" ph="1"/>
    </row>
    <row r="4083" spans="21:21" ht="26.4">
      <c r="U4083" s="61" ph="1"/>
    </row>
    <row r="4084" spans="21:21" ht="26.4">
      <c r="U4084" s="61" ph="1"/>
    </row>
    <row r="4085" spans="21:21" ht="26.4">
      <c r="U4085" s="61" ph="1"/>
    </row>
    <row r="4086" spans="21:21" ht="26.4">
      <c r="U4086" s="61" ph="1"/>
    </row>
    <row r="4087" spans="21:21" ht="26.4">
      <c r="U4087" s="61" ph="1"/>
    </row>
    <row r="4088" spans="21:21" ht="26.4">
      <c r="U4088" s="61" ph="1"/>
    </row>
    <row r="4089" spans="21:21" ht="26.4">
      <c r="U4089" s="61" ph="1"/>
    </row>
    <row r="4090" spans="21:21" ht="26.4">
      <c r="U4090" s="61" ph="1"/>
    </row>
    <row r="4091" spans="21:21" ht="26.4">
      <c r="U4091" s="61" ph="1"/>
    </row>
    <row r="4092" spans="21:21" ht="26.4">
      <c r="U4092" s="61" ph="1"/>
    </row>
    <row r="4093" spans="21:21" ht="26.4">
      <c r="U4093" s="61" ph="1"/>
    </row>
    <row r="4094" spans="21:21" ht="26.4">
      <c r="U4094" s="61" ph="1"/>
    </row>
    <row r="4095" spans="21:21" ht="26.4">
      <c r="U4095" s="61" ph="1"/>
    </row>
    <row r="4096" spans="21:21" ht="26.4">
      <c r="U4096" s="61" ph="1"/>
    </row>
    <row r="4097" spans="21:21" ht="26.4">
      <c r="U4097" s="61" ph="1"/>
    </row>
    <row r="4098" spans="21:21" ht="26.4">
      <c r="U4098" s="61" ph="1"/>
    </row>
    <row r="4099" spans="21:21" ht="26.4">
      <c r="U4099" s="61" ph="1"/>
    </row>
    <row r="4100" spans="21:21" ht="26.4">
      <c r="U4100" s="61" ph="1"/>
    </row>
    <row r="4101" spans="21:21" ht="26.4">
      <c r="U4101" s="61" ph="1"/>
    </row>
    <row r="4102" spans="21:21" ht="26.4">
      <c r="U4102" s="61" ph="1"/>
    </row>
    <row r="4103" spans="21:21" ht="26.4">
      <c r="U4103" s="61" ph="1"/>
    </row>
    <row r="4104" spans="21:21" ht="26.4">
      <c r="U4104" s="61" ph="1"/>
    </row>
    <row r="4105" spans="21:21" ht="26.4">
      <c r="U4105" s="61" ph="1"/>
    </row>
    <row r="4106" spans="21:21" ht="26.4">
      <c r="U4106" s="61" ph="1"/>
    </row>
    <row r="4107" spans="21:21" ht="26.4">
      <c r="U4107" s="61" ph="1"/>
    </row>
    <row r="4108" spans="21:21" ht="26.4">
      <c r="U4108" s="61" ph="1"/>
    </row>
    <row r="4109" spans="21:21" ht="26.4">
      <c r="U4109" s="61" ph="1"/>
    </row>
    <row r="4110" spans="21:21" ht="26.4">
      <c r="U4110" s="61" ph="1"/>
    </row>
    <row r="4111" spans="21:21" ht="26.4">
      <c r="U4111" s="61" ph="1"/>
    </row>
    <row r="4112" spans="21:21" ht="26.4">
      <c r="U4112" s="61" ph="1"/>
    </row>
    <row r="4113" spans="21:21" ht="26.4">
      <c r="U4113" s="61" ph="1"/>
    </row>
    <row r="4114" spans="21:21" ht="26.4">
      <c r="U4114" s="61" ph="1"/>
    </row>
    <row r="4115" spans="21:21" ht="26.4">
      <c r="U4115" s="61" ph="1"/>
    </row>
    <row r="4116" spans="21:21" ht="26.4">
      <c r="U4116" s="61" ph="1"/>
    </row>
    <row r="4117" spans="21:21" ht="26.4">
      <c r="U4117" s="61" ph="1"/>
    </row>
    <row r="4118" spans="21:21" ht="26.4">
      <c r="U4118" s="61" ph="1"/>
    </row>
    <row r="4119" spans="21:21" ht="26.4">
      <c r="U4119" s="61" ph="1"/>
    </row>
    <row r="4120" spans="21:21" ht="26.4">
      <c r="U4120" s="61" ph="1"/>
    </row>
    <row r="4121" spans="21:21" ht="26.4">
      <c r="U4121" s="61" ph="1"/>
    </row>
    <row r="4122" spans="21:21" ht="26.4">
      <c r="U4122" s="61" ph="1"/>
    </row>
    <row r="4123" spans="21:21" ht="26.4">
      <c r="U4123" s="61" ph="1"/>
    </row>
    <row r="4124" spans="21:21" ht="26.4">
      <c r="U4124" s="61" ph="1"/>
    </row>
    <row r="4125" spans="21:21" ht="26.4">
      <c r="U4125" s="61" ph="1"/>
    </row>
    <row r="4126" spans="21:21" ht="26.4">
      <c r="U4126" s="61" ph="1"/>
    </row>
    <row r="4127" spans="21:21" ht="26.4">
      <c r="U4127" s="61" ph="1"/>
    </row>
    <row r="4128" spans="21:21" ht="26.4">
      <c r="U4128" s="61" ph="1"/>
    </row>
    <row r="4129" spans="21:21" ht="26.4">
      <c r="U4129" s="61" ph="1"/>
    </row>
    <row r="4130" spans="21:21" ht="26.4">
      <c r="U4130" s="61" ph="1"/>
    </row>
    <row r="4131" spans="21:21" ht="26.4">
      <c r="U4131" s="61" ph="1"/>
    </row>
    <row r="4132" spans="21:21" ht="26.4">
      <c r="U4132" s="61" ph="1"/>
    </row>
    <row r="4133" spans="21:21" ht="26.4">
      <c r="U4133" s="61" ph="1"/>
    </row>
    <row r="4134" spans="21:21" ht="26.4">
      <c r="U4134" s="61" ph="1"/>
    </row>
    <row r="4135" spans="21:21" ht="26.4">
      <c r="U4135" s="61" ph="1"/>
    </row>
    <row r="4136" spans="21:21" ht="26.4">
      <c r="U4136" s="61" ph="1"/>
    </row>
    <row r="4137" spans="21:21" ht="26.4">
      <c r="U4137" s="61" ph="1"/>
    </row>
    <row r="4138" spans="21:21" ht="26.4">
      <c r="U4138" s="61" ph="1"/>
    </row>
    <row r="4139" spans="21:21" ht="26.4">
      <c r="U4139" s="61" ph="1"/>
    </row>
    <row r="4140" spans="21:21" ht="26.4">
      <c r="U4140" s="61" ph="1"/>
    </row>
    <row r="4141" spans="21:21" ht="26.4">
      <c r="U4141" s="61" ph="1"/>
    </row>
    <row r="4142" spans="21:21" ht="26.4">
      <c r="U4142" s="61" ph="1"/>
    </row>
    <row r="4143" spans="21:21" ht="26.4">
      <c r="U4143" s="61" ph="1"/>
    </row>
    <row r="4144" spans="21:21" ht="26.4">
      <c r="U4144" s="61" ph="1"/>
    </row>
    <row r="4145" spans="21:21" ht="26.4">
      <c r="U4145" s="61" ph="1"/>
    </row>
    <row r="4146" spans="21:21" ht="26.4">
      <c r="U4146" s="61" ph="1"/>
    </row>
    <row r="4147" spans="21:21" ht="26.4">
      <c r="U4147" s="61" ph="1"/>
    </row>
    <row r="4148" spans="21:21" ht="26.4">
      <c r="U4148" s="61" ph="1"/>
    </row>
    <row r="4149" spans="21:21" ht="26.4">
      <c r="U4149" s="61" ph="1"/>
    </row>
    <row r="4150" spans="21:21" ht="26.4">
      <c r="U4150" s="61" ph="1"/>
    </row>
    <row r="4151" spans="21:21" ht="26.4">
      <c r="U4151" s="61" ph="1"/>
    </row>
    <row r="4152" spans="21:21" ht="26.4">
      <c r="U4152" s="61" ph="1"/>
    </row>
    <row r="4153" spans="21:21" ht="26.4">
      <c r="U4153" s="61" ph="1"/>
    </row>
    <row r="4154" spans="21:21" ht="26.4">
      <c r="U4154" s="61" ph="1"/>
    </row>
    <row r="4155" spans="21:21" ht="26.4">
      <c r="U4155" s="61" ph="1"/>
    </row>
    <row r="4156" spans="21:21" ht="26.4">
      <c r="U4156" s="61" ph="1"/>
    </row>
    <row r="4157" spans="21:21" ht="26.4">
      <c r="U4157" s="61" ph="1"/>
    </row>
    <row r="4158" spans="21:21" ht="26.4">
      <c r="U4158" s="61" ph="1"/>
    </row>
    <row r="4159" spans="21:21" ht="26.4">
      <c r="U4159" s="61" ph="1"/>
    </row>
    <row r="4160" spans="21:21" ht="26.4">
      <c r="U4160" s="61" ph="1"/>
    </row>
    <row r="4161" spans="21:21" ht="26.4">
      <c r="U4161" s="61" ph="1"/>
    </row>
    <row r="4162" spans="21:21" ht="26.4">
      <c r="U4162" s="61" ph="1"/>
    </row>
    <row r="4163" spans="21:21" ht="26.4">
      <c r="U4163" s="61" ph="1"/>
    </row>
    <row r="4164" spans="21:21" ht="26.4">
      <c r="U4164" s="61" ph="1"/>
    </row>
    <row r="4165" spans="21:21" ht="26.4">
      <c r="U4165" s="61" ph="1"/>
    </row>
    <row r="4166" spans="21:21" ht="26.4">
      <c r="U4166" s="61" ph="1"/>
    </row>
    <row r="4167" spans="21:21" ht="26.4">
      <c r="U4167" s="61" ph="1"/>
    </row>
    <row r="4168" spans="21:21" ht="26.4">
      <c r="U4168" s="61" ph="1"/>
    </row>
    <row r="4169" spans="21:21" ht="26.4">
      <c r="U4169" s="61" ph="1"/>
    </row>
    <row r="4170" spans="21:21" ht="26.4">
      <c r="U4170" s="61" ph="1"/>
    </row>
    <row r="4171" spans="21:21" ht="26.4">
      <c r="U4171" s="61" ph="1"/>
    </row>
    <row r="4172" spans="21:21" ht="26.4">
      <c r="U4172" s="61" ph="1"/>
    </row>
    <row r="4173" spans="21:21" ht="26.4">
      <c r="U4173" s="61" ph="1"/>
    </row>
    <row r="4174" spans="21:21" ht="26.4">
      <c r="U4174" s="61" ph="1"/>
    </row>
    <row r="4175" spans="21:21" ht="26.4">
      <c r="U4175" s="61" ph="1"/>
    </row>
    <row r="4176" spans="21:21" ht="26.4">
      <c r="U4176" s="61" ph="1"/>
    </row>
    <row r="4177" spans="21:21" ht="26.4">
      <c r="U4177" s="61" ph="1"/>
    </row>
    <row r="4178" spans="21:21" ht="26.4">
      <c r="U4178" s="61" ph="1"/>
    </row>
    <row r="4179" spans="21:21" ht="26.4">
      <c r="U4179" s="61" ph="1"/>
    </row>
    <row r="4180" spans="21:21" ht="26.4">
      <c r="U4180" s="61" ph="1"/>
    </row>
    <row r="4181" spans="21:21" ht="26.4">
      <c r="U4181" s="61" ph="1"/>
    </row>
    <row r="4182" spans="21:21" ht="26.4">
      <c r="U4182" s="61" ph="1"/>
    </row>
    <row r="4183" spans="21:21" ht="26.4">
      <c r="U4183" s="61" ph="1"/>
    </row>
    <row r="4184" spans="21:21" ht="26.4">
      <c r="U4184" s="61" ph="1"/>
    </row>
    <row r="4185" spans="21:21" ht="26.4">
      <c r="U4185" s="61" ph="1"/>
    </row>
    <row r="4186" spans="21:21" ht="26.4">
      <c r="U4186" s="61" ph="1"/>
    </row>
    <row r="4187" spans="21:21" ht="26.4">
      <c r="U4187" s="61" ph="1"/>
    </row>
    <row r="4188" spans="21:21" ht="26.4">
      <c r="U4188" s="61" ph="1"/>
    </row>
    <row r="4189" spans="21:21" ht="26.4">
      <c r="U4189" s="61" ph="1"/>
    </row>
    <row r="4190" spans="21:21" ht="26.4">
      <c r="U4190" s="61" ph="1"/>
    </row>
    <row r="4191" spans="21:21" ht="26.4">
      <c r="U4191" s="61" ph="1"/>
    </row>
    <row r="4192" spans="21:21" ht="26.4">
      <c r="U4192" s="61" ph="1"/>
    </row>
    <row r="4193" spans="21:21" ht="26.4">
      <c r="U4193" s="61" ph="1"/>
    </row>
    <row r="4194" spans="21:21" ht="26.4">
      <c r="U4194" s="61" ph="1"/>
    </row>
    <row r="4195" spans="21:21" ht="26.4">
      <c r="U4195" s="61" ph="1"/>
    </row>
    <row r="4196" spans="21:21" ht="26.4">
      <c r="U4196" s="61" ph="1"/>
    </row>
    <row r="4197" spans="21:21" ht="26.4">
      <c r="U4197" s="61" ph="1"/>
    </row>
    <row r="4198" spans="21:21" ht="26.4">
      <c r="U4198" s="61" ph="1"/>
    </row>
    <row r="4199" spans="21:21" ht="26.4">
      <c r="U4199" s="61" ph="1"/>
    </row>
    <row r="4200" spans="21:21" ht="26.4">
      <c r="U4200" s="61" ph="1"/>
    </row>
    <row r="4201" spans="21:21" ht="26.4">
      <c r="U4201" s="61" ph="1"/>
    </row>
    <row r="4202" spans="21:21" ht="26.4">
      <c r="U4202" s="61" ph="1"/>
    </row>
    <row r="4203" spans="21:21" ht="26.4">
      <c r="U4203" s="61" ph="1"/>
    </row>
    <row r="4204" spans="21:21" ht="26.4">
      <c r="U4204" s="61" ph="1"/>
    </row>
    <row r="4205" spans="21:21" ht="26.4">
      <c r="U4205" s="61" ph="1"/>
    </row>
    <row r="4206" spans="21:21" ht="26.4">
      <c r="U4206" s="61" ph="1"/>
    </row>
    <row r="4207" spans="21:21" ht="26.4">
      <c r="U4207" s="61" ph="1"/>
    </row>
    <row r="4208" spans="21:21" ht="26.4">
      <c r="U4208" s="61" ph="1"/>
    </row>
    <row r="4209" spans="21:21" ht="26.4">
      <c r="U4209" s="61" ph="1"/>
    </row>
    <row r="4210" spans="21:21" ht="26.4">
      <c r="U4210" s="61" ph="1"/>
    </row>
    <row r="4211" spans="21:21" ht="26.4">
      <c r="U4211" s="61" ph="1"/>
    </row>
    <row r="4212" spans="21:21" ht="26.4">
      <c r="U4212" s="61" ph="1"/>
    </row>
    <row r="4213" spans="21:21" ht="26.4">
      <c r="U4213" s="61" ph="1"/>
    </row>
    <row r="4214" spans="21:21" ht="26.4">
      <c r="U4214" s="61" ph="1"/>
    </row>
    <row r="4215" spans="21:21" ht="26.4">
      <c r="U4215" s="61" ph="1"/>
    </row>
    <row r="4216" spans="21:21" ht="26.4">
      <c r="U4216" s="61" ph="1"/>
    </row>
    <row r="4217" spans="21:21" ht="26.4">
      <c r="U4217" s="61" ph="1"/>
    </row>
    <row r="4218" spans="21:21" ht="26.4">
      <c r="U4218" s="61" ph="1"/>
    </row>
    <row r="4219" spans="21:21" ht="26.4">
      <c r="U4219" s="61" ph="1"/>
    </row>
    <row r="4220" spans="21:21" ht="26.4">
      <c r="U4220" s="61" ph="1"/>
    </row>
    <row r="4221" spans="21:21" ht="26.4">
      <c r="U4221" s="61" ph="1"/>
    </row>
    <row r="4222" spans="21:21" ht="26.4">
      <c r="U4222" s="61" ph="1"/>
    </row>
    <row r="4223" spans="21:21" ht="26.4">
      <c r="U4223" s="61" ph="1"/>
    </row>
    <row r="4224" spans="21:21" ht="26.4">
      <c r="U4224" s="61" ph="1"/>
    </row>
    <row r="4225" spans="21:21" ht="26.4">
      <c r="U4225" s="61" ph="1"/>
    </row>
    <row r="4226" spans="21:21" ht="26.4">
      <c r="U4226" s="61" ph="1"/>
    </row>
    <row r="4227" spans="21:21" ht="26.4">
      <c r="U4227" s="61" ph="1"/>
    </row>
    <row r="4228" spans="21:21" ht="26.4">
      <c r="U4228" s="61" ph="1"/>
    </row>
    <row r="4229" spans="21:21" ht="26.4">
      <c r="U4229" s="61" ph="1"/>
    </row>
    <row r="4230" spans="21:21" ht="26.4">
      <c r="U4230" s="61" ph="1"/>
    </row>
    <row r="4231" spans="21:21" ht="26.4">
      <c r="U4231" s="61" ph="1"/>
    </row>
    <row r="4232" spans="21:21" ht="26.4">
      <c r="U4232" s="61" ph="1"/>
    </row>
    <row r="4233" spans="21:21" ht="26.4">
      <c r="U4233" s="61" ph="1"/>
    </row>
    <row r="4234" spans="21:21" ht="26.4">
      <c r="U4234" s="61" ph="1"/>
    </row>
    <row r="4235" spans="21:21" ht="26.4">
      <c r="U4235" s="61" ph="1"/>
    </row>
    <row r="4236" spans="21:21" ht="26.4">
      <c r="U4236" s="61" ph="1"/>
    </row>
    <row r="4237" spans="21:21" ht="26.4">
      <c r="U4237" s="61" ph="1"/>
    </row>
    <row r="4238" spans="21:21" ht="26.4">
      <c r="U4238" s="61" ph="1"/>
    </row>
    <row r="4239" spans="21:21" ht="26.4">
      <c r="U4239" s="61" ph="1"/>
    </row>
    <row r="4240" spans="21:21" ht="26.4">
      <c r="U4240" s="61" ph="1"/>
    </row>
    <row r="4241" spans="21:21" ht="26.4">
      <c r="U4241" s="61" ph="1"/>
    </row>
    <row r="4242" spans="21:21" ht="26.4">
      <c r="U4242" s="61" ph="1"/>
    </row>
    <row r="4243" spans="21:21" ht="26.4">
      <c r="U4243" s="61" ph="1"/>
    </row>
    <row r="4244" spans="21:21" ht="26.4">
      <c r="U4244" s="61" ph="1"/>
    </row>
    <row r="4245" spans="21:21" ht="26.4">
      <c r="U4245" s="61" ph="1"/>
    </row>
    <row r="4246" spans="21:21" ht="26.4">
      <c r="U4246" s="61" ph="1"/>
    </row>
    <row r="4247" spans="21:21" ht="26.4">
      <c r="U4247" s="61" ph="1"/>
    </row>
    <row r="4248" spans="21:21" ht="26.4">
      <c r="U4248" s="61" ph="1"/>
    </row>
    <row r="4249" spans="21:21" ht="26.4">
      <c r="U4249" s="61" ph="1"/>
    </row>
    <row r="4250" spans="21:21" ht="26.4">
      <c r="U4250" s="61" ph="1"/>
    </row>
    <row r="4251" spans="21:21" ht="26.4">
      <c r="U4251" s="61" ph="1"/>
    </row>
    <row r="4252" spans="21:21" ht="26.4">
      <c r="U4252" s="61" ph="1"/>
    </row>
    <row r="4253" spans="21:21" ht="26.4">
      <c r="U4253" s="61" ph="1"/>
    </row>
    <row r="4254" spans="21:21" ht="26.4">
      <c r="U4254" s="61" ph="1"/>
    </row>
    <row r="4255" spans="21:21" ht="26.4">
      <c r="U4255" s="61" ph="1"/>
    </row>
    <row r="4256" spans="21:21" ht="26.4">
      <c r="U4256" s="61" ph="1"/>
    </row>
    <row r="4257" spans="21:21" ht="26.4">
      <c r="U4257" s="61" ph="1"/>
    </row>
    <row r="4258" spans="21:21" ht="26.4">
      <c r="U4258" s="61" ph="1"/>
    </row>
    <row r="4259" spans="21:21" ht="26.4">
      <c r="U4259" s="61" ph="1"/>
    </row>
    <row r="4260" spans="21:21" ht="26.4">
      <c r="U4260" s="61" ph="1"/>
    </row>
    <row r="4261" spans="21:21" ht="26.4">
      <c r="U4261" s="61" ph="1"/>
    </row>
    <row r="4262" spans="21:21" ht="26.4">
      <c r="U4262" s="61" ph="1"/>
    </row>
    <row r="4263" spans="21:21" ht="26.4">
      <c r="U4263" s="61" ph="1"/>
    </row>
    <row r="4264" spans="21:21" ht="26.4">
      <c r="U4264" s="61" ph="1"/>
    </row>
    <row r="4265" spans="21:21" ht="26.4">
      <c r="U4265" s="61" ph="1"/>
    </row>
    <row r="4266" spans="21:21" ht="26.4">
      <c r="U4266" s="61" ph="1"/>
    </row>
    <row r="4267" spans="21:21" ht="26.4">
      <c r="U4267" s="61" ph="1"/>
    </row>
    <row r="4268" spans="21:21" ht="26.4">
      <c r="U4268" s="61" ph="1"/>
    </row>
    <row r="4269" spans="21:21" ht="26.4">
      <c r="U4269" s="61" ph="1"/>
    </row>
    <row r="4270" spans="21:21" ht="26.4">
      <c r="U4270" s="61" ph="1"/>
    </row>
    <row r="4271" spans="21:21" ht="26.4">
      <c r="U4271" s="61" ph="1"/>
    </row>
    <row r="4272" spans="21:21" ht="26.4">
      <c r="U4272" s="61" ph="1"/>
    </row>
    <row r="4273" spans="21:21" ht="26.4">
      <c r="U4273" s="61" ph="1"/>
    </row>
    <row r="4274" spans="21:21" ht="26.4">
      <c r="U4274" s="61" ph="1"/>
    </row>
    <row r="4275" spans="21:21" ht="26.4">
      <c r="U4275" s="61" ph="1"/>
    </row>
    <row r="4276" spans="21:21" ht="26.4">
      <c r="U4276" s="61" ph="1"/>
    </row>
    <row r="4277" spans="21:21" ht="26.4">
      <c r="U4277" s="61" ph="1"/>
    </row>
    <row r="4278" spans="21:21" ht="26.4">
      <c r="U4278" s="61" ph="1"/>
    </row>
    <row r="4279" spans="21:21" ht="26.4">
      <c r="U4279" s="61" ph="1"/>
    </row>
    <row r="4280" spans="21:21" ht="26.4">
      <c r="U4280" s="61" ph="1"/>
    </row>
    <row r="4281" spans="21:21" ht="26.4">
      <c r="U4281" s="61" ph="1"/>
    </row>
    <row r="4282" spans="21:21" ht="26.4">
      <c r="U4282" s="61" ph="1"/>
    </row>
    <row r="4283" spans="21:21" ht="26.4">
      <c r="U4283" s="61" ph="1"/>
    </row>
    <row r="4284" spans="21:21" ht="26.4">
      <c r="U4284" s="61" ph="1"/>
    </row>
    <row r="4285" spans="21:21" ht="26.4">
      <c r="U4285" s="61" ph="1"/>
    </row>
    <row r="4286" spans="21:21" ht="26.4">
      <c r="U4286" s="61" ph="1"/>
    </row>
    <row r="4287" spans="21:21" ht="26.4">
      <c r="U4287" s="61" ph="1"/>
    </row>
    <row r="4288" spans="21:21" ht="26.4">
      <c r="U4288" s="61" ph="1"/>
    </row>
    <row r="4289" spans="21:21" ht="26.4">
      <c r="U4289" s="61" ph="1"/>
    </row>
    <row r="4290" spans="21:21" ht="26.4">
      <c r="U4290" s="61" ph="1"/>
    </row>
    <row r="4291" spans="21:21" ht="26.4">
      <c r="U4291" s="61" ph="1"/>
    </row>
    <row r="4292" spans="21:21" ht="26.4">
      <c r="U4292" s="61" ph="1"/>
    </row>
    <row r="4293" spans="21:21" ht="26.4">
      <c r="U4293" s="61" ph="1"/>
    </row>
    <row r="4294" spans="21:21" ht="26.4">
      <c r="U4294" s="61" ph="1"/>
    </row>
    <row r="4295" spans="21:21" ht="26.4">
      <c r="U4295" s="61" ph="1"/>
    </row>
    <row r="4296" spans="21:21" ht="26.4">
      <c r="U4296" s="61" ph="1"/>
    </row>
    <row r="4297" spans="21:21" ht="26.4">
      <c r="U4297" s="61" ph="1"/>
    </row>
    <row r="4298" spans="21:21" ht="26.4">
      <c r="U4298" s="61" ph="1"/>
    </row>
    <row r="4299" spans="21:21" ht="26.4">
      <c r="U4299" s="61" ph="1"/>
    </row>
    <row r="4300" spans="21:21" ht="26.4">
      <c r="U4300" s="61" ph="1"/>
    </row>
    <row r="4301" spans="21:21" ht="26.4">
      <c r="U4301" s="61" ph="1"/>
    </row>
    <row r="4302" spans="21:21" ht="26.4">
      <c r="U4302" s="61" ph="1"/>
    </row>
    <row r="4303" spans="21:21" ht="26.4">
      <c r="U4303" s="61" ph="1"/>
    </row>
    <row r="4304" spans="21:21" ht="26.4">
      <c r="U4304" s="61" ph="1"/>
    </row>
    <row r="4305" spans="21:21" ht="26.4">
      <c r="U4305" s="61" ph="1"/>
    </row>
    <row r="4306" spans="21:21" ht="26.4">
      <c r="U4306" s="61" ph="1"/>
    </row>
    <row r="4307" spans="21:21" ht="26.4">
      <c r="U4307" s="61" ph="1"/>
    </row>
    <row r="4308" spans="21:21" ht="26.4">
      <c r="U4308" s="61" ph="1"/>
    </row>
    <row r="4309" spans="21:21" ht="26.4">
      <c r="U4309" s="61" ph="1"/>
    </row>
    <row r="4310" spans="21:21" ht="26.4">
      <c r="U4310" s="61" ph="1"/>
    </row>
    <row r="4311" spans="21:21" ht="26.4">
      <c r="U4311" s="61" ph="1"/>
    </row>
    <row r="4312" spans="21:21" ht="26.4">
      <c r="U4312" s="61" ph="1"/>
    </row>
    <row r="4313" spans="21:21" ht="26.4">
      <c r="U4313" s="61" ph="1"/>
    </row>
    <row r="4314" spans="21:21" ht="26.4">
      <c r="U4314" s="61" ph="1"/>
    </row>
    <row r="4315" spans="21:21" ht="26.4">
      <c r="U4315" s="61" ph="1"/>
    </row>
    <row r="4316" spans="21:21" ht="26.4">
      <c r="U4316" s="61" ph="1"/>
    </row>
    <row r="4317" spans="21:21" ht="26.4">
      <c r="U4317" s="61" ph="1"/>
    </row>
    <row r="4318" spans="21:21" ht="26.4">
      <c r="U4318" s="61" ph="1"/>
    </row>
    <row r="4319" spans="21:21" ht="26.4">
      <c r="U4319" s="61" ph="1"/>
    </row>
    <row r="4320" spans="21:21" ht="26.4">
      <c r="U4320" s="61" ph="1"/>
    </row>
    <row r="4321" spans="21:21" ht="26.4">
      <c r="U4321" s="61" ph="1"/>
    </row>
    <row r="4322" spans="21:21" ht="26.4">
      <c r="U4322" s="61" ph="1"/>
    </row>
    <row r="4323" spans="21:21" ht="26.4">
      <c r="U4323" s="61" ph="1"/>
    </row>
    <row r="4324" spans="21:21" ht="26.4">
      <c r="U4324" s="61" ph="1"/>
    </row>
    <row r="4325" spans="21:21" ht="26.4">
      <c r="U4325" s="61" ph="1"/>
    </row>
    <row r="4326" spans="21:21" ht="26.4">
      <c r="U4326" s="61" ph="1"/>
    </row>
    <row r="4327" spans="21:21" ht="26.4">
      <c r="U4327" s="61" ph="1"/>
    </row>
    <row r="4328" spans="21:21" ht="26.4">
      <c r="U4328" s="61" ph="1"/>
    </row>
    <row r="4329" spans="21:21" ht="26.4">
      <c r="U4329" s="61" ph="1"/>
    </row>
    <row r="4330" spans="21:21" ht="26.4">
      <c r="U4330" s="61" ph="1"/>
    </row>
    <row r="4331" spans="21:21" ht="26.4">
      <c r="U4331" s="61" ph="1"/>
    </row>
    <row r="4332" spans="21:21" ht="26.4">
      <c r="U4332" s="61" ph="1"/>
    </row>
    <row r="4333" spans="21:21" ht="26.4">
      <c r="U4333" s="61" ph="1"/>
    </row>
    <row r="4334" spans="21:21" ht="26.4">
      <c r="U4334" s="61" ph="1"/>
    </row>
    <row r="4335" spans="21:21" ht="26.4">
      <c r="U4335" s="61" ph="1"/>
    </row>
    <row r="4336" spans="21:21" ht="26.4">
      <c r="U4336" s="61" ph="1"/>
    </row>
    <row r="4337" spans="21:21" ht="26.4">
      <c r="U4337" s="61" ph="1"/>
    </row>
    <row r="4338" spans="21:21" ht="26.4">
      <c r="U4338" s="61" ph="1"/>
    </row>
    <row r="4339" spans="21:21" ht="26.4">
      <c r="U4339" s="61" ph="1"/>
    </row>
    <row r="4340" spans="21:21" ht="26.4">
      <c r="U4340" s="61" ph="1"/>
    </row>
    <row r="4341" spans="21:21" ht="26.4">
      <c r="U4341" s="61" ph="1"/>
    </row>
    <row r="4342" spans="21:21" ht="26.4">
      <c r="U4342" s="61" ph="1"/>
    </row>
    <row r="4343" spans="21:21" ht="26.4">
      <c r="U4343" s="61" ph="1"/>
    </row>
    <row r="4344" spans="21:21" ht="26.4">
      <c r="U4344" s="61" ph="1"/>
    </row>
    <row r="4345" spans="21:21" ht="26.4">
      <c r="U4345" s="61" ph="1"/>
    </row>
    <row r="4346" spans="21:21" ht="26.4">
      <c r="U4346" s="61" ph="1"/>
    </row>
    <row r="4347" spans="21:21" ht="26.4">
      <c r="U4347" s="61" ph="1"/>
    </row>
    <row r="4348" spans="21:21" ht="26.4">
      <c r="U4348" s="61" ph="1"/>
    </row>
    <row r="4349" spans="21:21" ht="26.4">
      <c r="U4349" s="61" ph="1"/>
    </row>
    <row r="4350" spans="21:21" ht="26.4">
      <c r="U4350" s="61" ph="1"/>
    </row>
    <row r="4351" spans="21:21" ht="26.4">
      <c r="U4351" s="61" ph="1"/>
    </row>
    <row r="4352" spans="21:21" ht="26.4">
      <c r="U4352" s="61" ph="1"/>
    </row>
    <row r="4353" spans="21:21" ht="26.4">
      <c r="U4353" s="61" ph="1"/>
    </row>
    <row r="4354" spans="21:21" ht="26.4">
      <c r="U4354" s="61" ph="1"/>
    </row>
    <row r="4355" spans="21:21" ht="26.4">
      <c r="U4355" s="61" ph="1"/>
    </row>
    <row r="4356" spans="21:21" ht="26.4">
      <c r="U4356" s="61" ph="1"/>
    </row>
    <row r="4357" spans="21:21" ht="26.4">
      <c r="U4357" s="61" ph="1"/>
    </row>
    <row r="4358" spans="21:21" ht="26.4">
      <c r="U4358" s="61" ph="1"/>
    </row>
    <row r="4359" spans="21:21" ht="26.4">
      <c r="U4359" s="61" ph="1"/>
    </row>
    <row r="4360" spans="21:21" ht="26.4">
      <c r="U4360" s="61" ph="1"/>
    </row>
    <row r="4361" spans="21:21" ht="26.4">
      <c r="U4361" s="61" ph="1"/>
    </row>
    <row r="4362" spans="21:21" ht="26.4">
      <c r="U4362" s="61" ph="1"/>
    </row>
    <row r="4363" spans="21:21" ht="26.4">
      <c r="U4363" s="61" ph="1"/>
    </row>
    <row r="4364" spans="21:21" ht="26.4">
      <c r="U4364" s="61" ph="1"/>
    </row>
    <row r="4365" spans="21:21" ht="26.4">
      <c r="U4365" s="61" ph="1"/>
    </row>
    <row r="4366" spans="21:21" ht="26.4">
      <c r="U4366" s="61" ph="1"/>
    </row>
    <row r="4367" spans="21:21" ht="26.4">
      <c r="U4367" s="61" ph="1"/>
    </row>
    <row r="4368" spans="21:21" ht="26.4">
      <c r="U4368" s="61" ph="1"/>
    </row>
    <row r="4369" spans="21:21" ht="26.4">
      <c r="U4369" s="61" ph="1"/>
    </row>
    <row r="4370" spans="21:21" ht="26.4">
      <c r="U4370" s="61" ph="1"/>
    </row>
    <row r="4371" spans="21:21" ht="26.4">
      <c r="U4371" s="61" ph="1"/>
    </row>
    <row r="4372" spans="21:21" ht="26.4">
      <c r="U4372" s="61" ph="1"/>
    </row>
    <row r="4373" spans="21:21" ht="26.4">
      <c r="U4373" s="61" ph="1"/>
    </row>
    <row r="4374" spans="21:21" ht="26.4">
      <c r="U4374" s="61" ph="1"/>
    </row>
    <row r="4375" spans="21:21" ht="26.4">
      <c r="U4375" s="61" ph="1"/>
    </row>
    <row r="4376" spans="21:21" ht="26.4">
      <c r="U4376" s="61" ph="1"/>
    </row>
    <row r="4377" spans="21:21" ht="26.4">
      <c r="U4377" s="61" ph="1"/>
    </row>
    <row r="4378" spans="21:21" ht="26.4">
      <c r="U4378" s="61" ph="1"/>
    </row>
    <row r="4379" spans="21:21" ht="26.4">
      <c r="U4379" s="61" ph="1"/>
    </row>
    <row r="4380" spans="21:21" ht="26.4">
      <c r="U4380" s="61" ph="1"/>
    </row>
    <row r="4381" spans="21:21" ht="26.4">
      <c r="U4381" s="61" ph="1"/>
    </row>
    <row r="4382" spans="21:21" ht="26.4">
      <c r="U4382" s="61" ph="1"/>
    </row>
    <row r="4383" spans="21:21" ht="26.4">
      <c r="U4383" s="61" ph="1"/>
    </row>
    <row r="4384" spans="21:21" ht="26.4">
      <c r="U4384" s="61" ph="1"/>
    </row>
    <row r="4385" spans="21:21" ht="26.4">
      <c r="U4385" s="61" ph="1"/>
    </row>
    <row r="4386" spans="21:21" ht="26.4">
      <c r="U4386" s="61" ph="1"/>
    </row>
    <row r="4387" spans="21:21" ht="26.4">
      <c r="U4387" s="61" ph="1"/>
    </row>
    <row r="4388" spans="21:21" ht="26.4">
      <c r="U4388" s="61" ph="1"/>
    </row>
    <row r="4389" spans="21:21" ht="26.4">
      <c r="U4389" s="61" ph="1"/>
    </row>
    <row r="4390" spans="21:21" ht="26.4">
      <c r="U4390" s="61" ph="1"/>
    </row>
    <row r="4391" spans="21:21" ht="26.4">
      <c r="U4391" s="61" ph="1"/>
    </row>
    <row r="4392" spans="21:21" ht="26.4">
      <c r="U4392" s="61" ph="1"/>
    </row>
    <row r="4393" spans="21:21" ht="26.4">
      <c r="U4393" s="61" ph="1"/>
    </row>
    <row r="4394" spans="21:21" ht="26.4">
      <c r="U4394" s="61" ph="1"/>
    </row>
    <row r="4395" spans="21:21" ht="26.4">
      <c r="U4395" s="61" ph="1"/>
    </row>
    <row r="4396" spans="21:21" ht="26.4">
      <c r="U4396" s="61" ph="1"/>
    </row>
    <row r="4397" spans="21:21" ht="26.4">
      <c r="U4397" s="61" ph="1"/>
    </row>
    <row r="4398" spans="21:21" ht="26.4">
      <c r="U4398" s="61" ph="1"/>
    </row>
    <row r="4399" spans="21:21" ht="26.4">
      <c r="U4399" s="61" ph="1"/>
    </row>
    <row r="4400" spans="21:21" ht="26.4">
      <c r="U4400" s="61" ph="1"/>
    </row>
    <row r="4401" spans="21:21" ht="26.4">
      <c r="U4401" s="61" ph="1"/>
    </row>
    <row r="4402" spans="21:21" ht="26.4">
      <c r="U4402" s="61" ph="1"/>
    </row>
    <row r="4403" spans="21:21" ht="26.4">
      <c r="U4403" s="61" ph="1"/>
    </row>
    <row r="4404" spans="21:21" ht="26.4">
      <c r="U4404" s="61" ph="1"/>
    </row>
    <row r="4405" spans="21:21" ht="26.4">
      <c r="U4405" s="61" ph="1"/>
    </row>
    <row r="4406" spans="21:21" ht="26.4">
      <c r="U4406" s="61" ph="1"/>
    </row>
    <row r="4407" spans="21:21" ht="26.4">
      <c r="U4407" s="61" ph="1"/>
    </row>
    <row r="4408" spans="21:21" ht="26.4">
      <c r="U4408" s="61" ph="1"/>
    </row>
    <row r="4409" spans="21:21" ht="26.4">
      <c r="U4409" s="61" ph="1"/>
    </row>
    <row r="4410" spans="21:21" ht="26.4">
      <c r="U4410" s="61" ph="1"/>
    </row>
    <row r="4411" spans="21:21" ht="26.4">
      <c r="U4411" s="61" ph="1"/>
    </row>
    <row r="4412" spans="21:21" ht="26.4">
      <c r="U4412" s="61" ph="1"/>
    </row>
    <row r="4413" spans="21:21" ht="26.4">
      <c r="U4413" s="61" ph="1"/>
    </row>
    <row r="4414" spans="21:21" ht="26.4">
      <c r="U4414" s="61" ph="1"/>
    </row>
    <row r="4415" spans="21:21" ht="26.4">
      <c r="U4415" s="61" ph="1"/>
    </row>
    <row r="4416" spans="21:21" ht="26.4">
      <c r="U4416" s="61" ph="1"/>
    </row>
    <row r="4417" spans="21:21" ht="26.4">
      <c r="U4417" s="61" ph="1"/>
    </row>
    <row r="4418" spans="21:21" ht="26.4">
      <c r="U4418" s="61" ph="1"/>
    </row>
    <row r="4419" spans="21:21" ht="26.4">
      <c r="U4419" s="61" ph="1"/>
    </row>
    <row r="4420" spans="21:21" ht="26.4">
      <c r="U4420" s="61" ph="1"/>
    </row>
    <row r="4421" spans="21:21" ht="26.4">
      <c r="U4421" s="61" ph="1"/>
    </row>
    <row r="4422" spans="21:21" ht="26.4">
      <c r="U4422" s="61" ph="1"/>
    </row>
    <row r="4423" spans="21:21" ht="26.4">
      <c r="U4423" s="61" ph="1"/>
    </row>
    <row r="4424" spans="21:21" ht="26.4">
      <c r="U4424" s="61" ph="1"/>
    </row>
    <row r="4425" spans="21:21" ht="26.4">
      <c r="U4425" s="61" ph="1"/>
    </row>
    <row r="4426" spans="21:21" ht="26.4">
      <c r="U4426" s="61" ph="1"/>
    </row>
    <row r="4427" spans="21:21" ht="26.4">
      <c r="U4427" s="61" ph="1"/>
    </row>
    <row r="4428" spans="21:21" ht="26.4">
      <c r="U4428" s="61" ph="1"/>
    </row>
    <row r="4429" spans="21:21" ht="26.4">
      <c r="U4429" s="61" ph="1"/>
    </row>
    <row r="4430" spans="21:21" ht="26.4">
      <c r="U4430" s="61" ph="1"/>
    </row>
    <row r="4431" spans="21:21" ht="26.4">
      <c r="U4431" s="61" ph="1"/>
    </row>
    <row r="4432" spans="21:21" ht="26.4">
      <c r="U4432" s="61" ph="1"/>
    </row>
    <row r="4433" spans="21:21" ht="26.4">
      <c r="U4433" s="61" ph="1"/>
    </row>
    <row r="4434" spans="21:21" ht="26.4">
      <c r="U4434" s="61" ph="1"/>
    </row>
    <row r="4435" spans="21:21" ht="26.4">
      <c r="U4435" s="61" ph="1"/>
    </row>
    <row r="4436" spans="21:21" ht="26.4">
      <c r="U4436" s="61" ph="1"/>
    </row>
    <row r="4437" spans="21:21" ht="26.4">
      <c r="U4437" s="61" ph="1"/>
    </row>
    <row r="4438" spans="21:21" ht="26.4">
      <c r="U4438" s="61" ph="1"/>
    </row>
    <row r="4439" spans="21:21" ht="26.4">
      <c r="U4439" s="61" ph="1"/>
    </row>
    <row r="4440" spans="21:21" ht="26.4">
      <c r="U4440" s="61" ph="1"/>
    </row>
    <row r="4441" spans="21:21" ht="26.4">
      <c r="U4441" s="61" ph="1"/>
    </row>
    <row r="4442" spans="21:21" ht="26.4">
      <c r="U4442" s="61" ph="1"/>
    </row>
    <row r="4443" spans="21:21" ht="26.4">
      <c r="U4443" s="61" ph="1"/>
    </row>
    <row r="4444" spans="21:21" ht="26.4">
      <c r="U4444" s="61" ph="1"/>
    </row>
    <row r="4445" spans="21:21" ht="26.4">
      <c r="U4445" s="61" ph="1"/>
    </row>
    <row r="4446" spans="21:21" ht="26.4">
      <c r="U4446" s="61" ph="1"/>
    </row>
    <row r="4447" spans="21:21" ht="26.4">
      <c r="U4447" s="61" ph="1"/>
    </row>
    <row r="4448" spans="21:21" ht="26.4">
      <c r="U4448" s="61" ph="1"/>
    </row>
    <row r="4449" spans="21:21" ht="26.4">
      <c r="U4449" s="61" ph="1"/>
    </row>
    <row r="4450" spans="21:21" ht="26.4">
      <c r="U4450" s="61" ph="1"/>
    </row>
    <row r="4451" spans="21:21" ht="26.4">
      <c r="U4451" s="61" ph="1"/>
    </row>
    <row r="4452" spans="21:21" ht="26.4">
      <c r="U4452" s="61" ph="1"/>
    </row>
    <row r="4453" spans="21:21" ht="26.4">
      <c r="U4453" s="61" ph="1"/>
    </row>
    <row r="4454" spans="21:21" ht="26.4">
      <c r="U4454" s="61" ph="1"/>
    </row>
    <row r="4455" spans="21:21" ht="26.4">
      <c r="U4455" s="61" ph="1"/>
    </row>
    <row r="4456" spans="21:21" ht="26.4">
      <c r="U4456" s="61" ph="1"/>
    </row>
    <row r="4457" spans="21:21" ht="26.4">
      <c r="U4457" s="61" ph="1"/>
    </row>
    <row r="4458" spans="21:21" ht="26.4">
      <c r="U4458" s="61" ph="1"/>
    </row>
    <row r="4459" spans="21:21" ht="26.4">
      <c r="U4459" s="61" ph="1"/>
    </row>
    <row r="4460" spans="21:21" ht="26.4">
      <c r="U4460" s="61" ph="1"/>
    </row>
    <row r="4461" spans="21:21" ht="26.4">
      <c r="U4461" s="61" ph="1"/>
    </row>
    <row r="4462" spans="21:21" ht="26.4">
      <c r="U4462" s="61" ph="1"/>
    </row>
    <row r="4463" spans="21:21" ht="26.4">
      <c r="U4463" s="61" ph="1"/>
    </row>
    <row r="4464" spans="21:21" ht="26.4">
      <c r="U4464" s="61" ph="1"/>
    </row>
    <row r="4465" spans="21:21" ht="26.4">
      <c r="U4465" s="61" ph="1"/>
    </row>
    <row r="4466" spans="21:21" ht="26.4">
      <c r="U4466" s="61" ph="1"/>
    </row>
    <row r="4467" spans="21:21" ht="26.4">
      <c r="U4467" s="61" ph="1"/>
    </row>
    <row r="4468" spans="21:21" ht="26.4">
      <c r="U4468" s="61" ph="1"/>
    </row>
    <row r="4469" spans="21:21" ht="26.4">
      <c r="U4469" s="61" ph="1"/>
    </row>
    <row r="4470" spans="21:21" ht="26.4">
      <c r="U4470" s="61" ph="1"/>
    </row>
    <row r="4471" spans="21:21" ht="26.4">
      <c r="U4471" s="61" ph="1"/>
    </row>
    <row r="4472" spans="21:21" ht="26.4">
      <c r="U4472" s="61" ph="1"/>
    </row>
    <row r="4473" spans="21:21" ht="26.4">
      <c r="U4473" s="61" ph="1"/>
    </row>
    <row r="4474" spans="21:21" ht="26.4">
      <c r="U4474" s="61" ph="1"/>
    </row>
    <row r="4475" spans="21:21" ht="26.4">
      <c r="U4475" s="61" ph="1"/>
    </row>
    <row r="4476" spans="21:21" ht="26.4">
      <c r="U4476" s="61" ph="1"/>
    </row>
    <row r="4477" spans="21:21" ht="26.4">
      <c r="U4477" s="61" ph="1"/>
    </row>
    <row r="4478" spans="21:21" ht="26.4">
      <c r="U4478" s="61" ph="1"/>
    </row>
    <row r="4479" spans="21:21" ht="26.4">
      <c r="U4479" s="61" ph="1"/>
    </row>
    <row r="4480" spans="21:21" ht="26.4">
      <c r="U4480" s="61" ph="1"/>
    </row>
    <row r="4481" spans="21:21" ht="26.4">
      <c r="U4481" s="61" ph="1"/>
    </row>
    <row r="4482" spans="21:21" ht="26.4">
      <c r="U4482" s="61" ph="1"/>
    </row>
    <row r="4483" spans="21:21" ht="26.4">
      <c r="U4483" s="61" ph="1"/>
    </row>
    <row r="4484" spans="21:21" ht="26.4">
      <c r="U4484" s="61" ph="1"/>
    </row>
    <row r="4485" spans="21:21" ht="26.4">
      <c r="U4485" s="61" ph="1"/>
    </row>
    <row r="4486" spans="21:21" ht="26.4">
      <c r="U4486" s="61" ph="1"/>
    </row>
    <row r="4487" spans="21:21" ht="26.4">
      <c r="U4487" s="61" ph="1"/>
    </row>
    <row r="4488" spans="21:21" ht="26.4">
      <c r="U4488" s="61" ph="1"/>
    </row>
    <row r="4489" spans="21:21" ht="26.4">
      <c r="U4489" s="61" ph="1"/>
    </row>
    <row r="4490" spans="21:21" ht="26.4">
      <c r="U4490" s="61" ph="1"/>
    </row>
    <row r="4491" spans="21:21" ht="26.4">
      <c r="U4491" s="61" ph="1"/>
    </row>
    <row r="4492" spans="21:21" ht="26.4">
      <c r="U4492" s="61" ph="1"/>
    </row>
    <row r="4493" spans="21:21" ht="26.4">
      <c r="U4493" s="61" ph="1"/>
    </row>
    <row r="4494" spans="21:21" ht="26.4">
      <c r="U4494" s="61" ph="1"/>
    </row>
    <row r="4495" spans="21:21" ht="26.4">
      <c r="U4495" s="61" ph="1"/>
    </row>
    <row r="4496" spans="21:21" ht="26.4">
      <c r="U4496" s="61" ph="1"/>
    </row>
    <row r="4497" spans="21:21" ht="26.4">
      <c r="U4497" s="61" ph="1"/>
    </row>
    <row r="4498" spans="21:21" ht="26.4">
      <c r="U4498" s="61" ph="1"/>
    </row>
    <row r="4499" spans="21:21" ht="26.4">
      <c r="U4499" s="61" ph="1"/>
    </row>
    <row r="4500" spans="21:21" ht="26.4">
      <c r="U4500" s="61" ph="1"/>
    </row>
    <row r="4501" spans="21:21" ht="26.4">
      <c r="U4501" s="61" ph="1"/>
    </row>
    <row r="4502" spans="21:21" ht="26.4">
      <c r="U4502" s="61" ph="1"/>
    </row>
    <row r="4503" spans="21:21" ht="26.4">
      <c r="U4503" s="61" ph="1"/>
    </row>
    <row r="4504" spans="21:21" ht="26.4">
      <c r="U4504" s="61" ph="1"/>
    </row>
    <row r="4505" spans="21:21" ht="26.4">
      <c r="U4505" s="61" ph="1"/>
    </row>
    <row r="4506" spans="21:21" ht="26.4">
      <c r="U4506" s="61" ph="1"/>
    </row>
    <row r="4507" spans="21:21" ht="26.4">
      <c r="U4507" s="61" ph="1"/>
    </row>
    <row r="4508" spans="21:21" ht="26.4">
      <c r="U4508" s="61" ph="1"/>
    </row>
    <row r="4509" spans="21:21" ht="26.4">
      <c r="U4509" s="61" ph="1"/>
    </row>
    <row r="4510" spans="21:21" ht="26.4">
      <c r="U4510" s="61" ph="1"/>
    </row>
    <row r="4511" spans="21:21" ht="26.4">
      <c r="U4511" s="61" ph="1"/>
    </row>
    <row r="4512" spans="21:21" ht="26.4">
      <c r="U4512" s="61" ph="1"/>
    </row>
    <row r="4513" spans="21:21" ht="26.4">
      <c r="U4513" s="61" ph="1"/>
    </row>
    <row r="4514" spans="21:21" ht="26.4">
      <c r="U4514" s="61" ph="1"/>
    </row>
    <row r="4515" spans="21:21" ht="26.4">
      <c r="U4515" s="61" ph="1"/>
    </row>
    <row r="4516" spans="21:21" ht="26.4">
      <c r="U4516" s="61" ph="1"/>
    </row>
    <row r="4517" spans="21:21" ht="26.4">
      <c r="U4517" s="61" ph="1"/>
    </row>
    <row r="4518" spans="21:21" ht="26.4">
      <c r="U4518" s="61" ph="1"/>
    </row>
    <row r="4519" spans="21:21" ht="26.4">
      <c r="U4519" s="61" ph="1"/>
    </row>
    <row r="4520" spans="21:21" ht="26.4">
      <c r="U4520" s="61" ph="1"/>
    </row>
    <row r="4521" spans="21:21" ht="26.4">
      <c r="U4521" s="61" ph="1"/>
    </row>
    <row r="4522" spans="21:21" ht="26.4">
      <c r="U4522" s="61" ph="1"/>
    </row>
    <row r="4523" spans="21:21" ht="26.4">
      <c r="U4523" s="61" ph="1"/>
    </row>
    <row r="4524" spans="21:21" ht="26.4">
      <c r="U4524" s="61" ph="1"/>
    </row>
    <row r="4525" spans="21:21" ht="26.4">
      <c r="U4525" s="61" ph="1"/>
    </row>
    <row r="4526" spans="21:21" ht="26.4">
      <c r="U4526" s="61" ph="1"/>
    </row>
    <row r="4527" spans="21:21" ht="26.4">
      <c r="U4527" s="61" ph="1"/>
    </row>
    <row r="4528" spans="21:21" ht="26.4">
      <c r="U4528" s="61" ph="1"/>
    </row>
    <row r="4529" spans="21:21" ht="26.4">
      <c r="U4529" s="61" ph="1"/>
    </row>
    <row r="4530" spans="21:21" ht="26.4">
      <c r="U4530" s="61" ph="1"/>
    </row>
    <row r="4531" spans="21:21" ht="26.4">
      <c r="U4531" s="61" ph="1"/>
    </row>
    <row r="4532" spans="21:21" ht="26.4">
      <c r="U4532" s="61" ph="1"/>
    </row>
    <row r="4533" spans="21:21" ht="26.4">
      <c r="U4533" s="61" ph="1"/>
    </row>
    <row r="4534" spans="21:21" ht="26.4">
      <c r="U4534" s="61" ph="1"/>
    </row>
    <row r="4535" spans="21:21" ht="26.4">
      <c r="U4535" s="61" ph="1"/>
    </row>
    <row r="4536" spans="21:21" ht="26.4">
      <c r="U4536" s="61" ph="1"/>
    </row>
    <row r="4537" spans="21:21" ht="26.4">
      <c r="U4537" s="61" ph="1"/>
    </row>
    <row r="4538" spans="21:21" ht="26.4">
      <c r="U4538" s="61" ph="1"/>
    </row>
    <row r="4539" spans="21:21" ht="26.4">
      <c r="U4539" s="61" ph="1"/>
    </row>
    <row r="4540" spans="21:21" ht="26.4">
      <c r="U4540" s="61" ph="1"/>
    </row>
    <row r="4541" spans="21:21" ht="26.4">
      <c r="U4541" s="61" ph="1"/>
    </row>
    <row r="4542" spans="21:21" ht="26.4">
      <c r="U4542" s="61" ph="1"/>
    </row>
    <row r="4543" spans="21:21" ht="26.4">
      <c r="U4543" s="61" ph="1"/>
    </row>
    <row r="4544" spans="21:21" ht="26.4">
      <c r="U4544" s="61" ph="1"/>
    </row>
    <row r="4545" spans="21:21" ht="26.4">
      <c r="U4545" s="61" ph="1"/>
    </row>
    <row r="4546" spans="21:21" ht="26.4">
      <c r="U4546" s="61" ph="1"/>
    </row>
    <row r="4547" spans="21:21" ht="26.4">
      <c r="U4547" s="61" ph="1"/>
    </row>
    <row r="4548" spans="21:21" ht="26.4">
      <c r="U4548" s="61" ph="1"/>
    </row>
    <row r="4549" spans="21:21" ht="26.4">
      <c r="U4549" s="61" ph="1"/>
    </row>
    <row r="4550" spans="21:21" ht="26.4">
      <c r="U4550" s="61" ph="1"/>
    </row>
    <row r="4551" spans="21:21" ht="26.4">
      <c r="U4551" s="61" ph="1"/>
    </row>
    <row r="4552" spans="21:21" ht="26.4">
      <c r="U4552" s="61" ph="1"/>
    </row>
    <row r="4553" spans="21:21" ht="26.4">
      <c r="U4553" s="61" ph="1"/>
    </row>
    <row r="4554" spans="21:21" ht="26.4">
      <c r="U4554" s="61" ph="1"/>
    </row>
    <row r="4555" spans="21:21" ht="26.4">
      <c r="U4555" s="61" ph="1"/>
    </row>
    <row r="4556" spans="21:21" ht="26.4">
      <c r="U4556" s="61" ph="1"/>
    </row>
    <row r="4557" spans="21:21" ht="26.4">
      <c r="U4557" s="61" ph="1"/>
    </row>
    <row r="4558" spans="21:21" ht="26.4">
      <c r="U4558" s="61" ph="1"/>
    </row>
    <row r="4559" spans="21:21" ht="26.4">
      <c r="U4559" s="61" ph="1"/>
    </row>
    <row r="4560" spans="21:21" ht="26.4">
      <c r="U4560" s="61" ph="1"/>
    </row>
    <row r="4561" spans="21:21" ht="26.4">
      <c r="U4561" s="61" ph="1"/>
    </row>
    <row r="4562" spans="21:21" ht="26.4">
      <c r="U4562" s="61" ph="1"/>
    </row>
    <row r="4563" spans="21:21" ht="26.4">
      <c r="U4563" s="61" ph="1"/>
    </row>
    <row r="4564" spans="21:21" ht="26.4">
      <c r="U4564" s="61" ph="1"/>
    </row>
    <row r="4565" spans="21:21" ht="26.4">
      <c r="U4565" s="61" ph="1"/>
    </row>
    <row r="4566" spans="21:21" ht="26.4">
      <c r="U4566" s="61" ph="1"/>
    </row>
    <row r="4567" spans="21:21" ht="26.4">
      <c r="U4567" s="61" ph="1"/>
    </row>
    <row r="4568" spans="21:21" ht="26.4">
      <c r="U4568" s="61" ph="1"/>
    </row>
    <row r="4569" spans="21:21" ht="26.4">
      <c r="U4569" s="61" ph="1"/>
    </row>
    <row r="4570" spans="21:21" ht="26.4">
      <c r="U4570" s="61" ph="1"/>
    </row>
    <row r="4571" spans="21:21" ht="26.4">
      <c r="U4571" s="61" ph="1"/>
    </row>
    <row r="4572" spans="21:21" ht="26.4">
      <c r="U4572" s="61" ph="1"/>
    </row>
    <row r="4573" spans="21:21" ht="26.4">
      <c r="U4573" s="61" ph="1"/>
    </row>
    <row r="4574" spans="21:21" ht="26.4">
      <c r="U4574" s="61" ph="1"/>
    </row>
    <row r="4575" spans="21:21" ht="26.4">
      <c r="U4575" s="61" ph="1"/>
    </row>
    <row r="4576" spans="21:21" ht="26.4">
      <c r="U4576" s="61" ph="1"/>
    </row>
    <row r="4577" spans="21:21" ht="26.4">
      <c r="U4577" s="61" ph="1"/>
    </row>
    <row r="4578" spans="21:21" ht="26.4">
      <c r="U4578" s="61" ph="1"/>
    </row>
    <row r="4579" spans="21:21" ht="26.4">
      <c r="U4579" s="61" ph="1"/>
    </row>
    <row r="4580" spans="21:21" ht="26.4">
      <c r="U4580" s="61" ph="1"/>
    </row>
    <row r="4581" spans="21:21" ht="26.4">
      <c r="U4581" s="61" ph="1"/>
    </row>
    <row r="4582" spans="21:21" ht="26.4">
      <c r="U4582" s="61" ph="1"/>
    </row>
    <row r="4583" spans="21:21" ht="26.4">
      <c r="U4583" s="61" ph="1"/>
    </row>
    <row r="4584" spans="21:21" ht="26.4">
      <c r="U4584" s="61" ph="1"/>
    </row>
    <row r="4585" spans="21:21" ht="26.4">
      <c r="U4585" s="61" ph="1"/>
    </row>
    <row r="4586" spans="21:21" ht="26.4">
      <c r="U4586" s="61" ph="1"/>
    </row>
    <row r="4587" spans="21:21" ht="26.4">
      <c r="U4587" s="61" ph="1"/>
    </row>
    <row r="4588" spans="21:21" ht="26.4">
      <c r="U4588" s="61" ph="1"/>
    </row>
    <row r="4589" spans="21:21" ht="26.4">
      <c r="U4589" s="61" ph="1"/>
    </row>
    <row r="4590" spans="21:21" ht="26.4">
      <c r="U4590" s="61" ph="1"/>
    </row>
    <row r="4591" spans="21:21" ht="26.4">
      <c r="U4591" s="61" ph="1"/>
    </row>
    <row r="4592" spans="21:21" ht="26.4">
      <c r="U4592" s="61" ph="1"/>
    </row>
    <row r="4593" spans="21:21" ht="26.4">
      <c r="U4593" s="61" ph="1"/>
    </row>
    <row r="4594" spans="21:21" ht="26.4">
      <c r="U4594" s="61" ph="1"/>
    </row>
    <row r="4595" spans="21:21" ht="26.4">
      <c r="U4595" s="61" ph="1"/>
    </row>
    <row r="4596" spans="21:21" ht="26.4">
      <c r="U4596" s="61" ph="1"/>
    </row>
    <row r="4597" spans="21:21" ht="26.4">
      <c r="U4597" s="61" ph="1"/>
    </row>
    <row r="4598" spans="21:21" ht="26.4">
      <c r="U4598" s="61" ph="1"/>
    </row>
    <row r="4599" spans="21:21" ht="26.4">
      <c r="U4599" s="61" ph="1"/>
    </row>
    <row r="4600" spans="21:21" ht="26.4">
      <c r="U4600" s="61" ph="1"/>
    </row>
    <row r="4601" spans="21:21" ht="26.4">
      <c r="U4601" s="61" ph="1"/>
    </row>
    <row r="4602" spans="21:21" ht="26.4">
      <c r="U4602" s="61" ph="1"/>
    </row>
    <row r="4603" spans="21:21" ht="26.4">
      <c r="U4603" s="61" ph="1"/>
    </row>
    <row r="4604" spans="21:21" ht="26.4">
      <c r="U4604" s="61" ph="1"/>
    </row>
    <row r="4605" spans="21:21" ht="26.4">
      <c r="U4605" s="61" ph="1"/>
    </row>
    <row r="4606" spans="21:21" ht="26.4">
      <c r="U4606" s="61" ph="1"/>
    </row>
    <row r="4607" spans="21:21" ht="26.4">
      <c r="U4607" s="61" ph="1"/>
    </row>
    <row r="4608" spans="21:21" ht="26.4">
      <c r="U4608" s="61" ph="1"/>
    </row>
    <row r="4609" spans="21:21" ht="26.4">
      <c r="U4609" s="61" ph="1"/>
    </row>
    <row r="4610" spans="21:21" ht="26.4">
      <c r="U4610" s="61" ph="1"/>
    </row>
    <row r="4611" spans="21:21" ht="26.4">
      <c r="U4611" s="61" ph="1"/>
    </row>
    <row r="4612" spans="21:21" ht="26.4">
      <c r="U4612" s="61" ph="1"/>
    </row>
    <row r="4613" spans="21:21" ht="26.4">
      <c r="U4613" s="61" ph="1"/>
    </row>
    <row r="4614" spans="21:21" ht="26.4">
      <c r="U4614" s="61" ph="1"/>
    </row>
    <row r="4615" spans="21:21" ht="26.4">
      <c r="U4615" s="61" ph="1"/>
    </row>
    <row r="4616" spans="21:21" ht="26.4">
      <c r="U4616" s="61" ph="1"/>
    </row>
    <row r="4617" spans="21:21" ht="26.4">
      <c r="U4617" s="61" ph="1"/>
    </row>
    <row r="4618" spans="21:21" ht="26.4">
      <c r="U4618" s="61" ph="1"/>
    </row>
    <row r="4619" spans="21:21" ht="26.4">
      <c r="U4619" s="61" ph="1"/>
    </row>
    <row r="4620" spans="21:21" ht="26.4">
      <c r="U4620" s="61" ph="1"/>
    </row>
    <row r="4621" spans="21:21" ht="26.4">
      <c r="U4621" s="61" ph="1"/>
    </row>
    <row r="4622" spans="21:21" ht="26.4">
      <c r="U4622" s="61" ph="1"/>
    </row>
    <row r="4623" spans="21:21" ht="26.4">
      <c r="U4623" s="61" ph="1"/>
    </row>
    <row r="4624" spans="21:21" ht="26.4">
      <c r="U4624" s="61" ph="1"/>
    </row>
    <row r="4625" spans="21:21" ht="26.4">
      <c r="U4625" s="61" ph="1"/>
    </row>
    <row r="4626" spans="21:21" ht="26.4">
      <c r="U4626" s="61" ph="1"/>
    </row>
    <row r="4627" spans="21:21" ht="26.4">
      <c r="U4627" s="61" ph="1"/>
    </row>
    <row r="4628" spans="21:21" ht="26.4">
      <c r="U4628" s="61" ph="1"/>
    </row>
    <row r="4629" spans="21:21" ht="26.4">
      <c r="U4629" s="61" ph="1"/>
    </row>
    <row r="4630" spans="21:21" ht="26.4">
      <c r="U4630" s="61" ph="1"/>
    </row>
    <row r="4631" spans="21:21" ht="26.4">
      <c r="U4631" s="61" ph="1"/>
    </row>
    <row r="4632" spans="21:21" ht="26.4">
      <c r="U4632" s="61" ph="1"/>
    </row>
    <row r="4633" spans="21:21" ht="26.4">
      <c r="U4633" s="61" ph="1"/>
    </row>
    <row r="4634" spans="21:21" ht="26.4">
      <c r="U4634" s="61" ph="1"/>
    </row>
    <row r="4635" spans="21:21" ht="26.4">
      <c r="U4635" s="61" ph="1"/>
    </row>
    <row r="4636" spans="21:21" ht="26.4">
      <c r="U4636" s="61" ph="1"/>
    </row>
    <row r="4637" spans="21:21" ht="26.4">
      <c r="U4637" s="61" ph="1"/>
    </row>
    <row r="4638" spans="21:21" ht="26.4">
      <c r="U4638" s="61" ph="1"/>
    </row>
    <row r="4639" spans="21:21" ht="26.4">
      <c r="U4639" s="61" ph="1"/>
    </row>
    <row r="4640" spans="21:21" ht="26.4">
      <c r="U4640" s="61" ph="1"/>
    </row>
    <row r="4641" spans="21:21" ht="26.4">
      <c r="U4641" s="61" ph="1"/>
    </row>
    <row r="4642" spans="21:21" ht="26.4">
      <c r="U4642" s="61" ph="1"/>
    </row>
    <row r="4643" spans="21:21" ht="26.4">
      <c r="U4643" s="61" ph="1"/>
    </row>
    <row r="4644" spans="21:21" ht="26.4">
      <c r="U4644" s="61" ph="1"/>
    </row>
    <row r="4645" spans="21:21" ht="26.4">
      <c r="U4645" s="61" ph="1"/>
    </row>
    <row r="4646" spans="21:21" ht="26.4">
      <c r="U4646" s="61" ph="1"/>
    </row>
    <row r="4647" spans="21:21" ht="26.4">
      <c r="U4647" s="61" ph="1"/>
    </row>
    <row r="4648" spans="21:21" ht="26.4">
      <c r="U4648" s="61" ph="1"/>
    </row>
    <row r="4649" spans="21:21" ht="26.4">
      <c r="U4649" s="61" ph="1"/>
    </row>
    <row r="4650" spans="21:21" ht="26.4">
      <c r="U4650" s="61" ph="1"/>
    </row>
    <row r="4651" spans="21:21" ht="26.4">
      <c r="U4651" s="61" ph="1"/>
    </row>
    <row r="4652" spans="21:21" ht="26.4">
      <c r="U4652" s="61" ph="1"/>
    </row>
    <row r="4653" spans="21:21" ht="26.4">
      <c r="U4653" s="61" ph="1"/>
    </row>
    <row r="4654" spans="21:21" ht="26.4">
      <c r="U4654" s="61" ph="1"/>
    </row>
    <row r="4655" spans="21:21" ht="26.4">
      <c r="U4655" s="61" ph="1"/>
    </row>
    <row r="4656" spans="21:21" ht="26.4">
      <c r="U4656" s="61" ph="1"/>
    </row>
    <row r="4657" spans="21:21" ht="26.4">
      <c r="U4657" s="61" ph="1"/>
    </row>
    <row r="4658" spans="21:21" ht="26.4">
      <c r="U4658" s="61" ph="1"/>
    </row>
    <row r="4659" spans="21:21" ht="26.4">
      <c r="U4659" s="61" ph="1"/>
    </row>
    <row r="4660" spans="21:21" ht="26.4">
      <c r="U4660" s="61" ph="1"/>
    </row>
    <row r="4661" spans="21:21" ht="26.4">
      <c r="U4661" s="61" ph="1"/>
    </row>
    <row r="4662" spans="21:21" ht="26.4">
      <c r="U4662" s="61" ph="1"/>
    </row>
    <row r="4663" spans="21:21" ht="26.4">
      <c r="U4663" s="61" ph="1"/>
    </row>
    <row r="4664" spans="21:21" ht="26.4">
      <c r="U4664" s="61" ph="1"/>
    </row>
    <row r="4665" spans="21:21" ht="26.4">
      <c r="U4665" s="61" ph="1"/>
    </row>
    <row r="4666" spans="21:21" ht="26.4">
      <c r="U4666" s="61" ph="1"/>
    </row>
    <row r="4667" spans="21:21" ht="26.4">
      <c r="U4667" s="61" ph="1"/>
    </row>
    <row r="4668" spans="21:21" ht="26.4">
      <c r="U4668" s="61" ph="1"/>
    </row>
    <row r="4669" spans="21:21" ht="26.4">
      <c r="U4669" s="61" ph="1"/>
    </row>
    <row r="4670" spans="21:21" ht="26.4">
      <c r="U4670" s="61" ph="1"/>
    </row>
    <row r="4671" spans="21:21" ht="26.4">
      <c r="U4671" s="61" ph="1"/>
    </row>
    <row r="4672" spans="21:21" ht="26.4">
      <c r="U4672" s="61" ph="1"/>
    </row>
    <row r="4673" spans="21:21" ht="26.4">
      <c r="U4673" s="61" ph="1"/>
    </row>
    <row r="4674" spans="21:21" ht="26.4">
      <c r="U4674" s="61" ph="1"/>
    </row>
    <row r="4675" spans="21:21" ht="26.4">
      <c r="U4675" s="61" ph="1"/>
    </row>
    <row r="4676" spans="21:21" ht="26.4">
      <c r="U4676" s="61" ph="1"/>
    </row>
    <row r="4677" spans="21:21" ht="26.4">
      <c r="U4677" s="61" ph="1"/>
    </row>
    <row r="4678" spans="21:21" ht="26.4">
      <c r="U4678" s="61" ph="1"/>
    </row>
    <row r="4679" spans="21:21" ht="26.4">
      <c r="U4679" s="61" ph="1"/>
    </row>
    <row r="4680" spans="21:21" ht="26.4">
      <c r="U4680" s="61" ph="1"/>
    </row>
    <row r="4681" spans="21:21" ht="26.4">
      <c r="U4681" s="61" ph="1"/>
    </row>
    <row r="4682" spans="21:21" ht="26.4">
      <c r="U4682" s="61" ph="1"/>
    </row>
    <row r="4683" spans="21:21" ht="26.4">
      <c r="U4683" s="61" ph="1"/>
    </row>
    <row r="4684" spans="21:21" ht="26.4">
      <c r="U4684" s="61" ph="1"/>
    </row>
    <row r="4685" spans="21:21" ht="26.4">
      <c r="U4685" s="61" ph="1"/>
    </row>
    <row r="4686" spans="21:21" ht="26.4">
      <c r="U4686" s="61" ph="1"/>
    </row>
    <row r="4687" spans="21:21" ht="26.4">
      <c r="U4687" s="61" ph="1"/>
    </row>
    <row r="4688" spans="21:21" ht="26.4">
      <c r="U4688" s="61" ph="1"/>
    </row>
    <row r="4689" spans="21:21" ht="26.4">
      <c r="U4689" s="61" ph="1"/>
    </row>
    <row r="4690" spans="21:21" ht="26.4">
      <c r="U4690" s="61" ph="1"/>
    </row>
    <row r="4691" spans="21:21" ht="26.4">
      <c r="U4691" s="61" ph="1"/>
    </row>
    <row r="4692" spans="21:21" ht="26.4">
      <c r="U4692" s="61" ph="1"/>
    </row>
    <row r="4693" spans="21:21" ht="26.4">
      <c r="U4693" s="61" ph="1"/>
    </row>
    <row r="4694" spans="21:21" ht="26.4">
      <c r="U4694" s="61" ph="1"/>
    </row>
    <row r="4695" spans="21:21" ht="26.4">
      <c r="U4695" s="61" ph="1"/>
    </row>
    <row r="4696" spans="21:21" ht="26.4">
      <c r="U4696" s="61" ph="1"/>
    </row>
    <row r="4697" spans="21:21" ht="26.4">
      <c r="U4697" s="61" ph="1"/>
    </row>
    <row r="4698" spans="21:21" ht="26.4">
      <c r="U4698" s="61" ph="1"/>
    </row>
    <row r="4699" spans="21:21" ht="26.4">
      <c r="U4699" s="61" ph="1"/>
    </row>
    <row r="4700" spans="21:21" ht="26.4">
      <c r="U4700" s="61" ph="1"/>
    </row>
    <row r="4701" spans="21:21" ht="26.4">
      <c r="U4701" s="61" ph="1"/>
    </row>
    <row r="4702" spans="21:21" ht="26.4">
      <c r="U4702" s="61" ph="1"/>
    </row>
    <row r="4703" spans="21:21" ht="26.4">
      <c r="U4703" s="61" ph="1"/>
    </row>
    <row r="4704" spans="21:21" ht="26.4">
      <c r="U4704" s="61" ph="1"/>
    </row>
    <row r="4705" spans="21:21" ht="26.4">
      <c r="U4705" s="61" ph="1"/>
    </row>
    <row r="4706" spans="21:21" ht="26.4">
      <c r="U4706" s="61" ph="1"/>
    </row>
    <row r="4707" spans="21:21" ht="26.4">
      <c r="U4707" s="61" ph="1"/>
    </row>
    <row r="4708" spans="21:21" ht="26.4">
      <c r="U4708" s="61" ph="1"/>
    </row>
    <row r="4709" spans="21:21" ht="26.4">
      <c r="U4709" s="61" ph="1"/>
    </row>
    <row r="4710" spans="21:21" ht="26.4">
      <c r="U4710" s="61" ph="1"/>
    </row>
    <row r="4711" spans="21:21" ht="26.4">
      <c r="U4711" s="61" ph="1"/>
    </row>
    <row r="4712" spans="21:21" ht="26.4">
      <c r="U4712" s="61" ph="1"/>
    </row>
    <row r="4713" spans="21:21" ht="26.4">
      <c r="U4713" s="61" ph="1"/>
    </row>
    <row r="4714" spans="21:21" ht="26.4">
      <c r="U4714" s="61" ph="1"/>
    </row>
    <row r="4715" spans="21:21" ht="26.4">
      <c r="U4715" s="61" ph="1"/>
    </row>
    <row r="4716" spans="21:21" ht="26.4">
      <c r="U4716" s="61" ph="1"/>
    </row>
    <row r="4717" spans="21:21" ht="26.4">
      <c r="U4717" s="61" ph="1"/>
    </row>
    <row r="4718" spans="21:21" ht="26.4">
      <c r="U4718" s="61" ph="1"/>
    </row>
    <row r="4719" spans="21:21" ht="26.4">
      <c r="U4719" s="61" ph="1"/>
    </row>
    <row r="4720" spans="21:21" ht="26.4">
      <c r="U4720" s="61" ph="1"/>
    </row>
    <row r="4721" spans="21:21" ht="26.4">
      <c r="U4721" s="61" ph="1"/>
    </row>
    <row r="4722" spans="21:21" ht="26.4">
      <c r="U4722" s="61" ph="1"/>
    </row>
    <row r="4723" spans="21:21" ht="26.4">
      <c r="U4723" s="61" ph="1"/>
    </row>
    <row r="4724" spans="21:21" ht="26.4">
      <c r="U4724" s="61" ph="1"/>
    </row>
    <row r="4725" spans="21:21" ht="26.4">
      <c r="U4725" s="61" ph="1"/>
    </row>
    <row r="4726" spans="21:21" ht="26.4">
      <c r="U4726" s="61" ph="1"/>
    </row>
    <row r="4727" spans="21:21" ht="26.4">
      <c r="U4727" s="61" ph="1"/>
    </row>
    <row r="4728" spans="21:21" ht="26.4">
      <c r="U4728" s="61" ph="1"/>
    </row>
    <row r="4729" spans="21:21" ht="26.4">
      <c r="U4729" s="61" ph="1"/>
    </row>
    <row r="4730" spans="21:21" ht="26.4">
      <c r="U4730" s="61" ph="1"/>
    </row>
    <row r="4731" spans="21:21" ht="26.4">
      <c r="U4731" s="61" ph="1"/>
    </row>
    <row r="4732" spans="21:21" ht="26.4">
      <c r="U4732" s="61" ph="1"/>
    </row>
    <row r="4733" spans="21:21" ht="26.4">
      <c r="U4733" s="61" ph="1"/>
    </row>
    <row r="4734" spans="21:21" ht="26.4">
      <c r="U4734" s="61" ph="1"/>
    </row>
    <row r="4735" spans="21:21" ht="26.4">
      <c r="U4735" s="61" ph="1"/>
    </row>
    <row r="4736" spans="21:21" ht="26.4">
      <c r="U4736" s="61" ph="1"/>
    </row>
    <row r="4737" spans="21:21" ht="26.4">
      <c r="U4737" s="61" ph="1"/>
    </row>
    <row r="4738" spans="21:21" ht="26.4">
      <c r="U4738" s="61" ph="1"/>
    </row>
    <row r="4739" spans="21:21" ht="26.4">
      <c r="U4739" s="61" ph="1"/>
    </row>
    <row r="4740" spans="21:21" ht="26.4">
      <c r="U4740" s="61" ph="1"/>
    </row>
    <row r="4741" spans="21:21" ht="26.4">
      <c r="U4741" s="61" ph="1"/>
    </row>
    <row r="4742" spans="21:21" ht="26.4">
      <c r="U4742" s="61" ph="1"/>
    </row>
    <row r="4743" spans="21:21" ht="26.4">
      <c r="U4743" s="61" ph="1"/>
    </row>
    <row r="4744" spans="21:21" ht="26.4">
      <c r="U4744" s="61" ph="1"/>
    </row>
    <row r="4745" spans="21:21" ht="26.4">
      <c r="U4745" s="61" ph="1"/>
    </row>
    <row r="4746" spans="21:21" ht="26.4">
      <c r="U4746" s="61" ph="1"/>
    </row>
    <row r="4747" spans="21:21" ht="26.4">
      <c r="U4747" s="61" ph="1"/>
    </row>
    <row r="4748" spans="21:21" ht="26.4">
      <c r="U4748" s="61" ph="1"/>
    </row>
    <row r="4749" spans="21:21" ht="26.4">
      <c r="U4749" s="61" ph="1"/>
    </row>
    <row r="4750" spans="21:21" ht="26.4">
      <c r="U4750" s="61" ph="1"/>
    </row>
    <row r="4751" spans="21:21" ht="26.4">
      <c r="U4751" s="61" ph="1"/>
    </row>
    <row r="4752" spans="21:21" ht="26.4">
      <c r="U4752" s="61" ph="1"/>
    </row>
    <row r="4753" spans="21:21" ht="26.4">
      <c r="U4753" s="61" ph="1"/>
    </row>
    <row r="4754" spans="21:21" ht="26.4">
      <c r="U4754" s="61" ph="1"/>
    </row>
    <row r="4755" spans="21:21" ht="26.4">
      <c r="U4755" s="61" ph="1"/>
    </row>
    <row r="4756" spans="21:21" ht="26.4">
      <c r="U4756" s="61" ph="1"/>
    </row>
    <row r="4757" spans="21:21" ht="26.4">
      <c r="U4757" s="61" ph="1"/>
    </row>
    <row r="4758" spans="21:21" ht="26.4">
      <c r="U4758" s="61" ph="1"/>
    </row>
    <row r="4759" spans="21:21" ht="26.4">
      <c r="U4759" s="61" ph="1"/>
    </row>
    <row r="4760" spans="21:21" ht="26.4">
      <c r="U4760" s="61" ph="1"/>
    </row>
    <row r="4761" spans="21:21" ht="26.4">
      <c r="U4761" s="61" ph="1"/>
    </row>
    <row r="4762" spans="21:21" ht="26.4">
      <c r="U4762" s="61" ph="1"/>
    </row>
    <row r="4763" spans="21:21" ht="26.4">
      <c r="U4763" s="61" ph="1"/>
    </row>
    <row r="4764" spans="21:21" ht="26.4">
      <c r="U4764" s="61" ph="1"/>
    </row>
    <row r="4765" spans="21:21" ht="26.4">
      <c r="U4765" s="61" ph="1"/>
    </row>
    <row r="4766" spans="21:21" ht="26.4">
      <c r="U4766" s="61" ph="1"/>
    </row>
    <row r="4767" spans="21:21" ht="26.4">
      <c r="U4767" s="61" ph="1"/>
    </row>
    <row r="4768" spans="21:21" ht="26.4">
      <c r="U4768" s="61" ph="1"/>
    </row>
    <row r="4769" spans="21:21" ht="26.4">
      <c r="U4769" s="61" ph="1"/>
    </row>
    <row r="4770" spans="21:21" ht="26.4">
      <c r="U4770" s="61" ph="1"/>
    </row>
    <row r="4771" spans="21:21" ht="26.4">
      <c r="U4771" s="61" ph="1"/>
    </row>
    <row r="4772" spans="21:21" ht="26.4">
      <c r="U4772" s="61" ph="1"/>
    </row>
    <row r="4773" spans="21:21" ht="26.4">
      <c r="U4773" s="61" ph="1"/>
    </row>
    <row r="4774" spans="21:21" ht="26.4">
      <c r="U4774" s="61" ph="1"/>
    </row>
    <row r="4775" spans="21:21" ht="26.4">
      <c r="U4775" s="61" ph="1"/>
    </row>
    <row r="4776" spans="21:21" ht="26.4">
      <c r="U4776" s="61" ph="1"/>
    </row>
    <row r="4777" spans="21:21" ht="26.4">
      <c r="U4777" s="61" ph="1"/>
    </row>
    <row r="4778" spans="21:21" ht="26.4">
      <c r="U4778" s="61" ph="1"/>
    </row>
    <row r="4779" spans="21:21" ht="26.4">
      <c r="U4779" s="61" ph="1"/>
    </row>
    <row r="4780" spans="21:21" ht="26.4">
      <c r="U4780" s="61" ph="1"/>
    </row>
    <row r="4781" spans="21:21" ht="26.4">
      <c r="U4781" s="61" ph="1"/>
    </row>
    <row r="4782" spans="21:21" ht="26.4">
      <c r="U4782" s="61" ph="1"/>
    </row>
    <row r="4783" spans="21:21" ht="26.4">
      <c r="U4783" s="61" ph="1"/>
    </row>
    <row r="4784" spans="21:21" ht="26.4">
      <c r="U4784" s="61" ph="1"/>
    </row>
    <row r="4785" spans="21:21" ht="26.4">
      <c r="U4785" s="61" ph="1"/>
    </row>
    <row r="4786" spans="21:21" ht="26.4">
      <c r="U4786" s="61" ph="1"/>
    </row>
    <row r="4787" spans="21:21" ht="26.4">
      <c r="U4787" s="61" ph="1"/>
    </row>
    <row r="4788" spans="21:21" ht="26.4">
      <c r="U4788" s="61" ph="1"/>
    </row>
    <row r="4789" spans="21:21" ht="26.4">
      <c r="U4789" s="61" ph="1"/>
    </row>
    <row r="4790" spans="21:21" ht="26.4">
      <c r="U4790" s="61" ph="1"/>
    </row>
    <row r="4791" spans="21:21" ht="26.4">
      <c r="U4791" s="61" ph="1"/>
    </row>
    <row r="4792" spans="21:21" ht="26.4">
      <c r="U4792" s="61" ph="1"/>
    </row>
    <row r="4793" spans="21:21" ht="26.4">
      <c r="U4793" s="61" ph="1"/>
    </row>
    <row r="4794" spans="21:21" ht="26.4">
      <c r="U4794" s="61" ph="1"/>
    </row>
    <row r="4795" spans="21:21" ht="26.4">
      <c r="U4795" s="61" ph="1"/>
    </row>
    <row r="4796" spans="21:21" ht="26.4">
      <c r="U4796" s="61" ph="1"/>
    </row>
    <row r="4797" spans="21:21" ht="26.4">
      <c r="U4797" s="61" ph="1"/>
    </row>
    <row r="4798" spans="21:21" ht="26.4">
      <c r="U4798" s="61" ph="1"/>
    </row>
    <row r="4799" spans="21:21" ht="26.4">
      <c r="U4799" s="61" ph="1"/>
    </row>
    <row r="4800" spans="21:21" ht="26.4">
      <c r="U4800" s="61" ph="1"/>
    </row>
    <row r="4801" spans="21:21" ht="26.4">
      <c r="U4801" s="61" ph="1"/>
    </row>
    <row r="4802" spans="21:21" ht="26.4">
      <c r="U4802" s="61" ph="1"/>
    </row>
    <row r="4803" spans="21:21" ht="26.4">
      <c r="U4803" s="61" ph="1"/>
    </row>
    <row r="4804" spans="21:21" ht="26.4">
      <c r="U4804" s="61" ph="1"/>
    </row>
    <row r="4805" spans="21:21" ht="26.4">
      <c r="U4805" s="61" ph="1"/>
    </row>
    <row r="4806" spans="21:21" ht="26.4">
      <c r="U4806" s="61" ph="1"/>
    </row>
    <row r="4807" spans="21:21" ht="26.4">
      <c r="U4807" s="61" ph="1"/>
    </row>
    <row r="4808" spans="21:21" ht="26.4">
      <c r="U4808" s="61" ph="1"/>
    </row>
    <row r="4809" spans="21:21" ht="26.4">
      <c r="U4809" s="61" ph="1"/>
    </row>
    <row r="4810" spans="21:21" ht="26.4">
      <c r="U4810" s="61" ph="1"/>
    </row>
    <row r="4811" spans="21:21" ht="26.4">
      <c r="U4811" s="61" ph="1"/>
    </row>
    <row r="4812" spans="21:21" ht="26.4">
      <c r="U4812" s="61" ph="1"/>
    </row>
    <row r="4813" spans="21:21" ht="26.4">
      <c r="U4813" s="61" ph="1"/>
    </row>
    <row r="4814" spans="21:21" ht="26.4">
      <c r="U4814" s="61" ph="1"/>
    </row>
    <row r="4815" spans="21:21" ht="26.4">
      <c r="U4815" s="61" ph="1"/>
    </row>
    <row r="4816" spans="21:21" ht="26.4">
      <c r="U4816" s="61" ph="1"/>
    </row>
    <row r="4817" spans="21:21" ht="26.4">
      <c r="U4817" s="61" ph="1"/>
    </row>
    <row r="4818" spans="21:21" ht="26.4">
      <c r="U4818" s="61" ph="1"/>
    </row>
    <row r="4819" spans="21:21" ht="26.4">
      <c r="U4819" s="61" ph="1"/>
    </row>
    <row r="4820" spans="21:21" ht="26.4">
      <c r="U4820" s="61" ph="1"/>
    </row>
    <row r="4821" spans="21:21" ht="26.4">
      <c r="U4821" s="61" ph="1"/>
    </row>
    <row r="4822" spans="21:21" ht="26.4">
      <c r="U4822" s="61" ph="1"/>
    </row>
    <row r="4823" spans="21:21" ht="26.4">
      <c r="U4823" s="61" ph="1"/>
    </row>
    <row r="4824" spans="21:21" ht="26.4">
      <c r="U4824" s="61" ph="1"/>
    </row>
    <row r="4825" spans="21:21" ht="26.4">
      <c r="U4825" s="61" ph="1"/>
    </row>
    <row r="4826" spans="21:21" ht="26.4">
      <c r="U4826" s="61" ph="1"/>
    </row>
    <row r="4827" spans="21:21" ht="26.4">
      <c r="U4827" s="61" ph="1"/>
    </row>
    <row r="4828" spans="21:21" ht="26.4">
      <c r="U4828" s="61" ph="1"/>
    </row>
    <row r="4829" spans="21:21" ht="26.4">
      <c r="U4829" s="61" ph="1"/>
    </row>
    <row r="4830" spans="21:21" ht="26.4">
      <c r="U4830" s="61" ph="1"/>
    </row>
    <row r="4831" spans="21:21" ht="26.4">
      <c r="U4831" s="61" ph="1"/>
    </row>
    <row r="4832" spans="21:21" ht="26.4">
      <c r="U4832" s="61" ph="1"/>
    </row>
    <row r="4833" spans="21:21" ht="26.4">
      <c r="U4833" s="61" ph="1"/>
    </row>
    <row r="4834" spans="21:21" ht="26.4">
      <c r="U4834" s="61" ph="1"/>
    </row>
    <row r="4835" spans="21:21" ht="26.4">
      <c r="U4835" s="61" ph="1"/>
    </row>
    <row r="4836" spans="21:21" ht="26.4">
      <c r="U4836" s="61" ph="1"/>
    </row>
    <row r="4837" spans="21:21" ht="26.4">
      <c r="U4837" s="61" ph="1"/>
    </row>
    <row r="4838" spans="21:21" ht="26.4">
      <c r="U4838" s="61" ph="1"/>
    </row>
    <row r="4839" spans="21:21" ht="26.4">
      <c r="U4839" s="61" ph="1"/>
    </row>
    <row r="4840" spans="21:21" ht="26.4">
      <c r="U4840" s="61" ph="1"/>
    </row>
    <row r="4841" spans="21:21" ht="26.4">
      <c r="U4841" s="61" ph="1"/>
    </row>
    <row r="4842" spans="21:21" ht="26.4">
      <c r="U4842" s="61" ph="1"/>
    </row>
    <row r="4843" spans="21:21" ht="26.4">
      <c r="U4843" s="61" ph="1"/>
    </row>
    <row r="4844" spans="21:21" ht="26.4">
      <c r="U4844" s="61" ph="1"/>
    </row>
    <row r="4845" spans="21:21" ht="26.4">
      <c r="U4845" s="61" ph="1"/>
    </row>
    <row r="4846" spans="21:21" ht="26.4">
      <c r="U4846" s="61" ph="1"/>
    </row>
    <row r="4847" spans="21:21" ht="26.4">
      <c r="U4847" s="61" ph="1"/>
    </row>
    <row r="4848" spans="21:21" ht="26.4">
      <c r="U4848" s="61" ph="1"/>
    </row>
    <row r="4849" spans="21:21" ht="26.4">
      <c r="U4849" s="61" ph="1"/>
    </row>
    <row r="4850" spans="21:21" ht="26.4">
      <c r="U4850" s="61" ph="1"/>
    </row>
    <row r="4851" spans="21:21" ht="26.4">
      <c r="U4851" s="61" ph="1"/>
    </row>
    <row r="4852" spans="21:21" ht="26.4">
      <c r="U4852" s="61" ph="1"/>
    </row>
    <row r="4853" spans="21:21" ht="26.4">
      <c r="U4853" s="61" ph="1"/>
    </row>
    <row r="4854" spans="21:21" ht="26.4">
      <c r="U4854" s="61" ph="1"/>
    </row>
    <row r="4855" spans="21:21" ht="26.4">
      <c r="U4855" s="61" ph="1"/>
    </row>
    <row r="4856" spans="21:21" ht="26.4">
      <c r="U4856" s="61" ph="1"/>
    </row>
    <row r="4857" spans="21:21" ht="26.4">
      <c r="U4857" s="61" ph="1"/>
    </row>
    <row r="4858" spans="21:21" ht="26.4">
      <c r="U4858" s="61" ph="1"/>
    </row>
    <row r="4859" spans="21:21" ht="26.4">
      <c r="U4859" s="61" ph="1"/>
    </row>
    <row r="4860" spans="21:21" ht="26.4">
      <c r="U4860" s="61" ph="1"/>
    </row>
    <row r="4861" spans="21:21" ht="26.4">
      <c r="U4861" s="61" ph="1"/>
    </row>
    <row r="4862" spans="21:21" ht="26.4">
      <c r="U4862" s="61" ph="1"/>
    </row>
    <row r="4863" spans="21:21" ht="26.4">
      <c r="U4863" s="61" ph="1"/>
    </row>
    <row r="4864" spans="21:21" ht="26.4">
      <c r="U4864" s="61" ph="1"/>
    </row>
    <row r="4865" spans="21:21" ht="26.4">
      <c r="U4865" s="61" ph="1"/>
    </row>
    <row r="4866" spans="21:21" ht="26.4">
      <c r="U4866" s="61" ph="1"/>
    </row>
    <row r="4867" spans="21:21" ht="26.4">
      <c r="U4867" s="61" ph="1"/>
    </row>
    <row r="4868" spans="21:21" ht="26.4">
      <c r="U4868" s="61" ph="1"/>
    </row>
    <row r="4869" spans="21:21" ht="26.4">
      <c r="U4869" s="61" ph="1"/>
    </row>
    <row r="4870" spans="21:21" ht="26.4">
      <c r="U4870" s="61" ph="1"/>
    </row>
    <row r="4871" spans="21:21" ht="26.4">
      <c r="U4871" s="61" ph="1"/>
    </row>
    <row r="4872" spans="21:21" ht="26.4">
      <c r="U4872" s="61" ph="1"/>
    </row>
    <row r="4873" spans="21:21" ht="26.4">
      <c r="U4873" s="61" ph="1"/>
    </row>
    <row r="4874" spans="21:21" ht="26.4">
      <c r="U4874" s="61" ph="1"/>
    </row>
    <row r="4875" spans="21:21" ht="26.4">
      <c r="U4875" s="61" ph="1"/>
    </row>
    <row r="4876" spans="21:21" ht="26.4">
      <c r="U4876" s="61" ph="1"/>
    </row>
    <row r="4877" spans="21:21" ht="26.4">
      <c r="U4877" s="61" ph="1"/>
    </row>
    <row r="4878" spans="21:21" ht="26.4">
      <c r="U4878" s="61" ph="1"/>
    </row>
    <row r="4879" spans="21:21" ht="26.4">
      <c r="U4879" s="61" ph="1"/>
    </row>
    <row r="4880" spans="21:21" ht="26.4">
      <c r="U4880" s="61" ph="1"/>
    </row>
    <row r="4881" spans="21:21" ht="26.4">
      <c r="U4881" s="61" ph="1"/>
    </row>
    <row r="4882" spans="21:21" ht="26.4">
      <c r="U4882" s="61" ph="1"/>
    </row>
    <row r="4883" spans="21:21" ht="26.4">
      <c r="U4883" s="61" ph="1"/>
    </row>
    <row r="4884" spans="21:21" ht="26.4">
      <c r="U4884" s="61" ph="1"/>
    </row>
    <row r="4885" spans="21:21" ht="26.4">
      <c r="U4885" s="61" ph="1"/>
    </row>
    <row r="4886" spans="21:21" ht="26.4">
      <c r="U4886" s="61" ph="1"/>
    </row>
    <row r="4887" spans="21:21" ht="26.4">
      <c r="U4887" s="61" ph="1"/>
    </row>
    <row r="4888" spans="21:21" ht="26.4">
      <c r="U4888" s="61" ph="1"/>
    </row>
    <row r="4889" spans="21:21" ht="26.4">
      <c r="U4889" s="61" ph="1"/>
    </row>
    <row r="4890" spans="21:21" ht="26.4">
      <c r="U4890" s="61" ph="1"/>
    </row>
    <row r="4891" spans="21:21" ht="26.4">
      <c r="U4891" s="61" ph="1"/>
    </row>
    <row r="4892" spans="21:21" ht="26.4">
      <c r="U4892" s="61" ph="1"/>
    </row>
    <row r="4893" spans="21:21" ht="26.4">
      <c r="U4893" s="61" ph="1"/>
    </row>
    <row r="4894" spans="21:21" ht="26.4">
      <c r="U4894" s="61" ph="1"/>
    </row>
    <row r="4895" spans="21:21" ht="26.4">
      <c r="U4895" s="61" ph="1"/>
    </row>
    <row r="4896" spans="21:21" ht="26.4">
      <c r="U4896" s="61" ph="1"/>
    </row>
    <row r="4897" spans="21:21" ht="26.4">
      <c r="U4897" s="61" ph="1"/>
    </row>
    <row r="4898" spans="21:21" ht="26.4">
      <c r="U4898" s="61" ph="1"/>
    </row>
    <row r="4899" spans="21:21" ht="26.4">
      <c r="U4899" s="61" ph="1"/>
    </row>
    <row r="4900" spans="21:21" ht="26.4">
      <c r="U4900" s="61" ph="1"/>
    </row>
    <row r="4901" spans="21:21" ht="26.4">
      <c r="U4901" s="61" ph="1"/>
    </row>
    <row r="4902" spans="21:21" ht="26.4">
      <c r="U4902" s="61" ph="1"/>
    </row>
    <row r="4903" spans="21:21" ht="26.4">
      <c r="U4903" s="61" ph="1"/>
    </row>
    <row r="4904" spans="21:21" ht="26.4">
      <c r="U4904" s="61" ph="1"/>
    </row>
    <row r="4905" spans="21:21" ht="26.4">
      <c r="U4905" s="61" ph="1"/>
    </row>
    <row r="4906" spans="21:21" ht="26.4">
      <c r="U4906" s="61" ph="1"/>
    </row>
    <row r="4907" spans="21:21" ht="26.4">
      <c r="U4907" s="61" ph="1"/>
    </row>
    <row r="4908" spans="21:21" ht="26.4">
      <c r="U4908" s="61" ph="1"/>
    </row>
    <row r="4909" spans="21:21" ht="26.4">
      <c r="U4909" s="61" ph="1"/>
    </row>
    <row r="4910" spans="21:21" ht="26.4">
      <c r="U4910" s="61" ph="1"/>
    </row>
    <row r="4911" spans="21:21" ht="26.4">
      <c r="U4911" s="61" ph="1"/>
    </row>
    <row r="4912" spans="21:21" ht="26.4">
      <c r="U4912" s="61" ph="1"/>
    </row>
    <row r="4913" spans="21:21" ht="26.4">
      <c r="U4913" s="61" ph="1"/>
    </row>
    <row r="4914" spans="21:21" ht="26.4">
      <c r="U4914" s="61" ph="1"/>
    </row>
    <row r="4915" spans="21:21" ht="26.4">
      <c r="U4915" s="61" ph="1"/>
    </row>
    <row r="4916" spans="21:21" ht="26.4">
      <c r="U4916" s="61" ph="1"/>
    </row>
    <row r="4917" spans="21:21" ht="26.4">
      <c r="U4917" s="61" ph="1"/>
    </row>
    <row r="4918" spans="21:21" ht="26.4">
      <c r="U4918" s="61" ph="1"/>
    </row>
    <row r="4919" spans="21:21" ht="26.4">
      <c r="U4919" s="61" ph="1"/>
    </row>
    <row r="4920" spans="21:21" ht="26.4">
      <c r="U4920" s="61" ph="1"/>
    </row>
    <row r="4921" spans="21:21" ht="26.4">
      <c r="U4921" s="61" ph="1"/>
    </row>
    <row r="4922" spans="21:21" ht="26.4">
      <c r="U4922" s="61" ph="1"/>
    </row>
    <row r="4923" spans="21:21" ht="26.4">
      <c r="U4923" s="61" ph="1"/>
    </row>
    <row r="4924" spans="21:21" ht="26.4">
      <c r="U4924" s="61" ph="1"/>
    </row>
    <row r="4925" spans="21:21" ht="26.4">
      <c r="U4925" s="61" ph="1"/>
    </row>
    <row r="4926" spans="21:21" ht="26.4">
      <c r="U4926" s="61" ph="1"/>
    </row>
    <row r="4927" spans="21:21" ht="26.4">
      <c r="U4927" s="61" ph="1"/>
    </row>
    <row r="4928" spans="21:21" ht="26.4">
      <c r="U4928" s="61" ph="1"/>
    </row>
    <row r="4929" spans="21:21" ht="26.4">
      <c r="U4929" s="61" ph="1"/>
    </row>
    <row r="4930" spans="21:21" ht="26.4">
      <c r="U4930" s="61" ph="1"/>
    </row>
    <row r="4931" spans="21:21" ht="26.4">
      <c r="U4931" s="61" ph="1"/>
    </row>
    <row r="4932" spans="21:21" ht="26.4">
      <c r="U4932" s="61" ph="1"/>
    </row>
    <row r="4933" spans="21:21" ht="26.4">
      <c r="U4933" s="61" ph="1"/>
    </row>
    <row r="4934" spans="21:21" ht="26.4">
      <c r="U4934" s="61" ph="1"/>
    </row>
    <row r="4935" spans="21:21" ht="26.4">
      <c r="U4935" s="61" ph="1"/>
    </row>
    <row r="4936" spans="21:21" ht="26.4">
      <c r="U4936" s="61" ph="1"/>
    </row>
    <row r="4937" spans="21:21" ht="26.4">
      <c r="U4937" s="61" ph="1"/>
    </row>
    <row r="4938" spans="21:21" ht="26.4">
      <c r="U4938" s="61" ph="1"/>
    </row>
    <row r="4939" spans="21:21" ht="26.4">
      <c r="U4939" s="61" ph="1"/>
    </row>
    <row r="4940" spans="21:21" ht="26.4">
      <c r="U4940" s="61" ph="1"/>
    </row>
    <row r="4941" spans="21:21" ht="26.4">
      <c r="U4941" s="61" ph="1"/>
    </row>
    <row r="4942" spans="21:21" ht="26.4">
      <c r="U4942" s="61" ph="1"/>
    </row>
    <row r="4943" spans="21:21" ht="26.4">
      <c r="U4943" s="61" ph="1"/>
    </row>
    <row r="4944" spans="21:21" ht="26.4">
      <c r="U4944" s="61" ph="1"/>
    </row>
    <row r="4945" spans="21:21" ht="26.4">
      <c r="U4945" s="61" ph="1"/>
    </row>
    <row r="4946" spans="21:21" ht="26.4">
      <c r="U4946" s="61" ph="1"/>
    </row>
    <row r="4947" spans="21:21" ht="26.4">
      <c r="U4947" s="61" ph="1"/>
    </row>
    <row r="4948" spans="21:21" ht="26.4">
      <c r="U4948" s="61" ph="1"/>
    </row>
    <row r="4949" spans="21:21" ht="26.4">
      <c r="U4949" s="61" ph="1"/>
    </row>
    <row r="4950" spans="21:21" ht="26.4">
      <c r="U4950" s="61" ph="1"/>
    </row>
    <row r="4951" spans="21:21" ht="26.4">
      <c r="U4951" s="61" ph="1"/>
    </row>
    <row r="4952" spans="21:21" ht="26.4">
      <c r="U4952" s="61" ph="1"/>
    </row>
    <row r="4953" spans="21:21" ht="26.4">
      <c r="U4953" s="61" ph="1"/>
    </row>
    <row r="4954" spans="21:21" ht="26.4">
      <c r="U4954" s="61" ph="1"/>
    </row>
    <row r="4955" spans="21:21" ht="26.4">
      <c r="U4955" s="61" ph="1"/>
    </row>
    <row r="4956" spans="21:21" ht="26.4">
      <c r="U4956" s="61" ph="1"/>
    </row>
    <row r="4957" spans="21:21" ht="26.4">
      <c r="U4957" s="61" ph="1"/>
    </row>
    <row r="4958" spans="21:21" ht="26.4">
      <c r="U4958" s="61" ph="1"/>
    </row>
    <row r="4959" spans="21:21" ht="26.4">
      <c r="U4959" s="61" ph="1"/>
    </row>
    <row r="4960" spans="21:21" ht="26.4">
      <c r="U4960" s="61" ph="1"/>
    </row>
    <row r="4961" spans="21:21" ht="26.4">
      <c r="U4961" s="61" ph="1"/>
    </row>
    <row r="4962" spans="21:21" ht="26.4">
      <c r="U4962" s="61" ph="1"/>
    </row>
    <row r="4963" spans="21:21" ht="26.4">
      <c r="U4963" s="61" ph="1"/>
    </row>
    <row r="4964" spans="21:21" ht="26.4">
      <c r="U4964" s="61" ph="1"/>
    </row>
    <row r="4965" spans="21:21" ht="26.4">
      <c r="U4965" s="61" ph="1"/>
    </row>
    <row r="4966" spans="21:21" ht="26.4">
      <c r="U4966" s="61" ph="1"/>
    </row>
    <row r="4967" spans="21:21" ht="26.4">
      <c r="U4967" s="61" ph="1"/>
    </row>
    <row r="4968" spans="21:21" ht="26.4">
      <c r="U4968" s="61" ph="1"/>
    </row>
    <row r="4969" spans="21:21" ht="26.4">
      <c r="U4969" s="61" ph="1"/>
    </row>
    <row r="4970" spans="21:21" ht="26.4">
      <c r="U4970" s="61" ph="1"/>
    </row>
    <row r="4971" spans="21:21" ht="26.4">
      <c r="U4971" s="61" ph="1"/>
    </row>
    <row r="4972" spans="21:21" ht="26.4">
      <c r="U4972" s="61" ph="1"/>
    </row>
    <row r="4973" spans="21:21" ht="26.4">
      <c r="U4973" s="61" ph="1"/>
    </row>
    <row r="4974" spans="21:21" ht="26.4">
      <c r="U4974" s="61" ph="1"/>
    </row>
    <row r="4975" spans="21:21" ht="26.4">
      <c r="U4975" s="61" ph="1"/>
    </row>
    <row r="4976" spans="21:21" ht="26.4">
      <c r="U4976" s="61" ph="1"/>
    </row>
    <row r="4977" spans="21:21" ht="26.4">
      <c r="U4977" s="61" ph="1"/>
    </row>
    <row r="4978" spans="21:21" ht="26.4">
      <c r="U4978" s="61" ph="1"/>
    </row>
    <row r="4979" spans="21:21" ht="26.4">
      <c r="U4979" s="61" ph="1"/>
    </row>
    <row r="4980" spans="21:21" ht="26.4">
      <c r="U4980" s="61" ph="1"/>
    </row>
    <row r="4981" spans="21:21" ht="26.4">
      <c r="U4981" s="61" ph="1"/>
    </row>
    <row r="4982" spans="21:21" ht="26.4">
      <c r="U4982" s="61" ph="1"/>
    </row>
    <row r="4983" spans="21:21" ht="26.4">
      <c r="U4983" s="61" ph="1"/>
    </row>
    <row r="4984" spans="21:21" ht="26.4">
      <c r="U4984" s="61" ph="1"/>
    </row>
    <row r="4985" spans="21:21" ht="26.4">
      <c r="U4985" s="61" ph="1"/>
    </row>
    <row r="4986" spans="21:21" ht="26.4">
      <c r="U4986" s="61" ph="1"/>
    </row>
    <row r="4987" spans="21:21" ht="26.4">
      <c r="U4987" s="61" ph="1"/>
    </row>
    <row r="4988" spans="21:21" ht="26.4">
      <c r="U4988" s="61" ph="1"/>
    </row>
    <row r="4989" spans="21:21" ht="26.4">
      <c r="U4989" s="61" ph="1"/>
    </row>
    <row r="4990" spans="21:21" ht="26.4">
      <c r="U4990" s="61" ph="1"/>
    </row>
    <row r="4991" spans="21:21" ht="26.4">
      <c r="U4991" s="61" ph="1"/>
    </row>
    <row r="4992" spans="21:21" ht="26.4">
      <c r="U4992" s="61" ph="1"/>
    </row>
    <row r="4993" spans="21:21" ht="26.4">
      <c r="U4993" s="61" ph="1"/>
    </row>
    <row r="4994" spans="21:21" ht="26.4">
      <c r="U4994" s="61" ph="1"/>
    </row>
    <row r="4995" spans="21:21" ht="26.4">
      <c r="U4995" s="61" ph="1"/>
    </row>
    <row r="4996" spans="21:21" ht="26.4">
      <c r="U4996" s="61" ph="1"/>
    </row>
    <row r="4997" spans="21:21" ht="26.4">
      <c r="U4997" s="61" ph="1"/>
    </row>
    <row r="4998" spans="21:21" ht="26.4">
      <c r="U4998" s="61" ph="1"/>
    </row>
    <row r="4999" spans="21:21" ht="26.4">
      <c r="U4999" s="61" ph="1"/>
    </row>
    <row r="5000" spans="21:21" ht="26.4">
      <c r="U5000" s="61" ph="1"/>
    </row>
    <row r="5001" spans="21:21" ht="26.4">
      <c r="U5001" s="61" ph="1"/>
    </row>
    <row r="5002" spans="21:21" ht="26.4">
      <c r="U5002" s="61" ph="1"/>
    </row>
    <row r="5003" spans="21:21" ht="26.4">
      <c r="U5003" s="61" ph="1"/>
    </row>
    <row r="5004" spans="21:21" ht="26.4">
      <c r="U5004" s="61" ph="1"/>
    </row>
    <row r="5005" spans="21:21" ht="26.4">
      <c r="U5005" s="61" ph="1"/>
    </row>
    <row r="5006" spans="21:21" ht="26.4">
      <c r="U5006" s="61" ph="1"/>
    </row>
    <row r="5007" spans="21:21" ht="26.4">
      <c r="U5007" s="61" ph="1"/>
    </row>
    <row r="5008" spans="21:21" ht="26.4">
      <c r="U5008" s="61" ph="1"/>
    </row>
    <row r="5009" spans="21:21" ht="26.4">
      <c r="U5009" s="61" ph="1"/>
    </row>
    <row r="5010" spans="21:21" ht="26.4">
      <c r="U5010" s="61" ph="1"/>
    </row>
    <row r="5011" spans="21:21" ht="26.4">
      <c r="U5011" s="61" ph="1"/>
    </row>
    <row r="5012" spans="21:21" ht="26.4">
      <c r="U5012" s="61" ph="1"/>
    </row>
    <row r="5013" spans="21:21" ht="26.4">
      <c r="U5013" s="61" ph="1"/>
    </row>
    <row r="5014" spans="21:21" ht="26.4">
      <c r="U5014" s="61" ph="1"/>
    </row>
    <row r="5015" spans="21:21" ht="26.4">
      <c r="U5015" s="61" ph="1"/>
    </row>
    <row r="5016" spans="21:21" ht="26.4">
      <c r="U5016" s="61" ph="1"/>
    </row>
    <row r="5017" spans="21:21" ht="26.4">
      <c r="U5017" s="61" ph="1"/>
    </row>
    <row r="5018" spans="21:21" ht="26.4">
      <c r="U5018" s="61" ph="1"/>
    </row>
    <row r="5019" spans="21:21" ht="26.4">
      <c r="U5019" s="61" ph="1"/>
    </row>
    <row r="5020" spans="21:21" ht="26.4">
      <c r="U5020" s="61" ph="1"/>
    </row>
    <row r="5021" spans="21:21" ht="26.4">
      <c r="U5021" s="61" ph="1"/>
    </row>
    <row r="5022" spans="21:21" ht="26.4">
      <c r="U5022" s="61" ph="1"/>
    </row>
    <row r="5023" spans="21:21" ht="26.4">
      <c r="U5023" s="61" ph="1"/>
    </row>
    <row r="5024" spans="21:21" ht="26.4">
      <c r="U5024" s="61" ph="1"/>
    </row>
    <row r="5025" spans="21:21" ht="26.4">
      <c r="U5025" s="61" ph="1"/>
    </row>
    <row r="5026" spans="21:21" ht="26.4">
      <c r="U5026" s="61" ph="1"/>
    </row>
    <row r="5027" spans="21:21" ht="26.4">
      <c r="U5027" s="61" ph="1"/>
    </row>
    <row r="5028" spans="21:21" ht="26.4">
      <c r="U5028" s="61" ph="1"/>
    </row>
    <row r="5029" spans="21:21" ht="26.4">
      <c r="U5029" s="61" ph="1"/>
    </row>
    <row r="5030" spans="21:21" ht="26.4">
      <c r="U5030" s="61" ph="1"/>
    </row>
    <row r="5031" spans="21:21" ht="26.4">
      <c r="U5031" s="61" ph="1"/>
    </row>
    <row r="5032" spans="21:21" ht="26.4">
      <c r="U5032" s="61" ph="1"/>
    </row>
    <row r="5033" spans="21:21" ht="26.4">
      <c r="U5033" s="61" ph="1"/>
    </row>
    <row r="5034" spans="21:21" ht="26.4">
      <c r="U5034" s="61" ph="1"/>
    </row>
    <row r="5035" spans="21:21" ht="26.4">
      <c r="U5035" s="61" ph="1"/>
    </row>
    <row r="5036" spans="21:21" ht="26.4">
      <c r="U5036" s="61" ph="1"/>
    </row>
    <row r="5037" spans="21:21" ht="26.4">
      <c r="U5037" s="61" ph="1"/>
    </row>
    <row r="5038" spans="21:21" ht="26.4">
      <c r="U5038" s="61" ph="1"/>
    </row>
    <row r="5039" spans="21:21" ht="26.4">
      <c r="U5039" s="61" ph="1"/>
    </row>
    <row r="5040" spans="21:21" ht="26.4">
      <c r="U5040" s="61" ph="1"/>
    </row>
    <row r="5041" spans="21:21" ht="26.4">
      <c r="U5041" s="61" ph="1"/>
    </row>
    <row r="5042" spans="21:21" ht="26.4">
      <c r="U5042" s="61" ph="1"/>
    </row>
    <row r="5043" spans="21:21" ht="26.4">
      <c r="U5043" s="61" ph="1"/>
    </row>
    <row r="5044" spans="21:21" ht="26.4">
      <c r="U5044" s="61" ph="1"/>
    </row>
    <row r="5045" spans="21:21" ht="26.4">
      <c r="U5045" s="61" ph="1"/>
    </row>
    <row r="5046" spans="21:21" ht="26.4">
      <c r="U5046" s="61" ph="1"/>
    </row>
    <row r="5047" spans="21:21" ht="26.4">
      <c r="U5047" s="61" ph="1"/>
    </row>
    <row r="5048" spans="21:21" ht="26.4">
      <c r="U5048" s="61" ph="1"/>
    </row>
    <row r="5049" spans="21:21" ht="26.4">
      <c r="U5049" s="61" ph="1"/>
    </row>
    <row r="5050" spans="21:21" ht="26.4">
      <c r="U5050" s="61" ph="1"/>
    </row>
    <row r="5051" spans="21:21" ht="26.4">
      <c r="U5051" s="61" ph="1"/>
    </row>
    <row r="5052" spans="21:21" ht="26.4">
      <c r="U5052" s="61" ph="1"/>
    </row>
    <row r="5053" spans="21:21" ht="26.4">
      <c r="U5053" s="61" ph="1"/>
    </row>
    <row r="5054" spans="21:21" ht="26.4">
      <c r="U5054" s="61" ph="1"/>
    </row>
    <row r="5055" spans="21:21" ht="26.4">
      <c r="U5055" s="61" ph="1"/>
    </row>
    <row r="5056" spans="21:21" ht="26.4">
      <c r="U5056" s="61" ph="1"/>
    </row>
    <row r="5057" spans="21:21" ht="26.4">
      <c r="U5057" s="61" ph="1"/>
    </row>
    <row r="5058" spans="21:21" ht="26.4">
      <c r="U5058" s="61" ph="1"/>
    </row>
    <row r="5059" spans="21:21" ht="26.4">
      <c r="U5059" s="61" ph="1"/>
    </row>
    <row r="5060" spans="21:21" ht="26.4">
      <c r="U5060" s="61" ph="1"/>
    </row>
    <row r="5061" spans="21:21" ht="26.4">
      <c r="U5061" s="61" ph="1"/>
    </row>
    <row r="5062" spans="21:21" ht="26.4">
      <c r="U5062" s="61" ph="1"/>
    </row>
    <row r="5063" spans="21:21" ht="26.4">
      <c r="U5063" s="61" ph="1"/>
    </row>
    <row r="5064" spans="21:21" ht="26.4">
      <c r="U5064" s="61" ph="1"/>
    </row>
    <row r="5065" spans="21:21" ht="26.4">
      <c r="U5065" s="61" ph="1"/>
    </row>
    <row r="5066" spans="21:21" ht="26.4">
      <c r="U5066" s="61" ph="1"/>
    </row>
    <row r="5067" spans="21:21" ht="26.4">
      <c r="U5067" s="61" ph="1"/>
    </row>
    <row r="5068" spans="21:21" ht="26.4">
      <c r="U5068" s="61" ph="1"/>
    </row>
    <row r="5069" spans="21:21" ht="26.4">
      <c r="U5069" s="61" ph="1"/>
    </row>
    <row r="5070" spans="21:21" ht="26.4">
      <c r="U5070" s="61" ph="1"/>
    </row>
    <row r="5071" spans="21:21" ht="26.4">
      <c r="U5071" s="61" ph="1"/>
    </row>
    <row r="5072" spans="21:21" ht="26.4">
      <c r="U5072" s="61" ph="1"/>
    </row>
    <row r="5073" spans="21:21" ht="26.4">
      <c r="U5073" s="61" ph="1"/>
    </row>
    <row r="5074" spans="21:21" ht="26.4">
      <c r="U5074" s="61" ph="1"/>
    </row>
    <row r="5075" spans="21:21" ht="26.4">
      <c r="U5075" s="61" ph="1"/>
    </row>
    <row r="5076" spans="21:21" ht="26.4">
      <c r="U5076" s="61" ph="1"/>
    </row>
    <row r="5077" spans="21:21" ht="26.4">
      <c r="U5077" s="61" ph="1"/>
    </row>
    <row r="5078" spans="21:21" ht="26.4">
      <c r="U5078" s="61" ph="1"/>
    </row>
    <row r="5079" spans="21:21" ht="26.4">
      <c r="U5079" s="61" ph="1"/>
    </row>
    <row r="5080" spans="21:21" ht="26.4">
      <c r="U5080" s="61" ph="1"/>
    </row>
    <row r="5081" spans="21:21" ht="26.4">
      <c r="U5081" s="61" ph="1"/>
    </row>
    <row r="5082" spans="21:21" ht="26.4">
      <c r="U5082" s="61" ph="1"/>
    </row>
    <row r="5083" spans="21:21" ht="26.4">
      <c r="U5083" s="61" ph="1"/>
    </row>
    <row r="5084" spans="21:21" ht="26.4">
      <c r="U5084" s="61" ph="1"/>
    </row>
    <row r="5085" spans="21:21" ht="26.4">
      <c r="U5085" s="61" ph="1"/>
    </row>
    <row r="5086" spans="21:21" ht="26.4">
      <c r="U5086" s="61" ph="1"/>
    </row>
    <row r="5087" spans="21:21" ht="26.4">
      <c r="U5087" s="61" ph="1"/>
    </row>
    <row r="5088" spans="21:21" ht="26.4">
      <c r="U5088" s="61" ph="1"/>
    </row>
    <row r="5089" spans="21:21" ht="26.4">
      <c r="U5089" s="61" ph="1"/>
    </row>
    <row r="5090" spans="21:21" ht="26.4">
      <c r="U5090" s="61" ph="1"/>
    </row>
    <row r="5091" spans="21:21" ht="26.4">
      <c r="U5091" s="61" ph="1"/>
    </row>
    <row r="5092" spans="21:21" ht="26.4">
      <c r="U5092" s="61" ph="1"/>
    </row>
    <row r="5093" spans="21:21" ht="26.4">
      <c r="U5093" s="61" ph="1"/>
    </row>
    <row r="5094" spans="21:21" ht="26.4">
      <c r="U5094" s="61" ph="1"/>
    </row>
    <row r="5095" spans="21:21" ht="26.4">
      <c r="U5095" s="61" ph="1"/>
    </row>
    <row r="5096" spans="21:21" ht="26.4">
      <c r="U5096" s="61" ph="1"/>
    </row>
    <row r="5097" spans="21:21" ht="26.4">
      <c r="U5097" s="61" ph="1"/>
    </row>
    <row r="5098" spans="21:21" ht="26.4">
      <c r="U5098" s="61" ph="1"/>
    </row>
    <row r="5099" spans="21:21" ht="26.4">
      <c r="U5099" s="61" ph="1"/>
    </row>
    <row r="5100" spans="21:21" ht="26.4">
      <c r="U5100" s="61" ph="1"/>
    </row>
    <row r="5101" spans="21:21" ht="26.4">
      <c r="U5101" s="61" ph="1"/>
    </row>
    <row r="5102" spans="21:21" ht="26.4">
      <c r="U5102" s="61" ph="1"/>
    </row>
    <row r="5103" spans="21:21" ht="26.4">
      <c r="U5103" s="61" ph="1"/>
    </row>
    <row r="5104" spans="21:21" ht="26.4">
      <c r="U5104" s="61" ph="1"/>
    </row>
    <row r="5105" spans="21:21" ht="26.4">
      <c r="U5105" s="61" ph="1"/>
    </row>
    <row r="5106" spans="21:21" ht="26.4">
      <c r="U5106" s="61" ph="1"/>
    </row>
    <row r="5107" spans="21:21" ht="26.4">
      <c r="U5107" s="61" ph="1"/>
    </row>
    <row r="5108" spans="21:21" ht="26.4">
      <c r="U5108" s="61" ph="1"/>
    </row>
    <row r="5109" spans="21:21" ht="26.4">
      <c r="U5109" s="61" ph="1"/>
    </row>
    <row r="5110" spans="21:21" ht="26.4">
      <c r="U5110" s="61" ph="1"/>
    </row>
    <row r="5111" spans="21:21" ht="26.4">
      <c r="U5111" s="61" ph="1"/>
    </row>
    <row r="5112" spans="21:21" ht="26.4">
      <c r="U5112" s="61" ph="1"/>
    </row>
    <row r="5113" spans="21:21" ht="26.4">
      <c r="U5113" s="61" ph="1"/>
    </row>
    <row r="5114" spans="21:21" ht="26.4">
      <c r="U5114" s="61" ph="1"/>
    </row>
    <row r="5115" spans="21:21" ht="26.4">
      <c r="U5115" s="61" ph="1"/>
    </row>
    <row r="5116" spans="21:21" ht="26.4">
      <c r="U5116" s="61" ph="1"/>
    </row>
    <row r="5117" spans="21:21" ht="26.4">
      <c r="U5117" s="61" ph="1"/>
    </row>
    <row r="5118" spans="21:21" ht="26.4">
      <c r="U5118" s="61" ph="1"/>
    </row>
    <row r="5119" spans="21:21" ht="26.4">
      <c r="U5119" s="61" ph="1"/>
    </row>
    <row r="5120" spans="21:21" ht="26.4">
      <c r="U5120" s="61" ph="1"/>
    </row>
    <row r="5121" spans="21:21" ht="26.4">
      <c r="U5121" s="61" ph="1"/>
    </row>
    <row r="5122" spans="21:21" ht="26.4">
      <c r="U5122" s="61" ph="1"/>
    </row>
    <row r="5123" spans="21:21" ht="26.4">
      <c r="U5123" s="61" ph="1"/>
    </row>
    <row r="5124" spans="21:21" ht="26.4">
      <c r="U5124" s="61" ph="1"/>
    </row>
    <row r="5125" spans="21:21" ht="26.4">
      <c r="U5125" s="61" ph="1"/>
    </row>
    <row r="5126" spans="21:21" ht="26.4">
      <c r="U5126" s="61" ph="1"/>
    </row>
    <row r="5127" spans="21:21" ht="26.4">
      <c r="U5127" s="61" ph="1"/>
    </row>
    <row r="5128" spans="21:21" ht="26.4">
      <c r="U5128" s="61" ph="1"/>
    </row>
    <row r="5129" spans="21:21" ht="26.4">
      <c r="U5129" s="61" ph="1"/>
    </row>
    <row r="5130" spans="21:21" ht="26.4">
      <c r="U5130" s="61" ph="1"/>
    </row>
    <row r="5131" spans="21:21" ht="26.4">
      <c r="U5131" s="61" ph="1"/>
    </row>
    <row r="5132" spans="21:21" ht="26.4">
      <c r="U5132" s="61" ph="1"/>
    </row>
    <row r="5133" spans="21:21" ht="26.4">
      <c r="U5133" s="61" ph="1"/>
    </row>
    <row r="5134" spans="21:21" ht="26.4">
      <c r="U5134" s="61" ph="1"/>
    </row>
    <row r="5135" spans="21:21" ht="26.4">
      <c r="U5135" s="61" ph="1"/>
    </row>
    <row r="5136" spans="21:21" ht="26.4">
      <c r="U5136" s="61" ph="1"/>
    </row>
    <row r="5137" spans="21:21" ht="26.4">
      <c r="U5137" s="61" ph="1"/>
    </row>
    <row r="5138" spans="21:21" ht="26.4">
      <c r="U5138" s="61" ph="1"/>
    </row>
    <row r="5139" spans="21:21" ht="26.4">
      <c r="U5139" s="61" ph="1"/>
    </row>
    <row r="5140" spans="21:21" ht="26.4">
      <c r="U5140" s="61" ph="1"/>
    </row>
    <row r="5141" spans="21:21" ht="26.4">
      <c r="U5141" s="61" ph="1"/>
    </row>
    <row r="5142" spans="21:21" ht="26.4">
      <c r="U5142" s="61" ph="1"/>
    </row>
    <row r="5143" spans="21:21" ht="26.4">
      <c r="U5143" s="61" ph="1"/>
    </row>
    <row r="5144" spans="21:21" ht="26.4">
      <c r="U5144" s="61" ph="1"/>
    </row>
    <row r="5145" spans="21:21" ht="26.4">
      <c r="U5145" s="61" ph="1"/>
    </row>
    <row r="5146" spans="21:21" ht="26.4">
      <c r="U5146" s="61" ph="1"/>
    </row>
    <row r="5147" spans="21:21" ht="26.4">
      <c r="U5147" s="61" ph="1"/>
    </row>
    <row r="5148" spans="21:21" ht="26.4">
      <c r="U5148" s="61" ph="1"/>
    </row>
    <row r="5149" spans="21:21" ht="26.4">
      <c r="U5149" s="61" ph="1"/>
    </row>
    <row r="5150" spans="21:21" ht="26.4">
      <c r="U5150" s="61" ph="1"/>
    </row>
    <row r="5151" spans="21:21" ht="26.4">
      <c r="U5151" s="61" ph="1"/>
    </row>
    <row r="5152" spans="21:21" ht="26.4">
      <c r="U5152" s="61" ph="1"/>
    </row>
    <row r="5153" spans="21:21" ht="26.4">
      <c r="U5153" s="61" ph="1"/>
    </row>
    <row r="5154" spans="21:21" ht="26.4">
      <c r="U5154" s="61" ph="1"/>
    </row>
    <row r="5155" spans="21:21" ht="26.4">
      <c r="U5155" s="61" ph="1"/>
    </row>
    <row r="5156" spans="21:21" ht="26.4">
      <c r="U5156" s="61" ph="1"/>
    </row>
    <row r="5157" spans="21:21" ht="26.4">
      <c r="U5157" s="61" ph="1"/>
    </row>
    <row r="5158" spans="21:21" ht="26.4">
      <c r="U5158" s="61" ph="1"/>
    </row>
    <row r="5159" spans="21:21" ht="26.4">
      <c r="U5159" s="61" ph="1"/>
    </row>
    <row r="5160" spans="21:21" ht="26.4">
      <c r="U5160" s="61" ph="1"/>
    </row>
    <row r="5161" spans="21:21" ht="26.4">
      <c r="U5161" s="61" ph="1"/>
    </row>
    <row r="5162" spans="21:21" ht="26.4">
      <c r="U5162" s="61" ph="1"/>
    </row>
    <row r="5163" spans="21:21" ht="26.4">
      <c r="U5163" s="61" ph="1"/>
    </row>
    <row r="5164" spans="21:21" ht="26.4">
      <c r="U5164" s="61" ph="1"/>
    </row>
    <row r="5165" spans="21:21" ht="26.4">
      <c r="U5165" s="61" ph="1"/>
    </row>
    <row r="5166" spans="21:21" ht="26.4">
      <c r="U5166" s="61" ph="1"/>
    </row>
    <row r="5167" spans="21:21" ht="26.4">
      <c r="U5167" s="61" ph="1"/>
    </row>
    <row r="5168" spans="21:21" ht="26.4">
      <c r="U5168" s="61" ph="1"/>
    </row>
    <row r="5169" spans="21:21" ht="26.4">
      <c r="U5169" s="61" ph="1"/>
    </row>
    <row r="5170" spans="21:21" ht="26.4">
      <c r="U5170" s="61" ph="1"/>
    </row>
    <row r="5171" spans="21:21" ht="26.4">
      <c r="U5171" s="61" ph="1"/>
    </row>
    <row r="5172" spans="21:21" ht="26.4">
      <c r="U5172" s="61" ph="1"/>
    </row>
    <row r="5173" spans="21:21" ht="26.4">
      <c r="U5173" s="61" ph="1"/>
    </row>
    <row r="5174" spans="21:21" ht="26.4">
      <c r="U5174" s="61" ph="1"/>
    </row>
    <row r="5175" spans="21:21" ht="26.4">
      <c r="U5175" s="61" ph="1"/>
    </row>
    <row r="5176" spans="21:21" ht="26.4">
      <c r="U5176" s="61" ph="1"/>
    </row>
    <row r="5177" spans="21:21" ht="26.4">
      <c r="U5177" s="61" ph="1"/>
    </row>
    <row r="5178" spans="21:21" ht="26.4">
      <c r="U5178" s="61" ph="1"/>
    </row>
    <row r="5179" spans="21:21" ht="26.4">
      <c r="U5179" s="61" ph="1"/>
    </row>
    <row r="5180" spans="21:21" ht="26.4">
      <c r="U5180" s="61" ph="1"/>
    </row>
    <row r="5181" spans="21:21" ht="26.4">
      <c r="U5181" s="61" ph="1"/>
    </row>
    <row r="5182" spans="21:21" ht="26.4">
      <c r="U5182" s="61" ph="1"/>
    </row>
    <row r="5183" spans="21:21" ht="26.4">
      <c r="U5183" s="61" ph="1"/>
    </row>
    <row r="5184" spans="21:21" ht="26.4">
      <c r="U5184" s="61" ph="1"/>
    </row>
    <row r="5185" spans="21:21" ht="26.4">
      <c r="U5185" s="61" ph="1"/>
    </row>
    <row r="5186" spans="21:21" ht="26.4">
      <c r="U5186" s="61" ph="1"/>
    </row>
    <row r="5187" spans="21:21" ht="26.4">
      <c r="U5187" s="61" ph="1"/>
    </row>
    <row r="5188" spans="21:21" ht="26.4">
      <c r="U5188" s="61" ph="1"/>
    </row>
    <row r="5189" spans="21:21" ht="26.4">
      <c r="U5189" s="61" ph="1"/>
    </row>
    <row r="5190" spans="21:21" ht="26.4">
      <c r="U5190" s="61" ph="1"/>
    </row>
    <row r="5191" spans="21:21" ht="26.4">
      <c r="U5191" s="61" ph="1"/>
    </row>
    <row r="5192" spans="21:21" ht="26.4">
      <c r="U5192" s="61" ph="1"/>
    </row>
    <row r="5193" spans="21:21" ht="26.4">
      <c r="U5193" s="61" ph="1"/>
    </row>
    <row r="5194" spans="21:21" ht="26.4">
      <c r="U5194" s="61" ph="1"/>
    </row>
    <row r="5195" spans="21:21" ht="26.4">
      <c r="U5195" s="61" ph="1"/>
    </row>
    <row r="5196" spans="21:21" ht="26.4">
      <c r="U5196" s="61" ph="1"/>
    </row>
    <row r="5197" spans="21:21" ht="26.4">
      <c r="U5197" s="61" ph="1"/>
    </row>
    <row r="5198" spans="21:21" ht="26.4">
      <c r="U5198" s="61" ph="1"/>
    </row>
    <row r="5199" spans="21:21" ht="26.4">
      <c r="U5199" s="61" ph="1"/>
    </row>
    <row r="5200" spans="21:21" ht="26.4">
      <c r="U5200" s="61" ph="1"/>
    </row>
    <row r="5201" spans="21:21" ht="26.4">
      <c r="U5201" s="61" ph="1"/>
    </row>
    <row r="5202" spans="21:21" ht="26.4">
      <c r="U5202" s="61" ph="1"/>
    </row>
    <row r="5203" spans="21:21" ht="26.4">
      <c r="U5203" s="61" ph="1"/>
    </row>
    <row r="5204" spans="21:21" ht="26.4">
      <c r="U5204" s="61" ph="1"/>
    </row>
    <row r="5205" spans="21:21" ht="26.4">
      <c r="U5205" s="61" ph="1"/>
    </row>
    <row r="5206" spans="21:21" ht="26.4">
      <c r="U5206" s="61" ph="1"/>
    </row>
    <row r="5207" spans="21:21" ht="26.4">
      <c r="U5207" s="61" ph="1"/>
    </row>
    <row r="5208" spans="21:21" ht="26.4">
      <c r="U5208" s="61" ph="1"/>
    </row>
    <row r="5209" spans="21:21" ht="26.4">
      <c r="U5209" s="61" ph="1"/>
    </row>
    <row r="5210" spans="21:21" ht="26.4">
      <c r="U5210" s="61" ph="1"/>
    </row>
    <row r="5211" spans="21:21" ht="26.4">
      <c r="U5211" s="61" ph="1"/>
    </row>
    <row r="5212" spans="21:21" ht="26.4">
      <c r="U5212" s="61" ph="1"/>
    </row>
    <row r="5213" spans="21:21" ht="26.4">
      <c r="U5213" s="61" ph="1"/>
    </row>
    <row r="5214" spans="21:21" ht="26.4">
      <c r="U5214" s="61" ph="1"/>
    </row>
    <row r="5215" spans="21:21" ht="26.4">
      <c r="U5215" s="61" ph="1"/>
    </row>
    <row r="5216" spans="21:21" ht="26.4">
      <c r="U5216" s="61" ph="1"/>
    </row>
    <row r="5217" spans="21:21" ht="26.4">
      <c r="U5217" s="61" ph="1"/>
    </row>
    <row r="5218" spans="21:21" ht="26.4">
      <c r="U5218" s="61" ph="1"/>
    </row>
    <row r="5219" spans="21:21" ht="26.4">
      <c r="U5219" s="61" ph="1"/>
    </row>
    <row r="5220" spans="21:21" ht="26.4">
      <c r="U5220" s="61" ph="1"/>
    </row>
    <row r="5221" spans="21:21" ht="26.4">
      <c r="U5221" s="61" ph="1"/>
    </row>
    <row r="5222" spans="21:21" ht="26.4">
      <c r="U5222" s="61" ph="1"/>
    </row>
    <row r="5223" spans="21:21" ht="26.4">
      <c r="U5223" s="61" ph="1"/>
    </row>
    <row r="5224" spans="21:21" ht="26.4">
      <c r="U5224" s="61" ph="1"/>
    </row>
    <row r="5225" spans="21:21" ht="26.4">
      <c r="U5225" s="61" ph="1"/>
    </row>
    <row r="5226" spans="21:21" ht="26.4">
      <c r="U5226" s="61" ph="1"/>
    </row>
    <row r="5227" spans="21:21" ht="26.4">
      <c r="U5227" s="61" ph="1"/>
    </row>
    <row r="5228" spans="21:21" ht="26.4">
      <c r="U5228" s="61" ph="1"/>
    </row>
    <row r="5229" spans="21:21" ht="26.4">
      <c r="U5229" s="61" ph="1"/>
    </row>
    <row r="5230" spans="21:21" ht="26.4">
      <c r="U5230" s="61" ph="1"/>
    </row>
    <row r="5231" spans="21:21" ht="26.4">
      <c r="U5231" s="61" ph="1"/>
    </row>
    <row r="5232" spans="21:21" ht="26.4">
      <c r="U5232" s="61" ph="1"/>
    </row>
    <row r="5233" spans="21:21" ht="26.4">
      <c r="U5233" s="61" ph="1"/>
    </row>
    <row r="5234" spans="21:21" ht="26.4">
      <c r="U5234" s="61" ph="1"/>
    </row>
    <row r="5235" spans="21:21" ht="26.4">
      <c r="U5235" s="61" ph="1"/>
    </row>
    <row r="5236" spans="21:21" ht="26.4">
      <c r="U5236" s="61" ph="1"/>
    </row>
    <row r="5237" spans="21:21" ht="26.4">
      <c r="U5237" s="61" ph="1"/>
    </row>
    <row r="5238" spans="21:21" ht="26.4">
      <c r="U5238" s="61" ph="1"/>
    </row>
    <row r="5239" spans="21:21" ht="26.4">
      <c r="U5239" s="61" ph="1"/>
    </row>
    <row r="5240" spans="21:21" ht="26.4">
      <c r="U5240" s="61" ph="1"/>
    </row>
    <row r="5241" spans="21:21" ht="26.4">
      <c r="U5241" s="61" ph="1"/>
    </row>
    <row r="5242" spans="21:21" ht="26.4">
      <c r="U5242" s="61" ph="1"/>
    </row>
    <row r="5243" spans="21:21" ht="26.4">
      <c r="U5243" s="61" ph="1"/>
    </row>
    <row r="5244" spans="21:21" ht="26.4">
      <c r="U5244" s="61" ph="1"/>
    </row>
    <row r="5245" spans="21:21" ht="26.4">
      <c r="U5245" s="61" ph="1"/>
    </row>
    <row r="5246" spans="21:21" ht="26.4">
      <c r="U5246" s="61" ph="1"/>
    </row>
    <row r="5247" spans="21:21" ht="26.4">
      <c r="U5247" s="61" ph="1"/>
    </row>
    <row r="5248" spans="21:21" ht="26.4">
      <c r="U5248" s="61" ph="1"/>
    </row>
    <row r="5249" spans="21:21" ht="26.4">
      <c r="U5249" s="61" ph="1"/>
    </row>
    <row r="5250" spans="21:21" ht="26.4">
      <c r="U5250" s="61" ph="1"/>
    </row>
    <row r="5251" spans="21:21" ht="26.4">
      <c r="U5251" s="61" ph="1"/>
    </row>
    <row r="5252" spans="21:21" ht="26.4">
      <c r="U5252" s="61" ph="1"/>
    </row>
    <row r="5253" spans="21:21" ht="26.4">
      <c r="U5253" s="61" ph="1"/>
    </row>
    <row r="5254" spans="21:21" ht="26.4">
      <c r="U5254" s="61" ph="1"/>
    </row>
    <row r="5255" spans="21:21" ht="26.4">
      <c r="U5255" s="61" ph="1"/>
    </row>
    <row r="5256" spans="21:21" ht="26.4">
      <c r="U5256" s="61" ph="1"/>
    </row>
    <row r="5257" spans="21:21" ht="26.4">
      <c r="U5257" s="61" ph="1"/>
    </row>
    <row r="5258" spans="21:21" ht="26.4">
      <c r="U5258" s="61" ph="1"/>
    </row>
    <row r="5259" spans="21:21" ht="26.4">
      <c r="U5259" s="61" ph="1"/>
    </row>
    <row r="5260" spans="21:21" ht="26.4">
      <c r="U5260" s="61" ph="1"/>
    </row>
    <row r="5261" spans="21:21" ht="26.4">
      <c r="U5261" s="61" ph="1"/>
    </row>
    <row r="5262" spans="21:21" ht="26.4">
      <c r="U5262" s="61" ph="1"/>
    </row>
    <row r="5263" spans="21:21" ht="26.4">
      <c r="U5263" s="61" ph="1"/>
    </row>
    <row r="5264" spans="21:21" ht="26.4">
      <c r="U5264" s="61" ph="1"/>
    </row>
    <row r="5265" spans="21:21" ht="26.4">
      <c r="U5265" s="61" ph="1"/>
    </row>
    <row r="5266" spans="21:21" ht="26.4">
      <c r="U5266" s="61" ph="1"/>
    </row>
    <row r="5267" spans="21:21" ht="26.4">
      <c r="U5267" s="61" ph="1"/>
    </row>
    <row r="5268" spans="21:21" ht="26.4">
      <c r="U5268" s="61" ph="1"/>
    </row>
    <row r="5269" spans="21:21" ht="26.4">
      <c r="U5269" s="61" ph="1"/>
    </row>
    <row r="5270" spans="21:21" ht="26.4">
      <c r="U5270" s="61" ph="1"/>
    </row>
    <row r="5271" spans="21:21" ht="26.4">
      <c r="U5271" s="61" ph="1"/>
    </row>
    <row r="5272" spans="21:21" ht="26.4">
      <c r="U5272" s="61" ph="1"/>
    </row>
    <row r="5273" spans="21:21" ht="26.4">
      <c r="U5273" s="61" ph="1"/>
    </row>
    <row r="5274" spans="21:21" ht="26.4">
      <c r="U5274" s="61" ph="1"/>
    </row>
    <row r="5275" spans="21:21" ht="26.4">
      <c r="U5275" s="61" ph="1"/>
    </row>
    <row r="5276" spans="21:21" ht="26.4">
      <c r="U5276" s="61" ph="1"/>
    </row>
    <row r="5277" spans="21:21" ht="26.4">
      <c r="U5277" s="61" ph="1"/>
    </row>
    <row r="5278" spans="21:21" ht="26.4">
      <c r="U5278" s="61" ph="1"/>
    </row>
    <row r="5279" spans="21:21" ht="26.4">
      <c r="U5279" s="61" ph="1"/>
    </row>
    <row r="5280" spans="21:21" ht="26.4">
      <c r="U5280" s="61" ph="1"/>
    </row>
    <row r="5281" spans="21:21" ht="26.4">
      <c r="U5281" s="61" ph="1"/>
    </row>
    <row r="5282" spans="21:21" ht="26.4">
      <c r="U5282" s="61" ph="1"/>
    </row>
    <row r="5283" spans="21:21" ht="26.4">
      <c r="U5283" s="61" ph="1"/>
    </row>
    <row r="5284" spans="21:21" ht="26.4">
      <c r="U5284" s="61" ph="1"/>
    </row>
    <row r="5285" spans="21:21" ht="26.4">
      <c r="U5285" s="61" ph="1"/>
    </row>
    <row r="5286" spans="21:21" ht="26.4">
      <c r="U5286" s="61" ph="1"/>
    </row>
    <row r="5287" spans="21:21" ht="26.4">
      <c r="U5287" s="61" ph="1"/>
    </row>
    <row r="5288" spans="21:21" ht="26.4">
      <c r="U5288" s="61" ph="1"/>
    </row>
    <row r="5289" spans="21:21" ht="26.4">
      <c r="U5289" s="61" ph="1"/>
    </row>
    <row r="5290" spans="21:21" ht="26.4">
      <c r="U5290" s="61" ph="1"/>
    </row>
    <row r="5291" spans="21:21" ht="26.4">
      <c r="U5291" s="61" ph="1"/>
    </row>
    <row r="5292" spans="21:21" ht="26.4">
      <c r="U5292" s="61" ph="1"/>
    </row>
    <row r="5293" spans="21:21" ht="26.4">
      <c r="U5293" s="61" ph="1"/>
    </row>
    <row r="5294" spans="21:21" ht="26.4">
      <c r="U5294" s="61" ph="1"/>
    </row>
    <row r="5295" spans="21:21" ht="26.4">
      <c r="U5295" s="61" ph="1"/>
    </row>
    <row r="5296" spans="21:21" ht="26.4">
      <c r="U5296" s="61" ph="1"/>
    </row>
    <row r="5297" spans="21:21" ht="26.4">
      <c r="U5297" s="61" ph="1"/>
    </row>
    <row r="5298" spans="21:21" ht="26.4">
      <c r="U5298" s="61" ph="1"/>
    </row>
    <row r="5299" spans="21:21" ht="26.4">
      <c r="U5299" s="61" ph="1"/>
    </row>
    <row r="5300" spans="21:21" ht="26.4">
      <c r="U5300" s="61" ph="1"/>
    </row>
    <row r="5301" spans="21:21" ht="26.4">
      <c r="U5301" s="61" ph="1"/>
    </row>
    <row r="5302" spans="21:21" ht="26.4">
      <c r="U5302" s="61" ph="1"/>
    </row>
    <row r="5303" spans="21:21" ht="26.4">
      <c r="U5303" s="61" ph="1"/>
    </row>
    <row r="5304" spans="21:21" ht="26.4">
      <c r="U5304" s="61" ph="1"/>
    </row>
    <row r="5305" spans="21:21" ht="26.4">
      <c r="U5305" s="61" ph="1"/>
    </row>
    <row r="5306" spans="21:21" ht="26.4">
      <c r="U5306" s="61" ph="1"/>
    </row>
    <row r="5307" spans="21:21" ht="26.4">
      <c r="U5307" s="61" ph="1"/>
    </row>
    <row r="5308" spans="21:21" ht="26.4">
      <c r="U5308" s="61" ph="1"/>
    </row>
    <row r="5309" spans="21:21" ht="26.4">
      <c r="U5309" s="61" ph="1"/>
    </row>
    <row r="5310" spans="21:21" ht="26.4">
      <c r="U5310" s="61" ph="1"/>
    </row>
    <row r="5311" spans="21:21" ht="26.4">
      <c r="U5311" s="61" ph="1"/>
    </row>
    <row r="5312" spans="21:21" ht="26.4">
      <c r="U5312" s="61" ph="1"/>
    </row>
    <row r="5313" spans="21:21" ht="26.4">
      <c r="U5313" s="61" ph="1"/>
    </row>
    <row r="5314" spans="21:21" ht="26.4">
      <c r="U5314" s="61" ph="1"/>
    </row>
    <row r="5315" spans="21:21" ht="26.4">
      <c r="U5315" s="61" ph="1"/>
    </row>
    <row r="5316" spans="21:21" ht="26.4">
      <c r="U5316" s="61" ph="1"/>
    </row>
    <row r="5317" spans="21:21" ht="26.4">
      <c r="U5317" s="61" ph="1"/>
    </row>
    <row r="5318" spans="21:21" ht="26.4">
      <c r="U5318" s="61" ph="1"/>
    </row>
    <row r="5319" spans="21:21" ht="26.4">
      <c r="U5319" s="61" ph="1"/>
    </row>
    <row r="5320" spans="21:21" ht="26.4">
      <c r="U5320" s="61" ph="1"/>
    </row>
    <row r="5321" spans="21:21" ht="26.4">
      <c r="U5321" s="61" ph="1"/>
    </row>
    <row r="5322" spans="21:21" ht="26.4">
      <c r="U5322" s="61" ph="1"/>
    </row>
    <row r="5323" spans="21:21" ht="26.4">
      <c r="U5323" s="61" ph="1"/>
    </row>
    <row r="5324" spans="21:21" ht="26.4">
      <c r="U5324" s="61" ph="1"/>
    </row>
    <row r="5325" spans="21:21" ht="26.4">
      <c r="U5325" s="61" ph="1"/>
    </row>
    <row r="5326" spans="21:21" ht="26.4">
      <c r="U5326" s="61" ph="1"/>
    </row>
    <row r="5327" spans="21:21" ht="26.4">
      <c r="U5327" s="61" ph="1"/>
    </row>
    <row r="5328" spans="21:21" ht="26.4">
      <c r="U5328" s="61" ph="1"/>
    </row>
    <row r="5329" spans="21:21" ht="26.4">
      <c r="U5329" s="61" ph="1"/>
    </row>
    <row r="5330" spans="21:21" ht="26.4">
      <c r="U5330" s="61" ph="1"/>
    </row>
    <row r="5331" spans="21:21" ht="26.4">
      <c r="U5331" s="61" ph="1"/>
    </row>
    <row r="5332" spans="21:21" ht="26.4">
      <c r="U5332" s="61" ph="1"/>
    </row>
    <row r="5333" spans="21:21" ht="26.4">
      <c r="U5333" s="61" ph="1"/>
    </row>
    <row r="5334" spans="21:21" ht="26.4">
      <c r="U5334" s="61" ph="1"/>
    </row>
    <row r="5335" spans="21:21" ht="26.4">
      <c r="U5335" s="61" ph="1"/>
    </row>
    <row r="5336" spans="21:21" ht="26.4">
      <c r="U5336" s="61" ph="1"/>
    </row>
    <row r="5337" spans="21:21" ht="26.4">
      <c r="U5337" s="61" ph="1"/>
    </row>
    <row r="5338" spans="21:21" ht="26.4">
      <c r="U5338" s="61" ph="1"/>
    </row>
    <row r="5339" spans="21:21" ht="26.4">
      <c r="U5339" s="61" ph="1"/>
    </row>
    <row r="5340" spans="21:21" ht="26.4">
      <c r="U5340" s="61" ph="1"/>
    </row>
    <row r="5341" spans="21:21" ht="26.4">
      <c r="U5341" s="61" ph="1"/>
    </row>
    <row r="5342" spans="21:21" ht="26.4">
      <c r="U5342" s="61" ph="1"/>
    </row>
    <row r="5343" spans="21:21" ht="26.4">
      <c r="U5343" s="61" ph="1"/>
    </row>
    <row r="5344" spans="21:21" ht="26.4">
      <c r="U5344" s="61" ph="1"/>
    </row>
    <row r="5345" spans="21:21" ht="26.4">
      <c r="U5345" s="61" ph="1"/>
    </row>
    <row r="5346" spans="21:21" ht="26.4">
      <c r="U5346" s="61" ph="1"/>
    </row>
    <row r="5347" spans="21:21" ht="26.4">
      <c r="U5347" s="61" ph="1"/>
    </row>
    <row r="5348" spans="21:21" ht="26.4">
      <c r="U5348" s="61" ph="1"/>
    </row>
    <row r="5349" spans="21:21" ht="26.4">
      <c r="U5349" s="61" ph="1"/>
    </row>
    <row r="5350" spans="21:21" ht="26.4">
      <c r="U5350" s="61" ph="1"/>
    </row>
    <row r="5351" spans="21:21" ht="26.4">
      <c r="U5351" s="61" ph="1"/>
    </row>
    <row r="5352" spans="21:21" ht="26.4">
      <c r="U5352" s="61" ph="1"/>
    </row>
    <row r="5353" spans="21:21" ht="26.4">
      <c r="U5353" s="61" ph="1"/>
    </row>
    <row r="5354" spans="21:21" ht="26.4">
      <c r="U5354" s="61" ph="1"/>
    </row>
    <row r="5355" spans="21:21" ht="26.4">
      <c r="U5355" s="61" ph="1"/>
    </row>
    <row r="5356" spans="21:21" ht="26.4">
      <c r="U5356" s="61" ph="1"/>
    </row>
    <row r="5357" spans="21:21" ht="26.4">
      <c r="U5357" s="61" ph="1"/>
    </row>
    <row r="5358" spans="21:21" ht="26.4">
      <c r="U5358" s="61" ph="1"/>
    </row>
    <row r="5359" spans="21:21" ht="26.4">
      <c r="U5359" s="61" ph="1"/>
    </row>
    <row r="5360" spans="21:21" ht="26.4">
      <c r="U5360" s="61" ph="1"/>
    </row>
    <row r="5361" spans="21:21" ht="26.4">
      <c r="U5361" s="61" ph="1"/>
    </row>
    <row r="5362" spans="21:21" ht="26.4">
      <c r="U5362" s="61" ph="1"/>
    </row>
    <row r="5363" spans="21:21" ht="26.4">
      <c r="U5363" s="61" ph="1"/>
    </row>
    <row r="5364" spans="21:21" ht="26.4">
      <c r="U5364" s="61" ph="1"/>
    </row>
    <row r="5365" spans="21:21" ht="26.4">
      <c r="U5365" s="61" ph="1"/>
    </row>
    <row r="5366" spans="21:21" ht="26.4">
      <c r="U5366" s="61" ph="1"/>
    </row>
    <row r="5367" spans="21:21" ht="26.4">
      <c r="U5367" s="61" ph="1"/>
    </row>
    <row r="5368" spans="21:21" ht="26.4">
      <c r="U5368" s="61" ph="1"/>
    </row>
    <row r="5369" spans="21:21" ht="26.4">
      <c r="U5369" s="61" ph="1"/>
    </row>
    <row r="5370" spans="21:21" ht="26.4">
      <c r="U5370" s="61" ph="1"/>
    </row>
    <row r="5371" spans="21:21" ht="26.4">
      <c r="U5371" s="61" ph="1"/>
    </row>
    <row r="5372" spans="21:21" ht="26.4">
      <c r="U5372" s="61" ph="1"/>
    </row>
    <row r="5373" spans="21:21" ht="26.4">
      <c r="U5373" s="61" ph="1"/>
    </row>
    <row r="5374" spans="21:21" ht="26.4">
      <c r="U5374" s="61" ph="1"/>
    </row>
    <row r="5375" spans="21:21" ht="26.4">
      <c r="U5375" s="61" ph="1"/>
    </row>
    <row r="5376" spans="21:21" ht="26.4">
      <c r="U5376" s="61" ph="1"/>
    </row>
    <row r="5377" spans="21:21" ht="26.4">
      <c r="U5377" s="61" ph="1"/>
    </row>
    <row r="5378" spans="21:21" ht="26.4">
      <c r="U5378" s="61" ph="1"/>
    </row>
    <row r="5379" spans="21:21" ht="26.4">
      <c r="U5379" s="61" ph="1"/>
    </row>
    <row r="5380" spans="21:21" ht="26.4">
      <c r="U5380" s="61" ph="1"/>
    </row>
    <row r="5381" spans="21:21" ht="26.4">
      <c r="U5381" s="61" ph="1"/>
    </row>
    <row r="5382" spans="21:21" ht="26.4">
      <c r="U5382" s="61" ph="1"/>
    </row>
    <row r="5383" spans="21:21" ht="26.4">
      <c r="U5383" s="61" ph="1"/>
    </row>
    <row r="5384" spans="21:21" ht="26.4">
      <c r="U5384" s="61" ph="1"/>
    </row>
    <row r="5385" spans="21:21" ht="26.4">
      <c r="U5385" s="61" ph="1"/>
    </row>
    <row r="5386" spans="21:21" ht="26.4">
      <c r="U5386" s="61" ph="1"/>
    </row>
    <row r="5387" spans="21:21" ht="26.4">
      <c r="U5387" s="61" ph="1"/>
    </row>
    <row r="5388" spans="21:21" ht="26.4">
      <c r="U5388" s="61" ph="1"/>
    </row>
    <row r="5389" spans="21:21" ht="26.4">
      <c r="U5389" s="61" ph="1"/>
    </row>
    <row r="5390" spans="21:21" ht="26.4">
      <c r="U5390" s="61" ph="1"/>
    </row>
    <row r="5391" spans="21:21" ht="26.4">
      <c r="U5391" s="61" ph="1"/>
    </row>
    <row r="5392" spans="21:21" ht="26.4">
      <c r="U5392" s="61" ph="1"/>
    </row>
    <row r="5393" spans="21:21" ht="26.4">
      <c r="U5393" s="61" ph="1"/>
    </row>
    <row r="5394" spans="21:21" ht="26.4">
      <c r="U5394" s="61" ph="1"/>
    </row>
    <row r="5395" spans="21:21" ht="26.4">
      <c r="U5395" s="61" ph="1"/>
    </row>
    <row r="5396" spans="21:21" ht="26.4">
      <c r="U5396" s="61" ph="1"/>
    </row>
    <row r="5397" spans="21:21" ht="26.4">
      <c r="U5397" s="61" ph="1"/>
    </row>
    <row r="5398" spans="21:21" ht="26.4">
      <c r="U5398" s="61" ph="1"/>
    </row>
    <row r="5399" spans="21:21" ht="26.4">
      <c r="U5399" s="61" ph="1"/>
    </row>
    <row r="5400" spans="21:21" ht="26.4">
      <c r="U5400" s="61" ph="1"/>
    </row>
    <row r="5401" spans="21:21" ht="26.4">
      <c r="U5401" s="61" ph="1"/>
    </row>
    <row r="5402" spans="21:21" ht="26.4">
      <c r="U5402" s="61" ph="1"/>
    </row>
    <row r="5403" spans="21:21" ht="26.4">
      <c r="U5403" s="61" ph="1"/>
    </row>
    <row r="5404" spans="21:21" ht="26.4">
      <c r="U5404" s="61" ph="1"/>
    </row>
    <row r="5405" spans="21:21" ht="26.4">
      <c r="U5405" s="61" ph="1"/>
    </row>
    <row r="5406" spans="21:21" ht="26.4">
      <c r="U5406" s="61" ph="1"/>
    </row>
    <row r="5407" spans="21:21" ht="26.4">
      <c r="U5407" s="61" ph="1"/>
    </row>
    <row r="5408" spans="21:21" ht="26.4">
      <c r="U5408" s="61" ph="1"/>
    </row>
    <row r="5409" spans="21:21" ht="26.4">
      <c r="U5409" s="61" ph="1"/>
    </row>
    <row r="5410" spans="21:21" ht="26.4">
      <c r="U5410" s="61" ph="1"/>
    </row>
    <row r="5411" spans="21:21" ht="26.4">
      <c r="U5411" s="61" ph="1"/>
    </row>
    <row r="5412" spans="21:21" ht="26.4">
      <c r="U5412" s="61" ph="1"/>
    </row>
    <row r="5413" spans="21:21" ht="26.4">
      <c r="U5413" s="61" ph="1"/>
    </row>
    <row r="5414" spans="21:21" ht="26.4">
      <c r="U5414" s="61" ph="1"/>
    </row>
    <row r="5415" spans="21:21" ht="26.4">
      <c r="U5415" s="61" ph="1"/>
    </row>
    <row r="5416" spans="21:21" ht="26.4">
      <c r="U5416" s="61" ph="1"/>
    </row>
    <row r="5417" spans="21:21" ht="26.4">
      <c r="U5417" s="61" ph="1"/>
    </row>
    <row r="5418" spans="21:21" ht="26.4">
      <c r="U5418" s="61" ph="1"/>
    </row>
    <row r="5419" spans="21:21" ht="26.4">
      <c r="U5419" s="61" ph="1"/>
    </row>
    <row r="5420" spans="21:21" ht="26.4">
      <c r="U5420" s="61" ph="1"/>
    </row>
    <row r="5421" spans="21:21" ht="26.4">
      <c r="U5421" s="61" ph="1"/>
    </row>
    <row r="5422" spans="21:21" ht="26.4">
      <c r="U5422" s="61" ph="1"/>
    </row>
    <row r="5423" spans="21:21" ht="26.4">
      <c r="U5423" s="61" ph="1"/>
    </row>
    <row r="5424" spans="21:21" ht="26.4">
      <c r="U5424" s="61" ph="1"/>
    </row>
    <row r="5425" spans="21:21" ht="26.4">
      <c r="U5425" s="61" ph="1"/>
    </row>
    <row r="5426" spans="21:21" ht="26.4">
      <c r="U5426" s="61" ph="1"/>
    </row>
    <row r="5427" spans="21:21" ht="26.4">
      <c r="U5427" s="61" ph="1"/>
    </row>
    <row r="5428" spans="21:21" ht="26.4">
      <c r="U5428" s="61" ph="1"/>
    </row>
    <row r="5429" spans="21:21" ht="26.4">
      <c r="U5429" s="61" ph="1"/>
    </row>
    <row r="5430" spans="21:21" ht="26.4">
      <c r="U5430" s="61" ph="1"/>
    </row>
    <row r="5431" spans="21:21" ht="26.4">
      <c r="U5431" s="61" ph="1"/>
    </row>
    <row r="5432" spans="21:21" ht="26.4">
      <c r="U5432" s="61" ph="1"/>
    </row>
    <row r="5433" spans="21:21" ht="26.4">
      <c r="U5433" s="61" ph="1"/>
    </row>
    <row r="5434" spans="21:21" ht="26.4">
      <c r="U5434" s="61" ph="1"/>
    </row>
    <row r="5435" spans="21:21" ht="26.4">
      <c r="U5435" s="61" ph="1"/>
    </row>
    <row r="5436" spans="21:21" ht="26.4">
      <c r="U5436" s="61" ph="1"/>
    </row>
    <row r="5437" spans="21:21" ht="26.4">
      <c r="U5437" s="61" ph="1"/>
    </row>
    <row r="5438" spans="21:21" ht="26.4">
      <c r="U5438" s="61" ph="1"/>
    </row>
    <row r="5439" spans="21:21" ht="26.4">
      <c r="U5439" s="61" ph="1"/>
    </row>
    <row r="5440" spans="21:21" ht="26.4">
      <c r="U5440" s="61" ph="1"/>
    </row>
    <row r="5441" spans="21:21" ht="26.4">
      <c r="U5441" s="61" ph="1"/>
    </row>
    <row r="5442" spans="21:21" ht="26.4">
      <c r="U5442" s="61" ph="1"/>
    </row>
    <row r="5443" spans="21:21" ht="26.4">
      <c r="U5443" s="61" ph="1"/>
    </row>
    <row r="5444" spans="21:21" ht="26.4">
      <c r="U5444" s="61" ph="1"/>
    </row>
    <row r="5445" spans="21:21" ht="26.4">
      <c r="U5445" s="61" ph="1"/>
    </row>
    <row r="5446" spans="21:21" ht="26.4">
      <c r="U5446" s="61" ph="1"/>
    </row>
    <row r="5447" spans="21:21" ht="26.4">
      <c r="U5447" s="61" ph="1"/>
    </row>
    <row r="5448" spans="21:21" ht="26.4">
      <c r="U5448" s="61" ph="1"/>
    </row>
    <row r="5449" spans="21:21" ht="26.4">
      <c r="U5449" s="61" ph="1"/>
    </row>
    <row r="5450" spans="21:21" ht="26.4">
      <c r="U5450" s="61" ph="1"/>
    </row>
    <row r="5451" spans="21:21" ht="26.4">
      <c r="U5451" s="61" ph="1"/>
    </row>
    <row r="5452" spans="21:21" ht="26.4">
      <c r="U5452" s="61" ph="1"/>
    </row>
    <row r="5453" spans="21:21" ht="26.4">
      <c r="U5453" s="61" ph="1"/>
    </row>
    <row r="5454" spans="21:21" ht="26.4">
      <c r="U5454" s="61" ph="1"/>
    </row>
    <row r="5455" spans="21:21" ht="26.4">
      <c r="U5455" s="61" ph="1"/>
    </row>
    <row r="5456" spans="21:21" ht="26.4">
      <c r="U5456" s="61" ph="1"/>
    </row>
    <row r="5457" spans="21:21" ht="26.4">
      <c r="U5457" s="61" ph="1"/>
    </row>
    <row r="5458" spans="21:21" ht="26.4">
      <c r="U5458" s="61" ph="1"/>
    </row>
    <row r="5459" spans="21:21" ht="26.4">
      <c r="U5459" s="61" ph="1"/>
    </row>
    <row r="5460" spans="21:21" ht="26.4">
      <c r="U5460" s="61" ph="1"/>
    </row>
    <row r="5461" spans="21:21" ht="26.4">
      <c r="U5461" s="61" ph="1"/>
    </row>
    <row r="5462" spans="21:21" ht="26.4">
      <c r="U5462" s="61" ph="1"/>
    </row>
    <row r="5463" spans="21:21" ht="26.4">
      <c r="U5463" s="61" ph="1"/>
    </row>
    <row r="5464" spans="21:21" ht="26.4">
      <c r="U5464" s="61" ph="1"/>
    </row>
    <row r="5465" spans="21:21" ht="26.4">
      <c r="U5465" s="61" ph="1"/>
    </row>
    <row r="5466" spans="21:21" ht="26.4">
      <c r="U5466" s="61" ph="1"/>
    </row>
    <row r="5467" spans="21:21" ht="26.4">
      <c r="U5467" s="61" ph="1"/>
    </row>
    <row r="5468" spans="21:21" ht="26.4">
      <c r="U5468" s="61" ph="1"/>
    </row>
    <row r="5469" spans="21:21" ht="26.4">
      <c r="U5469" s="61" ph="1"/>
    </row>
    <row r="5470" spans="21:21" ht="26.4">
      <c r="U5470" s="61" ph="1"/>
    </row>
    <row r="5471" spans="21:21" ht="26.4">
      <c r="U5471" s="61" ph="1"/>
    </row>
    <row r="5472" spans="21:21" ht="26.4">
      <c r="U5472" s="61" ph="1"/>
    </row>
    <row r="5473" spans="21:21" ht="26.4">
      <c r="U5473" s="61" ph="1"/>
    </row>
    <row r="5474" spans="21:21" ht="26.4">
      <c r="U5474" s="61" ph="1"/>
    </row>
    <row r="5475" spans="21:21" ht="26.4">
      <c r="U5475" s="61" ph="1"/>
    </row>
    <row r="5476" spans="21:21" ht="26.4">
      <c r="U5476" s="61" ph="1"/>
    </row>
    <row r="5477" spans="21:21" ht="26.4">
      <c r="U5477" s="61" ph="1"/>
    </row>
    <row r="5478" spans="21:21" ht="26.4">
      <c r="U5478" s="61" ph="1"/>
    </row>
    <row r="5479" spans="21:21" ht="26.4">
      <c r="U5479" s="61" ph="1"/>
    </row>
    <row r="5480" spans="21:21" ht="26.4">
      <c r="U5480" s="61" ph="1"/>
    </row>
    <row r="5481" spans="21:21" ht="26.4">
      <c r="U5481" s="61" ph="1"/>
    </row>
    <row r="5482" spans="21:21" ht="26.4">
      <c r="U5482" s="61" ph="1"/>
    </row>
    <row r="5483" spans="21:21" ht="26.4">
      <c r="U5483" s="61" ph="1"/>
    </row>
    <row r="5484" spans="21:21" ht="26.4">
      <c r="U5484" s="61" ph="1"/>
    </row>
    <row r="5485" spans="21:21" ht="26.4">
      <c r="U5485" s="61" ph="1"/>
    </row>
    <row r="5486" spans="21:21" ht="26.4">
      <c r="U5486" s="61" ph="1"/>
    </row>
    <row r="5487" spans="21:21" ht="26.4">
      <c r="U5487" s="61" ph="1"/>
    </row>
    <row r="5488" spans="21:21" ht="26.4">
      <c r="U5488" s="61" ph="1"/>
    </row>
    <row r="5489" spans="21:21" ht="26.4">
      <c r="U5489" s="61" ph="1"/>
    </row>
    <row r="5490" spans="21:21" ht="26.4">
      <c r="U5490" s="61" ph="1"/>
    </row>
    <row r="5491" spans="21:21" ht="26.4">
      <c r="U5491" s="61" ph="1"/>
    </row>
    <row r="5492" spans="21:21" ht="26.4">
      <c r="U5492" s="61" ph="1"/>
    </row>
    <row r="5493" spans="21:21" ht="26.4">
      <c r="U5493" s="61" ph="1"/>
    </row>
    <row r="5494" spans="21:21" ht="26.4">
      <c r="U5494" s="61" ph="1"/>
    </row>
    <row r="5495" spans="21:21" ht="26.4">
      <c r="U5495" s="61" ph="1"/>
    </row>
    <row r="5496" spans="21:21" ht="26.4">
      <c r="U5496" s="61" ph="1"/>
    </row>
    <row r="5497" spans="21:21" ht="26.4">
      <c r="U5497" s="61" ph="1"/>
    </row>
    <row r="5498" spans="21:21" ht="26.4">
      <c r="U5498" s="61" ph="1"/>
    </row>
    <row r="5499" spans="21:21" ht="26.4">
      <c r="U5499" s="61" ph="1"/>
    </row>
    <row r="5500" spans="21:21" ht="26.4">
      <c r="U5500" s="61" ph="1"/>
    </row>
    <row r="5501" spans="21:21" ht="26.4">
      <c r="U5501" s="61" ph="1"/>
    </row>
    <row r="5502" spans="21:21" ht="26.4">
      <c r="U5502" s="61" ph="1"/>
    </row>
    <row r="5503" spans="21:21" ht="26.4">
      <c r="U5503" s="61" ph="1"/>
    </row>
    <row r="5504" spans="21:21" ht="26.4">
      <c r="U5504" s="61" ph="1"/>
    </row>
    <row r="5505" spans="21:21" ht="26.4">
      <c r="U5505" s="61" ph="1"/>
    </row>
    <row r="5506" spans="21:21" ht="26.4">
      <c r="U5506" s="61" ph="1"/>
    </row>
    <row r="5507" spans="21:21" ht="26.4">
      <c r="U5507" s="61" ph="1"/>
    </row>
    <row r="5508" spans="21:21" ht="26.4">
      <c r="U5508" s="61" ph="1"/>
    </row>
    <row r="5509" spans="21:21" ht="26.4">
      <c r="U5509" s="61" ph="1"/>
    </row>
    <row r="5510" spans="21:21" ht="26.4">
      <c r="U5510" s="61" ph="1"/>
    </row>
    <row r="5511" spans="21:21" ht="26.4">
      <c r="U5511" s="61" ph="1"/>
    </row>
    <row r="5512" spans="21:21" ht="26.4">
      <c r="U5512" s="61" ph="1"/>
    </row>
    <row r="5513" spans="21:21" ht="26.4">
      <c r="U5513" s="61" ph="1"/>
    </row>
    <row r="5514" spans="21:21" ht="26.4">
      <c r="U5514" s="61" ph="1"/>
    </row>
    <row r="5515" spans="21:21" ht="26.4">
      <c r="U5515" s="61" ph="1"/>
    </row>
    <row r="5516" spans="21:21" ht="26.4">
      <c r="U5516" s="61" ph="1"/>
    </row>
    <row r="5517" spans="21:21" ht="26.4">
      <c r="U5517" s="61" ph="1"/>
    </row>
    <row r="5518" spans="21:21" ht="26.4">
      <c r="U5518" s="61" ph="1"/>
    </row>
    <row r="5519" spans="21:21" ht="26.4">
      <c r="U5519" s="61" ph="1"/>
    </row>
    <row r="5520" spans="21:21" ht="26.4">
      <c r="U5520" s="61" ph="1"/>
    </row>
    <row r="5521" spans="21:21" ht="26.4">
      <c r="U5521" s="61" ph="1"/>
    </row>
    <row r="5522" spans="21:21" ht="26.4">
      <c r="U5522" s="61" ph="1"/>
    </row>
    <row r="5523" spans="21:21" ht="26.4">
      <c r="U5523" s="61" ph="1"/>
    </row>
    <row r="5524" spans="21:21" ht="26.4">
      <c r="U5524" s="61" ph="1"/>
    </row>
    <row r="5525" spans="21:21" ht="26.4">
      <c r="U5525" s="61" ph="1"/>
    </row>
    <row r="5526" spans="21:21" ht="26.4">
      <c r="U5526" s="61" ph="1"/>
    </row>
    <row r="5527" spans="21:21" ht="26.4">
      <c r="U5527" s="61" ph="1"/>
    </row>
    <row r="5528" spans="21:21" ht="26.4">
      <c r="U5528" s="61" ph="1"/>
    </row>
    <row r="5529" spans="21:21" ht="26.4">
      <c r="U5529" s="61" ph="1"/>
    </row>
    <row r="5530" spans="21:21" ht="26.4">
      <c r="U5530" s="61" ph="1"/>
    </row>
    <row r="5531" spans="21:21" ht="26.4">
      <c r="U5531" s="61" ph="1"/>
    </row>
    <row r="5532" spans="21:21" ht="26.4">
      <c r="U5532" s="61" ph="1"/>
    </row>
    <row r="5533" spans="21:21" ht="26.4">
      <c r="U5533" s="61" ph="1"/>
    </row>
    <row r="5534" spans="21:21" ht="26.4">
      <c r="U5534" s="61" ph="1"/>
    </row>
    <row r="5535" spans="21:21" ht="26.4">
      <c r="U5535" s="61" ph="1"/>
    </row>
    <row r="5536" spans="21:21" ht="26.4">
      <c r="U5536" s="61" ph="1"/>
    </row>
    <row r="5537" spans="21:21" ht="26.4">
      <c r="U5537" s="61" ph="1"/>
    </row>
    <row r="5538" spans="21:21" ht="26.4">
      <c r="U5538" s="61" ph="1"/>
    </row>
    <row r="5539" spans="21:21" ht="26.4">
      <c r="U5539" s="61" ph="1"/>
    </row>
    <row r="5540" spans="21:21" ht="26.4">
      <c r="U5540" s="61" ph="1"/>
    </row>
    <row r="5541" spans="21:21" ht="26.4">
      <c r="U5541" s="61" ph="1"/>
    </row>
    <row r="5542" spans="21:21" ht="26.4">
      <c r="U5542" s="61" ph="1"/>
    </row>
    <row r="5543" spans="21:21" ht="26.4">
      <c r="U5543" s="61" ph="1"/>
    </row>
    <row r="5544" spans="21:21" ht="26.4">
      <c r="U5544" s="61" ph="1"/>
    </row>
    <row r="5545" spans="21:21" ht="26.4">
      <c r="U5545" s="61" ph="1"/>
    </row>
    <row r="5546" spans="21:21" ht="26.4">
      <c r="U5546" s="61" ph="1"/>
    </row>
    <row r="5547" spans="21:21" ht="26.4">
      <c r="U5547" s="61" ph="1"/>
    </row>
    <row r="5548" spans="21:21" ht="26.4">
      <c r="U5548" s="61" ph="1"/>
    </row>
    <row r="5549" spans="21:21" ht="26.4">
      <c r="U5549" s="61" ph="1"/>
    </row>
    <row r="5550" spans="21:21" ht="26.4">
      <c r="U5550" s="61" ph="1"/>
    </row>
    <row r="5551" spans="21:21" ht="26.4">
      <c r="U5551" s="61" ph="1"/>
    </row>
    <row r="5552" spans="21:21" ht="26.4">
      <c r="U5552" s="61" ph="1"/>
    </row>
    <row r="5553" spans="21:21" ht="26.4">
      <c r="U5553" s="61" ph="1"/>
    </row>
    <row r="5554" spans="21:21" ht="26.4">
      <c r="U5554" s="61" ph="1"/>
    </row>
    <row r="5555" spans="21:21" ht="26.4">
      <c r="U5555" s="61" ph="1"/>
    </row>
    <row r="5556" spans="21:21" ht="26.4">
      <c r="U5556" s="61" ph="1"/>
    </row>
    <row r="5557" spans="21:21" ht="26.4">
      <c r="U5557" s="61" ph="1"/>
    </row>
    <row r="5558" spans="21:21" ht="26.4">
      <c r="U5558" s="61" ph="1"/>
    </row>
    <row r="5559" spans="21:21" ht="26.4">
      <c r="U5559" s="61" ph="1"/>
    </row>
    <row r="5560" spans="21:21" ht="26.4">
      <c r="U5560" s="61" ph="1"/>
    </row>
    <row r="5561" spans="21:21" ht="26.4">
      <c r="U5561" s="61" ph="1"/>
    </row>
    <row r="5562" spans="21:21" ht="26.4">
      <c r="U5562" s="61" ph="1"/>
    </row>
    <row r="5563" spans="21:21" ht="26.4">
      <c r="U5563" s="61" ph="1"/>
    </row>
    <row r="5564" spans="21:21" ht="26.4">
      <c r="U5564" s="61" ph="1"/>
    </row>
    <row r="5565" spans="21:21" ht="26.4">
      <c r="U5565" s="61" ph="1"/>
    </row>
    <row r="5566" spans="21:21" ht="26.4">
      <c r="U5566" s="61" ph="1"/>
    </row>
    <row r="5567" spans="21:21" ht="26.4">
      <c r="U5567" s="61" ph="1"/>
    </row>
    <row r="5568" spans="21:21" ht="26.4">
      <c r="U5568" s="61" ph="1"/>
    </row>
    <row r="5569" spans="21:21" ht="26.4">
      <c r="U5569" s="61" ph="1"/>
    </row>
    <row r="5570" spans="21:21" ht="26.4">
      <c r="U5570" s="61" ph="1"/>
    </row>
    <row r="5571" spans="21:21" ht="26.4">
      <c r="U5571" s="61" ph="1"/>
    </row>
    <row r="5572" spans="21:21" ht="26.4">
      <c r="U5572" s="61" ph="1"/>
    </row>
    <row r="5573" spans="21:21" ht="26.4">
      <c r="U5573" s="61" ph="1"/>
    </row>
    <row r="5574" spans="21:21" ht="26.4">
      <c r="U5574" s="61" ph="1"/>
    </row>
    <row r="5575" spans="21:21" ht="26.4">
      <c r="U5575" s="61" ph="1"/>
    </row>
    <row r="5576" spans="21:21" ht="26.4">
      <c r="U5576" s="61" ph="1"/>
    </row>
    <row r="5577" spans="21:21" ht="26.4">
      <c r="U5577" s="61" ph="1"/>
    </row>
    <row r="5578" spans="21:21" ht="26.4">
      <c r="U5578" s="61" ph="1"/>
    </row>
    <row r="5579" spans="21:21" ht="26.4">
      <c r="U5579" s="61" ph="1"/>
    </row>
    <row r="5580" spans="21:21" ht="26.4">
      <c r="U5580" s="61" ph="1"/>
    </row>
    <row r="5581" spans="21:21" ht="26.4">
      <c r="U5581" s="61" ph="1"/>
    </row>
    <row r="5582" spans="21:21" ht="26.4">
      <c r="U5582" s="61" ph="1"/>
    </row>
    <row r="5583" spans="21:21" ht="26.4">
      <c r="U5583" s="61" ph="1"/>
    </row>
    <row r="5584" spans="21:21" ht="26.4">
      <c r="U5584" s="61" ph="1"/>
    </row>
    <row r="5585" spans="21:21" ht="26.4">
      <c r="U5585" s="61" ph="1"/>
    </row>
    <row r="5586" spans="21:21" ht="26.4">
      <c r="U5586" s="61" ph="1"/>
    </row>
    <row r="5587" spans="21:21" ht="26.4">
      <c r="U5587" s="61" ph="1"/>
    </row>
    <row r="5588" spans="21:21" ht="26.4">
      <c r="U5588" s="61" ph="1"/>
    </row>
    <row r="5589" spans="21:21" ht="26.4">
      <c r="U5589" s="61" ph="1"/>
    </row>
    <row r="5590" spans="21:21" ht="26.4">
      <c r="U5590" s="61" ph="1"/>
    </row>
    <row r="5591" spans="21:21" ht="26.4">
      <c r="U5591" s="61" ph="1"/>
    </row>
    <row r="5592" spans="21:21" ht="26.4">
      <c r="U5592" s="61" ph="1"/>
    </row>
    <row r="5593" spans="21:21" ht="26.4">
      <c r="U5593" s="61" ph="1"/>
    </row>
    <row r="5594" spans="21:21" ht="26.4">
      <c r="U5594" s="61" ph="1"/>
    </row>
    <row r="5595" spans="21:21" ht="26.4">
      <c r="U5595" s="61" ph="1"/>
    </row>
    <row r="5596" spans="21:21" ht="26.4">
      <c r="U5596" s="61" ph="1"/>
    </row>
    <row r="5597" spans="21:21" ht="26.4">
      <c r="U5597" s="61" ph="1"/>
    </row>
    <row r="5598" spans="21:21" ht="26.4">
      <c r="U5598" s="61" ph="1"/>
    </row>
    <row r="5599" spans="21:21" ht="26.4">
      <c r="U5599" s="61" ph="1"/>
    </row>
    <row r="5600" spans="21:21" ht="26.4">
      <c r="U5600" s="61" ph="1"/>
    </row>
    <row r="5601" spans="21:21" ht="26.4">
      <c r="U5601" s="61" ph="1"/>
    </row>
    <row r="5602" spans="21:21" ht="26.4">
      <c r="U5602" s="61" ph="1"/>
    </row>
    <row r="5603" spans="21:21" ht="26.4">
      <c r="U5603" s="61" ph="1"/>
    </row>
    <row r="5604" spans="21:21" ht="26.4">
      <c r="U5604" s="61" ph="1"/>
    </row>
    <row r="5605" spans="21:21" ht="26.4">
      <c r="U5605" s="61" ph="1"/>
    </row>
    <row r="5606" spans="21:21" ht="26.4">
      <c r="U5606" s="61" ph="1"/>
    </row>
    <row r="5607" spans="21:21" ht="26.4">
      <c r="U5607" s="61" ph="1"/>
    </row>
    <row r="5608" spans="21:21" ht="26.4">
      <c r="U5608" s="61" ph="1"/>
    </row>
    <row r="5609" spans="21:21" ht="26.4">
      <c r="U5609" s="61" ph="1"/>
    </row>
    <row r="5610" spans="21:21" ht="26.4">
      <c r="U5610" s="61" ph="1"/>
    </row>
    <row r="5611" spans="21:21" ht="26.4">
      <c r="U5611" s="61" ph="1"/>
    </row>
    <row r="5612" spans="21:21" ht="26.4">
      <c r="U5612" s="61" ph="1"/>
    </row>
    <row r="5613" spans="21:21" ht="26.4">
      <c r="U5613" s="61" ph="1"/>
    </row>
    <row r="5614" spans="21:21" ht="26.4">
      <c r="U5614" s="61" ph="1"/>
    </row>
    <row r="5615" spans="21:21" ht="26.4">
      <c r="U5615" s="61" ph="1"/>
    </row>
    <row r="5616" spans="21:21" ht="26.4">
      <c r="U5616" s="61" ph="1"/>
    </row>
    <row r="5617" spans="21:21" ht="26.4">
      <c r="U5617" s="61" ph="1"/>
    </row>
    <row r="5618" spans="21:21" ht="26.4">
      <c r="U5618" s="61" ph="1"/>
    </row>
    <row r="5619" spans="21:21" ht="26.4">
      <c r="U5619" s="61" ph="1"/>
    </row>
    <row r="5620" spans="21:21" ht="26.4">
      <c r="U5620" s="61" ph="1"/>
    </row>
    <row r="5621" spans="21:21" ht="26.4">
      <c r="U5621" s="61" ph="1"/>
    </row>
    <row r="5622" spans="21:21" ht="26.4">
      <c r="U5622" s="61" ph="1"/>
    </row>
    <row r="5623" spans="21:21" ht="26.4">
      <c r="U5623" s="61" ph="1"/>
    </row>
    <row r="5624" spans="21:21" ht="26.4">
      <c r="U5624" s="61" ph="1"/>
    </row>
    <row r="5625" spans="21:21" ht="26.4">
      <c r="U5625" s="61" ph="1"/>
    </row>
    <row r="5626" spans="21:21" ht="26.4">
      <c r="U5626" s="61" ph="1"/>
    </row>
    <row r="5627" spans="21:21" ht="26.4">
      <c r="U5627" s="61" ph="1"/>
    </row>
    <row r="5628" spans="21:21" ht="26.4">
      <c r="U5628" s="61" ph="1"/>
    </row>
    <row r="5629" spans="21:21" ht="26.4">
      <c r="U5629" s="61" ph="1"/>
    </row>
    <row r="5630" spans="21:21" ht="26.4">
      <c r="U5630" s="61" ph="1"/>
    </row>
    <row r="5631" spans="21:21" ht="26.4">
      <c r="U5631" s="61" ph="1"/>
    </row>
    <row r="5632" spans="21:21" ht="26.4">
      <c r="U5632" s="61" ph="1"/>
    </row>
    <row r="5633" spans="21:21" ht="26.4">
      <c r="U5633" s="61" ph="1"/>
    </row>
    <row r="5634" spans="21:21" ht="26.4">
      <c r="U5634" s="61" ph="1"/>
    </row>
    <row r="5635" spans="21:21" ht="26.4">
      <c r="U5635" s="61" ph="1"/>
    </row>
    <row r="5636" spans="21:21" ht="26.4">
      <c r="U5636" s="61" ph="1"/>
    </row>
    <row r="5637" spans="21:21" ht="26.4">
      <c r="U5637" s="61" ph="1"/>
    </row>
    <row r="5638" spans="21:21" ht="26.4">
      <c r="U5638" s="61" ph="1"/>
    </row>
    <row r="5639" spans="21:21" ht="26.4">
      <c r="U5639" s="61" ph="1"/>
    </row>
    <row r="5640" spans="21:21" ht="26.4">
      <c r="U5640" s="61" ph="1"/>
    </row>
    <row r="5641" spans="21:21" ht="26.4">
      <c r="U5641" s="61" ph="1"/>
    </row>
    <row r="5642" spans="21:21" ht="26.4">
      <c r="U5642" s="61" ph="1"/>
    </row>
    <row r="5643" spans="21:21" ht="26.4">
      <c r="U5643" s="61" ph="1"/>
    </row>
    <row r="5644" spans="21:21" ht="26.4">
      <c r="U5644" s="61" ph="1"/>
    </row>
    <row r="5645" spans="21:21" ht="26.4">
      <c r="U5645" s="61" ph="1"/>
    </row>
    <row r="5646" spans="21:21" ht="26.4">
      <c r="U5646" s="61" ph="1"/>
    </row>
    <row r="5647" spans="21:21" ht="26.4">
      <c r="U5647" s="61" ph="1"/>
    </row>
    <row r="5648" spans="21:21" ht="26.4">
      <c r="U5648" s="61" ph="1"/>
    </row>
    <row r="5649" spans="21:21" ht="26.4">
      <c r="U5649" s="61" ph="1"/>
    </row>
    <row r="5650" spans="21:21" ht="26.4">
      <c r="U5650" s="61" ph="1"/>
    </row>
    <row r="5651" spans="21:21" ht="26.4">
      <c r="U5651" s="61" ph="1"/>
    </row>
    <row r="5652" spans="21:21" ht="26.4">
      <c r="U5652" s="61" ph="1"/>
    </row>
    <row r="5653" spans="21:21" ht="26.4">
      <c r="U5653" s="61" ph="1"/>
    </row>
    <row r="5654" spans="21:21" ht="26.4">
      <c r="U5654" s="61" ph="1"/>
    </row>
    <row r="5655" spans="21:21" ht="26.4">
      <c r="U5655" s="61" ph="1"/>
    </row>
    <row r="5656" spans="21:21" ht="26.4">
      <c r="U5656" s="61" ph="1"/>
    </row>
    <row r="5657" spans="21:21" ht="26.4">
      <c r="U5657" s="61" ph="1"/>
    </row>
    <row r="5658" spans="21:21" ht="26.4">
      <c r="U5658" s="61" ph="1"/>
    </row>
    <row r="5659" spans="21:21" ht="26.4">
      <c r="U5659" s="61" ph="1"/>
    </row>
    <row r="5660" spans="21:21" ht="26.4">
      <c r="U5660" s="61" ph="1"/>
    </row>
    <row r="5661" spans="21:21" ht="26.4">
      <c r="U5661" s="61" ph="1"/>
    </row>
    <row r="5662" spans="21:21" ht="26.4">
      <c r="U5662" s="61" ph="1"/>
    </row>
    <row r="5663" spans="21:21" ht="26.4">
      <c r="U5663" s="61" ph="1"/>
    </row>
    <row r="5664" spans="21:21" ht="26.4">
      <c r="U5664" s="61" ph="1"/>
    </row>
    <row r="5665" spans="21:21" ht="26.4">
      <c r="U5665" s="61" ph="1"/>
    </row>
    <row r="5666" spans="21:21" ht="26.4">
      <c r="U5666" s="61" ph="1"/>
    </row>
    <row r="5667" spans="21:21" ht="26.4">
      <c r="U5667" s="61" ph="1"/>
    </row>
    <row r="5668" spans="21:21" ht="26.4">
      <c r="U5668" s="61" ph="1"/>
    </row>
    <row r="5669" spans="21:21" ht="26.4">
      <c r="U5669" s="61" ph="1"/>
    </row>
    <row r="5670" spans="21:21" ht="26.4">
      <c r="U5670" s="61" ph="1"/>
    </row>
    <row r="5671" spans="21:21" ht="26.4">
      <c r="U5671" s="61" ph="1"/>
    </row>
    <row r="5672" spans="21:21" ht="26.4">
      <c r="U5672" s="61" ph="1"/>
    </row>
    <row r="5673" spans="21:21" ht="26.4">
      <c r="U5673" s="61" ph="1"/>
    </row>
    <row r="5674" spans="21:21" ht="26.4">
      <c r="U5674" s="61" ph="1"/>
    </row>
    <row r="5675" spans="21:21" ht="26.4">
      <c r="U5675" s="61" ph="1"/>
    </row>
    <row r="5676" spans="21:21" ht="26.4">
      <c r="U5676" s="61" ph="1"/>
    </row>
    <row r="5677" spans="21:21" ht="26.4">
      <c r="U5677" s="61" ph="1"/>
    </row>
    <row r="5678" spans="21:21" ht="26.4">
      <c r="U5678" s="61" ph="1"/>
    </row>
    <row r="5679" spans="21:21" ht="26.4">
      <c r="U5679" s="61" ph="1"/>
    </row>
    <row r="5680" spans="21:21" ht="26.4">
      <c r="U5680" s="61" ph="1"/>
    </row>
    <row r="5681" spans="21:21" ht="26.4">
      <c r="U5681" s="61" ph="1"/>
    </row>
    <row r="5682" spans="21:21" ht="26.4">
      <c r="U5682" s="61" ph="1"/>
    </row>
    <row r="5683" spans="21:21" ht="26.4">
      <c r="U5683" s="61" ph="1"/>
    </row>
    <row r="5684" spans="21:21" ht="26.4">
      <c r="U5684" s="61" ph="1"/>
    </row>
    <row r="5685" spans="21:21" ht="26.4">
      <c r="U5685" s="61" ph="1"/>
    </row>
    <row r="5686" spans="21:21" ht="26.4">
      <c r="U5686" s="61" ph="1"/>
    </row>
    <row r="5687" spans="21:21" ht="26.4">
      <c r="U5687" s="61" ph="1"/>
    </row>
    <row r="5688" spans="21:21" ht="26.4">
      <c r="U5688" s="61" ph="1"/>
    </row>
    <row r="5689" spans="21:21" ht="26.4">
      <c r="U5689" s="61" ph="1"/>
    </row>
    <row r="5690" spans="21:21" ht="26.4">
      <c r="U5690" s="61" ph="1"/>
    </row>
    <row r="5691" spans="21:21" ht="26.4">
      <c r="U5691" s="61" ph="1"/>
    </row>
    <row r="5692" spans="21:21" ht="26.4">
      <c r="U5692" s="61" ph="1"/>
    </row>
    <row r="5693" spans="21:21" ht="26.4">
      <c r="U5693" s="61" ph="1"/>
    </row>
    <row r="5694" spans="21:21" ht="26.4">
      <c r="U5694" s="61" ph="1"/>
    </row>
    <row r="5695" spans="21:21" ht="26.4">
      <c r="U5695" s="61" ph="1"/>
    </row>
    <row r="5696" spans="21:21" ht="26.4">
      <c r="U5696" s="61" ph="1"/>
    </row>
    <row r="5697" spans="21:21" ht="26.4">
      <c r="U5697" s="61" ph="1"/>
    </row>
    <row r="5698" spans="21:21" ht="26.4">
      <c r="U5698" s="61" ph="1"/>
    </row>
    <row r="5699" spans="21:21" ht="26.4">
      <c r="U5699" s="61" ph="1"/>
    </row>
    <row r="5700" spans="21:21" ht="26.4">
      <c r="U5700" s="61" ph="1"/>
    </row>
    <row r="5701" spans="21:21" ht="26.4">
      <c r="U5701" s="61" ph="1"/>
    </row>
    <row r="5702" spans="21:21" ht="26.4">
      <c r="U5702" s="61" ph="1"/>
    </row>
    <row r="5703" spans="21:21" ht="26.4">
      <c r="U5703" s="61" ph="1"/>
    </row>
    <row r="5704" spans="21:21" ht="26.4">
      <c r="U5704" s="61" ph="1"/>
    </row>
    <row r="5705" spans="21:21" ht="26.4">
      <c r="U5705" s="61" ph="1"/>
    </row>
    <row r="5706" spans="21:21" ht="26.4">
      <c r="U5706" s="61" ph="1"/>
    </row>
    <row r="5707" spans="21:21" ht="26.4">
      <c r="U5707" s="61" ph="1"/>
    </row>
    <row r="5708" spans="21:21" ht="26.4">
      <c r="U5708" s="61" ph="1"/>
    </row>
    <row r="5709" spans="21:21" ht="26.4">
      <c r="U5709" s="61" ph="1"/>
    </row>
    <row r="5710" spans="21:21" ht="26.4">
      <c r="U5710" s="61" ph="1"/>
    </row>
    <row r="5711" spans="21:21" ht="26.4">
      <c r="U5711" s="61" ph="1"/>
    </row>
    <row r="5712" spans="21:21" ht="26.4">
      <c r="U5712" s="61" ph="1"/>
    </row>
    <row r="5713" spans="21:21" ht="26.4">
      <c r="U5713" s="61" ph="1"/>
    </row>
    <row r="5714" spans="21:21" ht="26.4">
      <c r="U5714" s="61" ph="1"/>
    </row>
    <row r="5715" spans="21:21" ht="26.4">
      <c r="U5715" s="61" ph="1"/>
    </row>
    <row r="5716" spans="21:21" ht="26.4">
      <c r="U5716" s="61" ph="1"/>
    </row>
    <row r="5717" spans="21:21" ht="26.4">
      <c r="U5717" s="61" ph="1"/>
    </row>
    <row r="5718" spans="21:21" ht="26.4">
      <c r="U5718" s="61" ph="1"/>
    </row>
    <row r="5719" spans="21:21" ht="26.4">
      <c r="U5719" s="61" ph="1"/>
    </row>
    <row r="5720" spans="21:21" ht="26.4">
      <c r="U5720" s="61" ph="1"/>
    </row>
    <row r="5721" spans="21:21" ht="26.4">
      <c r="U5721" s="61" ph="1"/>
    </row>
    <row r="5722" spans="21:21" ht="26.4">
      <c r="U5722" s="61" ph="1"/>
    </row>
    <row r="5723" spans="21:21" ht="26.4">
      <c r="U5723" s="61" ph="1"/>
    </row>
    <row r="5724" spans="21:21" ht="26.4">
      <c r="U5724" s="61" ph="1"/>
    </row>
    <row r="5725" spans="21:21" ht="26.4">
      <c r="U5725" s="61" ph="1"/>
    </row>
    <row r="5726" spans="21:21" ht="26.4">
      <c r="U5726" s="61" ph="1"/>
    </row>
    <row r="5727" spans="21:21" ht="26.4">
      <c r="U5727" s="61" ph="1"/>
    </row>
    <row r="5728" spans="21:21" ht="26.4">
      <c r="U5728" s="61" ph="1"/>
    </row>
    <row r="5729" spans="21:21" ht="26.4">
      <c r="U5729" s="61" ph="1"/>
    </row>
    <row r="5730" spans="21:21" ht="26.4">
      <c r="U5730" s="61" ph="1"/>
    </row>
    <row r="5731" spans="21:21" ht="26.4">
      <c r="U5731" s="61" ph="1"/>
    </row>
    <row r="5732" spans="21:21" ht="26.4">
      <c r="U5732" s="61" ph="1"/>
    </row>
    <row r="5733" spans="21:21" ht="26.4">
      <c r="U5733" s="61" ph="1"/>
    </row>
    <row r="5734" spans="21:21" ht="26.4">
      <c r="U5734" s="61" ph="1"/>
    </row>
    <row r="5735" spans="21:21" ht="26.4">
      <c r="U5735" s="61" ph="1"/>
    </row>
    <row r="5736" spans="21:21" ht="26.4">
      <c r="U5736" s="61" ph="1"/>
    </row>
    <row r="5737" spans="21:21" ht="26.4">
      <c r="U5737" s="61" ph="1"/>
    </row>
    <row r="5738" spans="21:21" ht="26.4">
      <c r="U5738" s="61" ph="1"/>
    </row>
    <row r="5739" spans="21:21" ht="26.4">
      <c r="U5739" s="61" ph="1"/>
    </row>
    <row r="5740" spans="21:21" ht="26.4">
      <c r="U5740" s="61" ph="1"/>
    </row>
    <row r="5741" spans="21:21" ht="26.4">
      <c r="U5741" s="61" ph="1"/>
    </row>
    <row r="5742" spans="21:21" ht="26.4">
      <c r="U5742" s="61" ph="1"/>
    </row>
    <row r="5743" spans="21:21" ht="26.4">
      <c r="U5743" s="61" ph="1"/>
    </row>
    <row r="5744" spans="21:21" ht="26.4">
      <c r="U5744" s="61" ph="1"/>
    </row>
    <row r="5745" spans="21:21" ht="26.4">
      <c r="U5745" s="61" ph="1"/>
    </row>
    <row r="5746" spans="21:21" ht="26.4">
      <c r="U5746" s="61" ph="1"/>
    </row>
    <row r="5747" spans="21:21" ht="26.4">
      <c r="U5747" s="61" ph="1"/>
    </row>
    <row r="5748" spans="21:21" ht="26.4">
      <c r="U5748" s="61" ph="1"/>
    </row>
    <row r="5749" spans="21:21" ht="26.4">
      <c r="U5749" s="61" ph="1"/>
    </row>
    <row r="5750" spans="21:21" ht="26.4">
      <c r="U5750" s="61" ph="1"/>
    </row>
    <row r="5751" spans="21:21" ht="26.4">
      <c r="U5751" s="61" ph="1"/>
    </row>
    <row r="5752" spans="21:21" ht="26.4">
      <c r="U5752" s="61" ph="1"/>
    </row>
    <row r="5753" spans="21:21" ht="26.4">
      <c r="U5753" s="61" ph="1"/>
    </row>
    <row r="5754" spans="21:21" ht="26.4">
      <c r="U5754" s="61" ph="1"/>
    </row>
    <row r="5755" spans="21:21" ht="26.4">
      <c r="U5755" s="61" ph="1"/>
    </row>
    <row r="5756" spans="21:21" ht="26.4">
      <c r="U5756" s="61" ph="1"/>
    </row>
    <row r="5757" spans="21:21" ht="26.4">
      <c r="U5757" s="61" ph="1"/>
    </row>
    <row r="5758" spans="21:21" ht="26.4">
      <c r="U5758" s="61" ph="1"/>
    </row>
    <row r="5759" spans="21:21" ht="26.4">
      <c r="U5759" s="61" ph="1"/>
    </row>
    <row r="5760" spans="21:21" ht="26.4">
      <c r="U5760" s="61" ph="1"/>
    </row>
    <row r="5761" spans="21:21" ht="26.4">
      <c r="U5761" s="61" ph="1"/>
    </row>
    <row r="5762" spans="21:21" ht="26.4">
      <c r="U5762" s="61" ph="1"/>
    </row>
    <row r="5763" spans="21:21" ht="26.4">
      <c r="U5763" s="61" ph="1"/>
    </row>
    <row r="5764" spans="21:21" ht="26.4">
      <c r="U5764" s="61" ph="1"/>
    </row>
    <row r="5765" spans="21:21" ht="26.4">
      <c r="U5765" s="61" ph="1"/>
    </row>
    <row r="5766" spans="21:21" ht="26.4">
      <c r="U5766" s="61" ph="1"/>
    </row>
    <row r="5767" spans="21:21" ht="26.4">
      <c r="U5767" s="61" ph="1"/>
    </row>
    <row r="5768" spans="21:21" ht="26.4">
      <c r="U5768" s="61" ph="1"/>
    </row>
    <row r="5769" spans="21:21" ht="26.4">
      <c r="U5769" s="61" ph="1"/>
    </row>
    <row r="5770" spans="21:21" ht="26.4">
      <c r="U5770" s="61" ph="1"/>
    </row>
    <row r="5771" spans="21:21" ht="26.4">
      <c r="U5771" s="61" ph="1"/>
    </row>
    <row r="5772" spans="21:21" ht="26.4">
      <c r="U5772" s="61" ph="1"/>
    </row>
    <row r="5773" spans="21:21" ht="26.4">
      <c r="U5773" s="61" ph="1"/>
    </row>
    <row r="5774" spans="21:21" ht="26.4">
      <c r="U5774" s="61" ph="1"/>
    </row>
    <row r="5775" spans="21:21" ht="26.4">
      <c r="U5775" s="61" ph="1"/>
    </row>
    <row r="5776" spans="21:21" ht="26.4">
      <c r="U5776" s="61" ph="1"/>
    </row>
    <row r="5777" spans="21:21" ht="26.4">
      <c r="U5777" s="61" ph="1"/>
    </row>
    <row r="5778" spans="21:21" ht="26.4">
      <c r="U5778" s="61" ph="1"/>
    </row>
    <row r="5779" spans="21:21" ht="26.4">
      <c r="U5779" s="61" ph="1"/>
    </row>
    <row r="5780" spans="21:21" ht="26.4">
      <c r="U5780" s="61" ph="1"/>
    </row>
    <row r="5781" spans="21:21" ht="26.4">
      <c r="U5781" s="61" ph="1"/>
    </row>
    <row r="5782" spans="21:21" ht="26.4">
      <c r="U5782" s="61" ph="1"/>
    </row>
    <row r="5783" spans="21:21" ht="26.4">
      <c r="U5783" s="61" ph="1"/>
    </row>
    <row r="5784" spans="21:21" ht="26.4">
      <c r="U5784" s="61" ph="1"/>
    </row>
    <row r="5785" spans="21:21" ht="26.4">
      <c r="U5785" s="61" ph="1"/>
    </row>
    <row r="5786" spans="21:21" ht="26.4">
      <c r="U5786" s="61" ph="1"/>
    </row>
    <row r="5787" spans="21:21" ht="26.4">
      <c r="U5787" s="61" ph="1"/>
    </row>
    <row r="5788" spans="21:21" ht="26.4">
      <c r="U5788" s="61" ph="1"/>
    </row>
    <row r="5789" spans="21:21" ht="26.4">
      <c r="U5789" s="61" ph="1"/>
    </row>
    <row r="5790" spans="21:21" ht="26.4">
      <c r="U5790" s="61" ph="1"/>
    </row>
    <row r="5791" spans="21:21" ht="26.4">
      <c r="U5791" s="61" ph="1"/>
    </row>
    <row r="5792" spans="21:21" ht="26.4">
      <c r="U5792" s="61" ph="1"/>
    </row>
    <row r="5793" spans="21:21" ht="26.4">
      <c r="U5793" s="61" ph="1"/>
    </row>
    <row r="5794" spans="21:21" ht="26.4">
      <c r="U5794" s="61" ph="1"/>
    </row>
    <row r="5795" spans="21:21" ht="26.4">
      <c r="U5795" s="61" ph="1"/>
    </row>
    <row r="5796" spans="21:21" ht="26.4">
      <c r="U5796" s="61" ph="1"/>
    </row>
    <row r="5797" spans="21:21" ht="26.4">
      <c r="U5797" s="61" ph="1"/>
    </row>
    <row r="5798" spans="21:21" ht="26.4">
      <c r="U5798" s="61" ph="1"/>
    </row>
    <row r="5799" spans="21:21" ht="26.4">
      <c r="U5799" s="61" ph="1"/>
    </row>
    <row r="5800" spans="21:21" ht="26.4">
      <c r="U5800" s="61" ph="1"/>
    </row>
    <row r="5801" spans="21:21" ht="26.4">
      <c r="U5801" s="61" ph="1"/>
    </row>
    <row r="5802" spans="21:21" ht="26.4">
      <c r="U5802" s="61" ph="1"/>
    </row>
    <row r="5803" spans="21:21" ht="26.4">
      <c r="U5803" s="61" ph="1"/>
    </row>
    <row r="5804" spans="21:21" ht="26.4">
      <c r="U5804" s="61" ph="1"/>
    </row>
    <row r="5805" spans="21:21" ht="26.4">
      <c r="U5805" s="61" ph="1"/>
    </row>
    <row r="5806" spans="21:21" ht="26.4">
      <c r="U5806" s="61" ph="1"/>
    </row>
    <row r="5807" spans="21:21" ht="26.4">
      <c r="U5807" s="61" ph="1"/>
    </row>
    <row r="5808" spans="21:21" ht="26.4">
      <c r="U5808" s="61" ph="1"/>
    </row>
    <row r="5809" spans="21:21" ht="26.4">
      <c r="U5809" s="61" ph="1"/>
    </row>
    <row r="5810" spans="21:21" ht="26.4">
      <c r="U5810" s="61" ph="1"/>
    </row>
    <row r="5811" spans="21:21" ht="26.4">
      <c r="U5811" s="61" ph="1"/>
    </row>
    <row r="5812" spans="21:21" ht="26.4">
      <c r="U5812" s="61" ph="1"/>
    </row>
    <row r="5813" spans="21:21" ht="26.4">
      <c r="U5813" s="61" ph="1"/>
    </row>
    <row r="5814" spans="21:21" ht="26.4">
      <c r="U5814" s="61" ph="1"/>
    </row>
    <row r="5815" spans="21:21" ht="26.4">
      <c r="U5815" s="61" ph="1"/>
    </row>
    <row r="5816" spans="21:21" ht="26.4">
      <c r="U5816" s="61" ph="1"/>
    </row>
    <row r="5817" spans="21:21" ht="26.4">
      <c r="U5817" s="61" ph="1"/>
    </row>
    <row r="5818" spans="21:21" ht="26.4">
      <c r="U5818" s="61" ph="1"/>
    </row>
    <row r="5819" spans="21:21" ht="26.4">
      <c r="U5819" s="61" ph="1"/>
    </row>
    <row r="5820" spans="21:21" ht="26.4">
      <c r="U5820" s="61" ph="1"/>
    </row>
    <row r="5821" spans="21:21" ht="26.4">
      <c r="U5821" s="61" ph="1"/>
    </row>
    <row r="5822" spans="21:21" ht="26.4">
      <c r="U5822" s="61" ph="1"/>
    </row>
    <row r="5823" spans="21:21" ht="26.4">
      <c r="U5823" s="61" ph="1"/>
    </row>
    <row r="5824" spans="21:21" ht="26.4">
      <c r="U5824" s="61" ph="1"/>
    </row>
    <row r="5825" spans="21:21" ht="26.4">
      <c r="U5825" s="61" ph="1"/>
    </row>
    <row r="5826" spans="21:21" ht="26.4">
      <c r="U5826" s="61" ph="1"/>
    </row>
    <row r="5827" spans="21:21" ht="26.4">
      <c r="U5827" s="61" ph="1"/>
    </row>
    <row r="5828" spans="21:21" ht="26.4">
      <c r="U5828" s="61" ph="1"/>
    </row>
    <row r="5829" spans="21:21" ht="26.4">
      <c r="U5829" s="61" ph="1"/>
    </row>
    <row r="5830" spans="21:21" ht="26.4">
      <c r="U5830" s="61" ph="1"/>
    </row>
    <row r="5831" spans="21:21" ht="26.4">
      <c r="U5831" s="61" ph="1"/>
    </row>
    <row r="5832" spans="21:21" ht="26.4">
      <c r="U5832" s="61" ph="1"/>
    </row>
    <row r="5833" spans="21:21" ht="26.4">
      <c r="U5833" s="61" ph="1"/>
    </row>
    <row r="5834" spans="21:21" ht="26.4">
      <c r="U5834" s="61" ph="1"/>
    </row>
    <row r="5835" spans="21:21" ht="26.4">
      <c r="U5835" s="61" ph="1"/>
    </row>
    <row r="5836" spans="21:21" ht="26.4">
      <c r="U5836" s="61" ph="1"/>
    </row>
    <row r="5837" spans="21:21" ht="26.4">
      <c r="U5837" s="61" ph="1"/>
    </row>
    <row r="5838" spans="21:21" ht="26.4">
      <c r="U5838" s="61" ph="1"/>
    </row>
    <row r="5839" spans="21:21" ht="26.4">
      <c r="U5839" s="61" ph="1"/>
    </row>
    <row r="5840" spans="21:21" ht="26.4">
      <c r="U5840" s="61" ph="1"/>
    </row>
    <row r="5841" spans="21:21" ht="26.4">
      <c r="U5841" s="61" ph="1"/>
    </row>
    <row r="5842" spans="21:21" ht="26.4">
      <c r="U5842" s="61" ph="1"/>
    </row>
    <row r="5843" spans="21:21" ht="26.4">
      <c r="U5843" s="61" ph="1"/>
    </row>
    <row r="5844" spans="21:21" ht="26.4">
      <c r="U5844" s="61" ph="1"/>
    </row>
    <row r="5845" spans="21:21" ht="26.4">
      <c r="U5845" s="61" ph="1"/>
    </row>
    <row r="5846" spans="21:21" ht="26.4">
      <c r="U5846" s="61" ph="1"/>
    </row>
    <row r="5847" spans="21:21" ht="26.4">
      <c r="U5847" s="61" ph="1"/>
    </row>
    <row r="5848" spans="21:21" ht="26.4">
      <c r="U5848" s="61" ph="1"/>
    </row>
    <row r="5849" spans="21:21" ht="26.4">
      <c r="U5849" s="61" ph="1"/>
    </row>
    <row r="5850" spans="21:21" ht="26.4">
      <c r="U5850" s="61" ph="1"/>
    </row>
    <row r="5851" spans="21:21" ht="26.4">
      <c r="U5851" s="61" ph="1"/>
    </row>
    <row r="5852" spans="21:21" ht="26.4">
      <c r="U5852" s="61" ph="1"/>
    </row>
    <row r="5853" spans="21:21" ht="26.4">
      <c r="U5853" s="61" ph="1"/>
    </row>
    <row r="5854" spans="21:21" ht="26.4">
      <c r="U5854" s="61" ph="1"/>
    </row>
    <row r="5855" spans="21:21" ht="26.4">
      <c r="U5855" s="61" ph="1"/>
    </row>
    <row r="5856" spans="21:21" ht="26.4">
      <c r="U5856" s="61" ph="1"/>
    </row>
    <row r="5857" spans="21:21" ht="26.4">
      <c r="U5857" s="61" ph="1"/>
    </row>
    <row r="5858" spans="21:21" ht="26.4">
      <c r="U5858" s="61" ph="1"/>
    </row>
    <row r="5859" spans="21:21" ht="26.4">
      <c r="U5859" s="61" ph="1"/>
    </row>
    <row r="5860" spans="21:21" ht="26.4">
      <c r="U5860" s="61" ph="1"/>
    </row>
    <row r="5861" spans="21:21" ht="26.4">
      <c r="U5861" s="61" ph="1"/>
    </row>
    <row r="5862" spans="21:21" ht="26.4">
      <c r="U5862" s="61" ph="1"/>
    </row>
    <row r="5863" spans="21:21" ht="26.4">
      <c r="U5863" s="61" ph="1"/>
    </row>
    <row r="5864" spans="21:21" ht="26.4">
      <c r="U5864" s="61" ph="1"/>
    </row>
    <row r="5865" spans="21:21" ht="26.4">
      <c r="U5865" s="61" ph="1"/>
    </row>
    <row r="5866" spans="21:21" ht="26.4">
      <c r="U5866" s="61" ph="1"/>
    </row>
    <row r="5867" spans="21:21" ht="26.4">
      <c r="U5867" s="61" ph="1"/>
    </row>
    <row r="5868" spans="21:21" ht="26.4">
      <c r="U5868" s="61" ph="1"/>
    </row>
    <row r="5869" spans="21:21" ht="26.4">
      <c r="U5869" s="61" ph="1"/>
    </row>
    <row r="5870" spans="21:21" ht="26.4">
      <c r="U5870" s="61" ph="1"/>
    </row>
    <row r="5871" spans="21:21" ht="26.4">
      <c r="U5871" s="61" ph="1"/>
    </row>
    <row r="5872" spans="21:21" ht="26.4">
      <c r="U5872" s="61" ph="1"/>
    </row>
    <row r="5873" spans="21:21" ht="26.4">
      <c r="U5873" s="61" ph="1"/>
    </row>
    <row r="5874" spans="21:21" ht="26.4">
      <c r="U5874" s="61" ph="1"/>
    </row>
    <row r="5875" spans="21:21" ht="26.4">
      <c r="U5875" s="61" ph="1"/>
    </row>
    <row r="5876" spans="21:21" ht="26.4">
      <c r="U5876" s="61" ph="1"/>
    </row>
    <row r="5877" spans="21:21" ht="26.4">
      <c r="U5877" s="61" ph="1"/>
    </row>
    <row r="5878" spans="21:21" ht="26.4">
      <c r="U5878" s="61" ph="1"/>
    </row>
    <row r="5879" spans="21:21" ht="26.4">
      <c r="U5879" s="61" ph="1"/>
    </row>
    <row r="5880" spans="21:21" ht="26.4">
      <c r="U5880" s="61" ph="1"/>
    </row>
    <row r="5881" spans="21:21" ht="26.4">
      <c r="U5881" s="61" ph="1"/>
    </row>
    <row r="5882" spans="21:21" ht="26.4">
      <c r="U5882" s="61" ph="1"/>
    </row>
    <row r="5883" spans="21:21" ht="26.4">
      <c r="U5883" s="61" ph="1"/>
    </row>
    <row r="5884" spans="21:21" ht="26.4">
      <c r="U5884" s="61" ph="1"/>
    </row>
    <row r="5885" spans="21:21" ht="26.4">
      <c r="U5885" s="61" ph="1"/>
    </row>
    <row r="5886" spans="21:21" ht="26.4">
      <c r="U5886" s="61" ph="1"/>
    </row>
    <row r="5887" spans="21:21" ht="26.4">
      <c r="U5887" s="61" ph="1"/>
    </row>
    <row r="5888" spans="21:21" ht="26.4">
      <c r="U5888" s="61" ph="1"/>
    </row>
    <row r="5889" spans="21:21" ht="26.4">
      <c r="U5889" s="61" ph="1"/>
    </row>
    <row r="5890" spans="21:21" ht="26.4">
      <c r="U5890" s="61" ph="1"/>
    </row>
    <row r="5891" spans="21:21" ht="26.4">
      <c r="U5891" s="61" ph="1"/>
    </row>
    <row r="5892" spans="21:21" ht="26.4">
      <c r="U5892" s="61" ph="1"/>
    </row>
    <row r="5893" spans="21:21" ht="26.4">
      <c r="U5893" s="61" ph="1"/>
    </row>
    <row r="5894" spans="21:21" ht="26.4">
      <c r="U5894" s="61" ph="1"/>
    </row>
    <row r="5895" spans="21:21" ht="26.4">
      <c r="U5895" s="61" ph="1"/>
    </row>
    <row r="5896" spans="21:21" ht="26.4">
      <c r="U5896" s="61" ph="1"/>
    </row>
    <row r="5897" spans="21:21" ht="26.4">
      <c r="U5897" s="61" ph="1"/>
    </row>
    <row r="5898" spans="21:21" ht="26.4">
      <c r="U5898" s="61" ph="1"/>
    </row>
    <row r="5899" spans="21:21" ht="26.4">
      <c r="U5899" s="61" ph="1"/>
    </row>
    <row r="5900" spans="21:21" ht="26.4">
      <c r="U5900" s="61" ph="1"/>
    </row>
    <row r="5901" spans="21:21" ht="26.4">
      <c r="U5901" s="61" ph="1"/>
    </row>
    <row r="5902" spans="21:21" ht="26.4">
      <c r="U5902" s="61" ph="1"/>
    </row>
    <row r="5903" spans="21:21" ht="26.4">
      <c r="U5903" s="61" ph="1"/>
    </row>
    <row r="5904" spans="21:21" ht="26.4">
      <c r="U5904" s="61" ph="1"/>
    </row>
    <row r="5905" spans="21:21" ht="26.4">
      <c r="U5905" s="61" ph="1"/>
    </row>
    <row r="5906" spans="21:21" ht="26.4">
      <c r="U5906" s="61" ph="1"/>
    </row>
    <row r="5907" spans="21:21" ht="26.4">
      <c r="U5907" s="61" ph="1"/>
    </row>
    <row r="5908" spans="21:21" ht="26.4">
      <c r="U5908" s="61" ph="1"/>
    </row>
    <row r="5909" spans="21:21" ht="26.4">
      <c r="U5909" s="61" ph="1"/>
    </row>
    <row r="5910" spans="21:21" ht="26.4">
      <c r="U5910" s="61" ph="1"/>
    </row>
    <row r="5911" spans="21:21" ht="26.4">
      <c r="U5911" s="61" ph="1"/>
    </row>
    <row r="5912" spans="21:21" ht="26.4">
      <c r="U5912" s="61" ph="1"/>
    </row>
    <row r="5913" spans="21:21" ht="26.4">
      <c r="U5913" s="61" ph="1"/>
    </row>
    <row r="5914" spans="21:21" ht="26.4">
      <c r="U5914" s="61" ph="1"/>
    </row>
    <row r="5915" spans="21:21" ht="26.4">
      <c r="U5915" s="61" ph="1"/>
    </row>
    <row r="5916" spans="21:21" ht="26.4">
      <c r="U5916" s="61" ph="1"/>
    </row>
    <row r="5917" spans="21:21" ht="26.4">
      <c r="U5917" s="61" ph="1"/>
    </row>
    <row r="5918" spans="21:21" ht="26.4">
      <c r="U5918" s="61" ph="1"/>
    </row>
    <row r="5919" spans="21:21" ht="26.4">
      <c r="U5919" s="61" ph="1"/>
    </row>
    <row r="5920" spans="21:21" ht="26.4">
      <c r="U5920" s="61" ph="1"/>
    </row>
    <row r="5921" spans="21:21" ht="26.4">
      <c r="U5921" s="61" ph="1"/>
    </row>
    <row r="5922" spans="21:21" ht="26.4">
      <c r="U5922" s="61" ph="1"/>
    </row>
    <row r="5923" spans="21:21" ht="26.4">
      <c r="U5923" s="61" ph="1"/>
    </row>
    <row r="5924" spans="21:21" ht="26.4">
      <c r="U5924" s="61" ph="1"/>
    </row>
    <row r="5925" spans="21:21" ht="26.4">
      <c r="U5925" s="61" ph="1"/>
    </row>
    <row r="5926" spans="21:21" ht="26.4">
      <c r="U5926" s="61" ph="1"/>
    </row>
    <row r="5927" spans="21:21" ht="26.4">
      <c r="U5927" s="61" ph="1"/>
    </row>
    <row r="5928" spans="21:21" ht="26.4">
      <c r="U5928" s="61" ph="1"/>
    </row>
    <row r="5929" spans="21:21" ht="26.4">
      <c r="U5929" s="61" ph="1"/>
    </row>
    <row r="5930" spans="21:21" ht="26.4">
      <c r="U5930" s="61" ph="1"/>
    </row>
    <row r="5931" spans="21:21" ht="26.4">
      <c r="U5931" s="61" ph="1"/>
    </row>
    <row r="5932" spans="21:21" ht="26.4">
      <c r="U5932" s="61" ph="1"/>
    </row>
    <row r="5933" spans="21:21" ht="26.4">
      <c r="U5933" s="61" ph="1"/>
    </row>
    <row r="5934" spans="21:21" ht="26.4">
      <c r="U5934" s="61" ph="1"/>
    </row>
    <row r="5935" spans="21:21" ht="26.4">
      <c r="U5935" s="61" ph="1"/>
    </row>
    <row r="5936" spans="21:21" ht="26.4">
      <c r="U5936" s="61" ph="1"/>
    </row>
    <row r="5937" spans="21:21" ht="26.4">
      <c r="U5937" s="61" ph="1"/>
    </row>
    <row r="5938" spans="21:21" ht="26.4">
      <c r="U5938" s="61" ph="1"/>
    </row>
    <row r="5939" spans="21:21" ht="26.4">
      <c r="U5939" s="61" ph="1"/>
    </row>
    <row r="5940" spans="21:21" ht="26.4">
      <c r="U5940" s="61" ph="1"/>
    </row>
    <row r="5941" spans="21:21" ht="26.4">
      <c r="U5941" s="61" ph="1"/>
    </row>
    <row r="5942" spans="21:21" ht="26.4">
      <c r="U5942" s="61" ph="1"/>
    </row>
    <row r="5943" spans="21:21" ht="26.4">
      <c r="U5943" s="61" ph="1"/>
    </row>
    <row r="5944" spans="21:21" ht="26.4">
      <c r="U5944" s="61" ph="1"/>
    </row>
    <row r="5945" spans="21:21" ht="26.4">
      <c r="U5945" s="61" ph="1"/>
    </row>
    <row r="5946" spans="21:21" ht="26.4">
      <c r="U5946" s="61" ph="1"/>
    </row>
    <row r="5947" spans="21:21" ht="26.4">
      <c r="U5947" s="61" ph="1"/>
    </row>
    <row r="5948" spans="21:21" ht="26.4">
      <c r="U5948" s="61" ph="1"/>
    </row>
    <row r="5949" spans="21:21" ht="26.4">
      <c r="U5949" s="61" ph="1"/>
    </row>
    <row r="5950" spans="21:21" ht="26.4">
      <c r="U5950" s="61" ph="1"/>
    </row>
    <row r="5951" spans="21:21" ht="26.4">
      <c r="U5951" s="61" ph="1"/>
    </row>
    <row r="5952" spans="21:21" ht="26.4">
      <c r="U5952" s="61" ph="1"/>
    </row>
    <row r="5953" spans="21:21" ht="26.4">
      <c r="U5953" s="61" ph="1"/>
    </row>
    <row r="5954" spans="21:21" ht="26.4">
      <c r="U5954" s="61" ph="1"/>
    </row>
    <row r="5955" spans="21:21" ht="26.4">
      <c r="U5955" s="61" ph="1"/>
    </row>
    <row r="5956" spans="21:21" ht="26.4">
      <c r="U5956" s="61" ph="1"/>
    </row>
    <row r="5957" spans="21:21" ht="26.4">
      <c r="U5957" s="61" ph="1"/>
    </row>
    <row r="5958" spans="21:21" ht="26.4">
      <c r="U5958" s="61" ph="1"/>
    </row>
    <row r="5959" spans="21:21" ht="26.4">
      <c r="U5959" s="61" ph="1"/>
    </row>
    <row r="5960" spans="21:21" ht="26.4">
      <c r="U5960" s="61" ph="1"/>
    </row>
    <row r="5961" spans="21:21" ht="26.4">
      <c r="U5961" s="61" ph="1"/>
    </row>
    <row r="5962" spans="21:21" ht="26.4">
      <c r="U5962" s="61" ph="1"/>
    </row>
    <row r="5963" spans="21:21" ht="26.4">
      <c r="U5963" s="61" ph="1"/>
    </row>
    <row r="5964" spans="21:21" ht="26.4">
      <c r="U5964" s="61" ph="1"/>
    </row>
    <row r="5965" spans="21:21" ht="26.4">
      <c r="U5965" s="61" ph="1"/>
    </row>
    <row r="5966" spans="21:21" ht="26.4">
      <c r="U5966" s="61" ph="1"/>
    </row>
    <row r="5967" spans="21:21" ht="26.4">
      <c r="U5967" s="61" ph="1"/>
    </row>
    <row r="5968" spans="21:21" ht="26.4">
      <c r="U5968" s="61" ph="1"/>
    </row>
    <row r="5969" spans="21:21" ht="26.4">
      <c r="U5969" s="61" ph="1"/>
    </row>
    <row r="5970" spans="21:21" ht="26.4">
      <c r="U5970" s="61" ph="1"/>
    </row>
    <row r="5971" spans="21:21" ht="26.4">
      <c r="U5971" s="61" ph="1"/>
    </row>
    <row r="5972" spans="21:21" ht="26.4">
      <c r="U5972" s="61" ph="1"/>
    </row>
    <row r="5973" spans="21:21" ht="26.4">
      <c r="U5973" s="61" ph="1"/>
    </row>
    <row r="5974" spans="21:21" ht="26.4">
      <c r="U5974" s="61" ph="1"/>
    </row>
    <row r="5975" spans="21:21" ht="26.4">
      <c r="U5975" s="61" ph="1"/>
    </row>
    <row r="5976" spans="21:21" ht="26.4">
      <c r="U5976" s="61" ph="1"/>
    </row>
    <row r="5977" spans="21:21" ht="26.4">
      <c r="U5977" s="61" ph="1"/>
    </row>
    <row r="5978" spans="21:21" ht="26.4">
      <c r="U5978" s="61" ph="1"/>
    </row>
    <row r="5979" spans="21:21" ht="26.4">
      <c r="U5979" s="61" ph="1"/>
    </row>
    <row r="5980" spans="21:21" ht="26.4">
      <c r="U5980" s="61" ph="1"/>
    </row>
    <row r="5981" spans="21:21" ht="26.4">
      <c r="U5981" s="61" ph="1"/>
    </row>
    <row r="5982" spans="21:21" ht="26.4">
      <c r="U5982" s="61" ph="1"/>
    </row>
    <row r="5983" spans="21:21" ht="26.4">
      <c r="U5983" s="61" ph="1"/>
    </row>
    <row r="5984" spans="21:21" ht="26.4">
      <c r="U5984" s="61" ph="1"/>
    </row>
    <row r="5985" spans="21:21" ht="26.4">
      <c r="U5985" s="61" ph="1"/>
    </row>
    <row r="5986" spans="21:21" ht="26.4">
      <c r="U5986" s="61" ph="1"/>
    </row>
    <row r="5987" spans="21:21" ht="26.4">
      <c r="U5987" s="61" ph="1"/>
    </row>
    <row r="5988" spans="21:21" ht="26.4">
      <c r="U5988" s="61" ph="1"/>
    </row>
    <row r="5989" spans="21:21" ht="26.4">
      <c r="U5989" s="61" ph="1"/>
    </row>
    <row r="5990" spans="21:21" ht="26.4">
      <c r="U5990" s="61" ph="1"/>
    </row>
    <row r="5991" spans="21:21" ht="26.4">
      <c r="U5991" s="61" ph="1"/>
    </row>
    <row r="5992" spans="21:21" ht="26.4">
      <c r="U5992" s="61" ph="1"/>
    </row>
    <row r="5993" spans="21:21" ht="26.4">
      <c r="U5993" s="61" ph="1"/>
    </row>
    <row r="5994" spans="21:21" ht="26.4">
      <c r="U5994" s="61" ph="1"/>
    </row>
    <row r="5995" spans="21:21" ht="26.4">
      <c r="U5995" s="61" ph="1"/>
    </row>
    <row r="5996" spans="21:21" ht="26.4">
      <c r="U5996" s="61" ph="1"/>
    </row>
    <row r="5997" spans="21:21" ht="26.4">
      <c r="U5997" s="61" ph="1"/>
    </row>
    <row r="5998" spans="21:21" ht="26.4">
      <c r="U5998" s="61" ph="1"/>
    </row>
    <row r="5999" spans="21:21" ht="26.4">
      <c r="U5999" s="61" ph="1"/>
    </row>
    <row r="6000" spans="21:21" ht="26.4">
      <c r="U6000" s="61" ph="1"/>
    </row>
    <row r="6001" spans="21:21" ht="26.4">
      <c r="U6001" s="61" ph="1"/>
    </row>
    <row r="6002" spans="21:21" ht="26.4">
      <c r="U6002" s="61" ph="1"/>
    </row>
    <row r="6003" spans="21:21" ht="26.4">
      <c r="U6003" s="61" ph="1"/>
    </row>
    <row r="6004" spans="21:21" ht="26.4">
      <c r="U6004" s="61" ph="1"/>
    </row>
    <row r="6005" spans="21:21" ht="26.4">
      <c r="U6005" s="61" ph="1"/>
    </row>
    <row r="6006" spans="21:21" ht="26.4">
      <c r="U6006" s="61" ph="1"/>
    </row>
    <row r="6007" spans="21:21" ht="26.4">
      <c r="U6007" s="61" ph="1"/>
    </row>
    <row r="6008" spans="21:21" ht="26.4">
      <c r="U6008" s="61" ph="1"/>
    </row>
    <row r="6009" spans="21:21" ht="26.4">
      <c r="U6009" s="61" ph="1"/>
    </row>
    <row r="6010" spans="21:21" ht="26.4">
      <c r="U6010" s="61" ph="1"/>
    </row>
    <row r="6011" spans="21:21" ht="26.4">
      <c r="U6011" s="61" ph="1"/>
    </row>
    <row r="6012" spans="21:21" ht="26.4">
      <c r="U6012" s="61" ph="1"/>
    </row>
    <row r="6013" spans="21:21" ht="26.4">
      <c r="U6013" s="61" ph="1"/>
    </row>
    <row r="6014" spans="21:21" ht="26.4">
      <c r="U6014" s="61" ph="1"/>
    </row>
    <row r="6015" spans="21:21" ht="26.4">
      <c r="U6015" s="61" ph="1"/>
    </row>
    <row r="6016" spans="21:21" ht="26.4">
      <c r="U6016" s="61" ph="1"/>
    </row>
    <row r="6017" spans="21:21" ht="26.4">
      <c r="U6017" s="61" ph="1"/>
    </row>
    <row r="6018" spans="21:21" ht="26.4">
      <c r="U6018" s="61" ph="1"/>
    </row>
    <row r="6019" spans="21:21" ht="26.4">
      <c r="U6019" s="61" ph="1"/>
    </row>
    <row r="6020" spans="21:21" ht="26.4">
      <c r="U6020" s="61" ph="1"/>
    </row>
    <row r="6021" spans="21:21" ht="26.4">
      <c r="U6021" s="61" ph="1"/>
    </row>
    <row r="6022" spans="21:21" ht="26.4">
      <c r="U6022" s="61" ph="1"/>
    </row>
    <row r="6023" spans="21:21" ht="26.4">
      <c r="U6023" s="61" ph="1"/>
    </row>
    <row r="6024" spans="21:21" ht="26.4">
      <c r="U6024" s="61" ph="1"/>
    </row>
    <row r="6025" spans="21:21" ht="26.4">
      <c r="U6025" s="61" ph="1"/>
    </row>
    <row r="6026" spans="21:21" ht="26.4">
      <c r="U6026" s="61" ph="1"/>
    </row>
    <row r="6027" spans="21:21" ht="26.4">
      <c r="U6027" s="61" ph="1"/>
    </row>
    <row r="6028" spans="21:21" ht="26.4">
      <c r="U6028" s="61" ph="1"/>
    </row>
    <row r="6029" spans="21:21" ht="26.4">
      <c r="U6029" s="61" ph="1"/>
    </row>
    <row r="6030" spans="21:21" ht="26.4">
      <c r="U6030" s="61" ph="1"/>
    </row>
    <row r="6031" spans="21:21" ht="26.4">
      <c r="U6031" s="61" ph="1"/>
    </row>
    <row r="6032" spans="21:21" ht="26.4">
      <c r="U6032" s="61" ph="1"/>
    </row>
    <row r="6033" spans="21:21" ht="26.4">
      <c r="U6033" s="61" ph="1"/>
    </row>
    <row r="6034" spans="21:21" ht="26.4">
      <c r="U6034" s="61" ph="1"/>
    </row>
    <row r="6035" spans="21:21" ht="26.4">
      <c r="U6035" s="61" ph="1"/>
    </row>
    <row r="6036" spans="21:21" ht="26.4">
      <c r="U6036" s="61" ph="1"/>
    </row>
    <row r="6037" spans="21:21" ht="26.4">
      <c r="U6037" s="61" ph="1"/>
    </row>
    <row r="6038" spans="21:21" ht="26.4">
      <c r="U6038" s="61" ph="1"/>
    </row>
    <row r="6039" spans="21:21" ht="26.4">
      <c r="U6039" s="61" ph="1"/>
    </row>
    <row r="6040" spans="21:21" ht="26.4">
      <c r="U6040" s="61" ph="1"/>
    </row>
    <row r="6041" spans="21:21" ht="26.4">
      <c r="U6041" s="61" ph="1"/>
    </row>
    <row r="6042" spans="21:21" ht="26.4">
      <c r="U6042" s="61" ph="1"/>
    </row>
    <row r="6043" spans="21:21" ht="26.4">
      <c r="U6043" s="61" ph="1"/>
    </row>
    <row r="6044" spans="21:21" ht="26.4">
      <c r="U6044" s="61" ph="1"/>
    </row>
    <row r="6045" spans="21:21" ht="26.4">
      <c r="U6045" s="61" ph="1"/>
    </row>
    <row r="6046" spans="21:21" ht="26.4">
      <c r="U6046" s="61" ph="1"/>
    </row>
    <row r="6047" spans="21:21" ht="26.4">
      <c r="U6047" s="61" ph="1"/>
    </row>
    <row r="6048" spans="21:21" ht="26.4">
      <c r="U6048" s="61" ph="1"/>
    </row>
    <row r="6049" spans="21:21" ht="26.4">
      <c r="U6049" s="61" ph="1"/>
    </row>
    <row r="6050" spans="21:21" ht="26.4">
      <c r="U6050" s="61" ph="1"/>
    </row>
    <row r="6051" spans="21:21" ht="26.4">
      <c r="U6051" s="61" ph="1"/>
    </row>
    <row r="6052" spans="21:21" ht="26.4">
      <c r="U6052" s="61" ph="1"/>
    </row>
    <row r="6053" spans="21:21" ht="26.4">
      <c r="U6053" s="61" ph="1"/>
    </row>
    <row r="6054" spans="21:21" ht="26.4">
      <c r="U6054" s="61" ph="1"/>
    </row>
    <row r="6055" spans="21:21" ht="26.4">
      <c r="U6055" s="61" ph="1"/>
    </row>
    <row r="6056" spans="21:21" ht="26.4">
      <c r="U6056" s="61" ph="1"/>
    </row>
    <row r="6057" spans="21:21" ht="26.4">
      <c r="U6057" s="61" ph="1"/>
    </row>
    <row r="6058" spans="21:21" ht="26.4">
      <c r="U6058" s="61" ph="1"/>
    </row>
    <row r="6059" spans="21:21" ht="26.4">
      <c r="U6059" s="61" ph="1"/>
    </row>
    <row r="6060" spans="21:21" ht="26.4">
      <c r="U6060" s="61" ph="1"/>
    </row>
    <row r="6061" spans="21:21" ht="26.4">
      <c r="U6061" s="61" ph="1"/>
    </row>
    <row r="6062" spans="21:21" ht="26.4">
      <c r="U6062" s="61" ph="1"/>
    </row>
    <row r="6063" spans="21:21" ht="26.4">
      <c r="U6063" s="61" ph="1"/>
    </row>
    <row r="6064" spans="21:21" ht="26.4">
      <c r="U6064" s="61" ph="1"/>
    </row>
    <row r="6065" spans="21:21" ht="26.4">
      <c r="U6065" s="61" ph="1"/>
    </row>
    <row r="6066" spans="21:21" ht="26.4">
      <c r="U6066" s="61" ph="1"/>
    </row>
    <row r="6067" spans="21:21" ht="26.4">
      <c r="U6067" s="61" ph="1"/>
    </row>
    <row r="6068" spans="21:21" ht="26.4">
      <c r="U6068" s="61" ph="1"/>
    </row>
    <row r="6069" spans="21:21" ht="26.4">
      <c r="U6069" s="61" ph="1"/>
    </row>
    <row r="6070" spans="21:21" ht="26.4">
      <c r="U6070" s="61" ph="1"/>
    </row>
    <row r="6071" spans="21:21" ht="26.4">
      <c r="U6071" s="61" ph="1"/>
    </row>
    <row r="6072" spans="21:21" ht="26.4">
      <c r="U6072" s="61" ph="1"/>
    </row>
    <row r="6073" spans="21:21" ht="26.4">
      <c r="U6073" s="61" ph="1"/>
    </row>
    <row r="6074" spans="21:21" ht="26.4">
      <c r="U6074" s="61" ph="1"/>
    </row>
    <row r="6075" spans="21:21" ht="26.4">
      <c r="U6075" s="61" ph="1"/>
    </row>
    <row r="6076" spans="21:21" ht="26.4">
      <c r="U6076" s="61" ph="1"/>
    </row>
    <row r="6077" spans="21:21" ht="26.4">
      <c r="U6077" s="61" ph="1"/>
    </row>
  </sheetData>
  <phoneticPr fontId="1" type="noConversion"/>
  <conditionalFormatting sqref="P1:Q1048576 S1:S1048576">
    <cfRule type="cellIs" dxfId="36" priority="186" operator="between">
      <formula>100</formula>
      <formula>1</formula>
    </cfRule>
  </conditionalFormatting>
  <conditionalFormatting sqref="R1:R1048576">
    <cfRule type="cellIs" dxfId="35" priority="185" operator="between">
      <formula>200</formula>
      <formula>1</formula>
    </cfRule>
  </conditionalFormatting>
  <conditionalFormatting sqref="T1:T1048576">
    <cfRule type="cellIs" dxfId="34" priority="164" operator="between">
      <formula>100</formula>
      <formula>1</formula>
    </cfRule>
  </conditionalFormatting>
  <conditionalFormatting sqref="B68:E342 B59:E64 B50:E51 B53:E54 B16:E39 B12:E14">
    <cfRule type="cellIs" dxfId="33" priority="160" operator="lessThan">
      <formula>0</formula>
    </cfRule>
  </conditionalFormatting>
  <conditionalFormatting sqref="F68:F342 F59:F64 F50:F51 F53:F54 F16:F39 F12:F14">
    <cfRule type="cellIs" dxfId="32" priority="159" operator="greaterThan">
      <formula>10</formula>
    </cfRule>
  </conditionalFormatting>
  <conditionalFormatting sqref="A16:A39 A68:A69 A61 A63">
    <cfRule type="expression" dxfId="31" priority="158">
      <formula>IF($F16&gt;0,$A16,"")</formula>
    </cfRule>
  </conditionalFormatting>
  <conditionalFormatting sqref="A12:A14">
    <cfRule type="expression" dxfId="30" priority="155">
      <formula>IF($F12&gt;0,$A12,"")</formula>
    </cfRule>
  </conditionalFormatting>
  <conditionalFormatting sqref="A50:A51">
    <cfRule type="expression" dxfId="29" priority="152">
      <formula>IF($F50&gt;0,$A50,"")</formula>
    </cfRule>
  </conditionalFormatting>
  <conditionalFormatting sqref="A53:A54">
    <cfRule type="expression" dxfId="28" priority="149">
      <formula>IF($F53&gt;0,$A53,"")</formula>
    </cfRule>
  </conditionalFormatting>
  <conditionalFormatting sqref="A62 A64">
    <cfRule type="expression" dxfId="27" priority="143">
      <formula>IF($F62&gt;0,$A62,"")</formula>
    </cfRule>
  </conditionalFormatting>
  <conditionalFormatting sqref="A70:A342">
    <cfRule type="expression" dxfId="26" priority="137">
      <formula>IF($F70&gt;0,$A70,"")</formula>
    </cfRule>
  </conditionalFormatting>
  <conditionalFormatting sqref="U68:U342 U59:U64 U50:U51 U53:U54 U16:U39 U12:U14">
    <cfRule type="cellIs" dxfId="25" priority="136" operator="greaterThanOrEqual">
      <formula>3</formula>
    </cfRule>
  </conditionalFormatting>
  <conditionalFormatting sqref="W12:W14 W20:W39 W68:W69 W61 W63">
    <cfRule type="expression" dxfId="24" priority="135">
      <formula>IF($W12&lt;$U12,$W12,"")</formula>
    </cfRule>
  </conditionalFormatting>
  <conditionalFormatting sqref="W16:W19">
    <cfRule type="expression" dxfId="23" priority="133">
      <formula>IF($W16&lt;$U16,$W16,"")</formula>
    </cfRule>
  </conditionalFormatting>
  <conditionalFormatting sqref="W50:W51">
    <cfRule type="expression" dxfId="22" priority="131">
      <formula>IF($W50&lt;$U50,$W50,"")</formula>
    </cfRule>
  </conditionalFormatting>
  <conditionalFormatting sqref="W53:W54">
    <cfRule type="expression" dxfId="21" priority="129">
      <formula>IF($W53&lt;$U53,$W53,"")</formula>
    </cfRule>
  </conditionalFormatting>
  <conditionalFormatting sqref="W62 W64">
    <cfRule type="expression" dxfId="20" priority="125">
      <formula>IF($W62&lt;$U62,$W62,"")</formula>
    </cfRule>
  </conditionalFormatting>
  <conditionalFormatting sqref="W70:W342">
    <cfRule type="expression" dxfId="19" priority="121">
      <formula>IF($W70&lt;$U70,$W70,"")</formula>
    </cfRule>
  </conditionalFormatting>
  <conditionalFormatting sqref="A59:A60">
    <cfRule type="expression" dxfId="18" priority="11">
      <formula>IF($F59&gt;0,$A59,"")</formula>
    </cfRule>
  </conditionalFormatting>
  <conditionalFormatting sqref="W59:W60">
    <cfRule type="expression" dxfId="17" priority="9">
      <formula>IF($W59&lt;$U59,$W59,"")</formula>
    </cfRule>
  </conditionalFormatting>
  <conditionalFormatting sqref="P58:Q58 S58">
    <cfRule type="cellIs" dxfId="16" priority="8" operator="between">
      <formula>100</formula>
      <formula>1</formula>
    </cfRule>
  </conditionalFormatting>
  <conditionalFormatting sqref="R58">
    <cfRule type="cellIs" dxfId="15" priority="7" operator="between">
      <formula>200</formula>
      <formula>1</formula>
    </cfRule>
  </conditionalFormatting>
  <conditionalFormatting sqref="T58">
    <cfRule type="cellIs" dxfId="14" priority="6" operator="between">
      <formula>100</formula>
      <formula>1</formula>
    </cfRule>
  </conditionalFormatting>
  <conditionalFormatting sqref="B58:E58">
    <cfRule type="cellIs" dxfId="13" priority="5" operator="lessThan">
      <formula>0</formula>
    </cfRule>
  </conditionalFormatting>
  <conditionalFormatting sqref="F58">
    <cfRule type="cellIs" dxfId="12" priority="4" operator="greaterThan">
      <formula>10</formula>
    </cfRule>
  </conditionalFormatting>
  <conditionalFormatting sqref="A58">
    <cfRule type="expression" dxfId="11" priority="3">
      <formula>IF($F58&gt;0,$A58,"")</formula>
    </cfRule>
  </conditionalFormatting>
  <conditionalFormatting sqref="U58">
    <cfRule type="cellIs" dxfId="10" priority="2" operator="greaterThanOrEqual">
      <formula>3</formula>
    </cfRule>
  </conditionalFormatting>
  <conditionalFormatting sqref="W58">
    <cfRule type="expression" dxfId="9" priority="1">
      <formula>IF($W58&lt;$U58,$W58,"")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FFC000"/>
  </sheetPr>
  <dimension ref="A1:AU2311"/>
  <sheetViews>
    <sheetView workbookViewId="0">
      <selection activeCell="J10" sqref="J10"/>
    </sheetView>
  </sheetViews>
  <sheetFormatPr defaultColWidth="9.125" defaultRowHeight="16.2"/>
  <cols>
    <col min="1" max="1" width="7.75" style="141" customWidth="1"/>
    <col min="2" max="5" width="5.75" style="91" customWidth="1"/>
    <col min="6" max="6" width="8.75" style="63" customWidth="1"/>
    <col min="7" max="7" width="6.75" style="19" customWidth="1"/>
    <col min="8" max="8" width="5.75" style="12" customWidth="1"/>
    <col min="9" max="9" width="8.75" style="9" customWidth="1"/>
    <col min="10" max="11" width="4.75" style="1" customWidth="1"/>
    <col min="12" max="12" width="3.75" style="121" customWidth="1"/>
    <col min="13" max="13" width="3.75" style="234" customWidth="1"/>
    <col min="14" max="14" width="4.75" style="341" customWidth="1"/>
    <col min="15" max="15" width="2.75" style="245" customWidth="1"/>
    <col min="16" max="16" width="6.75" style="89" customWidth="1"/>
    <col min="17" max="17" width="6.75" style="73" customWidth="1"/>
    <col min="18" max="18" width="6.75" style="354" customWidth="1"/>
    <col min="19" max="19" width="5.75" style="303" customWidth="1"/>
    <col min="20" max="20" width="7.75" style="322" customWidth="1"/>
    <col min="21" max="21" width="7.75" style="85" customWidth="1"/>
    <col min="22" max="22" width="6.75" style="311" customWidth="1"/>
    <col min="23" max="23" width="7.75" style="215" customWidth="1"/>
    <col min="24" max="24" width="9.75" style="246" customWidth="1"/>
    <col min="25" max="25" width="9.75" style="69" customWidth="1"/>
    <col min="26" max="26" width="9.75" style="58" customWidth="1"/>
    <col min="27" max="27" width="8.75" style="11" customWidth="1"/>
    <col min="28" max="28" width="6.75" style="131" customWidth="1"/>
    <col min="29" max="29" width="6.75" style="382" customWidth="1"/>
    <col min="30" max="30" width="8.75" style="9" customWidth="1"/>
    <col min="31" max="31" width="11.75" style="84" customWidth="1"/>
    <col min="32" max="32" width="11.75" style="83" customWidth="1"/>
    <col min="33" max="33" width="5.75" style="78" customWidth="1"/>
    <col min="34" max="34" width="3.75" style="138" customWidth="1"/>
    <col min="35" max="35" width="3.75" style="123" customWidth="1"/>
    <col min="36" max="36" width="13.75" style="245" customWidth="1"/>
    <col min="37" max="16384" width="9.125" style="245"/>
  </cols>
  <sheetData>
    <row r="1" spans="1:43" s="248" customFormat="1">
      <c r="A1" s="127" t="s">
        <v>1673</v>
      </c>
      <c r="B1" s="90" t="s">
        <v>1572</v>
      </c>
      <c r="C1" s="90" t="s">
        <v>1573</v>
      </c>
      <c r="D1" s="90" t="s">
        <v>1574</v>
      </c>
      <c r="E1" s="90" t="s">
        <v>1575</v>
      </c>
      <c r="F1" s="8" t="s">
        <v>1060</v>
      </c>
      <c r="G1" s="26" t="s">
        <v>3442</v>
      </c>
      <c r="H1" s="55" t="s">
        <v>320</v>
      </c>
      <c r="I1" s="1" t="s">
        <v>69</v>
      </c>
      <c r="J1" s="8" t="s">
        <v>6221</v>
      </c>
      <c r="K1" s="5" t="s">
        <v>6222</v>
      </c>
      <c r="L1" s="337" t="s">
        <v>6206</v>
      </c>
      <c r="M1" s="338" t="s">
        <v>6207</v>
      </c>
      <c r="N1" s="339" t="s">
        <v>6208</v>
      </c>
      <c r="O1" s="4" t="s">
        <v>6713</v>
      </c>
      <c r="P1" s="89" t="s">
        <v>6285</v>
      </c>
      <c r="Q1" s="293" t="s">
        <v>6284</v>
      </c>
      <c r="R1" s="354" t="s">
        <v>6283</v>
      </c>
      <c r="S1" s="26" t="s">
        <v>6286</v>
      </c>
      <c r="T1" s="321" t="s">
        <v>4716</v>
      </c>
      <c r="U1" s="14" t="s">
        <v>66</v>
      </c>
      <c r="V1" s="308" t="s">
        <v>4731</v>
      </c>
      <c r="W1" s="68" t="s">
        <v>3273</v>
      </c>
      <c r="X1" s="28" t="s">
        <v>2</v>
      </c>
      <c r="Y1" s="17" t="s">
        <v>1399</v>
      </c>
      <c r="Z1" s="14" t="s">
        <v>2250</v>
      </c>
      <c r="AA1" s="21" t="s">
        <v>1470</v>
      </c>
      <c r="AB1" s="51" t="s">
        <v>6174</v>
      </c>
      <c r="AC1" s="102" t="s">
        <v>6420</v>
      </c>
      <c r="AD1" s="1" t="s">
        <v>69</v>
      </c>
      <c r="AE1" s="71" t="s">
        <v>1400</v>
      </c>
      <c r="AF1" s="72" t="s">
        <v>1157</v>
      </c>
      <c r="AG1" s="32" t="s">
        <v>1158</v>
      </c>
      <c r="AH1" s="138"/>
      <c r="AI1" s="163"/>
    </row>
    <row r="2" spans="1:43">
      <c r="A2" s="142"/>
      <c r="B2" s="79"/>
      <c r="C2" s="79"/>
      <c r="D2" s="80"/>
      <c r="E2" s="79"/>
      <c r="F2" s="6"/>
      <c r="G2" s="56"/>
      <c r="H2" s="30"/>
      <c r="I2" s="22"/>
      <c r="L2" s="337"/>
      <c r="M2" s="338"/>
      <c r="N2" s="339"/>
      <c r="O2" s="248"/>
      <c r="P2" s="364"/>
      <c r="Q2" s="293"/>
      <c r="R2" s="336"/>
      <c r="U2" s="34"/>
      <c r="V2" s="309"/>
      <c r="W2" s="57"/>
      <c r="X2" s="36"/>
      <c r="Y2" s="66"/>
      <c r="Z2" s="15"/>
      <c r="AA2" s="3"/>
      <c r="AB2" s="101"/>
      <c r="AD2" s="22"/>
      <c r="AG2" s="33"/>
      <c r="AH2" s="41"/>
      <c r="AJ2" s="234"/>
      <c r="AK2" s="56"/>
      <c r="AL2" s="22"/>
      <c r="AM2" s="206"/>
      <c r="AN2" s="239"/>
      <c r="AO2" s="249"/>
      <c r="AP2" s="252"/>
    </row>
    <row r="3" spans="1:43" s="248" customFormat="1">
      <c r="A3" s="141"/>
      <c r="B3" s="79"/>
      <c r="C3" s="79"/>
      <c r="D3" s="79"/>
      <c r="E3" s="79"/>
      <c r="F3" s="6"/>
      <c r="G3" s="41"/>
      <c r="H3" s="8"/>
      <c r="I3" s="153"/>
      <c r="J3" s="1"/>
      <c r="K3" s="1"/>
      <c r="L3" s="156"/>
      <c r="M3" s="340"/>
      <c r="N3" s="240"/>
      <c r="P3" s="364"/>
      <c r="Q3" s="293"/>
      <c r="R3" s="336"/>
      <c r="S3" s="303"/>
      <c r="T3" s="322"/>
      <c r="U3" s="185"/>
      <c r="V3" s="309"/>
      <c r="W3" s="94"/>
      <c r="X3" s="165">
        <f>SUM(X2)</f>
        <v>0</v>
      </c>
      <c r="Y3" s="155">
        <f>SUM(Y2)</f>
        <v>0</v>
      </c>
      <c r="Z3" s="162">
        <f>X3-Y3</f>
        <v>0</v>
      </c>
      <c r="AA3" s="164" t="e">
        <f>Z3/Y3</f>
        <v>#DIV/0!</v>
      </c>
      <c r="AB3" s="113"/>
      <c r="AC3" s="382"/>
      <c r="AD3" s="153">
        <f>X3*(0.001425*0.5)+X3*0.003+Y3*(0.001425*0.5)</f>
        <v>0</v>
      </c>
      <c r="AE3" s="6">
        <f>Z3-AD3</f>
        <v>0</v>
      </c>
      <c r="AF3" s="83"/>
      <c r="AG3" s="33"/>
      <c r="AH3" s="41" t="s">
        <v>1122</v>
      </c>
      <c r="AI3" s="163"/>
    </row>
    <row r="4" spans="1:43" s="248" customFormat="1">
      <c r="A4" s="141"/>
      <c r="B4" s="79"/>
      <c r="C4" s="79"/>
      <c r="D4" s="79"/>
      <c r="E4" s="79"/>
      <c r="F4" s="6"/>
      <c r="G4" s="41"/>
      <c r="H4" s="8"/>
      <c r="I4" s="153"/>
      <c r="J4" s="1"/>
      <c r="K4" s="1"/>
      <c r="L4" s="156"/>
      <c r="M4" s="340"/>
      <c r="N4" s="240"/>
      <c r="P4" s="364"/>
      <c r="Q4" s="293"/>
      <c r="R4" s="336"/>
      <c r="S4" s="303"/>
      <c r="T4" s="322"/>
      <c r="U4" s="185"/>
      <c r="V4" s="309"/>
      <c r="W4" s="94"/>
      <c r="X4" s="165"/>
      <c r="Y4" s="155"/>
      <c r="Z4" s="162"/>
      <c r="AA4" s="164"/>
      <c r="AB4" s="113"/>
      <c r="AC4" s="382"/>
      <c r="AD4" s="153"/>
      <c r="AE4" s="6"/>
      <c r="AF4" s="83"/>
      <c r="AG4" s="33"/>
      <c r="AH4" s="41"/>
      <c r="AI4" s="163"/>
    </row>
    <row r="5" spans="1:43" s="248" customFormat="1">
      <c r="A5" s="127" t="s">
        <v>1673</v>
      </c>
      <c r="B5" s="90" t="s">
        <v>1572</v>
      </c>
      <c r="C5" s="90" t="s">
        <v>1573</v>
      </c>
      <c r="D5" s="90" t="s">
        <v>1574</v>
      </c>
      <c r="E5" s="90" t="s">
        <v>1575</v>
      </c>
      <c r="F5" s="8" t="s">
        <v>1060</v>
      </c>
      <c r="G5" s="26" t="s">
        <v>3442</v>
      </c>
      <c r="H5" s="55" t="s">
        <v>320</v>
      </c>
      <c r="I5" s="1" t="s">
        <v>69</v>
      </c>
      <c r="J5" s="8" t="s">
        <v>6221</v>
      </c>
      <c r="K5" s="5" t="s">
        <v>6222</v>
      </c>
      <c r="L5" s="337" t="s">
        <v>6206</v>
      </c>
      <c r="M5" s="338" t="s">
        <v>6207</v>
      </c>
      <c r="N5" s="339" t="s">
        <v>6208</v>
      </c>
      <c r="O5" s="4" t="s">
        <v>6713</v>
      </c>
      <c r="P5" s="89" t="s">
        <v>6285</v>
      </c>
      <c r="Q5" s="293" t="s">
        <v>6284</v>
      </c>
      <c r="R5" s="354" t="s">
        <v>6283</v>
      </c>
      <c r="S5" s="26" t="s">
        <v>6286</v>
      </c>
      <c r="T5" s="321" t="s">
        <v>4716</v>
      </c>
      <c r="U5" s="14" t="s">
        <v>66</v>
      </c>
      <c r="V5" s="308" t="s">
        <v>4731</v>
      </c>
      <c r="W5" s="68" t="s">
        <v>3273</v>
      </c>
      <c r="X5" s="28" t="s">
        <v>2</v>
      </c>
      <c r="Y5" s="17" t="s">
        <v>1399</v>
      </c>
      <c r="Z5" s="14" t="s">
        <v>2250</v>
      </c>
      <c r="AA5" s="21" t="s">
        <v>1470</v>
      </c>
      <c r="AB5" s="51" t="s">
        <v>6174</v>
      </c>
      <c r="AC5" s="102" t="s">
        <v>6420</v>
      </c>
      <c r="AD5" s="1" t="s">
        <v>69</v>
      </c>
      <c r="AE5" s="71" t="s">
        <v>1400</v>
      </c>
      <c r="AF5" s="72" t="s">
        <v>1157</v>
      </c>
      <c r="AG5" s="32" t="s">
        <v>1158</v>
      </c>
      <c r="AH5" s="138"/>
      <c r="AI5" s="163"/>
    </row>
    <row r="6" spans="1:43">
      <c r="A6" s="127" t="s">
        <v>6421</v>
      </c>
      <c r="B6" s="79">
        <v>25</v>
      </c>
      <c r="C6" s="79">
        <v>22</v>
      </c>
      <c r="D6" s="79">
        <v>23</v>
      </c>
      <c r="E6" s="79">
        <v>6</v>
      </c>
      <c r="F6" s="57">
        <v>29.03</v>
      </c>
      <c r="G6" s="80">
        <v>2441</v>
      </c>
      <c r="H6" s="30" t="s">
        <v>1462</v>
      </c>
      <c r="I6" s="22" t="s">
        <v>275</v>
      </c>
      <c r="J6" s="102" t="s">
        <v>6422</v>
      </c>
      <c r="K6" s="5"/>
      <c r="L6" s="156">
        <v>2</v>
      </c>
      <c r="M6" s="340">
        <v>0</v>
      </c>
      <c r="N6" s="240">
        <v>2</v>
      </c>
      <c r="O6" s="248"/>
      <c r="P6" s="365">
        <f>IFERROR(VLOOKUP($G6,融外自投!$A:$J,7,0),"無")</f>
        <v>1171</v>
      </c>
      <c r="Q6" s="79">
        <f>IFERROR(VLOOKUP($G6,融外自投!$A:$J,9,0),"無")</f>
        <v>51</v>
      </c>
      <c r="R6" s="346">
        <f>IFERROR(VLOOKUP($G6,融外自投!$A:$J,8,0),"無")</f>
        <v>369</v>
      </c>
      <c r="S6" s="81">
        <f>IFERROR(VLOOKUP($G6,融外自投!$A:$J,10,0),"無")</f>
        <v>57</v>
      </c>
      <c r="T6" s="327">
        <f>IFERROR(VLOOKUP($G6,'321買'!$A:$E,5,0),"'沒有資料'")</f>
        <v>34</v>
      </c>
      <c r="U6" s="45">
        <v>5</v>
      </c>
      <c r="V6" s="310">
        <f t="shared" ref="V6" si="0">U6/X6</f>
        <v>7.0521861777150904E-2</v>
      </c>
      <c r="W6" s="94">
        <v>8.51</v>
      </c>
      <c r="X6" s="36">
        <f>RTD("money.excel",,"2441","Price")</f>
        <v>70.900000000000006</v>
      </c>
      <c r="Y6" s="66">
        <v>71.2</v>
      </c>
      <c r="Z6" s="15">
        <f t="shared" ref="Z6" si="1">X6-Y6</f>
        <v>-0.29999999999999716</v>
      </c>
      <c r="AA6" s="3">
        <f t="shared" ref="AA6" si="2">Z6/Y6</f>
        <v>-4.2134831460673757E-3</v>
      </c>
      <c r="AB6" s="344">
        <v>-29.15</v>
      </c>
      <c r="AC6" s="384">
        <v>30.68</v>
      </c>
      <c r="AD6" s="22" t="s">
        <v>275</v>
      </c>
      <c r="AE6" s="84">
        <v>44686</v>
      </c>
      <c r="AG6" s="33">
        <f t="shared" ref="AG6" si="3">AF6-AE6</f>
        <v>-44686</v>
      </c>
      <c r="AH6" s="81">
        <v>1</v>
      </c>
      <c r="AI6" s="63"/>
      <c r="AJ6" s="221"/>
      <c r="AK6" s="22"/>
      <c r="AL6" s="63"/>
      <c r="AM6" s="284"/>
      <c r="AN6" s="22"/>
      <c r="AO6" s="127"/>
      <c r="AP6" s="275"/>
      <c r="AQ6" s="40"/>
    </row>
    <row r="7" spans="1:43" s="248" customFormat="1">
      <c r="A7" s="141"/>
      <c r="B7" s="79"/>
      <c r="C7" s="79"/>
      <c r="D7" s="79"/>
      <c r="E7" s="79"/>
      <c r="F7" s="6"/>
      <c r="G7" s="41"/>
      <c r="H7" s="8"/>
      <c r="I7" s="153"/>
      <c r="J7" s="1"/>
      <c r="K7" s="1"/>
      <c r="L7" s="156"/>
      <c r="M7" s="340"/>
      <c r="N7" s="240"/>
      <c r="P7" s="89"/>
      <c r="Q7" s="293"/>
      <c r="R7" s="354"/>
      <c r="S7" s="303"/>
      <c r="T7" s="322"/>
      <c r="U7" s="185"/>
      <c r="V7" s="309"/>
      <c r="W7" s="94"/>
      <c r="X7" s="165">
        <f>SUM(X6)</f>
        <v>70.900000000000006</v>
      </c>
      <c r="Y7" s="155">
        <f>SUM(Y6)</f>
        <v>71.2</v>
      </c>
      <c r="Z7" s="162">
        <f>X7-Y7</f>
        <v>-0.29999999999999716</v>
      </c>
      <c r="AA7" s="164">
        <f>Z7/Y7</f>
        <v>-4.2134831460673757E-3</v>
      </c>
      <c r="AB7" s="113"/>
      <c r="AC7" s="382"/>
      <c r="AD7" s="153">
        <f>X7*(0.001425*0.5)+X7*0.003+Y7*(0.001425*0.5)</f>
        <v>0.31394625000000004</v>
      </c>
      <c r="AE7" s="6">
        <f>Z7-AD7</f>
        <v>-0.61394624999999725</v>
      </c>
      <c r="AF7" s="83"/>
      <c r="AG7" s="33"/>
      <c r="AH7" s="41" t="s">
        <v>1122</v>
      </c>
      <c r="AI7" s="163"/>
    </row>
    <row r="8" spans="1:43" s="248" customFormat="1">
      <c r="A8" s="141"/>
      <c r="B8" s="79"/>
      <c r="C8" s="79"/>
      <c r="D8" s="79"/>
      <c r="E8" s="79"/>
      <c r="F8" s="6"/>
      <c r="G8" s="41"/>
      <c r="H8" s="8"/>
      <c r="I8" s="153"/>
      <c r="J8" s="1"/>
      <c r="K8" s="1"/>
      <c r="L8" s="156"/>
      <c r="M8" s="340"/>
      <c r="N8" s="240"/>
      <c r="O8" s="245"/>
      <c r="P8" s="89"/>
      <c r="Q8" s="293"/>
      <c r="R8" s="354"/>
      <c r="S8" s="303"/>
      <c r="T8" s="322"/>
      <c r="U8" s="185"/>
      <c r="V8" s="309"/>
      <c r="W8" s="94"/>
      <c r="X8" s="165"/>
      <c r="Y8" s="155"/>
      <c r="Z8" s="162"/>
      <c r="AA8" s="164"/>
      <c r="AB8" s="113"/>
      <c r="AC8" s="382"/>
      <c r="AD8" s="153"/>
      <c r="AE8" s="6"/>
      <c r="AF8" s="83"/>
      <c r="AG8" s="33"/>
      <c r="AH8" s="41"/>
      <c r="AI8" s="163"/>
    </row>
    <row r="9" spans="1:43" s="248" customFormat="1">
      <c r="A9" s="127" t="s">
        <v>1673</v>
      </c>
      <c r="B9" s="90" t="s">
        <v>1572</v>
      </c>
      <c r="C9" s="90" t="s">
        <v>1573</v>
      </c>
      <c r="D9" s="90" t="s">
        <v>1574</v>
      </c>
      <c r="E9" s="90" t="s">
        <v>1575</v>
      </c>
      <c r="F9" s="8" t="s">
        <v>1060</v>
      </c>
      <c r="G9" s="26" t="s">
        <v>3442</v>
      </c>
      <c r="H9" s="55" t="s">
        <v>320</v>
      </c>
      <c r="I9" s="1" t="s">
        <v>2249</v>
      </c>
      <c r="J9" s="8" t="s">
        <v>6221</v>
      </c>
      <c r="K9" s="5" t="s">
        <v>6222</v>
      </c>
      <c r="L9" s="337" t="s">
        <v>6206</v>
      </c>
      <c r="M9" s="338" t="s">
        <v>6207</v>
      </c>
      <c r="N9" s="339" t="s">
        <v>6208</v>
      </c>
      <c r="O9" s="4" t="s">
        <v>6713</v>
      </c>
      <c r="P9" s="89" t="s">
        <v>6285</v>
      </c>
      <c r="Q9" s="293" t="s">
        <v>6284</v>
      </c>
      <c r="R9" s="354" t="s">
        <v>6283</v>
      </c>
      <c r="S9" s="26" t="s">
        <v>6286</v>
      </c>
      <c r="T9" s="321" t="s">
        <v>4716</v>
      </c>
      <c r="U9" s="14" t="s">
        <v>66</v>
      </c>
      <c r="V9" s="308" t="s">
        <v>4731</v>
      </c>
      <c r="W9" s="68" t="s">
        <v>3273</v>
      </c>
      <c r="X9" s="28" t="s">
        <v>2</v>
      </c>
      <c r="Y9" s="17" t="s">
        <v>1399</v>
      </c>
      <c r="Z9" s="14" t="s">
        <v>2250</v>
      </c>
      <c r="AA9" s="21" t="s">
        <v>1470</v>
      </c>
      <c r="AB9" s="51" t="s">
        <v>6174</v>
      </c>
      <c r="AC9" s="102" t="s">
        <v>6420</v>
      </c>
      <c r="AD9" s="1" t="s">
        <v>2249</v>
      </c>
      <c r="AE9" s="71" t="s">
        <v>1400</v>
      </c>
      <c r="AF9" s="72" t="s">
        <v>1157</v>
      </c>
      <c r="AG9" s="32" t="s">
        <v>1158</v>
      </c>
      <c r="AH9" s="138"/>
      <c r="AI9" s="163"/>
    </row>
    <row r="10" spans="1:43">
      <c r="A10" s="127" t="s">
        <v>1889</v>
      </c>
      <c r="B10" s="79">
        <v>16</v>
      </c>
      <c r="C10" s="79">
        <v>22</v>
      </c>
      <c r="D10" s="79">
        <v>0</v>
      </c>
      <c r="E10" s="80">
        <v>-68</v>
      </c>
      <c r="F10" s="57">
        <v>41.9</v>
      </c>
      <c r="G10" s="80">
        <v>1325</v>
      </c>
      <c r="H10" s="50" t="s">
        <v>1404</v>
      </c>
      <c r="I10" s="22" t="s">
        <v>602</v>
      </c>
      <c r="J10" s="8" t="str">
        <f>IFERROR(VLOOKUP($G10,今日總結!$A:$AJ,33,0),"")</f>
        <v/>
      </c>
      <c r="K10" s="5" t="str">
        <f>IFERROR(VLOOKUP($G10,今日總結!$A:$AJ,34,0),"")</f>
        <v/>
      </c>
      <c r="L10" s="156" t="str">
        <f>IFERROR(VLOOKUP($G10,今日總結!$A:$AJ,31,0),"")</f>
        <v/>
      </c>
      <c r="M10" s="340" t="str">
        <f>IFERROR(VLOOKUP($G10,今日總結!$A:$AJ,32,0),"")</f>
        <v/>
      </c>
      <c r="N10" s="240" t="str">
        <f t="shared" ref="N10:N11" si="4">IFERROR(L10-M10,"")</f>
        <v/>
      </c>
      <c r="O10" s="4"/>
      <c r="P10" s="365">
        <f>IFERROR(VLOOKUP($G10,融外自投!$A:$J,7,0),"無")</f>
        <v>301</v>
      </c>
      <c r="Q10" s="79">
        <f>IFERROR(VLOOKUP($G10,融外自投!$A:$J,9,0),"無")</f>
        <v>23</v>
      </c>
      <c r="R10" s="346">
        <f>IFERROR(VLOOKUP($G10,融外自投!$A:$J,8,0),"無")</f>
        <v>844</v>
      </c>
      <c r="S10" s="81" t="str">
        <f>IFERROR(VLOOKUP($G10,融外自投!$A:$J,10,0),"無")</f>
        <v>無</v>
      </c>
      <c r="T10" s="327">
        <f>IFERROR(VLOOKUP($G10,'321買'!$A:$E,5,0),"'沒有資料'")</f>
        <v>480</v>
      </c>
      <c r="U10" s="34">
        <v>2</v>
      </c>
      <c r="W10" s="94">
        <v>23.55</v>
      </c>
      <c r="X10" s="36">
        <f>RTD("money.excel",,"1325","Price")</f>
        <v>32</v>
      </c>
      <c r="Y10" s="66">
        <f>105.5-12</f>
        <v>93.5</v>
      </c>
      <c r="Z10" s="15">
        <f t="shared" ref="Z10:Z16" si="5">X10-Y10</f>
        <v>-61.5</v>
      </c>
      <c r="AA10" s="76">
        <f t="shared" ref="AA10:AA16" si="6">Z10/Y10</f>
        <v>-0.65775401069518713</v>
      </c>
      <c r="AB10" s="101" t="s">
        <v>1704</v>
      </c>
      <c r="AD10" s="22" t="s">
        <v>602</v>
      </c>
      <c r="AE10" s="84">
        <v>44336</v>
      </c>
      <c r="AG10" s="33">
        <f t="shared" ref="AG10:AG15" si="7">AF10-AE10</f>
        <v>-44336</v>
      </c>
      <c r="AH10" s="127" t="s">
        <v>1122</v>
      </c>
      <c r="AI10" s="210"/>
      <c r="AJ10" s="182"/>
    </row>
    <row r="11" spans="1:43">
      <c r="A11" s="127" t="s">
        <v>1889</v>
      </c>
      <c r="B11" s="79">
        <v>16</v>
      </c>
      <c r="C11" s="79">
        <v>22</v>
      </c>
      <c r="D11" s="79">
        <v>0</v>
      </c>
      <c r="E11" s="80">
        <v>-68</v>
      </c>
      <c r="F11" s="57">
        <v>41.9</v>
      </c>
      <c r="G11" s="80">
        <v>1325</v>
      </c>
      <c r="H11" s="50" t="s">
        <v>1404</v>
      </c>
      <c r="I11" s="22" t="s">
        <v>602</v>
      </c>
      <c r="J11" s="8" t="str">
        <f>IFERROR(VLOOKUP($G11,今日總結!$A:$AJ,33,0),"")</f>
        <v/>
      </c>
      <c r="K11" s="5" t="str">
        <f>IFERROR(VLOOKUP($G11,今日總結!$A:$AJ,34,0),"")</f>
        <v/>
      </c>
      <c r="L11" s="156" t="str">
        <f>IFERROR(VLOOKUP($G11,今日總結!$A:$AJ,31,0),"")</f>
        <v/>
      </c>
      <c r="M11" s="340" t="str">
        <f>IFERROR(VLOOKUP($G11,今日總結!$A:$AJ,32,0),"")</f>
        <v/>
      </c>
      <c r="N11" s="240" t="str">
        <f t="shared" si="4"/>
        <v/>
      </c>
      <c r="P11" s="365">
        <f>IFERROR(VLOOKUP($G11,融外自投!$A:$J,7,0),"無")</f>
        <v>301</v>
      </c>
      <c r="Q11" s="79">
        <f>IFERROR(VLOOKUP($G11,融外自投!$A:$J,9,0),"無")</f>
        <v>23</v>
      </c>
      <c r="R11" s="346">
        <f>IFERROR(VLOOKUP($G11,融外自投!$A:$J,8,0),"無")</f>
        <v>844</v>
      </c>
      <c r="S11" s="81" t="str">
        <f>IFERROR(VLOOKUP($G11,融外自投!$A:$J,10,0),"無")</f>
        <v>無</v>
      </c>
      <c r="T11" s="327">
        <f>IFERROR(VLOOKUP($G11,'321買'!$A:$E,5,0),"'沒有資料'")</f>
        <v>480</v>
      </c>
      <c r="U11" s="34">
        <v>2</v>
      </c>
      <c r="W11" s="94">
        <v>23.55</v>
      </c>
      <c r="X11" s="36">
        <f>RTD("money.excel",,"1325","Price")</f>
        <v>32</v>
      </c>
      <c r="Y11" s="66">
        <f>112.5-12</f>
        <v>100.5</v>
      </c>
      <c r="Z11" s="15">
        <f t="shared" si="5"/>
        <v>-68.5</v>
      </c>
      <c r="AA11" s="76">
        <f t="shared" si="6"/>
        <v>-0.68159203980099503</v>
      </c>
      <c r="AB11" s="101" t="s">
        <v>1704</v>
      </c>
      <c r="AD11" s="22" t="s">
        <v>602</v>
      </c>
      <c r="AE11" s="84">
        <v>44334</v>
      </c>
      <c r="AG11" s="33">
        <f t="shared" si="7"/>
        <v>-44334</v>
      </c>
      <c r="AH11" s="127" t="s">
        <v>1122</v>
      </c>
      <c r="AI11" s="127"/>
      <c r="AJ11" s="182"/>
    </row>
    <row r="12" spans="1:43">
      <c r="A12" s="127" t="s">
        <v>1889</v>
      </c>
      <c r="B12" s="79">
        <v>16</v>
      </c>
      <c r="C12" s="79">
        <v>22</v>
      </c>
      <c r="D12" s="79">
        <v>0</v>
      </c>
      <c r="E12" s="80">
        <v>-68</v>
      </c>
      <c r="F12" s="57">
        <v>41.9</v>
      </c>
      <c r="G12" s="80">
        <v>1325</v>
      </c>
      <c r="H12" s="50" t="s">
        <v>1404</v>
      </c>
      <c r="I12" s="22" t="s">
        <v>602</v>
      </c>
      <c r="J12" s="8" t="str">
        <f>IFERROR(VLOOKUP($G12,今日總結!$A:$AJ,33,0),"")</f>
        <v/>
      </c>
      <c r="K12" s="5" t="str">
        <f>IFERROR(VLOOKUP($G12,今日總結!$A:$AJ,34,0),"")</f>
        <v/>
      </c>
      <c r="L12" s="156" t="str">
        <f>IFERROR(VLOOKUP($G12,今日總結!$A:$AJ,31,0),"")</f>
        <v/>
      </c>
      <c r="M12" s="340" t="str">
        <f>IFERROR(VLOOKUP($G12,今日總結!$A:$AJ,32,0),"")</f>
        <v/>
      </c>
      <c r="N12" s="240" t="str">
        <f t="shared" ref="N12:N15" si="8">IFERROR(L12-M12,"")</f>
        <v/>
      </c>
      <c r="P12" s="365">
        <f>IFERROR(VLOOKUP($G12,融外自投!$A:$J,7,0),"無")</f>
        <v>301</v>
      </c>
      <c r="Q12" s="79">
        <f>IFERROR(VLOOKUP($G12,融外自投!$A:$J,9,0),"無")</f>
        <v>23</v>
      </c>
      <c r="R12" s="346">
        <f>IFERROR(VLOOKUP($G12,融外自投!$A:$J,8,0),"無")</f>
        <v>844</v>
      </c>
      <c r="S12" s="81" t="str">
        <f>IFERROR(VLOOKUP($G12,融外自投!$A:$J,10,0),"無")</f>
        <v>無</v>
      </c>
      <c r="T12" s="327">
        <f>IFERROR(VLOOKUP($G12,'321買'!$A:$E,5,0),"'沒有資料'")</f>
        <v>480</v>
      </c>
      <c r="U12" s="34">
        <v>2</v>
      </c>
      <c r="W12" s="94">
        <v>23.55</v>
      </c>
      <c r="X12" s="36">
        <f>RTD("money.excel",,"1325","Price")</f>
        <v>32</v>
      </c>
      <c r="Y12" s="66">
        <f>111-12</f>
        <v>99</v>
      </c>
      <c r="Z12" s="15">
        <f t="shared" si="5"/>
        <v>-67</v>
      </c>
      <c r="AA12" s="76">
        <f t="shared" si="6"/>
        <v>-0.6767676767676768</v>
      </c>
      <c r="AB12" s="101" t="s">
        <v>1704</v>
      </c>
      <c r="AD12" s="22" t="s">
        <v>602</v>
      </c>
      <c r="AE12" s="84">
        <v>44334</v>
      </c>
      <c r="AG12" s="33">
        <f t="shared" si="7"/>
        <v>-44334</v>
      </c>
      <c r="AH12" s="127" t="s">
        <v>1122</v>
      </c>
      <c r="AI12" s="127"/>
      <c r="AJ12" s="182"/>
    </row>
    <row r="13" spans="1:43">
      <c r="A13" s="127" t="s">
        <v>1889</v>
      </c>
      <c r="B13" s="79">
        <v>16</v>
      </c>
      <c r="C13" s="79">
        <v>22</v>
      </c>
      <c r="D13" s="79">
        <v>0</v>
      </c>
      <c r="E13" s="80">
        <v>-68</v>
      </c>
      <c r="F13" s="57">
        <v>41.9</v>
      </c>
      <c r="G13" s="80">
        <v>1325</v>
      </c>
      <c r="H13" s="50" t="s">
        <v>1404</v>
      </c>
      <c r="I13" s="22" t="s">
        <v>602</v>
      </c>
      <c r="J13" s="8" t="str">
        <f>IFERROR(VLOOKUP($G13,今日總結!$A:$AJ,33,0),"")</f>
        <v/>
      </c>
      <c r="K13" s="5" t="str">
        <f>IFERROR(VLOOKUP($G13,今日總結!$A:$AJ,34,0),"")</f>
        <v/>
      </c>
      <c r="L13" s="156" t="str">
        <f>IFERROR(VLOOKUP($G13,今日總結!$A:$AJ,31,0),"")</f>
        <v/>
      </c>
      <c r="M13" s="340" t="str">
        <f>IFERROR(VLOOKUP($G13,今日總結!$A:$AJ,32,0),"")</f>
        <v/>
      </c>
      <c r="N13" s="240" t="str">
        <f t="shared" si="8"/>
        <v/>
      </c>
      <c r="P13" s="365">
        <f>IFERROR(VLOOKUP($G13,融外自投!$A:$J,7,0),"無")</f>
        <v>301</v>
      </c>
      <c r="Q13" s="79">
        <f>IFERROR(VLOOKUP($G13,融外自投!$A:$J,9,0),"無")</f>
        <v>23</v>
      </c>
      <c r="R13" s="346">
        <f>IFERROR(VLOOKUP($G13,融外自投!$A:$J,8,0),"無")</f>
        <v>844</v>
      </c>
      <c r="S13" s="81" t="str">
        <f>IFERROR(VLOOKUP($G13,融外自投!$A:$J,10,0),"無")</f>
        <v>無</v>
      </c>
      <c r="T13" s="327">
        <f>IFERROR(VLOOKUP($G13,'321買'!$A:$E,5,0),"'沒有資料'")</f>
        <v>480</v>
      </c>
      <c r="U13" s="34">
        <v>2</v>
      </c>
      <c r="W13" s="94">
        <v>23.55</v>
      </c>
      <c r="X13" s="36">
        <f>RTD("money.excel",,"1325","Price")</f>
        <v>32</v>
      </c>
      <c r="Y13" s="66">
        <f>109-12</f>
        <v>97</v>
      </c>
      <c r="Z13" s="15">
        <f t="shared" si="5"/>
        <v>-65</v>
      </c>
      <c r="AA13" s="76">
        <f t="shared" si="6"/>
        <v>-0.67010309278350511</v>
      </c>
      <c r="AB13" s="101" t="s">
        <v>1704</v>
      </c>
      <c r="AD13" s="22" t="s">
        <v>602</v>
      </c>
      <c r="AE13" s="84">
        <v>44334</v>
      </c>
      <c r="AG13" s="33">
        <f t="shared" si="7"/>
        <v>-44334</v>
      </c>
      <c r="AH13" s="127" t="s">
        <v>1122</v>
      </c>
      <c r="AI13" s="127" t="s">
        <v>1123</v>
      </c>
      <c r="AJ13" s="182"/>
    </row>
    <row r="14" spans="1:43">
      <c r="A14" s="127" t="s">
        <v>1889</v>
      </c>
      <c r="B14" s="79">
        <v>16</v>
      </c>
      <c r="C14" s="79">
        <v>22</v>
      </c>
      <c r="D14" s="79">
        <v>0</v>
      </c>
      <c r="E14" s="80">
        <v>-68</v>
      </c>
      <c r="F14" s="57">
        <v>41.9</v>
      </c>
      <c r="G14" s="80">
        <v>1325</v>
      </c>
      <c r="H14" s="30" t="s">
        <v>1462</v>
      </c>
      <c r="I14" s="22" t="s">
        <v>602</v>
      </c>
      <c r="J14" s="8" t="str">
        <f>IFERROR(VLOOKUP($G14,今日總結!$A:$AJ,33,0),"")</f>
        <v/>
      </c>
      <c r="K14" s="5" t="str">
        <f>IFERROR(VLOOKUP($G14,今日總結!$A:$AJ,34,0),"")</f>
        <v/>
      </c>
      <c r="L14" s="156" t="str">
        <f>IFERROR(VLOOKUP($G14,今日總結!$A:$AJ,31,0),"")</f>
        <v/>
      </c>
      <c r="M14" s="340" t="str">
        <f>IFERROR(VLOOKUP($G14,今日總結!$A:$AJ,32,0),"")</f>
        <v/>
      </c>
      <c r="N14" s="240" t="str">
        <f t="shared" si="8"/>
        <v/>
      </c>
      <c r="P14" s="365">
        <f>IFERROR(VLOOKUP($G14,融外自投!$A:$J,7,0),"無")</f>
        <v>301</v>
      </c>
      <c r="Q14" s="79">
        <f>IFERROR(VLOOKUP($G14,融外自投!$A:$J,9,0),"無")</f>
        <v>23</v>
      </c>
      <c r="R14" s="346">
        <f>IFERROR(VLOOKUP($G14,融外自投!$A:$J,8,0),"無")</f>
        <v>844</v>
      </c>
      <c r="S14" s="81" t="str">
        <f>IFERROR(VLOOKUP($G14,融外自投!$A:$J,10,0),"無")</f>
        <v>無</v>
      </c>
      <c r="T14" s="327">
        <f>IFERROR(VLOOKUP($G14,'321買'!$A:$E,5,0),"'沒有資料'")</f>
        <v>480</v>
      </c>
      <c r="U14" s="34">
        <v>2</v>
      </c>
      <c r="W14" s="94">
        <v>23.55</v>
      </c>
      <c r="X14" s="36">
        <f>RTD("money.excel",,"1325","Price")</f>
        <v>32</v>
      </c>
      <c r="Y14" s="66">
        <f>104.5-12</f>
        <v>92.5</v>
      </c>
      <c r="Z14" s="15">
        <f t="shared" si="5"/>
        <v>-60.5</v>
      </c>
      <c r="AA14" s="76">
        <f t="shared" si="6"/>
        <v>-0.65405405405405403</v>
      </c>
      <c r="AB14" s="101" t="s">
        <v>1704</v>
      </c>
      <c r="AD14" s="22" t="s">
        <v>602</v>
      </c>
      <c r="AE14" s="84">
        <v>44336</v>
      </c>
      <c r="AG14" s="33">
        <f t="shared" si="7"/>
        <v>-44336</v>
      </c>
      <c r="AH14" s="41" t="s">
        <v>1122</v>
      </c>
      <c r="AI14" s="210"/>
      <c r="AJ14" s="182"/>
    </row>
    <row r="15" spans="1:43">
      <c r="A15" s="127" t="s">
        <v>1889</v>
      </c>
      <c r="B15" s="79">
        <v>16</v>
      </c>
      <c r="C15" s="79">
        <v>22</v>
      </c>
      <c r="D15" s="79">
        <v>0</v>
      </c>
      <c r="E15" s="80">
        <v>-68</v>
      </c>
      <c r="F15" s="57">
        <v>41.9</v>
      </c>
      <c r="G15" s="80">
        <v>1325</v>
      </c>
      <c r="H15" s="30" t="s">
        <v>1462</v>
      </c>
      <c r="I15" s="22" t="s">
        <v>602</v>
      </c>
      <c r="J15" s="8" t="str">
        <f>IFERROR(VLOOKUP($G15,今日總結!$A:$AJ,33,0),"")</f>
        <v/>
      </c>
      <c r="K15" s="5" t="str">
        <f>IFERROR(VLOOKUP($G15,今日總結!$A:$AJ,34,0),"")</f>
        <v/>
      </c>
      <c r="L15" s="156" t="str">
        <f>IFERROR(VLOOKUP($G15,今日總結!$A:$AJ,31,0),"")</f>
        <v/>
      </c>
      <c r="M15" s="340" t="str">
        <f>IFERROR(VLOOKUP($G15,今日總結!$A:$AJ,32,0),"")</f>
        <v/>
      </c>
      <c r="N15" s="240" t="str">
        <f t="shared" si="8"/>
        <v/>
      </c>
      <c r="O15" s="248"/>
      <c r="P15" s="365">
        <f>IFERROR(VLOOKUP($G15,融外自投!$A:$J,7,0),"無")</f>
        <v>301</v>
      </c>
      <c r="Q15" s="79">
        <f>IFERROR(VLOOKUP($G15,融外自投!$A:$J,9,0),"無")</f>
        <v>23</v>
      </c>
      <c r="R15" s="346">
        <f>IFERROR(VLOOKUP($G15,融外自投!$A:$J,8,0),"無")</f>
        <v>844</v>
      </c>
      <c r="S15" s="81" t="str">
        <f>IFERROR(VLOOKUP($G15,融外自投!$A:$J,10,0),"無")</f>
        <v>無</v>
      </c>
      <c r="T15" s="327">
        <f>IFERROR(VLOOKUP($G15,'321買'!$A:$E,5,0),"'沒有資料'")</f>
        <v>480</v>
      </c>
      <c r="U15" s="34">
        <v>2</v>
      </c>
      <c r="W15" s="94">
        <v>23.55</v>
      </c>
      <c r="X15" s="36">
        <f>RTD("money.excel",,"1325","Price")</f>
        <v>32</v>
      </c>
      <c r="Y15" s="66">
        <f>110-12</f>
        <v>98</v>
      </c>
      <c r="Z15" s="15">
        <f t="shared" si="5"/>
        <v>-66</v>
      </c>
      <c r="AA15" s="76">
        <f t="shared" si="6"/>
        <v>-0.67346938775510201</v>
      </c>
      <c r="AB15" s="101" t="s">
        <v>1704</v>
      </c>
      <c r="AD15" s="22" t="s">
        <v>602</v>
      </c>
      <c r="AE15" s="84">
        <v>44334</v>
      </c>
      <c r="AG15" s="33">
        <f t="shared" si="7"/>
        <v>-44334</v>
      </c>
      <c r="AH15" s="41" t="s">
        <v>1122</v>
      </c>
      <c r="AI15" s="41" t="s">
        <v>1502</v>
      </c>
      <c r="AJ15" s="182"/>
    </row>
    <row r="16" spans="1:43" s="248" customFormat="1">
      <c r="A16" s="141"/>
      <c r="B16" s="79"/>
      <c r="C16" s="79"/>
      <c r="D16" s="79"/>
      <c r="E16" s="79"/>
      <c r="F16" s="6"/>
      <c r="G16" s="41"/>
      <c r="H16" s="8"/>
      <c r="I16" s="153"/>
      <c r="J16" s="1"/>
      <c r="K16" s="1"/>
      <c r="L16" s="337"/>
      <c r="M16" s="338"/>
      <c r="N16" s="339"/>
      <c r="O16" s="245"/>
      <c r="P16" s="365"/>
      <c r="Q16" s="47"/>
      <c r="R16" s="346"/>
      <c r="S16" s="303"/>
      <c r="T16" s="322"/>
      <c r="U16" s="185"/>
      <c r="V16" s="311"/>
      <c r="W16" s="94"/>
      <c r="X16" s="165">
        <f>SUM(X10:X15)</f>
        <v>192</v>
      </c>
      <c r="Y16" s="155">
        <f>SUM(Y10:Y15)</f>
        <v>580.5</v>
      </c>
      <c r="Z16" s="226">
        <f t="shared" si="5"/>
        <v>-388.5</v>
      </c>
      <c r="AA16" s="229">
        <f t="shared" si="6"/>
        <v>-0.66925064599483208</v>
      </c>
      <c r="AB16" s="113"/>
      <c r="AC16" s="382"/>
      <c r="AD16" s="153">
        <f>X16*(0.001425*0.5)+X16*0.003+Y16*(0.001425*0.5)</f>
        <v>1.1264062500000001</v>
      </c>
      <c r="AE16" s="6">
        <f>Z16-AD16</f>
        <v>-389.62640625</v>
      </c>
      <c r="AF16" s="83"/>
      <c r="AG16" s="33"/>
      <c r="AH16" s="41" t="s">
        <v>3293</v>
      </c>
      <c r="AI16" s="163"/>
      <c r="AJ16" s="241"/>
    </row>
    <row r="17" spans="1:36">
      <c r="A17" s="127"/>
      <c r="B17" s="92"/>
      <c r="C17" s="92"/>
      <c r="D17" s="79"/>
      <c r="E17" s="80"/>
      <c r="F17" s="57"/>
      <c r="G17" s="56"/>
      <c r="H17" s="30"/>
      <c r="I17" s="22"/>
      <c r="L17" s="79"/>
      <c r="M17" s="80"/>
      <c r="N17" s="64"/>
      <c r="P17" s="365"/>
      <c r="Q17" s="47"/>
      <c r="R17" s="346"/>
      <c r="U17" s="66"/>
      <c r="W17" s="94"/>
      <c r="X17" s="36"/>
      <c r="Y17" s="66"/>
      <c r="Z17" s="15"/>
      <c r="AA17" s="63"/>
      <c r="AB17" s="101"/>
      <c r="AD17" s="22"/>
      <c r="AG17" s="33"/>
      <c r="AH17" s="41"/>
      <c r="AI17" s="210"/>
      <c r="AJ17" s="182"/>
    </row>
    <row r="18" spans="1:36" s="248" customFormat="1">
      <c r="A18" s="127" t="s">
        <v>1673</v>
      </c>
      <c r="B18" s="90" t="s">
        <v>1572</v>
      </c>
      <c r="C18" s="90" t="s">
        <v>1573</v>
      </c>
      <c r="D18" s="90" t="s">
        <v>1574</v>
      </c>
      <c r="E18" s="90" t="s">
        <v>1575</v>
      </c>
      <c r="F18" s="8" t="s">
        <v>1060</v>
      </c>
      <c r="G18" s="26" t="s">
        <v>3442</v>
      </c>
      <c r="H18" s="55" t="s">
        <v>320</v>
      </c>
      <c r="I18" s="1" t="s">
        <v>2249</v>
      </c>
      <c r="J18" s="8" t="s">
        <v>6221</v>
      </c>
      <c r="K18" s="5" t="s">
        <v>6222</v>
      </c>
      <c r="L18" s="337" t="s">
        <v>6206</v>
      </c>
      <c r="M18" s="338" t="s">
        <v>6207</v>
      </c>
      <c r="N18" s="339" t="s">
        <v>6208</v>
      </c>
      <c r="O18" s="4" t="s">
        <v>6713</v>
      </c>
      <c r="P18" s="89" t="s">
        <v>6285</v>
      </c>
      <c r="Q18" s="293" t="s">
        <v>6284</v>
      </c>
      <c r="R18" s="354" t="s">
        <v>6283</v>
      </c>
      <c r="S18" s="26" t="s">
        <v>6286</v>
      </c>
      <c r="T18" s="321" t="s">
        <v>4716</v>
      </c>
      <c r="U18" s="14" t="s">
        <v>66</v>
      </c>
      <c r="V18" s="308" t="s">
        <v>4731</v>
      </c>
      <c r="W18" s="68" t="s">
        <v>3273</v>
      </c>
      <c r="X18" s="28" t="s">
        <v>2</v>
      </c>
      <c r="Y18" s="17" t="s">
        <v>1399</v>
      </c>
      <c r="Z18" s="14" t="s">
        <v>2250</v>
      </c>
      <c r="AA18" s="21" t="s">
        <v>1470</v>
      </c>
      <c r="AB18" s="51" t="s">
        <v>6174</v>
      </c>
      <c r="AC18" s="102" t="s">
        <v>6420</v>
      </c>
      <c r="AD18" s="1" t="s">
        <v>2249</v>
      </c>
      <c r="AE18" s="71" t="s">
        <v>1400</v>
      </c>
      <c r="AF18" s="72" t="s">
        <v>1157</v>
      </c>
      <c r="AG18" s="32" t="s">
        <v>1158</v>
      </c>
      <c r="AH18" s="138"/>
      <c r="AI18" s="163"/>
    </row>
    <row r="19" spans="1:36">
      <c r="A19" s="127" t="s">
        <v>2130</v>
      </c>
      <c r="B19" s="79">
        <v>66</v>
      </c>
      <c r="C19" s="79">
        <v>44</v>
      </c>
      <c r="D19" s="80">
        <v>-10</v>
      </c>
      <c r="E19" s="79">
        <v>89</v>
      </c>
      <c r="F19" s="57">
        <v>38.4</v>
      </c>
      <c r="G19" s="79">
        <v>6523</v>
      </c>
      <c r="H19" s="50" t="s">
        <v>1404</v>
      </c>
      <c r="I19" s="16" t="s">
        <v>622</v>
      </c>
      <c r="J19" s="8">
        <f>IFERROR(VLOOKUP($G19,今日總結!$A:$AJ,33,0),"")</f>
        <v>0</v>
      </c>
      <c r="K19" s="5">
        <f>IFERROR(VLOOKUP($G19,今日總結!$A:$AJ,34,0),"")</f>
        <v>1</v>
      </c>
      <c r="L19" s="156">
        <f>IFERROR(VLOOKUP($G19,今日總結!$A:$AJ,31,0),"")</f>
        <v>0</v>
      </c>
      <c r="M19" s="340">
        <f>IFERROR(VLOOKUP($G19,今日總結!$A:$AJ,32,0),"")</f>
        <v>0</v>
      </c>
      <c r="N19" s="240">
        <f t="shared" ref="N19:N22" si="9">IFERROR(L19-M19,"")</f>
        <v>0</v>
      </c>
      <c r="P19" s="365">
        <f>IFERROR(VLOOKUP($G19,融外自投!$A:$J,7,0),"無")</f>
        <v>789</v>
      </c>
      <c r="Q19" s="79">
        <f>IFERROR(VLOOKUP($G19,融外自投!$A:$J,9,0),"無")</f>
        <v>708</v>
      </c>
      <c r="R19" s="346">
        <f>IFERROR(VLOOKUP($G19,融外自投!$A:$J,8,0),"無")</f>
        <v>945</v>
      </c>
      <c r="S19" s="81" t="str">
        <f>IFERROR(VLOOKUP($G19,融外自投!$A:$J,10,0),"無")</f>
        <v>無</v>
      </c>
      <c r="T19" s="327">
        <f>IFERROR(VLOOKUP($G19,'321買'!$A:$E,5,0),"'沒有資料'")</f>
        <v>349</v>
      </c>
      <c r="U19" s="34">
        <v>2</v>
      </c>
      <c r="V19" s="310"/>
      <c r="W19" s="57">
        <v>15.43</v>
      </c>
      <c r="X19" s="36">
        <f>RTD("money.excel",,"6523","Price")</f>
        <v>76.099999999999994</v>
      </c>
      <c r="Y19" s="217">
        <f>77-4-4-5.22-2</f>
        <v>61.78</v>
      </c>
      <c r="Z19" s="15">
        <f>X19-Y19</f>
        <v>14.319999999999993</v>
      </c>
      <c r="AA19" s="148">
        <f>Z19/Y19</f>
        <v>0.23179022337325983</v>
      </c>
      <c r="AB19" s="140" t="s">
        <v>1888</v>
      </c>
      <c r="AD19" s="16" t="s">
        <v>622</v>
      </c>
      <c r="AE19" s="84">
        <v>44329</v>
      </c>
      <c r="AG19" s="33">
        <f>AF19-AE19</f>
        <v>-44329</v>
      </c>
      <c r="AH19" s="127" t="s">
        <v>1122</v>
      </c>
      <c r="AI19" s="212"/>
      <c r="AJ19" s="213"/>
    </row>
    <row r="20" spans="1:36">
      <c r="A20" s="127" t="s">
        <v>2130</v>
      </c>
      <c r="B20" s="79">
        <v>66</v>
      </c>
      <c r="C20" s="79">
        <v>44</v>
      </c>
      <c r="D20" s="80">
        <v>-10</v>
      </c>
      <c r="E20" s="79">
        <v>89</v>
      </c>
      <c r="F20" s="57">
        <v>38.4</v>
      </c>
      <c r="G20" s="79">
        <v>6523</v>
      </c>
      <c r="H20" s="50" t="s">
        <v>1404</v>
      </c>
      <c r="I20" s="16" t="s">
        <v>622</v>
      </c>
      <c r="J20" s="8">
        <f>IFERROR(VLOOKUP($G20,今日總結!$A:$AJ,33,0),"")</f>
        <v>0</v>
      </c>
      <c r="K20" s="5">
        <f>IFERROR(VLOOKUP($G20,今日總結!$A:$AJ,34,0),"")</f>
        <v>1</v>
      </c>
      <c r="L20" s="156">
        <f>IFERROR(VLOOKUP($G20,今日總結!$A:$AJ,31,0),"")</f>
        <v>0</v>
      </c>
      <c r="M20" s="340">
        <f>IFERROR(VLOOKUP($G20,今日總結!$A:$AJ,32,0),"")</f>
        <v>0</v>
      </c>
      <c r="N20" s="240">
        <f t="shared" si="9"/>
        <v>0</v>
      </c>
      <c r="P20" s="365">
        <f>IFERROR(VLOOKUP($G20,融外自投!$A:$J,7,0),"無")</f>
        <v>789</v>
      </c>
      <c r="Q20" s="79">
        <f>IFERROR(VLOOKUP($G20,融外自投!$A:$J,9,0),"無")</f>
        <v>708</v>
      </c>
      <c r="R20" s="346">
        <f>IFERROR(VLOOKUP($G20,融外自投!$A:$J,8,0),"無")</f>
        <v>945</v>
      </c>
      <c r="S20" s="81" t="str">
        <f>IFERROR(VLOOKUP($G20,融外自投!$A:$J,10,0),"無")</f>
        <v>無</v>
      </c>
      <c r="T20" s="327">
        <f>IFERROR(VLOOKUP($G20,'321買'!$A:$E,5,0),"'沒有資料'")</f>
        <v>349</v>
      </c>
      <c r="U20" s="34">
        <v>2</v>
      </c>
      <c r="V20" s="310"/>
      <c r="W20" s="57">
        <v>15.43</v>
      </c>
      <c r="X20" s="36">
        <f>RTD("money.excel",,"6523","Price")</f>
        <v>76.099999999999994</v>
      </c>
      <c r="Y20" s="217">
        <f>76.5-4-4-5.22-2</f>
        <v>61.28</v>
      </c>
      <c r="Z20" s="15">
        <f>X20-Y20</f>
        <v>14.819999999999993</v>
      </c>
      <c r="AA20" s="148">
        <f>Z20/Y20</f>
        <v>0.24184073107049597</v>
      </c>
      <c r="AB20" s="140" t="s">
        <v>1888</v>
      </c>
      <c r="AD20" s="16" t="s">
        <v>622</v>
      </c>
      <c r="AE20" s="84">
        <v>44314</v>
      </c>
      <c r="AG20" s="33">
        <f>AF20-AE20</f>
        <v>-44314</v>
      </c>
      <c r="AH20" s="127" t="s">
        <v>1122</v>
      </c>
      <c r="AI20" s="127" t="s">
        <v>1502</v>
      </c>
      <c r="AJ20" s="213"/>
    </row>
    <row r="21" spans="1:36">
      <c r="A21" s="127" t="s">
        <v>2130</v>
      </c>
      <c r="B21" s="79">
        <v>66</v>
      </c>
      <c r="C21" s="79">
        <v>44</v>
      </c>
      <c r="D21" s="80">
        <v>-10</v>
      </c>
      <c r="E21" s="79">
        <v>89</v>
      </c>
      <c r="F21" s="57">
        <v>38.4</v>
      </c>
      <c r="G21" s="79">
        <v>6523</v>
      </c>
      <c r="H21" s="30" t="s">
        <v>1462</v>
      </c>
      <c r="I21" s="16" t="s">
        <v>622</v>
      </c>
      <c r="J21" s="8">
        <f>IFERROR(VLOOKUP($G21,今日總結!$A:$AJ,33,0),"")</f>
        <v>0</v>
      </c>
      <c r="K21" s="5">
        <f>IFERROR(VLOOKUP($G21,今日總結!$A:$AJ,34,0),"")</f>
        <v>1</v>
      </c>
      <c r="L21" s="156">
        <f>IFERROR(VLOOKUP($G21,今日總結!$A:$AJ,31,0),"")</f>
        <v>0</v>
      </c>
      <c r="M21" s="340">
        <f>IFERROR(VLOOKUP($G21,今日總結!$A:$AJ,32,0),"")</f>
        <v>0</v>
      </c>
      <c r="N21" s="240">
        <f t="shared" si="9"/>
        <v>0</v>
      </c>
      <c r="O21" s="248"/>
      <c r="P21" s="365">
        <f>IFERROR(VLOOKUP($G21,融外自投!$A:$J,7,0),"無")</f>
        <v>789</v>
      </c>
      <c r="Q21" s="79">
        <f>IFERROR(VLOOKUP($G21,融外自投!$A:$J,9,0),"無")</f>
        <v>708</v>
      </c>
      <c r="R21" s="346">
        <f>IFERROR(VLOOKUP($G21,融外自投!$A:$J,8,0),"無")</f>
        <v>945</v>
      </c>
      <c r="S21" s="81" t="str">
        <f>IFERROR(VLOOKUP($G21,融外自投!$A:$J,10,0),"無")</f>
        <v>無</v>
      </c>
      <c r="T21" s="327">
        <f>IFERROR(VLOOKUP($G21,'321買'!$A:$E,5,0),"'沒有資料'")</f>
        <v>349</v>
      </c>
      <c r="U21" s="34">
        <v>2</v>
      </c>
      <c r="V21" s="310"/>
      <c r="W21" s="57">
        <v>15.43</v>
      </c>
      <c r="X21" s="36">
        <f>RTD("money.excel",,"6523","Price")</f>
        <v>76.099999999999994</v>
      </c>
      <c r="Y21" s="217">
        <f>77-4-4-5.22-2</f>
        <v>61.78</v>
      </c>
      <c r="Z21" s="15">
        <f>X21-Y21</f>
        <v>14.319999999999993</v>
      </c>
      <c r="AA21" s="148">
        <f>Z21/Y21</f>
        <v>0.23179022337325983</v>
      </c>
      <c r="AB21" s="140" t="s">
        <v>1888</v>
      </c>
      <c r="AD21" s="16" t="s">
        <v>622</v>
      </c>
      <c r="AE21" s="84">
        <v>44329</v>
      </c>
      <c r="AG21" s="33">
        <f>AF21-AE21</f>
        <v>-44329</v>
      </c>
      <c r="AH21" s="41" t="s">
        <v>1122</v>
      </c>
      <c r="AI21" s="212"/>
      <c r="AJ21" s="213"/>
    </row>
    <row r="22" spans="1:36">
      <c r="A22" s="127" t="s">
        <v>2130</v>
      </c>
      <c r="B22" s="79">
        <v>66</v>
      </c>
      <c r="C22" s="79">
        <v>44</v>
      </c>
      <c r="D22" s="80">
        <v>-10</v>
      </c>
      <c r="E22" s="79">
        <v>89</v>
      </c>
      <c r="F22" s="57">
        <v>38.4</v>
      </c>
      <c r="G22" s="79">
        <v>6523</v>
      </c>
      <c r="H22" s="30" t="s">
        <v>1462</v>
      </c>
      <c r="I22" s="16" t="s">
        <v>622</v>
      </c>
      <c r="J22" s="8">
        <f>IFERROR(VLOOKUP($G22,今日總結!$A:$AJ,33,0),"")</f>
        <v>0</v>
      </c>
      <c r="K22" s="5">
        <f>IFERROR(VLOOKUP($G22,今日總結!$A:$AJ,34,0),"")</f>
        <v>1</v>
      </c>
      <c r="L22" s="156">
        <f>IFERROR(VLOOKUP($G22,今日總結!$A:$AJ,31,0),"")</f>
        <v>0</v>
      </c>
      <c r="M22" s="340">
        <f>IFERROR(VLOOKUP($G22,今日總結!$A:$AJ,32,0),"")</f>
        <v>0</v>
      </c>
      <c r="N22" s="240">
        <f t="shared" si="9"/>
        <v>0</v>
      </c>
      <c r="P22" s="365">
        <f>IFERROR(VLOOKUP($G22,融外自投!$A:$J,7,0),"無")</f>
        <v>789</v>
      </c>
      <c r="Q22" s="79">
        <f>IFERROR(VLOOKUP($G22,融外自投!$A:$J,9,0),"無")</f>
        <v>708</v>
      </c>
      <c r="R22" s="346">
        <f>IFERROR(VLOOKUP($G22,融外自投!$A:$J,8,0),"無")</f>
        <v>945</v>
      </c>
      <c r="S22" s="81" t="str">
        <f>IFERROR(VLOOKUP($G22,融外自投!$A:$J,10,0),"無")</f>
        <v>無</v>
      </c>
      <c r="T22" s="327">
        <f>IFERROR(VLOOKUP($G22,'321買'!$A:$E,5,0),"'沒有資料'")</f>
        <v>349</v>
      </c>
      <c r="U22" s="34">
        <v>2</v>
      </c>
      <c r="V22" s="312"/>
      <c r="W22" s="57">
        <v>15.43</v>
      </c>
      <c r="X22" s="36">
        <f>RTD("money.excel",,"6523","Price")</f>
        <v>76.099999999999994</v>
      </c>
      <c r="Y22" s="217">
        <f>76.5-4-4-5.22-2</f>
        <v>61.28</v>
      </c>
      <c r="Z22" s="15">
        <f>X22-Y22</f>
        <v>14.819999999999993</v>
      </c>
      <c r="AA22" s="148">
        <f>Z22/Y22</f>
        <v>0.24184073107049597</v>
      </c>
      <c r="AB22" s="140" t="s">
        <v>1888</v>
      </c>
      <c r="AD22" s="16" t="s">
        <v>622</v>
      </c>
      <c r="AE22" s="84">
        <v>44314</v>
      </c>
      <c r="AG22" s="33">
        <f>AF22-AE22</f>
        <v>-44314</v>
      </c>
      <c r="AH22" s="41" t="s">
        <v>1122</v>
      </c>
      <c r="AI22" s="41" t="s">
        <v>1502</v>
      </c>
      <c r="AJ22" s="213"/>
    </row>
    <row r="23" spans="1:36" s="248" customFormat="1">
      <c r="A23" s="141"/>
      <c r="B23" s="79"/>
      <c r="C23" s="79"/>
      <c r="D23" s="79"/>
      <c r="E23" s="79"/>
      <c r="F23" s="6"/>
      <c r="G23" s="41"/>
      <c r="H23" s="8"/>
      <c r="I23" s="153"/>
      <c r="J23" s="1"/>
      <c r="K23" s="1"/>
      <c r="L23" s="79"/>
      <c r="M23" s="80"/>
      <c r="N23" s="64"/>
      <c r="O23" s="245"/>
      <c r="P23" s="365"/>
      <c r="Q23" s="79"/>
      <c r="R23" s="346"/>
      <c r="S23" s="81"/>
      <c r="T23" s="327"/>
      <c r="U23" s="185"/>
      <c r="V23" s="310"/>
      <c r="W23" s="94"/>
      <c r="X23" s="165">
        <f>SUM(X19:X22)</f>
        <v>304.39999999999998</v>
      </c>
      <c r="Y23" s="155">
        <f>SUM(Y19:Y22)</f>
        <v>246.12</v>
      </c>
      <c r="Z23" s="162">
        <f>X23-Y23</f>
        <v>58.279999999999973</v>
      </c>
      <c r="AA23" s="276">
        <f>Z23/Y23</f>
        <v>0.23679505932065648</v>
      </c>
      <c r="AB23" s="113"/>
      <c r="AC23" s="382"/>
      <c r="AD23" s="153">
        <f>X23*(0.001425*0.5)+X23*0.003+Y23*(0.001425*0.5)</f>
        <v>1.3054454999999998</v>
      </c>
      <c r="AE23" s="6">
        <f>Z23-AD23</f>
        <v>56.974554499999975</v>
      </c>
      <c r="AF23" s="83"/>
      <c r="AG23" s="33"/>
      <c r="AH23" s="41" t="s">
        <v>1123</v>
      </c>
      <c r="AI23" s="163"/>
    </row>
    <row r="24" spans="1:36" s="248" customFormat="1">
      <c r="A24" s="141"/>
      <c r="B24" s="79"/>
      <c r="C24" s="79"/>
      <c r="D24" s="79"/>
      <c r="E24" s="79"/>
      <c r="F24" s="6"/>
      <c r="G24" s="41"/>
      <c r="H24" s="8"/>
      <c r="I24" s="153"/>
      <c r="J24" s="1"/>
      <c r="K24" s="1"/>
      <c r="L24" s="79"/>
      <c r="M24" s="80"/>
      <c r="N24" s="64"/>
      <c r="O24" s="245"/>
      <c r="P24" s="365"/>
      <c r="Q24" s="79"/>
      <c r="R24" s="346"/>
      <c r="S24" s="81"/>
      <c r="T24" s="327"/>
      <c r="U24" s="185"/>
      <c r="V24" s="310"/>
      <c r="W24" s="94"/>
      <c r="X24" s="165"/>
      <c r="Y24" s="155"/>
      <c r="Z24" s="162"/>
      <c r="AA24" s="164"/>
      <c r="AB24" s="113"/>
      <c r="AC24" s="382"/>
      <c r="AD24" s="153"/>
      <c r="AE24" s="6"/>
      <c r="AF24" s="83"/>
      <c r="AG24" s="33"/>
      <c r="AH24" s="41"/>
      <c r="AI24" s="163"/>
    </row>
    <row r="25" spans="1:36" s="248" customFormat="1">
      <c r="A25" s="127" t="s">
        <v>2932</v>
      </c>
      <c r="B25" s="90" t="s">
        <v>2933</v>
      </c>
      <c r="C25" s="90" t="s">
        <v>2934</v>
      </c>
      <c r="D25" s="90" t="s">
        <v>3192</v>
      </c>
      <c r="E25" s="90" t="s">
        <v>2935</v>
      </c>
      <c r="F25" s="8" t="s">
        <v>2936</v>
      </c>
      <c r="G25" s="26" t="s">
        <v>3442</v>
      </c>
      <c r="H25" s="55" t="s">
        <v>320</v>
      </c>
      <c r="I25" s="1" t="s">
        <v>3193</v>
      </c>
      <c r="J25" s="8" t="s">
        <v>6221</v>
      </c>
      <c r="K25" s="5" t="s">
        <v>6222</v>
      </c>
      <c r="L25" s="337" t="s">
        <v>6206</v>
      </c>
      <c r="M25" s="338" t="s">
        <v>6207</v>
      </c>
      <c r="N25" s="339" t="s">
        <v>6208</v>
      </c>
      <c r="O25" s="4" t="s">
        <v>6713</v>
      </c>
      <c r="P25" s="89" t="s">
        <v>6285</v>
      </c>
      <c r="Q25" s="293" t="s">
        <v>6284</v>
      </c>
      <c r="R25" s="354" t="s">
        <v>6283</v>
      </c>
      <c r="S25" s="26" t="s">
        <v>6286</v>
      </c>
      <c r="T25" s="321" t="s">
        <v>4716</v>
      </c>
      <c r="U25" s="14" t="s">
        <v>66</v>
      </c>
      <c r="V25" s="308" t="s">
        <v>4731</v>
      </c>
      <c r="W25" s="68" t="s">
        <v>3273</v>
      </c>
      <c r="X25" s="28" t="s">
        <v>2</v>
      </c>
      <c r="Y25" s="17" t="s">
        <v>1399</v>
      </c>
      <c r="Z25" s="14" t="s">
        <v>2895</v>
      </c>
      <c r="AA25" s="21" t="s">
        <v>2896</v>
      </c>
      <c r="AB25" s="51" t="s">
        <v>6174</v>
      </c>
      <c r="AC25" s="102" t="s">
        <v>6420</v>
      </c>
      <c r="AD25" s="1" t="s">
        <v>3193</v>
      </c>
      <c r="AE25" s="71" t="s">
        <v>1400</v>
      </c>
      <c r="AF25" s="72" t="s">
        <v>2901</v>
      </c>
      <c r="AG25" s="32" t="s">
        <v>1158</v>
      </c>
      <c r="AH25" s="138"/>
      <c r="AI25" s="163"/>
    </row>
    <row r="26" spans="1:36" s="248" customFormat="1">
      <c r="A26" s="127" t="s">
        <v>1670</v>
      </c>
      <c r="B26" s="79">
        <v>267</v>
      </c>
      <c r="C26" s="79">
        <v>304</v>
      </c>
      <c r="D26" s="79">
        <v>7</v>
      </c>
      <c r="E26" s="79">
        <v>15</v>
      </c>
      <c r="F26" s="57">
        <v>33.020000000000003</v>
      </c>
      <c r="G26" s="79">
        <v>3374</v>
      </c>
      <c r="H26" s="30" t="s">
        <v>1462</v>
      </c>
      <c r="I26" s="16" t="s">
        <v>167</v>
      </c>
      <c r="J26" s="8" t="str">
        <f>IFERROR(VLOOKUP($G26,今日總結!$A:$AJ,33,0),"")</f>
        <v/>
      </c>
      <c r="K26" s="5" t="str">
        <f>IFERROR(VLOOKUP($G26,今日總結!$A:$AJ,34,0),"")</f>
        <v/>
      </c>
      <c r="L26" s="156" t="str">
        <f>IFERROR(VLOOKUP($G26,今日總結!$A:$AJ,31,0),"")</f>
        <v/>
      </c>
      <c r="M26" s="340" t="str">
        <f>IFERROR(VLOOKUP($G26,今日總結!$A:$AJ,32,0),"")</f>
        <v/>
      </c>
      <c r="N26" s="240" t="str">
        <f t="shared" ref="N26:N29" si="10">IFERROR(L26-M26,"")</f>
        <v/>
      </c>
      <c r="O26" s="245"/>
      <c r="P26" s="365">
        <f>IFERROR(VLOOKUP($G26,融外自投!$A:$J,7,0),"無")</f>
        <v>304</v>
      </c>
      <c r="Q26" s="79">
        <f>IFERROR(VLOOKUP($G26,融外自投!$A:$J,9,0),"無")</f>
        <v>200</v>
      </c>
      <c r="R26" s="346">
        <f>IFERROR(VLOOKUP($G26,融外自投!$A:$J,8,0),"無")</f>
        <v>692</v>
      </c>
      <c r="S26" s="81">
        <f>IFERROR(VLOOKUP($G26,融外自投!$A:$J,10,0),"無")</f>
        <v>72</v>
      </c>
      <c r="T26" s="327">
        <f>IFERROR(VLOOKUP($G26,'321買'!$A:$E,5,0),"'沒有資料'")</f>
        <v>349</v>
      </c>
      <c r="U26" s="45">
        <v>3</v>
      </c>
      <c r="V26" s="310"/>
      <c r="W26" s="57">
        <v>7.95</v>
      </c>
      <c r="X26" s="161">
        <f>RTD("money.excel",,"3374","Price")</f>
        <v>137</v>
      </c>
      <c r="Y26" s="155">
        <f>162.5-2.5</f>
        <v>160</v>
      </c>
      <c r="Z26" s="105">
        <f t="shared" ref="Z26:Z30" si="11">X26-Y26</f>
        <v>-23</v>
      </c>
      <c r="AA26" s="164">
        <f t="shared" ref="AA26:AA30" si="12">Z26/Y26</f>
        <v>-0.14374999999999999</v>
      </c>
      <c r="AB26" s="168" t="s">
        <v>3194</v>
      </c>
      <c r="AC26" s="382"/>
      <c r="AD26" s="166" t="s">
        <v>167</v>
      </c>
      <c r="AE26" s="84">
        <v>44299</v>
      </c>
      <c r="AF26" s="83"/>
      <c r="AG26" s="33">
        <f>AF26-AE26</f>
        <v>-44299</v>
      </c>
      <c r="AH26" s="41" t="s">
        <v>1122</v>
      </c>
    </row>
    <row r="27" spans="1:36" s="248" customFormat="1">
      <c r="A27" s="127" t="s">
        <v>1670</v>
      </c>
      <c r="B27" s="79">
        <v>267</v>
      </c>
      <c r="C27" s="79">
        <v>304</v>
      </c>
      <c r="D27" s="79">
        <v>7</v>
      </c>
      <c r="E27" s="79">
        <v>15</v>
      </c>
      <c r="F27" s="57">
        <v>33.020000000000003</v>
      </c>
      <c r="G27" s="79">
        <v>3374</v>
      </c>
      <c r="H27" s="30" t="s">
        <v>1462</v>
      </c>
      <c r="I27" s="16" t="s">
        <v>167</v>
      </c>
      <c r="J27" s="8" t="str">
        <f>IFERROR(VLOOKUP($G27,今日總結!$A:$AJ,33,0),"")</f>
        <v/>
      </c>
      <c r="K27" s="5" t="str">
        <f>IFERROR(VLOOKUP($G27,今日總結!$A:$AJ,34,0),"")</f>
        <v/>
      </c>
      <c r="L27" s="156" t="str">
        <f>IFERROR(VLOOKUP($G27,今日總結!$A:$AJ,31,0),"")</f>
        <v/>
      </c>
      <c r="M27" s="340" t="str">
        <f>IFERROR(VLOOKUP($G27,今日總結!$A:$AJ,32,0),"")</f>
        <v/>
      </c>
      <c r="N27" s="240" t="str">
        <f t="shared" si="10"/>
        <v/>
      </c>
      <c r="P27" s="365">
        <f>IFERROR(VLOOKUP($G27,融外自投!$A:$J,7,0),"無")</f>
        <v>304</v>
      </c>
      <c r="Q27" s="79">
        <f>IFERROR(VLOOKUP($G27,融外自投!$A:$J,9,0),"無")</f>
        <v>200</v>
      </c>
      <c r="R27" s="346">
        <f>IFERROR(VLOOKUP($G27,融外自投!$A:$J,8,0),"無")</f>
        <v>692</v>
      </c>
      <c r="S27" s="81">
        <f>IFERROR(VLOOKUP($G27,融外自投!$A:$J,10,0),"無")</f>
        <v>72</v>
      </c>
      <c r="T27" s="327">
        <f>IFERROR(VLOOKUP($G27,'321買'!$A:$E,5,0),"'沒有資料'")</f>
        <v>349</v>
      </c>
      <c r="U27" s="45">
        <v>3</v>
      </c>
      <c r="V27" s="310"/>
      <c r="W27" s="57">
        <v>7.95</v>
      </c>
      <c r="X27" s="161">
        <f>RTD("money.excel",,"3374","Price")</f>
        <v>137</v>
      </c>
      <c r="Y27" s="155">
        <f>167.5-2.5</f>
        <v>165</v>
      </c>
      <c r="Z27" s="105">
        <f t="shared" si="11"/>
        <v>-28</v>
      </c>
      <c r="AA27" s="164">
        <f t="shared" si="12"/>
        <v>-0.16969696969696971</v>
      </c>
      <c r="AB27" s="168" t="s">
        <v>3194</v>
      </c>
      <c r="AC27" s="382"/>
      <c r="AD27" s="166" t="s">
        <v>167</v>
      </c>
      <c r="AE27" s="84">
        <v>44299</v>
      </c>
      <c r="AF27" s="83"/>
      <c r="AG27" s="33">
        <f>AF27-AE27</f>
        <v>-44299</v>
      </c>
      <c r="AH27" s="41" t="s">
        <v>1122</v>
      </c>
    </row>
    <row r="28" spans="1:36" s="248" customFormat="1">
      <c r="A28" s="127" t="s">
        <v>1670</v>
      </c>
      <c r="B28" s="79">
        <v>267</v>
      </c>
      <c r="C28" s="79">
        <v>304</v>
      </c>
      <c r="D28" s="79">
        <v>7</v>
      </c>
      <c r="E28" s="79">
        <v>15</v>
      </c>
      <c r="F28" s="57">
        <v>33.020000000000003</v>
      </c>
      <c r="G28" s="79">
        <v>3374</v>
      </c>
      <c r="H28" s="30" t="s">
        <v>1462</v>
      </c>
      <c r="I28" s="16" t="s">
        <v>167</v>
      </c>
      <c r="J28" s="8" t="str">
        <f>IFERROR(VLOOKUP($G28,今日總結!$A:$AJ,33,0),"")</f>
        <v/>
      </c>
      <c r="K28" s="5" t="str">
        <f>IFERROR(VLOOKUP($G28,今日總結!$A:$AJ,34,0),"")</f>
        <v/>
      </c>
      <c r="L28" s="156" t="str">
        <f>IFERROR(VLOOKUP($G28,今日總結!$A:$AJ,31,0),"")</f>
        <v/>
      </c>
      <c r="M28" s="340" t="str">
        <f>IFERROR(VLOOKUP($G28,今日總結!$A:$AJ,32,0),"")</f>
        <v/>
      </c>
      <c r="N28" s="240" t="str">
        <f t="shared" si="10"/>
        <v/>
      </c>
      <c r="O28" s="245"/>
      <c r="P28" s="365">
        <f>IFERROR(VLOOKUP($G28,融外自投!$A:$J,7,0),"無")</f>
        <v>304</v>
      </c>
      <c r="Q28" s="79">
        <f>IFERROR(VLOOKUP($G28,融外自投!$A:$J,9,0),"無")</f>
        <v>200</v>
      </c>
      <c r="R28" s="346">
        <f>IFERROR(VLOOKUP($G28,融外自投!$A:$J,8,0),"無")</f>
        <v>692</v>
      </c>
      <c r="S28" s="81">
        <f>IFERROR(VLOOKUP($G28,融外自投!$A:$J,10,0),"無")</f>
        <v>72</v>
      </c>
      <c r="T28" s="327">
        <f>IFERROR(VLOOKUP($G28,'321買'!$A:$E,5,0),"'沒有資料'")</f>
        <v>349</v>
      </c>
      <c r="U28" s="45">
        <v>3</v>
      </c>
      <c r="V28" s="310"/>
      <c r="W28" s="57">
        <v>7.95</v>
      </c>
      <c r="X28" s="161">
        <f>RTD("money.excel",,"3374","Price")</f>
        <v>137</v>
      </c>
      <c r="Y28" s="155">
        <f>175.5-2.5</f>
        <v>173</v>
      </c>
      <c r="Z28" s="105">
        <f t="shared" si="11"/>
        <v>-36</v>
      </c>
      <c r="AA28" s="164">
        <f t="shared" si="12"/>
        <v>-0.20809248554913296</v>
      </c>
      <c r="AB28" s="168" t="s">
        <v>3194</v>
      </c>
      <c r="AC28" s="382"/>
      <c r="AD28" s="166" t="s">
        <v>167</v>
      </c>
      <c r="AE28" s="84">
        <v>44295</v>
      </c>
      <c r="AF28" s="83"/>
      <c r="AG28" s="33">
        <f>AF28-AE28</f>
        <v>-44295</v>
      </c>
      <c r="AH28" s="41" t="s">
        <v>1122</v>
      </c>
    </row>
    <row r="29" spans="1:36" s="248" customFormat="1">
      <c r="A29" s="127" t="s">
        <v>1670</v>
      </c>
      <c r="B29" s="79">
        <v>267</v>
      </c>
      <c r="C29" s="79">
        <v>304</v>
      </c>
      <c r="D29" s="79">
        <v>7</v>
      </c>
      <c r="E29" s="79">
        <v>15</v>
      </c>
      <c r="F29" s="57">
        <v>33.020000000000003</v>
      </c>
      <c r="G29" s="79">
        <v>3374</v>
      </c>
      <c r="H29" s="30" t="s">
        <v>3154</v>
      </c>
      <c r="I29" s="16" t="s">
        <v>167</v>
      </c>
      <c r="J29" s="8" t="str">
        <f>IFERROR(VLOOKUP($G29,今日總結!$A:$AJ,33,0),"")</f>
        <v/>
      </c>
      <c r="K29" s="5" t="str">
        <f>IFERROR(VLOOKUP($G29,今日總結!$A:$AJ,34,0),"")</f>
        <v/>
      </c>
      <c r="L29" s="156" t="str">
        <f>IFERROR(VLOOKUP($G29,今日總結!$A:$AJ,31,0),"")</f>
        <v/>
      </c>
      <c r="M29" s="340" t="str">
        <f>IFERROR(VLOOKUP($G29,今日總結!$A:$AJ,32,0),"")</f>
        <v/>
      </c>
      <c r="N29" s="240" t="str">
        <f t="shared" si="10"/>
        <v/>
      </c>
      <c r="O29" s="245"/>
      <c r="P29" s="365">
        <f>IFERROR(VLOOKUP($G29,融外自投!$A:$J,7,0),"無")</f>
        <v>304</v>
      </c>
      <c r="Q29" s="79">
        <f>IFERROR(VLOOKUP($G29,融外自投!$A:$J,9,0),"無")</f>
        <v>200</v>
      </c>
      <c r="R29" s="346">
        <f>IFERROR(VLOOKUP($G29,融外自投!$A:$J,8,0),"無")</f>
        <v>692</v>
      </c>
      <c r="S29" s="81">
        <f>IFERROR(VLOOKUP($G29,融外自投!$A:$J,10,0),"無")</f>
        <v>72</v>
      </c>
      <c r="T29" s="327">
        <f>IFERROR(VLOOKUP($G29,'321買'!$A:$E,5,0),"'沒有資料'")</f>
        <v>349</v>
      </c>
      <c r="U29" s="45">
        <v>3</v>
      </c>
      <c r="V29" s="310"/>
      <c r="W29" s="57">
        <v>7.95</v>
      </c>
      <c r="X29" s="161">
        <f>RTD("money.excel",,"3374","Price")</f>
        <v>137</v>
      </c>
      <c r="Y29" s="155">
        <f>180.5-2.5</f>
        <v>178</v>
      </c>
      <c r="Z29" s="105">
        <f t="shared" si="11"/>
        <v>-41</v>
      </c>
      <c r="AA29" s="164">
        <f t="shared" si="12"/>
        <v>-0.2303370786516854</v>
      </c>
      <c r="AB29" s="168" t="s">
        <v>3194</v>
      </c>
      <c r="AC29" s="382"/>
      <c r="AD29" s="166" t="s">
        <v>167</v>
      </c>
      <c r="AE29" s="84">
        <v>44292</v>
      </c>
      <c r="AF29" s="83"/>
      <c r="AG29" s="33">
        <f>AF29-AE29</f>
        <v>-44292</v>
      </c>
      <c r="AH29" s="41" t="s">
        <v>2921</v>
      </c>
    </row>
    <row r="30" spans="1:36" s="248" customFormat="1">
      <c r="A30" s="141"/>
      <c r="B30" s="79"/>
      <c r="C30" s="79"/>
      <c r="D30" s="79"/>
      <c r="E30" s="79"/>
      <c r="F30" s="6"/>
      <c r="G30" s="41"/>
      <c r="H30" s="8"/>
      <c r="I30" s="153"/>
      <c r="J30" s="1"/>
      <c r="K30" s="1"/>
      <c r="L30" s="123"/>
      <c r="M30" s="234"/>
      <c r="N30" s="341"/>
      <c r="P30" s="365"/>
      <c r="Q30" s="47"/>
      <c r="R30" s="346"/>
      <c r="S30" s="303"/>
      <c r="T30" s="322"/>
      <c r="U30" s="185"/>
      <c r="V30" s="310"/>
      <c r="W30" s="94"/>
      <c r="X30" s="165">
        <f>SUM(X26:X29)</f>
        <v>548</v>
      </c>
      <c r="Y30" s="155">
        <f>SUM(Y26:Y29)</f>
        <v>676</v>
      </c>
      <c r="Z30" s="226">
        <f t="shared" si="11"/>
        <v>-128</v>
      </c>
      <c r="AA30" s="164">
        <f t="shared" si="12"/>
        <v>-0.1893491124260355</v>
      </c>
      <c r="AB30" s="113"/>
      <c r="AC30" s="382"/>
      <c r="AD30" s="153">
        <f>X30*(0.001425*0.5)+X30*0.003+Y30*(0.001425*0.5)</f>
        <v>2.5161000000000002</v>
      </c>
      <c r="AE30" s="6">
        <f>Z30-AD30</f>
        <v>-130.51609999999999</v>
      </c>
      <c r="AF30" s="83"/>
      <c r="AG30" s="33"/>
      <c r="AH30" s="41" t="s">
        <v>3144</v>
      </c>
      <c r="AI30" s="163"/>
    </row>
    <row r="31" spans="1:36" s="248" customFormat="1">
      <c r="A31" s="141"/>
      <c r="B31" s="79"/>
      <c r="C31" s="79"/>
      <c r="D31" s="79"/>
      <c r="E31" s="79"/>
      <c r="F31" s="6"/>
      <c r="G31" s="41"/>
      <c r="H31" s="8"/>
      <c r="I31" s="153"/>
      <c r="J31" s="1"/>
      <c r="K31" s="1"/>
      <c r="L31" s="79"/>
      <c r="M31" s="80"/>
      <c r="N31" s="64"/>
      <c r="O31" s="245"/>
      <c r="P31" s="365"/>
      <c r="Q31" s="47"/>
      <c r="R31" s="346"/>
      <c r="S31" s="303"/>
      <c r="T31" s="322"/>
      <c r="U31" s="185"/>
      <c r="V31" s="310"/>
      <c r="W31" s="94"/>
      <c r="X31" s="165"/>
      <c r="Y31" s="155"/>
      <c r="Z31" s="162"/>
      <c r="AA31" s="164"/>
      <c r="AB31" s="113"/>
      <c r="AC31" s="382"/>
      <c r="AD31" s="153"/>
      <c r="AE31" s="6"/>
      <c r="AF31" s="83"/>
      <c r="AG31" s="33"/>
      <c r="AH31" s="41"/>
      <c r="AI31" s="163"/>
    </row>
    <row r="32" spans="1:36" s="248" customFormat="1">
      <c r="A32" s="127" t="s">
        <v>1673</v>
      </c>
      <c r="B32" s="90" t="s">
        <v>1572</v>
      </c>
      <c r="C32" s="90" t="s">
        <v>1573</v>
      </c>
      <c r="D32" s="90" t="s">
        <v>1574</v>
      </c>
      <c r="E32" s="90" t="s">
        <v>1575</v>
      </c>
      <c r="F32" s="8" t="s">
        <v>1060</v>
      </c>
      <c r="G32" s="26" t="s">
        <v>3442</v>
      </c>
      <c r="H32" s="55" t="s">
        <v>320</v>
      </c>
      <c r="I32" s="1" t="s">
        <v>2249</v>
      </c>
      <c r="J32" s="8" t="s">
        <v>6221</v>
      </c>
      <c r="K32" s="5" t="s">
        <v>6222</v>
      </c>
      <c r="L32" s="337" t="s">
        <v>6206</v>
      </c>
      <c r="M32" s="338" t="s">
        <v>6207</v>
      </c>
      <c r="N32" s="339" t="s">
        <v>6208</v>
      </c>
      <c r="O32" s="4" t="s">
        <v>6713</v>
      </c>
      <c r="P32" s="89" t="s">
        <v>6285</v>
      </c>
      <c r="Q32" s="293" t="s">
        <v>6284</v>
      </c>
      <c r="R32" s="354" t="s">
        <v>6283</v>
      </c>
      <c r="S32" s="26" t="s">
        <v>6286</v>
      </c>
      <c r="T32" s="321" t="s">
        <v>4716</v>
      </c>
      <c r="U32" s="14" t="s">
        <v>66</v>
      </c>
      <c r="V32" s="308" t="s">
        <v>4731</v>
      </c>
      <c r="W32" s="68" t="s">
        <v>3273</v>
      </c>
      <c r="X32" s="28" t="s">
        <v>2</v>
      </c>
      <c r="Y32" s="17" t="s">
        <v>1399</v>
      </c>
      <c r="Z32" s="14" t="s">
        <v>2250</v>
      </c>
      <c r="AA32" s="21" t="s">
        <v>1470</v>
      </c>
      <c r="AB32" s="51" t="s">
        <v>6174</v>
      </c>
      <c r="AC32" s="102" t="s">
        <v>6420</v>
      </c>
      <c r="AD32" s="1" t="s">
        <v>2249</v>
      </c>
      <c r="AE32" s="71" t="s">
        <v>1400</v>
      </c>
      <c r="AF32" s="72" t="s">
        <v>1157</v>
      </c>
      <c r="AG32" s="32" t="s">
        <v>1158</v>
      </c>
      <c r="AH32" s="46" t="s">
        <v>1566</v>
      </c>
      <c r="AI32" s="163"/>
    </row>
    <row r="33" spans="1:40">
      <c r="A33" s="142" t="s">
        <v>2103</v>
      </c>
      <c r="B33" s="79">
        <v>10</v>
      </c>
      <c r="C33" s="79">
        <v>9</v>
      </c>
      <c r="D33" s="79">
        <v>4</v>
      </c>
      <c r="E33" s="79">
        <v>22</v>
      </c>
      <c r="F33" s="6">
        <v>4.8899999999999997</v>
      </c>
      <c r="G33" s="80">
        <v>4958</v>
      </c>
      <c r="H33" s="30" t="s">
        <v>1462</v>
      </c>
      <c r="I33" s="22" t="s">
        <v>27</v>
      </c>
      <c r="J33" s="8" t="str">
        <f>IFERROR(VLOOKUP($G33,今日總結!$A:$AJ,33,0),"")</f>
        <v/>
      </c>
      <c r="K33" s="5" t="str">
        <f>IFERROR(VLOOKUP($G33,今日總結!$A:$AJ,34,0),"")</f>
        <v/>
      </c>
      <c r="L33" s="156" t="str">
        <f>IFERROR(VLOOKUP($G33,今日總結!$A:$AJ,31,0),"")</f>
        <v/>
      </c>
      <c r="M33" s="340" t="str">
        <f>IFERROR(VLOOKUP($G33,今日總結!$A:$AJ,32,0),"")</f>
        <v/>
      </c>
      <c r="N33" s="240" t="str">
        <f t="shared" ref="N33:N35" si="13">IFERROR(L33-M33,"")</f>
        <v/>
      </c>
      <c r="P33" s="365">
        <f>IFERROR(VLOOKUP($G33,融外自投!$A:$J,7,0),"無")</f>
        <v>907</v>
      </c>
      <c r="Q33" s="79">
        <f>IFERROR(VLOOKUP($G33,融外自投!$A:$J,9,0),"無")</f>
        <v>435</v>
      </c>
      <c r="R33" s="346">
        <f>IFERROR(VLOOKUP($G33,融外自投!$A:$J,8,0),"無")</f>
        <v>42</v>
      </c>
      <c r="S33" s="81">
        <f>IFERROR(VLOOKUP($G33,融外自投!$A:$J,10,0),"無")</f>
        <v>149</v>
      </c>
      <c r="T33" s="327">
        <f>IFERROR(VLOOKUP($G33,'321買'!$A:$E,5,0),"'沒有資料'")</f>
        <v>117</v>
      </c>
      <c r="U33" s="45">
        <v>5</v>
      </c>
      <c r="W33" s="57">
        <v>8.93</v>
      </c>
      <c r="X33" s="13">
        <f>RTD("money.excel",,"4958","Price")</f>
        <v>101</v>
      </c>
      <c r="Y33" s="66">
        <f>106-4.5</f>
        <v>101.5</v>
      </c>
      <c r="Z33" s="15">
        <f>X33-Y33</f>
        <v>-0.5</v>
      </c>
      <c r="AA33" s="63">
        <f>Z33/Y33</f>
        <v>-4.9261083743842365E-3</v>
      </c>
      <c r="AB33" s="99" t="s">
        <v>1888</v>
      </c>
      <c r="AD33" s="22" t="s">
        <v>27</v>
      </c>
      <c r="AE33" s="84">
        <v>44308</v>
      </c>
      <c r="AG33" s="33">
        <f>AF33-AE33</f>
        <v>-44308</v>
      </c>
      <c r="AH33" s="41" t="s">
        <v>1122</v>
      </c>
      <c r="AI33" s="245"/>
      <c r="AJ33" s="8"/>
    </row>
    <row r="34" spans="1:40">
      <c r="A34" s="142" t="s">
        <v>2103</v>
      </c>
      <c r="B34" s="79">
        <v>10</v>
      </c>
      <c r="C34" s="79">
        <v>9</v>
      </c>
      <c r="D34" s="79">
        <v>4</v>
      </c>
      <c r="E34" s="79">
        <v>22</v>
      </c>
      <c r="F34" s="6">
        <v>4.8899999999999997</v>
      </c>
      <c r="G34" s="80">
        <v>4958</v>
      </c>
      <c r="H34" s="30" t="s">
        <v>1462</v>
      </c>
      <c r="I34" s="22" t="s">
        <v>27</v>
      </c>
      <c r="J34" s="8" t="str">
        <f>IFERROR(VLOOKUP($G34,今日總結!$A:$AJ,33,0),"")</f>
        <v/>
      </c>
      <c r="K34" s="5" t="str">
        <f>IFERROR(VLOOKUP($G34,今日總結!$A:$AJ,34,0),"")</f>
        <v/>
      </c>
      <c r="L34" s="156" t="str">
        <f>IFERROR(VLOOKUP($G34,今日總結!$A:$AJ,31,0),"")</f>
        <v/>
      </c>
      <c r="M34" s="340" t="str">
        <f>IFERROR(VLOOKUP($G34,今日總結!$A:$AJ,32,0),"")</f>
        <v/>
      </c>
      <c r="N34" s="240" t="str">
        <f t="shared" si="13"/>
        <v/>
      </c>
      <c r="P34" s="365">
        <f>IFERROR(VLOOKUP($G34,融外自投!$A:$J,7,0),"無")</f>
        <v>907</v>
      </c>
      <c r="Q34" s="79">
        <f>IFERROR(VLOOKUP($G34,融外自投!$A:$J,9,0),"無")</f>
        <v>435</v>
      </c>
      <c r="R34" s="346">
        <f>IFERROR(VLOOKUP($G34,融外自投!$A:$J,8,0),"無")</f>
        <v>42</v>
      </c>
      <c r="S34" s="81">
        <f>IFERROR(VLOOKUP($G34,融外自投!$A:$J,10,0),"無")</f>
        <v>149</v>
      </c>
      <c r="T34" s="327">
        <f>IFERROR(VLOOKUP($G34,'321買'!$A:$E,5,0),"'沒有資料'")</f>
        <v>117</v>
      </c>
      <c r="U34" s="45">
        <v>5</v>
      </c>
      <c r="W34" s="57">
        <v>8.93</v>
      </c>
      <c r="X34" s="13">
        <f>RTD("money.excel",,"4958","Price")</f>
        <v>101</v>
      </c>
      <c r="Y34" s="66">
        <f>110.5-4.5</f>
        <v>106</v>
      </c>
      <c r="Z34" s="15">
        <f>X34-Y34</f>
        <v>-5</v>
      </c>
      <c r="AA34" s="63">
        <f>Z34/Y34</f>
        <v>-4.716981132075472E-2</v>
      </c>
      <c r="AB34" s="99" t="s">
        <v>1888</v>
      </c>
      <c r="AD34" s="22" t="s">
        <v>27</v>
      </c>
      <c r="AE34" s="84">
        <v>44298</v>
      </c>
      <c r="AG34" s="33">
        <f>AF34-AE34</f>
        <v>-44298</v>
      </c>
      <c r="AH34" s="41" t="s">
        <v>1122</v>
      </c>
      <c r="AI34" s="245"/>
      <c r="AJ34" s="8"/>
    </row>
    <row r="35" spans="1:40">
      <c r="A35" s="142" t="s">
        <v>2103</v>
      </c>
      <c r="B35" s="79">
        <v>10</v>
      </c>
      <c r="C35" s="79">
        <v>9</v>
      </c>
      <c r="D35" s="79">
        <v>4</v>
      </c>
      <c r="E35" s="79">
        <v>22</v>
      </c>
      <c r="F35" s="6">
        <v>4.8899999999999997</v>
      </c>
      <c r="G35" s="80">
        <v>4958</v>
      </c>
      <c r="H35" s="30" t="s">
        <v>1462</v>
      </c>
      <c r="I35" s="22" t="s">
        <v>27</v>
      </c>
      <c r="J35" s="8" t="str">
        <f>IFERROR(VLOOKUP($G35,今日總結!$A:$AJ,33,0),"")</f>
        <v/>
      </c>
      <c r="K35" s="5" t="str">
        <f>IFERROR(VLOOKUP($G35,今日總結!$A:$AJ,34,0),"")</f>
        <v/>
      </c>
      <c r="L35" s="156" t="str">
        <f>IFERROR(VLOOKUP($G35,今日總結!$A:$AJ,31,0),"")</f>
        <v/>
      </c>
      <c r="M35" s="340" t="str">
        <f>IFERROR(VLOOKUP($G35,今日總結!$A:$AJ,32,0),"")</f>
        <v/>
      </c>
      <c r="N35" s="240" t="str">
        <f t="shared" si="13"/>
        <v/>
      </c>
      <c r="P35" s="365">
        <f>IFERROR(VLOOKUP($G35,融外自投!$A:$J,7,0),"無")</f>
        <v>907</v>
      </c>
      <c r="Q35" s="79">
        <f>IFERROR(VLOOKUP($G35,融外自投!$A:$J,9,0),"無")</f>
        <v>435</v>
      </c>
      <c r="R35" s="346">
        <f>IFERROR(VLOOKUP($G35,融外自投!$A:$J,8,0),"無")</f>
        <v>42</v>
      </c>
      <c r="S35" s="81">
        <f>IFERROR(VLOOKUP($G35,融外自投!$A:$J,10,0),"無")</f>
        <v>149</v>
      </c>
      <c r="T35" s="327">
        <f>IFERROR(VLOOKUP($G35,'321買'!$A:$E,5,0),"'沒有資料'")</f>
        <v>117</v>
      </c>
      <c r="U35" s="45">
        <v>5</v>
      </c>
      <c r="W35" s="57">
        <v>8.93</v>
      </c>
      <c r="X35" s="13">
        <f>RTD("money.excel",,"4958","Price")</f>
        <v>101</v>
      </c>
      <c r="Y35" s="66">
        <f>114-4.5</f>
        <v>109.5</v>
      </c>
      <c r="Z35" s="15">
        <f>X35-Y35</f>
        <v>-8.5</v>
      </c>
      <c r="AA35" s="63">
        <f>Z35/Y35</f>
        <v>-7.7625570776255703E-2</v>
      </c>
      <c r="AB35" s="99" t="s">
        <v>1888</v>
      </c>
      <c r="AD35" s="22" t="s">
        <v>27</v>
      </c>
      <c r="AE35" s="84">
        <v>44298</v>
      </c>
      <c r="AG35" s="33">
        <f>AF35-AE35</f>
        <v>-44298</v>
      </c>
      <c r="AH35" s="41" t="s">
        <v>1122</v>
      </c>
      <c r="AI35" s="245"/>
      <c r="AJ35" s="8"/>
    </row>
    <row r="36" spans="1:40" s="248" customFormat="1">
      <c r="A36" s="141"/>
      <c r="B36" s="79"/>
      <c r="C36" s="79"/>
      <c r="D36" s="79"/>
      <c r="E36" s="79"/>
      <c r="F36" s="6"/>
      <c r="G36" s="41"/>
      <c r="H36" s="8"/>
      <c r="I36" s="153"/>
      <c r="J36" s="8"/>
      <c r="K36" s="5"/>
      <c r="L36" s="156"/>
      <c r="M36" s="340"/>
      <c r="N36" s="240"/>
      <c r="O36" s="245"/>
      <c r="P36" s="365"/>
      <c r="Q36" s="79"/>
      <c r="R36" s="346"/>
      <c r="S36" s="81"/>
      <c r="T36" s="327"/>
      <c r="U36" s="185"/>
      <c r="V36" s="311"/>
      <c r="W36" s="94"/>
      <c r="X36" s="165">
        <f>SUM(X33:X35)</f>
        <v>303</v>
      </c>
      <c r="Y36" s="155">
        <f>SUM(Y33:Y35)</f>
        <v>317</v>
      </c>
      <c r="Z36" s="162">
        <f>X36-Y36</f>
        <v>-14</v>
      </c>
      <c r="AA36" s="158">
        <f>Z36/Y36</f>
        <v>-4.4164037854889593E-2</v>
      </c>
      <c r="AB36" s="113"/>
      <c r="AC36" s="382"/>
      <c r="AD36" s="153">
        <f>X36*(0.001425*0.5)+X36*0.003+Y36*(0.001425*0.5)</f>
        <v>1.3507500000000001</v>
      </c>
      <c r="AE36" s="6">
        <f>Z36-AD36</f>
        <v>-15.35075</v>
      </c>
      <c r="AF36" s="83"/>
      <c r="AG36" s="33"/>
      <c r="AH36" s="41" t="s">
        <v>1551</v>
      </c>
      <c r="AI36" s="163"/>
    </row>
    <row r="37" spans="1:40">
      <c r="A37" s="127"/>
      <c r="B37" s="79"/>
      <c r="C37" s="79"/>
      <c r="D37" s="79"/>
      <c r="E37" s="79"/>
      <c r="F37" s="57"/>
      <c r="G37" s="56"/>
      <c r="H37" s="5"/>
      <c r="I37" s="22"/>
      <c r="L37" s="79"/>
      <c r="M37" s="80"/>
      <c r="N37" s="64"/>
      <c r="P37" s="365"/>
      <c r="Q37" s="47"/>
      <c r="R37" s="346"/>
      <c r="U37" s="66"/>
      <c r="W37" s="57"/>
      <c r="X37" s="36"/>
      <c r="Y37" s="66"/>
      <c r="Z37" s="15"/>
      <c r="AA37" s="3"/>
      <c r="AB37" s="99"/>
      <c r="AD37" s="22"/>
      <c r="AG37" s="116"/>
      <c r="AH37" s="41"/>
      <c r="AI37" s="212"/>
      <c r="AJ37" s="213"/>
    </row>
    <row r="38" spans="1:40" s="248" customFormat="1">
      <c r="A38" s="127" t="s">
        <v>1673</v>
      </c>
      <c r="B38" s="90" t="s">
        <v>1572</v>
      </c>
      <c r="C38" s="90" t="s">
        <v>1573</v>
      </c>
      <c r="D38" s="90" t="s">
        <v>1574</v>
      </c>
      <c r="E38" s="90" t="s">
        <v>1575</v>
      </c>
      <c r="F38" s="8" t="s">
        <v>1060</v>
      </c>
      <c r="G38" s="26" t="s">
        <v>3442</v>
      </c>
      <c r="H38" s="55" t="s">
        <v>320</v>
      </c>
      <c r="I38" s="1" t="s">
        <v>69</v>
      </c>
      <c r="J38" s="8" t="s">
        <v>6221</v>
      </c>
      <c r="K38" s="5" t="s">
        <v>6222</v>
      </c>
      <c r="L38" s="337" t="s">
        <v>6206</v>
      </c>
      <c r="M38" s="338" t="s">
        <v>6207</v>
      </c>
      <c r="N38" s="339" t="s">
        <v>6208</v>
      </c>
      <c r="O38" s="4" t="s">
        <v>6713</v>
      </c>
      <c r="P38" s="89" t="s">
        <v>6285</v>
      </c>
      <c r="Q38" s="293" t="s">
        <v>6284</v>
      </c>
      <c r="R38" s="354" t="s">
        <v>6283</v>
      </c>
      <c r="S38" s="26" t="s">
        <v>6286</v>
      </c>
      <c r="T38" s="321" t="s">
        <v>4716</v>
      </c>
      <c r="U38" s="14" t="s">
        <v>66</v>
      </c>
      <c r="V38" s="308" t="s">
        <v>4731</v>
      </c>
      <c r="W38" s="68" t="s">
        <v>3273</v>
      </c>
      <c r="X38" s="28" t="s">
        <v>2</v>
      </c>
      <c r="Y38" s="17" t="s">
        <v>1399</v>
      </c>
      <c r="Z38" s="14" t="s">
        <v>2250</v>
      </c>
      <c r="AA38" s="21" t="s">
        <v>1470</v>
      </c>
      <c r="AB38" s="51" t="s">
        <v>6174</v>
      </c>
      <c r="AC38" s="102" t="s">
        <v>6420</v>
      </c>
      <c r="AD38" s="1" t="s">
        <v>69</v>
      </c>
      <c r="AE38" s="71" t="s">
        <v>1400</v>
      </c>
      <c r="AF38" s="72" t="s">
        <v>1157</v>
      </c>
      <c r="AG38" s="32" t="s">
        <v>1158</v>
      </c>
      <c r="AH38" s="138"/>
      <c r="AI38" s="163"/>
    </row>
    <row r="39" spans="1:40">
      <c r="A39" s="142" t="s">
        <v>3004</v>
      </c>
      <c r="B39" s="79">
        <v>24</v>
      </c>
      <c r="C39" s="80">
        <v>-19</v>
      </c>
      <c r="D39" s="79">
        <v>0</v>
      </c>
      <c r="E39" s="80">
        <v>-8</v>
      </c>
      <c r="F39" s="6">
        <v>5.91</v>
      </c>
      <c r="G39" s="79">
        <v>6179</v>
      </c>
      <c r="H39" s="8" t="s">
        <v>235</v>
      </c>
      <c r="I39" s="16" t="s">
        <v>645</v>
      </c>
      <c r="J39" s="8" t="str">
        <f>IFERROR(VLOOKUP($G39,今日總結!$A:$AJ,33,0),"")</f>
        <v/>
      </c>
      <c r="K39" s="5" t="str">
        <f>IFERROR(VLOOKUP($G39,今日總結!$A:$AJ,34,0),"")</f>
        <v/>
      </c>
      <c r="L39" s="156" t="str">
        <f>IFERROR(VLOOKUP($G39,今日總結!$A:$AJ,31,0),"")</f>
        <v/>
      </c>
      <c r="M39" s="340" t="str">
        <f>IFERROR(VLOOKUP($G39,今日總結!$A:$AJ,32,0),"")</f>
        <v/>
      </c>
      <c r="N39" s="240" t="str">
        <f t="shared" ref="N39" si="14">IFERROR(L39-M39,"")</f>
        <v/>
      </c>
      <c r="P39" s="365">
        <f>IFERROR(VLOOKUP($G39,融外自投!$A:$J,7,0),"無")</f>
        <v>313</v>
      </c>
      <c r="Q39" s="79" t="str">
        <f>IFERROR(VLOOKUP($G39,融外自投!$A:$J,9,0),"無")</f>
        <v>無</v>
      </c>
      <c r="R39" s="346">
        <f>IFERROR(VLOOKUP($G39,融外自投!$A:$J,8,0),"無")</f>
        <v>1263</v>
      </c>
      <c r="S39" s="81" t="str">
        <f>IFERROR(VLOOKUP($G39,融外自投!$A:$J,10,0),"無")</f>
        <v>無</v>
      </c>
      <c r="T39" s="327">
        <f>IFERROR(VLOOKUP($G39,'321買'!$A:$E,5,0),"'沒有資料'")</f>
        <v>827</v>
      </c>
      <c r="U39" s="34">
        <v>1.5</v>
      </c>
      <c r="V39" s="310"/>
      <c r="W39" s="94">
        <v>2.72</v>
      </c>
      <c r="X39" s="36">
        <f>RTD("money.excel",,"6179","Price")</f>
        <v>30</v>
      </c>
      <c r="Y39" s="66">
        <v>30.75</v>
      </c>
      <c r="Z39" s="15">
        <f>X39-Y39</f>
        <v>-0.75</v>
      </c>
      <c r="AA39" s="63">
        <f>Z39/Y39</f>
        <v>-2.4390243902439025E-2</v>
      </c>
      <c r="AB39" s="101" t="s">
        <v>1722</v>
      </c>
      <c r="AD39" s="16" t="s">
        <v>645</v>
      </c>
      <c r="AE39" s="84">
        <v>44526</v>
      </c>
      <c r="AG39" s="33">
        <f>AF39-AE39</f>
        <v>-44526</v>
      </c>
      <c r="AH39" s="41" t="s">
        <v>1122</v>
      </c>
      <c r="AJ39" s="16"/>
      <c r="AK39" s="206"/>
      <c r="AL39" s="239"/>
      <c r="AM39" s="249"/>
      <c r="AN39" s="251"/>
    </row>
    <row r="40" spans="1:40" s="248" customFormat="1">
      <c r="A40" s="141"/>
      <c r="B40" s="79"/>
      <c r="C40" s="79"/>
      <c r="D40" s="79"/>
      <c r="E40" s="79"/>
      <c r="F40" s="6"/>
      <c r="G40" s="41"/>
      <c r="H40" s="8"/>
      <c r="I40" s="153"/>
      <c r="J40" s="1"/>
      <c r="K40" s="1"/>
      <c r="L40" s="123"/>
      <c r="M40" s="234"/>
      <c r="N40" s="341"/>
      <c r="P40" s="89"/>
      <c r="Q40" s="293"/>
      <c r="R40" s="354"/>
      <c r="S40" s="303"/>
      <c r="T40" s="322"/>
      <c r="U40" s="185"/>
      <c r="V40" s="310"/>
      <c r="W40" s="94"/>
      <c r="X40" s="165">
        <f>SUM(X39)</f>
        <v>30</v>
      </c>
      <c r="Y40" s="155">
        <f>SUM(Y39)</f>
        <v>30.75</v>
      </c>
      <c r="Z40" s="162">
        <f>X40-Y40</f>
        <v>-0.75</v>
      </c>
      <c r="AA40" s="164">
        <f>Z40/Y40</f>
        <v>-2.4390243902439025E-2</v>
      </c>
      <c r="AB40" s="113"/>
      <c r="AC40" s="382"/>
      <c r="AD40" s="153">
        <f>X40*(0.001425*0.5)+X40*0.003+Y40*(0.001425*0.5)</f>
        <v>0.13328437500000001</v>
      </c>
      <c r="AE40" s="6">
        <f>Z40-AD40</f>
        <v>-0.88328437500000001</v>
      </c>
      <c r="AF40" s="83"/>
      <c r="AG40" s="33"/>
      <c r="AH40" s="41" t="s">
        <v>1122</v>
      </c>
      <c r="AI40" s="163"/>
    </row>
    <row r="41" spans="1:40" s="248" customFormat="1">
      <c r="A41" s="141"/>
      <c r="B41" s="79"/>
      <c r="C41" s="79"/>
      <c r="D41" s="79"/>
      <c r="E41" s="79"/>
      <c r="F41" s="6"/>
      <c r="G41" s="41"/>
      <c r="H41" s="8"/>
      <c r="I41" s="153"/>
      <c r="J41" s="1"/>
      <c r="K41" s="1"/>
      <c r="L41" s="123"/>
      <c r="M41" s="234"/>
      <c r="N41" s="341"/>
      <c r="P41" s="89"/>
      <c r="Q41" s="293"/>
      <c r="R41" s="354"/>
      <c r="S41" s="303"/>
      <c r="T41" s="322"/>
      <c r="U41" s="185"/>
      <c r="V41" s="310"/>
      <c r="W41" s="94"/>
      <c r="X41" s="165"/>
      <c r="Y41" s="155"/>
      <c r="Z41" s="162"/>
      <c r="AA41" s="164"/>
      <c r="AB41" s="113"/>
      <c r="AC41" s="382"/>
      <c r="AD41" s="153"/>
      <c r="AE41" s="6"/>
      <c r="AF41" s="83"/>
      <c r="AG41" s="33"/>
      <c r="AH41" s="41"/>
      <c r="AI41" s="163"/>
    </row>
    <row r="42" spans="1:40" s="248" customFormat="1">
      <c r="A42" s="127" t="s">
        <v>1673</v>
      </c>
      <c r="B42" s="90" t="s">
        <v>1572</v>
      </c>
      <c r="C42" s="90" t="s">
        <v>1573</v>
      </c>
      <c r="D42" s="90" t="s">
        <v>1574</v>
      </c>
      <c r="E42" s="90" t="s">
        <v>1575</v>
      </c>
      <c r="F42" s="8" t="s">
        <v>1060</v>
      </c>
      <c r="G42" s="26" t="s">
        <v>3442</v>
      </c>
      <c r="H42" s="55" t="s">
        <v>320</v>
      </c>
      <c r="I42" s="1" t="s">
        <v>2249</v>
      </c>
      <c r="J42" s="8" t="s">
        <v>6221</v>
      </c>
      <c r="K42" s="5" t="s">
        <v>6222</v>
      </c>
      <c r="L42" s="337" t="s">
        <v>6206</v>
      </c>
      <c r="M42" s="338" t="s">
        <v>6207</v>
      </c>
      <c r="N42" s="339" t="s">
        <v>6208</v>
      </c>
      <c r="O42" s="4" t="s">
        <v>6713</v>
      </c>
      <c r="P42" s="89" t="s">
        <v>6285</v>
      </c>
      <c r="Q42" s="293" t="s">
        <v>6284</v>
      </c>
      <c r="R42" s="354" t="s">
        <v>6283</v>
      </c>
      <c r="S42" s="26" t="s">
        <v>6286</v>
      </c>
      <c r="T42" s="321" t="s">
        <v>4716</v>
      </c>
      <c r="U42" s="14" t="s">
        <v>66</v>
      </c>
      <c r="V42" s="308" t="s">
        <v>4731</v>
      </c>
      <c r="W42" s="68" t="s">
        <v>3273</v>
      </c>
      <c r="X42" s="28" t="s">
        <v>2</v>
      </c>
      <c r="Y42" s="17" t="s">
        <v>1399</v>
      </c>
      <c r="Z42" s="14" t="s">
        <v>2250</v>
      </c>
      <c r="AA42" s="21" t="s">
        <v>1470</v>
      </c>
      <c r="AB42" s="51" t="s">
        <v>6174</v>
      </c>
      <c r="AC42" s="102" t="s">
        <v>6420</v>
      </c>
      <c r="AD42" s="1" t="s">
        <v>2249</v>
      </c>
      <c r="AE42" s="71" t="s">
        <v>1400</v>
      </c>
      <c r="AF42" s="72" t="s">
        <v>1157</v>
      </c>
      <c r="AG42" s="32" t="s">
        <v>1158</v>
      </c>
      <c r="AH42" s="138"/>
      <c r="AI42" s="163"/>
    </row>
    <row r="43" spans="1:40" s="248" customFormat="1">
      <c r="A43" s="142" t="s">
        <v>1737</v>
      </c>
      <c r="B43" s="79">
        <v>349</v>
      </c>
      <c r="C43" s="79">
        <v>884</v>
      </c>
      <c r="D43" s="80">
        <v>-2</v>
      </c>
      <c r="E43" s="80">
        <v>-20</v>
      </c>
      <c r="F43" s="6">
        <v>1.02</v>
      </c>
      <c r="G43" s="41" t="s">
        <v>2953</v>
      </c>
      <c r="H43" s="30" t="s">
        <v>1462</v>
      </c>
      <c r="I43" s="153" t="s">
        <v>3190</v>
      </c>
      <c r="J43" s="8" t="str">
        <f>IFERROR(VLOOKUP($G43,今日總結!$A:$AJ,33,0),"")</f>
        <v/>
      </c>
      <c r="K43" s="5" t="str">
        <f>IFERROR(VLOOKUP($G43,今日總結!$A:$AJ,34,0),"")</f>
        <v/>
      </c>
      <c r="L43" s="156" t="str">
        <f>IFERROR(VLOOKUP($G43,今日總結!$A:$AJ,31,0),"")</f>
        <v/>
      </c>
      <c r="M43" s="340" t="str">
        <f>IFERROR(VLOOKUP($G43,今日總結!$A:$AJ,32,0),"")</f>
        <v/>
      </c>
      <c r="N43" s="240" t="str">
        <f t="shared" ref="N43" si="15">IFERROR(L43-M43,"")</f>
        <v/>
      </c>
      <c r="O43" s="245"/>
      <c r="P43" s="365" t="str">
        <f>IFERROR(VLOOKUP($G43,融外自投!$A:$J,7,0),"無")</f>
        <v>無</v>
      </c>
      <c r="Q43" s="79" t="str">
        <f>IFERROR(VLOOKUP($G43,融外自投!$A:$J,9,0),"無")</f>
        <v>無</v>
      </c>
      <c r="R43" s="346" t="str">
        <f>IFERROR(VLOOKUP($G43,融外自投!$A:$J,8,0),"無")</f>
        <v>無</v>
      </c>
      <c r="S43" s="81" t="str">
        <f>IFERROR(VLOOKUP($G43,融外自投!$A:$J,10,0),"無")</f>
        <v>無</v>
      </c>
      <c r="T43" s="327" t="str">
        <f>IFERROR(VLOOKUP($G43,'321買'!$A:$E,5,0),"'沒有資料'")</f>
        <v>'沒有資料'</v>
      </c>
      <c r="U43" s="155">
        <v>5</v>
      </c>
      <c r="V43" s="310"/>
      <c r="W43" s="57">
        <v>8.89</v>
      </c>
      <c r="X43" s="161">
        <f>RTD("money.excel",,"4938","Price")</f>
        <v>68.5</v>
      </c>
      <c r="Y43" s="65">
        <f>73.1-4.49</f>
        <v>68.61</v>
      </c>
      <c r="Z43" s="162">
        <f>X43-Y43</f>
        <v>-0.10999999999999943</v>
      </c>
      <c r="AA43" s="158">
        <f>Z43/Y43</f>
        <v>-1.603264830199671E-3</v>
      </c>
      <c r="AB43" s="100" t="s">
        <v>3260</v>
      </c>
      <c r="AC43" s="382"/>
      <c r="AD43" s="153" t="s">
        <v>3190</v>
      </c>
      <c r="AE43" s="84">
        <v>44313</v>
      </c>
      <c r="AF43" s="83"/>
      <c r="AG43" s="33">
        <f>AF43-AE43</f>
        <v>-44313</v>
      </c>
      <c r="AH43" s="41" t="s">
        <v>1122</v>
      </c>
      <c r="AI43" s="212"/>
      <c r="AJ43" s="213"/>
    </row>
    <row r="44" spans="1:40" s="248" customFormat="1">
      <c r="A44" s="141"/>
      <c r="B44" s="79"/>
      <c r="C44" s="79"/>
      <c r="D44" s="79"/>
      <c r="E44" s="79"/>
      <c r="F44" s="6"/>
      <c r="G44" s="41"/>
      <c r="H44" s="8"/>
      <c r="I44" s="153"/>
      <c r="J44" s="1"/>
      <c r="K44" s="1"/>
      <c r="L44" s="79"/>
      <c r="M44" s="80"/>
      <c r="N44" s="64"/>
      <c r="O44" s="245"/>
      <c r="P44" s="89"/>
      <c r="Q44" s="73"/>
      <c r="R44" s="354"/>
      <c r="S44" s="303"/>
      <c r="T44" s="322"/>
      <c r="U44" s="185"/>
      <c r="V44" s="310"/>
      <c r="W44" s="94"/>
      <c r="X44" s="165">
        <f>SUM(X43)</f>
        <v>68.5</v>
      </c>
      <c r="Y44" s="155">
        <f>SUM(Y43)</f>
        <v>68.61</v>
      </c>
      <c r="Z44" s="162">
        <f>X44-Y44</f>
        <v>-0.10999999999999943</v>
      </c>
      <c r="AA44" s="158">
        <f>Z44/Y44</f>
        <v>-1.603264830199671E-3</v>
      </c>
      <c r="AB44" s="113"/>
      <c r="AC44" s="382"/>
      <c r="AD44" s="153">
        <f>X44*(0.001425*0.5)+X44*0.003+Y44*(0.001425*0.5)</f>
        <v>0.30319087500000003</v>
      </c>
      <c r="AE44" s="6">
        <f>Z44-AD44</f>
        <v>-0.41319087499999946</v>
      </c>
      <c r="AF44" s="83"/>
      <c r="AG44" s="33"/>
      <c r="AH44" s="41" t="s">
        <v>1122</v>
      </c>
      <c r="AI44" s="163"/>
    </row>
    <row r="45" spans="1:40">
      <c r="A45" s="142"/>
      <c r="B45" s="80"/>
      <c r="C45" s="80"/>
      <c r="D45" s="79"/>
      <c r="E45" s="79"/>
      <c r="F45" s="6"/>
      <c r="G45" s="56"/>
      <c r="H45" s="53"/>
      <c r="I45" s="22"/>
      <c r="L45" s="79"/>
      <c r="M45" s="80"/>
      <c r="N45" s="64"/>
      <c r="U45" s="66"/>
      <c r="V45" s="310"/>
      <c r="W45" s="57"/>
      <c r="X45" s="13"/>
      <c r="Y45" s="66"/>
      <c r="Z45" s="15"/>
      <c r="AA45" s="3"/>
      <c r="AB45" s="99"/>
      <c r="AD45" s="22"/>
      <c r="AG45" s="116"/>
      <c r="AH45" s="117"/>
      <c r="AI45" s="245"/>
      <c r="AJ45" s="8"/>
    </row>
    <row r="46" spans="1:40" s="248" customFormat="1">
      <c r="A46" s="127" t="s">
        <v>1673</v>
      </c>
      <c r="B46" s="90" t="s">
        <v>1572</v>
      </c>
      <c r="C46" s="90" t="s">
        <v>1573</v>
      </c>
      <c r="D46" s="90" t="s">
        <v>1574</v>
      </c>
      <c r="E46" s="90" t="s">
        <v>1575</v>
      </c>
      <c r="F46" s="8" t="s">
        <v>1060</v>
      </c>
      <c r="G46" s="26" t="s">
        <v>3442</v>
      </c>
      <c r="H46" s="55" t="s">
        <v>320</v>
      </c>
      <c r="I46" s="1" t="s">
        <v>2249</v>
      </c>
      <c r="J46" s="8" t="s">
        <v>6221</v>
      </c>
      <c r="K46" s="5" t="s">
        <v>6222</v>
      </c>
      <c r="L46" s="337" t="s">
        <v>6206</v>
      </c>
      <c r="M46" s="338" t="s">
        <v>6207</v>
      </c>
      <c r="N46" s="339" t="s">
        <v>6208</v>
      </c>
      <c r="O46" s="4" t="s">
        <v>6713</v>
      </c>
      <c r="P46" s="89" t="s">
        <v>4720</v>
      </c>
      <c r="Q46" s="293" t="s">
        <v>3544</v>
      </c>
      <c r="R46" s="354" t="s">
        <v>3543</v>
      </c>
      <c r="S46" s="26" t="s">
        <v>3545</v>
      </c>
      <c r="T46" s="321" t="s">
        <v>4716</v>
      </c>
      <c r="U46" s="14" t="s">
        <v>66</v>
      </c>
      <c r="V46" s="308" t="s">
        <v>4731</v>
      </c>
      <c r="W46" s="68" t="s">
        <v>3273</v>
      </c>
      <c r="X46" s="28" t="s">
        <v>2</v>
      </c>
      <c r="Y46" s="17" t="s">
        <v>1399</v>
      </c>
      <c r="Z46" s="14" t="s">
        <v>2250</v>
      </c>
      <c r="AA46" s="21" t="s">
        <v>3</v>
      </c>
      <c r="AB46" s="51" t="s">
        <v>6174</v>
      </c>
      <c r="AC46" s="102" t="s">
        <v>6420</v>
      </c>
      <c r="AD46" s="1" t="s">
        <v>2249</v>
      </c>
      <c r="AE46" s="71" t="s">
        <v>1400</v>
      </c>
      <c r="AF46" s="72" t="s">
        <v>1157</v>
      </c>
      <c r="AG46" s="32" t="s">
        <v>1158</v>
      </c>
      <c r="AH46" s="138"/>
      <c r="AI46" s="163"/>
    </row>
    <row r="47" spans="1:40">
      <c r="A47" s="127" t="s">
        <v>2981</v>
      </c>
      <c r="B47" s="80">
        <v>-48</v>
      </c>
      <c r="C47" s="80">
        <v>-50</v>
      </c>
      <c r="D47" s="80">
        <v>-7</v>
      </c>
      <c r="E47" s="79">
        <v>22</v>
      </c>
      <c r="F47" s="57">
        <v>11.26</v>
      </c>
      <c r="G47" s="80">
        <v>4163</v>
      </c>
      <c r="H47" s="50" t="s">
        <v>1404</v>
      </c>
      <c r="I47" s="16" t="s">
        <v>142</v>
      </c>
      <c r="J47" s="8" t="str">
        <f>IFERROR(VLOOKUP($G47,今日總結!$A:$AJ,33,0),"")</f>
        <v/>
      </c>
      <c r="K47" s="5" t="str">
        <f>IFERROR(VLOOKUP($G47,今日總結!$A:$AJ,34,0),"")</f>
        <v/>
      </c>
      <c r="L47" s="156" t="str">
        <f>IFERROR(VLOOKUP($G47,今日總結!$A:$AJ,31,0),"")</f>
        <v/>
      </c>
      <c r="M47" s="340" t="str">
        <f>IFERROR(VLOOKUP($G47,今日總結!$A:$AJ,32,0),"")</f>
        <v/>
      </c>
      <c r="N47" s="240" t="str">
        <f t="shared" ref="N47:N48" si="16">IFERROR(L47-M47,"")</f>
        <v/>
      </c>
      <c r="P47" s="365">
        <f>IFERROR(VLOOKUP($G47,融外自投!$A:$J,7,0),"無")</f>
        <v>1115</v>
      </c>
      <c r="Q47" s="79">
        <f>IFERROR(VLOOKUP($G47,融外自投!$A:$J,9,0),"無")</f>
        <v>653</v>
      </c>
      <c r="R47" s="346">
        <f>IFERROR(VLOOKUP($G47,融外自投!$A:$J,8,0),"無")</f>
        <v>981</v>
      </c>
      <c r="S47" s="81" t="str">
        <f>IFERROR(VLOOKUP($G47,融外自投!$A:$J,10,0),"無")</f>
        <v>無</v>
      </c>
      <c r="T47" s="327">
        <f>IFERROR(VLOOKUP($G47,'321買'!$A:$E,5,0),"'沒有資料'")</f>
        <v>1179</v>
      </c>
      <c r="U47" s="34">
        <v>2.5</v>
      </c>
      <c r="V47" s="310"/>
      <c r="W47" s="94">
        <v>4.5</v>
      </c>
      <c r="X47" s="36">
        <f>RTD("money.excel",,"4163","Price")</f>
        <v>81.8</v>
      </c>
      <c r="Y47" s="66">
        <f>91.7-3.5</f>
        <v>88.2</v>
      </c>
      <c r="Z47" s="15">
        <f>X47-Y47</f>
        <v>-6.4000000000000057</v>
      </c>
      <c r="AA47" s="3">
        <f>Z47/Y47</f>
        <v>-7.2562358276644048E-2</v>
      </c>
      <c r="AB47" s="140" t="s">
        <v>1747</v>
      </c>
      <c r="AD47" s="16" t="s">
        <v>142</v>
      </c>
      <c r="AE47" s="84">
        <v>44299</v>
      </c>
      <c r="AG47" s="33">
        <f>AF47-AE47</f>
        <v>-44299</v>
      </c>
      <c r="AH47" s="127" t="s">
        <v>1122</v>
      </c>
      <c r="AJ47" s="8"/>
    </row>
    <row r="48" spans="1:40">
      <c r="A48" s="127" t="s">
        <v>2981</v>
      </c>
      <c r="B48" s="80">
        <v>-48</v>
      </c>
      <c r="C48" s="80">
        <v>-50</v>
      </c>
      <c r="D48" s="80">
        <v>-7</v>
      </c>
      <c r="E48" s="79">
        <v>22</v>
      </c>
      <c r="F48" s="57">
        <v>11.26</v>
      </c>
      <c r="G48" s="80">
        <v>4163</v>
      </c>
      <c r="H48" s="30" t="s">
        <v>1462</v>
      </c>
      <c r="I48" s="16" t="s">
        <v>142</v>
      </c>
      <c r="J48" s="8" t="str">
        <f>IFERROR(VLOOKUP($G48,今日總結!$A:$AJ,33,0),"")</f>
        <v/>
      </c>
      <c r="K48" s="5" t="str">
        <f>IFERROR(VLOOKUP($G48,今日總結!$A:$AJ,34,0),"")</f>
        <v/>
      </c>
      <c r="L48" s="156" t="str">
        <f>IFERROR(VLOOKUP($G48,今日總結!$A:$AJ,31,0),"")</f>
        <v/>
      </c>
      <c r="M48" s="340" t="str">
        <f>IFERROR(VLOOKUP($G48,今日總結!$A:$AJ,32,0),"")</f>
        <v/>
      </c>
      <c r="N48" s="240" t="str">
        <f t="shared" si="16"/>
        <v/>
      </c>
      <c r="P48" s="365">
        <f>IFERROR(VLOOKUP($G48,融外自投!$A:$J,7,0),"無")</f>
        <v>1115</v>
      </c>
      <c r="Q48" s="79">
        <f>IFERROR(VLOOKUP($G48,融外自投!$A:$J,9,0),"無")</f>
        <v>653</v>
      </c>
      <c r="R48" s="346">
        <f>IFERROR(VLOOKUP($G48,融外自投!$A:$J,8,0),"無")</f>
        <v>981</v>
      </c>
      <c r="S48" s="81" t="str">
        <f>IFERROR(VLOOKUP($G48,融外自投!$A:$J,10,0),"無")</f>
        <v>無</v>
      </c>
      <c r="T48" s="327">
        <f>IFERROR(VLOOKUP($G48,'321買'!$A:$E,5,0),"'沒有資料'")</f>
        <v>1179</v>
      </c>
      <c r="U48" s="34">
        <v>2.5</v>
      </c>
      <c r="V48" s="310"/>
      <c r="W48" s="94">
        <v>4.5</v>
      </c>
      <c r="X48" s="36">
        <f>RTD("money.excel",,"4163","Price")</f>
        <v>81.8</v>
      </c>
      <c r="Y48" s="66">
        <f>91.7-3.5</f>
        <v>88.2</v>
      </c>
      <c r="Z48" s="15">
        <f>X48-Y48</f>
        <v>-6.4000000000000057</v>
      </c>
      <c r="AA48" s="3">
        <f>Z48/Y48</f>
        <v>-7.2562358276644048E-2</v>
      </c>
      <c r="AB48" s="140" t="s">
        <v>1747</v>
      </c>
      <c r="AD48" s="16" t="s">
        <v>142</v>
      </c>
      <c r="AE48" s="84">
        <v>44299</v>
      </c>
      <c r="AG48" s="33">
        <f>AF48-AE48</f>
        <v>-44299</v>
      </c>
      <c r="AH48" s="41" t="s">
        <v>1122</v>
      </c>
      <c r="AJ48" s="8"/>
    </row>
    <row r="49" spans="1:40" s="248" customFormat="1">
      <c r="A49" s="141"/>
      <c r="B49" s="79"/>
      <c r="C49" s="79"/>
      <c r="D49" s="79"/>
      <c r="E49" s="79"/>
      <c r="F49" s="6"/>
      <c r="G49" s="41"/>
      <c r="H49" s="8"/>
      <c r="I49" s="153"/>
      <c r="J49" s="1"/>
      <c r="K49" s="1"/>
      <c r="L49" s="123"/>
      <c r="M49" s="234"/>
      <c r="N49" s="341"/>
      <c r="P49" s="365"/>
      <c r="Q49" s="47"/>
      <c r="R49" s="346"/>
      <c r="S49" s="303"/>
      <c r="T49" s="322"/>
      <c r="U49" s="185"/>
      <c r="V49" s="310"/>
      <c r="W49" s="94"/>
      <c r="X49" s="165">
        <f>SUM(X47:X48)</f>
        <v>163.6</v>
      </c>
      <c r="Y49" s="155">
        <f>SUM(Y47:Y48)</f>
        <v>176.4</v>
      </c>
      <c r="Z49" s="162">
        <f>X49-Y49</f>
        <v>-12.800000000000011</v>
      </c>
      <c r="AA49" s="164">
        <f>Z49/Y49</f>
        <v>-7.2562358276644048E-2</v>
      </c>
      <c r="AB49" s="113"/>
      <c r="AC49" s="382"/>
      <c r="AD49" s="153">
        <f>X49*(0.001425*0.5)+X49*0.003+Y49*(0.001425*0.5)</f>
        <v>0.73305000000000009</v>
      </c>
      <c r="AE49" s="6">
        <f>Z49-AD49</f>
        <v>-13.533050000000012</v>
      </c>
      <c r="AF49" s="83"/>
      <c r="AG49" s="33"/>
      <c r="AH49" s="41" t="s">
        <v>1502</v>
      </c>
      <c r="AI49" s="163"/>
    </row>
    <row r="50" spans="1:40">
      <c r="A50" s="127"/>
      <c r="B50" s="80"/>
      <c r="C50" s="80"/>
      <c r="D50" s="79"/>
      <c r="E50" s="80"/>
      <c r="F50" s="57"/>
      <c r="G50" s="56"/>
      <c r="H50" s="5"/>
      <c r="I50" s="16"/>
      <c r="L50" s="123"/>
      <c r="P50" s="365"/>
      <c r="Q50" s="47"/>
      <c r="R50" s="346"/>
      <c r="U50" s="66"/>
      <c r="V50" s="310"/>
      <c r="W50" s="94"/>
      <c r="X50" s="36"/>
      <c r="Y50" s="66"/>
      <c r="Z50" s="15"/>
      <c r="AA50" s="3"/>
      <c r="AB50" s="140"/>
      <c r="AD50" s="16"/>
      <c r="AE50" s="115"/>
      <c r="AG50" s="116"/>
      <c r="AH50" s="24"/>
      <c r="AJ50" s="8"/>
    </row>
    <row r="51" spans="1:40" s="248" customFormat="1">
      <c r="A51" s="127" t="s">
        <v>1673</v>
      </c>
      <c r="B51" s="90" t="s">
        <v>1572</v>
      </c>
      <c r="C51" s="90" t="s">
        <v>1573</v>
      </c>
      <c r="D51" s="90" t="s">
        <v>1574</v>
      </c>
      <c r="E51" s="90" t="s">
        <v>1575</v>
      </c>
      <c r="F51" s="8" t="s">
        <v>1060</v>
      </c>
      <c r="G51" s="26" t="s">
        <v>3442</v>
      </c>
      <c r="H51" s="55" t="s">
        <v>320</v>
      </c>
      <c r="I51" s="1" t="s">
        <v>69</v>
      </c>
      <c r="J51" s="8" t="s">
        <v>6221</v>
      </c>
      <c r="K51" s="5" t="s">
        <v>6222</v>
      </c>
      <c r="L51" s="337" t="s">
        <v>6206</v>
      </c>
      <c r="M51" s="338" t="s">
        <v>6207</v>
      </c>
      <c r="N51" s="339" t="s">
        <v>6208</v>
      </c>
      <c r="O51" s="4" t="s">
        <v>6713</v>
      </c>
      <c r="P51" s="89" t="s">
        <v>6285</v>
      </c>
      <c r="Q51" s="293" t="s">
        <v>6284</v>
      </c>
      <c r="R51" s="354" t="s">
        <v>6283</v>
      </c>
      <c r="S51" s="26" t="s">
        <v>6286</v>
      </c>
      <c r="T51" s="321" t="s">
        <v>4716</v>
      </c>
      <c r="U51" s="14" t="s">
        <v>66</v>
      </c>
      <c r="V51" s="308" t="s">
        <v>4731</v>
      </c>
      <c r="W51" s="68" t="s">
        <v>3273</v>
      </c>
      <c r="X51" s="28" t="s">
        <v>2</v>
      </c>
      <c r="Y51" s="17" t="s">
        <v>1399</v>
      </c>
      <c r="Z51" s="14" t="s">
        <v>2250</v>
      </c>
      <c r="AA51" s="21" t="s">
        <v>1470</v>
      </c>
      <c r="AB51" s="51" t="s">
        <v>6174</v>
      </c>
      <c r="AC51" s="102" t="s">
        <v>6420</v>
      </c>
      <c r="AD51" s="1" t="s">
        <v>69</v>
      </c>
      <c r="AE51" s="71" t="s">
        <v>1400</v>
      </c>
      <c r="AF51" s="72" t="s">
        <v>1157</v>
      </c>
      <c r="AG51" s="32" t="s">
        <v>1158</v>
      </c>
      <c r="AH51" s="138"/>
      <c r="AI51" s="163"/>
    </row>
    <row r="52" spans="1:40">
      <c r="A52" s="142" t="s">
        <v>1988</v>
      </c>
      <c r="B52" s="79">
        <v>352</v>
      </c>
      <c r="C52" s="80">
        <v>-330</v>
      </c>
      <c r="D52" s="79">
        <v>49</v>
      </c>
      <c r="E52" s="79">
        <v>50</v>
      </c>
      <c r="F52" s="6">
        <v>-20.73</v>
      </c>
      <c r="G52" s="80">
        <v>4128</v>
      </c>
      <c r="H52" s="50" t="s">
        <v>1404</v>
      </c>
      <c r="I52" s="16" t="s">
        <v>611</v>
      </c>
      <c r="J52" s="8">
        <f>IFERROR(VLOOKUP($G52,今日總結!$A:$AJ,33,0),"")</f>
        <v>0</v>
      </c>
      <c r="K52" s="5">
        <f>IFERROR(VLOOKUP($G52,今日總結!$A:$AJ,34,0),"")</f>
        <v>1</v>
      </c>
      <c r="L52" s="156">
        <f>IFERROR(VLOOKUP($G52,今日總結!$A:$AJ,31,0),"")</f>
        <v>0</v>
      </c>
      <c r="M52" s="340">
        <f>IFERROR(VLOOKUP($G52,今日總結!$A:$AJ,32,0),"")</f>
        <v>0</v>
      </c>
      <c r="N52" s="240">
        <f t="shared" ref="N52" si="17">IFERROR(L52-M52,"")</f>
        <v>0</v>
      </c>
      <c r="P52" s="365">
        <f>IFERROR(VLOOKUP($G52,融外自投!$A:$J,7,0),"無")</f>
        <v>386</v>
      </c>
      <c r="Q52" s="79">
        <f>IFERROR(VLOOKUP($G52,融外自投!$A:$J,9,0),"無")</f>
        <v>653</v>
      </c>
      <c r="R52" s="346">
        <f>IFERROR(VLOOKUP($G52,融外自投!$A:$J,8,0),"無")</f>
        <v>715</v>
      </c>
      <c r="S52" s="81">
        <f>IFERROR(VLOOKUP($G52,融外自投!$A:$J,10,0),"無")</f>
        <v>473</v>
      </c>
      <c r="T52" s="327">
        <f>IFERROR(VLOOKUP($G52,'321買'!$A:$E,5,0),"'沒有資料'")</f>
        <v>232</v>
      </c>
      <c r="U52" s="34">
        <v>1</v>
      </c>
      <c r="V52" s="310"/>
      <c r="W52" s="94">
        <v>3.29</v>
      </c>
      <c r="X52" s="36">
        <f>RTD("money.excel",,"4128","Price")</f>
        <v>55.7</v>
      </c>
      <c r="Y52" s="66">
        <f>66.5</f>
        <v>66.5</v>
      </c>
      <c r="Z52" s="15">
        <f t="shared" ref="Z52:Z53" si="18">X52-Y52</f>
        <v>-10.799999999999997</v>
      </c>
      <c r="AA52" s="3">
        <f t="shared" ref="AA52" si="19">Z52/Y52</f>
        <v>-0.16240601503759394</v>
      </c>
      <c r="AB52" s="101" t="s">
        <v>1722</v>
      </c>
      <c r="AD52" s="16" t="s">
        <v>611</v>
      </c>
      <c r="AE52" s="84">
        <v>44315</v>
      </c>
      <c r="AG52" s="33">
        <f t="shared" ref="AG52" si="20">AF52-AE52</f>
        <v>-44315</v>
      </c>
      <c r="AH52" s="127" t="s">
        <v>1122</v>
      </c>
      <c r="AI52" s="245"/>
      <c r="AJ52" s="8"/>
    </row>
    <row r="53" spans="1:40" s="248" customFormat="1">
      <c r="A53" s="141"/>
      <c r="B53" s="79"/>
      <c r="C53" s="79"/>
      <c r="D53" s="79"/>
      <c r="E53" s="79"/>
      <c r="F53" s="6"/>
      <c r="G53" s="41"/>
      <c r="H53" s="8"/>
      <c r="I53" s="153"/>
      <c r="J53" s="1"/>
      <c r="K53" s="1"/>
      <c r="L53" s="123"/>
      <c r="M53" s="234"/>
      <c r="N53" s="341"/>
      <c r="O53" s="245"/>
      <c r="P53" s="89"/>
      <c r="Q53" s="73"/>
      <c r="R53" s="354"/>
      <c r="S53" s="303"/>
      <c r="T53" s="322"/>
      <c r="U53" s="185"/>
      <c r="V53" s="310"/>
      <c r="W53" s="94"/>
      <c r="X53" s="165">
        <f>SUM(X52:X52)</f>
        <v>55.7</v>
      </c>
      <c r="Y53" s="155">
        <f>SUM(Y52:Y52)</f>
        <v>66.5</v>
      </c>
      <c r="Z53" s="162">
        <f t="shared" si="18"/>
        <v>-10.799999999999997</v>
      </c>
      <c r="AA53" s="158">
        <f>Z53/Y53</f>
        <v>-0.16240601503759394</v>
      </c>
      <c r="AB53" s="113"/>
      <c r="AC53" s="382"/>
      <c r="AD53" s="153">
        <f>X53*(0.001425*0.5)+X53*0.003+Y53*(0.001425*0.5)</f>
        <v>0.25416749999999999</v>
      </c>
      <c r="AE53" s="6">
        <f>Z53-AD53</f>
        <v>-11.054167499999997</v>
      </c>
      <c r="AF53" s="83"/>
      <c r="AG53" s="33"/>
      <c r="AH53" s="41" t="s">
        <v>3293</v>
      </c>
      <c r="AI53" s="163"/>
    </row>
    <row r="54" spans="1:40" s="248" customFormat="1">
      <c r="A54" s="141"/>
      <c r="B54" s="79"/>
      <c r="C54" s="79"/>
      <c r="D54" s="79"/>
      <c r="E54" s="79"/>
      <c r="F54" s="6"/>
      <c r="G54" s="41"/>
      <c r="H54" s="8"/>
      <c r="I54" s="153"/>
      <c r="J54" s="1"/>
      <c r="K54" s="1"/>
      <c r="L54" s="163"/>
      <c r="N54" s="342"/>
      <c r="O54" s="245"/>
      <c r="P54" s="89"/>
      <c r="Q54" s="293"/>
      <c r="R54" s="354"/>
      <c r="S54" s="303"/>
      <c r="T54" s="322"/>
      <c r="U54" s="185"/>
      <c r="V54" s="310"/>
      <c r="W54" s="94"/>
      <c r="X54" s="165"/>
      <c r="Y54" s="155"/>
      <c r="Z54" s="162"/>
      <c r="AA54" s="164"/>
      <c r="AB54" s="113"/>
      <c r="AC54" s="382"/>
      <c r="AD54" s="153"/>
      <c r="AE54" s="6"/>
      <c r="AF54" s="83"/>
      <c r="AG54" s="33"/>
      <c r="AH54" s="41"/>
      <c r="AI54" s="163"/>
    </row>
    <row r="55" spans="1:40" s="248" customFormat="1">
      <c r="A55" s="127" t="s">
        <v>1673</v>
      </c>
      <c r="B55" s="90" t="s">
        <v>1572</v>
      </c>
      <c r="C55" s="90" t="s">
        <v>1573</v>
      </c>
      <c r="D55" s="90" t="s">
        <v>1574</v>
      </c>
      <c r="E55" s="90" t="s">
        <v>1575</v>
      </c>
      <c r="F55" s="8" t="s">
        <v>1060</v>
      </c>
      <c r="G55" s="26" t="s">
        <v>3442</v>
      </c>
      <c r="H55" s="55" t="s">
        <v>320</v>
      </c>
      <c r="I55" s="1" t="s">
        <v>2249</v>
      </c>
      <c r="J55" s="8" t="s">
        <v>6221</v>
      </c>
      <c r="K55" s="5" t="s">
        <v>6222</v>
      </c>
      <c r="L55" s="337" t="s">
        <v>6206</v>
      </c>
      <c r="M55" s="338" t="s">
        <v>6207</v>
      </c>
      <c r="N55" s="339" t="s">
        <v>6208</v>
      </c>
      <c r="O55" s="4" t="s">
        <v>6713</v>
      </c>
      <c r="P55" s="89" t="s">
        <v>6285</v>
      </c>
      <c r="Q55" s="293" t="s">
        <v>6284</v>
      </c>
      <c r="R55" s="354" t="s">
        <v>6283</v>
      </c>
      <c r="S55" s="26" t="s">
        <v>6286</v>
      </c>
      <c r="T55" s="321" t="s">
        <v>4716</v>
      </c>
      <c r="U55" s="14" t="s">
        <v>66</v>
      </c>
      <c r="V55" s="308" t="s">
        <v>4731</v>
      </c>
      <c r="W55" s="68" t="s">
        <v>3273</v>
      </c>
      <c r="X55" s="28" t="s">
        <v>2</v>
      </c>
      <c r="Y55" s="17" t="s">
        <v>1399</v>
      </c>
      <c r="Z55" s="14" t="s">
        <v>2250</v>
      </c>
      <c r="AA55" s="21" t="s">
        <v>1470</v>
      </c>
      <c r="AB55" s="51" t="s">
        <v>6174</v>
      </c>
      <c r="AC55" s="102" t="s">
        <v>6420</v>
      </c>
      <c r="AD55" s="1" t="s">
        <v>2249</v>
      </c>
      <c r="AE55" s="71" t="s">
        <v>1400</v>
      </c>
      <c r="AF55" s="72" t="s">
        <v>1157</v>
      </c>
      <c r="AG55" s="32" t="s">
        <v>1158</v>
      </c>
      <c r="AH55" s="138"/>
      <c r="AI55" s="163"/>
    </row>
    <row r="56" spans="1:40">
      <c r="A56" s="127" t="s">
        <v>2975</v>
      </c>
      <c r="B56" s="79">
        <v>763</v>
      </c>
      <c r="C56" s="79">
        <v>854</v>
      </c>
      <c r="D56" s="80">
        <v>-11</v>
      </c>
      <c r="E56" s="80">
        <v>-17</v>
      </c>
      <c r="F56" s="57">
        <v>16.18</v>
      </c>
      <c r="G56" s="80">
        <v>5223</v>
      </c>
      <c r="H56" s="30" t="s">
        <v>1462</v>
      </c>
      <c r="I56" s="16" t="s">
        <v>2221</v>
      </c>
      <c r="J56" s="8" t="str">
        <f>IFERROR(VLOOKUP($G56,今日總結!$A:$AJ,33,0),"")</f>
        <v/>
      </c>
      <c r="K56" s="5" t="str">
        <f>IFERROR(VLOOKUP($G56,今日總結!$A:$AJ,34,0),"")</f>
        <v/>
      </c>
      <c r="L56" s="156" t="str">
        <f>IFERROR(VLOOKUP($G56,今日總結!$A:$AJ,31,0),"")</f>
        <v/>
      </c>
      <c r="M56" s="340" t="str">
        <f>IFERROR(VLOOKUP($G56,今日總結!$A:$AJ,32,0),"")</f>
        <v/>
      </c>
      <c r="N56" s="240" t="str">
        <f t="shared" ref="N56" si="21">IFERROR(L56-M56,"")</f>
        <v/>
      </c>
      <c r="P56" s="365">
        <f>IFERROR(VLOOKUP($G56,融外自投!$A:$J,7,0),"無")</f>
        <v>298</v>
      </c>
      <c r="Q56" s="79" t="str">
        <f>IFERROR(VLOOKUP($G56,融外自投!$A:$J,9,0),"無")</f>
        <v>無</v>
      </c>
      <c r="R56" s="346">
        <f>IFERROR(VLOOKUP($G56,融外自投!$A:$J,8,0),"無")</f>
        <v>102</v>
      </c>
      <c r="S56" s="81" t="str">
        <f>IFERROR(VLOOKUP($G56,融外自投!$A:$J,10,0),"無")</f>
        <v>無</v>
      </c>
      <c r="T56" s="327">
        <f>IFERROR(VLOOKUP($G56,'321買'!$A:$E,5,0),"'沒有資料'")</f>
        <v>664</v>
      </c>
      <c r="U56" s="34">
        <v>2.7</v>
      </c>
      <c r="V56" s="310"/>
      <c r="W56" s="57">
        <v>8.0500000000000007</v>
      </c>
      <c r="X56" s="13">
        <f>RTD("money.excel",,"5223","Price")</f>
        <v>47.4</v>
      </c>
      <c r="Y56" s="66">
        <v>53.3</v>
      </c>
      <c r="Z56" s="15">
        <f>X56-Y56</f>
        <v>-5.8999999999999986</v>
      </c>
      <c r="AA56" s="3">
        <f>Z56/Y56</f>
        <v>-0.11069418386491556</v>
      </c>
      <c r="AB56" s="140" t="s">
        <v>1888</v>
      </c>
      <c r="AD56" s="16" t="s">
        <v>2221</v>
      </c>
      <c r="AE56" s="84">
        <v>44452</v>
      </c>
      <c r="AG56" s="33">
        <f>AF56-AE56</f>
        <v>-44452</v>
      </c>
      <c r="AH56" s="41" t="s">
        <v>1122</v>
      </c>
      <c r="AJ56" s="8"/>
    </row>
    <row r="57" spans="1:40">
      <c r="A57" s="127" t="s">
        <v>2975</v>
      </c>
      <c r="B57" s="79">
        <v>763</v>
      </c>
      <c r="C57" s="79">
        <v>854</v>
      </c>
      <c r="D57" s="80">
        <v>-11</v>
      </c>
      <c r="E57" s="80">
        <v>-17</v>
      </c>
      <c r="F57" s="57">
        <v>16.18</v>
      </c>
      <c r="G57" s="80">
        <v>5223</v>
      </c>
      <c r="H57" s="30" t="s">
        <v>1462</v>
      </c>
      <c r="I57" s="16" t="s">
        <v>2221</v>
      </c>
      <c r="J57" s="8" t="str">
        <f>IFERROR(VLOOKUP($G57,今日總結!$A:$AJ,33,0),"")</f>
        <v/>
      </c>
      <c r="K57" s="5" t="str">
        <f>IFERROR(VLOOKUP($G57,今日總結!$A:$AJ,34,0),"")</f>
        <v/>
      </c>
      <c r="L57" s="156" t="str">
        <f>IFERROR(VLOOKUP($G57,今日總結!$A:$AJ,31,0),"")</f>
        <v/>
      </c>
      <c r="M57" s="340" t="str">
        <f>IFERROR(VLOOKUP($G57,今日總結!$A:$AJ,32,0),"")</f>
        <v/>
      </c>
      <c r="N57" s="240" t="str">
        <f t="shared" ref="N57:N59" si="22">IFERROR(L57-M57,"")</f>
        <v/>
      </c>
      <c r="P57" s="365">
        <f>IFERROR(VLOOKUP($G57,融外自投!$A:$J,7,0),"無")</f>
        <v>298</v>
      </c>
      <c r="Q57" s="79" t="str">
        <f>IFERROR(VLOOKUP($G57,融外自投!$A:$J,9,0),"無")</f>
        <v>無</v>
      </c>
      <c r="R57" s="346">
        <f>IFERROR(VLOOKUP($G57,融外自投!$A:$J,8,0),"無")</f>
        <v>102</v>
      </c>
      <c r="S57" s="81" t="str">
        <f>IFERROR(VLOOKUP($G57,融外自投!$A:$J,10,0),"無")</f>
        <v>無</v>
      </c>
      <c r="T57" s="327">
        <f>IFERROR(VLOOKUP($G57,'321買'!$A:$E,5,0),"'沒有資料'")</f>
        <v>664</v>
      </c>
      <c r="U57" s="34">
        <v>2.7</v>
      </c>
      <c r="V57" s="310"/>
      <c r="W57" s="57">
        <v>8.0500000000000007</v>
      </c>
      <c r="X57" s="13">
        <f>RTD("money.excel",,"5223","Price")</f>
        <v>47.4</v>
      </c>
      <c r="Y57" s="66">
        <f>68.1-3.41</f>
        <v>64.69</v>
      </c>
      <c r="Z57" s="15">
        <f>X57-Y57</f>
        <v>-17.29</v>
      </c>
      <c r="AA57" s="3">
        <f>Z57/Y57</f>
        <v>-0.26727469469778947</v>
      </c>
      <c r="AB57" s="140" t="s">
        <v>1888</v>
      </c>
      <c r="AD57" s="16" t="s">
        <v>2221</v>
      </c>
      <c r="AE57" s="84">
        <v>44344</v>
      </c>
      <c r="AG57" s="33">
        <f>AF57-AE57</f>
        <v>-44344</v>
      </c>
      <c r="AH57" s="41" t="s">
        <v>1122</v>
      </c>
      <c r="AJ57" s="8"/>
    </row>
    <row r="58" spans="1:40">
      <c r="A58" s="127" t="s">
        <v>2975</v>
      </c>
      <c r="B58" s="79">
        <v>763</v>
      </c>
      <c r="C58" s="79">
        <v>854</v>
      </c>
      <c r="D58" s="80">
        <v>-11</v>
      </c>
      <c r="E58" s="80">
        <v>-17</v>
      </c>
      <c r="F58" s="57">
        <v>16.18</v>
      </c>
      <c r="G58" s="80">
        <v>5223</v>
      </c>
      <c r="H58" s="30" t="s">
        <v>1462</v>
      </c>
      <c r="I58" s="16" t="s">
        <v>2221</v>
      </c>
      <c r="J58" s="8" t="str">
        <f>IFERROR(VLOOKUP($G58,今日總結!$A:$AJ,33,0),"")</f>
        <v/>
      </c>
      <c r="K58" s="5" t="str">
        <f>IFERROR(VLOOKUP($G58,今日總結!$A:$AJ,34,0),"")</f>
        <v/>
      </c>
      <c r="L58" s="156" t="str">
        <f>IFERROR(VLOOKUP($G58,今日總結!$A:$AJ,31,0),"")</f>
        <v/>
      </c>
      <c r="M58" s="340" t="str">
        <f>IFERROR(VLOOKUP($G58,今日總結!$A:$AJ,32,0),"")</f>
        <v/>
      </c>
      <c r="N58" s="240" t="str">
        <f t="shared" si="22"/>
        <v/>
      </c>
      <c r="P58" s="365">
        <f>IFERROR(VLOOKUP($G58,融外自投!$A:$J,7,0),"無")</f>
        <v>298</v>
      </c>
      <c r="Q58" s="79" t="str">
        <f>IFERROR(VLOOKUP($G58,融外自投!$A:$J,9,0),"無")</f>
        <v>無</v>
      </c>
      <c r="R58" s="346">
        <f>IFERROR(VLOOKUP($G58,融外自投!$A:$J,8,0),"無")</f>
        <v>102</v>
      </c>
      <c r="S58" s="81" t="str">
        <f>IFERROR(VLOOKUP($G58,融外自投!$A:$J,10,0),"無")</f>
        <v>無</v>
      </c>
      <c r="T58" s="327">
        <f>IFERROR(VLOOKUP($G58,'321買'!$A:$E,5,0),"'沒有資料'")</f>
        <v>664</v>
      </c>
      <c r="U58" s="34">
        <v>2.7</v>
      </c>
      <c r="V58" s="310"/>
      <c r="W58" s="57">
        <v>8.0500000000000007</v>
      </c>
      <c r="X58" s="13">
        <f>RTD("money.excel",,"5223","Price")</f>
        <v>47.4</v>
      </c>
      <c r="Y58" s="66">
        <f>64.5-3.41</f>
        <v>61.09</v>
      </c>
      <c r="Z58" s="15">
        <f>X58-Y58</f>
        <v>-13.690000000000005</v>
      </c>
      <c r="AA58" s="3">
        <f>Z58/Y58</f>
        <v>-0.22409559666066467</v>
      </c>
      <c r="AB58" s="140" t="s">
        <v>1888</v>
      </c>
      <c r="AD58" s="16" t="s">
        <v>2221</v>
      </c>
      <c r="AE58" s="84">
        <v>44329</v>
      </c>
      <c r="AG58" s="33">
        <f>AF58-AE58</f>
        <v>-44329</v>
      </c>
      <c r="AH58" s="41" t="s">
        <v>1122</v>
      </c>
      <c r="AJ58" s="8"/>
    </row>
    <row r="59" spans="1:40">
      <c r="A59" s="127" t="s">
        <v>2975</v>
      </c>
      <c r="B59" s="79">
        <v>763</v>
      </c>
      <c r="C59" s="79">
        <v>854</v>
      </c>
      <c r="D59" s="80">
        <v>-11</v>
      </c>
      <c r="E59" s="80">
        <v>-17</v>
      </c>
      <c r="F59" s="57">
        <v>16.18</v>
      </c>
      <c r="G59" s="80">
        <v>5223</v>
      </c>
      <c r="H59" s="30" t="s">
        <v>1462</v>
      </c>
      <c r="I59" s="16" t="s">
        <v>2221</v>
      </c>
      <c r="J59" s="8" t="str">
        <f>IFERROR(VLOOKUP($G59,今日總結!$A:$AJ,33,0),"")</f>
        <v/>
      </c>
      <c r="K59" s="5" t="str">
        <f>IFERROR(VLOOKUP($G59,今日總結!$A:$AJ,34,0),"")</f>
        <v/>
      </c>
      <c r="L59" s="156" t="str">
        <f>IFERROR(VLOOKUP($G59,今日總結!$A:$AJ,31,0),"")</f>
        <v/>
      </c>
      <c r="M59" s="340" t="str">
        <f>IFERROR(VLOOKUP($G59,今日總結!$A:$AJ,32,0),"")</f>
        <v/>
      </c>
      <c r="N59" s="240" t="str">
        <f t="shared" si="22"/>
        <v/>
      </c>
      <c r="P59" s="365">
        <f>IFERROR(VLOOKUP($G59,融外自投!$A:$J,7,0),"無")</f>
        <v>298</v>
      </c>
      <c r="Q59" s="79" t="str">
        <f>IFERROR(VLOOKUP($G59,融外自投!$A:$J,9,0),"無")</f>
        <v>無</v>
      </c>
      <c r="R59" s="346">
        <f>IFERROR(VLOOKUP($G59,融外自投!$A:$J,8,0),"無")</f>
        <v>102</v>
      </c>
      <c r="S59" s="81" t="str">
        <f>IFERROR(VLOOKUP($G59,融外自投!$A:$J,10,0),"無")</f>
        <v>無</v>
      </c>
      <c r="T59" s="327">
        <f>IFERROR(VLOOKUP($G59,'321買'!$A:$E,5,0),"'沒有資料'")</f>
        <v>664</v>
      </c>
      <c r="U59" s="34">
        <v>2.7</v>
      </c>
      <c r="V59" s="310"/>
      <c r="W59" s="57">
        <v>8.0500000000000007</v>
      </c>
      <c r="X59" s="13">
        <f>RTD("money.excel",,"5223","Price")</f>
        <v>47.4</v>
      </c>
      <c r="Y59" s="66">
        <f>83.1-3.41</f>
        <v>79.69</v>
      </c>
      <c r="Z59" s="15">
        <f>X59-Y59</f>
        <v>-32.29</v>
      </c>
      <c r="AA59" s="3">
        <f>Z59/Y59</f>
        <v>-0.40519513113314093</v>
      </c>
      <c r="AB59" s="140" t="s">
        <v>1888</v>
      </c>
      <c r="AD59" s="16" t="s">
        <v>2221</v>
      </c>
      <c r="AE59" s="84">
        <v>44313</v>
      </c>
      <c r="AG59" s="33">
        <f>AF59-AE59</f>
        <v>-44313</v>
      </c>
      <c r="AH59" s="41" t="s">
        <v>1122</v>
      </c>
      <c r="AJ59" s="8"/>
    </row>
    <row r="60" spans="1:40" s="248" customFormat="1">
      <c r="A60" s="141"/>
      <c r="B60" s="79"/>
      <c r="C60" s="79"/>
      <c r="D60" s="79"/>
      <c r="E60" s="79"/>
      <c r="F60" s="6"/>
      <c r="G60" s="41"/>
      <c r="H60" s="8"/>
      <c r="I60" s="153"/>
      <c r="J60" s="1"/>
      <c r="K60" s="1"/>
      <c r="L60" s="123"/>
      <c r="M60" s="234"/>
      <c r="N60" s="341"/>
      <c r="O60" s="245"/>
      <c r="P60" s="365"/>
      <c r="Q60" s="47"/>
      <c r="R60" s="346"/>
      <c r="S60" s="81"/>
      <c r="T60" s="327"/>
      <c r="U60" s="185"/>
      <c r="V60" s="310"/>
      <c r="W60" s="94"/>
      <c r="X60" s="165">
        <f>SUM(X56:X59)</f>
        <v>189.6</v>
      </c>
      <c r="Y60" s="155">
        <f>SUM(Y56:Y59)</f>
        <v>258.77</v>
      </c>
      <c r="Z60" s="162">
        <f>X60-Y60</f>
        <v>-69.169999999999987</v>
      </c>
      <c r="AA60" s="164">
        <f>Z60/Y60</f>
        <v>-0.26730301039533172</v>
      </c>
      <c r="AB60" s="113"/>
      <c r="AC60" s="382"/>
      <c r="AD60" s="153">
        <f>X60*(0.001425*0.5)+X60*0.003+Y60*(0.001425*0.5)</f>
        <v>0.88826362499999989</v>
      </c>
      <c r="AE60" s="6">
        <f>Z60-AD60</f>
        <v>-70.058263624999981</v>
      </c>
      <c r="AF60" s="83"/>
      <c r="AG60" s="33"/>
      <c r="AH60" s="41" t="s">
        <v>1123</v>
      </c>
      <c r="AI60" s="163"/>
    </row>
    <row r="61" spans="1:40" s="248" customFormat="1">
      <c r="A61" s="127"/>
      <c r="B61" s="90"/>
      <c r="C61" s="90"/>
      <c r="D61" s="90"/>
      <c r="E61" s="90"/>
      <c r="F61" s="8"/>
      <c r="G61" s="25"/>
      <c r="H61" s="55"/>
      <c r="I61" s="1"/>
      <c r="J61" s="1"/>
      <c r="K61" s="1"/>
      <c r="L61" s="123"/>
      <c r="M61" s="234"/>
      <c r="N61" s="341"/>
      <c r="O61" s="245"/>
      <c r="P61" s="365"/>
      <c r="Q61" s="47"/>
      <c r="R61" s="346"/>
      <c r="S61" s="81"/>
      <c r="T61" s="327"/>
      <c r="U61" s="14"/>
      <c r="V61" s="312"/>
      <c r="W61" s="68"/>
      <c r="X61" s="28"/>
      <c r="Y61" s="17"/>
      <c r="Z61" s="14"/>
      <c r="AA61" s="21"/>
      <c r="AB61" s="25"/>
      <c r="AC61" s="382"/>
      <c r="AD61" s="1"/>
      <c r="AE61" s="71"/>
      <c r="AF61" s="72"/>
      <c r="AG61" s="32"/>
      <c r="AH61" s="138"/>
      <c r="AI61" s="163"/>
    </row>
    <row r="62" spans="1:40" s="248" customFormat="1">
      <c r="A62" s="127" t="s">
        <v>1673</v>
      </c>
      <c r="B62" s="90" t="s">
        <v>1572</v>
      </c>
      <c r="C62" s="90" t="s">
        <v>1573</v>
      </c>
      <c r="D62" s="90" t="s">
        <v>1574</v>
      </c>
      <c r="E62" s="90" t="s">
        <v>1575</v>
      </c>
      <c r="F62" s="8" t="s">
        <v>1060</v>
      </c>
      <c r="G62" s="26" t="s">
        <v>3442</v>
      </c>
      <c r="H62" s="55" t="s">
        <v>320</v>
      </c>
      <c r="I62" s="1" t="s">
        <v>69</v>
      </c>
      <c r="J62" s="8" t="s">
        <v>6221</v>
      </c>
      <c r="K62" s="5" t="s">
        <v>6222</v>
      </c>
      <c r="L62" s="337" t="s">
        <v>6206</v>
      </c>
      <c r="M62" s="338" t="s">
        <v>6207</v>
      </c>
      <c r="N62" s="339" t="s">
        <v>6208</v>
      </c>
      <c r="O62" s="4" t="s">
        <v>6713</v>
      </c>
      <c r="P62" s="89" t="s">
        <v>6285</v>
      </c>
      <c r="Q62" s="293" t="s">
        <v>6284</v>
      </c>
      <c r="R62" s="354" t="s">
        <v>6283</v>
      </c>
      <c r="S62" s="26" t="s">
        <v>6286</v>
      </c>
      <c r="T62" s="321" t="s">
        <v>4716</v>
      </c>
      <c r="U62" s="14" t="s">
        <v>66</v>
      </c>
      <c r="V62" s="308" t="s">
        <v>4731</v>
      </c>
      <c r="W62" s="68" t="s">
        <v>3273</v>
      </c>
      <c r="X62" s="28" t="s">
        <v>2</v>
      </c>
      <c r="Y62" s="17" t="s">
        <v>1399</v>
      </c>
      <c r="Z62" s="14" t="s">
        <v>2250</v>
      </c>
      <c r="AA62" s="21" t="s">
        <v>1470</v>
      </c>
      <c r="AB62" s="51" t="s">
        <v>6174</v>
      </c>
      <c r="AC62" s="102" t="s">
        <v>6420</v>
      </c>
      <c r="AD62" s="1" t="s">
        <v>69</v>
      </c>
      <c r="AE62" s="71" t="s">
        <v>1400</v>
      </c>
      <c r="AF62" s="72" t="s">
        <v>1157</v>
      </c>
      <c r="AG62" s="32" t="s">
        <v>1158</v>
      </c>
      <c r="AH62" s="138"/>
      <c r="AI62" s="163"/>
    </row>
    <row r="63" spans="1:40">
      <c r="A63" s="142" t="s">
        <v>1943</v>
      </c>
      <c r="B63" s="79">
        <v>5</v>
      </c>
      <c r="C63" s="79">
        <v>70</v>
      </c>
      <c r="D63" s="79">
        <v>1</v>
      </c>
      <c r="E63" s="79">
        <v>5</v>
      </c>
      <c r="F63" s="6">
        <v>4.54</v>
      </c>
      <c r="G63" s="79">
        <v>3015</v>
      </c>
      <c r="H63" s="30" t="s">
        <v>1462</v>
      </c>
      <c r="I63" s="22" t="s">
        <v>388</v>
      </c>
      <c r="J63" s="8" t="str">
        <f>IFERROR(VLOOKUP($G63,今日總結!$A:$AJ,33,0),"")</f>
        <v/>
      </c>
      <c r="K63" s="5" t="str">
        <f>IFERROR(VLOOKUP($G63,今日總結!$A:$AJ,34,0),"")</f>
        <v/>
      </c>
      <c r="L63" s="156" t="str">
        <f>IFERROR(VLOOKUP($G63,今日總結!$A:$AJ,31,0),"")</f>
        <v/>
      </c>
      <c r="M63" s="340" t="str">
        <f>IFERROR(VLOOKUP($G63,今日總結!$A:$AJ,32,0),"")</f>
        <v/>
      </c>
      <c r="N63" s="240" t="str">
        <f t="shared" ref="N63" si="23">IFERROR(L63-M63,"")</f>
        <v/>
      </c>
      <c r="P63" s="365">
        <f>IFERROR(VLOOKUP($G63,融外自投!$A:$J,7,0),"無")</f>
        <v>833</v>
      </c>
      <c r="Q63" s="79">
        <f>IFERROR(VLOOKUP($G63,融外自投!$A:$J,9,0),"無")</f>
        <v>1051</v>
      </c>
      <c r="R63" s="346">
        <f>IFERROR(VLOOKUP($G63,融外自投!$A:$J,8,0),"無")</f>
        <v>450</v>
      </c>
      <c r="S63" s="81" t="str">
        <f>IFERROR(VLOOKUP($G63,融外自投!$A:$J,10,0),"無")</f>
        <v>無</v>
      </c>
      <c r="T63" s="327">
        <f>IFERROR(VLOOKUP($G63,'321買'!$A:$E,5,0),"'沒有資料'")</f>
        <v>827</v>
      </c>
      <c r="U63" s="45">
        <v>3.3</v>
      </c>
      <c r="V63" s="308"/>
      <c r="W63" s="57">
        <v>3.68</v>
      </c>
      <c r="X63" s="36">
        <f>RTD("money.excel",,"3015","Price")</f>
        <v>40.5</v>
      </c>
      <c r="Y63" s="66">
        <v>44.4</v>
      </c>
      <c r="Z63" s="15">
        <f>X63-Y63</f>
        <v>-3.8999999999999986</v>
      </c>
      <c r="AA63" s="63">
        <f>Z63/Y63</f>
        <v>-8.7837837837837815E-2</v>
      </c>
      <c r="AB63" s="99" t="s">
        <v>1500</v>
      </c>
      <c r="AD63" s="22" t="s">
        <v>388</v>
      </c>
      <c r="AE63" s="84">
        <v>44539</v>
      </c>
      <c r="AG63" s="33">
        <f>AF63-AE63</f>
        <v>-44539</v>
      </c>
      <c r="AH63" s="41" t="s">
        <v>1122</v>
      </c>
      <c r="AI63" s="221"/>
      <c r="AJ63" s="22"/>
      <c r="AK63" s="206"/>
      <c r="AL63" s="239"/>
      <c r="AM63" s="249"/>
      <c r="AN63" s="252"/>
    </row>
    <row r="64" spans="1:40" s="248" customFormat="1">
      <c r="A64" s="141"/>
      <c r="B64" s="79"/>
      <c r="C64" s="79"/>
      <c r="D64" s="79"/>
      <c r="E64" s="79"/>
      <c r="F64" s="6"/>
      <c r="G64" s="41"/>
      <c r="H64" s="8"/>
      <c r="I64" s="153"/>
      <c r="J64" s="1"/>
      <c r="K64" s="1"/>
      <c r="L64" s="123"/>
      <c r="M64" s="234"/>
      <c r="N64" s="341"/>
      <c r="O64" s="245"/>
      <c r="P64" s="365"/>
      <c r="Q64" s="47"/>
      <c r="R64" s="346"/>
      <c r="S64" s="303"/>
      <c r="T64" s="322"/>
      <c r="U64" s="185"/>
      <c r="V64" s="308"/>
      <c r="W64" s="94"/>
      <c r="X64" s="165">
        <f>SUM(X63)</f>
        <v>40.5</v>
      </c>
      <c r="Y64" s="155">
        <f>SUM(Y63)</f>
        <v>44.4</v>
      </c>
      <c r="Z64" s="162">
        <f>X64-Y64</f>
        <v>-3.8999999999999986</v>
      </c>
      <c r="AA64" s="164">
        <f>Z64/Y64</f>
        <v>-8.7837837837837815E-2</v>
      </c>
      <c r="AB64" s="113"/>
      <c r="AC64" s="382"/>
      <c r="AD64" s="153">
        <f>X64*(0.001425*0.5)+X64*0.003+Y64*(0.001425*0.5)</f>
        <v>0.18199124999999999</v>
      </c>
      <c r="AE64" s="6">
        <f>Z64-AD64</f>
        <v>-4.0819912499999988</v>
      </c>
      <c r="AF64" s="83"/>
      <c r="AG64" s="33"/>
      <c r="AH64" s="41" t="s">
        <v>1122</v>
      </c>
      <c r="AI64" s="163"/>
    </row>
    <row r="65" spans="1:40" s="248" customFormat="1">
      <c r="A65" s="141"/>
      <c r="B65" s="79"/>
      <c r="C65" s="79"/>
      <c r="D65" s="79"/>
      <c r="E65" s="79"/>
      <c r="F65" s="6"/>
      <c r="G65" s="41"/>
      <c r="H65" s="8"/>
      <c r="I65" s="153"/>
      <c r="J65" s="1"/>
      <c r="K65" s="1"/>
      <c r="L65" s="123"/>
      <c r="M65" s="234"/>
      <c r="N65" s="341"/>
      <c r="O65" s="245"/>
      <c r="P65" s="365"/>
      <c r="Q65" s="47"/>
      <c r="R65" s="346"/>
      <c r="S65" s="303"/>
      <c r="T65" s="322"/>
      <c r="U65" s="185"/>
      <c r="V65" s="308"/>
      <c r="W65" s="94"/>
      <c r="X65" s="165"/>
      <c r="Y65" s="155"/>
      <c r="Z65" s="162"/>
      <c r="AA65" s="164"/>
      <c r="AB65" s="113"/>
      <c r="AC65" s="382"/>
      <c r="AD65" s="153"/>
      <c r="AE65" s="6"/>
      <c r="AF65" s="83"/>
      <c r="AG65" s="33"/>
      <c r="AH65" s="41"/>
      <c r="AI65" s="163"/>
    </row>
    <row r="66" spans="1:40" s="248" customFormat="1">
      <c r="A66" s="127" t="s">
        <v>1673</v>
      </c>
      <c r="B66" s="90" t="s">
        <v>1572</v>
      </c>
      <c r="C66" s="90" t="s">
        <v>1573</v>
      </c>
      <c r="D66" s="90" t="s">
        <v>1574</v>
      </c>
      <c r="E66" s="90" t="s">
        <v>1575</v>
      </c>
      <c r="F66" s="8" t="s">
        <v>1060</v>
      </c>
      <c r="G66" s="26" t="s">
        <v>3442</v>
      </c>
      <c r="H66" s="55" t="s">
        <v>320</v>
      </c>
      <c r="I66" s="1" t="s">
        <v>69</v>
      </c>
      <c r="J66" s="8" t="s">
        <v>6221</v>
      </c>
      <c r="K66" s="5" t="s">
        <v>6222</v>
      </c>
      <c r="L66" s="337" t="s">
        <v>6206</v>
      </c>
      <c r="M66" s="338" t="s">
        <v>6207</v>
      </c>
      <c r="N66" s="339" t="s">
        <v>6208</v>
      </c>
      <c r="O66" s="4" t="s">
        <v>6713</v>
      </c>
      <c r="P66" s="89" t="s">
        <v>6285</v>
      </c>
      <c r="Q66" s="293" t="s">
        <v>6284</v>
      </c>
      <c r="R66" s="354" t="s">
        <v>6283</v>
      </c>
      <c r="S66" s="26" t="s">
        <v>6286</v>
      </c>
      <c r="T66" s="321" t="s">
        <v>4716</v>
      </c>
      <c r="U66" s="14" t="s">
        <v>66</v>
      </c>
      <c r="V66" s="308" t="s">
        <v>4731</v>
      </c>
      <c r="W66" s="68" t="s">
        <v>3273</v>
      </c>
      <c r="X66" s="28" t="s">
        <v>2</v>
      </c>
      <c r="Y66" s="17" t="s">
        <v>1399</v>
      </c>
      <c r="Z66" s="14" t="s">
        <v>2250</v>
      </c>
      <c r="AA66" s="21" t="s">
        <v>1470</v>
      </c>
      <c r="AB66" s="51" t="s">
        <v>6174</v>
      </c>
      <c r="AC66" s="102" t="s">
        <v>6420</v>
      </c>
      <c r="AD66" s="1" t="s">
        <v>69</v>
      </c>
      <c r="AE66" s="71" t="s">
        <v>1400</v>
      </c>
      <c r="AF66" s="72" t="s">
        <v>1157</v>
      </c>
      <c r="AG66" s="32" t="s">
        <v>1158</v>
      </c>
      <c r="AH66" s="138"/>
      <c r="AI66" s="163"/>
    </row>
    <row r="67" spans="1:40">
      <c r="A67" s="127" t="s">
        <v>1727</v>
      </c>
      <c r="B67" s="79">
        <v>23</v>
      </c>
      <c r="C67" s="79">
        <v>22</v>
      </c>
      <c r="D67" s="79">
        <v>2</v>
      </c>
      <c r="E67" s="79">
        <v>30</v>
      </c>
      <c r="F67" s="57">
        <v>11.17</v>
      </c>
      <c r="G67" s="80">
        <v>1309</v>
      </c>
      <c r="H67" s="30" t="s">
        <v>1462</v>
      </c>
      <c r="I67" s="22" t="s">
        <v>315</v>
      </c>
      <c r="J67" s="8">
        <f>IFERROR(VLOOKUP($G67,今日總結!$A:$AJ,33,0),"")</f>
        <v>0</v>
      </c>
      <c r="K67" s="5">
        <f>IFERROR(VLOOKUP($G67,今日總結!$A:$AJ,34,0),"")</f>
        <v>1</v>
      </c>
      <c r="L67" s="156">
        <f>IFERROR(VLOOKUP($G67,今日總結!$A:$AJ,31,0),"")</f>
        <v>0</v>
      </c>
      <c r="M67" s="340">
        <f>IFERROR(VLOOKUP($G67,今日總結!$A:$AJ,32,0),"")</f>
        <v>0</v>
      </c>
      <c r="N67" s="240">
        <f t="shared" ref="N67" si="24">IFERROR(L67-M67,"")</f>
        <v>0</v>
      </c>
      <c r="P67" s="365">
        <f>IFERROR(VLOOKUP($G67,融外自投!$A:$J,7,0),"無")</f>
        <v>828</v>
      </c>
      <c r="Q67" s="79">
        <f>IFERROR(VLOOKUP($G67,融外自投!$A:$J,9,0),"無")</f>
        <v>350</v>
      </c>
      <c r="R67" s="346">
        <f>IFERROR(VLOOKUP($G67,融外自投!$A:$J,8,0),"無")</f>
        <v>984</v>
      </c>
      <c r="S67" s="81">
        <f>IFERROR(VLOOKUP($G67,融外自投!$A:$J,10,0),"無")</f>
        <v>491</v>
      </c>
      <c r="T67" s="327">
        <f>IFERROR(VLOOKUP($G67,'321買'!$A:$E,5,0),"'沒有資料'")</f>
        <v>894</v>
      </c>
      <c r="U67" s="34">
        <v>2.5</v>
      </c>
      <c r="W67" s="94">
        <v>6.21</v>
      </c>
      <c r="X67" s="36">
        <f>RTD("money.excel",,"1309","Price")</f>
        <v>28</v>
      </c>
      <c r="Y67" s="66">
        <v>35.549999999999997</v>
      </c>
      <c r="Z67" s="15">
        <f>X67-Y67</f>
        <v>-7.5499999999999972</v>
      </c>
      <c r="AA67" s="3">
        <f>Z67/Y67</f>
        <v>-0.21237693389592119</v>
      </c>
      <c r="AB67" s="99" t="s">
        <v>3526</v>
      </c>
      <c r="AD67" s="22" t="s">
        <v>315</v>
      </c>
      <c r="AE67" s="84">
        <v>44525</v>
      </c>
      <c r="AG67" s="33">
        <f>AF67-AE67</f>
        <v>-44525</v>
      </c>
      <c r="AH67" s="41" t="s">
        <v>1122</v>
      </c>
      <c r="AJ67" s="22"/>
      <c r="AK67" s="206"/>
      <c r="AL67" s="239"/>
      <c r="AM67" s="249"/>
      <c r="AN67" s="251"/>
    </row>
    <row r="68" spans="1:40" s="248" customFormat="1">
      <c r="A68" s="141"/>
      <c r="B68" s="79"/>
      <c r="C68" s="79"/>
      <c r="D68" s="79"/>
      <c r="E68" s="79"/>
      <c r="F68" s="6"/>
      <c r="G68" s="41"/>
      <c r="H68" s="8"/>
      <c r="I68" s="153"/>
      <c r="J68" s="1"/>
      <c r="K68" s="1"/>
      <c r="L68" s="123"/>
      <c r="M68" s="234"/>
      <c r="N68" s="341"/>
      <c r="O68" s="245"/>
      <c r="P68" s="365"/>
      <c r="Q68" s="47"/>
      <c r="R68" s="346"/>
      <c r="S68" s="303"/>
      <c r="T68" s="322"/>
      <c r="U68" s="185"/>
      <c r="V68" s="311"/>
      <c r="W68" s="94"/>
      <c r="X68" s="165">
        <f>SUM(X67)</f>
        <v>28</v>
      </c>
      <c r="Y68" s="155">
        <f>SUM(Y67)</f>
        <v>35.549999999999997</v>
      </c>
      <c r="Z68" s="162">
        <f>X68-Y68</f>
        <v>-7.5499999999999972</v>
      </c>
      <c r="AA68" s="164">
        <f>Z68/Y68</f>
        <v>-0.21237693389592119</v>
      </c>
      <c r="AB68" s="113"/>
      <c r="AC68" s="382"/>
      <c r="AD68" s="153">
        <f>X68*(0.001425*0.5)+X68*0.003+Y68*(0.001425*0.5)</f>
        <v>0.129279375</v>
      </c>
      <c r="AE68" s="6">
        <f>Z68-AD68</f>
        <v>-7.6792793749999975</v>
      </c>
      <c r="AF68" s="83"/>
      <c r="AG68" s="33"/>
      <c r="AH68" s="41" t="s">
        <v>1122</v>
      </c>
      <c r="AI68" s="163"/>
    </row>
    <row r="69" spans="1:40" s="248" customFormat="1">
      <c r="A69" s="141"/>
      <c r="B69" s="79"/>
      <c r="C69" s="79"/>
      <c r="D69" s="79"/>
      <c r="E69" s="79"/>
      <c r="F69" s="6"/>
      <c r="G69" s="41"/>
      <c r="H69" s="8"/>
      <c r="I69" s="153"/>
      <c r="J69" s="1"/>
      <c r="K69" s="1"/>
      <c r="L69" s="123"/>
      <c r="M69" s="234"/>
      <c r="N69" s="341"/>
      <c r="O69" s="245"/>
      <c r="P69" s="365"/>
      <c r="Q69" s="293"/>
      <c r="R69" s="346"/>
      <c r="S69" s="303"/>
      <c r="T69" s="322"/>
      <c r="U69" s="185"/>
      <c r="V69" s="311"/>
      <c r="W69" s="94"/>
      <c r="X69" s="165"/>
      <c r="Y69" s="155"/>
      <c r="Z69" s="162"/>
      <c r="AA69" s="164"/>
      <c r="AB69" s="113"/>
      <c r="AC69" s="382"/>
      <c r="AD69" s="153"/>
      <c r="AE69" s="6"/>
      <c r="AF69" s="83"/>
      <c r="AG69" s="33"/>
      <c r="AH69" s="41"/>
      <c r="AI69" s="163"/>
    </row>
    <row r="70" spans="1:40" s="248" customFormat="1">
      <c r="A70" s="127" t="s">
        <v>1673</v>
      </c>
      <c r="B70" s="90" t="s">
        <v>1572</v>
      </c>
      <c r="C70" s="90" t="s">
        <v>1573</v>
      </c>
      <c r="D70" s="90" t="s">
        <v>1574</v>
      </c>
      <c r="E70" s="90" t="s">
        <v>1575</v>
      </c>
      <c r="F70" s="8" t="s">
        <v>1060</v>
      </c>
      <c r="G70" s="26" t="s">
        <v>3442</v>
      </c>
      <c r="H70" s="55" t="s">
        <v>320</v>
      </c>
      <c r="I70" s="1" t="s">
        <v>2249</v>
      </c>
      <c r="J70" s="8" t="s">
        <v>6221</v>
      </c>
      <c r="K70" s="5" t="s">
        <v>6222</v>
      </c>
      <c r="L70" s="337" t="s">
        <v>6206</v>
      </c>
      <c r="M70" s="338" t="s">
        <v>6207</v>
      </c>
      <c r="N70" s="339" t="s">
        <v>6208</v>
      </c>
      <c r="O70" s="4" t="s">
        <v>6713</v>
      </c>
      <c r="P70" s="89" t="s">
        <v>6285</v>
      </c>
      <c r="Q70" s="293" t="s">
        <v>6284</v>
      </c>
      <c r="R70" s="354" t="s">
        <v>6283</v>
      </c>
      <c r="S70" s="26" t="s">
        <v>6286</v>
      </c>
      <c r="T70" s="321" t="s">
        <v>4716</v>
      </c>
      <c r="U70" s="14" t="s">
        <v>66</v>
      </c>
      <c r="V70" s="308" t="s">
        <v>4731</v>
      </c>
      <c r="W70" s="68" t="s">
        <v>3273</v>
      </c>
      <c r="X70" s="28" t="s">
        <v>2</v>
      </c>
      <c r="Y70" s="17" t="s">
        <v>1399</v>
      </c>
      <c r="Z70" s="14" t="s">
        <v>5</v>
      </c>
      <c r="AA70" s="21" t="s">
        <v>3</v>
      </c>
      <c r="AB70" s="51" t="s">
        <v>6174</v>
      </c>
      <c r="AC70" s="102" t="s">
        <v>6420</v>
      </c>
      <c r="AD70" s="1" t="s">
        <v>2249</v>
      </c>
      <c r="AE70" s="71" t="s">
        <v>1400</v>
      </c>
      <c r="AF70" s="72" t="s">
        <v>1157</v>
      </c>
      <c r="AG70" s="32" t="s">
        <v>1158</v>
      </c>
      <c r="AH70" s="138"/>
      <c r="AI70" s="163"/>
    </row>
    <row r="71" spans="1:40">
      <c r="A71" s="127" t="s">
        <v>1676</v>
      </c>
      <c r="B71" s="79">
        <v>86</v>
      </c>
      <c r="C71" s="79">
        <v>124</v>
      </c>
      <c r="D71" s="80">
        <v>-5</v>
      </c>
      <c r="E71" s="79">
        <v>7</v>
      </c>
      <c r="F71" s="57">
        <v>25.67</v>
      </c>
      <c r="G71" s="79">
        <v>5471</v>
      </c>
      <c r="H71" s="30" t="s">
        <v>1462</v>
      </c>
      <c r="I71" s="22" t="s">
        <v>352</v>
      </c>
      <c r="J71" s="8" t="str">
        <f>IFERROR(VLOOKUP($G71,今日總結!$A:$AJ,33,0),"")</f>
        <v/>
      </c>
      <c r="K71" s="5" t="str">
        <f>IFERROR(VLOOKUP($G71,今日總結!$A:$AJ,34,0),"")</f>
        <v/>
      </c>
      <c r="L71" s="156" t="str">
        <f>IFERROR(VLOOKUP($G71,今日總結!$A:$AJ,31,0),"")</f>
        <v/>
      </c>
      <c r="M71" s="340" t="str">
        <f>IFERROR(VLOOKUP($G71,今日總結!$A:$AJ,32,0),"")</f>
        <v/>
      </c>
      <c r="N71" s="240" t="str">
        <f t="shared" ref="N71:N72" si="25">IFERROR(L71-M71,"")</f>
        <v/>
      </c>
      <c r="P71" s="365">
        <f>IFERROR(VLOOKUP($G71,融外自投!$A:$J,7,0),"無")</f>
        <v>352</v>
      </c>
      <c r="Q71" s="79">
        <f>IFERROR(VLOOKUP($G71,融外自投!$A:$J,9,0),"無")</f>
        <v>896</v>
      </c>
      <c r="R71" s="346">
        <f>IFERROR(VLOOKUP($G71,融外自投!$A:$J,8,0),"無")</f>
        <v>418</v>
      </c>
      <c r="S71" s="81">
        <f>IFERROR(VLOOKUP($G71,融外自投!$A:$J,10,0),"無")</f>
        <v>395</v>
      </c>
      <c r="T71" s="327">
        <f>IFERROR(VLOOKUP($G71,'321買'!$A:$E,5,0),"'沒有資料'")</f>
        <v>445</v>
      </c>
      <c r="U71" s="45">
        <v>7</v>
      </c>
      <c r="W71" s="94">
        <v>6.85</v>
      </c>
      <c r="X71" s="36">
        <f>RTD("money.excel",,"5471","Price")</f>
        <v>75.599999999999994</v>
      </c>
      <c r="Y71" s="66">
        <v>91.8</v>
      </c>
      <c r="Z71" s="15">
        <f>X71-Y71</f>
        <v>-16.200000000000003</v>
      </c>
      <c r="AA71" s="76">
        <f>Z71/Y71</f>
        <v>-0.17647058823529416</v>
      </c>
      <c r="AB71" s="100" t="s">
        <v>3355</v>
      </c>
      <c r="AD71" s="22" t="s">
        <v>352</v>
      </c>
      <c r="AE71" s="84">
        <v>44525</v>
      </c>
      <c r="AG71" s="33">
        <f>AF71-AE71</f>
        <v>-44525</v>
      </c>
      <c r="AH71" s="41" t="s">
        <v>1122</v>
      </c>
      <c r="AI71" s="221"/>
      <c r="AJ71" s="243"/>
    </row>
    <row r="72" spans="1:40">
      <c r="A72" s="127" t="s">
        <v>1676</v>
      </c>
      <c r="B72" s="79">
        <v>86</v>
      </c>
      <c r="C72" s="79">
        <v>124</v>
      </c>
      <c r="D72" s="80">
        <v>-5</v>
      </c>
      <c r="E72" s="79">
        <v>7</v>
      </c>
      <c r="F72" s="57">
        <v>25.67</v>
      </c>
      <c r="G72" s="79">
        <v>5471</v>
      </c>
      <c r="H72" s="30" t="s">
        <v>1462</v>
      </c>
      <c r="I72" s="22" t="s">
        <v>352</v>
      </c>
      <c r="J72" s="8" t="str">
        <f>IFERROR(VLOOKUP($G72,今日總結!$A:$AJ,33,0),"")</f>
        <v/>
      </c>
      <c r="K72" s="5" t="str">
        <f>IFERROR(VLOOKUP($G72,今日總結!$A:$AJ,34,0),"")</f>
        <v/>
      </c>
      <c r="L72" s="156" t="str">
        <f>IFERROR(VLOOKUP($G72,今日總結!$A:$AJ,31,0),"")</f>
        <v/>
      </c>
      <c r="M72" s="340" t="str">
        <f>IFERROR(VLOOKUP($G72,今日總結!$A:$AJ,32,0),"")</f>
        <v/>
      </c>
      <c r="N72" s="240" t="str">
        <f t="shared" si="25"/>
        <v/>
      </c>
      <c r="P72" s="365">
        <f>IFERROR(VLOOKUP($G72,融外自投!$A:$J,7,0),"無")</f>
        <v>352</v>
      </c>
      <c r="Q72" s="79">
        <f>IFERROR(VLOOKUP($G72,融外自投!$A:$J,9,0),"無")</f>
        <v>896</v>
      </c>
      <c r="R72" s="346">
        <f>IFERROR(VLOOKUP($G72,融外自投!$A:$J,8,0),"無")</f>
        <v>418</v>
      </c>
      <c r="S72" s="81">
        <f>IFERROR(VLOOKUP($G72,融外自投!$A:$J,10,0),"無")</f>
        <v>395</v>
      </c>
      <c r="T72" s="327">
        <f>IFERROR(VLOOKUP($G72,'321買'!$A:$E,5,0),"'沒有資料'")</f>
        <v>445</v>
      </c>
      <c r="U72" s="45">
        <v>7</v>
      </c>
      <c r="V72" s="308"/>
      <c r="W72" s="94">
        <v>6.85</v>
      </c>
      <c r="X72" s="36">
        <f>RTD("money.excel",,"5471","Price")</f>
        <v>75.599999999999994</v>
      </c>
      <c r="Y72" s="66">
        <f>115.5-5.7</f>
        <v>109.8</v>
      </c>
      <c r="Z72" s="15">
        <f>X72-Y72</f>
        <v>-34.200000000000003</v>
      </c>
      <c r="AA72" s="76">
        <f>Z72/Y72</f>
        <v>-0.31147540983606559</v>
      </c>
      <c r="AB72" s="100" t="s">
        <v>3355</v>
      </c>
      <c r="AD72" s="22" t="s">
        <v>352</v>
      </c>
      <c r="AE72" s="84">
        <v>44364</v>
      </c>
      <c r="AG72" s="33">
        <f>AF72-AE72</f>
        <v>-44364</v>
      </c>
      <c r="AH72" s="41" t="s">
        <v>1122</v>
      </c>
      <c r="AI72" s="221"/>
      <c r="AJ72" s="243"/>
    </row>
    <row r="73" spans="1:40" s="248" customFormat="1">
      <c r="A73" s="141"/>
      <c r="B73" s="79"/>
      <c r="C73" s="79"/>
      <c r="D73" s="79"/>
      <c r="E73" s="79"/>
      <c r="F73" s="6"/>
      <c r="G73" s="41"/>
      <c r="H73" s="8"/>
      <c r="I73" s="153"/>
      <c r="J73" s="1"/>
      <c r="K73" s="1"/>
      <c r="L73" s="245"/>
      <c r="M73" s="234"/>
      <c r="N73" s="341"/>
      <c r="O73" s="245"/>
      <c r="P73" s="365"/>
      <c r="Q73" s="47"/>
      <c r="R73" s="346"/>
      <c r="S73" s="303"/>
      <c r="T73" s="327"/>
      <c r="U73" s="185"/>
      <c r="V73" s="310"/>
      <c r="W73" s="94"/>
      <c r="X73" s="165">
        <f>SUM(X71:X72)</f>
        <v>151.19999999999999</v>
      </c>
      <c r="Y73" s="155">
        <f>SUM(Y71:Y72)</f>
        <v>201.6</v>
      </c>
      <c r="Z73" s="162">
        <f>X73-Y73</f>
        <v>-50.400000000000006</v>
      </c>
      <c r="AA73" s="164">
        <f>Z73/Y73</f>
        <v>-0.25000000000000006</v>
      </c>
      <c r="AB73" s="113"/>
      <c r="AC73" s="382"/>
      <c r="AD73" s="153">
        <f>X73*(0.001425*0.5)+X73*0.003+Y73*(0.001425*0.5)</f>
        <v>0.70496999999999987</v>
      </c>
      <c r="AE73" s="6">
        <f>Z73-AD73</f>
        <v>-51.104970000000009</v>
      </c>
      <c r="AF73" s="83"/>
      <c r="AG73" s="33"/>
      <c r="AH73" s="41" t="s">
        <v>1502</v>
      </c>
      <c r="AI73" s="163"/>
    </row>
    <row r="74" spans="1:40" s="248" customFormat="1">
      <c r="A74" s="141"/>
      <c r="B74" s="79"/>
      <c r="C74" s="79"/>
      <c r="D74" s="79"/>
      <c r="E74" s="79"/>
      <c r="F74" s="6"/>
      <c r="G74" s="41"/>
      <c r="H74" s="8"/>
      <c r="I74" s="153"/>
      <c r="J74" s="1"/>
      <c r="K74" s="1"/>
      <c r="L74" s="123"/>
      <c r="M74" s="234"/>
      <c r="N74" s="341"/>
      <c r="O74" s="245"/>
      <c r="P74" s="365"/>
      <c r="Q74" s="47"/>
      <c r="R74" s="346"/>
      <c r="S74" s="303"/>
      <c r="T74" s="322"/>
      <c r="U74" s="185"/>
      <c r="V74" s="310"/>
      <c r="W74" s="94"/>
      <c r="X74" s="165"/>
      <c r="Y74" s="155"/>
      <c r="Z74" s="162"/>
      <c r="AA74" s="164"/>
      <c r="AB74" s="113"/>
      <c r="AC74" s="382"/>
      <c r="AD74" s="153"/>
      <c r="AE74" s="6"/>
      <c r="AF74" s="83"/>
      <c r="AG74" s="33"/>
      <c r="AH74" s="41"/>
      <c r="AI74" s="163"/>
    </row>
    <row r="75" spans="1:40" s="248" customFormat="1">
      <c r="A75" s="127" t="s">
        <v>1673</v>
      </c>
      <c r="B75" s="90" t="s">
        <v>1572</v>
      </c>
      <c r="C75" s="90" t="s">
        <v>1573</v>
      </c>
      <c r="D75" s="90" t="s">
        <v>1574</v>
      </c>
      <c r="E75" s="90" t="s">
        <v>1575</v>
      </c>
      <c r="F75" s="8" t="s">
        <v>1060</v>
      </c>
      <c r="G75" s="26" t="s">
        <v>3442</v>
      </c>
      <c r="H75" s="55" t="s">
        <v>320</v>
      </c>
      <c r="I75" s="1" t="s">
        <v>2249</v>
      </c>
      <c r="J75" s="8" t="s">
        <v>6221</v>
      </c>
      <c r="K75" s="5" t="s">
        <v>6222</v>
      </c>
      <c r="L75" s="337" t="s">
        <v>6206</v>
      </c>
      <c r="M75" s="338" t="s">
        <v>6207</v>
      </c>
      <c r="N75" s="339" t="s">
        <v>6208</v>
      </c>
      <c r="O75" s="4" t="s">
        <v>6713</v>
      </c>
      <c r="P75" s="89" t="s">
        <v>6285</v>
      </c>
      <c r="Q75" s="293" t="s">
        <v>6284</v>
      </c>
      <c r="R75" s="354" t="s">
        <v>6283</v>
      </c>
      <c r="S75" s="26" t="s">
        <v>6286</v>
      </c>
      <c r="T75" s="321" t="s">
        <v>4716</v>
      </c>
      <c r="U75" s="14" t="s">
        <v>66</v>
      </c>
      <c r="V75" s="308" t="s">
        <v>4731</v>
      </c>
      <c r="W75" s="68" t="s">
        <v>3273</v>
      </c>
      <c r="X75" s="28" t="s">
        <v>2</v>
      </c>
      <c r="Y75" s="17" t="s">
        <v>1399</v>
      </c>
      <c r="Z75" s="14" t="s">
        <v>2250</v>
      </c>
      <c r="AA75" s="21" t="s">
        <v>1470</v>
      </c>
      <c r="AB75" s="51" t="s">
        <v>6174</v>
      </c>
      <c r="AC75" s="102" t="s">
        <v>6420</v>
      </c>
      <c r="AD75" s="1" t="s">
        <v>2249</v>
      </c>
      <c r="AE75" s="71" t="s">
        <v>1400</v>
      </c>
      <c r="AF75" s="72" t="s">
        <v>1157</v>
      </c>
      <c r="AG75" s="32" t="s">
        <v>1158</v>
      </c>
      <c r="AH75" s="138"/>
      <c r="AI75" s="163"/>
    </row>
    <row r="76" spans="1:40">
      <c r="A76" s="127" t="s">
        <v>1656</v>
      </c>
      <c r="B76" s="92">
        <v>4675</v>
      </c>
      <c r="C76" s="79">
        <v>279</v>
      </c>
      <c r="D76" s="79">
        <v>30</v>
      </c>
      <c r="E76" s="79">
        <v>31</v>
      </c>
      <c r="F76" s="57">
        <v>14.09</v>
      </c>
      <c r="G76" s="79">
        <v>8936</v>
      </c>
      <c r="H76" s="30" t="s">
        <v>1462</v>
      </c>
      <c r="I76" s="16" t="s">
        <v>668</v>
      </c>
      <c r="J76" s="8">
        <f>IFERROR(VLOOKUP($G76,今日總結!$A:$AJ,33,0),"")</f>
        <v>0</v>
      </c>
      <c r="K76" s="5">
        <f>IFERROR(VLOOKUP($G76,今日總結!$A:$AJ,34,0),"")</f>
        <v>1</v>
      </c>
      <c r="L76" s="156">
        <f>IFERROR(VLOOKUP($G76,今日總結!$A:$AJ,31,0),"")</f>
        <v>0</v>
      </c>
      <c r="M76" s="340">
        <f>IFERROR(VLOOKUP($G76,今日總結!$A:$AJ,32,0),"")</f>
        <v>0</v>
      </c>
      <c r="N76" s="240">
        <f t="shared" ref="N76:N78" si="26">IFERROR(L76-M76,"")</f>
        <v>0</v>
      </c>
      <c r="P76" s="365">
        <f>IFERROR(VLOOKUP($G76,融外自投!$A:$J,7,0),"無")</f>
        <v>217</v>
      </c>
      <c r="Q76" s="79">
        <f>IFERROR(VLOOKUP($G76,融外自投!$A:$J,9,0),"無")</f>
        <v>1051</v>
      </c>
      <c r="R76" s="346">
        <f>IFERROR(VLOOKUP($G76,融外自投!$A:$J,8,0),"無")</f>
        <v>704</v>
      </c>
      <c r="S76" s="81" t="str">
        <f>IFERROR(VLOOKUP($G76,融外自投!$A:$J,10,0),"無")</f>
        <v>無</v>
      </c>
      <c r="T76" s="327">
        <f>IFERROR(VLOOKUP($G76,'321買'!$A:$E,5,0),"'沒有資料'")</f>
        <v>984</v>
      </c>
      <c r="U76" s="34">
        <v>0.5</v>
      </c>
      <c r="W76" s="94">
        <v>0.84</v>
      </c>
      <c r="X76" s="36">
        <f>RTD("money.excel",,"8936","Price")</f>
        <v>20.5</v>
      </c>
      <c r="Y76" s="66">
        <f>25.1-0.25</f>
        <v>24.85</v>
      </c>
      <c r="Z76" s="15">
        <f>X76-Y76</f>
        <v>-4.3500000000000014</v>
      </c>
      <c r="AA76" s="3">
        <f>Z76/Y76</f>
        <v>-0.17505030181086523</v>
      </c>
      <c r="AB76" s="101" t="s">
        <v>1722</v>
      </c>
      <c r="AD76" s="16" t="s">
        <v>668</v>
      </c>
      <c r="AE76" s="84">
        <v>44383</v>
      </c>
      <c r="AG76" s="33">
        <f>AF76-AE76</f>
        <v>-44383</v>
      </c>
      <c r="AH76" s="41" t="s">
        <v>1122</v>
      </c>
      <c r="AJ76" s="8"/>
    </row>
    <row r="77" spans="1:40">
      <c r="A77" s="127" t="s">
        <v>1656</v>
      </c>
      <c r="B77" s="92">
        <v>4675</v>
      </c>
      <c r="C77" s="79">
        <v>279</v>
      </c>
      <c r="D77" s="79">
        <v>30</v>
      </c>
      <c r="E77" s="79">
        <v>31</v>
      </c>
      <c r="F77" s="57">
        <v>14.09</v>
      </c>
      <c r="G77" s="79">
        <v>8936</v>
      </c>
      <c r="H77" s="30" t="s">
        <v>1462</v>
      </c>
      <c r="I77" s="16" t="s">
        <v>668</v>
      </c>
      <c r="J77" s="8">
        <f>IFERROR(VLOOKUP($G77,今日總結!$A:$AJ,33,0),"")</f>
        <v>0</v>
      </c>
      <c r="K77" s="5">
        <f>IFERROR(VLOOKUP($G77,今日總結!$A:$AJ,34,0),"")</f>
        <v>1</v>
      </c>
      <c r="L77" s="156">
        <f>IFERROR(VLOOKUP($G77,今日總結!$A:$AJ,31,0),"")</f>
        <v>0</v>
      </c>
      <c r="M77" s="340">
        <f>IFERROR(VLOOKUP($G77,今日總結!$A:$AJ,32,0),"")</f>
        <v>0</v>
      </c>
      <c r="N77" s="240">
        <f t="shared" si="26"/>
        <v>0</v>
      </c>
      <c r="P77" s="365">
        <f>IFERROR(VLOOKUP($G77,融外自投!$A:$J,7,0),"無")</f>
        <v>217</v>
      </c>
      <c r="Q77" s="79">
        <f>IFERROR(VLOOKUP($G77,融外自投!$A:$J,9,0),"無")</f>
        <v>1051</v>
      </c>
      <c r="R77" s="346">
        <f>IFERROR(VLOOKUP($G77,融外自投!$A:$J,8,0),"無")</f>
        <v>704</v>
      </c>
      <c r="S77" s="81" t="str">
        <f>IFERROR(VLOOKUP($G77,融外自投!$A:$J,10,0),"無")</f>
        <v>無</v>
      </c>
      <c r="T77" s="327">
        <f>IFERROR(VLOOKUP($G77,'321買'!$A:$E,5,0),"'沒有資料'")</f>
        <v>984</v>
      </c>
      <c r="U77" s="34">
        <v>0.5</v>
      </c>
      <c r="W77" s="94">
        <v>0.84</v>
      </c>
      <c r="X77" s="36">
        <f>RTD("money.excel",,"8936","Price")</f>
        <v>20.5</v>
      </c>
      <c r="Y77" s="66">
        <f>27.85-0.25</f>
        <v>27.6</v>
      </c>
      <c r="Z77" s="15">
        <f>X77-Y77</f>
        <v>-7.1000000000000014</v>
      </c>
      <c r="AA77" s="3">
        <f>Z77/Y77</f>
        <v>-0.25724637681159424</v>
      </c>
      <c r="AB77" s="101" t="s">
        <v>1722</v>
      </c>
      <c r="AD77" s="16" t="s">
        <v>668</v>
      </c>
      <c r="AE77" s="84">
        <v>44343</v>
      </c>
      <c r="AG77" s="33">
        <f>AF77-AE77</f>
        <v>-44343</v>
      </c>
      <c r="AH77" s="41" t="s">
        <v>1122</v>
      </c>
      <c r="AJ77" s="8"/>
    </row>
    <row r="78" spans="1:40">
      <c r="A78" s="127" t="s">
        <v>1656</v>
      </c>
      <c r="B78" s="92">
        <v>4675</v>
      </c>
      <c r="C78" s="79">
        <v>279</v>
      </c>
      <c r="D78" s="79">
        <v>30</v>
      </c>
      <c r="E78" s="79">
        <v>31</v>
      </c>
      <c r="F78" s="57">
        <v>14.09</v>
      </c>
      <c r="G78" s="79">
        <v>8936</v>
      </c>
      <c r="H78" s="30" t="s">
        <v>1462</v>
      </c>
      <c r="I78" s="16" t="s">
        <v>668</v>
      </c>
      <c r="J78" s="8">
        <f>IFERROR(VLOOKUP($G78,今日總結!$A:$AJ,33,0),"")</f>
        <v>0</v>
      </c>
      <c r="K78" s="5">
        <f>IFERROR(VLOOKUP($G78,今日總結!$A:$AJ,34,0),"")</f>
        <v>1</v>
      </c>
      <c r="L78" s="156">
        <f>IFERROR(VLOOKUP($G78,今日總結!$A:$AJ,31,0),"")</f>
        <v>0</v>
      </c>
      <c r="M78" s="340">
        <f>IFERROR(VLOOKUP($G78,今日總結!$A:$AJ,32,0),"")</f>
        <v>0</v>
      </c>
      <c r="N78" s="240">
        <f t="shared" si="26"/>
        <v>0</v>
      </c>
      <c r="P78" s="365">
        <f>IFERROR(VLOOKUP($G78,融外自投!$A:$J,7,0),"無")</f>
        <v>217</v>
      </c>
      <c r="Q78" s="79">
        <f>IFERROR(VLOOKUP($G78,融外自投!$A:$J,9,0),"無")</f>
        <v>1051</v>
      </c>
      <c r="R78" s="346">
        <f>IFERROR(VLOOKUP($G78,融外自投!$A:$J,8,0),"無")</f>
        <v>704</v>
      </c>
      <c r="S78" s="81" t="str">
        <f>IFERROR(VLOOKUP($G78,融外自投!$A:$J,10,0),"無")</f>
        <v>無</v>
      </c>
      <c r="T78" s="327">
        <f>IFERROR(VLOOKUP($G78,'321買'!$A:$E,5,0),"'沒有資料'")</f>
        <v>984</v>
      </c>
      <c r="U78" s="34">
        <v>0.5</v>
      </c>
      <c r="W78" s="94">
        <v>0.84</v>
      </c>
      <c r="X78" s="36">
        <f>RTD("money.excel",,"8936","Price")</f>
        <v>20.5</v>
      </c>
      <c r="Y78" s="66">
        <f>30.3-0.25</f>
        <v>30.05</v>
      </c>
      <c r="Z78" s="15">
        <f>X78-Y78</f>
        <v>-9.5500000000000007</v>
      </c>
      <c r="AA78" s="3">
        <f>Z78/Y78</f>
        <v>-0.31780366056572379</v>
      </c>
      <c r="AB78" s="101" t="s">
        <v>1722</v>
      </c>
      <c r="AD78" s="16" t="s">
        <v>668</v>
      </c>
      <c r="AE78" s="84">
        <v>44336</v>
      </c>
      <c r="AG78" s="33">
        <f>AF78-AE78</f>
        <v>-44336</v>
      </c>
      <c r="AH78" s="41" t="s">
        <v>1122</v>
      </c>
      <c r="AJ78" s="8"/>
    </row>
    <row r="79" spans="1:40" s="248" customFormat="1">
      <c r="A79" s="141"/>
      <c r="B79" s="79"/>
      <c r="C79" s="79"/>
      <c r="D79" s="79"/>
      <c r="E79" s="79"/>
      <c r="F79" s="6"/>
      <c r="G79" s="41"/>
      <c r="H79" s="8"/>
      <c r="I79" s="153"/>
      <c r="J79" s="1"/>
      <c r="K79" s="1"/>
      <c r="L79" s="245"/>
      <c r="M79" s="234"/>
      <c r="N79" s="341"/>
      <c r="O79" s="245"/>
      <c r="P79" s="365"/>
      <c r="Q79" s="79"/>
      <c r="R79" s="346"/>
      <c r="S79" s="81"/>
      <c r="T79" s="327"/>
      <c r="U79" s="185"/>
      <c r="V79" s="311"/>
      <c r="W79" s="94"/>
      <c r="X79" s="165">
        <f>SUM(X76:X78)</f>
        <v>61.5</v>
      </c>
      <c r="Y79" s="155">
        <f>SUM(Y76:Y78)</f>
        <v>82.5</v>
      </c>
      <c r="Z79" s="162">
        <f>X79-Y79</f>
        <v>-21</v>
      </c>
      <c r="AA79" s="164">
        <f>Z79/Y79</f>
        <v>-0.25454545454545452</v>
      </c>
      <c r="AB79" s="113"/>
      <c r="AC79" s="382"/>
      <c r="AD79" s="153">
        <f>X79*(0.001425*0.5)+X79*0.003+Y79*(0.001425*0.5)</f>
        <v>0.28710000000000002</v>
      </c>
      <c r="AE79" s="6">
        <f>Z79-AD79</f>
        <v>-21.287099999999999</v>
      </c>
      <c r="AF79" s="83"/>
      <c r="AG79" s="33"/>
      <c r="AH79" s="41" t="s">
        <v>1551</v>
      </c>
      <c r="AI79" s="163"/>
    </row>
    <row r="80" spans="1:40" s="248" customFormat="1">
      <c r="A80" s="141"/>
      <c r="B80" s="79"/>
      <c r="C80" s="79"/>
      <c r="D80" s="79"/>
      <c r="E80" s="79"/>
      <c r="F80" s="6"/>
      <c r="G80" s="41"/>
      <c r="H80" s="8"/>
      <c r="I80" s="153"/>
      <c r="J80" s="1"/>
      <c r="K80" s="1"/>
      <c r="L80" s="123"/>
      <c r="M80" s="234"/>
      <c r="N80" s="341"/>
      <c r="O80" s="245"/>
      <c r="P80" s="365"/>
      <c r="Q80" s="79"/>
      <c r="R80" s="346"/>
      <c r="S80" s="81"/>
      <c r="T80" s="327"/>
      <c r="U80" s="185"/>
      <c r="V80" s="311"/>
      <c r="W80" s="94"/>
      <c r="X80" s="165"/>
      <c r="Y80" s="155"/>
      <c r="Z80" s="162"/>
      <c r="AA80" s="164"/>
      <c r="AB80" s="113"/>
      <c r="AC80" s="382"/>
      <c r="AD80" s="153"/>
      <c r="AE80" s="6"/>
      <c r="AF80" s="83"/>
      <c r="AG80" s="33"/>
      <c r="AH80" s="41"/>
      <c r="AI80" s="163"/>
    </row>
    <row r="81" spans="1:46" s="248" customFormat="1">
      <c r="A81" s="127" t="s">
        <v>1673</v>
      </c>
      <c r="B81" s="90" t="s">
        <v>1572</v>
      </c>
      <c r="C81" s="90" t="s">
        <v>1573</v>
      </c>
      <c r="D81" s="90" t="s">
        <v>1574</v>
      </c>
      <c r="E81" s="90" t="s">
        <v>1575</v>
      </c>
      <c r="F81" s="8" t="s">
        <v>1060</v>
      </c>
      <c r="G81" s="26" t="s">
        <v>3442</v>
      </c>
      <c r="H81" s="55" t="s">
        <v>320</v>
      </c>
      <c r="I81" s="1" t="s">
        <v>2249</v>
      </c>
      <c r="J81" s="8" t="s">
        <v>6221</v>
      </c>
      <c r="K81" s="5" t="s">
        <v>6222</v>
      </c>
      <c r="L81" s="337" t="s">
        <v>6206</v>
      </c>
      <c r="M81" s="338" t="s">
        <v>6207</v>
      </c>
      <c r="N81" s="339" t="s">
        <v>6208</v>
      </c>
      <c r="O81" s="4" t="s">
        <v>6713</v>
      </c>
      <c r="P81" s="89" t="s">
        <v>6285</v>
      </c>
      <c r="Q81" s="293" t="s">
        <v>6284</v>
      </c>
      <c r="R81" s="354" t="s">
        <v>6283</v>
      </c>
      <c r="S81" s="26" t="s">
        <v>6286</v>
      </c>
      <c r="T81" s="321" t="s">
        <v>4716</v>
      </c>
      <c r="U81" s="14" t="s">
        <v>66</v>
      </c>
      <c r="V81" s="308" t="s">
        <v>4731</v>
      </c>
      <c r="W81" s="68" t="s">
        <v>3273</v>
      </c>
      <c r="X81" s="28" t="s">
        <v>2</v>
      </c>
      <c r="Y81" s="17" t="s">
        <v>1399</v>
      </c>
      <c r="Z81" s="14" t="s">
        <v>2250</v>
      </c>
      <c r="AA81" s="21" t="s">
        <v>1470</v>
      </c>
      <c r="AB81" s="51" t="s">
        <v>6174</v>
      </c>
      <c r="AC81" s="102" t="s">
        <v>6420</v>
      </c>
      <c r="AD81" s="1" t="s">
        <v>2249</v>
      </c>
      <c r="AE81" s="71" t="s">
        <v>1400</v>
      </c>
      <c r="AF81" s="72" t="s">
        <v>1157</v>
      </c>
      <c r="AG81" s="32" t="s">
        <v>1158</v>
      </c>
      <c r="AH81" s="138"/>
      <c r="AI81" s="163"/>
    </row>
    <row r="82" spans="1:46">
      <c r="A82" s="142" t="s">
        <v>2971</v>
      </c>
      <c r="B82" s="79">
        <v>256</v>
      </c>
      <c r="C82" s="79">
        <v>355</v>
      </c>
      <c r="D82" s="80">
        <v>-3</v>
      </c>
      <c r="E82" s="80">
        <v>-18</v>
      </c>
      <c r="F82" s="6">
        <v>7.57</v>
      </c>
      <c r="G82" s="80">
        <v>3162</v>
      </c>
      <c r="H82" s="30" t="s">
        <v>1462</v>
      </c>
      <c r="I82" s="16" t="s">
        <v>531</v>
      </c>
      <c r="J82" s="8" t="str">
        <f>IFERROR(VLOOKUP($G82,今日總結!$A:$AJ,33,0),"")</f>
        <v/>
      </c>
      <c r="K82" s="5" t="str">
        <f>IFERROR(VLOOKUP($G82,今日總結!$A:$AJ,34,0),"")</f>
        <v/>
      </c>
      <c r="L82" s="156" t="str">
        <f>IFERROR(VLOOKUP($G82,今日總結!$A:$AJ,31,0),"")</f>
        <v/>
      </c>
      <c r="M82" s="340" t="str">
        <f>IFERROR(VLOOKUP($G82,今日總結!$A:$AJ,32,0),"")</f>
        <v/>
      </c>
      <c r="N82" s="240" t="str">
        <f t="shared" ref="N82" si="27">IFERROR(L82-M82,"")</f>
        <v/>
      </c>
      <c r="P82" s="365">
        <f>IFERROR(VLOOKUP($G82,融外自投!$A:$J,7,0),"無")</f>
        <v>230</v>
      </c>
      <c r="Q82" s="79" t="str">
        <f>IFERROR(VLOOKUP($G82,融外自投!$A:$J,9,0),"無")</f>
        <v>無</v>
      </c>
      <c r="R82" s="346">
        <f>IFERROR(VLOOKUP($G82,融外自投!$A:$J,8,0),"無")</f>
        <v>74</v>
      </c>
      <c r="S82" s="81" t="str">
        <f>IFERROR(VLOOKUP($G82,融外自投!$A:$J,10,0),"無")</f>
        <v>無</v>
      </c>
      <c r="T82" s="327">
        <f>IFERROR(VLOOKUP($G82,'321買'!$A:$E,5,0),"'沒有資料'")</f>
        <v>292</v>
      </c>
      <c r="U82" s="34">
        <v>0</v>
      </c>
      <c r="V82" s="310"/>
      <c r="W82" s="57">
        <v>7.0000000000000007E-2</v>
      </c>
      <c r="X82" s="13">
        <f>RTD("money.excel",,"3162","Price")</f>
        <v>36.549999999999997</v>
      </c>
      <c r="Y82" s="66">
        <v>46.2</v>
      </c>
      <c r="Z82" s="15">
        <f>X82-Y82</f>
        <v>-9.6500000000000057</v>
      </c>
      <c r="AA82" s="76">
        <f>Z82/Y82</f>
        <v>-0.20887445887445899</v>
      </c>
      <c r="AB82" s="135" t="s">
        <v>3518</v>
      </c>
      <c r="AD82" s="16" t="s">
        <v>531</v>
      </c>
      <c r="AE82" s="84">
        <v>44518</v>
      </c>
      <c r="AG82" s="33">
        <f>AF82-AE82</f>
        <v>-44518</v>
      </c>
      <c r="AH82" s="41" t="s">
        <v>1122</v>
      </c>
      <c r="AI82" s="221"/>
      <c r="AJ82" s="16"/>
      <c r="AK82" s="206"/>
      <c r="AL82" s="239"/>
      <c r="AM82" s="249"/>
      <c r="AN82" s="251"/>
    </row>
    <row r="83" spans="1:46" s="248" customFormat="1">
      <c r="A83" s="141"/>
      <c r="B83" s="79"/>
      <c r="C83" s="79"/>
      <c r="D83" s="79"/>
      <c r="E83" s="79"/>
      <c r="F83" s="6"/>
      <c r="G83" s="41"/>
      <c r="H83" s="8"/>
      <c r="I83" s="153"/>
      <c r="J83" s="1"/>
      <c r="K83" s="1"/>
      <c r="L83" s="123"/>
      <c r="M83" s="234"/>
      <c r="N83" s="341"/>
      <c r="O83" s="245"/>
      <c r="P83" s="365"/>
      <c r="Q83" s="47"/>
      <c r="R83" s="346"/>
      <c r="S83" s="303"/>
      <c r="T83" s="327"/>
      <c r="U83" s="185"/>
      <c r="V83" s="310"/>
      <c r="W83" s="94"/>
      <c r="X83" s="165">
        <f>SUM(X82)</f>
        <v>36.549999999999997</v>
      </c>
      <c r="Y83" s="155">
        <f>SUM(Y82)</f>
        <v>46.2</v>
      </c>
      <c r="Z83" s="162">
        <f>X83-Y83</f>
        <v>-9.6500000000000057</v>
      </c>
      <c r="AA83" s="164">
        <f>Z83/Y83</f>
        <v>-0.20887445887445899</v>
      </c>
      <c r="AB83" s="113"/>
      <c r="AC83" s="382"/>
      <c r="AD83" s="153">
        <f>X83*(0.001425*0.5)+X83*0.003+Y83*(0.001425*0.5)</f>
        <v>0.16860937500000001</v>
      </c>
      <c r="AE83" s="6">
        <f>Z83-AD83</f>
        <v>-9.8186093750000065</v>
      </c>
      <c r="AF83" s="83"/>
      <c r="AG83" s="33"/>
      <c r="AH83" s="41" t="s">
        <v>1122</v>
      </c>
      <c r="AI83" s="163"/>
    </row>
    <row r="84" spans="1:46" s="248" customFormat="1">
      <c r="A84" s="141"/>
      <c r="B84" s="79"/>
      <c r="C84" s="79"/>
      <c r="D84" s="79"/>
      <c r="E84" s="79"/>
      <c r="F84" s="6"/>
      <c r="G84" s="41"/>
      <c r="H84" s="8"/>
      <c r="I84" s="153"/>
      <c r="J84" s="1"/>
      <c r="K84" s="1"/>
      <c r="L84" s="123"/>
      <c r="M84" s="234"/>
      <c r="N84" s="341"/>
      <c r="O84" s="245"/>
      <c r="P84" s="365"/>
      <c r="Q84" s="47"/>
      <c r="R84" s="346"/>
      <c r="S84" s="303"/>
      <c r="T84" s="322"/>
      <c r="U84" s="185"/>
      <c r="V84" s="310"/>
      <c r="W84" s="94"/>
      <c r="X84" s="165"/>
      <c r="Y84" s="155"/>
      <c r="Z84" s="162"/>
      <c r="AA84" s="164"/>
      <c r="AB84" s="113"/>
      <c r="AC84" s="382"/>
      <c r="AD84" s="153"/>
      <c r="AE84" s="6"/>
      <c r="AF84" s="83"/>
      <c r="AG84" s="33"/>
      <c r="AH84" s="41"/>
      <c r="AI84" s="163"/>
    </row>
    <row r="85" spans="1:46" s="248" customFormat="1">
      <c r="A85" s="127" t="s">
        <v>1673</v>
      </c>
      <c r="B85" s="90" t="s">
        <v>1572</v>
      </c>
      <c r="C85" s="90" t="s">
        <v>1573</v>
      </c>
      <c r="D85" s="90" t="s">
        <v>1574</v>
      </c>
      <c r="E85" s="90" t="s">
        <v>1575</v>
      </c>
      <c r="F85" s="8" t="s">
        <v>1060</v>
      </c>
      <c r="G85" s="26" t="s">
        <v>3442</v>
      </c>
      <c r="H85" s="55" t="s">
        <v>320</v>
      </c>
      <c r="I85" s="1" t="s">
        <v>2249</v>
      </c>
      <c r="J85" s="8" t="s">
        <v>6221</v>
      </c>
      <c r="K85" s="5" t="s">
        <v>6222</v>
      </c>
      <c r="L85" s="337" t="s">
        <v>6206</v>
      </c>
      <c r="M85" s="338" t="s">
        <v>6207</v>
      </c>
      <c r="N85" s="339" t="s">
        <v>6208</v>
      </c>
      <c r="O85" s="4" t="s">
        <v>6713</v>
      </c>
      <c r="P85" s="89" t="s">
        <v>6285</v>
      </c>
      <c r="Q85" s="293" t="s">
        <v>6284</v>
      </c>
      <c r="R85" s="354" t="s">
        <v>6283</v>
      </c>
      <c r="S85" s="26" t="s">
        <v>6286</v>
      </c>
      <c r="T85" s="321" t="s">
        <v>4716</v>
      </c>
      <c r="U85" s="14" t="s">
        <v>66</v>
      </c>
      <c r="V85" s="308" t="s">
        <v>4731</v>
      </c>
      <c r="W85" s="68" t="s">
        <v>3273</v>
      </c>
      <c r="X85" s="28" t="s">
        <v>2</v>
      </c>
      <c r="Y85" s="17" t="s">
        <v>1399</v>
      </c>
      <c r="Z85" s="14" t="s">
        <v>2250</v>
      </c>
      <c r="AA85" s="21" t="s">
        <v>1470</v>
      </c>
      <c r="AB85" s="51" t="s">
        <v>6174</v>
      </c>
      <c r="AC85" s="102" t="s">
        <v>6420</v>
      </c>
      <c r="AD85" s="1" t="s">
        <v>2249</v>
      </c>
      <c r="AE85" s="71" t="s">
        <v>1400</v>
      </c>
      <c r="AF85" s="72" t="s">
        <v>1157</v>
      </c>
      <c r="AG85" s="32" t="s">
        <v>1158</v>
      </c>
      <c r="AH85" s="138"/>
      <c r="AI85" s="163"/>
    </row>
    <row r="86" spans="1:46">
      <c r="A86" s="142" t="s">
        <v>1875</v>
      </c>
      <c r="B86" s="92">
        <v>2639</v>
      </c>
      <c r="C86" s="92">
        <v>2126</v>
      </c>
      <c r="D86" s="79">
        <v>42</v>
      </c>
      <c r="E86" s="92">
        <v>1154</v>
      </c>
      <c r="F86" s="6">
        <v>9.25</v>
      </c>
      <c r="G86" s="80">
        <v>3713</v>
      </c>
      <c r="H86" s="30" t="s">
        <v>1462</v>
      </c>
      <c r="I86" s="16" t="s">
        <v>2058</v>
      </c>
      <c r="J86" s="8" t="str">
        <f>IFERROR(VLOOKUP($G86,今日總結!$A:$AJ,33,0),"")</f>
        <v/>
      </c>
      <c r="K86" s="5" t="str">
        <f>IFERROR(VLOOKUP($G86,今日總結!$A:$AJ,34,0),"")</f>
        <v/>
      </c>
      <c r="L86" s="156" t="str">
        <f>IFERROR(VLOOKUP($G86,今日總結!$A:$AJ,31,0),"")</f>
        <v/>
      </c>
      <c r="M86" s="340" t="str">
        <f>IFERROR(VLOOKUP($G86,今日總結!$A:$AJ,32,0),"")</f>
        <v/>
      </c>
      <c r="N86" s="240" t="str">
        <f t="shared" ref="N86:N87" si="28">IFERROR(L86-M86,"")</f>
        <v/>
      </c>
      <c r="P86" s="365" t="str">
        <f>IFERROR(VLOOKUP($G86,融外自投!$A:$J,7,0),"無")</f>
        <v>無</v>
      </c>
      <c r="Q86" s="79" t="str">
        <f>IFERROR(VLOOKUP($G86,融外自投!$A:$J,9,0),"無")</f>
        <v>無</v>
      </c>
      <c r="R86" s="346" t="str">
        <f>IFERROR(VLOOKUP($G86,融外自投!$A:$J,8,0),"無")</f>
        <v>無</v>
      </c>
      <c r="S86" s="81" t="str">
        <f>IFERROR(VLOOKUP($G86,融外自投!$A:$J,10,0),"無")</f>
        <v>無</v>
      </c>
      <c r="T86" s="327" t="str">
        <f>IFERROR(VLOOKUP($G86,'321買'!$A:$E,5,0),"'沒有資料'")</f>
        <v>'沒有資料'</v>
      </c>
      <c r="U86" s="34">
        <v>0</v>
      </c>
      <c r="W86" s="57">
        <v>0.32</v>
      </c>
      <c r="X86" s="36">
        <f>RTD("money.excel",,"3713","Price")</f>
        <v>32.5</v>
      </c>
      <c r="Y86" s="66">
        <v>40.75</v>
      </c>
      <c r="Z86" s="15">
        <f>X86-Y86</f>
        <v>-8.25</v>
      </c>
      <c r="AA86" s="3">
        <f>Z86/Y86</f>
        <v>-0.20245398773006135</v>
      </c>
      <c r="AB86" s="99" t="s">
        <v>3352</v>
      </c>
      <c r="AD86" s="16" t="s">
        <v>2058</v>
      </c>
      <c r="AE86" s="84">
        <v>44363</v>
      </c>
      <c r="AG86" s="33"/>
      <c r="AH86" s="41" t="s">
        <v>1122</v>
      </c>
      <c r="AJ86" s="234"/>
    </row>
    <row r="87" spans="1:46">
      <c r="A87" s="142" t="s">
        <v>1875</v>
      </c>
      <c r="B87" s="92">
        <v>2639</v>
      </c>
      <c r="C87" s="92">
        <v>2126</v>
      </c>
      <c r="D87" s="79">
        <v>42</v>
      </c>
      <c r="E87" s="92">
        <v>1154</v>
      </c>
      <c r="F87" s="6">
        <v>9.25</v>
      </c>
      <c r="G87" s="80">
        <v>3713</v>
      </c>
      <c r="H87" s="30" t="s">
        <v>1462</v>
      </c>
      <c r="I87" s="16" t="s">
        <v>2058</v>
      </c>
      <c r="J87" s="8" t="str">
        <f>IFERROR(VLOOKUP($G87,今日總結!$A:$AJ,33,0),"")</f>
        <v/>
      </c>
      <c r="K87" s="5" t="str">
        <f>IFERROR(VLOOKUP($G87,今日總結!$A:$AJ,34,0),"")</f>
        <v/>
      </c>
      <c r="L87" s="156" t="str">
        <f>IFERROR(VLOOKUP($G87,今日總結!$A:$AJ,31,0),"")</f>
        <v/>
      </c>
      <c r="M87" s="340" t="str">
        <f>IFERROR(VLOOKUP($G87,今日總結!$A:$AJ,32,0),"")</f>
        <v/>
      </c>
      <c r="N87" s="240" t="str">
        <f t="shared" si="28"/>
        <v/>
      </c>
      <c r="P87" s="365" t="str">
        <f>IFERROR(VLOOKUP($G87,融外自投!$A:$J,7,0),"無")</f>
        <v>無</v>
      </c>
      <c r="Q87" s="79" t="str">
        <f>IFERROR(VLOOKUP($G87,融外自投!$A:$J,9,0),"無")</f>
        <v>無</v>
      </c>
      <c r="R87" s="346" t="str">
        <f>IFERROR(VLOOKUP($G87,融外自投!$A:$J,8,0),"無")</f>
        <v>無</v>
      </c>
      <c r="S87" s="81" t="str">
        <f>IFERROR(VLOOKUP($G87,融外自投!$A:$J,10,0),"無")</f>
        <v>無</v>
      </c>
      <c r="T87" s="327" t="str">
        <f>IFERROR(VLOOKUP($G87,'321買'!$A:$E,5,0),"'沒有資料'")</f>
        <v>'沒有資料'</v>
      </c>
      <c r="U87" s="34">
        <v>0</v>
      </c>
      <c r="W87" s="57">
        <v>0.32</v>
      </c>
      <c r="X87" s="36">
        <f>RTD("money.excel",,"3713","Price")</f>
        <v>32.5</v>
      </c>
      <c r="Y87" s="66">
        <v>46.2</v>
      </c>
      <c r="Z87" s="15">
        <f>X87-Y87</f>
        <v>-13.700000000000003</v>
      </c>
      <c r="AA87" s="3">
        <f>Z87/Y87</f>
        <v>-0.2965367965367966</v>
      </c>
      <c r="AB87" s="99" t="s">
        <v>3352</v>
      </c>
      <c r="AD87" s="16" t="s">
        <v>2058</v>
      </c>
      <c r="AE87" s="84">
        <v>44363</v>
      </c>
      <c r="AG87" s="33"/>
      <c r="AH87" s="41" t="s">
        <v>1122</v>
      </c>
      <c r="AJ87" s="234"/>
    </row>
    <row r="88" spans="1:46" s="248" customFormat="1">
      <c r="A88" s="141"/>
      <c r="B88" s="79"/>
      <c r="C88" s="79"/>
      <c r="D88" s="79"/>
      <c r="E88" s="79"/>
      <c r="F88" s="6"/>
      <c r="G88" s="41"/>
      <c r="H88" s="8"/>
      <c r="I88" s="153"/>
      <c r="J88" s="1"/>
      <c r="K88" s="1"/>
      <c r="L88" s="123"/>
      <c r="M88" s="234"/>
      <c r="N88" s="341"/>
      <c r="O88" s="245"/>
      <c r="P88" s="365"/>
      <c r="Q88" s="47"/>
      <c r="R88" s="346"/>
      <c r="S88" s="303"/>
      <c r="T88" s="322"/>
      <c r="U88" s="185"/>
      <c r="V88" s="311"/>
      <c r="W88" s="94"/>
      <c r="X88" s="165">
        <f>SUM(X86:X87)</f>
        <v>65</v>
      </c>
      <c r="Y88" s="155">
        <f>SUM(Y86:Y87)</f>
        <v>86.95</v>
      </c>
      <c r="Z88" s="162">
        <f>X88-Y88</f>
        <v>-21.950000000000003</v>
      </c>
      <c r="AA88" s="164">
        <f>Z88/Y88</f>
        <v>-0.25244393329499715</v>
      </c>
      <c r="AB88" s="113"/>
      <c r="AC88" s="382"/>
      <c r="AD88" s="153">
        <f>X88*(0.001425*0.5)+X88*0.003+Y88*(0.001425*0.5)</f>
        <v>0.30326437500000003</v>
      </c>
      <c r="AE88" s="6">
        <f>Z88-AD88</f>
        <v>-22.253264375000004</v>
      </c>
      <c r="AF88" s="83"/>
      <c r="AG88" s="33"/>
      <c r="AH88" s="41" t="s">
        <v>1502</v>
      </c>
      <c r="AI88" s="163"/>
    </row>
    <row r="89" spans="1:46">
      <c r="A89" s="142"/>
      <c r="B89" s="92"/>
      <c r="C89" s="92"/>
      <c r="D89" s="79"/>
      <c r="E89" s="92"/>
      <c r="F89" s="6"/>
      <c r="G89" s="56"/>
      <c r="H89" s="30"/>
      <c r="I89" s="16"/>
      <c r="L89" s="123"/>
      <c r="P89" s="365"/>
      <c r="Q89" s="47"/>
      <c r="R89" s="346"/>
      <c r="U89" s="34"/>
      <c r="W89" s="57"/>
      <c r="X89" s="36"/>
      <c r="Y89" s="66"/>
      <c r="Z89" s="15"/>
      <c r="AA89" s="3"/>
      <c r="AB89" s="99"/>
      <c r="AD89" s="16"/>
      <c r="AG89" s="33"/>
      <c r="AH89" s="41"/>
      <c r="AJ89" s="234"/>
    </row>
    <row r="90" spans="1:46">
      <c r="A90" s="142"/>
      <c r="B90" s="79"/>
      <c r="C90" s="79"/>
      <c r="D90" s="79"/>
      <c r="E90" s="80"/>
      <c r="F90" s="6"/>
      <c r="G90" s="41"/>
      <c r="H90" s="5"/>
      <c r="I90" s="16"/>
      <c r="L90" s="123"/>
      <c r="P90" s="365"/>
      <c r="Q90" s="47"/>
      <c r="R90" s="346"/>
      <c r="U90" s="34"/>
      <c r="W90" s="94"/>
      <c r="X90" s="36"/>
      <c r="Y90" s="66"/>
      <c r="Z90" s="15"/>
      <c r="AA90" s="3"/>
      <c r="AB90" s="101"/>
      <c r="AD90" s="16"/>
      <c r="AE90" s="115"/>
      <c r="AG90" s="116"/>
      <c r="AH90" s="24"/>
      <c r="AJ90" s="8"/>
    </row>
    <row r="91" spans="1:46" s="248" customFormat="1">
      <c r="A91" s="127" t="s">
        <v>1673</v>
      </c>
      <c r="B91" s="90" t="s">
        <v>1572</v>
      </c>
      <c r="C91" s="90" t="s">
        <v>1573</v>
      </c>
      <c r="D91" s="90" t="s">
        <v>1574</v>
      </c>
      <c r="E91" s="90" t="s">
        <v>1575</v>
      </c>
      <c r="F91" s="8" t="s">
        <v>1060</v>
      </c>
      <c r="G91" s="26" t="s">
        <v>3442</v>
      </c>
      <c r="H91" s="55" t="s">
        <v>320</v>
      </c>
      <c r="I91" s="1" t="s">
        <v>69</v>
      </c>
      <c r="J91" s="8" t="s">
        <v>6221</v>
      </c>
      <c r="K91" s="5" t="s">
        <v>6222</v>
      </c>
      <c r="L91" s="337" t="s">
        <v>6206</v>
      </c>
      <c r="M91" s="338" t="s">
        <v>6207</v>
      </c>
      <c r="N91" s="339" t="s">
        <v>6208</v>
      </c>
      <c r="O91" s="4" t="s">
        <v>6713</v>
      </c>
      <c r="P91" s="89" t="s">
        <v>6285</v>
      </c>
      <c r="Q91" s="293" t="s">
        <v>6284</v>
      </c>
      <c r="R91" s="354" t="s">
        <v>6283</v>
      </c>
      <c r="S91" s="26" t="s">
        <v>6286</v>
      </c>
      <c r="T91" s="321" t="s">
        <v>4716</v>
      </c>
      <c r="U91" s="14" t="s">
        <v>66</v>
      </c>
      <c r="V91" s="308" t="s">
        <v>4731</v>
      </c>
      <c r="W91" s="68" t="s">
        <v>3273</v>
      </c>
      <c r="X91" s="28" t="s">
        <v>2</v>
      </c>
      <c r="Y91" s="17" t="s">
        <v>1399</v>
      </c>
      <c r="Z91" s="14" t="s">
        <v>2250</v>
      </c>
      <c r="AA91" s="21" t="s">
        <v>1470</v>
      </c>
      <c r="AB91" s="51" t="s">
        <v>6174</v>
      </c>
      <c r="AC91" s="102" t="s">
        <v>6420</v>
      </c>
      <c r="AD91" s="1" t="s">
        <v>69</v>
      </c>
      <c r="AE91" s="71" t="s">
        <v>1400</v>
      </c>
      <c r="AF91" s="72" t="s">
        <v>1157</v>
      </c>
      <c r="AG91" s="32" t="s">
        <v>1158</v>
      </c>
      <c r="AH91" s="138"/>
      <c r="AI91" s="163"/>
    </row>
    <row r="92" spans="1:46" s="171" customFormat="1" ht="17.100000000000001" customHeight="1">
      <c r="A92" s="142">
        <v>5.0599999999999996</v>
      </c>
      <c r="B92" s="79">
        <v>11</v>
      </c>
      <c r="C92" s="79">
        <v>23</v>
      </c>
      <c r="D92" s="80">
        <v>-20</v>
      </c>
      <c r="E92" s="80">
        <v>-15</v>
      </c>
      <c r="F92" s="6">
        <v>-10.76</v>
      </c>
      <c r="G92" s="80">
        <v>4432</v>
      </c>
      <c r="H92" s="50" t="s">
        <v>1404</v>
      </c>
      <c r="I92" s="166" t="s">
        <v>206</v>
      </c>
      <c r="J92" s="8" t="str">
        <f>IFERROR(VLOOKUP($G92,今日總結!$A:$AJ,33,0),"")</f>
        <v/>
      </c>
      <c r="K92" s="5" t="str">
        <f>IFERROR(VLOOKUP($G92,今日總結!$A:$AJ,34,0),"")</f>
        <v/>
      </c>
      <c r="L92" s="156" t="str">
        <f>IFERROR(VLOOKUP($G92,今日總結!$A:$AJ,31,0),"")</f>
        <v/>
      </c>
      <c r="M92" s="340" t="str">
        <f>IFERROR(VLOOKUP($G92,今日總結!$A:$AJ,32,0),"")</f>
        <v/>
      </c>
      <c r="N92" s="240" t="str">
        <f t="shared" ref="N92" si="29">IFERROR(L92-M92,"")</f>
        <v/>
      </c>
      <c r="O92" s="245"/>
      <c r="P92" s="365">
        <f>IFERROR(VLOOKUP($G92,融外自投!$A:$J,7,0),"無")</f>
        <v>749</v>
      </c>
      <c r="Q92" s="79">
        <f>IFERROR(VLOOKUP($G92,融外自投!$A:$J,9,0),"無")</f>
        <v>302</v>
      </c>
      <c r="R92" s="346">
        <f>IFERROR(VLOOKUP($G92,融外自投!$A:$J,8,0),"無")</f>
        <v>1369</v>
      </c>
      <c r="S92" s="81" t="str">
        <f>IFERROR(VLOOKUP($G92,融外自投!$A:$J,10,0),"無")</f>
        <v>無</v>
      </c>
      <c r="T92" s="327">
        <f>IFERROR(VLOOKUP($G92,'321買'!$A:$E,5,0),"'沒有資料'")</f>
        <v>1085</v>
      </c>
      <c r="U92" s="185">
        <v>0</v>
      </c>
      <c r="V92" s="311"/>
      <c r="W92" s="94">
        <v>-0.1</v>
      </c>
      <c r="X92" s="165">
        <f>RTD("money.excel",,"4432","Price")</f>
        <v>14.2</v>
      </c>
      <c r="Y92" s="65">
        <v>17.95</v>
      </c>
      <c r="Z92" s="162">
        <f t="shared" ref="Z92:Z99" si="30">X92-Y92</f>
        <v>-3.75</v>
      </c>
      <c r="AA92" s="164">
        <f t="shared" ref="AA92:AA100" si="31">Z92/Y92</f>
        <v>-0.20891364902506965</v>
      </c>
      <c r="AB92" s="113" t="s">
        <v>3196</v>
      </c>
      <c r="AC92" s="382"/>
      <c r="AD92" s="166" t="s">
        <v>206</v>
      </c>
      <c r="AE92" s="84">
        <v>44314</v>
      </c>
      <c r="AF92" s="83"/>
      <c r="AG92" s="33">
        <f t="shared" ref="AG92:AG99" si="32">AF92-AE92</f>
        <v>-44314</v>
      </c>
      <c r="AH92" s="127" t="s">
        <v>1122</v>
      </c>
      <c r="AI92" s="27"/>
      <c r="AJ92" s="17"/>
      <c r="AK92" s="11"/>
      <c r="AL92" s="11"/>
      <c r="AM92" s="11"/>
      <c r="AN92" s="11"/>
      <c r="AO92" s="248"/>
      <c r="AP92" s="248"/>
      <c r="AR92" s="4"/>
      <c r="AS92" s="248"/>
      <c r="AT92" s="248"/>
    </row>
    <row r="93" spans="1:46" s="171" customFormat="1" ht="17.100000000000001" customHeight="1">
      <c r="A93" s="142">
        <v>5.0599999999999996</v>
      </c>
      <c r="B93" s="79">
        <v>11</v>
      </c>
      <c r="C93" s="79">
        <v>23</v>
      </c>
      <c r="D93" s="80">
        <v>-20</v>
      </c>
      <c r="E93" s="80">
        <v>-15</v>
      </c>
      <c r="F93" s="6">
        <v>-10.76</v>
      </c>
      <c r="G93" s="80">
        <v>4432</v>
      </c>
      <c r="H93" s="50" t="s">
        <v>1404</v>
      </c>
      <c r="I93" s="166" t="s">
        <v>206</v>
      </c>
      <c r="J93" s="8" t="str">
        <f>IFERROR(VLOOKUP($G93,今日總結!$A:$AJ,33,0),"")</f>
        <v/>
      </c>
      <c r="K93" s="5" t="str">
        <f>IFERROR(VLOOKUP($G93,今日總結!$A:$AJ,34,0),"")</f>
        <v/>
      </c>
      <c r="L93" s="156" t="str">
        <f>IFERROR(VLOOKUP($G93,今日總結!$A:$AJ,31,0),"")</f>
        <v/>
      </c>
      <c r="M93" s="340" t="str">
        <f>IFERROR(VLOOKUP($G93,今日總結!$A:$AJ,32,0),"")</f>
        <v/>
      </c>
      <c r="N93" s="240" t="str">
        <f t="shared" ref="N93:N99" si="33">IFERROR(L93-M93,"")</f>
        <v/>
      </c>
      <c r="O93" s="245"/>
      <c r="P93" s="365">
        <f>IFERROR(VLOOKUP($G93,融外自投!$A:$J,7,0),"無")</f>
        <v>749</v>
      </c>
      <c r="Q93" s="79">
        <f>IFERROR(VLOOKUP($G93,融外自投!$A:$J,9,0),"無")</f>
        <v>302</v>
      </c>
      <c r="R93" s="346">
        <f>IFERROR(VLOOKUP($G93,融外自投!$A:$J,8,0),"無")</f>
        <v>1369</v>
      </c>
      <c r="S93" s="81" t="str">
        <f>IFERROR(VLOOKUP($G93,融外自投!$A:$J,10,0),"無")</f>
        <v>無</v>
      </c>
      <c r="T93" s="327">
        <f>IFERROR(VLOOKUP($G93,'321買'!$A:$E,5,0),"'沒有資料'")</f>
        <v>1085</v>
      </c>
      <c r="U93" s="185">
        <v>0</v>
      </c>
      <c r="V93" s="311"/>
      <c r="W93" s="94">
        <v>-0.1</v>
      </c>
      <c r="X93" s="165">
        <f>RTD("money.excel",,"4432","Price")</f>
        <v>14.2</v>
      </c>
      <c r="Y93" s="65">
        <v>17.899999999999999</v>
      </c>
      <c r="Z93" s="162">
        <f t="shared" si="30"/>
        <v>-3.6999999999999993</v>
      </c>
      <c r="AA93" s="164">
        <f t="shared" si="31"/>
        <v>-0.20670391061452512</v>
      </c>
      <c r="AB93" s="113" t="s">
        <v>3196</v>
      </c>
      <c r="AC93" s="382"/>
      <c r="AD93" s="166" t="s">
        <v>206</v>
      </c>
      <c r="AE93" s="84">
        <v>44313</v>
      </c>
      <c r="AF93" s="83"/>
      <c r="AG93" s="33">
        <f t="shared" si="32"/>
        <v>-44313</v>
      </c>
      <c r="AH93" s="127" t="s">
        <v>1122</v>
      </c>
      <c r="AI93" s="27"/>
      <c r="AJ93" s="17"/>
      <c r="AK93" s="11"/>
      <c r="AL93" s="11"/>
      <c r="AM93" s="11"/>
      <c r="AN93" s="11"/>
      <c r="AO93" s="248"/>
      <c r="AP93" s="248"/>
      <c r="AR93" s="4"/>
      <c r="AS93" s="248"/>
      <c r="AT93" s="248"/>
    </row>
    <row r="94" spans="1:46" s="171" customFormat="1" ht="17.100000000000001" customHeight="1">
      <c r="A94" s="142">
        <v>5.0599999999999996</v>
      </c>
      <c r="B94" s="79">
        <v>11</v>
      </c>
      <c r="C94" s="79">
        <v>23</v>
      </c>
      <c r="D94" s="80">
        <v>-20</v>
      </c>
      <c r="E94" s="80">
        <v>-15</v>
      </c>
      <c r="F94" s="6">
        <v>-10.76</v>
      </c>
      <c r="G94" s="80">
        <v>4432</v>
      </c>
      <c r="H94" s="50" t="s">
        <v>1404</v>
      </c>
      <c r="I94" s="166" t="s">
        <v>206</v>
      </c>
      <c r="J94" s="8" t="str">
        <f>IFERROR(VLOOKUP($G94,今日總結!$A:$AJ,33,0),"")</f>
        <v/>
      </c>
      <c r="K94" s="5" t="str">
        <f>IFERROR(VLOOKUP($G94,今日總結!$A:$AJ,34,0),"")</f>
        <v/>
      </c>
      <c r="L94" s="156" t="str">
        <f>IFERROR(VLOOKUP($G94,今日總結!$A:$AJ,31,0),"")</f>
        <v/>
      </c>
      <c r="M94" s="340" t="str">
        <f>IFERROR(VLOOKUP($G94,今日總結!$A:$AJ,32,0),"")</f>
        <v/>
      </c>
      <c r="N94" s="240" t="str">
        <f t="shared" si="33"/>
        <v/>
      </c>
      <c r="O94" s="245"/>
      <c r="P94" s="365">
        <f>IFERROR(VLOOKUP($G94,融外自投!$A:$J,7,0),"無")</f>
        <v>749</v>
      </c>
      <c r="Q94" s="79">
        <f>IFERROR(VLOOKUP($G94,融外自投!$A:$J,9,0),"無")</f>
        <v>302</v>
      </c>
      <c r="R94" s="346">
        <f>IFERROR(VLOOKUP($G94,融外自投!$A:$J,8,0),"無")</f>
        <v>1369</v>
      </c>
      <c r="S94" s="81" t="str">
        <f>IFERROR(VLOOKUP($G94,融外自投!$A:$J,10,0),"無")</f>
        <v>無</v>
      </c>
      <c r="T94" s="327">
        <f>IFERROR(VLOOKUP($G94,'321買'!$A:$E,5,0),"'沒有資料'")</f>
        <v>1085</v>
      </c>
      <c r="U94" s="185">
        <v>0</v>
      </c>
      <c r="V94" s="311"/>
      <c r="W94" s="94">
        <v>-0.1</v>
      </c>
      <c r="X94" s="165">
        <f>RTD("money.excel",,"4432","Price")</f>
        <v>14.2</v>
      </c>
      <c r="Y94" s="65">
        <v>18.05</v>
      </c>
      <c r="Z94" s="162">
        <f t="shared" si="30"/>
        <v>-3.8500000000000014</v>
      </c>
      <c r="AA94" s="164">
        <f t="shared" si="31"/>
        <v>-0.21329639889196683</v>
      </c>
      <c r="AB94" s="113" t="s">
        <v>3196</v>
      </c>
      <c r="AC94" s="382"/>
      <c r="AD94" s="166" t="s">
        <v>206</v>
      </c>
      <c r="AE94" s="84">
        <v>44312</v>
      </c>
      <c r="AF94" s="83"/>
      <c r="AG94" s="33">
        <f t="shared" si="32"/>
        <v>-44312</v>
      </c>
      <c r="AH94" s="127" t="s">
        <v>1122</v>
      </c>
      <c r="AI94" s="27"/>
      <c r="AJ94" s="17"/>
      <c r="AK94" s="11"/>
      <c r="AL94" s="11"/>
      <c r="AM94" s="11"/>
      <c r="AN94" s="11"/>
      <c r="AO94" s="248"/>
      <c r="AP94" s="248"/>
      <c r="AR94" s="4"/>
      <c r="AS94" s="248"/>
      <c r="AT94" s="248"/>
    </row>
    <row r="95" spans="1:46" s="171" customFormat="1" ht="17.100000000000001" customHeight="1">
      <c r="A95" s="142">
        <v>5.0599999999999996</v>
      </c>
      <c r="B95" s="79">
        <v>11</v>
      </c>
      <c r="C95" s="79">
        <v>23</v>
      </c>
      <c r="D95" s="80">
        <v>-20</v>
      </c>
      <c r="E95" s="80">
        <v>-15</v>
      </c>
      <c r="F95" s="6">
        <v>-10.76</v>
      </c>
      <c r="G95" s="80">
        <v>4432</v>
      </c>
      <c r="H95" s="50" t="s">
        <v>1404</v>
      </c>
      <c r="I95" s="166" t="s">
        <v>206</v>
      </c>
      <c r="J95" s="8" t="str">
        <f>IFERROR(VLOOKUP($G95,今日總結!$A:$AJ,33,0),"")</f>
        <v/>
      </c>
      <c r="K95" s="5" t="str">
        <f>IFERROR(VLOOKUP($G95,今日總結!$A:$AJ,34,0),"")</f>
        <v/>
      </c>
      <c r="L95" s="156" t="str">
        <f>IFERROR(VLOOKUP($G95,今日總結!$A:$AJ,31,0),"")</f>
        <v/>
      </c>
      <c r="M95" s="340" t="str">
        <f>IFERROR(VLOOKUP($G95,今日總結!$A:$AJ,32,0),"")</f>
        <v/>
      </c>
      <c r="N95" s="240" t="str">
        <f t="shared" si="33"/>
        <v/>
      </c>
      <c r="O95" s="245"/>
      <c r="P95" s="365">
        <f>IFERROR(VLOOKUP($G95,融外自投!$A:$J,7,0),"無")</f>
        <v>749</v>
      </c>
      <c r="Q95" s="79">
        <f>IFERROR(VLOOKUP($G95,融外自投!$A:$J,9,0),"無")</f>
        <v>302</v>
      </c>
      <c r="R95" s="346">
        <f>IFERROR(VLOOKUP($G95,融外自投!$A:$J,8,0),"無")</f>
        <v>1369</v>
      </c>
      <c r="S95" s="81" t="str">
        <f>IFERROR(VLOOKUP($G95,融外自投!$A:$J,10,0),"無")</f>
        <v>無</v>
      </c>
      <c r="T95" s="327">
        <f>IFERROR(VLOOKUP($G95,'321買'!$A:$E,5,0),"'沒有資料'")</f>
        <v>1085</v>
      </c>
      <c r="U95" s="185">
        <v>0</v>
      </c>
      <c r="V95" s="311"/>
      <c r="W95" s="94">
        <v>-0.1</v>
      </c>
      <c r="X95" s="165">
        <f>RTD("money.excel",,"4432","Price")</f>
        <v>14.2</v>
      </c>
      <c r="Y95" s="65">
        <v>18.149999999999999</v>
      </c>
      <c r="Z95" s="162">
        <f t="shared" si="30"/>
        <v>-3.9499999999999993</v>
      </c>
      <c r="AA95" s="164">
        <f t="shared" si="31"/>
        <v>-0.21763085399449034</v>
      </c>
      <c r="AB95" s="113" t="s">
        <v>3196</v>
      </c>
      <c r="AC95" s="382"/>
      <c r="AD95" s="166" t="s">
        <v>206</v>
      </c>
      <c r="AE95" s="84">
        <v>44312</v>
      </c>
      <c r="AF95" s="83"/>
      <c r="AG95" s="33">
        <f t="shared" si="32"/>
        <v>-44312</v>
      </c>
      <c r="AH95" s="127" t="s">
        <v>1122</v>
      </c>
      <c r="AI95" s="27"/>
      <c r="AJ95" s="17"/>
      <c r="AK95" s="11"/>
      <c r="AL95" s="11"/>
      <c r="AM95" s="11"/>
      <c r="AN95" s="11"/>
      <c r="AO95" s="248"/>
      <c r="AP95" s="248"/>
      <c r="AR95" s="4"/>
      <c r="AS95" s="248"/>
      <c r="AT95" s="248"/>
    </row>
    <row r="96" spans="1:46" s="171" customFormat="1" ht="17.100000000000001" customHeight="1">
      <c r="A96" s="142">
        <v>5.0599999999999996</v>
      </c>
      <c r="B96" s="79">
        <v>11</v>
      </c>
      <c r="C96" s="79">
        <v>23</v>
      </c>
      <c r="D96" s="80">
        <v>-20</v>
      </c>
      <c r="E96" s="80">
        <v>-15</v>
      </c>
      <c r="F96" s="6">
        <v>-10.76</v>
      </c>
      <c r="G96" s="80">
        <v>4432</v>
      </c>
      <c r="H96" s="50" t="s">
        <v>1404</v>
      </c>
      <c r="I96" s="166" t="s">
        <v>206</v>
      </c>
      <c r="J96" s="8" t="str">
        <f>IFERROR(VLOOKUP($G96,今日總結!$A:$AJ,33,0),"")</f>
        <v/>
      </c>
      <c r="K96" s="5" t="str">
        <f>IFERROR(VLOOKUP($G96,今日總結!$A:$AJ,34,0),"")</f>
        <v/>
      </c>
      <c r="L96" s="156" t="str">
        <f>IFERROR(VLOOKUP($G96,今日總結!$A:$AJ,31,0),"")</f>
        <v/>
      </c>
      <c r="M96" s="340" t="str">
        <f>IFERROR(VLOOKUP($G96,今日總結!$A:$AJ,32,0),"")</f>
        <v/>
      </c>
      <c r="N96" s="240" t="str">
        <f t="shared" si="33"/>
        <v/>
      </c>
      <c r="O96" s="245"/>
      <c r="P96" s="365">
        <f>IFERROR(VLOOKUP($G96,融外自投!$A:$J,7,0),"無")</f>
        <v>749</v>
      </c>
      <c r="Q96" s="79">
        <f>IFERROR(VLOOKUP($G96,融外自投!$A:$J,9,0),"無")</f>
        <v>302</v>
      </c>
      <c r="R96" s="346">
        <f>IFERROR(VLOOKUP($G96,融外自投!$A:$J,8,0),"無")</f>
        <v>1369</v>
      </c>
      <c r="S96" s="81" t="str">
        <f>IFERROR(VLOOKUP($G96,融外自投!$A:$J,10,0),"無")</f>
        <v>無</v>
      </c>
      <c r="T96" s="327">
        <f>IFERROR(VLOOKUP($G96,'321買'!$A:$E,5,0),"'沒有資料'")</f>
        <v>1085</v>
      </c>
      <c r="U96" s="185">
        <v>0</v>
      </c>
      <c r="V96" s="311"/>
      <c r="W96" s="94">
        <v>-0.1</v>
      </c>
      <c r="X96" s="165">
        <f>RTD("money.excel",,"4432","Price")</f>
        <v>14.2</v>
      </c>
      <c r="Y96" s="65">
        <f>46.16-2.4-0.93-1.16</f>
        <v>41.67</v>
      </c>
      <c r="Z96" s="162">
        <f t="shared" si="30"/>
        <v>-27.470000000000002</v>
      </c>
      <c r="AA96" s="164">
        <f t="shared" si="31"/>
        <v>-0.65922726181905456</v>
      </c>
      <c r="AB96" s="113" t="s">
        <v>3196</v>
      </c>
      <c r="AC96" s="382"/>
      <c r="AD96" s="166" t="s">
        <v>206</v>
      </c>
      <c r="AE96" s="84">
        <v>42780</v>
      </c>
      <c r="AF96" s="83"/>
      <c r="AG96" s="33">
        <f t="shared" si="32"/>
        <v>-42780</v>
      </c>
      <c r="AH96" s="127" t="s">
        <v>1122</v>
      </c>
      <c r="AI96" s="27"/>
      <c r="AJ96" s="17"/>
      <c r="AK96" s="11"/>
      <c r="AL96" s="11"/>
      <c r="AM96" s="11"/>
      <c r="AN96" s="11"/>
      <c r="AO96" s="248"/>
      <c r="AP96" s="248"/>
      <c r="AR96" s="4"/>
      <c r="AS96" s="248"/>
      <c r="AT96" s="248"/>
    </row>
    <row r="97" spans="1:46" s="171" customFormat="1" ht="17.100000000000001" customHeight="1">
      <c r="A97" s="142">
        <v>5.0599999999999996</v>
      </c>
      <c r="B97" s="79">
        <v>11</v>
      </c>
      <c r="C97" s="79">
        <v>23</v>
      </c>
      <c r="D97" s="80">
        <v>-20</v>
      </c>
      <c r="E97" s="80">
        <v>-15</v>
      </c>
      <c r="F97" s="6">
        <v>-10.76</v>
      </c>
      <c r="G97" s="80">
        <v>4432</v>
      </c>
      <c r="H97" s="50" t="s">
        <v>1404</v>
      </c>
      <c r="I97" s="166" t="s">
        <v>206</v>
      </c>
      <c r="J97" s="8" t="str">
        <f>IFERROR(VLOOKUP($G97,今日總結!$A:$AJ,33,0),"")</f>
        <v/>
      </c>
      <c r="K97" s="5" t="str">
        <f>IFERROR(VLOOKUP($G97,今日總結!$A:$AJ,34,0),"")</f>
        <v/>
      </c>
      <c r="L97" s="156" t="str">
        <f>IFERROR(VLOOKUP($G97,今日總結!$A:$AJ,31,0),"")</f>
        <v/>
      </c>
      <c r="M97" s="340" t="str">
        <f>IFERROR(VLOOKUP($G97,今日總結!$A:$AJ,32,0),"")</f>
        <v/>
      </c>
      <c r="N97" s="240" t="str">
        <f t="shared" si="33"/>
        <v/>
      </c>
      <c r="O97" s="245"/>
      <c r="P97" s="365">
        <f>IFERROR(VLOOKUP($G97,融外自投!$A:$J,7,0),"無")</f>
        <v>749</v>
      </c>
      <c r="Q97" s="79">
        <f>IFERROR(VLOOKUP($G97,融外自投!$A:$J,9,0),"無")</f>
        <v>302</v>
      </c>
      <c r="R97" s="346">
        <f>IFERROR(VLOOKUP($G97,融外自投!$A:$J,8,0),"無")</f>
        <v>1369</v>
      </c>
      <c r="S97" s="81" t="str">
        <f>IFERROR(VLOOKUP($G97,融外自投!$A:$J,10,0),"無")</f>
        <v>無</v>
      </c>
      <c r="T97" s="327">
        <f>IFERROR(VLOOKUP($G97,'321買'!$A:$E,5,0),"'沒有資料'")</f>
        <v>1085</v>
      </c>
      <c r="U97" s="185">
        <v>0</v>
      </c>
      <c r="V97" s="311"/>
      <c r="W97" s="94">
        <v>-0.1</v>
      </c>
      <c r="X97" s="165">
        <f>RTD("money.excel",,"4432","Price")</f>
        <v>14.2</v>
      </c>
      <c r="Y97" s="65">
        <f>32.69-0.93-1.16</f>
        <v>30.599999999999998</v>
      </c>
      <c r="Z97" s="162">
        <f t="shared" si="30"/>
        <v>-16.399999999999999</v>
      </c>
      <c r="AA97" s="164">
        <f t="shared" si="31"/>
        <v>-0.53594771241830064</v>
      </c>
      <c r="AB97" s="113" t="s">
        <v>3197</v>
      </c>
      <c r="AC97" s="382"/>
      <c r="AD97" s="166" t="s">
        <v>206</v>
      </c>
      <c r="AE97" s="84">
        <v>43206</v>
      </c>
      <c r="AF97" s="83"/>
      <c r="AG97" s="33">
        <f t="shared" si="32"/>
        <v>-43206</v>
      </c>
      <c r="AH97" s="127" t="s">
        <v>1122</v>
      </c>
      <c r="AI97" s="27"/>
      <c r="AJ97" s="17"/>
      <c r="AK97" s="11"/>
      <c r="AL97" s="11"/>
      <c r="AM97" s="11"/>
      <c r="AN97" s="11"/>
      <c r="AO97" s="248"/>
      <c r="AP97" s="248"/>
      <c r="AR97" s="4"/>
      <c r="AS97" s="248"/>
      <c r="AT97" s="248"/>
    </row>
    <row r="98" spans="1:46" s="248" customFormat="1" ht="16.5" customHeight="1">
      <c r="A98" s="142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1404</v>
      </c>
      <c r="I98" s="166" t="s">
        <v>206</v>
      </c>
      <c r="J98" s="8" t="str">
        <f>IFERROR(VLOOKUP($G98,今日總結!$A:$AJ,33,0),"")</f>
        <v/>
      </c>
      <c r="K98" s="5" t="str">
        <f>IFERROR(VLOOKUP($G98,今日總結!$A:$AJ,34,0),"")</f>
        <v/>
      </c>
      <c r="L98" s="156" t="str">
        <f>IFERROR(VLOOKUP($G98,今日總結!$A:$AJ,31,0),"")</f>
        <v/>
      </c>
      <c r="M98" s="340" t="str">
        <f>IFERROR(VLOOKUP($G98,今日總結!$A:$AJ,32,0),"")</f>
        <v/>
      </c>
      <c r="N98" s="240" t="str">
        <f t="shared" si="33"/>
        <v/>
      </c>
      <c r="O98" s="245"/>
      <c r="P98" s="365">
        <f>IFERROR(VLOOKUP($G98,融外自投!$A:$J,7,0),"無")</f>
        <v>749</v>
      </c>
      <c r="Q98" s="79">
        <f>IFERROR(VLOOKUP($G98,融外自投!$A:$J,9,0),"無")</f>
        <v>302</v>
      </c>
      <c r="R98" s="346">
        <f>IFERROR(VLOOKUP($G98,融外自投!$A:$J,8,0),"無")</f>
        <v>1369</v>
      </c>
      <c r="S98" s="81" t="str">
        <f>IFERROR(VLOOKUP($G98,融外自投!$A:$J,10,0),"無")</f>
        <v>無</v>
      </c>
      <c r="T98" s="327">
        <f>IFERROR(VLOOKUP($G98,'321買'!$A:$E,5,0),"'沒有資料'")</f>
        <v>1085</v>
      </c>
      <c r="U98" s="185">
        <v>0</v>
      </c>
      <c r="V98" s="311"/>
      <c r="W98" s="94">
        <v>-0.1</v>
      </c>
      <c r="X98" s="161">
        <f>RTD("money.excel",,"4432","Price")</f>
        <v>14.2</v>
      </c>
      <c r="Y98" s="65">
        <v>23.55</v>
      </c>
      <c r="Z98" s="162">
        <f t="shared" si="30"/>
        <v>-9.3500000000000014</v>
      </c>
      <c r="AA98" s="164">
        <f t="shared" si="31"/>
        <v>-0.39702760084925692</v>
      </c>
      <c r="AB98" s="112" t="s">
        <v>3198</v>
      </c>
      <c r="AC98" s="382"/>
      <c r="AD98" s="166" t="s">
        <v>206</v>
      </c>
      <c r="AE98" s="84">
        <v>43741</v>
      </c>
      <c r="AF98" s="83"/>
      <c r="AG98" s="33">
        <f t="shared" si="32"/>
        <v>-43741</v>
      </c>
      <c r="AH98" s="127" t="s">
        <v>1122</v>
      </c>
    </row>
    <row r="99" spans="1:46" s="248" customFormat="1" ht="16.5" customHeight="1">
      <c r="A99" s="142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1404</v>
      </c>
      <c r="I99" s="166" t="s">
        <v>206</v>
      </c>
      <c r="J99" s="8" t="str">
        <f>IFERROR(VLOOKUP($G99,今日總結!$A:$AJ,33,0),"")</f>
        <v/>
      </c>
      <c r="K99" s="5" t="str">
        <f>IFERROR(VLOOKUP($G99,今日總結!$A:$AJ,34,0),"")</f>
        <v/>
      </c>
      <c r="L99" s="156" t="str">
        <f>IFERROR(VLOOKUP($G99,今日總結!$A:$AJ,31,0),"")</f>
        <v/>
      </c>
      <c r="M99" s="340" t="str">
        <f>IFERROR(VLOOKUP($G99,今日總結!$A:$AJ,32,0),"")</f>
        <v/>
      </c>
      <c r="N99" s="240" t="str">
        <f t="shared" si="33"/>
        <v/>
      </c>
      <c r="O99" s="245"/>
      <c r="P99" s="365">
        <f>IFERROR(VLOOKUP($G99,融外自投!$A:$J,7,0),"無")</f>
        <v>749</v>
      </c>
      <c r="Q99" s="79">
        <f>IFERROR(VLOOKUP($G99,融外自投!$A:$J,9,0),"無")</f>
        <v>302</v>
      </c>
      <c r="R99" s="346">
        <f>IFERROR(VLOOKUP($G99,融外自投!$A:$J,8,0),"無")</f>
        <v>1369</v>
      </c>
      <c r="S99" s="81" t="str">
        <f>IFERROR(VLOOKUP($G99,融外自投!$A:$J,10,0),"無")</f>
        <v>無</v>
      </c>
      <c r="T99" s="327">
        <f>IFERROR(VLOOKUP($G99,'321買'!$A:$E,5,0),"'沒有資料'")</f>
        <v>1085</v>
      </c>
      <c r="U99" s="185">
        <v>0</v>
      </c>
      <c r="V99" s="311"/>
      <c r="W99" s="94">
        <v>-0.1</v>
      </c>
      <c r="X99" s="161">
        <f>RTD("money.excel",,"4432","Price")</f>
        <v>14.2</v>
      </c>
      <c r="Y99" s="65">
        <v>22.35</v>
      </c>
      <c r="Z99" s="162">
        <f t="shared" si="30"/>
        <v>-8.1500000000000021</v>
      </c>
      <c r="AA99" s="164">
        <f t="shared" si="31"/>
        <v>-0.36465324384787479</v>
      </c>
      <c r="AB99" s="112" t="s">
        <v>3199</v>
      </c>
      <c r="AC99" s="382"/>
      <c r="AD99" s="166" t="s">
        <v>206</v>
      </c>
      <c r="AE99" s="84">
        <v>43712</v>
      </c>
      <c r="AF99" s="83"/>
      <c r="AG99" s="33">
        <f t="shared" si="32"/>
        <v>-43712</v>
      </c>
      <c r="AH99" s="127" t="s">
        <v>1122</v>
      </c>
    </row>
    <row r="100" spans="1:46" s="248" customFormat="1">
      <c r="A100" s="141"/>
      <c r="B100" s="79"/>
      <c r="C100" s="80"/>
      <c r="D100" s="79"/>
      <c r="E100" s="80"/>
      <c r="F100" s="6"/>
      <c r="G100" s="41"/>
      <c r="H100" s="50"/>
      <c r="I100" s="166"/>
      <c r="J100" s="1"/>
      <c r="K100" s="1"/>
      <c r="L100" s="123"/>
      <c r="M100" s="234"/>
      <c r="N100" s="341"/>
      <c r="O100" s="245"/>
      <c r="P100" s="365"/>
      <c r="Q100" s="47"/>
      <c r="R100" s="346"/>
      <c r="S100" s="303"/>
      <c r="T100" s="322"/>
      <c r="U100" s="185"/>
      <c r="V100" s="311"/>
      <c r="W100" s="94"/>
      <c r="X100" s="165">
        <f>SUM(X92:X99)</f>
        <v>113.60000000000001</v>
      </c>
      <c r="Y100" s="155">
        <f>SUM(Y92:Y99)</f>
        <v>190.22</v>
      </c>
      <c r="Z100" s="162">
        <f>X100-Y100</f>
        <v>-76.61999999999999</v>
      </c>
      <c r="AA100" s="164">
        <f t="shared" si="31"/>
        <v>-0.40279676164441169</v>
      </c>
      <c r="AB100" s="113"/>
      <c r="AC100" s="382"/>
      <c r="AD100" s="153">
        <f>X100*(0.001425*0.5)+X100*0.003+Y100*(0.001425*0.5)</f>
        <v>0.55727175000000007</v>
      </c>
      <c r="AE100" s="6">
        <f>Z100-AD100</f>
        <v>-77.177271749999989</v>
      </c>
      <c r="AF100" s="83"/>
      <c r="AG100" s="33"/>
      <c r="AH100" s="127" t="s">
        <v>1681</v>
      </c>
      <c r="AI100" s="163"/>
    </row>
    <row r="101" spans="1:46" s="248" customFormat="1">
      <c r="A101" s="141"/>
      <c r="B101" s="79"/>
      <c r="C101" s="79"/>
      <c r="D101" s="79"/>
      <c r="E101" s="79"/>
      <c r="F101" s="6"/>
      <c r="G101" s="41"/>
      <c r="H101" s="8"/>
      <c r="I101" s="153"/>
      <c r="J101" s="1"/>
      <c r="K101" s="1"/>
      <c r="L101" s="123"/>
      <c r="M101" s="234"/>
      <c r="N101" s="341"/>
      <c r="O101" s="245"/>
      <c r="P101" s="365"/>
      <c r="Q101" s="47"/>
      <c r="R101" s="346"/>
      <c r="S101" s="303"/>
      <c r="T101" s="322"/>
      <c r="U101" s="185"/>
      <c r="V101" s="311"/>
      <c r="W101" s="94"/>
      <c r="X101" s="165"/>
      <c r="Y101" s="155"/>
      <c r="Z101" s="162"/>
      <c r="AA101" s="164"/>
      <c r="AB101" s="113"/>
      <c r="AC101" s="382"/>
      <c r="AD101" s="153"/>
      <c r="AE101" s="6"/>
      <c r="AF101" s="83"/>
      <c r="AG101" s="33"/>
      <c r="AH101" s="41"/>
      <c r="AI101" s="163"/>
    </row>
    <row r="102" spans="1:46" s="248" customFormat="1" ht="17.25" customHeight="1">
      <c r="A102" s="127" t="s">
        <v>1673</v>
      </c>
      <c r="B102" s="90" t="s">
        <v>1572</v>
      </c>
      <c r="C102" s="90" t="s">
        <v>1573</v>
      </c>
      <c r="D102" s="90" t="s">
        <v>1574</v>
      </c>
      <c r="E102" s="90" t="s">
        <v>1575</v>
      </c>
      <c r="F102" s="8" t="s">
        <v>1060</v>
      </c>
      <c r="G102" s="26" t="s">
        <v>3442</v>
      </c>
      <c r="H102" s="55" t="s">
        <v>320</v>
      </c>
      <c r="I102" s="1" t="s">
        <v>2249</v>
      </c>
      <c r="J102" s="8" t="s">
        <v>6221</v>
      </c>
      <c r="K102" s="5" t="s">
        <v>6222</v>
      </c>
      <c r="L102" s="337" t="s">
        <v>6206</v>
      </c>
      <c r="M102" s="338" t="s">
        <v>6207</v>
      </c>
      <c r="N102" s="339" t="s">
        <v>6208</v>
      </c>
      <c r="O102" s="4" t="s">
        <v>6713</v>
      </c>
      <c r="P102" s="89" t="s">
        <v>6285</v>
      </c>
      <c r="Q102" s="293" t="s">
        <v>6284</v>
      </c>
      <c r="R102" s="354" t="s">
        <v>6283</v>
      </c>
      <c r="S102" s="26" t="s">
        <v>6286</v>
      </c>
      <c r="T102" s="321" t="s">
        <v>4716</v>
      </c>
      <c r="U102" s="14" t="s">
        <v>66</v>
      </c>
      <c r="V102" s="308" t="s">
        <v>4731</v>
      </c>
      <c r="W102" s="68" t="s">
        <v>3273</v>
      </c>
      <c r="X102" s="28" t="s">
        <v>2</v>
      </c>
      <c r="Y102" s="17" t="s">
        <v>1399</v>
      </c>
      <c r="Z102" s="14" t="s">
        <v>2250</v>
      </c>
      <c r="AA102" s="21" t="s">
        <v>1470</v>
      </c>
      <c r="AB102" s="51" t="s">
        <v>6174</v>
      </c>
      <c r="AC102" s="102" t="s">
        <v>6420</v>
      </c>
      <c r="AD102" s="1" t="s">
        <v>2249</v>
      </c>
      <c r="AE102" s="71" t="s">
        <v>1400</v>
      </c>
      <c r="AF102" s="72" t="s">
        <v>1157</v>
      </c>
      <c r="AG102" s="32" t="s">
        <v>1158</v>
      </c>
      <c r="AH102" s="138"/>
      <c r="AI102" s="163"/>
    </row>
    <row r="103" spans="1:46">
      <c r="A103" s="142" t="s">
        <v>1968</v>
      </c>
      <c r="B103" s="79">
        <v>348</v>
      </c>
      <c r="C103" s="79">
        <v>679</v>
      </c>
      <c r="D103" s="80">
        <v>-3</v>
      </c>
      <c r="E103" s="79">
        <v>4</v>
      </c>
      <c r="F103" s="6">
        <v>5.76</v>
      </c>
      <c r="G103" s="80">
        <v>2387</v>
      </c>
      <c r="H103" s="30" t="s">
        <v>1462</v>
      </c>
      <c r="I103" s="22" t="s">
        <v>234</v>
      </c>
      <c r="J103" s="8" t="str">
        <f>IFERROR(VLOOKUP($G103,今日總結!$A:$AJ,33,0),"")</f>
        <v/>
      </c>
      <c r="K103" s="5" t="str">
        <f>IFERROR(VLOOKUP($G103,今日總結!$A:$AJ,34,0),"")</f>
        <v/>
      </c>
      <c r="L103" s="156" t="str">
        <f>IFERROR(VLOOKUP($G103,今日總結!$A:$AJ,31,0),"")</f>
        <v/>
      </c>
      <c r="M103" s="340" t="str">
        <f>IFERROR(VLOOKUP($G103,今日總結!$A:$AJ,32,0),"")</f>
        <v/>
      </c>
      <c r="N103" s="240" t="str">
        <f t="shared" ref="N103" si="34">IFERROR(L103-M103,"")</f>
        <v/>
      </c>
      <c r="P103" s="365">
        <f>IFERROR(VLOOKUP($G103,融外自投!$A:$J,7,0),"無")</f>
        <v>599</v>
      </c>
      <c r="Q103" s="79">
        <f>IFERROR(VLOOKUP($G103,融外自投!$A:$J,9,0),"無")</f>
        <v>614</v>
      </c>
      <c r="R103" s="346">
        <f>IFERROR(VLOOKUP($G103,融外自投!$A:$J,8,0),"無")</f>
        <v>1041</v>
      </c>
      <c r="S103" s="81">
        <f>IFERROR(VLOOKUP($G103,融外自投!$A:$J,10,0),"無")</f>
        <v>151</v>
      </c>
      <c r="T103" s="327">
        <f>IFERROR(VLOOKUP($G103,'321買'!$A:$E,5,0),"'沒有資料'")</f>
        <v>729</v>
      </c>
      <c r="U103" s="45">
        <v>3</v>
      </c>
      <c r="W103" s="57">
        <v>7.81</v>
      </c>
      <c r="X103" s="36">
        <f>RTD("money.excel",,"2387","Price")</f>
        <v>35.5</v>
      </c>
      <c r="Y103" s="66">
        <f>51.9-2</f>
        <v>49.9</v>
      </c>
      <c r="Z103" s="15">
        <f>X103-Y103</f>
        <v>-14.399999999999999</v>
      </c>
      <c r="AA103" s="3">
        <f>Z103/Y103</f>
        <v>-0.28857715430861719</v>
      </c>
      <c r="AB103" s="101" t="s">
        <v>3375</v>
      </c>
      <c r="AD103" s="22" t="s">
        <v>234</v>
      </c>
      <c r="AE103" s="84">
        <v>44390</v>
      </c>
      <c r="AG103" s="33">
        <f>AF103-AE103</f>
        <v>-44390</v>
      </c>
      <c r="AH103" s="41" t="s">
        <v>1122</v>
      </c>
      <c r="AJ103" s="234"/>
      <c r="AK103" s="56"/>
      <c r="AL103" s="22"/>
      <c r="AM103" s="206"/>
      <c r="AN103" s="239"/>
      <c r="AO103" s="249"/>
      <c r="AP103" s="252"/>
    </row>
    <row r="104" spans="1:46" s="248" customFormat="1">
      <c r="A104" s="141"/>
      <c r="B104" s="79"/>
      <c r="C104" s="79"/>
      <c r="D104" s="79"/>
      <c r="E104" s="79"/>
      <c r="F104" s="6"/>
      <c r="G104" s="41"/>
      <c r="H104" s="8"/>
      <c r="I104" s="153"/>
      <c r="J104" s="1"/>
      <c r="K104" s="1"/>
      <c r="L104" s="123"/>
      <c r="M104" s="234"/>
      <c r="N104" s="341"/>
      <c r="O104" s="245"/>
      <c r="P104" s="365"/>
      <c r="Q104" s="47"/>
      <c r="R104" s="346"/>
      <c r="S104" s="303"/>
      <c r="T104" s="322"/>
      <c r="U104" s="185"/>
      <c r="V104" s="311"/>
      <c r="W104" s="94"/>
      <c r="X104" s="165">
        <f>SUM(X103)</f>
        <v>35.5</v>
      </c>
      <c r="Y104" s="155">
        <f>SUM(Y103)</f>
        <v>49.9</v>
      </c>
      <c r="Z104" s="162">
        <f>X104-Y104</f>
        <v>-14.399999999999999</v>
      </c>
      <c r="AA104" s="164">
        <f>Z104/Y104</f>
        <v>-0.28857715430861719</v>
      </c>
      <c r="AB104" s="113"/>
      <c r="AC104" s="382"/>
      <c r="AD104" s="153">
        <f>X104*(0.001425*0.5)+X104*0.003+Y104*(0.001425*0.5)</f>
        <v>0.16734749999999998</v>
      </c>
      <c r="AE104" s="6">
        <f>Z104-AD104</f>
        <v>-14.567347499999999</v>
      </c>
      <c r="AF104" s="83"/>
      <c r="AG104" s="33"/>
      <c r="AH104" s="41" t="s">
        <v>1122</v>
      </c>
      <c r="AI104" s="163"/>
    </row>
    <row r="105" spans="1:46" s="248" customFormat="1">
      <c r="A105" s="141"/>
      <c r="B105" s="79"/>
      <c r="C105" s="79"/>
      <c r="D105" s="79"/>
      <c r="E105" s="79"/>
      <c r="F105" s="6"/>
      <c r="G105" s="41"/>
      <c r="H105" s="8"/>
      <c r="I105" s="153"/>
      <c r="J105" s="1"/>
      <c r="K105" s="1"/>
      <c r="L105" s="123"/>
      <c r="M105" s="234"/>
      <c r="N105" s="341"/>
      <c r="O105" s="245"/>
      <c r="P105" s="365"/>
      <c r="Q105" s="47"/>
      <c r="R105" s="346"/>
      <c r="S105" s="303"/>
      <c r="T105" s="322"/>
      <c r="U105" s="185"/>
      <c r="V105" s="311"/>
      <c r="W105" s="94"/>
      <c r="X105" s="165"/>
      <c r="Y105" s="155"/>
      <c r="Z105" s="162"/>
      <c r="AA105" s="164"/>
      <c r="AB105" s="113"/>
      <c r="AC105" s="382"/>
      <c r="AD105" s="153"/>
      <c r="AE105" s="6"/>
      <c r="AF105" s="83"/>
      <c r="AG105" s="33"/>
      <c r="AH105" s="41"/>
      <c r="AI105" s="163"/>
    </row>
    <row r="106" spans="1:46" s="248" customFormat="1">
      <c r="A106" s="127" t="s">
        <v>1673</v>
      </c>
      <c r="B106" s="90" t="s">
        <v>1572</v>
      </c>
      <c r="C106" s="90" t="s">
        <v>1573</v>
      </c>
      <c r="D106" s="90" t="s">
        <v>1574</v>
      </c>
      <c r="E106" s="90" t="s">
        <v>1575</v>
      </c>
      <c r="F106" s="8" t="s">
        <v>1060</v>
      </c>
      <c r="G106" s="26" t="s">
        <v>3442</v>
      </c>
      <c r="H106" s="55" t="s">
        <v>320</v>
      </c>
      <c r="I106" s="1" t="s">
        <v>2249</v>
      </c>
      <c r="J106" s="8" t="s">
        <v>6221</v>
      </c>
      <c r="K106" s="5" t="s">
        <v>6222</v>
      </c>
      <c r="L106" s="337" t="s">
        <v>6206</v>
      </c>
      <c r="M106" s="338" t="s">
        <v>6207</v>
      </c>
      <c r="N106" s="339" t="s">
        <v>6208</v>
      </c>
      <c r="O106" s="4" t="s">
        <v>6713</v>
      </c>
      <c r="P106" s="89" t="s">
        <v>6285</v>
      </c>
      <c r="Q106" s="293" t="s">
        <v>6284</v>
      </c>
      <c r="R106" s="354" t="s">
        <v>6283</v>
      </c>
      <c r="S106" s="26" t="s">
        <v>6286</v>
      </c>
      <c r="T106" s="321" t="s">
        <v>4716</v>
      </c>
      <c r="U106" s="14" t="s">
        <v>66</v>
      </c>
      <c r="V106" s="308" t="s">
        <v>4731</v>
      </c>
      <c r="W106" s="68" t="s">
        <v>3273</v>
      </c>
      <c r="X106" s="28" t="s">
        <v>2</v>
      </c>
      <c r="Y106" s="17" t="s">
        <v>1399</v>
      </c>
      <c r="Z106" s="14" t="s">
        <v>2250</v>
      </c>
      <c r="AA106" s="21" t="s">
        <v>1470</v>
      </c>
      <c r="AB106" s="51" t="s">
        <v>6174</v>
      </c>
      <c r="AC106" s="102" t="s">
        <v>6420</v>
      </c>
      <c r="AD106" s="1" t="s">
        <v>2249</v>
      </c>
      <c r="AE106" s="71" t="s">
        <v>1400</v>
      </c>
      <c r="AF106" s="72" t="s">
        <v>1157</v>
      </c>
      <c r="AG106" s="32" t="s">
        <v>1158</v>
      </c>
      <c r="AH106" s="138"/>
      <c r="AI106" s="163"/>
    </row>
    <row r="107" spans="1:46">
      <c r="A107" s="127" t="s">
        <v>1697</v>
      </c>
      <c r="B107" s="79">
        <v>493</v>
      </c>
      <c r="C107" s="79">
        <v>373</v>
      </c>
      <c r="D107" s="80">
        <v>-51</v>
      </c>
      <c r="E107" s="79">
        <v>80</v>
      </c>
      <c r="F107" s="57">
        <v>21.21</v>
      </c>
      <c r="G107" s="80">
        <v>4735</v>
      </c>
      <c r="H107" s="50" t="s">
        <v>1404</v>
      </c>
      <c r="I107" s="16" t="s">
        <v>617</v>
      </c>
      <c r="J107" s="8">
        <f>IFERROR(VLOOKUP($G107,今日總結!$A:$AJ,33,0),"")</f>
        <v>0</v>
      </c>
      <c r="K107" s="5">
        <f>IFERROR(VLOOKUP($G107,今日總結!$A:$AJ,34,0),"")</f>
        <v>1</v>
      </c>
      <c r="L107" s="156">
        <f>IFERROR(VLOOKUP($G107,今日總結!$A:$AJ,31,0),"")</f>
        <v>0</v>
      </c>
      <c r="M107" s="340">
        <f>IFERROR(VLOOKUP($G107,今日總結!$A:$AJ,32,0),"")</f>
        <v>0</v>
      </c>
      <c r="N107" s="240">
        <f t="shared" ref="N107:N109" si="35">IFERROR(L107-M107,"")</f>
        <v>0</v>
      </c>
      <c r="P107" s="365">
        <f>IFERROR(VLOOKUP($G107,融外自投!$A:$J,7,0),"無")</f>
        <v>724</v>
      </c>
      <c r="Q107" s="79">
        <f>IFERROR(VLOOKUP($G107,融外自投!$A:$J,9,0),"無")</f>
        <v>391</v>
      </c>
      <c r="R107" s="346">
        <f>IFERROR(VLOOKUP($G107,融外自投!$A:$J,8,0),"無")</f>
        <v>1282</v>
      </c>
      <c r="S107" s="81" t="str">
        <f>IFERROR(VLOOKUP($G107,融外自投!$A:$J,10,0),"無")</f>
        <v>無</v>
      </c>
      <c r="T107" s="327">
        <f>IFERROR(VLOOKUP($G107,'321買'!$A:$E,5,0),"'沒有資料'")</f>
        <v>894</v>
      </c>
      <c r="U107" s="34">
        <v>1</v>
      </c>
      <c r="W107" s="94">
        <v>19.010000000000002</v>
      </c>
      <c r="X107" s="36">
        <f>RTD("money.excel",,"4735","Price")</f>
        <v>40.049999999999997</v>
      </c>
      <c r="Y107" s="66">
        <f>91.8-1.5-2.5-1.2-1</f>
        <v>85.6</v>
      </c>
      <c r="Z107" s="15">
        <f>X107-Y107</f>
        <v>-45.55</v>
      </c>
      <c r="AA107" s="76">
        <f>Z107/Y107</f>
        <v>-0.53212616822429903</v>
      </c>
      <c r="AB107" s="135" t="s">
        <v>3300</v>
      </c>
      <c r="AD107" s="16" t="s">
        <v>617</v>
      </c>
      <c r="AE107" s="84">
        <v>44333</v>
      </c>
      <c r="AG107" s="33">
        <f>AF107-AE107</f>
        <v>-44333</v>
      </c>
      <c r="AH107" s="127" t="s">
        <v>1122</v>
      </c>
      <c r="AI107" s="221"/>
      <c r="AJ107" s="213"/>
    </row>
    <row r="108" spans="1:46">
      <c r="A108" s="127" t="s">
        <v>1697</v>
      </c>
      <c r="B108" s="79">
        <v>493</v>
      </c>
      <c r="C108" s="79">
        <v>373</v>
      </c>
      <c r="D108" s="80">
        <v>-51</v>
      </c>
      <c r="E108" s="79">
        <v>80</v>
      </c>
      <c r="F108" s="57">
        <v>21.21</v>
      </c>
      <c r="G108" s="80">
        <v>4735</v>
      </c>
      <c r="H108" s="30" t="s">
        <v>1462</v>
      </c>
      <c r="I108" s="16" t="s">
        <v>617</v>
      </c>
      <c r="J108" s="8">
        <f>IFERROR(VLOOKUP($G108,今日總結!$A:$AJ,33,0),"")</f>
        <v>0</v>
      </c>
      <c r="K108" s="5">
        <f>IFERROR(VLOOKUP($G108,今日總結!$A:$AJ,34,0),"")</f>
        <v>1</v>
      </c>
      <c r="L108" s="156">
        <f>IFERROR(VLOOKUP($G108,今日總結!$A:$AJ,31,0),"")</f>
        <v>0</v>
      </c>
      <c r="M108" s="340">
        <f>IFERROR(VLOOKUP($G108,今日總結!$A:$AJ,32,0),"")</f>
        <v>0</v>
      </c>
      <c r="N108" s="240">
        <f t="shared" si="35"/>
        <v>0</v>
      </c>
      <c r="P108" s="365">
        <f>IFERROR(VLOOKUP($G108,融外自投!$A:$J,7,0),"無")</f>
        <v>724</v>
      </c>
      <c r="Q108" s="79">
        <f>IFERROR(VLOOKUP($G108,融外自投!$A:$J,9,0),"無")</f>
        <v>391</v>
      </c>
      <c r="R108" s="346">
        <f>IFERROR(VLOOKUP($G108,融外自投!$A:$J,8,0),"無")</f>
        <v>1282</v>
      </c>
      <c r="S108" s="81" t="str">
        <f>IFERROR(VLOOKUP($G108,融外自投!$A:$J,10,0),"無")</f>
        <v>無</v>
      </c>
      <c r="T108" s="327">
        <f>IFERROR(VLOOKUP($G108,'321買'!$A:$E,5,0),"'沒有資料'")</f>
        <v>894</v>
      </c>
      <c r="U108" s="34">
        <v>1</v>
      </c>
      <c r="W108" s="94">
        <v>19.010000000000002</v>
      </c>
      <c r="X108" s="36">
        <f>RTD("money.excel",,"4735","Price")</f>
        <v>40.049999999999997</v>
      </c>
      <c r="Y108" s="66">
        <f>71.1-2.5-1.2-1</f>
        <v>66.399999999999991</v>
      </c>
      <c r="Z108" s="15">
        <f>X108-Y108</f>
        <v>-26.349999999999994</v>
      </c>
      <c r="AA108" s="76">
        <f>Z108/Y108</f>
        <v>-0.3968373493975903</v>
      </c>
      <c r="AB108" s="135" t="s">
        <v>3300</v>
      </c>
      <c r="AD108" s="16" t="s">
        <v>617</v>
      </c>
      <c r="AE108" s="84">
        <v>44453</v>
      </c>
      <c r="AG108" s="33">
        <f>AF108-AE108</f>
        <v>-44453</v>
      </c>
      <c r="AH108" s="41" t="s">
        <v>1122</v>
      </c>
      <c r="AI108" s="221"/>
      <c r="AJ108" s="213"/>
    </row>
    <row r="109" spans="1:46">
      <c r="A109" s="127" t="s">
        <v>1697</v>
      </c>
      <c r="B109" s="79">
        <v>493</v>
      </c>
      <c r="C109" s="79">
        <v>373</v>
      </c>
      <c r="D109" s="80">
        <v>-51</v>
      </c>
      <c r="E109" s="79">
        <v>80</v>
      </c>
      <c r="F109" s="57">
        <v>21.21</v>
      </c>
      <c r="G109" s="80">
        <v>4735</v>
      </c>
      <c r="H109" s="30" t="s">
        <v>1462</v>
      </c>
      <c r="I109" s="16" t="s">
        <v>617</v>
      </c>
      <c r="J109" s="8">
        <f>IFERROR(VLOOKUP($G109,今日總結!$A:$AJ,33,0),"")</f>
        <v>0</v>
      </c>
      <c r="K109" s="5">
        <f>IFERROR(VLOOKUP($G109,今日總結!$A:$AJ,34,0),"")</f>
        <v>1</v>
      </c>
      <c r="L109" s="156">
        <f>IFERROR(VLOOKUP($G109,今日總結!$A:$AJ,31,0),"")</f>
        <v>0</v>
      </c>
      <c r="M109" s="340">
        <f>IFERROR(VLOOKUP($G109,今日總結!$A:$AJ,32,0),"")</f>
        <v>0</v>
      </c>
      <c r="N109" s="240">
        <f t="shared" si="35"/>
        <v>0</v>
      </c>
      <c r="P109" s="365">
        <f>IFERROR(VLOOKUP($G109,融外自投!$A:$J,7,0),"無")</f>
        <v>724</v>
      </c>
      <c r="Q109" s="79">
        <f>IFERROR(VLOOKUP($G109,融外自投!$A:$J,9,0),"無")</f>
        <v>391</v>
      </c>
      <c r="R109" s="346">
        <f>IFERROR(VLOOKUP($G109,融外自投!$A:$J,8,0),"無")</f>
        <v>1282</v>
      </c>
      <c r="S109" s="81" t="str">
        <f>IFERROR(VLOOKUP($G109,融外自投!$A:$J,10,0),"無")</f>
        <v>無</v>
      </c>
      <c r="T109" s="327">
        <f>IFERROR(VLOOKUP($G109,'321買'!$A:$E,5,0),"'沒有資料'")</f>
        <v>894</v>
      </c>
      <c r="U109" s="34">
        <v>1</v>
      </c>
      <c r="W109" s="94">
        <v>19.010000000000002</v>
      </c>
      <c r="X109" s="36">
        <f>RTD("money.excel",,"4735","Price")</f>
        <v>40.049999999999997</v>
      </c>
      <c r="Y109" s="66">
        <f>91.8-1.5-2.5-1.2-1</f>
        <v>85.6</v>
      </c>
      <c r="Z109" s="15">
        <f>X109-Y109</f>
        <v>-45.55</v>
      </c>
      <c r="AA109" s="76">
        <f>Z109/Y109</f>
        <v>-0.53212616822429903</v>
      </c>
      <c r="AB109" s="135" t="s">
        <v>3300</v>
      </c>
      <c r="AD109" s="16" t="s">
        <v>617</v>
      </c>
      <c r="AE109" s="84">
        <v>44333</v>
      </c>
      <c r="AG109" s="33">
        <f>AF109-AE109</f>
        <v>-44333</v>
      </c>
      <c r="AH109" s="41" t="s">
        <v>1122</v>
      </c>
      <c r="AI109" s="221"/>
      <c r="AJ109" s="213"/>
    </row>
    <row r="110" spans="1:46" s="248" customFormat="1">
      <c r="A110" s="141"/>
      <c r="B110" s="79"/>
      <c r="C110" s="79"/>
      <c r="D110" s="79"/>
      <c r="E110" s="79"/>
      <c r="F110" s="6"/>
      <c r="G110" s="41"/>
      <c r="H110" s="8"/>
      <c r="I110" s="153"/>
      <c r="J110" s="1"/>
      <c r="K110" s="1"/>
      <c r="L110" s="123"/>
      <c r="M110" s="234"/>
      <c r="N110" s="341"/>
      <c r="O110" s="245"/>
      <c r="P110" s="365"/>
      <c r="Q110" s="47"/>
      <c r="R110" s="346"/>
      <c r="S110" s="303"/>
      <c r="T110" s="322"/>
      <c r="U110" s="185"/>
      <c r="V110" s="311"/>
      <c r="W110" s="94"/>
      <c r="X110" s="165">
        <f>SUM(X107:X109)</f>
        <v>120.14999999999999</v>
      </c>
      <c r="Y110" s="155">
        <f>SUM(Y107:Y109)</f>
        <v>237.6</v>
      </c>
      <c r="Z110" s="162">
        <f>X110-Y110</f>
        <v>-117.45</v>
      </c>
      <c r="AA110" s="164">
        <f>Z110/Y110</f>
        <v>-0.49431818181818182</v>
      </c>
      <c r="AB110" s="113"/>
      <c r="AC110" s="382"/>
      <c r="AD110" s="153">
        <f>X110*(0.001425*0.5)+X110*0.003+Y110*(0.001425*0.5)</f>
        <v>0.61534687499999996</v>
      </c>
      <c r="AE110" s="6">
        <f>Z110-AD110</f>
        <v>-118.065346875</v>
      </c>
      <c r="AF110" s="83"/>
      <c r="AG110" s="33"/>
      <c r="AH110" s="41" t="s">
        <v>1502</v>
      </c>
      <c r="AI110" s="163"/>
      <c r="AJ110" s="241" t="s">
        <v>3367</v>
      </c>
    </row>
    <row r="111" spans="1:46" s="248" customFormat="1">
      <c r="A111" s="141"/>
      <c r="B111" s="79"/>
      <c r="C111" s="79"/>
      <c r="D111" s="79"/>
      <c r="E111" s="79"/>
      <c r="F111" s="6"/>
      <c r="G111" s="41"/>
      <c r="H111" s="8"/>
      <c r="I111" s="153"/>
      <c r="J111" s="1"/>
      <c r="K111" s="1"/>
      <c r="L111" s="123"/>
      <c r="M111" s="234"/>
      <c r="N111" s="341"/>
      <c r="O111" s="245"/>
      <c r="P111" s="365"/>
      <c r="Q111" s="47"/>
      <c r="R111" s="346"/>
      <c r="S111" s="303"/>
      <c r="T111" s="322"/>
      <c r="U111" s="185"/>
      <c r="V111" s="311"/>
      <c r="W111" s="94"/>
      <c r="X111" s="165"/>
      <c r="Y111" s="155"/>
      <c r="Z111" s="162"/>
      <c r="AA111" s="164"/>
      <c r="AB111" s="113"/>
      <c r="AC111" s="382"/>
      <c r="AD111" s="153"/>
      <c r="AE111" s="6"/>
      <c r="AF111" s="83"/>
      <c r="AG111" s="33"/>
      <c r="AH111" s="41"/>
      <c r="AI111" s="163"/>
    </row>
    <row r="112" spans="1:46" s="248" customFormat="1">
      <c r="A112" s="127" t="s">
        <v>1673</v>
      </c>
      <c r="B112" s="90" t="s">
        <v>1572</v>
      </c>
      <c r="C112" s="90" t="s">
        <v>1573</v>
      </c>
      <c r="D112" s="90" t="s">
        <v>1574</v>
      </c>
      <c r="E112" s="90" t="s">
        <v>1575</v>
      </c>
      <c r="F112" s="8" t="s">
        <v>1060</v>
      </c>
      <c r="G112" s="26" t="s">
        <v>3442</v>
      </c>
      <c r="H112" s="55" t="s">
        <v>320</v>
      </c>
      <c r="I112" s="1" t="s">
        <v>2249</v>
      </c>
      <c r="J112" s="8" t="s">
        <v>6221</v>
      </c>
      <c r="K112" s="5" t="s">
        <v>6222</v>
      </c>
      <c r="L112" s="337" t="s">
        <v>6206</v>
      </c>
      <c r="M112" s="338" t="s">
        <v>6207</v>
      </c>
      <c r="N112" s="339" t="s">
        <v>6208</v>
      </c>
      <c r="O112" s="4" t="s">
        <v>6713</v>
      </c>
      <c r="P112" s="89" t="s">
        <v>6285</v>
      </c>
      <c r="Q112" s="293" t="s">
        <v>6284</v>
      </c>
      <c r="R112" s="354" t="s">
        <v>6283</v>
      </c>
      <c r="S112" s="26" t="s">
        <v>6286</v>
      </c>
      <c r="T112" s="321" t="s">
        <v>4716</v>
      </c>
      <c r="U112" s="14" t="s">
        <v>66</v>
      </c>
      <c r="V112" s="308" t="s">
        <v>4731</v>
      </c>
      <c r="W112" s="68" t="s">
        <v>3273</v>
      </c>
      <c r="X112" s="28" t="s">
        <v>2</v>
      </c>
      <c r="Y112" s="17" t="s">
        <v>1399</v>
      </c>
      <c r="Z112" s="14" t="s">
        <v>2250</v>
      </c>
      <c r="AA112" s="21" t="s">
        <v>1470</v>
      </c>
      <c r="AB112" s="51" t="s">
        <v>6174</v>
      </c>
      <c r="AC112" s="102" t="s">
        <v>6420</v>
      </c>
      <c r="AD112" s="1" t="s">
        <v>2249</v>
      </c>
      <c r="AE112" s="71" t="s">
        <v>1400</v>
      </c>
      <c r="AF112" s="72" t="s">
        <v>1157</v>
      </c>
      <c r="AG112" s="32" t="s">
        <v>1158</v>
      </c>
      <c r="AH112" s="138"/>
      <c r="AI112" s="163"/>
    </row>
    <row r="113" spans="1:36">
      <c r="A113" s="142" t="s">
        <v>1972</v>
      </c>
      <c r="B113" s="79">
        <v>171</v>
      </c>
      <c r="C113" s="79">
        <v>194</v>
      </c>
      <c r="D113" s="80">
        <v>-11</v>
      </c>
      <c r="E113" s="79">
        <v>3</v>
      </c>
      <c r="F113" s="6">
        <v>6.68</v>
      </c>
      <c r="G113" s="80">
        <v>6558</v>
      </c>
      <c r="H113" s="30" t="s">
        <v>1462</v>
      </c>
      <c r="I113" s="22" t="s">
        <v>1065</v>
      </c>
      <c r="J113" s="8" t="str">
        <f>IFERROR(VLOOKUP($G113,今日總結!$A:$AJ,33,0),"")</f>
        <v/>
      </c>
      <c r="K113" s="5" t="str">
        <f>IFERROR(VLOOKUP($G113,今日總結!$A:$AJ,34,0),"")</f>
        <v/>
      </c>
      <c r="L113" s="156" t="str">
        <f>IFERROR(VLOOKUP($G113,今日總結!$A:$AJ,31,0),"")</f>
        <v/>
      </c>
      <c r="M113" s="340" t="str">
        <f>IFERROR(VLOOKUP($G113,今日總結!$A:$AJ,32,0),"")</f>
        <v/>
      </c>
      <c r="N113" s="240" t="str">
        <f t="shared" ref="N113:N114" si="36">IFERROR(L113-M113,"")</f>
        <v/>
      </c>
      <c r="P113" s="365">
        <f>IFERROR(VLOOKUP($G113,融外自投!$A:$J,7,0),"無")</f>
        <v>438</v>
      </c>
      <c r="Q113" s="79">
        <f>IFERROR(VLOOKUP($G113,融外自投!$A:$J,9,0),"無")</f>
        <v>1051</v>
      </c>
      <c r="R113" s="346">
        <f>IFERROR(VLOOKUP($G113,融外自投!$A:$J,8,0),"無")</f>
        <v>1032</v>
      </c>
      <c r="S113" s="81" t="str">
        <f>IFERROR(VLOOKUP($G113,融外自投!$A:$J,10,0),"無")</f>
        <v>無</v>
      </c>
      <c r="T113" s="327">
        <f>IFERROR(VLOOKUP($G113,'321買'!$A:$E,5,0),"'沒有資料'")</f>
        <v>710</v>
      </c>
      <c r="U113" s="34">
        <v>0</v>
      </c>
      <c r="W113" s="94">
        <v>1.42</v>
      </c>
      <c r="X113" s="36">
        <f>RTD("money.excel",,"6558","Price")</f>
        <v>23.1</v>
      </c>
      <c r="Y113" s="66">
        <f>39.1-0.3</f>
        <v>38.800000000000004</v>
      </c>
      <c r="Z113" s="15">
        <f>X113-Y113</f>
        <v>-15.700000000000003</v>
      </c>
      <c r="AA113" s="3">
        <f>Z113/Y113</f>
        <v>-0.40463917525773196</v>
      </c>
      <c r="AB113" s="101" t="s">
        <v>3353</v>
      </c>
      <c r="AD113" s="22" t="s">
        <v>1065</v>
      </c>
      <c r="AE113" s="84">
        <v>44370</v>
      </c>
      <c r="AG113" s="33"/>
      <c r="AH113" s="41" t="s">
        <v>1122</v>
      </c>
      <c r="AJ113" s="234"/>
    </row>
    <row r="114" spans="1:36">
      <c r="A114" s="142" t="s">
        <v>1972</v>
      </c>
      <c r="B114" s="79">
        <v>171</v>
      </c>
      <c r="C114" s="79">
        <v>194</v>
      </c>
      <c r="D114" s="80">
        <v>-11</v>
      </c>
      <c r="E114" s="79">
        <v>3</v>
      </c>
      <c r="F114" s="6">
        <v>6.68</v>
      </c>
      <c r="G114" s="80">
        <v>6558</v>
      </c>
      <c r="H114" s="30" t="s">
        <v>1462</v>
      </c>
      <c r="I114" s="22" t="s">
        <v>1065</v>
      </c>
      <c r="J114" s="8" t="str">
        <f>IFERROR(VLOOKUP($G114,今日總結!$A:$AJ,33,0),"")</f>
        <v/>
      </c>
      <c r="K114" s="5" t="str">
        <f>IFERROR(VLOOKUP($G114,今日總結!$A:$AJ,34,0),"")</f>
        <v/>
      </c>
      <c r="L114" s="156" t="str">
        <f>IFERROR(VLOOKUP($G114,今日總結!$A:$AJ,31,0),"")</f>
        <v/>
      </c>
      <c r="M114" s="340" t="str">
        <f>IFERROR(VLOOKUP($G114,今日總結!$A:$AJ,32,0),"")</f>
        <v/>
      </c>
      <c r="N114" s="240" t="str">
        <f t="shared" si="36"/>
        <v/>
      </c>
      <c r="P114" s="365">
        <f>IFERROR(VLOOKUP($G114,融外自投!$A:$J,7,0),"無")</f>
        <v>438</v>
      </c>
      <c r="Q114" s="79">
        <f>IFERROR(VLOOKUP($G114,融外自投!$A:$J,9,0),"無")</f>
        <v>1051</v>
      </c>
      <c r="R114" s="346">
        <f>IFERROR(VLOOKUP($G114,融外自投!$A:$J,8,0),"無")</f>
        <v>1032</v>
      </c>
      <c r="S114" s="81" t="str">
        <f>IFERROR(VLOOKUP($G114,融外自投!$A:$J,10,0),"無")</f>
        <v>無</v>
      </c>
      <c r="T114" s="327">
        <f>IFERROR(VLOOKUP($G114,'321買'!$A:$E,5,0),"'沒有資料'")</f>
        <v>710</v>
      </c>
      <c r="U114" s="34">
        <v>0</v>
      </c>
      <c r="W114" s="94">
        <v>1.42</v>
      </c>
      <c r="X114" s="36">
        <f>RTD("money.excel",,"6558","Price")</f>
        <v>23.1</v>
      </c>
      <c r="Y114" s="66">
        <f>43.05-0.3</f>
        <v>42.75</v>
      </c>
      <c r="Z114" s="15">
        <f>X114-Y114</f>
        <v>-19.649999999999999</v>
      </c>
      <c r="AA114" s="3">
        <f>Z114/Y114</f>
        <v>-0.45964912280701753</v>
      </c>
      <c r="AB114" s="101" t="s">
        <v>3353</v>
      </c>
      <c r="AD114" s="22" t="s">
        <v>1065</v>
      </c>
      <c r="AE114" s="84">
        <v>44363</v>
      </c>
      <c r="AG114" s="33"/>
      <c r="AH114" s="41" t="s">
        <v>1122</v>
      </c>
      <c r="AJ114" s="234"/>
    </row>
    <row r="115" spans="1:36" s="248" customFormat="1">
      <c r="A115" s="141"/>
      <c r="B115" s="79"/>
      <c r="C115" s="79"/>
      <c r="D115" s="79"/>
      <c r="E115" s="79"/>
      <c r="F115" s="6"/>
      <c r="G115" s="41"/>
      <c r="H115" s="8"/>
      <c r="I115" s="153"/>
      <c r="J115" s="1"/>
      <c r="K115" s="1"/>
      <c r="L115" s="245"/>
      <c r="M115" s="234"/>
      <c r="N115" s="341"/>
      <c r="O115" s="245"/>
      <c r="P115" s="365"/>
      <c r="Q115" s="47"/>
      <c r="R115" s="346"/>
      <c r="S115" s="303"/>
      <c r="T115" s="322"/>
      <c r="U115" s="185"/>
      <c r="V115" s="311"/>
      <c r="W115" s="94"/>
      <c r="X115" s="165">
        <f>SUM(X113:X114)</f>
        <v>46.2</v>
      </c>
      <c r="Y115" s="155">
        <f>SUM(Y113:Y114)</f>
        <v>81.550000000000011</v>
      </c>
      <c r="Z115" s="162">
        <f>X115-Y115</f>
        <v>-35.350000000000009</v>
      </c>
      <c r="AA115" s="164">
        <f>Z115/Y115</f>
        <v>-0.43347639484978545</v>
      </c>
      <c r="AB115" s="113"/>
      <c r="AC115" s="382"/>
      <c r="AD115" s="153">
        <f>X115*(0.001425*0.5)+X115*0.003+Y115*(0.001425*0.5)</f>
        <v>0.229621875</v>
      </c>
      <c r="AE115" s="6">
        <f>Z115-AD115</f>
        <v>-35.579621875000008</v>
      </c>
      <c r="AF115" s="83"/>
      <c r="AG115" s="33"/>
      <c r="AH115" s="41" t="s">
        <v>1502</v>
      </c>
      <c r="AI115" s="163"/>
      <c r="AJ115" s="241" t="s">
        <v>3366</v>
      </c>
    </row>
    <row r="116" spans="1:36" s="248" customFormat="1">
      <c r="A116" s="141"/>
      <c r="B116" s="79"/>
      <c r="C116" s="80"/>
      <c r="D116" s="79"/>
      <c r="E116" s="80"/>
      <c r="F116" s="6"/>
      <c r="G116" s="41"/>
      <c r="H116" s="50"/>
      <c r="I116" s="166"/>
      <c r="J116" s="1"/>
      <c r="K116" s="1"/>
      <c r="L116" s="163"/>
      <c r="N116" s="342"/>
      <c r="O116" s="245"/>
      <c r="P116" s="365"/>
      <c r="Q116" s="47"/>
      <c r="R116" s="346"/>
      <c r="S116" s="303"/>
      <c r="T116" s="322"/>
      <c r="U116" s="185"/>
      <c r="V116" s="311"/>
      <c r="W116" s="94"/>
      <c r="X116" s="165"/>
      <c r="Y116" s="155"/>
      <c r="Z116" s="162"/>
      <c r="AA116" s="164"/>
      <c r="AB116" s="113"/>
      <c r="AC116" s="382"/>
      <c r="AD116" s="153"/>
      <c r="AE116" s="6"/>
      <c r="AF116" s="83"/>
      <c r="AG116" s="33"/>
      <c r="AH116" s="127"/>
      <c r="AI116" s="163"/>
    </row>
    <row r="117" spans="1:36" s="248" customFormat="1" ht="17.25" customHeight="1">
      <c r="A117" s="127" t="s">
        <v>1673</v>
      </c>
      <c r="B117" s="90" t="s">
        <v>1572</v>
      </c>
      <c r="C117" s="90" t="s">
        <v>1573</v>
      </c>
      <c r="D117" s="90" t="s">
        <v>1574</v>
      </c>
      <c r="E117" s="90" t="s">
        <v>1575</v>
      </c>
      <c r="F117" s="8" t="s">
        <v>1060</v>
      </c>
      <c r="G117" s="26" t="s">
        <v>3442</v>
      </c>
      <c r="H117" s="55" t="s">
        <v>320</v>
      </c>
      <c r="I117" s="1" t="s">
        <v>2249</v>
      </c>
      <c r="J117" s="8" t="s">
        <v>6221</v>
      </c>
      <c r="K117" s="5" t="s">
        <v>6222</v>
      </c>
      <c r="L117" s="337" t="s">
        <v>6206</v>
      </c>
      <c r="M117" s="338" t="s">
        <v>6207</v>
      </c>
      <c r="N117" s="339" t="s">
        <v>6208</v>
      </c>
      <c r="O117" s="4" t="s">
        <v>6713</v>
      </c>
      <c r="P117" s="89" t="s">
        <v>6285</v>
      </c>
      <c r="Q117" s="293" t="s">
        <v>6284</v>
      </c>
      <c r="R117" s="354" t="s">
        <v>6283</v>
      </c>
      <c r="S117" s="26" t="s">
        <v>6286</v>
      </c>
      <c r="T117" s="321" t="s">
        <v>4716</v>
      </c>
      <c r="U117" s="14" t="s">
        <v>66</v>
      </c>
      <c r="V117" s="308" t="s">
        <v>4731</v>
      </c>
      <c r="W117" s="68" t="s">
        <v>3273</v>
      </c>
      <c r="X117" s="28" t="s">
        <v>2</v>
      </c>
      <c r="Y117" s="17" t="s">
        <v>1399</v>
      </c>
      <c r="Z117" s="14" t="s">
        <v>2250</v>
      </c>
      <c r="AA117" s="21" t="s">
        <v>1470</v>
      </c>
      <c r="AB117" s="51" t="s">
        <v>6174</v>
      </c>
      <c r="AC117" s="102" t="s">
        <v>6420</v>
      </c>
      <c r="AD117" s="1" t="s">
        <v>2249</v>
      </c>
      <c r="AE117" s="71" t="s">
        <v>1400</v>
      </c>
      <c r="AF117" s="72" t="s">
        <v>1157</v>
      </c>
      <c r="AG117" s="32" t="s">
        <v>1158</v>
      </c>
      <c r="AH117" s="138"/>
      <c r="AI117" s="163"/>
    </row>
    <row r="118" spans="1:36">
      <c r="A118" s="142" t="s">
        <v>1655</v>
      </c>
      <c r="B118" s="92">
        <v>8051</v>
      </c>
      <c r="C118" s="92">
        <v>8406</v>
      </c>
      <c r="D118" s="80">
        <v>-4</v>
      </c>
      <c r="E118" s="79">
        <v>17</v>
      </c>
      <c r="F118" s="6">
        <v>8.76</v>
      </c>
      <c r="G118" s="80">
        <v>1598</v>
      </c>
      <c r="H118" s="50" t="s">
        <v>1404</v>
      </c>
      <c r="I118" s="22" t="s">
        <v>627</v>
      </c>
      <c r="J118" s="8" t="str">
        <f>IFERROR(VLOOKUP($G118,今日總結!$A:$AJ,33,0),"")</f>
        <v/>
      </c>
      <c r="K118" s="5" t="str">
        <f>IFERROR(VLOOKUP($G118,今日總結!$A:$AJ,34,0),"")</f>
        <v/>
      </c>
      <c r="L118" s="156" t="str">
        <f>IFERROR(VLOOKUP($G118,今日總結!$A:$AJ,31,0),"")</f>
        <v/>
      </c>
      <c r="M118" s="340" t="str">
        <f>IFERROR(VLOOKUP($G118,今日總結!$A:$AJ,32,0),"")</f>
        <v/>
      </c>
      <c r="N118" s="240" t="str">
        <f t="shared" ref="N118" si="37">IFERROR(L118-M118,"")</f>
        <v/>
      </c>
      <c r="P118" s="365">
        <f>IFERROR(VLOOKUP($G118,融外自投!$A:$J,7,0),"無")</f>
        <v>439</v>
      </c>
      <c r="Q118" s="79">
        <f>IFERROR(VLOOKUP($G118,融外自投!$A:$J,9,0),"無")</f>
        <v>459</v>
      </c>
      <c r="R118" s="346">
        <f>IFERROR(VLOOKUP($G118,融外自投!$A:$J,8,0),"無")</f>
        <v>824</v>
      </c>
      <c r="S118" s="81">
        <f>IFERROR(VLOOKUP($G118,融外自投!$A:$J,10,0),"無")</f>
        <v>491</v>
      </c>
      <c r="T118" s="327">
        <f>IFERROR(VLOOKUP($G118,'321買'!$A:$E,5,0),"'沒有資料'")</f>
        <v>1099</v>
      </c>
      <c r="U118" s="34">
        <v>2.5</v>
      </c>
      <c r="W118" s="57">
        <v>13.82</v>
      </c>
      <c r="X118" s="36">
        <f>RTD("money.excel",,"1598","Price")</f>
        <v>40.200000000000003</v>
      </c>
      <c r="Y118" s="66">
        <f>89.5-7.47</f>
        <v>82.03</v>
      </c>
      <c r="Z118" s="15">
        <f>X118-Y118</f>
        <v>-41.83</v>
      </c>
      <c r="AA118" s="3">
        <f>Z118/Y118</f>
        <v>-0.5099353894916494</v>
      </c>
      <c r="AB118" s="99" t="s">
        <v>1888</v>
      </c>
      <c r="AD118" s="22" t="s">
        <v>627</v>
      </c>
      <c r="AE118" s="84">
        <v>44329</v>
      </c>
      <c r="AG118" s="33">
        <f>AF118-AE118</f>
        <v>-44329</v>
      </c>
      <c r="AH118" s="127" t="s">
        <v>1122</v>
      </c>
      <c r="AI118" s="127"/>
      <c r="AJ118" s="213"/>
    </row>
    <row r="119" spans="1:36">
      <c r="A119" s="142" t="s">
        <v>1655</v>
      </c>
      <c r="B119" s="92">
        <v>8051</v>
      </c>
      <c r="C119" s="92">
        <v>8406</v>
      </c>
      <c r="D119" s="80">
        <v>-4</v>
      </c>
      <c r="E119" s="79">
        <v>17</v>
      </c>
      <c r="F119" s="6">
        <v>8.76</v>
      </c>
      <c r="G119" s="80">
        <v>1598</v>
      </c>
      <c r="H119" s="50" t="s">
        <v>1404</v>
      </c>
      <c r="I119" s="22" t="s">
        <v>627</v>
      </c>
      <c r="J119" s="8" t="str">
        <f>IFERROR(VLOOKUP($G119,今日總結!$A:$AJ,33,0),"")</f>
        <v/>
      </c>
      <c r="K119" s="5" t="str">
        <f>IFERROR(VLOOKUP($G119,今日總結!$A:$AJ,34,0),"")</f>
        <v/>
      </c>
      <c r="L119" s="156" t="str">
        <f>IFERROR(VLOOKUP($G119,今日總結!$A:$AJ,31,0),"")</f>
        <v/>
      </c>
      <c r="M119" s="340" t="str">
        <f>IFERROR(VLOOKUP($G119,今日總結!$A:$AJ,32,0),"")</f>
        <v/>
      </c>
      <c r="N119" s="240" t="str">
        <f t="shared" ref="N119:N121" si="38">IFERROR(L119-M119,"")</f>
        <v/>
      </c>
      <c r="P119" s="365">
        <f>IFERROR(VLOOKUP($G119,融外自投!$A:$J,7,0),"無")</f>
        <v>439</v>
      </c>
      <c r="Q119" s="79">
        <f>IFERROR(VLOOKUP($G119,融外自投!$A:$J,9,0),"無")</f>
        <v>459</v>
      </c>
      <c r="R119" s="346">
        <f>IFERROR(VLOOKUP($G119,融外自投!$A:$J,8,0),"無")</f>
        <v>824</v>
      </c>
      <c r="S119" s="81">
        <f>IFERROR(VLOOKUP($G119,融外自投!$A:$J,10,0),"無")</f>
        <v>491</v>
      </c>
      <c r="T119" s="327">
        <f>IFERROR(VLOOKUP($G119,'321買'!$A:$E,5,0),"'沒有資料'")</f>
        <v>1099</v>
      </c>
      <c r="U119" s="34">
        <v>2.5</v>
      </c>
      <c r="W119" s="57">
        <v>13.82</v>
      </c>
      <c r="X119" s="36">
        <f>RTD("money.excel",,"1598","Price")</f>
        <v>40.200000000000003</v>
      </c>
      <c r="Y119" s="66">
        <f>107-7.47</f>
        <v>99.53</v>
      </c>
      <c r="Z119" s="15">
        <f>X119-Y119</f>
        <v>-59.33</v>
      </c>
      <c r="AA119" s="3">
        <f>Z119/Y119</f>
        <v>-0.5961016778860645</v>
      </c>
      <c r="AB119" s="99" t="s">
        <v>1888</v>
      </c>
      <c r="AD119" s="22" t="s">
        <v>627</v>
      </c>
      <c r="AE119" s="84">
        <v>44313</v>
      </c>
      <c r="AG119" s="33">
        <f>AF119-AE119</f>
        <v>-44313</v>
      </c>
      <c r="AH119" s="127" t="s">
        <v>1122</v>
      </c>
      <c r="AI119" s="127" t="s">
        <v>1502</v>
      </c>
      <c r="AJ119" s="213"/>
    </row>
    <row r="120" spans="1:36">
      <c r="A120" s="142" t="s">
        <v>1655</v>
      </c>
      <c r="B120" s="92">
        <v>8051</v>
      </c>
      <c r="C120" s="92">
        <v>8406</v>
      </c>
      <c r="D120" s="80">
        <v>-4</v>
      </c>
      <c r="E120" s="79">
        <v>17</v>
      </c>
      <c r="F120" s="6">
        <v>8.76</v>
      </c>
      <c r="G120" s="80">
        <v>1598</v>
      </c>
      <c r="H120" s="30" t="s">
        <v>1462</v>
      </c>
      <c r="I120" s="22" t="s">
        <v>627</v>
      </c>
      <c r="J120" s="8" t="str">
        <f>IFERROR(VLOOKUP($G120,今日總結!$A:$AJ,33,0),"")</f>
        <v/>
      </c>
      <c r="K120" s="5" t="str">
        <f>IFERROR(VLOOKUP($G120,今日總結!$A:$AJ,34,0),"")</f>
        <v/>
      </c>
      <c r="L120" s="156" t="str">
        <f>IFERROR(VLOOKUP($G120,今日總結!$A:$AJ,31,0),"")</f>
        <v/>
      </c>
      <c r="M120" s="340" t="str">
        <f>IFERROR(VLOOKUP($G120,今日總結!$A:$AJ,32,0),"")</f>
        <v/>
      </c>
      <c r="N120" s="240" t="str">
        <f t="shared" si="38"/>
        <v/>
      </c>
      <c r="P120" s="365">
        <f>IFERROR(VLOOKUP($G120,融外自投!$A:$J,7,0),"無")</f>
        <v>439</v>
      </c>
      <c r="Q120" s="79">
        <f>IFERROR(VLOOKUP($G120,融外自投!$A:$J,9,0),"無")</f>
        <v>459</v>
      </c>
      <c r="R120" s="346">
        <f>IFERROR(VLOOKUP($G120,融外自投!$A:$J,8,0),"無")</f>
        <v>824</v>
      </c>
      <c r="S120" s="81">
        <f>IFERROR(VLOOKUP($G120,融外自投!$A:$J,10,0),"無")</f>
        <v>491</v>
      </c>
      <c r="T120" s="327">
        <f>IFERROR(VLOOKUP($G120,'321買'!$A:$E,5,0),"'沒有資料'")</f>
        <v>1099</v>
      </c>
      <c r="U120" s="34">
        <v>2.5</v>
      </c>
      <c r="W120" s="57">
        <v>13.82</v>
      </c>
      <c r="X120" s="36">
        <f>RTD("money.excel",,"1598","Price")</f>
        <v>40.200000000000003</v>
      </c>
      <c r="Y120" s="66">
        <f>89.4-7.47</f>
        <v>81.93</v>
      </c>
      <c r="Z120" s="15">
        <f>X120-Y120</f>
        <v>-41.730000000000004</v>
      </c>
      <c r="AA120" s="3">
        <f>Z120/Y120</f>
        <v>-0.50933723910655437</v>
      </c>
      <c r="AB120" s="99" t="s">
        <v>1888</v>
      </c>
      <c r="AD120" s="22" t="s">
        <v>627</v>
      </c>
      <c r="AE120" s="84">
        <v>44329</v>
      </c>
      <c r="AG120" s="33">
        <f>AF120-AE120</f>
        <v>-44329</v>
      </c>
      <c r="AH120" s="41" t="s">
        <v>1122</v>
      </c>
      <c r="AI120" s="212"/>
      <c r="AJ120" s="213"/>
    </row>
    <row r="121" spans="1:36">
      <c r="A121" s="142" t="s">
        <v>1655</v>
      </c>
      <c r="B121" s="92">
        <v>8051</v>
      </c>
      <c r="C121" s="92">
        <v>8406</v>
      </c>
      <c r="D121" s="80">
        <v>-4</v>
      </c>
      <c r="E121" s="79">
        <v>17</v>
      </c>
      <c r="F121" s="6">
        <v>8.76</v>
      </c>
      <c r="G121" s="80">
        <v>1598</v>
      </c>
      <c r="H121" s="30" t="s">
        <v>1462</v>
      </c>
      <c r="I121" s="22" t="s">
        <v>627</v>
      </c>
      <c r="J121" s="8" t="str">
        <f>IFERROR(VLOOKUP($G121,今日總結!$A:$AJ,33,0),"")</f>
        <v/>
      </c>
      <c r="K121" s="5" t="str">
        <f>IFERROR(VLOOKUP($G121,今日總結!$A:$AJ,34,0),"")</f>
        <v/>
      </c>
      <c r="L121" s="156" t="str">
        <f>IFERROR(VLOOKUP($G121,今日總結!$A:$AJ,31,0),"")</f>
        <v/>
      </c>
      <c r="M121" s="340" t="str">
        <f>IFERROR(VLOOKUP($G121,今日總結!$A:$AJ,32,0),"")</f>
        <v/>
      </c>
      <c r="N121" s="240" t="str">
        <f t="shared" si="38"/>
        <v/>
      </c>
      <c r="P121" s="365">
        <f>IFERROR(VLOOKUP($G121,融外自投!$A:$J,7,0),"無")</f>
        <v>439</v>
      </c>
      <c r="Q121" s="79">
        <f>IFERROR(VLOOKUP($G121,融外自投!$A:$J,9,0),"無")</f>
        <v>459</v>
      </c>
      <c r="R121" s="346">
        <f>IFERROR(VLOOKUP($G121,融外自投!$A:$J,8,0),"無")</f>
        <v>824</v>
      </c>
      <c r="S121" s="81">
        <f>IFERROR(VLOOKUP($G121,融外自投!$A:$J,10,0),"無")</f>
        <v>491</v>
      </c>
      <c r="T121" s="327">
        <f>IFERROR(VLOOKUP($G121,'321買'!$A:$E,5,0),"'沒有資料'")</f>
        <v>1099</v>
      </c>
      <c r="U121" s="34">
        <v>2.5</v>
      </c>
      <c r="W121" s="57">
        <v>13.82</v>
      </c>
      <c r="X121" s="36">
        <f>RTD("money.excel",,"1598","Price")</f>
        <v>40.200000000000003</v>
      </c>
      <c r="Y121" s="66">
        <f>107-7.47</f>
        <v>99.53</v>
      </c>
      <c r="Z121" s="15">
        <f>X121-Y121</f>
        <v>-59.33</v>
      </c>
      <c r="AA121" s="3">
        <f>Z121/Y121</f>
        <v>-0.5961016778860645</v>
      </c>
      <c r="AB121" s="99" t="s">
        <v>1888</v>
      </c>
      <c r="AD121" s="22" t="s">
        <v>627</v>
      </c>
      <c r="AE121" s="84">
        <v>44313</v>
      </c>
      <c r="AG121" s="33">
        <f>AF121-AE121</f>
        <v>-44313</v>
      </c>
      <c r="AH121" s="41" t="s">
        <v>1122</v>
      </c>
      <c r="AI121" s="41" t="s">
        <v>1502</v>
      </c>
      <c r="AJ121" s="213"/>
    </row>
    <row r="122" spans="1:36" s="248" customFormat="1">
      <c r="A122" s="141"/>
      <c r="B122" s="79"/>
      <c r="C122" s="79"/>
      <c r="D122" s="79"/>
      <c r="E122" s="79"/>
      <c r="F122" s="6"/>
      <c r="G122" s="41"/>
      <c r="H122" s="8"/>
      <c r="I122" s="153"/>
      <c r="J122" s="1"/>
      <c r="K122" s="1"/>
      <c r="L122" s="123"/>
      <c r="M122" s="234"/>
      <c r="N122" s="341"/>
      <c r="O122" s="245"/>
      <c r="P122" s="365"/>
      <c r="Q122" s="79"/>
      <c r="R122" s="346"/>
      <c r="S122" s="81"/>
      <c r="T122" s="322"/>
      <c r="U122" s="185"/>
      <c r="V122" s="311"/>
      <c r="W122" s="94"/>
      <c r="X122" s="165">
        <f>SUM(X118:X121)</f>
        <v>160.80000000000001</v>
      </c>
      <c r="Y122" s="155">
        <f>SUM(Y118:Y121)</f>
        <v>363.02</v>
      </c>
      <c r="Z122" s="226">
        <f>X122-Y122</f>
        <v>-202.21999999999997</v>
      </c>
      <c r="AA122" s="164">
        <f>Z122/Y122</f>
        <v>-0.5570491983912732</v>
      </c>
      <c r="AB122" s="113"/>
      <c r="AC122" s="382"/>
      <c r="AD122" s="153">
        <f>X122*(0.001425*0.5)+X122*0.003+Y122*(0.001425*0.5)</f>
        <v>0.85562175000000007</v>
      </c>
      <c r="AE122" s="6">
        <f>Z122-AD122</f>
        <v>-203.07562174999998</v>
      </c>
      <c r="AF122" s="83"/>
      <c r="AG122" s="33"/>
      <c r="AH122" s="41" t="s">
        <v>1123</v>
      </c>
      <c r="AI122" s="163"/>
    </row>
    <row r="123" spans="1:36" s="248" customFormat="1">
      <c r="A123" s="141"/>
      <c r="B123" s="79"/>
      <c r="C123" s="79"/>
      <c r="D123" s="79"/>
      <c r="E123" s="79"/>
      <c r="F123" s="6"/>
      <c r="G123" s="41"/>
      <c r="H123" s="8"/>
      <c r="I123" s="153"/>
      <c r="J123" s="1"/>
      <c r="K123" s="1"/>
      <c r="L123" s="123"/>
      <c r="M123" s="234"/>
      <c r="N123" s="341"/>
      <c r="O123" s="245"/>
      <c r="P123" s="365"/>
      <c r="Q123" s="79"/>
      <c r="R123" s="346"/>
      <c r="S123" s="81"/>
      <c r="T123" s="322"/>
      <c r="U123" s="185"/>
      <c r="V123" s="311"/>
      <c r="W123" s="94"/>
      <c r="X123" s="165"/>
      <c r="Y123" s="155"/>
      <c r="Z123" s="226"/>
      <c r="AA123" s="164"/>
      <c r="AB123" s="113"/>
      <c r="AC123" s="382"/>
      <c r="AD123" s="153"/>
      <c r="AE123" s="6"/>
      <c r="AF123" s="83"/>
      <c r="AG123" s="33"/>
      <c r="AH123" s="41"/>
      <c r="AI123" s="163"/>
    </row>
    <row r="124" spans="1:36" s="248" customFormat="1">
      <c r="A124" s="141"/>
      <c r="B124" s="79"/>
      <c r="C124" s="79"/>
      <c r="D124" s="79"/>
      <c r="E124" s="79"/>
      <c r="F124" s="6"/>
      <c r="G124" s="41"/>
      <c r="H124" s="8"/>
      <c r="I124" s="153"/>
      <c r="J124" s="1"/>
      <c r="K124" s="1"/>
      <c r="L124" s="123"/>
      <c r="M124" s="234"/>
      <c r="N124" s="341"/>
      <c r="O124" s="245"/>
      <c r="P124" s="365"/>
      <c r="Q124" s="79"/>
      <c r="R124" s="346"/>
      <c r="S124" s="81"/>
      <c r="T124" s="322"/>
      <c r="U124" s="185"/>
      <c r="V124" s="311"/>
      <c r="W124" s="94"/>
      <c r="X124" s="165"/>
      <c r="Y124" s="155"/>
      <c r="Z124" s="226"/>
      <c r="AA124" s="164"/>
      <c r="AB124" s="113"/>
      <c r="AC124" s="382"/>
      <c r="AD124" s="153"/>
      <c r="AE124" s="6"/>
      <c r="AF124" s="83"/>
      <c r="AG124" s="33"/>
      <c r="AH124" s="41"/>
      <c r="AI124" s="163"/>
    </row>
    <row r="125" spans="1:36" s="248" customFormat="1">
      <c r="A125" s="127" t="s">
        <v>1673</v>
      </c>
      <c r="B125" s="90" t="s">
        <v>1572</v>
      </c>
      <c r="C125" s="90" t="s">
        <v>1573</v>
      </c>
      <c r="D125" s="90" t="s">
        <v>1574</v>
      </c>
      <c r="E125" s="90" t="s">
        <v>1575</v>
      </c>
      <c r="F125" s="8" t="s">
        <v>1060</v>
      </c>
      <c r="G125" s="26" t="s">
        <v>3442</v>
      </c>
      <c r="H125" s="55" t="s">
        <v>320</v>
      </c>
      <c r="I125" s="1" t="s">
        <v>69</v>
      </c>
      <c r="J125" s="8" t="s">
        <v>6221</v>
      </c>
      <c r="K125" s="5" t="s">
        <v>6222</v>
      </c>
      <c r="L125" s="337" t="s">
        <v>6206</v>
      </c>
      <c r="M125" s="338" t="s">
        <v>6207</v>
      </c>
      <c r="N125" s="339" t="s">
        <v>6208</v>
      </c>
      <c r="O125" s="4" t="s">
        <v>6713</v>
      </c>
      <c r="P125" s="89" t="s">
        <v>4720</v>
      </c>
      <c r="Q125" s="293" t="s">
        <v>3544</v>
      </c>
      <c r="R125" s="354" t="s">
        <v>3543</v>
      </c>
      <c r="S125" s="26" t="s">
        <v>3545</v>
      </c>
      <c r="T125" s="321" t="s">
        <v>4716</v>
      </c>
      <c r="U125" s="14" t="s">
        <v>66</v>
      </c>
      <c r="V125" s="308" t="s">
        <v>4731</v>
      </c>
      <c r="W125" s="68" t="s">
        <v>3273</v>
      </c>
      <c r="X125" s="28" t="s">
        <v>2</v>
      </c>
      <c r="Y125" s="17" t="s">
        <v>1399</v>
      </c>
      <c r="Z125" s="14" t="s">
        <v>2250</v>
      </c>
      <c r="AA125" s="21" t="s">
        <v>3</v>
      </c>
      <c r="AB125" s="51" t="s">
        <v>6174</v>
      </c>
      <c r="AC125" s="102" t="s">
        <v>6420</v>
      </c>
      <c r="AD125" s="1" t="s">
        <v>69</v>
      </c>
      <c r="AE125" s="71" t="s">
        <v>1400</v>
      </c>
      <c r="AF125" s="72" t="s">
        <v>1157</v>
      </c>
      <c r="AG125" s="32" t="s">
        <v>1158</v>
      </c>
      <c r="AH125" s="46" t="s">
        <v>6375</v>
      </c>
      <c r="AI125" s="163"/>
    </row>
    <row r="126" spans="1:36" s="248" customFormat="1">
      <c r="A126" s="127" t="s">
        <v>1670</v>
      </c>
      <c r="B126" s="79">
        <v>267</v>
      </c>
      <c r="C126" s="79">
        <v>304</v>
      </c>
      <c r="D126" s="79">
        <v>7</v>
      </c>
      <c r="E126" s="79">
        <v>15</v>
      </c>
      <c r="F126" s="57">
        <v>33.020000000000003</v>
      </c>
      <c r="G126" s="79">
        <v>3374</v>
      </c>
      <c r="H126" s="30" t="s">
        <v>1462</v>
      </c>
      <c r="I126" s="16" t="s">
        <v>167</v>
      </c>
      <c r="J126" s="8" t="str">
        <f>IFERROR(VLOOKUP($G126,今日總結!$A:$AJ,33,0),"")</f>
        <v/>
      </c>
      <c r="K126" s="5" t="str">
        <f>IFERROR(VLOOKUP($G126,今日總結!$A:$AJ,34,0),"")</f>
        <v/>
      </c>
      <c r="L126" s="156" t="str">
        <f>IFERROR(VLOOKUP($G126,今日總結!$A:$AJ,31,0),"")</f>
        <v/>
      </c>
      <c r="M126" s="340" t="str">
        <f>IFERROR(VLOOKUP($G126,今日總結!$A:$AJ,32,0),"")</f>
        <v/>
      </c>
      <c r="N126" s="240" t="str">
        <f t="shared" ref="N126" si="39">IFERROR(L126-M126,"")</f>
        <v/>
      </c>
      <c r="O126" s="245"/>
      <c r="P126" s="365">
        <f>IFERROR(VLOOKUP($G126,融外自投!$A:$J,7,0),"無")</f>
        <v>304</v>
      </c>
      <c r="Q126" s="79">
        <f>IFERROR(VLOOKUP($G126,融外自投!$A:$J,9,0),"無")</f>
        <v>200</v>
      </c>
      <c r="R126" s="346">
        <f>IFERROR(VLOOKUP($G126,融外自投!$A:$J,8,0),"無")</f>
        <v>692</v>
      </c>
      <c r="S126" s="81">
        <f>IFERROR(VLOOKUP($G126,融外自投!$A:$J,10,0),"無")</f>
        <v>72</v>
      </c>
      <c r="T126" s="327">
        <f>IFERROR(VLOOKUP($G126,'321買'!$A:$E,5,0),"'沒有資料'")</f>
        <v>349</v>
      </c>
      <c r="U126" s="45">
        <v>3</v>
      </c>
      <c r="V126" s="310"/>
      <c r="W126" s="57">
        <v>7.95</v>
      </c>
      <c r="X126" s="161">
        <v>143.5</v>
      </c>
      <c r="Y126" s="155">
        <v>137</v>
      </c>
      <c r="Z126" s="105">
        <f t="shared" ref="Z126" si="40">X126-Y126</f>
        <v>6.5</v>
      </c>
      <c r="AA126" s="158">
        <f t="shared" ref="AA126" si="41">Z126/Y126</f>
        <v>4.7445255474452552E-2</v>
      </c>
      <c r="AB126" s="167" t="s">
        <v>1689</v>
      </c>
      <c r="AC126" s="382"/>
      <c r="AD126" s="166" t="s">
        <v>167</v>
      </c>
      <c r="AE126" s="84">
        <v>44463</v>
      </c>
      <c r="AF126" s="83"/>
      <c r="AG126" s="33">
        <f>AF126-AE126</f>
        <v>-44463</v>
      </c>
      <c r="AH126" s="41" t="s">
        <v>1122</v>
      </c>
    </row>
    <row r="127" spans="1:36" s="248" customFormat="1">
      <c r="A127" s="141"/>
      <c r="B127" s="79"/>
      <c r="C127" s="79"/>
      <c r="D127" s="79"/>
      <c r="E127" s="79"/>
      <c r="F127" s="6"/>
      <c r="G127" s="41"/>
      <c r="H127" s="8"/>
      <c r="I127" s="153"/>
      <c r="J127" s="1"/>
      <c r="K127" s="1"/>
      <c r="L127" s="123"/>
      <c r="M127" s="234"/>
      <c r="N127" s="341"/>
      <c r="O127" s="245"/>
      <c r="P127" s="365"/>
      <c r="Q127" s="47"/>
      <c r="R127" s="346"/>
      <c r="S127" s="303"/>
      <c r="T127" s="322"/>
      <c r="U127" s="185"/>
      <c r="V127" s="311"/>
      <c r="W127" s="94"/>
      <c r="X127" s="165">
        <f>SUM(X126)</f>
        <v>143.5</v>
      </c>
      <c r="Y127" s="155">
        <f>SUM(Y126)</f>
        <v>137</v>
      </c>
      <c r="Z127" s="162">
        <f>X127-Y127</f>
        <v>6.5</v>
      </c>
      <c r="AA127" s="158">
        <f>Z127/Y127</f>
        <v>4.7445255474452552E-2</v>
      </c>
      <c r="AB127" s="113"/>
      <c r="AC127" s="382"/>
      <c r="AD127" s="153">
        <f>X127*(0.001425*0.5)+X127*0.003+Y127*(0.001425*0.5)</f>
        <v>0.63035624999999995</v>
      </c>
      <c r="AE127" s="6">
        <f>Z127-AD127</f>
        <v>5.8696437499999998</v>
      </c>
      <c r="AF127" s="83"/>
      <c r="AG127" s="33"/>
      <c r="AH127" s="41" t="s">
        <v>1551</v>
      </c>
      <c r="AI127" s="163"/>
    </row>
    <row r="128" spans="1:36" s="248" customFormat="1">
      <c r="A128" s="141"/>
      <c r="B128" s="79"/>
      <c r="C128" s="79"/>
      <c r="D128" s="79"/>
      <c r="E128" s="79"/>
      <c r="F128" s="6"/>
      <c r="G128" s="41"/>
      <c r="H128" s="8"/>
      <c r="I128" s="153"/>
      <c r="J128" s="1"/>
      <c r="K128" s="1"/>
      <c r="L128" s="123"/>
      <c r="M128" s="234"/>
      <c r="N128" s="341"/>
      <c r="O128" s="245"/>
      <c r="P128" s="365"/>
      <c r="Q128" s="79"/>
      <c r="R128" s="346"/>
      <c r="S128" s="81"/>
      <c r="T128" s="322"/>
      <c r="U128" s="185"/>
      <c r="V128" s="311"/>
      <c r="W128" s="94"/>
      <c r="X128" s="165"/>
      <c r="Y128" s="155"/>
      <c r="Z128" s="226"/>
      <c r="AA128" s="164"/>
      <c r="AB128" s="113"/>
      <c r="AC128" s="382"/>
      <c r="AD128" s="153"/>
      <c r="AE128" s="6"/>
      <c r="AF128" s="83"/>
      <c r="AG128" s="33"/>
      <c r="AH128" s="41"/>
      <c r="AI128" s="163"/>
    </row>
    <row r="129" spans="1:36" s="248" customFormat="1">
      <c r="A129" s="141"/>
      <c r="B129" s="79"/>
      <c r="C129" s="79"/>
      <c r="D129" s="79"/>
      <c r="E129" s="79"/>
      <c r="F129" s="6"/>
      <c r="G129" s="41"/>
      <c r="H129" s="8"/>
      <c r="I129" s="153"/>
      <c r="J129" s="1"/>
      <c r="K129" s="1"/>
      <c r="L129" s="123"/>
      <c r="M129" s="234"/>
      <c r="N129" s="341"/>
      <c r="O129" s="245"/>
      <c r="P129" s="365"/>
      <c r="Q129" s="47"/>
      <c r="R129" s="346"/>
      <c r="S129" s="303"/>
      <c r="T129" s="322"/>
      <c r="U129" s="185"/>
      <c r="V129" s="311"/>
      <c r="W129" s="94"/>
      <c r="X129" s="165"/>
      <c r="Y129" s="155"/>
      <c r="Z129" s="226"/>
      <c r="AA129" s="164"/>
      <c r="AB129" s="113"/>
      <c r="AC129" s="382"/>
      <c r="AD129" s="153"/>
      <c r="AE129" s="6"/>
      <c r="AF129" s="83"/>
      <c r="AG129" s="33"/>
      <c r="AH129" s="41"/>
      <c r="AI129" s="163"/>
    </row>
    <row r="130" spans="1:36" s="248" customFormat="1">
      <c r="A130" s="127" t="s">
        <v>1673</v>
      </c>
      <c r="B130" s="90" t="s">
        <v>1572</v>
      </c>
      <c r="C130" s="90" t="s">
        <v>1573</v>
      </c>
      <c r="D130" s="90" t="s">
        <v>1574</v>
      </c>
      <c r="E130" s="90" t="s">
        <v>1575</v>
      </c>
      <c r="F130" s="8" t="s">
        <v>1060</v>
      </c>
      <c r="G130" s="26" t="s">
        <v>3442</v>
      </c>
      <c r="H130" s="55" t="s">
        <v>320</v>
      </c>
      <c r="I130" s="1" t="s">
        <v>69</v>
      </c>
      <c r="J130" s="8" t="s">
        <v>6221</v>
      </c>
      <c r="K130" s="5" t="s">
        <v>6222</v>
      </c>
      <c r="L130" s="337" t="s">
        <v>6206</v>
      </c>
      <c r="M130" s="338" t="s">
        <v>6207</v>
      </c>
      <c r="N130" s="339" t="s">
        <v>6208</v>
      </c>
      <c r="O130" s="4" t="s">
        <v>6713</v>
      </c>
      <c r="P130" s="89" t="s">
        <v>6285</v>
      </c>
      <c r="Q130" s="293" t="s">
        <v>6284</v>
      </c>
      <c r="R130" s="354" t="s">
        <v>6283</v>
      </c>
      <c r="S130" s="26" t="s">
        <v>6286</v>
      </c>
      <c r="T130" s="321" t="s">
        <v>4716</v>
      </c>
      <c r="U130" s="14" t="s">
        <v>66</v>
      </c>
      <c r="V130" s="308" t="s">
        <v>4731</v>
      </c>
      <c r="W130" s="68" t="s">
        <v>3273</v>
      </c>
      <c r="X130" s="28" t="s">
        <v>2</v>
      </c>
      <c r="Y130" s="17" t="s">
        <v>1399</v>
      </c>
      <c r="Z130" s="14" t="s">
        <v>2250</v>
      </c>
      <c r="AA130" s="21" t="s">
        <v>3</v>
      </c>
      <c r="AB130" s="51" t="s">
        <v>6174</v>
      </c>
      <c r="AC130" s="102" t="s">
        <v>6420</v>
      </c>
      <c r="AD130" s="1" t="s">
        <v>69</v>
      </c>
      <c r="AE130" s="71" t="s">
        <v>1400</v>
      </c>
      <c r="AF130" s="72" t="s">
        <v>1157</v>
      </c>
      <c r="AG130" s="32" t="s">
        <v>1158</v>
      </c>
      <c r="AH130" s="46" t="s">
        <v>6232</v>
      </c>
      <c r="AI130" s="163"/>
    </row>
    <row r="131" spans="1:36" s="248" customFormat="1">
      <c r="A131" s="142" t="s">
        <v>1652</v>
      </c>
      <c r="B131" s="92">
        <v>2431</v>
      </c>
      <c r="C131" s="79">
        <v>636</v>
      </c>
      <c r="D131" s="80">
        <v>-5</v>
      </c>
      <c r="E131" s="79">
        <v>33</v>
      </c>
      <c r="F131" s="6">
        <v>8.8699999999999992</v>
      </c>
      <c r="G131" s="79">
        <v>3265</v>
      </c>
      <c r="H131" s="30" t="s">
        <v>1462</v>
      </c>
      <c r="I131" s="166" t="s">
        <v>78</v>
      </c>
      <c r="J131" s="8">
        <f>IFERROR(VLOOKUP($G131,今日總結!$A:$AJ,33,0),"")</f>
        <v>0</v>
      </c>
      <c r="K131" s="5">
        <f>IFERROR(VLOOKUP($G131,今日總結!$A:$AJ,34,0),"")</f>
        <v>1</v>
      </c>
      <c r="L131" s="156">
        <f>IFERROR(VLOOKUP($G131,今日總結!$A:$AJ,31,0),"")</f>
        <v>0</v>
      </c>
      <c r="M131" s="340">
        <f>IFERROR(VLOOKUP($G131,今日總結!$A:$AJ,32,0),"")</f>
        <v>0</v>
      </c>
      <c r="N131" s="240">
        <f t="shared" ref="N131" si="42">IFERROR(L131-M131,"")</f>
        <v>0</v>
      </c>
      <c r="O131" s="245"/>
      <c r="P131" s="365">
        <f>IFERROR(VLOOKUP($G131,融外自投!$A:$J,7,0),"無")</f>
        <v>590</v>
      </c>
      <c r="Q131" s="79">
        <f>IFERROR(VLOOKUP($G131,融外自投!$A:$J,9,0),"無")</f>
        <v>47</v>
      </c>
      <c r="R131" s="346">
        <f>IFERROR(VLOOKUP($G131,融外自投!$A:$J,8,0),"無")</f>
        <v>791</v>
      </c>
      <c r="S131" s="81" t="str">
        <f>IFERROR(VLOOKUP($G131,融外自投!$A:$J,10,0),"無")</f>
        <v>無</v>
      </c>
      <c r="T131" s="327">
        <f>IFERROR(VLOOKUP($G131,'321買'!$A:$E,5,0),"'沒有資料'")</f>
        <v>984</v>
      </c>
      <c r="U131" s="185">
        <v>2.2999999999999998</v>
      </c>
      <c r="V131" s="310"/>
      <c r="W131" s="57">
        <v>1.9</v>
      </c>
      <c r="X131" s="165">
        <v>39.450000000000003</v>
      </c>
      <c r="Y131" s="65">
        <f>33.4-1.23</f>
        <v>32.17</v>
      </c>
      <c r="Z131" s="162">
        <f>X131-Y131</f>
        <v>7.2800000000000011</v>
      </c>
      <c r="AA131" s="158">
        <f>Z131/Y131</f>
        <v>0.22629779297482128</v>
      </c>
      <c r="AB131" s="167" t="s">
        <v>6376</v>
      </c>
      <c r="AC131" s="382"/>
      <c r="AD131" s="166" t="s">
        <v>78</v>
      </c>
      <c r="AE131" s="84">
        <v>44313</v>
      </c>
      <c r="AF131" s="83">
        <v>44678</v>
      </c>
      <c r="AG131" s="33">
        <f>AF131-AE131</f>
        <v>365</v>
      </c>
      <c r="AH131" s="41" t="s">
        <v>1122</v>
      </c>
      <c r="AI131" s="180"/>
      <c r="AJ131" s="179"/>
    </row>
    <row r="132" spans="1:36" s="248" customFormat="1">
      <c r="A132" s="142" t="s">
        <v>1652</v>
      </c>
      <c r="B132" s="92">
        <v>2431</v>
      </c>
      <c r="C132" s="79">
        <v>636</v>
      </c>
      <c r="D132" s="80">
        <v>-5</v>
      </c>
      <c r="E132" s="79">
        <v>33</v>
      </c>
      <c r="F132" s="6">
        <v>8.8699999999999992</v>
      </c>
      <c r="G132" s="79">
        <v>3265</v>
      </c>
      <c r="H132" s="30" t="s">
        <v>1462</v>
      </c>
      <c r="I132" s="166" t="s">
        <v>78</v>
      </c>
      <c r="J132" s="8">
        <f>IFERROR(VLOOKUP($G132,今日總結!$A:$AJ,33,0),"")</f>
        <v>0</v>
      </c>
      <c r="K132" s="5">
        <f>IFERROR(VLOOKUP($G132,今日總結!$A:$AJ,34,0),"")</f>
        <v>1</v>
      </c>
      <c r="L132" s="156">
        <f>IFERROR(VLOOKUP($G132,今日總結!$A:$AJ,31,0),"")</f>
        <v>0</v>
      </c>
      <c r="M132" s="340">
        <f>IFERROR(VLOOKUP($G132,今日總結!$A:$AJ,32,0),"")</f>
        <v>0</v>
      </c>
      <c r="N132" s="240">
        <f t="shared" ref="N132:N142" si="43">IFERROR(L132-M132,"")</f>
        <v>0</v>
      </c>
      <c r="O132" s="245"/>
      <c r="P132" s="365">
        <f>IFERROR(VLOOKUP($G132,融外自投!$A:$J,7,0),"無")</f>
        <v>590</v>
      </c>
      <c r="Q132" s="79">
        <f>IFERROR(VLOOKUP($G132,融外自投!$A:$J,9,0),"無")</f>
        <v>47</v>
      </c>
      <c r="R132" s="346">
        <f>IFERROR(VLOOKUP($G132,融外自投!$A:$J,8,0),"無")</f>
        <v>791</v>
      </c>
      <c r="S132" s="81" t="str">
        <f>IFERROR(VLOOKUP($G132,融外自投!$A:$J,10,0),"無")</f>
        <v>無</v>
      </c>
      <c r="T132" s="327">
        <f>IFERROR(VLOOKUP($G132,'321買'!$A:$E,5,0),"'沒有資料'")</f>
        <v>984</v>
      </c>
      <c r="U132" s="185">
        <v>2.2999999999999998</v>
      </c>
      <c r="V132" s="310"/>
      <c r="W132" s="57">
        <v>1.9</v>
      </c>
      <c r="X132" s="165">
        <v>39.450000000000003</v>
      </c>
      <c r="Y132" s="65">
        <f>33.8-1.23</f>
        <v>32.57</v>
      </c>
      <c r="Z132" s="162">
        <f>X132-Y132</f>
        <v>6.8800000000000026</v>
      </c>
      <c r="AA132" s="158">
        <f>Z132/Y132</f>
        <v>0.21123733497083214</v>
      </c>
      <c r="AB132" s="167" t="s">
        <v>6377</v>
      </c>
      <c r="AC132" s="382"/>
      <c r="AD132" s="166" t="s">
        <v>78</v>
      </c>
      <c r="AE132" s="84">
        <v>44299</v>
      </c>
      <c r="AF132" s="83">
        <v>44678</v>
      </c>
      <c r="AG132" s="33">
        <f>AF132-AE132</f>
        <v>379</v>
      </c>
      <c r="AH132" s="41" t="s">
        <v>1122</v>
      </c>
      <c r="AI132" s="180"/>
      <c r="AJ132" s="179"/>
    </row>
    <row r="133" spans="1:36" s="248" customFormat="1">
      <c r="A133" s="142" t="s">
        <v>1652</v>
      </c>
      <c r="B133" s="92">
        <v>2431</v>
      </c>
      <c r="C133" s="79">
        <v>636</v>
      </c>
      <c r="D133" s="80">
        <v>-5</v>
      </c>
      <c r="E133" s="79">
        <v>33</v>
      </c>
      <c r="F133" s="6">
        <v>8.8699999999999992</v>
      </c>
      <c r="G133" s="79">
        <v>3265</v>
      </c>
      <c r="H133" s="30" t="s">
        <v>1462</v>
      </c>
      <c r="I133" s="166" t="s">
        <v>78</v>
      </c>
      <c r="J133" s="8">
        <f>IFERROR(VLOOKUP($G133,今日總結!$A:$AJ,33,0),"")</f>
        <v>0</v>
      </c>
      <c r="K133" s="5">
        <f>IFERROR(VLOOKUP($G133,今日總結!$A:$AJ,34,0),"")</f>
        <v>1</v>
      </c>
      <c r="L133" s="156">
        <f>IFERROR(VLOOKUP($G133,今日總結!$A:$AJ,31,0),"")</f>
        <v>0</v>
      </c>
      <c r="M133" s="340">
        <f>IFERROR(VLOOKUP($G133,今日總結!$A:$AJ,32,0),"")</f>
        <v>0</v>
      </c>
      <c r="N133" s="240">
        <f t="shared" si="43"/>
        <v>0</v>
      </c>
      <c r="O133" s="245"/>
      <c r="P133" s="365">
        <f>IFERROR(VLOOKUP($G133,融外自投!$A:$J,7,0),"無")</f>
        <v>590</v>
      </c>
      <c r="Q133" s="79">
        <f>IFERROR(VLOOKUP($G133,融外自投!$A:$J,9,0),"無")</f>
        <v>47</v>
      </c>
      <c r="R133" s="346">
        <f>IFERROR(VLOOKUP($G133,融外自投!$A:$J,8,0),"無")</f>
        <v>791</v>
      </c>
      <c r="S133" s="81" t="str">
        <f>IFERROR(VLOOKUP($G133,融外自投!$A:$J,10,0),"無")</f>
        <v>無</v>
      </c>
      <c r="T133" s="327">
        <f>IFERROR(VLOOKUP($G133,'321買'!$A:$E,5,0),"'沒有資料'")</f>
        <v>984</v>
      </c>
      <c r="U133" s="185">
        <v>2.2999999999999998</v>
      </c>
      <c r="V133" s="311"/>
      <c r="W133" s="57">
        <v>1.9</v>
      </c>
      <c r="X133" s="165">
        <v>39.450000000000003</v>
      </c>
      <c r="Y133" s="65">
        <f>35.15-1.23</f>
        <v>33.92</v>
      </c>
      <c r="Z133" s="162">
        <f>X133-Y133</f>
        <v>5.5300000000000011</v>
      </c>
      <c r="AA133" s="158">
        <f>Z133/Y133</f>
        <v>0.16303066037735853</v>
      </c>
      <c r="AB133" s="167" t="s">
        <v>1885</v>
      </c>
      <c r="AC133" s="382"/>
      <c r="AD133" s="166" t="s">
        <v>78</v>
      </c>
      <c r="AE133" s="84">
        <v>44293</v>
      </c>
      <c r="AF133" s="83">
        <v>44678</v>
      </c>
      <c r="AG133" s="33">
        <f>AF133-AE133</f>
        <v>385</v>
      </c>
      <c r="AH133" s="41" t="s">
        <v>1122</v>
      </c>
      <c r="AI133" s="180"/>
      <c r="AJ133" s="179"/>
    </row>
    <row r="134" spans="1:36" s="248" customFormat="1">
      <c r="A134" s="142" t="s">
        <v>1652</v>
      </c>
      <c r="B134" s="92">
        <v>2431</v>
      </c>
      <c r="C134" s="79">
        <v>636</v>
      </c>
      <c r="D134" s="80">
        <v>-5</v>
      </c>
      <c r="E134" s="79">
        <v>33</v>
      </c>
      <c r="F134" s="6">
        <v>8.8699999999999992</v>
      </c>
      <c r="G134" s="79">
        <v>3265</v>
      </c>
      <c r="H134" s="30" t="s">
        <v>1462</v>
      </c>
      <c r="I134" s="166" t="s">
        <v>78</v>
      </c>
      <c r="J134" s="8">
        <f>IFERROR(VLOOKUP($G134,今日總結!$A:$AJ,33,0),"")</f>
        <v>0</v>
      </c>
      <c r="K134" s="5">
        <f>IFERROR(VLOOKUP($G134,今日總結!$A:$AJ,34,0),"")</f>
        <v>1</v>
      </c>
      <c r="L134" s="156">
        <f>IFERROR(VLOOKUP($G134,今日總結!$A:$AJ,31,0),"")</f>
        <v>0</v>
      </c>
      <c r="M134" s="340">
        <f>IFERROR(VLOOKUP($G134,今日總結!$A:$AJ,32,0),"")</f>
        <v>0</v>
      </c>
      <c r="N134" s="240">
        <f t="shared" si="43"/>
        <v>0</v>
      </c>
      <c r="O134" s="245"/>
      <c r="P134" s="365">
        <f>IFERROR(VLOOKUP($G134,融外自投!$A:$J,7,0),"無")</f>
        <v>590</v>
      </c>
      <c r="Q134" s="79">
        <f>IFERROR(VLOOKUP($G134,融外自投!$A:$J,9,0),"無")</f>
        <v>47</v>
      </c>
      <c r="R134" s="346">
        <f>IFERROR(VLOOKUP($G134,融外自投!$A:$J,8,0),"無")</f>
        <v>791</v>
      </c>
      <c r="S134" s="81" t="str">
        <f>IFERROR(VLOOKUP($G134,融外自投!$A:$J,10,0),"無")</f>
        <v>無</v>
      </c>
      <c r="T134" s="327">
        <f>IFERROR(VLOOKUP($G134,'321買'!$A:$E,5,0),"'沒有資料'")</f>
        <v>984</v>
      </c>
      <c r="U134" s="185">
        <v>2.2999999999999998</v>
      </c>
      <c r="V134" s="311"/>
      <c r="W134" s="57">
        <v>1.9</v>
      </c>
      <c r="X134" s="165">
        <v>39.450000000000003</v>
      </c>
      <c r="Y134" s="65">
        <f>36.5-1.23</f>
        <v>35.270000000000003</v>
      </c>
      <c r="Z134" s="162">
        <f>X134-Y134</f>
        <v>4.18</v>
      </c>
      <c r="AA134" s="158">
        <f>Z134/Y134</f>
        <v>0.1185143181173802</v>
      </c>
      <c r="AB134" s="167" t="s">
        <v>1717</v>
      </c>
      <c r="AC134" s="382"/>
      <c r="AD134" s="166" t="s">
        <v>78</v>
      </c>
      <c r="AE134" s="84">
        <v>44292</v>
      </c>
      <c r="AF134" s="83">
        <v>44678</v>
      </c>
      <c r="AG134" s="33">
        <f>AF134-AE134</f>
        <v>386</v>
      </c>
      <c r="AH134" s="41" t="s">
        <v>1122</v>
      </c>
      <c r="AI134" s="180"/>
      <c r="AJ134" s="179"/>
    </row>
    <row r="135" spans="1:36">
      <c r="A135" s="142" t="s">
        <v>1988</v>
      </c>
      <c r="B135" s="79">
        <v>352</v>
      </c>
      <c r="C135" s="80">
        <v>-330</v>
      </c>
      <c r="D135" s="79">
        <v>49</v>
      </c>
      <c r="E135" s="79">
        <v>50</v>
      </c>
      <c r="F135" s="6">
        <v>-20.73</v>
      </c>
      <c r="G135" s="80">
        <v>4128</v>
      </c>
      <c r="H135" s="30" t="s">
        <v>1462</v>
      </c>
      <c r="I135" s="16" t="s">
        <v>611</v>
      </c>
      <c r="J135" s="8">
        <f>IFERROR(VLOOKUP($G135,今日總結!$A:$AJ,33,0),"")</f>
        <v>0</v>
      </c>
      <c r="K135" s="5">
        <f>IFERROR(VLOOKUP($G135,今日總結!$A:$AJ,34,0),"")</f>
        <v>1</v>
      </c>
      <c r="L135" s="156">
        <f>IFERROR(VLOOKUP($G135,今日總結!$A:$AJ,31,0),"")</f>
        <v>0</v>
      </c>
      <c r="M135" s="340">
        <f>IFERROR(VLOOKUP($G135,今日總結!$A:$AJ,32,0),"")</f>
        <v>0</v>
      </c>
      <c r="N135" s="240">
        <f t="shared" si="43"/>
        <v>0</v>
      </c>
      <c r="P135" s="365">
        <f>IFERROR(VLOOKUP($G135,融外自投!$A:$J,7,0),"無")</f>
        <v>386</v>
      </c>
      <c r="Q135" s="79">
        <f>IFERROR(VLOOKUP($G135,融外自投!$A:$J,9,0),"無")</f>
        <v>653</v>
      </c>
      <c r="R135" s="346">
        <f>IFERROR(VLOOKUP($G135,融外自投!$A:$J,8,0),"無")</f>
        <v>715</v>
      </c>
      <c r="S135" s="81">
        <f>IFERROR(VLOOKUP($G135,融外自投!$A:$J,10,0),"無")</f>
        <v>473</v>
      </c>
      <c r="T135" s="327">
        <f>IFERROR(VLOOKUP($G135,'321買'!$A:$E,5,0),"'沒有資料'")</f>
        <v>232</v>
      </c>
      <c r="U135" s="34">
        <v>1</v>
      </c>
      <c r="V135" s="310"/>
      <c r="W135" s="94">
        <v>3.29</v>
      </c>
      <c r="X135" s="36">
        <v>66.099999999999994</v>
      </c>
      <c r="Y135" s="66">
        <f>57.1</f>
        <v>57.1</v>
      </c>
      <c r="Z135" s="15">
        <f t="shared" ref="Z135:Z139" si="44">X135-Y135</f>
        <v>8.9999999999999929</v>
      </c>
      <c r="AA135" s="63">
        <f t="shared" ref="AA135:AA139" si="45">Z135/Y135</f>
        <v>0.15761821366024506</v>
      </c>
      <c r="AB135" s="101" t="s">
        <v>6378</v>
      </c>
      <c r="AD135" s="16" t="s">
        <v>611</v>
      </c>
      <c r="AE135" s="84">
        <v>44334</v>
      </c>
      <c r="AF135" s="83">
        <v>44673</v>
      </c>
      <c r="AG135" s="33">
        <f t="shared" ref="AG135:AG139" si="46">AF135-AE135</f>
        <v>339</v>
      </c>
      <c r="AH135" s="41" t="s">
        <v>1122</v>
      </c>
      <c r="AI135" s="245"/>
      <c r="AJ135" s="8"/>
    </row>
    <row r="136" spans="1:36">
      <c r="A136" s="142" t="s">
        <v>1988</v>
      </c>
      <c r="B136" s="79">
        <v>352</v>
      </c>
      <c r="C136" s="80">
        <v>-330</v>
      </c>
      <c r="D136" s="79">
        <v>49</v>
      </c>
      <c r="E136" s="79">
        <v>50</v>
      </c>
      <c r="F136" s="6">
        <v>-20.73</v>
      </c>
      <c r="G136" s="80">
        <v>4128</v>
      </c>
      <c r="H136" s="30" t="s">
        <v>1462</v>
      </c>
      <c r="I136" s="16" t="s">
        <v>611</v>
      </c>
      <c r="J136" s="8">
        <f>IFERROR(VLOOKUP($G136,今日總結!$A:$AJ,33,0),"")</f>
        <v>0</v>
      </c>
      <c r="K136" s="5">
        <f>IFERROR(VLOOKUP($G136,今日總結!$A:$AJ,34,0),"")</f>
        <v>1</v>
      </c>
      <c r="L136" s="156">
        <f>IFERROR(VLOOKUP($G136,今日總結!$A:$AJ,31,0),"")</f>
        <v>0</v>
      </c>
      <c r="M136" s="340">
        <f>IFERROR(VLOOKUP($G136,今日總結!$A:$AJ,32,0),"")</f>
        <v>0</v>
      </c>
      <c r="N136" s="240">
        <f t="shared" si="43"/>
        <v>0</v>
      </c>
      <c r="P136" s="365">
        <f>IFERROR(VLOOKUP($G136,融外自投!$A:$J,7,0),"無")</f>
        <v>386</v>
      </c>
      <c r="Q136" s="79">
        <f>IFERROR(VLOOKUP($G136,融外自投!$A:$J,9,0),"無")</f>
        <v>653</v>
      </c>
      <c r="R136" s="346">
        <f>IFERROR(VLOOKUP($G136,融外自投!$A:$J,8,0),"無")</f>
        <v>715</v>
      </c>
      <c r="S136" s="81">
        <f>IFERROR(VLOOKUP($G136,融外自投!$A:$J,10,0),"無")</f>
        <v>473</v>
      </c>
      <c r="T136" s="327">
        <f>IFERROR(VLOOKUP($G136,'321買'!$A:$E,5,0),"'沒有資料'")</f>
        <v>232</v>
      </c>
      <c r="U136" s="34">
        <v>1</v>
      </c>
      <c r="V136" s="310"/>
      <c r="W136" s="94">
        <v>3.29</v>
      </c>
      <c r="X136" s="36">
        <v>66.099999999999994</v>
      </c>
      <c r="Y136" s="66">
        <f>60.3</f>
        <v>60.3</v>
      </c>
      <c r="Z136" s="15">
        <f t="shared" si="44"/>
        <v>5.7999999999999972</v>
      </c>
      <c r="AA136" s="63">
        <f t="shared" si="45"/>
        <v>9.6185737976782704E-2</v>
      </c>
      <c r="AB136" s="101" t="s">
        <v>6379</v>
      </c>
      <c r="AD136" s="16" t="s">
        <v>611</v>
      </c>
      <c r="AE136" s="84">
        <v>44313</v>
      </c>
      <c r="AF136" s="83">
        <v>44673</v>
      </c>
      <c r="AG136" s="33">
        <f t="shared" si="46"/>
        <v>360</v>
      </c>
      <c r="AH136" s="41" t="s">
        <v>1122</v>
      </c>
      <c r="AI136" s="245"/>
      <c r="AJ136" s="8"/>
    </row>
    <row r="137" spans="1:36">
      <c r="A137" s="142" t="s">
        <v>1988</v>
      </c>
      <c r="B137" s="79">
        <v>352</v>
      </c>
      <c r="C137" s="80">
        <v>-330</v>
      </c>
      <c r="D137" s="79">
        <v>49</v>
      </c>
      <c r="E137" s="79">
        <v>50</v>
      </c>
      <c r="F137" s="6">
        <v>-20.73</v>
      </c>
      <c r="G137" s="80">
        <v>4128</v>
      </c>
      <c r="H137" s="30" t="s">
        <v>1462</v>
      </c>
      <c r="I137" s="16" t="s">
        <v>611</v>
      </c>
      <c r="J137" s="8">
        <f>IFERROR(VLOOKUP($G137,今日總結!$A:$AJ,33,0),"")</f>
        <v>0</v>
      </c>
      <c r="K137" s="5">
        <f>IFERROR(VLOOKUP($G137,今日總結!$A:$AJ,34,0),"")</f>
        <v>1</v>
      </c>
      <c r="L137" s="156">
        <f>IFERROR(VLOOKUP($G137,今日總結!$A:$AJ,31,0),"")</f>
        <v>0</v>
      </c>
      <c r="M137" s="340">
        <f>IFERROR(VLOOKUP($G137,今日總結!$A:$AJ,32,0),"")</f>
        <v>0</v>
      </c>
      <c r="N137" s="240">
        <f t="shared" si="43"/>
        <v>0</v>
      </c>
      <c r="P137" s="365">
        <f>IFERROR(VLOOKUP($G137,融外自投!$A:$J,7,0),"無")</f>
        <v>386</v>
      </c>
      <c r="Q137" s="79">
        <f>IFERROR(VLOOKUP($G137,融外自投!$A:$J,9,0),"無")</f>
        <v>653</v>
      </c>
      <c r="R137" s="346">
        <f>IFERROR(VLOOKUP($G137,融外自投!$A:$J,8,0),"無")</f>
        <v>715</v>
      </c>
      <c r="S137" s="81">
        <f>IFERROR(VLOOKUP($G137,融外自投!$A:$J,10,0),"無")</f>
        <v>473</v>
      </c>
      <c r="T137" s="327">
        <f>IFERROR(VLOOKUP($G137,'321買'!$A:$E,5,0),"'沒有資料'")</f>
        <v>232</v>
      </c>
      <c r="U137" s="34">
        <v>1</v>
      </c>
      <c r="V137" s="310"/>
      <c r="W137" s="94">
        <v>3.29</v>
      </c>
      <c r="X137" s="36">
        <v>66.099999999999994</v>
      </c>
      <c r="Y137" s="66">
        <f>64</f>
        <v>64</v>
      </c>
      <c r="Z137" s="15">
        <f t="shared" si="44"/>
        <v>2.0999999999999943</v>
      </c>
      <c r="AA137" s="63">
        <f t="shared" si="45"/>
        <v>3.2812499999999911E-2</v>
      </c>
      <c r="AB137" s="101" t="s">
        <v>6263</v>
      </c>
      <c r="AD137" s="16" t="s">
        <v>611</v>
      </c>
      <c r="AE137" s="84">
        <v>44307</v>
      </c>
      <c r="AF137" s="83">
        <v>44673</v>
      </c>
      <c r="AG137" s="33">
        <f t="shared" si="46"/>
        <v>366</v>
      </c>
      <c r="AH137" s="41" t="s">
        <v>1122</v>
      </c>
      <c r="AI137" s="245"/>
      <c r="AJ137" s="8"/>
    </row>
    <row r="138" spans="1:36">
      <c r="A138" s="142" t="s">
        <v>1988</v>
      </c>
      <c r="B138" s="79">
        <v>352</v>
      </c>
      <c r="C138" s="80">
        <v>-330</v>
      </c>
      <c r="D138" s="79">
        <v>49</v>
      </c>
      <c r="E138" s="79">
        <v>50</v>
      </c>
      <c r="F138" s="6">
        <v>-20.73</v>
      </c>
      <c r="G138" s="80">
        <v>4128</v>
      </c>
      <c r="H138" s="30" t="s">
        <v>1462</v>
      </c>
      <c r="I138" s="16" t="s">
        <v>611</v>
      </c>
      <c r="J138" s="8">
        <f>IFERROR(VLOOKUP($G138,今日總結!$A:$AJ,33,0),"")</f>
        <v>0</v>
      </c>
      <c r="K138" s="5">
        <f>IFERROR(VLOOKUP($G138,今日總結!$A:$AJ,34,0),"")</f>
        <v>1</v>
      </c>
      <c r="L138" s="156">
        <f>IFERROR(VLOOKUP($G138,今日總結!$A:$AJ,31,0),"")</f>
        <v>0</v>
      </c>
      <c r="M138" s="340">
        <f>IFERROR(VLOOKUP($G138,今日總結!$A:$AJ,32,0),"")</f>
        <v>0</v>
      </c>
      <c r="N138" s="240">
        <f t="shared" si="43"/>
        <v>0</v>
      </c>
      <c r="P138" s="365">
        <f>IFERROR(VLOOKUP($G138,融外自投!$A:$J,7,0),"無")</f>
        <v>386</v>
      </c>
      <c r="Q138" s="79">
        <f>IFERROR(VLOOKUP($G138,融外自投!$A:$J,9,0),"無")</f>
        <v>653</v>
      </c>
      <c r="R138" s="346">
        <f>IFERROR(VLOOKUP($G138,融外自投!$A:$J,8,0),"無")</f>
        <v>715</v>
      </c>
      <c r="S138" s="81">
        <f>IFERROR(VLOOKUP($G138,融外自投!$A:$J,10,0),"無")</f>
        <v>473</v>
      </c>
      <c r="T138" s="327">
        <f>IFERROR(VLOOKUP($G138,'321買'!$A:$E,5,0),"'沒有資料'")</f>
        <v>232</v>
      </c>
      <c r="U138" s="34">
        <v>1</v>
      </c>
      <c r="V138" s="310"/>
      <c r="W138" s="94">
        <v>3.29</v>
      </c>
      <c r="X138" s="36">
        <v>66.099999999999994</v>
      </c>
      <c r="Y138" s="66">
        <f>63.5</f>
        <v>63.5</v>
      </c>
      <c r="Z138" s="15">
        <f t="shared" si="44"/>
        <v>2.5999999999999943</v>
      </c>
      <c r="AA138" s="63">
        <f t="shared" si="45"/>
        <v>4.0944881889763689E-2</v>
      </c>
      <c r="AB138" s="101" t="s">
        <v>1567</v>
      </c>
      <c r="AD138" s="16" t="s">
        <v>611</v>
      </c>
      <c r="AE138" s="84">
        <v>44307</v>
      </c>
      <c r="AF138" s="83">
        <v>44673</v>
      </c>
      <c r="AG138" s="33">
        <f t="shared" si="46"/>
        <v>366</v>
      </c>
      <c r="AH138" s="41" t="s">
        <v>1122</v>
      </c>
      <c r="AI138" s="245"/>
      <c r="AJ138" s="8"/>
    </row>
    <row r="139" spans="1:36">
      <c r="A139" s="142" t="s">
        <v>1988</v>
      </c>
      <c r="B139" s="79">
        <v>352</v>
      </c>
      <c r="C139" s="80">
        <v>-330</v>
      </c>
      <c r="D139" s="79">
        <v>49</v>
      </c>
      <c r="E139" s="79">
        <v>50</v>
      </c>
      <c r="F139" s="6">
        <v>-20.73</v>
      </c>
      <c r="G139" s="80">
        <v>4128</v>
      </c>
      <c r="H139" s="30" t="s">
        <v>1462</v>
      </c>
      <c r="I139" s="16" t="s">
        <v>611</v>
      </c>
      <c r="J139" s="8">
        <f>IFERROR(VLOOKUP($G139,今日總結!$A:$AJ,33,0),"")</f>
        <v>0</v>
      </c>
      <c r="K139" s="5">
        <f>IFERROR(VLOOKUP($G139,今日總結!$A:$AJ,34,0),"")</f>
        <v>1</v>
      </c>
      <c r="L139" s="156">
        <f>IFERROR(VLOOKUP($G139,今日總結!$A:$AJ,31,0),"")</f>
        <v>0</v>
      </c>
      <c r="M139" s="340">
        <f>IFERROR(VLOOKUP($G139,今日總結!$A:$AJ,32,0),"")</f>
        <v>0</v>
      </c>
      <c r="N139" s="240">
        <f t="shared" si="43"/>
        <v>0</v>
      </c>
      <c r="P139" s="365">
        <f>IFERROR(VLOOKUP($G139,融外自投!$A:$J,7,0),"無")</f>
        <v>386</v>
      </c>
      <c r="Q139" s="79">
        <f>IFERROR(VLOOKUP($G139,融外自投!$A:$J,9,0),"無")</f>
        <v>653</v>
      </c>
      <c r="R139" s="346">
        <f>IFERROR(VLOOKUP($G139,融外自投!$A:$J,8,0),"無")</f>
        <v>715</v>
      </c>
      <c r="S139" s="81">
        <f>IFERROR(VLOOKUP($G139,融外自投!$A:$J,10,0),"無")</f>
        <v>473</v>
      </c>
      <c r="T139" s="327">
        <f>IFERROR(VLOOKUP($G139,'321買'!$A:$E,5,0),"'沒有資料'")</f>
        <v>232</v>
      </c>
      <c r="U139" s="34">
        <v>1</v>
      </c>
      <c r="V139" s="310"/>
      <c r="W139" s="94">
        <v>3.29</v>
      </c>
      <c r="X139" s="36">
        <v>66.099999999999994</v>
      </c>
      <c r="Y139" s="66">
        <f>63.7</f>
        <v>63.7</v>
      </c>
      <c r="Z139" s="15">
        <f t="shared" si="44"/>
        <v>2.3999999999999915</v>
      </c>
      <c r="AA139" s="63">
        <f t="shared" si="45"/>
        <v>3.7676609105180399E-2</v>
      </c>
      <c r="AB139" s="101" t="s">
        <v>6380</v>
      </c>
      <c r="AD139" s="16" t="s">
        <v>611</v>
      </c>
      <c r="AE139" s="84">
        <v>44305</v>
      </c>
      <c r="AF139" s="83">
        <v>44673</v>
      </c>
      <c r="AG139" s="33">
        <f t="shared" si="46"/>
        <v>368</v>
      </c>
      <c r="AH139" s="41" t="s">
        <v>1122</v>
      </c>
      <c r="AI139" s="41" t="s">
        <v>3144</v>
      </c>
      <c r="AJ139" s="8"/>
    </row>
    <row r="140" spans="1:36">
      <c r="A140" s="142" t="s">
        <v>1729</v>
      </c>
      <c r="B140" s="80">
        <v>-53</v>
      </c>
      <c r="C140" s="80">
        <v>-65</v>
      </c>
      <c r="D140" s="79">
        <v>18</v>
      </c>
      <c r="E140" s="80">
        <v>-5</v>
      </c>
      <c r="F140" s="6">
        <v>6.45</v>
      </c>
      <c r="G140" s="80">
        <v>4130</v>
      </c>
      <c r="H140" s="50" t="s">
        <v>1404</v>
      </c>
      <c r="I140" s="16" t="s">
        <v>612</v>
      </c>
      <c r="J140" s="8">
        <f>IFERROR(VLOOKUP($G140,今日總結!$A:$AJ,33,0),"")</f>
        <v>0</v>
      </c>
      <c r="K140" s="5">
        <f>IFERROR(VLOOKUP($G140,今日總結!$A:$AJ,34,0),"")</f>
        <v>1</v>
      </c>
      <c r="L140" s="156">
        <f>IFERROR(VLOOKUP($G140,今日總結!$A:$AJ,31,0),"")</f>
        <v>0</v>
      </c>
      <c r="M140" s="340">
        <f>IFERROR(VLOOKUP($G140,今日總結!$A:$AJ,32,0),"")</f>
        <v>0</v>
      </c>
      <c r="N140" s="240">
        <f t="shared" si="43"/>
        <v>0</v>
      </c>
      <c r="P140" s="365">
        <f>IFERROR(VLOOKUP($G140,融外自投!$A:$J,7,0),"無")</f>
        <v>625</v>
      </c>
      <c r="Q140" s="79">
        <f>IFERROR(VLOOKUP($G140,融外自投!$A:$J,9,0),"無")</f>
        <v>435</v>
      </c>
      <c r="R140" s="346">
        <f>IFERROR(VLOOKUP($G140,融外自投!$A:$J,8,0),"無")</f>
        <v>1311</v>
      </c>
      <c r="S140" s="81" t="str">
        <f>IFERROR(VLOOKUP($G140,融外自投!$A:$J,10,0),"無")</f>
        <v>無</v>
      </c>
      <c r="T140" s="327">
        <f>IFERROR(VLOOKUP($G140,'321買'!$A:$E,5,0),"'沒有資料'")</f>
        <v>802</v>
      </c>
      <c r="U140" s="34">
        <v>0.35</v>
      </c>
      <c r="W140" s="94">
        <v>0.27</v>
      </c>
      <c r="X140" s="36">
        <v>28.8</v>
      </c>
      <c r="Y140" s="66">
        <f>28.7-0.56</f>
        <v>28.14</v>
      </c>
      <c r="Z140" s="15">
        <f>X140-Y140</f>
        <v>0.66000000000000014</v>
      </c>
      <c r="AA140" s="63">
        <f>Z140/Y140</f>
        <v>2.3454157782515996E-2</v>
      </c>
      <c r="AB140" s="101" t="s">
        <v>6369</v>
      </c>
      <c r="AD140" s="16" t="s">
        <v>612</v>
      </c>
      <c r="AE140" s="84">
        <v>44298</v>
      </c>
      <c r="AF140" s="83">
        <v>44670</v>
      </c>
      <c r="AG140" s="33">
        <f>AF140-AE140</f>
        <v>372</v>
      </c>
      <c r="AH140" s="127" t="s">
        <v>1122</v>
      </c>
      <c r="AJ140" s="8"/>
    </row>
    <row r="141" spans="1:36">
      <c r="A141" s="142" t="s">
        <v>1729</v>
      </c>
      <c r="B141" s="80">
        <v>-53</v>
      </c>
      <c r="C141" s="80">
        <v>-65</v>
      </c>
      <c r="D141" s="79">
        <v>18</v>
      </c>
      <c r="E141" s="80">
        <v>-5</v>
      </c>
      <c r="F141" s="6">
        <v>6.45</v>
      </c>
      <c r="G141" s="80">
        <v>4130</v>
      </c>
      <c r="H141" s="30" t="s">
        <v>1462</v>
      </c>
      <c r="I141" s="16" t="s">
        <v>612</v>
      </c>
      <c r="J141" s="8">
        <f>IFERROR(VLOOKUP($G141,今日總結!$A:$AJ,33,0),"")</f>
        <v>0</v>
      </c>
      <c r="K141" s="5">
        <f>IFERROR(VLOOKUP($G141,今日總結!$A:$AJ,34,0),"")</f>
        <v>1</v>
      </c>
      <c r="L141" s="156">
        <f>IFERROR(VLOOKUP($G141,今日總結!$A:$AJ,31,0),"")</f>
        <v>0</v>
      </c>
      <c r="M141" s="340">
        <f>IFERROR(VLOOKUP($G141,今日總結!$A:$AJ,32,0),"")</f>
        <v>0</v>
      </c>
      <c r="N141" s="240">
        <f t="shared" si="43"/>
        <v>0</v>
      </c>
      <c r="P141" s="365">
        <f>IFERROR(VLOOKUP($G141,融外自投!$A:$J,7,0),"無")</f>
        <v>625</v>
      </c>
      <c r="Q141" s="79">
        <f>IFERROR(VLOOKUP($G141,融外自投!$A:$J,9,0),"無")</f>
        <v>435</v>
      </c>
      <c r="R141" s="346">
        <f>IFERROR(VLOOKUP($G141,融外自投!$A:$J,8,0),"無")</f>
        <v>1311</v>
      </c>
      <c r="S141" s="81" t="str">
        <f>IFERROR(VLOOKUP($G141,融外自投!$A:$J,10,0),"無")</f>
        <v>無</v>
      </c>
      <c r="T141" s="327">
        <f>IFERROR(VLOOKUP($G141,'321買'!$A:$E,5,0),"'沒有資料'")</f>
        <v>802</v>
      </c>
      <c r="U141" s="34">
        <v>0.35</v>
      </c>
      <c r="W141" s="94">
        <v>0.27</v>
      </c>
      <c r="X141" s="36">
        <v>29.15</v>
      </c>
      <c r="Y141" s="66">
        <f>29.05-1.128</f>
        <v>27.922000000000001</v>
      </c>
      <c r="Z141" s="15">
        <f>X141-Y141</f>
        <v>1.227999999999998</v>
      </c>
      <c r="AA141" s="63">
        <f>Z141/Y141</f>
        <v>4.397965761764909E-2</v>
      </c>
      <c r="AB141" s="101" t="s">
        <v>6381</v>
      </c>
      <c r="AD141" s="16" t="s">
        <v>612</v>
      </c>
      <c r="AE141" s="84">
        <v>44298</v>
      </c>
      <c r="AF141" s="83">
        <v>44670</v>
      </c>
      <c r="AG141" s="33">
        <f>AF141-AE141</f>
        <v>372</v>
      </c>
      <c r="AH141" s="41" t="s">
        <v>1122</v>
      </c>
      <c r="AJ141" s="8"/>
    </row>
    <row r="142" spans="1:36">
      <c r="A142" s="142" t="s">
        <v>1729</v>
      </c>
      <c r="B142" s="80">
        <v>-53</v>
      </c>
      <c r="C142" s="80">
        <v>-65</v>
      </c>
      <c r="D142" s="79">
        <v>18</v>
      </c>
      <c r="E142" s="80">
        <v>-5</v>
      </c>
      <c r="F142" s="6">
        <v>6.45</v>
      </c>
      <c r="G142" s="80">
        <v>4130</v>
      </c>
      <c r="H142" s="30" t="s">
        <v>1462</v>
      </c>
      <c r="I142" s="16" t="s">
        <v>612</v>
      </c>
      <c r="J142" s="8">
        <f>IFERROR(VLOOKUP($G142,今日總結!$A:$AJ,33,0),"")</f>
        <v>0</v>
      </c>
      <c r="K142" s="5">
        <f>IFERROR(VLOOKUP($G142,今日總結!$A:$AJ,34,0),"")</f>
        <v>1</v>
      </c>
      <c r="L142" s="156">
        <f>IFERROR(VLOOKUP($G142,今日總結!$A:$AJ,31,0),"")</f>
        <v>0</v>
      </c>
      <c r="M142" s="340">
        <f>IFERROR(VLOOKUP($G142,今日總結!$A:$AJ,32,0),"")</f>
        <v>0</v>
      </c>
      <c r="N142" s="240">
        <f t="shared" si="43"/>
        <v>0</v>
      </c>
      <c r="P142" s="365">
        <f>IFERROR(VLOOKUP($G142,融外自投!$A:$J,7,0),"無")</f>
        <v>625</v>
      </c>
      <c r="Q142" s="79">
        <f>IFERROR(VLOOKUP($G142,融外自投!$A:$J,9,0),"無")</f>
        <v>435</v>
      </c>
      <c r="R142" s="346">
        <f>IFERROR(VLOOKUP($G142,融外自投!$A:$J,8,0),"無")</f>
        <v>1311</v>
      </c>
      <c r="S142" s="81" t="str">
        <f>IFERROR(VLOOKUP($G142,融外自投!$A:$J,10,0),"無")</f>
        <v>無</v>
      </c>
      <c r="T142" s="327">
        <f>IFERROR(VLOOKUP($G142,'321買'!$A:$E,5,0),"'沒有資料'")</f>
        <v>802</v>
      </c>
      <c r="U142" s="34">
        <v>0.35</v>
      </c>
      <c r="W142" s="94">
        <v>0.27</v>
      </c>
      <c r="X142" s="36">
        <v>29.15</v>
      </c>
      <c r="Y142" s="66">
        <f>28.65</f>
        <v>28.65</v>
      </c>
      <c r="Z142" s="15">
        <f>X142-Y142</f>
        <v>0.5</v>
      </c>
      <c r="AA142" s="63">
        <f>Z142/Y142</f>
        <v>1.7452006980802792E-2</v>
      </c>
      <c r="AB142" s="101" t="s">
        <v>6382</v>
      </c>
      <c r="AD142" s="16" t="s">
        <v>612</v>
      </c>
      <c r="AE142" s="84">
        <v>44298</v>
      </c>
      <c r="AF142" s="83">
        <v>44670</v>
      </c>
      <c r="AG142" s="33">
        <f>AF142-AE142</f>
        <v>372</v>
      </c>
      <c r="AH142" s="41" t="s">
        <v>1122</v>
      </c>
      <c r="AI142" s="41" t="s">
        <v>1502</v>
      </c>
      <c r="AJ142" s="8"/>
    </row>
    <row r="143" spans="1:36" s="248" customFormat="1">
      <c r="A143" s="141"/>
      <c r="B143" s="79"/>
      <c r="C143" s="79"/>
      <c r="D143" s="79"/>
      <c r="E143" s="79"/>
      <c r="F143" s="6"/>
      <c r="G143" s="41"/>
      <c r="H143" s="8"/>
      <c r="I143" s="153"/>
      <c r="J143" s="1"/>
      <c r="K143" s="1"/>
      <c r="L143" s="123"/>
      <c r="M143" s="234"/>
      <c r="N143" s="341"/>
      <c r="O143" s="245"/>
      <c r="P143" s="365"/>
      <c r="Q143" s="47"/>
      <c r="R143" s="346"/>
      <c r="S143" s="303"/>
      <c r="T143" s="322"/>
      <c r="U143" s="185"/>
      <c r="V143" s="311"/>
      <c r="W143" s="94"/>
      <c r="X143" s="165">
        <f>SUM(X131:X142)</f>
        <v>575.4</v>
      </c>
      <c r="Y143" s="155">
        <f>SUM(Y131:Y142)</f>
        <v>527.24199999999996</v>
      </c>
      <c r="Z143" s="162">
        <f>X143-Y143</f>
        <v>48.158000000000015</v>
      </c>
      <c r="AA143" s="158">
        <f>Z143/Y143</f>
        <v>9.133946081685454E-2</v>
      </c>
      <c r="AB143" s="113"/>
      <c r="AC143" s="382"/>
      <c r="AD143" s="153">
        <f>X143*(0.001425*0.5)+X143*0.003+Y143*(0.001425*0.5)</f>
        <v>2.5118324249999997</v>
      </c>
      <c r="AE143" s="6">
        <f>Z143-AD143</f>
        <v>45.646167575000014</v>
      </c>
      <c r="AF143" s="83"/>
      <c r="AG143" s="33"/>
      <c r="AH143" s="41" t="s">
        <v>1551</v>
      </c>
      <c r="AI143" s="163"/>
    </row>
    <row r="144" spans="1:36" s="248" customFormat="1">
      <c r="A144" s="141"/>
      <c r="B144" s="79"/>
      <c r="C144" s="79"/>
      <c r="D144" s="79"/>
      <c r="E144" s="79"/>
      <c r="F144" s="6"/>
      <c r="G144" s="41"/>
      <c r="H144" s="8"/>
      <c r="I144" s="153"/>
      <c r="J144" s="1"/>
      <c r="K144" s="1"/>
      <c r="L144" s="245"/>
      <c r="M144" s="234"/>
      <c r="N144" s="341"/>
      <c r="O144" s="245"/>
      <c r="P144" s="365"/>
      <c r="Q144" s="47"/>
      <c r="R144" s="346"/>
      <c r="S144" s="303"/>
      <c r="T144" s="322"/>
      <c r="U144" s="185"/>
      <c r="V144" s="311"/>
      <c r="W144" s="94"/>
      <c r="X144" s="165"/>
      <c r="Y144" s="155"/>
      <c r="Z144" s="162"/>
      <c r="AA144" s="164"/>
      <c r="AB144" s="113"/>
      <c r="AC144" s="382"/>
      <c r="AD144" s="153"/>
      <c r="AE144" s="6"/>
      <c r="AF144" s="83"/>
      <c r="AG144" s="33"/>
      <c r="AH144" s="41"/>
      <c r="AI144" s="163"/>
    </row>
    <row r="145" spans="1:42" s="248" customFormat="1">
      <c r="A145" s="127" t="s">
        <v>1673</v>
      </c>
      <c r="B145" s="90" t="s">
        <v>1572</v>
      </c>
      <c r="C145" s="90" t="s">
        <v>1573</v>
      </c>
      <c r="D145" s="90" t="s">
        <v>1574</v>
      </c>
      <c r="E145" s="90" t="s">
        <v>1575</v>
      </c>
      <c r="F145" s="8" t="s">
        <v>1060</v>
      </c>
      <c r="G145" s="26" t="s">
        <v>3442</v>
      </c>
      <c r="H145" s="55" t="s">
        <v>320</v>
      </c>
      <c r="I145" s="1" t="s">
        <v>69</v>
      </c>
      <c r="J145" s="8" t="s">
        <v>6221</v>
      </c>
      <c r="K145" s="5" t="s">
        <v>6222</v>
      </c>
      <c r="L145" s="337" t="s">
        <v>6206</v>
      </c>
      <c r="M145" s="338" t="s">
        <v>6207</v>
      </c>
      <c r="N145" s="339" t="s">
        <v>6208</v>
      </c>
      <c r="O145" s="4" t="s">
        <v>6713</v>
      </c>
      <c r="P145" s="89" t="s">
        <v>6285</v>
      </c>
      <c r="Q145" s="293" t="s">
        <v>6284</v>
      </c>
      <c r="R145" s="354" t="s">
        <v>6283</v>
      </c>
      <c r="S145" s="26" t="s">
        <v>6286</v>
      </c>
      <c r="T145" s="321" t="s">
        <v>4716</v>
      </c>
      <c r="U145" s="14" t="s">
        <v>66</v>
      </c>
      <c r="V145" s="308" t="s">
        <v>4731</v>
      </c>
      <c r="W145" s="68" t="s">
        <v>3273</v>
      </c>
      <c r="X145" s="28" t="s">
        <v>2</v>
      </c>
      <c r="Y145" s="17" t="s">
        <v>1399</v>
      </c>
      <c r="Z145" s="14" t="s">
        <v>2250</v>
      </c>
      <c r="AA145" s="21" t="s">
        <v>3</v>
      </c>
      <c r="AB145" s="51" t="s">
        <v>6174</v>
      </c>
      <c r="AC145" s="102" t="s">
        <v>6420</v>
      </c>
      <c r="AD145" s="1" t="s">
        <v>69</v>
      </c>
      <c r="AE145" s="71" t="s">
        <v>1400</v>
      </c>
      <c r="AF145" s="72" t="s">
        <v>1157</v>
      </c>
      <c r="AG145" s="32" t="s">
        <v>1158</v>
      </c>
      <c r="AH145" s="46" t="s">
        <v>4755</v>
      </c>
      <c r="AI145" s="163"/>
    </row>
    <row r="146" spans="1:42">
      <c r="A146" s="127" t="s">
        <v>1658</v>
      </c>
      <c r="B146" s="79">
        <v>285</v>
      </c>
      <c r="C146" s="79">
        <v>110</v>
      </c>
      <c r="D146" s="79">
        <v>18</v>
      </c>
      <c r="E146" s="80">
        <v>-74</v>
      </c>
      <c r="F146" s="57">
        <v>50.43</v>
      </c>
      <c r="G146" s="79">
        <v>4162</v>
      </c>
      <c r="H146" s="50" t="s">
        <v>1404</v>
      </c>
      <c r="I146" s="16" t="s">
        <v>37</v>
      </c>
      <c r="J146" s="8" t="str">
        <f>IFERROR(VLOOKUP($G146,今日總結!$A:$AJ,33,0),"")</f>
        <v/>
      </c>
      <c r="K146" s="5" t="str">
        <f>IFERROR(VLOOKUP($G146,今日總結!$A:$AJ,34,0),"")</f>
        <v/>
      </c>
      <c r="L146" s="156" t="str">
        <f>IFERROR(VLOOKUP($G146,今日總結!$A:$AJ,31,0),"")</f>
        <v/>
      </c>
      <c r="M146" s="340" t="str">
        <f>IFERROR(VLOOKUP($G146,今日總結!$A:$AJ,32,0),"")</f>
        <v/>
      </c>
      <c r="N146" s="240" t="str">
        <f t="shared" ref="N146" si="47">IFERROR(L146-M146,"")</f>
        <v/>
      </c>
      <c r="P146" s="365">
        <f>IFERROR(VLOOKUP($G146,融外自投!$A:$J,7,0),"無")</f>
        <v>276</v>
      </c>
      <c r="Q146" s="79">
        <f>IFERROR(VLOOKUP($G146,融外自投!$A:$J,9,0),"無")</f>
        <v>312</v>
      </c>
      <c r="R146" s="346">
        <f>IFERROR(VLOOKUP($G146,融外自投!$A:$J,8,0),"無")</f>
        <v>748</v>
      </c>
      <c r="S146" s="81">
        <f>IFERROR(VLOOKUP($G146,融外自投!$A:$J,10,0),"無")</f>
        <v>217</v>
      </c>
      <c r="T146" s="327">
        <f>IFERROR(VLOOKUP($G146,'321買'!$A:$E,5,0),"'沒有資料'")</f>
        <v>606</v>
      </c>
      <c r="U146" s="34">
        <v>2.5299999999999998</v>
      </c>
      <c r="V146" s="310"/>
      <c r="W146" s="94">
        <v>5.77</v>
      </c>
      <c r="X146" s="36">
        <v>79.2</v>
      </c>
      <c r="Y146" s="66">
        <f>68.5-2.53</f>
        <v>65.97</v>
      </c>
      <c r="Z146" s="15">
        <f>X146-Y146</f>
        <v>13.230000000000004</v>
      </c>
      <c r="AA146" s="63">
        <f>Z146/Y146</f>
        <v>0.20054570259208737</v>
      </c>
      <c r="AB146" s="101" t="s">
        <v>6383</v>
      </c>
      <c r="AD146" s="16" t="s">
        <v>37</v>
      </c>
      <c r="AE146" s="84">
        <v>44348</v>
      </c>
      <c r="AF146" s="83">
        <v>44621</v>
      </c>
      <c r="AG146" s="33">
        <f>AF146-AE146</f>
        <v>273</v>
      </c>
      <c r="AH146" s="127" t="s">
        <v>1122</v>
      </c>
      <c r="AI146" s="221"/>
      <c r="AJ146" s="16"/>
      <c r="AK146" s="206"/>
      <c r="AL146" s="239"/>
      <c r="AM146" s="249"/>
      <c r="AN146" s="251"/>
    </row>
    <row r="147" spans="1:42" s="248" customFormat="1">
      <c r="A147" s="141"/>
      <c r="B147" s="79"/>
      <c r="C147" s="79"/>
      <c r="D147" s="79"/>
      <c r="E147" s="79"/>
      <c r="F147" s="6"/>
      <c r="G147" s="41"/>
      <c r="H147" s="8"/>
      <c r="I147" s="153"/>
      <c r="J147" s="1"/>
      <c r="K147" s="1"/>
      <c r="L147" s="123"/>
      <c r="M147" s="234"/>
      <c r="N147" s="341"/>
      <c r="O147" s="245"/>
      <c r="P147" s="365"/>
      <c r="Q147" s="47"/>
      <c r="R147" s="346"/>
      <c r="S147" s="303"/>
      <c r="T147" s="322"/>
      <c r="U147" s="185"/>
      <c r="V147" s="310"/>
      <c r="W147" s="94"/>
      <c r="X147" s="165">
        <f>SUM(X146)</f>
        <v>79.2</v>
      </c>
      <c r="Y147" s="155">
        <f>SUM(Y146)</f>
        <v>65.97</v>
      </c>
      <c r="Z147" s="162">
        <f>X147-Y147</f>
        <v>13.230000000000004</v>
      </c>
      <c r="AA147" s="158">
        <f>Z147/Y147</f>
        <v>0.20054570259208737</v>
      </c>
      <c r="AB147" s="113"/>
      <c r="AC147" s="382"/>
      <c r="AD147" s="153">
        <f>X147*(0.001425*0.5)+X147*0.003+Y147*(0.001425*0.5)</f>
        <v>0.34103362500000001</v>
      </c>
      <c r="AE147" s="6">
        <f>Z147-AD147</f>
        <v>12.888966375000004</v>
      </c>
      <c r="AF147" s="83"/>
      <c r="AG147" s="33"/>
      <c r="AH147" s="41" t="s">
        <v>1122</v>
      </c>
      <c r="AI147" s="163"/>
    </row>
    <row r="148" spans="1:42" s="248" customFormat="1">
      <c r="A148" s="141"/>
      <c r="B148" s="79"/>
      <c r="C148" s="79"/>
      <c r="D148" s="79"/>
      <c r="E148" s="79"/>
      <c r="F148" s="6"/>
      <c r="G148" s="41"/>
      <c r="H148" s="8"/>
      <c r="I148" s="153"/>
      <c r="J148" s="1"/>
      <c r="K148" s="1"/>
      <c r="L148" s="245"/>
      <c r="M148" s="234"/>
      <c r="N148" s="341"/>
      <c r="O148" s="245"/>
      <c r="P148" s="365"/>
      <c r="Q148" s="47"/>
      <c r="R148" s="346"/>
      <c r="S148" s="303"/>
      <c r="T148" s="322"/>
      <c r="U148" s="185"/>
      <c r="V148" s="311"/>
      <c r="W148" s="94"/>
      <c r="X148" s="165"/>
      <c r="Y148" s="155"/>
      <c r="Z148" s="162"/>
      <c r="AA148" s="164"/>
      <c r="AB148" s="113"/>
      <c r="AC148" s="382"/>
      <c r="AD148" s="153"/>
      <c r="AE148" s="6"/>
      <c r="AF148" s="83"/>
      <c r="AG148" s="33"/>
      <c r="AH148" s="41"/>
      <c r="AI148" s="163"/>
    </row>
    <row r="149" spans="1:42" s="248" customFormat="1">
      <c r="A149" s="127" t="s">
        <v>1673</v>
      </c>
      <c r="B149" s="90" t="s">
        <v>1572</v>
      </c>
      <c r="C149" s="90" t="s">
        <v>1573</v>
      </c>
      <c r="D149" s="90" t="s">
        <v>1574</v>
      </c>
      <c r="E149" s="90" t="s">
        <v>1575</v>
      </c>
      <c r="F149" s="8" t="s">
        <v>1060</v>
      </c>
      <c r="G149" s="26" t="s">
        <v>3442</v>
      </c>
      <c r="H149" s="55" t="s">
        <v>320</v>
      </c>
      <c r="I149" s="1" t="s">
        <v>69</v>
      </c>
      <c r="J149" s="8" t="s">
        <v>6221</v>
      </c>
      <c r="K149" s="5" t="s">
        <v>6222</v>
      </c>
      <c r="L149" s="337" t="s">
        <v>6206</v>
      </c>
      <c r="M149" s="338" t="s">
        <v>6207</v>
      </c>
      <c r="N149" s="339" t="s">
        <v>6208</v>
      </c>
      <c r="O149" s="4" t="s">
        <v>6713</v>
      </c>
      <c r="P149" s="89" t="s">
        <v>6285</v>
      </c>
      <c r="Q149" s="293" t="s">
        <v>6284</v>
      </c>
      <c r="R149" s="354" t="s">
        <v>6283</v>
      </c>
      <c r="S149" s="26" t="s">
        <v>6286</v>
      </c>
      <c r="T149" s="321" t="s">
        <v>4716</v>
      </c>
      <c r="U149" s="14" t="s">
        <v>66</v>
      </c>
      <c r="V149" s="308" t="s">
        <v>4731</v>
      </c>
      <c r="W149" s="68" t="s">
        <v>3273</v>
      </c>
      <c r="X149" s="28" t="s">
        <v>2</v>
      </c>
      <c r="Y149" s="17" t="s">
        <v>1399</v>
      </c>
      <c r="Z149" s="14" t="s">
        <v>2250</v>
      </c>
      <c r="AA149" s="21" t="s">
        <v>3</v>
      </c>
      <c r="AB149" s="51" t="s">
        <v>6174</v>
      </c>
      <c r="AC149" s="102" t="s">
        <v>6420</v>
      </c>
      <c r="AD149" s="1" t="s">
        <v>69</v>
      </c>
      <c r="AE149" s="71" t="s">
        <v>1400</v>
      </c>
      <c r="AF149" s="72" t="s">
        <v>1157</v>
      </c>
      <c r="AG149" s="32" t="s">
        <v>1158</v>
      </c>
      <c r="AH149" s="46" t="s">
        <v>4751</v>
      </c>
      <c r="AI149" s="163"/>
    </row>
    <row r="150" spans="1:42" s="248" customFormat="1">
      <c r="A150" s="127" t="s">
        <v>1743</v>
      </c>
      <c r="B150" s="79">
        <v>23</v>
      </c>
      <c r="C150" s="79">
        <v>35</v>
      </c>
      <c r="D150" s="79">
        <v>2</v>
      </c>
      <c r="E150" s="79">
        <v>28</v>
      </c>
      <c r="F150" s="57">
        <v>24.05</v>
      </c>
      <c r="G150" s="79">
        <v>6592</v>
      </c>
      <c r="H150" s="30" t="s">
        <v>1462</v>
      </c>
      <c r="I150" s="153" t="s">
        <v>1736</v>
      </c>
      <c r="J150" s="8" t="str">
        <f>IFERROR(VLOOKUP($G150,今日總結!$A:$AJ,33,0),"")</f>
        <v/>
      </c>
      <c r="K150" s="5" t="str">
        <f>IFERROR(VLOOKUP($G150,今日總結!$A:$AJ,34,0),"")</f>
        <v/>
      </c>
      <c r="L150" s="156" t="str">
        <f>IFERROR(VLOOKUP($G150,今日總結!$A:$AJ,31,0),"")</f>
        <v/>
      </c>
      <c r="M150" s="340" t="str">
        <f>IFERROR(VLOOKUP($G150,今日總結!$A:$AJ,32,0),"")</f>
        <v/>
      </c>
      <c r="N150" s="240" t="str">
        <f t="shared" ref="N150" si="48">IFERROR(L150-M150,"")</f>
        <v/>
      </c>
      <c r="O150" s="245"/>
      <c r="P150" s="365">
        <f>IFERROR(VLOOKUP($G150,融外自投!$A:$J,7,0),"無")</f>
        <v>1228</v>
      </c>
      <c r="Q150" s="79">
        <f>IFERROR(VLOOKUP($G150,融外自投!$A:$J,9,0),"無")</f>
        <v>824</v>
      </c>
      <c r="R150" s="346">
        <f>IFERROR(VLOOKUP($G150,融外自投!$A:$J,8,0),"無")</f>
        <v>197</v>
      </c>
      <c r="S150" s="81">
        <f>IFERROR(VLOOKUP($G150,融外自投!$A:$J,10,0),"無")</f>
        <v>383</v>
      </c>
      <c r="T150" s="327">
        <f>IFERROR(VLOOKUP($G150,'321買'!$A:$E,5,0),"'沒有資料'")</f>
        <v>802</v>
      </c>
      <c r="U150" s="65">
        <v>3.5</v>
      </c>
      <c r="V150" s="294">
        <v>0.37</v>
      </c>
      <c r="W150" s="57">
        <v>5.73</v>
      </c>
      <c r="X150" s="161">
        <v>125</v>
      </c>
      <c r="Y150" s="65">
        <v>115</v>
      </c>
      <c r="Z150" s="162">
        <f>X150-Y150</f>
        <v>10</v>
      </c>
      <c r="AA150" s="158">
        <f>Z150/Y150</f>
        <v>8.6956521739130432E-2</v>
      </c>
      <c r="AB150" s="99" t="s">
        <v>4754</v>
      </c>
      <c r="AC150" s="382"/>
      <c r="AD150" s="153" t="s">
        <v>1736</v>
      </c>
      <c r="AE150" s="84">
        <v>44607</v>
      </c>
      <c r="AF150" s="83">
        <v>44616</v>
      </c>
      <c r="AG150" s="33">
        <f>AF150-AE150</f>
        <v>9</v>
      </c>
      <c r="AH150" s="41" t="s">
        <v>1122</v>
      </c>
      <c r="AI150" s="221"/>
      <c r="AJ150" s="153"/>
      <c r="AK150" s="63"/>
      <c r="AL150" s="284"/>
      <c r="AM150" s="22"/>
      <c r="AN150" s="41"/>
      <c r="AO150" s="279"/>
    </row>
    <row r="151" spans="1:42" s="248" customFormat="1">
      <c r="A151" s="141"/>
      <c r="B151" s="79"/>
      <c r="C151" s="79"/>
      <c r="D151" s="79"/>
      <c r="E151" s="79"/>
      <c r="F151" s="6"/>
      <c r="G151" s="41"/>
      <c r="H151" s="8"/>
      <c r="I151" s="153"/>
      <c r="J151" s="1"/>
      <c r="K151" s="1"/>
      <c r="L151" s="123"/>
      <c r="M151" s="234"/>
      <c r="N151" s="341"/>
      <c r="O151" s="245"/>
      <c r="P151" s="365"/>
      <c r="Q151" s="47"/>
      <c r="R151" s="346"/>
      <c r="S151" s="303"/>
      <c r="T151" s="322"/>
      <c r="U151" s="185"/>
      <c r="V151" s="309"/>
      <c r="W151" s="94"/>
      <c r="X151" s="165">
        <f>SUM(X150)</f>
        <v>125</v>
      </c>
      <c r="Y151" s="155">
        <f>SUM(Y150)</f>
        <v>115</v>
      </c>
      <c r="Z151" s="162">
        <f>X151-Y151</f>
        <v>10</v>
      </c>
      <c r="AA151" s="158">
        <f>Z151/Y151</f>
        <v>8.6956521739130432E-2</v>
      </c>
      <c r="AB151" s="113"/>
      <c r="AC151" s="382"/>
      <c r="AD151" s="153">
        <f>X151*(0.001425*0.5)+X151*0.003+Y151*(0.001425*0.5)</f>
        <v>0.54600000000000004</v>
      </c>
      <c r="AE151" s="6">
        <f>Z151-AD151</f>
        <v>9.4540000000000006</v>
      </c>
      <c r="AF151" s="83"/>
      <c r="AG151" s="33"/>
      <c r="AH151" s="41" t="s">
        <v>1122</v>
      </c>
      <c r="AI151" s="163"/>
    </row>
    <row r="152" spans="1:42" s="248" customFormat="1">
      <c r="A152" s="141"/>
      <c r="B152" s="79"/>
      <c r="C152" s="79"/>
      <c r="D152" s="79"/>
      <c r="E152" s="79"/>
      <c r="F152" s="6"/>
      <c r="G152" s="41"/>
      <c r="H152" s="8"/>
      <c r="I152" s="153"/>
      <c r="J152" s="1"/>
      <c r="K152" s="1"/>
      <c r="L152" s="123"/>
      <c r="M152" s="234"/>
      <c r="N152" s="341"/>
      <c r="O152" s="245"/>
      <c r="P152" s="365"/>
      <c r="Q152" s="47"/>
      <c r="R152" s="346"/>
      <c r="S152" s="303"/>
      <c r="T152" s="322"/>
      <c r="U152" s="185"/>
      <c r="V152" s="311"/>
      <c r="W152" s="94"/>
      <c r="X152" s="165"/>
      <c r="Y152" s="155"/>
      <c r="Z152" s="162"/>
      <c r="AA152" s="164"/>
      <c r="AB152" s="113"/>
      <c r="AC152" s="382"/>
      <c r="AD152" s="153"/>
      <c r="AE152" s="6"/>
      <c r="AF152" s="83"/>
      <c r="AG152" s="33"/>
      <c r="AH152" s="41"/>
      <c r="AI152" s="163"/>
    </row>
    <row r="153" spans="1:42" s="248" customFormat="1">
      <c r="A153" s="127" t="s">
        <v>1673</v>
      </c>
      <c r="B153" s="90" t="s">
        <v>1572</v>
      </c>
      <c r="C153" s="90" t="s">
        <v>1573</v>
      </c>
      <c r="D153" s="90" t="s">
        <v>1574</v>
      </c>
      <c r="E153" s="90" t="s">
        <v>1575</v>
      </c>
      <c r="F153" s="8" t="s">
        <v>1060</v>
      </c>
      <c r="G153" s="26" t="s">
        <v>3442</v>
      </c>
      <c r="H153" s="55" t="s">
        <v>320</v>
      </c>
      <c r="I153" s="1" t="s">
        <v>2249</v>
      </c>
      <c r="J153" s="8" t="s">
        <v>6221</v>
      </c>
      <c r="K153" s="5" t="s">
        <v>6222</v>
      </c>
      <c r="L153" s="337" t="s">
        <v>6206</v>
      </c>
      <c r="M153" s="338" t="s">
        <v>6207</v>
      </c>
      <c r="N153" s="339" t="s">
        <v>6208</v>
      </c>
      <c r="O153" s="4" t="s">
        <v>6713</v>
      </c>
      <c r="P153" s="89" t="s">
        <v>6285</v>
      </c>
      <c r="Q153" s="293" t="s">
        <v>6284</v>
      </c>
      <c r="R153" s="354" t="s">
        <v>6283</v>
      </c>
      <c r="S153" s="26" t="s">
        <v>6286</v>
      </c>
      <c r="T153" s="321" t="s">
        <v>4716</v>
      </c>
      <c r="U153" s="14" t="s">
        <v>66</v>
      </c>
      <c r="V153" s="308" t="s">
        <v>4731</v>
      </c>
      <c r="W153" s="68" t="s">
        <v>3273</v>
      </c>
      <c r="X153" s="28" t="s">
        <v>2</v>
      </c>
      <c r="Y153" s="17" t="s">
        <v>1399</v>
      </c>
      <c r="Z153" s="14" t="s">
        <v>2250</v>
      </c>
      <c r="AA153" s="21" t="s">
        <v>1470</v>
      </c>
      <c r="AB153" s="51" t="s">
        <v>6174</v>
      </c>
      <c r="AC153" s="102" t="s">
        <v>6420</v>
      </c>
      <c r="AD153" s="1" t="s">
        <v>2249</v>
      </c>
      <c r="AE153" s="71" t="s">
        <v>1400</v>
      </c>
      <c r="AF153" s="72" t="s">
        <v>1157</v>
      </c>
      <c r="AG153" s="32" t="s">
        <v>1158</v>
      </c>
      <c r="AH153" s="46" t="s">
        <v>4702</v>
      </c>
      <c r="AI153" s="163"/>
    </row>
    <row r="154" spans="1:42" s="248" customFormat="1">
      <c r="A154" s="127" t="s">
        <v>1743</v>
      </c>
      <c r="B154" s="79">
        <v>39</v>
      </c>
      <c r="C154" s="79">
        <v>43</v>
      </c>
      <c r="D154" s="79">
        <v>4</v>
      </c>
      <c r="E154" s="79">
        <v>31</v>
      </c>
      <c r="F154" s="57">
        <v>27.4</v>
      </c>
      <c r="G154" s="79">
        <v>6592</v>
      </c>
      <c r="H154" s="30" t="s">
        <v>1462</v>
      </c>
      <c r="I154" s="153" t="s">
        <v>1736</v>
      </c>
      <c r="J154" s="8" t="str">
        <f>IFERROR(VLOOKUP($G154,今日總結!$A:$AJ,33,0),"")</f>
        <v/>
      </c>
      <c r="K154" s="5" t="str">
        <f>IFERROR(VLOOKUP($G154,今日總結!$A:$AJ,34,0),"")</f>
        <v/>
      </c>
      <c r="L154" s="156" t="str">
        <f>IFERROR(VLOOKUP($G154,今日總結!$A:$AJ,31,0),"")</f>
        <v/>
      </c>
      <c r="M154" s="340" t="str">
        <f>IFERROR(VLOOKUP($G154,今日總結!$A:$AJ,32,0),"")</f>
        <v/>
      </c>
      <c r="N154" s="240" t="str">
        <f t="shared" ref="N154" si="49">IFERROR(L154-M154,"")</f>
        <v/>
      </c>
      <c r="O154" s="245"/>
      <c r="P154" s="365">
        <f>IFERROR(VLOOKUP($G154,融外自投!$A:$J,7,0),"無")</f>
        <v>1228</v>
      </c>
      <c r="Q154" s="79">
        <f>IFERROR(VLOOKUP($G154,融外自投!$A:$J,9,0),"無")</f>
        <v>824</v>
      </c>
      <c r="R154" s="346">
        <f>IFERROR(VLOOKUP($G154,融外自投!$A:$J,8,0),"無")</f>
        <v>197</v>
      </c>
      <c r="S154" s="81">
        <f>IFERROR(VLOOKUP($G154,融外自投!$A:$J,10,0),"無")</f>
        <v>383</v>
      </c>
      <c r="T154" s="327">
        <f>IFERROR(VLOOKUP($G154,'321買'!$A:$E,5,0),"'沒有資料'")</f>
        <v>802</v>
      </c>
      <c r="U154" s="65">
        <v>3.5</v>
      </c>
      <c r="V154" s="311"/>
      <c r="W154" s="57">
        <v>5.35</v>
      </c>
      <c r="X154" s="161">
        <v>107.5</v>
      </c>
      <c r="Y154" s="65">
        <f>85.5-3.5</f>
        <v>82</v>
      </c>
      <c r="Z154" s="162">
        <f t="shared" ref="Z154:Z160" si="50">X154-Y154</f>
        <v>25.5</v>
      </c>
      <c r="AA154" s="158">
        <f t="shared" ref="AA154:AA160" si="51">Z154/Y154</f>
        <v>0.31097560975609756</v>
      </c>
      <c r="AB154" s="184" t="s">
        <v>1930</v>
      </c>
      <c r="AC154" s="382"/>
      <c r="AD154" s="153" t="s">
        <v>1736</v>
      </c>
      <c r="AE154" s="84">
        <v>44312</v>
      </c>
      <c r="AF154" s="83">
        <v>44575</v>
      </c>
      <c r="AG154" s="33">
        <f t="shared" ref="AG154:AG159" si="52">AF154-AE154</f>
        <v>263</v>
      </c>
      <c r="AH154" s="41" t="s">
        <v>1122</v>
      </c>
      <c r="AI154" s="210"/>
      <c r="AJ154" s="182"/>
    </row>
    <row r="155" spans="1:42">
      <c r="A155" s="142" t="s">
        <v>1974</v>
      </c>
      <c r="B155" s="79">
        <v>171</v>
      </c>
      <c r="C155" s="79">
        <v>391</v>
      </c>
      <c r="D155" s="79">
        <v>0</v>
      </c>
      <c r="E155" s="79">
        <v>41</v>
      </c>
      <c r="F155" s="6">
        <v>9.7100000000000009</v>
      </c>
      <c r="G155" s="79">
        <v>6284</v>
      </c>
      <c r="H155" s="30" t="s">
        <v>1462</v>
      </c>
      <c r="I155" s="16" t="s">
        <v>287</v>
      </c>
      <c r="J155" s="8">
        <f>IFERROR(VLOOKUP($G155,今日總結!$A:$AJ,33,0),"")</f>
        <v>1</v>
      </c>
      <c r="K155" s="5">
        <f>IFERROR(VLOOKUP($G155,今日總結!$A:$AJ,34,0),"")</f>
        <v>0</v>
      </c>
      <c r="L155" s="156">
        <f>IFERROR(VLOOKUP($G155,今日總結!$A:$AJ,31,0),"")</f>
        <v>0</v>
      </c>
      <c r="M155" s="340">
        <f>IFERROR(VLOOKUP($G155,今日總結!$A:$AJ,32,0),"")</f>
        <v>0</v>
      </c>
      <c r="N155" s="240">
        <f t="shared" ref="N155:N159" si="53">IFERROR(L155-M155,"")</f>
        <v>0</v>
      </c>
      <c r="P155" s="365">
        <f>IFERROR(VLOOKUP($G155,融外自投!$A:$J,7,0),"無")</f>
        <v>346</v>
      </c>
      <c r="Q155" s="79">
        <f>IFERROR(VLOOKUP($G155,融外自投!$A:$J,9,0),"無")</f>
        <v>514</v>
      </c>
      <c r="R155" s="346">
        <f>IFERROR(VLOOKUP($G155,融外自投!$A:$J,8,0),"無")</f>
        <v>1234</v>
      </c>
      <c r="S155" s="81">
        <f>IFERROR(VLOOKUP($G155,融外自投!$A:$J,10,0),"無")</f>
        <v>319</v>
      </c>
      <c r="T155" s="327">
        <f>IFERROR(VLOOKUP($G155,'321買'!$A:$E,5,0),"'沒有資料'")</f>
        <v>964</v>
      </c>
      <c r="U155" s="34">
        <v>1</v>
      </c>
      <c r="W155" s="94">
        <v>3.17</v>
      </c>
      <c r="X155" s="36">
        <v>74</v>
      </c>
      <c r="Y155" s="66">
        <v>56.7</v>
      </c>
      <c r="Z155" s="15">
        <f t="shared" si="50"/>
        <v>17.299999999999997</v>
      </c>
      <c r="AA155" s="63">
        <f t="shared" si="51"/>
        <v>0.30511463844797171</v>
      </c>
      <c r="AB155" s="101" t="s">
        <v>4703</v>
      </c>
      <c r="AD155" s="16" t="s">
        <v>287</v>
      </c>
      <c r="AE155" s="84">
        <v>44454</v>
      </c>
      <c r="AF155" s="83">
        <v>44566</v>
      </c>
      <c r="AG155" s="33">
        <f t="shared" si="52"/>
        <v>112</v>
      </c>
      <c r="AH155" s="41" t="s">
        <v>1122</v>
      </c>
      <c r="AI155" s="221"/>
      <c r="AJ155" s="243"/>
      <c r="AK155" s="41"/>
      <c r="AL155" s="16"/>
      <c r="AM155" s="206"/>
      <c r="AN155" s="239"/>
      <c r="AO155" s="249"/>
      <c r="AP155" s="251"/>
    </row>
    <row r="156" spans="1:42">
      <c r="A156" s="142" t="s">
        <v>1974</v>
      </c>
      <c r="B156" s="79">
        <v>171</v>
      </c>
      <c r="C156" s="79">
        <v>391</v>
      </c>
      <c r="D156" s="79">
        <v>0</v>
      </c>
      <c r="E156" s="79">
        <v>41</v>
      </c>
      <c r="F156" s="6">
        <v>9.7100000000000009</v>
      </c>
      <c r="G156" s="79">
        <v>6284</v>
      </c>
      <c r="H156" s="30" t="s">
        <v>1462</v>
      </c>
      <c r="I156" s="16" t="s">
        <v>287</v>
      </c>
      <c r="J156" s="8">
        <f>IFERROR(VLOOKUP($G156,今日總結!$A:$AJ,33,0),"")</f>
        <v>1</v>
      </c>
      <c r="K156" s="5">
        <f>IFERROR(VLOOKUP($G156,今日總結!$A:$AJ,34,0),"")</f>
        <v>0</v>
      </c>
      <c r="L156" s="156">
        <f>IFERROR(VLOOKUP($G156,今日總結!$A:$AJ,31,0),"")</f>
        <v>0</v>
      </c>
      <c r="M156" s="340">
        <f>IFERROR(VLOOKUP($G156,今日總結!$A:$AJ,32,0),"")</f>
        <v>0</v>
      </c>
      <c r="N156" s="240">
        <f t="shared" si="53"/>
        <v>0</v>
      </c>
      <c r="P156" s="365">
        <f>IFERROR(VLOOKUP($G156,融外自投!$A:$J,7,0),"無")</f>
        <v>346</v>
      </c>
      <c r="Q156" s="79">
        <f>IFERROR(VLOOKUP($G156,融外自投!$A:$J,9,0),"無")</f>
        <v>514</v>
      </c>
      <c r="R156" s="346">
        <f>IFERROR(VLOOKUP($G156,融外自投!$A:$J,8,0),"無")</f>
        <v>1234</v>
      </c>
      <c r="S156" s="81">
        <f>IFERROR(VLOOKUP($G156,融外自投!$A:$J,10,0),"無")</f>
        <v>319</v>
      </c>
      <c r="T156" s="327">
        <f>IFERROR(VLOOKUP($G156,'321買'!$A:$E,5,0),"'沒有資料'")</f>
        <v>964</v>
      </c>
      <c r="U156" s="34">
        <v>1</v>
      </c>
      <c r="W156" s="94">
        <v>3.17</v>
      </c>
      <c r="X156" s="36">
        <v>74</v>
      </c>
      <c r="Y156" s="66">
        <f>76.9-1</f>
        <v>75.900000000000006</v>
      </c>
      <c r="Z156" s="15">
        <f t="shared" si="50"/>
        <v>-1.9000000000000057</v>
      </c>
      <c r="AA156" s="76">
        <f t="shared" si="51"/>
        <v>-2.5032938076416409E-2</v>
      </c>
      <c r="AB156" s="135" t="s">
        <v>3477</v>
      </c>
      <c r="AD156" s="16" t="s">
        <v>287</v>
      </c>
      <c r="AE156" s="84">
        <v>44393</v>
      </c>
      <c r="AF156" s="83">
        <v>44566</v>
      </c>
      <c r="AG156" s="33">
        <f t="shared" si="52"/>
        <v>173</v>
      </c>
      <c r="AH156" s="41" t="s">
        <v>1122</v>
      </c>
      <c r="AI156" s="221"/>
      <c r="AJ156" s="243"/>
      <c r="AK156" s="41"/>
      <c r="AL156" s="16"/>
      <c r="AM156" s="206"/>
      <c r="AN156" s="239"/>
      <c r="AO156" s="249"/>
      <c r="AP156" s="251"/>
    </row>
    <row r="157" spans="1:42">
      <c r="A157" s="142" t="s">
        <v>1946</v>
      </c>
      <c r="B157" s="80">
        <v>-34</v>
      </c>
      <c r="C157" s="80">
        <v>-42</v>
      </c>
      <c r="D157" s="80">
        <v>-4</v>
      </c>
      <c r="E157" s="80">
        <v>-46</v>
      </c>
      <c r="F157" s="6">
        <v>9.8000000000000007</v>
      </c>
      <c r="G157" s="80">
        <v>6477</v>
      </c>
      <c r="H157" s="30" t="s">
        <v>1462</v>
      </c>
      <c r="I157" s="22" t="s">
        <v>451</v>
      </c>
      <c r="J157" s="8" t="str">
        <f>IFERROR(VLOOKUP($G157,今日總結!$A:$AJ,33,0),"")</f>
        <v/>
      </c>
      <c r="K157" s="5" t="str">
        <f>IFERROR(VLOOKUP($G157,今日總結!$A:$AJ,34,0),"")</f>
        <v/>
      </c>
      <c r="L157" s="156" t="str">
        <f>IFERROR(VLOOKUP($G157,今日總結!$A:$AJ,31,0),"")</f>
        <v/>
      </c>
      <c r="M157" s="340" t="str">
        <f>IFERROR(VLOOKUP($G157,今日總結!$A:$AJ,32,0),"")</f>
        <v/>
      </c>
      <c r="N157" s="240" t="str">
        <f t="shared" si="53"/>
        <v/>
      </c>
      <c r="P157" s="365">
        <f>IFERROR(VLOOKUP($G157,融外自投!$A:$J,7,0),"無")</f>
        <v>195</v>
      </c>
      <c r="Q157" s="79">
        <f>IFERROR(VLOOKUP($G157,融外自投!$A:$J,9,0),"無")</f>
        <v>256</v>
      </c>
      <c r="R157" s="346">
        <f>IFERROR(VLOOKUP($G157,融外自投!$A:$J,8,0),"無")</f>
        <v>956</v>
      </c>
      <c r="S157" s="81">
        <f>IFERROR(VLOOKUP($G157,融外自投!$A:$J,10,0),"無")</f>
        <v>27</v>
      </c>
      <c r="T157" s="327">
        <f>IFERROR(VLOOKUP($G157,'321買'!$A:$E,5,0),"'沒有資料'")</f>
        <v>164</v>
      </c>
      <c r="U157" s="34">
        <v>1.1399999999999999</v>
      </c>
      <c r="W157" s="94">
        <v>2.54</v>
      </c>
      <c r="X157" s="36">
        <v>55</v>
      </c>
      <c r="Y157" s="45">
        <f>50.2-1.14</f>
        <v>49.06</v>
      </c>
      <c r="Z157" s="15">
        <f t="shared" si="50"/>
        <v>5.9399999999999977</v>
      </c>
      <c r="AA157" s="63">
        <f t="shared" si="51"/>
        <v>0.12107623318385645</v>
      </c>
      <c r="AB157" s="101" t="s">
        <v>4704</v>
      </c>
      <c r="AD157" s="22" t="s">
        <v>451</v>
      </c>
      <c r="AE157" s="84">
        <v>44364</v>
      </c>
      <c r="AF157" s="83">
        <v>44566</v>
      </c>
      <c r="AG157" s="33">
        <f t="shared" si="52"/>
        <v>202</v>
      </c>
      <c r="AH157" s="41" t="s">
        <v>1122</v>
      </c>
      <c r="AI157" s="221"/>
      <c r="AJ157" s="243"/>
    </row>
    <row r="158" spans="1:42">
      <c r="A158" s="142" t="s">
        <v>1708</v>
      </c>
      <c r="B158" s="80">
        <v>-47</v>
      </c>
      <c r="C158" s="80">
        <v>-47</v>
      </c>
      <c r="D158" s="79">
        <v>69</v>
      </c>
      <c r="E158" s="79">
        <v>4</v>
      </c>
      <c r="F158" s="6">
        <v>4.82</v>
      </c>
      <c r="G158" s="80">
        <v>9919</v>
      </c>
      <c r="H158" s="30" t="s">
        <v>1462</v>
      </c>
      <c r="I158" s="22" t="s">
        <v>698</v>
      </c>
      <c r="J158" s="8">
        <f>IFERROR(VLOOKUP($G158,今日總結!$A:$AJ,33,0),"")</f>
        <v>1</v>
      </c>
      <c r="K158" s="5">
        <f>IFERROR(VLOOKUP($G158,今日總結!$A:$AJ,34,0),"")</f>
        <v>0</v>
      </c>
      <c r="L158" s="156">
        <f>IFERROR(VLOOKUP($G158,今日總結!$A:$AJ,31,0),"")</f>
        <v>0</v>
      </c>
      <c r="M158" s="340">
        <f>IFERROR(VLOOKUP($G158,今日總結!$A:$AJ,32,0),"")</f>
        <v>0</v>
      </c>
      <c r="N158" s="240">
        <f t="shared" si="53"/>
        <v>0</v>
      </c>
      <c r="P158" s="365">
        <f>IFERROR(VLOOKUP($G158,融外自投!$A:$J,7,0),"無")</f>
        <v>463</v>
      </c>
      <c r="Q158" s="79">
        <f>IFERROR(VLOOKUP($G158,融外自投!$A:$J,9,0),"無")</f>
        <v>122</v>
      </c>
      <c r="R158" s="346">
        <f>IFERROR(VLOOKUP($G158,融外自投!$A:$J,8,0),"無")</f>
        <v>930</v>
      </c>
      <c r="S158" s="81">
        <f>IFERROR(VLOOKUP($G158,融外自投!$A:$J,10,0),"無")</f>
        <v>458</v>
      </c>
      <c r="T158" s="327">
        <f>IFERROR(VLOOKUP($G158,'321買'!$A:$E,5,0),"'沒有資料'")</f>
        <v>255</v>
      </c>
      <c r="U158" s="45">
        <v>3</v>
      </c>
      <c r="W158" s="94">
        <v>4.32</v>
      </c>
      <c r="X158" s="36">
        <v>32.1</v>
      </c>
      <c r="Y158" s="66">
        <f>41.9-3</f>
        <v>38.9</v>
      </c>
      <c r="Z158" s="15">
        <f t="shared" si="50"/>
        <v>-6.7999999999999972</v>
      </c>
      <c r="AA158" s="76">
        <f t="shared" si="51"/>
        <v>-0.17480719794344465</v>
      </c>
      <c r="AB158" s="100" t="s">
        <v>4722</v>
      </c>
      <c r="AD158" s="22" t="s">
        <v>698</v>
      </c>
      <c r="AE158" s="84">
        <v>44336</v>
      </c>
      <c r="AF158" s="83">
        <v>44571</v>
      </c>
      <c r="AG158" s="33">
        <f t="shared" si="52"/>
        <v>235</v>
      </c>
      <c r="AH158" s="41" t="s">
        <v>1122</v>
      </c>
      <c r="AI158" s="221"/>
      <c r="AJ158" s="8"/>
    </row>
    <row r="159" spans="1:42">
      <c r="A159" s="142" t="s">
        <v>1708</v>
      </c>
      <c r="B159" s="80">
        <v>-47</v>
      </c>
      <c r="C159" s="80">
        <v>-47</v>
      </c>
      <c r="D159" s="79">
        <v>69</v>
      </c>
      <c r="E159" s="79">
        <v>4</v>
      </c>
      <c r="F159" s="6">
        <v>4.82</v>
      </c>
      <c r="G159" s="80">
        <v>9919</v>
      </c>
      <c r="H159" s="30" t="s">
        <v>1462</v>
      </c>
      <c r="I159" s="22" t="s">
        <v>698</v>
      </c>
      <c r="J159" s="8">
        <f>IFERROR(VLOOKUP($G159,今日總結!$A:$AJ,33,0),"")</f>
        <v>1</v>
      </c>
      <c r="K159" s="5">
        <f>IFERROR(VLOOKUP($G159,今日總結!$A:$AJ,34,0),"")</f>
        <v>0</v>
      </c>
      <c r="L159" s="156">
        <f>IFERROR(VLOOKUP($G159,今日總結!$A:$AJ,31,0),"")</f>
        <v>0</v>
      </c>
      <c r="M159" s="340">
        <f>IFERROR(VLOOKUP($G159,今日總結!$A:$AJ,32,0),"")</f>
        <v>0</v>
      </c>
      <c r="N159" s="240">
        <f t="shared" si="53"/>
        <v>0</v>
      </c>
      <c r="P159" s="365">
        <f>IFERROR(VLOOKUP($G159,融外自投!$A:$J,7,0),"無")</f>
        <v>463</v>
      </c>
      <c r="Q159" s="79">
        <f>IFERROR(VLOOKUP($G159,融外自投!$A:$J,9,0),"無")</f>
        <v>122</v>
      </c>
      <c r="R159" s="346">
        <f>IFERROR(VLOOKUP($G159,融外自投!$A:$J,8,0),"無")</f>
        <v>930</v>
      </c>
      <c r="S159" s="81">
        <f>IFERROR(VLOOKUP($G159,融外自投!$A:$J,10,0),"無")</f>
        <v>458</v>
      </c>
      <c r="T159" s="327">
        <f>IFERROR(VLOOKUP($G159,'321買'!$A:$E,5,0),"'沒有資料'")</f>
        <v>255</v>
      </c>
      <c r="U159" s="45">
        <v>3</v>
      </c>
      <c r="W159" s="94">
        <v>4.32</v>
      </c>
      <c r="X159" s="36">
        <v>32.15</v>
      </c>
      <c r="Y159" s="66">
        <f>44.5-3</f>
        <v>41.5</v>
      </c>
      <c r="Z159" s="15">
        <f t="shared" si="50"/>
        <v>-9.3500000000000014</v>
      </c>
      <c r="AA159" s="76">
        <f t="shared" si="51"/>
        <v>-0.22530120481927715</v>
      </c>
      <c r="AB159" s="100" t="s">
        <v>4723</v>
      </c>
      <c r="AD159" s="22" t="s">
        <v>698</v>
      </c>
      <c r="AE159" s="84">
        <v>44334</v>
      </c>
      <c r="AF159" s="83">
        <v>44571</v>
      </c>
      <c r="AG159" s="33">
        <f t="shared" si="52"/>
        <v>237</v>
      </c>
      <c r="AH159" s="41" t="s">
        <v>1122</v>
      </c>
      <c r="AI159" s="221"/>
      <c r="AJ159" s="8"/>
    </row>
    <row r="160" spans="1:42" s="248" customFormat="1">
      <c r="A160" s="141"/>
      <c r="B160" s="79"/>
      <c r="C160" s="79"/>
      <c r="D160" s="79"/>
      <c r="E160" s="79"/>
      <c r="F160" s="6"/>
      <c r="G160" s="41"/>
      <c r="H160" s="8"/>
      <c r="I160" s="153"/>
      <c r="J160" s="1"/>
      <c r="K160" s="1"/>
      <c r="L160" s="123"/>
      <c r="M160" s="234"/>
      <c r="N160" s="341"/>
      <c r="O160" s="245"/>
      <c r="P160" s="365"/>
      <c r="Q160" s="47"/>
      <c r="R160" s="346"/>
      <c r="S160" s="303"/>
      <c r="T160" s="322"/>
      <c r="U160" s="185"/>
      <c r="V160" s="311"/>
      <c r="W160" s="94"/>
      <c r="X160" s="165">
        <f>SUM(X154:X159)</f>
        <v>374.75</v>
      </c>
      <c r="Y160" s="155">
        <f>SUM(Y154:Y159)</f>
        <v>344.05999999999995</v>
      </c>
      <c r="Z160" s="162">
        <f t="shared" si="50"/>
        <v>30.690000000000055</v>
      </c>
      <c r="AA160" s="158">
        <f t="shared" si="51"/>
        <v>8.9199558216590299E-2</v>
      </c>
      <c r="AB160" s="113"/>
      <c r="AC160" s="382"/>
      <c r="AD160" s="153">
        <f>X160*(0.001425*0.5)+X160*0.003+Y160*(0.001425*0.5)</f>
        <v>1.636402125</v>
      </c>
      <c r="AE160" s="6">
        <f>Z160-AD160</f>
        <v>29.053597875000055</v>
      </c>
      <c r="AF160" s="83"/>
      <c r="AG160" s="33"/>
      <c r="AH160" s="41"/>
      <c r="AI160" s="163"/>
      <c r="AJ160" s="241"/>
    </row>
    <row r="161" spans="1:40" s="248" customFormat="1">
      <c r="A161" s="141"/>
      <c r="B161" s="79"/>
      <c r="C161" s="79"/>
      <c r="D161" s="79"/>
      <c r="E161" s="79"/>
      <c r="F161" s="6"/>
      <c r="G161" s="41"/>
      <c r="H161" s="8"/>
      <c r="I161" s="153"/>
      <c r="J161" s="1"/>
      <c r="K161" s="1"/>
      <c r="L161" s="123"/>
      <c r="M161" s="234"/>
      <c r="N161" s="341"/>
      <c r="O161" s="245"/>
      <c r="P161" s="365"/>
      <c r="Q161" s="47"/>
      <c r="R161" s="346"/>
      <c r="S161" s="303"/>
      <c r="T161" s="322"/>
      <c r="U161" s="185"/>
      <c r="V161" s="311"/>
      <c r="W161" s="94"/>
      <c r="X161" s="165"/>
      <c r="Y161" s="155"/>
      <c r="Z161" s="162"/>
      <c r="AA161" s="164"/>
      <c r="AB161" s="113"/>
      <c r="AC161" s="382"/>
      <c r="AD161" s="153"/>
      <c r="AE161" s="6"/>
      <c r="AF161" s="83"/>
      <c r="AG161" s="33"/>
      <c r="AH161" s="41"/>
      <c r="AI161" s="163"/>
    </row>
    <row r="162" spans="1:40" s="248" customFormat="1">
      <c r="A162" s="127" t="s">
        <v>1673</v>
      </c>
      <c r="B162" s="90" t="s">
        <v>1572</v>
      </c>
      <c r="C162" s="90" t="s">
        <v>1573</v>
      </c>
      <c r="D162" s="90" t="s">
        <v>1574</v>
      </c>
      <c r="E162" s="90" t="s">
        <v>1575</v>
      </c>
      <c r="F162" s="8" t="s">
        <v>1060</v>
      </c>
      <c r="G162" s="26" t="s">
        <v>3442</v>
      </c>
      <c r="H162" s="55" t="s">
        <v>320</v>
      </c>
      <c r="I162" s="1" t="s">
        <v>69</v>
      </c>
      <c r="J162" s="8" t="s">
        <v>6221</v>
      </c>
      <c r="K162" s="5" t="s">
        <v>6222</v>
      </c>
      <c r="L162" s="337" t="s">
        <v>6206</v>
      </c>
      <c r="M162" s="338" t="s">
        <v>6207</v>
      </c>
      <c r="N162" s="339" t="s">
        <v>6208</v>
      </c>
      <c r="O162" s="4" t="s">
        <v>6713</v>
      </c>
      <c r="P162" s="89" t="s">
        <v>6285</v>
      </c>
      <c r="Q162" s="293" t="s">
        <v>6284</v>
      </c>
      <c r="R162" s="354" t="s">
        <v>6283</v>
      </c>
      <c r="S162" s="26" t="s">
        <v>6286</v>
      </c>
      <c r="T162" s="321" t="s">
        <v>4716</v>
      </c>
      <c r="U162" s="14" t="s">
        <v>66</v>
      </c>
      <c r="V162" s="308" t="s">
        <v>4731</v>
      </c>
      <c r="W162" s="68" t="s">
        <v>3273</v>
      </c>
      <c r="X162" s="28" t="s">
        <v>2</v>
      </c>
      <c r="Y162" s="17" t="s">
        <v>1399</v>
      </c>
      <c r="Z162" s="14" t="s">
        <v>2250</v>
      </c>
      <c r="AA162" s="21" t="s">
        <v>1470</v>
      </c>
      <c r="AB162" s="51" t="s">
        <v>6174</v>
      </c>
      <c r="AC162" s="102" t="s">
        <v>6420</v>
      </c>
      <c r="AD162" s="1" t="s">
        <v>69</v>
      </c>
      <c r="AE162" s="71" t="s">
        <v>1400</v>
      </c>
      <c r="AF162" s="72" t="s">
        <v>1157</v>
      </c>
      <c r="AG162" s="32" t="s">
        <v>1158</v>
      </c>
      <c r="AH162" s="46" t="s">
        <v>3487</v>
      </c>
      <c r="AI162" s="163"/>
    </row>
    <row r="163" spans="1:40">
      <c r="A163" s="142" t="s">
        <v>2971</v>
      </c>
      <c r="B163" s="79">
        <v>294</v>
      </c>
      <c r="C163" s="79">
        <v>351</v>
      </c>
      <c r="D163" s="79">
        <v>57</v>
      </c>
      <c r="E163" s="79">
        <v>91</v>
      </c>
      <c r="F163" s="6">
        <v>7.57</v>
      </c>
      <c r="G163" s="80">
        <v>3162</v>
      </c>
      <c r="H163" s="30" t="s">
        <v>1462</v>
      </c>
      <c r="I163" s="16" t="s">
        <v>531</v>
      </c>
      <c r="J163" s="8" t="str">
        <f>IFERROR(VLOOKUP($G163,今日總結!$A:$AJ,33,0),"")</f>
        <v/>
      </c>
      <c r="K163" s="5" t="str">
        <f>IFERROR(VLOOKUP($G163,今日總結!$A:$AJ,34,0),"")</f>
        <v/>
      </c>
      <c r="L163" s="156" t="str">
        <f>IFERROR(VLOOKUP($G163,今日總結!$A:$AJ,31,0),"")</f>
        <v/>
      </c>
      <c r="M163" s="340" t="str">
        <f>IFERROR(VLOOKUP($G163,今日總結!$A:$AJ,32,0),"")</f>
        <v/>
      </c>
      <c r="N163" s="240" t="str">
        <f t="shared" ref="N163" si="54">IFERROR(L163-M163,"")</f>
        <v/>
      </c>
      <c r="P163" s="365">
        <f>IFERROR(VLOOKUP($G163,融外自投!$A:$J,7,0),"無")</f>
        <v>230</v>
      </c>
      <c r="Q163" s="79" t="str">
        <f>IFERROR(VLOOKUP($G163,融外自投!$A:$J,9,0),"無")</f>
        <v>無</v>
      </c>
      <c r="R163" s="346">
        <f>IFERROR(VLOOKUP($G163,融外自投!$A:$J,8,0),"無")</f>
        <v>74</v>
      </c>
      <c r="S163" s="81" t="str">
        <f>IFERROR(VLOOKUP($G163,融外自投!$A:$J,10,0),"無")</f>
        <v>無</v>
      </c>
      <c r="T163" s="327">
        <f>IFERROR(VLOOKUP($G163,'321買'!$A:$E,5,0),"'沒有資料'")</f>
        <v>292</v>
      </c>
      <c r="U163" s="34">
        <v>0</v>
      </c>
      <c r="W163" s="57">
        <v>7.0000000000000007E-2</v>
      </c>
      <c r="X163" s="13">
        <v>49.3</v>
      </c>
      <c r="Y163" s="66">
        <v>40</v>
      </c>
      <c r="Z163" s="15">
        <f>X163-Y163</f>
        <v>9.2999999999999972</v>
      </c>
      <c r="AA163" s="63">
        <f>Z163/Y163</f>
        <v>0.23249999999999993</v>
      </c>
      <c r="AB163" s="101" t="s">
        <v>4705</v>
      </c>
      <c r="AD163" s="16" t="s">
        <v>531</v>
      </c>
      <c r="AE163" s="84">
        <v>44470</v>
      </c>
      <c r="AF163" s="83">
        <v>44477</v>
      </c>
      <c r="AG163" s="33">
        <f>AF163-AE163</f>
        <v>7</v>
      </c>
      <c r="AH163" s="41" t="s">
        <v>1122</v>
      </c>
      <c r="AI163" s="221"/>
      <c r="AJ163" s="16"/>
      <c r="AK163" s="206"/>
      <c r="AL163" s="239"/>
      <c r="AM163" s="249"/>
      <c r="AN163" s="251"/>
    </row>
    <row r="164" spans="1:40" s="248" customFormat="1">
      <c r="A164" s="141"/>
      <c r="B164" s="79"/>
      <c r="C164" s="79"/>
      <c r="D164" s="79"/>
      <c r="E164" s="79"/>
      <c r="F164" s="6"/>
      <c r="G164" s="41"/>
      <c r="H164" s="8"/>
      <c r="I164" s="153"/>
      <c r="J164" s="1"/>
      <c r="K164" s="1"/>
      <c r="L164" s="123"/>
      <c r="M164" s="234"/>
      <c r="N164" s="341"/>
      <c r="O164" s="245"/>
      <c r="P164" s="365"/>
      <c r="Q164" s="47"/>
      <c r="R164" s="346"/>
      <c r="S164" s="303"/>
      <c r="T164" s="322"/>
      <c r="U164" s="185"/>
      <c r="V164" s="311"/>
      <c r="W164" s="94"/>
      <c r="X164" s="165">
        <f>SUM(X163)</f>
        <v>49.3</v>
      </c>
      <c r="Y164" s="155">
        <f>SUM(Y163)</f>
        <v>40</v>
      </c>
      <c r="Z164" s="162">
        <f>X164-Y164</f>
        <v>9.2999999999999972</v>
      </c>
      <c r="AA164" s="158">
        <f>Z164/Y164</f>
        <v>0.23249999999999993</v>
      </c>
      <c r="AB164" s="113"/>
      <c r="AC164" s="382"/>
      <c r="AD164" s="153">
        <f>X164*(0.001425*0.5)+X164*0.003+Y164*(0.001425*0.5)</f>
        <v>0.21152625</v>
      </c>
      <c r="AE164" s="6">
        <f>Z164-AD164</f>
        <v>9.0884737499999968</v>
      </c>
      <c r="AF164" s="83"/>
      <c r="AG164" s="33"/>
      <c r="AH164" s="41"/>
      <c r="AI164" s="163"/>
    </row>
    <row r="165" spans="1:40" s="248" customFormat="1">
      <c r="A165" s="141"/>
      <c r="B165" s="79"/>
      <c r="C165" s="79"/>
      <c r="D165" s="79"/>
      <c r="E165" s="79"/>
      <c r="F165" s="6"/>
      <c r="G165" s="41"/>
      <c r="H165" s="8"/>
      <c r="I165" s="153"/>
      <c r="J165" s="1"/>
      <c r="K165" s="1"/>
      <c r="L165" s="121"/>
      <c r="M165" s="234"/>
      <c r="N165" s="341"/>
      <c r="O165" s="245"/>
      <c r="P165" s="365"/>
      <c r="Q165" s="47"/>
      <c r="R165" s="346"/>
      <c r="S165" s="303"/>
      <c r="T165" s="322"/>
      <c r="U165" s="185"/>
      <c r="V165" s="311"/>
      <c r="W165" s="94"/>
      <c r="X165" s="165"/>
      <c r="Y165" s="155"/>
      <c r="Z165" s="162"/>
      <c r="AA165" s="164"/>
      <c r="AB165" s="113"/>
      <c r="AC165" s="382"/>
      <c r="AD165" s="153"/>
      <c r="AE165" s="6"/>
      <c r="AF165" s="83"/>
      <c r="AG165" s="33"/>
      <c r="AH165" s="41"/>
      <c r="AI165" s="163"/>
    </row>
    <row r="166" spans="1:40" s="255" customFormat="1">
      <c r="A166" s="127" t="s">
        <v>1673</v>
      </c>
      <c r="B166" s="90" t="s">
        <v>1572</v>
      </c>
      <c r="C166" s="90" t="s">
        <v>1573</v>
      </c>
      <c r="D166" s="90" t="s">
        <v>1574</v>
      </c>
      <c r="E166" s="90" t="s">
        <v>1575</v>
      </c>
      <c r="F166" s="8" t="s">
        <v>1060</v>
      </c>
      <c r="G166" s="26" t="s">
        <v>3442</v>
      </c>
      <c r="H166" s="55" t="s">
        <v>320</v>
      </c>
      <c r="I166" s="1" t="s">
        <v>2249</v>
      </c>
      <c r="J166" s="8" t="s">
        <v>6221</v>
      </c>
      <c r="K166" s="5" t="s">
        <v>6222</v>
      </c>
      <c r="L166" s="337" t="s">
        <v>6206</v>
      </c>
      <c r="M166" s="338" t="s">
        <v>6207</v>
      </c>
      <c r="N166" s="339" t="s">
        <v>6208</v>
      </c>
      <c r="O166" s="4" t="s">
        <v>6713</v>
      </c>
      <c r="P166" s="89" t="s">
        <v>6285</v>
      </c>
      <c r="Q166" s="293" t="s">
        <v>6284</v>
      </c>
      <c r="R166" s="354" t="s">
        <v>6283</v>
      </c>
      <c r="S166" s="26" t="s">
        <v>6286</v>
      </c>
      <c r="T166" s="321" t="s">
        <v>4716</v>
      </c>
      <c r="U166" s="14" t="s">
        <v>66</v>
      </c>
      <c r="V166" s="308" t="s">
        <v>4731</v>
      </c>
      <c r="W166" s="68" t="s">
        <v>3273</v>
      </c>
      <c r="X166" s="28" t="s">
        <v>2</v>
      </c>
      <c r="Y166" s="17" t="s">
        <v>1399</v>
      </c>
      <c r="Z166" s="14" t="s">
        <v>2250</v>
      </c>
      <c r="AA166" s="21" t="s">
        <v>1470</v>
      </c>
      <c r="AB166" s="51" t="s">
        <v>6174</v>
      </c>
      <c r="AC166" s="102" t="s">
        <v>6420</v>
      </c>
      <c r="AD166" s="1" t="s">
        <v>2249</v>
      </c>
      <c r="AE166" s="71" t="s">
        <v>1400</v>
      </c>
      <c r="AF166" s="72" t="s">
        <v>1157</v>
      </c>
      <c r="AG166" s="32" t="s">
        <v>1158</v>
      </c>
      <c r="AH166" s="46" t="s">
        <v>3426</v>
      </c>
      <c r="AI166" s="163"/>
    </row>
    <row r="167" spans="1:40" s="248" customFormat="1">
      <c r="A167" s="127" t="s">
        <v>1663</v>
      </c>
      <c r="B167" s="79">
        <v>6</v>
      </c>
      <c r="C167" s="79">
        <v>3</v>
      </c>
      <c r="D167" s="79">
        <v>2</v>
      </c>
      <c r="E167" s="79">
        <v>15</v>
      </c>
      <c r="F167" s="57">
        <v>10.6</v>
      </c>
      <c r="G167" s="80">
        <v>5457</v>
      </c>
      <c r="H167" s="30" t="s">
        <v>1462</v>
      </c>
      <c r="I167" s="166" t="s">
        <v>178</v>
      </c>
      <c r="J167" s="8" t="str">
        <f>IFERROR(VLOOKUP($G167,今日總結!$A:$AJ,33,0),"")</f>
        <v/>
      </c>
      <c r="K167" s="5" t="str">
        <f>IFERROR(VLOOKUP($G167,今日總結!$A:$AJ,34,0),"")</f>
        <v/>
      </c>
      <c r="L167" s="156" t="str">
        <f>IFERROR(VLOOKUP($G167,今日總結!$A:$AJ,31,0),"")</f>
        <v/>
      </c>
      <c r="M167" s="340" t="str">
        <f>IFERROR(VLOOKUP($G167,今日總結!$A:$AJ,32,0),"")</f>
        <v/>
      </c>
      <c r="N167" s="240" t="str">
        <f t="shared" ref="N167:N172" si="55">IFERROR(L167-M167,"")</f>
        <v/>
      </c>
      <c r="O167" s="245"/>
      <c r="P167" s="365">
        <f>IFERROR(VLOOKUP($G167,融外自投!$A:$J,7,0),"無")</f>
        <v>285</v>
      </c>
      <c r="Q167" s="79">
        <f>IFERROR(VLOOKUP($G167,融外自投!$A:$J,9,0),"無")</f>
        <v>586</v>
      </c>
      <c r="R167" s="346">
        <f>IFERROR(VLOOKUP($G167,融外自投!$A:$J,8,0),"無")</f>
        <v>133</v>
      </c>
      <c r="S167" s="81">
        <f>IFERROR(VLOOKUP($G167,融外自投!$A:$J,10,0),"無")</f>
        <v>172</v>
      </c>
      <c r="T167" s="327">
        <f>IFERROR(VLOOKUP($G167,'321買'!$A:$E,5,0),"'沒有資料'")</f>
        <v>634</v>
      </c>
      <c r="U167" s="185">
        <v>2.1</v>
      </c>
      <c r="V167" s="311"/>
      <c r="W167" s="57">
        <v>4.29</v>
      </c>
      <c r="X167" s="165">
        <v>87.5</v>
      </c>
      <c r="Y167" s="65">
        <f>81-2.1</f>
        <v>78.900000000000006</v>
      </c>
      <c r="Z167" s="105">
        <f t="shared" ref="Z167:Z174" si="56">X167-Y167</f>
        <v>8.5999999999999943</v>
      </c>
      <c r="AA167" s="158">
        <f t="shared" ref="AA167:AA174" si="57">Z167/Y167</f>
        <v>0.10899873257287698</v>
      </c>
      <c r="AB167" s="167" t="s">
        <v>2971</v>
      </c>
      <c r="AC167" s="382"/>
      <c r="AD167" s="166" t="s">
        <v>178</v>
      </c>
      <c r="AE167" s="84">
        <v>44399</v>
      </c>
      <c r="AF167" s="83">
        <v>44452</v>
      </c>
      <c r="AG167" s="33">
        <f t="shared" ref="AG167:AG173" si="58">AF167-AE167</f>
        <v>53</v>
      </c>
      <c r="AH167" s="41" t="s">
        <v>1122</v>
      </c>
      <c r="AI167" s="212"/>
      <c r="AJ167" s="24"/>
    </row>
    <row r="168" spans="1:40" s="248" customFormat="1">
      <c r="A168" s="127" t="s">
        <v>1663</v>
      </c>
      <c r="B168" s="79">
        <v>6</v>
      </c>
      <c r="C168" s="79">
        <v>3</v>
      </c>
      <c r="D168" s="79">
        <v>2</v>
      </c>
      <c r="E168" s="79">
        <v>15</v>
      </c>
      <c r="F168" s="57">
        <v>10.6</v>
      </c>
      <c r="G168" s="80">
        <v>5457</v>
      </c>
      <c r="H168" s="30" t="s">
        <v>1462</v>
      </c>
      <c r="I168" s="166" t="s">
        <v>178</v>
      </c>
      <c r="J168" s="8" t="str">
        <f>IFERROR(VLOOKUP($G168,今日總結!$A:$AJ,33,0),"")</f>
        <v/>
      </c>
      <c r="K168" s="5" t="str">
        <f>IFERROR(VLOOKUP($G168,今日總結!$A:$AJ,34,0),"")</f>
        <v/>
      </c>
      <c r="L168" s="156" t="str">
        <f>IFERROR(VLOOKUP($G168,今日總結!$A:$AJ,31,0),"")</f>
        <v/>
      </c>
      <c r="M168" s="340" t="str">
        <f>IFERROR(VLOOKUP($G168,今日總結!$A:$AJ,32,0),"")</f>
        <v/>
      </c>
      <c r="N168" s="240" t="str">
        <f t="shared" si="55"/>
        <v/>
      </c>
      <c r="O168" s="245"/>
      <c r="P168" s="365">
        <f>IFERROR(VLOOKUP($G168,融外自投!$A:$J,7,0),"無")</f>
        <v>285</v>
      </c>
      <c r="Q168" s="79">
        <f>IFERROR(VLOOKUP($G168,融外自投!$A:$J,9,0),"無")</f>
        <v>586</v>
      </c>
      <c r="R168" s="346">
        <f>IFERROR(VLOOKUP($G168,融外自投!$A:$J,8,0),"無")</f>
        <v>133</v>
      </c>
      <c r="S168" s="81">
        <f>IFERROR(VLOOKUP($G168,融外自投!$A:$J,10,0),"無")</f>
        <v>172</v>
      </c>
      <c r="T168" s="327">
        <f>IFERROR(VLOOKUP($G168,'321買'!$A:$E,5,0),"'沒有資料'")</f>
        <v>634</v>
      </c>
      <c r="U168" s="185">
        <v>2.1</v>
      </c>
      <c r="V168" s="311"/>
      <c r="W168" s="57">
        <v>4.29</v>
      </c>
      <c r="X168" s="165">
        <v>87.5</v>
      </c>
      <c r="Y168" s="65">
        <f>69.6-2.1</f>
        <v>67.5</v>
      </c>
      <c r="Z168" s="105">
        <f t="shared" si="56"/>
        <v>20</v>
      </c>
      <c r="AA168" s="158">
        <f t="shared" si="57"/>
        <v>0.29629629629629628</v>
      </c>
      <c r="AB168" s="167" t="s">
        <v>3431</v>
      </c>
      <c r="AC168" s="382"/>
      <c r="AD168" s="166" t="s">
        <v>178</v>
      </c>
      <c r="AE168" s="84">
        <v>44364</v>
      </c>
      <c r="AF168" s="83">
        <v>44452</v>
      </c>
      <c r="AG168" s="33">
        <f t="shared" si="58"/>
        <v>88</v>
      </c>
      <c r="AH168" s="41" t="s">
        <v>1122</v>
      </c>
      <c r="AI168" s="212"/>
      <c r="AJ168" s="24"/>
    </row>
    <row r="169" spans="1:40" s="248" customFormat="1">
      <c r="A169" s="127" t="s">
        <v>1663</v>
      </c>
      <c r="B169" s="79">
        <v>6</v>
      </c>
      <c r="C169" s="79">
        <v>3</v>
      </c>
      <c r="D169" s="79">
        <v>2</v>
      </c>
      <c r="E169" s="79">
        <v>15</v>
      </c>
      <c r="F169" s="57">
        <v>10.6</v>
      </c>
      <c r="G169" s="80">
        <v>5457</v>
      </c>
      <c r="H169" s="30" t="s">
        <v>1462</v>
      </c>
      <c r="I169" s="166" t="s">
        <v>178</v>
      </c>
      <c r="J169" s="8" t="str">
        <f>IFERROR(VLOOKUP($G169,今日總結!$A:$AJ,33,0),"")</f>
        <v/>
      </c>
      <c r="K169" s="5" t="str">
        <f>IFERROR(VLOOKUP($G169,今日總結!$A:$AJ,34,0),"")</f>
        <v/>
      </c>
      <c r="L169" s="156" t="str">
        <f>IFERROR(VLOOKUP($G169,今日總結!$A:$AJ,31,0),"")</f>
        <v/>
      </c>
      <c r="M169" s="340" t="str">
        <f>IFERROR(VLOOKUP($G169,今日總結!$A:$AJ,32,0),"")</f>
        <v/>
      </c>
      <c r="N169" s="240" t="str">
        <f t="shared" si="55"/>
        <v/>
      </c>
      <c r="O169" s="245"/>
      <c r="P169" s="365">
        <f>IFERROR(VLOOKUP($G169,融外自投!$A:$J,7,0),"無")</f>
        <v>285</v>
      </c>
      <c r="Q169" s="79">
        <f>IFERROR(VLOOKUP($G169,融外自投!$A:$J,9,0),"無")</f>
        <v>586</v>
      </c>
      <c r="R169" s="346">
        <f>IFERROR(VLOOKUP($G169,融外自投!$A:$J,8,0),"無")</f>
        <v>133</v>
      </c>
      <c r="S169" s="81">
        <f>IFERROR(VLOOKUP($G169,融外自投!$A:$J,10,0),"無")</f>
        <v>172</v>
      </c>
      <c r="T169" s="327">
        <f>IFERROR(VLOOKUP($G169,'321買'!$A:$E,5,0),"'沒有資料'")</f>
        <v>634</v>
      </c>
      <c r="U169" s="185">
        <v>2.1</v>
      </c>
      <c r="V169" s="311"/>
      <c r="W169" s="57">
        <v>4.29</v>
      </c>
      <c r="X169" s="165">
        <v>87.5</v>
      </c>
      <c r="Y169" s="65">
        <f>81.9-2.1</f>
        <v>79.800000000000011</v>
      </c>
      <c r="Z169" s="105">
        <f t="shared" si="56"/>
        <v>7.6999999999999886</v>
      </c>
      <c r="AA169" s="158">
        <f t="shared" si="57"/>
        <v>9.6491228070175281E-2</v>
      </c>
      <c r="AB169" s="167" t="s">
        <v>3432</v>
      </c>
      <c r="AC169" s="382"/>
      <c r="AD169" s="166" t="s">
        <v>178</v>
      </c>
      <c r="AE169" s="84">
        <v>44309</v>
      </c>
      <c r="AF169" s="83">
        <v>44452</v>
      </c>
      <c r="AG169" s="33">
        <f t="shared" si="58"/>
        <v>143</v>
      </c>
      <c r="AH169" s="41" t="s">
        <v>1122</v>
      </c>
      <c r="AI169" s="212"/>
      <c r="AJ169" s="24"/>
    </row>
    <row r="170" spans="1:40" s="248" customFormat="1">
      <c r="A170" s="127" t="s">
        <v>1663</v>
      </c>
      <c r="B170" s="79">
        <v>6</v>
      </c>
      <c r="C170" s="79">
        <v>3</v>
      </c>
      <c r="D170" s="79">
        <v>2</v>
      </c>
      <c r="E170" s="79">
        <v>15</v>
      </c>
      <c r="F170" s="57">
        <v>10.6</v>
      </c>
      <c r="G170" s="80">
        <v>5457</v>
      </c>
      <c r="H170" s="30" t="s">
        <v>1462</v>
      </c>
      <c r="I170" s="166" t="s">
        <v>178</v>
      </c>
      <c r="J170" s="8" t="str">
        <f>IFERROR(VLOOKUP($G170,今日總結!$A:$AJ,33,0),"")</f>
        <v/>
      </c>
      <c r="K170" s="5" t="str">
        <f>IFERROR(VLOOKUP($G170,今日總結!$A:$AJ,34,0),"")</f>
        <v/>
      </c>
      <c r="L170" s="156" t="str">
        <f>IFERROR(VLOOKUP($G170,今日總結!$A:$AJ,31,0),"")</f>
        <v/>
      </c>
      <c r="M170" s="340" t="str">
        <f>IFERROR(VLOOKUP($G170,今日總結!$A:$AJ,32,0),"")</f>
        <v/>
      </c>
      <c r="N170" s="240" t="str">
        <f t="shared" si="55"/>
        <v/>
      </c>
      <c r="O170" s="245"/>
      <c r="P170" s="365">
        <f>IFERROR(VLOOKUP($G170,融外自投!$A:$J,7,0),"無")</f>
        <v>285</v>
      </c>
      <c r="Q170" s="79">
        <f>IFERROR(VLOOKUP($G170,融外自投!$A:$J,9,0),"無")</f>
        <v>586</v>
      </c>
      <c r="R170" s="346">
        <f>IFERROR(VLOOKUP($G170,融外自投!$A:$J,8,0),"無")</f>
        <v>133</v>
      </c>
      <c r="S170" s="81">
        <f>IFERROR(VLOOKUP($G170,融外自投!$A:$J,10,0),"無")</f>
        <v>172</v>
      </c>
      <c r="T170" s="327">
        <f>IFERROR(VLOOKUP($G170,'321買'!$A:$E,5,0),"'沒有資料'")</f>
        <v>634</v>
      </c>
      <c r="U170" s="185">
        <v>2.1</v>
      </c>
      <c r="V170" s="311"/>
      <c r="W170" s="57">
        <v>4.29</v>
      </c>
      <c r="X170" s="165">
        <v>87.5</v>
      </c>
      <c r="Y170" s="65">
        <f>85.9-2.1</f>
        <v>83.800000000000011</v>
      </c>
      <c r="Z170" s="105">
        <f t="shared" si="56"/>
        <v>3.6999999999999886</v>
      </c>
      <c r="AA170" s="158">
        <f t="shared" si="57"/>
        <v>4.4152744630071454E-2</v>
      </c>
      <c r="AB170" s="167" t="s">
        <v>1914</v>
      </c>
      <c r="AC170" s="382"/>
      <c r="AD170" s="166" t="s">
        <v>178</v>
      </c>
      <c r="AE170" s="84">
        <v>44302</v>
      </c>
      <c r="AF170" s="83">
        <v>44452</v>
      </c>
      <c r="AG170" s="33">
        <f t="shared" si="58"/>
        <v>150</v>
      </c>
      <c r="AH170" s="41" t="s">
        <v>1122</v>
      </c>
      <c r="AI170" s="212"/>
      <c r="AJ170" s="24"/>
    </row>
    <row r="171" spans="1:40" s="248" customFormat="1">
      <c r="A171" s="127" t="s">
        <v>2242</v>
      </c>
      <c r="B171" s="79">
        <v>30</v>
      </c>
      <c r="C171" s="79">
        <v>29</v>
      </c>
      <c r="D171" s="79">
        <v>3</v>
      </c>
      <c r="E171" s="79">
        <v>45</v>
      </c>
      <c r="F171" s="57">
        <v>22.5</v>
      </c>
      <c r="G171" s="79">
        <v>6147</v>
      </c>
      <c r="H171" s="30" t="s">
        <v>1462</v>
      </c>
      <c r="I171" s="166" t="s">
        <v>40</v>
      </c>
      <c r="J171" s="8" t="str">
        <f>IFERROR(VLOOKUP($G171,今日總結!$A:$AJ,33,0),"")</f>
        <v/>
      </c>
      <c r="K171" s="5" t="str">
        <f>IFERROR(VLOOKUP($G171,今日總結!$A:$AJ,34,0),"")</f>
        <v/>
      </c>
      <c r="L171" s="156" t="str">
        <f>IFERROR(VLOOKUP($G171,今日總結!$A:$AJ,31,0),"")</f>
        <v/>
      </c>
      <c r="M171" s="340" t="str">
        <f>IFERROR(VLOOKUP($G171,今日總結!$A:$AJ,32,0),"")</f>
        <v/>
      </c>
      <c r="N171" s="240" t="str">
        <f t="shared" si="55"/>
        <v/>
      </c>
      <c r="O171" s="245"/>
      <c r="P171" s="365">
        <f>IFERROR(VLOOKUP($G171,融外自投!$A:$J,7,0),"無")</f>
        <v>803</v>
      </c>
      <c r="Q171" s="79">
        <f>IFERROR(VLOOKUP($G171,融外自投!$A:$J,9,0),"無")</f>
        <v>292</v>
      </c>
      <c r="R171" s="346">
        <f>IFERROR(VLOOKUP($G171,融外自投!$A:$J,8,0),"無")</f>
        <v>242</v>
      </c>
      <c r="S171" s="81">
        <f>IFERROR(VLOOKUP($G171,融外自投!$A:$J,10,0),"無")</f>
        <v>90</v>
      </c>
      <c r="T171" s="327">
        <f>IFERROR(VLOOKUP($G171,'321買'!$A:$E,5,0),"'沒有資料'")</f>
        <v>131</v>
      </c>
      <c r="U171" s="65">
        <v>3.8</v>
      </c>
      <c r="V171" s="311"/>
      <c r="W171" s="57">
        <v>6.01</v>
      </c>
      <c r="X171" s="165">
        <v>85.5</v>
      </c>
      <c r="Y171" s="65">
        <f>75.7-3.8</f>
        <v>71.900000000000006</v>
      </c>
      <c r="Z171" s="105">
        <f t="shared" si="56"/>
        <v>13.599999999999994</v>
      </c>
      <c r="AA171" s="158">
        <f t="shared" si="57"/>
        <v>0.18915159944367166</v>
      </c>
      <c r="AB171" s="167" t="s">
        <v>3433</v>
      </c>
      <c r="AC171" s="382"/>
      <c r="AD171" s="166" t="s">
        <v>40</v>
      </c>
      <c r="AE171" s="84">
        <v>44309</v>
      </c>
      <c r="AF171" s="83">
        <v>44445</v>
      </c>
      <c r="AG171" s="33">
        <f t="shared" si="58"/>
        <v>136</v>
      </c>
      <c r="AH171" s="41" t="s">
        <v>1122</v>
      </c>
      <c r="AI171" s="180"/>
      <c r="AJ171" s="179"/>
    </row>
    <row r="172" spans="1:40" s="248" customFormat="1">
      <c r="A172" s="127" t="s">
        <v>2242</v>
      </c>
      <c r="B172" s="79">
        <v>30</v>
      </c>
      <c r="C172" s="79">
        <v>29</v>
      </c>
      <c r="D172" s="79">
        <v>3</v>
      </c>
      <c r="E172" s="79">
        <v>45</v>
      </c>
      <c r="F172" s="57">
        <v>22.5</v>
      </c>
      <c r="G172" s="79">
        <v>6147</v>
      </c>
      <c r="H172" s="30" t="s">
        <v>1462</v>
      </c>
      <c r="I172" s="166" t="s">
        <v>40</v>
      </c>
      <c r="J172" s="8" t="str">
        <f>IFERROR(VLOOKUP($G172,今日總結!$A:$AJ,33,0),"")</f>
        <v/>
      </c>
      <c r="K172" s="5" t="str">
        <f>IFERROR(VLOOKUP($G172,今日總結!$A:$AJ,34,0),"")</f>
        <v/>
      </c>
      <c r="L172" s="156" t="str">
        <f>IFERROR(VLOOKUP($G172,今日總結!$A:$AJ,31,0),"")</f>
        <v/>
      </c>
      <c r="M172" s="340" t="str">
        <f>IFERROR(VLOOKUP($G172,今日總結!$A:$AJ,32,0),"")</f>
        <v/>
      </c>
      <c r="N172" s="240" t="str">
        <f t="shared" si="55"/>
        <v/>
      </c>
      <c r="O172" s="245"/>
      <c r="P172" s="365">
        <f>IFERROR(VLOOKUP($G172,融外自投!$A:$J,7,0),"無")</f>
        <v>803</v>
      </c>
      <c r="Q172" s="79">
        <f>IFERROR(VLOOKUP($G172,融外自投!$A:$J,9,0),"無")</f>
        <v>292</v>
      </c>
      <c r="R172" s="346">
        <f>IFERROR(VLOOKUP($G172,融外自投!$A:$J,8,0),"無")</f>
        <v>242</v>
      </c>
      <c r="S172" s="81">
        <f>IFERROR(VLOOKUP($G172,融外自投!$A:$J,10,0),"無")</f>
        <v>90</v>
      </c>
      <c r="T172" s="327">
        <f>IFERROR(VLOOKUP($G172,'321買'!$A:$E,5,0),"'沒有資料'")</f>
        <v>131</v>
      </c>
      <c r="U172" s="65">
        <v>3.8</v>
      </c>
      <c r="V172" s="311"/>
      <c r="W172" s="57">
        <v>6.01</v>
      </c>
      <c r="X172" s="165">
        <v>85.5</v>
      </c>
      <c r="Y172" s="65">
        <f>75.3-3.8</f>
        <v>71.5</v>
      </c>
      <c r="Z172" s="105">
        <f t="shared" si="56"/>
        <v>14</v>
      </c>
      <c r="AA172" s="158">
        <f t="shared" si="57"/>
        <v>0.19580419580419581</v>
      </c>
      <c r="AB172" s="167" t="s">
        <v>3434</v>
      </c>
      <c r="AC172" s="382"/>
      <c r="AD172" s="166" t="s">
        <v>40</v>
      </c>
      <c r="AE172" s="84">
        <v>44299</v>
      </c>
      <c r="AF172" s="83">
        <v>44445</v>
      </c>
      <c r="AG172" s="33">
        <f t="shared" si="58"/>
        <v>146</v>
      </c>
      <c r="AH172" s="41" t="s">
        <v>1122</v>
      </c>
      <c r="AI172" s="180"/>
      <c r="AJ172" s="179"/>
    </row>
    <row r="173" spans="1:40" s="248" customFormat="1">
      <c r="A173" s="127" t="s">
        <v>2242</v>
      </c>
      <c r="B173" s="79">
        <v>30</v>
      </c>
      <c r="C173" s="79">
        <v>29</v>
      </c>
      <c r="D173" s="79">
        <v>3</v>
      </c>
      <c r="E173" s="79">
        <v>45</v>
      </c>
      <c r="F173" s="57">
        <v>22.5</v>
      </c>
      <c r="G173" s="79">
        <v>6147</v>
      </c>
      <c r="H173" s="30" t="s">
        <v>1462</v>
      </c>
      <c r="I173" s="166" t="s">
        <v>40</v>
      </c>
      <c r="J173" s="8" t="str">
        <f>IFERROR(VLOOKUP($G173,今日總結!$A:$AJ,33,0),"")</f>
        <v/>
      </c>
      <c r="K173" s="5" t="str">
        <f>IFERROR(VLOOKUP($G173,今日總結!$A:$AJ,34,0),"")</f>
        <v/>
      </c>
      <c r="L173" s="156" t="str">
        <f>IFERROR(VLOOKUP($G173,今日總結!$A:$AJ,31,0),"")</f>
        <v/>
      </c>
      <c r="M173" s="340" t="str">
        <f>IFERROR(VLOOKUP($G173,今日總結!$A:$AJ,32,0),"")</f>
        <v/>
      </c>
      <c r="N173" s="240" t="str">
        <f t="shared" ref="N173" si="59">IFERROR(L173-M173,"")</f>
        <v/>
      </c>
      <c r="O173" s="245"/>
      <c r="P173" s="365">
        <f>IFERROR(VLOOKUP($G173,融外自投!$A:$J,7,0),"無")</f>
        <v>803</v>
      </c>
      <c r="Q173" s="79">
        <f>IFERROR(VLOOKUP($G173,融外自投!$A:$J,9,0),"無")</f>
        <v>292</v>
      </c>
      <c r="R173" s="346">
        <f>IFERROR(VLOOKUP($G173,融外自投!$A:$J,8,0),"無")</f>
        <v>242</v>
      </c>
      <c r="S173" s="81">
        <f>IFERROR(VLOOKUP($G173,融外自投!$A:$J,10,0),"無")</f>
        <v>90</v>
      </c>
      <c r="T173" s="327">
        <f>IFERROR(VLOOKUP($G173,'321買'!$A:$E,5,0),"'沒有資料'")</f>
        <v>131</v>
      </c>
      <c r="U173" s="65">
        <v>3.8</v>
      </c>
      <c r="V173" s="311"/>
      <c r="W173" s="57">
        <v>6.01</v>
      </c>
      <c r="X173" s="165">
        <v>85.5</v>
      </c>
      <c r="Y173" s="65">
        <f>78-3.8</f>
        <v>74.2</v>
      </c>
      <c r="Z173" s="105">
        <f t="shared" si="56"/>
        <v>11.299999999999997</v>
      </c>
      <c r="AA173" s="158">
        <f t="shared" si="57"/>
        <v>0.15229110512129376</v>
      </c>
      <c r="AB173" s="167" t="s">
        <v>3435</v>
      </c>
      <c r="AC173" s="382"/>
      <c r="AD173" s="166" t="s">
        <v>40</v>
      </c>
      <c r="AE173" s="84">
        <v>44294</v>
      </c>
      <c r="AF173" s="83">
        <v>44445</v>
      </c>
      <c r="AG173" s="33">
        <f t="shared" si="58"/>
        <v>151</v>
      </c>
      <c r="AH173" s="41" t="s">
        <v>1122</v>
      </c>
      <c r="AI173" s="180"/>
      <c r="AJ173" s="179"/>
    </row>
    <row r="174" spans="1:40" s="248" customFormat="1">
      <c r="A174" s="141"/>
      <c r="B174" s="79"/>
      <c r="C174" s="79"/>
      <c r="D174" s="79"/>
      <c r="E174" s="79"/>
      <c r="F174" s="6"/>
      <c r="G174" s="41"/>
      <c r="H174" s="8"/>
      <c r="I174" s="153"/>
      <c r="J174" s="1"/>
      <c r="K174" s="1"/>
      <c r="L174" s="123"/>
      <c r="M174" s="234"/>
      <c r="N174" s="341"/>
      <c r="O174" s="245"/>
      <c r="P174" s="365"/>
      <c r="Q174" s="47"/>
      <c r="R174" s="346"/>
      <c r="S174" s="303"/>
      <c r="T174" s="322"/>
      <c r="U174" s="185"/>
      <c r="V174" s="311"/>
      <c r="W174" s="94"/>
      <c r="X174" s="165">
        <f>SUM(X167:X173)</f>
        <v>606.5</v>
      </c>
      <c r="Y174" s="155">
        <f>SUM(Y167:Y173)</f>
        <v>527.6</v>
      </c>
      <c r="Z174" s="162">
        <f t="shared" si="56"/>
        <v>78.899999999999977</v>
      </c>
      <c r="AA174" s="158">
        <f t="shared" si="57"/>
        <v>0.14954510993176645</v>
      </c>
      <c r="AB174" s="113"/>
      <c r="AC174" s="382"/>
      <c r="AD174" s="153">
        <f>X174*(0.001425*0.5)+X174*0.003+Y174*(0.001425*0.5)</f>
        <v>2.62754625</v>
      </c>
      <c r="AE174" s="6">
        <f>Z174-AD174</f>
        <v>76.272453749999983</v>
      </c>
      <c r="AF174" s="83"/>
      <c r="AG174" s="33"/>
      <c r="AH174" s="41"/>
      <c r="AI174" s="163"/>
      <c r="AJ174" s="241"/>
    </row>
    <row r="175" spans="1:40" s="248" customFormat="1">
      <c r="A175" s="141"/>
      <c r="B175" s="79"/>
      <c r="C175" s="80"/>
      <c r="D175" s="79"/>
      <c r="E175" s="80"/>
      <c r="F175" s="6"/>
      <c r="G175" s="41"/>
      <c r="H175" s="50"/>
      <c r="I175" s="166"/>
      <c r="J175" s="1"/>
      <c r="K175" s="1"/>
      <c r="L175" s="123"/>
      <c r="M175" s="234"/>
      <c r="N175" s="341"/>
      <c r="O175" s="245"/>
      <c r="P175" s="365"/>
      <c r="Q175" s="47"/>
      <c r="R175" s="346"/>
      <c r="S175" s="303"/>
      <c r="T175" s="322"/>
      <c r="U175" s="185"/>
      <c r="V175" s="311"/>
      <c r="W175" s="94"/>
      <c r="X175" s="165"/>
      <c r="Y175" s="155"/>
      <c r="Z175" s="162"/>
      <c r="AA175" s="164"/>
      <c r="AB175" s="113"/>
      <c r="AC175" s="382"/>
      <c r="AD175" s="153"/>
      <c r="AE175" s="6"/>
      <c r="AF175" s="83"/>
      <c r="AG175" s="33"/>
      <c r="AH175" s="127"/>
      <c r="AI175" s="163"/>
    </row>
    <row r="176" spans="1:40" s="255" customFormat="1">
      <c r="A176" s="127" t="s">
        <v>1673</v>
      </c>
      <c r="B176" s="90" t="s">
        <v>1572</v>
      </c>
      <c r="C176" s="90" t="s">
        <v>1573</v>
      </c>
      <c r="D176" s="90" t="s">
        <v>1574</v>
      </c>
      <c r="E176" s="90" t="s">
        <v>1575</v>
      </c>
      <c r="F176" s="8" t="s">
        <v>1060</v>
      </c>
      <c r="G176" s="26" t="s">
        <v>3442</v>
      </c>
      <c r="H176" s="55" t="s">
        <v>320</v>
      </c>
      <c r="I176" s="1" t="s">
        <v>2249</v>
      </c>
      <c r="J176" s="8" t="s">
        <v>6221</v>
      </c>
      <c r="K176" s="5" t="s">
        <v>6222</v>
      </c>
      <c r="L176" s="337" t="s">
        <v>6206</v>
      </c>
      <c r="M176" s="338" t="s">
        <v>6207</v>
      </c>
      <c r="N176" s="339" t="s">
        <v>6208</v>
      </c>
      <c r="O176" s="4" t="s">
        <v>6713</v>
      </c>
      <c r="P176" s="89" t="s">
        <v>6285</v>
      </c>
      <c r="Q176" s="293" t="s">
        <v>6284</v>
      </c>
      <c r="R176" s="354" t="s">
        <v>6283</v>
      </c>
      <c r="S176" s="26" t="s">
        <v>6286</v>
      </c>
      <c r="T176" s="321" t="s">
        <v>4716</v>
      </c>
      <c r="U176" s="14" t="s">
        <v>66</v>
      </c>
      <c r="V176" s="308" t="s">
        <v>4731</v>
      </c>
      <c r="W176" s="68" t="s">
        <v>3273</v>
      </c>
      <c r="X176" s="28" t="s">
        <v>2</v>
      </c>
      <c r="Y176" s="17" t="s">
        <v>1399</v>
      </c>
      <c r="Z176" s="14" t="s">
        <v>2250</v>
      </c>
      <c r="AA176" s="21" t="s">
        <v>1470</v>
      </c>
      <c r="AB176" s="51" t="s">
        <v>6174</v>
      </c>
      <c r="AC176" s="102" t="s">
        <v>6420</v>
      </c>
      <c r="AD176" s="1" t="s">
        <v>2249</v>
      </c>
      <c r="AE176" s="71" t="s">
        <v>1400</v>
      </c>
      <c r="AF176" s="72" t="s">
        <v>1157</v>
      </c>
      <c r="AG176" s="32" t="s">
        <v>1158</v>
      </c>
      <c r="AH176" s="46" t="s">
        <v>3363</v>
      </c>
      <c r="AI176" s="163"/>
    </row>
    <row r="177" spans="1:42">
      <c r="A177" s="127" t="s">
        <v>1676</v>
      </c>
      <c r="B177" s="79">
        <v>86</v>
      </c>
      <c r="C177" s="79">
        <v>124</v>
      </c>
      <c r="D177" s="80">
        <v>-5</v>
      </c>
      <c r="E177" s="79">
        <v>7</v>
      </c>
      <c r="F177" s="57">
        <v>25.67</v>
      </c>
      <c r="G177" s="79">
        <v>5471</v>
      </c>
      <c r="H177" s="30" t="s">
        <v>1462</v>
      </c>
      <c r="I177" s="22" t="s">
        <v>352</v>
      </c>
      <c r="J177" s="8" t="str">
        <f>IFERROR(VLOOKUP($G177,今日總結!$A:$AJ,33,0),"")</f>
        <v/>
      </c>
      <c r="K177" s="5" t="str">
        <f>IFERROR(VLOOKUP($G177,今日總結!$A:$AJ,34,0),"")</f>
        <v/>
      </c>
      <c r="L177" s="156" t="str">
        <f>IFERROR(VLOOKUP($G177,今日總結!$A:$AJ,31,0),"")</f>
        <v/>
      </c>
      <c r="M177" s="340" t="str">
        <f>IFERROR(VLOOKUP($G177,今日總結!$A:$AJ,32,0),"")</f>
        <v/>
      </c>
      <c r="N177" s="240" t="str">
        <f t="shared" ref="N177" si="60">IFERROR(L177-M177,"")</f>
        <v/>
      </c>
      <c r="P177" s="365">
        <f>IFERROR(VLOOKUP($G177,融外自投!$A:$J,7,0),"無")</f>
        <v>352</v>
      </c>
      <c r="Q177" s="79">
        <f>IFERROR(VLOOKUP($G177,融外自投!$A:$J,9,0),"無")</f>
        <v>896</v>
      </c>
      <c r="R177" s="346">
        <f>IFERROR(VLOOKUP($G177,融外自投!$A:$J,8,0),"無")</f>
        <v>418</v>
      </c>
      <c r="S177" s="81">
        <f>IFERROR(VLOOKUP($G177,融外自投!$A:$J,10,0),"無")</f>
        <v>395</v>
      </c>
      <c r="T177" s="327">
        <f>IFERROR(VLOOKUP($G177,'321買'!$A:$E,5,0),"'沒有資料'")</f>
        <v>445</v>
      </c>
      <c r="U177" s="66">
        <v>5.7</v>
      </c>
      <c r="W177" s="94">
        <v>6.85</v>
      </c>
      <c r="X177" s="36">
        <v>117</v>
      </c>
      <c r="Y177" s="66">
        <v>95.3</v>
      </c>
      <c r="Z177" s="15">
        <f t="shared" ref="Z177:Z183" si="61">X177-Y177</f>
        <v>21.700000000000003</v>
      </c>
      <c r="AA177" s="63">
        <f t="shared" ref="AA177:AA183" si="62">Z177/Y177</f>
        <v>0.22770199370409239</v>
      </c>
      <c r="AB177" s="99" t="s">
        <v>3387</v>
      </c>
      <c r="AD177" s="22" t="s">
        <v>352</v>
      </c>
      <c r="AE177" s="84">
        <v>44364</v>
      </c>
      <c r="AF177" s="83">
        <v>44398</v>
      </c>
      <c r="AG177" s="33">
        <f t="shared" ref="AG177:AG182" si="63">AF177-AE177</f>
        <v>34</v>
      </c>
      <c r="AH177" s="41" t="s">
        <v>1122</v>
      </c>
      <c r="AI177" s="221"/>
      <c r="AJ177" s="243"/>
    </row>
    <row r="178" spans="1:42" s="248" customFormat="1" ht="15.75" customHeight="1">
      <c r="A178" s="142" t="s">
        <v>2069</v>
      </c>
      <c r="B178" s="80">
        <v>-19</v>
      </c>
      <c r="C178" s="80">
        <v>-15</v>
      </c>
      <c r="D178" s="79">
        <v>1</v>
      </c>
      <c r="E178" s="79">
        <v>2</v>
      </c>
      <c r="F178" s="6">
        <v>9.98</v>
      </c>
      <c r="G178" s="80">
        <v>6274</v>
      </c>
      <c r="H178" s="30" t="s">
        <v>1462</v>
      </c>
      <c r="I178" s="166" t="s">
        <v>3109</v>
      </c>
      <c r="J178" s="8" t="str">
        <f>IFERROR(VLOOKUP($G178,今日總結!$A:$AJ,33,0),"")</f>
        <v/>
      </c>
      <c r="K178" s="5" t="str">
        <f>IFERROR(VLOOKUP($G178,今日總結!$A:$AJ,34,0),"")</f>
        <v/>
      </c>
      <c r="L178" s="156" t="str">
        <f>IFERROR(VLOOKUP($G178,今日總結!$A:$AJ,31,0),"")</f>
        <v/>
      </c>
      <c r="M178" s="340" t="str">
        <f>IFERROR(VLOOKUP($G178,今日總結!$A:$AJ,32,0),"")</f>
        <v/>
      </c>
      <c r="N178" s="240" t="str">
        <f t="shared" ref="N178:N182" si="64">IFERROR(L178-M178,"")</f>
        <v/>
      </c>
      <c r="O178" s="245"/>
      <c r="P178" s="365">
        <f>IFERROR(VLOOKUP($G178,融外自投!$A:$J,7,0),"無")</f>
        <v>752</v>
      </c>
      <c r="Q178" s="79">
        <f>IFERROR(VLOOKUP($G178,融外自投!$A:$J,9,0),"無")</f>
        <v>321</v>
      </c>
      <c r="R178" s="346">
        <f>IFERROR(VLOOKUP($G178,融外自投!$A:$J,8,0),"無")</f>
        <v>138</v>
      </c>
      <c r="S178" s="81">
        <f>IFERROR(VLOOKUP($G178,融外自投!$A:$J,10,0),"無")</f>
        <v>155</v>
      </c>
      <c r="T178" s="327">
        <f>IFERROR(VLOOKUP($G178,'321買'!$A:$E,5,0),"'沒有資料'")</f>
        <v>515</v>
      </c>
      <c r="U178" s="65">
        <v>4.8</v>
      </c>
      <c r="V178" s="311"/>
      <c r="W178" s="57">
        <v>6.36</v>
      </c>
      <c r="X178" s="165">
        <v>118.5</v>
      </c>
      <c r="Y178" s="65">
        <v>102.5</v>
      </c>
      <c r="Z178" s="162">
        <f t="shared" si="61"/>
        <v>16</v>
      </c>
      <c r="AA178" s="158">
        <f t="shared" si="62"/>
        <v>0.15609756097560976</v>
      </c>
      <c r="AB178" s="167" t="s">
        <v>3372</v>
      </c>
      <c r="AC178" s="382"/>
      <c r="AD178" s="166" t="s">
        <v>3109</v>
      </c>
      <c r="AE178" s="84">
        <v>44348</v>
      </c>
      <c r="AF178" s="83">
        <v>44386</v>
      </c>
      <c r="AG178" s="33">
        <f t="shared" si="63"/>
        <v>38</v>
      </c>
      <c r="AH178" s="41" t="s">
        <v>1122</v>
      </c>
      <c r="AI178" s="212"/>
      <c r="AJ178" s="213"/>
    </row>
    <row r="179" spans="1:42" s="248" customFormat="1" ht="15.75" customHeight="1">
      <c r="A179" s="142" t="s">
        <v>2069</v>
      </c>
      <c r="B179" s="80">
        <v>-19</v>
      </c>
      <c r="C179" s="80">
        <v>-15</v>
      </c>
      <c r="D179" s="79">
        <v>1</v>
      </c>
      <c r="E179" s="79">
        <v>2</v>
      </c>
      <c r="F179" s="6">
        <v>9.98</v>
      </c>
      <c r="G179" s="80">
        <v>6274</v>
      </c>
      <c r="H179" s="30" t="s">
        <v>1462</v>
      </c>
      <c r="I179" s="166" t="s">
        <v>3109</v>
      </c>
      <c r="J179" s="8" t="str">
        <f>IFERROR(VLOOKUP($G179,今日總結!$A:$AJ,33,0),"")</f>
        <v/>
      </c>
      <c r="K179" s="5" t="str">
        <f>IFERROR(VLOOKUP($G179,今日總結!$A:$AJ,34,0),"")</f>
        <v/>
      </c>
      <c r="L179" s="156" t="str">
        <f>IFERROR(VLOOKUP($G179,今日總結!$A:$AJ,31,0),"")</f>
        <v/>
      </c>
      <c r="M179" s="340" t="str">
        <f>IFERROR(VLOOKUP($G179,今日總結!$A:$AJ,32,0),"")</f>
        <v/>
      </c>
      <c r="N179" s="240" t="str">
        <f t="shared" si="64"/>
        <v/>
      </c>
      <c r="O179" s="245"/>
      <c r="P179" s="365">
        <f>IFERROR(VLOOKUP($G179,融外自投!$A:$J,7,0),"無")</f>
        <v>752</v>
      </c>
      <c r="Q179" s="79">
        <f>IFERROR(VLOOKUP($G179,融外自投!$A:$J,9,0),"無")</f>
        <v>321</v>
      </c>
      <c r="R179" s="346">
        <f>IFERROR(VLOOKUP($G179,融外自投!$A:$J,8,0),"無")</f>
        <v>138</v>
      </c>
      <c r="S179" s="81">
        <f>IFERROR(VLOOKUP($G179,融外自投!$A:$J,10,0),"無")</f>
        <v>155</v>
      </c>
      <c r="T179" s="327">
        <f>IFERROR(VLOOKUP($G179,'321買'!$A:$E,5,0),"'沒有資料'")</f>
        <v>515</v>
      </c>
      <c r="U179" s="65">
        <v>4.8</v>
      </c>
      <c r="V179" s="311"/>
      <c r="W179" s="57">
        <v>6.36</v>
      </c>
      <c r="X179" s="165">
        <v>118.5</v>
      </c>
      <c r="Y179" s="65">
        <v>120.5</v>
      </c>
      <c r="Z179" s="162">
        <f t="shared" si="61"/>
        <v>-2</v>
      </c>
      <c r="AA179" s="164">
        <f t="shared" si="62"/>
        <v>-1.6597510373443983E-2</v>
      </c>
      <c r="AB179" s="168" t="s">
        <v>3320</v>
      </c>
      <c r="AC179" s="382"/>
      <c r="AD179" s="166" t="s">
        <v>3109</v>
      </c>
      <c r="AE179" s="84">
        <v>44309</v>
      </c>
      <c r="AF179" s="83">
        <v>44386</v>
      </c>
      <c r="AG179" s="33">
        <f t="shared" si="63"/>
        <v>77</v>
      </c>
      <c r="AH179" s="41" t="s">
        <v>1122</v>
      </c>
      <c r="AI179" s="212"/>
      <c r="AJ179" s="213"/>
    </row>
    <row r="180" spans="1:42">
      <c r="A180" s="142" t="s">
        <v>1974</v>
      </c>
      <c r="B180" s="79">
        <v>171</v>
      </c>
      <c r="C180" s="79">
        <v>391</v>
      </c>
      <c r="D180" s="79">
        <v>0</v>
      </c>
      <c r="E180" s="79">
        <v>41</v>
      </c>
      <c r="F180" s="6">
        <v>9.7100000000000009</v>
      </c>
      <c r="G180" s="79">
        <v>6284</v>
      </c>
      <c r="H180" s="30" t="s">
        <v>1462</v>
      </c>
      <c r="I180" s="16" t="s">
        <v>287</v>
      </c>
      <c r="J180" s="8">
        <f>IFERROR(VLOOKUP($G180,今日總結!$A:$AJ,33,0),"")</f>
        <v>1</v>
      </c>
      <c r="K180" s="5">
        <f>IFERROR(VLOOKUP($G180,今日總結!$A:$AJ,34,0),"")</f>
        <v>0</v>
      </c>
      <c r="L180" s="156">
        <f>IFERROR(VLOOKUP($G180,今日總結!$A:$AJ,31,0),"")</f>
        <v>0</v>
      </c>
      <c r="M180" s="340">
        <f>IFERROR(VLOOKUP($G180,今日總結!$A:$AJ,32,0),"")</f>
        <v>0</v>
      </c>
      <c r="N180" s="240">
        <f t="shared" si="64"/>
        <v>0</v>
      </c>
      <c r="P180" s="365">
        <f>IFERROR(VLOOKUP($G180,融外自投!$A:$J,7,0),"無")</f>
        <v>346</v>
      </c>
      <c r="Q180" s="79">
        <f>IFERROR(VLOOKUP($G180,融外自投!$A:$J,9,0),"無")</f>
        <v>514</v>
      </c>
      <c r="R180" s="346">
        <f>IFERROR(VLOOKUP($G180,融外自投!$A:$J,8,0),"無")</f>
        <v>1234</v>
      </c>
      <c r="S180" s="81">
        <f>IFERROR(VLOOKUP($G180,融外自投!$A:$J,10,0),"無")</f>
        <v>319</v>
      </c>
      <c r="T180" s="327">
        <f>IFERROR(VLOOKUP($G180,'321買'!$A:$E,5,0),"'沒有資料'")</f>
        <v>964</v>
      </c>
      <c r="U180" s="34">
        <v>1</v>
      </c>
      <c r="W180" s="94">
        <v>3.17</v>
      </c>
      <c r="X180" s="36">
        <v>72</v>
      </c>
      <c r="Y180" s="66">
        <v>61.7</v>
      </c>
      <c r="Z180" s="15">
        <f t="shared" si="61"/>
        <v>10.299999999999997</v>
      </c>
      <c r="AA180" s="63">
        <f t="shared" si="62"/>
        <v>0.16693679092382491</v>
      </c>
      <c r="AB180" s="101" t="s">
        <v>3369</v>
      </c>
      <c r="AD180" s="16" t="s">
        <v>287</v>
      </c>
      <c r="AE180" s="84">
        <v>44357</v>
      </c>
      <c r="AF180" s="83">
        <v>44384</v>
      </c>
      <c r="AG180" s="33">
        <f t="shared" si="63"/>
        <v>27</v>
      </c>
      <c r="AH180" s="41" t="s">
        <v>1122</v>
      </c>
      <c r="AI180" s="221"/>
      <c r="AJ180" s="243"/>
      <c r="AK180" s="41"/>
      <c r="AL180" s="16"/>
      <c r="AM180" s="206"/>
      <c r="AN180" s="239"/>
      <c r="AO180" s="249"/>
      <c r="AP180" s="251"/>
    </row>
    <row r="181" spans="1:42">
      <c r="A181" s="127" t="s">
        <v>1963</v>
      </c>
      <c r="B181" s="79">
        <v>237</v>
      </c>
      <c r="C181" s="79">
        <v>275</v>
      </c>
      <c r="D181" s="80">
        <v>-2</v>
      </c>
      <c r="E181" s="79">
        <v>60</v>
      </c>
      <c r="F181" s="57">
        <v>13</v>
      </c>
      <c r="G181" s="79">
        <v>1309</v>
      </c>
      <c r="H181" s="30" t="s">
        <v>1462</v>
      </c>
      <c r="I181" s="22" t="s">
        <v>315</v>
      </c>
      <c r="J181" s="8">
        <f>IFERROR(VLOOKUP($G181,今日總結!$A:$AJ,33,0),"")</f>
        <v>0</v>
      </c>
      <c r="K181" s="5">
        <f>IFERROR(VLOOKUP($G181,今日總結!$A:$AJ,34,0),"")</f>
        <v>1</v>
      </c>
      <c r="L181" s="156">
        <f>IFERROR(VLOOKUP($G181,今日總結!$A:$AJ,31,0),"")</f>
        <v>0</v>
      </c>
      <c r="M181" s="340">
        <f>IFERROR(VLOOKUP($G181,今日總結!$A:$AJ,32,0),"")</f>
        <v>0</v>
      </c>
      <c r="N181" s="240">
        <f t="shared" si="64"/>
        <v>0</v>
      </c>
      <c r="P181" s="365">
        <f>IFERROR(VLOOKUP($G181,融外自投!$A:$J,7,0),"無")</f>
        <v>828</v>
      </c>
      <c r="Q181" s="79">
        <f>IFERROR(VLOOKUP($G181,融外自投!$A:$J,9,0),"無")</f>
        <v>350</v>
      </c>
      <c r="R181" s="346">
        <f>IFERROR(VLOOKUP($G181,融外自投!$A:$J,8,0),"無")</f>
        <v>984</v>
      </c>
      <c r="S181" s="81">
        <f>IFERROR(VLOOKUP($G181,融外自投!$A:$J,10,0),"無")</f>
        <v>491</v>
      </c>
      <c r="T181" s="327">
        <f>IFERROR(VLOOKUP($G181,'321買'!$A:$E,5,0),"'沒有資料'")</f>
        <v>894</v>
      </c>
      <c r="U181" s="66">
        <v>3</v>
      </c>
      <c r="W181" s="94">
        <v>6.58</v>
      </c>
      <c r="X181" s="36">
        <v>51.3</v>
      </c>
      <c r="Y181" s="66">
        <v>44.05</v>
      </c>
      <c r="Z181" s="15">
        <f t="shared" si="61"/>
        <v>7.25</v>
      </c>
      <c r="AA181" s="63">
        <f t="shared" si="62"/>
        <v>0.1645856980703746</v>
      </c>
      <c r="AB181" s="99" t="s">
        <v>3370</v>
      </c>
      <c r="AD181" s="22" t="s">
        <v>315</v>
      </c>
      <c r="AE181" s="84">
        <v>44351</v>
      </c>
      <c r="AF181" s="83">
        <v>44379</v>
      </c>
      <c r="AG181" s="33">
        <f t="shared" si="63"/>
        <v>28</v>
      </c>
      <c r="AH181" s="41" t="s">
        <v>1122</v>
      </c>
      <c r="AI181" s="221"/>
      <c r="AJ181" s="213"/>
    </row>
    <row r="182" spans="1:42">
      <c r="A182" s="127" t="s">
        <v>1963</v>
      </c>
      <c r="B182" s="79">
        <v>237</v>
      </c>
      <c r="C182" s="79">
        <v>275</v>
      </c>
      <c r="D182" s="80">
        <v>-2</v>
      </c>
      <c r="E182" s="79">
        <v>60</v>
      </c>
      <c r="F182" s="57">
        <v>13</v>
      </c>
      <c r="G182" s="79">
        <v>1309</v>
      </c>
      <c r="H182" s="30" t="s">
        <v>1462</v>
      </c>
      <c r="I182" s="22" t="s">
        <v>315</v>
      </c>
      <c r="J182" s="8">
        <f>IFERROR(VLOOKUP($G182,今日總結!$A:$AJ,33,0),"")</f>
        <v>0</v>
      </c>
      <c r="K182" s="5">
        <f>IFERROR(VLOOKUP($G182,今日總結!$A:$AJ,34,0),"")</f>
        <v>1</v>
      </c>
      <c r="L182" s="156">
        <f>IFERROR(VLOOKUP($G182,今日總結!$A:$AJ,31,0),"")</f>
        <v>0</v>
      </c>
      <c r="M182" s="340">
        <f>IFERROR(VLOOKUP($G182,今日總結!$A:$AJ,32,0),"")</f>
        <v>0</v>
      </c>
      <c r="N182" s="240">
        <f t="shared" si="64"/>
        <v>0</v>
      </c>
      <c r="P182" s="365">
        <f>IFERROR(VLOOKUP($G182,融外自投!$A:$J,7,0),"無")</f>
        <v>828</v>
      </c>
      <c r="Q182" s="79">
        <f>IFERROR(VLOOKUP($G182,融外自投!$A:$J,9,0),"無")</f>
        <v>350</v>
      </c>
      <c r="R182" s="346">
        <f>IFERROR(VLOOKUP($G182,融外自投!$A:$J,8,0),"無")</f>
        <v>984</v>
      </c>
      <c r="S182" s="81">
        <f>IFERROR(VLOOKUP($G182,融外自投!$A:$J,10,0),"無")</f>
        <v>491</v>
      </c>
      <c r="T182" s="327">
        <f>IFERROR(VLOOKUP($G182,'321買'!$A:$E,5,0),"'沒有資料'")</f>
        <v>894</v>
      </c>
      <c r="U182" s="66">
        <v>3</v>
      </c>
      <c r="W182" s="94">
        <v>6.58</v>
      </c>
      <c r="X182" s="36">
        <v>51.3</v>
      </c>
      <c r="Y182" s="66">
        <v>40.1</v>
      </c>
      <c r="Z182" s="15">
        <f t="shared" si="61"/>
        <v>11.199999999999996</v>
      </c>
      <c r="AA182" s="63">
        <f t="shared" si="62"/>
        <v>0.27930174563591009</v>
      </c>
      <c r="AB182" s="99" t="s">
        <v>3371</v>
      </c>
      <c r="AD182" s="22" t="s">
        <v>315</v>
      </c>
      <c r="AE182" s="84">
        <v>44343</v>
      </c>
      <c r="AF182" s="83">
        <v>44379</v>
      </c>
      <c r="AG182" s="33">
        <f t="shared" si="63"/>
        <v>36</v>
      </c>
      <c r="AH182" s="41" t="s">
        <v>1122</v>
      </c>
      <c r="AI182" s="221"/>
      <c r="AJ182" s="213"/>
    </row>
    <row r="183" spans="1:42" s="248" customFormat="1">
      <c r="A183" s="141"/>
      <c r="B183" s="79"/>
      <c r="C183" s="79"/>
      <c r="D183" s="79"/>
      <c r="E183" s="79"/>
      <c r="F183" s="6"/>
      <c r="G183" s="41"/>
      <c r="H183" s="8"/>
      <c r="I183" s="153"/>
      <c r="J183" s="1"/>
      <c r="K183" s="1"/>
      <c r="L183" s="245"/>
      <c r="M183" s="234"/>
      <c r="N183" s="341"/>
      <c r="O183" s="245"/>
      <c r="P183" s="365"/>
      <c r="Q183" s="47"/>
      <c r="R183" s="346"/>
      <c r="S183" s="81"/>
      <c r="T183" s="327"/>
      <c r="U183" s="185"/>
      <c r="V183" s="311"/>
      <c r="W183" s="94"/>
      <c r="X183" s="165">
        <f>SUM(X177:X182)</f>
        <v>528.6</v>
      </c>
      <c r="Y183" s="155">
        <f>SUM(Y177:Y182)</f>
        <v>464.15000000000003</v>
      </c>
      <c r="Z183" s="162">
        <f t="shared" si="61"/>
        <v>64.449999999999989</v>
      </c>
      <c r="AA183" s="158">
        <f t="shared" si="62"/>
        <v>0.1388559732844985</v>
      </c>
      <c r="AB183" s="113"/>
      <c r="AC183" s="382"/>
      <c r="AD183" s="153">
        <f>X183*(0.001425*0.5)+X183*0.003+Y183*(0.001425*0.5)</f>
        <v>2.2931343750000002</v>
      </c>
      <c r="AE183" s="6">
        <f>Z183-AD183</f>
        <v>62.156865624999988</v>
      </c>
      <c r="AF183" s="83"/>
      <c r="AG183" s="33"/>
      <c r="AH183" s="41" t="s">
        <v>1502</v>
      </c>
      <c r="AI183" s="163"/>
    </row>
    <row r="184" spans="1:42" s="255" customFormat="1">
      <c r="A184" s="127"/>
      <c r="B184" s="90"/>
      <c r="C184" s="90"/>
      <c r="D184" s="90"/>
      <c r="E184" s="90"/>
      <c r="F184" s="8"/>
      <c r="G184" s="25"/>
      <c r="H184" s="55"/>
      <c r="I184" s="1"/>
      <c r="J184" s="1"/>
      <c r="K184" s="1"/>
      <c r="L184" s="123"/>
      <c r="M184" s="234"/>
      <c r="N184" s="341"/>
      <c r="O184" s="245"/>
      <c r="P184" s="365"/>
      <c r="Q184" s="47"/>
      <c r="R184" s="346"/>
      <c r="S184" s="303"/>
      <c r="T184" s="321"/>
      <c r="U184" s="14"/>
      <c r="V184" s="311"/>
      <c r="W184" s="68"/>
      <c r="X184" s="28"/>
      <c r="Y184" s="17"/>
      <c r="Z184" s="14"/>
      <c r="AA184" s="21"/>
      <c r="AB184" s="25"/>
      <c r="AC184" s="382"/>
      <c r="AD184" s="227">
        <f>X183*(0.001425*0.28)+X183*0.003+Y183*(0.001425*0.28)</f>
        <v>1.9819072500000001</v>
      </c>
      <c r="AE184" s="71"/>
      <c r="AF184" s="72"/>
      <c r="AG184" s="32"/>
      <c r="AH184" s="46"/>
      <c r="AI184" s="163"/>
    </row>
    <row r="185" spans="1:42" s="248" customFormat="1">
      <c r="A185" s="141"/>
      <c r="B185" s="79"/>
      <c r="C185" s="80"/>
      <c r="D185" s="79"/>
      <c r="E185" s="80"/>
      <c r="F185" s="6"/>
      <c r="G185" s="41"/>
      <c r="H185" s="50"/>
      <c r="I185" s="166"/>
      <c r="J185" s="1"/>
      <c r="K185" s="1"/>
      <c r="L185" s="123"/>
      <c r="M185" s="234"/>
      <c r="N185" s="341"/>
      <c r="O185" s="245"/>
      <c r="P185" s="365"/>
      <c r="Q185" s="47"/>
      <c r="R185" s="346"/>
      <c r="S185" s="303"/>
      <c r="T185" s="322"/>
      <c r="U185" s="185"/>
      <c r="V185" s="311"/>
      <c r="W185" s="94"/>
      <c r="X185" s="165"/>
      <c r="Y185" s="155"/>
      <c r="Z185" s="162"/>
      <c r="AA185" s="164"/>
      <c r="AB185" s="113"/>
      <c r="AC185" s="382"/>
      <c r="AD185" s="153"/>
      <c r="AE185" s="6"/>
      <c r="AF185" s="83"/>
      <c r="AG185" s="33"/>
      <c r="AH185" s="127"/>
      <c r="AI185" s="163"/>
    </row>
    <row r="186" spans="1:42" s="255" customFormat="1">
      <c r="A186" s="127" t="s">
        <v>1673</v>
      </c>
      <c r="B186" s="90" t="s">
        <v>1572</v>
      </c>
      <c r="C186" s="90" t="s">
        <v>1573</v>
      </c>
      <c r="D186" s="90" t="s">
        <v>1574</v>
      </c>
      <c r="E186" s="90" t="s">
        <v>1575</v>
      </c>
      <c r="F186" s="8" t="s">
        <v>1060</v>
      </c>
      <c r="G186" s="26" t="s">
        <v>3442</v>
      </c>
      <c r="H186" s="55" t="s">
        <v>320</v>
      </c>
      <c r="I186" s="1" t="s">
        <v>2249</v>
      </c>
      <c r="J186" s="8" t="s">
        <v>6221</v>
      </c>
      <c r="K186" s="5" t="s">
        <v>6222</v>
      </c>
      <c r="L186" s="337" t="s">
        <v>6206</v>
      </c>
      <c r="M186" s="338" t="s">
        <v>6207</v>
      </c>
      <c r="N186" s="339" t="s">
        <v>6208</v>
      </c>
      <c r="O186" s="4" t="s">
        <v>6713</v>
      </c>
      <c r="P186" s="89" t="s">
        <v>6285</v>
      </c>
      <c r="Q186" s="293" t="s">
        <v>6284</v>
      </c>
      <c r="R186" s="354" t="s">
        <v>6283</v>
      </c>
      <c r="S186" s="26" t="s">
        <v>6286</v>
      </c>
      <c r="T186" s="321" t="s">
        <v>4716</v>
      </c>
      <c r="U186" s="14" t="s">
        <v>66</v>
      </c>
      <c r="V186" s="308" t="s">
        <v>4731</v>
      </c>
      <c r="W186" s="68" t="s">
        <v>3273</v>
      </c>
      <c r="X186" s="28" t="s">
        <v>2</v>
      </c>
      <c r="Y186" s="17" t="s">
        <v>1399</v>
      </c>
      <c r="Z186" s="14" t="s">
        <v>2250</v>
      </c>
      <c r="AA186" s="21" t="s">
        <v>1470</v>
      </c>
      <c r="AB186" s="51" t="s">
        <v>6174</v>
      </c>
      <c r="AC186" s="102" t="s">
        <v>6420</v>
      </c>
      <c r="AD186" s="1" t="s">
        <v>2249</v>
      </c>
      <c r="AE186" s="71" t="s">
        <v>1400</v>
      </c>
      <c r="AF186" s="72" t="s">
        <v>1157</v>
      </c>
      <c r="AG186" s="32" t="s">
        <v>1158</v>
      </c>
      <c r="AH186" s="46" t="s">
        <v>3344</v>
      </c>
      <c r="AI186" s="163"/>
    </row>
    <row r="187" spans="1:42">
      <c r="A187" s="142" t="s">
        <v>1946</v>
      </c>
      <c r="B187" s="80">
        <v>-34</v>
      </c>
      <c r="C187" s="80">
        <v>-42</v>
      </c>
      <c r="D187" s="80">
        <v>-3</v>
      </c>
      <c r="E187" s="80">
        <v>-34</v>
      </c>
      <c r="F187" s="6">
        <v>9.8000000000000007</v>
      </c>
      <c r="G187" s="80">
        <v>6477</v>
      </c>
      <c r="H187" s="30" t="s">
        <v>1462</v>
      </c>
      <c r="I187" s="22" t="s">
        <v>451</v>
      </c>
      <c r="J187" s="8" t="str">
        <f>IFERROR(VLOOKUP($G187,今日總結!$A:$AJ,33,0),"")</f>
        <v/>
      </c>
      <c r="K187" s="5" t="str">
        <f>IFERROR(VLOOKUP($G187,今日總結!$A:$AJ,34,0),"")</f>
        <v/>
      </c>
      <c r="L187" s="156" t="str">
        <f>IFERROR(VLOOKUP($G187,今日總結!$A:$AJ,31,0),"")</f>
        <v/>
      </c>
      <c r="M187" s="340" t="str">
        <f>IFERROR(VLOOKUP($G187,今日總結!$A:$AJ,32,0),"")</f>
        <v/>
      </c>
      <c r="N187" s="240" t="str">
        <f t="shared" ref="N187:N189" si="65">IFERROR(L187-M187,"")</f>
        <v/>
      </c>
      <c r="P187" s="365">
        <f>IFERROR(VLOOKUP($G187,融外自投!$A:$J,7,0),"無")</f>
        <v>195</v>
      </c>
      <c r="Q187" s="79">
        <f>IFERROR(VLOOKUP($G187,融外自投!$A:$J,9,0),"無")</f>
        <v>256</v>
      </c>
      <c r="R187" s="346">
        <f>IFERROR(VLOOKUP($G187,融外自投!$A:$J,8,0),"無")</f>
        <v>956</v>
      </c>
      <c r="S187" s="81">
        <f>IFERROR(VLOOKUP($G187,融外自投!$A:$J,10,0),"無")</f>
        <v>27</v>
      </c>
      <c r="T187" s="327">
        <f>IFERROR(VLOOKUP($G187,'321買'!$A:$E,5,0),"'沒有資料'")</f>
        <v>164</v>
      </c>
      <c r="U187" s="34">
        <v>1.1399999999999999</v>
      </c>
      <c r="W187" s="94">
        <v>2.56</v>
      </c>
      <c r="X187" s="36">
        <v>50.4</v>
      </c>
      <c r="Y187" s="66">
        <v>45.7</v>
      </c>
      <c r="Z187" s="15">
        <f>X187-Y187</f>
        <v>4.6999999999999957</v>
      </c>
      <c r="AA187" s="63">
        <f>Z187/Y187</f>
        <v>0.10284463894967168</v>
      </c>
      <c r="AB187" s="101" t="s">
        <v>3358</v>
      </c>
      <c r="AD187" s="22" t="s">
        <v>451</v>
      </c>
      <c r="AE187" s="84">
        <v>44336</v>
      </c>
      <c r="AF187" s="83">
        <v>44364</v>
      </c>
      <c r="AG187" s="33">
        <f>AF187-AE187</f>
        <v>28</v>
      </c>
      <c r="AH187" s="41" t="s">
        <v>1122</v>
      </c>
      <c r="AJ187" s="8"/>
    </row>
    <row r="188" spans="1:42">
      <c r="A188" s="127" t="s">
        <v>1676</v>
      </c>
      <c r="B188" s="79">
        <v>86</v>
      </c>
      <c r="C188" s="79">
        <v>124</v>
      </c>
      <c r="D188" s="79">
        <v>9</v>
      </c>
      <c r="E188" s="80">
        <v>-1</v>
      </c>
      <c r="F188" s="57">
        <v>25.67</v>
      </c>
      <c r="G188" s="79">
        <v>5471</v>
      </c>
      <c r="H188" s="30" t="s">
        <v>1462</v>
      </c>
      <c r="I188" s="22" t="s">
        <v>352</v>
      </c>
      <c r="J188" s="8" t="str">
        <f>IFERROR(VLOOKUP($G188,今日總結!$A:$AJ,33,0),"")</f>
        <v/>
      </c>
      <c r="K188" s="5" t="str">
        <f>IFERROR(VLOOKUP($G188,今日總結!$A:$AJ,34,0),"")</f>
        <v/>
      </c>
      <c r="L188" s="156" t="str">
        <f>IFERROR(VLOOKUP($G188,今日總結!$A:$AJ,31,0),"")</f>
        <v/>
      </c>
      <c r="M188" s="340" t="str">
        <f>IFERROR(VLOOKUP($G188,今日總結!$A:$AJ,32,0),"")</f>
        <v/>
      </c>
      <c r="N188" s="240" t="str">
        <f t="shared" si="65"/>
        <v/>
      </c>
      <c r="P188" s="365">
        <f>IFERROR(VLOOKUP($G188,融外自投!$A:$J,7,0),"無")</f>
        <v>352</v>
      </c>
      <c r="Q188" s="79">
        <f>IFERROR(VLOOKUP($G188,融外自投!$A:$J,9,0),"無")</f>
        <v>896</v>
      </c>
      <c r="R188" s="346">
        <f>IFERROR(VLOOKUP($G188,融外自投!$A:$J,8,0),"無")</f>
        <v>418</v>
      </c>
      <c r="S188" s="81">
        <f>IFERROR(VLOOKUP($G188,融外自投!$A:$J,10,0),"無")</f>
        <v>395</v>
      </c>
      <c r="T188" s="327">
        <f>IFERROR(VLOOKUP($G188,'321買'!$A:$E,5,0),"'沒有資料'")</f>
        <v>445</v>
      </c>
      <c r="U188" s="66">
        <v>5.7</v>
      </c>
      <c r="W188" s="94">
        <v>6.85</v>
      </c>
      <c r="X188" s="36">
        <v>97.6</v>
      </c>
      <c r="Y188" s="66">
        <v>91.7</v>
      </c>
      <c r="Z188" s="15">
        <f>X188-Y188</f>
        <v>5.8999999999999915</v>
      </c>
      <c r="AA188" s="63">
        <f>Z188/Y188</f>
        <v>6.4340239912758904E-2</v>
      </c>
      <c r="AB188" s="99" t="s">
        <v>2976</v>
      </c>
      <c r="AD188" s="22" t="s">
        <v>352</v>
      </c>
      <c r="AE188" s="84">
        <v>44342</v>
      </c>
      <c r="AF188" s="83">
        <v>44357</v>
      </c>
      <c r="AG188" s="33">
        <f>AF188-AE188</f>
        <v>15</v>
      </c>
      <c r="AH188" s="41" t="s">
        <v>1122</v>
      </c>
      <c r="AI188" s="221"/>
      <c r="AJ188" s="213"/>
    </row>
    <row r="189" spans="1:42">
      <c r="A189" s="142" t="s">
        <v>1890</v>
      </c>
      <c r="B189" s="80">
        <v>-22</v>
      </c>
      <c r="C189" s="80">
        <v>-26</v>
      </c>
      <c r="D189" s="79">
        <v>4</v>
      </c>
      <c r="E189" s="80">
        <v>-35</v>
      </c>
      <c r="F189" s="6">
        <v>3.86</v>
      </c>
      <c r="G189" s="80">
        <v>4173</v>
      </c>
      <c r="H189" s="50" t="s">
        <v>1404</v>
      </c>
      <c r="I189" s="16" t="s">
        <v>615</v>
      </c>
      <c r="J189" s="8" t="str">
        <f>IFERROR(VLOOKUP($G189,今日總結!$A:$AJ,33,0),"")</f>
        <v/>
      </c>
      <c r="K189" s="5" t="str">
        <f>IFERROR(VLOOKUP($G189,今日總結!$A:$AJ,34,0),"")</f>
        <v/>
      </c>
      <c r="L189" s="156" t="str">
        <f>IFERROR(VLOOKUP($G189,今日總結!$A:$AJ,31,0),"")</f>
        <v/>
      </c>
      <c r="M189" s="340" t="str">
        <f>IFERROR(VLOOKUP($G189,今日總結!$A:$AJ,32,0),"")</f>
        <v/>
      </c>
      <c r="N189" s="240" t="str">
        <f t="shared" si="65"/>
        <v/>
      </c>
      <c r="P189" s="365">
        <f>IFERROR(VLOOKUP($G189,融外自投!$A:$J,7,0),"無")</f>
        <v>520</v>
      </c>
      <c r="Q189" s="79" t="str">
        <f>IFERROR(VLOOKUP($G189,融外自投!$A:$J,9,0),"無")</f>
        <v>無</v>
      </c>
      <c r="R189" s="346">
        <f>IFERROR(VLOOKUP($G189,融外自投!$A:$J,8,0),"無")</f>
        <v>1336</v>
      </c>
      <c r="S189" s="81" t="str">
        <f>IFERROR(VLOOKUP($G189,融外自投!$A:$J,10,0),"無")</f>
        <v>無</v>
      </c>
      <c r="T189" s="327">
        <f>IFERROR(VLOOKUP($G189,'321買'!$A:$E,5,0),"'沒有資料'")</f>
        <v>827</v>
      </c>
      <c r="U189" s="34">
        <v>0.56000000000000005</v>
      </c>
      <c r="W189" s="94">
        <f>U189/X189</f>
        <v>2.0664206642066422E-2</v>
      </c>
      <c r="X189" s="36">
        <v>27.1</v>
      </c>
      <c r="Y189" s="66">
        <v>22.9</v>
      </c>
      <c r="Z189" s="15">
        <f>X189-Y189</f>
        <v>4.2000000000000028</v>
      </c>
      <c r="AA189" s="63">
        <f>Z189/Y189</f>
        <v>0.18340611353711803</v>
      </c>
      <c r="AB189" s="99" t="s">
        <v>3350</v>
      </c>
      <c r="AD189" s="16" t="s">
        <v>615</v>
      </c>
      <c r="AE189" s="84">
        <v>44299</v>
      </c>
      <c r="AF189" s="83">
        <v>44356</v>
      </c>
      <c r="AG189" s="33">
        <f>AF189-AE189</f>
        <v>57</v>
      </c>
      <c r="AH189" s="127" t="s">
        <v>1122</v>
      </c>
      <c r="AJ189" s="8"/>
    </row>
    <row r="190" spans="1:42" s="248" customFormat="1">
      <c r="A190" s="141"/>
      <c r="B190" s="79"/>
      <c r="C190" s="79"/>
      <c r="D190" s="79"/>
      <c r="E190" s="79"/>
      <c r="F190" s="6"/>
      <c r="G190" s="41"/>
      <c r="H190" s="8"/>
      <c r="I190" s="153"/>
      <c r="J190" s="8"/>
      <c r="K190" s="5"/>
      <c r="L190" s="156"/>
      <c r="M190" s="340"/>
      <c r="N190" s="240"/>
      <c r="O190" s="245"/>
      <c r="P190" s="365"/>
      <c r="Q190" s="47"/>
      <c r="R190" s="346"/>
      <c r="S190" s="303"/>
      <c r="T190" s="322"/>
      <c r="U190" s="185"/>
      <c r="V190" s="311"/>
      <c r="W190" s="94"/>
      <c r="X190" s="165">
        <f>SUM(X187:X189)</f>
        <v>175.1</v>
      </c>
      <c r="Y190" s="155">
        <f>SUM(Y187:Y189)</f>
        <v>160.30000000000001</v>
      </c>
      <c r="Z190" s="162">
        <f>X190-Y190</f>
        <v>14.799999999999983</v>
      </c>
      <c r="AA190" s="158">
        <f>Z190/Y190</f>
        <v>9.23268870867123E-2</v>
      </c>
      <c r="AB190" s="113"/>
      <c r="AC190" s="382"/>
      <c r="AD190" s="153">
        <f>X190*(0.001425*0.5)+X190*0.003+Y190*(0.001425*0.5)</f>
        <v>0.76427250000000002</v>
      </c>
      <c r="AE190" s="6">
        <f>Z190-AD190</f>
        <v>14.035727499999982</v>
      </c>
      <c r="AF190" s="83"/>
      <c r="AG190" s="33"/>
      <c r="AH190" s="41" t="s">
        <v>1122</v>
      </c>
      <c r="AI190" s="163"/>
    </row>
    <row r="191" spans="1:42" s="255" customFormat="1">
      <c r="A191" s="127"/>
      <c r="B191" s="90"/>
      <c r="C191" s="90"/>
      <c r="D191" s="90"/>
      <c r="E191" s="90"/>
      <c r="F191" s="8"/>
      <c r="G191" s="25"/>
      <c r="H191" s="55"/>
      <c r="I191" s="1"/>
      <c r="J191" s="8"/>
      <c r="K191" s="5"/>
      <c r="L191" s="156"/>
      <c r="M191" s="340"/>
      <c r="N191" s="240"/>
      <c r="O191" s="245"/>
      <c r="P191" s="365"/>
      <c r="Q191" s="47"/>
      <c r="R191" s="346"/>
      <c r="S191" s="303"/>
      <c r="T191" s="321"/>
      <c r="U191" s="14"/>
      <c r="V191" s="311"/>
      <c r="W191" s="68"/>
      <c r="X191" s="28"/>
      <c r="Y191" s="17"/>
      <c r="Z191" s="14"/>
      <c r="AA191" s="21"/>
      <c r="AB191" s="25"/>
      <c r="AC191" s="382"/>
      <c r="AD191" s="227">
        <f>X190*(0.001425*0.28)+X190*0.003+Y190*(0.001425*0.28)</f>
        <v>0.65912459999999995</v>
      </c>
      <c r="AE191" s="71"/>
      <c r="AF191" s="72"/>
      <c r="AG191" s="32"/>
      <c r="AH191" s="46"/>
      <c r="AI191" s="163"/>
    </row>
    <row r="192" spans="1:42" s="248" customFormat="1">
      <c r="A192" s="141"/>
      <c r="B192" s="79"/>
      <c r="C192" s="79"/>
      <c r="D192" s="79"/>
      <c r="E192" s="79"/>
      <c r="F192" s="6"/>
      <c r="G192" s="41"/>
      <c r="H192" s="8"/>
      <c r="I192" s="153"/>
      <c r="J192" s="8"/>
      <c r="K192" s="5"/>
      <c r="L192" s="156"/>
      <c r="M192" s="340"/>
      <c r="N192" s="240"/>
      <c r="O192" s="245"/>
      <c r="P192" s="365"/>
      <c r="Q192" s="47"/>
      <c r="R192" s="346"/>
      <c r="S192" s="303"/>
      <c r="T192" s="322"/>
      <c r="U192" s="185"/>
      <c r="V192" s="311"/>
      <c r="W192" s="94"/>
      <c r="X192" s="165"/>
      <c r="Y192" s="155"/>
      <c r="Z192" s="162"/>
      <c r="AA192" s="164"/>
      <c r="AB192" s="113"/>
      <c r="AC192" s="382"/>
      <c r="AD192" s="153"/>
      <c r="AE192" s="6"/>
      <c r="AF192" s="83"/>
      <c r="AG192" s="33"/>
      <c r="AH192" s="41"/>
      <c r="AI192" s="163"/>
    </row>
    <row r="193" spans="1:36" s="255" customFormat="1">
      <c r="A193" s="127" t="s">
        <v>1673</v>
      </c>
      <c r="B193" s="90" t="s">
        <v>1572</v>
      </c>
      <c r="C193" s="90" t="s">
        <v>1573</v>
      </c>
      <c r="D193" s="90" t="s">
        <v>1574</v>
      </c>
      <c r="E193" s="90" t="s">
        <v>1575</v>
      </c>
      <c r="F193" s="8" t="s">
        <v>1060</v>
      </c>
      <c r="G193" s="26" t="s">
        <v>3442</v>
      </c>
      <c r="H193" s="55" t="s">
        <v>320</v>
      </c>
      <c r="I193" s="1" t="s">
        <v>2249</v>
      </c>
      <c r="J193" s="8" t="s">
        <v>6221</v>
      </c>
      <c r="K193" s="5" t="s">
        <v>6222</v>
      </c>
      <c r="L193" s="337" t="s">
        <v>6206</v>
      </c>
      <c r="M193" s="338" t="s">
        <v>6207</v>
      </c>
      <c r="N193" s="339" t="s">
        <v>6208</v>
      </c>
      <c r="O193" s="4" t="s">
        <v>6713</v>
      </c>
      <c r="P193" s="89" t="s">
        <v>6285</v>
      </c>
      <c r="Q193" s="293" t="s">
        <v>6284</v>
      </c>
      <c r="R193" s="354" t="s">
        <v>6283</v>
      </c>
      <c r="S193" s="26" t="s">
        <v>6286</v>
      </c>
      <c r="T193" s="321" t="s">
        <v>4716</v>
      </c>
      <c r="U193" s="14" t="s">
        <v>66</v>
      </c>
      <c r="V193" s="308" t="s">
        <v>4731</v>
      </c>
      <c r="W193" s="68" t="s">
        <v>3273</v>
      </c>
      <c r="X193" s="28" t="s">
        <v>2</v>
      </c>
      <c r="Y193" s="17" t="s">
        <v>1399</v>
      </c>
      <c r="Z193" s="14" t="s">
        <v>2250</v>
      </c>
      <c r="AA193" s="21" t="s">
        <v>1470</v>
      </c>
      <c r="AB193" s="51" t="s">
        <v>6174</v>
      </c>
      <c r="AC193" s="102" t="s">
        <v>6420</v>
      </c>
      <c r="AD193" s="1" t="s">
        <v>2249</v>
      </c>
      <c r="AE193" s="71" t="s">
        <v>1400</v>
      </c>
      <c r="AF193" s="72" t="s">
        <v>1157</v>
      </c>
      <c r="AG193" s="32" t="s">
        <v>1158</v>
      </c>
      <c r="AH193" s="46" t="s">
        <v>3277</v>
      </c>
      <c r="AI193" s="163"/>
    </row>
    <row r="194" spans="1:36">
      <c r="A194" s="142" t="s">
        <v>3327</v>
      </c>
      <c r="B194" s="92">
        <v>2312</v>
      </c>
      <c r="C194" s="92">
        <v>3731</v>
      </c>
      <c r="D194" s="80">
        <v>-10</v>
      </c>
      <c r="E194" s="79">
        <v>269</v>
      </c>
      <c r="F194" s="6">
        <v>3.78</v>
      </c>
      <c r="G194" s="79">
        <v>4919</v>
      </c>
      <c r="H194" s="50" t="s">
        <v>1404</v>
      </c>
      <c r="I194" s="22" t="s">
        <v>118</v>
      </c>
      <c r="J194" s="8">
        <f>IFERROR(VLOOKUP($G194,今日總結!$A:$AJ,33,0),"")</f>
        <v>1</v>
      </c>
      <c r="K194" s="5">
        <f>IFERROR(VLOOKUP($G194,今日總結!$A:$AJ,34,0),"")</f>
        <v>1</v>
      </c>
      <c r="L194" s="156">
        <f>IFERROR(VLOOKUP($G194,今日總結!$A:$AJ,31,0),"")</f>
        <v>0</v>
      </c>
      <c r="M194" s="340">
        <f>IFERROR(VLOOKUP($G194,今日總結!$A:$AJ,32,0),"")</f>
        <v>0</v>
      </c>
      <c r="N194" s="240">
        <f t="shared" ref="N194" si="66">IFERROR(L194-M194,"")</f>
        <v>0</v>
      </c>
      <c r="P194" s="365">
        <f>IFERROR(VLOOKUP($G194,融外自投!$A:$J,7,0),"無")</f>
        <v>299</v>
      </c>
      <c r="Q194" s="79">
        <f>IFERROR(VLOOKUP($G194,融外自投!$A:$J,9,0),"無")</f>
        <v>296</v>
      </c>
      <c r="R194" s="346">
        <f>IFERROR(VLOOKUP($G194,融外自投!$A:$J,8,0),"無")</f>
        <v>591</v>
      </c>
      <c r="S194" s="81">
        <f>IFERROR(VLOOKUP($G194,融外自投!$A:$J,10,0),"無")</f>
        <v>16</v>
      </c>
      <c r="T194" s="327">
        <f>IFERROR(VLOOKUP($G194,'321買'!$A:$E,5,0),"'沒有資料'")</f>
        <v>44</v>
      </c>
      <c r="U194" s="70">
        <v>0.8</v>
      </c>
      <c r="W194" s="57">
        <v>2.52</v>
      </c>
      <c r="X194" s="36">
        <v>81.2</v>
      </c>
      <c r="Y194" s="66">
        <v>81.2</v>
      </c>
      <c r="Z194" s="45">
        <f t="shared" ref="Z194:Z214" si="67">X194-Y194</f>
        <v>0</v>
      </c>
      <c r="AA194" s="63">
        <f t="shared" ref="AA194:AA232" si="68">Z194/Y194</f>
        <v>0</v>
      </c>
      <c r="AB194" s="101" t="s">
        <v>1500</v>
      </c>
      <c r="AD194" s="22" t="s">
        <v>118</v>
      </c>
      <c r="AE194" s="84">
        <v>44335</v>
      </c>
      <c r="AF194" s="83">
        <v>44347</v>
      </c>
      <c r="AG194" s="33">
        <f t="shared" ref="AG194:AG206" si="69">AF194-AE194</f>
        <v>12</v>
      </c>
      <c r="AH194" s="127" t="s">
        <v>1122</v>
      </c>
      <c r="AI194" s="221"/>
      <c r="AJ194" s="213"/>
    </row>
    <row r="195" spans="1:36">
      <c r="A195" s="142" t="s">
        <v>3327</v>
      </c>
      <c r="B195" s="92">
        <v>2312</v>
      </c>
      <c r="C195" s="92">
        <v>3731</v>
      </c>
      <c r="D195" s="80">
        <v>-10</v>
      </c>
      <c r="E195" s="79">
        <v>269</v>
      </c>
      <c r="F195" s="6">
        <v>3.78</v>
      </c>
      <c r="G195" s="79">
        <v>4919</v>
      </c>
      <c r="H195" s="50" t="s">
        <v>1404</v>
      </c>
      <c r="I195" s="22" t="s">
        <v>118</v>
      </c>
      <c r="J195" s="8">
        <f>IFERROR(VLOOKUP($G195,今日總結!$A:$AJ,33,0),"")</f>
        <v>1</v>
      </c>
      <c r="K195" s="5">
        <f>IFERROR(VLOOKUP($G195,今日總結!$A:$AJ,34,0),"")</f>
        <v>1</v>
      </c>
      <c r="L195" s="156">
        <f>IFERROR(VLOOKUP($G195,今日總結!$A:$AJ,31,0),"")</f>
        <v>0</v>
      </c>
      <c r="M195" s="340">
        <f>IFERROR(VLOOKUP($G195,今日總結!$A:$AJ,32,0),"")</f>
        <v>0</v>
      </c>
      <c r="N195" s="240">
        <f t="shared" ref="N195:N253" si="70">IFERROR(L195-M195,"")</f>
        <v>0</v>
      </c>
      <c r="P195" s="365">
        <f>IFERROR(VLOOKUP($G195,融外自投!$A:$J,7,0),"無")</f>
        <v>299</v>
      </c>
      <c r="Q195" s="79">
        <f>IFERROR(VLOOKUP($G195,融外自投!$A:$J,9,0),"無")</f>
        <v>296</v>
      </c>
      <c r="R195" s="346">
        <f>IFERROR(VLOOKUP($G195,融外自投!$A:$J,8,0),"無")</f>
        <v>591</v>
      </c>
      <c r="S195" s="81">
        <f>IFERROR(VLOOKUP($G195,融外自投!$A:$J,10,0),"無")</f>
        <v>16</v>
      </c>
      <c r="T195" s="327">
        <f>IFERROR(VLOOKUP($G195,'321買'!$A:$E,5,0),"'沒有資料'")</f>
        <v>44</v>
      </c>
      <c r="U195" s="70">
        <v>0.8</v>
      </c>
      <c r="W195" s="57">
        <v>2.52</v>
      </c>
      <c r="X195" s="36">
        <v>81.2</v>
      </c>
      <c r="Y195" s="66">
        <v>66.599999999999994</v>
      </c>
      <c r="Z195" s="45">
        <f t="shared" si="67"/>
        <v>14.600000000000009</v>
      </c>
      <c r="AA195" s="63">
        <f t="shared" si="68"/>
        <v>0.21921921921921936</v>
      </c>
      <c r="AB195" s="101" t="s">
        <v>3347</v>
      </c>
      <c r="AD195" s="22" t="s">
        <v>118</v>
      </c>
      <c r="AE195" s="84">
        <v>44335</v>
      </c>
      <c r="AF195" s="83">
        <v>44347</v>
      </c>
      <c r="AG195" s="33">
        <f t="shared" si="69"/>
        <v>12</v>
      </c>
      <c r="AH195" s="127" t="s">
        <v>1122</v>
      </c>
      <c r="AI195" s="221"/>
      <c r="AJ195" s="213"/>
    </row>
    <row r="196" spans="1:36">
      <c r="A196" s="142" t="s">
        <v>2079</v>
      </c>
      <c r="B196" s="79">
        <v>179</v>
      </c>
      <c r="C196" s="79">
        <v>251</v>
      </c>
      <c r="D196" s="80">
        <v>-11</v>
      </c>
      <c r="E196" s="79">
        <v>61</v>
      </c>
      <c r="F196" s="6">
        <v>8.2799999999999994</v>
      </c>
      <c r="G196" s="79">
        <v>1608</v>
      </c>
      <c r="H196" s="30" t="s">
        <v>1462</v>
      </c>
      <c r="I196" s="22" t="s">
        <v>947</v>
      </c>
      <c r="J196" s="8">
        <f>IFERROR(VLOOKUP($G196,今日總結!$A:$AJ,33,0),"")</f>
        <v>0</v>
      </c>
      <c r="K196" s="5">
        <f>IFERROR(VLOOKUP($G196,今日總結!$A:$AJ,34,0),"")</f>
        <v>1</v>
      </c>
      <c r="L196" s="156">
        <f>IFERROR(VLOOKUP($G196,今日總結!$A:$AJ,31,0),"")</f>
        <v>0</v>
      </c>
      <c r="M196" s="340">
        <f>IFERROR(VLOOKUP($G196,今日總結!$A:$AJ,32,0),"")</f>
        <v>0</v>
      </c>
      <c r="N196" s="240">
        <f t="shared" si="70"/>
        <v>0</v>
      </c>
      <c r="P196" s="365">
        <f>IFERROR(VLOOKUP($G196,融外自投!$A:$J,7,0),"無")</f>
        <v>719</v>
      </c>
      <c r="Q196" s="79">
        <f>IFERROR(VLOOKUP($G196,融外自投!$A:$J,9,0),"無")</f>
        <v>1051</v>
      </c>
      <c r="R196" s="346">
        <f>IFERROR(VLOOKUP($G196,融外自投!$A:$J,8,0),"無")</f>
        <v>1146</v>
      </c>
      <c r="S196" s="81" t="str">
        <f>IFERROR(VLOOKUP($G196,融外自投!$A:$J,10,0),"無")</f>
        <v>無</v>
      </c>
      <c r="T196" s="327">
        <f>IFERROR(VLOOKUP($G196,'321買'!$A:$E,5,0),"'沒有資料'")</f>
        <v>536</v>
      </c>
      <c r="U196" s="34">
        <v>0.7</v>
      </c>
      <c r="W196" s="57">
        <v>5.32</v>
      </c>
      <c r="X196" s="36">
        <v>27.5</v>
      </c>
      <c r="Y196" s="66">
        <v>28.75</v>
      </c>
      <c r="Z196" s="15">
        <f t="shared" si="67"/>
        <v>-1.25</v>
      </c>
      <c r="AA196" s="76">
        <f t="shared" si="68"/>
        <v>-4.3478260869565216E-2</v>
      </c>
      <c r="AB196" s="135" t="s">
        <v>3343</v>
      </c>
      <c r="AD196" s="22" t="s">
        <v>947</v>
      </c>
      <c r="AE196" s="84">
        <v>44347</v>
      </c>
      <c r="AF196" s="83">
        <v>44347</v>
      </c>
      <c r="AG196" s="33">
        <f t="shared" si="69"/>
        <v>0</v>
      </c>
      <c r="AH196" s="41" t="s">
        <v>1122</v>
      </c>
      <c r="AI196" s="221"/>
      <c r="AJ196" s="213"/>
    </row>
    <row r="197" spans="1:36">
      <c r="A197" s="142" t="s">
        <v>1890</v>
      </c>
      <c r="B197" s="80">
        <v>-22</v>
      </c>
      <c r="C197" s="80">
        <v>-26</v>
      </c>
      <c r="D197" s="79">
        <v>4</v>
      </c>
      <c r="E197" s="80">
        <v>-35</v>
      </c>
      <c r="F197" s="6">
        <v>3.86</v>
      </c>
      <c r="G197" s="80">
        <v>4173</v>
      </c>
      <c r="H197" s="30" t="s">
        <v>1462</v>
      </c>
      <c r="I197" s="16" t="s">
        <v>615</v>
      </c>
      <c r="J197" s="8" t="str">
        <f>IFERROR(VLOOKUP($G197,今日總結!$A:$AJ,33,0),"")</f>
        <v/>
      </c>
      <c r="K197" s="5" t="str">
        <f>IFERROR(VLOOKUP($G197,今日總結!$A:$AJ,34,0),"")</f>
        <v/>
      </c>
      <c r="L197" s="156" t="str">
        <f>IFERROR(VLOOKUP($G197,今日總結!$A:$AJ,31,0),"")</f>
        <v/>
      </c>
      <c r="M197" s="340" t="str">
        <f>IFERROR(VLOOKUP($G197,今日總結!$A:$AJ,32,0),"")</f>
        <v/>
      </c>
      <c r="N197" s="240" t="str">
        <f t="shared" si="70"/>
        <v/>
      </c>
      <c r="P197" s="365">
        <f>IFERROR(VLOOKUP($G197,融外自投!$A:$J,7,0),"無")</f>
        <v>520</v>
      </c>
      <c r="Q197" s="79" t="str">
        <f>IFERROR(VLOOKUP($G197,融外自投!$A:$J,9,0),"無")</f>
        <v>無</v>
      </c>
      <c r="R197" s="346">
        <f>IFERROR(VLOOKUP($G197,融外自投!$A:$J,8,0),"無")</f>
        <v>1336</v>
      </c>
      <c r="S197" s="81" t="str">
        <f>IFERROR(VLOOKUP($G197,融外自投!$A:$J,10,0),"無")</f>
        <v>無</v>
      </c>
      <c r="T197" s="327">
        <f>IFERROR(VLOOKUP($G197,'321買'!$A:$E,5,0),"'沒有資料'")</f>
        <v>827</v>
      </c>
      <c r="U197" s="34">
        <v>0.56000000000000005</v>
      </c>
      <c r="W197" s="94">
        <f>U197/X197</f>
        <v>2.3578947368421053E-2</v>
      </c>
      <c r="X197" s="36">
        <v>23.75</v>
      </c>
      <c r="Y197" s="66">
        <v>21.9</v>
      </c>
      <c r="Z197" s="15">
        <f t="shared" si="67"/>
        <v>1.8500000000000014</v>
      </c>
      <c r="AA197" s="63">
        <f t="shared" si="68"/>
        <v>8.4474885844748923E-2</v>
      </c>
      <c r="AB197" s="99" t="s">
        <v>3340</v>
      </c>
      <c r="AD197" s="16" t="s">
        <v>615</v>
      </c>
      <c r="AE197" s="84">
        <v>44301</v>
      </c>
      <c r="AF197" s="83">
        <v>44347</v>
      </c>
      <c r="AG197" s="33">
        <f t="shared" si="69"/>
        <v>46</v>
      </c>
      <c r="AH197" s="41" t="s">
        <v>1122</v>
      </c>
      <c r="AJ197" s="8"/>
    </row>
    <row r="198" spans="1:36">
      <c r="A198" s="142" t="s">
        <v>1890</v>
      </c>
      <c r="B198" s="80">
        <v>-22</v>
      </c>
      <c r="C198" s="80">
        <v>-26</v>
      </c>
      <c r="D198" s="79">
        <v>4</v>
      </c>
      <c r="E198" s="80">
        <v>-35</v>
      </c>
      <c r="F198" s="6">
        <v>3.86</v>
      </c>
      <c r="G198" s="80">
        <v>4173</v>
      </c>
      <c r="H198" s="30" t="s">
        <v>1462</v>
      </c>
      <c r="I198" s="16" t="s">
        <v>615</v>
      </c>
      <c r="J198" s="8" t="str">
        <f>IFERROR(VLOOKUP($G198,今日總結!$A:$AJ,33,0),"")</f>
        <v/>
      </c>
      <c r="K198" s="5" t="str">
        <f>IFERROR(VLOOKUP($G198,今日總結!$A:$AJ,34,0),"")</f>
        <v/>
      </c>
      <c r="L198" s="156" t="str">
        <f>IFERROR(VLOOKUP($G198,今日總結!$A:$AJ,31,0),"")</f>
        <v/>
      </c>
      <c r="M198" s="340" t="str">
        <f>IFERROR(VLOOKUP($G198,今日總結!$A:$AJ,32,0),"")</f>
        <v/>
      </c>
      <c r="N198" s="240" t="str">
        <f t="shared" si="70"/>
        <v/>
      </c>
      <c r="P198" s="365">
        <f>IFERROR(VLOOKUP($G198,融外自投!$A:$J,7,0),"無")</f>
        <v>520</v>
      </c>
      <c r="Q198" s="79" t="str">
        <f>IFERROR(VLOOKUP($G198,融外自投!$A:$J,9,0),"無")</f>
        <v>無</v>
      </c>
      <c r="R198" s="346">
        <f>IFERROR(VLOOKUP($G198,融外自投!$A:$J,8,0),"無")</f>
        <v>1336</v>
      </c>
      <c r="S198" s="81" t="str">
        <f>IFERROR(VLOOKUP($G198,融外自投!$A:$J,10,0),"無")</f>
        <v>無</v>
      </c>
      <c r="T198" s="327">
        <f>IFERROR(VLOOKUP($G198,'321買'!$A:$E,5,0),"'沒有資料'")</f>
        <v>827</v>
      </c>
      <c r="U198" s="34">
        <v>0.56000000000000005</v>
      </c>
      <c r="W198" s="94">
        <f>U198/X198</f>
        <v>2.3578947368421053E-2</v>
      </c>
      <c r="X198" s="36">
        <v>23.75</v>
      </c>
      <c r="Y198" s="66">
        <v>22.95</v>
      </c>
      <c r="Z198" s="15">
        <f t="shared" si="67"/>
        <v>0.80000000000000071</v>
      </c>
      <c r="AA198" s="63">
        <f t="shared" si="68"/>
        <v>3.4858387799564301E-2</v>
      </c>
      <c r="AB198" s="99" t="s">
        <v>3341</v>
      </c>
      <c r="AD198" s="16" t="s">
        <v>615</v>
      </c>
      <c r="AE198" s="84">
        <v>44299</v>
      </c>
      <c r="AF198" s="83">
        <v>44347</v>
      </c>
      <c r="AG198" s="33">
        <f t="shared" si="69"/>
        <v>48</v>
      </c>
      <c r="AH198" s="41" t="s">
        <v>1122</v>
      </c>
      <c r="AI198" s="41" t="s">
        <v>1502</v>
      </c>
      <c r="AJ198" s="8"/>
    </row>
    <row r="199" spans="1:36">
      <c r="A199" s="127" t="s">
        <v>3337</v>
      </c>
      <c r="B199" s="92">
        <v>5673</v>
      </c>
      <c r="C199" s="92">
        <v>8760</v>
      </c>
      <c r="D199" s="80">
        <v>-13</v>
      </c>
      <c r="E199" s="79">
        <v>95</v>
      </c>
      <c r="F199" s="57">
        <v>48.9</v>
      </c>
      <c r="G199" s="79">
        <v>2603</v>
      </c>
      <c r="H199" s="50" t="s">
        <v>1404</v>
      </c>
      <c r="I199" s="22" t="s">
        <v>264</v>
      </c>
      <c r="J199" s="8">
        <f>IFERROR(VLOOKUP($G199,今日總結!$A:$AJ,33,0),"")</f>
        <v>1</v>
      </c>
      <c r="K199" s="5">
        <f>IFERROR(VLOOKUP($G199,今日總結!$A:$AJ,34,0),"")</f>
        <v>0</v>
      </c>
      <c r="L199" s="156">
        <f>IFERROR(VLOOKUP($G199,今日總結!$A:$AJ,31,0),"")</f>
        <v>0</v>
      </c>
      <c r="M199" s="340">
        <f>IFERROR(VLOOKUP($G199,今日總結!$A:$AJ,32,0),"")</f>
        <v>0</v>
      </c>
      <c r="N199" s="240">
        <f t="shared" si="70"/>
        <v>0</v>
      </c>
      <c r="P199" s="365">
        <f>IFERROR(VLOOKUP($G199,融外自投!$A:$J,7,0),"無")</f>
        <v>309</v>
      </c>
      <c r="Q199" s="79">
        <f>IFERROR(VLOOKUP($G199,融外自投!$A:$J,9,0),"無")</f>
        <v>101</v>
      </c>
      <c r="R199" s="346">
        <f>IFERROR(VLOOKUP($G199,融外自投!$A:$J,8,0),"無")</f>
        <v>203</v>
      </c>
      <c r="S199" s="81">
        <f>IFERROR(VLOOKUP($G199,融外自投!$A:$J,10,0),"無")</f>
        <v>97</v>
      </c>
      <c r="T199" s="327">
        <f>IFERROR(VLOOKUP($G199,'321買'!$A:$E,5,0),"'沒有資料'")</f>
        <v>110</v>
      </c>
      <c r="U199" s="34">
        <v>2.5</v>
      </c>
      <c r="W199" s="57">
        <v>12.45</v>
      </c>
      <c r="X199" s="36">
        <v>95.3</v>
      </c>
      <c r="Y199" s="45">
        <v>88.4</v>
      </c>
      <c r="Z199" s="15">
        <f t="shared" si="67"/>
        <v>6.8999999999999915</v>
      </c>
      <c r="AA199" s="63">
        <f t="shared" si="68"/>
        <v>7.805429864253384E-2</v>
      </c>
      <c r="AB199" s="101" t="s">
        <v>3342</v>
      </c>
      <c r="AD199" s="22" t="s">
        <v>264</v>
      </c>
      <c r="AE199" s="84">
        <v>44335</v>
      </c>
      <c r="AF199" s="83">
        <v>44335</v>
      </c>
      <c r="AG199" s="33">
        <f t="shared" si="69"/>
        <v>0</v>
      </c>
      <c r="AH199" s="127" t="s">
        <v>1122</v>
      </c>
      <c r="AI199" s="245"/>
      <c r="AJ199" s="8"/>
    </row>
    <row r="200" spans="1:36">
      <c r="A200" s="127" t="s">
        <v>1616</v>
      </c>
      <c r="B200" s="92">
        <v>1185</v>
      </c>
      <c r="C200" s="92">
        <v>1672</v>
      </c>
      <c r="D200" s="79">
        <v>13</v>
      </c>
      <c r="E200" s="79">
        <v>108</v>
      </c>
      <c r="F200" s="57">
        <v>18.190000000000001</v>
      </c>
      <c r="G200" s="79">
        <v>6494</v>
      </c>
      <c r="H200" s="30" t="s">
        <v>1462</v>
      </c>
      <c r="I200" s="16" t="s">
        <v>380</v>
      </c>
      <c r="J200" s="8" t="str">
        <f>IFERROR(VLOOKUP($G200,今日總結!$A:$AJ,33,0),"")</f>
        <v/>
      </c>
      <c r="K200" s="5" t="str">
        <f>IFERROR(VLOOKUP($G200,今日總結!$A:$AJ,34,0),"")</f>
        <v/>
      </c>
      <c r="L200" s="156" t="str">
        <f>IFERROR(VLOOKUP($G200,今日總結!$A:$AJ,31,0),"")</f>
        <v/>
      </c>
      <c r="M200" s="340" t="str">
        <f>IFERROR(VLOOKUP($G200,今日總結!$A:$AJ,32,0),"")</f>
        <v/>
      </c>
      <c r="N200" s="240" t="str">
        <f t="shared" si="70"/>
        <v/>
      </c>
      <c r="P200" s="365">
        <f>IFERROR(VLOOKUP($G200,融外自投!$A:$J,7,0),"無")</f>
        <v>55</v>
      </c>
      <c r="Q200" s="79">
        <f>IFERROR(VLOOKUP($G200,融外自投!$A:$J,9,0),"無")</f>
        <v>104</v>
      </c>
      <c r="R200" s="346">
        <f>IFERROR(VLOOKUP($G200,融外自投!$A:$J,8,0),"無")</f>
        <v>539</v>
      </c>
      <c r="S200" s="81">
        <f>IFERROR(VLOOKUP($G200,融外自投!$A:$J,10,0),"無")</f>
        <v>437</v>
      </c>
      <c r="T200" s="327">
        <f>IFERROR(VLOOKUP($G200,'321買'!$A:$E,5,0),"'沒有資料'")</f>
        <v>178</v>
      </c>
      <c r="U200" s="45">
        <v>3.5</v>
      </c>
      <c r="W200" s="94">
        <v>5.68</v>
      </c>
      <c r="X200" s="36">
        <v>100</v>
      </c>
      <c r="Y200" s="66">
        <v>94.7</v>
      </c>
      <c r="Z200" s="15">
        <f t="shared" si="67"/>
        <v>5.2999999999999972</v>
      </c>
      <c r="AA200" s="63">
        <f t="shared" si="68"/>
        <v>5.5966209081309365E-2</v>
      </c>
      <c r="AB200" s="101" t="s">
        <v>3335</v>
      </c>
      <c r="AD200" s="16" t="s">
        <v>380</v>
      </c>
      <c r="AE200" s="84">
        <v>44336</v>
      </c>
      <c r="AF200" s="83">
        <v>44341</v>
      </c>
      <c r="AG200" s="33">
        <f t="shared" si="69"/>
        <v>5</v>
      </c>
      <c r="AH200" s="41" t="s">
        <v>1122</v>
      </c>
      <c r="AJ200" s="8"/>
    </row>
    <row r="201" spans="1:36">
      <c r="A201" s="142" t="s">
        <v>2047</v>
      </c>
      <c r="B201" s="92">
        <v>1721</v>
      </c>
      <c r="C201" s="79">
        <v>109</v>
      </c>
      <c r="D201" s="79">
        <v>101</v>
      </c>
      <c r="E201" s="79">
        <v>51</v>
      </c>
      <c r="F201" s="6">
        <v>4.4800000000000004</v>
      </c>
      <c r="G201" s="80">
        <v>4433</v>
      </c>
      <c r="H201" s="30" t="s">
        <v>1462</v>
      </c>
      <c r="I201" s="16" t="s">
        <v>717</v>
      </c>
      <c r="J201" s="8">
        <f>IFERROR(VLOOKUP($G201,今日總結!$A:$AJ,33,0),"")</f>
        <v>0</v>
      </c>
      <c r="K201" s="5">
        <f>IFERROR(VLOOKUP($G201,今日總結!$A:$AJ,34,0),"")</f>
        <v>1</v>
      </c>
      <c r="L201" s="156">
        <f>IFERROR(VLOOKUP($G201,今日總結!$A:$AJ,31,0),"")</f>
        <v>0</v>
      </c>
      <c r="M201" s="340">
        <f>IFERROR(VLOOKUP($G201,今日總結!$A:$AJ,32,0),"")</f>
        <v>0</v>
      </c>
      <c r="N201" s="240">
        <f t="shared" si="70"/>
        <v>0</v>
      </c>
      <c r="P201" s="365">
        <f>IFERROR(VLOOKUP($G201,融外自投!$A:$J,7,0),"無")</f>
        <v>895</v>
      </c>
      <c r="Q201" s="79">
        <f>IFERROR(VLOOKUP($G201,融外自投!$A:$J,9,0),"無")</f>
        <v>978</v>
      </c>
      <c r="R201" s="346">
        <f>IFERROR(VLOOKUP($G201,融外自投!$A:$J,8,0),"無")</f>
        <v>1399</v>
      </c>
      <c r="S201" s="81" t="str">
        <f>IFERROR(VLOOKUP($G201,融外自投!$A:$J,10,0),"無")</f>
        <v>無</v>
      </c>
      <c r="T201" s="327">
        <f>IFERROR(VLOOKUP($G201,'321買'!$A:$E,5,0),"'沒有資料'")</f>
        <v>1338</v>
      </c>
      <c r="U201" s="34">
        <v>2</v>
      </c>
      <c r="W201" s="94">
        <f>U201/X201</f>
        <v>4.77326968973747E-2</v>
      </c>
      <c r="X201" s="36">
        <v>41.9</v>
      </c>
      <c r="Y201" s="66">
        <v>40.950000000000003</v>
      </c>
      <c r="Z201" s="15">
        <f t="shared" si="67"/>
        <v>0.94999999999999574</v>
      </c>
      <c r="AA201" s="63">
        <f t="shared" si="68"/>
        <v>2.3199023199023092E-2</v>
      </c>
      <c r="AB201" s="101" t="s">
        <v>3334</v>
      </c>
      <c r="AD201" s="16" t="s">
        <v>717</v>
      </c>
      <c r="AE201" s="84">
        <v>44299</v>
      </c>
      <c r="AF201" s="83">
        <v>44340</v>
      </c>
      <c r="AG201" s="33">
        <f t="shared" si="69"/>
        <v>41</v>
      </c>
      <c r="AH201" s="41" t="s">
        <v>1122</v>
      </c>
      <c r="AJ201" s="8"/>
    </row>
    <row r="202" spans="1:36" s="248" customFormat="1" ht="15.75" customHeight="1">
      <c r="A202" s="127" t="s">
        <v>2984</v>
      </c>
      <c r="B202" s="79">
        <v>33</v>
      </c>
      <c r="C202" s="80">
        <v>-11</v>
      </c>
      <c r="D202" s="80">
        <v>-23</v>
      </c>
      <c r="E202" s="80">
        <v>-48</v>
      </c>
      <c r="F202" s="57">
        <v>26.29</v>
      </c>
      <c r="G202" s="80">
        <v>4736</v>
      </c>
      <c r="H202" s="30" t="s">
        <v>1462</v>
      </c>
      <c r="I202" s="166" t="s">
        <v>38</v>
      </c>
      <c r="J202" s="8">
        <f>IFERROR(VLOOKUP($G202,今日總結!$A:$AJ,33,0),"")</f>
        <v>0</v>
      </c>
      <c r="K202" s="5">
        <f>IFERROR(VLOOKUP($G202,今日總結!$A:$AJ,34,0),"")</f>
        <v>5</v>
      </c>
      <c r="L202" s="156">
        <f>IFERROR(VLOOKUP($G202,今日總結!$A:$AJ,31,0),"")</f>
        <v>0</v>
      </c>
      <c r="M202" s="340">
        <f>IFERROR(VLOOKUP($G202,今日總結!$A:$AJ,32,0),"")</f>
        <v>0</v>
      </c>
      <c r="N202" s="240">
        <f t="shared" si="70"/>
        <v>0</v>
      </c>
      <c r="O202" s="245"/>
      <c r="P202" s="365">
        <f>IFERROR(VLOOKUP($G202,融外自投!$A:$J,7,0),"無")</f>
        <v>201</v>
      </c>
      <c r="Q202" s="79">
        <f>IFERROR(VLOOKUP($G202,融外自投!$A:$J,9,0),"無")</f>
        <v>117</v>
      </c>
      <c r="R202" s="346">
        <f>IFERROR(VLOOKUP($G202,融外自投!$A:$J,8,0),"無")</f>
        <v>394</v>
      </c>
      <c r="S202" s="81">
        <f>IFERROR(VLOOKUP($G202,融外自投!$A:$J,10,0),"無")</f>
        <v>324</v>
      </c>
      <c r="T202" s="327">
        <f>IFERROR(VLOOKUP($G202,'321買'!$A:$E,5,0),"'沒有資料'")</f>
        <v>430</v>
      </c>
      <c r="U202" s="65">
        <v>11.5</v>
      </c>
      <c r="V202" s="311"/>
      <c r="W202" s="94">
        <v>18.309999999999999</v>
      </c>
      <c r="X202" s="161">
        <v>191</v>
      </c>
      <c r="Y202" s="65">
        <v>190</v>
      </c>
      <c r="Z202" s="162">
        <f t="shared" si="67"/>
        <v>1</v>
      </c>
      <c r="AA202" s="158">
        <f t="shared" si="68"/>
        <v>5.263157894736842E-3</v>
      </c>
      <c r="AB202" s="167" t="s">
        <v>3328</v>
      </c>
      <c r="AC202" s="382"/>
      <c r="AD202" s="166" t="s">
        <v>38</v>
      </c>
      <c r="AE202" s="84">
        <v>44334</v>
      </c>
      <c r="AF202" s="83">
        <v>44337</v>
      </c>
      <c r="AG202" s="33">
        <f t="shared" si="69"/>
        <v>3</v>
      </c>
      <c r="AH202" s="41" t="s">
        <v>1122</v>
      </c>
      <c r="AI202" s="212"/>
      <c r="AJ202" s="213"/>
    </row>
    <row r="203" spans="1:36">
      <c r="A203" s="127" t="s">
        <v>1677</v>
      </c>
      <c r="B203" s="79">
        <v>71</v>
      </c>
      <c r="C203" s="79">
        <v>66</v>
      </c>
      <c r="D203" s="80">
        <v>-9</v>
      </c>
      <c r="E203" s="79">
        <v>38</v>
      </c>
      <c r="F203" s="57">
        <v>23.43</v>
      </c>
      <c r="G203" s="79">
        <v>3014</v>
      </c>
      <c r="H203" s="50" t="s">
        <v>1404</v>
      </c>
      <c r="I203" s="22" t="s">
        <v>97</v>
      </c>
      <c r="J203" s="8">
        <f>IFERROR(VLOOKUP($G203,今日總結!$A:$AJ,33,0),"")</f>
        <v>0</v>
      </c>
      <c r="K203" s="5">
        <f>IFERROR(VLOOKUP($G203,今日總結!$A:$AJ,34,0),"")</f>
        <v>1</v>
      </c>
      <c r="L203" s="156">
        <f>IFERROR(VLOOKUP($G203,今日總結!$A:$AJ,31,0),"")</f>
        <v>0</v>
      </c>
      <c r="M203" s="340">
        <f>IFERROR(VLOOKUP($G203,今日總結!$A:$AJ,32,0),"")</f>
        <v>0</v>
      </c>
      <c r="N203" s="240">
        <f t="shared" si="70"/>
        <v>0</v>
      </c>
      <c r="P203" s="365">
        <f>IFERROR(VLOOKUP($G203,融外自投!$A:$J,7,0),"無")</f>
        <v>569</v>
      </c>
      <c r="Q203" s="79">
        <f>IFERROR(VLOOKUP($G203,融外自投!$A:$J,9,0),"無")</f>
        <v>653</v>
      </c>
      <c r="R203" s="346">
        <f>IFERROR(VLOOKUP($G203,融外自投!$A:$J,8,0),"無")</f>
        <v>553</v>
      </c>
      <c r="S203" s="81">
        <f>IFERROR(VLOOKUP($G203,融外自投!$A:$J,10,0),"無")</f>
        <v>351</v>
      </c>
      <c r="T203" s="327">
        <f>IFERROR(VLOOKUP($G203,'321買'!$A:$E,5,0),"'沒有資料'")</f>
        <v>207</v>
      </c>
      <c r="U203" s="66">
        <v>6</v>
      </c>
      <c r="W203" s="94">
        <v>5.83</v>
      </c>
      <c r="X203" s="36">
        <v>112.5</v>
      </c>
      <c r="Y203" s="66">
        <v>111</v>
      </c>
      <c r="Z203" s="15">
        <f t="shared" si="67"/>
        <v>1.5</v>
      </c>
      <c r="AA203" s="63">
        <f t="shared" si="68"/>
        <v>1.3513513513513514E-2</v>
      </c>
      <c r="AB203" s="99" t="s">
        <v>3321</v>
      </c>
      <c r="AD203" s="22" t="s">
        <v>97</v>
      </c>
      <c r="AE203" s="84">
        <v>44335</v>
      </c>
      <c r="AF203" s="83">
        <v>44335</v>
      </c>
      <c r="AG203" s="33">
        <f t="shared" si="69"/>
        <v>0</v>
      </c>
      <c r="AH203" s="127" t="s">
        <v>1122</v>
      </c>
      <c r="AJ203" s="8"/>
    </row>
    <row r="204" spans="1:36">
      <c r="A204" s="142" t="s">
        <v>1654</v>
      </c>
      <c r="B204" s="79">
        <v>480</v>
      </c>
      <c r="C204" s="79">
        <v>91</v>
      </c>
      <c r="D204" s="79">
        <v>329</v>
      </c>
      <c r="E204" s="80">
        <v>-4</v>
      </c>
      <c r="F204" s="6">
        <v>-1.38</v>
      </c>
      <c r="G204" s="80">
        <v>4142</v>
      </c>
      <c r="H204" s="50" t="s">
        <v>1404</v>
      </c>
      <c r="I204" s="22" t="s">
        <v>632</v>
      </c>
      <c r="J204" s="8" t="str">
        <f>IFERROR(VLOOKUP($G204,今日總結!$A:$AJ,33,0),"")</f>
        <v/>
      </c>
      <c r="K204" s="5" t="str">
        <f>IFERROR(VLOOKUP($G204,今日總結!$A:$AJ,34,0),"")</f>
        <v/>
      </c>
      <c r="L204" s="156" t="str">
        <f>IFERROR(VLOOKUP($G204,今日總結!$A:$AJ,31,0),"")</f>
        <v/>
      </c>
      <c r="M204" s="340" t="str">
        <f>IFERROR(VLOOKUP($G204,今日總結!$A:$AJ,32,0),"")</f>
        <v/>
      </c>
      <c r="N204" s="240" t="str">
        <f t="shared" si="70"/>
        <v/>
      </c>
      <c r="P204" s="365">
        <f>IFERROR(VLOOKUP($G204,融外自投!$A:$J,7,0),"無")</f>
        <v>398</v>
      </c>
      <c r="Q204" s="79">
        <f>IFERROR(VLOOKUP($G204,融外自投!$A:$J,9,0),"無")</f>
        <v>176</v>
      </c>
      <c r="R204" s="346">
        <f>IFERROR(VLOOKUP($G204,融外自投!$A:$J,8,0),"無")</f>
        <v>638</v>
      </c>
      <c r="S204" s="81">
        <f>IFERROR(VLOOKUP($G204,融外自投!$A:$J,10,0),"無")</f>
        <v>362</v>
      </c>
      <c r="T204" s="327">
        <f>IFERROR(VLOOKUP($G204,'321買'!$A:$E,5,0),"'沒有資料'")</f>
        <v>403</v>
      </c>
      <c r="U204" s="34">
        <v>0.5</v>
      </c>
      <c r="W204" s="94">
        <v>3.08</v>
      </c>
      <c r="X204" s="36">
        <v>59.1</v>
      </c>
      <c r="Y204" s="66">
        <v>60.1</v>
      </c>
      <c r="Z204" s="15">
        <f t="shared" si="67"/>
        <v>-1</v>
      </c>
      <c r="AA204" s="76">
        <f t="shared" si="68"/>
        <v>-1.6638935108153077E-2</v>
      </c>
      <c r="AB204" s="135" t="s">
        <v>3320</v>
      </c>
      <c r="AD204" s="22" t="s">
        <v>632</v>
      </c>
      <c r="AE204" s="84">
        <v>44335</v>
      </c>
      <c r="AF204" s="83">
        <v>44335</v>
      </c>
      <c r="AG204" s="33">
        <f t="shared" si="69"/>
        <v>0</v>
      </c>
      <c r="AH204" s="127" t="s">
        <v>1122</v>
      </c>
      <c r="AI204" s="127"/>
      <c r="AJ204" s="213"/>
    </row>
    <row r="205" spans="1:36">
      <c r="A205" s="127" t="s">
        <v>1942</v>
      </c>
      <c r="B205" s="92">
        <v>1180</v>
      </c>
      <c r="C205" s="79">
        <v>471</v>
      </c>
      <c r="D205" s="79">
        <v>0</v>
      </c>
      <c r="E205" s="79">
        <v>38</v>
      </c>
      <c r="F205" s="57">
        <v>13.34</v>
      </c>
      <c r="G205" s="80">
        <v>3540</v>
      </c>
      <c r="H205" s="30" t="s">
        <v>1462</v>
      </c>
      <c r="I205" s="16" t="s">
        <v>175</v>
      </c>
      <c r="J205" s="8">
        <f>IFERROR(VLOOKUP($G205,今日總結!$A:$AJ,33,0),"")</f>
        <v>0</v>
      </c>
      <c r="K205" s="5">
        <f>IFERROR(VLOOKUP($G205,今日總結!$A:$AJ,34,0),"")</f>
        <v>1</v>
      </c>
      <c r="L205" s="156">
        <f>IFERROR(VLOOKUP($G205,今日總結!$A:$AJ,31,0),"")</f>
        <v>0</v>
      </c>
      <c r="M205" s="340">
        <f>IFERROR(VLOOKUP($G205,今日總結!$A:$AJ,32,0),"")</f>
        <v>0</v>
      </c>
      <c r="N205" s="240">
        <f t="shared" si="70"/>
        <v>0</v>
      </c>
      <c r="P205" s="365">
        <f>IFERROR(VLOOKUP($G205,融外自投!$A:$J,7,0),"無")</f>
        <v>585</v>
      </c>
      <c r="Q205" s="79" t="str">
        <f>IFERROR(VLOOKUP($G205,融外自投!$A:$J,9,0),"無")</f>
        <v>無</v>
      </c>
      <c r="R205" s="346">
        <f>IFERROR(VLOOKUP($G205,融外自投!$A:$J,8,0),"無")</f>
        <v>1035</v>
      </c>
      <c r="S205" s="81" t="str">
        <f>IFERROR(VLOOKUP($G205,融外自投!$A:$J,10,0),"無")</f>
        <v>無</v>
      </c>
      <c r="T205" s="327">
        <f>IFERROR(VLOOKUP($G205,'321買'!$A:$E,5,0),"'沒有資料'")</f>
        <v>710</v>
      </c>
      <c r="U205" s="66">
        <v>4.5</v>
      </c>
      <c r="W205" s="94">
        <v>9.01</v>
      </c>
      <c r="X205" s="36">
        <v>67.5</v>
      </c>
      <c r="Y205" s="66">
        <v>65.7</v>
      </c>
      <c r="Z205" s="15">
        <f t="shared" si="67"/>
        <v>1.7999999999999972</v>
      </c>
      <c r="AA205" s="63">
        <f t="shared" si="68"/>
        <v>2.739726027397256E-2</v>
      </c>
      <c r="AB205" s="101" t="s">
        <v>3316</v>
      </c>
      <c r="AD205" s="16" t="s">
        <v>175</v>
      </c>
      <c r="AE205" s="84">
        <v>44335</v>
      </c>
      <c r="AF205" s="83">
        <v>44335</v>
      </c>
      <c r="AG205" s="33">
        <f t="shared" si="69"/>
        <v>0</v>
      </c>
      <c r="AH205" s="41" t="s">
        <v>1122</v>
      </c>
      <c r="AI205" s="221"/>
      <c r="AJ205" s="213"/>
    </row>
    <row r="206" spans="1:36">
      <c r="A206" s="127" t="s">
        <v>1864</v>
      </c>
      <c r="B206" s="79">
        <v>340</v>
      </c>
      <c r="C206" s="79">
        <v>392</v>
      </c>
      <c r="D206" s="80">
        <v>-32</v>
      </c>
      <c r="E206" s="80">
        <v>-22</v>
      </c>
      <c r="F206" s="57">
        <v>50.71</v>
      </c>
      <c r="G206" s="80">
        <v>4171</v>
      </c>
      <c r="H206" s="30" t="s">
        <v>1462</v>
      </c>
      <c r="I206" s="16" t="s">
        <v>1039</v>
      </c>
      <c r="J206" s="8">
        <f>IFERROR(VLOOKUP($G206,今日總結!$A:$AJ,33,0),"")</f>
        <v>2</v>
      </c>
      <c r="K206" s="5">
        <f>IFERROR(VLOOKUP($G206,今日總結!$A:$AJ,34,0),"")</f>
        <v>1</v>
      </c>
      <c r="L206" s="156">
        <f>IFERROR(VLOOKUP($G206,今日總結!$A:$AJ,31,0),"")</f>
        <v>0</v>
      </c>
      <c r="M206" s="340">
        <f>IFERROR(VLOOKUP($G206,今日總結!$A:$AJ,32,0),"")</f>
        <v>0</v>
      </c>
      <c r="N206" s="240">
        <f t="shared" si="70"/>
        <v>0</v>
      </c>
      <c r="P206" s="365">
        <f>IFERROR(VLOOKUP($G206,融外自投!$A:$J,7,0),"無")</f>
        <v>42</v>
      </c>
      <c r="Q206" s="79">
        <f>IFERROR(VLOOKUP($G206,融外自投!$A:$J,9,0),"無")</f>
        <v>138</v>
      </c>
      <c r="R206" s="346">
        <f>IFERROR(VLOOKUP($G206,融外自投!$A:$J,8,0),"無")</f>
        <v>251</v>
      </c>
      <c r="S206" s="81" t="str">
        <f>IFERROR(VLOOKUP($G206,融外自投!$A:$J,10,0),"無")</f>
        <v>無</v>
      </c>
      <c r="T206" s="327">
        <f>IFERROR(VLOOKUP($G206,'321買'!$A:$E,5,0),"'沒有資料'")</f>
        <v>634</v>
      </c>
      <c r="U206" s="66">
        <v>3.83</v>
      </c>
      <c r="W206" s="94">
        <v>8.31</v>
      </c>
      <c r="X206" s="36">
        <v>175.5</v>
      </c>
      <c r="Y206" s="66">
        <v>173</v>
      </c>
      <c r="Z206" s="15">
        <f t="shared" si="67"/>
        <v>2.5</v>
      </c>
      <c r="AA206" s="63">
        <f t="shared" si="68"/>
        <v>1.4450867052023121E-2</v>
      </c>
      <c r="AB206" s="101" t="s">
        <v>3317</v>
      </c>
      <c r="AD206" s="16" t="s">
        <v>1039</v>
      </c>
      <c r="AE206" s="84">
        <v>44335</v>
      </c>
      <c r="AF206" s="83">
        <v>44335</v>
      </c>
      <c r="AG206" s="33">
        <f t="shared" si="69"/>
        <v>0</v>
      </c>
      <c r="AH206" s="41" t="s">
        <v>1122</v>
      </c>
      <c r="AI206" s="221"/>
      <c r="AJ206" s="213"/>
    </row>
    <row r="207" spans="1:36">
      <c r="A207" s="127" t="s">
        <v>1664</v>
      </c>
      <c r="B207" s="80">
        <v>-1</v>
      </c>
      <c r="C207" s="79">
        <v>6</v>
      </c>
      <c r="D207" s="80">
        <v>-10</v>
      </c>
      <c r="E207" s="79">
        <v>14</v>
      </c>
      <c r="F207" s="57">
        <v>24.68</v>
      </c>
      <c r="G207" s="79">
        <v>5483</v>
      </c>
      <c r="H207" s="50" t="s">
        <v>1404</v>
      </c>
      <c r="I207" s="16" t="s">
        <v>145</v>
      </c>
      <c r="J207" s="8" t="str">
        <f>IFERROR(VLOOKUP($G207,今日總結!$A:$AJ,33,0),"")</f>
        <v/>
      </c>
      <c r="K207" s="5" t="str">
        <f>IFERROR(VLOOKUP($G207,今日總結!$A:$AJ,34,0),"")</f>
        <v/>
      </c>
      <c r="L207" s="156" t="str">
        <f>IFERROR(VLOOKUP($G207,今日總結!$A:$AJ,31,0),"")</f>
        <v/>
      </c>
      <c r="M207" s="340" t="str">
        <f>IFERROR(VLOOKUP($G207,今日總結!$A:$AJ,32,0),"")</f>
        <v/>
      </c>
      <c r="N207" s="240" t="str">
        <f t="shared" si="70"/>
        <v/>
      </c>
      <c r="P207" s="365">
        <f>IFERROR(VLOOKUP($G207,融外自投!$A:$J,7,0),"無")</f>
        <v>614</v>
      </c>
      <c r="Q207" s="79">
        <f>IFERROR(VLOOKUP($G207,融外自投!$A:$J,9,0),"無")</f>
        <v>270</v>
      </c>
      <c r="R207" s="346">
        <f>IFERROR(VLOOKUP($G207,融外自投!$A:$J,8,0),"無")</f>
        <v>256</v>
      </c>
      <c r="S207" s="81">
        <f>IFERROR(VLOOKUP($G207,融外自投!$A:$J,10,0),"無")</f>
        <v>47</v>
      </c>
      <c r="T207" s="327">
        <f>IFERROR(VLOOKUP($G207,'321買'!$A:$E,5,0),"'沒有資料'")</f>
        <v>224</v>
      </c>
      <c r="U207" s="66">
        <v>5.5</v>
      </c>
      <c r="W207" s="57">
        <v>10.94</v>
      </c>
      <c r="X207" s="36">
        <v>153.5</v>
      </c>
      <c r="Y207" s="66">
        <v>152</v>
      </c>
      <c r="Z207" s="15">
        <f t="shared" si="67"/>
        <v>1.5</v>
      </c>
      <c r="AA207" s="63">
        <f t="shared" si="68"/>
        <v>9.8684210526315784E-3</v>
      </c>
      <c r="AB207" s="167" t="s">
        <v>3318</v>
      </c>
      <c r="AD207" s="16" t="s">
        <v>145</v>
      </c>
      <c r="AE207" s="84">
        <v>44334</v>
      </c>
      <c r="AF207" s="83">
        <v>44334</v>
      </c>
      <c r="AG207" s="33">
        <f t="shared" ref="AG207:AG217" si="71">AF207-AE207</f>
        <v>0</v>
      </c>
      <c r="AH207" s="127" t="s">
        <v>1122</v>
      </c>
      <c r="AI207" s="221"/>
      <c r="AJ207" s="214"/>
    </row>
    <row r="208" spans="1:36">
      <c r="A208" s="127" t="s">
        <v>1864</v>
      </c>
      <c r="B208" s="79">
        <v>340</v>
      </c>
      <c r="C208" s="79">
        <v>392</v>
      </c>
      <c r="D208" s="80">
        <v>-32</v>
      </c>
      <c r="E208" s="80">
        <v>-22</v>
      </c>
      <c r="F208" s="57">
        <v>50.71</v>
      </c>
      <c r="G208" s="80">
        <v>4171</v>
      </c>
      <c r="H208" s="30" t="s">
        <v>1462</v>
      </c>
      <c r="I208" s="16" t="s">
        <v>1039</v>
      </c>
      <c r="J208" s="8">
        <f>IFERROR(VLOOKUP($G208,今日總結!$A:$AJ,33,0),"")</f>
        <v>2</v>
      </c>
      <c r="K208" s="5">
        <f>IFERROR(VLOOKUP($G208,今日總結!$A:$AJ,34,0),"")</f>
        <v>1</v>
      </c>
      <c r="L208" s="156">
        <f>IFERROR(VLOOKUP($G208,今日總結!$A:$AJ,31,0),"")</f>
        <v>0</v>
      </c>
      <c r="M208" s="340">
        <f>IFERROR(VLOOKUP($G208,今日總結!$A:$AJ,32,0),"")</f>
        <v>0</v>
      </c>
      <c r="N208" s="240">
        <f t="shared" si="70"/>
        <v>0</v>
      </c>
      <c r="P208" s="365">
        <f>IFERROR(VLOOKUP($G208,融外自投!$A:$J,7,0),"無")</f>
        <v>42</v>
      </c>
      <c r="Q208" s="79">
        <f>IFERROR(VLOOKUP($G208,融外自投!$A:$J,9,0),"無")</f>
        <v>138</v>
      </c>
      <c r="R208" s="346">
        <f>IFERROR(VLOOKUP($G208,融外自投!$A:$J,8,0),"無")</f>
        <v>251</v>
      </c>
      <c r="S208" s="81" t="str">
        <f>IFERROR(VLOOKUP($G208,融外自投!$A:$J,10,0),"無")</f>
        <v>無</v>
      </c>
      <c r="T208" s="327">
        <f>IFERROR(VLOOKUP($G208,'321買'!$A:$E,5,0),"'沒有資料'")</f>
        <v>634</v>
      </c>
      <c r="U208" s="66">
        <v>3.83</v>
      </c>
      <c r="W208" s="94">
        <v>8.31</v>
      </c>
      <c r="X208" s="36">
        <v>167.5</v>
      </c>
      <c r="Y208" s="66">
        <v>165.5</v>
      </c>
      <c r="Z208" s="15">
        <f t="shared" si="67"/>
        <v>2</v>
      </c>
      <c r="AA208" s="63">
        <f t="shared" si="68"/>
        <v>1.2084592145015106E-2</v>
      </c>
      <c r="AB208" s="101" t="s">
        <v>3319</v>
      </c>
      <c r="AD208" s="16" t="s">
        <v>1039</v>
      </c>
      <c r="AE208" s="84">
        <v>44334</v>
      </c>
      <c r="AF208" s="83">
        <v>44334</v>
      </c>
      <c r="AG208" s="33">
        <f t="shared" si="71"/>
        <v>0</v>
      </c>
      <c r="AH208" s="41" t="s">
        <v>1122</v>
      </c>
      <c r="AI208" s="221"/>
      <c r="AJ208" s="213"/>
    </row>
    <row r="209" spans="1:36">
      <c r="A209" s="142" t="s">
        <v>1708</v>
      </c>
      <c r="B209" s="80">
        <v>-47</v>
      </c>
      <c r="C209" s="80">
        <v>-47</v>
      </c>
      <c r="D209" s="80">
        <v>-17</v>
      </c>
      <c r="E209" s="80">
        <v>-38</v>
      </c>
      <c r="F209" s="207">
        <v>4.82</v>
      </c>
      <c r="G209" s="80">
        <v>9919</v>
      </c>
      <c r="H209" s="50" t="s">
        <v>1404</v>
      </c>
      <c r="I209" s="22" t="s">
        <v>698</v>
      </c>
      <c r="J209" s="8">
        <f>IFERROR(VLOOKUP($G209,今日總結!$A:$AJ,33,0),"")</f>
        <v>1</v>
      </c>
      <c r="K209" s="5">
        <f>IFERROR(VLOOKUP($G209,今日總結!$A:$AJ,34,0),"")</f>
        <v>0</v>
      </c>
      <c r="L209" s="156">
        <f>IFERROR(VLOOKUP($G209,今日總結!$A:$AJ,31,0),"")</f>
        <v>0</v>
      </c>
      <c r="M209" s="340">
        <f>IFERROR(VLOOKUP($G209,今日總結!$A:$AJ,32,0),"")</f>
        <v>0</v>
      </c>
      <c r="N209" s="240">
        <f t="shared" si="70"/>
        <v>0</v>
      </c>
      <c r="P209" s="365">
        <f>IFERROR(VLOOKUP($G209,融外自投!$A:$J,7,0),"無")</f>
        <v>463</v>
      </c>
      <c r="Q209" s="79">
        <f>IFERROR(VLOOKUP($G209,融外自投!$A:$J,9,0),"無")</f>
        <v>122</v>
      </c>
      <c r="R209" s="346">
        <f>IFERROR(VLOOKUP($G209,融外自投!$A:$J,8,0),"無")</f>
        <v>930</v>
      </c>
      <c r="S209" s="81">
        <f>IFERROR(VLOOKUP($G209,融外自投!$A:$J,10,0),"無")</f>
        <v>458</v>
      </c>
      <c r="T209" s="327">
        <f>IFERROR(VLOOKUP($G209,'321買'!$A:$E,5,0),"'沒有資料'")</f>
        <v>255</v>
      </c>
      <c r="U209" s="66">
        <v>3</v>
      </c>
      <c r="W209" s="94">
        <v>4.32</v>
      </c>
      <c r="X209" s="36">
        <v>43.9</v>
      </c>
      <c r="Y209" s="66">
        <v>44.85</v>
      </c>
      <c r="Z209" s="15">
        <f t="shared" si="67"/>
        <v>-0.95000000000000284</v>
      </c>
      <c r="AA209" s="76">
        <f t="shared" si="68"/>
        <v>-2.118171683389081E-2</v>
      </c>
      <c r="AB209" s="100" t="s">
        <v>3313</v>
      </c>
      <c r="AD209" s="22" t="s">
        <v>698</v>
      </c>
      <c r="AE209" s="84">
        <v>44334</v>
      </c>
      <c r="AF209" s="83">
        <v>44334</v>
      </c>
      <c r="AG209" s="33">
        <f t="shared" si="71"/>
        <v>0</v>
      </c>
      <c r="AH209" s="127" t="s">
        <v>1122</v>
      </c>
      <c r="AI209" s="221"/>
      <c r="AJ209" s="8"/>
    </row>
    <row r="210" spans="1:36">
      <c r="A210" s="127" t="s">
        <v>1889</v>
      </c>
      <c r="B210" s="92">
        <v>5707</v>
      </c>
      <c r="C210" s="92">
        <v>7419</v>
      </c>
      <c r="D210" s="79">
        <v>24</v>
      </c>
      <c r="E210" s="80">
        <v>-46</v>
      </c>
      <c r="F210" s="57">
        <v>62.23</v>
      </c>
      <c r="G210" s="80">
        <v>1325</v>
      </c>
      <c r="H210" s="30" t="s">
        <v>1462</v>
      </c>
      <c r="I210" s="22" t="s">
        <v>602</v>
      </c>
      <c r="J210" s="8" t="str">
        <f>IFERROR(VLOOKUP($G210,今日總結!$A:$AJ,33,0),"")</f>
        <v/>
      </c>
      <c r="K210" s="5" t="str">
        <f>IFERROR(VLOOKUP($G210,今日總結!$A:$AJ,34,0),"")</f>
        <v/>
      </c>
      <c r="L210" s="156" t="str">
        <f>IFERROR(VLOOKUP($G210,今日總結!$A:$AJ,31,0),"")</f>
        <v/>
      </c>
      <c r="M210" s="340" t="str">
        <f>IFERROR(VLOOKUP($G210,今日總結!$A:$AJ,32,0),"")</f>
        <v/>
      </c>
      <c r="N210" s="240" t="str">
        <f t="shared" si="70"/>
        <v/>
      </c>
      <c r="P210" s="365">
        <f>IFERROR(VLOOKUP($G210,融外自投!$A:$J,7,0),"無")</f>
        <v>301</v>
      </c>
      <c r="Q210" s="79">
        <f>IFERROR(VLOOKUP($G210,融外自投!$A:$J,9,0),"無")</f>
        <v>23</v>
      </c>
      <c r="R210" s="346">
        <f>IFERROR(VLOOKUP($G210,融外自投!$A:$J,8,0),"無")</f>
        <v>844</v>
      </c>
      <c r="S210" s="81" t="str">
        <f>IFERROR(VLOOKUP($G210,融外自投!$A:$J,10,0),"無")</f>
        <v>無</v>
      </c>
      <c r="T210" s="327">
        <f>IFERROR(VLOOKUP($G210,'321買'!$A:$E,5,0),"'沒有資料'")</f>
        <v>480</v>
      </c>
      <c r="U210" s="66">
        <v>12</v>
      </c>
      <c r="W210" s="94">
        <v>23.16</v>
      </c>
      <c r="X210" s="217">
        <v>112.5</v>
      </c>
      <c r="Y210" s="66">
        <v>110</v>
      </c>
      <c r="Z210" s="15">
        <f t="shared" si="67"/>
        <v>2.5</v>
      </c>
      <c r="AA210" s="63">
        <f t="shared" si="68"/>
        <v>2.2727272727272728E-2</v>
      </c>
      <c r="AB210" s="101" t="s">
        <v>1704</v>
      </c>
      <c r="AD210" s="22" t="s">
        <v>602</v>
      </c>
      <c r="AE210" s="84">
        <v>44334</v>
      </c>
      <c r="AF210" s="83">
        <v>44334</v>
      </c>
      <c r="AG210" s="33">
        <f t="shared" si="71"/>
        <v>0</v>
      </c>
      <c r="AH210" s="41" t="s">
        <v>1122</v>
      </c>
      <c r="AI210" s="210"/>
      <c r="AJ210" s="182"/>
    </row>
    <row r="211" spans="1:36">
      <c r="A211" s="127" t="s">
        <v>1864</v>
      </c>
      <c r="B211" s="79">
        <v>340</v>
      </c>
      <c r="C211" s="79">
        <v>392</v>
      </c>
      <c r="D211" s="80">
        <v>-32</v>
      </c>
      <c r="E211" s="80">
        <v>-22</v>
      </c>
      <c r="F211" s="57">
        <v>50.71</v>
      </c>
      <c r="G211" s="80">
        <v>4171</v>
      </c>
      <c r="H211" s="30" t="s">
        <v>1462</v>
      </c>
      <c r="I211" s="16" t="s">
        <v>1039</v>
      </c>
      <c r="J211" s="8">
        <f>IFERROR(VLOOKUP($G211,今日總結!$A:$AJ,33,0),"")</f>
        <v>2</v>
      </c>
      <c r="K211" s="5">
        <f>IFERROR(VLOOKUP($G211,今日總結!$A:$AJ,34,0),"")</f>
        <v>1</v>
      </c>
      <c r="L211" s="156">
        <f>IFERROR(VLOOKUP($G211,今日總結!$A:$AJ,31,0),"")</f>
        <v>0</v>
      </c>
      <c r="M211" s="340">
        <f>IFERROR(VLOOKUP($G211,今日總結!$A:$AJ,32,0),"")</f>
        <v>0</v>
      </c>
      <c r="N211" s="240">
        <f t="shared" si="70"/>
        <v>0</v>
      </c>
      <c r="P211" s="365">
        <f>IFERROR(VLOOKUP($G211,融外自投!$A:$J,7,0),"無")</f>
        <v>42</v>
      </c>
      <c r="Q211" s="79">
        <f>IFERROR(VLOOKUP($G211,融外自投!$A:$J,9,0),"無")</f>
        <v>138</v>
      </c>
      <c r="R211" s="346">
        <f>IFERROR(VLOOKUP($G211,融外自投!$A:$J,8,0),"無")</f>
        <v>251</v>
      </c>
      <c r="S211" s="81" t="str">
        <f>IFERROR(VLOOKUP($G211,融外自投!$A:$J,10,0),"無")</f>
        <v>無</v>
      </c>
      <c r="T211" s="327">
        <f>IFERROR(VLOOKUP($G211,'321買'!$A:$E,5,0),"'沒有資料'")</f>
        <v>634</v>
      </c>
      <c r="U211" s="66">
        <v>3.83</v>
      </c>
      <c r="W211" s="94">
        <v>8.31</v>
      </c>
      <c r="X211" s="36">
        <v>168.5</v>
      </c>
      <c r="Y211" s="66">
        <v>166</v>
      </c>
      <c r="Z211" s="15">
        <f t="shared" si="67"/>
        <v>2.5</v>
      </c>
      <c r="AA211" s="63">
        <f t="shared" si="68"/>
        <v>1.5060240963855422E-2</v>
      </c>
      <c r="AB211" s="101" t="s">
        <v>3312</v>
      </c>
      <c r="AD211" s="16" t="s">
        <v>1039</v>
      </c>
      <c r="AE211" s="84">
        <v>44330</v>
      </c>
      <c r="AF211" s="83">
        <v>44334</v>
      </c>
      <c r="AG211" s="33">
        <f t="shared" si="71"/>
        <v>4</v>
      </c>
      <c r="AH211" s="41" t="s">
        <v>1122</v>
      </c>
      <c r="AI211" s="221"/>
      <c r="AJ211" s="213"/>
    </row>
    <row r="212" spans="1:36">
      <c r="A212" s="127" t="s">
        <v>1664</v>
      </c>
      <c r="B212" s="80">
        <v>-1</v>
      </c>
      <c r="C212" s="79">
        <v>6</v>
      </c>
      <c r="D212" s="80">
        <v>-10</v>
      </c>
      <c r="E212" s="79">
        <v>14</v>
      </c>
      <c r="F212" s="57">
        <v>24.68</v>
      </c>
      <c r="G212" s="79">
        <v>5483</v>
      </c>
      <c r="H212" s="50" t="s">
        <v>1404</v>
      </c>
      <c r="I212" s="16" t="s">
        <v>145</v>
      </c>
      <c r="J212" s="8" t="str">
        <f>IFERROR(VLOOKUP($G212,今日總結!$A:$AJ,33,0),"")</f>
        <v/>
      </c>
      <c r="K212" s="5" t="str">
        <f>IFERROR(VLOOKUP($G212,今日總結!$A:$AJ,34,0),"")</f>
        <v/>
      </c>
      <c r="L212" s="156" t="str">
        <f>IFERROR(VLOOKUP($G212,今日總結!$A:$AJ,31,0),"")</f>
        <v/>
      </c>
      <c r="M212" s="340" t="str">
        <f>IFERROR(VLOOKUP($G212,今日總結!$A:$AJ,32,0),"")</f>
        <v/>
      </c>
      <c r="N212" s="240" t="str">
        <f t="shared" si="70"/>
        <v/>
      </c>
      <c r="P212" s="365">
        <f>IFERROR(VLOOKUP($G212,融外自投!$A:$J,7,0),"無")</f>
        <v>614</v>
      </c>
      <c r="Q212" s="79">
        <f>IFERROR(VLOOKUP($G212,融外自投!$A:$J,9,0),"無")</f>
        <v>270</v>
      </c>
      <c r="R212" s="346">
        <f>IFERROR(VLOOKUP($G212,融外自投!$A:$J,8,0),"無")</f>
        <v>256</v>
      </c>
      <c r="S212" s="81">
        <f>IFERROR(VLOOKUP($G212,融外自投!$A:$J,10,0),"無")</f>
        <v>47</v>
      </c>
      <c r="T212" s="327">
        <f>IFERROR(VLOOKUP($G212,'321買'!$A:$E,5,0),"'沒有資料'")</f>
        <v>224</v>
      </c>
      <c r="U212" s="66">
        <v>5.5</v>
      </c>
      <c r="W212" s="57">
        <v>10.94</v>
      </c>
      <c r="X212" s="36">
        <v>150.5</v>
      </c>
      <c r="Y212" s="66">
        <v>150</v>
      </c>
      <c r="Z212" s="15">
        <f t="shared" si="67"/>
        <v>0.5</v>
      </c>
      <c r="AA212" s="63">
        <f t="shared" si="68"/>
        <v>3.3333333333333335E-3</v>
      </c>
      <c r="AB212" s="167" t="s">
        <v>3311</v>
      </c>
      <c r="AD212" s="16" t="s">
        <v>145</v>
      </c>
      <c r="AE212" s="84">
        <v>44333</v>
      </c>
      <c r="AF212" s="83">
        <v>44334</v>
      </c>
      <c r="AG212" s="33">
        <f t="shared" si="71"/>
        <v>1</v>
      </c>
      <c r="AH212" s="127" t="s">
        <v>1122</v>
      </c>
      <c r="AI212" s="221"/>
      <c r="AJ212" s="214"/>
    </row>
    <row r="213" spans="1:36">
      <c r="A213" s="127" t="s">
        <v>1664</v>
      </c>
      <c r="B213" s="80">
        <v>-1</v>
      </c>
      <c r="C213" s="79">
        <v>6</v>
      </c>
      <c r="D213" s="80">
        <v>-10</v>
      </c>
      <c r="E213" s="79">
        <v>14</v>
      </c>
      <c r="F213" s="57">
        <v>24.68</v>
      </c>
      <c r="G213" s="79">
        <v>5483</v>
      </c>
      <c r="H213" s="30" t="s">
        <v>1462</v>
      </c>
      <c r="I213" s="16" t="s">
        <v>145</v>
      </c>
      <c r="J213" s="8" t="str">
        <f>IFERROR(VLOOKUP($G213,今日總結!$A:$AJ,33,0),"")</f>
        <v/>
      </c>
      <c r="K213" s="5" t="str">
        <f>IFERROR(VLOOKUP($G213,今日總結!$A:$AJ,34,0),"")</f>
        <v/>
      </c>
      <c r="L213" s="156" t="str">
        <f>IFERROR(VLOOKUP($G213,今日總結!$A:$AJ,31,0),"")</f>
        <v/>
      </c>
      <c r="M213" s="340" t="str">
        <f>IFERROR(VLOOKUP($G213,今日總結!$A:$AJ,32,0),"")</f>
        <v/>
      </c>
      <c r="N213" s="240" t="str">
        <f t="shared" si="70"/>
        <v/>
      </c>
      <c r="P213" s="365">
        <f>IFERROR(VLOOKUP($G213,融外自投!$A:$J,7,0),"無")</f>
        <v>614</v>
      </c>
      <c r="Q213" s="79">
        <f>IFERROR(VLOOKUP($G213,融外自投!$A:$J,9,0),"無")</f>
        <v>270</v>
      </c>
      <c r="R213" s="346">
        <f>IFERROR(VLOOKUP($G213,融外自投!$A:$J,8,0),"無")</f>
        <v>256</v>
      </c>
      <c r="S213" s="81">
        <f>IFERROR(VLOOKUP($G213,融外自投!$A:$J,10,0),"無")</f>
        <v>47</v>
      </c>
      <c r="T213" s="327">
        <f>IFERROR(VLOOKUP($G213,'321買'!$A:$E,5,0),"'沒有資料'")</f>
        <v>224</v>
      </c>
      <c r="U213" s="66">
        <v>5.5</v>
      </c>
      <c r="W213" s="57">
        <v>10.94</v>
      </c>
      <c r="X213" s="36">
        <v>150</v>
      </c>
      <c r="Y213" s="66">
        <v>150</v>
      </c>
      <c r="Z213" s="15">
        <f t="shared" si="67"/>
        <v>0</v>
      </c>
      <c r="AA213" s="63">
        <f t="shared" si="68"/>
        <v>0</v>
      </c>
      <c r="AB213" s="167" t="s">
        <v>1500</v>
      </c>
      <c r="AD213" s="16" t="s">
        <v>145</v>
      </c>
      <c r="AE213" s="84">
        <v>44333</v>
      </c>
      <c r="AF213" s="83">
        <v>44334</v>
      </c>
      <c r="AG213" s="33">
        <f t="shared" si="71"/>
        <v>1</v>
      </c>
      <c r="AH213" s="41" t="s">
        <v>1122</v>
      </c>
      <c r="AI213" s="221"/>
      <c r="AJ213" s="214"/>
    </row>
    <row r="214" spans="1:36">
      <c r="A214" s="127" t="s">
        <v>1864</v>
      </c>
      <c r="B214" s="79">
        <v>340</v>
      </c>
      <c r="C214" s="79">
        <v>392</v>
      </c>
      <c r="D214" s="80">
        <v>-32</v>
      </c>
      <c r="E214" s="80">
        <v>-22</v>
      </c>
      <c r="F214" s="57">
        <v>50.71</v>
      </c>
      <c r="G214" s="80">
        <v>4171</v>
      </c>
      <c r="H214" s="30" t="s">
        <v>1462</v>
      </c>
      <c r="I214" s="16" t="s">
        <v>1039</v>
      </c>
      <c r="J214" s="8">
        <f>IFERROR(VLOOKUP($G214,今日總結!$A:$AJ,33,0),"")</f>
        <v>2</v>
      </c>
      <c r="K214" s="5">
        <f>IFERROR(VLOOKUP($G214,今日總結!$A:$AJ,34,0),"")</f>
        <v>1</v>
      </c>
      <c r="L214" s="156">
        <f>IFERROR(VLOOKUP($G214,今日總結!$A:$AJ,31,0),"")</f>
        <v>0</v>
      </c>
      <c r="M214" s="340">
        <f>IFERROR(VLOOKUP($G214,今日總結!$A:$AJ,32,0),"")</f>
        <v>0</v>
      </c>
      <c r="N214" s="240">
        <f t="shared" si="70"/>
        <v>0</v>
      </c>
      <c r="P214" s="365">
        <f>IFERROR(VLOOKUP($G214,融外自投!$A:$J,7,0),"無")</f>
        <v>42</v>
      </c>
      <c r="Q214" s="79">
        <f>IFERROR(VLOOKUP($G214,融外自投!$A:$J,9,0),"無")</f>
        <v>138</v>
      </c>
      <c r="R214" s="346">
        <f>IFERROR(VLOOKUP($G214,融外自投!$A:$J,8,0),"無")</f>
        <v>251</v>
      </c>
      <c r="S214" s="81" t="str">
        <f>IFERROR(VLOOKUP($G214,融外自投!$A:$J,10,0),"無")</f>
        <v>無</v>
      </c>
      <c r="T214" s="327">
        <f>IFERROR(VLOOKUP($G214,'321買'!$A:$E,5,0),"'沒有資料'")</f>
        <v>634</v>
      </c>
      <c r="U214" s="66">
        <v>3.83</v>
      </c>
      <c r="W214" s="94">
        <v>8.31</v>
      </c>
      <c r="X214" s="36">
        <v>161</v>
      </c>
      <c r="Y214" s="66">
        <v>134.5</v>
      </c>
      <c r="Z214" s="15">
        <f t="shared" si="67"/>
        <v>26.5</v>
      </c>
      <c r="AA214" s="63">
        <f t="shared" si="68"/>
        <v>0.19702602230483271</v>
      </c>
      <c r="AB214" s="101" t="s">
        <v>1671</v>
      </c>
      <c r="AD214" s="16" t="s">
        <v>1039</v>
      </c>
      <c r="AE214" s="84">
        <v>44330</v>
      </c>
      <c r="AF214" s="83">
        <v>44334</v>
      </c>
      <c r="AG214" s="33">
        <f t="shared" si="71"/>
        <v>4</v>
      </c>
      <c r="AH214" s="41" t="s">
        <v>1122</v>
      </c>
      <c r="AI214" s="221"/>
      <c r="AJ214" s="213"/>
    </row>
    <row r="215" spans="1:36">
      <c r="A215" s="142" t="s">
        <v>1654</v>
      </c>
      <c r="B215" s="79">
        <v>480</v>
      </c>
      <c r="C215" s="79">
        <v>91</v>
      </c>
      <c r="D215" s="79">
        <v>329</v>
      </c>
      <c r="E215" s="80">
        <v>-4</v>
      </c>
      <c r="F215" s="6">
        <v>-1.38</v>
      </c>
      <c r="G215" s="80">
        <v>4142</v>
      </c>
      <c r="H215" s="50" t="s">
        <v>1404</v>
      </c>
      <c r="I215" s="22" t="s">
        <v>632</v>
      </c>
      <c r="J215" s="8" t="str">
        <f>IFERROR(VLOOKUP($G215,今日總結!$A:$AJ,33,0),"")</f>
        <v/>
      </c>
      <c r="K215" s="5" t="str">
        <f>IFERROR(VLOOKUP($G215,今日總結!$A:$AJ,34,0),"")</f>
        <v/>
      </c>
      <c r="L215" s="156" t="str">
        <f>IFERROR(VLOOKUP($G215,今日總結!$A:$AJ,31,0),"")</f>
        <v/>
      </c>
      <c r="M215" s="340" t="str">
        <f>IFERROR(VLOOKUP($G215,今日總結!$A:$AJ,32,0),"")</f>
        <v/>
      </c>
      <c r="N215" s="240" t="str">
        <f t="shared" si="70"/>
        <v/>
      </c>
      <c r="P215" s="365">
        <f>IFERROR(VLOOKUP($G215,融外自投!$A:$J,7,0),"無")</f>
        <v>398</v>
      </c>
      <c r="Q215" s="79">
        <f>IFERROR(VLOOKUP($G215,融外自投!$A:$J,9,0),"無")</f>
        <v>176</v>
      </c>
      <c r="R215" s="346">
        <f>IFERROR(VLOOKUP($G215,融外自投!$A:$J,8,0),"無")</f>
        <v>638</v>
      </c>
      <c r="S215" s="81">
        <f>IFERROR(VLOOKUP($G215,融外自投!$A:$J,10,0),"無")</f>
        <v>362</v>
      </c>
      <c r="T215" s="327">
        <f>IFERROR(VLOOKUP($G215,'321買'!$A:$E,5,0),"'沒有資料'")</f>
        <v>403</v>
      </c>
      <c r="U215" s="34">
        <v>0.5</v>
      </c>
      <c r="W215" s="94">
        <v>3.08</v>
      </c>
      <c r="X215" s="36">
        <v>61.2</v>
      </c>
      <c r="Y215" s="66">
        <v>62.3</v>
      </c>
      <c r="Z215" s="15">
        <f t="shared" ref="Z215:Z221" si="72">X215-Y215</f>
        <v>-1.0999999999999943</v>
      </c>
      <c r="AA215" s="76">
        <f t="shared" si="68"/>
        <v>-1.7656500802568129E-2</v>
      </c>
      <c r="AB215" s="135" t="s">
        <v>3028</v>
      </c>
      <c r="AD215" s="22" t="s">
        <v>632</v>
      </c>
      <c r="AE215" s="84">
        <v>44333</v>
      </c>
      <c r="AF215" s="83">
        <v>44334</v>
      </c>
      <c r="AG215" s="33">
        <f t="shared" si="71"/>
        <v>1</v>
      </c>
      <c r="AH215" s="127" t="s">
        <v>1122</v>
      </c>
      <c r="AI215" s="212"/>
      <c r="AJ215" s="213"/>
    </row>
    <row r="216" spans="1:36">
      <c r="A216" s="142" t="s">
        <v>1654</v>
      </c>
      <c r="B216" s="79">
        <v>480</v>
      </c>
      <c r="C216" s="79">
        <v>91</v>
      </c>
      <c r="D216" s="79">
        <v>329</v>
      </c>
      <c r="E216" s="80">
        <v>-4</v>
      </c>
      <c r="F216" s="6">
        <v>-1.38</v>
      </c>
      <c r="G216" s="80">
        <v>4142</v>
      </c>
      <c r="H216" s="50" t="s">
        <v>1404</v>
      </c>
      <c r="I216" s="22" t="s">
        <v>632</v>
      </c>
      <c r="J216" s="8" t="str">
        <f>IFERROR(VLOOKUP($G216,今日總結!$A:$AJ,33,0),"")</f>
        <v/>
      </c>
      <c r="K216" s="5" t="str">
        <f>IFERROR(VLOOKUP($G216,今日總結!$A:$AJ,34,0),"")</f>
        <v/>
      </c>
      <c r="L216" s="156" t="str">
        <f>IFERROR(VLOOKUP($G216,今日總結!$A:$AJ,31,0),"")</f>
        <v/>
      </c>
      <c r="M216" s="340" t="str">
        <f>IFERROR(VLOOKUP($G216,今日總結!$A:$AJ,32,0),"")</f>
        <v/>
      </c>
      <c r="N216" s="240" t="str">
        <f t="shared" si="70"/>
        <v/>
      </c>
      <c r="P216" s="365">
        <f>IFERROR(VLOOKUP($G216,融外自投!$A:$J,7,0),"無")</f>
        <v>398</v>
      </c>
      <c r="Q216" s="79">
        <f>IFERROR(VLOOKUP($G216,融外自投!$A:$J,9,0),"無")</f>
        <v>176</v>
      </c>
      <c r="R216" s="346">
        <f>IFERROR(VLOOKUP($G216,融外自投!$A:$J,8,0),"無")</f>
        <v>638</v>
      </c>
      <c r="S216" s="81">
        <f>IFERROR(VLOOKUP($G216,融外自投!$A:$J,10,0),"無")</f>
        <v>362</v>
      </c>
      <c r="T216" s="327">
        <f>IFERROR(VLOOKUP($G216,'321買'!$A:$E,5,0),"'沒有資料'")</f>
        <v>403</v>
      </c>
      <c r="U216" s="34">
        <v>0.5</v>
      </c>
      <c r="W216" s="94">
        <v>3.08</v>
      </c>
      <c r="X216" s="36">
        <v>61.2</v>
      </c>
      <c r="Y216" s="66">
        <v>62.4</v>
      </c>
      <c r="Z216" s="15">
        <f t="shared" si="72"/>
        <v>-1.1999999999999957</v>
      </c>
      <c r="AA216" s="76">
        <f t="shared" si="68"/>
        <v>-1.9230769230769162E-2</v>
      </c>
      <c r="AB216" s="135" t="s">
        <v>3307</v>
      </c>
      <c r="AD216" s="22" t="s">
        <v>632</v>
      </c>
      <c r="AE216" s="84">
        <v>44333</v>
      </c>
      <c r="AF216" s="83">
        <v>44334</v>
      </c>
      <c r="AG216" s="33">
        <f t="shared" si="71"/>
        <v>1</v>
      </c>
      <c r="AH216" s="127" t="s">
        <v>1122</v>
      </c>
      <c r="AI216" s="127" t="s">
        <v>1502</v>
      </c>
      <c r="AJ216" s="213"/>
    </row>
    <row r="217" spans="1:36">
      <c r="A217" s="142" t="s">
        <v>1654</v>
      </c>
      <c r="B217" s="79">
        <v>480</v>
      </c>
      <c r="C217" s="79">
        <v>91</v>
      </c>
      <c r="D217" s="79">
        <v>329</v>
      </c>
      <c r="E217" s="80">
        <v>-4</v>
      </c>
      <c r="F217" s="6">
        <v>-1.38</v>
      </c>
      <c r="G217" s="80">
        <v>4142</v>
      </c>
      <c r="H217" s="30" t="s">
        <v>1462</v>
      </c>
      <c r="I217" s="22" t="s">
        <v>632</v>
      </c>
      <c r="J217" s="8" t="str">
        <f>IFERROR(VLOOKUP($G217,今日總結!$A:$AJ,33,0),"")</f>
        <v/>
      </c>
      <c r="K217" s="5" t="str">
        <f>IFERROR(VLOOKUP($G217,今日總結!$A:$AJ,34,0),"")</f>
        <v/>
      </c>
      <c r="L217" s="156" t="str">
        <f>IFERROR(VLOOKUP($G217,今日總結!$A:$AJ,31,0),"")</f>
        <v/>
      </c>
      <c r="M217" s="340" t="str">
        <f>IFERROR(VLOOKUP($G217,今日總結!$A:$AJ,32,0),"")</f>
        <v/>
      </c>
      <c r="N217" s="240" t="str">
        <f t="shared" si="70"/>
        <v/>
      </c>
      <c r="P217" s="365">
        <f>IFERROR(VLOOKUP($G217,融外自投!$A:$J,7,0),"無")</f>
        <v>398</v>
      </c>
      <c r="Q217" s="79">
        <f>IFERROR(VLOOKUP($G217,融外自投!$A:$J,9,0),"無")</f>
        <v>176</v>
      </c>
      <c r="R217" s="346">
        <f>IFERROR(VLOOKUP($G217,融外自投!$A:$J,8,0),"無")</f>
        <v>638</v>
      </c>
      <c r="S217" s="81">
        <f>IFERROR(VLOOKUP($G217,融外自投!$A:$J,10,0),"無")</f>
        <v>362</v>
      </c>
      <c r="T217" s="327">
        <f>IFERROR(VLOOKUP($G217,'321買'!$A:$E,5,0),"'沒有資料'")</f>
        <v>403</v>
      </c>
      <c r="U217" s="34">
        <v>0.5</v>
      </c>
      <c r="W217" s="94">
        <v>3.08</v>
      </c>
      <c r="X217" s="36">
        <v>61.1</v>
      </c>
      <c r="Y217" s="66">
        <v>62.3</v>
      </c>
      <c r="Z217" s="15">
        <f t="shared" si="72"/>
        <v>-1.1999999999999957</v>
      </c>
      <c r="AA217" s="76">
        <f t="shared" si="68"/>
        <v>-1.9261637239165262E-2</v>
      </c>
      <c r="AB217" s="135" t="s">
        <v>3308</v>
      </c>
      <c r="AD217" s="22" t="s">
        <v>632</v>
      </c>
      <c r="AE217" s="84">
        <v>44333</v>
      </c>
      <c r="AF217" s="83">
        <v>44334</v>
      </c>
      <c r="AG217" s="33">
        <f t="shared" si="71"/>
        <v>1</v>
      </c>
      <c r="AH217" s="41" t="s">
        <v>1122</v>
      </c>
      <c r="AI217" s="212"/>
      <c r="AJ217" s="213"/>
    </row>
    <row r="218" spans="1:36">
      <c r="A218" s="142" t="s">
        <v>1689</v>
      </c>
      <c r="B218" s="79">
        <v>369</v>
      </c>
      <c r="C218" s="79">
        <v>78</v>
      </c>
      <c r="D218" s="80">
        <v>-10</v>
      </c>
      <c r="E218" s="79">
        <v>27</v>
      </c>
      <c r="F218" s="6">
        <v>-2.17</v>
      </c>
      <c r="G218" s="80">
        <v>1781</v>
      </c>
      <c r="H218" s="50" t="s">
        <v>1404</v>
      </c>
      <c r="I218" s="16" t="s">
        <v>607</v>
      </c>
      <c r="J218" s="8" t="str">
        <f>IFERROR(VLOOKUP($G218,今日總結!$A:$AJ,33,0),"")</f>
        <v/>
      </c>
      <c r="K218" s="5" t="str">
        <f>IFERROR(VLOOKUP($G218,今日總結!$A:$AJ,34,0),"")</f>
        <v/>
      </c>
      <c r="L218" s="156" t="str">
        <f>IFERROR(VLOOKUP($G218,今日總結!$A:$AJ,31,0),"")</f>
        <v/>
      </c>
      <c r="M218" s="340" t="str">
        <f>IFERROR(VLOOKUP($G218,今日總結!$A:$AJ,32,0),"")</f>
        <v/>
      </c>
      <c r="N218" s="240" t="str">
        <f t="shared" si="70"/>
        <v/>
      </c>
      <c r="P218" s="365" t="str">
        <f>IFERROR(VLOOKUP($G218,融外自投!$A:$J,7,0),"無")</f>
        <v>無</v>
      </c>
      <c r="Q218" s="79" t="str">
        <f>IFERROR(VLOOKUP($G218,融外自投!$A:$J,9,0),"無")</f>
        <v>無</v>
      </c>
      <c r="R218" s="346" t="str">
        <f>IFERROR(VLOOKUP($G218,融外自投!$A:$J,8,0),"無")</f>
        <v>無</v>
      </c>
      <c r="S218" s="81" t="str">
        <f>IFERROR(VLOOKUP($G218,融外自投!$A:$J,10,0),"無")</f>
        <v>無</v>
      </c>
      <c r="T218" s="327" t="str">
        <f>IFERROR(VLOOKUP($G218,'321買'!$A:$E,5,0),"'沒有資料'")</f>
        <v>'沒有資料'</v>
      </c>
      <c r="U218" s="34">
        <v>0</v>
      </c>
      <c r="W218" s="94">
        <v>4.3499999999999996</v>
      </c>
      <c r="X218" s="36">
        <v>29.5</v>
      </c>
      <c r="Y218" s="66">
        <v>24.55</v>
      </c>
      <c r="Z218" s="15">
        <f t="shared" si="72"/>
        <v>4.9499999999999993</v>
      </c>
      <c r="AA218" s="63">
        <f t="shared" si="68"/>
        <v>0.20162932790224028</v>
      </c>
      <c r="AB218" s="101" t="s">
        <v>3309</v>
      </c>
      <c r="AD218" s="16" t="s">
        <v>607</v>
      </c>
      <c r="AE218" s="84">
        <v>44330</v>
      </c>
      <c r="AF218" s="83">
        <v>44334</v>
      </c>
      <c r="AG218" s="33">
        <f t="shared" ref="AG218:AG224" si="73">AF218-AE218</f>
        <v>4</v>
      </c>
      <c r="AH218" s="127" t="s">
        <v>1122</v>
      </c>
      <c r="AI218" s="221"/>
      <c r="AJ218" s="213"/>
    </row>
    <row r="219" spans="1:36">
      <c r="A219" s="127" t="s">
        <v>1889</v>
      </c>
      <c r="B219" s="92">
        <v>5707</v>
      </c>
      <c r="C219" s="92">
        <v>7419</v>
      </c>
      <c r="D219" s="79">
        <v>24</v>
      </c>
      <c r="E219" s="80">
        <v>-46</v>
      </c>
      <c r="F219" s="57">
        <v>62.23</v>
      </c>
      <c r="G219" s="80">
        <v>1325</v>
      </c>
      <c r="H219" s="50" t="s">
        <v>1404</v>
      </c>
      <c r="I219" s="22" t="s">
        <v>602</v>
      </c>
      <c r="J219" s="8" t="str">
        <f>IFERROR(VLOOKUP($G219,今日總結!$A:$AJ,33,0),"")</f>
        <v/>
      </c>
      <c r="K219" s="5" t="str">
        <f>IFERROR(VLOOKUP($G219,今日總結!$A:$AJ,34,0),"")</f>
        <v/>
      </c>
      <c r="L219" s="156" t="str">
        <f>IFERROR(VLOOKUP($G219,今日總結!$A:$AJ,31,0),"")</f>
        <v/>
      </c>
      <c r="M219" s="340" t="str">
        <f>IFERROR(VLOOKUP($G219,今日總結!$A:$AJ,32,0),"")</f>
        <v/>
      </c>
      <c r="N219" s="240" t="str">
        <f t="shared" si="70"/>
        <v/>
      </c>
      <c r="P219" s="365">
        <f>IFERROR(VLOOKUP($G219,融外自投!$A:$J,7,0),"無")</f>
        <v>301</v>
      </c>
      <c r="Q219" s="79">
        <f>IFERROR(VLOOKUP($G219,融外自投!$A:$J,9,0),"無")</f>
        <v>23</v>
      </c>
      <c r="R219" s="346">
        <f>IFERROR(VLOOKUP($G219,融外自投!$A:$J,8,0),"無")</f>
        <v>844</v>
      </c>
      <c r="S219" s="81" t="str">
        <f>IFERROR(VLOOKUP($G219,融外自投!$A:$J,10,0),"無")</f>
        <v>無</v>
      </c>
      <c r="T219" s="327">
        <f>IFERROR(VLOOKUP($G219,'321買'!$A:$E,5,0),"'沒有資料'")</f>
        <v>480</v>
      </c>
      <c r="U219" s="66">
        <v>12</v>
      </c>
      <c r="W219" s="94">
        <v>23.16</v>
      </c>
      <c r="X219" s="217">
        <v>115.5</v>
      </c>
      <c r="Y219" s="66">
        <v>107.5</v>
      </c>
      <c r="Z219" s="15">
        <f t="shared" si="72"/>
        <v>8</v>
      </c>
      <c r="AA219" s="63">
        <f t="shared" si="68"/>
        <v>7.441860465116279E-2</v>
      </c>
      <c r="AB219" s="101" t="s">
        <v>1707</v>
      </c>
      <c r="AD219" s="22" t="s">
        <v>602</v>
      </c>
      <c r="AE219" s="84">
        <v>44330</v>
      </c>
      <c r="AF219" s="83">
        <v>44334</v>
      </c>
      <c r="AG219" s="33">
        <f t="shared" si="73"/>
        <v>4</v>
      </c>
      <c r="AH219" s="127" t="s">
        <v>1122</v>
      </c>
      <c r="AI219" s="210"/>
      <c r="AJ219" s="182"/>
    </row>
    <row r="220" spans="1:36">
      <c r="A220" s="127" t="s">
        <v>1889</v>
      </c>
      <c r="B220" s="92">
        <v>5707</v>
      </c>
      <c r="C220" s="92">
        <v>7419</v>
      </c>
      <c r="D220" s="79">
        <v>24</v>
      </c>
      <c r="E220" s="80">
        <v>-46</v>
      </c>
      <c r="F220" s="57">
        <v>62.23</v>
      </c>
      <c r="G220" s="80">
        <v>1325</v>
      </c>
      <c r="H220" s="30" t="s">
        <v>1462</v>
      </c>
      <c r="I220" s="22" t="s">
        <v>602</v>
      </c>
      <c r="J220" s="8" t="str">
        <f>IFERROR(VLOOKUP($G220,今日總結!$A:$AJ,33,0),"")</f>
        <v/>
      </c>
      <c r="K220" s="5" t="str">
        <f>IFERROR(VLOOKUP($G220,今日總結!$A:$AJ,34,0),"")</f>
        <v/>
      </c>
      <c r="L220" s="156" t="str">
        <f>IFERROR(VLOOKUP($G220,今日總結!$A:$AJ,31,0),"")</f>
        <v/>
      </c>
      <c r="M220" s="340" t="str">
        <f>IFERROR(VLOOKUP($G220,今日總結!$A:$AJ,32,0),"")</f>
        <v/>
      </c>
      <c r="N220" s="240" t="str">
        <f t="shared" si="70"/>
        <v/>
      </c>
      <c r="P220" s="365">
        <f>IFERROR(VLOOKUP($G220,融外自投!$A:$J,7,0),"無")</f>
        <v>301</v>
      </c>
      <c r="Q220" s="79">
        <f>IFERROR(VLOOKUP($G220,融外自投!$A:$J,9,0),"無")</f>
        <v>23</v>
      </c>
      <c r="R220" s="346">
        <f>IFERROR(VLOOKUP($G220,融外自投!$A:$J,8,0),"無")</f>
        <v>844</v>
      </c>
      <c r="S220" s="81" t="str">
        <f>IFERROR(VLOOKUP($G220,融外自投!$A:$J,10,0),"無")</f>
        <v>無</v>
      </c>
      <c r="T220" s="327">
        <f>IFERROR(VLOOKUP($G220,'321買'!$A:$E,5,0),"'沒有資料'")</f>
        <v>480</v>
      </c>
      <c r="U220" s="66">
        <v>12</v>
      </c>
      <c r="W220" s="94">
        <v>23.16</v>
      </c>
      <c r="X220" s="217">
        <v>115.5</v>
      </c>
      <c r="Y220" s="66">
        <v>107.5</v>
      </c>
      <c r="Z220" s="15">
        <f t="shared" si="72"/>
        <v>8</v>
      </c>
      <c r="AA220" s="63">
        <f t="shared" si="68"/>
        <v>7.441860465116279E-2</v>
      </c>
      <c r="AB220" s="101" t="s">
        <v>1707</v>
      </c>
      <c r="AD220" s="22" t="s">
        <v>602</v>
      </c>
      <c r="AE220" s="84">
        <v>44330</v>
      </c>
      <c r="AF220" s="83">
        <v>44334</v>
      </c>
      <c r="AG220" s="33">
        <f t="shared" si="73"/>
        <v>4</v>
      </c>
      <c r="AH220" s="41" t="s">
        <v>1122</v>
      </c>
      <c r="AI220" s="210"/>
      <c r="AJ220" s="182"/>
    </row>
    <row r="221" spans="1:36" s="248" customFormat="1" ht="15.75" customHeight="1">
      <c r="A221" s="127" t="s">
        <v>2984</v>
      </c>
      <c r="B221" s="79">
        <v>33</v>
      </c>
      <c r="C221" s="80">
        <v>-11</v>
      </c>
      <c r="D221" s="80">
        <v>-23</v>
      </c>
      <c r="E221" s="80">
        <v>-48</v>
      </c>
      <c r="F221" s="57">
        <v>26.29</v>
      </c>
      <c r="G221" s="80">
        <v>4736</v>
      </c>
      <c r="H221" s="30" t="s">
        <v>1462</v>
      </c>
      <c r="I221" s="166" t="s">
        <v>38</v>
      </c>
      <c r="J221" s="8">
        <f>IFERROR(VLOOKUP($G221,今日總結!$A:$AJ,33,0),"")</f>
        <v>0</v>
      </c>
      <c r="K221" s="5">
        <f>IFERROR(VLOOKUP($G221,今日總結!$A:$AJ,34,0),"")</f>
        <v>5</v>
      </c>
      <c r="L221" s="156">
        <f>IFERROR(VLOOKUP($G221,今日總結!$A:$AJ,31,0),"")</f>
        <v>0</v>
      </c>
      <c r="M221" s="340">
        <f>IFERROR(VLOOKUP($G221,今日總結!$A:$AJ,32,0),"")</f>
        <v>0</v>
      </c>
      <c r="N221" s="240">
        <f t="shared" si="70"/>
        <v>0</v>
      </c>
      <c r="O221" s="245"/>
      <c r="P221" s="365">
        <f>IFERROR(VLOOKUP($G221,融外自投!$A:$J,7,0),"無")</f>
        <v>201</v>
      </c>
      <c r="Q221" s="79">
        <f>IFERROR(VLOOKUP($G221,融外自投!$A:$J,9,0),"無")</f>
        <v>117</v>
      </c>
      <c r="R221" s="346">
        <f>IFERROR(VLOOKUP($G221,融外自投!$A:$J,8,0),"無")</f>
        <v>394</v>
      </c>
      <c r="S221" s="81">
        <f>IFERROR(VLOOKUP($G221,融外自投!$A:$J,10,0),"無")</f>
        <v>324</v>
      </c>
      <c r="T221" s="327">
        <f>IFERROR(VLOOKUP($G221,'321買'!$A:$E,5,0),"'沒有資料'")</f>
        <v>430</v>
      </c>
      <c r="U221" s="65">
        <v>11.5</v>
      </c>
      <c r="V221" s="311"/>
      <c r="W221" s="94">
        <v>18.309999999999999</v>
      </c>
      <c r="X221" s="161">
        <v>195.5</v>
      </c>
      <c r="Y221" s="65">
        <v>190.5</v>
      </c>
      <c r="Z221" s="162">
        <f t="shared" si="72"/>
        <v>5</v>
      </c>
      <c r="AA221" s="158">
        <f t="shared" si="68"/>
        <v>2.6246719160104987E-2</v>
      </c>
      <c r="AB221" s="167" t="s">
        <v>3310</v>
      </c>
      <c r="AC221" s="382"/>
      <c r="AD221" s="166" t="s">
        <v>38</v>
      </c>
      <c r="AE221" s="84">
        <v>44333</v>
      </c>
      <c r="AF221" s="83">
        <v>44334</v>
      </c>
      <c r="AG221" s="33">
        <f t="shared" si="73"/>
        <v>1</v>
      </c>
      <c r="AH221" s="41" t="s">
        <v>1122</v>
      </c>
      <c r="AI221" s="212"/>
      <c r="AJ221" s="213"/>
    </row>
    <row r="222" spans="1:36">
      <c r="A222" s="127" t="s">
        <v>2038</v>
      </c>
      <c r="B222" s="92">
        <v>2459</v>
      </c>
      <c r="C222" s="92">
        <v>3043</v>
      </c>
      <c r="D222" s="80">
        <v>-2</v>
      </c>
      <c r="E222" s="80">
        <v>-52</v>
      </c>
      <c r="F222" s="57">
        <v>36.35</v>
      </c>
      <c r="G222" s="80">
        <v>3373</v>
      </c>
      <c r="H222" s="30" t="s">
        <v>1462</v>
      </c>
      <c r="I222" s="16" t="s">
        <v>476</v>
      </c>
      <c r="J222" s="8" t="str">
        <f>IFERROR(VLOOKUP($G222,今日總結!$A:$AJ,33,0),"")</f>
        <v/>
      </c>
      <c r="K222" s="5" t="str">
        <f>IFERROR(VLOOKUP($G222,今日總結!$A:$AJ,34,0),"")</f>
        <v/>
      </c>
      <c r="L222" s="156" t="str">
        <f>IFERROR(VLOOKUP($G222,今日總結!$A:$AJ,31,0),"")</f>
        <v/>
      </c>
      <c r="M222" s="340" t="str">
        <f>IFERROR(VLOOKUP($G222,今日總結!$A:$AJ,32,0),"")</f>
        <v/>
      </c>
      <c r="N222" s="240" t="str">
        <f t="shared" si="70"/>
        <v/>
      </c>
      <c r="P222" s="365">
        <f>IFERROR(VLOOKUP($G222,融外自投!$A:$J,7,0),"無")</f>
        <v>413</v>
      </c>
      <c r="Q222" s="79">
        <f>IFERROR(VLOOKUP($G222,融外自投!$A:$J,9,0),"無")</f>
        <v>18</v>
      </c>
      <c r="R222" s="346">
        <f>IFERROR(VLOOKUP($G222,融外自投!$A:$J,8,0),"無")</f>
        <v>1081</v>
      </c>
      <c r="S222" s="81" t="str">
        <f>IFERROR(VLOOKUP($G222,融外自投!$A:$J,10,0),"無")</f>
        <v>無</v>
      </c>
      <c r="T222" s="327">
        <f>IFERROR(VLOOKUP($G222,'321買'!$A:$E,5,0),"'沒有資料'")</f>
        <v>336</v>
      </c>
      <c r="U222" s="45">
        <v>10</v>
      </c>
      <c r="W222" s="94">
        <v>17.010000000000002</v>
      </c>
      <c r="X222" s="36">
        <v>85</v>
      </c>
      <c r="Y222" s="66">
        <v>84.1</v>
      </c>
      <c r="Z222" s="15">
        <f t="shared" ref="Z222:Z231" si="74">X222-Y222</f>
        <v>0.90000000000000568</v>
      </c>
      <c r="AA222" s="63">
        <f t="shared" si="68"/>
        <v>1.0701545778834788E-2</v>
      </c>
      <c r="AB222" s="101" t="s">
        <v>3306</v>
      </c>
      <c r="AD222" s="16" t="s">
        <v>476</v>
      </c>
      <c r="AE222" s="84">
        <v>44330</v>
      </c>
      <c r="AF222" s="83">
        <v>44333</v>
      </c>
      <c r="AG222" s="33">
        <f t="shared" si="73"/>
        <v>3</v>
      </c>
      <c r="AH222" s="41" t="s">
        <v>1122</v>
      </c>
      <c r="AI222" s="221"/>
      <c r="AJ222" s="213"/>
    </row>
    <row r="223" spans="1:36">
      <c r="A223" s="127" t="s">
        <v>1697</v>
      </c>
      <c r="B223" s="79">
        <v>493</v>
      </c>
      <c r="C223" s="79">
        <v>373</v>
      </c>
      <c r="D223" s="80">
        <v>-6</v>
      </c>
      <c r="E223" s="79">
        <v>340</v>
      </c>
      <c r="F223" s="57">
        <v>21.21</v>
      </c>
      <c r="G223" s="80">
        <v>4735</v>
      </c>
      <c r="H223" s="50" t="s">
        <v>1404</v>
      </c>
      <c r="I223" s="16" t="s">
        <v>617</v>
      </c>
      <c r="J223" s="8">
        <f>IFERROR(VLOOKUP($G223,今日總結!$A:$AJ,33,0),"")</f>
        <v>0</v>
      </c>
      <c r="K223" s="5">
        <f>IFERROR(VLOOKUP($G223,今日總結!$A:$AJ,34,0),"")</f>
        <v>1</v>
      </c>
      <c r="L223" s="156">
        <f>IFERROR(VLOOKUP($G223,今日總結!$A:$AJ,31,0),"")</f>
        <v>0</v>
      </c>
      <c r="M223" s="340">
        <f>IFERROR(VLOOKUP($G223,今日總結!$A:$AJ,32,0),"")</f>
        <v>0</v>
      </c>
      <c r="N223" s="240">
        <f t="shared" si="70"/>
        <v>0</v>
      </c>
      <c r="P223" s="365">
        <f>IFERROR(VLOOKUP($G223,融外自投!$A:$J,7,0),"無")</f>
        <v>724</v>
      </c>
      <c r="Q223" s="79">
        <f>IFERROR(VLOOKUP($G223,融外自投!$A:$J,9,0),"無")</f>
        <v>391</v>
      </c>
      <c r="R223" s="346">
        <f>IFERROR(VLOOKUP($G223,融外自投!$A:$J,8,0),"無")</f>
        <v>1282</v>
      </c>
      <c r="S223" s="81" t="str">
        <f>IFERROR(VLOOKUP($G223,融外自投!$A:$J,10,0),"無")</f>
        <v>無</v>
      </c>
      <c r="T223" s="327">
        <f>IFERROR(VLOOKUP($G223,'321買'!$A:$E,5,0),"'沒有資料'")</f>
        <v>894</v>
      </c>
      <c r="U223" s="66">
        <v>1.5</v>
      </c>
      <c r="W223" s="94">
        <v>19.010000000000002</v>
      </c>
      <c r="X223" s="36">
        <v>90.4</v>
      </c>
      <c r="Y223" s="66">
        <v>88.2</v>
      </c>
      <c r="Z223" s="15">
        <f t="shared" si="74"/>
        <v>2.2000000000000028</v>
      </c>
      <c r="AA223" s="63">
        <f t="shared" si="68"/>
        <v>2.4943310657596404E-2</v>
      </c>
      <c r="AB223" s="101" t="s">
        <v>3305</v>
      </c>
      <c r="AD223" s="16" t="s">
        <v>617</v>
      </c>
      <c r="AE223" s="84">
        <v>44333</v>
      </c>
      <c r="AF223" s="83">
        <v>44333</v>
      </c>
      <c r="AG223" s="33">
        <f t="shared" si="73"/>
        <v>0</v>
      </c>
      <c r="AH223" s="127" t="s">
        <v>1122</v>
      </c>
      <c r="AI223" s="221"/>
      <c r="AJ223" s="213"/>
    </row>
    <row r="224" spans="1:36">
      <c r="A224" s="127" t="s">
        <v>1697</v>
      </c>
      <c r="B224" s="79">
        <v>493</v>
      </c>
      <c r="C224" s="79">
        <v>373</v>
      </c>
      <c r="D224" s="80">
        <v>-6</v>
      </c>
      <c r="E224" s="79">
        <v>340</v>
      </c>
      <c r="F224" s="57">
        <v>21.21</v>
      </c>
      <c r="G224" s="80">
        <v>4735</v>
      </c>
      <c r="H224" s="30" t="s">
        <v>1462</v>
      </c>
      <c r="I224" s="16" t="s">
        <v>617</v>
      </c>
      <c r="J224" s="8">
        <f>IFERROR(VLOOKUP($G224,今日總結!$A:$AJ,33,0),"")</f>
        <v>0</v>
      </c>
      <c r="K224" s="5">
        <f>IFERROR(VLOOKUP($G224,今日總結!$A:$AJ,34,0),"")</f>
        <v>1</v>
      </c>
      <c r="L224" s="156">
        <f>IFERROR(VLOOKUP($G224,今日總結!$A:$AJ,31,0),"")</f>
        <v>0</v>
      </c>
      <c r="M224" s="340">
        <f>IFERROR(VLOOKUP($G224,今日總結!$A:$AJ,32,0),"")</f>
        <v>0</v>
      </c>
      <c r="N224" s="240">
        <f t="shared" si="70"/>
        <v>0</v>
      </c>
      <c r="P224" s="365">
        <f>IFERROR(VLOOKUP($G224,融外自投!$A:$J,7,0),"無")</f>
        <v>724</v>
      </c>
      <c r="Q224" s="79">
        <f>IFERROR(VLOOKUP($G224,融外自投!$A:$J,9,0),"無")</f>
        <v>391</v>
      </c>
      <c r="R224" s="346">
        <f>IFERROR(VLOOKUP($G224,融外自投!$A:$J,8,0),"無")</f>
        <v>1282</v>
      </c>
      <c r="S224" s="81" t="str">
        <f>IFERROR(VLOOKUP($G224,融外自投!$A:$J,10,0),"無")</f>
        <v>無</v>
      </c>
      <c r="T224" s="327">
        <f>IFERROR(VLOOKUP($G224,'321買'!$A:$E,5,0),"'沒有資料'")</f>
        <v>894</v>
      </c>
      <c r="U224" s="66">
        <v>1.5</v>
      </c>
      <c r="W224" s="94">
        <v>19.010000000000002</v>
      </c>
      <c r="X224" s="36">
        <v>90.4</v>
      </c>
      <c r="Y224" s="66">
        <v>88.3</v>
      </c>
      <c r="Z224" s="15">
        <f t="shared" si="74"/>
        <v>2.1000000000000085</v>
      </c>
      <c r="AA224" s="63">
        <f t="shared" si="68"/>
        <v>2.378255945639874E-2</v>
      </c>
      <c r="AB224" s="101" t="s">
        <v>2957</v>
      </c>
      <c r="AD224" s="16" t="s">
        <v>617</v>
      </c>
      <c r="AE224" s="84">
        <v>44333</v>
      </c>
      <c r="AF224" s="83">
        <v>44333</v>
      </c>
      <c r="AG224" s="33">
        <f t="shared" si="73"/>
        <v>0</v>
      </c>
      <c r="AH224" s="41" t="s">
        <v>1122</v>
      </c>
      <c r="AI224" s="221"/>
      <c r="AJ224" s="213"/>
    </row>
    <row r="225" spans="1:36" s="248" customFormat="1">
      <c r="A225" s="127" t="s">
        <v>2984</v>
      </c>
      <c r="B225" s="79">
        <v>131</v>
      </c>
      <c r="C225" s="79">
        <v>146</v>
      </c>
      <c r="D225" s="79">
        <v>12</v>
      </c>
      <c r="E225" s="80">
        <v>-17</v>
      </c>
      <c r="F225" s="57">
        <v>33.57</v>
      </c>
      <c r="G225" s="79">
        <v>4736</v>
      </c>
      <c r="H225" s="50" t="s">
        <v>1404</v>
      </c>
      <c r="I225" s="166" t="s">
        <v>38</v>
      </c>
      <c r="J225" s="8">
        <f>IFERROR(VLOOKUP($G225,今日總結!$A:$AJ,33,0),"")</f>
        <v>0</v>
      </c>
      <c r="K225" s="5">
        <f>IFERROR(VLOOKUP($G225,今日總結!$A:$AJ,34,0),"")</f>
        <v>5</v>
      </c>
      <c r="L225" s="156">
        <f>IFERROR(VLOOKUP($G225,今日總結!$A:$AJ,31,0),"")</f>
        <v>0</v>
      </c>
      <c r="M225" s="340">
        <f>IFERROR(VLOOKUP($G225,今日總結!$A:$AJ,32,0),"")</f>
        <v>0</v>
      </c>
      <c r="N225" s="240">
        <f t="shared" si="70"/>
        <v>0</v>
      </c>
      <c r="O225" s="245"/>
      <c r="P225" s="365">
        <f>IFERROR(VLOOKUP($G225,融外自投!$A:$J,7,0),"無")</f>
        <v>201</v>
      </c>
      <c r="Q225" s="79">
        <f>IFERROR(VLOOKUP($G225,融外自投!$A:$J,9,0),"無")</f>
        <v>117</v>
      </c>
      <c r="R225" s="346">
        <f>IFERROR(VLOOKUP($G225,融外自投!$A:$J,8,0),"無")</f>
        <v>394</v>
      </c>
      <c r="S225" s="81">
        <f>IFERROR(VLOOKUP($G225,融外自投!$A:$J,10,0),"無")</f>
        <v>324</v>
      </c>
      <c r="T225" s="327">
        <f>IFERROR(VLOOKUP($G225,'321買'!$A:$E,5,0),"'沒有資料'")</f>
        <v>430</v>
      </c>
      <c r="U225" s="65">
        <v>11.5</v>
      </c>
      <c r="V225" s="311"/>
      <c r="W225" s="94">
        <f>U225/X225</f>
        <v>6.0846560846560843E-2</v>
      </c>
      <c r="X225" s="161">
        <v>189</v>
      </c>
      <c r="Y225" s="65">
        <v>186</v>
      </c>
      <c r="Z225" s="162">
        <f t="shared" si="74"/>
        <v>3</v>
      </c>
      <c r="AA225" s="158">
        <f t="shared" si="68"/>
        <v>1.6129032258064516E-2</v>
      </c>
      <c r="AB225" s="167" t="s">
        <v>3304</v>
      </c>
      <c r="AC225" s="382"/>
      <c r="AD225" s="166" t="s">
        <v>38</v>
      </c>
      <c r="AE225" s="84">
        <v>44294</v>
      </c>
      <c r="AF225" s="83">
        <v>44333</v>
      </c>
      <c r="AG225" s="33">
        <f t="shared" ref="AG225:AG231" si="75">AF225-AE225</f>
        <v>39</v>
      </c>
      <c r="AH225" s="127" t="s">
        <v>1122</v>
      </c>
      <c r="AI225" s="163"/>
    </row>
    <row r="226" spans="1:36" s="248" customFormat="1">
      <c r="A226" s="127" t="s">
        <v>2984</v>
      </c>
      <c r="B226" s="79">
        <v>131</v>
      </c>
      <c r="C226" s="79">
        <v>146</v>
      </c>
      <c r="D226" s="79">
        <v>12</v>
      </c>
      <c r="E226" s="80">
        <v>-17</v>
      </c>
      <c r="F226" s="57">
        <v>33.57</v>
      </c>
      <c r="G226" s="79">
        <v>4736</v>
      </c>
      <c r="H226" s="30" t="s">
        <v>1462</v>
      </c>
      <c r="I226" s="166" t="s">
        <v>38</v>
      </c>
      <c r="J226" s="8">
        <f>IFERROR(VLOOKUP($G226,今日總結!$A:$AJ,33,0),"")</f>
        <v>0</v>
      </c>
      <c r="K226" s="5">
        <f>IFERROR(VLOOKUP($G226,今日總結!$A:$AJ,34,0),"")</f>
        <v>5</v>
      </c>
      <c r="L226" s="156">
        <f>IFERROR(VLOOKUP($G226,今日總結!$A:$AJ,31,0),"")</f>
        <v>0</v>
      </c>
      <c r="M226" s="340">
        <f>IFERROR(VLOOKUP($G226,今日總結!$A:$AJ,32,0),"")</f>
        <v>0</v>
      </c>
      <c r="N226" s="240">
        <f t="shared" si="70"/>
        <v>0</v>
      </c>
      <c r="O226" s="245"/>
      <c r="P226" s="365">
        <f>IFERROR(VLOOKUP($G226,融外自投!$A:$J,7,0),"無")</f>
        <v>201</v>
      </c>
      <c r="Q226" s="79">
        <f>IFERROR(VLOOKUP($G226,融外自投!$A:$J,9,0),"無")</f>
        <v>117</v>
      </c>
      <c r="R226" s="346">
        <f>IFERROR(VLOOKUP($G226,融外自投!$A:$J,8,0),"無")</f>
        <v>394</v>
      </c>
      <c r="S226" s="81">
        <f>IFERROR(VLOOKUP($G226,融外自投!$A:$J,10,0),"無")</f>
        <v>324</v>
      </c>
      <c r="T226" s="327">
        <f>IFERROR(VLOOKUP($G226,'321買'!$A:$E,5,0),"'沒有資料'")</f>
        <v>430</v>
      </c>
      <c r="U226" s="65">
        <v>11.5</v>
      </c>
      <c r="V226" s="311"/>
      <c r="W226" s="94">
        <f>U226/X226</f>
        <v>6.0846560846560843E-2</v>
      </c>
      <c r="X226" s="161">
        <v>189</v>
      </c>
      <c r="Y226" s="65">
        <v>177.5</v>
      </c>
      <c r="Z226" s="162">
        <f t="shared" si="74"/>
        <v>11.5</v>
      </c>
      <c r="AA226" s="158">
        <f t="shared" si="68"/>
        <v>6.4788732394366194E-2</v>
      </c>
      <c r="AB226" s="167" t="s">
        <v>2994</v>
      </c>
      <c r="AC226" s="382"/>
      <c r="AD226" s="166" t="s">
        <v>38</v>
      </c>
      <c r="AE226" s="84">
        <v>44309</v>
      </c>
      <c r="AF226" s="83">
        <v>44333</v>
      </c>
      <c r="AG226" s="33">
        <f t="shared" si="75"/>
        <v>24</v>
      </c>
      <c r="AH226" s="41" t="s">
        <v>1122</v>
      </c>
      <c r="AI226" s="163"/>
    </row>
    <row r="227" spans="1:36" s="248" customFormat="1">
      <c r="A227" s="127" t="s">
        <v>2984</v>
      </c>
      <c r="B227" s="79">
        <v>131</v>
      </c>
      <c r="C227" s="79">
        <v>146</v>
      </c>
      <c r="D227" s="79">
        <v>12</v>
      </c>
      <c r="E227" s="80">
        <v>-17</v>
      </c>
      <c r="F227" s="57">
        <v>33.57</v>
      </c>
      <c r="G227" s="79">
        <v>4736</v>
      </c>
      <c r="H227" s="30" t="s">
        <v>1462</v>
      </c>
      <c r="I227" s="166" t="s">
        <v>38</v>
      </c>
      <c r="J227" s="8">
        <f>IFERROR(VLOOKUP($G227,今日總結!$A:$AJ,33,0),"")</f>
        <v>0</v>
      </c>
      <c r="K227" s="5">
        <f>IFERROR(VLOOKUP($G227,今日總結!$A:$AJ,34,0),"")</f>
        <v>5</v>
      </c>
      <c r="L227" s="156">
        <f>IFERROR(VLOOKUP($G227,今日總結!$A:$AJ,31,0),"")</f>
        <v>0</v>
      </c>
      <c r="M227" s="340">
        <f>IFERROR(VLOOKUP($G227,今日總結!$A:$AJ,32,0),"")</f>
        <v>0</v>
      </c>
      <c r="N227" s="240">
        <f t="shared" si="70"/>
        <v>0</v>
      </c>
      <c r="O227" s="245"/>
      <c r="P227" s="365">
        <f>IFERROR(VLOOKUP($G227,融外自投!$A:$J,7,0),"無")</f>
        <v>201</v>
      </c>
      <c r="Q227" s="79">
        <f>IFERROR(VLOOKUP($G227,融外自投!$A:$J,9,0),"無")</f>
        <v>117</v>
      </c>
      <c r="R227" s="346">
        <f>IFERROR(VLOOKUP($G227,融外自投!$A:$J,8,0),"無")</f>
        <v>394</v>
      </c>
      <c r="S227" s="81">
        <f>IFERROR(VLOOKUP($G227,融外自投!$A:$J,10,0),"無")</f>
        <v>324</v>
      </c>
      <c r="T227" s="327">
        <f>IFERROR(VLOOKUP($G227,'321買'!$A:$E,5,0),"'沒有資料'")</f>
        <v>430</v>
      </c>
      <c r="U227" s="65">
        <v>11.5</v>
      </c>
      <c r="V227" s="311"/>
      <c r="W227" s="94">
        <f>U227/X227</f>
        <v>6.0846560846560843E-2</v>
      </c>
      <c r="X227" s="161">
        <v>189</v>
      </c>
      <c r="Y227" s="65">
        <v>186</v>
      </c>
      <c r="Z227" s="162">
        <f t="shared" si="74"/>
        <v>3</v>
      </c>
      <c r="AA227" s="158">
        <f t="shared" si="68"/>
        <v>1.6129032258064516E-2</v>
      </c>
      <c r="AB227" s="167" t="s">
        <v>3304</v>
      </c>
      <c r="AC227" s="382"/>
      <c r="AD227" s="166" t="s">
        <v>38</v>
      </c>
      <c r="AE227" s="84">
        <v>44294</v>
      </c>
      <c r="AF227" s="83">
        <v>44333</v>
      </c>
      <c r="AG227" s="33">
        <f t="shared" si="75"/>
        <v>39</v>
      </c>
      <c r="AH227" s="41" t="s">
        <v>1122</v>
      </c>
      <c r="AI227" s="41" t="s">
        <v>1502</v>
      </c>
    </row>
    <row r="228" spans="1:36">
      <c r="A228" s="142" t="s">
        <v>1654</v>
      </c>
      <c r="B228" s="79">
        <v>480</v>
      </c>
      <c r="C228" s="79">
        <v>91</v>
      </c>
      <c r="D228" s="79">
        <v>329</v>
      </c>
      <c r="E228" s="80">
        <v>-4</v>
      </c>
      <c r="F228" s="6">
        <v>-1.38</v>
      </c>
      <c r="G228" s="80">
        <v>4142</v>
      </c>
      <c r="H228" s="50" t="s">
        <v>1404</v>
      </c>
      <c r="I228" s="22" t="s">
        <v>632</v>
      </c>
      <c r="J228" s="8" t="str">
        <f>IFERROR(VLOOKUP($G228,今日總結!$A:$AJ,33,0),"")</f>
        <v/>
      </c>
      <c r="K228" s="5" t="str">
        <f>IFERROR(VLOOKUP($G228,今日總結!$A:$AJ,34,0),"")</f>
        <v/>
      </c>
      <c r="L228" s="156" t="str">
        <f>IFERROR(VLOOKUP($G228,今日總結!$A:$AJ,31,0),"")</f>
        <v/>
      </c>
      <c r="M228" s="340" t="str">
        <f>IFERROR(VLOOKUP($G228,今日總結!$A:$AJ,32,0),"")</f>
        <v/>
      </c>
      <c r="N228" s="240" t="str">
        <f t="shared" si="70"/>
        <v/>
      </c>
      <c r="P228" s="365">
        <f>IFERROR(VLOOKUP($G228,融外自投!$A:$J,7,0),"無")</f>
        <v>398</v>
      </c>
      <c r="Q228" s="79">
        <f>IFERROR(VLOOKUP($G228,融外自投!$A:$J,9,0),"無")</f>
        <v>176</v>
      </c>
      <c r="R228" s="346">
        <f>IFERROR(VLOOKUP($G228,融外自投!$A:$J,8,0),"無")</f>
        <v>638</v>
      </c>
      <c r="S228" s="81">
        <f>IFERROR(VLOOKUP($G228,融外自投!$A:$J,10,0),"無")</f>
        <v>362</v>
      </c>
      <c r="T228" s="327">
        <f>IFERROR(VLOOKUP($G228,'321買'!$A:$E,5,0),"'沒有資料'")</f>
        <v>403</v>
      </c>
      <c r="U228" s="34">
        <v>0.5</v>
      </c>
      <c r="W228" s="94">
        <v>3.08</v>
      </c>
      <c r="X228" s="36">
        <v>61.8</v>
      </c>
      <c r="Y228" s="66">
        <v>59</v>
      </c>
      <c r="Z228" s="15">
        <f t="shared" si="74"/>
        <v>2.7999999999999972</v>
      </c>
      <c r="AA228" s="63">
        <f t="shared" si="68"/>
        <v>4.745762711864402E-2</v>
      </c>
      <c r="AB228" s="101" t="s">
        <v>2962</v>
      </c>
      <c r="AD228" s="22" t="s">
        <v>632</v>
      </c>
      <c r="AE228" s="84">
        <v>44330</v>
      </c>
      <c r="AF228" s="83">
        <v>44333</v>
      </c>
      <c r="AG228" s="33">
        <f t="shared" si="75"/>
        <v>3</v>
      </c>
      <c r="AH228" s="127" t="s">
        <v>1122</v>
      </c>
      <c r="AI228" s="212"/>
      <c r="AJ228" s="213"/>
    </row>
    <row r="229" spans="1:36">
      <c r="A229" s="142" t="s">
        <v>1654</v>
      </c>
      <c r="B229" s="79">
        <v>480</v>
      </c>
      <c r="C229" s="79">
        <v>91</v>
      </c>
      <c r="D229" s="79">
        <v>329</v>
      </c>
      <c r="E229" s="80">
        <v>-4</v>
      </c>
      <c r="F229" s="6">
        <v>-1.38</v>
      </c>
      <c r="G229" s="80">
        <v>4142</v>
      </c>
      <c r="H229" s="50" t="s">
        <v>1404</v>
      </c>
      <c r="I229" s="22" t="s">
        <v>632</v>
      </c>
      <c r="J229" s="8" t="str">
        <f>IFERROR(VLOOKUP($G229,今日總結!$A:$AJ,33,0),"")</f>
        <v/>
      </c>
      <c r="K229" s="5" t="str">
        <f>IFERROR(VLOOKUP($G229,今日總結!$A:$AJ,34,0),"")</f>
        <v/>
      </c>
      <c r="L229" s="156" t="str">
        <f>IFERROR(VLOOKUP($G229,今日總結!$A:$AJ,31,0),"")</f>
        <v/>
      </c>
      <c r="M229" s="340" t="str">
        <f>IFERROR(VLOOKUP($G229,今日總結!$A:$AJ,32,0),"")</f>
        <v/>
      </c>
      <c r="N229" s="240" t="str">
        <f t="shared" si="70"/>
        <v/>
      </c>
      <c r="P229" s="365">
        <f>IFERROR(VLOOKUP($G229,融外自投!$A:$J,7,0),"無")</f>
        <v>398</v>
      </c>
      <c r="Q229" s="79">
        <f>IFERROR(VLOOKUP($G229,融外自投!$A:$J,9,0),"無")</f>
        <v>176</v>
      </c>
      <c r="R229" s="346">
        <f>IFERROR(VLOOKUP($G229,融外自投!$A:$J,8,0),"無")</f>
        <v>638</v>
      </c>
      <c r="S229" s="81">
        <f>IFERROR(VLOOKUP($G229,融外自投!$A:$J,10,0),"無")</f>
        <v>362</v>
      </c>
      <c r="T229" s="327">
        <f>IFERROR(VLOOKUP($G229,'321買'!$A:$E,5,0),"'沒有資料'")</f>
        <v>403</v>
      </c>
      <c r="U229" s="34">
        <v>0.5</v>
      </c>
      <c r="W229" s="94">
        <v>3.08</v>
      </c>
      <c r="X229" s="36">
        <v>61.8</v>
      </c>
      <c r="Y229" s="66">
        <v>61.5</v>
      </c>
      <c r="Z229" s="15">
        <f t="shared" si="74"/>
        <v>0.29999999999999716</v>
      </c>
      <c r="AA229" s="63">
        <f t="shared" si="68"/>
        <v>4.8780487804877589E-3</v>
      </c>
      <c r="AB229" s="101" t="s">
        <v>3302</v>
      </c>
      <c r="AD229" s="22" t="s">
        <v>632</v>
      </c>
      <c r="AE229" s="84">
        <v>44329</v>
      </c>
      <c r="AF229" s="83">
        <v>44333</v>
      </c>
      <c r="AG229" s="33">
        <f t="shared" si="75"/>
        <v>4</v>
      </c>
      <c r="AH229" s="127" t="s">
        <v>1122</v>
      </c>
      <c r="AI229" s="212"/>
      <c r="AJ229" s="213"/>
    </row>
    <row r="230" spans="1:36">
      <c r="A230" s="142" t="s">
        <v>1654</v>
      </c>
      <c r="B230" s="79">
        <v>480</v>
      </c>
      <c r="C230" s="79">
        <v>91</v>
      </c>
      <c r="D230" s="79">
        <v>329</v>
      </c>
      <c r="E230" s="80">
        <v>-4</v>
      </c>
      <c r="F230" s="6">
        <v>-1.38</v>
      </c>
      <c r="G230" s="80">
        <v>4142</v>
      </c>
      <c r="H230" s="30" t="s">
        <v>1462</v>
      </c>
      <c r="I230" s="22" t="s">
        <v>632</v>
      </c>
      <c r="J230" s="8" t="str">
        <f>IFERROR(VLOOKUP($G230,今日總結!$A:$AJ,33,0),"")</f>
        <v/>
      </c>
      <c r="K230" s="5" t="str">
        <f>IFERROR(VLOOKUP($G230,今日總結!$A:$AJ,34,0),"")</f>
        <v/>
      </c>
      <c r="L230" s="156" t="str">
        <f>IFERROR(VLOOKUP($G230,今日總結!$A:$AJ,31,0),"")</f>
        <v/>
      </c>
      <c r="M230" s="340" t="str">
        <f>IFERROR(VLOOKUP($G230,今日總結!$A:$AJ,32,0),"")</f>
        <v/>
      </c>
      <c r="N230" s="240" t="str">
        <f t="shared" si="70"/>
        <v/>
      </c>
      <c r="P230" s="365">
        <f>IFERROR(VLOOKUP($G230,融外自投!$A:$J,7,0),"無")</f>
        <v>398</v>
      </c>
      <c r="Q230" s="79">
        <f>IFERROR(VLOOKUP($G230,融外自投!$A:$J,9,0),"無")</f>
        <v>176</v>
      </c>
      <c r="R230" s="346">
        <f>IFERROR(VLOOKUP($G230,融外自投!$A:$J,8,0),"無")</f>
        <v>638</v>
      </c>
      <c r="S230" s="81">
        <f>IFERROR(VLOOKUP($G230,融外自投!$A:$J,10,0),"無")</f>
        <v>362</v>
      </c>
      <c r="T230" s="327">
        <f>IFERROR(VLOOKUP($G230,'321買'!$A:$E,5,0),"'沒有資料'")</f>
        <v>403</v>
      </c>
      <c r="U230" s="34">
        <v>0.5</v>
      </c>
      <c r="W230" s="94">
        <v>3.08</v>
      </c>
      <c r="X230" s="36">
        <v>61.9</v>
      </c>
      <c r="Y230" s="66">
        <v>58.7</v>
      </c>
      <c r="Z230" s="15">
        <f t="shared" si="74"/>
        <v>3.1999999999999957</v>
      </c>
      <c r="AA230" s="63">
        <f t="shared" si="68"/>
        <v>5.4514480408858527E-2</v>
      </c>
      <c r="AB230" s="101" t="s">
        <v>2983</v>
      </c>
      <c r="AD230" s="22" t="s">
        <v>632</v>
      </c>
      <c r="AE230" s="84">
        <v>44330</v>
      </c>
      <c r="AF230" s="83">
        <v>44333</v>
      </c>
      <c r="AG230" s="33">
        <f t="shared" si="75"/>
        <v>3</v>
      </c>
      <c r="AH230" s="41" t="s">
        <v>1122</v>
      </c>
      <c r="AI230" s="212"/>
      <c r="AJ230" s="213"/>
    </row>
    <row r="231" spans="1:36">
      <c r="A231" s="142" t="s">
        <v>1654</v>
      </c>
      <c r="B231" s="79">
        <v>480</v>
      </c>
      <c r="C231" s="79">
        <v>91</v>
      </c>
      <c r="D231" s="79">
        <v>329</v>
      </c>
      <c r="E231" s="80">
        <v>-4</v>
      </c>
      <c r="F231" s="6">
        <v>-1.38</v>
      </c>
      <c r="G231" s="80">
        <v>4142</v>
      </c>
      <c r="H231" s="30" t="s">
        <v>1462</v>
      </c>
      <c r="I231" s="22" t="s">
        <v>632</v>
      </c>
      <c r="J231" s="8" t="str">
        <f>IFERROR(VLOOKUP($G231,今日總結!$A:$AJ,33,0),"")</f>
        <v/>
      </c>
      <c r="K231" s="5" t="str">
        <f>IFERROR(VLOOKUP($G231,今日總結!$A:$AJ,34,0),"")</f>
        <v/>
      </c>
      <c r="L231" s="156" t="str">
        <f>IFERROR(VLOOKUP($G231,今日總結!$A:$AJ,31,0),"")</f>
        <v/>
      </c>
      <c r="M231" s="340" t="str">
        <f>IFERROR(VLOOKUP($G231,今日總結!$A:$AJ,32,0),"")</f>
        <v/>
      </c>
      <c r="N231" s="240" t="str">
        <f t="shared" si="70"/>
        <v/>
      </c>
      <c r="P231" s="365">
        <f>IFERROR(VLOOKUP($G231,融外自投!$A:$J,7,0),"無")</f>
        <v>398</v>
      </c>
      <c r="Q231" s="79">
        <f>IFERROR(VLOOKUP($G231,融外自投!$A:$J,9,0),"無")</f>
        <v>176</v>
      </c>
      <c r="R231" s="346">
        <f>IFERROR(VLOOKUP($G231,融外自投!$A:$J,8,0),"無")</f>
        <v>638</v>
      </c>
      <c r="S231" s="81">
        <f>IFERROR(VLOOKUP($G231,融外自投!$A:$J,10,0),"無")</f>
        <v>362</v>
      </c>
      <c r="T231" s="327">
        <f>IFERROR(VLOOKUP($G231,'321買'!$A:$E,5,0),"'沒有資料'")</f>
        <v>403</v>
      </c>
      <c r="U231" s="34">
        <v>0.5</v>
      </c>
      <c r="W231" s="94">
        <v>3.08</v>
      </c>
      <c r="X231" s="36">
        <v>61.9</v>
      </c>
      <c r="Y231" s="66">
        <v>61.5</v>
      </c>
      <c r="Z231" s="15">
        <f t="shared" si="74"/>
        <v>0.39999999999999858</v>
      </c>
      <c r="AA231" s="63">
        <f t="shared" si="68"/>
        <v>6.5040650406503831E-3</v>
      </c>
      <c r="AB231" s="101" t="s">
        <v>3303</v>
      </c>
      <c r="AD231" s="22" t="s">
        <v>632</v>
      </c>
      <c r="AE231" s="84">
        <v>44329</v>
      </c>
      <c r="AF231" s="83">
        <v>44333</v>
      </c>
      <c r="AG231" s="33">
        <f t="shared" si="75"/>
        <v>4</v>
      </c>
      <c r="AH231" s="41" t="s">
        <v>1122</v>
      </c>
      <c r="AI231" s="212"/>
      <c r="AJ231" s="213"/>
    </row>
    <row r="232" spans="1:36">
      <c r="A232" s="127" t="s">
        <v>1864</v>
      </c>
      <c r="B232" s="79">
        <v>181</v>
      </c>
      <c r="C232" s="79">
        <v>217</v>
      </c>
      <c r="D232" s="79">
        <v>24</v>
      </c>
      <c r="E232" s="79">
        <v>77</v>
      </c>
      <c r="F232" s="57">
        <v>41.47</v>
      </c>
      <c r="G232" s="80">
        <v>4171</v>
      </c>
      <c r="H232" s="30" t="s">
        <v>1462</v>
      </c>
      <c r="I232" s="16" t="s">
        <v>1039</v>
      </c>
      <c r="J232" s="8">
        <f>IFERROR(VLOOKUP($G232,今日總結!$A:$AJ,33,0),"")</f>
        <v>2</v>
      </c>
      <c r="K232" s="5">
        <f>IFERROR(VLOOKUP($G232,今日總結!$A:$AJ,34,0),"")</f>
        <v>1</v>
      </c>
      <c r="L232" s="156">
        <f>IFERROR(VLOOKUP($G232,今日總結!$A:$AJ,31,0),"")</f>
        <v>0</v>
      </c>
      <c r="M232" s="340">
        <f>IFERROR(VLOOKUP($G232,今日總結!$A:$AJ,32,0),"")</f>
        <v>0</v>
      </c>
      <c r="N232" s="240">
        <f t="shared" si="70"/>
        <v>0</v>
      </c>
      <c r="P232" s="365">
        <f>IFERROR(VLOOKUP($G232,融外自投!$A:$J,7,0),"無")</f>
        <v>42</v>
      </c>
      <c r="Q232" s="79">
        <f>IFERROR(VLOOKUP($G232,融外自投!$A:$J,9,0),"無")</f>
        <v>138</v>
      </c>
      <c r="R232" s="346">
        <f>IFERROR(VLOOKUP($G232,融外自投!$A:$J,8,0),"無")</f>
        <v>251</v>
      </c>
      <c r="S232" s="81" t="str">
        <f>IFERROR(VLOOKUP($G232,融外自投!$A:$J,10,0),"無")</f>
        <v>無</v>
      </c>
      <c r="T232" s="327">
        <f>IFERROR(VLOOKUP($G232,'321買'!$A:$E,5,0),"'沒有資料'")</f>
        <v>634</v>
      </c>
      <c r="U232" s="66">
        <v>3.83</v>
      </c>
      <c r="W232" s="94">
        <f>U232/X232</f>
        <v>2.8161764705882355E-2</v>
      </c>
      <c r="X232" s="36">
        <v>136</v>
      </c>
      <c r="Y232" s="66">
        <v>118.5</v>
      </c>
      <c r="Z232" s="15">
        <f>X232-Y232</f>
        <v>17.5</v>
      </c>
      <c r="AA232" s="63">
        <f t="shared" si="68"/>
        <v>0.14767932489451477</v>
      </c>
      <c r="AB232" s="101" t="s">
        <v>3299</v>
      </c>
      <c r="AD232" s="16" t="s">
        <v>1039</v>
      </c>
      <c r="AE232" s="84">
        <v>44306</v>
      </c>
      <c r="AF232" s="83">
        <v>44330</v>
      </c>
      <c r="AG232" s="33">
        <f t="shared" ref="AG232:AG240" si="76">AF232-AE232</f>
        <v>24</v>
      </c>
      <c r="AH232" s="41" t="s">
        <v>1122</v>
      </c>
      <c r="AI232" s="211"/>
      <c r="AJ232" s="24"/>
    </row>
    <row r="233" spans="1:36">
      <c r="A233" s="127" t="s">
        <v>1889</v>
      </c>
      <c r="B233" s="92">
        <v>5707</v>
      </c>
      <c r="C233" s="92">
        <v>7419</v>
      </c>
      <c r="D233" s="79">
        <v>24</v>
      </c>
      <c r="E233" s="80">
        <v>-46</v>
      </c>
      <c r="F233" s="57">
        <v>62.23</v>
      </c>
      <c r="G233" s="80">
        <v>1325</v>
      </c>
      <c r="H233" s="50" t="s">
        <v>1404</v>
      </c>
      <c r="I233" s="22" t="s">
        <v>602</v>
      </c>
      <c r="J233" s="8" t="str">
        <f>IFERROR(VLOOKUP($G233,今日總結!$A:$AJ,33,0),"")</f>
        <v/>
      </c>
      <c r="K233" s="5" t="str">
        <f>IFERROR(VLOOKUP($G233,今日總結!$A:$AJ,34,0),"")</f>
        <v/>
      </c>
      <c r="L233" s="156" t="str">
        <f>IFERROR(VLOOKUP($G233,今日總結!$A:$AJ,31,0),"")</f>
        <v/>
      </c>
      <c r="M233" s="340" t="str">
        <f>IFERROR(VLOOKUP($G233,今日總結!$A:$AJ,32,0),"")</f>
        <v/>
      </c>
      <c r="N233" s="240" t="str">
        <f t="shared" si="70"/>
        <v/>
      </c>
      <c r="P233" s="365">
        <f>IFERROR(VLOOKUP($G233,融外自投!$A:$J,7,0),"無")</f>
        <v>301</v>
      </c>
      <c r="Q233" s="79">
        <f>IFERROR(VLOOKUP($G233,融外自投!$A:$J,9,0),"無")</f>
        <v>23</v>
      </c>
      <c r="R233" s="346">
        <f>IFERROR(VLOOKUP($G233,融外自投!$A:$J,8,0),"無")</f>
        <v>844</v>
      </c>
      <c r="S233" s="81" t="str">
        <f>IFERROR(VLOOKUP($G233,融外自投!$A:$J,10,0),"無")</f>
        <v>無</v>
      </c>
      <c r="T233" s="327">
        <f>IFERROR(VLOOKUP($G233,'321買'!$A:$E,5,0),"'沒有資料'")</f>
        <v>480</v>
      </c>
      <c r="U233" s="66">
        <v>12</v>
      </c>
      <c r="W233" s="94">
        <v>23.16</v>
      </c>
      <c r="X233" s="217">
        <v>112</v>
      </c>
      <c r="Y233" s="66">
        <v>101.5</v>
      </c>
      <c r="Z233" s="15">
        <f>X233-Y233</f>
        <v>10.5</v>
      </c>
      <c r="AA233" s="63">
        <f t="shared" ref="AA233:AA240" si="77">Z233/Y233</f>
        <v>0.10344827586206896</v>
      </c>
      <c r="AB233" s="101" t="s">
        <v>1948</v>
      </c>
      <c r="AD233" s="22" t="s">
        <v>602</v>
      </c>
      <c r="AE233" s="84">
        <v>44328</v>
      </c>
      <c r="AF233" s="83">
        <v>44330</v>
      </c>
      <c r="AG233" s="33">
        <f t="shared" si="76"/>
        <v>2</v>
      </c>
      <c r="AH233" s="127" t="s">
        <v>1122</v>
      </c>
      <c r="AI233" s="210"/>
      <c r="AJ233" s="182"/>
    </row>
    <row r="234" spans="1:36">
      <c r="A234" s="127" t="s">
        <v>1889</v>
      </c>
      <c r="B234" s="92">
        <v>5707</v>
      </c>
      <c r="C234" s="92">
        <v>7419</v>
      </c>
      <c r="D234" s="79">
        <v>24</v>
      </c>
      <c r="E234" s="80">
        <v>-46</v>
      </c>
      <c r="F234" s="57">
        <v>62.23</v>
      </c>
      <c r="G234" s="80">
        <v>1325</v>
      </c>
      <c r="H234" s="30" t="s">
        <v>1462</v>
      </c>
      <c r="I234" s="22" t="s">
        <v>602</v>
      </c>
      <c r="J234" s="8" t="str">
        <f>IFERROR(VLOOKUP($G234,今日總結!$A:$AJ,33,0),"")</f>
        <v/>
      </c>
      <c r="K234" s="5" t="str">
        <f>IFERROR(VLOOKUP($G234,今日總結!$A:$AJ,34,0),"")</f>
        <v/>
      </c>
      <c r="L234" s="156" t="str">
        <f>IFERROR(VLOOKUP($G234,今日總結!$A:$AJ,31,0),"")</f>
        <v/>
      </c>
      <c r="M234" s="340" t="str">
        <f>IFERROR(VLOOKUP($G234,今日總結!$A:$AJ,32,0),"")</f>
        <v/>
      </c>
      <c r="N234" s="240" t="str">
        <f t="shared" si="70"/>
        <v/>
      </c>
      <c r="P234" s="365">
        <f>IFERROR(VLOOKUP($G234,融外自投!$A:$J,7,0),"無")</f>
        <v>301</v>
      </c>
      <c r="Q234" s="79">
        <f>IFERROR(VLOOKUP($G234,融外自投!$A:$J,9,0),"無")</f>
        <v>23</v>
      </c>
      <c r="R234" s="346">
        <f>IFERROR(VLOOKUP($G234,融外自投!$A:$J,8,0),"無")</f>
        <v>844</v>
      </c>
      <c r="S234" s="81" t="str">
        <f>IFERROR(VLOOKUP($G234,融外自投!$A:$J,10,0),"無")</f>
        <v>無</v>
      </c>
      <c r="T234" s="327">
        <f>IFERROR(VLOOKUP($G234,'321買'!$A:$E,5,0),"'沒有資料'")</f>
        <v>480</v>
      </c>
      <c r="U234" s="66">
        <v>12</v>
      </c>
      <c r="W234" s="94">
        <v>23.16</v>
      </c>
      <c r="X234" s="217">
        <v>111.5</v>
      </c>
      <c r="Y234" s="66">
        <v>101</v>
      </c>
      <c r="Z234" s="15">
        <f>X234-Y234</f>
        <v>10.5</v>
      </c>
      <c r="AA234" s="63">
        <f t="shared" si="77"/>
        <v>0.10396039603960396</v>
      </c>
      <c r="AB234" s="101" t="s">
        <v>1704</v>
      </c>
      <c r="AD234" s="22" t="s">
        <v>602</v>
      </c>
      <c r="AE234" s="84">
        <v>44328</v>
      </c>
      <c r="AF234" s="83">
        <v>44330</v>
      </c>
      <c r="AG234" s="33">
        <f t="shared" si="76"/>
        <v>2</v>
      </c>
      <c r="AH234" s="41" t="s">
        <v>1122</v>
      </c>
      <c r="AI234" s="210"/>
      <c r="AJ234" s="182"/>
    </row>
    <row r="235" spans="1:36">
      <c r="A235" s="142" t="s">
        <v>1689</v>
      </c>
      <c r="B235" s="79">
        <v>369</v>
      </c>
      <c r="C235" s="79">
        <v>78</v>
      </c>
      <c r="D235" s="79">
        <v>63</v>
      </c>
      <c r="E235" s="79">
        <v>117</v>
      </c>
      <c r="F235" s="6">
        <v>-2.17</v>
      </c>
      <c r="G235" s="80">
        <v>1781</v>
      </c>
      <c r="H235" s="50" t="s">
        <v>1404</v>
      </c>
      <c r="I235" s="16" t="s">
        <v>607</v>
      </c>
      <c r="J235" s="8" t="str">
        <f>IFERROR(VLOOKUP($G235,今日總結!$A:$AJ,33,0),"")</f>
        <v/>
      </c>
      <c r="K235" s="5" t="str">
        <f>IFERROR(VLOOKUP($G235,今日總結!$A:$AJ,34,0),"")</f>
        <v/>
      </c>
      <c r="L235" s="156" t="str">
        <f>IFERROR(VLOOKUP($G235,今日總結!$A:$AJ,31,0),"")</f>
        <v/>
      </c>
      <c r="M235" s="340" t="str">
        <f>IFERROR(VLOOKUP($G235,今日總結!$A:$AJ,32,0),"")</f>
        <v/>
      </c>
      <c r="N235" s="240" t="str">
        <f t="shared" si="70"/>
        <v/>
      </c>
      <c r="P235" s="365" t="str">
        <f>IFERROR(VLOOKUP($G235,融外自投!$A:$J,7,0),"無")</f>
        <v>無</v>
      </c>
      <c r="Q235" s="79" t="str">
        <f>IFERROR(VLOOKUP($G235,融外自投!$A:$J,9,0),"無")</f>
        <v>無</v>
      </c>
      <c r="R235" s="346" t="str">
        <f>IFERROR(VLOOKUP($G235,融外自投!$A:$J,8,0),"無")</f>
        <v>無</v>
      </c>
      <c r="S235" s="81" t="str">
        <f>IFERROR(VLOOKUP($G235,融外自投!$A:$J,10,0),"無")</f>
        <v>無</v>
      </c>
      <c r="T235" s="327" t="str">
        <f>IFERROR(VLOOKUP($G235,'321買'!$A:$E,5,0),"'沒有資料'")</f>
        <v>'沒有資料'</v>
      </c>
      <c r="U235" s="34">
        <v>0</v>
      </c>
      <c r="W235" s="94">
        <f>U235/X235</f>
        <v>0</v>
      </c>
      <c r="X235" s="36">
        <v>24.05</v>
      </c>
      <c r="Y235" s="66">
        <v>22.85</v>
      </c>
      <c r="Z235" s="15">
        <f>X235-Y235</f>
        <v>1.1999999999999993</v>
      </c>
      <c r="AA235" s="63">
        <f t="shared" si="77"/>
        <v>5.2516411378555762E-2</v>
      </c>
      <c r="AB235" s="101" t="s">
        <v>2080</v>
      </c>
      <c r="AD235" s="16" t="s">
        <v>607</v>
      </c>
      <c r="AE235" s="84">
        <v>44298</v>
      </c>
      <c r="AF235" s="83">
        <v>44330</v>
      </c>
      <c r="AG235" s="33">
        <f t="shared" si="76"/>
        <v>32</v>
      </c>
      <c r="AH235" s="127" t="s">
        <v>1122</v>
      </c>
      <c r="AJ235" s="8"/>
    </row>
    <row r="236" spans="1:36">
      <c r="A236" s="142" t="s">
        <v>1689</v>
      </c>
      <c r="B236" s="79">
        <v>369</v>
      </c>
      <c r="C236" s="79">
        <v>78</v>
      </c>
      <c r="D236" s="79">
        <v>63</v>
      </c>
      <c r="E236" s="79">
        <v>117</v>
      </c>
      <c r="F236" s="6">
        <v>-2.17</v>
      </c>
      <c r="G236" s="80">
        <v>1781</v>
      </c>
      <c r="H236" s="30" t="s">
        <v>1462</v>
      </c>
      <c r="I236" s="16" t="s">
        <v>607</v>
      </c>
      <c r="J236" s="8" t="str">
        <f>IFERROR(VLOOKUP($G236,今日總結!$A:$AJ,33,0),"")</f>
        <v/>
      </c>
      <c r="K236" s="5" t="str">
        <f>IFERROR(VLOOKUP($G236,今日總結!$A:$AJ,34,0),"")</f>
        <v/>
      </c>
      <c r="L236" s="156" t="str">
        <f>IFERROR(VLOOKUP($G236,今日總結!$A:$AJ,31,0),"")</f>
        <v/>
      </c>
      <c r="M236" s="340" t="str">
        <f>IFERROR(VLOOKUP($G236,今日總結!$A:$AJ,32,0),"")</f>
        <v/>
      </c>
      <c r="N236" s="240" t="str">
        <f t="shared" si="70"/>
        <v/>
      </c>
      <c r="P236" s="365" t="str">
        <f>IFERROR(VLOOKUP($G236,融外自投!$A:$J,7,0),"無")</f>
        <v>無</v>
      </c>
      <c r="Q236" s="79" t="str">
        <f>IFERROR(VLOOKUP($G236,融外自投!$A:$J,9,0),"無")</f>
        <v>無</v>
      </c>
      <c r="R236" s="346" t="str">
        <f>IFERROR(VLOOKUP($G236,融外自投!$A:$J,8,0),"無")</f>
        <v>無</v>
      </c>
      <c r="S236" s="81" t="str">
        <f>IFERROR(VLOOKUP($G236,融外自投!$A:$J,10,0),"無")</f>
        <v>無</v>
      </c>
      <c r="T236" s="327" t="str">
        <f>IFERROR(VLOOKUP($G236,'321買'!$A:$E,5,0),"'沒有資料'")</f>
        <v>'沒有資料'</v>
      </c>
      <c r="U236" s="34">
        <v>0</v>
      </c>
      <c r="W236" s="94">
        <f>U236/X236</f>
        <v>0</v>
      </c>
      <c r="X236" s="36">
        <v>26</v>
      </c>
      <c r="Y236" s="66">
        <v>22.65</v>
      </c>
      <c r="Z236" s="15">
        <f>X236-Y236</f>
        <v>3.3500000000000014</v>
      </c>
      <c r="AA236" s="63">
        <f t="shared" si="77"/>
        <v>0.14790286975717445</v>
      </c>
      <c r="AB236" s="101" t="s">
        <v>3298</v>
      </c>
      <c r="AD236" s="16" t="s">
        <v>607</v>
      </c>
      <c r="AE236" s="84">
        <v>44298</v>
      </c>
      <c r="AF236" s="83">
        <v>44330</v>
      </c>
      <c r="AG236" s="33">
        <f t="shared" si="76"/>
        <v>32</v>
      </c>
      <c r="AH236" s="41" t="s">
        <v>1122</v>
      </c>
      <c r="AJ236" s="8"/>
    </row>
    <row r="237" spans="1:36">
      <c r="A237" s="127" t="s">
        <v>2038</v>
      </c>
      <c r="B237" s="92">
        <v>2459</v>
      </c>
      <c r="C237" s="92">
        <v>3043</v>
      </c>
      <c r="D237" s="80">
        <v>-2</v>
      </c>
      <c r="E237" s="80">
        <v>-49</v>
      </c>
      <c r="F237" s="57">
        <v>36.35</v>
      </c>
      <c r="G237" s="80">
        <v>3373</v>
      </c>
      <c r="H237" s="50" t="s">
        <v>1404</v>
      </c>
      <c r="I237" s="16" t="s">
        <v>476</v>
      </c>
      <c r="J237" s="8" t="str">
        <f>IFERROR(VLOOKUP($G237,今日總結!$A:$AJ,33,0),"")</f>
        <v/>
      </c>
      <c r="K237" s="5" t="str">
        <f>IFERROR(VLOOKUP($G237,今日總結!$A:$AJ,34,0),"")</f>
        <v/>
      </c>
      <c r="L237" s="156" t="str">
        <f>IFERROR(VLOOKUP($G237,今日總結!$A:$AJ,31,0),"")</f>
        <v/>
      </c>
      <c r="M237" s="340" t="str">
        <f>IFERROR(VLOOKUP($G237,今日總結!$A:$AJ,32,0),"")</f>
        <v/>
      </c>
      <c r="N237" s="240" t="str">
        <f t="shared" si="70"/>
        <v/>
      </c>
      <c r="P237" s="365">
        <f>IFERROR(VLOOKUP($G237,融外自投!$A:$J,7,0),"無")</f>
        <v>413</v>
      </c>
      <c r="Q237" s="79">
        <f>IFERROR(VLOOKUP($G237,融外自投!$A:$J,9,0),"無")</f>
        <v>18</v>
      </c>
      <c r="R237" s="346">
        <f>IFERROR(VLOOKUP($G237,融外自投!$A:$J,8,0),"無")</f>
        <v>1081</v>
      </c>
      <c r="S237" s="81" t="str">
        <f>IFERROR(VLOOKUP($G237,融外自投!$A:$J,10,0),"無")</f>
        <v>無</v>
      </c>
      <c r="T237" s="327">
        <f>IFERROR(VLOOKUP($G237,'321買'!$A:$E,5,0),"'沒有資料'")</f>
        <v>336</v>
      </c>
      <c r="U237" s="45">
        <v>10</v>
      </c>
      <c r="W237" s="94">
        <v>17.010000000000002</v>
      </c>
      <c r="X237" s="36">
        <v>84.4</v>
      </c>
      <c r="Y237" s="66">
        <v>80.099999999999994</v>
      </c>
      <c r="Z237" s="15">
        <f t="shared" ref="Z237:Z252" si="78">X237-Y237</f>
        <v>4.3000000000000114</v>
      </c>
      <c r="AA237" s="63">
        <f t="shared" si="77"/>
        <v>5.3682896379525738E-2</v>
      </c>
      <c r="AB237" s="101" t="s">
        <v>2964</v>
      </c>
      <c r="AD237" s="16" t="s">
        <v>476</v>
      </c>
      <c r="AE237" s="84">
        <v>44314</v>
      </c>
      <c r="AF237" s="83">
        <v>44329</v>
      </c>
      <c r="AG237" s="33">
        <f t="shared" si="76"/>
        <v>15</v>
      </c>
      <c r="AH237" s="127" t="s">
        <v>1122</v>
      </c>
      <c r="AI237" s="212"/>
      <c r="AJ237" s="213"/>
    </row>
    <row r="238" spans="1:36">
      <c r="A238" s="127" t="s">
        <v>2038</v>
      </c>
      <c r="B238" s="92">
        <v>2459</v>
      </c>
      <c r="C238" s="92">
        <v>3043</v>
      </c>
      <c r="D238" s="80">
        <v>-2</v>
      </c>
      <c r="E238" s="80">
        <v>-49</v>
      </c>
      <c r="F238" s="57">
        <v>36.35</v>
      </c>
      <c r="G238" s="80">
        <v>3373</v>
      </c>
      <c r="H238" s="50" t="s">
        <v>1404</v>
      </c>
      <c r="I238" s="16" t="s">
        <v>476</v>
      </c>
      <c r="J238" s="8" t="str">
        <f>IFERROR(VLOOKUP($G238,今日總結!$A:$AJ,33,0),"")</f>
        <v/>
      </c>
      <c r="K238" s="5" t="str">
        <f>IFERROR(VLOOKUP($G238,今日總結!$A:$AJ,34,0),"")</f>
        <v/>
      </c>
      <c r="L238" s="156" t="str">
        <f>IFERROR(VLOOKUP($G238,今日總結!$A:$AJ,31,0),"")</f>
        <v/>
      </c>
      <c r="M238" s="340" t="str">
        <f>IFERROR(VLOOKUP($G238,今日總結!$A:$AJ,32,0),"")</f>
        <v/>
      </c>
      <c r="N238" s="240" t="str">
        <f t="shared" si="70"/>
        <v/>
      </c>
      <c r="P238" s="365">
        <f>IFERROR(VLOOKUP($G238,融外自投!$A:$J,7,0),"無")</f>
        <v>413</v>
      </c>
      <c r="Q238" s="79">
        <f>IFERROR(VLOOKUP($G238,融外自投!$A:$J,9,0),"無")</f>
        <v>18</v>
      </c>
      <c r="R238" s="346">
        <f>IFERROR(VLOOKUP($G238,融外自投!$A:$J,8,0),"無")</f>
        <v>1081</v>
      </c>
      <c r="S238" s="81" t="str">
        <f>IFERROR(VLOOKUP($G238,融外自投!$A:$J,10,0),"無")</f>
        <v>無</v>
      </c>
      <c r="T238" s="327">
        <f>IFERROR(VLOOKUP($G238,'321買'!$A:$E,5,0),"'沒有資料'")</f>
        <v>336</v>
      </c>
      <c r="U238" s="45">
        <v>10</v>
      </c>
      <c r="W238" s="94">
        <v>17.010000000000002</v>
      </c>
      <c r="X238" s="36">
        <v>84.3</v>
      </c>
      <c r="Y238" s="66">
        <v>80.7</v>
      </c>
      <c r="Z238" s="15">
        <f t="shared" si="78"/>
        <v>3.5999999999999943</v>
      </c>
      <c r="AA238" s="63">
        <f t="shared" si="77"/>
        <v>4.4609665427509222E-2</v>
      </c>
      <c r="AB238" s="101" t="s">
        <v>2980</v>
      </c>
      <c r="AD238" s="16" t="s">
        <v>476</v>
      </c>
      <c r="AE238" s="84">
        <v>44313</v>
      </c>
      <c r="AF238" s="83">
        <v>44329</v>
      </c>
      <c r="AG238" s="33">
        <f t="shared" si="76"/>
        <v>16</v>
      </c>
      <c r="AH238" s="127" t="s">
        <v>1122</v>
      </c>
      <c r="AI238" s="212"/>
      <c r="AJ238" s="213"/>
    </row>
    <row r="239" spans="1:36">
      <c r="A239" s="127" t="s">
        <v>2038</v>
      </c>
      <c r="B239" s="92">
        <v>2459</v>
      </c>
      <c r="C239" s="92">
        <v>3043</v>
      </c>
      <c r="D239" s="80">
        <v>-2</v>
      </c>
      <c r="E239" s="80">
        <v>-49</v>
      </c>
      <c r="F239" s="57">
        <v>36.35</v>
      </c>
      <c r="G239" s="80">
        <v>3373</v>
      </c>
      <c r="H239" s="30" t="s">
        <v>1462</v>
      </c>
      <c r="I239" s="16" t="s">
        <v>476</v>
      </c>
      <c r="J239" s="8" t="str">
        <f>IFERROR(VLOOKUP($G239,今日總結!$A:$AJ,33,0),"")</f>
        <v/>
      </c>
      <c r="K239" s="5" t="str">
        <f>IFERROR(VLOOKUP($G239,今日總結!$A:$AJ,34,0),"")</f>
        <v/>
      </c>
      <c r="L239" s="156" t="str">
        <f>IFERROR(VLOOKUP($G239,今日總結!$A:$AJ,31,0),"")</f>
        <v/>
      </c>
      <c r="M239" s="340" t="str">
        <f>IFERROR(VLOOKUP($G239,今日總結!$A:$AJ,32,0),"")</f>
        <v/>
      </c>
      <c r="N239" s="240" t="str">
        <f t="shared" si="70"/>
        <v/>
      </c>
      <c r="P239" s="365">
        <f>IFERROR(VLOOKUP($G239,融外自投!$A:$J,7,0),"無")</f>
        <v>413</v>
      </c>
      <c r="Q239" s="79">
        <f>IFERROR(VLOOKUP($G239,融外自投!$A:$J,9,0),"無")</f>
        <v>18</v>
      </c>
      <c r="R239" s="346">
        <f>IFERROR(VLOOKUP($G239,融外自投!$A:$J,8,0),"無")</f>
        <v>1081</v>
      </c>
      <c r="S239" s="81" t="str">
        <f>IFERROR(VLOOKUP($G239,融外自投!$A:$J,10,0),"無")</f>
        <v>無</v>
      </c>
      <c r="T239" s="327">
        <f>IFERROR(VLOOKUP($G239,'321買'!$A:$E,5,0),"'沒有資料'")</f>
        <v>336</v>
      </c>
      <c r="U239" s="45">
        <v>10</v>
      </c>
      <c r="W239" s="94">
        <v>17.010000000000002</v>
      </c>
      <c r="X239" s="36">
        <v>84.3</v>
      </c>
      <c r="Y239" s="66">
        <v>81</v>
      </c>
      <c r="Z239" s="15">
        <f t="shared" si="78"/>
        <v>3.2999999999999972</v>
      </c>
      <c r="AA239" s="63">
        <f t="shared" si="77"/>
        <v>4.0740740740740702E-2</v>
      </c>
      <c r="AB239" s="101" t="s">
        <v>3295</v>
      </c>
      <c r="AD239" s="16" t="s">
        <v>476</v>
      </c>
      <c r="AE239" s="84">
        <v>44314</v>
      </c>
      <c r="AF239" s="83">
        <v>44329</v>
      </c>
      <c r="AG239" s="33">
        <f t="shared" si="76"/>
        <v>15</v>
      </c>
      <c r="AH239" s="41" t="s">
        <v>1122</v>
      </c>
      <c r="AI239" s="212"/>
      <c r="AJ239" s="213"/>
    </row>
    <row r="240" spans="1:36">
      <c r="A240" s="127" t="s">
        <v>2038</v>
      </c>
      <c r="B240" s="92">
        <v>2459</v>
      </c>
      <c r="C240" s="92">
        <v>3043</v>
      </c>
      <c r="D240" s="80">
        <v>-2</v>
      </c>
      <c r="E240" s="80">
        <v>-49</v>
      </c>
      <c r="F240" s="57">
        <v>36.35</v>
      </c>
      <c r="G240" s="80">
        <v>3373</v>
      </c>
      <c r="H240" s="30" t="s">
        <v>1462</v>
      </c>
      <c r="I240" s="16" t="s">
        <v>476</v>
      </c>
      <c r="J240" s="8" t="str">
        <f>IFERROR(VLOOKUP($G240,今日總結!$A:$AJ,33,0),"")</f>
        <v/>
      </c>
      <c r="K240" s="5" t="str">
        <f>IFERROR(VLOOKUP($G240,今日總結!$A:$AJ,34,0),"")</f>
        <v/>
      </c>
      <c r="L240" s="156" t="str">
        <f>IFERROR(VLOOKUP($G240,今日總結!$A:$AJ,31,0),"")</f>
        <v/>
      </c>
      <c r="M240" s="340" t="str">
        <f>IFERROR(VLOOKUP($G240,今日總結!$A:$AJ,32,0),"")</f>
        <v/>
      </c>
      <c r="N240" s="240" t="str">
        <f t="shared" si="70"/>
        <v/>
      </c>
      <c r="O240" s="7"/>
      <c r="P240" s="365">
        <f>IFERROR(VLOOKUP($G240,融外自投!$A:$J,7,0),"無")</f>
        <v>413</v>
      </c>
      <c r="Q240" s="79">
        <f>IFERROR(VLOOKUP($G240,融外自投!$A:$J,9,0),"無")</f>
        <v>18</v>
      </c>
      <c r="R240" s="346">
        <f>IFERROR(VLOOKUP($G240,融外自投!$A:$J,8,0),"無")</f>
        <v>1081</v>
      </c>
      <c r="S240" s="81" t="str">
        <f>IFERROR(VLOOKUP($G240,融外自投!$A:$J,10,0),"無")</f>
        <v>無</v>
      </c>
      <c r="T240" s="327">
        <f>IFERROR(VLOOKUP($G240,'321買'!$A:$E,5,0),"'沒有資料'")</f>
        <v>336</v>
      </c>
      <c r="U240" s="45">
        <v>10</v>
      </c>
      <c r="W240" s="94">
        <v>17.010000000000002</v>
      </c>
      <c r="X240" s="36">
        <v>84.3</v>
      </c>
      <c r="Y240" s="66">
        <v>80.099999999999994</v>
      </c>
      <c r="Z240" s="15">
        <f t="shared" si="78"/>
        <v>4.2000000000000028</v>
      </c>
      <c r="AA240" s="63">
        <f t="shared" si="77"/>
        <v>5.2434456928838989E-2</v>
      </c>
      <c r="AB240" s="101" t="s">
        <v>3294</v>
      </c>
      <c r="AD240" s="16" t="s">
        <v>476</v>
      </c>
      <c r="AE240" s="84">
        <v>44313</v>
      </c>
      <c r="AF240" s="83">
        <v>44329</v>
      </c>
      <c r="AG240" s="33">
        <f t="shared" si="76"/>
        <v>16</v>
      </c>
      <c r="AH240" s="41" t="s">
        <v>1122</v>
      </c>
      <c r="AI240" s="41" t="s">
        <v>1502</v>
      </c>
      <c r="AJ240" s="213"/>
    </row>
    <row r="241" spans="1:37">
      <c r="A241" s="127" t="s">
        <v>1697</v>
      </c>
      <c r="B241" s="79">
        <v>297</v>
      </c>
      <c r="C241" s="79">
        <v>275</v>
      </c>
      <c r="D241" s="79">
        <v>49</v>
      </c>
      <c r="E241" s="79">
        <v>205</v>
      </c>
      <c r="F241" s="57">
        <v>25.55</v>
      </c>
      <c r="G241" s="80">
        <v>4735</v>
      </c>
      <c r="H241" s="50" t="s">
        <v>1404</v>
      </c>
      <c r="I241" s="16" t="s">
        <v>617</v>
      </c>
      <c r="J241" s="8">
        <f>IFERROR(VLOOKUP($G241,今日總結!$A:$AJ,33,0),"")</f>
        <v>0</v>
      </c>
      <c r="K241" s="5">
        <f>IFERROR(VLOOKUP($G241,今日總結!$A:$AJ,34,0),"")</f>
        <v>1</v>
      </c>
      <c r="L241" s="156">
        <f>IFERROR(VLOOKUP($G241,今日總結!$A:$AJ,31,0),"")</f>
        <v>0</v>
      </c>
      <c r="M241" s="340">
        <f>IFERROR(VLOOKUP($G241,今日總結!$A:$AJ,32,0),"")</f>
        <v>0</v>
      </c>
      <c r="N241" s="240">
        <f t="shared" si="70"/>
        <v>0</v>
      </c>
      <c r="P241" s="365">
        <f>IFERROR(VLOOKUP($G241,融外自投!$A:$J,7,0),"無")</f>
        <v>724</v>
      </c>
      <c r="Q241" s="79">
        <f>IFERROR(VLOOKUP($G241,融外自投!$A:$J,9,0),"無")</f>
        <v>391</v>
      </c>
      <c r="R241" s="346">
        <f>IFERROR(VLOOKUP($G241,融外自投!$A:$J,8,0),"無")</f>
        <v>1282</v>
      </c>
      <c r="S241" s="81" t="str">
        <f>IFERROR(VLOOKUP($G241,融外自投!$A:$J,10,0),"無")</f>
        <v>無</v>
      </c>
      <c r="T241" s="327">
        <f>IFERROR(VLOOKUP($G241,'321買'!$A:$E,5,0),"'沒有資料'")</f>
        <v>894</v>
      </c>
      <c r="U241" s="66">
        <v>3</v>
      </c>
      <c r="W241" s="94">
        <v>15.17</v>
      </c>
      <c r="X241" s="36">
        <v>95.4</v>
      </c>
      <c r="Y241" s="66">
        <v>90</v>
      </c>
      <c r="Z241" s="15">
        <f t="shared" si="78"/>
        <v>5.4000000000000057</v>
      </c>
      <c r="AA241" s="63">
        <f t="shared" ref="AA241:AA254" si="79">Z241/Y241</f>
        <v>6.000000000000006E-2</v>
      </c>
      <c r="AB241" s="101" t="s">
        <v>3293</v>
      </c>
      <c r="AD241" s="16" t="s">
        <v>617</v>
      </c>
      <c r="AE241" s="84">
        <v>44315</v>
      </c>
      <c r="AF241" s="83">
        <v>44329</v>
      </c>
      <c r="AG241" s="33">
        <f>AF241-AE241</f>
        <v>14</v>
      </c>
      <c r="AH241" s="127" t="s">
        <v>1122</v>
      </c>
      <c r="AI241" s="212"/>
      <c r="AJ241" s="213"/>
    </row>
    <row r="242" spans="1:37">
      <c r="A242" s="127" t="s">
        <v>1697</v>
      </c>
      <c r="B242" s="79">
        <v>297</v>
      </c>
      <c r="C242" s="79">
        <v>275</v>
      </c>
      <c r="D242" s="79">
        <v>49</v>
      </c>
      <c r="E242" s="79">
        <v>205</v>
      </c>
      <c r="F242" s="57">
        <v>25.55</v>
      </c>
      <c r="G242" s="80">
        <v>4735</v>
      </c>
      <c r="H242" s="30" t="s">
        <v>1462</v>
      </c>
      <c r="I242" s="16" t="s">
        <v>617</v>
      </c>
      <c r="J242" s="8">
        <f>IFERROR(VLOOKUP($G242,今日總結!$A:$AJ,33,0),"")</f>
        <v>0</v>
      </c>
      <c r="K242" s="5">
        <f>IFERROR(VLOOKUP($G242,今日總結!$A:$AJ,34,0),"")</f>
        <v>1</v>
      </c>
      <c r="L242" s="156">
        <f>IFERROR(VLOOKUP($G242,今日總結!$A:$AJ,31,0),"")</f>
        <v>0</v>
      </c>
      <c r="M242" s="340">
        <f>IFERROR(VLOOKUP($G242,今日總結!$A:$AJ,32,0),"")</f>
        <v>0</v>
      </c>
      <c r="N242" s="240">
        <f t="shared" si="70"/>
        <v>0</v>
      </c>
      <c r="P242" s="365">
        <f>IFERROR(VLOOKUP($G242,融外自投!$A:$J,7,0),"無")</f>
        <v>724</v>
      </c>
      <c r="Q242" s="79">
        <f>IFERROR(VLOOKUP($G242,融外自投!$A:$J,9,0),"無")</f>
        <v>391</v>
      </c>
      <c r="R242" s="346">
        <f>IFERROR(VLOOKUP($G242,融外自投!$A:$J,8,0),"無")</f>
        <v>1282</v>
      </c>
      <c r="S242" s="81" t="str">
        <f>IFERROR(VLOOKUP($G242,融外自投!$A:$J,10,0),"無")</f>
        <v>無</v>
      </c>
      <c r="T242" s="327">
        <f>IFERROR(VLOOKUP($G242,'321買'!$A:$E,5,0),"'沒有資料'")</f>
        <v>894</v>
      </c>
      <c r="U242" s="66">
        <v>3</v>
      </c>
      <c r="W242" s="94">
        <v>15.17</v>
      </c>
      <c r="X242" s="36">
        <v>95.1</v>
      </c>
      <c r="Y242" s="66">
        <v>89.8</v>
      </c>
      <c r="Z242" s="15">
        <f t="shared" si="78"/>
        <v>5.2999999999999972</v>
      </c>
      <c r="AA242" s="63">
        <f t="shared" si="79"/>
        <v>5.9020044543429816E-2</v>
      </c>
      <c r="AB242" s="101" t="s">
        <v>3292</v>
      </c>
      <c r="AD242" s="16" t="s">
        <v>617</v>
      </c>
      <c r="AE242" s="84">
        <v>44315</v>
      </c>
      <c r="AF242" s="83">
        <v>44329</v>
      </c>
      <c r="AG242" s="33">
        <f>AF242-AE242</f>
        <v>14</v>
      </c>
      <c r="AH242" s="41" t="s">
        <v>1122</v>
      </c>
      <c r="AI242" s="212"/>
      <c r="AJ242" s="213"/>
    </row>
    <row r="243" spans="1:37">
      <c r="A243" s="127" t="s">
        <v>1697</v>
      </c>
      <c r="B243" s="79">
        <v>297</v>
      </c>
      <c r="C243" s="79">
        <v>275</v>
      </c>
      <c r="D243" s="79">
        <v>49</v>
      </c>
      <c r="E243" s="79">
        <v>205</v>
      </c>
      <c r="F243" s="57">
        <v>25.55</v>
      </c>
      <c r="G243" s="80">
        <v>4735</v>
      </c>
      <c r="H243" s="30" t="s">
        <v>1462</v>
      </c>
      <c r="I243" s="16" t="s">
        <v>617</v>
      </c>
      <c r="J243" s="8">
        <f>IFERROR(VLOOKUP($G243,今日總結!$A:$AJ,33,0),"")</f>
        <v>0</v>
      </c>
      <c r="K243" s="5">
        <f>IFERROR(VLOOKUP($G243,今日總結!$A:$AJ,34,0),"")</f>
        <v>1</v>
      </c>
      <c r="L243" s="156">
        <f>IFERROR(VLOOKUP($G243,今日總結!$A:$AJ,31,0),"")</f>
        <v>0</v>
      </c>
      <c r="M243" s="340">
        <f>IFERROR(VLOOKUP($G243,今日總結!$A:$AJ,32,0),"")</f>
        <v>0</v>
      </c>
      <c r="N243" s="240">
        <f t="shared" si="70"/>
        <v>0</v>
      </c>
      <c r="P243" s="365">
        <f>IFERROR(VLOOKUP($G243,融外自投!$A:$J,7,0),"無")</f>
        <v>724</v>
      </c>
      <c r="Q243" s="79">
        <f>IFERROR(VLOOKUP($G243,融外自投!$A:$J,9,0),"無")</f>
        <v>391</v>
      </c>
      <c r="R243" s="346">
        <f>IFERROR(VLOOKUP($G243,融外自投!$A:$J,8,0),"無")</f>
        <v>1282</v>
      </c>
      <c r="S243" s="81" t="str">
        <f>IFERROR(VLOOKUP($G243,融外自投!$A:$J,10,0),"無")</f>
        <v>無</v>
      </c>
      <c r="T243" s="327">
        <f>IFERROR(VLOOKUP($G243,'321買'!$A:$E,5,0),"'沒有資料'")</f>
        <v>894</v>
      </c>
      <c r="U243" s="66">
        <v>3</v>
      </c>
      <c r="W243" s="94">
        <v>15.17</v>
      </c>
      <c r="X243" s="36">
        <v>95.1</v>
      </c>
      <c r="Y243" s="66">
        <v>90.4</v>
      </c>
      <c r="Z243" s="15">
        <f t="shared" si="78"/>
        <v>4.6999999999999886</v>
      </c>
      <c r="AA243" s="63">
        <f t="shared" si="79"/>
        <v>5.1991150442477749E-2</v>
      </c>
      <c r="AB243" s="101" t="s">
        <v>3291</v>
      </c>
      <c r="AD243" s="16" t="s">
        <v>617</v>
      </c>
      <c r="AE243" s="84">
        <v>44315</v>
      </c>
      <c r="AF243" s="83">
        <v>44329</v>
      </c>
      <c r="AG243" s="33">
        <f>AF243-AE243</f>
        <v>14</v>
      </c>
      <c r="AH243" s="41" t="s">
        <v>1122</v>
      </c>
      <c r="AI243" s="41" t="s">
        <v>1502</v>
      </c>
      <c r="AJ243" s="213"/>
    </row>
    <row r="244" spans="1:37">
      <c r="A244" s="142" t="s">
        <v>1657</v>
      </c>
      <c r="B244" s="80">
        <v>-4</v>
      </c>
      <c r="C244" s="79">
        <v>34</v>
      </c>
      <c r="D244" s="79">
        <v>23</v>
      </c>
      <c r="E244" s="79">
        <v>4</v>
      </c>
      <c r="F244" s="6">
        <v>6.35</v>
      </c>
      <c r="G244" s="80">
        <v>4102</v>
      </c>
      <c r="H244" s="50" t="s">
        <v>1404</v>
      </c>
      <c r="I244" s="16" t="s">
        <v>609</v>
      </c>
      <c r="J244" s="8" t="str">
        <f>IFERROR(VLOOKUP($G244,今日總結!$A:$AJ,33,0),"")</f>
        <v/>
      </c>
      <c r="K244" s="5" t="str">
        <f>IFERROR(VLOOKUP($G244,今日總結!$A:$AJ,34,0),"")</f>
        <v/>
      </c>
      <c r="L244" s="156" t="str">
        <f>IFERROR(VLOOKUP($G244,今日總結!$A:$AJ,31,0),"")</f>
        <v/>
      </c>
      <c r="M244" s="340" t="str">
        <f>IFERROR(VLOOKUP($G244,今日總結!$A:$AJ,32,0),"")</f>
        <v/>
      </c>
      <c r="N244" s="240" t="str">
        <f t="shared" si="70"/>
        <v/>
      </c>
      <c r="P244" s="365">
        <f>IFERROR(VLOOKUP($G244,融外自投!$A:$J,7,0),"無")</f>
        <v>63</v>
      </c>
      <c r="Q244" s="79">
        <f>IFERROR(VLOOKUP($G244,融外自投!$A:$J,9,0),"無")</f>
        <v>762</v>
      </c>
      <c r="R244" s="346">
        <f>IFERROR(VLOOKUP($G244,融外自投!$A:$J,8,0),"無")</f>
        <v>1035</v>
      </c>
      <c r="S244" s="81" t="str">
        <f>IFERROR(VLOOKUP($G244,融外自投!$A:$J,10,0),"無")</f>
        <v>無</v>
      </c>
      <c r="T244" s="327">
        <f>IFERROR(VLOOKUP($G244,'321買'!$A:$E,5,0),"'沒有資料'")</f>
        <v>984</v>
      </c>
      <c r="U244" s="34">
        <v>0.1</v>
      </c>
      <c r="W244" s="94">
        <f>U244/X244</f>
        <v>3.8684719535783366E-3</v>
      </c>
      <c r="X244" s="36">
        <v>25.85</v>
      </c>
      <c r="Y244" s="66">
        <v>23.3</v>
      </c>
      <c r="Z244" s="15">
        <f t="shared" si="78"/>
        <v>2.5500000000000007</v>
      </c>
      <c r="AA244" s="63">
        <f t="shared" si="79"/>
        <v>0.10944206008583694</v>
      </c>
      <c r="AB244" s="101" t="s">
        <v>3290</v>
      </c>
      <c r="AD244" s="16" t="s">
        <v>609</v>
      </c>
      <c r="AE244" s="84">
        <v>44298</v>
      </c>
      <c r="AF244" s="83">
        <v>44329</v>
      </c>
      <c r="AG244" s="33">
        <f t="shared" ref="AG244:AG251" si="80">AF244-AE244</f>
        <v>31</v>
      </c>
      <c r="AH244" s="127" t="s">
        <v>1122</v>
      </c>
      <c r="AJ244" s="8"/>
    </row>
    <row r="245" spans="1:37">
      <c r="A245" s="142" t="s">
        <v>1657</v>
      </c>
      <c r="B245" s="80">
        <v>-4</v>
      </c>
      <c r="C245" s="79">
        <v>34</v>
      </c>
      <c r="D245" s="79">
        <v>23</v>
      </c>
      <c r="E245" s="79">
        <v>4</v>
      </c>
      <c r="F245" s="6">
        <v>6.35</v>
      </c>
      <c r="G245" s="80">
        <v>4102</v>
      </c>
      <c r="H245" s="30" t="s">
        <v>1462</v>
      </c>
      <c r="I245" s="16" t="s">
        <v>609</v>
      </c>
      <c r="J245" s="8" t="str">
        <f>IFERROR(VLOOKUP($G245,今日總結!$A:$AJ,33,0),"")</f>
        <v/>
      </c>
      <c r="K245" s="5" t="str">
        <f>IFERROR(VLOOKUP($G245,今日總結!$A:$AJ,34,0),"")</f>
        <v/>
      </c>
      <c r="L245" s="156" t="str">
        <f>IFERROR(VLOOKUP($G245,今日總結!$A:$AJ,31,0),"")</f>
        <v/>
      </c>
      <c r="M245" s="340" t="str">
        <f>IFERROR(VLOOKUP($G245,今日總結!$A:$AJ,32,0),"")</f>
        <v/>
      </c>
      <c r="N245" s="240" t="str">
        <f t="shared" si="70"/>
        <v/>
      </c>
      <c r="P245" s="365">
        <f>IFERROR(VLOOKUP($G245,融外自投!$A:$J,7,0),"無")</f>
        <v>63</v>
      </c>
      <c r="Q245" s="79">
        <f>IFERROR(VLOOKUP($G245,融外自投!$A:$J,9,0),"無")</f>
        <v>762</v>
      </c>
      <c r="R245" s="346">
        <f>IFERROR(VLOOKUP($G245,融外自投!$A:$J,8,0),"無")</f>
        <v>1035</v>
      </c>
      <c r="S245" s="81" t="str">
        <f>IFERROR(VLOOKUP($G245,融外自投!$A:$J,10,0),"無")</f>
        <v>無</v>
      </c>
      <c r="T245" s="327">
        <f>IFERROR(VLOOKUP($G245,'321買'!$A:$E,5,0),"'沒有資料'")</f>
        <v>984</v>
      </c>
      <c r="U245" s="34">
        <v>0.1</v>
      </c>
      <c r="W245" s="94">
        <f>U245/X245</f>
        <v>3.8610038610038615E-3</v>
      </c>
      <c r="X245" s="36">
        <v>25.9</v>
      </c>
      <c r="Y245" s="66">
        <v>23.7</v>
      </c>
      <c r="Z245" s="15">
        <f t="shared" si="78"/>
        <v>2.1999999999999993</v>
      </c>
      <c r="AA245" s="63">
        <f t="shared" si="79"/>
        <v>9.2827004219409259E-2</v>
      </c>
      <c r="AB245" s="101" t="s">
        <v>3289</v>
      </c>
      <c r="AD245" s="16" t="s">
        <v>609</v>
      </c>
      <c r="AE245" s="84">
        <v>44299</v>
      </c>
      <c r="AF245" s="83">
        <v>44329</v>
      </c>
      <c r="AG245" s="33">
        <f t="shared" si="80"/>
        <v>30</v>
      </c>
      <c r="AH245" s="41" t="s">
        <v>1122</v>
      </c>
      <c r="AJ245" s="8"/>
    </row>
    <row r="246" spans="1:37">
      <c r="A246" s="142" t="s">
        <v>1657</v>
      </c>
      <c r="B246" s="80">
        <v>-4</v>
      </c>
      <c r="C246" s="79">
        <v>34</v>
      </c>
      <c r="D246" s="79">
        <v>23</v>
      </c>
      <c r="E246" s="79">
        <v>4</v>
      </c>
      <c r="F246" s="6">
        <v>6.35</v>
      </c>
      <c r="G246" s="80">
        <v>4102</v>
      </c>
      <c r="H246" s="30" t="s">
        <v>1462</v>
      </c>
      <c r="I246" s="16" t="s">
        <v>609</v>
      </c>
      <c r="J246" s="8" t="str">
        <f>IFERROR(VLOOKUP($G246,今日總結!$A:$AJ,33,0),"")</f>
        <v/>
      </c>
      <c r="K246" s="5" t="str">
        <f>IFERROR(VLOOKUP($G246,今日總結!$A:$AJ,34,0),"")</f>
        <v/>
      </c>
      <c r="L246" s="156" t="str">
        <f>IFERROR(VLOOKUP($G246,今日總結!$A:$AJ,31,0),"")</f>
        <v/>
      </c>
      <c r="M246" s="340" t="str">
        <f>IFERROR(VLOOKUP($G246,今日總結!$A:$AJ,32,0),"")</f>
        <v/>
      </c>
      <c r="N246" s="240" t="str">
        <f t="shared" si="70"/>
        <v/>
      </c>
      <c r="P246" s="365">
        <f>IFERROR(VLOOKUP($G246,融外自投!$A:$J,7,0),"無")</f>
        <v>63</v>
      </c>
      <c r="Q246" s="79">
        <f>IFERROR(VLOOKUP($G246,融外自投!$A:$J,9,0),"無")</f>
        <v>762</v>
      </c>
      <c r="R246" s="346">
        <f>IFERROR(VLOOKUP($G246,融外自投!$A:$J,8,0),"無")</f>
        <v>1035</v>
      </c>
      <c r="S246" s="81" t="str">
        <f>IFERROR(VLOOKUP($G246,融外自投!$A:$J,10,0),"無")</f>
        <v>無</v>
      </c>
      <c r="T246" s="327">
        <f>IFERROR(VLOOKUP($G246,'321買'!$A:$E,5,0),"'沒有資料'")</f>
        <v>984</v>
      </c>
      <c r="U246" s="34">
        <v>0.1</v>
      </c>
      <c r="W246" s="94">
        <f>U246/X246</f>
        <v>3.8610038610038615E-3</v>
      </c>
      <c r="X246" s="36">
        <v>25.9</v>
      </c>
      <c r="Y246" s="66">
        <v>23.3</v>
      </c>
      <c r="Z246" s="15">
        <f t="shared" si="78"/>
        <v>2.5999999999999979</v>
      </c>
      <c r="AA246" s="63">
        <f t="shared" si="79"/>
        <v>0.11158798283261794</v>
      </c>
      <c r="AB246" s="101" t="s">
        <v>3288</v>
      </c>
      <c r="AD246" s="16" t="s">
        <v>609</v>
      </c>
      <c r="AE246" s="84">
        <v>44298</v>
      </c>
      <c r="AF246" s="83">
        <v>44329</v>
      </c>
      <c r="AG246" s="33">
        <f t="shared" si="80"/>
        <v>31</v>
      </c>
      <c r="AH246" s="41" t="s">
        <v>1122</v>
      </c>
      <c r="AI246" s="41" t="s">
        <v>1502</v>
      </c>
      <c r="AJ246" s="8"/>
    </row>
    <row r="247" spans="1:37">
      <c r="A247" s="142" t="s">
        <v>1654</v>
      </c>
      <c r="B247" s="79">
        <v>480</v>
      </c>
      <c r="C247" s="79">
        <v>91</v>
      </c>
      <c r="D247" s="79">
        <v>329</v>
      </c>
      <c r="E247" s="80">
        <v>-4</v>
      </c>
      <c r="F247" s="6">
        <v>-1.38</v>
      </c>
      <c r="G247" s="80">
        <v>4142</v>
      </c>
      <c r="H247" s="50" t="s">
        <v>1404</v>
      </c>
      <c r="I247" s="22" t="s">
        <v>632</v>
      </c>
      <c r="J247" s="8" t="str">
        <f>IFERROR(VLOOKUP($G247,今日總結!$A:$AJ,33,0),"")</f>
        <v/>
      </c>
      <c r="K247" s="5" t="str">
        <f>IFERROR(VLOOKUP($G247,今日總結!$A:$AJ,34,0),"")</f>
        <v/>
      </c>
      <c r="L247" s="156" t="str">
        <f>IFERROR(VLOOKUP($G247,今日總結!$A:$AJ,31,0),"")</f>
        <v/>
      </c>
      <c r="M247" s="340" t="str">
        <f>IFERROR(VLOOKUP($G247,今日總結!$A:$AJ,32,0),"")</f>
        <v/>
      </c>
      <c r="N247" s="240" t="str">
        <f t="shared" si="70"/>
        <v/>
      </c>
      <c r="P247" s="365">
        <f>IFERROR(VLOOKUP($G247,融外自投!$A:$J,7,0),"無")</f>
        <v>398</v>
      </c>
      <c r="Q247" s="79">
        <f>IFERROR(VLOOKUP($G247,融外自投!$A:$J,9,0),"無")</f>
        <v>176</v>
      </c>
      <c r="R247" s="346">
        <f>IFERROR(VLOOKUP($G247,融外自投!$A:$J,8,0),"無")</f>
        <v>638</v>
      </c>
      <c r="S247" s="81">
        <f>IFERROR(VLOOKUP($G247,融外自投!$A:$J,10,0),"無")</f>
        <v>362</v>
      </c>
      <c r="T247" s="327">
        <f>IFERROR(VLOOKUP($G247,'321買'!$A:$E,5,0),"'沒有資料'")</f>
        <v>403</v>
      </c>
      <c r="U247" s="34">
        <v>0.5</v>
      </c>
      <c r="W247" s="94">
        <v>3.08</v>
      </c>
      <c r="X247" s="36">
        <v>62.4</v>
      </c>
      <c r="Y247" s="66">
        <v>56.1</v>
      </c>
      <c r="Z247" s="15">
        <f t="shared" si="78"/>
        <v>6.2999999999999972</v>
      </c>
      <c r="AA247" s="63">
        <f t="shared" si="79"/>
        <v>0.11229946524064166</v>
      </c>
      <c r="AB247" s="101" t="s">
        <v>3287</v>
      </c>
      <c r="AD247" s="22" t="s">
        <v>632</v>
      </c>
      <c r="AE247" s="84">
        <v>44319</v>
      </c>
      <c r="AF247" s="83">
        <v>44329</v>
      </c>
      <c r="AG247" s="33">
        <f t="shared" si="80"/>
        <v>10</v>
      </c>
      <c r="AH247" s="127" t="s">
        <v>1122</v>
      </c>
      <c r="AI247" s="212"/>
      <c r="AJ247" s="213"/>
    </row>
    <row r="248" spans="1:37">
      <c r="A248" s="142" t="s">
        <v>1654</v>
      </c>
      <c r="B248" s="79">
        <v>480</v>
      </c>
      <c r="C248" s="79">
        <v>91</v>
      </c>
      <c r="D248" s="79">
        <v>329</v>
      </c>
      <c r="E248" s="80">
        <v>-4</v>
      </c>
      <c r="F248" s="6">
        <v>-1.38</v>
      </c>
      <c r="G248" s="80">
        <v>4142</v>
      </c>
      <c r="H248" s="30" t="s">
        <v>1462</v>
      </c>
      <c r="I248" s="22" t="s">
        <v>632</v>
      </c>
      <c r="J248" s="8" t="str">
        <f>IFERROR(VLOOKUP($G248,今日總結!$A:$AJ,33,0),"")</f>
        <v/>
      </c>
      <c r="K248" s="5" t="str">
        <f>IFERROR(VLOOKUP($G248,今日總結!$A:$AJ,34,0),"")</f>
        <v/>
      </c>
      <c r="L248" s="156" t="str">
        <f>IFERROR(VLOOKUP($G248,今日總結!$A:$AJ,31,0),"")</f>
        <v/>
      </c>
      <c r="M248" s="340" t="str">
        <f>IFERROR(VLOOKUP($G248,今日總結!$A:$AJ,32,0),"")</f>
        <v/>
      </c>
      <c r="N248" s="240" t="str">
        <f t="shared" si="70"/>
        <v/>
      </c>
      <c r="P248" s="365">
        <f>IFERROR(VLOOKUP($G248,融外自投!$A:$J,7,0),"無")</f>
        <v>398</v>
      </c>
      <c r="Q248" s="79">
        <f>IFERROR(VLOOKUP($G248,融外自投!$A:$J,9,0),"無")</f>
        <v>176</v>
      </c>
      <c r="R248" s="346">
        <f>IFERROR(VLOOKUP($G248,融外自投!$A:$J,8,0),"無")</f>
        <v>638</v>
      </c>
      <c r="S248" s="81">
        <f>IFERROR(VLOOKUP($G248,融外自投!$A:$J,10,0),"無")</f>
        <v>362</v>
      </c>
      <c r="T248" s="327">
        <f>IFERROR(VLOOKUP($G248,'321買'!$A:$E,5,0),"'沒有資料'")</f>
        <v>403</v>
      </c>
      <c r="U248" s="34">
        <v>0.5</v>
      </c>
      <c r="W248" s="94">
        <v>3.08</v>
      </c>
      <c r="X248" s="36">
        <v>62.2</v>
      </c>
      <c r="Y248" s="66">
        <v>55.7</v>
      </c>
      <c r="Z248" s="15">
        <f t="shared" si="78"/>
        <v>6.5</v>
      </c>
      <c r="AA248" s="63">
        <f t="shared" si="79"/>
        <v>0.11669658886894074</v>
      </c>
      <c r="AB248" s="101" t="s">
        <v>3286</v>
      </c>
      <c r="AD248" s="22" t="s">
        <v>632</v>
      </c>
      <c r="AE248" s="84">
        <v>44319</v>
      </c>
      <c r="AF248" s="83">
        <v>44329</v>
      </c>
      <c r="AG248" s="33">
        <f t="shared" si="80"/>
        <v>10</v>
      </c>
      <c r="AH248" s="41" t="s">
        <v>1122</v>
      </c>
      <c r="AI248" s="212"/>
      <c r="AJ248" s="213"/>
    </row>
    <row r="249" spans="1:37">
      <c r="A249" s="127" t="s">
        <v>1889</v>
      </c>
      <c r="B249" s="92">
        <v>5707</v>
      </c>
      <c r="C249" s="92">
        <v>7419</v>
      </c>
      <c r="D249" s="79">
        <v>24</v>
      </c>
      <c r="E249" s="80">
        <v>-46</v>
      </c>
      <c r="F249" s="57">
        <v>62.23</v>
      </c>
      <c r="G249" s="80">
        <v>1325</v>
      </c>
      <c r="H249" s="50" t="s">
        <v>1404</v>
      </c>
      <c r="I249" s="22" t="s">
        <v>602</v>
      </c>
      <c r="J249" s="8" t="str">
        <f>IFERROR(VLOOKUP($G249,今日總結!$A:$AJ,33,0),"")</f>
        <v/>
      </c>
      <c r="K249" s="5" t="str">
        <f>IFERROR(VLOOKUP($G249,今日總結!$A:$AJ,34,0),"")</f>
        <v/>
      </c>
      <c r="L249" s="156" t="str">
        <f>IFERROR(VLOOKUP($G249,今日總結!$A:$AJ,31,0),"")</f>
        <v/>
      </c>
      <c r="M249" s="340" t="str">
        <f>IFERROR(VLOOKUP($G249,今日總結!$A:$AJ,32,0),"")</f>
        <v/>
      </c>
      <c r="N249" s="240" t="str">
        <f t="shared" si="70"/>
        <v/>
      </c>
      <c r="P249" s="365">
        <f>IFERROR(VLOOKUP($G249,融外自投!$A:$J,7,0),"無")</f>
        <v>301</v>
      </c>
      <c r="Q249" s="79">
        <f>IFERROR(VLOOKUP($G249,融外自投!$A:$J,9,0),"無")</f>
        <v>23</v>
      </c>
      <c r="R249" s="346">
        <f>IFERROR(VLOOKUP($G249,融外自投!$A:$J,8,0),"無")</f>
        <v>844</v>
      </c>
      <c r="S249" s="81" t="str">
        <f>IFERROR(VLOOKUP($G249,融外自投!$A:$J,10,0),"無")</f>
        <v>無</v>
      </c>
      <c r="T249" s="327">
        <f>IFERROR(VLOOKUP($G249,'321買'!$A:$E,5,0),"'沒有資料'")</f>
        <v>480</v>
      </c>
      <c r="U249" s="66">
        <v>12</v>
      </c>
      <c r="W249" s="94">
        <v>23.16</v>
      </c>
      <c r="X249" s="217">
        <v>97.8</v>
      </c>
      <c r="Y249" s="66">
        <v>86.7</v>
      </c>
      <c r="Z249" s="15">
        <f t="shared" si="78"/>
        <v>11.099999999999994</v>
      </c>
      <c r="AA249" s="63">
        <f t="shared" si="79"/>
        <v>0.12802768166089959</v>
      </c>
      <c r="AB249" s="99" t="s">
        <v>1680</v>
      </c>
      <c r="AD249" s="22" t="s">
        <v>602</v>
      </c>
      <c r="AE249" s="84">
        <v>44315</v>
      </c>
      <c r="AF249" s="83">
        <v>44328</v>
      </c>
      <c r="AG249" s="33">
        <f t="shared" si="80"/>
        <v>13</v>
      </c>
      <c r="AH249" s="127" t="s">
        <v>1122</v>
      </c>
      <c r="AI249" s="210"/>
      <c r="AJ249" s="182"/>
    </row>
    <row r="250" spans="1:37">
      <c r="A250" s="127" t="s">
        <v>1889</v>
      </c>
      <c r="B250" s="92">
        <v>5707</v>
      </c>
      <c r="C250" s="92">
        <v>7419</v>
      </c>
      <c r="D250" s="79">
        <v>24</v>
      </c>
      <c r="E250" s="80">
        <v>-46</v>
      </c>
      <c r="F250" s="57">
        <v>62.23</v>
      </c>
      <c r="G250" s="80">
        <v>1325</v>
      </c>
      <c r="H250" s="30" t="s">
        <v>1462</v>
      </c>
      <c r="I250" s="22" t="s">
        <v>602</v>
      </c>
      <c r="J250" s="8" t="str">
        <f>IFERROR(VLOOKUP($G250,今日總結!$A:$AJ,33,0),"")</f>
        <v/>
      </c>
      <c r="K250" s="5" t="str">
        <f>IFERROR(VLOOKUP($G250,今日總結!$A:$AJ,34,0),"")</f>
        <v/>
      </c>
      <c r="L250" s="156" t="str">
        <f>IFERROR(VLOOKUP($G250,今日總結!$A:$AJ,31,0),"")</f>
        <v/>
      </c>
      <c r="M250" s="340" t="str">
        <f>IFERROR(VLOOKUP($G250,今日總結!$A:$AJ,32,0),"")</f>
        <v/>
      </c>
      <c r="N250" s="240" t="str">
        <f t="shared" si="70"/>
        <v/>
      </c>
      <c r="P250" s="365">
        <f>IFERROR(VLOOKUP($G250,融外自投!$A:$J,7,0),"無")</f>
        <v>301</v>
      </c>
      <c r="Q250" s="79">
        <f>IFERROR(VLOOKUP($G250,融外自投!$A:$J,9,0),"無")</f>
        <v>23</v>
      </c>
      <c r="R250" s="346">
        <f>IFERROR(VLOOKUP($G250,融外自投!$A:$J,8,0),"無")</f>
        <v>844</v>
      </c>
      <c r="S250" s="81" t="str">
        <f>IFERROR(VLOOKUP($G250,融外自投!$A:$J,10,0),"無")</f>
        <v>無</v>
      </c>
      <c r="T250" s="327">
        <f>IFERROR(VLOOKUP($G250,'321買'!$A:$E,5,0),"'沒有資料'")</f>
        <v>480</v>
      </c>
      <c r="U250" s="66">
        <v>12</v>
      </c>
      <c r="W250" s="94">
        <v>23.16</v>
      </c>
      <c r="X250" s="217">
        <v>100.5</v>
      </c>
      <c r="Y250" s="66">
        <v>87.7</v>
      </c>
      <c r="Z250" s="15">
        <f t="shared" si="78"/>
        <v>12.799999999999997</v>
      </c>
      <c r="AA250" s="63">
        <f t="shared" si="79"/>
        <v>0.14595210946408205</v>
      </c>
      <c r="AB250" s="99" t="s">
        <v>1658</v>
      </c>
      <c r="AD250" s="22" t="s">
        <v>602</v>
      </c>
      <c r="AE250" s="84">
        <v>44315</v>
      </c>
      <c r="AF250" s="83">
        <v>44328</v>
      </c>
      <c r="AG250" s="33">
        <f t="shared" si="80"/>
        <v>13</v>
      </c>
      <c r="AH250" s="41" t="s">
        <v>1122</v>
      </c>
      <c r="AI250" s="210"/>
      <c r="AJ250" s="182"/>
    </row>
    <row r="251" spans="1:37">
      <c r="A251" s="127" t="s">
        <v>1889</v>
      </c>
      <c r="B251" s="92">
        <v>5707</v>
      </c>
      <c r="C251" s="92">
        <v>7419</v>
      </c>
      <c r="D251" s="79">
        <v>24</v>
      </c>
      <c r="E251" s="80">
        <v>-46</v>
      </c>
      <c r="F251" s="57">
        <v>62.23</v>
      </c>
      <c r="G251" s="80">
        <v>1325</v>
      </c>
      <c r="H251" s="30" t="s">
        <v>1462</v>
      </c>
      <c r="I251" s="22" t="s">
        <v>602</v>
      </c>
      <c r="J251" s="8" t="str">
        <f>IFERROR(VLOOKUP($G251,今日總結!$A:$AJ,33,0),"")</f>
        <v/>
      </c>
      <c r="K251" s="5" t="str">
        <f>IFERROR(VLOOKUP($G251,今日總結!$A:$AJ,34,0),"")</f>
        <v/>
      </c>
      <c r="L251" s="156" t="str">
        <f>IFERROR(VLOOKUP($G251,今日總結!$A:$AJ,31,0),"")</f>
        <v/>
      </c>
      <c r="M251" s="340" t="str">
        <f>IFERROR(VLOOKUP($G251,今日總結!$A:$AJ,32,0),"")</f>
        <v/>
      </c>
      <c r="N251" s="240" t="str">
        <f t="shared" si="70"/>
        <v/>
      </c>
      <c r="P251" s="365">
        <f>IFERROR(VLOOKUP($G251,融外自投!$A:$J,7,0),"無")</f>
        <v>301</v>
      </c>
      <c r="Q251" s="79">
        <f>IFERROR(VLOOKUP($G251,融外自投!$A:$J,9,0),"無")</f>
        <v>23</v>
      </c>
      <c r="R251" s="346">
        <f>IFERROR(VLOOKUP($G251,融外自投!$A:$J,8,0),"無")</f>
        <v>844</v>
      </c>
      <c r="S251" s="81" t="str">
        <f>IFERROR(VLOOKUP($G251,融外自投!$A:$J,10,0),"無")</f>
        <v>無</v>
      </c>
      <c r="T251" s="327">
        <f>IFERROR(VLOOKUP($G251,'321買'!$A:$E,5,0),"'沒有資料'")</f>
        <v>480</v>
      </c>
      <c r="U251" s="66">
        <v>12</v>
      </c>
      <c r="W251" s="94">
        <v>23.16</v>
      </c>
      <c r="X251" s="217">
        <v>100.5</v>
      </c>
      <c r="Y251" s="66">
        <v>86.5</v>
      </c>
      <c r="Z251" s="15">
        <f t="shared" si="78"/>
        <v>14</v>
      </c>
      <c r="AA251" s="63">
        <f t="shared" si="79"/>
        <v>0.16184971098265896</v>
      </c>
      <c r="AB251" s="99" t="s">
        <v>3285</v>
      </c>
      <c r="AD251" s="22" t="s">
        <v>602</v>
      </c>
      <c r="AE251" s="84">
        <v>44315</v>
      </c>
      <c r="AF251" s="83">
        <v>44328</v>
      </c>
      <c r="AG251" s="33">
        <f t="shared" si="80"/>
        <v>13</v>
      </c>
      <c r="AH251" s="41" t="s">
        <v>1122</v>
      </c>
      <c r="AI251" s="41" t="s">
        <v>1502</v>
      </c>
      <c r="AJ251" s="182"/>
    </row>
    <row r="252" spans="1:37" s="248" customFormat="1">
      <c r="A252" s="142" t="s">
        <v>1690</v>
      </c>
      <c r="B252" s="80">
        <v>-7</v>
      </c>
      <c r="C252" s="79">
        <v>52</v>
      </c>
      <c r="D252" s="79">
        <v>50</v>
      </c>
      <c r="E252" s="79">
        <v>52</v>
      </c>
      <c r="F252" s="6">
        <v>3.9</v>
      </c>
      <c r="G252" s="79">
        <v>6214</v>
      </c>
      <c r="H252" s="30" t="s">
        <v>1462</v>
      </c>
      <c r="I252" s="153" t="s">
        <v>279</v>
      </c>
      <c r="J252" s="8">
        <f>IFERROR(VLOOKUP($G252,今日總結!$A:$AJ,33,0),"")</f>
        <v>0</v>
      </c>
      <c r="K252" s="5">
        <f>IFERROR(VLOOKUP($G252,今日總結!$A:$AJ,34,0),"")</f>
        <v>2</v>
      </c>
      <c r="L252" s="156">
        <f>IFERROR(VLOOKUP($G252,今日總結!$A:$AJ,31,0),"")</f>
        <v>0</v>
      </c>
      <c r="M252" s="340">
        <f>IFERROR(VLOOKUP($G252,今日總結!$A:$AJ,32,0),"")</f>
        <v>0</v>
      </c>
      <c r="N252" s="240">
        <f t="shared" si="70"/>
        <v>0</v>
      </c>
      <c r="O252" s="245"/>
      <c r="P252" s="365">
        <f>IFERROR(VLOOKUP($G252,融外自投!$A:$J,7,0),"無")</f>
        <v>1281</v>
      </c>
      <c r="Q252" s="79">
        <f>IFERROR(VLOOKUP($G252,融外自投!$A:$J,9,0),"無")</f>
        <v>667</v>
      </c>
      <c r="R252" s="346">
        <f>IFERROR(VLOOKUP($G252,融外自投!$A:$J,8,0),"無")</f>
        <v>432</v>
      </c>
      <c r="S252" s="81" t="str">
        <f>IFERROR(VLOOKUP($G252,融外自投!$A:$J,10,0),"無")</f>
        <v>無</v>
      </c>
      <c r="T252" s="327">
        <f>IFERROR(VLOOKUP($G252,'321買'!$A:$E,5,0),"'沒有資料'")</f>
        <v>1007</v>
      </c>
      <c r="U252" s="185">
        <v>5</v>
      </c>
      <c r="V252" s="311"/>
      <c r="W252" s="94">
        <f>U252/X252</f>
        <v>5.5248618784530384E-2</v>
      </c>
      <c r="X252" s="161">
        <v>90.5</v>
      </c>
      <c r="Y252" s="65">
        <v>88.1</v>
      </c>
      <c r="Z252" s="162">
        <f t="shared" si="78"/>
        <v>2.4000000000000057</v>
      </c>
      <c r="AA252" s="158">
        <f t="shared" si="79"/>
        <v>2.7241770715096546E-2</v>
      </c>
      <c r="AB252" s="111" t="s">
        <v>3283</v>
      </c>
      <c r="AC252" s="382"/>
      <c r="AD252" s="153" t="s">
        <v>279</v>
      </c>
      <c r="AE252" s="84">
        <v>44302</v>
      </c>
      <c r="AF252" s="83">
        <v>44322</v>
      </c>
      <c r="AG252" s="33">
        <f>AF252-AE252</f>
        <v>20</v>
      </c>
      <c r="AH252" s="41" t="s">
        <v>2153</v>
      </c>
      <c r="AI252" s="163"/>
    </row>
    <row r="253" spans="1:37" s="248" customFormat="1">
      <c r="A253" s="127" t="s">
        <v>1637</v>
      </c>
      <c r="B253" s="79">
        <v>44</v>
      </c>
      <c r="C253" s="79">
        <v>42</v>
      </c>
      <c r="D253" s="80">
        <v>-5</v>
      </c>
      <c r="E253" s="79">
        <v>26</v>
      </c>
      <c r="F253" s="57">
        <v>10.09</v>
      </c>
      <c r="G253" s="80">
        <v>4927</v>
      </c>
      <c r="H253" s="30" t="s">
        <v>1462</v>
      </c>
      <c r="I253" s="153" t="s">
        <v>447</v>
      </c>
      <c r="J253" s="8">
        <f>IFERROR(VLOOKUP($G253,今日總結!$A:$AJ,33,0),"")</f>
        <v>1</v>
      </c>
      <c r="K253" s="5">
        <f>IFERROR(VLOOKUP($G253,今日總結!$A:$AJ,34,0),"")</f>
        <v>0</v>
      </c>
      <c r="L253" s="156">
        <f>IFERROR(VLOOKUP($G253,今日總結!$A:$AJ,31,0),"")</f>
        <v>0</v>
      </c>
      <c r="M253" s="340">
        <f>IFERROR(VLOOKUP($G253,今日總結!$A:$AJ,32,0),"")</f>
        <v>0</v>
      </c>
      <c r="N253" s="240">
        <f t="shared" si="70"/>
        <v>0</v>
      </c>
      <c r="O253" s="245"/>
      <c r="P253" s="365">
        <f>IFERROR(VLOOKUP($G253,融外自投!$A:$J,7,0),"無")</f>
        <v>291</v>
      </c>
      <c r="Q253" s="79">
        <f>IFERROR(VLOOKUP($G253,融外自投!$A:$J,9,0),"無")</f>
        <v>194</v>
      </c>
      <c r="R253" s="346">
        <f>IFERROR(VLOOKUP($G253,融外自投!$A:$J,8,0),"無")</f>
        <v>283</v>
      </c>
      <c r="S253" s="81">
        <f>IFERROR(VLOOKUP($G253,融外自投!$A:$J,10,0),"無")</f>
        <v>37</v>
      </c>
      <c r="T253" s="327">
        <f>IFERROR(VLOOKUP($G253,'321買'!$A:$E,5,0),"'沒有資料'")</f>
        <v>51</v>
      </c>
      <c r="U253" s="155">
        <v>3</v>
      </c>
      <c r="V253" s="311"/>
      <c r="W253" s="94">
        <v>6.32</v>
      </c>
      <c r="X253" s="161">
        <v>67.3</v>
      </c>
      <c r="Y253" s="65">
        <v>67.400000000000006</v>
      </c>
      <c r="Z253" s="162">
        <f>X253-Y253</f>
        <v>-0.10000000000000853</v>
      </c>
      <c r="AA253" s="164">
        <f t="shared" si="79"/>
        <v>-1.4836795252226784E-3</v>
      </c>
      <c r="AB253" s="168" t="s">
        <v>1874</v>
      </c>
      <c r="AC253" s="382"/>
      <c r="AD253" s="153" t="s">
        <v>447</v>
      </c>
      <c r="AE253" s="84">
        <v>44313</v>
      </c>
      <c r="AF253" s="83">
        <v>44322</v>
      </c>
      <c r="AG253" s="33">
        <f>AF253-AE253</f>
        <v>9</v>
      </c>
      <c r="AH253" s="41" t="s">
        <v>1122</v>
      </c>
      <c r="AI253" s="212"/>
      <c r="AJ253" s="213"/>
      <c r="AK253" s="17"/>
    </row>
    <row r="254" spans="1:37" s="248" customFormat="1">
      <c r="A254" s="141"/>
      <c r="B254" s="79"/>
      <c r="C254" s="79"/>
      <c r="D254" s="79"/>
      <c r="E254" s="79"/>
      <c r="F254" s="6"/>
      <c r="G254" s="41"/>
      <c r="H254" s="8"/>
      <c r="I254" s="153"/>
      <c r="J254" s="8"/>
      <c r="K254" s="5"/>
      <c r="L254" s="156"/>
      <c r="M254" s="340"/>
      <c r="N254" s="240"/>
      <c r="O254" s="245"/>
      <c r="P254" s="365"/>
      <c r="Q254" s="47"/>
      <c r="R254" s="346"/>
      <c r="S254" s="81"/>
      <c r="T254" s="322"/>
      <c r="U254" s="185"/>
      <c r="V254" s="311"/>
      <c r="W254" s="94"/>
      <c r="X254" s="161">
        <f>SUM(X194:X253)</f>
        <v>5598.6</v>
      </c>
      <c r="Y254" s="65">
        <f>SUM(Y194:Y253)</f>
        <v>5343.0500000000011</v>
      </c>
      <c r="Z254" s="162">
        <f>X254-Y254</f>
        <v>255.54999999999927</v>
      </c>
      <c r="AA254" s="158">
        <f t="shared" si="79"/>
        <v>4.782848747438246E-2</v>
      </c>
      <c r="AB254" s="113"/>
      <c r="AC254" s="382"/>
      <c r="AD254" s="227">
        <f>X254*(0.001425*0.5)+X254*0.003+Y254*(0.001425*0.5)</f>
        <v>24.591725625000002</v>
      </c>
      <c r="AE254" s="6">
        <f>Z254-AD254</f>
        <v>230.95827437499926</v>
      </c>
      <c r="AF254" s="83"/>
      <c r="AG254" s="33"/>
      <c r="AH254" s="41"/>
      <c r="AI254" s="163"/>
    </row>
    <row r="255" spans="1:37" s="255" customFormat="1">
      <c r="A255" s="127"/>
      <c r="B255" s="90"/>
      <c r="C255" s="90"/>
      <c r="D255" s="90"/>
      <c r="E255" s="90"/>
      <c r="F255" s="8"/>
      <c r="G255" s="25"/>
      <c r="H255" s="55"/>
      <c r="I255" s="1"/>
      <c r="J255" s="8"/>
      <c r="K255" s="5"/>
      <c r="L255" s="156"/>
      <c r="M255" s="340"/>
      <c r="N255" s="240"/>
      <c r="O255" s="245"/>
      <c r="P255" s="365"/>
      <c r="Q255" s="47"/>
      <c r="R255" s="346"/>
      <c r="S255" s="81"/>
      <c r="T255" s="321"/>
      <c r="U255" s="14"/>
      <c r="V255" s="311"/>
      <c r="W255" s="68"/>
      <c r="X255" s="28"/>
      <c r="Y255" s="17"/>
      <c r="Z255" s="14"/>
      <c r="AA255" s="21"/>
      <c r="AB255" s="25"/>
      <c r="AC255" s="382"/>
      <c r="AD255" s="227">
        <f>X254*(0.001425*0.28)+X254*0.003+Y254*(0.001425*0.28)</f>
        <v>21.161518350000001</v>
      </c>
      <c r="AE255" s="71"/>
      <c r="AF255" s="72"/>
      <c r="AG255" s="32"/>
      <c r="AH255" s="46"/>
      <c r="AI255" s="163"/>
    </row>
    <row r="256" spans="1:37" s="255" customFormat="1">
      <c r="A256" s="127"/>
      <c r="B256" s="90"/>
      <c r="C256" s="90"/>
      <c r="D256" s="90"/>
      <c r="E256" s="90"/>
      <c r="F256" s="8"/>
      <c r="G256" s="25"/>
      <c r="H256" s="55"/>
      <c r="I256" s="1"/>
      <c r="J256" s="1"/>
      <c r="K256" s="1"/>
      <c r="L256" s="123"/>
      <c r="M256" s="234"/>
      <c r="N256" s="341"/>
      <c r="O256" s="245"/>
      <c r="P256" s="365"/>
      <c r="Q256" s="47"/>
      <c r="R256" s="346"/>
      <c r="S256" s="303"/>
      <c r="T256" s="321"/>
      <c r="U256" s="14"/>
      <c r="V256" s="311"/>
      <c r="W256" s="68"/>
      <c r="X256" s="28"/>
      <c r="Y256" s="17"/>
      <c r="Z256" s="14"/>
      <c r="AA256" s="21"/>
      <c r="AB256" s="25"/>
      <c r="AC256" s="382"/>
      <c r="AD256" s="227"/>
      <c r="AE256" s="71"/>
      <c r="AF256" s="72"/>
      <c r="AG256" s="32"/>
      <c r="AH256" s="46"/>
      <c r="AI256" s="163"/>
    </row>
    <row r="257" spans="1:46" s="255" customFormat="1">
      <c r="A257" s="127" t="s">
        <v>1673</v>
      </c>
      <c r="B257" s="90" t="s">
        <v>1572</v>
      </c>
      <c r="C257" s="90" t="s">
        <v>1573</v>
      </c>
      <c r="D257" s="90" t="s">
        <v>1574</v>
      </c>
      <c r="E257" s="90" t="s">
        <v>1575</v>
      </c>
      <c r="F257" s="8" t="s">
        <v>1060</v>
      </c>
      <c r="G257" s="26" t="s">
        <v>3442</v>
      </c>
      <c r="H257" s="55" t="s">
        <v>320</v>
      </c>
      <c r="I257" s="1" t="s">
        <v>2249</v>
      </c>
      <c r="J257" s="8" t="s">
        <v>6221</v>
      </c>
      <c r="K257" s="5" t="s">
        <v>6222</v>
      </c>
      <c r="L257" s="337" t="s">
        <v>6206</v>
      </c>
      <c r="M257" s="338" t="s">
        <v>6207</v>
      </c>
      <c r="N257" s="339" t="s">
        <v>6208</v>
      </c>
      <c r="O257" s="4" t="s">
        <v>6713</v>
      </c>
      <c r="P257" s="89" t="s">
        <v>6285</v>
      </c>
      <c r="Q257" s="293" t="s">
        <v>6284</v>
      </c>
      <c r="R257" s="354" t="s">
        <v>6283</v>
      </c>
      <c r="S257" s="26" t="s">
        <v>6286</v>
      </c>
      <c r="T257" s="321" t="s">
        <v>4716</v>
      </c>
      <c r="U257" s="14" t="s">
        <v>66</v>
      </c>
      <c r="V257" s="308" t="s">
        <v>4731</v>
      </c>
      <c r="W257" s="68" t="s">
        <v>6287</v>
      </c>
      <c r="X257" s="28" t="s">
        <v>6288</v>
      </c>
      <c r="Y257" s="17" t="s">
        <v>1399</v>
      </c>
      <c r="Z257" s="14" t="s">
        <v>2250</v>
      </c>
      <c r="AA257" s="21" t="s">
        <v>1470</v>
      </c>
      <c r="AB257" s="51" t="s">
        <v>6174</v>
      </c>
      <c r="AC257" s="102" t="s">
        <v>6420</v>
      </c>
      <c r="AD257" s="1" t="s">
        <v>2249</v>
      </c>
      <c r="AE257" s="71" t="s">
        <v>1400</v>
      </c>
      <c r="AF257" s="72" t="s">
        <v>1157</v>
      </c>
      <c r="AG257" s="32" t="s">
        <v>1158</v>
      </c>
      <c r="AH257" s="46" t="s">
        <v>3157</v>
      </c>
      <c r="AI257" s="163"/>
    </row>
    <row r="258" spans="1:46" s="248" customFormat="1">
      <c r="A258" s="142" t="s">
        <v>1887</v>
      </c>
      <c r="B258" s="80">
        <v>-16</v>
      </c>
      <c r="C258" s="79">
        <v>11</v>
      </c>
      <c r="D258" s="79">
        <v>30</v>
      </c>
      <c r="E258" s="79">
        <v>18</v>
      </c>
      <c r="F258" s="6">
        <v>5.99</v>
      </c>
      <c r="G258" s="79">
        <v>1785</v>
      </c>
      <c r="H258" s="30" t="s">
        <v>1462</v>
      </c>
      <c r="I258" s="166" t="s">
        <v>305</v>
      </c>
      <c r="J258" s="8" t="str">
        <f>IFERROR(VLOOKUP($G258,今日總結!$A:$AJ,33,0),"")</f>
        <v/>
      </c>
      <c r="K258" s="5" t="str">
        <f>IFERROR(VLOOKUP($G258,今日總結!$A:$AJ,34,0),"")</f>
        <v/>
      </c>
      <c r="L258" s="156" t="str">
        <f>IFERROR(VLOOKUP($G258,今日總結!$A:$AJ,31,0),"")</f>
        <v/>
      </c>
      <c r="M258" s="340" t="str">
        <f>IFERROR(VLOOKUP($G258,今日總結!$A:$AJ,32,0),"")</f>
        <v/>
      </c>
      <c r="N258" s="240" t="str">
        <f t="shared" ref="N258" si="81">IFERROR(L258-M258,"")</f>
        <v/>
      </c>
      <c r="O258" s="245"/>
      <c r="P258" s="365">
        <f>IFERROR(VLOOKUP($G258,融外自投!$A:$J,7,0),"無")</f>
        <v>314</v>
      </c>
      <c r="Q258" s="79">
        <f>IFERROR(VLOOKUP($G258,融外自投!$A:$J,9,0),"無")</f>
        <v>978</v>
      </c>
      <c r="R258" s="346">
        <f>IFERROR(VLOOKUP($G258,融外自投!$A:$J,8,0),"無")</f>
        <v>625</v>
      </c>
      <c r="S258" s="81">
        <f>IFERROR(VLOOKUP($G258,融外自投!$A:$J,10,0),"無")</f>
        <v>416</v>
      </c>
      <c r="T258" s="327">
        <f>IFERROR(VLOOKUP($G258,'321買'!$A:$E,5,0),"'沒有資料'")</f>
        <v>292</v>
      </c>
      <c r="U258" s="185">
        <v>1</v>
      </c>
      <c r="V258" s="311"/>
      <c r="W258" s="94">
        <f t="shared" ref="W258:W267" si="82">U258/X258</f>
        <v>1.7035775127768313E-2</v>
      </c>
      <c r="X258" s="161">
        <v>58.7</v>
      </c>
      <c r="Y258" s="155">
        <v>54.5</v>
      </c>
      <c r="Z258" s="105">
        <f t="shared" ref="Z258:Z269" si="83">X258-Y258</f>
        <v>4.2000000000000028</v>
      </c>
      <c r="AA258" s="158">
        <f t="shared" ref="AA258:AA269" si="84">Z258/Y258</f>
        <v>7.7064220183486284E-2</v>
      </c>
      <c r="AB258" s="167" t="s">
        <v>2184</v>
      </c>
      <c r="AC258" s="382"/>
      <c r="AD258" s="166" t="s">
        <v>305</v>
      </c>
      <c r="AE258" s="84">
        <v>44309</v>
      </c>
      <c r="AF258" s="83">
        <v>44403</v>
      </c>
      <c r="AG258" s="33">
        <f>AF258-AE258</f>
        <v>94</v>
      </c>
      <c r="AH258" s="41" t="s">
        <v>1122</v>
      </c>
      <c r="AI258" s="212"/>
      <c r="AJ258" s="213"/>
    </row>
    <row r="259" spans="1:46" s="171" customFormat="1" ht="17.100000000000001" customHeight="1">
      <c r="A259" s="41"/>
      <c r="B259" s="80">
        <v>-63</v>
      </c>
      <c r="C259" s="80">
        <v>-76</v>
      </c>
      <c r="D259" s="80">
        <v>-63</v>
      </c>
      <c r="E259" s="80">
        <v>-76</v>
      </c>
      <c r="F259" s="6">
        <v>1.95</v>
      </c>
      <c r="G259" s="79">
        <v>4432</v>
      </c>
      <c r="H259" s="30" t="s">
        <v>1462</v>
      </c>
      <c r="I259" s="166" t="s">
        <v>206</v>
      </c>
      <c r="J259" s="8" t="str">
        <f>IFERROR(VLOOKUP($G259,今日總結!$A:$AJ,33,0),"")</f>
        <v/>
      </c>
      <c r="K259" s="5" t="str">
        <f>IFERROR(VLOOKUP($G259,今日總結!$A:$AJ,34,0),"")</f>
        <v/>
      </c>
      <c r="L259" s="156" t="str">
        <f>IFERROR(VLOOKUP($G259,今日總結!$A:$AJ,31,0),"")</f>
        <v/>
      </c>
      <c r="M259" s="340" t="str">
        <f>IFERROR(VLOOKUP($G259,今日總結!$A:$AJ,32,0),"")</f>
        <v/>
      </c>
      <c r="N259" s="240" t="str">
        <f t="shared" ref="N259:N318" si="85">IFERROR(L259-M259,"")</f>
        <v/>
      </c>
      <c r="O259" s="245"/>
      <c r="P259" s="365">
        <f>IFERROR(VLOOKUP($G259,融外自投!$A:$J,7,0),"無")</f>
        <v>749</v>
      </c>
      <c r="Q259" s="79">
        <f>IFERROR(VLOOKUP($G259,融外自投!$A:$J,9,0),"無")</f>
        <v>302</v>
      </c>
      <c r="R259" s="346">
        <f>IFERROR(VLOOKUP($G259,融外自投!$A:$J,8,0),"無")</f>
        <v>1369</v>
      </c>
      <c r="S259" s="81" t="str">
        <f>IFERROR(VLOOKUP($G259,融外自投!$A:$J,10,0),"無")</f>
        <v>無</v>
      </c>
      <c r="T259" s="327">
        <f>IFERROR(VLOOKUP($G259,'321買'!$A:$E,5,0),"'沒有資料'")</f>
        <v>1085</v>
      </c>
      <c r="U259" s="185">
        <v>1.1599999999999999</v>
      </c>
      <c r="V259" s="311"/>
      <c r="W259" s="57">
        <f t="shared" si="82"/>
        <v>6.2533692722371956E-2</v>
      </c>
      <c r="X259" s="165">
        <v>18.55</v>
      </c>
      <c r="Y259" s="65">
        <v>17</v>
      </c>
      <c r="Z259" s="162">
        <f t="shared" si="83"/>
        <v>1.5500000000000007</v>
      </c>
      <c r="AA259" s="158">
        <f t="shared" si="84"/>
        <v>9.1176470588235331E-2</v>
      </c>
      <c r="AB259" s="167" t="s">
        <v>3254</v>
      </c>
      <c r="AC259" s="382"/>
      <c r="AD259" s="166" t="s">
        <v>206</v>
      </c>
      <c r="AE259" s="84">
        <v>44252</v>
      </c>
      <c r="AF259" s="83">
        <v>44308</v>
      </c>
      <c r="AG259" s="33">
        <f>AF259-AE259</f>
        <v>56</v>
      </c>
      <c r="AH259" s="41" t="s">
        <v>1122</v>
      </c>
      <c r="AI259" s="27"/>
      <c r="AJ259" s="17"/>
      <c r="AK259" s="11"/>
      <c r="AL259" s="11"/>
      <c r="AM259" s="11"/>
      <c r="AN259" s="11"/>
      <c r="AO259" s="248"/>
      <c r="AP259" s="248"/>
      <c r="AR259" s="4"/>
      <c r="AS259" s="248"/>
      <c r="AT259" s="248"/>
    </row>
    <row r="260" spans="1:46" s="171" customFormat="1" ht="17.100000000000001" customHeight="1">
      <c r="A260" s="41"/>
      <c r="B260" s="80">
        <v>-63</v>
      </c>
      <c r="C260" s="80">
        <v>-76</v>
      </c>
      <c r="D260" s="80">
        <v>-63</v>
      </c>
      <c r="E260" s="80">
        <v>-76</v>
      </c>
      <c r="F260" s="6">
        <v>1.95</v>
      </c>
      <c r="G260" s="79">
        <v>4432</v>
      </c>
      <c r="H260" s="30" t="s">
        <v>1462</v>
      </c>
      <c r="I260" s="166" t="s">
        <v>206</v>
      </c>
      <c r="J260" s="8" t="str">
        <f>IFERROR(VLOOKUP($G260,今日總結!$A:$AJ,33,0),"")</f>
        <v/>
      </c>
      <c r="K260" s="5" t="str">
        <f>IFERROR(VLOOKUP($G260,今日總結!$A:$AJ,34,0),"")</f>
        <v/>
      </c>
      <c r="L260" s="156" t="str">
        <f>IFERROR(VLOOKUP($G260,今日總結!$A:$AJ,31,0),"")</f>
        <v/>
      </c>
      <c r="M260" s="340" t="str">
        <f>IFERROR(VLOOKUP($G260,今日總結!$A:$AJ,32,0),"")</f>
        <v/>
      </c>
      <c r="N260" s="240" t="str">
        <f t="shared" si="85"/>
        <v/>
      </c>
      <c r="O260" s="245"/>
      <c r="P260" s="365">
        <f>IFERROR(VLOOKUP($G260,融外自投!$A:$J,7,0),"無")</f>
        <v>749</v>
      </c>
      <c r="Q260" s="79">
        <f>IFERROR(VLOOKUP($G260,融外自投!$A:$J,9,0),"無")</f>
        <v>302</v>
      </c>
      <c r="R260" s="346">
        <f>IFERROR(VLOOKUP($G260,融外自投!$A:$J,8,0),"無")</f>
        <v>1369</v>
      </c>
      <c r="S260" s="81" t="str">
        <f>IFERROR(VLOOKUP($G260,融外自投!$A:$J,10,0),"無")</f>
        <v>無</v>
      </c>
      <c r="T260" s="327">
        <f>IFERROR(VLOOKUP($G260,'321買'!$A:$E,5,0),"'沒有資料'")</f>
        <v>1085</v>
      </c>
      <c r="U260" s="185">
        <v>1.1599999999999999</v>
      </c>
      <c r="V260" s="311"/>
      <c r="W260" s="57">
        <f t="shared" si="82"/>
        <v>6.2702702702702701E-2</v>
      </c>
      <c r="X260" s="165">
        <v>18.5</v>
      </c>
      <c r="Y260" s="65">
        <v>17.350000000000001</v>
      </c>
      <c r="Z260" s="162">
        <f t="shared" si="83"/>
        <v>1.1499999999999986</v>
      </c>
      <c r="AA260" s="158">
        <f t="shared" si="84"/>
        <v>6.6282420749279453E-2</v>
      </c>
      <c r="AB260" s="167" t="s">
        <v>3255</v>
      </c>
      <c r="AC260" s="382"/>
      <c r="AD260" s="166" t="s">
        <v>206</v>
      </c>
      <c r="AE260" s="84">
        <v>44252</v>
      </c>
      <c r="AF260" s="83">
        <v>44308</v>
      </c>
      <c r="AG260" s="33">
        <f>AF260-AE260</f>
        <v>56</v>
      </c>
      <c r="AH260" s="41" t="s">
        <v>1122</v>
      </c>
      <c r="AI260" s="27"/>
      <c r="AJ260" s="17"/>
      <c r="AK260" s="11"/>
      <c r="AL260" s="11"/>
      <c r="AM260" s="11"/>
      <c r="AN260" s="11"/>
      <c r="AO260" s="248"/>
      <c r="AP260" s="248"/>
      <c r="AR260" s="4"/>
      <c r="AS260" s="248"/>
      <c r="AT260" s="248"/>
    </row>
    <row r="261" spans="1:46" s="248" customFormat="1">
      <c r="A261" s="142" t="s">
        <v>1652</v>
      </c>
      <c r="B261" s="80">
        <v>-63</v>
      </c>
      <c r="C261" s="80">
        <v>-65</v>
      </c>
      <c r="D261" s="80">
        <v>-8</v>
      </c>
      <c r="E261" s="79">
        <v>21</v>
      </c>
      <c r="F261" s="6">
        <v>8.69</v>
      </c>
      <c r="G261" s="79">
        <v>3265</v>
      </c>
      <c r="H261" s="30" t="s">
        <v>1462</v>
      </c>
      <c r="I261" s="166" t="s">
        <v>2239</v>
      </c>
      <c r="J261" s="8">
        <f>IFERROR(VLOOKUP($G261,今日總結!$A:$AJ,33,0),"")</f>
        <v>0</v>
      </c>
      <c r="K261" s="5">
        <f>IFERROR(VLOOKUP($G261,今日總結!$A:$AJ,34,0),"")</f>
        <v>1</v>
      </c>
      <c r="L261" s="156">
        <f>IFERROR(VLOOKUP($G261,今日總結!$A:$AJ,31,0),"")</f>
        <v>0</v>
      </c>
      <c r="M261" s="340">
        <f>IFERROR(VLOOKUP($G261,今日總結!$A:$AJ,32,0),"")</f>
        <v>0</v>
      </c>
      <c r="N261" s="240">
        <f t="shared" si="85"/>
        <v>0</v>
      </c>
      <c r="O261" s="245"/>
      <c r="P261" s="365">
        <f>IFERROR(VLOOKUP($G261,融外自投!$A:$J,7,0),"無")</f>
        <v>590</v>
      </c>
      <c r="Q261" s="79">
        <f>IFERROR(VLOOKUP($G261,融外自投!$A:$J,9,0),"無")</f>
        <v>47</v>
      </c>
      <c r="R261" s="346">
        <f>IFERROR(VLOOKUP($G261,融外自投!$A:$J,8,0),"無")</f>
        <v>791</v>
      </c>
      <c r="S261" s="81" t="str">
        <f>IFERROR(VLOOKUP($G261,融外自投!$A:$J,10,0),"無")</f>
        <v>無</v>
      </c>
      <c r="T261" s="327">
        <f>IFERROR(VLOOKUP($G261,'321買'!$A:$E,5,0),"'沒有資料'")</f>
        <v>984</v>
      </c>
      <c r="U261" s="185">
        <v>1.23</v>
      </c>
      <c r="V261" s="311"/>
      <c r="W261" s="57">
        <f t="shared" si="82"/>
        <v>3.7500000000000006E-2</v>
      </c>
      <c r="X261" s="165">
        <v>32.799999999999997</v>
      </c>
      <c r="Y261" s="65">
        <v>32.1</v>
      </c>
      <c r="Z261" s="162">
        <f t="shared" si="83"/>
        <v>0.69999999999999574</v>
      </c>
      <c r="AA261" s="158">
        <f t="shared" si="84"/>
        <v>2.1806853582554384E-2</v>
      </c>
      <c r="AB261" s="167" t="s">
        <v>3253</v>
      </c>
      <c r="AC261" s="382"/>
      <c r="AD261" s="166" t="s">
        <v>2239</v>
      </c>
      <c r="AE261" s="84">
        <v>44300</v>
      </c>
      <c r="AF261" s="83">
        <v>44308</v>
      </c>
      <c r="AG261" s="33">
        <f>AF261-AE261</f>
        <v>8</v>
      </c>
      <c r="AH261" s="41" t="s">
        <v>1122</v>
      </c>
      <c r="AI261" s="180"/>
      <c r="AJ261" s="179"/>
    </row>
    <row r="262" spans="1:46" s="248" customFormat="1">
      <c r="A262" s="142" t="s">
        <v>3207</v>
      </c>
      <c r="B262" s="79">
        <v>31</v>
      </c>
      <c r="C262" s="79">
        <v>8</v>
      </c>
      <c r="D262" s="79">
        <v>29</v>
      </c>
      <c r="E262" s="79">
        <v>22</v>
      </c>
      <c r="F262" s="6">
        <v>4.18</v>
      </c>
      <c r="G262" s="79">
        <v>6214</v>
      </c>
      <c r="H262" s="30" t="s">
        <v>3154</v>
      </c>
      <c r="I262" s="153" t="s">
        <v>3208</v>
      </c>
      <c r="J262" s="8">
        <f>IFERROR(VLOOKUP($G262,今日總結!$A:$AJ,33,0),"")</f>
        <v>0</v>
      </c>
      <c r="K262" s="5">
        <f>IFERROR(VLOOKUP($G262,今日總結!$A:$AJ,34,0),"")</f>
        <v>2</v>
      </c>
      <c r="L262" s="156">
        <f>IFERROR(VLOOKUP($G262,今日總結!$A:$AJ,31,0),"")</f>
        <v>0</v>
      </c>
      <c r="M262" s="340">
        <f>IFERROR(VLOOKUP($G262,今日總結!$A:$AJ,32,0),"")</f>
        <v>0</v>
      </c>
      <c r="N262" s="240">
        <f t="shared" si="85"/>
        <v>0</v>
      </c>
      <c r="O262" s="245"/>
      <c r="P262" s="365">
        <f>IFERROR(VLOOKUP($G262,融外自投!$A:$J,7,0),"無")</f>
        <v>1281</v>
      </c>
      <c r="Q262" s="79">
        <f>IFERROR(VLOOKUP($G262,融外自投!$A:$J,9,0),"無")</f>
        <v>667</v>
      </c>
      <c r="R262" s="346">
        <f>IFERROR(VLOOKUP($G262,融外自投!$A:$J,8,0),"無")</f>
        <v>432</v>
      </c>
      <c r="S262" s="81" t="str">
        <f>IFERROR(VLOOKUP($G262,融外自投!$A:$J,10,0),"無")</f>
        <v>無</v>
      </c>
      <c r="T262" s="327">
        <f>IFERROR(VLOOKUP($G262,'321買'!$A:$E,5,0),"'沒有資料'")</f>
        <v>1007</v>
      </c>
      <c r="U262" s="185">
        <v>5</v>
      </c>
      <c r="V262" s="311"/>
      <c r="W262" s="94">
        <f t="shared" si="82"/>
        <v>5.5248618784530384E-2</v>
      </c>
      <c r="X262" s="161">
        <v>90.5</v>
      </c>
      <c r="Y262" s="65">
        <v>87.5</v>
      </c>
      <c r="Z262" s="162">
        <f t="shared" si="83"/>
        <v>3</v>
      </c>
      <c r="AA262" s="158">
        <f t="shared" si="84"/>
        <v>3.4285714285714287E-2</v>
      </c>
      <c r="AB262" s="111" t="s">
        <v>2036</v>
      </c>
      <c r="AC262" s="382"/>
      <c r="AD262" s="153" t="s">
        <v>3208</v>
      </c>
      <c r="AE262" s="84">
        <v>44182</v>
      </c>
      <c r="AF262" s="83">
        <v>44308</v>
      </c>
      <c r="AG262" s="33">
        <f t="shared" ref="AG262:AG267" si="86">AF262-AE262</f>
        <v>126</v>
      </c>
      <c r="AH262" s="41" t="s">
        <v>2906</v>
      </c>
      <c r="AI262" s="163"/>
    </row>
    <row r="263" spans="1:46" s="248" customFormat="1" ht="15.75" customHeight="1">
      <c r="A263" s="127" t="s">
        <v>2069</v>
      </c>
      <c r="B263" s="79">
        <v>1</v>
      </c>
      <c r="C263" s="79">
        <v>5</v>
      </c>
      <c r="D263" s="79">
        <v>22</v>
      </c>
      <c r="E263" s="80">
        <v>-1</v>
      </c>
      <c r="F263" s="57">
        <v>12.6</v>
      </c>
      <c r="G263" s="79">
        <v>6274</v>
      </c>
      <c r="H263" s="30" t="s">
        <v>1462</v>
      </c>
      <c r="I263" s="166" t="s">
        <v>3109</v>
      </c>
      <c r="J263" s="8" t="str">
        <f>IFERROR(VLOOKUP($G263,今日總結!$A:$AJ,33,0),"")</f>
        <v/>
      </c>
      <c r="K263" s="5" t="str">
        <f>IFERROR(VLOOKUP($G263,今日總結!$A:$AJ,34,0),"")</f>
        <v/>
      </c>
      <c r="L263" s="156" t="str">
        <f>IFERROR(VLOOKUP($G263,今日總結!$A:$AJ,31,0),"")</f>
        <v/>
      </c>
      <c r="M263" s="340" t="str">
        <f>IFERROR(VLOOKUP($G263,今日總結!$A:$AJ,32,0),"")</f>
        <v/>
      </c>
      <c r="N263" s="240" t="str">
        <f t="shared" si="85"/>
        <v/>
      </c>
      <c r="O263" s="245"/>
      <c r="P263" s="365">
        <f>IFERROR(VLOOKUP($G263,融外自投!$A:$J,7,0),"無")</f>
        <v>752</v>
      </c>
      <c r="Q263" s="79">
        <f>IFERROR(VLOOKUP($G263,融外自投!$A:$J,9,0),"無")</f>
        <v>321</v>
      </c>
      <c r="R263" s="346">
        <f>IFERROR(VLOOKUP($G263,融外自投!$A:$J,8,0),"無")</f>
        <v>138</v>
      </c>
      <c r="S263" s="81">
        <f>IFERROR(VLOOKUP($G263,融外自投!$A:$J,10,0),"無")</f>
        <v>155</v>
      </c>
      <c r="T263" s="327">
        <f>IFERROR(VLOOKUP($G263,'321買'!$A:$E,5,0),"'沒有資料'")</f>
        <v>515</v>
      </c>
      <c r="U263" s="65">
        <v>4.8</v>
      </c>
      <c r="V263" s="311"/>
      <c r="W263" s="57">
        <f t="shared" si="82"/>
        <v>0.04</v>
      </c>
      <c r="X263" s="165">
        <v>120</v>
      </c>
      <c r="Y263" s="65">
        <f>125-4.8</f>
        <v>120.2</v>
      </c>
      <c r="Z263" s="162">
        <f t="shared" si="83"/>
        <v>-0.20000000000000284</v>
      </c>
      <c r="AA263" s="164">
        <f t="shared" si="84"/>
        <v>-1.6638935108153315E-3</v>
      </c>
      <c r="AB263" s="168" t="s">
        <v>3251</v>
      </c>
      <c r="AC263" s="382"/>
      <c r="AD263" s="166" t="s">
        <v>3109</v>
      </c>
      <c r="AE263" s="84">
        <v>44307</v>
      </c>
      <c r="AF263" s="83">
        <v>44308</v>
      </c>
      <c r="AG263" s="33">
        <f t="shared" si="86"/>
        <v>1</v>
      </c>
      <c r="AH263" s="41" t="s">
        <v>1122</v>
      </c>
      <c r="AJ263" s="256"/>
    </row>
    <row r="264" spans="1:46" s="248" customFormat="1" ht="15.75" customHeight="1">
      <c r="A264" s="127" t="s">
        <v>2069</v>
      </c>
      <c r="B264" s="79">
        <v>1</v>
      </c>
      <c r="C264" s="79">
        <v>5</v>
      </c>
      <c r="D264" s="79">
        <v>22</v>
      </c>
      <c r="E264" s="80">
        <v>-1</v>
      </c>
      <c r="F264" s="57">
        <v>12.6</v>
      </c>
      <c r="G264" s="79">
        <v>6274</v>
      </c>
      <c r="H264" s="30" t="s">
        <v>1462</v>
      </c>
      <c r="I264" s="166" t="s">
        <v>3109</v>
      </c>
      <c r="J264" s="8" t="str">
        <f>IFERROR(VLOOKUP($G264,今日總結!$A:$AJ,33,0),"")</f>
        <v/>
      </c>
      <c r="K264" s="5" t="str">
        <f>IFERROR(VLOOKUP($G264,今日總結!$A:$AJ,34,0),"")</f>
        <v/>
      </c>
      <c r="L264" s="156" t="str">
        <f>IFERROR(VLOOKUP($G264,今日總結!$A:$AJ,31,0),"")</f>
        <v/>
      </c>
      <c r="M264" s="340" t="str">
        <f>IFERROR(VLOOKUP($G264,今日總結!$A:$AJ,32,0),"")</f>
        <v/>
      </c>
      <c r="N264" s="240" t="str">
        <f t="shared" si="85"/>
        <v/>
      </c>
      <c r="O264" s="245"/>
      <c r="P264" s="365">
        <f>IFERROR(VLOOKUP($G264,融外自投!$A:$J,7,0),"無")</f>
        <v>752</v>
      </c>
      <c r="Q264" s="79">
        <f>IFERROR(VLOOKUP($G264,融外自投!$A:$J,9,0),"無")</f>
        <v>321</v>
      </c>
      <c r="R264" s="346">
        <f>IFERROR(VLOOKUP($G264,融外自投!$A:$J,8,0),"無")</f>
        <v>138</v>
      </c>
      <c r="S264" s="81">
        <f>IFERROR(VLOOKUP($G264,融外自投!$A:$J,10,0),"無")</f>
        <v>155</v>
      </c>
      <c r="T264" s="327">
        <f>IFERROR(VLOOKUP($G264,'321買'!$A:$E,5,0),"'沒有資料'")</f>
        <v>515</v>
      </c>
      <c r="U264" s="65">
        <v>4.8</v>
      </c>
      <c r="V264" s="311"/>
      <c r="W264" s="57">
        <f t="shared" si="82"/>
        <v>0.04</v>
      </c>
      <c r="X264" s="165">
        <v>120</v>
      </c>
      <c r="Y264" s="65">
        <f>124-4.8</f>
        <v>119.2</v>
      </c>
      <c r="Z264" s="162">
        <f t="shared" si="83"/>
        <v>0.79999999999999716</v>
      </c>
      <c r="AA264" s="158">
        <f t="shared" si="84"/>
        <v>6.7114093959731299E-3</v>
      </c>
      <c r="AB264" s="167" t="s">
        <v>3252</v>
      </c>
      <c r="AC264" s="382"/>
      <c r="AD264" s="166" t="s">
        <v>3109</v>
      </c>
      <c r="AE264" s="84">
        <v>44301</v>
      </c>
      <c r="AF264" s="83">
        <v>44308</v>
      </c>
      <c r="AG264" s="33">
        <f t="shared" si="86"/>
        <v>7</v>
      </c>
      <c r="AH264" s="41" t="s">
        <v>1122</v>
      </c>
      <c r="AJ264" s="256"/>
    </row>
    <row r="265" spans="1:46" s="248" customFormat="1">
      <c r="A265" s="142" t="s">
        <v>1737</v>
      </c>
      <c r="B265" s="79">
        <v>22</v>
      </c>
      <c r="C265" s="79">
        <v>12</v>
      </c>
      <c r="D265" s="80">
        <v>-34</v>
      </c>
      <c r="E265" s="80">
        <v>-34</v>
      </c>
      <c r="F265" s="6">
        <v>1.36</v>
      </c>
      <c r="G265" s="80">
        <v>4938</v>
      </c>
      <c r="H265" s="30" t="s">
        <v>1462</v>
      </c>
      <c r="I265" s="153" t="s">
        <v>13</v>
      </c>
      <c r="J265" s="8">
        <f>IFERROR(VLOOKUP($G265,今日總結!$A:$AJ,33,0),"")</f>
        <v>1</v>
      </c>
      <c r="K265" s="5">
        <f>IFERROR(VLOOKUP($G265,今日總結!$A:$AJ,34,0),"")</f>
        <v>1</v>
      </c>
      <c r="L265" s="156">
        <f>IFERROR(VLOOKUP($G265,今日總結!$A:$AJ,31,0),"")</f>
        <v>0</v>
      </c>
      <c r="M265" s="340">
        <f>IFERROR(VLOOKUP($G265,今日總結!$A:$AJ,32,0),"")</f>
        <v>0</v>
      </c>
      <c r="N265" s="240">
        <f t="shared" si="85"/>
        <v>0</v>
      </c>
      <c r="O265" s="245"/>
      <c r="P265" s="365">
        <f>IFERROR(VLOOKUP($G265,融外自投!$A:$J,7,0),"無")</f>
        <v>1237</v>
      </c>
      <c r="Q265" s="79">
        <f>IFERROR(VLOOKUP($G265,融外自投!$A:$J,9,0),"無")</f>
        <v>69</v>
      </c>
      <c r="R265" s="346">
        <f>IFERROR(VLOOKUP($G265,融外自投!$A:$J,8,0),"無")</f>
        <v>159</v>
      </c>
      <c r="S265" s="81">
        <f>IFERROR(VLOOKUP($G265,融外自投!$A:$J,10,0),"無")</f>
        <v>75</v>
      </c>
      <c r="T265" s="327">
        <f>IFERROR(VLOOKUP($G265,'321買'!$A:$E,5,0),"'沒有資料'")</f>
        <v>26</v>
      </c>
      <c r="U265" s="185">
        <v>4.5</v>
      </c>
      <c r="V265" s="311"/>
      <c r="W265" s="57">
        <f t="shared" si="82"/>
        <v>0.06</v>
      </c>
      <c r="X265" s="161">
        <v>75</v>
      </c>
      <c r="Y265" s="65">
        <v>74.3</v>
      </c>
      <c r="Z265" s="162">
        <f t="shared" si="83"/>
        <v>0.70000000000000284</v>
      </c>
      <c r="AA265" s="158">
        <f t="shared" si="84"/>
        <v>9.4212651413190154E-3</v>
      </c>
      <c r="AB265" s="99" t="s">
        <v>1492</v>
      </c>
      <c r="AC265" s="382"/>
      <c r="AD265" s="153" t="s">
        <v>13</v>
      </c>
      <c r="AE265" s="84">
        <v>44307</v>
      </c>
      <c r="AF265" s="83">
        <v>44308</v>
      </c>
      <c r="AG265" s="33">
        <f t="shared" si="86"/>
        <v>1</v>
      </c>
      <c r="AH265" s="41" t="s">
        <v>1122</v>
      </c>
    </row>
    <row r="266" spans="1:46" s="248" customFormat="1">
      <c r="A266" s="142" t="s">
        <v>1737</v>
      </c>
      <c r="B266" s="79">
        <v>22</v>
      </c>
      <c r="C266" s="79">
        <v>12</v>
      </c>
      <c r="D266" s="80">
        <v>-34</v>
      </c>
      <c r="E266" s="80">
        <v>-34</v>
      </c>
      <c r="F266" s="6">
        <v>1.36</v>
      </c>
      <c r="G266" s="80">
        <v>4938</v>
      </c>
      <c r="H266" s="30" t="s">
        <v>1462</v>
      </c>
      <c r="I266" s="153" t="s">
        <v>13</v>
      </c>
      <c r="J266" s="8">
        <f>IFERROR(VLOOKUP($G266,今日總結!$A:$AJ,33,0),"")</f>
        <v>1</v>
      </c>
      <c r="K266" s="5">
        <f>IFERROR(VLOOKUP($G266,今日總結!$A:$AJ,34,0),"")</f>
        <v>1</v>
      </c>
      <c r="L266" s="156">
        <f>IFERROR(VLOOKUP($G266,今日總結!$A:$AJ,31,0),"")</f>
        <v>0</v>
      </c>
      <c r="M266" s="340">
        <f>IFERROR(VLOOKUP($G266,今日總結!$A:$AJ,32,0),"")</f>
        <v>0</v>
      </c>
      <c r="N266" s="240">
        <f t="shared" si="85"/>
        <v>0</v>
      </c>
      <c r="O266" s="245"/>
      <c r="P266" s="365">
        <f>IFERROR(VLOOKUP($G266,融外自投!$A:$J,7,0),"無")</f>
        <v>1237</v>
      </c>
      <c r="Q266" s="79">
        <f>IFERROR(VLOOKUP($G266,融外自投!$A:$J,9,0),"無")</f>
        <v>69</v>
      </c>
      <c r="R266" s="346">
        <f>IFERROR(VLOOKUP($G266,融外自投!$A:$J,8,0),"無")</f>
        <v>159</v>
      </c>
      <c r="S266" s="81">
        <f>IFERROR(VLOOKUP($G266,融外自投!$A:$J,10,0),"無")</f>
        <v>75</v>
      </c>
      <c r="T266" s="327">
        <f>IFERROR(VLOOKUP($G266,'321買'!$A:$E,5,0),"'沒有資料'")</f>
        <v>26</v>
      </c>
      <c r="U266" s="185">
        <v>4.5</v>
      </c>
      <c r="V266" s="311"/>
      <c r="W266" s="57">
        <f t="shared" si="82"/>
        <v>0.06</v>
      </c>
      <c r="X266" s="161">
        <v>75</v>
      </c>
      <c r="Y266" s="65">
        <v>72.8</v>
      </c>
      <c r="Z266" s="162">
        <f t="shared" si="83"/>
        <v>2.2000000000000028</v>
      </c>
      <c r="AA266" s="158">
        <f t="shared" si="84"/>
        <v>3.0219780219780262E-2</v>
      </c>
      <c r="AB266" s="99" t="s">
        <v>1668</v>
      </c>
      <c r="AC266" s="382"/>
      <c r="AD266" s="153" t="s">
        <v>13</v>
      </c>
      <c r="AE266" s="84">
        <v>44298</v>
      </c>
      <c r="AF266" s="83">
        <v>44308</v>
      </c>
      <c r="AG266" s="33">
        <f t="shared" si="86"/>
        <v>10</v>
      </c>
      <c r="AH266" s="41" t="s">
        <v>1122</v>
      </c>
    </row>
    <row r="267" spans="1:46" s="248" customFormat="1">
      <c r="A267" s="142" t="s">
        <v>3200</v>
      </c>
      <c r="B267" s="79">
        <v>22</v>
      </c>
      <c r="C267" s="79">
        <v>12</v>
      </c>
      <c r="D267" s="80">
        <v>-34</v>
      </c>
      <c r="E267" s="80">
        <v>-34</v>
      </c>
      <c r="F267" s="6">
        <v>1.36</v>
      </c>
      <c r="G267" s="80">
        <v>4938</v>
      </c>
      <c r="H267" s="30" t="s">
        <v>3154</v>
      </c>
      <c r="I267" s="153" t="s">
        <v>13</v>
      </c>
      <c r="J267" s="8">
        <f>IFERROR(VLOOKUP($G267,今日總結!$A:$AJ,33,0),"")</f>
        <v>1</v>
      </c>
      <c r="K267" s="5">
        <f>IFERROR(VLOOKUP($G267,今日總結!$A:$AJ,34,0),"")</f>
        <v>1</v>
      </c>
      <c r="L267" s="156">
        <f>IFERROR(VLOOKUP($G267,今日總結!$A:$AJ,31,0),"")</f>
        <v>0</v>
      </c>
      <c r="M267" s="340">
        <f>IFERROR(VLOOKUP($G267,今日總結!$A:$AJ,32,0),"")</f>
        <v>0</v>
      </c>
      <c r="N267" s="240">
        <f t="shared" si="85"/>
        <v>0</v>
      </c>
      <c r="O267" s="245"/>
      <c r="P267" s="365">
        <f>IFERROR(VLOOKUP($G267,融外自投!$A:$J,7,0),"無")</f>
        <v>1237</v>
      </c>
      <c r="Q267" s="79">
        <f>IFERROR(VLOOKUP($G267,融外自投!$A:$J,9,0),"無")</f>
        <v>69</v>
      </c>
      <c r="R267" s="346">
        <f>IFERROR(VLOOKUP($G267,融外自投!$A:$J,8,0),"無")</f>
        <v>159</v>
      </c>
      <c r="S267" s="81">
        <f>IFERROR(VLOOKUP($G267,融外自投!$A:$J,10,0),"無")</f>
        <v>75</v>
      </c>
      <c r="T267" s="327">
        <f>IFERROR(VLOOKUP($G267,'321買'!$A:$E,5,0),"'沒有資料'")</f>
        <v>26</v>
      </c>
      <c r="U267" s="185">
        <v>4.5</v>
      </c>
      <c r="V267" s="311"/>
      <c r="W267" s="57">
        <f t="shared" si="82"/>
        <v>0.06</v>
      </c>
      <c r="X267" s="161">
        <v>75</v>
      </c>
      <c r="Y267" s="65">
        <v>73.900000000000006</v>
      </c>
      <c r="Z267" s="162">
        <f t="shared" si="83"/>
        <v>1.0999999999999943</v>
      </c>
      <c r="AA267" s="158">
        <f t="shared" si="84"/>
        <v>1.4884979702300329E-2</v>
      </c>
      <c r="AB267" s="99" t="s">
        <v>3250</v>
      </c>
      <c r="AC267" s="382"/>
      <c r="AD267" s="153" t="s">
        <v>13</v>
      </c>
      <c r="AE267" s="84">
        <v>44294</v>
      </c>
      <c r="AF267" s="83">
        <v>44308</v>
      </c>
      <c r="AG267" s="33">
        <f t="shared" si="86"/>
        <v>14</v>
      </c>
      <c r="AH267" s="41" t="s">
        <v>2921</v>
      </c>
    </row>
    <row r="268" spans="1:46" s="248" customFormat="1">
      <c r="A268" s="142">
        <v>29.4</v>
      </c>
      <c r="B268" s="79">
        <v>2</v>
      </c>
      <c r="C268" s="80">
        <v>-3</v>
      </c>
      <c r="D268" s="79">
        <v>21</v>
      </c>
      <c r="E268" s="79">
        <v>1</v>
      </c>
      <c r="F268" s="6">
        <v>8.85</v>
      </c>
      <c r="G268" s="79">
        <v>1702</v>
      </c>
      <c r="H268" s="30" t="s">
        <v>1462</v>
      </c>
      <c r="I268" s="153" t="s">
        <v>3191</v>
      </c>
      <c r="J268" s="8">
        <f>IFERROR(VLOOKUP($G268,今日總結!$A:$AJ,33,0),"")</f>
        <v>0</v>
      </c>
      <c r="K268" s="5">
        <f>IFERROR(VLOOKUP($G268,今日總結!$A:$AJ,34,0),"")</f>
        <v>1</v>
      </c>
      <c r="L268" s="156">
        <f>IFERROR(VLOOKUP($G268,今日總結!$A:$AJ,31,0),"")</f>
        <v>0</v>
      </c>
      <c r="M268" s="340">
        <f>IFERROR(VLOOKUP($G268,今日總結!$A:$AJ,32,0),"")</f>
        <v>0</v>
      </c>
      <c r="N268" s="240">
        <f t="shared" si="85"/>
        <v>0</v>
      </c>
      <c r="O268" s="245"/>
      <c r="P268" s="365">
        <f>IFERROR(VLOOKUP($G268,融外自投!$A:$J,7,0),"無")</f>
        <v>1198</v>
      </c>
      <c r="Q268" s="79">
        <f>IFERROR(VLOOKUP($G268,融外自投!$A:$J,9,0),"無")</f>
        <v>896</v>
      </c>
      <c r="R268" s="346">
        <f>IFERROR(VLOOKUP($G268,融外自投!$A:$J,8,0),"無")</f>
        <v>366</v>
      </c>
      <c r="S268" s="81">
        <f>IFERROR(VLOOKUP($G268,融外自投!$A:$J,10,0),"無")</f>
        <v>491</v>
      </c>
      <c r="T268" s="327">
        <f>IFERROR(VLOOKUP($G268,'321買'!$A:$E,5,0),"'沒有資料'")</f>
        <v>634</v>
      </c>
      <c r="U268" s="185">
        <v>2</v>
      </c>
      <c r="V268" s="311"/>
      <c r="W268" s="94">
        <f t="shared" ref="W268:W276" si="87">U268/X268</f>
        <v>3.6832412523020261E-2</v>
      </c>
      <c r="X268" s="161">
        <v>54.3</v>
      </c>
      <c r="Y268" s="65">
        <v>47.65</v>
      </c>
      <c r="Z268" s="162">
        <f t="shared" si="83"/>
        <v>6.6499999999999986</v>
      </c>
      <c r="AA268" s="158">
        <f t="shared" si="84"/>
        <v>0.1395592864637985</v>
      </c>
      <c r="AB268" s="111" t="s">
        <v>3246</v>
      </c>
      <c r="AC268" s="382"/>
      <c r="AD268" s="153" t="s">
        <v>3191</v>
      </c>
      <c r="AE268" s="84">
        <v>44211</v>
      </c>
      <c r="AF268" s="83">
        <v>44307</v>
      </c>
      <c r="AG268" s="33">
        <f t="shared" ref="AG268:AG276" si="88">AF268-AE268</f>
        <v>96</v>
      </c>
      <c r="AH268" s="41" t="s">
        <v>1122</v>
      </c>
    </row>
    <row r="269" spans="1:46" s="248" customFormat="1">
      <c r="A269" s="142">
        <v>29.4</v>
      </c>
      <c r="B269" s="79">
        <v>2</v>
      </c>
      <c r="C269" s="80">
        <v>-3</v>
      </c>
      <c r="D269" s="79">
        <v>21</v>
      </c>
      <c r="E269" s="79">
        <v>1</v>
      </c>
      <c r="F269" s="6">
        <v>8.85</v>
      </c>
      <c r="G269" s="79">
        <v>1702</v>
      </c>
      <c r="H269" s="30" t="s">
        <v>1462</v>
      </c>
      <c r="I269" s="153" t="s">
        <v>3191</v>
      </c>
      <c r="J269" s="8">
        <f>IFERROR(VLOOKUP($G269,今日總結!$A:$AJ,33,0),"")</f>
        <v>0</v>
      </c>
      <c r="K269" s="5">
        <f>IFERROR(VLOOKUP($G269,今日總結!$A:$AJ,34,0),"")</f>
        <v>1</v>
      </c>
      <c r="L269" s="156">
        <f>IFERROR(VLOOKUP($G269,今日總結!$A:$AJ,31,0),"")</f>
        <v>0</v>
      </c>
      <c r="M269" s="340">
        <f>IFERROR(VLOOKUP($G269,今日總結!$A:$AJ,32,0),"")</f>
        <v>0</v>
      </c>
      <c r="N269" s="240">
        <f t="shared" si="85"/>
        <v>0</v>
      </c>
      <c r="O269" s="245"/>
      <c r="P269" s="365">
        <f>IFERROR(VLOOKUP($G269,融外自投!$A:$J,7,0),"無")</f>
        <v>1198</v>
      </c>
      <c r="Q269" s="79">
        <f>IFERROR(VLOOKUP($G269,融外自投!$A:$J,9,0),"無")</f>
        <v>896</v>
      </c>
      <c r="R269" s="346">
        <f>IFERROR(VLOOKUP($G269,融外自投!$A:$J,8,0),"無")</f>
        <v>366</v>
      </c>
      <c r="S269" s="81">
        <f>IFERROR(VLOOKUP($G269,融外自投!$A:$J,10,0),"無")</f>
        <v>491</v>
      </c>
      <c r="T269" s="327">
        <f>IFERROR(VLOOKUP($G269,'321買'!$A:$E,5,0),"'沒有資料'")</f>
        <v>634</v>
      </c>
      <c r="U269" s="185">
        <v>2</v>
      </c>
      <c r="V269" s="311"/>
      <c r="W269" s="94">
        <f t="shared" si="87"/>
        <v>3.6832412523020261E-2</v>
      </c>
      <c r="X269" s="161">
        <v>54.3</v>
      </c>
      <c r="Y269" s="65">
        <v>47.45</v>
      </c>
      <c r="Z269" s="162">
        <f t="shared" si="83"/>
        <v>6.8499999999999943</v>
      </c>
      <c r="AA269" s="158">
        <f t="shared" si="84"/>
        <v>0.14436248682824013</v>
      </c>
      <c r="AB269" s="111" t="s">
        <v>3247</v>
      </c>
      <c r="AC269" s="382"/>
      <c r="AD269" s="153" t="s">
        <v>3191</v>
      </c>
      <c r="AE269" s="84">
        <v>44211</v>
      </c>
      <c r="AF269" s="83">
        <v>44307</v>
      </c>
      <c r="AG269" s="33">
        <f t="shared" si="88"/>
        <v>96</v>
      </c>
      <c r="AH269" s="41" t="s">
        <v>1122</v>
      </c>
    </row>
    <row r="270" spans="1:46" s="171" customFormat="1" ht="17.100000000000001" customHeight="1">
      <c r="A270" s="41"/>
      <c r="B270" s="80">
        <v>-10</v>
      </c>
      <c r="C270" s="79">
        <v>15</v>
      </c>
      <c r="D270" s="80">
        <v>-10</v>
      </c>
      <c r="E270" s="79">
        <v>15</v>
      </c>
      <c r="F270" s="6">
        <v>7.76</v>
      </c>
      <c r="G270" s="81">
        <v>1702</v>
      </c>
      <c r="H270" s="8" t="s">
        <v>1403</v>
      </c>
      <c r="I270" s="153" t="s">
        <v>3191</v>
      </c>
      <c r="J270" s="8">
        <f>IFERROR(VLOOKUP($G270,今日總結!$A:$AJ,33,0),"")</f>
        <v>0</v>
      </c>
      <c r="K270" s="5">
        <f>IFERROR(VLOOKUP($G270,今日總結!$A:$AJ,34,0),"")</f>
        <v>1</v>
      </c>
      <c r="L270" s="156">
        <f>IFERROR(VLOOKUP($G270,今日總結!$A:$AJ,31,0),"")</f>
        <v>0</v>
      </c>
      <c r="M270" s="340">
        <f>IFERROR(VLOOKUP($G270,今日總結!$A:$AJ,32,0),"")</f>
        <v>0</v>
      </c>
      <c r="N270" s="240">
        <f t="shared" si="85"/>
        <v>0</v>
      </c>
      <c r="O270" s="245"/>
      <c r="P270" s="365">
        <f>IFERROR(VLOOKUP($G270,融外自投!$A:$J,7,0),"無")</f>
        <v>1198</v>
      </c>
      <c r="Q270" s="79">
        <f>IFERROR(VLOOKUP($G270,融外自投!$A:$J,9,0),"無")</f>
        <v>896</v>
      </c>
      <c r="R270" s="346">
        <f>IFERROR(VLOOKUP($G270,融外自投!$A:$J,8,0),"無")</f>
        <v>366</v>
      </c>
      <c r="S270" s="81">
        <f>IFERROR(VLOOKUP($G270,融外自投!$A:$J,10,0),"無")</f>
        <v>491</v>
      </c>
      <c r="T270" s="327">
        <f>IFERROR(VLOOKUP($G270,'321買'!$A:$E,5,0),"'沒有資料'")</f>
        <v>634</v>
      </c>
      <c r="U270" s="185">
        <v>2.7</v>
      </c>
      <c r="V270" s="311"/>
      <c r="W270" s="57">
        <f t="shared" si="87"/>
        <v>4.9723756906077353E-2</v>
      </c>
      <c r="X270" s="165">
        <v>54.3</v>
      </c>
      <c r="Y270" s="65">
        <f>62.88-2.8-2.7-2.7-2</f>
        <v>52.68</v>
      </c>
      <c r="Z270" s="105">
        <f t="shared" ref="Z270:Z276" si="89">X270-Y270</f>
        <v>1.6199999999999974</v>
      </c>
      <c r="AA270" s="158">
        <f t="shared" ref="AA270:AA276" si="90">Z270/Y270</f>
        <v>3.0751708428245966E-2</v>
      </c>
      <c r="AB270" s="111" t="s">
        <v>2970</v>
      </c>
      <c r="AC270" s="382"/>
      <c r="AD270" s="153" t="s">
        <v>3191</v>
      </c>
      <c r="AE270" s="84">
        <v>42745</v>
      </c>
      <c r="AF270" s="83">
        <v>44307</v>
      </c>
      <c r="AG270" s="77">
        <f t="shared" si="88"/>
        <v>1562</v>
      </c>
      <c r="AH270" s="41" t="s">
        <v>1122</v>
      </c>
      <c r="AI270" s="27"/>
      <c r="AJ270" s="17"/>
      <c r="AK270" s="17"/>
      <c r="AL270" s="17"/>
      <c r="AM270" s="17"/>
      <c r="AN270" s="17"/>
      <c r="AO270" s="248"/>
      <c r="AP270" s="248"/>
    </row>
    <row r="271" spans="1:46" s="171" customFormat="1" ht="17.100000000000001" customHeight="1">
      <c r="A271" s="41"/>
      <c r="B271" s="80">
        <v>-10</v>
      </c>
      <c r="C271" s="79">
        <v>15</v>
      </c>
      <c r="D271" s="80">
        <v>-10</v>
      </c>
      <c r="E271" s="79">
        <v>15</v>
      </c>
      <c r="F271" s="6">
        <v>7.76</v>
      </c>
      <c r="G271" s="81">
        <v>1702</v>
      </c>
      <c r="H271" s="8" t="s">
        <v>1403</v>
      </c>
      <c r="I271" s="153" t="s">
        <v>3191</v>
      </c>
      <c r="J271" s="8">
        <f>IFERROR(VLOOKUP($G271,今日總結!$A:$AJ,33,0),"")</f>
        <v>0</v>
      </c>
      <c r="K271" s="5">
        <f>IFERROR(VLOOKUP($G271,今日總結!$A:$AJ,34,0),"")</f>
        <v>1</v>
      </c>
      <c r="L271" s="156">
        <f>IFERROR(VLOOKUP($G271,今日總結!$A:$AJ,31,0),"")</f>
        <v>0</v>
      </c>
      <c r="M271" s="340">
        <f>IFERROR(VLOOKUP($G271,今日總結!$A:$AJ,32,0),"")</f>
        <v>0</v>
      </c>
      <c r="N271" s="240">
        <f t="shared" si="85"/>
        <v>0</v>
      </c>
      <c r="O271" s="7"/>
      <c r="P271" s="365">
        <f>IFERROR(VLOOKUP($G271,融外自投!$A:$J,7,0),"無")</f>
        <v>1198</v>
      </c>
      <c r="Q271" s="79">
        <f>IFERROR(VLOOKUP($G271,融外自投!$A:$J,9,0),"無")</f>
        <v>896</v>
      </c>
      <c r="R271" s="346">
        <f>IFERROR(VLOOKUP($G271,融外自投!$A:$J,8,0),"無")</f>
        <v>366</v>
      </c>
      <c r="S271" s="81">
        <f>IFERROR(VLOOKUP($G271,融外自投!$A:$J,10,0),"無")</f>
        <v>491</v>
      </c>
      <c r="T271" s="327">
        <f>IFERROR(VLOOKUP($G271,'321買'!$A:$E,5,0),"'沒有資料'")</f>
        <v>634</v>
      </c>
      <c r="U271" s="185">
        <v>2.7</v>
      </c>
      <c r="V271" s="311"/>
      <c r="W271" s="57">
        <f t="shared" si="87"/>
        <v>4.9723756906077353E-2</v>
      </c>
      <c r="X271" s="165">
        <v>54.3</v>
      </c>
      <c r="Y271" s="65">
        <f>50.5-2</f>
        <v>48.5</v>
      </c>
      <c r="Z271" s="155">
        <f t="shared" si="89"/>
        <v>5.7999999999999972</v>
      </c>
      <c r="AA271" s="158">
        <f t="shared" si="90"/>
        <v>0.11958762886597932</v>
      </c>
      <c r="AB271" s="111" t="s">
        <v>3248</v>
      </c>
      <c r="AC271" s="382"/>
      <c r="AD271" s="153" t="s">
        <v>3191</v>
      </c>
      <c r="AE271" s="84">
        <v>43735</v>
      </c>
      <c r="AF271" s="83">
        <v>44307</v>
      </c>
      <c r="AG271" s="33">
        <f t="shared" si="88"/>
        <v>572</v>
      </c>
      <c r="AH271" s="41" t="s">
        <v>1122</v>
      </c>
      <c r="AI271" s="27"/>
      <c r="AJ271" s="17"/>
      <c r="AK271" s="17"/>
      <c r="AL271" s="17"/>
      <c r="AM271" s="17"/>
      <c r="AN271" s="17"/>
      <c r="AO271" s="248"/>
      <c r="AP271" s="248"/>
    </row>
    <row r="272" spans="1:46" s="171" customFormat="1" ht="17.100000000000001" customHeight="1">
      <c r="A272" s="41"/>
      <c r="B272" s="80">
        <v>-10</v>
      </c>
      <c r="C272" s="79">
        <v>15</v>
      </c>
      <c r="D272" s="80">
        <v>-10</v>
      </c>
      <c r="E272" s="79">
        <v>15</v>
      </c>
      <c r="F272" s="6">
        <v>7.76</v>
      </c>
      <c r="G272" s="81">
        <v>1702</v>
      </c>
      <c r="H272" s="8" t="s">
        <v>1403</v>
      </c>
      <c r="I272" s="153" t="s">
        <v>3191</v>
      </c>
      <c r="J272" s="8">
        <f>IFERROR(VLOOKUP($G272,今日總結!$A:$AJ,33,0),"")</f>
        <v>0</v>
      </c>
      <c r="K272" s="5">
        <f>IFERROR(VLOOKUP($G272,今日總結!$A:$AJ,34,0),"")</f>
        <v>1</v>
      </c>
      <c r="L272" s="156">
        <f>IFERROR(VLOOKUP($G272,今日總結!$A:$AJ,31,0),"")</f>
        <v>0</v>
      </c>
      <c r="M272" s="340">
        <f>IFERROR(VLOOKUP($G272,今日總結!$A:$AJ,32,0),"")</f>
        <v>0</v>
      </c>
      <c r="N272" s="240">
        <f t="shared" si="85"/>
        <v>0</v>
      </c>
      <c r="O272" s="245"/>
      <c r="P272" s="365">
        <f>IFERROR(VLOOKUP($G272,融外自投!$A:$J,7,0),"無")</f>
        <v>1198</v>
      </c>
      <c r="Q272" s="79">
        <f>IFERROR(VLOOKUP($G272,融外自投!$A:$J,9,0),"無")</f>
        <v>896</v>
      </c>
      <c r="R272" s="346">
        <f>IFERROR(VLOOKUP($G272,融外自投!$A:$J,8,0),"無")</f>
        <v>366</v>
      </c>
      <c r="S272" s="81">
        <f>IFERROR(VLOOKUP($G272,融外自投!$A:$J,10,0),"無")</f>
        <v>491</v>
      </c>
      <c r="T272" s="327">
        <f>IFERROR(VLOOKUP($G272,'321買'!$A:$E,5,0),"'沒有資料'")</f>
        <v>634</v>
      </c>
      <c r="U272" s="185">
        <v>2.7</v>
      </c>
      <c r="V272" s="311"/>
      <c r="W272" s="57">
        <f t="shared" si="87"/>
        <v>4.9723756906077353E-2</v>
      </c>
      <c r="X272" s="165">
        <v>54.3</v>
      </c>
      <c r="Y272" s="65">
        <f>51.77-2.7-2</f>
        <v>47.07</v>
      </c>
      <c r="Z272" s="155">
        <f t="shared" si="89"/>
        <v>7.2299999999999969</v>
      </c>
      <c r="AA272" s="158">
        <f t="shared" si="90"/>
        <v>0.15360101975780746</v>
      </c>
      <c r="AB272" s="111" t="s">
        <v>3249</v>
      </c>
      <c r="AC272" s="382"/>
      <c r="AD272" s="153" t="s">
        <v>3191</v>
      </c>
      <c r="AE272" s="84">
        <v>43347</v>
      </c>
      <c r="AF272" s="83">
        <v>44307</v>
      </c>
      <c r="AG272" s="33">
        <f t="shared" si="88"/>
        <v>960</v>
      </c>
      <c r="AH272" s="41" t="s">
        <v>1122</v>
      </c>
      <c r="AI272" s="27"/>
      <c r="AJ272" s="17"/>
      <c r="AK272" s="17"/>
      <c r="AL272" s="17"/>
      <c r="AM272" s="17"/>
      <c r="AN272" s="17"/>
      <c r="AO272" s="248"/>
      <c r="AP272" s="248"/>
    </row>
    <row r="273" spans="1:44" s="248" customFormat="1">
      <c r="A273" s="141"/>
      <c r="B273" s="80">
        <v>-116</v>
      </c>
      <c r="C273" s="80">
        <v>-118</v>
      </c>
      <c r="D273" s="80">
        <v>-116</v>
      </c>
      <c r="E273" s="80">
        <v>-118</v>
      </c>
      <c r="F273" s="6">
        <v>-1.1599999999999999</v>
      </c>
      <c r="G273" s="79">
        <v>1727</v>
      </c>
      <c r="H273" s="8" t="s">
        <v>1403</v>
      </c>
      <c r="I273" s="153" t="s">
        <v>3204</v>
      </c>
      <c r="J273" s="8">
        <f>IFERROR(VLOOKUP($G273,今日總結!$A:$AJ,33,0),"")</f>
        <v>1</v>
      </c>
      <c r="K273" s="5">
        <f>IFERROR(VLOOKUP($G273,今日總結!$A:$AJ,34,0),"")</f>
        <v>0</v>
      </c>
      <c r="L273" s="156">
        <f>IFERROR(VLOOKUP($G273,今日總結!$A:$AJ,31,0),"")</f>
        <v>0</v>
      </c>
      <c r="M273" s="340">
        <f>IFERROR(VLOOKUP($G273,今日總結!$A:$AJ,32,0),"")</f>
        <v>0</v>
      </c>
      <c r="N273" s="240">
        <f t="shared" si="85"/>
        <v>0</v>
      </c>
      <c r="O273" s="245"/>
      <c r="P273" s="365">
        <f>IFERROR(VLOOKUP($G273,融外自投!$A:$J,7,0),"無")</f>
        <v>150</v>
      </c>
      <c r="Q273" s="79">
        <f>IFERROR(VLOOKUP($G273,融外自投!$A:$J,9,0),"無")</f>
        <v>270</v>
      </c>
      <c r="R273" s="346">
        <f>IFERROR(VLOOKUP($G273,融外自投!$A:$J,8,0),"無")</f>
        <v>997</v>
      </c>
      <c r="S273" s="81">
        <f>IFERROR(VLOOKUP($G273,融外自投!$A:$J,10,0),"無")</f>
        <v>383</v>
      </c>
      <c r="T273" s="327">
        <f>IFERROR(VLOOKUP($G273,'321買'!$A:$E,5,0),"'沒有資料'")</f>
        <v>153</v>
      </c>
      <c r="U273" s="185">
        <v>0.6</v>
      </c>
      <c r="V273" s="311"/>
      <c r="W273" s="57">
        <f t="shared" si="87"/>
        <v>4.49438202247191E-2</v>
      </c>
      <c r="X273" s="165">
        <v>13.35</v>
      </c>
      <c r="Y273" s="65">
        <f>14.57-0.6-0.2</f>
        <v>13.770000000000001</v>
      </c>
      <c r="Z273" s="162">
        <f t="shared" si="89"/>
        <v>-0.42000000000000171</v>
      </c>
      <c r="AA273" s="164">
        <f t="shared" si="90"/>
        <v>-3.0501089324618858E-2</v>
      </c>
      <c r="AB273" s="113" t="s">
        <v>3243</v>
      </c>
      <c r="AC273" s="382"/>
      <c r="AD273" s="153" t="s">
        <v>3204</v>
      </c>
      <c r="AE273" s="84">
        <v>43350</v>
      </c>
      <c r="AF273" s="83">
        <v>44306</v>
      </c>
      <c r="AG273" s="33">
        <f t="shared" si="88"/>
        <v>956</v>
      </c>
      <c r="AH273" s="41" t="s">
        <v>2921</v>
      </c>
      <c r="AI273" s="163"/>
      <c r="AK273" s="11"/>
      <c r="AL273" s="11"/>
      <c r="AM273" s="11"/>
      <c r="AN273" s="11"/>
      <c r="AQ273" s="171"/>
      <c r="AR273" s="4"/>
    </row>
    <row r="274" spans="1:44" s="248" customFormat="1">
      <c r="A274" s="141"/>
      <c r="B274" s="80">
        <v>-116</v>
      </c>
      <c r="C274" s="80">
        <v>-118</v>
      </c>
      <c r="D274" s="80">
        <v>-116</v>
      </c>
      <c r="E274" s="80">
        <v>-118</v>
      </c>
      <c r="F274" s="6">
        <v>-1.1599999999999999</v>
      </c>
      <c r="G274" s="79">
        <v>1727</v>
      </c>
      <c r="H274" s="50" t="s">
        <v>1404</v>
      </c>
      <c r="I274" s="153" t="s">
        <v>3204</v>
      </c>
      <c r="J274" s="8">
        <f>IFERROR(VLOOKUP($G274,今日總結!$A:$AJ,33,0),"")</f>
        <v>1</v>
      </c>
      <c r="K274" s="5">
        <f>IFERROR(VLOOKUP($G274,今日總結!$A:$AJ,34,0),"")</f>
        <v>0</v>
      </c>
      <c r="L274" s="156">
        <f>IFERROR(VLOOKUP($G274,今日總結!$A:$AJ,31,0),"")</f>
        <v>0</v>
      </c>
      <c r="M274" s="340">
        <f>IFERROR(VLOOKUP($G274,今日總結!$A:$AJ,32,0),"")</f>
        <v>0</v>
      </c>
      <c r="N274" s="240">
        <f t="shared" si="85"/>
        <v>0</v>
      </c>
      <c r="O274" s="245"/>
      <c r="P274" s="365">
        <f>IFERROR(VLOOKUP($G274,融外自投!$A:$J,7,0),"無")</f>
        <v>150</v>
      </c>
      <c r="Q274" s="79">
        <f>IFERROR(VLOOKUP($G274,融外自投!$A:$J,9,0),"無")</f>
        <v>270</v>
      </c>
      <c r="R274" s="346">
        <f>IFERROR(VLOOKUP($G274,融外自投!$A:$J,8,0),"無")</f>
        <v>997</v>
      </c>
      <c r="S274" s="81">
        <f>IFERROR(VLOOKUP($G274,融外自投!$A:$J,10,0),"無")</f>
        <v>383</v>
      </c>
      <c r="T274" s="327">
        <f>IFERROR(VLOOKUP($G274,'321買'!$A:$E,5,0),"'沒有資料'")</f>
        <v>153</v>
      </c>
      <c r="U274" s="185">
        <v>0.6</v>
      </c>
      <c r="V274" s="311"/>
      <c r="W274" s="57">
        <f t="shared" si="87"/>
        <v>4.49438202247191E-2</v>
      </c>
      <c r="X274" s="165">
        <v>13.35</v>
      </c>
      <c r="Y274" s="65">
        <f>14.57-0.6-0.2</f>
        <v>13.770000000000001</v>
      </c>
      <c r="Z274" s="162">
        <f t="shared" si="89"/>
        <v>-0.42000000000000171</v>
      </c>
      <c r="AA274" s="164">
        <f t="shared" si="90"/>
        <v>-3.0501089324618858E-2</v>
      </c>
      <c r="AB274" s="113" t="s">
        <v>3243</v>
      </c>
      <c r="AC274" s="382"/>
      <c r="AD274" s="153" t="s">
        <v>3204</v>
      </c>
      <c r="AE274" s="84">
        <v>43350</v>
      </c>
      <c r="AF274" s="83">
        <v>44306</v>
      </c>
      <c r="AG274" s="33">
        <f t="shared" si="88"/>
        <v>956</v>
      </c>
      <c r="AH274" s="41" t="s">
        <v>2906</v>
      </c>
      <c r="AI274" s="163"/>
      <c r="AK274" s="11"/>
      <c r="AL274" s="11"/>
      <c r="AM274" s="11"/>
      <c r="AN274" s="11"/>
      <c r="AQ274" s="171"/>
      <c r="AR274" s="4"/>
    </row>
    <row r="275" spans="1:44" s="248" customFormat="1" ht="16.5" customHeight="1">
      <c r="A275" s="116"/>
      <c r="B275" s="80">
        <v>-90</v>
      </c>
      <c r="C275" s="80">
        <v>-95</v>
      </c>
      <c r="D275" s="80">
        <v>-90</v>
      </c>
      <c r="E275" s="80">
        <v>-95</v>
      </c>
      <c r="F275" s="6">
        <v>0.27</v>
      </c>
      <c r="G275" s="79">
        <v>1727</v>
      </c>
      <c r="H275" s="50" t="s">
        <v>1404</v>
      </c>
      <c r="I275" s="153" t="s">
        <v>3204</v>
      </c>
      <c r="J275" s="8">
        <f>IFERROR(VLOOKUP($G275,今日總結!$A:$AJ,33,0),"")</f>
        <v>1</v>
      </c>
      <c r="K275" s="5">
        <f>IFERROR(VLOOKUP($G275,今日總結!$A:$AJ,34,0),"")</f>
        <v>0</v>
      </c>
      <c r="L275" s="156">
        <f>IFERROR(VLOOKUP($G275,今日總結!$A:$AJ,31,0),"")</f>
        <v>0</v>
      </c>
      <c r="M275" s="340">
        <f>IFERROR(VLOOKUP($G275,今日總結!$A:$AJ,32,0),"")</f>
        <v>0</v>
      </c>
      <c r="N275" s="240">
        <f t="shared" si="85"/>
        <v>0</v>
      </c>
      <c r="O275" s="245"/>
      <c r="P275" s="365">
        <f>IFERROR(VLOOKUP($G275,融外自投!$A:$J,7,0),"無")</f>
        <v>150</v>
      </c>
      <c r="Q275" s="79">
        <f>IFERROR(VLOOKUP($G275,融外自投!$A:$J,9,0),"無")</f>
        <v>270</v>
      </c>
      <c r="R275" s="346">
        <f>IFERROR(VLOOKUP($G275,融外自投!$A:$J,8,0),"無")</f>
        <v>997</v>
      </c>
      <c r="S275" s="81">
        <f>IFERROR(VLOOKUP($G275,融外自投!$A:$J,10,0),"無")</f>
        <v>383</v>
      </c>
      <c r="T275" s="327">
        <f>IFERROR(VLOOKUP($G275,'321買'!$A:$E,5,0),"'沒有資料'")</f>
        <v>153</v>
      </c>
      <c r="U275" s="185">
        <v>0.6</v>
      </c>
      <c r="V275" s="311"/>
      <c r="W275" s="57">
        <f t="shared" si="87"/>
        <v>4.49438202247191E-2</v>
      </c>
      <c r="X275" s="161">
        <v>13.35</v>
      </c>
      <c r="Y275" s="65">
        <f>12.4-0.2</f>
        <v>12.200000000000001</v>
      </c>
      <c r="Z275" s="162">
        <f t="shared" si="89"/>
        <v>1.1499999999999986</v>
      </c>
      <c r="AA275" s="158">
        <f t="shared" si="90"/>
        <v>9.4262295081967082E-2</v>
      </c>
      <c r="AB275" s="111" t="s">
        <v>3244</v>
      </c>
      <c r="AC275" s="382"/>
      <c r="AD275" s="153" t="s">
        <v>3204</v>
      </c>
      <c r="AE275" s="84">
        <v>43714</v>
      </c>
      <c r="AF275" s="83">
        <v>44306</v>
      </c>
      <c r="AG275" s="33">
        <f t="shared" si="88"/>
        <v>592</v>
      </c>
      <c r="AH275" s="41" t="s">
        <v>2906</v>
      </c>
    </row>
    <row r="276" spans="1:44" s="248" customFormat="1" ht="16.5" customHeight="1">
      <c r="A276" s="116"/>
      <c r="B276" s="80">
        <v>-90</v>
      </c>
      <c r="C276" s="80">
        <v>-95</v>
      </c>
      <c r="D276" s="80">
        <v>-90</v>
      </c>
      <c r="E276" s="80">
        <v>-95</v>
      </c>
      <c r="F276" s="6">
        <v>0.27</v>
      </c>
      <c r="G276" s="79">
        <v>1727</v>
      </c>
      <c r="H276" s="50" t="s">
        <v>1404</v>
      </c>
      <c r="I276" s="153" t="s">
        <v>3204</v>
      </c>
      <c r="J276" s="8">
        <f>IFERROR(VLOOKUP($G276,今日總結!$A:$AJ,33,0),"")</f>
        <v>1</v>
      </c>
      <c r="K276" s="5">
        <f>IFERROR(VLOOKUP($G276,今日總結!$A:$AJ,34,0),"")</f>
        <v>0</v>
      </c>
      <c r="L276" s="156">
        <f>IFERROR(VLOOKUP($G276,今日總結!$A:$AJ,31,0),"")</f>
        <v>0</v>
      </c>
      <c r="M276" s="340">
        <f>IFERROR(VLOOKUP($G276,今日總結!$A:$AJ,32,0),"")</f>
        <v>0</v>
      </c>
      <c r="N276" s="240">
        <f t="shared" si="85"/>
        <v>0</v>
      </c>
      <c r="O276" s="245"/>
      <c r="P276" s="365">
        <f>IFERROR(VLOOKUP($G276,融外自投!$A:$J,7,0),"無")</f>
        <v>150</v>
      </c>
      <c r="Q276" s="79">
        <f>IFERROR(VLOOKUP($G276,融外自投!$A:$J,9,0),"無")</f>
        <v>270</v>
      </c>
      <c r="R276" s="346">
        <f>IFERROR(VLOOKUP($G276,融外自投!$A:$J,8,0),"無")</f>
        <v>997</v>
      </c>
      <c r="S276" s="81">
        <f>IFERROR(VLOOKUP($G276,融外自投!$A:$J,10,0),"無")</f>
        <v>383</v>
      </c>
      <c r="T276" s="327">
        <f>IFERROR(VLOOKUP($G276,'321買'!$A:$E,5,0),"'沒有資料'")</f>
        <v>153</v>
      </c>
      <c r="U276" s="185">
        <v>0.6</v>
      </c>
      <c r="V276" s="311"/>
      <c r="W276" s="57">
        <f t="shared" si="87"/>
        <v>4.49438202247191E-2</v>
      </c>
      <c r="X276" s="161">
        <v>13.35</v>
      </c>
      <c r="Y276" s="65">
        <f>12.35-0.2</f>
        <v>12.15</v>
      </c>
      <c r="Z276" s="162">
        <f t="shared" si="89"/>
        <v>1.1999999999999993</v>
      </c>
      <c r="AA276" s="158">
        <f t="shared" si="90"/>
        <v>9.8765432098765371E-2</v>
      </c>
      <c r="AB276" s="111" t="s">
        <v>2958</v>
      </c>
      <c r="AC276" s="382"/>
      <c r="AD276" s="153" t="s">
        <v>3204</v>
      </c>
      <c r="AE276" s="84">
        <v>43710</v>
      </c>
      <c r="AF276" s="83">
        <v>44306</v>
      </c>
      <c r="AG276" s="33">
        <f t="shared" si="88"/>
        <v>596</v>
      </c>
      <c r="AH276" s="41" t="s">
        <v>2906</v>
      </c>
    </row>
    <row r="277" spans="1:44" s="248" customFormat="1">
      <c r="A277" s="127" t="s">
        <v>1637</v>
      </c>
      <c r="B277" s="79">
        <v>44</v>
      </c>
      <c r="C277" s="79">
        <v>42</v>
      </c>
      <c r="D277" s="80">
        <v>-5</v>
      </c>
      <c r="E277" s="79">
        <v>26</v>
      </c>
      <c r="F277" s="57">
        <v>10.09</v>
      </c>
      <c r="G277" s="80">
        <v>4927</v>
      </c>
      <c r="H277" s="30" t="s">
        <v>1462</v>
      </c>
      <c r="I277" s="153" t="s">
        <v>447</v>
      </c>
      <c r="J277" s="8">
        <f>IFERROR(VLOOKUP($G277,今日總結!$A:$AJ,33,0),"")</f>
        <v>1</v>
      </c>
      <c r="K277" s="5">
        <f>IFERROR(VLOOKUP($G277,今日總結!$A:$AJ,34,0),"")</f>
        <v>0</v>
      </c>
      <c r="L277" s="156">
        <f>IFERROR(VLOOKUP($G277,今日總結!$A:$AJ,31,0),"")</f>
        <v>0</v>
      </c>
      <c r="M277" s="340">
        <f>IFERROR(VLOOKUP($G277,今日總結!$A:$AJ,32,0),"")</f>
        <v>0</v>
      </c>
      <c r="N277" s="240">
        <f t="shared" si="85"/>
        <v>0</v>
      </c>
      <c r="O277" s="245"/>
      <c r="P277" s="365">
        <f>IFERROR(VLOOKUP($G277,融外自投!$A:$J,7,0),"無")</f>
        <v>291</v>
      </c>
      <c r="Q277" s="79">
        <f>IFERROR(VLOOKUP($G277,融外自投!$A:$J,9,0),"無")</f>
        <v>194</v>
      </c>
      <c r="R277" s="346">
        <f>IFERROR(VLOOKUP($G277,融外自投!$A:$J,8,0),"無")</f>
        <v>283</v>
      </c>
      <c r="S277" s="81">
        <f>IFERROR(VLOOKUP($G277,融外自投!$A:$J,10,0),"無")</f>
        <v>37</v>
      </c>
      <c r="T277" s="327">
        <f>IFERROR(VLOOKUP($G277,'321買'!$A:$E,5,0),"'沒有資料'")</f>
        <v>51</v>
      </c>
      <c r="U277" s="185">
        <v>3</v>
      </c>
      <c r="V277" s="311"/>
      <c r="W277" s="94">
        <f t="shared" ref="W277:W283" si="91">U277/X277</f>
        <v>4.4776119402985072E-2</v>
      </c>
      <c r="X277" s="161">
        <v>67</v>
      </c>
      <c r="Y277" s="65">
        <v>62.2</v>
      </c>
      <c r="Z277" s="162">
        <f t="shared" ref="Z277:Z283" si="92">X277-Y277</f>
        <v>4.7999999999999972</v>
      </c>
      <c r="AA277" s="158">
        <f t="shared" ref="AA277:AA283" si="93">Z277/Y277</f>
        <v>7.7170418006430819E-2</v>
      </c>
      <c r="AB277" s="167" t="s">
        <v>3168</v>
      </c>
      <c r="AC277" s="382"/>
      <c r="AD277" s="153" t="s">
        <v>447</v>
      </c>
      <c r="AE277" s="84">
        <v>44300</v>
      </c>
      <c r="AF277" s="83">
        <v>44306</v>
      </c>
      <c r="AG277" s="33">
        <f t="shared" ref="AG277:AG289" si="94">AF277-AE277</f>
        <v>6</v>
      </c>
      <c r="AH277" s="41" t="s">
        <v>1122</v>
      </c>
      <c r="AI277" s="27"/>
      <c r="AJ277" s="17"/>
      <c r="AK277" s="17"/>
      <c r="AL277" s="17"/>
      <c r="AM277" s="17"/>
      <c r="AN277" s="17"/>
    </row>
    <row r="278" spans="1:44" s="248" customFormat="1">
      <c r="A278" s="127" t="s">
        <v>1637</v>
      </c>
      <c r="B278" s="79">
        <v>44</v>
      </c>
      <c r="C278" s="79">
        <v>42</v>
      </c>
      <c r="D278" s="80">
        <v>-5</v>
      </c>
      <c r="E278" s="79">
        <v>26</v>
      </c>
      <c r="F278" s="57">
        <v>10.09</v>
      </c>
      <c r="G278" s="80">
        <v>4927</v>
      </c>
      <c r="H278" s="30" t="s">
        <v>1462</v>
      </c>
      <c r="I278" s="153" t="s">
        <v>447</v>
      </c>
      <c r="J278" s="8">
        <f>IFERROR(VLOOKUP($G278,今日總結!$A:$AJ,33,0),"")</f>
        <v>1</v>
      </c>
      <c r="K278" s="5">
        <f>IFERROR(VLOOKUP($G278,今日總結!$A:$AJ,34,0),"")</f>
        <v>0</v>
      </c>
      <c r="L278" s="156">
        <f>IFERROR(VLOOKUP($G278,今日總結!$A:$AJ,31,0),"")</f>
        <v>0</v>
      </c>
      <c r="M278" s="340">
        <f>IFERROR(VLOOKUP($G278,今日總結!$A:$AJ,32,0),"")</f>
        <v>0</v>
      </c>
      <c r="N278" s="240">
        <f t="shared" si="85"/>
        <v>0</v>
      </c>
      <c r="O278" s="245"/>
      <c r="P278" s="365">
        <f>IFERROR(VLOOKUP($G278,融外自投!$A:$J,7,0),"無")</f>
        <v>291</v>
      </c>
      <c r="Q278" s="79">
        <f>IFERROR(VLOOKUP($G278,融外自投!$A:$J,9,0),"無")</f>
        <v>194</v>
      </c>
      <c r="R278" s="346">
        <f>IFERROR(VLOOKUP($G278,融外自投!$A:$J,8,0),"無")</f>
        <v>283</v>
      </c>
      <c r="S278" s="81">
        <f>IFERROR(VLOOKUP($G278,融外自投!$A:$J,10,0),"無")</f>
        <v>37</v>
      </c>
      <c r="T278" s="327">
        <f>IFERROR(VLOOKUP($G278,'321買'!$A:$E,5,0),"'沒有資料'")</f>
        <v>51</v>
      </c>
      <c r="U278" s="185">
        <v>3</v>
      </c>
      <c r="V278" s="311"/>
      <c r="W278" s="94">
        <f t="shared" si="91"/>
        <v>4.4776119402985072E-2</v>
      </c>
      <c r="X278" s="161">
        <v>67</v>
      </c>
      <c r="Y278" s="65">
        <v>62.2</v>
      </c>
      <c r="Z278" s="162">
        <f t="shared" si="92"/>
        <v>4.7999999999999972</v>
      </c>
      <c r="AA278" s="158">
        <f t="shared" si="93"/>
        <v>7.7170418006430819E-2</v>
      </c>
      <c r="AB278" s="167" t="s">
        <v>3168</v>
      </c>
      <c r="AC278" s="382"/>
      <c r="AD278" s="153" t="s">
        <v>447</v>
      </c>
      <c r="AE278" s="84">
        <v>44300</v>
      </c>
      <c r="AF278" s="83">
        <v>44306</v>
      </c>
      <c r="AG278" s="33">
        <f t="shared" si="94"/>
        <v>6</v>
      </c>
      <c r="AH278" s="41" t="s">
        <v>1122</v>
      </c>
      <c r="AI278" s="27"/>
      <c r="AJ278" s="17"/>
      <c r="AK278" s="17"/>
      <c r="AL278" s="17"/>
      <c r="AM278" s="17"/>
      <c r="AN278" s="17"/>
    </row>
    <row r="279" spans="1:44" s="248" customFormat="1">
      <c r="A279" s="127" t="s">
        <v>3205</v>
      </c>
      <c r="B279" s="79">
        <v>44</v>
      </c>
      <c r="C279" s="79">
        <v>42</v>
      </c>
      <c r="D279" s="80">
        <v>-5</v>
      </c>
      <c r="E279" s="79">
        <v>26</v>
      </c>
      <c r="F279" s="57">
        <v>10.09</v>
      </c>
      <c r="G279" s="80">
        <v>4927</v>
      </c>
      <c r="H279" s="30" t="s">
        <v>3154</v>
      </c>
      <c r="I279" s="153" t="s">
        <v>3206</v>
      </c>
      <c r="J279" s="8">
        <f>IFERROR(VLOOKUP($G279,今日總結!$A:$AJ,33,0),"")</f>
        <v>1</v>
      </c>
      <c r="K279" s="5">
        <f>IFERROR(VLOOKUP($G279,今日總結!$A:$AJ,34,0),"")</f>
        <v>0</v>
      </c>
      <c r="L279" s="156">
        <f>IFERROR(VLOOKUP($G279,今日總結!$A:$AJ,31,0),"")</f>
        <v>0</v>
      </c>
      <c r="M279" s="340">
        <f>IFERROR(VLOOKUP($G279,今日總結!$A:$AJ,32,0),"")</f>
        <v>0</v>
      </c>
      <c r="N279" s="240">
        <f t="shared" si="85"/>
        <v>0</v>
      </c>
      <c r="O279" s="245"/>
      <c r="P279" s="365">
        <f>IFERROR(VLOOKUP($G279,融外自投!$A:$J,7,0),"無")</f>
        <v>291</v>
      </c>
      <c r="Q279" s="79">
        <f>IFERROR(VLOOKUP($G279,融外自投!$A:$J,9,0),"無")</f>
        <v>194</v>
      </c>
      <c r="R279" s="346">
        <f>IFERROR(VLOOKUP($G279,融外自投!$A:$J,8,0),"無")</f>
        <v>283</v>
      </c>
      <c r="S279" s="81">
        <f>IFERROR(VLOOKUP($G279,融外自投!$A:$J,10,0),"無")</f>
        <v>37</v>
      </c>
      <c r="T279" s="327">
        <f>IFERROR(VLOOKUP($G279,'321買'!$A:$E,5,0),"'沒有資料'")</f>
        <v>51</v>
      </c>
      <c r="U279" s="185">
        <v>3</v>
      </c>
      <c r="V279" s="311"/>
      <c r="W279" s="94">
        <f t="shared" si="91"/>
        <v>4.4776119402985072E-2</v>
      </c>
      <c r="X279" s="161">
        <v>67</v>
      </c>
      <c r="Y279" s="65">
        <v>66.900000000000006</v>
      </c>
      <c r="Z279" s="162">
        <f t="shared" si="92"/>
        <v>9.9999999999994316E-2</v>
      </c>
      <c r="AA279" s="158">
        <f t="shared" si="93"/>
        <v>1.4947683109117235E-3</v>
      </c>
      <c r="AB279" s="167" t="s">
        <v>3242</v>
      </c>
      <c r="AC279" s="382"/>
      <c r="AD279" s="153" t="s">
        <v>3206</v>
      </c>
      <c r="AE279" s="84">
        <v>44292</v>
      </c>
      <c r="AF279" s="83">
        <v>44306</v>
      </c>
      <c r="AG279" s="33">
        <f t="shared" si="94"/>
        <v>14</v>
      </c>
      <c r="AH279" s="41" t="s">
        <v>2921</v>
      </c>
      <c r="AI279" s="27"/>
      <c r="AJ279" s="17"/>
      <c r="AK279" s="17"/>
      <c r="AL279" s="17"/>
      <c r="AM279" s="17"/>
      <c r="AN279" s="17"/>
    </row>
    <row r="280" spans="1:44" s="248" customFormat="1">
      <c r="A280" s="127" t="s">
        <v>3205</v>
      </c>
      <c r="B280" s="79">
        <v>44</v>
      </c>
      <c r="C280" s="79">
        <v>42</v>
      </c>
      <c r="D280" s="80">
        <v>-5</v>
      </c>
      <c r="E280" s="79">
        <v>26</v>
      </c>
      <c r="F280" s="57">
        <v>10.09</v>
      </c>
      <c r="G280" s="80">
        <v>4927</v>
      </c>
      <c r="H280" s="30" t="s">
        <v>3154</v>
      </c>
      <c r="I280" s="153" t="s">
        <v>3206</v>
      </c>
      <c r="J280" s="8">
        <f>IFERROR(VLOOKUP($G280,今日總結!$A:$AJ,33,0),"")</f>
        <v>1</v>
      </c>
      <c r="K280" s="5">
        <f>IFERROR(VLOOKUP($G280,今日總結!$A:$AJ,34,0),"")</f>
        <v>0</v>
      </c>
      <c r="L280" s="156">
        <f>IFERROR(VLOOKUP($G280,今日總結!$A:$AJ,31,0),"")</f>
        <v>0</v>
      </c>
      <c r="M280" s="340">
        <f>IFERROR(VLOOKUP($G280,今日總結!$A:$AJ,32,0),"")</f>
        <v>0</v>
      </c>
      <c r="N280" s="240">
        <f t="shared" si="85"/>
        <v>0</v>
      </c>
      <c r="O280" s="245"/>
      <c r="P280" s="365">
        <f>IFERROR(VLOOKUP($G280,融外自投!$A:$J,7,0),"無")</f>
        <v>291</v>
      </c>
      <c r="Q280" s="79">
        <f>IFERROR(VLOOKUP($G280,融外自投!$A:$J,9,0),"無")</f>
        <v>194</v>
      </c>
      <c r="R280" s="346">
        <f>IFERROR(VLOOKUP($G280,融外自投!$A:$J,8,0),"無")</f>
        <v>283</v>
      </c>
      <c r="S280" s="81">
        <f>IFERROR(VLOOKUP($G280,融外自投!$A:$J,10,0),"無")</f>
        <v>37</v>
      </c>
      <c r="T280" s="327">
        <f>IFERROR(VLOOKUP($G280,'321買'!$A:$E,5,0),"'沒有資料'")</f>
        <v>51</v>
      </c>
      <c r="U280" s="185">
        <v>3</v>
      </c>
      <c r="V280" s="311"/>
      <c r="W280" s="94">
        <f t="shared" si="91"/>
        <v>4.4776119402985072E-2</v>
      </c>
      <c r="X280" s="161">
        <v>67</v>
      </c>
      <c r="Y280" s="65">
        <v>66.900000000000006</v>
      </c>
      <c r="Z280" s="162">
        <f t="shared" si="92"/>
        <v>9.9999999999994316E-2</v>
      </c>
      <c r="AA280" s="158">
        <f t="shared" si="93"/>
        <v>1.4947683109117235E-3</v>
      </c>
      <c r="AB280" s="167" t="s">
        <v>3242</v>
      </c>
      <c r="AC280" s="382"/>
      <c r="AD280" s="153" t="s">
        <v>3206</v>
      </c>
      <c r="AE280" s="84">
        <v>44292</v>
      </c>
      <c r="AF280" s="83">
        <v>44306</v>
      </c>
      <c r="AG280" s="33">
        <f t="shared" si="94"/>
        <v>14</v>
      </c>
      <c r="AH280" s="41" t="s">
        <v>2921</v>
      </c>
      <c r="AI280" s="27"/>
      <c r="AJ280" s="17"/>
      <c r="AK280" s="17"/>
      <c r="AL280" s="17"/>
      <c r="AM280" s="17"/>
      <c r="AN280" s="17"/>
    </row>
    <row r="281" spans="1:44" s="248" customFormat="1">
      <c r="A281" s="127" t="s">
        <v>1663</v>
      </c>
      <c r="B281" s="79">
        <v>114</v>
      </c>
      <c r="C281" s="79">
        <v>108</v>
      </c>
      <c r="D281" s="80">
        <v>-38</v>
      </c>
      <c r="E281" s="80">
        <v>-29</v>
      </c>
      <c r="F281" s="57">
        <v>11.29</v>
      </c>
      <c r="G281" s="80">
        <v>5457</v>
      </c>
      <c r="H281" s="30" t="s">
        <v>1462</v>
      </c>
      <c r="I281" s="166" t="s">
        <v>178</v>
      </c>
      <c r="J281" s="8" t="str">
        <f>IFERROR(VLOOKUP($G281,今日總結!$A:$AJ,33,0),"")</f>
        <v/>
      </c>
      <c r="K281" s="5" t="str">
        <f>IFERROR(VLOOKUP($G281,今日總結!$A:$AJ,34,0),"")</f>
        <v/>
      </c>
      <c r="L281" s="156" t="str">
        <f>IFERROR(VLOOKUP($G281,今日總結!$A:$AJ,31,0),"")</f>
        <v/>
      </c>
      <c r="M281" s="340" t="str">
        <f>IFERROR(VLOOKUP($G281,今日總結!$A:$AJ,32,0),"")</f>
        <v/>
      </c>
      <c r="N281" s="240" t="str">
        <f t="shared" si="85"/>
        <v/>
      </c>
      <c r="O281" s="245"/>
      <c r="P281" s="365">
        <f>IFERROR(VLOOKUP($G281,融外自投!$A:$J,7,0),"無")</f>
        <v>285</v>
      </c>
      <c r="Q281" s="79">
        <f>IFERROR(VLOOKUP($G281,融外自投!$A:$J,9,0),"無")</f>
        <v>586</v>
      </c>
      <c r="R281" s="346">
        <f>IFERROR(VLOOKUP($G281,融外自投!$A:$J,8,0),"無")</f>
        <v>133</v>
      </c>
      <c r="S281" s="81">
        <f>IFERROR(VLOOKUP($G281,融外自投!$A:$J,10,0),"無")</f>
        <v>172</v>
      </c>
      <c r="T281" s="327">
        <f>IFERROR(VLOOKUP($G281,'321買'!$A:$E,5,0),"'沒有資料'")</f>
        <v>634</v>
      </c>
      <c r="U281" s="185">
        <v>2.1</v>
      </c>
      <c r="V281" s="311"/>
      <c r="W281" s="57">
        <f t="shared" si="91"/>
        <v>2.4618991793669404E-2</v>
      </c>
      <c r="X281" s="165">
        <v>85.3</v>
      </c>
      <c r="Y281" s="65">
        <v>85.4</v>
      </c>
      <c r="Z281" s="178">
        <f t="shared" si="92"/>
        <v>-0.10000000000000853</v>
      </c>
      <c r="AA281" s="164">
        <f t="shared" si="93"/>
        <v>-1.1709601873537297E-3</v>
      </c>
      <c r="AB281" s="168" t="s">
        <v>3229</v>
      </c>
      <c r="AC281" s="382"/>
      <c r="AD281" s="166" t="s">
        <v>178</v>
      </c>
      <c r="AE281" s="84">
        <v>44299</v>
      </c>
      <c r="AF281" s="83">
        <v>44300</v>
      </c>
      <c r="AG281" s="33">
        <f t="shared" si="94"/>
        <v>1</v>
      </c>
      <c r="AH281" s="41" t="s">
        <v>1122</v>
      </c>
      <c r="AI281" s="163"/>
    </row>
    <row r="282" spans="1:44" s="248" customFormat="1">
      <c r="A282" s="127" t="s">
        <v>1663</v>
      </c>
      <c r="B282" s="79">
        <v>114</v>
      </c>
      <c r="C282" s="79">
        <v>108</v>
      </c>
      <c r="D282" s="80">
        <v>-38</v>
      </c>
      <c r="E282" s="80">
        <v>-29</v>
      </c>
      <c r="F282" s="57">
        <v>11.29</v>
      </c>
      <c r="G282" s="80">
        <v>5457</v>
      </c>
      <c r="H282" s="30" t="s">
        <v>1462</v>
      </c>
      <c r="I282" s="166" t="s">
        <v>178</v>
      </c>
      <c r="J282" s="8" t="str">
        <f>IFERROR(VLOOKUP($G282,今日總結!$A:$AJ,33,0),"")</f>
        <v/>
      </c>
      <c r="K282" s="5" t="str">
        <f>IFERROR(VLOOKUP($G282,今日總結!$A:$AJ,34,0),"")</f>
        <v/>
      </c>
      <c r="L282" s="156" t="str">
        <f>IFERROR(VLOOKUP($G282,今日總結!$A:$AJ,31,0),"")</f>
        <v/>
      </c>
      <c r="M282" s="340" t="str">
        <f>IFERROR(VLOOKUP($G282,今日總結!$A:$AJ,32,0),"")</f>
        <v/>
      </c>
      <c r="N282" s="240" t="str">
        <f t="shared" si="85"/>
        <v/>
      </c>
      <c r="O282" s="245"/>
      <c r="P282" s="365">
        <f>IFERROR(VLOOKUP($G282,融外自投!$A:$J,7,0),"無")</f>
        <v>285</v>
      </c>
      <c r="Q282" s="79">
        <f>IFERROR(VLOOKUP($G282,融外自投!$A:$J,9,0),"無")</f>
        <v>586</v>
      </c>
      <c r="R282" s="346">
        <f>IFERROR(VLOOKUP($G282,融外自投!$A:$J,8,0),"無")</f>
        <v>133</v>
      </c>
      <c r="S282" s="81">
        <f>IFERROR(VLOOKUP($G282,融外自投!$A:$J,10,0),"無")</f>
        <v>172</v>
      </c>
      <c r="T282" s="327">
        <f>IFERROR(VLOOKUP($G282,'321買'!$A:$E,5,0),"'沒有資料'")</f>
        <v>634</v>
      </c>
      <c r="U282" s="185">
        <v>2.1</v>
      </c>
      <c r="V282" s="311"/>
      <c r="W282" s="57">
        <f t="shared" si="91"/>
        <v>2.4618991793669404E-2</v>
      </c>
      <c r="X282" s="165">
        <v>85.3</v>
      </c>
      <c r="Y282" s="65">
        <v>83.8</v>
      </c>
      <c r="Z282" s="105">
        <f t="shared" si="92"/>
        <v>1.5</v>
      </c>
      <c r="AA282" s="158">
        <f t="shared" si="93"/>
        <v>1.7899761336515514E-2</v>
      </c>
      <c r="AB282" s="167" t="s">
        <v>3228</v>
      </c>
      <c r="AC282" s="382"/>
      <c r="AD282" s="166" t="s">
        <v>178</v>
      </c>
      <c r="AE282" s="84">
        <v>44293</v>
      </c>
      <c r="AF282" s="83">
        <v>44300</v>
      </c>
      <c r="AG282" s="33">
        <f t="shared" si="94"/>
        <v>7</v>
      </c>
      <c r="AH282" s="41" t="s">
        <v>1122</v>
      </c>
      <c r="AI282" s="163"/>
    </row>
    <row r="283" spans="1:44" s="248" customFormat="1">
      <c r="A283" s="127" t="s">
        <v>2069</v>
      </c>
      <c r="B283" s="79">
        <v>1</v>
      </c>
      <c r="C283" s="79">
        <v>5</v>
      </c>
      <c r="D283" s="79">
        <v>22</v>
      </c>
      <c r="E283" s="80">
        <v>-1</v>
      </c>
      <c r="F283" s="57">
        <v>12.6</v>
      </c>
      <c r="G283" s="79">
        <v>6274</v>
      </c>
      <c r="H283" s="30" t="s">
        <v>1462</v>
      </c>
      <c r="I283" s="166" t="s">
        <v>3109</v>
      </c>
      <c r="J283" s="8" t="str">
        <f>IFERROR(VLOOKUP($G283,今日總結!$A:$AJ,33,0),"")</f>
        <v/>
      </c>
      <c r="K283" s="5" t="str">
        <f>IFERROR(VLOOKUP($G283,今日總結!$A:$AJ,34,0),"")</f>
        <v/>
      </c>
      <c r="L283" s="156" t="str">
        <f>IFERROR(VLOOKUP($G283,今日總結!$A:$AJ,31,0),"")</f>
        <v/>
      </c>
      <c r="M283" s="340" t="str">
        <f>IFERROR(VLOOKUP($G283,今日總結!$A:$AJ,32,0),"")</f>
        <v/>
      </c>
      <c r="N283" s="240" t="str">
        <f t="shared" si="85"/>
        <v/>
      </c>
      <c r="O283" s="245"/>
      <c r="P283" s="365">
        <f>IFERROR(VLOOKUP($G283,融外自投!$A:$J,7,0),"無")</f>
        <v>752</v>
      </c>
      <c r="Q283" s="79">
        <f>IFERROR(VLOOKUP($G283,融外自投!$A:$J,9,0),"無")</f>
        <v>321</v>
      </c>
      <c r="R283" s="346">
        <f>IFERROR(VLOOKUP($G283,融外自投!$A:$J,8,0),"無")</f>
        <v>138</v>
      </c>
      <c r="S283" s="81">
        <f>IFERROR(VLOOKUP($G283,融外自投!$A:$J,10,0),"無")</f>
        <v>155</v>
      </c>
      <c r="T283" s="327">
        <f>IFERROR(VLOOKUP($G283,'321買'!$A:$E,5,0),"'沒有資料'")</f>
        <v>515</v>
      </c>
      <c r="U283" s="65">
        <v>4.8</v>
      </c>
      <c r="V283" s="311"/>
      <c r="W283" s="57">
        <f t="shared" si="91"/>
        <v>3.8399999999999997E-2</v>
      </c>
      <c r="X283" s="165">
        <v>125</v>
      </c>
      <c r="Y283" s="65">
        <v>124</v>
      </c>
      <c r="Z283" s="162">
        <f t="shared" si="92"/>
        <v>1</v>
      </c>
      <c r="AA283" s="158">
        <f t="shared" si="93"/>
        <v>8.0645161290322578E-3</v>
      </c>
      <c r="AB283" s="167" t="s">
        <v>3227</v>
      </c>
      <c r="AC283" s="382"/>
      <c r="AD283" s="166" t="s">
        <v>3109</v>
      </c>
      <c r="AE283" s="84">
        <v>44299</v>
      </c>
      <c r="AF283" s="83">
        <v>44300</v>
      </c>
      <c r="AG283" s="33">
        <f t="shared" si="94"/>
        <v>1</v>
      </c>
      <c r="AH283" s="41" t="s">
        <v>1122</v>
      </c>
    </row>
    <row r="284" spans="1:44">
      <c r="A284" s="127" t="s">
        <v>1864</v>
      </c>
      <c r="B284" s="79">
        <v>181</v>
      </c>
      <c r="C284" s="79">
        <v>217</v>
      </c>
      <c r="D284" s="79">
        <v>24</v>
      </c>
      <c r="E284" s="79">
        <v>77</v>
      </c>
      <c r="F284" s="57">
        <v>41.47</v>
      </c>
      <c r="G284" s="80">
        <v>4171</v>
      </c>
      <c r="H284" s="30" t="s">
        <v>1462</v>
      </c>
      <c r="I284" s="16" t="s">
        <v>1039</v>
      </c>
      <c r="J284" s="8">
        <f>IFERROR(VLOOKUP($G284,今日總結!$A:$AJ,33,0),"")</f>
        <v>2</v>
      </c>
      <c r="K284" s="5">
        <f>IFERROR(VLOOKUP($G284,今日總結!$A:$AJ,34,0),"")</f>
        <v>1</v>
      </c>
      <c r="L284" s="156">
        <f>IFERROR(VLOOKUP($G284,今日總結!$A:$AJ,31,0),"")</f>
        <v>0</v>
      </c>
      <c r="M284" s="340">
        <f>IFERROR(VLOOKUP($G284,今日總結!$A:$AJ,32,0),"")</f>
        <v>0</v>
      </c>
      <c r="N284" s="240">
        <f t="shared" si="85"/>
        <v>0</v>
      </c>
      <c r="P284" s="365">
        <f>IFERROR(VLOOKUP($G284,融外自投!$A:$J,7,0),"無")</f>
        <v>42</v>
      </c>
      <c r="Q284" s="79">
        <f>IFERROR(VLOOKUP($G284,融外自投!$A:$J,9,0),"無")</f>
        <v>138</v>
      </c>
      <c r="R284" s="346">
        <f>IFERROR(VLOOKUP($G284,融外自投!$A:$J,8,0),"無")</f>
        <v>251</v>
      </c>
      <c r="S284" s="81" t="str">
        <f>IFERROR(VLOOKUP($G284,融外自投!$A:$J,10,0),"無")</f>
        <v>無</v>
      </c>
      <c r="T284" s="327">
        <f>IFERROR(VLOOKUP($G284,'321買'!$A:$E,5,0),"'沒有資料'")</f>
        <v>634</v>
      </c>
      <c r="U284" s="34">
        <v>3.83</v>
      </c>
      <c r="W284" s="94">
        <f t="shared" ref="W284:W289" si="95">U284/X284</f>
        <v>3.1265306122448981E-2</v>
      </c>
      <c r="X284" s="36">
        <v>122.5</v>
      </c>
      <c r="Y284" s="66">
        <v>118</v>
      </c>
      <c r="Z284" s="15">
        <f t="shared" ref="Z284:Z289" si="96">X284-Y284</f>
        <v>4.5</v>
      </c>
      <c r="AA284" s="63">
        <f t="shared" ref="AA284:AA289" si="97">Z284/Y284</f>
        <v>3.8135593220338986E-2</v>
      </c>
      <c r="AB284" s="101" t="s">
        <v>3224</v>
      </c>
      <c r="AD284" s="16" t="s">
        <v>1039</v>
      </c>
      <c r="AE284" s="84">
        <v>44295</v>
      </c>
      <c r="AF284" s="83">
        <v>44299</v>
      </c>
      <c r="AG284" s="33">
        <f t="shared" si="94"/>
        <v>4</v>
      </c>
      <c r="AH284" s="41" t="s">
        <v>1122</v>
      </c>
      <c r="AJ284" s="8"/>
    </row>
    <row r="285" spans="1:44" s="248" customFormat="1">
      <c r="A285" s="127" t="s">
        <v>1743</v>
      </c>
      <c r="B285" s="79">
        <v>31</v>
      </c>
      <c r="C285" s="79">
        <v>21</v>
      </c>
      <c r="D285" s="79">
        <v>1</v>
      </c>
      <c r="E285" s="79">
        <v>6</v>
      </c>
      <c r="F285" s="57">
        <v>26.31</v>
      </c>
      <c r="G285" s="79">
        <v>6592</v>
      </c>
      <c r="H285" s="30" t="s">
        <v>1462</v>
      </c>
      <c r="I285" s="153" t="s">
        <v>1736</v>
      </c>
      <c r="J285" s="8" t="str">
        <f>IFERROR(VLOOKUP($G285,今日總結!$A:$AJ,33,0),"")</f>
        <v/>
      </c>
      <c r="K285" s="5" t="str">
        <f>IFERROR(VLOOKUP($G285,今日總結!$A:$AJ,34,0),"")</f>
        <v/>
      </c>
      <c r="L285" s="156" t="str">
        <f>IFERROR(VLOOKUP($G285,今日總結!$A:$AJ,31,0),"")</f>
        <v/>
      </c>
      <c r="M285" s="340" t="str">
        <f>IFERROR(VLOOKUP($G285,今日總結!$A:$AJ,32,0),"")</f>
        <v/>
      </c>
      <c r="N285" s="240" t="str">
        <f t="shared" si="85"/>
        <v/>
      </c>
      <c r="O285" s="245"/>
      <c r="P285" s="365">
        <f>IFERROR(VLOOKUP($G285,融外自投!$A:$J,7,0),"無")</f>
        <v>1228</v>
      </c>
      <c r="Q285" s="79">
        <f>IFERROR(VLOOKUP($G285,融外自投!$A:$J,9,0),"無")</f>
        <v>824</v>
      </c>
      <c r="R285" s="346">
        <f>IFERROR(VLOOKUP($G285,融外自投!$A:$J,8,0),"無")</f>
        <v>197</v>
      </c>
      <c r="S285" s="81">
        <f>IFERROR(VLOOKUP($G285,融外自投!$A:$J,10,0),"無")</f>
        <v>383</v>
      </c>
      <c r="T285" s="327">
        <f>IFERROR(VLOOKUP($G285,'321買'!$A:$E,5,0),"'沒有資料'")</f>
        <v>802</v>
      </c>
      <c r="U285" s="185">
        <v>3.3</v>
      </c>
      <c r="V285" s="311"/>
      <c r="W285" s="94">
        <f t="shared" si="95"/>
        <v>3.6544850498338867E-2</v>
      </c>
      <c r="X285" s="161">
        <v>90.3</v>
      </c>
      <c r="Y285" s="65">
        <v>79.8</v>
      </c>
      <c r="Z285" s="162">
        <f t="shared" si="96"/>
        <v>10.5</v>
      </c>
      <c r="AA285" s="158">
        <f t="shared" si="97"/>
        <v>0.13157894736842105</v>
      </c>
      <c r="AB285" s="167" t="s">
        <v>3221</v>
      </c>
      <c r="AC285" s="382"/>
      <c r="AD285" s="153" t="s">
        <v>1736</v>
      </c>
      <c r="AE285" s="84">
        <v>44200</v>
      </c>
      <c r="AF285" s="83">
        <v>44299</v>
      </c>
      <c r="AG285" s="33">
        <f t="shared" si="94"/>
        <v>99</v>
      </c>
      <c r="AH285" s="41" t="s">
        <v>2153</v>
      </c>
      <c r="AI285" s="247"/>
      <c r="AJ285" s="247"/>
      <c r="AK285" s="157"/>
      <c r="AL285" s="65"/>
      <c r="AM285" s="157"/>
      <c r="AN285" s="65"/>
      <c r="AO285" s="41"/>
      <c r="AP285" s="153"/>
    </row>
    <row r="286" spans="1:44" s="248" customFormat="1">
      <c r="A286" s="127" t="s">
        <v>1743</v>
      </c>
      <c r="B286" s="79">
        <v>31</v>
      </c>
      <c r="C286" s="79">
        <v>21</v>
      </c>
      <c r="D286" s="79">
        <v>1</v>
      </c>
      <c r="E286" s="79">
        <v>6</v>
      </c>
      <c r="F286" s="57">
        <v>26.31</v>
      </c>
      <c r="G286" s="79">
        <v>6592</v>
      </c>
      <c r="H286" s="30" t="s">
        <v>1462</v>
      </c>
      <c r="I286" s="153" t="s">
        <v>1736</v>
      </c>
      <c r="J286" s="8" t="str">
        <f>IFERROR(VLOOKUP($G286,今日總結!$A:$AJ,33,0),"")</f>
        <v/>
      </c>
      <c r="K286" s="5" t="str">
        <f>IFERROR(VLOOKUP($G286,今日總結!$A:$AJ,34,0),"")</f>
        <v/>
      </c>
      <c r="L286" s="156" t="str">
        <f>IFERROR(VLOOKUP($G286,今日總結!$A:$AJ,31,0),"")</f>
        <v/>
      </c>
      <c r="M286" s="340" t="str">
        <f>IFERROR(VLOOKUP($G286,今日總結!$A:$AJ,32,0),"")</f>
        <v/>
      </c>
      <c r="N286" s="240" t="str">
        <f t="shared" si="85"/>
        <v/>
      </c>
      <c r="O286" s="245"/>
      <c r="P286" s="365">
        <f>IFERROR(VLOOKUP($G286,融外自投!$A:$J,7,0),"無")</f>
        <v>1228</v>
      </c>
      <c r="Q286" s="79">
        <f>IFERROR(VLOOKUP($G286,融外自投!$A:$J,9,0),"無")</f>
        <v>824</v>
      </c>
      <c r="R286" s="346">
        <f>IFERROR(VLOOKUP($G286,融外自投!$A:$J,8,0),"無")</f>
        <v>197</v>
      </c>
      <c r="S286" s="81">
        <f>IFERROR(VLOOKUP($G286,融外自投!$A:$J,10,0),"無")</f>
        <v>383</v>
      </c>
      <c r="T286" s="327">
        <f>IFERROR(VLOOKUP($G286,'321買'!$A:$E,5,0),"'沒有資料'")</f>
        <v>802</v>
      </c>
      <c r="U286" s="185">
        <v>3.3</v>
      </c>
      <c r="V286" s="311"/>
      <c r="W286" s="94">
        <f t="shared" si="95"/>
        <v>3.6544850498338867E-2</v>
      </c>
      <c r="X286" s="161">
        <v>90.3</v>
      </c>
      <c r="Y286" s="65">
        <v>81</v>
      </c>
      <c r="Z286" s="162">
        <f t="shared" si="96"/>
        <v>9.2999999999999972</v>
      </c>
      <c r="AA286" s="158">
        <f t="shared" si="97"/>
        <v>0.11481481481481479</v>
      </c>
      <c r="AB286" s="167" t="s">
        <v>3222</v>
      </c>
      <c r="AC286" s="382"/>
      <c r="AD286" s="153" t="s">
        <v>1736</v>
      </c>
      <c r="AE286" s="84">
        <v>44200</v>
      </c>
      <c r="AF286" s="83">
        <v>44299</v>
      </c>
      <c r="AG286" s="33">
        <f t="shared" si="94"/>
        <v>99</v>
      </c>
      <c r="AH286" s="41" t="s">
        <v>2153</v>
      </c>
      <c r="AI286" s="247"/>
      <c r="AJ286" s="247"/>
      <c r="AK286" s="157"/>
      <c r="AL286" s="65"/>
      <c r="AM286" s="157"/>
      <c r="AN286" s="65"/>
      <c r="AO286" s="41"/>
      <c r="AP286" s="153"/>
    </row>
    <row r="287" spans="1:44" s="248" customFormat="1">
      <c r="A287" s="127" t="s">
        <v>1743</v>
      </c>
      <c r="B287" s="79">
        <v>31</v>
      </c>
      <c r="C287" s="79">
        <v>21</v>
      </c>
      <c r="D287" s="79">
        <v>1</v>
      </c>
      <c r="E287" s="79">
        <v>6</v>
      </c>
      <c r="F287" s="57">
        <v>26.31</v>
      </c>
      <c r="G287" s="79">
        <v>6592</v>
      </c>
      <c r="H287" s="30" t="s">
        <v>1462</v>
      </c>
      <c r="I287" s="153" t="s">
        <v>1736</v>
      </c>
      <c r="J287" s="8" t="str">
        <f>IFERROR(VLOOKUP($G287,今日總結!$A:$AJ,33,0),"")</f>
        <v/>
      </c>
      <c r="K287" s="5" t="str">
        <f>IFERROR(VLOOKUP($G287,今日總結!$A:$AJ,34,0),"")</f>
        <v/>
      </c>
      <c r="L287" s="156" t="str">
        <f>IFERROR(VLOOKUP($G287,今日總結!$A:$AJ,31,0),"")</f>
        <v/>
      </c>
      <c r="M287" s="340" t="str">
        <f>IFERROR(VLOOKUP($G287,今日總結!$A:$AJ,32,0),"")</f>
        <v/>
      </c>
      <c r="N287" s="240" t="str">
        <f t="shared" si="85"/>
        <v/>
      </c>
      <c r="O287" s="245"/>
      <c r="P287" s="365">
        <f>IFERROR(VLOOKUP($G287,融外自投!$A:$J,7,0),"無")</f>
        <v>1228</v>
      </c>
      <c r="Q287" s="79">
        <f>IFERROR(VLOOKUP($G287,融外自投!$A:$J,9,0),"無")</f>
        <v>824</v>
      </c>
      <c r="R287" s="346">
        <f>IFERROR(VLOOKUP($G287,融外自投!$A:$J,8,0),"無")</f>
        <v>197</v>
      </c>
      <c r="S287" s="81">
        <f>IFERROR(VLOOKUP($G287,融外自投!$A:$J,10,0),"無")</f>
        <v>383</v>
      </c>
      <c r="T287" s="327">
        <f>IFERROR(VLOOKUP($G287,'321買'!$A:$E,5,0),"'沒有資料'")</f>
        <v>802</v>
      </c>
      <c r="U287" s="185">
        <v>3.3</v>
      </c>
      <c r="V287" s="311"/>
      <c r="W287" s="94">
        <f t="shared" si="95"/>
        <v>3.6544850498338867E-2</v>
      </c>
      <c r="X287" s="161">
        <v>90.3</v>
      </c>
      <c r="Y287" s="65">
        <f>86.3-3.1</f>
        <v>83.2</v>
      </c>
      <c r="Z287" s="162">
        <f t="shared" si="96"/>
        <v>7.0999999999999943</v>
      </c>
      <c r="AA287" s="158">
        <f t="shared" si="97"/>
        <v>8.5336538461538394E-2</v>
      </c>
      <c r="AB287" s="167" t="s">
        <v>1889</v>
      </c>
      <c r="AC287" s="382"/>
      <c r="AD287" s="153" t="s">
        <v>1736</v>
      </c>
      <c r="AE287" s="84">
        <v>43843</v>
      </c>
      <c r="AF287" s="83">
        <v>44299</v>
      </c>
      <c r="AG287" s="33">
        <f t="shared" si="94"/>
        <v>456</v>
      </c>
      <c r="AH287" s="41" t="s">
        <v>2153</v>
      </c>
      <c r="AI287" s="247"/>
      <c r="AJ287" s="247"/>
      <c r="AK287" s="157"/>
      <c r="AL287" s="65"/>
      <c r="AM287" s="157"/>
      <c r="AN287" s="65"/>
      <c r="AO287" s="41"/>
      <c r="AP287" s="153"/>
    </row>
    <row r="288" spans="1:44" s="248" customFormat="1">
      <c r="A288" s="127" t="s">
        <v>2069</v>
      </c>
      <c r="B288" s="79">
        <v>1</v>
      </c>
      <c r="C288" s="79">
        <v>5</v>
      </c>
      <c r="D288" s="80">
        <v>-8</v>
      </c>
      <c r="E288" s="79">
        <v>8</v>
      </c>
      <c r="F288" s="57">
        <v>13.36</v>
      </c>
      <c r="G288" s="79">
        <v>6274</v>
      </c>
      <c r="H288" s="30" t="s">
        <v>1462</v>
      </c>
      <c r="I288" s="166" t="s">
        <v>3109</v>
      </c>
      <c r="J288" s="8" t="str">
        <f>IFERROR(VLOOKUP($G288,今日總結!$A:$AJ,33,0),"")</f>
        <v/>
      </c>
      <c r="K288" s="5" t="str">
        <f>IFERROR(VLOOKUP($G288,今日總結!$A:$AJ,34,0),"")</f>
        <v/>
      </c>
      <c r="L288" s="156" t="str">
        <f>IFERROR(VLOOKUP($G288,今日總結!$A:$AJ,31,0),"")</f>
        <v/>
      </c>
      <c r="M288" s="340" t="str">
        <f>IFERROR(VLOOKUP($G288,今日總結!$A:$AJ,32,0),"")</f>
        <v/>
      </c>
      <c r="N288" s="240" t="str">
        <f t="shared" si="85"/>
        <v/>
      </c>
      <c r="O288" s="245"/>
      <c r="P288" s="365">
        <f>IFERROR(VLOOKUP($G288,融外自投!$A:$J,7,0),"無")</f>
        <v>752</v>
      </c>
      <c r="Q288" s="79">
        <f>IFERROR(VLOOKUP($G288,融外自投!$A:$J,9,0),"無")</f>
        <v>321</v>
      </c>
      <c r="R288" s="346">
        <f>IFERROR(VLOOKUP($G288,融外自投!$A:$J,8,0),"無")</f>
        <v>138</v>
      </c>
      <c r="S288" s="81">
        <f>IFERROR(VLOOKUP($G288,融外自投!$A:$J,10,0),"無")</f>
        <v>155</v>
      </c>
      <c r="T288" s="327">
        <f>IFERROR(VLOOKUP($G288,'321買'!$A:$E,5,0),"'沒有資料'")</f>
        <v>515</v>
      </c>
      <c r="U288" s="185">
        <v>4.8</v>
      </c>
      <c r="V288" s="311"/>
      <c r="W288" s="57">
        <f t="shared" si="95"/>
        <v>3.9183673469387753E-2</v>
      </c>
      <c r="X288" s="165">
        <v>122.5</v>
      </c>
      <c r="Y288" s="65">
        <v>120.5</v>
      </c>
      <c r="Z288" s="162">
        <f t="shared" si="96"/>
        <v>2</v>
      </c>
      <c r="AA288" s="158">
        <f t="shared" si="97"/>
        <v>1.6597510373443983E-2</v>
      </c>
      <c r="AB288" s="167" t="s">
        <v>3223</v>
      </c>
      <c r="AC288" s="382"/>
      <c r="AD288" s="166" t="s">
        <v>3109</v>
      </c>
      <c r="AE288" s="84">
        <v>44292</v>
      </c>
      <c r="AF288" s="83">
        <v>44299</v>
      </c>
      <c r="AG288" s="33">
        <f t="shared" si="94"/>
        <v>7</v>
      </c>
      <c r="AH288" s="41" t="s">
        <v>1122</v>
      </c>
    </row>
    <row r="289" spans="1:44" s="248" customFormat="1">
      <c r="A289" s="127" t="s">
        <v>2069</v>
      </c>
      <c r="B289" s="79">
        <v>1</v>
      </c>
      <c r="C289" s="79">
        <v>5</v>
      </c>
      <c r="D289" s="80">
        <v>-8</v>
      </c>
      <c r="E289" s="79">
        <v>8</v>
      </c>
      <c r="F289" s="57">
        <v>13.36</v>
      </c>
      <c r="G289" s="79">
        <v>6274</v>
      </c>
      <c r="H289" s="30" t="s">
        <v>1462</v>
      </c>
      <c r="I289" s="166" t="s">
        <v>3109</v>
      </c>
      <c r="J289" s="8" t="str">
        <f>IFERROR(VLOOKUP($G289,今日總結!$A:$AJ,33,0),"")</f>
        <v/>
      </c>
      <c r="K289" s="5" t="str">
        <f>IFERROR(VLOOKUP($G289,今日總結!$A:$AJ,34,0),"")</f>
        <v/>
      </c>
      <c r="L289" s="156" t="str">
        <f>IFERROR(VLOOKUP($G289,今日總結!$A:$AJ,31,0),"")</f>
        <v/>
      </c>
      <c r="M289" s="340" t="str">
        <f>IFERROR(VLOOKUP($G289,今日總結!$A:$AJ,32,0),"")</f>
        <v/>
      </c>
      <c r="N289" s="240" t="str">
        <f t="shared" si="85"/>
        <v/>
      </c>
      <c r="O289" s="245"/>
      <c r="P289" s="365">
        <f>IFERROR(VLOOKUP($G289,融外自投!$A:$J,7,0),"無")</f>
        <v>752</v>
      </c>
      <c r="Q289" s="79">
        <f>IFERROR(VLOOKUP($G289,融外自投!$A:$J,9,0),"無")</f>
        <v>321</v>
      </c>
      <c r="R289" s="346">
        <f>IFERROR(VLOOKUP($G289,融外自投!$A:$J,8,0),"無")</f>
        <v>138</v>
      </c>
      <c r="S289" s="81">
        <f>IFERROR(VLOOKUP($G289,融外自投!$A:$J,10,0),"無")</f>
        <v>155</v>
      </c>
      <c r="T289" s="327">
        <f>IFERROR(VLOOKUP($G289,'321買'!$A:$E,5,0),"'沒有資料'")</f>
        <v>515</v>
      </c>
      <c r="U289" s="185">
        <v>4.8</v>
      </c>
      <c r="V289" s="311"/>
      <c r="W289" s="57">
        <f t="shared" si="95"/>
        <v>3.9183673469387753E-2</v>
      </c>
      <c r="X289" s="165">
        <v>122.5</v>
      </c>
      <c r="Y289" s="65">
        <v>118</v>
      </c>
      <c r="Z289" s="162">
        <f t="shared" si="96"/>
        <v>4.5</v>
      </c>
      <c r="AA289" s="158">
        <f t="shared" si="97"/>
        <v>3.8135593220338986E-2</v>
      </c>
      <c r="AB289" s="167" t="s">
        <v>3224</v>
      </c>
      <c r="AC289" s="382"/>
      <c r="AD289" s="166" t="s">
        <v>3109</v>
      </c>
      <c r="AE289" s="84">
        <v>44285</v>
      </c>
      <c r="AF289" s="83">
        <v>44299</v>
      </c>
      <c r="AG289" s="33">
        <f t="shared" si="94"/>
        <v>14</v>
      </c>
      <c r="AH289" s="41" t="s">
        <v>1122</v>
      </c>
    </row>
    <row r="290" spans="1:44" s="171" customFormat="1" ht="17.100000000000001" customHeight="1">
      <c r="A290" s="41"/>
      <c r="B290" s="79">
        <v>-65</v>
      </c>
      <c r="C290" s="80">
        <v>-13</v>
      </c>
      <c r="D290" s="79">
        <v>-65</v>
      </c>
      <c r="E290" s="80">
        <v>-13</v>
      </c>
      <c r="F290" s="6">
        <v>3.72</v>
      </c>
      <c r="G290" s="79">
        <v>9907</v>
      </c>
      <c r="H290" s="102" t="s">
        <v>3202</v>
      </c>
      <c r="I290" s="153" t="s">
        <v>3201</v>
      </c>
      <c r="J290" s="8">
        <f>IFERROR(VLOOKUP($G290,今日總結!$A:$AJ,33,0),"")</f>
        <v>1</v>
      </c>
      <c r="K290" s="5">
        <f>IFERROR(VLOOKUP($G290,今日總結!$A:$AJ,34,0),"")</f>
        <v>1</v>
      </c>
      <c r="L290" s="156">
        <f>IFERROR(VLOOKUP($G290,今日總結!$A:$AJ,31,0),"")</f>
        <v>0</v>
      </c>
      <c r="M290" s="340">
        <f>IFERROR(VLOOKUP($G290,今日總結!$A:$AJ,32,0),"")</f>
        <v>0</v>
      </c>
      <c r="N290" s="240">
        <f t="shared" si="85"/>
        <v>0</v>
      </c>
      <c r="O290" s="245"/>
      <c r="P290" s="365">
        <f>IFERROR(VLOOKUP($G290,融外自投!$A:$J,7,0),"無")</f>
        <v>1123</v>
      </c>
      <c r="Q290" s="79">
        <f>IFERROR(VLOOKUP($G290,融外自投!$A:$J,9,0),"無")</f>
        <v>936</v>
      </c>
      <c r="R290" s="346">
        <f>IFERROR(VLOOKUP($G290,融外自投!$A:$J,8,0),"無")</f>
        <v>327</v>
      </c>
      <c r="S290" s="81">
        <f>IFERROR(VLOOKUP($G290,融外自投!$A:$J,10,0),"無")</f>
        <v>401</v>
      </c>
      <c r="T290" s="327">
        <f>IFERROR(VLOOKUP($G290,'321買'!$A:$E,5,0),"'沒有資料'")</f>
        <v>515</v>
      </c>
      <c r="U290" s="185">
        <v>0.47</v>
      </c>
      <c r="V290" s="311"/>
      <c r="W290" s="57">
        <f t="shared" ref="W290:W298" si="98">U290/X290</f>
        <v>3.5606060606060606E-2</v>
      </c>
      <c r="X290" s="165">
        <v>13.2</v>
      </c>
      <c r="Y290" s="65">
        <f>15.72-0.5-0.47</f>
        <v>14.75</v>
      </c>
      <c r="Z290" s="162">
        <f t="shared" ref="Z290:Z298" si="99">X290-Y290</f>
        <v>-1.5500000000000007</v>
      </c>
      <c r="AA290" s="164">
        <f t="shared" ref="AA290:AA298" si="100">Z290/Y290</f>
        <v>-0.10508474576271191</v>
      </c>
      <c r="AB290" s="113" t="s">
        <v>3214</v>
      </c>
      <c r="AC290" s="382"/>
      <c r="AD290" s="153" t="s">
        <v>3201</v>
      </c>
      <c r="AE290" s="84">
        <v>42825</v>
      </c>
      <c r="AF290" s="83">
        <v>44298</v>
      </c>
      <c r="AG290" s="77">
        <f t="shared" ref="AG290:AG298" si="101">AF290-AE290</f>
        <v>1473</v>
      </c>
      <c r="AH290" s="41" t="s">
        <v>2921</v>
      </c>
      <c r="AI290" s="27"/>
      <c r="AJ290" s="17"/>
      <c r="AK290" s="11"/>
      <c r="AL290" s="11"/>
      <c r="AM290" s="11"/>
      <c r="AN290" s="11"/>
      <c r="AO290" s="248"/>
      <c r="AP290" s="248"/>
      <c r="AR290" s="31"/>
    </row>
    <row r="291" spans="1:44" s="171" customFormat="1" ht="17.100000000000001" customHeight="1">
      <c r="A291" s="41"/>
      <c r="B291" s="79">
        <v>-65</v>
      </c>
      <c r="C291" s="80">
        <v>-13</v>
      </c>
      <c r="D291" s="79">
        <v>-65</v>
      </c>
      <c r="E291" s="80">
        <v>-13</v>
      </c>
      <c r="F291" s="6">
        <v>3.72</v>
      </c>
      <c r="G291" s="79">
        <v>9907</v>
      </c>
      <c r="H291" s="8" t="s">
        <v>1403</v>
      </c>
      <c r="I291" s="153" t="s">
        <v>3201</v>
      </c>
      <c r="J291" s="8">
        <f>IFERROR(VLOOKUP($G291,今日總結!$A:$AJ,33,0),"")</f>
        <v>1</v>
      </c>
      <c r="K291" s="5">
        <f>IFERROR(VLOOKUP($G291,今日總結!$A:$AJ,34,0),"")</f>
        <v>1</v>
      </c>
      <c r="L291" s="156">
        <f>IFERROR(VLOOKUP($G291,今日總結!$A:$AJ,31,0),"")</f>
        <v>0</v>
      </c>
      <c r="M291" s="340">
        <f>IFERROR(VLOOKUP($G291,今日總結!$A:$AJ,32,0),"")</f>
        <v>0</v>
      </c>
      <c r="N291" s="240">
        <f t="shared" si="85"/>
        <v>0</v>
      </c>
      <c r="O291" s="245"/>
      <c r="P291" s="365">
        <f>IFERROR(VLOOKUP($G291,融外自投!$A:$J,7,0),"無")</f>
        <v>1123</v>
      </c>
      <c r="Q291" s="79">
        <f>IFERROR(VLOOKUP($G291,融外自投!$A:$J,9,0),"無")</f>
        <v>936</v>
      </c>
      <c r="R291" s="346">
        <f>IFERROR(VLOOKUP($G291,融外自投!$A:$J,8,0),"無")</f>
        <v>327</v>
      </c>
      <c r="S291" s="81">
        <f>IFERROR(VLOOKUP($G291,融外自投!$A:$J,10,0),"無")</f>
        <v>401</v>
      </c>
      <c r="T291" s="327">
        <f>IFERROR(VLOOKUP($G291,'321買'!$A:$E,5,0),"'沒有資料'")</f>
        <v>515</v>
      </c>
      <c r="U291" s="185">
        <v>0.47</v>
      </c>
      <c r="V291" s="311"/>
      <c r="W291" s="57">
        <f t="shared" si="98"/>
        <v>1.7803030303030303E-2</v>
      </c>
      <c r="X291" s="165">
        <v>26.4</v>
      </c>
      <c r="Y291" s="65">
        <f>(13.55-0.47)*AH291</f>
        <v>26.16</v>
      </c>
      <c r="Z291" s="162">
        <f t="shared" si="99"/>
        <v>0.23999999999999844</v>
      </c>
      <c r="AA291" s="158">
        <f t="shared" si="100"/>
        <v>9.1743119266054444E-3</v>
      </c>
      <c r="AB291" s="128" t="s">
        <v>3215</v>
      </c>
      <c r="AC291" s="382"/>
      <c r="AD291" s="153" t="s">
        <v>3201</v>
      </c>
      <c r="AE291" s="84">
        <v>43355</v>
      </c>
      <c r="AF291" s="83">
        <v>44298</v>
      </c>
      <c r="AG291" s="33">
        <f t="shared" si="101"/>
        <v>943</v>
      </c>
      <c r="AH291" s="41" t="s">
        <v>3195</v>
      </c>
      <c r="AI291" s="27"/>
      <c r="AJ291" s="17"/>
      <c r="AK291" s="11"/>
      <c r="AL291" s="11"/>
      <c r="AM291" s="11"/>
      <c r="AN291" s="11"/>
      <c r="AO291" s="248"/>
      <c r="AP291" s="248"/>
      <c r="AR291" s="31"/>
    </row>
    <row r="292" spans="1:44" s="171" customFormat="1" ht="17.100000000000001" customHeight="1">
      <c r="A292" s="41"/>
      <c r="B292" s="79">
        <v>-65</v>
      </c>
      <c r="C292" s="80">
        <v>-13</v>
      </c>
      <c r="D292" s="79">
        <v>-65</v>
      </c>
      <c r="E292" s="80">
        <v>-13</v>
      </c>
      <c r="F292" s="6">
        <v>3.72</v>
      </c>
      <c r="G292" s="79">
        <v>9907</v>
      </c>
      <c r="H292" s="50" t="s">
        <v>1404</v>
      </c>
      <c r="I292" s="153" t="s">
        <v>3201</v>
      </c>
      <c r="J292" s="8">
        <f>IFERROR(VLOOKUP($G292,今日總結!$A:$AJ,33,0),"")</f>
        <v>1</v>
      </c>
      <c r="K292" s="5">
        <f>IFERROR(VLOOKUP($G292,今日總結!$A:$AJ,34,0),"")</f>
        <v>1</v>
      </c>
      <c r="L292" s="156">
        <f>IFERROR(VLOOKUP($G292,今日總結!$A:$AJ,31,0),"")</f>
        <v>0</v>
      </c>
      <c r="M292" s="340">
        <f>IFERROR(VLOOKUP($G292,今日總結!$A:$AJ,32,0),"")</f>
        <v>0</v>
      </c>
      <c r="N292" s="240">
        <f t="shared" si="85"/>
        <v>0</v>
      </c>
      <c r="O292" s="245"/>
      <c r="P292" s="365">
        <f>IFERROR(VLOOKUP($G292,融外自投!$A:$J,7,0),"無")</f>
        <v>1123</v>
      </c>
      <c r="Q292" s="79">
        <f>IFERROR(VLOOKUP($G292,融外自投!$A:$J,9,0),"無")</f>
        <v>936</v>
      </c>
      <c r="R292" s="346">
        <f>IFERROR(VLOOKUP($G292,融外自投!$A:$J,8,0),"無")</f>
        <v>327</v>
      </c>
      <c r="S292" s="81">
        <f>IFERROR(VLOOKUP($G292,融外自投!$A:$J,10,0),"無")</f>
        <v>401</v>
      </c>
      <c r="T292" s="327">
        <f>IFERROR(VLOOKUP($G292,'321買'!$A:$E,5,0),"'沒有資料'")</f>
        <v>515</v>
      </c>
      <c r="U292" s="185">
        <v>0.47</v>
      </c>
      <c r="V292" s="311"/>
      <c r="W292" s="57">
        <f>U292/X292</f>
        <v>3.5471698113207543E-2</v>
      </c>
      <c r="X292" s="165">
        <v>13.25</v>
      </c>
      <c r="Y292" s="65">
        <v>11</v>
      </c>
      <c r="Z292" s="162">
        <f t="shared" si="99"/>
        <v>2.25</v>
      </c>
      <c r="AA292" s="158">
        <f t="shared" si="100"/>
        <v>0.20454545454545456</v>
      </c>
      <c r="AB292" s="128" t="s">
        <v>2067</v>
      </c>
      <c r="AC292" s="382"/>
      <c r="AD292" s="153" t="s">
        <v>3201</v>
      </c>
      <c r="AE292" s="84">
        <v>44253</v>
      </c>
      <c r="AF292" s="83">
        <v>44298</v>
      </c>
      <c r="AG292" s="33">
        <f>AF292-AE292</f>
        <v>45</v>
      </c>
      <c r="AH292" s="41" t="s">
        <v>2921</v>
      </c>
      <c r="AJ292" s="17"/>
      <c r="AK292" s="11"/>
      <c r="AL292" s="11"/>
      <c r="AM292" s="11"/>
      <c r="AN292" s="11"/>
      <c r="AO292" s="248"/>
      <c r="AP292" s="248"/>
      <c r="AR292" s="31"/>
    </row>
    <row r="293" spans="1:44" s="171" customFormat="1" ht="17.100000000000001" customHeight="1">
      <c r="A293" s="41"/>
      <c r="B293" s="79">
        <v>-65</v>
      </c>
      <c r="C293" s="80">
        <v>-13</v>
      </c>
      <c r="D293" s="79">
        <v>-65</v>
      </c>
      <c r="E293" s="80">
        <v>-13</v>
      </c>
      <c r="F293" s="6">
        <v>3.72</v>
      </c>
      <c r="G293" s="79">
        <v>9907</v>
      </c>
      <c r="H293" s="50" t="s">
        <v>1404</v>
      </c>
      <c r="I293" s="153" t="s">
        <v>3201</v>
      </c>
      <c r="J293" s="8">
        <f>IFERROR(VLOOKUP($G293,今日總結!$A:$AJ,33,0),"")</f>
        <v>1</v>
      </c>
      <c r="K293" s="5">
        <f>IFERROR(VLOOKUP($G293,今日總結!$A:$AJ,34,0),"")</f>
        <v>1</v>
      </c>
      <c r="L293" s="156">
        <f>IFERROR(VLOOKUP($G293,今日總結!$A:$AJ,31,0),"")</f>
        <v>0</v>
      </c>
      <c r="M293" s="340">
        <f>IFERROR(VLOOKUP($G293,今日總結!$A:$AJ,32,0),"")</f>
        <v>0</v>
      </c>
      <c r="N293" s="240">
        <f t="shared" si="85"/>
        <v>0</v>
      </c>
      <c r="O293" s="245"/>
      <c r="P293" s="365">
        <f>IFERROR(VLOOKUP($G293,融外自投!$A:$J,7,0),"無")</f>
        <v>1123</v>
      </c>
      <c r="Q293" s="79">
        <f>IFERROR(VLOOKUP($G293,融外自投!$A:$J,9,0),"無")</f>
        <v>936</v>
      </c>
      <c r="R293" s="346">
        <f>IFERROR(VLOOKUP($G293,融外自投!$A:$J,8,0),"無")</f>
        <v>327</v>
      </c>
      <c r="S293" s="81">
        <f>IFERROR(VLOOKUP($G293,融外自投!$A:$J,10,0),"無")</f>
        <v>401</v>
      </c>
      <c r="T293" s="327">
        <f>IFERROR(VLOOKUP($G293,'321買'!$A:$E,5,0),"'沒有資料'")</f>
        <v>515</v>
      </c>
      <c r="U293" s="185">
        <v>0.47</v>
      </c>
      <c r="V293" s="311"/>
      <c r="W293" s="57">
        <f>U293/X293</f>
        <v>3.5471698113207543E-2</v>
      </c>
      <c r="X293" s="165">
        <v>13.25</v>
      </c>
      <c r="Y293" s="65">
        <v>11</v>
      </c>
      <c r="Z293" s="162">
        <f t="shared" si="99"/>
        <v>2.25</v>
      </c>
      <c r="AA293" s="158">
        <f t="shared" si="100"/>
        <v>0.20454545454545456</v>
      </c>
      <c r="AB293" s="128" t="s">
        <v>2067</v>
      </c>
      <c r="AC293" s="382"/>
      <c r="AD293" s="153" t="s">
        <v>3201</v>
      </c>
      <c r="AE293" s="84">
        <v>44253</v>
      </c>
      <c r="AF293" s="83">
        <v>44298</v>
      </c>
      <c r="AG293" s="33">
        <f>AF293-AE293</f>
        <v>45</v>
      </c>
      <c r="AH293" s="41" t="s">
        <v>2921</v>
      </c>
      <c r="AJ293" s="17"/>
      <c r="AK293" s="11"/>
      <c r="AL293" s="11"/>
      <c r="AM293" s="11"/>
      <c r="AN293" s="11"/>
      <c r="AO293" s="248"/>
      <c r="AP293" s="248"/>
      <c r="AR293" s="31"/>
    </row>
    <row r="294" spans="1:44" s="171" customFormat="1" ht="17.100000000000001" customHeight="1">
      <c r="A294" s="41"/>
      <c r="B294" s="79">
        <v>-65</v>
      </c>
      <c r="C294" s="80">
        <v>-13</v>
      </c>
      <c r="D294" s="79">
        <v>-65</v>
      </c>
      <c r="E294" s="80">
        <v>-13</v>
      </c>
      <c r="F294" s="6">
        <v>3.72</v>
      </c>
      <c r="G294" s="79">
        <v>9907</v>
      </c>
      <c r="H294" s="50" t="s">
        <v>1404</v>
      </c>
      <c r="I294" s="153" t="s">
        <v>3201</v>
      </c>
      <c r="J294" s="8">
        <f>IFERROR(VLOOKUP($G294,今日總結!$A:$AJ,33,0),"")</f>
        <v>1</v>
      </c>
      <c r="K294" s="5">
        <f>IFERROR(VLOOKUP($G294,今日總結!$A:$AJ,34,0),"")</f>
        <v>1</v>
      </c>
      <c r="L294" s="156">
        <f>IFERROR(VLOOKUP($G294,今日總結!$A:$AJ,31,0),"")</f>
        <v>0</v>
      </c>
      <c r="M294" s="340">
        <f>IFERROR(VLOOKUP($G294,今日總結!$A:$AJ,32,0),"")</f>
        <v>0</v>
      </c>
      <c r="N294" s="240">
        <f t="shared" si="85"/>
        <v>0</v>
      </c>
      <c r="O294" s="245"/>
      <c r="P294" s="365">
        <f>IFERROR(VLOOKUP($G294,融外自投!$A:$J,7,0),"無")</f>
        <v>1123</v>
      </c>
      <c r="Q294" s="79">
        <f>IFERROR(VLOOKUP($G294,融外自投!$A:$J,9,0),"無")</f>
        <v>936</v>
      </c>
      <c r="R294" s="346">
        <f>IFERROR(VLOOKUP($G294,融外自投!$A:$J,8,0),"無")</f>
        <v>327</v>
      </c>
      <c r="S294" s="81">
        <f>IFERROR(VLOOKUP($G294,融外自投!$A:$J,10,0),"無")</f>
        <v>401</v>
      </c>
      <c r="T294" s="327">
        <f>IFERROR(VLOOKUP($G294,'321買'!$A:$E,5,0),"'沒有資料'")</f>
        <v>515</v>
      </c>
      <c r="U294" s="185">
        <v>0.47</v>
      </c>
      <c r="V294" s="311"/>
      <c r="W294" s="57">
        <f>U294/X294</f>
        <v>3.5471698113207543E-2</v>
      </c>
      <c r="X294" s="165">
        <v>13.25</v>
      </c>
      <c r="Y294" s="65">
        <f>15.72-0.5-0.47</f>
        <v>14.75</v>
      </c>
      <c r="Z294" s="162">
        <f t="shared" si="99"/>
        <v>-1.5</v>
      </c>
      <c r="AA294" s="164">
        <f t="shared" si="100"/>
        <v>-0.10169491525423729</v>
      </c>
      <c r="AB294" s="113" t="s">
        <v>3225</v>
      </c>
      <c r="AC294" s="382"/>
      <c r="AD294" s="153" t="s">
        <v>3201</v>
      </c>
      <c r="AE294" s="84">
        <v>42825</v>
      </c>
      <c r="AF294" s="83">
        <v>44298</v>
      </c>
      <c r="AG294" s="77">
        <f>AF294-AE294</f>
        <v>1473</v>
      </c>
      <c r="AH294" s="41" t="s">
        <v>2921</v>
      </c>
      <c r="AJ294" s="17"/>
      <c r="AK294" s="11"/>
      <c r="AL294" s="11"/>
      <c r="AM294" s="11"/>
      <c r="AN294" s="11"/>
      <c r="AO294" s="248"/>
      <c r="AP294" s="248"/>
      <c r="AR294" s="31"/>
    </row>
    <row r="295" spans="1:44" s="171" customFormat="1" ht="17.100000000000001" customHeight="1">
      <c r="A295" s="41"/>
      <c r="B295" s="79">
        <v>-65</v>
      </c>
      <c r="C295" s="80">
        <v>-13</v>
      </c>
      <c r="D295" s="79">
        <v>-65</v>
      </c>
      <c r="E295" s="80">
        <v>-13</v>
      </c>
      <c r="F295" s="6">
        <v>3.72</v>
      </c>
      <c r="G295" s="79">
        <v>9907</v>
      </c>
      <c r="H295" s="50" t="s">
        <v>1404</v>
      </c>
      <c r="I295" s="153" t="s">
        <v>3201</v>
      </c>
      <c r="J295" s="8">
        <f>IFERROR(VLOOKUP($G295,今日總結!$A:$AJ,33,0),"")</f>
        <v>1</v>
      </c>
      <c r="K295" s="5">
        <f>IFERROR(VLOOKUP($G295,今日總結!$A:$AJ,34,0),"")</f>
        <v>1</v>
      </c>
      <c r="L295" s="156">
        <f>IFERROR(VLOOKUP($G295,今日總結!$A:$AJ,31,0),"")</f>
        <v>0</v>
      </c>
      <c r="M295" s="340">
        <f>IFERROR(VLOOKUP($G295,今日總結!$A:$AJ,32,0),"")</f>
        <v>0</v>
      </c>
      <c r="N295" s="240">
        <f t="shared" si="85"/>
        <v>0</v>
      </c>
      <c r="O295" s="245"/>
      <c r="P295" s="365">
        <f>IFERROR(VLOOKUP($G295,融外自投!$A:$J,7,0),"無")</f>
        <v>1123</v>
      </c>
      <c r="Q295" s="79">
        <f>IFERROR(VLOOKUP($G295,融外自投!$A:$J,9,0),"無")</f>
        <v>936</v>
      </c>
      <c r="R295" s="346">
        <f>IFERROR(VLOOKUP($G295,融外自投!$A:$J,8,0),"無")</f>
        <v>327</v>
      </c>
      <c r="S295" s="81">
        <f>IFERROR(VLOOKUP($G295,融外自投!$A:$J,10,0),"無")</f>
        <v>401</v>
      </c>
      <c r="T295" s="327">
        <f>IFERROR(VLOOKUP($G295,'321買'!$A:$E,5,0),"'沒有資料'")</f>
        <v>515</v>
      </c>
      <c r="U295" s="185">
        <v>0.47</v>
      </c>
      <c r="V295" s="311"/>
      <c r="W295" s="57">
        <f t="shared" si="98"/>
        <v>1.7735849056603772E-2</v>
      </c>
      <c r="X295" s="165">
        <f>13.25*2</f>
        <v>26.5</v>
      </c>
      <c r="Y295" s="65">
        <f>(13.72-0.47)*AH295</f>
        <v>26.5</v>
      </c>
      <c r="Z295" s="162">
        <f t="shared" si="99"/>
        <v>0</v>
      </c>
      <c r="AA295" s="158">
        <f t="shared" si="100"/>
        <v>0</v>
      </c>
      <c r="AB295" s="111" t="s">
        <v>1500</v>
      </c>
      <c r="AC295" s="382"/>
      <c r="AD295" s="153" t="s">
        <v>3201</v>
      </c>
      <c r="AE295" s="84">
        <v>43335</v>
      </c>
      <c r="AF295" s="83">
        <v>44298</v>
      </c>
      <c r="AG295" s="33">
        <f t="shared" si="101"/>
        <v>963</v>
      </c>
      <c r="AH295" s="41" t="s">
        <v>3195</v>
      </c>
      <c r="AI295" s="27"/>
      <c r="AJ295" s="17"/>
      <c r="AK295" s="11"/>
      <c r="AL295" s="11"/>
      <c r="AM295" s="11"/>
      <c r="AN295" s="11"/>
      <c r="AO295" s="248"/>
      <c r="AP295" s="248"/>
      <c r="AR295" s="31"/>
    </row>
    <row r="296" spans="1:44" s="248" customFormat="1">
      <c r="A296" s="141"/>
      <c r="B296" s="80">
        <v>-67</v>
      </c>
      <c r="C296" s="80">
        <v>-13</v>
      </c>
      <c r="D296" s="80">
        <v>-67</v>
      </c>
      <c r="E296" s="80">
        <v>-13</v>
      </c>
      <c r="F296" s="6">
        <v>3.72</v>
      </c>
      <c r="G296" s="79">
        <v>9907</v>
      </c>
      <c r="H296" s="50" t="s">
        <v>1404</v>
      </c>
      <c r="I296" s="153" t="s">
        <v>3201</v>
      </c>
      <c r="J296" s="8">
        <f>IFERROR(VLOOKUP($G296,今日總結!$A:$AJ,33,0),"")</f>
        <v>1</v>
      </c>
      <c r="K296" s="5">
        <f>IFERROR(VLOOKUP($G296,今日總結!$A:$AJ,34,0),"")</f>
        <v>1</v>
      </c>
      <c r="L296" s="156">
        <f>IFERROR(VLOOKUP($G296,今日總結!$A:$AJ,31,0),"")</f>
        <v>0</v>
      </c>
      <c r="M296" s="340">
        <f>IFERROR(VLOOKUP($G296,今日總結!$A:$AJ,32,0),"")</f>
        <v>0</v>
      </c>
      <c r="N296" s="240">
        <f t="shared" si="85"/>
        <v>0</v>
      </c>
      <c r="O296" s="245"/>
      <c r="P296" s="365">
        <f>IFERROR(VLOOKUP($G296,融外自投!$A:$J,7,0),"無")</f>
        <v>1123</v>
      </c>
      <c r="Q296" s="79">
        <f>IFERROR(VLOOKUP($G296,融外自投!$A:$J,9,0),"無")</f>
        <v>936</v>
      </c>
      <c r="R296" s="346">
        <f>IFERROR(VLOOKUP($G296,融外自投!$A:$J,8,0),"無")</f>
        <v>327</v>
      </c>
      <c r="S296" s="81">
        <f>IFERROR(VLOOKUP($G296,融外自投!$A:$J,10,0),"無")</f>
        <v>401</v>
      </c>
      <c r="T296" s="327">
        <f>IFERROR(VLOOKUP($G296,'321買'!$A:$E,5,0),"'沒有資料'")</f>
        <v>515</v>
      </c>
      <c r="U296" s="185">
        <v>0.47</v>
      </c>
      <c r="V296" s="311"/>
      <c r="W296" s="57">
        <f t="shared" si="98"/>
        <v>1.7735849056603772E-2</v>
      </c>
      <c r="X296" s="161">
        <f>13.25*2</f>
        <v>26.5</v>
      </c>
      <c r="Y296" s="65">
        <f>12.25*AH296</f>
        <v>24.5</v>
      </c>
      <c r="Z296" s="162">
        <f t="shared" si="99"/>
        <v>2</v>
      </c>
      <c r="AA296" s="158">
        <f t="shared" si="100"/>
        <v>8.1632653061224483E-2</v>
      </c>
      <c r="AB296" s="111" t="s">
        <v>2162</v>
      </c>
      <c r="AC296" s="382"/>
      <c r="AD296" s="153" t="s">
        <v>3201</v>
      </c>
      <c r="AE296" s="84">
        <v>43697</v>
      </c>
      <c r="AF296" s="83">
        <v>44298</v>
      </c>
      <c r="AG296" s="33">
        <f t="shared" si="101"/>
        <v>601</v>
      </c>
      <c r="AH296" s="41" t="s">
        <v>3195</v>
      </c>
      <c r="AI296" s="163"/>
    </row>
    <row r="297" spans="1:44" s="248" customFormat="1">
      <c r="A297" s="143"/>
      <c r="B297" s="80">
        <v>-67</v>
      </c>
      <c r="C297" s="80">
        <v>-13</v>
      </c>
      <c r="D297" s="80">
        <v>-1</v>
      </c>
      <c r="E297" s="80">
        <v>-10</v>
      </c>
      <c r="F297" s="6">
        <v>3.72</v>
      </c>
      <c r="G297" s="79">
        <v>9907</v>
      </c>
      <c r="H297" s="50" t="s">
        <v>1404</v>
      </c>
      <c r="I297" s="153" t="s">
        <v>3201</v>
      </c>
      <c r="J297" s="8">
        <f>IFERROR(VLOOKUP($G297,今日總結!$A:$AJ,33,0),"")</f>
        <v>1</v>
      </c>
      <c r="K297" s="5">
        <f>IFERROR(VLOOKUP($G297,今日總結!$A:$AJ,34,0),"")</f>
        <v>1</v>
      </c>
      <c r="L297" s="156">
        <f>IFERROR(VLOOKUP($G297,今日總結!$A:$AJ,31,0),"")</f>
        <v>0</v>
      </c>
      <c r="M297" s="340">
        <f>IFERROR(VLOOKUP($G297,今日總結!$A:$AJ,32,0),"")</f>
        <v>0</v>
      </c>
      <c r="N297" s="240">
        <f t="shared" si="85"/>
        <v>0</v>
      </c>
      <c r="O297" s="245"/>
      <c r="P297" s="365">
        <f>IFERROR(VLOOKUP($G297,融外自投!$A:$J,7,0),"無")</f>
        <v>1123</v>
      </c>
      <c r="Q297" s="79">
        <f>IFERROR(VLOOKUP($G297,融外自投!$A:$J,9,0),"無")</f>
        <v>936</v>
      </c>
      <c r="R297" s="346">
        <f>IFERROR(VLOOKUP($G297,融外自投!$A:$J,8,0),"無")</f>
        <v>327</v>
      </c>
      <c r="S297" s="81">
        <f>IFERROR(VLOOKUP($G297,融外自投!$A:$J,10,0),"無")</f>
        <v>401</v>
      </c>
      <c r="T297" s="327">
        <f>IFERROR(VLOOKUP($G297,'321買'!$A:$E,5,0),"'沒有資料'")</f>
        <v>515</v>
      </c>
      <c r="U297" s="185">
        <v>0.47</v>
      </c>
      <c r="V297" s="311"/>
      <c r="W297" s="57">
        <f t="shared" si="98"/>
        <v>8.8679245283018859E-3</v>
      </c>
      <c r="X297" s="161">
        <f>13.25*4</f>
        <v>53</v>
      </c>
      <c r="Y297" s="65">
        <f>12.05*AH297</f>
        <v>48.2</v>
      </c>
      <c r="Z297" s="162">
        <f t="shared" si="99"/>
        <v>4.7999999999999972</v>
      </c>
      <c r="AA297" s="158">
        <f t="shared" si="100"/>
        <v>9.9585062240663838E-2</v>
      </c>
      <c r="AB297" s="111" t="s">
        <v>3216</v>
      </c>
      <c r="AC297" s="382"/>
      <c r="AD297" s="153" t="s">
        <v>3201</v>
      </c>
      <c r="AE297" s="84">
        <v>43727</v>
      </c>
      <c r="AF297" s="83">
        <v>44298</v>
      </c>
      <c r="AG297" s="33">
        <f t="shared" si="101"/>
        <v>571</v>
      </c>
      <c r="AH297" s="41" t="s">
        <v>3203</v>
      </c>
    </row>
    <row r="298" spans="1:44" s="248" customFormat="1">
      <c r="A298" s="143"/>
      <c r="B298" s="80">
        <v>-67</v>
      </c>
      <c r="C298" s="80">
        <v>-13</v>
      </c>
      <c r="D298" s="80">
        <v>-1</v>
      </c>
      <c r="E298" s="80">
        <v>-10</v>
      </c>
      <c r="F298" s="6">
        <v>3.72</v>
      </c>
      <c r="G298" s="79">
        <v>9907</v>
      </c>
      <c r="H298" s="50" t="s">
        <v>1404</v>
      </c>
      <c r="I298" s="153" t="s">
        <v>3201</v>
      </c>
      <c r="J298" s="8">
        <f>IFERROR(VLOOKUP($G298,今日總結!$A:$AJ,33,0),"")</f>
        <v>1</v>
      </c>
      <c r="K298" s="5">
        <f>IFERROR(VLOOKUP($G298,今日總結!$A:$AJ,34,0),"")</f>
        <v>1</v>
      </c>
      <c r="L298" s="156">
        <f>IFERROR(VLOOKUP($G298,今日總結!$A:$AJ,31,0),"")</f>
        <v>0</v>
      </c>
      <c r="M298" s="340">
        <f>IFERROR(VLOOKUP($G298,今日總結!$A:$AJ,32,0),"")</f>
        <v>0</v>
      </c>
      <c r="N298" s="240">
        <f t="shared" si="85"/>
        <v>0</v>
      </c>
      <c r="O298" s="245"/>
      <c r="P298" s="365">
        <f>IFERROR(VLOOKUP($G298,融外自投!$A:$J,7,0),"無")</f>
        <v>1123</v>
      </c>
      <c r="Q298" s="79">
        <f>IFERROR(VLOOKUP($G298,融外自投!$A:$J,9,0),"無")</f>
        <v>936</v>
      </c>
      <c r="R298" s="346">
        <f>IFERROR(VLOOKUP($G298,融外自投!$A:$J,8,0),"無")</f>
        <v>327</v>
      </c>
      <c r="S298" s="81">
        <f>IFERROR(VLOOKUP($G298,融外自投!$A:$J,10,0),"無")</f>
        <v>401</v>
      </c>
      <c r="T298" s="327">
        <f>IFERROR(VLOOKUP($G298,'321買'!$A:$E,5,0),"'沒有資料'")</f>
        <v>515</v>
      </c>
      <c r="U298" s="185">
        <v>0.47</v>
      </c>
      <c r="V298" s="311"/>
      <c r="W298" s="57">
        <f t="shared" si="98"/>
        <v>8.8679245283018859E-3</v>
      </c>
      <c r="X298" s="161">
        <f>13.25*4</f>
        <v>53</v>
      </c>
      <c r="Y298" s="65">
        <f>12*AH298</f>
        <v>48</v>
      </c>
      <c r="Z298" s="162">
        <f t="shared" si="99"/>
        <v>5</v>
      </c>
      <c r="AA298" s="158">
        <f t="shared" si="100"/>
        <v>0.10416666666666667</v>
      </c>
      <c r="AB298" s="111" t="s">
        <v>3217</v>
      </c>
      <c r="AC298" s="382"/>
      <c r="AD298" s="153" t="s">
        <v>3201</v>
      </c>
      <c r="AE298" s="84">
        <v>43727</v>
      </c>
      <c r="AF298" s="83">
        <v>44298</v>
      </c>
      <c r="AG298" s="33">
        <f t="shared" si="101"/>
        <v>571</v>
      </c>
      <c r="AH298" s="41" t="s">
        <v>3203</v>
      </c>
      <c r="AI298" s="41"/>
    </row>
    <row r="299" spans="1:44" s="248" customFormat="1">
      <c r="A299" s="127" t="s">
        <v>1661</v>
      </c>
      <c r="B299" s="79">
        <v>7</v>
      </c>
      <c r="C299" s="79">
        <v>7</v>
      </c>
      <c r="D299" s="79">
        <v>1</v>
      </c>
      <c r="E299" s="79">
        <v>8</v>
      </c>
      <c r="F299" s="57">
        <v>22.38</v>
      </c>
      <c r="G299" s="80">
        <v>5347</v>
      </c>
      <c r="H299" s="30" t="s">
        <v>1462</v>
      </c>
      <c r="I299" s="166" t="s">
        <v>33</v>
      </c>
      <c r="J299" s="8" t="str">
        <f>IFERROR(VLOOKUP($G299,今日總結!$A:$AJ,33,0),"")</f>
        <v/>
      </c>
      <c r="K299" s="5" t="str">
        <f>IFERROR(VLOOKUP($G299,今日總結!$A:$AJ,34,0),"")</f>
        <v/>
      </c>
      <c r="L299" s="156" t="str">
        <f>IFERROR(VLOOKUP($G299,今日總結!$A:$AJ,31,0),"")</f>
        <v/>
      </c>
      <c r="M299" s="340" t="str">
        <f>IFERROR(VLOOKUP($G299,今日總結!$A:$AJ,32,0),"")</f>
        <v/>
      </c>
      <c r="N299" s="240" t="str">
        <f t="shared" si="85"/>
        <v/>
      </c>
      <c r="O299" s="245"/>
      <c r="P299" s="365">
        <f>IFERROR(VLOOKUP($G299,融外自投!$A:$J,7,0),"無")</f>
        <v>1181</v>
      </c>
      <c r="Q299" s="79">
        <f>IFERROR(VLOOKUP($G299,融外自投!$A:$J,9,0),"無")</f>
        <v>406</v>
      </c>
      <c r="R299" s="346">
        <f>IFERROR(VLOOKUP($G299,融外自投!$A:$J,8,0),"無")</f>
        <v>171</v>
      </c>
      <c r="S299" s="81">
        <f>IFERROR(VLOOKUP($G299,融外自投!$A:$J,10,0),"無")</f>
        <v>145</v>
      </c>
      <c r="T299" s="327">
        <f>IFERROR(VLOOKUP($G299,'321買'!$A:$E,5,0),"'沒有資料'")</f>
        <v>357</v>
      </c>
      <c r="U299" s="185">
        <v>3.2</v>
      </c>
      <c r="V299" s="311"/>
      <c r="W299" s="57">
        <f>U299/X299</f>
        <v>2.7705627705627706E-2</v>
      </c>
      <c r="X299" s="165">
        <v>115.5</v>
      </c>
      <c r="Y299" s="65">
        <v>109.5</v>
      </c>
      <c r="Z299" s="162">
        <f t="shared" ref="Z299:Z307" si="102">X299-Y299</f>
        <v>6</v>
      </c>
      <c r="AA299" s="158">
        <f t="shared" ref="AA299:AA307" si="103">Z299/Y299</f>
        <v>5.4794520547945202E-2</v>
      </c>
      <c r="AB299" s="167" t="s">
        <v>1648</v>
      </c>
      <c r="AC299" s="382"/>
      <c r="AD299" s="166" t="s">
        <v>33</v>
      </c>
      <c r="AE299" s="84">
        <v>44273</v>
      </c>
      <c r="AF299" s="83">
        <v>44295</v>
      </c>
      <c r="AG299" s="33">
        <f t="shared" ref="AG299:AG306" si="104">AF299-AE299</f>
        <v>22</v>
      </c>
      <c r="AH299" s="41" t="s">
        <v>1122</v>
      </c>
    </row>
    <row r="300" spans="1:44" s="248" customFormat="1">
      <c r="A300" s="127" t="s">
        <v>1778</v>
      </c>
      <c r="B300" s="79">
        <v>73</v>
      </c>
      <c r="C300" s="79">
        <v>76</v>
      </c>
      <c r="D300" s="80">
        <v>-7</v>
      </c>
      <c r="E300" s="79">
        <v>23</v>
      </c>
      <c r="F300" s="57">
        <v>21.91</v>
      </c>
      <c r="G300" s="80">
        <v>8086</v>
      </c>
      <c r="H300" s="30" t="s">
        <v>1462</v>
      </c>
      <c r="I300" s="166" t="s">
        <v>262</v>
      </c>
      <c r="J300" s="8" t="str">
        <f>IFERROR(VLOOKUP($G300,今日總結!$A:$AJ,33,0),"")</f>
        <v/>
      </c>
      <c r="K300" s="5" t="str">
        <f>IFERROR(VLOOKUP($G300,今日總結!$A:$AJ,34,0),"")</f>
        <v/>
      </c>
      <c r="L300" s="156" t="str">
        <f>IFERROR(VLOOKUP($G300,今日總結!$A:$AJ,31,0),"")</f>
        <v/>
      </c>
      <c r="M300" s="340" t="str">
        <f>IFERROR(VLOOKUP($G300,今日總結!$A:$AJ,32,0),"")</f>
        <v/>
      </c>
      <c r="N300" s="240" t="str">
        <f t="shared" si="85"/>
        <v/>
      </c>
      <c r="O300" s="245"/>
      <c r="P300" s="365">
        <f>IFERROR(VLOOKUP($G300,融外自投!$A:$J,7,0),"無")</f>
        <v>193</v>
      </c>
      <c r="Q300" s="79">
        <f>IFERROR(VLOOKUP($G300,融外自投!$A:$J,9,0),"無")</f>
        <v>292</v>
      </c>
      <c r="R300" s="346">
        <f>IFERROR(VLOOKUP($G300,融外自投!$A:$J,8,0),"無")</f>
        <v>522</v>
      </c>
      <c r="S300" s="81">
        <f>IFERROR(VLOOKUP($G300,融外自投!$A:$J,10,0),"無")</f>
        <v>319</v>
      </c>
      <c r="T300" s="327">
        <f>IFERROR(VLOOKUP($G300,'321買'!$A:$E,5,0),"'沒有資料'")</f>
        <v>634</v>
      </c>
      <c r="U300" s="185">
        <v>2.8</v>
      </c>
      <c r="V300" s="311"/>
      <c r="W300" s="94">
        <f t="shared" ref="W300:W316" si="105">U300/X300</f>
        <v>1.6969696969696968E-2</v>
      </c>
      <c r="X300" s="161">
        <v>165</v>
      </c>
      <c r="Y300" s="155">
        <v>155.5</v>
      </c>
      <c r="Z300" s="105">
        <f t="shared" si="102"/>
        <v>9.5</v>
      </c>
      <c r="AA300" s="158">
        <f t="shared" si="103"/>
        <v>6.1093247588424437E-2</v>
      </c>
      <c r="AB300" s="167" t="s">
        <v>2992</v>
      </c>
      <c r="AC300" s="382"/>
      <c r="AD300" s="166" t="s">
        <v>262</v>
      </c>
      <c r="AE300" s="84">
        <v>44292</v>
      </c>
      <c r="AF300" s="83">
        <v>44293</v>
      </c>
      <c r="AG300" s="33">
        <f t="shared" si="104"/>
        <v>1</v>
      </c>
      <c r="AH300" s="41" t="s">
        <v>1122</v>
      </c>
    </row>
    <row r="301" spans="1:44" s="248" customFormat="1">
      <c r="A301" s="142" t="s">
        <v>1887</v>
      </c>
      <c r="B301" s="79">
        <v>29</v>
      </c>
      <c r="C301" s="80">
        <v>-16</v>
      </c>
      <c r="D301" s="79">
        <v>12</v>
      </c>
      <c r="E301" s="79">
        <v>28</v>
      </c>
      <c r="F301" s="6">
        <v>4.82</v>
      </c>
      <c r="G301" s="79">
        <v>1785</v>
      </c>
      <c r="H301" s="30" t="s">
        <v>1462</v>
      </c>
      <c r="I301" s="166" t="s">
        <v>305</v>
      </c>
      <c r="J301" s="8" t="str">
        <f>IFERROR(VLOOKUP($G301,今日總結!$A:$AJ,33,0),"")</f>
        <v/>
      </c>
      <c r="K301" s="5" t="str">
        <f>IFERROR(VLOOKUP($G301,今日總結!$A:$AJ,34,0),"")</f>
        <v/>
      </c>
      <c r="L301" s="156" t="str">
        <f>IFERROR(VLOOKUP($G301,今日總結!$A:$AJ,31,0),"")</f>
        <v/>
      </c>
      <c r="M301" s="340" t="str">
        <f>IFERROR(VLOOKUP($G301,今日總結!$A:$AJ,32,0),"")</f>
        <v/>
      </c>
      <c r="N301" s="240" t="str">
        <f t="shared" si="85"/>
        <v/>
      </c>
      <c r="O301" s="245"/>
      <c r="P301" s="365">
        <f>IFERROR(VLOOKUP($G301,融外自投!$A:$J,7,0),"無")</f>
        <v>314</v>
      </c>
      <c r="Q301" s="79">
        <f>IFERROR(VLOOKUP($G301,融外自投!$A:$J,9,0),"無")</f>
        <v>978</v>
      </c>
      <c r="R301" s="346">
        <f>IFERROR(VLOOKUP($G301,融外自投!$A:$J,8,0),"無")</f>
        <v>625</v>
      </c>
      <c r="S301" s="81">
        <f>IFERROR(VLOOKUP($G301,融外自投!$A:$J,10,0),"無")</f>
        <v>416</v>
      </c>
      <c r="T301" s="327">
        <f>IFERROR(VLOOKUP($G301,'321買'!$A:$E,5,0),"'沒有資料'")</f>
        <v>292</v>
      </c>
      <c r="U301" s="185">
        <v>1</v>
      </c>
      <c r="V301" s="311"/>
      <c r="W301" s="94">
        <f t="shared" si="105"/>
        <v>1.8691588785046728E-2</v>
      </c>
      <c r="X301" s="161">
        <v>53.5</v>
      </c>
      <c r="Y301" s="155">
        <v>43.25</v>
      </c>
      <c r="Z301" s="162">
        <f t="shared" si="102"/>
        <v>10.25</v>
      </c>
      <c r="AA301" s="158">
        <f t="shared" si="103"/>
        <v>0.23699421965317918</v>
      </c>
      <c r="AB301" s="167" t="s">
        <v>1896</v>
      </c>
      <c r="AC301" s="382"/>
      <c r="AD301" s="166" t="s">
        <v>305</v>
      </c>
      <c r="AE301" s="84">
        <v>44228</v>
      </c>
      <c r="AF301" s="83">
        <v>44293</v>
      </c>
      <c r="AG301" s="33">
        <f t="shared" si="104"/>
        <v>65</v>
      </c>
      <c r="AH301" s="41" t="s">
        <v>1122</v>
      </c>
    </row>
    <row r="302" spans="1:44" s="248" customFormat="1">
      <c r="A302" s="142" t="s">
        <v>1887</v>
      </c>
      <c r="B302" s="79">
        <v>29</v>
      </c>
      <c r="C302" s="80">
        <v>-16</v>
      </c>
      <c r="D302" s="79">
        <v>12</v>
      </c>
      <c r="E302" s="79">
        <v>28</v>
      </c>
      <c r="F302" s="6">
        <v>4.82</v>
      </c>
      <c r="G302" s="79">
        <v>1785</v>
      </c>
      <c r="H302" s="30" t="s">
        <v>1462</v>
      </c>
      <c r="I302" s="166" t="s">
        <v>305</v>
      </c>
      <c r="J302" s="8" t="str">
        <f>IFERROR(VLOOKUP($G302,今日總結!$A:$AJ,33,0),"")</f>
        <v/>
      </c>
      <c r="K302" s="5" t="str">
        <f>IFERROR(VLOOKUP($G302,今日總結!$A:$AJ,34,0),"")</f>
        <v/>
      </c>
      <c r="L302" s="156" t="str">
        <f>IFERROR(VLOOKUP($G302,今日總結!$A:$AJ,31,0),"")</f>
        <v/>
      </c>
      <c r="M302" s="340" t="str">
        <f>IFERROR(VLOOKUP($G302,今日總結!$A:$AJ,32,0),"")</f>
        <v/>
      </c>
      <c r="N302" s="240" t="str">
        <f t="shared" si="85"/>
        <v/>
      </c>
      <c r="O302" s="245"/>
      <c r="P302" s="365">
        <f>IFERROR(VLOOKUP($G302,融外自投!$A:$J,7,0),"無")</f>
        <v>314</v>
      </c>
      <c r="Q302" s="79">
        <f>IFERROR(VLOOKUP($G302,融外自投!$A:$J,9,0),"無")</f>
        <v>978</v>
      </c>
      <c r="R302" s="346">
        <f>IFERROR(VLOOKUP($G302,融外自投!$A:$J,8,0),"無")</f>
        <v>625</v>
      </c>
      <c r="S302" s="81">
        <f>IFERROR(VLOOKUP($G302,融外自投!$A:$J,10,0),"無")</f>
        <v>416</v>
      </c>
      <c r="T302" s="327">
        <f>IFERROR(VLOOKUP($G302,'321買'!$A:$E,5,0),"'沒有資料'")</f>
        <v>292</v>
      </c>
      <c r="U302" s="185">
        <v>1</v>
      </c>
      <c r="V302" s="311"/>
      <c r="W302" s="94">
        <f t="shared" si="105"/>
        <v>1.8691588785046728E-2</v>
      </c>
      <c r="X302" s="161">
        <v>53.5</v>
      </c>
      <c r="Y302" s="155">
        <v>42.65</v>
      </c>
      <c r="Z302" s="162">
        <f t="shared" si="102"/>
        <v>10.850000000000001</v>
      </c>
      <c r="AA302" s="158">
        <f t="shared" si="103"/>
        <v>0.25439624853458387</v>
      </c>
      <c r="AB302" s="167" t="s">
        <v>3174</v>
      </c>
      <c r="AC302" s="382"/>
      <c r="AD302" s="166" t="s">
        <v>305</v>
      </c>
      <c r="AE302" s="84">
        <v>44228</v>
      </c>
      <c r="AF302" s="83">
        <v>44293</v>
      </c>
      <c r="AG302" s="33">
        <f t="shared" si="104"/>
        <v>65</v>
      </c>
      <c r="AH302" s="41" t="s">
        <v>1122</v>
      </c>
    </row>
    <row r="303" spans="1:44" s="248" customFormat="1">
      <c r="A303" s="142" t="s">
        <v>1887</v>
      </c>
      <c r="B303" s="79">
        <v>29</v>
      </c>
      <c r="C303" s="80">
        <v>-16</v>
      </c>
      <c r="D303" s="79">
        <v>12</v>
      </c>
      <c r="E303" s="79">
        <v>28</v>
      </c>
      <c r="F303" s="6">
        <v>4.82</v>
      </c>
      <c r="G303" s="79">
        <v>1785</v>
      </c>
      <c r="H303" s="30" t="s">
        <v>1462</v>
      </c>
      <c r="I303" s="166" t="s">
        <v>305</v>
      </c>
      <c r="J303" s="8" t="str">
        <f>IFERROR(VLOOKUP($G303,今日總結!$A:$AJ,33,0),"")</f>
        <v/>
      </c>
      <c r="K303" s="5" t="str">
        <f>IFERROR(VLOOKUP($G303,今日總結!$A:$AJ,34,0),"")</f>
        <v/>
      </c>
      <c r="L303" s="156" t="str">
        <f>IFERROR(VLOOKUP($G303,今日總結!$A:$AJ,31,0),"")</f>
        <v/>
      </c>
      <c r="M303" s="340" t="str">
        <f>IFERROR(VLOOKUP($G303,今日總結!$A:$AJ,32,0),"")</f>
        <v/>
      </c>
      <c r="N303" s="240" t="str">
        <f t="shared" si="85"/>
        <v/>
      </c>
      <c r="O303" s="245"/>
      <c r="P303" s="365">
        <f>IFERROR(VLOOKUP($G303,融外自投!$A:$J,7,0),"無")</f>
        <v>314</v>
      </c>
      <c r="Q303" s="79">
        <f>IFERROR(VLOOKUP($G303,融外自投!$A:$J,9,0),"無")</f>
        <v>978</v>
      </c>
      <c r="R303" s="346">
        <f>IFERROR(VLOOKUP($G303,融外自投!$A:$J,8,0),"無")</f>
        <v>625</v>
      </c>
      <c r="S303" s="81">
        <f>IFERROR(VLOOKUP($G303,融外自投!$A:$J,10,0),"無")</f>
        <v>416</v>
      </c>
      <c r="T303" s="327">
        <f>IFERROR(VLOOKUP($G303,'321買'!$A:$E,5,0),"'沒有資料'")</f>
        <v>292</v>
      </c>
      <c r="U303" s="185">
        <v>1</v>
      </c>
      <c r="V303" s="311"/>
      <c r="W303" s="94">
        <f t="shared" si="105"/>
        <v>1.8691588785046728E-2</v>
      </c>
      <c r="X303" s="161">
        <v>53.5</v>
      </c>
      <c r="Y303" s="155">
        <v>48.35</v>
      </c>
      <c r="Z303" s="162">
        <f t="shared" si="102"/>
        <v>5.1499999999999986</v>
      </c>
      <c r="AA303" s="158">
        <f t="shared" si="103"/>
        <v>0.10651499482936914</v>
      </c>
      <c r="AB303" s="167" t="s">
        <v>3175</v>
      </c>
      <c r="AC303" s="382"/>
      <c r="AD303" s="166" t="s">
        <v>305</v>
      </c>
      <c r="AE303" s="84">
        <v>44207</v>
      </c>
      <c r="AF303" s="83">
        <v>44293</v>
      </c>
      <c r="AG303" s="33">
        <f t="shared" si="104"/>
        <v>86</v>
      </c>
      <c r="AH303" s="41" t="s">
        <v>1122</v>
      </c>
    </row>
    <row r="304" spans="1:44" s="248" customFormat="1">
      <c r="A304" s="142" t="s">
        <v>1887</v>
      </c>
      <c r="B304" s="79">
        <v>29</v>
      </c>
      <c r="C304" s="80">
        <v>-16</v>
      </c>
      <c r="D304" s="79">
        <v>12</v>
      </c>
      <c r="E304" s="79">
        <v>28</v>
      </c>
      <c r="F304" s="6">
        <v>4.82</v>
      </c>
      <c r="G304" s="79">
        <v>1785</v>
      </c>
      <c r="H304" s="30" t="s">
        <v>1462</v>
      </c>
      <c r="I304" s="166" t="s">
        <v>305</v>
      </c>
      <c r="J304" s="8" t="str">
        <f>IFERROR(VLOOKUP($G304,今日總結!$A:$AJ,33,0),"")</f>
        <v/>
      </c>
      <c r="K304" s="5" t="str">
        <f>IFERROR(VLOOKUP($G304,今日總結!$A:$AJ,34,0),"")</f>
        <v/>
      </c>
      <c r="L304" s="156" t="str">
        <f>IFERROR(VLOOKUP($G304,今日總結!$A:$AJ,31,0),"")</f>
        <v/>
      </c>
      <c r="M304" s="340" t="str">
        <f>IFERROR(VLOOKUP($G304,今日總結!$A:$AJ,32,0),"")</f>
        <v/>
      </c>
      <c r="N304" s="240" t="str">
        <f t="shared" si="85"/>
        <v/>
      </c>
      <c r="O304" s="245"/>
      <c r="P304" s="365">
        <f>IFERROR(VLOOKUP($G304,融外自投!$A:$J,7,0),"無")</f>
        <v>314</v>
      </c>
      <c r="Q304" s="79">
        <f>IFERROR(VLOOKUP($G304,融外自投!$A:$J,9,0),"無")</f>
        <v>978</v>
      </c>
      <c r="R304" s="346">
        <f>IFERROR(VLOOKUP($G304,融外自投!$A:$J,8,0),"無")</f>
        <v>625</v>
      </c>
      <c r="S304" s="81">
        <f>IFERROR(VLOOKUP($G304,融外自投!$A:$J,10,0),"無")</f>
        <v>416</v>
      </c>
      <c r="T304" s="327">
        <f>IFERROR(VLOOKUP($G304,'321買'!$A:$E,5,0),"'沒有資料'")</f>
        <v>292</v>
      </c>
      <c r="U304" s="185">
        <v>1</v>
      </c>
      <c r="V304" s="311"/>
      <c r="W304" s="94">
        <f t="shared" si="105"/>
        <v>1.8691588785046728E-2</v>
      </c>
      <c r="X304" s="161">
        <v>53.5</v>
      </c>
      <c r="Y304" s="155">
        <v>51.2</v>
      </c>
      <c r="Z304" s="162">
        <f t="shared" si="102"/>
        <v>2.2999999999999972</v>
      </c>
      <c r="AA304" s="158">
        <f t="shared" si="103"/>
        <v>4.4921874999999944E-2</v>
      </c>
      <c r="AB304" s="167" t="s">
        <v>2074</v>
      </c>
      <c r="AC304" s="382"/>
      <c r="AD304" s="166" t="s">
        <v>305</v>
      </c>
      <c r="AE304" s="84">
        <v>44204</v>
      </c>
      <c r="AF304" s="83">
        <v>44293</v>
      </c>
      <c r="AG304" s="33">
        <f t="shared" si="104"/>
        <v>89</v>
      </c>
      <c r="AH304" s="41" t="s">
        <v>1122</v>
      </c>
    </row>
    <row r="305" spans="1:36" s="248" customFormat="1">
      <c r="A305" s="142" t="s">
        <v>1652</v>
      </c>
      <c r="B305" s="79">
        <v>34</v>
      </c>
      <c r="C305" s="79">
        <v>189</v>
      </c>
      <c r="D305" s="80">
        <v>-9</v>
      </c>
      <c r="E305" s="80">
        <v>-1</v>
      </c>
      <c r="F305" s="6">
        <v>5.3</v>
      </c>
      <c r="G305" s="79">
        <v>3265</v>
      </c>
      <c r="H305" s="30" t="s">
        <v>1462</v>
      </c>
      <c r="I305" s="166" t="s">
        <v>2239</v>
      </c>
      <c r="J305" s="8">
        <f>IFERROR(VLOOKUP($G305,今日總結!$A:$AJ,33,0),"")</f>
        <v>0</v>
      </c>
      <c r="K305" s="5">
        <f>IFERROR(VLOOKUP($G305,今日總結!$A:$AJ,34,0),"")</f>
        <v>1</v>
      </c>
      <c r="L305" s="156">
        <f>IFERROR(VLOOKUP($G305,今日總結!$A:$AJ,31,0),"")</f>
        <v>0</v>
      </c>
      <c r="M305" s="340">
        <f>IFERROR(VLOOKUP($G305,今日總結!$A:$AJ,32,0),"")</f>
        <v>0</v>
      </c>
      <c r="N305" s="240">
        <f t="shared" si="85"/>
        <v>0</v>
      </c>
      <c r="O305" s="245"/>
      <c r="P305" s="365">
        <f>IFERROR(VLOOKUP($G305,融外自投!$A:$J,7,0),"無")</f>
        <v>590</v>
      </c>
      <c r="Q305" s="79">
        <f>IFERROR(VLOOKUP($G305,融外自投!$A:$J,9,0),"無")</f>
        <v>47</v>
      </c>
      <c r="R305" s="346">
        <f>IFERROR(VLOOKUP($G305,融外自投!$A:$J,8,0),"無")</f>
        <v>791</v>
      </c>
      <c r="S305" s="81" t="str">
        <f>IFERROR(VLOOKUP($G305,融外自投!$A:$J,10,0),"無")</f>
        <v>無</v>
      </c>
      <c r="T305" s="327">
        <f>IFERROR(VLOOKUP($G305,'321買'!$A:$E,5,0),"'沒有資料'")</f>
        <v>984</v>
      </c>
      <c r="U305" s="185">
        <v>1.5</v>
      </c>
      <c r="V305" s="311"/>
      <c r="W305" s="94">
        <f t="shared" si="105"/>
        <v>4.4977511244377807E-2</v>
      </c>
      <c r="X305" s="165">
        <v>33.35</v>
      </c>
      <c r="Y305" s="65">
        <v>29.3</v>
      </c>
      <c r="Z305" s="162">
        <f t="shared" si="102"/>
        <v>4.0500000000000007</v>
      </c>
      <c r="AA305" s="158">
        <f t="shared" si="103"/>
        <v>0.13822525597269628</v>
      </c>
      <c r="AB305" s="167" t="s">
        <v>3161</v>
      </c>
      <c r="AC305" s="382"/>
      <c r="AD305" s="166" t="s">
        <v>2239</v>
      </c>
      <c r="AE305" s="84">
        <v>44201</v>
      </c>
      <c r="AF305" s="83">
        <v>44287</v>
      </c>
      <c r="AG305" s="33">
        <f t="shared" si="104"/>
        <v>86</v>
      </c>
      <c r="AH305" s="41" t="s">
        <v>1122</v>
      </c>
      <c r="AI305" s="163"/>
    </row>
    <row r="306" spans="1:36" s="248" customFormat="1">
      <c r="A306" s="142" t="s">
        <v>1652</v>
      </c>
      <c r="B306" s="79">
        <v>34</v>
      </c>
      <c r="C306" s="79">
        <v>189</v>
      </c>
      <c r="D306" s="80">
        <v>-9</v>
      </c>
      <c r="E306" s="80">
        <v>-1</v>
      </c>
      <c r="F306" s="6">
        <v>5.3</v>
      </c>
      <c r="G306" s="79">
        <v>3265</v>
      </c>
      <c r="H306" s="30" t="s">
        <v>1462</v>
      </c>
      <c r="I306" s="166" t="s">
        <v>2239</v>
      </c>
      <c r="J306" s="8">
        <f>IFERROR(VLOOKUP($G306,今日總結!$A:$AJ,33,0),"")</f>
        <v>0</v>
      </c>
      <c r="K306" s="5">
        <f>IFERROR(VLOOKUP($G306,今日總結!$A:$AJ,34,0),"")</f>
        <v>1</v>
      </c>
      <c r="L306" s="156">
        <f>IFERROR(VLOOKUP($G306,今日總結!$A:$AJ,31,0),"")</f>
        <v>0</v>
      </c>
      <c r="M306" s="340">
        <f>IFERROR(VLOOKUP($G306,今日總結!$A:$AJ,32,0),"")</f>
        <v>0</v>
      </c>
      <c r="N306" s="240">
        <f t="shared" si="85"/>
        <v>0</v>
      </c>
      <c r="O306" s="245"/>
      <c r="P306" s="365">
        <f>IFERROR(VLOOKUP($G306,融外自投!$A:$J,7,0),"無")</f>
        <v>590</v>
      </c>
      <c r="Q306" s="79">
        <f>IFERROR(VLOOKUP($G306,融外自投!$A:$J,9,0),"無")</f>
        <v>47</v>
      </c>
      <c r="R306" s="346">
        <f>IFERROR(VLOOKUP($G306,融外自投!$A:$J,8,0),"無")</f>
        <v>791</v>
      </c>
      <c r="S306" s="81" t="str">
        <f>IFERROR(VLOOKUP($G306,融外自投!$A:$J,10,0),"無")</f>
        <v>無</v>
      </c>
      <c r="T306" s="327">
        <f>IFERROR(VLOOKUP($G306,'321買'!$A:$E,5,0),"'沒有資料'")</f>
        <v>984</v>
      </c>
      <c r="U306" s="185">
        <v>1.5</v>
      </c>
      <c r="V306" s="311"/>
      <c r="W306" s="94">
        <f t="shared" si="105"/>
        <v>4.4977511244377807E-2</v>
      </c>
      <c r="X306" s="165">
        <v>33.35</v>
      </c>
      <c r="Y306" s="65">
        <v>28.7</v>
      </c>
      <c r="Z306" s="162">
        <f t="shared" si="102"/>
        <v>4.6500000000000021</v>
      </c>
      <c r="AA306" s="158">
        <f t="shared" si="103"/>
        <v>0.16202090592334503</v>
      </c>
      <c r="AB306" s="167" t="s">
        <v>1705</v>
      </c>
      <c r="AC306" s="382"/>
      <c r="AD306" s="166" t="s">
        <v>2239</v>
      </c>
      <c r="AE306" s="84">
        <v>44201</v>
      </c>
      <c r="AF306" s="83">
        <v>44287</v>
      </c>
      <c r="AG306" s="33">
        <f t="shared" si="104"/>
        <v>86</v>
      </c>
      <c r="AH306" s="41" t="s">
        <v>1122</v>
      </c>
      <c r="AI306" s="163"/>
    </row>
    <row r="307" spans="1:36" s="248" customFormat="1">
      <c r="A307" s="127" t="s">
        <v>2242</v>
      </c>
      <c r="B307" s="80">
        <v>-10</v>
      </c>
      <c r="C307" s="80">
        <v>-10</v>
      </c>
      <c r="D307" s="80">
        <v>-3</v>
      </c>
      <c r="E307" s="79">
        <v>21</v>
      </c>
      <c r="F307" s="57">
        <v>21.7</v>
      </c>
      <c r="G307" s="79">
        <v>6147</v>
      </c>
      <c r="H307" s="30" t="s">
        <v>1462</v>
      </c>
      <c r="I307" s="166" t="s">
        <v>40</v>
      </c>
      <c r="J307" s="8" t="str">
        <f>IFERROR(VLOOKUP($G307,今日總結!$A:$AJ,33,0),"")</f>
        <v/>
      </c>
      <c r="K307" s="5" t="str">
        <f>IFERROR(VLOOKUP($G307,今日總結!$A:$AJ,34,0),"")</f>
        <v/>
      </c>
      <c r="L307" s="156" t="str">
        <f>IFERROR(VLOOKUP($G307,今日總結!$A:$AJ,31,0),"")</f>
        <v/>
      </c>
      <c r="M307" s="340" t="str">
        <f>IFERROR(VLOOKUP($G307,今日總結!$A:$AJ,32,0),"")</f>
        <v/>
      </c>
      <c r="N307" s="240" t="str">
        <f t="shared" si="85"/>
        <v/>
      </c>
      <c r="O307" s="245"/>
      <c r="P307" s="365">
        <f>IFERROR(VLOOKUP($G307,融外自投!$A:$J,7,0),"無")</f>
        <v>803</v>
      </c>
      <c r="Q307" s="79">
        <f>IFERROR(VLOOKUP($G307,融外自投!$A:$J,9,0),"無")</f>
        <v>292</v>
      </c>
      <c r="R307" s="346">
        <f>IFERROR(VLOOKUP($G307,融外自投!$A:$J,8,0),"無")</f>
        <v>242</v>
      </c>
      <c r="S307" s="81">
        <f>IFERROR(VLOOKUP($G307,融外自投!$A:$J,10,0),"無")</f>
        <v>90</v>
      </c>
      <c r="T307" s="327">
        <f>IFERROR(VLOOKUP($G307,'321買'!$A:$E,5,0),"'沒有資料'")</f>
        <v>131</v>
      </c>
      <c r="U307" s="185">
        <v>4.2</v>
      </c>
      <c r="V307" s="311"/>
      <c r="W307" s="57">
        <f t="shared" si="105"/>
        <v>5.4054054054054057E-2</v>
      </c>
      <c r="X307" s="165">
        <v>77.7</v>
      </c>
      <c r="Y307" s="65">
        <v>75.599999999999994</v>
      </c>
      <c r="Z307" s="162">
        <f t="shared" si="102"/>
        <v>2.1000000000000085</v>
      </c>
      <c r="AA307" s="158">
        <f t="shared" si="103"/>
        <v>2.7777777777777894E-2</v>
      </c>
      <c r="AB307" s="167" t="s">
        <v>2956</v>
      </c>
      <c r="AC307" s="382"/>
      <c r="AD307" s="166" t="s">
        <v>40</v>
      </c>
      <c r="AE307" s="84">
        <v>44278</v>
      </c>
      <c r="AF307" s="83">
        <v>44287</v>
      </c>
      <c r="AG307" s="33">
        <f t="shared" ref="AG307:AG316" si="106">AF307-AE307</f>
        <v>9</v>
      </c>
      <c r="AH307" s="41" t="s">
        <v>1122</v>
      </c>
      <c r="AI307" s="180"/>
      <c r="AJ307" s="179"/>
    </row>
    <row r="308" spans="1:36" s="248" customFormat="1">
      <c r="A308" s="142" t="s">
        <v>1675</v>
      </c>
      <c r="B308" s="79">
        <v>121</v>
      </c>
      <c r="C308" s="79">
        <v>196</v>
      </c>
      <c r="D308" s="79">
        <v>0</v>
      </c>
      <c r="E308" s="79">
        <v>0</v>
      </c>
      <c r="F308" s="6">
        <v>7.48</v>
      </c>
      <c r="G308" s="79">
        <v>3017</v>
      </c>
      <c r="H308" s="30" t="s">
        <v>1462</v>
      </c>
      <c r="I308" s="153" t="s">
        <v>117</v>
      </c>
      <c r="J308" s="8">
        <f>IFERROR(VLOOKUP($G308,今日總結!$A:$AJ,33,0),"")</f>
        <v>2</v>
      </c>
      <c r="K308" s="5">
        <f>IFERROR(VLOOKUP($G308,今日總結!$A:$AJ,34,0),"")</f>
        <v>0</v>
      </c>
      <c r="L308" s="156">
        <f>IFERROR(VLOOKUP($G308,今日總結!$A:$AJ,31,0),"")</f>
        <v>0</v>
      </c>
      <c r="M308" s="340">
        <f>IFERROR(VLOOKUP($G308,今日總結!$A:$AJ,32,0),"")</f>
        <v>0</v>
      </c>
      <c r="N308" s="240">
        <f t="shared" si="85"/>
        <v>0</v>
      </c>
      <c r="O308" s="7"/>
      <c r="P308" s="365">
        <f>IFERROR(VLOOKUP($G308,融外自投!$A:$J,7,0),"無")</f>
        <v>490</v>
      </c>
      <c r="Q308" s="79">
        <f>IFERROR(VLOOKUP($G308,融外自投!$A:$J,9,0),"無")</f>
        <v>379</v>
      </c>
      <c r="R308" s="346">
        <f>IFERROR(VLOOKUP($G308,融外自投!$A:$J,8,0),"無")</f>
        <v>126</v>
      </c>
      <c r="S308" s="81">
        <f>IFERROR(VLOOKUP($G308,融外自投!$A:$J,10,0),"無")</f>
        <v>7</v>
      </c>
      <c r="T308" s="327">
        <f>IFERROR(VLOOKUP($G308,'321買'!$A:$E,5,0),"'沒有資料'")</f>
        <v>48</v>
      </c>
      <c r="U308" s="65">
        <v>1.3</v>
      </c>
      <c r="V308" s="311"/>
      <c r="W308" s="39">
        <f t="shared" si="105"/>
        <v>1.9145802650957288E-2</v>
      </c>
      <c r="X308" s="165">
        <v>67.900000000000006</v>
      </c>
      <c r="Y308" s="65">
        <v>63.9</v>
      </c>
      <c r="Z308" s="162">
        <f t="shared" ref="Z308:Z316" si="107">X308-Y308</f>
        <v>4.0000000000000071</v>
      </c>
      <c r="AA308" s="158">
        <f t="shared" ref="AA308:AA316" si="108">Z308/Y308</f>
        <v>6.2597809076682429E-2</v>
      </c>
      <c r="AB308" s="167" t="s">
        <v>1877</v>
      </c>
      <c r="AC308" s="382"/>
      <c r="AD308" s="153" t="s">
        <v>117</v>
      </c>
      <c r="AE308" s="84">
        <v>44267</v>
      </c>
      <c r="AF308" s="83">
        <v>44287</v>
      </c>
      <c r="AG308" s="33">
        <f t="shared" si="106"/>
        <v>20</v>
      </c>
      <c r="AH308" s="41" t="s">
        <v>2153</v>
      </c>
    </row>
    <row r="309" spans="1:36" s="248" customFormat="1">
      <c r="A309" s="142" t="s">
        <v>1675</v>
      </c>
      <c r="B309" s="79">
        <v>121</v>
      </c>
      <c r="C309" s="79">
        <v>196</v>
      </c>
      <c r="D309" s="79">
        <v>0</v>
      </c>
      <c r="E309" s="79">
        <v>0</v>
      </c>
      <c r="F309" s="6">
        <v>7.48</v>
      </c>
      <c r="G309" s="79">
        <v>3017</v>
      </c>
      <c r="H309" s="30" t="s">
        <v>1462</v>
      </c>
      <c r="I309" s="153" t="s">
        <v>117</v>
      </c>
      <c r="J309" s="8">
        <f>IFERROR(VLOOKUP($G309,今日總結!$A:$AJ,33,0),"")</f>
        <v>2</v>
      </c>
      <c r="K309" s="5">
        <f>IFERROR(VLOOKUP($G309,今日總結!$A:$AJ,34,0),"")</f>
        <v>0</v>
      </c>
      <c r="L309" s="156">
        <f>IFERROR(VLOOKUP($G309,今日總結!$A:$AJ,31,0),"")</f>
        <v>0</v>
      </c>
      <c r="M309" s="340">
        <f>IFERROR(VLOOKUP($G309,今日總結!$A:$AJ,32,0),"")</f>
        <v>0</v>
      </c>
      <c r="N309" s="240">
        <f t="shared" si="85"/>
        <v>0</v>
      </c>
      <c r="O309" s="245"/>
      <c r="P309" s="365">
        <f>IFERROR(VLOOKUP($G309,融外自投!$A:$J,7,0),"無")</f>
        <v>490</v>
      </c>
      <c r="Q309" s="79">
        <f>IFERROR(VLOOKUP($G309,融外自投!$A:$J,9,0),"無")</f>
        <v>379</v>
      </c>
      <c r="R309" s="346">
        <f>IFERROR(VLOOKUP($G309,融外自投!$A:$J,8,0),"無")</f>
        <v>126</v>
      </c>
      <c r="S309" s="81">
        <f>IFERROR(VLOOKUP($G309,融外自投!$A:$J,10,0),"無")</f>
        <v>7</v>
      </c>
      <c r="T309" s="327">
        <f>IFERROR(VLOOKUP($G309,'321買'!$A:$E,5,0),"'沒有資料'")</f>
        <v>48</v>
      </c>
      <c r="U309" s="65">
        <v>1.3</v>
      </c>
      <c r="V309" s="311"/>
      <c r="W309" s="39">
        <f t="shared" si="105"/>
        <v>1.9145802650957288E-2</v>
      </c>
      <c r="X309" s="165">
        <v>67.900000000000006</v>
      </c>
      <c r="Y309" s="65">
        <v>63.9</v>
      </c>
      <c r="Z309" s="162">
        <f t="shared" si="107"/>
        <v>4.0000000000000071</v>
      </c>
      <c r="AA309" s="158">
        <f t="shared" si="108"/>
        <v>6.2597809076682429E-2</v>
      </c>
      <c r="AB309" s="167" t="s">
        <v>1877</v>
      </c>
      <c r="AC309" s="382"/>
      <c r="AD309" s="153" t="s">
        <v>117</v>
      </c>
      <c r="AE309" s="84">
        <v>44267</v>
      </c>
      <c r="AF309" s="83">
        <v>44287</v>
      </c>
      <c r="AG309" s="33">
        <f t="shared" si="106"/>
        <v>20</v>
      </c>
      <c r="AH309" s="41" t="s">
        <v>2153</v>
      </c>
    </row>
    <row r="310" spans="1:36" s="248" customFormat="1">
      <c r="A310" s="142" t="s">
        <v>1675</v>
      </c>
      <c r="B310" s="79">
        <v>121</v>
      </c>
      <c r="C310" s="79">
        <v>196</v>
      </c>
      <c r="D310" s="79">
        <v>0</v>
      </c>
      <c r="E310" s="79">
        <v>0</v>
      </c>
      <c r="F310" s="6">
        <v>7.48</v>
      </c>
      <c r="G310" s="79">
        <v>3017</v>
      </c>
      <c r="H310" s="30" t="s">
        <v>1462</v>
      </c>
      <c r="I310" s="153" t="s">
        <v>117</v>
      </c>
      <c r="J310" s="8">
        <f>IFERROR(VLOOKUP($G310,今日總結!$A:$AJ,33,0),"")</f>
        <v>2</v>
      </c>
      <c r="K310" s="5">
        <f>IFERROR(VLOOKUP($G310,今日總結!$A:$AJ,34,0),"")</f>
        <v>0</v>
      </c>
      <c r="L310" s="156">
        <f>IFERROR(VLOOKUP($G310,今日總結!$A:$AJ,31,0),"")</f>
        <v>0</v>
      </c>
      <c r="M310" s="340">
        <f>IFERROR(VLOOKUP($G310,今日總結!$A:$AJ,32,0),"")</f>
        <v>0</v>
      </c>
      <c r="N310" s="240">
        <f t="shared" si="85"/>
        <v>0</v>
      </c>
      <c r="O310" s="245"/>
      <c r="P310" s="365">
        <f>IFERROR(VLOOKUP($G310,融外自投!$A:$J,7,0),"無")</f>
        <v>490</v>
      </c>
      <c r="Q310" s="79">
        <f>IFERROR(VLOOKUP($G310,融外自投!$A:$J,9,0),"無")</f>
        <v>379</v>
      </c>
      <c r="R310" s="346">
        <f>IFERROR(VLOOKUP($G310,融外自投!$A:$J,8,0),"無")</f>
        <v>126</v>
      </c>
      <c r="S310" s="81">
        <f>IFERROR(VLOOKUP($G310,融外自投!$A:$J,10,0),"無")</f>
        <v>7</v>
      </c>
      <c r="T310" s="327">
        <f>IFERROR(VLOOKUP($G310,'321買'!$A:$E,5,0),"'沒有資料'")</f>
        <v>48</v>
      </c>
      <c r="U310" s="65">
        <v>1.3</v>
      </c>
      <c r="V310" s="311"/>
      <c r="W310" s="39">
        <f t="shared" si="105"/>
        <v>1.9145802650957288E-2</v>
      </c>
      <c r="X310" s="165">
        <v>67.900000000000006</v>
      </c>
      <c r="Y310" s="65">
        <v>62.3</v>
      </c>
      <c r="Z310" s="162">
        <f t="shared" si="107"/>
        <v>5.6000000000000085</v>
      </c>
      <c r="AA310" s="158">
        <f t="shared" si="108"/>
        <v>8.9887640449438339E-2</v>
      </c>
      <c r="AB310" s="167" t="s">
        <v>3162</v>
      </c>
      <c r="AC310" s="382"/>
      <c r="AD310" s="153" t="s">
        <v>117</v>
      </c>
      <c r="AE310" s="84">
        <v>44266</v>
      </c>
      <c r="AF310" s="83">
        <v>44287</v>
      </c>
      <c r="AG310" s="33">
        <f t="shared" si="106"/>
        <v>21</v>
      </c>
      <c r="AH310" s="41" t="s">
        <v>2153</v>
      </c>
    </row>
    <row r="311" spans="1:36" s="248" customFormat="1">
      <c r="A311" s="142" t="s">
        <v>1675</v>
      </c>
      <c r="B311" s="79">
        <v>121</v>
      </c>
      <c r="C311" s="79">
        <v>196</v>
      </c>
      <c r="D311" s="79">
        <v>0</v>
      </c>
      <c r="E311" s="79">
        <v>0</v>
      </c>
      <c r="F311" s="6">
        <v>7.48</v>
      </c>
      <c r="G311" s="79">
        <v>3017</v>
      </c>
      <c r="H311" s="30" t="s">
        <v>1462</v>
      </c>
      <c r="I311" s="153" t="s">
        <v>117</v>
      </c>
      <c r="J311" s="8">
        <f>IFERROR(VLOOKUP($G311,今日總結!$A:$AJ,33,0),"")</f>
        <v>2</v>
      </c>
      <c r="K311" s="5">
        <f>IFERROR(VLOOKUP($G311,今日總結!$A:$AJ,34,0),"")</f>
        <v>0</v>
      </c>
      <c r="L311" s="156">
        <f>IFERROR(VLOOKUP($G311,今日總結!$A:$AJ,31,0),"")</f>
        <v>0</v>
      </c>
      <c r="M311" s="340">
        <f>IFERROR(VLOOKUP($G311,今日總結!$A:$AJ,32,0),"")</f>
        <v>0</v>
      </c>
      <c r="N311" s="240">
        <f t="shared" si="85"/>
        <v>0</v>
      </c>
      <c r="O311" s="245"/>
      <c r="P311" s="365">
        <f>IFERROR(VLOOKUP($G311,融外自投!$A:$J,7,0),"無")</f>
        <v>490</v>
      </c>
      <c r="Q311" s="79">
        <f>IFERROR(VLOOKUP($G311,融外自投!$A:$J,9,0),"無")</f>
        <v>379</v>
      </c>
      <c r="R311" s="346">
        <f>IFERROR(VLOOKUP($G311,融外自投!$A:$J,8,0),"無")</f>
        <v>126</v>
      </c>
      <c r="S311" s="81">
        <f>IFERROR(VLOOKUP($G311,融外自投!$A:$J,10,0),"無")</f>
        <v>7</v>
      </c>
      <c r="T311" s="327">
        <f>IFERROR(VLOOKUP($G311,'321買'!$A:$E,5,0),"'沒有資料'")</f>
        <v>48</v>
      </c>
      <c r="U311" s="65">
        <v>1.3</v>
      </c>
      <c r="V311" s="311"/>
      <c r="W311" s="39">
        <f t="shared" si="105"/>
        <v>1.9145802650957288E-2</v>
      </c>
      <c r="X311" s="165">
        <v>67.900000000000006</v>
      </c>
      <c r="Y311" s="65">
        <v>65.5</v>
      </c>
      <c r="Z311" s="162">
        <f t="shared" si="107"/>
        <v>2.4000000000000057</v>
      </c>
      <c r="AA311" s="158">
        <f t="shared" si="108"/>
        <v>3.6641221374045886E-2</v>
      </c>
      <c r="AB311" s="167" t="s">
        <v>2086</v>
      </c>
      <c r="AC311" s="382"/>
      <c r="AD311" s="153" t="s">
        <v>117</v>
      </c>
      <c r="AE311" s="84">
        <v>44258</v>
      </c>
      <c r="AF311" s="83">
        <v>44287</v>
      </c>
      <c r="AG311" s="33">
        <f t="shared" si="106"/>
        <v>29</v>
      </c>
      <c r="AH311" s="41" t="s">
        <v>2153</v>
      </c>
    </row>
    <row r="312" spans="1:36" s="248" customFormat="1">
      <c r="A312" s="142" t="s">
        <v>1675</v>
      </c>
      <c r="B312" s="79">
        <v>121</v>
      </c>
      <c r="C312" s="79">
        <v>196</v>
      </c>
      <c r="D312" s="79">
        <v>0</v>
      </c>
      <c r="E312" s="79">
        <v>0</v>
      </c>
      <c r="F312" s="6">
        <v>7.48</v>
      </c>
      <c r="G312" s="79">
        <v>3017</v>
      </c>
      <c r="H312" s="30" t="s">
        <v>1462</v>
      </c>
      <c r="I312" s="153" t="s">
        <v>117</v>
      </c>
      <c r="J312" s="8">
        <f>IFERROR(VLOOKUP($G312,今日總結!$A:$AJ,33,0),"")</f>
        <v>2</v>
      </c>
      <c r="K312" s="5">
        <f>IFERROR(VLOOKUP($G312,今日總結!$A:$AJ,34,0),"")</f>
        <v>0</v>
      </c>
      <c r="L312" s="156">
        <f>IFERROR(VLOOKUP($G312,今日總結!$A:$AJ,31,0),"")</f>
        <v>0</v>
      </c>
      <c r="M312" s="340">
        <f>IFERROR(VLOOKUP($G312,今日總結!$A:$AJ,32,0),"")</f>
        <v>0</v>
      </c>
      <c r="N312" s="240">
        <f t="shared" si="85"/>
        <v>0</v>
      </c>
      <c r="O312" s="245"/>
      <c r="P312" s="365">
        <f>IFERROR(VLOOKUP($G312,融外自投!$A:$J,7,0),"無")</f>
        <v>490</v>
      </c>
      <c r="Q312" s="79">
        <f>IFERROR(VLOOKUP($G312,融外自投!$A:$J,9,0),"無")</f>
        <v>379</v>
      </c>
      <c r="R312" s="346">
        <f>IFERROR(VLOOKUP($G312,融外自投!$A:$J,8,0),"無")</f>
        <v>126</v>
      </c>
      <c r="S312" s="81">
        <f>IFERROR(VLOOKUP($G312,融外自投!$A:$J,10,0),"無")</f>
        <v>7</v>
      </c>
      <c r="T312" s="327">
        <f>IFERROR(VLOOKUP($G312,'321買'!$A:$E,5,0),"'沒有資料'")</f>
        <v>48</v>
      </c>
      <c r="U312" s="65">
        <v>1.3</v>
      </c>
      <c r="V312" s="311"/>
      <c r="W312" s="39">
        <f t="shared" si="105"/>
        <v>1.9145802650957288E-2</v>
      </c>
      <c r="X312" s="165">
        <v>67.900000000000006</v>
      </c>
      <c r="Y312" s="65">
        <v>66.8</v>
      </c>
      <c r="Z312" s="162">
        <f t="shared" si="107"/>
        <v>1.1000000000000085</v>
      </c>
      <c r="AA312" s="158">
        <f t="shared" si="108"/>
        <v>1.6467065868263603E-2</v>
      </c>
      <c r="AB312" s="167" t="s">
        <v>3163</v>
      </c>
      <c r="AC312" s="382"/>
      <c r="AD312" s="153" t="s">
        <v>117</v>
      </c>
      <c r="AE312" s="84">
        <v>44257</v>
      </c>
      <c r="AF312" s="83">
        <v>44287</v>
      </c>
      <c r="AG312" s="33">
        <f t="shared" si="106"/>
        <v>30</v>
      </c>
      <c r="AH312" s="41" t="s">
        <v>2153</v>
      </c>
    </row>
    <row r="313" spans="1:36" s="248" customFormat="1">
      <c r="A313" s="142" t="s">
        <v>1675</v>
      </c>
      <c r="B313" s="79">
        <v>121</v>
      </c>
      <c r="C313" s="79">
        <v>196</v>
      </c>
      <c r="D313" s="79">
        <v>0</v>
      </c>
      <c r="E313" s="79">
        <v>0</v>
      </c>
      <c r="F313" s="6">
        <v>7.48</v>
      </c>
      <c r="G313" s="79">
        <v>3017</v>
      </c>
      <c r="H313" s="30" t="s">
        <v>1462</v>
      </c>
      <c r="I313" s="153" t="s">
        <v>117</v>
      </c>
      <c r="J313" s="8">
        <f>IFERROR(VLOOKUP($G313,今日總結!$A:$AJ,33,0),"")</f>
        <v>2</v>
      </c>
      <c r="K313" s="5">
        <f>IFERROR(VLOOKUP($G313,今日總結!$A:$AJ,34,0),"")</f>
        <v>0</v>
      </c>
      <c r="L313" s="156">
        <f>IFERROR(VLOOKUP($G313,今日總結!$A:$AJ,31,0),"")</f>
        <v>0</v>
      </c>
      <c r="M313" s="340">
        <f>IFERROR(VLOOKUP($G313,今日總結!$A:$AJ,32,0),"")</f>
        <v>0</v>
      </c>
      <c r="N313" s="240">
        <f t="shared" si="85"/>
        <v>0</v>
      </c>
      <c r="O313" s="245"/>
      <c r="P313" s="365">
        <f>IFERROR(VLOOKUP($G313,融外自投!$A:$J,7,0),"無")</f>
        <v>490</v>
      </c>
      <c r="Q313" s="79">
        <f>IFERROR(VLOOKUP($G313,融外自投!$A:$J,9,0),"無")</f>
        <v>379</v>
      </c>
      <c r="R313" s="346">
        <f>IFERROR(VLOOKUP($G313,融外自投!$A:$J,8,0),"無")</f>
        <v>126</v>
      </c>
      <c r="S313" s="81">
        <f>IFERROR(VLOOKUP($G313,融外自投!$A:$J,10,0),"無")</f>
        <v>7</v>
      </c>
      <c r="T313" s="327">
        <f>IFERROR(VLOOKUP($G313,'321買'!$A:$E,5,0),"'沒有資料'")</f>
        <v>48</v>
      </c>
      <c r="U313" s="65">
        <v>1.3</v>
      </c>
      <c r="V313" s="311"/>
      <c r="W313" s="39">
        <f t="shared" si="105"/>
        <v>1.9145802650957288E-2</v>
      </c>
      <c r="X313" s="165">
        <v>67.900000000000006</v>
      </c>
      <c r="Y313" s="65">
        <v>66.599999999999994</v>
      </c>
      <c r="Z313" s="162">
        <f t="shared" si="107"/>
        <v>1.3000000000000114</v>
      </c>
      <c r="AA313" s="158">
        <f t="shared" si="108"/>
        <v>1.951951951951969E-2</v>
      </c>
      <c r="AB313" s="167" t="s">
        <v>3226</v>
      </c>
      <c r="AC313" s="382"/>
      <c r="AD313" s="153" t="s">
        <v>117</v>
      </c>
      <c r="AE313" s="84">
        <v>44245</v>
      </c>
      <c r="AF313" s="83">
        <v>44287</v>
      </c>
      <c r="AG313" s="33">
        <f t="shared" si="106"/>
        <v>42</v>
      </c>
      <c r="AH313" s="41" t="s">
        <v>2153</v>
      </c>
    </row>
    <row r="314" spans="1:36" s="248" customFormat="1">
      <c r="A314" s="142" t="s">
        <v>1675</v>
      </c>
      <c r="B314" s="79">
        <v>121</v>
      </c>
      <c r="C314" s="79">
        <v>196</v>
      </c>
      <c r="D314" s="79">
        <v>0</v>
      </c>
      <c r="E314" s="79">
        <v>0</v>
      </c>
      <c r="F314" s="6">
        <v>7.48</v>
      </c>
      <c r="G314" s="79">
        <v>3017</v>
      </c>
      <c r="H314" s="30" t="s">
        <v>1462</v>
      </c>
      <c r="I314" s="153" t="s">
        <v>117</v>
      </c>
      <c r="J314" s="8">
        <f>IFERROR(VLOOKUP($G314,今日總結!$A:$AJ,33,0),"")</f>
        <v>2</v>
      </c>
      <c r="K314" s="5">
        <f>IFERROR(VLOOKUP($G314,今日總結!$A:$AJ,34,0),"")</f>
        <v>0</v>
      </c>
      <c r="L314" s="156">
        <f>IFERROR(VLOOKUP($G314,今日總結!$A:$AJ,31,0),"")</f>
        <v>0</v>
      </c>
      <c r="M314" s="340">
        <f>IFERROR(VLOOKUP($G314,今日總結!$A:$AJ,32,0),"")</f>
        <v>0</v>
      </c>
      <c r="N314" s="240">
        <f t="shared" si="85"/>
        <v>0</v>
      </c>
      <c r="O314" s="245"/>
      <c r="P314" s="365">
        <f>IFERROR(VLOOKUP($G314,融外自投!$A:$J,7,0),"無")</f>
        <v>490</v>
      </c>
      <c r="Q314" s="79">
        <f>IFERROR(VLOOKUP($G314,融外自投!$A:$J,9,0),"無")</f>
        <v>379</v>
      </c>
      <c r="R314" s="346">
        <f>IFERROR(VLOOKUP($G314,融外自投!$A:$J,8,0),"無")</f>
        <v>126</v>
      </c>
      <c r="S314" s="81">
        <f>IFERROR(VLOOKUP($G314,融外自投!$A:$J,10,0),"無")</f>
        <v>7</v>
      </c>
      <c r="T314" s="327">
        <f>IFERROR(VLOOKUP($G314,'321買'!$A:$E,5,0),"'沒有資料'")</f>
        <v>48</v>
      </c>
      <c r="U314" s="65">
        <v>1.3</v>
      </c>
      <c r="V314" s="311"/>
      <c r="W314" s="39">
        <f t="shared" si="105"/>
        <v>1.9145802650957288E-2</v>
      </c>
      <c r="X314" s="165">
        <v>67.900000000000006</v>
      </c>
      <c r="Y314" s="65">
        <v>70.400000000000006</v>
      </c>
      <c r="Z314" s="162">
        <f t="shared" si="107"/>
        <v>-2.5</v>
      </c>
      <c r="AA314" s="164">
        <f t="shared" si="108"/>
        <v>-3.5511363636363633E-2</v>
      </c>
      <c r="AB314" s="168" t="s">
        <v>3164</v>
      </c>
      <c r="AC314" s="382"/>
      <c r="AD314" s="153" t="s">
        <v>117</v>
      </c>
      <c r="AE314" s="84">
        <v>44217</v>
      </c>
      <c r="AF314" s="83">
        <v>44287</v>
      </c>
      <c r="AG314" s="33">
        <f t="shared" si="106"/>
        <v>70</v>
      </c>
      <c r="AH314" s="41" t="s">
        <v>2153</v>
      </c>
    </row>
    <row r="315" spans="1:36" s="248" customFormat="1">
      <c r="A315" s="142" t="s">
        <v>1675</v>
      </c>
      <c r="B315" s="79">
        <v>121</v>
      </c>
      <c r="C315" s="79">
        <v>196</v>
      </c>
      <c r="D315" s="79">
        <v>0</v>
      </c>
      <c r="E315" s="79">
        <v>0</v>
      </c>
      <c r="F315" s="6">
        <v>7.48</v>
      </c>
      <c r="G315" s="79">
        <v>3017</v>
      </c>
      <c r="H315" s="30" t="s">
        <v>1462</v>
      </c>
      <c r="I315" s="153" t="s">
        <v>117</v>
      </c>
      <c r="J315" s="8">
        <f>IFERROR(VLOOKUP($G315,今日總結!$A:$AJ,33,0),"")</f>
        <v>2</v>
      </c>
      <c r="K315" s="5">
        <f>IFERROR(VLOOKUP($G315,今日總結!$A:$AJ,34,0),"")</f>
        <v>0</v>
      </c>
      <c r="L315" s="156">
        <f>IFERROR(VLOOKUP($G315,今日總結!$A:$AJ,31,0),"")</f>
        <v>0</v>
      </c>
      <c r="M315" s="340">
        <f>IFERROR(VLOOKUP($G315,今日總結!$A:$AJ,32,0),"")</f>
        <v>0</v>
      </c>
      <c r="N315" s="240">
        <f t="shared" si="85"/>
        <v>0</v>
      </c>
      <c r="O315" s="245"/>
      <c r="P315" s="365">
        <f>IFERROR(VLOOKUP($G315,融外自投!$A:$J,7,0),"無")</f>
        <v>490</v>
      </c>
      <c r="Q315" s="79">
        <f>IFERROR(VLOOKUP($G315,融外自投!$A:$J,9,0),"無")</f>
        <v>379</v>
      </c>
      <c r="R315" s="346">
        <f>IFERROR(VLOOKUP($G315,融外自投!$A:$J,8,0),"無")</f>
        <v>126</v>
      </c>
      <c r="S315" s="81">
        <f>IFERROR(VLOOKUP($G315,融外自投!$A:$J,10,0),"無")</f>
        <v>7</v>
      </c>
      <c r="T315" s="327">
        <f>IFERROR(VLOOKUP($G315,'321買'!$A:$E,5,0),"'沒有資料'")</f>
        <v>48</v>
      </c>
      <c r="U315" s="65">
        <v>1.3</v>
      </c>
      <c r="V315" s="311"/>
      <c r="W315" s="39">
        <f t="shared" si="105"/>
        <v>1.9117647058823531E-2</v>
      </c>
      <c r="X315" s="165">
        <v>68</v>
      </c>
      <c r="Y315" s="65">
        <v>74.7</v>
      </c>
      <c r="Z315" s="162">
        <f t="shared" si="107"/>
        <v>-6.7000000000000028</v>
      </c>
      <c r="AA315" s="164">
        <f t="shared" si="108"/>
        <v>-8.9692101740294544E-2</v>
      </c>
      <c r="AB315" s="168" t="s">
        <v>3165</v>
      </c>
      <c r="AC315" s="382"/>
      <c r="AD315" s="153" t="s">
        <v>117</v>
      </c>
      <c r="AE315" s="84">
        <v>44211</v>
      </c>
      <c r="AF315" s="83">
        <v>44287</v>
      </c>
      <c r="AG315" s="33">
        <f t="shared" si="106"/>
        <v>76</v>
      </c>
      <c r="AH315" s="41" t="s">
        <v>2153</v>
      </c>
    </row>
    <row r="316" spans="1:36" s="248" customFormat="1">
      <c r="A316" s="127" t="s">
        <v>1670</v>
      </c>
      <c r="B316" s="79">
        <v>849</v>
      </c>
      <c r="C316" s="79">
        <v>654</v>
      </c>
      <c r="D316" s="80">
        <v>-1</v>
      </c>
      <c r="E316" s="79">
        <v>75</v>
      </c>
      <c r="F316" s="57">
        <v>24.22</v>
      </c>
      <c r="G316" s="80">
        <v>3374</v>
      </c>
      <c r="H316" s="30" t="s">
        <v>1462</v>
      </c>
      <c r="I316" s="166" t="s">
        <v>167</v>
      </c>
      <c r="J316" s="8" t="str">
        <f>IFERROR(VLOOKUP($G316,今日總結!$A:$AJ,33,0),"")</f>
        <v/>
      </c>
      <c r="K316" s="5" t="str">
        <f>IFERROR(VLOOKUP($G316,今日總結!$A:$AJ,34,0),"")</f>
        <v/>
      </c>
      <c r="L316" s="156" t="str">
        <f>IFERROR(VLOOKUP($G316,今日總結!$A:$AJ,31,0),"")</f>
        <v/>
      </c>
      <c r="M316" s="340" t="str">
        <f>IFERROR(VLOOKUP($G316,今日總結!$A:$AJ,32,0),"")</f>
        <v/>
      </c>
      <c r="N316" s="240" t="str">
        <f t="shared" si="85"/>
        <v/>
      </c>
      <c r="O316" s="245"/>
      <c r="P316" s="365">
        <f>IFERROR(VLOOKUP($G316,融外自投!$A:$J,7,0),"無")</f>
        <v>304</v>
      </c>
      <c r="Q316" s="79">
        <f>IFERROR(VLOOKUP($G316,融外自投!$A:$J,9,0),"無")</f>
        <v>200</v>
      </c>
      <c r="R316" s="346">
        <f>IFERROR(VLOOKUP($G316,融外自投!$A:$J,8,0),"無")</f>
        <v>692</v>
      </c>
      <c r="S316" s="81">
        <f>IFERROR(VLOOKUP($G316,融外自投!$A:$J,10,0),"無")</f>
        <v>72</v>
      </c>
      <c r="T316" s="327">
        <f>IFERROR(VLOOKUP($G316,'321買'!$A:$E,5,0),"'沒有資料'")</f>
        <v>349</v>
      </c>
      <c r="U316" s="105">
        <v>0</v>
      </c>
      <c r="V316" s="311"/>
      <c r="W316" s="94">
        <f t="shared" si="105"/>
        <v>0</v>
      </c>
      <c r="X316" s="161">
        <v>179.5</v>
      </c>
      <c r="Y316" s="155">
        <v>173</v>
      </c>
      <c r="Z316" s="162">
        <f t="shared" si="107"/>
        <v>6.5</v>
      </c>
      <c r="AA316" s="158">
        <f t="shared" si="108"/>
        <v>3.7572254335260118E-2</v>
      </c>
      <c r="AB316" s="167" t="s">
        <v>2946</v>
      </c>
      <c r="AC316" s="382"/>
      <c r="AD316" s="166" t="s">
        <v>167</v>
      </c>
      <c r="AE316" s="84">
        <v>44259</v>
      </c>
      <c r="AF316" s="83">
        <v>44287</v>
      </c>
      <c r="AG316" s="33">
        <f t="shared" si="106"/>
        <v>28</v>
      </c>
      <c r="AH316" s="41" t="s">
        <v>1122</v>
      </c>
    </row>
    <row r="317" spans="1:36" s="248" customFormat="1">
      <c r="A317" s="127" t="s">
        <v>1778</v>
      </c>
      <c r="B317" s="79">
        <v>73</v>
      </c>
      <c r="C317" s="79">
        <v>76</v>
      </c>
      <c r="D317" s="80">
        <v>-7</v>
      </c>
      <c r="E317" s="79">
        <v>23</v>
      </c>
      <c r="F317" s="57">
        <v>21.91</v>
      </c>
      <c r="G317" s="80">
        <v>8086</v>
      </c>
      <c r="H317" s="197" t="s">
        <v>3039</v>
      </c>
      <c r="I317" s="166" t="s">
        <v>262</v>
      </c>
      <c r="J317" s="8" t="str">
        <f>IFERROR(VLOOKUP($G317,今日總結!$A:$AJ,33,0),"")</f>
        <v/>
      </c>
      <c r="K317" s="5" t="str">
        <f>IFERROR(VLOOKUP($G317,今日總結!$A:$AJ,34,0),"")</f>
        <v/>
      </c>
      <c r="L317" s="156" t="str">
        <f>IFERROR(VLOOKUP($G317,今日總結!$A:$AJ,31,0),"")</f>
        <v/>
      </c>
      <c r="M317" s="340" t="str">
        <f>IFERROR(VLOOKUP($G317,今日總結!$A:$AJ,32,0),"")</f>
        <v/>
      </c>
      <c r="N317" s="240" t="str">
        <f t="shared" si="85"/>
        <v/>
      </c>
      <c r="O317" s="245"/>
      <c r="P317" s="365">
        <f>IFERROR(VLOOKUP($G317,融外自投!$A:$J,7,0),"無")</f>
        <v>193</v>
      </c>
      <c r="Q317" s="79">
        <f>IFERROR(VLOOKUP($G317,融外自投!$A:$J,9,0),"無")</f>
        <v>292</v>
      </c>
      <c r="R317" s="346">
        <f>IFERROR(VLOOKUP($G317,融外自投!$A:$J,8,0),"無")</f>
        <v>522</v>
      </c>
      <c r="S317" s="81">
        <f>IFERROR(VLOOKUP($G317,融外自投!$A:$J,10,0),"無")</f>
        <v>319</v>
      </c>
      <c r="T317" s="327">
        <f>IFERROR(VLOOKUP($G317,'321買'!$A:$E,5,0),"'沒有資料'")</f>
        <v>634</v>
      </c>
      <c r="U317" s="105">
        <v>1.7</v>
      </c>
      <c r="V317" s="311"/>
      <c r="W317" s="94">
        <f>U317/X317</f>
        <v>1.0862619808306708E-2</v>
      </c>
      <c r="X317" s="161">
        <v>156.5</v>
      </c>
      <c r="Y317" s="155">
        <v>154.5</v>
      </c>
      <c r="Z317" s="162">
        <f>X317-Y317</f>
        <v>2</v>
      </c>
      <c r="AA317" s="158">
        <f>Z317/Y317</f>
        <v>1.2944983818770227E-2</v>
      </c>
      <c r="AB317" s="167" t="s">
        <v>3166</v>
      </c>
      <c r="AC317" s="382"/>
      <c r="AD317" s="166" t="s">
        <v>262</v>
      </c>
      <c r="AE317" s="84">
        <v>44286</v>
      </c>
      <c r="AF317" s="83">
        <v>44287</v>
      </c>
      <c r="AG317" s="33">
        <f>AF317-AE317</f>
        <v>1</v>
      </c>
      <c r="AH317" s="41" t="s">
        <v>1122</v>
      </c>
    </row>
    <row r="318" spans="1:36" s="248" customFormat="1">
      <c r="A318" s="127" t="s">
        <v>1778</v>
      </c>
      <c r="B318" s="79">
        <v>73</v>
      </c>
      <c r="C318" s="79">
        <v>76</v>
      </c>
      <c r="D318" s="80">
        <v>-7</v>
      </c>
      <c r="E318" s="79">
        <v>23</v>
      </c>
      <c r="F318" s="57">
        <v>21.91</v>
      </c>
      <c r="G318" s="80">
        <v>8086</v>
      </c>
      <c r="H318" s="197" t="s">
        <v>3039</v>
      </c>
      <c r="I318" s="166" t="s">
        <v>262</v>
      </c>
      <c r="J318" s="8" t="str">
        <f>IFERROR(VLOOKUP($G318,今日總結!$A:$AJ,33,0),"")</f>
        <v/>
      </c>
      <c r="K318" s="5" t="str">
        <f>IFERROR(VLOOKUP($G318,今日總結!$A:$AJ,34,0),"")</f>
        <v/>
      </c>
      <c r="L318" s="156" t="str">
        <f>IFERROR(VLOOKUP($G318,今日總結!$A:$AJ,31,0),"")</f>
        <v/>
      </c>
      <c r="M318" s="340" t="str">
        <f>IFERROR(VLOOKUP($G318,今日總結!$A:$AJ,32,0),"")</f>
        <v/>
      </c>
      <c r="N318" s="240" t="str">
        <f t="shared" si="85"/>
        <v/>
      </c>
      <c r="O318" s="7"/>
      <c r="P318" s="365">
        <f>IFERROR(VLOOKUP($G318,融外自投!$A:$J,7,0),"無")</f>
        <v>193</v>
      </c>
      <c r="Q318" s="79">
        <f>IFERROR(VLOOKUP($G318,融外自投!$A:$J,9,0),"無")</f>
        <v>292</v>
      </c>
      <c r="R318" s="346">
        <f>IFERROR(VLOOKUP($G318,融外自投!$A:$J,8,0),"無")</f>
        <v>522</v>
      </c>
      <c r="S318" s="81">
        <f>IFERROR(VLOOKUP($G318,融外自投!$A:$J,10,0),"無")</f>
        <v>319</v>
      </c>
      <c r="T318" s="327">
        <f>IFERROR(VLOOKUP($G318,'321買'!$A:$E,5,0),"'沒有資料'")</f>
        <v>634</v>
      </c>
      <c r="U318" s="105">
        <v>1.7</v>
      </c>
      <c r="V318" s="311"/>
      <c r="W318" s="94">
        <f>U318/X318</f>
        <v>1.0862619808306708E-2</v>
      </c>
      <c r="X318" s="161">
        <v>156.5</v>
      </c>
      <c r="Y318" s="155">
        <v>154.5</v>
      </c>
      <c r="Z318" s="162">
        <f>X318-Y318</f>
        <v>2</v>
      </c>
      <c r="AA318" s="158">
        <f>Z318/Y318</f>
        <v>1.2944983818770227E-2</v>
      </c>
      <c r="AB318" s="167" t="s">
        <v>3166</v>
      </c>
      <c r="AC318" s="382"/>
      <c r="AD318" s="166" t="s">
        <v>262</v>
      </c>
      <c r="AE318" s="84">
        <v>44286</v>
      </c>
      <c r="AF318" s="83">
        <v>44287</v>
      </c>
      <c r="AG318" s="33">
        <f>AF318-AE318</f>
        <v>1</v>
      </c>
      <c r="AH318" s="41" t="s">
        <v>1122</v>
      </c>
    </row>
    <row r="319" spans="1:36" s="248" customFormat="1">
      <c r="A319" s="142"/>
      <c r="B319" s="79"/>
      <c r="C319" s="80"/>
      <c r="D319" s="79"/>
      <c r="E319" s="79"/>
      <c r="F319" s="6"/>
      <c r="G319" s="41"/>
      <c r="H319" s="30"/>
      <c r="I319" s="166"/>
      <c r="J319" s="8"/>
      <c r="K319" s="5"/>
      <c r="L319" s="156"/>
      <c r="M319" s="340"/>
      <c r="N319" s="240"/>
      <c r="O319" s="245"/>
      <c r="P319" s="365"/>
      <c r="Q319" s="47"/>
      <c r="R319" s="346"/>
      <c r="S319" s="81"/>
      <c r="T319" s="322"/>
      <c r="U319" s="185"/>
      <c r="V319" s="311"/>
      <c r="W319" s="94"/>
      <c r="X319" s="161">
        <f>SUM(X258:X318)</f>
        <v>4124</v>
      </c>
      <c r="Y319" s="65">
        <f>SUM(Y258:Y318)</f>
        <v>3941</v>
      </c>
      <c r="Z319" s="162">
        <f>SUM(Z258:Z318)</f>
        <v>183</v>
      </c>
      <c r="AA319" s="158">
        <f>Z319/Y319</f>
        <v>4.6434914996193857E-2</v>
      </c>
      <c r="AB319" s="167"/>
      <c r="AC319" s="382"/>
      <c r="AD319" s="153">
        <f>X319*(0.001425*0.65)+X319*0.003+Y319*(0.001425*0.65)</f>
        <v>19.84220625</v>
      </c>
      <c r="AE319" s="6">
        <f>Z319-AD319</f>
        <v>163.15779375</v>
      </c>
      <c r="AF319" s="83"/>
      <c r="AG319" s="116"/>
      <c r="AH319" s="41"/>
    </row>
    <row r="320" spans="1:36" s="255" customFormat="1">
      <c r="A320" s="127"/>
      <c r="B320" s="90"/>
      <c r="C320" s="90"/>
      <c r="D320" s="90"/>
      <c r="E320" s="90"/>
      <c r="F320" s="8"/>
      <c r="G320" s="25"/>
      <c r="H320" s="55"/>
      <c r="I320" s="1"/>
      <c r="J320" s="8"/>
      <c r="K320" s="5"/>
      <c r="L320" s="156"/>
      <c r="M320" s="340"/>
      <c r="N320" s="240"/>
      <c r="O320" s="245"/>
      <c r="P320" s="365"/>
      <c r="Q320" s="47"/>
      <c r="R320" s="346"/>
      <c r="S320" s="81"/>
      <c r="T320" s="321"/>
      <c r="U320" s="14"/>
      <c r="V320" s="311"/>
      <c r="W320" s="28"/>
      <c r="X320" s="28"/>
      <c r="Y320" s="17"/>
      <c r="Z320" s="14"/>
      <c r="AA320" s="21"/>
      <c r="AB320" s="25"/>
      <c r="AC320" s="382"/>
      <c r="AD320" s="227">
        <f>X319*(0.001425*0.28)+X319*0.003+Y319*(0.001425*0.28)</f>
        <v>15.589935000000001</v>
      </c>
      <c r="AE320" s="71"/>
      <c r="AF320" s="72"/>
      <c r="AG320" s="32"/>
      <c r="AH320" s="46"/>
      <c r="AI320" s="163"/>
    </row>
    <row r="321" spans="1:36" s="255" customFormat="1">
      <c r="A321" s="127"/>
      <c r="B321" s="90"/>
      <c r="C321" s="90"/>
      <c r="D321" s="90"/>
      <c r="E321" s="90"/>
      <c r="F321" s="8"/>
      <c r="G321" s="25"/>
      <c r="H321" s="55"/>
      <c r="I321" s="1"/>
      <c r="J321" s="1"/>
      <c r="K321" s="1"/>
      <c r="L321" s="123"/>
      <c r="M321" s="234"/>
      <c r="N321" s="341"/>
      <c r="O321" s="245"/>
      <c r="P321" s="365"/>
      <c r="Q321" s="47"/>
      <c r="R321" s="346"/>
      <c r="S321" s="303"/>
      <c r="T321" s="321"/>
      <c r="U321" s="14"/>
      <c r="V321" s="311"/>
      <c r="W321" s="28"/>
      <c r="X321" s="28"/>
      <c r="Y321" s="17"/>
      <c r="Z321" s="14"/>
      <c r="AA321" s="21"/>
      <c r="AB321" s="25"/>
      <c r="AC321" s="382"/>
      <c r="AD321" s="153"/>
      <c r="AE321" s="71"/>
      <c r="AF321" s="72"/>
      <c r="AG321" s="32"/>
      <c r="AH321" s="46"/>
      <c r="AI321" s="163"/>
    </row>
    <row r="322" spans="1:36" s="255" customFormat="1">
      <c r="A322" s="127" t="s">
        <v>1673</v>
      </c>
      <c r="B322" s="90" t="s">
        <v>1572</v>
      </c>
      <c r="C322" s="90" t="s">
        <v>1573</v>
      </c>
      <c r="D322" s="90" t="s">
        <v>1574</v>
      </c>
      <c r="E322" s="90" t="s">
        <v>1575</v>
      </c>
      <c r="F322" s="8" t="s">
        <v>1060</v>
      </c>
      <c r="G322" s="26" t="s">
        <v>3442</v>
      </c>
      <c r="H322" s="55" t="s">
        <v>2152</v>
      </c>
      <c r="I322" s="1" t="s">
        <v>69</v>
      </c>
      <c r="J322" s="8" t="s">
        <v>3542</v>
      </c>
      <c r="K322" s="8" t="s">
        <v>3542</v>
      </c>
      <c r="L322" s="337" t="s">
        <v>6206</v>
      </c>
      <c r="M322" s="338" t="s">
        <v>6207</v>
      </c>
      <c r="N322" s="339" t="s">
        <v>6208</v>
      </c>
      <c r="O322" s="4" t="s">
        <v>6713</v>
      </c>
      <c r="P322" s="89" t="s">
        <v>4720</v>
      </c>
      <c r="Q322" s="293" t="s">
        <v>3544</v>
      </c>
      <c r="R322" s="354" t="s">
        <v>3543</v>
      </c>
      <c r="S322" s="26" t="s">
        <v>3545</v>
      </c>
      <c r="T322" s="321" t="s">
        <v>4716</v>
      </c>
      <c r="U322" s="14" t="s">
        <v>66</v>
      </c>
      <c r="V322" s="308" t="s">
        <v>4731</v>
      </c>
      <c r="W322" s="68" t="s">
        <v>6287</v>
      </c>
      <c r="X322" s="28" t="s">
        <v>6288</v>
      </c>
      <c r="Y322" s="17" t="s">
        <v>1399</v>
      </c>
      <c r="Z322" s="14" t="s">
        <v>2250</v>
      </c>
      <c r="AA322" s="21" t="s">
        <v>3</v>
      </c>
      <c r="AB322" s="51" t="s">
        <v>6174</v>
      </c>
      <c r="AC322" s="102" t="s">
        <v>6420</v>
      </c>
      <c r="AD322" s="1" t="s">
        <v>69</v>
      </c>
      <c r="AE322" s="71" t="s">
        <v>1400</v>
      </c>
      <c r="AF322" s="72" t="s">
        <v>1157</v>
      </c>
      <c r="AG322" s="32" t="s">
        <v>1158</v>
      </c>
      <c r="AH322" s="46" t="s">
        <v>3117</v>
      </c>
      <c r="AI322" s="163"/>
    </row>
    <row r="323" spans="1:36" s="248" customFormat="1">
      <c r="A323" s="127" t="s">
        <v>3118</v>
      </c>
      <c r="B323" s="79">
        <v>151</v>
      </c>
      <c r="C323" s="79">
        <v>181</v>
      </c>
      <c r="D323" s="80">
        <v>-38</v>
      </c>
      <c r="E323" s="80">
        <v>-29</v>
      </c>
      <c r="F323" s="57">
        <v>11.29</v>
      </c>
      <c r="G323" s="80">
        <v>5457</v>
      </c>
      <c r="H323" s="30" t="s">
        <v>3120</v>
      </c>
      <c r="I323" s="166" t="s">
        <v>3119</v>
      </c>
      <c r="J323" s="8" t="str">
        <f>IFERROR(VLOOKUP($G323,今日總結!$A:$AJ,33,0),"")</f>
        <v/>
      </c>
      <c r="K323" s="5" t="str">
        <f>IFERROR(VLOOKUP($G323,今日總結!$A:$AJ,34,0),"")</f>
        <v/>
      </c>
      <c r="L323" s="156" t="str">
        <f>IFERROR(VLOOKUP($G323,今日總結!$A:$AJ,31,0),"")</f>
        <v/>
      </c>
      <c r="M323" s="340" t="str">
        <f>IFERROR(VLOOKUP($G323,今日總結!$A:$AJ,32,0),"")</f>
        <v/>
      </c>
      <c r="N323" s="240" t="str">
        <f t="shared" ref="N323" si="109">IFERROR(L323-M323,"")</f>
        <v/>
      </c>
      <c r="O323" s="245"/>
      <c r="P323" s="365">
        <f>IFERROR(VLOOKUP($G323,融外自投!$A:$J,7,0),"無")</f>
        <v>285</v>
      </c>
      <c r="Q323" s="79">
        <f>IFERROR(VLOOKUP($G323,融外自投!$A:$J,9,0),"無")</f>
        <v>586</v>
      </c>
      <c r="R323" s="346">
        <f>IFERROR(VLOOKUP($G323,融外自投!$A:$J,8,0),"無")</f>
        <v>133</v>
      </c>
      <c r="S323" s="81">
        <f>IFERROR(VLOOKUP($G323,融外自投!$A:$J,10,0),"無")</f>
        <v>172</v>
      </c>
      <c r="T323" s="327">
        <f>IFERROR(VLOOKUP($G323,'321買'!$A:$E,5,0),"'沒有資料'")</f>
        <v>634</v>
      </c>
      <c r="U323" s="185">
        <v>0.5</v>
      </c>
      <c r="V323" s="311"/>
      <c r="W323" s="57">
        <f t="shared" ref="W323:W337" si="110">U323/X323</f>
        <v>5.6433408577878106E-3</v>
      </c>
      <c r="X323" s="165">
        <v>88.6</v>
      </c>
      <c r="Y323" s="65">
        <v>79</v>
      </c>
      <c r="Z323" s="162">
        <f>X323-Y323</f>
        <v>9.5999999999999943</v>
      </c>
      <c r="AA323" s="158">
        <f>Z323/Y323</f>
        <v>0.12151898734177208</v>
      </c>
      <c r="AB323" s="167" t="s">
        <v>3167</v>
      </c>
      <c r="AC323" s="382"/>
      <c r="AD323" s="166" t="s">
        <v>3119</v>
      </c>
      <c r="AE323" s="84">
        <v>44284</v>
      </c>
      <c r="AF323" s="83">
        <v>44286</v>
      </c>
      <c r="AG323" s="33">
        <f>AF323-AE323</f>
        <v>2</v>
      </c>
      <c r="AH323" s="41" t="s">
        <v>3121</v>
      </c>
      <c r="AI323" s="163"/>
    </row>
    <row r="324" spans="1:36" s="248" customFormat="1">
      <c r="A324" s="127" t="s">
        <v>3122</v>
      </c>
      <c r="B324" s="79">
        <v>73</v>
      </c>
      <c r="C324" s="79">
        <v>76</v>
      </c>
      <c r="D324" s="80">
        <v>-7</v>
      </c>
      <c r="E324" s="79">
        <v>23</v>
      </c>
      <c r="F324" s="57">
        <v>21.91</v>
      </c>
      <c r="G324" s="80">
        <v>8086</v>
      </c>
      <c r="H324" s="30" t="s">
        <v>3120</v>
      </c>
      <c r="I324" s="166" t="s">
        <v>3115</v>
      </c>
      <c r="J324" s="8" t="str">
        <f>IFERROR(VLOOKUP($G324,今日總結!$A:$AJ,33,0),"")</f>
        <v/>
      </c>
      <c r="K324" s="5" t="str">
        <f>IFERROR(VLOOKUP($G324,今日總結!$A:$AJ,34,0),"")</f>
        <v/>
      </c>
      <c r="L324" s="156" t="str">
        <f>IFERROR(VLOOKUP($G324,今日總結!$A:$AJ,31,0),"")</f>
        <v/>
      </c>
      <c r="M324" s="340" t="str">
        <f>IFERROR(VLOOKUP($G324,今日總結!$A:$AJ,32,0),"")</f>
        <v/>
      </c>
      <c r="N324" s="240" t="str">
        <f t="shared" ref="N324:N348" si="111">IFERROR(L324-M324,"")</f>
        <v/>
      </c>
      <c r="O324" s="245"/>
      <c r="P324" s="365">
        <f>IFERROR(VLOOKUP($G324,融外自投!$A:$J,7,0),"無")</f>
        <v>193</v>
      </c>
      <c r="Q324" s="79">
        <f>IFERROR(VLOOKUP($G324,融外自投!$A:$J,9,0),"無")</f>
        <v>292</v>
      </c>
      <c r="R324" s="346">
        <f>IFERROR(VLOOKUP($G324,融外自投!$A:$J,8,0),"無")</f>
        <v>522</v>
      </c>
      <c r="S324" s="81">
        <f>IFERROR(VLOOKUP($G324,融外自投!$A:$J,10,0),"無")</f>
        <v>319</v>
      </c>
      <c r="T324" s="327">
        <f>IFERROR(VLOOKUP($G324,'321買'!$A:$E,5,0),"'沒有資料'")</f>
        <v>634</v>
      </c>
      <c r="U324" s="105">
        <v>1.7</v>
      </c>
      <c r="V324" s="311"/>
      <c r="W324" s="94">
        <f t="shared" si="110"/>
        <v>1.1074918566775244E-2</v>
      </c>
      <c r="X324" s="161">
        <v>153.5</v>
      </c>
      <c r="Y324" s="155">
        <v>142.5</v>
      </c>
      <c r="Z324" s="162">
        <f>X324-Y324</f>
        <v>11</v>
      </c>
      <c r="AA324" s="158">
        <f>Z324/Y324</f>
        <v>7.7192982456140355E-2</v>
      </c>
      <c r="AB324" s="167" t="s">
        <v>3168</v>
      </c>
      <c r="AC324" s="382"/>
      <c r="AD324" s="166" t="s">
        <v>3115</v>
      </c>
      <c r="AE324" s="84">
        <v>44277</v>
      </c>
      <c r="AF324" s="83">
        <v>44286</v>
      </c>
      <c r="AG324" s="33">
        <f t="shared" ref="AG324:AG348" si="112">AF324-AE324</f>
        <v>9</v>
      </c>
      <c r="AH324" s="41" t="s">
        <v>3110</v>
      </c>
    </row>
    <row r="325" spans="1:36" s="248" customFormat="1">
      <c r="A325" s="127" t="s">
        <v>3122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30" t="s">
        <v>3120</v>
      </c>
      <c r="I325" s="166" t="s">
        <v>3115</v>
      </c>
      <c r="J325" s="8" t="str">
        <f>IFERROR(VLOOKUP($G325,今日總結!$A:$AJ,33,0),"")</f>
        <v/>
      </c>
      <c r="K325" s="5" t="str">
        <f>IFERROR(VLOOKUP($G325,今日總結!$A:$AJ,34,0),"")</f>
        <v/>
      </c>
      <c r="L325" s="156" t="str">
        <f>IFERROR(VLOOKUP($G325,今日總結!$A:$AJ,31,0),"")</f>
        <v/>
      </c>
      <c r="M325" s="340" t="str">
        <f>IFERROR(VLOOKUP($G325,今日總結!$A:$AJ,32,0),"")</f>
        <v/>
      </c>
      <c r="N325" s="240" t="str">
        <f t="shared" si="111"/>
        <v/>
      </c>
      <c r="O325" s="245"/>
      <c r="P325" s="365">
        <f>IFERROR(VLOOKUP($G325,融外自投!$A:$J,7,0),"無")</f>
        <v>193</v>
      </c>
      <c r="Q325" s="79">
        <f>IFERROR(VLOOKUP($G325,融外自投!$A:$J,9,0),"無")</f>
        <v>292</v>
      </c>
      <c r="R325" s="346">
        <f>IFERROR(VLOOKUP($G325,融外自投!$A:$J,8,0),"無")</f>
        <v>522</v>
      </c>
      <c r="S325" s="81">
        <f>IFERROR(VLOOKUP($G325,融外自投!$A:$J,10,0),"無")</f>
        <v>319</v>
      </c>
      <c r="T325" s="327">
        <f>IFERROR(VLOOKUP($G325,'321買'!$A:$E,5,0),"'沒有資料'")</f>
        <v>634</v>
      </c>
      <c r="U325" s="105">
        <v>1.7</v>
      </c>
      <c r="V325" s="311"/>
      <c r="W325" s="94">
        <f t="shared" si="110"/>
        <v>1.1074918566775244E-2</v>
      </c>
      <c r="X325" s="161">
        <v>153.5</v>
      </c>
      <c r="Y325" s="155">
        <v>147</v>
      </c>
      <c r="Z325" s="162">
        <f>X325-Y325</f>
        <v>6.5</v>
      </c>
      <c r="AA325" s="158">
        <f>Z325/Y325</f>
        <v>4.4217687074829932E-2</v>
      </c>
      <c r="AB325" s="167" t="s">
        <v>1914</v>
      </c>
      <c r="AC325" s="382"/>
      <c r="AD325" s="166" t="s">
        <v>3115</v>
      </c>
      <c r="AE325" s="84">
        <v>44273</v>
      </c>
      <c r="AF325" s="83">
        <v>44286</v>
      </c>
      <c r="AG325" s="33">
        <f t="shared" si="112"/>
        <v>13</v>
      </c>
      <c r="AH325" s="41" t="s">
        <v>3110</v>
      </c>
    </row>
    <row r="326" spans="1:36" s="248" customFormat="1">
      <c r="A326" s="127" t="s">
        <v>3113</v>
      </c>
      <c r="B326" s="79">
        <v>7</v>
      </c>
      <c r="C326" s="79">
        <v>9</v>
      </c>
      <c r="D326" s="80">
        <v>-8</v>
      </c>
      <c r="E326" s="79">
        <v>8</v>
      </c>
      <c r="F326" s="57">
        <v>13.36</v>
      </c>
      <c r="G326" s="80">
        <v>6274</v>
      </c>
      <c r="H326" s="30" t="s">
        <v>3120</v>
      </c>
      <c r="I326" s="166" t="s">
        <v>3114</v>
      </c>
      <c r="J326" s="8" t="str">
        <f>IFERROR(VLOOKUP($G326,今日總結!$A:$AJ,33,0),"")</f>
        <v/>
      </c>
      <c r="K326" s="5" t="str">
        <f>IFERROR(VLOOKUP($G326,今日總結!$A:$AJ,34,0),"")</f>
        <v/>
      </c>
      <c r="L326" s="156" t="str">
        <f>IFERROR(VLOOKUP($G326,今日總結!$A:$AJ,31,0),"")</f>
        <v/>
      </c>
      <c r="M326" s="340" t="str">
        <f>IFERROR(VLOOKUP($G326,今日總結!$A:$AJ,32,0),"")</f>
        <v/>
      </c>
      <c r="N326" s="240" t="str">
        <f t="shared" si="111"/>
        <v/>
      </c>
      <c r="O326" s="245"/>
      <c r="P326" s="365">
        <f>IFERROR(VLOOKUP($G326,融外自投!$A:$J,7,0),"無")</f>
        <v>752</v>
      </c>
      <c r="Q326" s="79">
        <f>IFERROR(VLOOKUP($G326,融外自投!$A:$J,9,0),"無")</f>
        <v>321</v>
      </c>
      <c r="R326" s="346">
        <f>IFERROR(VLOOKUP($G326,融外自投!$A:$J,8,0),"無")</f>
        <v>138</v>
      </c>
      <c r="S326" s="81">
        <f>IFERROR(VLOOKUP($G326,融外自投!$A:$J,10,0),"無")</f>
        <v>155</v>
      </c>
      <c r="T326" s="327">
        <f>IFERROR(VLOOKUP($G326,'321買'!$A:$E,5,0),"'沒有資料'")</f>
        <v>515</v>
      </c>
      <c r="U326" s="185">
        <v>4.5999999999999996</v>
      </c>
      <c r="V326" s="311"/>
      <c r="W326" s="57">
        <f t="shared" si="110"/>
        <v>3.9316239316239315E-2</v>
      </c>
      <c r="X326" s="165">
        <v>117</v>
      </c>
      <c r="Y326" s="65">
        <v>113</v>
      </c>
      <c r="Z326" s="162">
        <f t="shared" ref="Z326:Z348" si="113">X326-Y326</f>
        <v>4</v>
      </c>
      <c r="AA326" s="158">
        <f t="shared" ref="AA326:AA348" si="114">Z326/Y326</f>
        <v>3.5398230088495575E-2</v>
      </c>
      <c r="AB326" s="167" t="s">
        <v>2969</v>
      </c>
      <c r="AC326" s="382"/>
      <c r="AD326" s="166" t="s">
        <v>3114</v>
      </c>
      <c r="AE326" s="84">
        <v>44263</v>
      </c>
      <c r="AF326" s="83">
        <v>44277</v>
      </c>
      <c r="AG326" s="33">
        <f t="shared" si="112"/>
        <v>14</v>
      </c>
      <c r="AH326" s="41" t="s">
        <v>3110</v>
      </c>
    </row>
    <row r="327" spans="1:36" s="248" customFormat="1">
      <c r="A327" s="127" t="s">
        <v>3111</v>
      </c>
      <c r="B327" s="80">
        <v>-10</v>
      </c>
      <c r="C327" s="80">
        <v>-10</v>
      </c>
      <c r="D327" s="80">
        <v>-3</v>
      </c>
      <c r="E327" s="79">
        <v>21</v>
      </c>
      <c r="F327" s="57">
        <v>21.7</v>
      </c>
      <c r="G327" s="79">
        <v>6147</v>
      </c>
      <c r="H327" s="30" t="s">
        <v>3120</v>
      </c>
      <c r="I327" s="166" t="s">
        <v>3112</v>
      </c>
      <c r="J327" s="8" t="str">
        <f>IFERROR(VLOOKUP($G327,今日總結!$A:$AJ,33,0),"")</f>
        <v/>
      </c>
      <c r="K327" s="5" t="str">
        <f>IFERROR(VLOOKUP($G327,今日總結!$A:$AJ,34,0),"")</f>
        <v/>
      </c>
      <c r="L327" s="156" t="str">
        <f>IFERROR(VLOOKUP($G327,今日總結!$A:$AJ,31,0),"")</f>
        <v/>
      </c>
      <c r="M327" s="340" t="str">
        <f>IFERROR(VLOOKUP($G327,今日總結!$A:$AJ,32,0),"")</f>
        <v/>
      </c>
      <c r="N327" s="240" t="str">
        <f t="shared" si="111"/>
        <v/>
      </c>
      <c r="O327" s="245"/>
      <c r="P327" s="365">
        <f>IFERROR(VLOOKUP($G327,融外自投!$A:$J,7,0),"無")</f>
        <v>803</v>
      </c>
      <c r="Q327" s="79">
        <f>IFERROR(VLOOKUP($G327,融外自投!$A:$J,9,0),"無")</f>
        <v>292</v>
      </c>
      <c r="R327" s="346">
        <f>IFERROR(VLOOKUP($G327,融外自投!$A:$J,8,0),"無")</f>
        <v>242</v>
      </c>
      <c r="S327" s="81">
        <f>IFERROR(VLOOKUP($G327,融外自投!$A:$J,10,0),"無")</f>
        <v>90</v>
      </c>
      <c r="T327" s="327">
        <f>IFERROR(VLOOKUP($G327,'321買'!$A:$E,5,0),"'沒有資料'")</f>
        <v>131</v>
      </c>
      <c r="U327" s="185">
        <v>4.2</v>
      </c>
      <c r="V327" s="311"/>
      <c r="W327" s="57">
        <f t="shared" si="110"/>
        <v>5.3984575835475584E-2</v>
      </c>
      <c r="X327" s="165">
        <v>77.8</v>
      </c>
      <c r="Y327" s="65">
        <v>72.2</v>
      </c>
      <c r="Z327" s="162">
        <f t="shared" si="113"/>
        <v>5.5999999999999943</v>
      </c>
      <c r="AA327" s="158">
        <f t="shared" si="114"/>
        <v>7.7562326869806006E-2</v>
      </c>
      <c r="AB327" s="167" t="s">
        <v>1884</v>
      </c>
      <c r="AC327" s="382"/>
      <c r="AD327" s="166" t="s">
        <v>3112</v>
      </c>
      <c r="AE327" s="84">
        <v>44266</v>
      </c>
      <c r="AF327" s="83">
        <v>44273</v>
      </c>
      <c r="AG327" s="33">
        <f t="shared" si="112"/>
        <v>7</v>
      </c>
      <c r="AH327" s="41" t="s">
        <v>3110</v>
      </c>
      <c r="AI327" s="180"/>
      <c r="AJ327" s="179"/>
    </row>
    <row r="328" spans="1:36" s="248" customFormat="1">
      <c r="A328" s="127" t="s">
        <v>3111</v>
      </c>
      <c r="B328" s="80">
        <v>-10</v>
      </c>
      <c r="C328" s="80">
        <v>-10</v>
      </c>
      <c r="D328" s="80">
        <v>-3</v>
      </c>
      <c r="E328" s="79">
        <v>21</v>
      </c>
      <c r="F328" s="57">
        <v>21.7</v>
      </c>
      <c r="G328" s="79">
        <v>6147</v>
      </c>
      <c r="H328" s="30" t="s">
        <v>3120</v>
      </c>
      <c r="I328" s="166" t="s">
        <v>3112</v>
      </c>
      <c r="J328" s="8" t="str">
        <f>IFERROR(VLOOKUP($G328,今日總結!$A:$AJ,33,0),"")</f>
        <v/>
      </c>
      <c r="K328" s="5" t="str">
        <f>IFERROR(VLOOKUP($G328,今日總結!$A:$AJ,34,0),"")</f>
        <v/>
      </c>
      <c r="L328" s="156" t="str">
        <f>IFERROR(VLOOKUP($G328,今日總結!$A:$AJ,31,0),"")</f>
        <v/>
      </c>
      <c r="M328" s="340" t="str">
        <f>IFERROR(VLOOKUP($G328,今日總結!$A:$AJ,32,0),"")</f>
        <v/>
      </c>
      <c r="N328" s="240" t="str">
        <f t="shared" si="111"/>
        <v/>
      </c>
      <c r="O328" s="245"/>
      <c r="P328" s="365">
        <f>IFERROR(VLOOKUP($G328,融外自投!$A:$J,7,0),"無")</f>
        <v>803</v>
      </c>
      <c r="Q328" s="79">
        <f>IFERROR(VLOOKUP($G328,融外自投!$A:$J,9,0),"無")</f>
        <v>292</v>
      </c>
      <c r="R328" s="346">
        <f>IFERROR(VLOOKUP($G328,融外自投!$A:$J,8,0),"無")</f>
        <v>242</v>
      </c>
      <c r="S328" s="81">
        <f>IFERROR(VLOOKUP($G328,融外自投!$A:$J,10,0),"無")</f>
        <v>90</v>
      </c>
      <c r="T328" s="327">
        <f>IFERROR(VLOOKUP($G328,'321買'!$A:$E,5,0),"'沒有資料'")</f>
        <v>131</v>
      </c>
      <c r="U328" s="185">
        <v>4.2</v>
      </c>
      <c r="V328" s="311"/>
      <c r="W328" s="57">
        <f t="shared" si="110"/>
        <v>5.3984575835475584E-2</v>
      </c>
      <c r="X328" s="165">
        <v>77.8</v>
      </c>
      <c r="Y328" s="65">
        <v>72.2</v>
      </c>
      <c r="Z328" s="162">
        <f t="shared" si="113"/>
        <v>5.5999999999999943</v>
      </c>
      <c r="AA328" s="158">
        <f t="shared" si="114"/>
        <v>7.7562326869806006E-2</v>
      </c>
      <c r="AB328" s="167" t="s">
        <v>1884</v>
      </c>
      <c r="AC328" s="382"/>
      <c r="AD328" s="166" t="s">
        <v>3112</v>
      </c>
      <c r="AE328" s="84">
        <v>44266</v>
      </c>
      <c r="AF328" s="83">
        <v>44273</v>
      </c>
      <c r="AG328" s="33">
        <f t="shared" si="112"/>
        <v>7</v>
      </c>
      <c r="AH328" s="41" t="s">
        <v>3110</v>
      </c>
      <c r="AI328" s="180"/>
      <c r="AJ328" s="179"/>
    </row>
    <row r="329" spans="1:36" s="248" customFormat="1">
      <c r="A329" s="127" t="s">
        <v>3111</v>
      </c>
      <c r="B329" s="80">
        <v>-10</v>
      </c>
      <c r="C329" s="80">
        <v>-10</v>
      </c>
      <c r="D329" s="80">
        <v>-3</v>
      </c>
      <c r="E329" s="79">
        <v>21</v>
      </c>
      <c r="F329" s="57">
        <v>21.7</v>
      </c>
      <c r="G329" s="79">
        <v>6147</v>
      </c>
      <c r="H329" s="30" t="s">
        <v>3120</v>
      </c>
      <c r="I329" s="166" t="s">
        <v>3112</v>
      </c>
      <c r="J329" s="8" t="str">
        <f>IFERROR(VLOOKUP($G329,今日總結!$A:$AJ,33,0),"")</f>
        <v/>
      </c>
      <c r="K329" s="5" t="str">
        <f>IFERROR(VLOOKUP($G329,今日總結!$A:$AJ,34,0),"")</f>
        <v/>
      </c>
      <c r="L329" s="156" t="str">
        <f>IFERROR(VLOOKUP($G329,今日總結!$A:$AJ,31,0),"")</f>
        <v/>
      </c>
      <c r="M329" s="340" t="str">
        <f>IFERROR(VLOOKUP($G329,今日總結!$A:$AJ,32,0),"")</f>
        <v/>
      </c>
      <c r="N329" s="240" t="str">
        <f t="shared" si="111"/>
        <v/>
      </c>
      <c r="O329" s="245"/>
      <c r="P329" s="365">
        <f>IFERROR(VLOOKUP($G329,融外自投!$A:$J,7,0),"無")</f>
        <v>803</v>
      </c>
      <c r="Q329" s="79">
        <f>IFERROR(VLOOKUP($G329,融外自投!$A:$J,9,0),"無")</f>
        <v>292</v>
      </c>
      <c r="R329" s="346">
        <f>IFERROR(VLOOKUP($G329,融外自投!$A:$J,8,0),"無")</f>
        <v>242</v>
      </c>
      <c r="S329" s="81">
        <f>IFERROR(VLOOKUP($G329,融外自投!$A:$J,10,0),"無")</f>
        <v>90</v>
      </c>
      <c r="T329" s="327">
        <f>IFERROR(VLOOKUP($G329,'321買'!$A:$E,5,0),"'沒有資料'")</f>
        <v>131</v>
      </c>
      <c r="U329" s="185">
        <v>4.2</v>
      </c>
      <c r="V329" s="311"/>
      <c r="W329" s="57">
        <f t="shared" si="110"/>
        <v>5.3984575835475584E-2</v>
      </c>
      <c r="X329" s="165">
        <v>77.8</v>
      </c>
      <c r="Y329" s="65">
        <v>71.2</v>
      </c>
      <c r="Z329" s="162">
        <f t="shared" si="113"/>
        <v>6.5999999999999943</v>
      </c>
      <c r="AA329" s="158">
        <f t="shared" si="114"/>
        <v>9.2696629213483067E-2</v>
      </c>
      <c r="AB329" s="167" t="s">
        <v>3123</v>
      </c>
      <c r="AC329" s="382"/>
      <c r="AD329" s="166" t="s">
        <v>3112</v>
      </c>
      <c r="AE329" s="84">
        <v>44265</v>
      </c>
      <c r="AF329" s="83">
        <v>44273</v>
      </c>
      <c r="AG329" s="33">
        <f t="shared" si="112"/>
        <v>8</v>
      </c>
      <c r="AH329" s="41" t="s">
        <v>3110</v>
      </c>
      <c r="AI329" s="180"/>
      <c r="AJ329" s="179"/>
    </row>
    <row r="330" spans="1:36" s="248" customFormat="1">
      <c r="A330" s="127" t="s">
        <v>3111</v>
      </c>
      <c r="B330" s="80">
        <v>-10</v>
      </c>
      <c r="C330" s="80">
        <v>-10</v>
      </c>
      <c r="D330" s="80">
        <v>-3</v>
      </c>
      <c r="E330" s="79">
        <v>21</v>
      </c>
      <c r="F330" s="57">
        <v>21.7</v>
      </c>
      <c r="G330" s="79">
        <v>6147</v>
      </c>
      <c r="H330" s="30" t="s">
        <v>3120</v>
      </c>
      <c r="I330" s="166" t="s">
        <v>3112</v>
      </c>
      <c r="J330" s="8" t="str">
        <f>IFERROR(VLOOKUP($G330,今日總結!$A:$AJ,33,0),"")</f>
        <v/>
      </c>
      <c r="K330" s="5" t="str">
        <f>IFERROR(VLOOKUP($G330,今日總結!$A:$AJ,34,0),"")</f>
        <v/>
      </c>
      <c r="L330" s="156" t="str">
        <f>IFERROR(VLOOKUP($G330,今日總結!$A:$AJ,31,0),"")</f>
        <v/>
      </c>
      <c r="M330" s="340" t="str">
        <f>IFERROR(VLOOKUP($G330,今日總結!$A:$AJ,32,0),"")</f>
        <v/>
      </c>
      <c r="N330" s="240" t="str">
        <f t="shared" si="111"/>
        <v/>
      </c>
      <c r="O330" s="245"/>
      <c r="P330" s="365">
        <f>IFERROR(VLOOKUP($G330,融外自投!$A:$J,7,0),"無")</f>
        <v>803</v>
      </c>
      <c r="Q330" s="79">
        <f>IFERROR(VLOOKUP($G330,融外自投!$A:$J,9,0),"無")</f>
        <v>292</v>
      </c>
      <c r="R330" s="346">
        <f>IFERROR(VLOOKUP($G330,融外自投!$A:$J,8,0),"無")</f>
        <v>242</v>
      </c>
      <c r="S330" s="81">
        <f>IFERROR(VLOOKUP($G330,融外自投!$A:$J,10,0),"無")</f>
        <v>90</v>
      </c>
      <c r="T330" s="327">
        <f>IFERROR(VLOOKUP($G330,'321買'!$A:$E,5,0),"'沒有資料'")</f>
        <v>131</v>
      </c>
      <c r="U330" s="185">
        <v>4.2</v>
      </c>
      <c r="V330" s="311"/>
      <c r="W330" s="57">
        <f t="shared" si="110"/>
        <v>5.3984575835475584E-2</v>
      </c>
      <c r="X330" s="165">
        <v>77.8</v>
      </c>
      <c r="Y330" s="65">
        <v>71.8</v>
      </c>
      <c r="Z330" s="162">
        <f t="shared" si="113"/>
        <v>6</v>
      </c>
      <c r="AA330" s="158">
        <f t="shared" si="114"/>
        <v>8.3565459610027856E-2</v>
      </c>
      <c r="AB330" s="167" t="s">
        <v>3124</v>
      </c>
      <c r="AC330" s="382"/>
      <c r="AD330" s="166" t="s">
        <v>3112</v>
      </c>
      <c r="AE330" s="84">
        <v>44265</v>
      </c>
      <c r="AF330" s="83">
        <v>44273</v>
      </c>
      <c r="AG330" s="33">
        <f t="shared" si="112"/>
        <v>8</v>
      </c>
      <c r="AH330" s="41" t="s">
        <v>3110</v>
      </c>
      <c r="AI330" s="180"/>
      <c r="AJ330" s="179"/>
    </row>
    <row r="331" spans="1:36" s="248" customFormat="1">
      <c r="A331" s="127" t="s">
        <v>3111</v>
      </c>
      <c r="B331" s="80">
        <v>-10</v>
      </c>
      <c r="C331" s="80">
        <v>-10</v>
      </c>
      <c r="D331" s="80">
        <v>-3</v>
      </c>
      <c r="E331" s="79">
        <v>21</v>
      </c>
      <c r="F331" s="57">
        <v>21.7</v>
      </c>
      <c r="G331" s="79">
        <v>6147</v>
      </c>
      <c r="H331" s="30" t="s">
        <v>3120</v>
      </c>
      <c r="I331" s="166" t="s">
        <v>3112</v>
      </c>
      <c r="J331" s="8" t="str">
        <f>IFERROR(VLOOKUP($G331,今日總結!$A:$AJ,33,0),"")</f>
        <v/>
      </c>
      <c r="K331" s="5" t="str">
        <f>IFERROR(VLOOKUP($G331,今日總結!$A:$AJ,34,0),"")</f>
        <v/>
      </c>
      <c r="L331" s="156" t="str">
        <f>IFERROR(VLOOKUP($G331,今日總結!$A:$AJ,31,0),"")</f>
        <v/>
      </c>
      <c r="M331" s="340" t="str">
        <f>IFERROR(VLOOKUP($G331,今日總結!$A:$AJ,32,0),"")</f>
        <v/>
      </c>
      <c r="N331" s="240" t="str">
        <f t="shared" si="111"/>
        <v/>
      </c>
      <c r="O331" s="245"/>
      <c r="P331" s="365">
        <f>IFERROR(VLOOKUP($G331,融外自投!$A:$J,7,0),"無")</f>
        <v>803</v>
      </c>
      <c r="Q331" s="79">
        <f>IFERROR(VLOOKUP($G331,融外自投!$A:$J,9,0),"無")</f>
        <v>292</v>
      </c>
      <c r="R331" s="346">
        <f>IFERROR(VLOOKUP($G331,融外自投!$A:$J,8,0),"無")</f>
        <v>242</v>
      </c>
      <c r="S331" s="81">
        <f>IFERROR(VLOOKUP($G331,融外自投!$A:$J,10,0),"無")</f>
        <v>90</v>
      </c>
      <c r="T331" s="327">
        <f>IFERROR(VLOOKUP($G331,'321買'!$A:$E,5,0),"'沒有資料'")</f>
        <v>131</v>
      </c>
      <c r="U331" s="185">
        <v>4.2</v>
      </c>
      <c r="V331" s="311"/>
      <c r="W331" s="57">
        <f t="shared" si="110"/>
        <v>5.3984575835475584E-2</v>
      </c>
      <c r="X331" s="165">
        <v>77.8</v>
      </c>
      <c r="Y331" s="65">
        <v>71.7</v>
      </c>
      <c r="Z331" s="162">
        <f t="shared" si="113"/>
        <v>6.0999999999999943</v>
      </c>
      <c r="AA331" s="158">
        <f t="shared" si="114"/>
        <v>8.5076708507670767E-2</v>
      </c>
      <c r="AB331" s="167" t="s">
        <v>3125</v>
      </c>
      <c r="AC331" s="382"/>
      <c r="AD331" s="166" t="s">
        <v>3112</v>
      </c>
      <c r="AE331" s="84">
        <v>44264</v>
      </c>
      <c r="AF331" s="83">
        <v>44273</v>
      </c>
      <c r="AG331" s="33">
        <f t="shared" si="112"/>
        <v>9</v>
      </c>
      <c r="AH331" s="41" t="s">
        <v>3110</v>
      </c>
      <c r="AI331" s="180"/>
      <c r="AJ331" s="179"/>
    </row>
    <row r="332" spans="1:36" s="248" customFormat="1">
      <c r="A332" s="142" t="s">
        <v>3126</v>
      </c>
      <c r="B332" s="79">
        <v>7</v>
      </c>
      <c r="C332" s="79">
        <v>0</v>
      </c>
      <c r="D332" s="80">
        <v>-4</v>
      </c>
      <c r="E332" s="79">
        <v>3</v>
      </c>
      <c r="F332" s="6">
        <v>7.51</v>
      </c>
      <c r="G332" s="79">
        <v>1216</v>
      </c>
      <c r="H332" s="30" t="s">
        <v>3120</v>
      </c>
      <c r="I332" s="153" t="s">
        <v>3127</v>
      </c>
      <c r="J332" s="8">
        <f>IFERROR(VLOOKUP($G332,今日總結!$A:$AJ,33,0),"")</f>
        <v>1</v>
      </c>
      <c r="K332" s="5">
        <f>IFERROR(VLOOKUP($G332,今日總結!$A:$AJ,34,0),"")</f>
        <v>1</v>
      </c>
      <c r="L332" s="156">
        <f>IFERROR(VLOOKUP($G332,今日總結!$A:$AJ,31,0),"")</f>
        <v>0</v>
      </c>
      <c r="M332" s="340">
        <f>IFERROR(VLOOKUP($G332,今日總結!$A:$AJ,32,0),"")</f>
        <v>0</v>
      </c>
      <c r="N332" s="240">
        <f t="shared" si="111"/>
        <v>0</v>
      </c>
      <c r="O332" s="245"/>
      <c r="P332" s="365">
        <f>IFERROR(VLOOKUP($G332,融外自投!$A:$J,7,0),"無")</f>
        <v>1428</v>
      </c>
      <c r="Q332" s="79">
        <f>IFERROR(VLOOKUP($G332,融外自投!$A:$J,9,0),"無")</f>
        <v>379</v>
      </c>
      <c r="R332" s="346">
        <f>IFERROR(VLOOKUP($G332,融外自投!$A:$J,8,0),"無")</f>
        <v>115</v>
      </c>
      <c r="S332" s="81">
        <f>IFERROR(VLOOKUP($G332,融外自投!$A:$J,10,0),"無")</f>
        <v>150</v>
      </c>
      <c r="T332" s="327">
        <f>IFERROR(VLOOKUP($G332,'321買'!$A:$E,5,0),"'沒有資料'")</f>
        <v>77</v>
      </c>
      <c r="U332" s="185">
        <v>2.5</v>
      </c>
      <c r="V332" s="311"/>
      <c r="W332" s="94">
        <f t="shared" si="110"/>
        <v>3.6390101892285295E-2</v>
      </c>
      <c r="X332" s="165">
        <v>68.7</v>
      </c>
      <c r="Y332" s="65">
        <v>68.3</v>
      </c>
      <c r="Z332" s="162">
        <f t="shared" si="113"/>
        <v>0.40000000000000568</v>
      </c>
      <c r="AA332" s="158">
        <f t="shared" si="114"/>
        <v>5.8565153733529385E-3</v>
      </c>
      <c r="AB332" s="99" t="s">
        <v>3128</v>
      </c>
      <c r="AC332" s="382"/>
      <c r="AD332" s="153" t="s">
        <v>3127</v>
      </c>
      <c r="AE332" s="84">
        <v>44225</v>
      </c>
      <c r="AF332" s="83">
        <v>44260</v>
      </c>
      <c r="AG332" s="33">
        <f t="shared" si="112"/>
        <v>35</v>
      </c>
      <c r="AH332" s="41" t="s">
        <v>3110</v>
      </c>
      <c r="AI332" s="181"/>
      <c r="AJ332" s="179"/>
    </row>
    <row r="333" spans="1:36" s="248" customFormat="1">
      <c r="A333" s="142" t="s">
        <v>3126</v>
      </c>
      <c r="B333" s="79">
        <v>7</v>
      </c>
      <c r="C333" s="79">
        <v>0</v>
      </c>
      <c r="D333" s="80">
        <v>-4</v>
      </c>
      <c r="E333" s="79">
        <v>3</v>
      </c>
      <c r="F333" s="6">
        <v>7.51</v>
      </c>
      <c r="G333" s="79">
        <v>1216</v>
      </c>
      <c r="H333" s="30" t="s">
        <v>3120</v>
      </c>
      <c r="I333" s="153" t="s">
        <v>3127</v>
      </c>
      <c r="J333" s="8">
        <f>IFERROR(VLOOKUP($G333,今日總結!$A:$AJ,33,0),"")</f>
        <v>1</v>
      </c>
      <c r="K333" s="5">
        <f>IFERROR(VLOOKUP($G333,今日總結!$A:$AJ,34,0),"")</f>
        <v>1</v>
      </c>
      <c r="L333" s="156">
        <f>IFERROR(VLOOKUP($G333,今日總結!$A:$AJ,31,0),"")</f>
        <v>0</v>
      </c>
      <c r="M333" s="340">
        <f>IFERROR(VLOOKUP($G333,今日總結!$A:$AJ,32,0),"")</f>
        <v>0</v>
      </c>
      <c r="N333" s="240">
        <f t="shared" si="111"/>
        <v>0</v>
      </c>
      <c r="O333" s="245"/>
      <c r="P333" s="365">
        <f>IFERROR(VLOOKUP($G333,融外自投!$A:$J,7,0),"無")</f>
        <v>1428</v>
      </c>
      <c r="Q333" s="79">
        <f>IFERROR(VLOOKUP($G333,融外自投!$A:$J,9,0),"無")</f>
        <v>379</v>
      </c>
      <c r="R333" s="346">
        <f>IFERROR(VLOOKUP($G333,融外自投!$A:$J,8,0),"無")</f>
        <v>115</v>
      </c>
      <c r="S333" s="81">
        <f>IFERROR(VLOOKUP($G333,融外自投!$A:$J,10,0),"無")</f>
        <v>150</v>
      </c>
      <c r="T333" s="327">
        <f>IFERROR(VLOOKUP($G333,'321買'!$A:$E,5,0),"'沒有資料'")</f>
        <v>77</v>
      </c>
      <c r="U333" s="185">
        <v>2.5</v>
      </c>
      <c r="V333" s="311"/>
      <c r="W333" s="94">
        <f t="shared" si="110"/>
        <v>3.6390101892285295E-2</v>
      </c>
      <c r="X333" s="165">
        <v>68.7</v>
      </c>
      <c r="Y333" s="65">
        <v>68.400000000000006</v>
      </c>
      <c r="Z333" s="162">
        <f t="shared" si="113"/>
        <v>0.29999999999999716</v>
      </c>
      <c r="AA333" s="158">
        <f t="shared" si="114"/>
        <v>4.3859649122806599E-3</v>
      </c>
      <c r="AB333" s="99" t="s">
        <v>3129</v>
      </c>
      <c r="AC333" s="382"/>
      <c r="AD333" s="153" t="s">
        <v>3127</v>
      </c>
      <c r="AE333" s="84">
        <v>44225</v>
      </c>
      <c r="AF333" s="83">
        <v>44260</v>
      </c>
      <c r="AG333" s="33">
        <f t="shared" si="112"/>
        <v>35</v>
      </c>
      <c r="AH333" s="41" t="s">
        <v>3110</v>
      </c>
      <c r="AI333" s="181"/>
      <c r="AJ333" s="179"/>
    </row>
    <row r="334" spans="1:36" s="248" customFormat="1">
      <c r="A334" s="142" t="s">
        <v>3126</v>
      </c>
      <c r="B334" s="79">
        <v>7</v>
      </c>
      <c r="C334" s="79">
        <v>0</v>
      </c>
      <c r="D334" s="80">
        <v>-4</v>
      </c>
      <c r="E334" s="79">
        <v>3</v>
      </c>
      <c r="F334" s="6">
        <v>7.51</v>
      </c>
      <c r="G334" s="79">
        <v>1216</v>
      </c>
      <c r="H334" s="30" t="s">
        <v>3120</v>
      </c>
      <c r="I334" s="153" t="s">
        <v>3127</v>
      </c>
      <c r="J334" s="8">
        <f>IFERROR(VLOOKUP($G334,今日總結!$A:$AJ,33,0),"")</f>
        <v>1</v>
      </c>
      <c r="K334" s="5">
        <f>IFERROR(VLOOKUP($G334,今日總結!$A:$AJ,34,0),"")</f>
        <v>1</v>
      </c>
      <c r="L334" s="156">
        <f>IFERROR(VLOOKUP($G334,今日總結!$A:$AJ,31,0),"")</f>
        <v>0</v>
      </c>
      <c r="M334" s="340">
        <f>IFERROR(VLOOKUP($G334,今日總結!$A:$AJ,32,0),"")</f>
        <v>0</v>
      </c>
      <c r="N334" s="240">
        <f t="shared" si="111"/>
        <v>0</v>
      </c>
      <c r="O334" s="245"/>
      <c r="P334" s="365">
        <f>IFERROR(VLOOKUP($G334,融外自投!$A:$J,7,0),"無")</f>
        <v>1428</v>
      </c>
      <c r="Q334" s="79">
        <f>IFERROR(VLOOKUP($G334,融外自投!$A:$J,9,0),"無")</f>
        <v>379</v>
      </c>
      <c r="R334" s="346">
        <f>IFERROR(VLOOKUP($G334,融外自投!$A:$J,8,0),"無")</f>
        <v>115</v>
      </c>
      <c r="S334" s="81">
        <f>IFERROR(VLOOKUP($G334,融外自投!$A:$J,10,0),"無")</f>
        <v>150</v>
      </c>
      <c r="T334" s="327">
        <f>IFERROR(VLOOKUP($G334,'321買'!$A:$E,5,0),"'沒有資料'")</f>
        <v>77</v>
      </c>
      <c r="U334" s="185">
        <v>2.5</v>
      </c>
      <c r="V334" s="311"/>
      <c r="W334" s="94">
        <f t="shared" si="110"/>
        <v>3.6390101892285295E-2</v>
      </c>
      <c r="X334" s="165">
        <v>68.7</v>
      </c>
      <c r="Y334" s="65">
        <v>68.5</v>
      </c>
      <c r="Z334" s="162">
        <f t="shared" si="113"/>
        <v>0.20000000000000284</v>
      </c>
      <c r="AA334" s="158">
        <f t="shared" si="114"/>
        <v>2.9197080291971217E-3</v>
      </c>
      <c r="AB334" s="99" t="s">
        <v>3130</v>
      </c>
      <c r="AC334" s="382"/>
      <c r="AD334" s="153" t="s">
        <v>3127</v>
      </c>
      <c r="AE334" s="84">
        <v>44225</v>
      </c>
      <c r="AF334" s="83">
        <v>44260</v>
      </c>
      <c r="AG334" s="33">
        <f t="shared" si="112"/>
        <v>35</v>
      </c>
      <c r="AH334" s="41" t="s">
        <v>3110</v>
      </c>
      <c r="AI334" s="181"/>
      <c r="AJ334" s="179"/>
    </row>
    <row r="335" spans="1:36" s="248" customFormat="1">
      <c r="A335" s="142" t="s">
        <v>3126</v>
      </c>
      <c r="B335" s="79">
        <v>7</v>
      </c>
      <c r="C335" s="79">
        <v>0</v>
      </c>
      <c r="D335" s="80">
        <v>-4</v>
      </c>
      <c r="E335" s="79">
        <v>3</v>
      </c>
      <c r="F335" s="6">
        <v>7.51</v>
      </c>
      <c r="G335" s="79">
        <v>1216</v>
      </c>
      <c r="H335" s="30" t="s">
        <v>3120</v>
      </c>
      <c r="I335" s="153" t="s">
        <v>3127</v>
      </c>
      <c r="J335" s="8">
        <f>IFERROR(VLOOKUP($G335,今日總結!$A:$AJ,33,0),"")</f>
        <v>1</v>
      </c>
      <c r="K335" s="5">
        <f>IFERROR(VLOOKUP($G335,今日總結!$A:$AJ,34,0),"")</f>
        <v>1</v>
      </c>
      <c r="L335" s="156">
        <f>IFERROR(VLOOKUP($G335,今日總結!$A:$AJ,31,0),"")</f>
        <v>0</v>
      </c>
      <c r="M335" s="340">
        <f>IFERROR(VLOOKUP($G335,今日總結!$A:$AJ,32,0),"")</f>
        <v>0</v>
      </c>
      <c r="N335" s="240">
        <f t="shared" si="111"/>
        <v>0</v>
      </c>
      <c r="O335" s="245"/>
      <c r="P335" s="365">
        <f>IFERROR(VLOOKUP($G335,融外自投!$A:$J,7,0),"無")</f>
        <v>1428</v>
      </c>
      <c r="Q335" s="79">
        <f>IFERROR(VLOOKUP($G335,融外自投!$A:$J,9,0),"無")</f>
        <v>379</v>
      </c>
      <c r="R335" s="346">
        <f>IFERROR(VLOOKUP($G335,融外自投!$A:$J,8,0),"無")</f>
        <v>115</v>
      </c>
      <c r="S335" s="81">
        <f>IFERROR(VLOOKUP($G335,融外自投!$A:$J,10,0),"無")</f>
        <v>150</v>
      </c>
      <c r="T335" s="327">
        <f>IFERROR(VLOOKUP($G335,'321買'!$A:$E,5,0),"'沒有資料'")</f>
        <v>77</v>
      </c>
      <c r="U335" s="185">
        <v>2.5</v>
      </c>
      <c r="V335" s="311"/>
      <c r="W335" s="94">
        <f t="shared" si="110"/>
        <v>3.6390101892285295E-2</v>
      </c>
      <c r="X335" s="165">
        <v>68.7</v>
      </c>
      <c r="Y335" s="65">
        <v>68.5</v>
      </c>
      <c r="Z335" s="162">
        <f t="shared" si="113"/>
        <v>0.20000000000000284</v>
      </c>
      <c r="AA335" s="158">
        <f t="shared" si="114"/>
        <v>2.9197080291971217E-3</v>
      </c>
      <c r="AB335" s="99" t="s">
        <v>3130</v>
      </c>
      <c r="AC335" s="382"/>
      <c r="AD335" s="153" t="s">
        <v>3127</v>
      </c>
      <c r="AE335" s="84">
        <v>44225</v>
      </c>
      <c r="AF335" s="83">
        <v>44260</v>
      </c>
      <c r="AG335" s="33">
        <f t="shared" si="112"/>
        <v>35</v>
      </c>
      <c r="AH335" s="41" t="s">
        <v>3110</v>
      </c>
      <c r="AI335" s="181"/>
      <c r="AJ335" s="179"/>
    </row>
    <row r="336" spans="1:36" s="248" customFormat="1">
      <c r="A336" s="142" t="s">
        <v>3126</v>
      </c>
      <c r="B336" s="79">
        <v>7</v>
      </c>
      <c r="C336" s="79">
        <v>0</v>
      </c>
      <c r="D336" s="80">
        <v>-4</v>
      </c>
      <c r="E336" s="79">
        <v>3</v>
      </c>
      <c r="F336" s="6">
        <v>7.51</v>
      </c>
      <c r="G336" s="79">
        <v>1216</v>
      </c>
      <c r="H336" s="30" t="s">
        <v>3120</v>
      </c>
      <c r="I336" s="153" t="s">
        <v>3127</v>
      </c>
      <c r="J336" s="8">
        <f>IFERROR(VLOOKUP($G336,今日總結!$A:$AJ,33,0),"")</f>
        <v>1</v>
      </c>
      <c r="K336" s="5">
        <f>IFERROR(VLOOKUP($G336,今日總結!$A:$AJ,34,0),"")</f>
        <v>1</v>
      </c>
      <c r="L336" s="156">
        <f>IFERROR(VLOOKUP($G336,今日總結!$A:$AJ,31,0),"")</f>
        <v>0</v>
      </c>
      <c r="M336" s="340">
        <f>IFERROR(VLOOKUP($G336,今日總結!$A:$AJ,32,0),"")</f>
        <v>0</v>
      </c>
      <c r="N336" s="240">
        <f t="shared" si="111"/>
        <v>0</v>
      </c>
      <c r="O336" s="245"/>
      <c r="P336" s="365">
        <f>IFERROR(VLOOKUP($G336,融外自投!$A:$J,7,0),"無")</f>
        <v>1428</v>
      </c>
      <c r="Q336" s="79">
        <f>IFERROR(VLOOKUP($G336,融外自投!$A:$J,9,0),"無")</f>
        <v>379</v>
      </c>
      <c r="R336" s="346">
        <f>IFERROR(VLOOKUP($G336,融外自投!$A:$J,8,0),"無")</f>
        <v>115</v>
      </c>
      <c r="S336" s="81">
        <f>IFERROR(VLOOKUP($G336,融外自投!$A:$J,10,0),"無")</f>
        <v>150</v>
      </c>
      <c r="T336" s="327">
        <f>IFERROR(VLOOKUP($G336,'321買'!$A:$E,5,0),"'沒有資料'")</f>
        <v>77</v>
      </c>
      <c r="U336" s="185">
        <v>2.5</v>
      </c>
      <c r="V336" s="311"/>
      <c r="W336" s="94">
        <f t="shared" si="110"/>
        <v>3.6390101892285295E-2</v>
      </c>
      <c r="X336" s="165">
        <v>68.7</v>
      </c>
      <c r="Y336" s="65">
        <v>68.2</v>
      </c>
      <c r="Z336" s="162">
        <f t="shared" si="113"/>
        <v>0.5</v>
      </c>
      <c r="AA336" s="158">
        <f t="shared" si="114"/>
        <v>7.3313782991202342E-3</v>
      </c>
      <c r="AB336" s="99" t="s">
        <v>3131</v>
      </c>
      <c r="AC336" s="382"/>
      <c r="AD336" s="153" t="s">
        <v>3127</v>
      </c>
      <c r="AE336" s="84">
        <v>44225</v>
      </c>
      <c r="AF336" s="83">
        <v>44260</v>
      </c>
      <c r="AG336" s="33">
        <f t="shared" si="112"/>
        <v>35</v>
      </c>
      <c r="AH336" s="41" t="s">
        <v>3110</v>
      </c>
      <c r="AI336" s="181"/>
      <c r="AJ336" s="179"/>
    </row>
    <row r="337" spans="1:46" s="248" customFormat="1">
      <c r="A337" s="142" t="s">
        <v>3126</v>
      </c>
      <c r="B337" s="79">
        <v>7</v>
      </c>
      <c r="C337" s="79">
        <v>0</v>
      </c>
      <c r="D337" s="80">
        <v>-4</v>
      </c>
      <c r="E337" s="79">
        <v>3</v>
      </c>
      <c r="F337" s="6">
        <v>7.51</v>
      </c>
      <c r="G337" s="79">
        <v>1216</v>
      </c>
      <c r="H337" s="30" t="s">
        <v>3120</v>
      </c>
      <c r="I337" s="153" t="s">
        <v>3127</v>
      </c>
      <c r="J337" s="8">
        <f>IFERROR(VLOOKUP($G337,今日總結!$A:$AJ,33,0),"")</f>
        <v>1</v>
      </c>
      <c r="K337" s="5">
        <f>IFERROR(VLOOKUP($G337,今日總結!$A:$AJ,34,0),"")</f>
        <v>1</v>
      </c>
      <c r="L337" s="156">
        <f>IFERROR(VLOOKUP($G337,今日總結!$A:$AJ,31,0),"")</f>
        <v>0</v>
      </c>
      <c r="M337" s="340">
        <f>IFERROR(VLOOKUP($G337,今日總結!$A:$AJ,32,0),"")</f>
        <v>0</v>
      </c>
      <c r="N337" s="240">
        <f t="shared" si="111"/>
        <v>0</v>
      </c>
      <c r="O337" s="245"/>
      <c r="P337" s="365">
        <f>IFERROR(VLOOKUP($G337,融外自投!$A:$J,7,0),"無")</f>
        <v>1428</v>
      </c>
      <c r="Q337" s="79">
        <f>IFERROR(VLOOKUP($G337,融外自投!$A:$J,9,0),"無")</f>
        <v>379</v>
      </c>
      <c r="R337" s="346">
        <f>IFERROR(VLOOKUP($G337,融外自投!$A:$J,8,0),"無")</f>
        <v>115</v>
      </c>
      <c r="S337" s="81">
        <f>IFERROR(VLOOKUP($G337,融外自投!$A:$J,10,0),"無")</f>
        <v>150</v>
      </c>
      <c r="T337" s="327">
        <f>IFERROR(VLOOKUP($G337,'321買'!$A:$E,5,0),"'沒有資料'")</f>
        <v>77</v>
      </c>
      <c r="U337" s="185">
        <v>2.5</v>
      </c>
      <c r="V337" s="311"/>
      <c r="W337" s="94">
        <f t="shared" si="110"/>
        <v>3.6390101892285295E-2</v>
      </c>
      <c r="X337" s="165">
        <v>68.7</v>
      </c>
      <c r="Y337" s="65">
        <v>68.2</v>
      </c>
      <c r="Z337" s="162">
        <f t="shared" si="113"/>
        <v>0.5</v>
      </c>
      <c r="AA337" s="158">
        <f t="shared" si="114"/>
        <v>7.3313782991202342E-3</v>
      </c>
      <c r="AB337" s="99" t="s">
        <v>3131</v>
      </c>
      <c r="AC337" s="382"/>
      <c r="AD337" s="153" t="s">
        <v>3127</v>
      </c>
      <c r="AE337" s="84">
        <v>44225</v>
      </c>
      <c r="AF337" s="83">
        <v>44260</v>
      </c>
      <c r="AG337" s="33">
        <f t="shared" si="112"/>
        <v>35</v>
      </c>
      <c r="AH337" s="41" t="s">
        <v>3110</v>
      </c>
      <c r="AI337" s="181"/>
      <c r="AJ337" s="179"/>
    </row>
    <row r="338" spans="1:46" s="248" customFormat="1">
      <c r="A338" s="142" t="s">
        <v>3132</v>
      </c>
      <c r="B338" s="80">
        <v>-115</v>
      </c>
      <c r="C338" s="80">
        <v>-36</v>
      </c>
      <c r="D338" s="79">
        <v>21</v>
      </c>
      <c r="E338" s="79">
        <v>24</v>
      </c>
      <c r="F338" s="6">
        <v>3.06</v>
      </c>
      <c r="G338" s="79">
        <v>2103</v>
      </c>
      <c r="H338" s="8" t="s">
        <v>3135</v>
      </c>
      <c r="I338" s="153" t="s">
        <v>3133</v>
      </c>
      <c r="J338" s="8" t="str">
        <f>IFERROR(VLOOKUP($G338,今日總結!$A:$AJ,33,0),"")</f>
        <v/>
      </c>
      <c r="K338" s="5" t="str">
        <f>IFERROR(VLOOKUP($G338,今日總結!$A:$AJ,34,0),"")</f>
        <v/>
      </c>
      <c r="L338" s="156" t="str">
        <f>IFERROR(VLOOKUP($G338,今日總結!$A:$AJ,31,0),"")</f>
        <v/>
      </c>
      <c r="M338" s="340" t="str">
        <f>IFERROR(VLOOKUP($G338,今日總結!$A:$AJ,32,0),"")</f>
        <v/>
      </c>
      <c r="N338" s="240" t="str">
        <f t="shared" si="111"/>
        <v/>
      </c>
      <c r="O338" s="245"/>
      <c r="P338" s="365">
        <f>IFERROR(VLOOKUP($G338,融外自投!$A:$J,7,0),"無")</f>
        <v>1012</v>
      </c>
      <c r="Q338" s="79">
        <f>IFERROR(VLOOKUP($G338,融外自投!$A:$J,9,0),"無")</f>
        <v>896</v>
      </c>
      <c r="R338" s="346">
        <f>IFERROR(VLOOKUP($G338,融外自投!$A:$J,8,0),"無")</f>
        <v>185</v>
      </c>
      <c r="S338" s="81" t="str">
        <f>IFERROR(VLOOKUP($G338,融外自投!$A:$J,10,0),"無")</f>
        <v>無</v>
      </c>
      <c r="T338" s="327">
        <f>IFERROR(VLOOKUP($G338,'321買'!$A:$E,5,0),"'沒有資料'")</f>
        <v>503</v>
      </c>
      <c r="U338" s="185">
        <v>0.5</v>
      </c>
      <c r="V338" s="311"/>
      <c r="W338" s="57">
        <f>U338/X338</f>
        <v>1.7953321364452424E-2</v>
      </c>
      <c r="X338" s="161">
        <v>27.85</v>
      </c>
      <c r="Y338" s="65">
        <v>27.35</v>
      </c>
      <c r="Z338" s="162">
        <f t="shared" si="113"/>
        <v>0.5</v>
      </c>
      <c r="AA338" s="158">
        <f t="shared" si="114"/>
        <v>1.8281535648994516E-2</v>
      </c>
      <c r="AB338" s="184" t="s">
        <v>3134</v>
      </c>
      <c r="AC338" s="382"/>
      <c r="AD338" s="153" t="s">
        <v>3133</v>
      </c>
      <c r="AE338" s="84">
        <v>44253</v>
      </c>
      <c r="AF338" s="83">
        <v>44258</v>
      </c>
      <c r="AG338" s="33">
        <f t="shared" si="112"/>
        <v>5</v>
      </c>
      <c r="AH338" s="41" t="s">
        <v>3110</v>
      </c>
      <c r="AI338" s="180"/>
      <c r="AJ338" s="179"/>
    </row>
    <row r="339" spans="1:46" s="171" customFormat="1" ht="17.100000000000001" customHeight="1">
      <c r="A339" s="41"/>
      <c r="B339" s="80">
        <v>-79</v>
      </c>
      <c r="C339" s="79">
        <v>46</v>
      </c>
      <c r="D339" s="80">
        <v>-79</v>
      </c>
      <c r="E339" s="79">
        <v>46</v>
      </c>
      <c r="F339" s="6">
        <v>-1.74</v>
      </c>
      <c r="G339" s="79">
        <v>2489</v>
      </c>
      <c r="H339" s="50" t="s">
        <v>3139</v>
      </c>
      <c r="I339" s="153" t="s">
        <v>3136</v>
      </c>
      <c r="J339" s="8">
        <f>IFERROR(VLOOKUP($G339,今日總結!$A:$AJ,33,0),"")</f>
        <v>0</v>
      </c>
      <c r="K339" s="5">
        <f>IFERROR(VLOOKUP($G339,今日總結!$A:$AJ,34,0),"")</f>
        <v>1</v>
      </c>
      <c r="L339" s="156">
        <f>IFERROR(VLOOKUP($G339,今日總結!$A:$AJ,31,0),"")</f>
        <v>0</v>
      </c>
      <c r="M339" s="340">
        <f>IFERROR(VLOOKUP($G339,今日總結!$A:$AJ,32,0),"")</f>
        <v>0</v>
      </c>
      <c r="N339" s="240">
        <f t="shared" si="111"/>
        <v>0</v>
      </c>
      <c r="O339" s="245"/>
      <c r="P339" s="365">
        <f>IFERROR(VLOOKUP($G339,融外自投!$A:$J,7,0),"無")</f>
        <v>804</v>
      </c>
      <c r="Q339" s="79">
        <f>IFERROR(VLOOKUP($G339,融外自投!$A:$J,9,0),"無")</f>
        <v>459</v>
      </c>
      <c r="R339" s="346">
        <f>IFERROR(VLOOKUP($G339,融外自投!$A:$J,8,0),"無")</f>
        <v>456</v>
      </c>
      <c r="S339" s="81" t="str">
        <f>IFERROR(VLOOKUP($G339,融外自投!$A:$J,10,0),"無")</f>
        <v>無</v>
      </c>
      <c r="T339" s="327">
        <f>IFERROR(VLOOKUP($G339,'321買'!$A:$E,5,0),"'沒有資料'")</f>
        <v>349</v>
      </c>
      <c r="U339" s="185">
        <v>0</v>
      </c>
      <c r="V339" s="311"/>
      <c r="W339" s="94">
        <f t="shared" ref="W339:W346" si="115">U339/X339</f>
        <v>0</v>
      </c>
      <c r="X339" s="161">
        <v>12.75</v>
      </c>
      <c r="Y339" s="65">
        <f>22.63-1.7</f>
        <v>20.93</v>
      </c>
      <c r="Z339" s="162">
        <f t="shared" si="113"/>
        <v>-8.18</v>
      </c>
      <c r="AA339" s="164">
        <f t="shared" si="114"/>
        <v>-0.3908265647396082</v>
      </c>
      <c r="AB339" s="112" t="s">
        <v>3137</v>
      </c>
      <c r="AC339" s="382"/>
      <c r="AD339" s="153" t="s">
        <v>3138</v>
      </c>
      <c r="AE339" s="84">
        <v>42776</v>
      </c>
      <c r="AF339" s="83">
        <v>44258</v>
      </c>
      <c r="AG339" s="33">
        <f t="shared" si="112"/>
        <v>1482</v>
      </c>
      <c r="AH339" s="41" t="s">
        <v>3110</v>
      </c>
      <c r="AI339" s="27"/>
      <c r="AJ339" s="17"/>
      <c r="AK339" s="11"/>
      <c r="AL339" s="11"/>
      <c r="AM339" s="11"/>
      <c r="AN339" s="11"/>
      <c r="AO339" s="248"/>
      <c r="AP339" s="248"/>
      <c r="AR339" s="4"/>
      <c r="AS339" s="248"/>
      <c r="AT339" s="248"/>
    </row>
    <row r="340" spans="1:46" s="171" customFormat="1" ht="17.100000000000001" customHeight="1">
      <c r="A340" s="41"/>
      <c r="B340" s="80">
        <v>-79</v>
      </c>
      <c r="C340" s="79">
        <v>46</v>
      </c>
      <c r="D340" s="80">
        <v>-79</v>
      </c>
      <c r="E340" s="79">
        <v>46</v>
      </c>
      <c r="F340" s="6">
        <v>-1.74</v>
      </c>
      <c r="G340" s="79">
        <v>2489</v>
      </c>
      <c r="H340" s="50" t="s">
        <v>3139</v>
      </c>
      <c r="I340" s="153" t="s">
        <v>3136</v>
      </c>
      <c r="J340" s="8">
        <f>IFERROR(VLOOKUP($G340,今日總結!$A:$AJ,33,0),"")</f>
        <v>0</v>
      </c>
      <c r="K340" s="5">
        <f>IFERROR(VLOOKUP($G340,今日總結!$A:$AJ,34,0),"")</f>
        <v>1</v>
      </c>
      <c r="L340" s="156">
        <f>IFERROR(VLOOKUP($G340,今日總結!$A:$AJ,31,0),"")</f>
        <v>0</v>
      </c>
      <c r="M340" s="340">
        <f>IFERROR(VLOOKUP($G340,今日總結!$A:$AJ,32,0),"")</f>
        <v>0</v>
      </c>
      <c r="N340" s="240">
        <f t="shared" si="111"/>
        <v>0</v>
      </c>
      <c r="O340" s="245"/>
      <c r="P340" s="365">
        <f>IFERROR(VLOOKUP($G340,融外自投!$A:$J,7,0),"無")</f>
        <v>804</v>
      </c>
      <c r="Q340" s="79">
        <f>IFERROR(VLOOKUP($G340,融外自投!$A:$J,9,0),"無")</f>
        <v>459</v>
      </c>
      <c r="R340" s="346">
        <f>IFERROR(VLOOKUP($G340,融外自投!$A:$J,8,0),"無")</f>
        <v>456</v>
      </c>
      <c r="S340" s="81" t="str">
        <f>IFERROR(VLOOKUP($G340,融外自投!$A:$J,10,0),"無")</f>
        <v>無</v>
      </c>
      <c r="T340" s="327">
        <f>IFERROR(VLOOKUP($G340,'321買'!$A:$E,5,0),"'沒有資料'")</f>
        <v>349</v>
      </c>
      <c r="U340" s="185">
        <v>0</v>
      </c>
      <c r="V340" s="311"/>
      <c r="W340" s="94">
        <f t="shared" si="115"/>
        <v>0</v>
      </c>
      <c r="X340" s="161">
        <v>12.75</v>
      </c>
      <c r="Y340" s="65">
        <v>13.52</v>
      </c>
      <c r="Z340" s="162">
        <f t="shared" si="113"/>
        <v>-0.76999999999999957</v>
      </c>
      <c r="AA340" s="164">
        <f t="shared" si="114"/>
        <v>-5.6952662721893463E-2</v>
      </c>
      <c r="AB340" s="112" t="s">
        <v>3140</v>
      </c>
      <c r="AC340" s="382"/>
      <c r="AD340" s="153" t="s">
        <v>3136</v>
      </c>
      <c r="AE340" s="84">
        <v>43376</v>
      </c>
      <c r="AF340" s="83">
        <v>44258</v>
      </c>
      <c r="AG340" s="33">
        <f t="shared" si="112"/>
        <v>882</v>
      </c>
      <c r="AH340" s="41" t="s">
        <v>3110</v>
      </c>
      <c r="AI340" s="27"/>
      <c r="AJ340" s="17"/>
      <c r="AK340" s="11"/>
      <c r="AL340" s="11"/>
      <c r="AM340" s="11"/>
      <c r="AN340" s="11"/>
      <c r="AO340" s="248"/>
      <c r="AP340" s="248"/>
      <c r="AR340" s="4"/>
      <c r="AS340" s="248"/>
      <c r="AT340" s="248"/>
    </row>
    <row r="341" spans="1:46" s="171" customFormat="1" ht="17.100000000000001" customHeight="1">
      <c r="A341" s="41"/>
      <c r="B341" s="80">
        <v>-79</v>
      </c>
      <c r="C341" s="79">
        <v>46</v>
      </c>
      <c r="D341" s="80">
        <v>-79</v>
      </c>
      <c r="E341" s="79">
        <v>46</v>
      </c>
      <c r="F341" s="6">
        <v>-1.74</v>
      </c>
      <c r="G341" s="79">
        <v>2489</v>
      </c>
      <c r="H341" s="50" t="s">
        <v>3139</v>
      </c>
      <c r="I341" s="153" t="s">
        <v>3136</v>
      </c>
      <c r="J341" s="8">
        <f>IFERROR(VLOOKUP($G341,今日總結!$A:$AJ,33,0),"")</f>
        <v>0</v>
      </c>
      <c r="K341" s="5">
        <f>IFERROR(VLOOKUP($G341,今日總結!$A:$AJ,34,0),"")</f>
        <v>1</v>
      </c>
      <c r="L341" s="156">
        <f>IFERROR(VLOOKUP($G341,今日總結!$A:$AJ,31,0),"")</f>
        <v>0</v>
      </c>
      <c r="M341" s="340">
        <f>IFERROR(VLOOKUP($G341,今日總結!$A:$AJ,32,0),"")</f>
        <v>0</v>
      </c>
      <c r="N341" s="240">
        <f t="shared" si="111"/>
        <v>0</v>
      </c>
      <c r="O341" s="245"/>
      <c r="P341" s="365">
        <f>IFERROR(VLOOKUP($G341,融外自投!$A:$J,7,0),"無")</f>
        <v>804</v>
      </c>
      <c r="Q341" s="79">
        <f>IFERROR(VLOOKUP($G341,融外自投!$A:$J,9,0),"無")</f>
        <v>459</v>
      </c>
      <c r="R341" s="346">
        <f>IFERROR(VLOOKUP($G341,融外自投!$A:$J,8,0),"無")</f>
        <v>456</v>
      </c>
      <c r="S341" s="81" t="str">
        <f>IFERROR(VLOOKUP($G341,融外自投!$A:$J,10,0),"無")</f>
        <v>無</v>
      </c>
      <c r="T341" s="327">
        <f>IFERROR(VLOOKUP($G341,'321買'!$A:$E,5,0),"'沒有資料'")</f>
        <v>349</v>
      </c>
      <c r="U341" s="185">
        <v>0</v>
      </c>
      <c r="V341" s="311"/>
      <c r="W341" s="94">
        <f t="shared" si="115"/>
        <v>0</v>
      </c>
      <c r="X341" s="161">
        <v>12.75</v>
      </c>
      <c r="Y341" s="65">
        <v>12.87</v>
      </c>
      <c r="Z341" s="162">
        <f t="shared" si="113"/>
        <v>-0.11999999999999922</v>
      </c>
      <c r="AA341" s="164">
        <f t="shared" si="114"/>
        <v>-9.3240093240092633E-3</v>
      </c>
      <c r="AB341" s="112" t="s">
        <v>3141</v>
      </c>
      <c r="AC341" s="382"/>
      <c r="AD341" s="153" t="s">
        <v>3136</v>
      </c>
      <c r="AE341" s="84">
        <v>43347</v>
      </c>
      <c r="AF341" s="83">
        <v>44258</v>
      </c>
      <c r="AG341" s="33">
        <f t="shared" si="112"/>
        <v>911</v>
      </c>
      <c r="AH341" s="41" t="s">
        <v>3110</v>
      </c>
      <c r="AI341" s="27"/>
      <c r="AJ341" s="17"/>
      <c r="AK341" s="11"/>
      <c r="AL341" s="11"/>
      <c r="AM341" s="11"/>
      <c r="AN341" s="11"/>
      <c r="AO341" s="248"/>
      <c r="AP341" s="248"/>
      <c r="AR341" s="4"/>
      <c r="AS341" s="248"/>
      <c r="AT341" s="248"/>
    </row>
    <row r="342" spans="1:46" s="248" customFormat="1" ht="16.5" customHeight="1">
      <c r="A342" s="141"/>
      <c r="B342" s="79">
        <v>62</v>
      </c>
      <c r="C342" s="79">
        <v>118</v>
      </c>
      <c r="D342" s="79">
        <v>62</v>
      </c>
      <c r="E342" s="79">
        <v>118</v>
      </c>
      <c r="F342" s="6">
        <v>0.45</v>
      </c>
      <c r="G342" s="79">
        <v>2489</v>
      </c>
      <c r="H342" s="50" t="s">
        <v>3139</v>
      </c>
      <c r="I342" s="153" t="s">
        <v>3136</v>
      </c>
      <c r="J342" s="8">
        <f>IFERROR(VLOOKUP($G342,今日總結!$A:$AJ,33,0),"")</f>
        <v>0</v>
      </c>
      <c r="K342" s="5">
        <f>IFERROR(VLOOKUP($G342,今日總結!$A:$AJ,34,0),"")</f>
        <v>1</v>
      </c>
      <c r="L342" s="156">
        <f>IFERROR(VLOOKUP($G342,今日總結!$A:$AJ,31,0),"")</f>
        <v>0</v>
      </c>
      <c r="M342" s="340">
        <f>IFERROR(VLOOKUP($G342,今日總結!$A:$AJ,32,0),"")</f>
        <v>0</v>
      </c>
      <c r="N342" s="240">
        <f t="shared" si="111"/>
        <v>0</v>
      </c>
      <c r="O342" s="245"/>
      <c r="P342" s="365">
        <f>IFERROR(VLOOKUP($G342,融外自投!$A:$J,7,0),"無")</f>
        <v>804</v>
      </c>
      <c r="Q342" s="79">
        <f>IFERROR(VLOOKUP($G342,融外自投!$A:$J,9,0),"無")</f>
        <v>459</v>
      </c>
      <c r="R342" s="346">
        <f>IFERROR(VLOOKUP($G342,融外自投!$A:$J,8,0),"無")</f>
        <v>456</v>
      </c>
      <c r="S342" s="81" t="str">
        <f>IFERROR(VLOOKUP($G342,融外自投!$A:$J,10,0),"無")</f>
        <v>無</v>
      </c>
      <c r="T342" s="327">
        <f>IFERROR(VLOOKUP($G342,'321買'!$A:$E,5,0),"'沒有資料'")</f>
        <v>349</v>
      </c>
      <c r="U342" s="185">
        <v>0</v>
      </c>
      <c r="V342" s="311"/>
      <c r="W342" s="94">
        <f t="shared" si="115"/>
        <v>0</v>
      </c>
      <c r="X342" s="161">
        <f>12.75*3</f>
        <v>38.25</v>
      </c>
      <c r="Y342" s="65">
        <f>11.05*AH342</f>
        <v>33.150000000000006</v>
      </c>
      <c r="Z342" s="162">
        <f t="shared" si="113"/>
        <v>5.0999999999999943</v>
      </c>
      <c r="AA342" s="158">
        <f t="shared" si="114"/>
        <v>0.15384615384615366</v>
      </c>
      <c r="AB342" s="111" t="s">
        <v>3142</v>
      </c>
      <c r="AC342" s="382"/>
      <c r="AD342" s="153" t="s">
        <v>3136</v>
      </c>
      <c r="AE342" s="84">
        <v>43696</v>
      </c>
      <c r="AF342" s="83">
        <v>44258</v>
      </c>
      <c r="AG342" s="33">
        <f t="shared" si="112"/>
        <v>562</v>
      </c>
      <c r="AH342" s="41" t="s">
        <v>3116</v>
      </c>
      <c r="AI342" s="163"/>
    </row>
    <row r="343" spans="1:46" s="248" customFormat="1" ht="16.5" customHeight="1">
      <c r="A343" s="143"/>
      <c r="B343" s="79">
        <v>62</v>
      </c>
      <c r="C343" s="79">
        <v>118</v>
      </c>
      <c r="D343" s="79">
        <v>62</v>
      </c>
      <c r="E343" s="79">
        <v>118</v>
      </c>
      <c r="F343" s="6">
        <v>0.45</v>
      </c>
      <c r="G343" s="79">
        <v>2489</v>
      </c>
      <c r="H343" s="50" t="s">
        <v>3139</v>
      </c>
      <c r="I343" s="153" t="s">
        <v>3136</v>
      </c>
      <c r="J343" s="8">
        <f>IFERROR(VLOOKUP($G343,今日總結!$A:$AJ,33,0),"")</f>
        <v>0</v>
      </c>
      <c r="K343" s="5">
        <f>IFERROR(VLOOKUP($G343,今日總結!$A:$AJ,34,0),"")</f>
        <v>1</v>
      </c>
      <c r="L343" s="156">
        <f>IFERROR(VLOOKUP($G343,今日總結!$A:$AJ,31,0),"")</f>
        <v>0</v>
      </c>
      <c r="M343" s="340">
        <f>IFERROR(VLOOKUP($G343,今日總結!$A:$AJ,32,0),"")</f>
        <v>0</v>
      </c>
      <c r="N343" s="240">
        <f t="shared" si="111"/>
        <v>0</v>
      </c>
      <c r="O343" s="245"/>
      <c r="P343" s="365">
        <f>IFERROR(VLOOKUP($G343,融外自投!$A:$J,7,0),"無")</f>
        <v>804</v>
      </c>
      <c r="Q343" s="79">
        <f>IFERROR(VLOOKUP($G343,融外自投!$A:$J,9,0),"無")</f>
        <v>459</v>
      </c>
      <c r="R343" s="346">
        <f>IFERROR(VLOOKUP($G343,融外自投!$A:$J,8,0),"無")</f>
        <v>456</v>
      </c>
      <c r="S343" s="81" t="str">
        <f>IFERROR(VLOOKUP($G343,融外自投!$A:$J,10,0),"無")</f>
        <v>無</v>
      </c>
      <c r="T343" s="327">
        <f>IFERROR(VLOOKUP($G343,'321買'!$A:$E,5,0),"'沒有資料'")</f>
        <v>349</v>
      </c>
      <c r="U343" s="185">
        <v>0</v>
      </c>
      <c r="V343" s="311"/>
      <c r="W343" s="94">
        <f t="shared" si="115"/>
        <v>0</v>
      </c>
      <c r="X343" s="161">
        <f>12.75*5</f>
        <v>63.75</v>
      </c>
      <c r="Y343" s="65">
        <f>11*AH343</f>
        <v>55</v>
      </c>
      <c r="Z343" s="162">
        <f t="shared" si="113"/>
        <v>8.75</v>
      </c>
      <c r="AA343" s="158">
        <f t="shared" si="114"/>
        <v>0.15909090909090909</v>
      </c>
      <c r="AB343" s="111" t="s">
        <v>3143</v>
      </c>
      <c r="AC343" s="382"/>
      <c r="AD343" s="153" t="s">
        <v>3136</v>
      </c>
      <c r="AE343" s="84">
        <v>43713</v>
      </c>
      <c r="AF343" s="83">
        <v>44258</v>
      </c>
      <c r="AG343" s="33">
        <f t="shared" si="112"/>
        <v>545</v>
      </c>
      <c r="AH343" s="41" t="s">
        <v>3144</v>
      </c>
    </row>
    <row r="344" spans="1:46" s="248" customFormat="1" ht="16.5" customHeight="1">
      <c r="A344" s="143"/>
      <c r="B344" s="79">
        <v>62</v>
      </c>
      <c r="C344" s="79">
        <v>118</v>
      </c>
      <c r="D344" s="79">
        <v>62</v>
      </c>
      <c r="E344" s="79">
        <v>118</v>
      </c>
      <c r="F344" s="6">
        <v>0.45</v>
      </c>
      <c r="G344" s="79">
        <v>2489</v>
      </c>
      <c r="H344" s="50" t="s">
        <v>3147</v>
      </c>
      <c r="I344" s="153" t="s">
        <v>3136</v>
      </c>
      <c r="J344" s="8">
        <f>IFERROR(VLOOKUP($G344,今日總結!$A:$AJ,33,0),"")</f>
        <v>0</v>
      </c>
      <c r="K344" s="5">
        <f>IFERROR(VLOOKUP($G344,今日總結!$A:$AJ,34,0),"")</f>
        <v>1</v>
      </c>
      <c r="L344" s="156">
        <f>IFERROR(VLOOKUP($G344,今日總結!$A:$AJ,31,0),"")</f>
        <v>0</v>
      </c>
      <c r="M344" s="340">
        <f>IFERROR(VLOOKUP($G344,今日總結!$A:$AJ,32,0),"")</f>
        <v>0</v>
      </c>
      <c r="N344" s="240">
        <f t="shared" si="111"/>
        <v>0</v>
      </c>
      <c r="O344" s="245"/>
      <c r="P344" s="365">
        <f>IFERROR(VLOOKUP($G344,融外自投!$A:$J,7,0),"無")</f>
        <v>804</v>
      </c>
      <c r="Q344" s="79">
        <f>IFERROR(VLOOKUP($G344,融外自投!$A:$J,9,0),"無")</f>
        <v>459</v>
      </c>
      <c r="R344" s="346">
        <f>IFERROR(VLOOKUP($G344,融外自投!$A:$J,8,0),"無")</f>
        <v>456</v>
      </c>
      <c r="S344" s="81" t="str">
        <f>IFERROR(VLOOKUP($G344,融外自投!$A:$J,10,0),"無")</f>
        <v>無</v>
      </c>
      <c r="T344" s="327">
        <f>IFERROR(VLOOKUP($G344,'321買'!$A:$E,5,0),"'沒有資料'")</f>
        <v>349</v>
      </c>
      <c r="U344" s="185">
        <v>0</v>
      </c>
      <c r="V344" s="311"/>
      <c r="W344" s="94">
        <f t="shared" si="115"/>
        <v>0</v>
      </c>
      <c r="X344" s="161">
        <v>12.75</v>
      </c>
      <c r="Y344" s="65">
        <v>10.95</v>
      </c>
      <c r="Z344" s="162">
        <f t="shared" si="113"/>
        <v>1.8000000000000007</v>
      </c>
      <c r="AA344" s="158">
        <f t="shared" si="114"/>
        <v>0.16438356164383569</v>
      </c>
      <c r="AB344" s="111" t="s">
        <v>3145</v>
      </c>
      <c r="AC344" s="382"/>
      <c r="AD344" s="153" t="s">
        <v>3146</v>
      </c>
      <c r="AE344" s="84">
        <v>43713</v>
      </c>
      <c r="AF344" s="83">
        <v>44258</v>
      </c>
      <c r="AG344" s="33">
        <f t="shared" si="112"/>
        <v>545</v>
      </c>
      <c r="AH344" s="41" t="s">
        <v>3148</v>
      </c>
    </row>
    <row r="345" spans="1:46" s="248" customFormat="1" ht="16.5" customHeight="1">
      <c r="A345" s="143"/>
      <c r="B345" s="79">
        <v>62</v>
      </c>
      <c r="C345" s="79">
        <v>118</v>
      </c>
      <c r="D345" s="79">
        <v>62</v>
      </c>
      <c r="E345" s="79">
        <v>118</v>
      </c>
      <c r="F345" s="6">
        <v>0.45</v>
      </c>
      <c r="G345" s="79">
        <v>2489</v>
      </c>
      <c r="H345" s="50" t="s">
        <v>3147</v>
      </c>
      <c r="I345" s="153" t="s">
        <v>3146</v>
      </c>
      <c r="J345" s="8">
        <f>IFERROR(VLOOKUP($G345,今日總結!$A:$AJ,33,0),"")</f>
        <v>0</v>
      </c>
      <c r="K345" s="5">
        <f>IFERROR(VLOOKUP($G345,今日總結!$A:$AJ,34,0),"")</f>
        <v>1</v>
      </c>
      <c r="L345" s="156">
        <f>IFERROR(VLOOKUP($G345,今日總結!$A:$AJ,31,0),"")</f>
        <v>0</v>
      </c>
      <c r="M345" s="340">
        <f>IFERROR(VLOOKUP($G345,今日總結!$A:$AJ,32,0),"")</f>
        <v>0</v>
      </c>
      <c r="N345" s="240">
        <f t="shared" si="111"/>
        <v>0</v>
      </c>
      <c r="O345" s="245"/>
      <c r="P345" s="365">
        <f>IFERROR(VLOOKUP($G345,融外自投!$A:$J,7,0),"無")</f>
        <v>804</v>
      </c>
      <c r="Q345" s="79">
        <f>IFERROR(VLOOKUP($G345,融外自投!$A:$J,9,0),"無")</f>
        <v>459</v>
      </c>
      <c r="R345" s="346">
        <f>IFERROR(VLOOKUP($G345,融外自投!$A:$J,8,0),"無")</f>
        <v>456</v>
      </c>
      <c r="S345" s="81" t="str">
        <f>IFERROR(VLOOKUP($G345,融外自投!$A:$J,10,0),"無")</f>
        <v>無</v>
      </c>
      <c r="T345" s="327">
        <f>IFERROR(VLOOKUP($G345,'321買'!$A:$E,5,0),"'沒有資料'")</f>
        <v>349</v>
      </c>
      <c r="U345" s="185">
        <v>0</v>
      </c>
      <c r="V345" s="311"/>
      <c r="W345" s="94">
        <f t="shared" si="115"/>
        <v>0</v>
      </c>
      <c r="X345" s="161">
        <v>12.75</v>
      </c>
      <c r="Y345" s="65">
        <v>10.7</v>
      </c>
      <c r="Z345" s="162">
        <f t="shared" si="113"/>
        <v>2.0500000000000007</v>
      </c>
      <c r="AA345" s="158">
        <f t="shared" si="114"/>
        <v>0.19158878504672905</v>
      </c>
      <c r="AB345" s="111" t="s">
        <v>3149</v>
      </c>
      <c r="AC345" s="382"/>
      <c r="AD345" s="153" t="s">
        <v>3146</v>
      </c>
      <c r="AE345" s="84">
        <v>43791</v>
      </c>
      <c r="AF345" s="83">
        <v>44258</v>
      </c>
      <c r="AG345" s="33">
        <f t="shared" si="112"/>
        <v>467</v>
      </c>
      <c r="AH345" s="41" t="s">
        <v>3148</v>
      </c>
    </row>
    <row r="346" spans="1:46" s="248" customFormat="1" ht="16.5" customHeight="1">
      <c r="A346" s="143"/>
      <c r="B346" s="79">
        <v>62</v>
      </c>
      <c r="C346" s="79">
        <v>118</v>
      </c>
      <c r="D346" s="79">
        <v>62</v>
      </c>
      <c r="E346" s="79">
        <v>118</v>
      </c>
      <c r="F346" s="6">
        <v>0.45</v>
      </c>
      <c r="G346" s="79">
        <v>2489</v>
      </c>
      <c r="H346" s="50" t="s">
        <v>3147</v>
      </c>
      <c r="I346" s="153" t="s">
        <v>3146</v>
      </c>
      <c r="J346" s="8">
        <f>IFERROR(VLOOKUP($G346,今日總結!$A:$AJ,33,0),"")</f>
        <v>0</v>
      </c>
      <c r="K346" s="5">
        <f>IFERROR(VLOOKUP($G346,今日總結!$A:$AJ,34,0),"")</f>
        <v>1</v>
      </c>
      <c r="L346" s="156">
        <f>IFERROR(VLOOKUP($G346,今日總結!$A:$AJ,31,0),"")</f>
        <v>0</v>
      </c>
      <c r="M346" s="340">
        <f>IFERROR(VLOOKUP($G346,今日總結!$A:$AJ,32,0),"")</f>
        <v>0</v>
      </c>
      <c r="N346" s="240">
        <f t="shared" si="111"/>
        <v>0</v>
      </c>
      <c r="O346" s="245"/>
      <c r="P346" s="365">
        <f>IFERROR(VLOOKUP($G346,融外自投!$A:$J,7,0),"無")</f>
        <v>804</v>
      </c>
      <c r="Q346" s="79">
        <f>IFERROR(VLOOKUP($G346,融外自投!$A:$J,9,0),"無")</f>
        <v>459</v>
      </c>
      <c r="R346" s="346">
        <f>IFERROR(VLOOKUP($G346,融外自投!$A:$J,8,0),"無")</f>
        <v>456</v>
      </c>
      <c r="S346" s="81" t="str">
        <f>IFERROR(VLOOKUP($G346,融外自投!$A:$J,10,0),"無")</f>
        <v>無</v>
      </c>
      <c r="T346" s="327">
        <f>IFERROR(VLOOKUP($G346,'321買'!$A:$E,5,0),"'沒有資料'")</f>
        <v>349</v>
      </c>
      <c r="U346" s="185">
        <v>0</v>
      </c>
      <c r="V346" s="311"/>
      <c r="W346" s="94">
        <f t="shared" si="115"/>
        <v>0</v>
      </c>
      <c r="X346" s="161">
        <v>12.75</v>
      </c>
      <c r="Y346" s="65">
        <v>10.65</v>
      </c>
      <c r="Z346" s="162">
        <f t="shared" si="113"/>
        <v>2.0999999999999996</v>
      </c>
      <c r="AA346" s="158">
        <f t="shared" si="114"/>
        <v>0.19718309859154926</v>
      </c>
      <c r="AB346" s="111" t="s">
        <v>3150</v>
      </c>
      <c r="AC346" s="382"/>
      <c r="AD346" s="153" t="s">
        <v>3146</v>
      </c>
      <c r="AE346" s="84">
        <v>43791</v>
      </c>
      <c r="AF346" s="83">
        <v>44258</v>
      </c>
      <c r="AG346" s="33">
        <f t="shared" si="112"/>
        <v>467</v>
      </c>
      <c r="AH346" s="41" t="s">
        <v>3148</v>
      </c>
    </row>
    <row r="347" spans="1:46" s="248" customFormat="1">
      <c r="A347" s="127" t="s">
        <v>3151</v>
      </c>
      <c r="B347" s="80">
        <v>-16</v>
      </c>
      <c r="C347" s="80">
        <v>-15</v>
      </c>
      <c r="D347" s="79">
        <v>6</v>
      </c>
      <c r="E347" s="79">
        <v>14</v>
      </c>
      <c r="F347" s="57">
        <v>21.2</v>
      </c>
      <c r="G347" s="79">
        <v>6147</v>
      </c>
      <c r="H347" s="30" t="s">
        <v>3154</v>
      </c>
      <c r="I347" s="166" t="s">
        <v>3152</v>
      </c>
      <c r="J347" s="8" t="str">
        <f>IFERROR(VLOOKUP($G347,今日總結!$A:$AJ,33,0),"")</f>
        <v/>
      </c>
      <c r="K347" s="5" t="str">
        <f>IFERROR(VLOOKUP($G347,今日總結!$A:$AJ,34,0),"")</f>
        <v/>
      </c>
      <c r="L347" s="156" t="str">
        <f>IFERROR(VLOOKUP($G347,今日總結!$A:$AJ,31,0),"")</f>
        <v/>
      </c>
      <c r="M347" s="340" t="str">
        <f>IFERROR(VLOOKUP($G347,今日總結!$A:$AJ,32,0),"")</f>
        <v/>
      </c>
      <c r="N347" s="240" t="str">
        <f t="shared" si="111"/>
        <v/>
      </c>
      <c r="O347" s="245"/>
      <c r="P347" s="365">
        <f>IFERROR(VLOOKUP($G347,融外自投!$A:$J,7,0),"無")</f>
        <v>803</v>
      </c>
      <c r="Q347" s="79">
        <f>IFERROR(VLOOKUP($G347,融外自投!$A:$J,9,0),"無")</f>
        <v>292</v>
      </c>
      <c r="R347" s="346">
        <f>IFERROR(VLOOKUP($G347,融外自投!$A:$J,8,0),"無")</f>
        <v>242</v>
      </c>
      <c r="S347" s="81">
        <f>IFERROR(VLOOKUP($G347,融外自投!$A:$J,10,0),"無")</f>
        <v>90</v>
      </c>
      <c r="T347" s="327">
        <f>IFERROR(VLOOKUP($G347,'321買'!$A:$E,5,0),"'沒有資料'")</f>
        <v>131</v>
      </c>
      <c r="U347" s="65">
        <v>4.2</v>
      </c>
      <c r="V347" s="311"/>
      <c r="W347" s="39">
        <f>U347/X347</f>
        <v>5.5118110236220472E-2</v>
      </c>
      <c r="X347" s="165">
        <v>76.2</v>
      </c>
      <c r="Y347" s="65">
        <v>73</v>
      </c>
      <c r="Z347" s="162">
        <f t="shared" si="113"/>
        <v>3.2000000000000028</v>
      </c>
      <c r="AA347" s="158">
        <f t="shared" si="114"/>
        <v>4.3835616438356206E-2</v>
      </c>
      <c r="AB347" s="184" t="s">
        <v>3153</v>
      </c>
      <c r="AC347" s="382"/>
      <c r="AD347" s="166" t="s">
        <v>3152</v>
      </c>
      <c r="AE347" s="84">
        <v>44246</v>
      </c>
      <c r="AF347" s="83">
        <v>44257</v>
      </c>
      <c r="AG347" s="33">
        <f t="shared" si="112"/>
        <v>11</v>
      </c>
      <c r="AH347" s="41" t="s">
        <v>3148</v>
      </c>
    </row>
    <row r="348" spans="1:46" s="248" customFormat="1">
      <c r="A348" s="127" t="s">
        <v>3151</v>
      </c>
      <c r="B348" s="80">
        <v>-16</v>
      </c>
      <c r="C348" s="80">
        <v>-15</v>
      </c>
      <c r="D348" s="79">
        <v>6</v>
      </c>
      <c r="E348" s="79">
        <v>14</v>
      </c>
      <c r="F348" s="57">
        <v>21.2</v>
      </c>
      <c r="G348" s="79">
        <v>6147</v>
      </c>
      <c r="H348" s="30" t="s">
        <v>3120</v>
      </c>
      <c r="I348" s="166" t="s">
        <v>3152</v>
      </c>
      <c r="J348" s="8" t="str">
        <f>IFERROR(VLOOKUP($G348,今日總結!$A:$AJ,33,0),"")</f>
        <v/>
      </c>
      <c r="K348" s="5" t="str">
        <f>IFERROR(VLOOKUP($G348,今日總結!$A:$AJ,34,0),"")</f>
        <v/>
      </c>
      <c r="L348" s="156" t="str">
        <f>IFERROR(VLOOKUP($G348,今日總結!$A:$AJ,31,0),"")</f>
        <v/>
      </c>
      <c r="M348" s="340" t="str">
        <f>IFERROR(VLOOKUP($G348,今日總結!$A:$AJ,32,0),"")</f>
        <v/>
      </c>
      <c r="N348" s="240" t="str">
        <f t="shared" si="111"/>
        <v/>
      </c>
      <c r="O348" s="245"/>
      <c r="P348" s="365">
        <f>IFERROR(VLOOKUP($G348,融外自投!$A:$J,7,0),"無")</f>
        <v>803</v>
      </c>
      <c r="Q348" s="79">
        <f>IFERROR(VLOOKUP($G348,融外自投!$A:$J,9,0),"無")</f>
        <v>292</v>
      </c>
      <c r="R348" s="346">
        <f>IFERROR(VLOOKUP($G348,融外自投!$A:$J,8,0),"無")</f>
        <v>242</v>
      </c>
      <c r="S348" s="81">
        <f>IFERROR(VLOOKUP($G348,融外自投!$A:$J,10,0),"無")</f>
        <v>90</v>
      </c>
      <c r="T348" s="327">
        <f>IFERROR(VLOOKUP($G348,'321買'!$A:$E,5,0),"'沒有資料'")</f>
        <v>131</v>
      </c>
      <c r="U348" s="65">
        <v>4.2</v>
      </c>
      <c r="V348" s="311"/>
      <c r="W348" s="39">
        <f>U348/X348</f>
        <v>5.5118110236220472E-2</v>
      </c>
      <c r="X348" s="165">
        <v>76.2</v>
      </c>
      <c r="Y348" s="65">
        <v>76</v>
      </c>
      <c r="Z348" s="162">
        <f t="shared" si="113"/>
        <v>0.20000000000000284</v>
      </c>
      <c r="AA348" s="158">
        <f t="shared" si="114"/>
        <v>2.6315789473684583E-3</v>
      </c>
      <c r="AB348" s="184" t="s">
        <v>3155</v>
      </c>
      <c r="AC348" s="382"/>
      <c r="AD348" s="166" t="s">
        <v>3112</v>
      </c>
      <c r="AE348" s="84">
        <v>44222</v>
      </c>
      <c r="AF348" s="83">
        <v>44257</v>
      </c>
      <c r="AG348" s="33">
        <f t="shared" si="112"/>
        <v>35</v>
      </c>
      <c r="AH348" s="41" t="s">
        <v>3110</v>
      </c>
    </row>
    <row r="349" spans="1:46" s="248" customFormat="1">
      <c r="A349" s="127"/>
      <c r="B349" s="80"/>
      <c r="C349" s="80"/>
      <c r="D349" s="80"/>
      <c r="E349" s="79"/>
      <c r="F349" s="57"/>
      <c r="G349" s="41"/>
      <c r="H349" s="54"/>
      <c r="I349" s="156"/>
      <c r="J349" s="1"/>
      <c r="K349" s="1"/>
      <c r="L349" s="123"/>
      <c r="M349" s="234"/>
      <c r="N349" s="341"/>
      <c r="O349" s="245"/>
      <c r="P349" s="89"/>
      <c r="Q349" s="73"/>
      <c r="R349" s="354"/>
      <c r="S349" s="303"/>
      <c r="T349" s="322"/>
      <c r="U349" s="65"/>
      <c r="V349" s="311"/>
      <c r="W349" s="39"/>
      <c r="X349" s="161">
        <f>SUM(X323:X348)</f>
        <v>1672.55</v>
      </c>
      <c r="Y349" s="65">
        <f>SUM(Y323:Y348)</f>
        <v>1594.8200000000004</v>
      </c>
      <c r="Z349" s="162">
        <f>SUM(Z323:Z348)</f>
        <v>77.729999999999961</v>
      </c>
      <c r="AA349" s="158">
        <f>Z349/Y349</f>
        <v>4.8739042650581224E-2</v>
      </c>
      <c r="AB349" s="177"/>
      <c r="AC349" s="382"/>
      <c r="AD349" s="153">
        <f>X349*(0.001425*0.65)+X349*0.003+Y349*(0.001425*0.65)</f>
        <v>8.0440514625000006</v>
      </c>
      <c r="AE349" s="6">
        <f>Z349-AD349</f>
        <v>69.685948537499968</v>
      </c>
      <c r="AF349" s="72"/>
      <c r="AG349" s="116"/>
      <c r="AH349" s="41"/>
    </row>
    <row r="350" spans="1:46" s="248" customFormat="1">
      <c r="A350" s="127"/>
      <c r="B350" s="80"/>
      <c r="C350" s="80"/>
      <c r="D350" s="80"/>
      <c r="E350" s="79"/>
      <c r="F350" s="57"/>
      <c r="G350" s="41"/>
      <c r="H350" s="54"/>
      <c r="I350" s="156"/>
      <c r="J350" s="1"/>
      <c r="K350" s="1"/>
      <c r="L350" s="123"/>
      <c r="M350" s="234"/>
      <c r="N350" s="341"/>
      <c r="O350" s="245"/>
      <c r="P350" s="89"/>
      <c r="Q350" s="73"/>
      <c r="R350" s="354"/>
      <c r="S350" s="303"/>
      <c r="T350" s="322"/>
      <c r="U350" s="65"/>
      <c r="V350" s="311"/>
      <c r="W350" s="39"/>
      <c r="X350" s="165"/>
      <c r="Y350" s="155"/>
      <c r="Z350" s="162"/>
      <c r="AA350" s="158"/>
      <c r="AB350" s="177"/>
      <c r="AC350" s="382"/>
      <c r="AD350" s="153">
        <f>X349*(0.001425*0.28)+X349*0.003+Y349*(0.001425*0.28)</f>
        <v>6.3213306300000003</v>
      </c>
      <c r="AE350" s="71"/>
      <c r="AF350" s="72"/>
      <c r="AG350" s="116"/>
      <c r="AH350" s="41"/>
    </row>
    <row r="351" spans="1:46">
      <c r="B351" s="79"/>
      <c r="C351" s="79"/>
      <c r="D351" s="79"/>
      <c r="E351" s="79"/>
      <c r="F351" s="6"/>
      <c r="G351" s="41"/>
      <c r="H351" s="8"/>
      <c r="I351" s="22"/>
      <c r="L351" s="123"/>
      <c r="U351" s="34"/>
      <c r="W351" s="94"/>
      <c r="X351" s="13"/>
      <c r="Y351" s="45"/>
      <c r="Z351" s="15"/>
      <c r="AA351" s="76"/>
      <c r="AB351" s="113"/>
      <c r="AD351" s="22"/>
      <c r="AG351" s="33"/>
    </row>
    <row r="352" spans="1:46" s="255" customFormat="1">
      <c r="A352" s="127" t="s">
        <v>1673</v>
      </c>
      <c r="B352" s="90" t="s">
        <v>1572</v>
      </c>
      <c r="C352" s="90" t="s">
        <v>1573</v>
      </c>
      <c r="D352" s="90" t="s">
        <v>1574</v>
      </c>
      <c r="E352" s="90" t="s">
        <v>1575</v>
      </c>
      <c r="F352" s="8" t="s">
        <v>1060</v>
      </c>
      <c r="G352" s="26" t="s">
        <v>3442</v>
      </c>
      <c r="H352" s="55" t="s">
        <v>320</v>
      </c>
      <c r="I352" s="1" t="s">
        <v>69</v>
      </c>
      <c r="J352" s="1"/>
      <c r="K352" s="1"/>
      <c r="L352" s="245"/>
      <c r="M352" s="234"/>
      <c r="N352" s="341"/>
      <c r="O352" s="245"/>
      <c r="P352" s="89"/>
      <c r="Q352" s="73"/>
      <c r="R352" s="354"/>
      <c r="S352" s="104" t="s">
        <v>3443</v>
      </c>
      <c r="T352" s="321" t="s">
        <v>3339</v>
      </c>
      <c r="U352" s="14" t="s">
        <v>66</v>
      </c>
      <c r="V352" s="311"/>
      <c r="W352" s="68" t="s">
        <v>3273</v>
      </c>
      <c r="X352" s="28" t="s">
        <v>2</v>
      </c>
      <c r="Y352" s="17" t="s">
        <v>1399</v>
      </c>
      <c r="Z352" s="14" t="s">
        <v>5</v>
      </c>
      <c r="AA352" s="21" t="s">
        <v>3</v>
      </c>
      <c r="AB352" s="25" t="s">
        <v>105</v>
      </c>
      <c r="AC352" s="382"/>
      <c r="AD352" s="1" t="s">
        <v>69</v>
      </c>
      <c r="AE352" s="71" t="s">
        <v>1400</v>
      </c>
      <c r="AF352" s="72" t="s">
        <v>1157</v>
      </c>
      <c r="AG352" s="32" t="s">
        <v>1158</v>
      </c>
      <c r="AH352" s="46" t="s">
        <v>3049</v>
      </c>
      <c r="AI352" s="163"/>
    </row>
    <row r="353" spans="1:35" s="248" customFormat="1">
      <c r="A353" s="127" t="s">
        <v>1653</v>
      </c>
      <c r="B353" s="79">
        <v>969</v>
      </c>
      <c r="C353" s="92">
        <v>2455</v>
      </c>
      <c r="D353" s="79">
        <v>5</v>
      </c>
      <c r="E353" s="80">
        <v>-3</v>
      </c>
      <c r="F353" s="57">
        <v>13.31</v>
      </c>
      <c r="G353" s="79">
        <v>2368</v>
      </c>
      <c r="H353" s="30" t="s">
        <v>1462</v>
      </c>
      <c r="I353" s="153" t="s">
        <v>387</v>
      </c>
      <c r="J353" s="8">
        <f>IFERROR(VLOOKUP($G353,今日總結!$A:$AJ,33,0),"")</f>
        <v>0</v>
      </c>
      <c r="K353" s="5">
        <f>IFERROR(VLOOKUP($G353,今日總結!$A:$AJ,34,0),"")</f>
        <v>1</v>
      </c>
      <c r="L353" s="156">
        <f>IFERROR(VLOOKUP($G353,今日總結!$A:$AJ,31,0),"")</f>
        <v>0</v>
      </c>
      <c r="M353" s="340">
        <f>IFERROR(VLOOKUP($G353,今日總結!$A:$AJ,32,0),"")</f>
        <v>0</v>
      </c>
      <c r="N353" s="240">
        <f t="shared" ref="N353" si="116">IFERROR(L353-M353,"")</f>
        <v>0</v>
      </c>
      <c r="O353" s="245"/>
      <c r="P353" s="365">
        <f>IFERROR(VLOOKUP($G353,融外自投!$A:$J,7,0),"無")</f>
        <v>647</v>
      </c>
      <c r="Q353" s="79">
        <f>IFERROR(VLOOKUP($G353,融外自投!$A:$J,9,0),"無")</f>
        <v>226</v>
      </c>
      <c r="R353" s="346">
        <f>IFERROR(VLOOKUP($G353,融外自投!$A:$J,8,0),"無")</f>
        <v>320</v>
      </c>
      <c r="S353" s="81">
        <f>IFERROR(VLOOKUP($G353,融外自投!$A:$J,10,0),"無")</f>
        <v>8</v>
      </c>
      <c r="T353" s="327">
        <f>IFERROR(VLOOKUP($G353,'321買'!$A:$E,5,0),"'沒有資料'")</f>
        <v>38</v>
      </c>
      <c r="U353" s="185">
        <v>0</v>
      </c>
      <c r="V353" s="311"/>
      <c r="W353" s="57">
        <f>U353/X353</f>
        <v>0</v>
      </c>
      <c r="X353" s="161">
        <v>57.6</v>
      </c>
      <c r="Y353" s="65">
        <v>54.5</v>
      </c>
      <c r="Z353" s="162">
        <f t="shared" ref="Z353:Z369" si="117">X353-Y353</f>
        <v>3.1000000000000014</v>
      </c>
      <c r="AA353" s="158">
        <f t="shared" ref="AA353:AA369" si="118">Z353/Y353</f>
        <v>5.6880733944954152E-2</v>
      </c>
      <c r="AB353" s="184" t="s">
        <v>3058</v>
      </c>
      <c r="AC353" s="382"/>
      <c r="AD353" s="153" t="s">
        <v>387</v>
      </c>
      <c r="AE353" s="84">
        <v>44225</v>
      </c>
      <c r="AF353" s="83">
        <v>44251</v>
      </c>
      <c r="AG353" s="33">
        <f t="shared" ref="AG353:AG362" si="119">AF353-AE353</f>
        <v>26</v>
      </c>
      <c r="AH353" s="41" t="s">
        <v>2153</v>
      </c>
      <c r="AI353" s="117"/>
    </row>
    <row r="354" spans="1:35" s="248" customFormat="1">
      <c r="A354" s="127" t="s">
        <v>1653</v>
      </c>
      <c r="B354" s="79">
        <v>969</v>
      </c>
      <c r="C354" s="92">
        <v>2455</v>
      </c>
      <c r="D354" s="79">
        <v>5</v>
      </c>
      <c r="E354" s="80">
        <v>-3</v>
      </c>
      <c r="F354" s="57">
        <v>13.31</v>
      </c>
      <c r="G354" s="79">
        <v>2368</v>
      </c>
      <c r="H354" s="30" t="s">
        <v>1462</v>
      </c>
      <c r="I354" s="153" t="s">
        <v>387</v>
      </c>
      <c r="J354" s="8">
        <f>IFERROR(VLOOKUP($G354,今日總結!$A:$AJ,33,0),"")</f>
        <v>0</v>
      </c>
      <c r="K354" s="5">
        <f>IFERROR(VLOOKUP($G354,今日總結!$A:$AJ,34,0),"")</f>
        <v>1</v>
      </c>
      <c r="L354" s="156">
        <f>IFERROR(VLOOKUP($G354,今日總結!$A:$AJ,31,0),"")</f>
        <v>0</v>
      </c>
      <c r="M354" s="340">
        <f>IFERROR(VLOOKUP($G354,今日總結!$A:$AJ,32,0),"")</f>
        <v>0</v>
      </c>
      <c r="N354" s="240">
        <f t="shared" ref="N354:N369" si="120">IFERROR(L354-M354,"")</f>
        <v>0</v>
      </c>
      <c r="O354" s="245"/>
      <c r="P354" s="365">
        <f>IFERROR(VLOOKUP($G354,融外自投!$A:$J,7,0),"無")</f>
        <v>647</v>
      </c>
      <c r="Q354" s="79">
        <f>IFERROR(VLOOKUP($G354,融外自投!$A:$J,9,0),"無")</f>
        <v>226</v>
      </c>
      <c r="R354" s="346">
        <f>IFERROR(VLOOKUP($G354,融外自投!$A:$J,8,0),"無")</f>
        <v>320</v>
      </c>
      <c r="S354" s="81">
        <f>IFERROR(VLOOKUP($G354,融外自投!$A:$J,10,0),"無")</f>
        <v>8</v>
      </c>
      <c r="T354" s="327">
        <f>IFERROR(VLOOKUP($G354,'321買'!$A:$E,5,0),"'沒有資料'")</f>
        <v>38</v>
      </c>
      <c r="U354" s="185">
        <v>0</v>
      </c>
      <c r="V354" s="311"/>
      <c r="W354" s="57">
        <f>U354/X354</f>
        <v>0</v>
      </c>
      <c r="X354" s="161">
        <v>57.6</v>
      </c>
      <c r="Y354" s="65">
        <v>57.9</v>
      </c>
      <c r="Z354" s="162">
        <f t="shared" si="117"/>
        <v>-0.29999999999999716</v>
      </c>
      <c r="AA354" s="164">
        <f t="shared" si="118"/>
        <v>-5.1813471502590181E-3</v>
      </c>
      <c r="AB354" s="196" t="s">
        <v>3059</v>
      </c>
      <c r="AC354" s="382"/>
      <c r="AD354" s="153" t="s">
        <v>387</v>
      </c>
      <c r="AE354" s="84">
        <v>44214</v>
      </c>
      <c r="AF354" s="83">
        <v>44251</v>
      </c>
      <c r="AG354" s="33">
        <f t="shared" si="119"/>
        <v>37</v>
      </c>
      <c r="AH354" s="41" t="s">
        <v>2153</v>
      </c>
      <c r="AI354" s="117"/>
    </row>
    <row r="355" spans="1:35" s="248" customFormat="1">
      <c r="A355" s="127" t="s">
        <v>3047</v>
      </c>
      <c r="B355" s="79">
        <v>9</v>
      </c>
      <c r="C355" s="79">
        <v>9</v>
      </c>
      <c r="D355" s="79">
        <v>5</v>
      </c>
      <c r="E355" s="80">
        <v>-6</v>
      </c>
      <c r="F355" s="57">
        <v>27.77</v>
      </c>
      <c r="G355" s="79">
        <v>1101</v>
      </c>
      <c r="H355" s="30" t="s">
        <v>1462</v>
      </c>
      <c r="I355" s="153" t="s">
        <v>274</v>
      </c>
      <c r="J355" s="8">
        <f>IFERROR(VLOOKUP($G355,今日總結!$A:$AJ,33,0),"")</f>
        <v>1</v>
      </c>
      <c r="K355" s="5">
        <f>IFERROR(VLOOKUP($G355,今日總結!$A:$AJ,34,0),"")</f>
        <v>1</v>
      </c>
      <c r="L355" s="156">
        <f>IFERROR(VLOOKUP($G355,今日總結!$A:$AJ,31,0),"")</f>
        <v>0</v>
      </c>
      <c r="M355" s="340">
        <f>IFERROR(VLOOKUP($G355,今日總結!$A:$AJ,32,0),"")</f>
        <v>0</v>
      </c>
      <c r="N355" s="240">
        <f t="shared" si="120"/>
        <v>0</v>
      </c>
      <c r="O355" s="245"/>
      <c r="P355" s="365">
        <f>IFERROR(VLOOKUP($G355,融外自投!$A:$J,7,0),"無")</f>
        <v>1342</v>
      </c>
      <c r="Q355" s="79">
        <f>IFERROR(VLOOKUP($G355,融外自投!$A:$J,9,0),"無")</f>
        <v>80</v>
      </c>
      <c r="R355" s="346">
        <f>IFERROR(VLOOKUP($G355,融外自投!$A:$J,8,0),"無")</f>
        <v>264</v>
      </c>
      <c r="S355" s="81">
        <f>IFERROR(VLOOKUP($G355,融外自投!$A:$J,10,0),"無")</f>
        <v>80</v>
      </c>
      <c r="T355" s="327">
        <f>IFERROR(VLOOKUP($G355,'321買'!$A:$E,5,0),"'沒有資料'")</f>
        <v>10</v>
      </c>
      <c r="U355" s="185">
        <v>3</v>
      </c>
      <c r="V355" s="311"/>
      <c r="W355" s="94">
        <f t="shared" ref="W355:W369" si="121">U355/X355</f>
        <v>7.0754716981132074E-2</v>
      </c>
      <c r="X355" s="161">
        <v>42.4</v>
      </c>
      <c r="Y355" s="65">
        <v>40.4</v>
      </c>
      <c r="Z355" s="162">
        <f t="shared" si="117"/>
        <v>2</v>
      </c>
      <c r="AA355" s="158">
        <f t="shared" si="118"/>
        <v>4.9504950495049507E-2</v>
      </c>
      <c r="AB355" s="184" t="s">
        <v>3009</v>
      </c>
      <c r="AC355" s="382"/>
      <c r="AD355" s="153" t="s">
        <v>274</v>
      </c>
      <c r="AE355" s="84">
        <v>44223</v>
      </c>
      <c r="AF355" s="83">
        <v>44251</v>
      </c>
      <c r="AG355" s="33">
        <f t="shared" si="119"/>
        <v>28</v>
      </c>
      <c r="AH355" s="41" t="s">
        <v>1122</v>
      </c>
      <c r="AI355" s="163"/>
    </row>
    <row r="356" spans="1:35" s="248" customFormat="1">
      <c r="A356" s="127" t="s">
        <v>3047</v>
      </c>
      <c r="B356" s="79">
        <v>9</v>
      </c>
      <c r="C356" s="79">
        <v>9</v>
      </c>
      <c r="D356" s="79">
        <v>5</v>
      </c>
      <c r="E356" s="80">
        <v>-6</v>
      </c>
      <c r="F356" s="57">
        <v>27.77</v>
      </c>
      <c r="G356" s="79">
        <v>1101</v>
      </c>
      <c r="H356" s="30" t="s">
        <v>1462</v>
      </c>
      <c r="I356" s="153" t="s">
        <v>274</v>
      </c>
      <c r="J356" s="8">
        <f>IFERROR(VLOOKUP($G356,今日總結!$A:$AJ,33,0),"")</f>
        <v>1</v>
      </c>
      <c r="K356" s="5">
        <f>IFERROR(VLOOKUP($G356,今日總結!$A:$AJ,34,0),"")</f>
        <v>1</v>
      </c>
      <c r="L356" s="156">
        <f>IFERROR(VLOOKUP($G356,今日總結!$A:$AJ,31,0),"")</f>
        <v>0</v>
      </c>
      <c r="M356" s="340">
        <f>IFERROR(VLOOKUP($G356,今日總結!$A:$AJ,32,0),"")</f>
        <v>0</v>
      </c>
      <c r="N356" s="240">
        <f t="shared" si="120"/>
        <v>0</v>
      </c>
      <c r="O356" s="245"/>
      <c r="P356" s="365">
        <f>IFERROR(VLOOKUP($G356,融外自投!$A:$J,7,0),"無")</f>
        <v>1342</v>
      </c>
      <c r="Q356" s="79">
        <f>IFERROR(VLOOKUP($G356,融外自投!$A:$J,9,0),"無")</f>
        <v>80</v>
      </c>
      <c r="R356" s="346">
        <f>IFERROR(VLOOKUP($G356,融外自投!$A:$J,8,0),"無")</f>
        <v>264</v>
      </c>
      <c r="S356" s="81">
        <f>IFERROR(VLOOKUP($G356,融外自投!$A:$J,10,0),"無")</f>
        <v>80</v>
      </c>
      <c r="T356" s="327">
        <f>IFERROR(VLOOKUP($G356,'321買'!$A:$E,5,0),"'沒有資料'")</f>
        <v>10</v>
      </c>
      <c r="U356" s="185">
        <v>3</v>
      </c>
      <c r="V356" s="311"/>
      <c r="W356" s="94">
        <f t="shared" si="121"/>
        <v>7.0754716981132074E-2</v>
      </c>
      <c r="X356" s="161">
        <v>42.4</v>
      </c>
      <c r="Y356" s="65">
        <v>40.4</v>
      </c>
      <c r="Z356" s="162">
        <f t="shared" si="117"/>
        <v>2</v>
      </c>
      <c r="AA356" s="158">
        <f t="shared" si="118"/>
        <v>4.9504950495049507E-2</v>
      </c>
      <c r="AB356" s="184" t="s">
        <v>3009</v>
      </c>
      <c r="AC356" s="382"/>
      <c r="AD356" s="153" t="s">
        <v>274</v>
      </c>
      <c r="AE356" s="84">
        <v>44223</v>
      </c>
      <c r="AF356" s="83">
        <v>44251</v>
      </c>
      <c r="AG356" s="33">
        <f t="shared" si="119"/>
        <v>28</v>
      </c>
      <c r="AH356" s="41" t="s">
        <v>1122</v>
      </c>
      <c r="AI356" s="163"/>
    </row>
    <row r="357" spans="1:35" s="248" customFormat="1">
      <c r="A357" s="127" t="s">
        <v>3047</v>
      </c>
      <c r="B357" s="79">
        <v>9</v>
      </c>
      <c r="C357" s="79">
        <v>9</v>
      </c>
      <c r="D357" s="79">
        <v>5</v>
      </c>
      <c r="E357" s="80">
        <v>-6</v>
      </c>
      <c r="F357" s="57">
        <v>27.77</v>
      </c>
      <c r="G357" s="79">
        <v>1101</v>
      </c>
      <c r="H357" s="30" t="s">
        <v>1462</v>
      </c>
      <c r="I357" s="153" t="s">
        <v>274</v>
      </c>
      <c r="J357" s="8">
        <f>IFERROR(VLOOKUP($G357,今日總結!$A:$AJ,33,0),"")</f>
        <v>1</v>
      </c>
      <c r="K357" s="5">
        <f>IFERROR(VLOOKUP($G357,今日總結!$A:$AJ,34,0),"")</f>
        <v>1</v>
      </c>
      <c r="L357" s="156">
        <f>IFERROR(VLOOKUP($G357,今日總結!$A:$AJ,31,0),"")</f>
        <v>0</v>
      </c>
      <c r="M357" s="340">
        <f>IFERROR(VLOOKUP($G357,今日總結!$A:$AJ,32,0),"")</f>
        <v>0</v>
      </c>
      <c r="N357" s="240">
        <f t="shared" si="120"/>
        <v>0</v>
      </c>
      <c r="O357" s="245"/>
      <c r="P357" s="365">
        <f>IFERROR(VLOOKUP($G357,融外自投!$A:$J,7,0),"無")</f>
        <v>1342</v>
      </c>
      <c r="Q357" s="79">
        <f>IFERROR(VLOOKUP($G357,融外自投!$A:$J,9,0),"無")</f>
        <v>80</v>
      </c>
      <c r="R357" s="346">
        <f>IFERROR(VLOOKUP($G357,融外自投!$A:$J,8,0),"無")</f>
        <v>264</v>
      </c>
      <c r="S357" s="81">
        <f>IFERROR(VLOOKUP($G357,融外自投!$A:$J,10,0),"無")</f>
        <v>80</v>
      </c>
      <c r="T357" s="327">
        <f>IFERROR(VLOOKUP($G357,'321買'!$A:$E,5,0),"'沒有資料'")</f>
        <v>10</v>
      </c>
      <c r="U357" s="185">
        <v>3</v>
      </c>
      <c r="V357" s="311"/>
      <c r="W357" s="94">
        <f t="shared" si="121"/>
        <v>7.0754716981132074E-2</v>
      </c>
      <c r="X357" s="161">
        <v>42.4</v>
      </c>
      <c r="Y357" s="65">
        <v>42.7</v>
      </c>
      <c r="Z357" s="162">
        <f t="shared" si="117"/>
        <v>-0.30000000000000426</v>
      </c>
      <c r="AA357" s="164">
        <f t="shared" si="118"/>
        <v>-7.0257611241218796E-3</v>
      </c>
      <c r="AB357" s="196" t="s">
        <v>3050</v>
      </c>
      <c r="AC357" s="382"/>
      <c r="AD357" s="153" t="s">
        <v>274</v>
      </c>
      <c r="AE357" s="84">
        <v>44188</v>
      </c>
      <c r="AF357" s="83">
        <v>44251</v>
      </c>
      <c r="AG357" s="33">
        <f t="shared" si="119"/>
        <v>63</v>
      </c>
      <c r="AH357" s="41" t="s">
        <v>1122</v>
      </c>
      <c r="AI357" s="163"/>
    </row>
    <row r="358" spans="1:35" s="248" customFormat="1">
      <c r="A358" s="127" t="s">
        <v>3047</v>
      </c>
      <c r="B358" s="79">
        <v>9</v>
      </c>
      <c r="C358" s="79">
        <v>9</v>
      </c>
      <c r="D358" s="79">
        <v>5</v>
      </c>
      <c r="E358" s="80">
        <v>-6</v>
      </c>
      <c r="F358" s="57">
        <v>27.77</v>
      </c>
      <c r="G358" s="79">
        <v>1101</v>
      </c>
      <c r="H358" s="30" t="s">
        <v>1462</v>
      </c>
      <c r="I358" s="153" t="s">
        <v>274</v>
      </c>
      <c r="J358" s="8">
        <f>IFERROR(VLOOKUP($G358,今日總結!$A:$AJ,33,0),"")</f>
        <v>1</v>
      </c>
      <c r="K358" s="5">
        <f>IFERROR(VLOOKUP($G358,今日總結!$A:$AJ,34,0),"")</f>
        <v>1</v>
      </c>
      <c r="L358" s="156">
        <f>IFERROR(VLOOKUP($G358,今日總結!$A:$AJ,31,0),"")</f>
        <v>0</v>
      </c>
      <c r="M358" s="340">
        <f>IFERROR(VLOOKUP($G358,今日總結!$A:$AJ,32,0),"")</f>
        <v>0</v>
      </c>
      <c r="N358" s="240">
        <f t="shared" si="120"/>
        <v>0</v>
      </c>
      <c r="O358" s="245"/>
      <c r="P358" s="365">
        <f>IFERROR(VLOOKUP($G358,融外自投!$A:$J,7,0),"無")</f>
        <v>1342</v>
      </c>
      <c r="Q358" s="79">
        <f>IFERROR(VLOOKUP($G358,融外自投!$A:$J,9,0),"無")</f>
        <v>80</v>
      </c>
      <c r="R358" s="346">
        <f>IFERROR(VLOOKUP($G358,融外自投!$A:$J,8,0),"無")</f>
        <v>264</v>
      </c>
      <c r="S358" s="81">
        <f>IFERROR(VLOOKUP($G358,融外自投!$A:$J,10,0),"無")</f>
        <v>80</v>
      </c>
      <c r="T358" s="327">
        <f>IFERROR(VLOOKUP($G358,'321買'!$A:$E,5,0),"'沒有資料'")</f>
        <v>10</v>
      </c>
      <c r="U358" s="185">
        <v>3</v>
      </c>
      <c r="V358" s="311"/>
      <c r="W358" s="94">
        <f t="shared" si="121"/>
        <v>7.0754716981132074E-2</v>
      </c>
      <c r="X358" s="161">
        <v>42.4</v>
      </c>
      <c r="Y358" s="65">
        <v>43.45</v>
      </c>
      <c r="Z358" s="162">
        <f t="shared" si="117"/>
        <v>-1.0500000000000043</v>
      </c>
      <c r="AA358" s="164">
        <f t="shared" si="118"/>
        <v>-2.4165707710011603E-2</v>
      </c>
      <c r="AB358" s="196" t="s">
        <v>3051</v>
      </c>
      <c r="AC358" s="382"/>
      <c r="AD358" s="153" t="s">
        <v>274</v>
      </c>
      <c r="AE358" s="84">
        <v>44186</v>
      </c>
      <c r="AF358" s="83">
        <v>44251</v>
      </c>
      <c r="AG358" s="33">
        <f t="shared" si="119"/>
        <v>65</v>
      </c>
      <c r="AH358" s="41" t="s">
        <v>1122</v>
      </c>
      <c r="AI358" s="163"/>
    </row>
    <row r="359" spans="1:35" s="248" customFormat="1">
      <c r="A359" s="127" t="s">
        <v>1669</v>
      </c>
      <c r="B359" s="92">
        <v>233</v>
      </c>
      <c r="C359" s="92">
        <v>237</v>
      </c>
      <c r="D359" s="79">
        <v>0</v>
      </c>
      <c r="E359" s="79">
        <v>4</v>
      </c>
      <c r="F359" s="57">
        <v>23.39</v>
      </c>
      <c r="G359" s="80">
        <v>8155</v>
      </c>
      <c r="H359" s="30" t="s">
        <v>1462</v>
      </c>
      <c r="I359" s="166" t="s">
        <v>84</v>
      </c>
      <c r="J359" s="8">
        <f>IFERROR(VLOOKUP($G359,今日總結!$A:$AJ,33,0),"")</f>
        <v>3</v>
      </c>
      <c r="K359" s="5">
        <f>IFERROR(VLOOKUP($G359,今日總結!$A:$AJ,34,0),"")</f>
        <v>0</v>
      </c>
      <c r="L359" s="156">
        <f>IFERROR(VLOOKUP($G359,今日總結!$A:$AJ,31,0),"")</f>
        <v>0</v>
      </c>
      <c r="M359" s="340">
        <f>IFERROR(VLOOKUP($G359,今日總結!$A:$AJ,32,0),"")</f>
        <v>0</v>
      </c>
      <c r="N359" s="240">
        <f t="shared" si="120"/>
        <v>0</v>
      </c>
      <c r="O359" s="245"/>
      <c r="P359" s="365">
        <f>IFERROR(VLOOKUP($G359,融外自投!$A:$J,7,0),"無")</f>
        <v>227</v>
      </c>
      <c r="Q359" s="79">
        <f>IFERROR(VLOOKUP($G359,融外自投!$A:$J,9,0),"無")</f>
        <v>215</v>
      </c>
      <c r="R359" s="346">
        <f>IFERROR(VLOOKUP($G359,融外自投!$A:$J,8,0),"無")</f>
        <v>1113</v>
      </c>
      <c r="S359" s="81">
        <f>IFERROR(VLOOKUP($G359,融外自投!$A:$J,10,0),"無")</f>
        <v>1</v>
      </c>
      <c r="T359" s="327">
        <f>IFERROR(VLOOKUP($G359,'321買'!$A:$E,5,0),"'沒有資料'")</f>
        <v>32</v>
      </c>
      <c r="U359" s="185">
        <v>3.6</v>
      </c>
      <c r="V359" s="311"/>
      <c r="W359" s="94">
        <f t="shared" si="121"/>
        <v>3.0125523012552301E-2</v>
      </c>
      <c r="X359" s="161">
        <v>119.5</v>
      </c>
      <c r="Y359" s="155">
        <v>116</v>
      </c>
      <c r="Z359" s="162">
        <f t="shared" si="117"/>
        <v>3.5</v>
      </c>
      <c r="AA359" s="158">
        <f t="shared" si="118"/>
        <v>3.017241379310345E-2</v>
      </c>
      <c r="AB359" s="184" t="s">
        <v>1668</v>
      </c>
      <c r="AC359" s="382"/>
      <c r="AD359" s="166" t="s">
        <v>84</v>
      </c>
      <c r="AE359" s="84">
        <v>44209</v>
      </c>
      <c r="AF359" s="83">
        <v>44251</v>
      </c>
      <c r="AG359" s="33">
        <f t="shared" si="119"/>
        <v>42</v>
      </c>
      <c r="AH359" s="41" t="s">
        <v>1122</v>
      </c>
    </row>
    <row r="360" spans="1:35" s="248" customFormat="1">
      <c r="A360" s="127" t="s">
        <v>1669</v>
      </c>
      <c r="B360" s="92">
        <v>233</v>
      </c>
      <c r="C360" s="92">
        <v>237</v>
      </c>
      <c r="D360" s="79">
        <v>0</v>
      </c>
      <c r="E360" s="79">
        <v>4</v>
      </c>
      <c r="F360" s="57">
        <v>23.39</v>
      </c>
      <c r="G360" s="80">
        <v>8155</v>
      </c>
      <c r="H360" s="30" t="s">
        <v>1462</v>
      </c>
      <c r="I360" s="166" t="s">
        <v>84</v>
      </c>
      <c r="J360" s="8">
        <f>IFERROR(VLOOKUP($G360,今日總結!$A:$AJ,33,0),"")</f>
        <v>3</v>
      </c>
      <c r="K360" s="5">
        <f>IFERROR(VLOOKUP($G360,今日總結!$A:$AJ,34,0),"")</f>
        <v>0</v>
      </c>
      <c r="L360" s="156">
        <f>IFERROR(VLOOKUP($G360,今日總結!$A:$AJ,31,0),"")</f>
        <v>0</v>
      </c>
      <c r="M360" s="340">
        <f>IFERROR(VLOOKUP($G360,今日總結!$A:$AJ,32,0),"")</f>
        <v>0</v>
      </c>
      <c r="N360" s="240">
        <f t="shared" si="120"/>
        <v>0</v>
      </c>
      <c r="O360" s="245"/>
      <c r="P360" s="365">
        <f>IFERROR(VLOOKUP($G360,融外自投!$A:$J,7,0),"無")</f>
        <v>227</v>
      </c>
      <c r="Q360" s="79">
        <f>IFERROR(VLOOKUP($G360,融外自投!$A:$J,9,0),"無")</f>
        <v>215</v>
      </c>
      <c r="R360" s="346">
        <f>IFERROR(VLOOKUP($G360,融外自投!$A:$J,8,0),"無")</f>
        <v>1113</v>
      </c>
      <c r="S360" s="81">
        <f>IFERROR(VLOOKUP($G360,融外自投!$A:$J,10,0),"無")</f>
        <v>1</v>
      </c>
      <c r="T360" s="327">
        <f>IFERROR(VLOOKUP($G360,'321買'!$A:$E,5,0),"'沒有資料'")</f>
        <v>32</v>
      </c>
      <c r="U360" s="185">
        <v>3.6</v>
      </c>
      <c r="V360" s="311"/>
      <c r="W360" s="94">
        <f t="shared" si="121"/>
        <v>3.0125523012552301E-2</v>
      </c>
      <c r="X360" s="161">
        <v>119.5</v>
      </c>
      <c r="Y360" s="155">
        <v>117</v>
      </c>
      <c r="Z360" s="162">
        <f t="shared" si="117"/>
        <v>2.5</v>
      </c>
      <c r="AA360" s="158">
        <f t="shared" si="118"/>
        <v>2.1367521367521368E-2</v>
      </c>
      <c r="AB360" s="184" t="s">
        <v>1695</v>
      </c>
      <c r="AC360" s="382"/>
      <c r="AD360" s="166" t="s">
        <v>84</v>
      </c>
      <c r="AE360" s="84">
        <v>44207</v>
      </c>
      <c r="AF360" s="83">
        <v>44251</v>
      </c>
      <c r="AG360" s="33">
        <f t="shared" si="119"/>
        <v>44</v>
      </c>
      <c r="AH360" s="41" t="s">
        <v>1122</v>
      </c>
    </row>
    <row r="361" spans="1:35" s="248" customFormat="1">
      <c r="A361" s="127" t="s">
        <v>2192</v>
      </c>
      <c r="B361" s="79">
        <v>89</v>
      </c>
      <c r="C361" s="79">
        <v>91</v>
      </c>
      <c r="D361" s="80">
        <v>-8</v>
      </c>
      <c r="E361" s="79">
        <v>14</v>
      </c>
      <c r="F361" s="57">
        <v>16.3</v>
      </c>
      <c r="G361" s="79">
        <v>6104</v>
      </c>
      <c r="H361" s="30" t="s">
        <v>1462</v>
      </c>
      <c r="I361" s="166" t="s">
        <v>372</v>
      </c>
      <c r="J361" s="8">
        <f>IFERROR(VLOOKUP($G361,今日總結!$A:$AJ,33,0),"")</f>
        <v>4</v>
      </c>
      <c r="K361" s="5">
        <f>IFERROR(VLOOKUP($G361,今日總結!$A:$AJ,34,0),"")</f>
        <v>1</v>
      </c>
      <c r="L361" s="156">
        <f>IFERROR(VLOOKUP($G361,今日總結!$A:$AJ,31,0),"")</f>
        <v>0</v>
      </c>
      <c r="M361" s="340">
        <f>IFERROR(VLOOKUP($G361,今日總結!$A:$AJ,32,0),"")</f>
        <v>0</v>
      </c>
      <c r="N361" s="240">
        <f t="shared" si="120"/>
        <v>0</v>
      </c>
      <c r="O361" s="245"/>
      <c r="P361" s="365">
        <f>IFERROR(VLOOKUP($G361,融外自投!$A:$J,7,0),"無")</f>
        <v>21</v>
      </c>
      <c r="Q361" s="79">
        <f>IFERROR(VLOOKUP($G361,融外自投!$A:$J,9,0),"無")</f>
        <v>131</v>
      </c>
      <c r="R361" s="346">
        <f>IFERROR(VLOOKUP($G361,融外自投!$A:$J,8,0),"無")</f>
        <v>420</v>
      </c>
      <c r="S361" s="81">
        <f>IFERROR(VLOOKUP($G361,融外自投!$A:$J,10,0),"無")</f>
        <v>31</v>
      </c>
      <c r="T361" s="327">
        <f>IFERROR(VLOOKUP($G361,'321買'!$A:$E,5,0),"'沒有資料'")</f>
        <v>4</v>
      </c>
      <c r="U361" s="185">
        <v>2</v>
      </c>
      <c r="V361" s="311"/>
      <c r="W361" s="57">
        <f t="shared" si="121"/>
        <v>2.7359781121751029E-2</v>
      </c>
      <c r="X361" s="161">
        <v>73.099999999999994</v>
      </c>
      <c r="Y361" s="155">
        <v>68.5</v>
      </c>
      <c r="Z361" s="162">
        <f t="shared" si="117"/>
        <v>4.5999999999999943</v>
      </c>
      <c r="AA361" s="158">
        <f t="shared" si="118"/>
        <v>6.7153284671532767E-2</v>
      </c>
      <c r="AB361" s="184" t="s">
        <v>3052</v>
      </c>
      <c r="AC361" s="382"/>
      <c r="AD361" s="166" t="s">
        <v>372</v>
      </c>
      <c r="AE361" s="84">
        <v>44218</v>
      </c>
      <c r="AF361" s="83">
        <v>44251</v>
      </c>
      <c r="AG361" s="33">
        <f t="shared" si="119"/>
        <v>33</v>
      </c>
      <c r="AH361" s="41" t="s">
        <v>1122</v>
      </c>
      <c r="AI361" s="163"/>
    </row>
    <row r="362" spans="1:35" s="248" customFormat="1">
      <c r="A362" s="127" t="s">
        <v>2192</v>
      </c>
      <c r="B362" s="79">
        <v>89</v>
      </c>
      <c r="C362" s="79">
        <v>91</v>
      </c>
      <c r="D362" s="80">
        <v>-8</v>
      </c>
      <c r="E362" s="79">
        <v>14</v>
      </c>
      <c r="F362" s="57">
        <v>16.3</v>
      </c>
      <c r="G362" s="79">
        <v>6104</v>
      </c>
      <c r="H362" s="30" t="s">
        <v>1462</v>
      </c>
      <c r="I362" s="166" t="s">
        <v>372</v>
      </c>
      <c r="J362" s="8">
        <f>IFERROR(VLOOKUP($G362,今日總結!$A:$AJ,33,0),"")</f>
        <v>4</v>
      </c>
      <c r="K362" s="5">
        <f>IFERROR(VLOOKUP($G362,今日總結!$A:$AJ,34,0),"")</f>
        <v>1</v>
      </c>
      <c r="L362" s="156">
        <f>IFERROR(VLOOKUP($G362,今日總結!$A:$AJ,31,0),"")</f>
        <v>0</v>
      </c>
      <c r="M362" s="340">
        <f>IFERROR(VLOOKUP($G362,今日總結!$A:$AJ,32,0),"")</f>
        <v>0</v>
      </c>
      <c r="N362" s="240">
        <f t="shared" si="120"/>
        <v>0</v>
      </c>
      <c r="O362" s="245"/>
      <c r="P362" s="365">
        <f>IFERROR(VLOOKUP($G362,融外自投!$A:$J,7,0),"無")</f>
        <v>21</v>
      </c>
      <c r="Q362" s="79">
        <f>IFERROR(VLOOKUP($G362,融外自投!$A:$J,9,0),"無")</f>
        <v>131</v>
      </c>
      <c r="R362" s="346">
        <f>IFERROR(VLOOKUP($G362,融外自投!$A:$J,8,0),"無")</f>
        <v>420</v>
      </c>
      <c r="S362" s="81">
        <f>IFERROR(VLOOKUP($G362,融外自投!$A:$J,10,0),"無")</f>
        <v>31</v>
      </c>
      <c r="T362" s="327">
        <f>IFERROR(VLOOKUP($G362,'321買'!$A:$E,5,0),"'沒有資料'")</f>
        <v>4</v>
      </c>
      <c r="U362" s="185">
        <v>2</v>
      </c>
      <c r="V362" s="311"/>
      <c r="W362" s="57">
        <f t="shared" si="121"/>
        <v>2.7359781121751029E-2</v>
      </c>
      <c r="X362" s="161">
        <v>73.099999999999994</v>
      </c>
      <c r="Y362" s="155">
        <v>73.900000000000006</v>
      </c>
      <c r="Z362" s="162">
        <f t="shared" si="117"/>
        <v>-0.80000000000001137</v>
      </c>
      <c r="AA362" s="164">
        <f t="shared" si="118"/>
        <v>-1.0825439783491358E-2</v>
      </c>
      <c r="AB362" s="196" t="s">
        <v>3053</v>
      </c>
      <c r="AC362" s="382"/>
      <c r="AD362" s="166" t="s">
        <v>372</v>
      </c>
      <c r="AE362" s="84">
        <v>44207</v>
      </c>
      <c r="AF362" s="83">
        <v>44251</v>
      </c>
      <c r="AG362" s="33">
        <f t="shared" si="119"/>
        <v>44</v>
      </c>
      <c r="AH362" s="41" t="s">
        <v>1122</v>
      </c>
      <c r="AI362" s="163"/>
    </row>
    <row r="363" spans="1:35" s="248" customFormat="1">
      <c r="A363" s="141"/>
      <c r="B363" s="80">
        <v>-1</v>
      </c>
      <c r="C363" s="80">
        <v>-17</v>
      </c>
      <c r="D363" s="80">
        <v>-1</v>
      </c>
      <c r="E363" s="80">
        <v>-12</v>
      </c>
      <c r="F363" s="6">
        <v>4.8499999999999996</v>
      </c>
      <c r="G363" s="79">
        <v>2103</v>
      </c>
      <c r="H363" s="30" t="s">
        <v>1462</v>
      </c>
      <c r="I363" s="153" t="s">
        <v>3048</v>
      </c>
      <c r="J363" s="8" t="str">
        <f>IFERROR(VLOOKUP($G363,今日總結!$A:$AJ,33,0),"")</f>
        <v/>
      </c>
      <c r="K363" s="5" t="str">
        <f>IFERROR(VLOOKUP($G363,今日總結!$A:$AJ,34,0),"")</f>
        <v/>
      </c>
      <c r="L363" s="156" t="str">
        <f>IFERROR(VLOOKUP($G363,今日總結!$A:$AJ,31,0),"")</f>
        <v/>
      </c>
      <c r="M363" s="340" t="str">
        <f>IFERROR(VLOOKUP($G363,今日總結!$A:$AJ,32,0),"")</f>
        <v/>
      </c>
      <c r="N363" s="240" t="str">
        <f t="shared" si="120"/>
        <v/>
      </c>
      <c r="O363" s="245"/>
      <c r="P363" s="365">
        <f>IFERROR(VLOOKUP($G363,融外自投!$A:$J,7,0),"無")</f>
        <v>1012</v>
      </c>
      <c r="Q363" s="79">
        <f>IFERROR(VLOOKUP($G363,融外自投!$A:$J,9,0),"無")</f>
        <v>896</v>
      </c>
      <c r="R363" s="346">
        <f>IFERROR(VLOOKUP($G363,融外自投!$A:$J,8,0),"無")</f>
        <v>185</v>
      </c>
      <c r="S363" s="81" t="str">
        <f>IFERROR(VLOOKUP($G363,融外自投!$A:$J,10,0),"無")</f>
        <v>無</v>
      </c>
      <c r="T363" s="327">
        <f>IFERROR(VLOOKUP($G363,'321買'!$A:$E,5,0),"'沒有資料'")</f>
        <v>503</v>
      </c>
      <c r="U363" s="65">
        <v>0.98</v>
      </c>
      <c r="V363" s="311"/>
      <c r="W363" s="39">
        <f t="shared" si="121"/>
        <v>3.6567164179104474E-2</v>
      </c>
      <c r="X363" s="161">
        <v>26.8</v>
      </c>
      <c r="Y363" s="65">
        <v>26.1</v>
      </c>
      <c r="Z363" s="162">
        <f t="shared" si="117"/>
        <v>0.69999999999999929</v>
      </c>
      <c r="AA363" s="158">
        <f t="shared" si="118"/>
        <v>2.6819923371647483E-2</v>
      </c>
      <c r="AB363" s="184" t="s">
        <v>3054</v>
      </c>
      <c r="AC363" s="382"/>
      <c r="AD363" s="153" t="s">
        <v>3048</v>
      </c>
      <c r="AE363" s="84">
        <v>44246</v>
      </c>
      <c r="AF363" s="83">
        <v>44251</v>
      </c>
      <c r="AG363" s="33">
        <f t="shared" ref="AG363:AG369" si="122">AF363-AE363</f>
        <v>5</v>
      </c>
      <c r="AH363" s="41" t="s">
        <v>1122</v>
      </c>
      <c r="AI363" s="163"/>
    </row>
    <row r="364" spans="1:35" s="248" customFormat="1">
      <c r="A364" s="141"/>
      <c r="B364" s="80">
        <v>-1</v>
      </c>
      <c r="C364" s="80">
        <v>-17</v>
      </c>
      <c r="D364" s="80">
        <v>-1</v>
      </c>
      <c r="E364" s="80">
        <v>-12</v>
      </c>
      <c r="F364" s="6">
        <v>4.8499999999999996</v>
      </c>
      <c r="G364" s="79">
        <v>2103</v>
      </c>
      <c r="H364" s="30" t="s">
        <v>1462</v>
      </c>
      <c r="I364" s="153" t="s">
        <v>3048</v>
      </c>
      <c r="J364" s="8" t="str">
        <f>IFERROR(VLOOKUP($G364,今日總結!$A:$AJ,33,0),"")</f>
        <v/>
      </c>
      <c r="K364" s="5" t="str">
        <f>IFERROR(VLOOKUP($G364,今日總結!$A:$AJ,34,0),"")</f>
        <v/>
      </c>
      <c r="L364" s="156" t="str">
        <f>IFERROR(VLOOKUP($G364,今日總結!$A:$AJ,31,0),"")</f>
        <v/>
      </c>
      <c r="M364" s="340" t="str">
        <f>IFERROR(VLOOKUP($G364,今日總結!$A:$AJ,32,0),"")</f>
        <v/>
      </c>
      <c r="N364" s="240" t="str">
        <f t="shared" si="120"/>
        <v/>
      </c>
      <c r="O364" s="245"/>
      <c r="P364" s="365">
        <f>IFERROR(VLOOKUP($G364,融外自投!$A:$J,7,0),"無")</f>
        <v>1012</v>
      </c>
      <c r="Q364" s="79">
        <f>IFERROR(VLOOKUP($G364,融外自投!$A:$J,9,0),"無")</f>
        <v>896</v>
      </c>
      <c r="R364" s="346">
        <f>IFERROR(VLOOKUP($G364,融外自投!$A:$J,8,0),"無")</f>
        <v>185</v>
      </c>
      <c r="S364" s="81" t="str">
        <f>IFERROR(VLOOKUP($G364,融外自投!$A:$J,10,0),"無")</f>
        <v>無</v>
      </c>
      <c r="T364" s="327">
        <f>IFERROR(VLOOKUP($G364,'321買'!$A:$E,5,0),"'沒有資料'")</f>
        <v>503</v>
      </c>
      <c r="U364" s="65">
        <v>0.98</v>
      </c>
      <c r="V364" s="311"/>
      <c r="W364" s="39">
        <f t="shared" si="121"/>
        <v>3.7984496124031007E-2</v>
      </c>
      <c r="X364" s="161">
        <v>25.8</v>
      </c>
      <c r="Y364" s="65">
        <f>25.3-0.5</f>
        <v>24.8</v>
      </c>
      <c r="Z364" s="162">
        <f t="shared" si="117"/>
        <v>1</v>
      </c>
      <c r="AA364" s="158">
        <f t="shared" si="118"/>
        <v>4.0322580645161289E-2</v>
      </c>
      <c r="AB364" s="184" t="s">
        <v>2967</v>
      </c>
      <c r="AC364" s="382"/>
      <c r="AD364" s="153" t="s">
        <v>3048</v>
      </c>
      <c r="AE364" s="84">
        <v>43731</v>
      </c>
      <c r="AF364" s="83">
        <v>44245</v>
      </c>
      <c r="AG364" s="33">
        <f t="shared" si="122"/>
        <v>514</v>
      </c>
      <c r="AH364" s="116" t="s">
        <v>1122</v>
      </c>
      <c r="AI364" s="163"/>
    </row>
    <row r="365" spans="1:35" s="248" customFormat="1">
      <c r="A365" s="141"/>
      <c r="B365" s="80">
        <v>-1</v>
      </c>
      <c r="C365" s="80">
        <v>-17</v>
      </c>
      <c r="D365" s="80">
        <v>-1</v>
      </c>
      <c r="E365" s="80">
        <v>-12</v>
      </c>
      <c r="F365" s="6">
        <v>4.8499999999999996</v>
      </c>
      <c r="G365" s="79">
        <v>2103</v>
      </c>
      <c r="H365" s="30" t="s">
        <v>1462</v>
      </c>
      <c r="I365" s="153" t="s">
        <v>3048</v>
      </c>
      <c r="J365" s="8" t="str">
        <f>IFERROR(VLOOKUP($G365,今日總結!$A:$AJ,33,0),"")</f>
        <v/>
      </c>
      <c r="K365" s="5" t="str">
        <f>IFERROR(VLOOKUP($G365,今日總結!$A:$AJ,34,0),"")</f>
        <v/>
      </c>
      <c r="L365" s="156" t="str">
        <f>IFERROR(VLOOKUP($G365,今日總結!$A:$AJ,31,0),"")</f>
        <v/>
      </c>
      <c r="M365" s="340" t="str">
        <f>IFERROR(VLOOKUP($G365,今日總結!$A:$AJ,32,0),"")</f>
        <v/>
      </c>
      <c r="N365" s="240" t="str">
        <f t="shared" si="120"/>
        <v/>
      </c>
      <c r="O365" s="245"/>
      <c r="P365" s="365">
        <f>IFERROR(VLOOKUP($G365,融外自投!$A:$J,7,0),"無")</f>
        <v>1012</v>
      </c>
      <c r="Q365" s="79">
        <f>IFERROR(VLOOKUP($G365,融外自投!$A:$J,9,0),"無")</f>
        <v>896</v>
      </c>
      <c r="R365" s="346">
        <f>IFERROR(VLOOKUP($G365,融外自投!$A:$J,8,0),"無")</f>
        <v>185</v>
      </c>
      <c r="S365" s="81" t="str">
        <f>IFERROR(VLOOKUP($G365,融外自投!$A:$J,10,0),"無")</f>
        <v>無</v>
      </c>
      <c r="T365" s="327">
        <f>IFERROR(VLOOKUP($G365,'321買'!$A:$E,5,0),"'沒有資料'")</f>
        <v>503</v>
      </c>
      <c r="U365" s="65">
        <v>0.98</v>
      </c>
      <c r="V365" s="311"/>
      <c r="W365" s="39">
        <f t="shared" si="121"/>
        <v>3.7984496124031007E-2</v>
      </c>
      <c r="X365" s="161">
        <v>25.8</v>
      </c>
      <c r="Y365" s="65">
        <f>25.2-0.5</f>
        <v>24.7</v>
      </c>
      <c r="Z365" s="162">
        <f t="shared" si="117"/>
        <v>1.1000000000000014</v>
      </c>
      <c r="AA365" s="158">
        <f t="shared" si="118"/>
        <v>4.4534412955465646E-2</v>
      </c>
      <c r="AB365" s="184" t="s">
        <v>2975</v>
      </c>
      <c r="AC365" s="382"/>
      <c r="AD365" s="153" t="s">
        <v>3048</v>
      </c>
      <c r="AE365" s="84">
        <v>43732</v>
      </c>
      <c r="AF365" s="83">
        <v>44245</v>
      </c>
      <c r="AG365" s="33">
        <f t="shared" si="122"/>
        <v>513</v>
      </c>
      <c r="AH365" s="116" t="s">
        <v>1122</v>
      </c>
      <c r="AI365" s="163"/>
    </row>
    <row r="366" spans="1:35" s="248" customFormat="1">
      <c r="A366" s="141"/>
      <c r="B366" s="80">
        <v>-1</v>
      </c>
      <c r="C366" s="80">
        <v>-17</v>
      </c>
      <c r="D366" s="80">
        <v>-1</v>
      </c>
      <c r="E366" s="80">
        <v>-12</v>
      </c>
      <c r="F366" s="6">
        <v>4.8499999999999996</v>
      </c>
      <c r="G366" s="79">
        <v>2103</v>
      </c>
      <c r="H366" s="30" t="s">
        <v>1462</v>
      </c>
      <c r="I366" s="153" t="s">
        <v>3048</v>
      </c>
      <c r="J366" s="8" t="str">
        <f>IFERROR(VLOOKUP($G366,今日總結!$A:$AJ,33,0),"")</f>
        <v/>
      </c>
      <c r="K366" s="5" t="str">
        <f>IFERROR(VLOOKUP($G366,今日總結!$A:$AJ,34,0),"")</f>
        <v/>
      </c>
      <c r="L366" s="156" t="str">
        <f>IFERROR(VLOOKUP($G366,今日總結!$A:$AJ,31,0),"")</f>
        <v/>
      </c>
      <c r="M366" s="340" t="str">
        <f>IFERROR(VLOOKUP($G366,今日總結!$A:$AJ,32,0),"")</f>
        <v/>
      </c>
      <c r="N366" s="240" t="str">
        <f t="shared" si="120"/>
        <v/>
      </c>
      <c r="O366" s="245"/>
      <c r="P366" s="365">
        <f>IFERROR(VLOOKUP($G366,融外自投!$A:$J,7,0),"無")</f>
        <v>1012</v>
      </c>
      <c r="Q366" s="79">
        <f>IFERROR(VLOOKUP($G366,融外自投!$A:$J,9,0),"無")</f>
        <v>896</v>
      </c>
      <c r="R366" s="346">
        <f>IFERROR(VLOOKUP($G366,融外自投!$A:$J,8,0),"無")</f>
        <v>185</v>
      </c>
      <c r="S366" s="81" t="str">
        <f>IFERROR(VLOOKUP($G366,融外自投!$A:$J,10,0),"無")</f>
        <v>無</v>
      </c>
      <c r="T366" s="327">
        <f>IFERROR(VLOOKUP($G366,'321買'!$A:$E,5,0),"'沒有資料'")</f>
        <v>503</v>
      </c>
      <c r="U366" s="65">
        <v>0.98</v>
      </c>
      <c r="V366" s="311"/>
      <c r="W366" s="39">
        <f t="shared" si="121"/>
        <v>3.7984496124031007E-2</v>
      </c>
      <c r="X366" s="161">
        <v>25.8</v>
      </c>
      <c r="Y366" s="65">
        <f>25-0.5</f>
        <v>24.5</v>
      </c>
      <c r="Z366" s="162">
        <f t="shared" si="117"/>
        <v>1.3000000000000007</v>
      </c>
      <c r="AA366" s="158">
        <f t="shared" si="118"/>
        <v>5.3061224489795944E-2</v>
      </c>
      <c r="AB366" s="184" t="s">
        <v>3018</v>
      </c>
      <c r="AC366" s="382"/>
      <c r="AD366" s="153" t="s">
        <v>3048</v>
      </c>
      <c r="AE366" s="84">
        <v>43734</v>
      </c>
      <c r="AF366" s="83">
        <v>44245</v>
      </c>
      <c r="AG366" s="33">
        <f t="shared" si="122"/>
        <v>511</v>
      </c>
      <c r="AH366" s="116" t="s">
        <v>1122</v>
      </c>
      <c r="AI366" s="163"/>
    </row>
    <row r="367" spans="1:35" s="248" customFormat="1">
      <c r="A367" s="141"/>
      <c r="B367" s="80">
        <v>-1</v>
      </c>
      <c r="C367" s="80">
        <v>-17</v>
      </c>
      <c r="D367" s="80">
        <v>-1</v>
      </c>
      <c r="E367" s="80">
        <v>-12</v>
      </c>
      <c r="F367" s="6">
        <v>4.8499999999999996</v>
      </c>
      <c r="G367" s="79">
        <v>2103</v>
      </c>
      <c r="H367" s="30" t="s">
        <v>1462</v>
      </c>
      <c r="I367" s="153" t="s">
        <v>3048</v>
      </c>
      <c r="J367" s="8" t="str">
        <f>IFERROR(VLOOKUP($G367,今日總結!$A:$AJ,33,0),"")</f>
        <v/>
      </c>
      <c r="K367" s="5" t="str">
        <f>IFERROR(VLOOKUP($G367,今日總結!$A:$AJ,34,0),"")</f>
        <v/>
      </c>
      <c r="L367" s="156" t="str">
        <f>IFERROR(VLOOKUP($G367,今日總結!$A:$AJ,31,0),"")</f>
        <v/>
      </c>
      <c r="M367" s="340" t="str">
        <f>IFERROR(VLOOKUP($G367,今日總結!$A:$AJ,32,0),"")</f>
        <v/>
      </c>
      <c r="N367" s="240" t="str">
        <f t="shared" si="120"/>
        <v/>
      </c>
      <c r="O367" s="245"/>
      <c r="P367" s="365">
        <f>IFERROR(VLOOKUP($G367,融外自投!$A:$J,7,0),"無")</f>
        <v>1012</v>
      </c>
      <c r="Q367" s="79">
        <f>IFERROR(VLOOKUP($G367,融外自投!$A:$J,9,0),"無")</f>
        <v>896</v>
      </c>
      <c r="R367" s="346">
        <f>IFERROR(VLOOKUP($G367,融外自投!$A:$J,8,0),"無")</f>
        <v>185</v>
      </c>
      <c r="S367" s="81" t="str">
        <f>IFERROR(VLOOKUP($G367,融外自投!$A:$J,10,0),"無")</f>
        <v>無</v>
      </c>
      <c r="T367" s="327">
        <f>IFERROR(VLOOKUP($G367,'321買'!$A:$E,5,0),"'沒有資料'")</f>
        <v>503</v>
      </c>
      <c r="U367" s="65">
        <v>0.98</v>
      </c>
      <c r="V367" s="311"/>
      <c r="W367" s="39">
        <f t="shared" si="121"/>
        <v>3.7984496124031007E-2</v>
      </c>
      <c r="X367" s="161">
        <v>25.8</v>
      </c>
      <c r="Y367" s="65">
        <f>24.5-0.5</f>
        <v>24</v>
      </c>
      <c r="Z367" s="162">
        <f t="shared" si="117"/>
        <v>1.8000000000000007</v>
      </c>
      <c r="AA367" s="158">
        <f t="shared" si="118"/>
        <v>7.5000000000000025E-2</v>
      </c>
      <c r="AB367" s="184" t="s">
        <v>3055</v>
      </c>
      <c r="AC367" s="382"/>
      <c r="AD367" s="153" t="s">
        <v>3048</v>
      </c>
      <c r="AE367" s="84">
        <v>43735</v>
      </c>
      <c r="AF367" s="83">
        <v>44245</v>
      </c>
      <c r="AG367" s="33">
        <f t="shared" si="122"/>
        <v>510</v>
      </c>
      <c r="AH367" s="116" t="s">
        <v>1122</v>
      </c>
      <c r="AI367" s="163"/>
    </row>
    <row r="368" spans="1:35" s="248" customFormat="1">
      <c r="A368" s="142" t="s">
        <v>1792</v>
      </c>
      <c r="B368" s="80">
        <v>-71</v>
      </c>
      <c r="C368" s="80">
        <v>-61</v>
      </c>
      <c r="D368" s="80">
        <v>-7</v>
      </c>
      <c r="E368" s="79">
        <v>30</v>
      </c>
      <c r="F368" s="6">
        <v>7</v>
      </c>
      <c r="G368" s="79">
        <v>1536</v>
      </c>
      <c r="H368" s="30" t="s">
        <v>1462</v>
      </c>
      <c r="I368" s="153" t="s">
        <v>126</v>
      </c>
      <c r="J368" s="8">
        <f>IFERROR(VLOOKUP($G368,今日總結!$A:$AJ,33,0),"")</f>
        <v>1</v>
      </c>
      <c r="K368" s="5">
        <f>IFERROR(VLOOKUP($G368,今日總結!$A:$AJ,34,0),"")</f>
        <v>0</v>
      </c>
      <c r="L368" s="156">
        <f>IFERROR(VLOOKUP($G368,今日總結!$A:$AJ,31,0),"")</f>
        <v>0</v>
      </c>
      <c r="M368" s="340">
        <f>IFERROR(VLOOKUP($G368,今日總結!$A:$AJ,32,0),"")</f>
        <v>0</v>
      </c>
      <c r="N368" s="240">
        <f t="shared" si="120"/>
        <v>0</v>
      </c>
      <c r="O368" s="245"/>
      <c r="P368" s="365">
        <f>IFERROR(VLOOKUP($G368,融外自投!$A:$J,7,0),"無")</f>
        <v>736</v>
      </c>
      <c r="Q368" s="79">
        <f>IFERROR(VLOOKUP($G368,融外自投!$A:$J,9,0),"無")</f>
        <v>329</v>
      </c>
      <c r="R368" s="346">
        <f>IFERROR(VLOOKUP($G368,融外自投!$A:$J,8,0),"無")</f>
        <v>446</v>
      </c>
      <c r="S368" s="81">
        <f>IFERROR(VLOOKUP($G368,融外自投!$A:$J,10,0),"無")</f>
        <v>491</v>
      </c>
      <c r="T368" s="327">
        <f>IFERROR(VLOOKUP($G368,'321買'!$A:$E,5,0),"'沒有資料'")</f>
        <v>237</v>
      </c>
      <c r="U368" s="65">
        <v>2</v>
      </c>
      <c r="V368" s="311"/>
      <c r="W368" s="39">
        <f t="shared" si="121"/>
        <v>1.6666666666666666E-2</v>
      </c>
      <c r="X368" s="161">
        <v>120</v>
      </c>
      <c r="Y368" s="65">
        <v>90</v>
      </c>
      <c r="Z368" s="162">
        <f t="shared" si="117"/>
        <v>30</v>
      </c>
      <c r="AA368" s="158">
        <f t="shared" si="118"/>
        <v>0.33333333333333331</v>
      </c>
      <c r="AB368" s="111" t="s">
        <v>2941</v>
      </c>
      <c r="AC368" s="382"/>
      <c r="AD368" s="153" t="s">
        <v>126</v>
      </c>
      <c r="AE368" s="84">
        <v>44231</v>
      </c>
      <c r="AF368" s="83">
        <v>44231</v>
      </c>
      <c r="AG368" s="33">
        <f t="shared" si="122"/>
        <v>0</v>
      </c>
      <c r="AH368" s="116" t="s">
        <v>1122</v>
      </c>
    </row>
    <row r="369" spans="1:41" s="248" customFormat="1">
      <c r="A369" s="127" t="s">
        <v>2242</v>
      </c>
      <c r="B369" s="80">
        <v>-16</v>
      </c>
      <c r="C369" s="80">
        <v>-15</v>
      </c>
      <c r="D369" s="79">
        <v>6</v>
      </c>
      <c r="E369" s="79">
        <v>14</v>
      </c>
      <c r="F369" s="57">
        <v>21.2</v>
      </c>
      <c r="G369" s="79">
        <v>6147</v>
      </c>
      <c r="H369" s="30" t="s">
        <v>1462</v>
      </c>
      <c r="I369" s="166" t="s">
        <v>40</v>
      </c>
      <c r="J369" s="8" t="str">
        <f>IFERROR(VLOOKUP($G369,今日總結!$A:$AJ,33,0),"")</f>
        <v/>
      </c>
      <c r="K369" s="5" t="str">
        <f>IFERROR(VLOOKUP($G369,今日總結!$A:$AJ,34,0),"")</f>
        <v/>
      </c>
      <c r="L369" s="156" t="str">
        <f>IFERROR(VLOOKUP($G369,今日總結!$A:$AJ,31,0),"")</f>
        <v/>
      </c>
      <c r="M369" s="340" t="str">
        <f>IFERROR(VLOOKUP($G369,今日總結!$A:$AJ,32,0),"")</f>
        <v/>
      </c>
      <c r="N369" s="240" t="str">
        <f t="shared" si="120"/>
        <v/>
      </c>
      <c r="O369" s="245"/>
      <c r="P369" s="365">
        <f>IFERROR(VLOOKUP($G369,融外自投!$A:$J,7,0),"無")</f>
        <v>803</v>
      </c>
      <c r="Q369" s="79">
        <f>IFERROR(VLOOKUP($G369,融外自投!$A:$J,9,0),"無")</f>
        <v>292</v>
      </c>
      <c r="R369" s="346">
        <f>IFERROR(VLOOKUP($G369,融外自投!$A:$J,8,0),"無")</f>
        <v>242</v>
      </c>
      <c r="S369" s="81">
        <f>IFERROR(VLOOKUP($G369,融外自投!$A:$J,10,0),"無")</f>
        <v>90</v>
      </c>
      <c r="T369" s="327">
        <f>IFERROR(VLOOKUP($G369,'321買'!$A:$E,5,0),"'沒有資料'")</f>
        <v>131</v>
      </c>
      <c r="U369" s="65">
        <v>4.2</v>
      </c>
      <c r="V369" s="311"/>
      <c r="W369" s="39">
        <f t="shared" si="121"/>
        <v>5.9238363892806768E-2</v>
      </c>
      <c r="X369" s="165">
        <v>70.900000000000006</v>
      </c>
      <c r="Y369" s="65">
        <v>68.900000000000006</v>
      </c>
      <c r="Z369" s="162">
        <f t="shared" si="117"/>
        <v>2</v>
      </c>
      <c r="AA369" s="158">
        <f t="shared" si="118"/>
        <v>2.9027576197387515E-2</v>
      </c>
      <c r="AB369" s="184" t="s">
        <v>3056</v>
      </c>
      <c r="AC369" s="382"/>
      <c r="AD369" s="166" t="s">
        <v>40</v>
      </c>
      <c r="AE369" s="84">
        <v>44228</v>
      </c>
      <c r="AF369" s="83">
        <v>44230</v>
      </c>
      <c r="AG369" s="33">
        <f t="shared" si="122"/>
        <v>2</v>
      </c>
      <c r="AH369" s="116" t="s">
        <v>1122</v>
      </c>
    </row>
    <row r="370" spans="1:41" s="248" customFormat="1">
      <c r="A370" s="141"/>
      <c r="B370" s="79"/>
      <c r="C370" s="80"/>
      <c r="D370" s="79"/>
      <c r="E370" s="80"/>
      <c r="F370" s="6"/>
      <c r="G370" s="41"/>
      <c r="H370" s="54"/>
      <c r="I370" s="166"/>
      <c r="J370" s="1"/>
      <c r="K370" s="1"/>
      <c r="L370" s="123"/>
      <c r="M370" s="234"/>
      <c r="N370" s="341"/>
      <c r="O370" s="245"/>
      <c r="P370" s="89"/>
      <c r="Q370" s="73"/>
      <c r="R370" s="354"/>
      <c r="S370" s="303"/>
      <c r="T370" s="322"/>
      <c r="U370" s="65"/>
      <c r="V370" s="311"/>
      <c r="W370" s="39"/>
      <c r="X370" s="161">
        <f>SUM(X353:X369)</f>
        <v>990.89999999999975</v>
      </c>
      <c r="Y370" s="65">
        <f>SUM(Y353:Y369)</f>
        <v>937.75</v>
      </c>
      <c r="Z370" s="162">
        <f>SUM(Z353:Z369)</f>
        <v>53.149999999999977</v>
      </c>
      <c r="AA370" s="158">
        <f>Z370/Y370</f>
        <v>5.6678219141562229E-2</v>
      </c>
      <c r="AB370" s="113"/>
      <c r="AC370" s="382"/>
      <c r="AD370" s="153">
        <f>X370*(0.001425*0.65)+X370*0.003+Y370*(0.001425*0.65)</f>
        <v>4.7591120624999999</v>
      </c>
      <c r="AE370" s="6">
        <f>Z370-AD370</f>
        <v>48.390887937499976</v>
      </c>
      <c r="AF370" s="83"/>
      <c r="AG370" s="33"/>
      <c r="AH370" s="138"/>
      <c r="AI370" s="163"/>
    </row>
    <row r="371" spans="1:41" s="248" customFormat="1">
      <c r="A371" s="141"/>
      <c r="B371" s="79"/>
      <c r="C371" s="80"/>
      <c r="D371" s="79"/>
      <c r="E371" s="80"/>
      <c r="F371" s="6"/>
      <c r="G371" s="41"/>
      <c r="H371" s="50"/>
      <c r="I371" s="166"/>
      <c r="J371" s="1"/>
      <c r="K371" s="1"/>
      <c r="L371" s="123"/>
      <c r="M371" s="234"/>
      <c r="N371" s="341"/>
      <c r="O371" s="245"/>
      <c r="P371" s="89"/>
      <c r="Q371" s="73"/>
      <c r="R371" s="354"/>
      <c r="S371" s="303"/>
      <c r="T371" s="322"/>
      <c r="U371" s="65"/>
      <c r="V371" s="311"/>
      <c r="W371" s="39"/>
      <c r="X371" s="161"/>
      <c r="Y371" s="65"/>
      <c r="Z371" s="162"/>
      <c r="AA371" s="158"/>
      <c r="AB371" s="113"/>
      <c r="AC371" s="382"/>
      <c r="AD371" s="153">
        <f>X370*(0.001425*0.28)+X370*0.003+Y370*(0.001425*0.28)</f>
        <v>3.7422313499999991</v>
      </c>
      <c r="AE371" s="84"/>
      <c r="AF371" s="83"/>
      <c r="AG371" s="33"/>
      <c r="AH371" s="138"/>
      <c r="AI371" s="163"/>
    </row>
    <row r="372" spans="1:41" s="248" customFormat="1">
      <c r="A372" s="141"/>
      <c r="B372" s="79"/>
      <c r="C372" s="80"/>
      <c r="D372" s="79"/>
      <c r="E372" s="80"/>
      <c r="F372" s="6"/>
      <c r="G372" s="41"/>
      <c r="H372" s="50"/>
      <c r="I372" s="166"/>
      <c r="J372" s="1"/>
      <c r="K372" s="1"/>
      <c r="L372" s="123"/>
      <c r="M372" s="234"/>
      <c r="N372" s="341"/>
      <c r="O372" s="245"/>
      <c r="P372" s="89"/>
      <c r="Q372" s="73"/>
      <c r="R372" s="354"/>
      <c r="S372" s="303"/>
      <c r="T372" s="322"/>
      <c r="U372" s="65"/>
      <c r="V372" s="311"/>
      <c r="W372" s="39"/>
      <c r="X372" s="161"/>
      <c r="Y372" s="65"/>
      <c r="Z372" s="162"/>
      <c r="AA372" s="158"/>
      <c r="AB372" s="113"/>
      <c r="AC372" s="382"/>
      <c r="AD372" s="153"/>
      <c r="AE372" s="84"/>
      <c r="AF372" s="83"/>
      <c r="AG372" s="33"/>
      <c r="AH372" s="138"/>
      <c r="AI372" s="163"/>
    </row>
    <row r="373" spans="1:41" s="255" customFormat="1">
      <c r="A373" s="127" t="s">
        <v>1673</v>
      </c>
      <c r="B373" s="90" t="s">
        <v>1572</v>
      </c>
      <c r="C373" s="90" t="s">
        <v>1573</v>
      </c>
      <c r="D373" s="90" t="s">
        <v>1574</v>
      </c>
      <c r="E373" s="90" t="s">
        <v>1575</v>
      </c>
      <c r="F373" s="8" t="s">
        <v>1060</v>
      </c>
      <c r="G373" s="26" t="s">
        <v>3442</v>
      </c>
      <c r="H373" s="55" t="s">
        <v>2899</v>
      </c>
      <c r="I373" s="1" t="s">
        <v>69</v>
      </c>
      <c r="J373" s="1"/>
      <c r="K373" s="1"/>
      <c r="L373" s="123"/>
      <c r="M373" s="234"/>
      <c r="N373" s="341"/>
      <c r="O373" s="245"/>
      <c r="P373" s="89"/>
      <c r="Q373" s="73"/>
      <c r="R373" s="354"/>
      <c r="S373" s="104" t="s">
        <v>3443</v>
      </c>
      <c r="T373" s="321" t="s">
        <v>3339</v>
      </c>
      <c r="U373" s="10" t="s">
        <v>2949</v>
      </c>
      <c r="V373" s="311"/>
      <c r="W373" s="68" t="s">
        <v>3273</v>
      </c>
      <c r="X373" s="28" t="s">
        <v>2948</v>
      </c>
      <c r="Y373" s="17" t="s">
        <v>2950</v>
      </c>
      <c r="Z373" s="14" t="s">
        <v>2895</v>
      </c>
      <c r="AA373" s="21" t="s">
        <v>2896</v>
      </c>
      <c r="AB373" s="25" t="s">
        <v>2897</v>
      </c>
      <c r="AC373" s="382"/>
      <c r="AD373" s="1" t="s">
        <v>2898</v>
      </c>
      <c r="AE373" s="71" t="s">
        <v>2900</v>
      </c>
      <c r="AF373" s="72" t="s">
        <v>2901</v>
      </c>
      <c r="AG373" s="32" t="s">
        <v>1158</v>
      </c>
      <c r="AH373" s="46" t="s">
        <v>2902</v>
      </c>
      <c r="AI373" s="163"/>
    </row>
    <row r="374" spans="1:41" s="248" customFormat="1">
      <c r="A374" s="127" t="s">
        <v>2903</v>
      </c>
      <c r="B374" s="79">
        <v>969</v>
      </c>
      <c r="C374" s="92">
        <v>2455</v>
      </c>
      <c r="D374" s="79">
        <v>5</v>
      </c>
      <c r="E374" s="80">
        <v>-3</v>
      </c>
      <c r="F374" s="57">
        <v>13.31</v>
      </c>
      <c r="G374" s="79">
        <v>2368</v>
      </c>
      <c r="H374" s="30" t="s">
        <v>2905</v>
      </c>
      <c r="I374" s="153" t="s">
        <v>2904</v>
      </c>
      <c r="J374" s="8">
        <f>IFERROR(VLOOKUP($G374,今日總結!$A:$AJ,33,0),"")</f>
        <v>0</v>
      </c>
      <c r="K374" s="5">
        <f>IFERROR(VLOOKUP($G374,今日總結!$A:$AJ,34,0),"")</f>
        <v>1</v>
      </c>
      <c r="L374" s="156">
        <f>IFERROR(VLOOKUP($G374,今日總結!$A:$AJ,31,0),"")</f>
        <v>0</v>
      </c>
      <c r="M374" s="340">
        <f>IFERROR(VLOOKUP($G374,今日總結!$A:$AJ,32,0),"")</f>
        <v>0</v>
      </c>
      <c r="N374" s="240">
        <f t="shared" ref="N374:N390" si="123">IFERROR(L374-M374,"")</f>
        <v>0</v>
      </c>
      <c r="O374" s="245"/>
      <c r="P374" s="365">
        <f>IFERROR(VLOOKUP($G374,融外自投!$A:$J,7,0),"無")</f>
        <v>647</v>
      </c>
      <c r="Q374" s="79">
        <f>IFERROR(VLOOKUP($G374,融外自投!$A:$J,9,0),"無")</f>
        <v>226</v>
      </c>
      <c r="R374" s="346">
        <f>IFERROR(VLOOKUP($G374,融外自投!$A:$J,8,0),"無")</f>
        <v>320</v>
      </c>
      <c r="S374" s="81">
        <f>IFERROR(VLOOKUP($G374,融外自投!$A:$J,10,0),"無")</f>
        <v>8</v>
      </c>
      <c r="T374" s="327">
        <f>IFERROR(VLOOKUP($G374,'321買'!$A:$E,5,0),"'沒有資料'")</f>
        <v>38</v>
      </c>
      <c r="U374" s="185">
        <v>0</v>
      </c>
      <c r="V374" s="311"/>
      <c r="W374" s="57">
        <f t="shared" ref="W374:W394" si="124">U374/X374</f>
        <v>0</v>
      </c>
      <c r="X374" s="161">
        <v>53.8</v>
      </c>
      <c r="Y374" s="65">
        <v>52.7</v>
      </c>
      <c r="Z374" s="162">
        <f t="shared" ref="Z374:Z383" si="125">X374-Y374</f>
        <v>1.0999999999999943</v>
      </c>
      <c r="AA374" s="158">
        <f t="shared" ref="AA374:AA384" si="126">Z374/Y374</f>
        <v>2.0872865275142205E-2</v>
      </c>
      <c r="AB374" s="184" t="s">
        <v>3023</v>
      </c>
      <c r="AC374" s="382"/>
      <c r="AD374" s="153" t="s">
        <v>2904</v>
      </c>
      <c r="AE374" s="84">
        <v>44218</v>
      </c>
      <c r="AF374" s="83">
        <v>44224</v>
      </c>
      <c r="AG374" s="33">
        <f>AF374-AE374</f>
        <v>6</v>
      </c>
      <c r="AH374" s="116" t="s">
        <v>2906</v>
      </c>
      <c r="AI374" s="117"/>
    </row>
    <row r="375" spans="1:41" s="248" customFormat="1">
      <c r="A375" s="127" t="s">
        <v>2903</v>
      </c>
      <c r="B375" s="79">
        <v>969</v>
      </c>
      <c r="C375" s="92">
        <v>2455</v>
      </c>
      <c r="D375" s="79">
        <v>5</v>
      </c>
      <c r="E375" s="80">
        <v>-3</v>
      </c>
      <c r="F375" s="57">
        <v>13.31</v>
      </c>
      <c r="G375" s="79">
        <v>2368</v>
      </c>
      <c r="H375" s="30" t="s">
        <v>2905</v>
      </c>
      <c r="I375" s="153" t="s">
        <v>2904</v>
      </c>
      <c r="J375" s="8">
        <f>IFERROR(VLOOKUP($G375,今日總結!$A:$AJ,33,0),"")</f>
        <v>0</v>
      </c>
      <c r="K375" s="5">
        <f>IFERROR(VLOOKUP($G375,今日總結!$A:$AJ,34,0),"")</f>
        <v>1</v>
      </c>
      <c r="L375" s="156">
        <f>IFERROR(VLOOKUP($G375,今日總結!$A:$AJ,31,0),"")</f>
        <v>0</v>
      </c>
      <c r="M375" s="340">
        <f>IFERROR(VLOOKUP($G375,今日總結!$A:$AJ,32,0),"")</f>
        <v>0</v>
      </c>
      <c r="N375" s="240">
        <f t="shared" si="123"/>
        <v>0</v>
      </c>
      <c r="O375" s="245"/>
      <c r="P375" s="365">
        <f>IFERROR(VLOOKUP($G375,融外自投!$A:$J,7,0),"無")</f>
        <v>647</v>
      </c>
      <c r="Q375" s="79">
        <f>IFERROR(VLOOKUP($G375,融外自投!$A:$J,9,0),"無")</f>
        <v>226</v>
      </c>
      <c r="R375" s="346">
        <f>IFERROR(VLOOKUP($G375,融外自投!$A:$J,8,0),"無")</f>
        <v>320</v>
      </c>
      <c r="S375" s="81">
        <f>IFERROR(VLOOKUP($G375,融外自投!$A:$J,10,0),"無")</f>
        <v>8</v>
      </c>
      <c r="T375" s="327">
        <f>IFERROR(VLOOKUP($G375,'321買'!$A:$E,5,0),"'沒有資料'")</f>
        <v>38</v>
      </c>
      <c r="U375" s="185">
        <v>0</v>
      </c>
      <c r="V375" s="311"/>
      <c r="W375" s="57">
        <f t="shared" si="124"/>
        <v>0</v>
      </c>
      <c r="X375" s="161">
        <v>53.8</v>
      </c>
      <c r="Y375" s="65">
        <v>52.3</v>
      </c>
      <c r="Z375" s="162">
        <f t="shared" si="125"/>
        <v>1.5</v>
      </c>
      <c r="AA375" s="158">
        <f t="shared" si="126"/>
        <v>2.8680688336520078E-2</v>
      </c>
      <c r="AB375" s="184" t="s">
        <v>3024</v>
      </c>
      <c r="AC375" s="382"/>
      <c r="AD375" s="153" t="s">
        <v>2904</v>
      </c>
      <c r="AE375" s="84">
        <v>44217</v>
      </c>
      <c r="AF375" s="83">
        <v>44224</v>
      </c>
      <c r="AG375" s="33">
        <f>AF375-AE375</f>
        <v>7</v>
      </c>
      <c r="AH375" s="116" t="s">
        <v>2906</v>
      </c>
      <c r="AI375" s="117"/>
    </row>
    <row r="376" spans="1:41" s="248" customFormat="1">
      <c r="A376" s="142" t="s">
        <v>2907</v>
      </c>
      <c r="B376" s="79">
        <v>7</v>
      </c>
      <c r="C376" s="79">
        <v>0</v>
      </c>
      <c r="D376" s="80">
        <v>-9</v>
      </c>
      <c r="E376" s="80">
        <v>-1</v>
      </c>
      <c r="F376" s="6">
        <v>7.51</v>
      </c>
      <c r="G376" s="80">
        <v>1216</v>
      </c>
      <c r="H376" s="30" t="s">
        <v>2905</v>
      </c>
      <c r="I376" s="153" t="s">
        <v>2908</v>
      </c>
      <c r="J376" s="8">
        <f>IFERROR(VLOOKUP($G376,今日總結!$A:$AJ,33,0),"")</f>
        <v>1</v>
      </c>
      <c r="K376" s="5">
        <f>IFERROR(VLOOKUP($G376,今日總結!$A:$AJ,34,0),"")</f>
        <v>1</v>
      </c>
      <c r="L376" s="156">
        <f>IFERROR(VLOOKUP($G376,今日總結!$A:$AJ,31,0),"")</f>
        <v>0</v>
      </c>
      <c r="M376" s="340">
        <f>IFERROR(VLOOKUP($G376,今日總結!$A:$AJ,32,0),"")</f>
        <v>0</v>
      </c>
      <c r="N376" s="240">
        <f t="shared" si="123"/>
        <v>0</v>
      </c>
      <c r="O376" s="245"/>
      <c r="P376" s="365">
        <f>IFERROR(VLOOKUP($G376,融外自投!$A:$J,7,0),"無")</f>
        <v>1428</v>
      </c>
      <c r="Q376" s="79">
        <f>IFERROR(VLOOKUP($G376,融外自投!$A:$J,9,0),"無")</f>
        <v>379</v>
      </c>
      <c r="R376" s="346">
        <f>IFERROR(VLOOKUP($G376,融外自投!$A:$J,8,0),"無")</f>
        <v>115</v>
      </c>
      <c r="S376" s="81">
        <f>IFERROR(VLOOKUP($G376,融外自投!$A:$J,10,0),"無")</f>
        <v>150</v>
      </c>
      <c r="T376" s="327">
        <f>IFERROR(VLOOKUP($G376,'321買'!$A:$E,5,0),"'沒有資料'")</f>
        <v>77</v>
      </c>
      <c r="U376" s="185">
        <v>2.5</v>
      </c>
      <c r="V376" s="311"/>
      <c r="W376" s="94">
        <f t="shared" si="124"/>
        <v>3.7091988130563795E-2</v>
      </c>
      <c r="X376" s="165">
        <v>67.400000000000006</v>
      </c>
      <c r="Y376" s="65">
        <v>67.599999999999994</v>
      </c>
      <c r="Z376" s="162">
        <f t="shared" si="125"/>
        <v>-0.19999999999998863</v>
      </c>
      <c r="AA376" s="164">
        <f t="shared" si="126"/>
        <v>-2.9585798816566368E-3</v>
      </c>
      <c r="AB376" s="112" t="s">
        <v>3025</v>
      </c>
      <c r="AC376" s="382"/>
      <c r="AD376" s="153" t="s">
        <v>2908</v>
      </c>
      <c r="AE376" s="84">
        <v>44196</v>
      </c>
      <c r="AF376" s="83">
        <v>44224</v>
      </c>
      <c r="AG376" s="33">
        <f>AF376-AE376</f>
        <v>28</v>
      </c>
      <c r="AH376" s="116" t="s">
        <v>2906</v>
      </c>
      <c r="AI376" s="247"/>
      <c r="AJ376" s="38"/>
      <c r="AK376" s="65"/>
      <c r="AL376" s="157"/>
      <c r="AM376" s="65"/>
      <c r="AN376" s="41"/>
      <c r="AO376" s="153"/>
    </row>
    <row r="377" spans="1:41" s="248" customFormat="1">
      <c r="A377" s="142" t="s">
        <v>2907</v>
      </c>
      <c r="B377" s="79">
        <v>7</v>
      </c>
      <c r="C377" s="79">
        <v>0</v>
      </c>
      <c r="D377" s="80">
        <v>-9</v>
      </c>
      <c r="E377" s="80">
        <v>-1</v>
      </c>
      <c r="F377" s="6">
        <v>7.51</v>
      </c>
      <c r="G377" s="80">
        <v>1216</v>
      </c>
      <c r="H377" s="30" t="s">
        <v>2905</v>
      </c>
      <c r="I377" s="153" t="s">
        <v>2908</v>
      </c>
      <c r="J377" s="8">
        <f>IFERROR(VLOOKUP($G377,今日總結!$A:$AJ,33,0),"")</f>
        <v>1</v>
      </c>
      <c r="K377" s="5">
        <f>IFERROR(VLOOKUP($G377,今日總結!$A:$AJ,34,0),"")</f>
        <v>1</v>
      </c>
      <c r="L377" s="156">
        <f>IFERROR(VLOOKUP($G377,今日總結!$A:$AJ,31,0),"")</f>
        <v>0</v>
      </c>
      <c r="M377" s="340">
        <f>IFERROR(VLOOKUP($G377,今日總結!$A:$AJ,32,0),"")</f>
        <v>0</v>
      </c>
      <c r="N377" s="240">
        <f t="shared" si="123"/>
        <v>0</v>
      </c>
      <c r="O377" s="245"/>
      <c r="P377" s="365">
        <f>IFERROR(VLOOKUP($G377,融外自投!$A:$J,7,0),"無")</f>
        <v>1428</v>
      </c>
      <c r="Q377" s="79">
        <f>IFERROR(VLOOKUP($G377,融外自投!$A:$J,9,0),"無")</f>
        <v>379</v>
      </c>
      <c r="R377" s="346">
        <f>IFERROR(VLOOKUP($G377,融外自投!$A:$J,8,0),"無")</f>
        <v>115</v>
      </c>
      <c r="S377" s="81">
        <f>IFERROR(VLOOKUP($G377,融外自投!$A:$J,10,0),"無")</f>
        <v>150</v>
      </c>
      <c r="T377" s="327">
        <f>IFERROR(VLOOKUP($G377,'321買'!$A:$E,5,0),"'沒有資料'")</f>
        <v>77</v>
      </c>
      <c r="U377" s="185">
        <v>2.5</v>
      </c>
      <c r="V377" s="311"/>
      <c r="W377" s="94">
        <f t="shared" si="124"/>
        <v>3.7091988130563795E-2</v>
      </c>
      <c r="X377" s="165">
        <v>67.400000000000006</v>
      </c>
      <c r="Y377" s="65">
        <v>66.7</v>
      </c>
      <c r="Z377" s="162">
        <f t="shared" si="125"/>
        <v>0.70000000000000284</v>
      </c>
      <c r="AA377" s="158">
        <f t="shared" si="126"/>
        <v>1.0494752623688198E-2</v>
      </c>
      <c r="AB377" s="111" t="s">
        <v>3026</v>
      </c>
      <c r="AC377" s="382"/>
      <c r="AD377" s="153" t="s">
        <v>2908</v>
      </c>
      <c r="AE377" s="84">
        <v>44183</v>
      </c>
      <c r="AF377" s="83">
        <v>44224</v>
      </c>
      <c r="AG377" s="33">
        <f>AF377-AE377</f>
        <v>41</v>
      </c>
      <c r="AH377" s="116" t="s">
        <v>2906</v>
      </c>
      <c r="AI377" s="247"/>
      <c r="AJ377" s="38"/>
      <c r="AK377" s="65"/>
      <c r="AL377" s="157"/>
      <c r="AM377" s="65"/>
      <c r="AN377" s="41"/>
      <c r="AO377" s="153"/>
    </row>
    <row r="378" spans="1:41" s="248" customFormat="1">
      <c r="A378" s="127" t="s">
        <v>2909</v>
      </c>
      <c r="B378" s="79">
        <v>24</v>
      </c>
      <c r="C378" s="79">
        <v>33</v>
      </c>
      <c r="D378" s="79">
        <v>7</v>
      </c>
      <c r="E378" s="79">
        <v>14</v>
      </c>
      <c r="F378" s="57">
        <v>15.22</v>
      </c>
      <c r="G378" s="79">
        <v>5439</v>
      </c>
      <c r="H378" s="30" t="s">
        <v>2905</v>
      </c>
      <c r="I378" s="166" t="s">
        <v>2910</v>
      </c>
      <c r="J378" s="8">
        <f>IFERROR(VLOOKUP($G378,今日總結!$A:$AJ,33,0),"")</f>
        <v>0</v>
      </c>
      <c r="K378" s="5">
        <f>IFERROR(VLOOKUP($G378,今日總結!$A:$AJ,34,0),"")</f>
        <v>2</v>
      </c>
      <c r="L378" s="156">
        <f>IFERROR(VLOOKUP($G378,今日總結!$A:$AJ,31,0),"")</f>
        <v>0</v>
      </c>
      <c r="M378" s="340">
        <f>IFERROR(VLOOKUP($G378,今日總結!$A:$AJ,32,0),"")</f>
        <v>0</v>
      </c>
      <c r="N378" s="240">
        <f t="shared" si="123"/>
        <v>0</v>
      </c>
      <c r="O378" s="245"/>
      <c r="P378" s="365">
        <f>IFERROR(VLOOKUP($G378,融外自投!$A:$J,7,0),"無")</f>
        <v>585</v>
      </c>
      <c r="Q378" s="79">
        <f>IFERROR(VLOOKUP($G378,融外自投!$A:$J,9,0),"無")</f>
        <v>789</v>
      </c>
      <c r="R378" s="346">
        <f>IFERROR(VLOOKUP($G378,融外自投!$A:$J,8,0),"無")</f>
        <v>1011</v>
      </c>
      <c r="S378" s="81">
        <f>IFERROR(VLOOKUP($G378,融外自投!$A:$J,10,0),"無")</f>
        <v>116</v>
      </c>
      <c r="T378" s="327">
        <f>IFERROR(VLOOKUP($G378,'321買'!$A:$E,5,0),"'沒有資料'")</f>
        <v>480</v>
      </c>
      <c r="U378" s="185">
        <v>2.2999999999999998</v>
      </c>
      <c r="V378" s="311"/>
      <c r="W378" s="94">
        <f t="shared" si="124"/>
        <v>4.1441441441441441E-2</v>
      </c>
      <c r="X378" s="161">
        <v>55.5</v>
      </c>
      <c r="Y378" s="155">
        <v>52.7</v>
      </c>
      <c r="Z378" s="162">
        <f t="shared" si="125"/>
        <v>2.7999999999999972</v>
      </c>
      <c r="AA378" s="158">
        <f t="shared" si="126"/>
        <v>5.3130929791271292E-2</v>
      </c>
      <c r="AB378" s="184" t="s">
        <v>3018</v>
      </c>
      <c r="AC378" s="382"/>
      <c r="AD378" s="166" t="s">
        <v>2910</v>
      </c>
      <c r="AE378" s="84">
        <v>44222</v>
      </c>
      <c r="AF378" s="83">
        <v>44224</v>
      </c>
      <c r="AG378" s="33">
        <f t="shared" ref="AG378:AG383" si="127">AF378-AE378</f>
        <v>2</v>
      </c>
      <c r="AH378" s="116" t="s">
        <v>2911</v>
      </c>
      <c r="AI378" s="163"/>
    </row>
    <row r="379" spans="1:41" s="248" customFormat="1">
      <c r="A379" s="127" t="s">
        <v>2909</v>
      </c>
      <c r="B379" s="79">
        <v>24</v>
      </c>
      <c r="C379" s="79">
        <v>33</v>
      </c>
      <c r="D379" s="79">
        <v>7</v>
      </c>
      <c r="E379" s="79">
        <v>14</v>
      </c>
      <c r="F379" s="57">
        <v>15.22</v>
      </c>
      <c r="G379" s="79">
        <v>5439</v>
      </c>
      <c r="H379" s="30" t="s">
        <v>2905</v>
      </c>
      <c r="I379" s="166" t="s">
        <v>2910</v>
      </c>
      <c r="J379" s="8">
        <f>IFERROR(VLOOKUP($G379,今日總結!$A:$AJ,33,0),"")</f>
        <v>0</v>
      </c>
      <c r="K379" s="5">
        <f>IFERROR(VLOOKUP($G379,今日總結!$A:$AJ,34,0),"")</f>
        <v>2</v>
      </c>
      <c r="L379" s="156">
        <f>IFERROR(VLOOKUP($G379,今日總結!$A:$AJ,31,0),"")</f>
        <v>0</v>
      </c>
      <c r="M379" s="340">
        <f>IFERROR(VLOOKUP($G379,今日總結!$A:$AJ,32,0),"")</f>
        <v>0</v>
      </c>
      <c r="N379" s="240">
        <f t="shared" si="123"/>
        <v>0</v>
      </c>
      <c r="O379" s="245"/>
      <c r="P379" s="365">
        <f>IFERROR(VLOOKUP($G379,融外自投!$A:$J,7,0),"無")</f>
        <v>585</v>
      </c>
      <c r="Q379" s="79">
        <f>IFERROR(VLOOKUP($G379,融外自投!$A:$J,9,0),"無")</f>
        <v>789</v>
      </c>
      <c r="R379" s="346">
        <f>IFERROR(VLOOKUP($G379,融外自投!$A:$J,8,0),"無")</f>
        <v>1011</v>
      </c>
      <c r="S379" s="81">
        <f>IFERROR(VLOOKUP($G379,融外自投!$A:$J,10,0),"無")</f>
        <v>116</v>
      </c>
      <c r="T379" s="327">
        <f>IFERROR(VLOOKUP($G379,'321買'!$A:$E,5,0),"'沒有資料'")</f>
        <v>480</v>
      </c>
      <c r="U379" s="185">
        <v>2.2999999999999998</v>
      </c>
      <c r="V379" s="311"/>
      <c r="W379" s="94">
        <f t="shared" si="124"/>
        <v>4.1441441441441441E-2</v>
      </c>
      <c r="X379" s="161">
        <v>55.5</v>
      </c>
      <c r="Y379" s="155">
        <v>51.8</v>
      </c>
      <c r="Z379" s="162">
        <f t="shared" si="125"/>
        <v>3.7000000000000028</v>
      </c>
      <c r="AA379" s="158">
        <f t="shared" si="126"/>
        <v>7.1428571428571494E-2</v>
      </c>
      <c r="AB379" s="184" t="s">
        <v>1459</v>
      </c>
      <c r="AC379" s="382"/>
      <c r="AD379" s="166" t="s">
        <v>2910</v>
      </c>
      <c r="AE379" s="84">
        <v>44219</v>
      </c>
      <c r="AF379" s="83">
        <v>44224</v>
      </c>
      <c r="AG379" s="33">
        <f t="shared" si="127"/>
        <v>5</v>
      </c>
      <c r="AH379" s="116" t="s">
        <v>2911</v>
      </c>
      <c r="AI379" s="163"/>
    </row>
    <row r="380" spans="1:41" s="248" customFormat="1">
      <c r="A380" s="127" t="s">
        <v>2909</v>
      </c>
      <c r="B380" s="79">
        <v>24</v>
      </c>
      <c r="C380" s="79">
        <v>33</v>
      </c>
      <c r="D380" s="79">
        <v>7</v>
      </c>
      <c r="E380" s="79">
        <v>14</v>
      </c>
      <c r="F380" s="57">
        <v>15.22</v>
      </c>
      <c r="G380" s="79">
        <v>5439</v>
      </c>
      <c r="H380" s="30" t="s">
        <v>2905</v>
      </c>
      <c r="I380" s="166" t="s">
        <v>2910</v>
      </c>
      <c r="J380" s="8">
        <f>IFERROR(VLOOKUP($G380,今日總結!$A:$AJ,33,0),"")</f>
        <v>0</v>
      </c>
      <c r="K380" s="5">
        <f>IFERROR(VLOOKUP($G380,今日總結!$A:$AJ,34,0),"")</f>
        <v>2</v>
      </c>
      <c r="L380" s="156">
        <f>IFERROR(VLOOKUP($G380,今日總結!$A:$AJ,31,0),"")</f>
        <v>0</v>
      </c>
      <c r="M380" s="340">
        <f>IFERROR(VLOOKUP($G380,今日總結!$A:$AJ,32,0),"")</f>
        <v>0</v>
      </c>
      <c r="N380" s="240">
        <f t="shared" si="123"/>
        <v>0</v>
      </c>
      <c r="O380" s="245"/>
      <c r="P380" s="365">
        <f>IFERROR(VLOOKUP($G380,融外自投!$A:$J,7,0),"無")</f>
        <v>585</v>
      </c>
      <c r="Q380" s="79">
        <f>IFERROR(VLOOKUP($G380,融外自投!$A:$J,9,0),"無")</f>
        <v>789</v>
      </c>
      <c r="R380" s="346">
        <f>IFERROR(VLOOKUP($G380,融外自投!$A:$J,8,0),"無")</f>
        <v>1011</v>
      </c>
      <c r="S380" s="81">
        <f>IFERROR(VLOOKUP($G380,融外自投!$A:$J,10,0),"無")</f>
        <v>116</v>
      </c>
      <c r="T380" s="327">
        <f>IFERROR(VLOOKUP($G380,'321買'!$A:$E,5,0),"'沒有資料'")</f>
        <v>480</v>
      </c>
      <c r="U380" s="185">
        <v>2.2999999999999998</v>
      </c>
      <c r="V380" s="311"/>
      <c r="W380" s="94">
        <f t="shared" si="124"/>
        <v>4.1441441441441441E-2</v>
      </c>
      <c r="X380" s="161">
        <v>55.5</v>
      </c>
      <c r="Y380" s="155">
        <v>51.5</v>
      </c>
      <c r="Z380" s="162">
        <f t="shared" si="125"/>
        <v>4</v>
      </c>
      <c r="AA380" s="158">
        <f t="shared" si="126"/>
        <v>7.7669902912621352E-2</v>
      </c>
      <c r="AB380" s="184" t="s">
        <v>3027</v>
      </c>
      <c r="AC380" s="382"/>
      <c r="AD380" s="166" t="s">
        <v>2910</v>
      </c>
      <c r="AE380" s="84">
        <v>44218</v>
      </c>
      <c r="AF380" s="83">
        <v>44224</v>
      </c>
      <c r="AG380" s="33">
        <f t="shared" si="127"/>
        <v>6</v>
      </c>
      <c r="AH380" s="116" t="s">
        <v>2911</v>
      </c>
      <c r="AI380" s="163"/>
    </row>
    <row r="381" spans="1:41" s="248" customFormat="1">
      <c r="A381" s="127" t="s">
        <v>2909</v>
      </c>
      <c r="B381" s="79">
        <v>24</v>
      </c>
      <c r="C381" s="79">
        <v>33</v>
      </c>
      <c r="D381" s="79">
        <v>7</v>
      </c>
      <c r="E381" s="79">
        <v>14</v>
      </c>
      <c r="F381" s="57">
        <v>15.22</v>
      </c>
      <c r="G381" s="79">
        <v>5439</v>
      </c>
      <c r="H381" s="30" t="s">
        <v>2905</v>
      </c>
      <c r="I381" s="166" t="s">
        <v>2910</v>
      </c>
      <c r="J381" s="8">
        <f>IFERROR(VLOOKUP($G381,今日總結!$A:$AJ,33,0),"")</f>
        <v>0</v>
      </c>
      <c r="K381" s="5">
        <f>IFERROR(VLOOKUP($G381,今日總結!$A:$AJ,34,0),"")</f>
        <v>2</v>
      </c>
      <c r="L381" s="156">
        <f>IFERROR(VLOOKUP($G381,今日總結!$A:$AJ,31,0),"")</f>
        <v>0</v>
      </c>
      <c r="M381" s="340">
        <f>IFERROR(VLOOKUP($G381,今日總結!$A:$AJ,32,0),"")</f>
        <v>0</v>
      </c>
      <c r="N381" s="240">
        <f t="shared" si="123"/>
        <v>0</v>
      </c>
      <c r="O381" s="245"/>
      <c r="P381" s="365">
        <f>IFERROR(VLOOKUP($G381,融外自投!$A:$J,7,0),"無")</f>
        <v>585</v>
      </c>
      <c r="Q381" s="79">
        <f>IFERROR(VLOOKUP($G381,融外自投!$A:$J,9,0),"無")</f>
        <v>789</v>
      </c>
      <c r="R381" s="346">
        <f>IFERROR(VLOOKUP($G381,融外自投!$A:$J,8,0),"無")</f>
        <v>1011</v>
      </c>
      <c r="S381" s="81">
        <f>IFERROR(VLOOKUP($G381,融外自投!$A:$J,10,0),"無")</f>
        <v>116</v>
      </c>
      <c r="T381" s="327">
        <f>IFERROR(VLOOKUP($G381,'321買'!$A:$E,5,0),"'沒有資料'")</f>
        <v>480</v>
      </c>
      <c r="U381" s="185">
        <v>2.2999999999999998</v>
      </c>
      <c r="V381" s="311"/>
      <c r="W381" s="94">
        <f t="shared" si="124"/>
        <v>4.1441441441441441E-2</v>
      </c>
      <c r="X381" s="161">
        <v>55.5</v>
      </c>
      <c r="Y381" s="155">
        <v>56.5</v>
      </c>
      <c r="Z381" s="162">
        <f t="shared" si="125"/>
        <v>-1</v>
      </c>
      <c r="AA381" s="164">
        <f t="shared" si="126"/>
        <v>-1.7699115044247787E-2</v>
      </c>
      <c r="AB381" s="196" t="s">
        <v>3028</v>
      </c>
      <c r="AC381" s="382"/>
      <c r="AD381" s="166" t="s">
        <v>2910</v>
      </c>
      <c r="AE381" s="84">
        <v>44203</v>
      </c>
      <c r="AF381" s="83">
        <v>44224</v>
      </c>
      <c r="AG381" s="33">
        <f t="shared" si="127"/>
        <v>21</v>
      </c>
      <c r="AH381" s="116" t="s">
        <v>2911</v>
      </c>
      <c r="AI381" s="163"/>
    </row>
    <row r="382" spans="1:41" s="248" customFormat="1">
      <c r="A382" s="127" t="s">
        <v>2909</v>
      </c>
      <c r="B382" s="79">
        <v>24</v>
      </c>
      <c r="C382" s="79">
        <v>33</v>
      </c>
      <c r="D382" s="79">
        <v>7</v>
      </c>
      <c r="E382" s="79">
        <v>14</v>
      </c>
      <c r="F382" s="57">
        <v>15.22</v>
      </c>
      <c r="G382" s="79">
        <v>5439</v>
      </c>
      <c r="H382" s="30" t="s">
        <v>2905</v>
      </c>
      <c r="I382" s="166" t="s">
        <v>2910</v>
      </c>
      <c r="J382" s="8">
        <f>IFERROR(VLOOKUP($G382,今日總結!$A:$AJ,33,0),"")</f>
        <v>0</v>
      </c>
      <c r="K382" s="5">
        <f>IFERROR(VLOOKUP($G382,今日總結!$A:$AJ,34,0),"")</f>
        <v>2</v>
      </c>
      <c r="L382" s="156">
        <f>IFERROR(VLOOKUP($G382,今日總結!$A:$AJ,31,0),"")</f>
        <v>0</v>
      </c>
      <c r="M382" s="340">
        <f>IFERROR(VLOOKUP($G382,今日總結!$A:$AJ,32,0),"")</f>
        <v>0</v>
      </c>
      <c r="N382" s="240">
        <f t="shared" si="123"/>
        <v>0</v>
      </c>
      <c r="O382" s="245"/>
      <c r="P382" s="365">
        <f>IFERROR(VLOOKUP($G382,融外自投!$A:$J,7,0),"無")</f>
        <v>585</v>
      </c>
      <c r="Q382" s="79">
        <f>IFERROR(VLOOKUP($G382,融外自投!$A:$J,9,0),"無")</f>
        <v>789</v>
      </c>
      <c r="R382" s="346">
        <f>IFERROR(VLOOKUP($G382,融外自投!$A:$J,8,0),"無")</f>
        <v>1011</v>
      </c>
      <c r="S382" s="81">
        <f>IFERROR(VLOOKUP($G382,融外自投!$A:$J,10,0),"無")</f>
        <v>116</v>
      </c>
      <c r="T382" s="327">
        <f>IFERROR(VLOOKUP($G382,'321買'!$A:$E,5,0),"'沒有資料'")</f>
        <v>480</v>
      </c>
      <c r="U382" s="185">
        <v>2.2999999999999998</v>
      </c>
      <c r="V382" s="311"/>
      <c r="W382" s="94">
        <f t="shared" si="124"/>
        <v>4.1441441441441441E-2</v>
      </c>
      <c r="X382" s="161">
        <v>55.5</v>
      </c>
      <c r="Y382" s="155">
        <v>57.7</v>
      </c>
      <c r="Z382" s="162">
        <f t="shared" si="125"/>
        <v>-2.2000000000000028</v>
      </c>
      <c r="AA382" s="164">
        <f t="shared" si="126"/>
        <v>-3.8128249566724483E-2</v>
      </c>
      <c r="AB382" s="196" t="s">
        <v>3029</v>
      </c>
      <c r="AC382" s="382"/>
      <c r="AD382" s="166" t="s">
        <v>2910</v>
      </c>
      <c r="AE382" s="84">
        <v>44203</v>
      </c>
      <c r="AF382" s="83">
        <v>44224</v>
      </c>
      <c r="AG382" s="33">
        <f t="shared" si="127"/>
        <v>21</v>
      </c>
      <c r="AH382" s="116" t="s">
        <v>2911</v>
      </c>
      <c r="AI382" s="163"/>
    </row>
    <row r="383" spans="1:41" s="248" customFormat="1">
      <c r="A383" s="127" t="s">
        <v>2909</v>
      </c>
      <c r="B383" s="79">
        <v>24</v>
      </c>
      <c r="C383" s="79">
        <v>33</v>
      </c>
      <c r="D383" s="79">
        <v>7</v>
      </c>
      <c r="E383" s="79">
        <v>14</v>
      </c>
      <c r="F383" s="57">
        <v>15.22</v>
      </c>
      <c r="G383" s="79">
        <v>5439</v>
      </c>
      <c r="H383" s="30" t="s">
        <v>2905</v>
      </c>
      <c r="I383" s="166" t="s">
        <v>2910</v>
      </c>
      <c r="J383" s="8">
        <f>IFERROR(VLOOKUP($G383,今日總結!$A:$AJ,33,0),"")</f>
        <v>0</v>
      </c>
      <c r="K383" s="5">
        <f>IFERROR(VLOOKUP($G383,今日總結!$A:$AJ,34,0),"")</f>
        <v>2</v>
      </c>
      <c r="L383" s="156">
        <f>IFERROR(VLOOKUP($G383,今日總結!$A:$AJ,31,0),"")</f>
        <v>0</v>
      </c>
      <c r="M383" s="340">
        <f>IFERROR(VLOOKUP($G383,今日總結!$A:$AJ,32,0),"")</f>
        <v>0</v>
      </c>
      <c r="N383" s="240">
        <f t="shared" si="123"/>
        <v>0</v>
      </c>
      <c r="O383" s="245"/>
      <c r="P383" s="365">
        <f>IFERROR(VLOOKUP($G383,融外自投!$A:$J,7,0),"無")</f>
        <v>585</v>
      </c>
      <c r="Q383" s="79">
        <f>IFERROR(VLOOKUP($G383,融外自投!$A:$J,9,0),"無")</f>
        <v>789</v>
      </c>
      <c r="R383" s="346">
        <f>IFERROR(VLOOKUP($G383,融外自投!$A:$J,8,0),"無")</f>
        <v>1011</v>
      </c>
      <c r="S383" s="81">
        <f>IFERROR(VLOOKUP($G383,融外自投!$A:$J,10,0),"無")</f>
        <v>116</v>
      </c>
      <c r="T383" s="327">
        <f>IFERROR(VLOOKUP($G383,'321買'!$A:$E,5,0),"'沒有資料'")</f>
        <v>480</v>
      </c>
      <c r="U383" s="185">
        <v>2.2999999999999998</v>
      </c>
      <c r="V383" s="311"/>
      <c r="W383" s="94">
        <f t="shared" si="124"/>
        <v>4.1441441441441441E-2</v>
      </c>
      <c r="X383" s="161">
        <v>55.5</v>
      </c>
      <c r="Y383" s="155">
        <v>54.3</v>
      </c>
      <c r="Z383" s="162">
        <f t="shared" si="125"/>
        <v>1.2000000000000028</v>
      </c>
      <c r="AA383" s="158">
        <f t="shared" si="126"/>
        <v>2.2099447513812209E-2</v>
      </c>
      <c r="AB383" s="184" t="s">
        <v>3030</v>
      </c>
      <c r="AC383" s="382"/>
      <c r="AD383" s="166" t="s">
        <v>2910</v>
      </c>
      <c r="AE383" s="84">
        <v>44194</v>
      </c>
      <c r="AF383" s="83">
        <v>44224</v>
      </c>
      <c r="AG383" s="33">
        <f t="shared" si="127"/>
        <v>30</v>
      </c>
      <c r="AH383" s="116" t="s">
        <v>2911</v>
      </c>
      <c r="AI383" s="163"/>
    </row>
    <row r="384" spans="1:41" s="248" customFormat="1">
      <c r="A384" s="127" t="s">
        <v>2912</v>
      </c>
      <c r="B384" s="79">
        <v>55</v>
      </c>
      <c r="C384" s="79">
        <v>41</v>
      </c>
      <c r="D384" s="79">
        <v>3</v>
      </c>
      <c r="E384" s="79">
        <v>34</v>
      </c>
      <c r="F384" s="57">
        <v>22.31</v>
      </c>
      <c r="G384" s="79">
        <v>3264</v>
      </c>
      <c r="H384" s="30" t="s">
        <v>2905</v>
      </c>
      <c r="I384" s="166" t="s">
        <v>2913</v>
      </c>
      <c r="J384" s="8" t="str">
        <f>IFERROR(VLOOKUP($G384,今日總結!$A:$AJ,33,0),"")</f>
        <v/>
      </c>
      <c r="K384" s="5" t="str">
        <f>IFERROR(VLOOKUP($G384,今日總結!$A:$AJ,34,0),"")</f>
        <v/>
      </c>
      <c r="L384" s="156" t="str">
        <f>IFERROR(VLOOKUP($G384,今日總結!$A:$AJ,31,0),"")</f>
        <v/>
      </c>
      <c r="M384" s="340" t="str">
        <f>IFERROR(VLOOKUP($G384,今日總結!$A:$AJ,32,0),"")</f>
        <v/>
      </c>
      <c r="N384" s="240" t="str">
        <f t="shared" si="123"/>
        <v/>
      </c>
      <c r="O384" s="245"/>
      <c r="P384" s="365">
        <f>IFERROR(VLOOKUP($G384,融外自投!$A:$J,7,0),"無")</f>
        <v>626</v>
      </c>
      <c r="Q384" s="79">
        <f>IFERROR(VLOOKUP($G384,融外自投!$A:$J,9,0),"無")</f>
        <v>346</v>
      </c>
      <c r="R384" s="346">
        <f>IFERROR(VLOOKUP($G384,融外自投!$A:$J,8,0),"無")</f>
        <v>231</v>
      </c>
      <c r="S384" s="81">
        <f>IFERROR(VLOOKUP($G384,融外自投!$A:$J,10,0),"無")</f>
        <v>94</v>
      </c>
      <c r="T384" s="327">
        <f>IFERROR(VLOOKUP($G384,'321買'!$A:$E,5,0),"'沒有資料'")</f>
        <v>83</v>
      </c>
      <c r="U384" s="185">
        <v>1.3</v>
      </c>
      <c r="V384" s="311"/>
      <c r="W384" s="94">
        <f t="shared" si="124"/>
        <v>2.9782359679266898E-2</v>
      </c>
      <c r="X384" s="161">
        <v>43.65</v>
      </c>
      <c r="Y384" s="65">
        <v>41.8</v>
      </c>
      <c r="Z384" s="162">
        <f t="shared" ref="Z384:Z394" si="128">X384-Y384</f>
        <v>1.8500000000000014</v>
      </c>
      <c r="AA384" s="158">
        <f t="shared" si="126"/>
        <v>4.4258373205741663E-2</v>
      </c>
      <c r="AB384" s="184" t="s">
        <v>3031</v>
      </c>
      <c r="AC384" s="382"/>
      <c r="AD384" s="166" t="s">
        <v>2913</v>
      </c>
      <c r="AE384" s="84">
        <v>44208</v>
      </c>
      <c r="AF384" s="83">
        <v>44217</v>
      </c>
      <c r="AG384" s="33">
        <f>AF384-AE384</f>
        <v>9</v>
      </c>
      <c r="AH384" s="116" t="s">
        <v>2911</v>
      </c>
      <c r="AI384" s="163"/>
    </row>
    <row r="385" spans="1:47" s="248" customFormat="1">
      <c r="A385" s="127" t="s">
        <v>2914</v>
      </c>
      <c r="B385" s="80">
        <v>-16</v>
      </c>
      <c r="C385" s="80">
        <v>-15</v>
      </c>
      <c r="D385" s="80">
        <v>-1</v>
      </c>
      <c r="E385" s="79">
        <v>20</v>
      </c>
      <c r="F385" s="57">
        <v>21.2</v>
      </c>
      <c r="G385" s="79">
        <v>6147</v>
      </c>
      <c r="H385" s="30" t="s">
        <v>2905</v>
      </c>
      <c r="I385" s="166" t="s">
        <v>2915</v>
      </c>
      <c r="J385" s="8" t="str">
        <f>IFERROR(VLOOKUP($G385,今日總結!$A:$AJ,33,0),"")</f>
        <v/>
      </c>
      <c r="K385" s="5" t="str">
        <f>IFERROR(VLOOKUP($G385,今日總結!$A:$AJ,34,0),"")</f>
        <v/>
      </c>
      <c r="L385" s="156" t="str">
        <f>IFERROR(VLOOKUP($G385,今日總結!$A:$AJ,31,0),"")</f>
        <v/>
      </c>
      <c r="M385" s="340" t="str">
        <f>IFERROR(VLOOKUP($G385,今日總結!$A:$AJ,32,0),"")</f>
        <v/>
      </c>
      <c r="N385" s="240" t="str">
        <f t="shared" si="123"/>
        <v/>
      </c>
      <c r="O385" s="245"/>
      <c r="P385" s="365">
        <f>IFERROR(VLOOKUP($G385,融外自投!$A:$J,7,0),"無")</f>
        <v>803</v>
      </c>
      <c r="Q385" s="79">
        <f>IFERROR(VLOOKUP($G385,融外自投!$A:$J,9,0),"無")</f>
        <v>292</v>
      </c>
      <c r="R385" s="346">
        <f>IFERROR(VLOOKUP($G385,融外自投!$A:$J,8,0),"無")</f>
        <v>242</v>
      </c>
      <c r="S385" s="81">
        <f>IFERROR(VLOOKUP($G385,融外自投!$A:$J,10,0),"無")</f>
        <v>90</v>
      </c>
      <c r="T385" s="327">
        <f>IFERROR(VLOOKUP($G385,'321買'!$A:$E,5,0),"'沒有資料'")</f>
        <v>131</v>
      </c>
      <c r="U385" s="185">
        <v>4.2</v>
      </c>
      <c r="V385" s="311"/>
      <c r="W385" s="94">
        <f t="shared" si="124"/>
        <v>5.6000000000000001E-2</v>
      </c>
      <c r="X385" s="165">
        <v>75</v>
      </c>
      <c r="Y385" s="65">
        <v>72.3</v>
      </c>
      <c r="Z385" s="162">
        <f t="shared" si="128"/>
        <v>2.7000000000000028</v>
      </c>
      <c r="AA385" s="158">
        <f t="shared" ref="AA385:AA395" si="129">Z385/Y385</f>
        <v>3.7344398340249003E-2</v>
      </c>
      <c r="AB385" s="184" t="s">
        <v>1983</v>
      </c>
      <c r="AC385" s="382"/>
      <c r="AD385" s="166" t="s">
        <v>2915</v>
      </c>
      <c r="AE385" s="84">
        <v>44208</v>
      </c>
      <c r="AF385" s="83">
        <v>44216</v>
      </c>
      <c r="AG385" s="33">
        <f>AF385-AE385</f>
        <v>8</v>
      </c>
      <c r="AH385" s="116" t="s">
        <v>2911</v>
      </c>
    </row>
    <row r="386" spans="1:47" s="248" customFormat="1">
      <c r="A386" s="142" t="s">
        <v>2916</v>
      </c>
      <c r="B386" s="79">
        <v>52</v>
      </c>
      <c r="C386" s="79">
        <v>39</v>
      </c>
      <c r="D386" s="80">
        <v>1</v>
      </c>
      <c r="E386" s="80">
        <v>-3</v>
      </c>
      <c r="F386" s="6">
        <v>5.07</v>
      </c>
      <c r="G386" s="79">
        <v>3037</v>
      </c>
      <c r="H386" s="30" t="s">
        <v>2905</v>
      </c>
      <c r="I386" s="153" t="s">
        <v>2917</v>
      </c>
      <c r="J386" s="8" t="str">
        <f>IFERROR(VLOOKUP($G386,今日總結!$A:$AJ,33,0),"")</f>
        <v/>
      </c>
      <c r="K386" s="5" t="str">
        <f>IFERROR(VLOOKUP($G386,今日總結!$A:$AJ,34,0),"")</f>
        <v/>
      </c>
      <c r="L386" s="156" t="str">
        <f>IFERROR(VLOOKUP($G386,今日總結!$A:$AJ,31,0),"")</f>
        <v/>
      </c>
      <c r="M386" s="340" t="str">
        <f>IFERROR(VLOOKUP($G386,今日總結!$A:$AJ,32,0),"")</f>
        <v/>
      </c>
      <c r="N386" s="240" t="str">
        <f t="shared" si="123"/>
        <v/>
      </c>
      <c r="O386" s="245"/>
      <c r="P386" s="365">
        <f>IFERROR(VLOOKUP($G386,融外自投!$A:$J,7,0),"無")</f>
        <v>652</v>
      </c>
      <c r="Q386" s="79">
        <f>IFERROR(VLOOKUP($G386,融外自投!$A:$J,9,0),"無")</f>
        <v>180</v>
      </c>
      <c r="R386" s="346">
        <f>IFERROR(VLOOKUP($G386,融外自投!$A:$J,8,0),"無")</f>
        <v>117</v>
      </c>
      <c r="S386" s="81">
        <f>IFERROR(VLOOKUP($G386,融外自投!$A:$J,10,0),"無")</f>
        <v>24</v>
      </c>
      <c r="T386" s="327">
        <f>IFERROR(VLOOKUP($G386,'321買'!$A:$E,5,0),"'沒有資料'")</f>
        <v>83</v>
      </c>
      <c r="U386" s="185">
        <v>1.0900000000000001</v>
      </c>
      <c r="V386" s="311"/>
      <c r="W386" s="94">
        <f t="shared" si="124"/>
        <v>1.0954773869346734E-2</v>
      </c>
      <c r="X386" s="165">
        <v>99.5</v>
      </c>
      <c r="Y386" s="65">
        <v>99.2</v>
      </c>
      <c r="Z386" s="162">
        <f t="shared" si="128"/>
        <v>0.29999999999999716</v>
      </c>
      <c r="AA386" s="158">
        <f t="shared" si="129"/>
        <v>3.0241935483870681E-3</v>
      </c>
      <c r="AB386" s="184" t="s">
        <v>3032</v>
      </c>
      <c r="AC386" s="382"/>
      <c r="AD386" s="153" t="s">
        <v>2917</v>
      </c>
      <c r="AE386" s="84">
        <v>44209</v>
      </c>
      <c r="AF386" s="83">
        <v>44211</v>
      </c>
      <c r="AG386" s="33">
        <f>AF386-AE386</f>
        <v>2</v>
      </c>
      <c r="AH386" s="116" t="s">
        <v>2911</v>
      </c>
      <c r="AL386" s="11"/>
    </row>
    <row r="387" spans="1:47" s="248" customFormat="1">
      <c r="A387" s="142" t="s">
        <v>2916</v>
      </c>
      <c r="B387" s="79">
        <v>52</v>
      </c>
      <c r="C387" s="79">
        <v>39</v>
      </c>
      <c r="D387" s="80">
        <v>1</v>
      </c>
      <c r="E387" s="80">
        <v>-3</v>
      </c>
      <c r="F387" s="6">
        <v>5.07</v>
      </c>
      <c r="G387" s="79">
        <v>3037</v>
      </c>
      <c r="H387" s="30" t="s">
        <v>2905</v>
      </c>
      <c r="I387" s="153" t="s">
        <v>2917</v>
      </c>
      <c r="J387" s="8" t="str">
        <f>IFERROR(VLOOKUP($G387,今日總結!$A:$AJ,33,0),"")</f>
        <v/>
      </c>
      <c r="K387" s="5" t="str">
        <f>IFERROR(VLOOKUP($G387,今日總結!$A:$AJ,34,0),"")</f>
        <v/>
      </c>
      <c r="L387" s="156" t="str">
        <f>IFERROR(VLOOKUP($G387,今日總結!$A:$AJ,31,0),"")</f>
        <v/>
      </c>
      <c r="M387" s="340" t="str">
        <f>IFERROR(VLOOKUP($G387,今日總結!$A:$AJ,32,0),"")</f>
        <v/>
      </c>
      <c r="N387" s="240" t="str">
        <f t="shared" si="123"/>
        <v/>
      </c>
      <c r="O387" s="245"/>
      <c r="P387" s="365">
        <f>IFERROR(VLOOKUP($G387,融外自投!$A:$J,7,0),"無")</f>
        <v>652</v>
      </c>
      <c r="Q387" s="79">
        <f>IFERROR(VLOOKUP($G387,融外自投!$A:$J,9,0),"無")</f>
        <v>180</v>
      </c>
      <c r="R387" s="346">
        <f>IFERROR(VLOOKUP($G387,融外自投!$A:$J,8,0),"無")</f>
        <v>117</v>
      </c>
      <c r="S387" s="81">
        <f>IFERROR(VLOOKUP($G387,融外自投!$A:$J,10,0),"無")</f>
        <v>24</v>
      </c>
      <c r="T387" s="327">
        <f>IFERROR(VLOOKUP($G387,'321買'!$A:$E,5,0),"'沒有資料'")</f>
        <v>83</v>
      </c>
      <c r="U387" s="185">
        <v>1.0900000000000001</v>
      </c>
      <c r="V387" s="311"/>
      <c r="W387" s="94">
        <f t="shared" si="124"/>
        <v>1.0954773869346734E-2</v>
      </c>
      <c r="X387" s="165">
        <v>99.5</v>
      </c>
      <c r="Y387" s="65">
        <v>99.1</v>
      </c>
      <c r="Z387" s="162">
        <f t="shared" si="128"/>
        <v>0.40000000000000568</v>
      </c>
      <c r="AA387" s="158">
        <f t="shared" si="129"/>
        <v>4.0363269424823984E-3</v>
      </c>
      <c r="AB387" s="184" t="s">
        <v>3033</v>
      </c>
      <c r="AC387" s="382"/>
      <c r="AD387" s="153" t="s">
        <v>2917</v>
      </c>
      <c r="AE387" s="84">
        <v>44209</v>
      </c>
      <c r="AF387" s="83">
        <v>44211</v>
      </c>
      <c r="AG387" s="33">
        <f>AF387-AE387</f>
        <v>2</v>
      </c>
      <c r="AH387" s="116" t="s">
        <v>2911</v>
      </c>
      <c r="AL387" s="11"/>
    </row>
    <row r="388" spans="1:47" s="248" customFormat="1">
      <c r="A388" s="142" t="s">
        <v>2916</v>
      </c>
      <c r="B388" s="79">
        <v>52</v>
      </c>
      <c r="C388" s="79">
        <v>39</v>
      </c>
      <c r="D388" s="80">
        <v>1</v>
      </c>
      <c r="E388" s="80">
        <v>-3</v>
      </c>
      <c r="F388" s="6">
        <v>5.07</v>
      </c>
      <c r="G388" s="79">
        <v>3037</v>
      </c>
      <c r="H388" s="30" t="s">
        <v>2905</v>
      </c>
      <c r="I388" s="153" t="s">
        <v>2917</v>
      </c>
      <c r="J388" s="8" t="str">
        <f>IFERROR(VLOOKUP($G388,今日總結!$A:$AJ,33,0),"")</f>
        <v/>
      </c>
      <c r="K388" s="5" t="str">
        <f>IFERROR(VLOOKUP($G388,今日總結!$A:$AJ,34,0),"")</f>
        <v/>
      </c>
      <c r="L388" s="156" t="str">
        <f>IFERROR(VLOOKUP($G388,今日總結!$A:$AJ,31,0),"")</f>
        <v/>
      </c>
      <c r="M388" s="340" t="str">
        <f>IFERROR(VLOOKUP($G388,今日總結!$A:$AJ,32,0),"")</f>
        <v/>
      </c>
      <c r="N388" s="240" t="str">
        <f t="shared" si="123"/>
        <v/>
      </c>
      <c r="O388" s="245"/>
      <c r="P388" s="365">
        <f>IFERROR(VLOOKUP($G388,融外自投!$A:$J,7,0),"無")</f>
        <v>652</v>
      </c>
      <c r="Q388" s="79">
        <f>IFERROR(VLOOKUP($G388,融外自投!$A:$J,9,0),"無")</f>
        <v>180</v>
      </c>
      <c r="R388" s="346">
        <f>IFERROR(VLOOKUP($G388,融外自投!$A:$J,8,0),"無")</f>
        <v>117</v>
      </c>
      <c r="S388" s="81">
        <f>IFERROR(VLOOKUP($G388,融外自投!$A:$J,10,0),"無")</f>
        <v>24</v>
      </c>
      <c r="T388" s="327">
        <f>IFERROR(VLOOKUP($G388,'321買'!$A:$E,5,0),"'沒有資料'")</f>
        <v>83</v>
      </c>
      <c r="U388" s="185">
        <v>1.0900000000000001</v>
      </c>
      <c r="V388" s="311"/>
      <c r="W388" s="94">
        <f t="shared" si="124"/>
        <v>1.1248710010319917E-2</v>
      </c>
      <c r="X388" s="165">
        <v>96.9</v>
      </c>
      <c r="Y388" s="65">
        <v>93</v>
      </c>
      <c r="Z388" s="162">
        <f t="shared" si="128"/>
        <v>3.9000000000000057</v>
      </c>
      <c r="AA388" s="158">
        <f t="shared" si="129"/>
        <v>4.19354838709678E-2</v>
      </c>
      <c r="AB388" s="184" t="s">
        <v>1715</v>
      </c>
      <c r="AC388" s="382"/>
      <c r="AD388" s="153" t="s">
        <v>2917</v>
      </c>
      <c r="AE388" s="84">
        <v>44202</v>
      </c>
      <c r="AF388" s="83">
        <v>44207</v>
      </c>
      <c r="AG388" s="33">
        <f>AF388-AE388</f>
        <v>5</v>
      </c>
      <c r="AH388" s="116" t="s">
        <v>2911</v>
      </c>
      <c r="AL388" s="11"/>
    </row>
    <row r="389" spans="1:47" s="248" customFormat="1">
      <c r="A389" s="127" t="s">
        <v>2909</v>
      </c>
      <c r="B389" s="79">
        <v>24</v>
      </c>
      <c r="C389" s="79">
        <v>33</v>
      </c>
      <c r="D389" s="79">
        <v>7</v>
      </c>
      <c r="E389" s="79">
        <v>14</v>
      </c>
      <c r="F389" s="57">
        <v>15.22</v>
      </c>
      <c r="G389" s="79">
        <v>5439</v>
      </c>
      <c r="H389" s="30" t="s">
        <v>2905</v>
      </c>
      <c r="I389" s="166" t="s">
        <v>2910</v>
      </c>
      <c r="J389" s="8">
        <f>IFERROR(VLOOKUP($G389,今日總結!$A:$AJ,33,0),"")</f>
        <v>0</v>
      </c>
      <c r="K389" s="5">
        <f>IFERROR(VLOOKUP($G389,今日總結!$A:$AJ,34,0),"")</f>
        <v>2</v>
      </c>
      <c r="L389" s="156">
        <f>IFERROR(VLOOKUP($G389,今日總結!$A:$AJ,31,0),"")</f>
        <v>0</v>
      </c>
      <c r="M389" s="340">
        <f>IFERROR(VLOOKUP($G389,今日總結!$A:$AJ,32,0),"")</f>
        <v>0</v>
      </c>
      <c r="N389" s="240">
        <f t="shared" si="123"/>
        <v>0</v>
      </c>
      <c r="O389" s="245"/>
      <c r="P389" s="365">
        <f>IFERROR(VLOOKUP($G389,融外自投!$A:$J,7,0),"無")</f>
        <v>585</v>
      </c>
      <c r="Q389" s="79">
        <f>IFERROR(VLOOKUP($G389,融外自投!$A:$J,9,0),"無")</f>
        <v>789</v>
      </c>
      <c r="R389" s="346">
        <f>IFERROR(VLOOKUP($G389,融外自投!$A:$J,8,0),"無")</f>
        <v>1011</v>
      </c>
      <c r="S389" s="81">
        <f>IFERROR(VLOOKUP($G389,融外自投!$A:$J,10,0),"無")</f>
        <v>116</v>
      </c>
      <c r="T389" s="327">
        <f>IFERROR(VLOOKUP($G389,'321買'!$A:$E,5,0),"'沒有資料'")</f>
        <v>480</v>
      </c>
      <c r="U389" s="185">
        <v>2.2999999999999998</v>
      </c>
      <c r="V389" s="311"/>
      <c r="W389" s="94">
        <f t="shared" si="124"/>
        <v>4.2990654205607472E-2</v>
      </c>
      <c r="X389" s="161">
        <v>53.5</v>
      </c>
      <c r="Y389" s="155">
        <v>52.8</v>
      </c>
      <c r="Z389" s="162">
        <f t="shared" si="128"/>
        <v>0.70000000000000284</v>
      </c>
      <c r="AA389" s="158">
        <f t="shared" si="129"/>
        <v>1.3257575757575812E-2</v>
      </c>
      <c r="AB389" s="184" t="s">
        <v>2001</v>
      </c>
      <c r="AC389" s="382"/>
      <c r="AD389" s="166" t="s">
        <v>2910</v>
      </c>
      <c r="AE389" s="84">
        <v>44196</v>
      </c>
      <c r="AF389" s="83">
        <v>44202</v>
      </c>
      <c r="AG389" s="33">
        <f t="shared" ref="AG389:AG394" si="130">AF389-AE389</f>
        <v>6</v>
      </c>
      <c r="AH389" s="116" t="s">
        <v>2911</v>
      </c>
      <c r="AI389" s="163"/>
    </row>
    <row r="390" spans="1:47" s="248" customFormat="1">
      <c r="A390" s="127" t="s">
        <v>2909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2905</v>
      </c>
      <c r="I390" s="166" t="s">
        <v>2910</v>
      </c>
      <c r="J390" s="8">
        <f>IFERROR(VLOOKUP($G390,今日總結!$A:$AJ,33,0),"")</f>
        <v>0</v>
      </c>
      <c r="K390" s="5">
        <f>IFERROR(VLOOKUP($G390,今日總結!$A:$AJ,34,0),"")</f>
        <v>2</v>
      </c>
      <c r="L390" s="156">
        <f>IFERROR(VLOOKUP($G390,今日總結!$A:$AJ,31,0),"")</f>
        <v>0</v>
      </c>
      <c r="M390" s="340">
        <f>IFERROR(VLOOKUP($G390,今日總結!$A:$AJ,32,0),"")</f>
        <v>0</v>
      </c>
      <c r="N390" s="240">
        <f t="shared" si="123"/>
        <v>0</v>
      </c>
      <c r="O390" s="245"/>
      <c r="P390" s="365">
        <f>IFERROR(VLOOKUP($G390,融外自投!$A:$J,7,0),"無")</f>
        <v>585</v>
      </c>
      <c r="Q390" s="79">
        <f>IFERROR(VLOOKUP($G390,融外自投!$A:$J,9,0),"無")</f>
        <v>789</v>
      </c>
      <c r="R390" s="346">
        <f>IFERROR(VLOOKUP($G390,融外自投!$A:$J,8,0),"無")</f>
        <v>1011</v>
      </c>
      <c r="S390" s="81">
        <f>IFERROR(VLOOKUP($G390,融外自投!$A:$J,10,0),"無")</f>
        <v>116</v>
      </c>
      <c r="T390" s="327">
        <f>IFERROR(VLOOKUP($G390,'321買'!$A:$E,5,0),"'沒有資料'")</f>
        <v>480</v>
      </c>
      <c r="U390" s="185">
        <v>2.2999999999999998</v>
      </c>
      <c r="V390" s="311"/>
      <c r="W390" s="94">
        <f t="shared" si="124"/>
        <v>4.2990654205607472E-2</v>
      </c>
      <c r="X390" s="161">
        <v>53.5</v>
      </c>
      <c r="Y390" s="155">
        <v>52.7</v>
      </c>
      <c r="Z390" s="162">
        <f t="shared" si="128"/>
        <v>0.79999999999999716</v>
      </c>
      <c r="AA390" s="158">
        <f t="shared" si="129"/>
        <v>1.5180265654648901E-2</v>
      </c>
      <c r="AB390" s="184" t="s">
        <v>1674</v>
      </c>
      <c r="AC390" s="382"/>
      <c r="AD390" s="166" t="s">
        <v>2910</v>
      </c>
      <c r="AE390" s="84">
        <v>44195</v>
      </c>
      <c r="AF390" s="83">
        <v>44202</v>
      </c>
      <c r="AG390" s="33">
        <f t="shared" si="130"/>
        <v>7</v>
      </c>
      <c r="AH390" s="116" t="s">
        <v>2911</v>
      </c>
      <c r="AI390" s="163"/>
    </row>
    <row r="391" spans="1:47" s="248" customFormat="1">
      <c r="A391" s="142" t="s">
        <v>2916</v>
      </c>
      <c r="B391" s="79">
        <v>52</v>
      </c>
      <c r="C391" s="79">
        <v>39</v>
      </c>
      <c r="D391" s="80">
        <v>-8</v>
      </c>
      <c r="E391" s="80">
        <v>-3</v>
      </c>
      <c r="F391" s="6">
        <v>5.07</v>
      </c>
      <c r="G391" s="79">
        <v>3037</v>
      </c>
      <c r="H391" s="30" t="s">
        <v>2905</v>
      </c>
      <c r="I391" s="153" t="s">
        <v>2917</v>
      </c>
      <c r="J391" s="8" t="str">
        <f>IFERROR(VLOOKUP($G391,今日總結!$A:$AJ,33,0),"")</f>
        <v/>
      </c>
      <c r="K391" s="5" t="str">
        <f>IFERROR(VLOOKUP($G391,今日總結!$A:$AJ,34,0),"")</f>
        <v/>
      </c>
      <c r="L391" s="156" t="str">
        <f>IFERROR(VLOOKUP($G391,今日總結!$A:$AJ,31,0),"")</f>
        <v/>
      </c>
      <c r="M391" s="340" t="str">
        <f>IFERROR(VLOOKUP($G391,今日總結!$A:$AJ,32,0),"")</f>
        <v/>
      </c>
      <c r="N391" s="240" t="str">
        <f t="shared" ref="N391:N400" si="131">IFERROR(L391-M391,"")</f>
        <v/>
      </c>
      <c r="O391" s="245"/>
      <c r="P391" s="365">
        <f>IFERROR(VLOOKUP($G391,融外自投!$A:$J,7,0),"無")</f>
        <v>652</v>
      </c>
      <c r="Q391" s="79">
        <f>IFERROR(VLOOKUP($G391,融外自投!$A:$J,9,0),"無")</f>
        <v>180</v>
      </c>
      <c r="R391" s="346">
        <f>IFERROR(VLOOKUP($G391,融外自投!$A:$J,8,0),"無")</f>
        <v>117</v>
      </c>
      <c r="S391" s="81">
        <f>IFERROR(VLOOKUP($G391,融外自投!$A:$J,10,0),"無")</f>
        <v>24</v>
      </c>
      <c r="T391" s="327">
        <f>IFERROR(VLOOKUP($G391,'321買'!$A:$E,5,0),"'沒有資料'")</f>
        <v>83</v>
      </c>
      <c r="U391" s="185">
        <v>1.0900000000000001</v>
      </c>
      <c r="V391" s="311"/>
      <c r="W391" s="94">
        <f t="shared" si="124"/>
        <v>1.1534391534391536E-2</v>
      </c>
      <c r="X391" s="165">
        <v>94.5</v>
      </c>
      <c r="Y391" s="65">
        <v>85.3</v>
      </c>
      <c r="Z391" s="162">
        <f t="shared" si="128"/>
        <v>9.2000000000000028</v>
      </c>
      <c r="AA391" s="158">
        <f t="shared" si="129"/>
        <v>0.10785463071512313</v>
      </c>
      <c r="AB391" s="184" t="s">
        <v>3034</v>
      </c>
      <c r="AC391" s="382"/>
      <c r="AD391" s="153" t="s">
        <v>2917</v>
      </c>
      <c r="AE391" s="84">
        <v>44189</v>
      </c>
      <c r="AF391" s="83">
        <v>44202</v>
      </c>
      <c r="AG391" s="33">
        <f t="shared" si="130"/>
        <v>13</v>
      </c>
      <c r="AH391" s="116" t="s">
        <v>2911</v>
      </c>
      <c r="AI391" s="160"/>
      <c r="AU391" s="11"/>
    </row>
    <row r="392" spans="1:47" s="248" customFormat="1">
      <c r="A392" s="127" t="s">
        <v>2918</v>
      </c>
      <c r="B392" s="79">
        <v>57</v>
      </c>
      <c r="C392" s="79">
        <v>47</v>
      </c>
      <c r="D392" s="79">
        <v>4</v>
      </c>
      <c r="E392" s="79">
        <v>0</v>
      </c>
      <c r="F392" s="57">
        <v>12.43</v>
      </c>
      <c r="G392" s="79">
        <v>8358</v>
      </c>
      <c r="H392" s="30" t="s">
        <v>2920</v>
      </c>
      <c r="I392" s="166" t="s">
        <v>2919</v>
      </c>
      <c r="J392" s="8">
        <f>IFERROR(VLOOKUP($G392,今日總結!$A:$AJ,33,0),"")</f>
        <v>0</v>
      </c>
      <c r="K392" s="5">
        <f>IFERROR(VLOOKUP($G392,今日總結!$A:$AJ,34,0),"")</f>
        <v>1</v>
      </c>
      <c r="L392" s="156">
        <f>IFERROR(VLOOKUP($G392,今日總結!$A:$AJ,31,0),"")</f>
        <v>0</v>
      </c>
      <c r="M392" s="340">
        <f>IFERROR(VLOOKUP($G392,今日總結!$A:$AJ,32,0),"")</f>
        <v>0</v>
      </c>
      <c r="N392" s="240">
        <f t="shared" si="131"/>
        <v>0</v>
      </c>
      <c r="O392" s="245"/>
      <c r="P392" s="365">
        <f>IFERROR(VLOOKUP($G392,融外自投!$A:$J,7,0),"無")</f>
        <v>300</v>
      </c>
      <c r="Q392" s="79">
        <f>IFERROR(VLOOKUP($G392,融外自投!$A:$J,9,0),"無")</f>
        <v>308</v>
      </c>
      <c r="R392" s="346">
        <f>IFERROR(VLOOKUP($G392,融外自投!$A:$J,8,0),"無")</f>
        <v>649</v>
      </c>
      <c r="S392" s="81">
        <f>IFERROR(VLOOKUP($G392,融外自投!$A:$J,10,0),"無")</f>
        <v>36</v>
      </c>
      <c r="T392" s="327">
        <f>IFERROR(VLOOKUP($G392,'321買'!$A:$E,5,0),"'沒有資料'")</f>
        <v>255</v>
      </c>
      <c r="U392" s="185">
        <v>2</v>
      </c>
      <c r="V392" s="311"/>
      <c r="W392" s="94">
        <f t="shared" si="124"/>
        <v>3.7383177570093455E-2</v>
      </c>
      <c r="X392" s="161">
        <v>53.5</v>
      </c>
      <c r="Y392" s="155">
        <v>52.8</v>
      </c>
      <c r="Z392" s="162">
        <f t="shared" si="128"/>
        <v>0.70000000000000284</v>
      </c>
      <c r="AA392" s="158">
        <f t="shared" si="129"/>
        <v>1.3257575757575812E-2</v>
      </c>
      <c r="AB392" s="184" t="s">
        <v>2001</v>
      </c>
      <c r="AC392" s="382"/>
      <c r="AD392" s="166" t="s">
        <v>2919</v>
      </c>
      <c r="AE392" s="84">
        <v>44200</v>
      </c>
      <c r="AF392" s="83">
        <v>44202</v>
      </c>
      <c r="AG392" s="33">
        <f t="shared" si="130"/>
        <v>2</v>
      </c>
      <c r="AH392" s="116" t="s">
        <v>2921</v>
      </c>
      <c r="AI392" s="163"/>
    </row>
    <row r="393" spans="1:47" s="248" customFormat="1">
      <c r="A393" s="127" t="s">
        <v>2922</v>
      </c>
      <c r="B393" s="79">
        <v>57</v>
      </c>
      <c r="C393" s="79">
        <v>47</v>
      </c>
      <c r="D393" s="79">
        <v>4</v>
      </c>
      <c r="E393" s="79">
        <v>0</v>
      </c>
      <c r="F393" s="57">
        <v>12.43</v>
      </c>
      <c r="G393" s="79">
        <v>8358</v>
      </c>
      <c r="H393" s="30" t="s">
        <v>2920</v>
      </c>
      <c r="I393" s="166" t="s">
        <v>2919</v>
      </c>
      <c r="J393" s="8">
        <f>IFERROR(VLOOKUP($G393,今日總結!$A:$AJ,33,0),"")</f>
        <v>0</v>
      </c>
      <c r="K393" s="5">
        <f>IFERROR(VLOOKUP($G393,今日總結!$A:$AJ,34,0),"")</f>
        <v>1</v>
      </c>
      <c r="L393" s="156">
        <f>IFERROR(VLOOKUP($G393,今日總結!$A:$AJ,31,0),"")</f>
        <v>0</v>
      </c>
      <c r="M393" s="340">
        <f>IFERROR(VLOOKUP($G393,今日總結!$A:$AJ,32,0),"")</f>
        <v>0</v>
      </c>
      <c r="N393" s="240">
        <f t="shared" si="131"/>
        <v>0</v>
      </c>
      <c r="O393" s="245"/>
      <c r="P393" s="365">
        <f>IFERROR(VLOOKUP($G393,融外自投!$A:$J,7,0),"無")</f>
        <v>300</v>
      </c>
      <c r="Q393" s="79">
        <f>IFERROR(VLOOKUP($G393,融外自投!$A:$J,9,0),"無")</f>
        <v>308</v>
      </c>
      <c r="R393" s="346">
        <f>IFERROR(VLOOKUP($G393,融外自投!$A:$J,8,0),"無")</f>
        <v>649</v>
      </c>
      <c r="S393" s="81">
        <f>IFERROR(VLOOKUP($G393,融外自投!$A:$J,10,0),"無")</f>
        <v>36</v>
      </c>
      <c r="T393" s="327">
        <f>IFERROR(VLOOKUP($G393,'321買'!$A:$E,5,0),"'沒有資料'")</f>
        <v>255</v>
      </c>
      <c r="U393" s="185">
        <v>2</v>
      </c>
      <c r="V393" s="311"/>
      <c r="W393" s="94">
        <f t="shared" si="124"/>
        <v>3.7383177570093455E-2</v>
      </c>
      <c r="X393" s="161">
        <v>53.5</v>
      </c>
      <c r="Y393" s="155">
        <v>54.1</v>
      </c>
      <c r="Z393" s="162">
        <f t="shared" si="128"/>
        <v>-0.60000000000000142</v>
      </c>
      <c r="AA393" s="164">
        <f t="shared" si="129"/>
        <v>-1.1090573012939028E-2</v>
      </c>
      <c r="AB393" s="196" t="s">
        <v>3035</v>
      </c>
      <c r="AC393" s="382"/>
      <c r="AD393" s="166" t="s">
        <v>2919</v>
      </c>
      <c r="AE393" s="84">
        <v>44194</v>
      </c>
      <c r="AF393" s="83">
        <v>44202</v>
      </c>
      <c r="AG393" s="33">
        <f t="shared" si="130"/>
        <v>8</v>
      </c>
      <c r="AH393" s="116" t="s">
        <v>2921</v>
      </c>
      <c r="AI393" s="163"/>
    </row>
    <row r="394" spans="1:47" s="248" customFormat="1">
      <c r="A394" s="127" t="s">
        <v>2922</v>
      </c>
      <c r="B394" s="79">
        <v>57</v>
      </c>
      <c r="C394" s="79">
        <v>47</v>
      </c>
      <c r="D394" s="79">
        <v>4</v>
      </c>
      <c r="E394" s="79">
        <v>0</v>
      </c>
      <c r="F394" s="57">
        <v>12.43</v>
      </c>
      <c r="G394" s="79">
        <v>8358</v>
      </c>
      <c r="H394" s="30" t="s">
        <v>2920</v>
      </c>
      <c r="I394" s="166" t="s">
        <v>2919</v>
      </c>
      <c r="J394" s="8">
        <f>IFERROR(VLOOKUP($G394,今日總結!$A:$AJ,33,0),"")</f>
        <v>0</v>
      </c>
      <c r="K394" s="5">
        <f>IFERROR(VLOOKUP($G394,今日總結!$A:$AJ,34,0),"")</f>
        <v>1</v>
      </c>
      <c r="L394" s="156">
        <f>IFERROR(VLOOKUP($G394,今日總結!$A:$AJ,31,0),"")</f>
        <v>0</v>
      </c>
      <c r="M394" s="340">
        <f>IFERROR(VLOOKUP($G394,今日總結!$A:$AJ,32,0),"")</f>
        <v>0</v>
      </c>
      <c r="N394" s="240">
        <f t="shared" si="131"/>
        <v>0</v>
      </c>
      <c r="O394" s="245"/>
      <c r="P394" s="365">
        <f>IFERROR(VLOOKUP($G394,融外自投!$A:$J,7,0),"無")</f>
        <v>300</v>
      </c>
      <c r="Q394" s="79">
        <f>IFERROR(VLOOKUP($G394,融外自投!$A:$J,9,0),"無")</f>
        <v>308</v>
      </c>
      <c r="R394" s="346">
        <f>IFERROR(VLOOKUP($G394,融外自投!$A:$J,8,0),"無")</f>
        <v>649</v>
      </c>
      <c r="S394" s="81">
        <f>IFERROR(VLOOKUP($G394,融外自投!$A:$J,10,0),"無")</f>
        <v>36</v>
      </c>
      <c r="T394" s="327">
        <f>IFERROR(VLOOKUP($G394,'321買'!$A:$E,5,0),"'沒有資料'")</f>
        <v>255</v>
      </c>
      <c r="U394" s="185">
        <v>2</v>
      </c>
      <c r="V394" s="311"/>
      <c r="W394" s="94">
        <f t="shared" si="124"/>
        <v>3.7383177570093455E-2</v>
      </c>
      <c r="X394" s="161">
        <v>53.5</v>
      </c>
      <c r="Y394" s="155">
        <v>51.9</v>
      </c>
      <c r="Z394" s="162">
        <f t="shared" si="128"/>
        <v>1.6000000000000014</v>
      </c>
      <c r="AA394" s="158">
        <f t="shared" si="129"/>
        <v>3.0828516377649353E-2</v>
      </c>
      <c r="AB394" s="184" t="s">
        <v>2970</v>
      </c>
      <c r="AC394" s="382"/>
      <c r="AD394" s="166" t="s">
        <v>2919</v>
      </c>
      <c r="AE394" s="84">
        <v>44189</v>
      </c>
      <c r="AF394" s="83">
        <v>44202</v>
      </c>
      <c r="AG394" s="33">
        <f t="shared" si="130"/>
        <v>13</v>
      </c>
      <c r="AH394" s="116" t="s">
        <v>2921</v>
      </c>
      <c r="AI394" s="163"/>
    </row>
    <row r="395" spans="1:47" s="248" customFormat="1">
      <c r="A395" s="142"/>
      <c r="B395" s="79"/>
      <c r="C395" s="79"/>
      <c r="D395" s="80"/>
      <c r="E395" s="80"/>
      <c r="F395" s="6"/>
      <c r="G395" s="41"/>
      <c r="H395" s="54"/>
      <c r="I395" s="153"/>
      <c r="J395" s="8"/>
      <c r="K395" s="5"/>
      <c r="L395" s="156"/>
      <c r="M395" s="340"/>
      <c r="N395" s="240"/>
      <c r="O395" s="245"/>
      <c r="P395" s="89"/>
      <c r="Q395" s="73"/>
      <c r="R395" s="354"/>
      <c r="S395" s="303"/>
      <c r="T395" s="322"/>
      <c r="U395" s="185"/>
      <c r="V395" s="311"/>
      <c r="W395" s="94"/>
      <c r="X395" s="161">
        <f>SUM(X374:X394)</f>
        <v>1351.9499999999998</v>
      </c>
      <c r="Y395" s="65">
        <f>SUM(Y374:Y394)</f>
        <v>1318.7999999999997</v>
      </c>
      <c r="Z395" s="162">
        <f>SUM(Z374:Z394)</f>
        <v>33.150000000000027</v>
      </c>
      <c r="AA395" s="158">
        <f t="shared" si="129"/>
        <v>2.5136487716105577E-2</v>
      </c>
      <c r="AB395" s="167"/>
      <c r="AC395" s="382"/>
      <c r="AD395" s="153">
        <f>X395*(0.001425*0.65)+X395*0.003+Y395*(0.001425*0.65)</f>
        <v>6.529632187499999</v>
      </c>
      <c r="AE395" s="6">
        <f>Z395-AD395</f>
        <v>26.620367812500028</v>
      </c>
      <c r="AF395" s="83"/>
      <c r="AG395" s="116"/>
      <c r="AH395" s="116"/>
      <c r="AI395" s="160"/>
      <c r="AU395" s="11"/>
    </row>
    <row r="396" spans="1:47" s="248" customFormat="1">
      <c r="A396" s="142"/>
      <c r="B396" s="79"/>
      <c r="C396" s="79"/>
      <c r="D396" s="80"/>
      <c r="E396" s="80"/>
      <c r="F396" s="6"/>
      <c r="G396" s="41"/>
      <c r="H396" s="4"/>
      <c r="I396" s="153"/>
      <c r="J396" s="8"/>
      <c r="K396" s="5"/>
      <c r="L396" s="156"/>
      <c r="M396" s="340"/>
      <c r="N396" s="240"/>
      <c r="O396" s="245"/>
      <c r="P396" s="89"/>
      <c r="Q396" s="73"/>
      <c r="R396" s="354"/>
      <c r="S396" s="303"/>
      <c r="T396" s="322"/>
      <c r="U396" s="185"/>
      <c r="V396" s="311"/>
      <c r="W396" s="94"/>
      <c r="X396" s="161"/>
      <c r="Y396" s="65"/>
      <c r="Z396" s="162"/>
      <c r="AA396" s="158"/>
      <c r="AB396" s="167"/>
      <c r="AC396" s="382"/>
      <c r="AD396" s="153"/>
      <c r="AE396" s="84"/>
      <c r="AF396" s="83"/>
      <c r="AG396" s="116"/>
      <c r="AH396" s="116"/>
      <c r="AI396" s="160"/>
      <c r="AU396" s="11"/>
    </row>
    <row r="397" spans="1:47" s="255" customFormat="1">
      <c r="A397" s="127" t="s">
        <v>2243</v>
      </c>
      <c r="B397" s="90" t="s">
        <v>2244</v>
      </c>
      <c r="C397" s="90" t="s">
        <v>2245</v>
      </c>
      <c r="D397" s="90" t="s">
        <v>2246</v>
      </c>
      <c r="E397" s="90" t="s">
        <v>2247</v>
      </c>
      <c r="F397" s="8" t="s">
        <v>2248</v>
      </c>
      <c r="G397" s="26" t="s">
        <v>3442</v>
      </c>
      <c r="H397" s="55" t="s">
        <v>2253</v>
      </c>
      <c r="I397" s="1" t="s">
        <v>2249</v>
      </c>
      <c r="J397" s="8"/>
      <c r="K397" s="5"/>
      <c r="L397" s="156"/>
      <c r="M397" s="340"/>
      <c r="N397" s="240"/>
      <c r="O397" s="245"/>
      <c r="P397" s="89"/>
      <c r="Q397" s="73"/>
      <c r="R397" s="354"/>
      <c r="S397" s="104" t="s">
        <v>3415</v>
      </c>
      <c r="T397" s="321" t="s">
        <v>3339</v>
      </c>
      <c r="U397" s="10" t="s">
        <v>2949</v>
      </c>
      <c r="V397" s="311"/>
      <c r="W397" s="68" t="s">
        <v>2947</v>
      </c>
      <c r="X397" s="28" t="s">
        <v>2948</v>
      </c>
      <c r="Y397" s="17" t="s">
        <v>2950</v>
      </c>
      <c r="Z397" s="14" t="s">
        <v>2250</v>
      </c>
      <c r="AA397" s="21" t="s">
        <v>2251</v>
      </c>
      <c r="AB397" s="25" t="s">
        <v>2252</v>
      </c>
      <c r="AC397" s="382"/>
      <c r="AD397" s="1" t="s">
        <v>2249</v>
      </c>
      <c r="AE397" s="71" t="s">
        <v>2254</v>
      </c>
      <c r="AF397" s="72" t="s">
        <v>2255</v>
      </c>
      <c r="AG397" s="32" t="s">
        <v>1158</v>
      </c>
      <c r="AH397" s="46" t="s">
        <v>2258</v>
      </c>
      <c r="AI397" s="163"/>
    </row>
    <row r="398" spans="1:47" s="171" customFormat="1" ht="17.100000000000001" customHeight="1">
      <c r="A398" s="127" t="s">
        <v>2259</v>
      </c>
      <c r="B398" s="79">
        <v>79</v>
      </c>
      <c r="C398" s="79">
        <v>153</v>
      </c>
      <c r="D398" s="79">
        <v>6</v>
      </c>
      <c r="E398" s="79">
        <v>34</v>
      </c>
      <c r="F398" s="57">
        <v>10.11</v>
      </c>
      <c r="G398" s="79">
        <v>6284</v>
      </c>
      <c r="H398" s="30" t="s">
        <v>2256</v>
      </c>
      <c r="I398" s="166" t="s">
        <v>2260</v>
      </c>
      <c r="J398" s="8">
        <f>IFERROR(VLOOKUP($G398,今日總結!$A:$AJ,33,0),"")</f>
        <v>1</v>
      </c>
      <c r="K398" s="5">
        <f>IFERROR(VLOOKUP($G398,今日總結!$A:$AJ,34,0),"")</f>
        <v>0</v>
      </c>
      <c r="L398" s="156">
        <f>IFERROR(VLOOKUP($G398,今日總結!$A:$AJ,31,0),"")</f>
        <v>0</v>
      </c>
      <c r="M398" s="340">
        <f>IFERROR(VLOOKUP($G398,今日總結!$A:$AJ,32,0),"")</f>
        <v>0</v>
      </c>
      <c r="N398" s="240">
        <f t="shared" si="131"/>
        <v>0</v>
      </c>
      <c r="O398" s="245"/>
      <c r="P398" s="365">
        <f>IFERROR(VLOOKUP($G398,融外自投!$A:$J,7,0),"無")</f>
        <v>346</v>
      </c>
      <c r="Q398" s="79">
        <f>IFERROR(VLOOKUP($G398,融外自投!$A:$J,9,0),"無")</f>
        <v>514</v>
      </c>
      <c r="R398" s="346">
        <f>IFERROR(VLOOKUP($G398,融外自投!$A:$J,8,0),"無")</f>
        <v>1234</v>
      </c>
      <c r="S398" s="81">
        <f>IFERROR(VLOOKUP($G398,融外自投!$A:$J,10,0),"無")</f>
        <v>319</v>
      </c>
      <c r="T398" s="327">
        <f>IFERROR(VLOOKUP($G398,'321買'!$A:$E,5,0),"'沒有資料'")</f>
        <v>964</v>
      </c>
      <c r="U398" s="185">
        <v>0.5</v>
      </c>
      <c r="V398" s="311"/>
      <c r="W398" s="57">
        <f>U398/X398</f>
        <v>7.0422535211267607E-3</v>
      </c>
      <c r="X398" s="161">
        <v>71</v>
      </c>
      <c r="Y398" s="155">
        <v>62.1</v>
      </c>
      <c r="Z398" s="162">
        <f>X398-Y398</f>
        <v>8.8999999999999986</v>
      </c>
      <c r="AA398" s="158">
        <f>Z398/Y398</f>
        <v>0.14331723027375198</v>
      </c>
      <c r="AB398" s="167" t="s">
        <v>3036</v>
      </c>
      <c r="AC398" s="382"/>
      <c r="AD398" s="166" t="s">
        <v>2260</v>
      </c>
      <c r="AE398" s="84">
        <v>44190</v>
      </c>
      <c r="AF398" s="83">
        <v>44195</v>
      </c>
      <c r="AG398" s="33">
        <f>AF398-AE398</f>
        <v>5</v>
      </c>
      <c r="AH398" s="116" t="s">
        <v>2257</v>
      </c>
      <c r="AI398" s="121"/>
      <c r="AJ398" s="11"/>
      <c r="AK398" s="11"/>
      <c r="AL398" s="11"/>
      <c r="AM398" s="11"/>
      <c r="AN398" s="11"/>
    </row>
    <row r="399" spans="1:47" s="248" customFormat="1">
      <c r="A399" s="142" t="s">
        <v>2261</v>
      </c>
      <c r="B399" s="79">
        <v>307</v>
      </c>
      <c r="C399" s="79">
        <v>153</v>
      </c>
      <c r="D399" s="79">
        <v>3</v>
      </c>
      <c r="E399" s="79">
        <v>199</v>
      </c>
      <c r="F399" s="6">
        <v>8.8800000000000008</v>
      </c>
      <c r="G399" s="79">
        <v>6237</v>
      </c>
      <c r="H399" s="30" t="s">
        <v>2256</v>
      </c>
      <c r="I399" s="166" t="s">
        <v>2262</v>
      </c>
      <c r="J399" s="8">
        <f>IFERROR(VLOOKUP($G399,今日總結!$A:$AJ,33,0),"")</f>
        <v>1</v>
      </c>
      <c r="K399" s="5">
        <f>IFERROR(VLOOKUP($G399,今日總結!$A:$AJ,34,0),"")</f>
        <v>0</v>
      </c>
      <c r="L399" s="156">
        <f>IFERROR(VLOOKUP($G399,今日總結!$A:$AJ,31,0),"")</f>
        <v>0</v>
      </c>
      <c r="M399" s="340">
        <f>IFERROR(VLOOKUP($G399,今日總結!$A:$AJ,32,0),"")</f>
        <v>0</v>
      </c>
      <c r="N399" s="240">
        <f t="shared" si="131"/>
        <v>0</v>
      </c>
      <c r="O399" s="245"/>
      <c r="P399" s="365">
        <f>IFERROR(VLOOKUP($G399,融外自投!$A:$J,7,0),"無")</f>
        <v>90</v>
      </c>
      <c r="Q399" s="79">
        <f>IFERROR(VLOOKUP($G399,融外自投!$A:$J,9,0),"無")</f>
        <v>108</v>
      </c>
      <c r="R399" s="346">
        <f>IFERROR(VLOOKUP($G399,融外自投!$A:$J,8,0),"無")</f>
        <v>1177</v>
      </c>
      <c r="S399" s="81" t="str">
        <f>IFERROR(VLOOKUP($G399,融外自投!$A:$J,10,0),"無")</f>
        <v>無</v>
      </c>
      <c r="T399" s="327">
        <f>IFERROR(VLOOKUP($G399,'321買'!$A:$E,5,0),"'沒有資料'")</f>
        <v>271</v>
      </c>
      <c r="U399" s="185">
        <v>0.25</v>
      </c>
      <c r="V399" s="311"/>
      <c r="W399" s="57">
        <f>U399/X399</f>
        <v>3.2425421530479898E-3</v>
      </c>
      <c r="X399" s="161">
        <v>77.099999999999994</v>
      </c>
      <c r="Y399" s="155">
        <v>61.2</v>
      </c>
      <c r="Z399" s="162">
        <f>X399-Y399</f>
        <v>15.899999999999991</v>
      </c>
      <c r="AA399" s="158">
        <f>Z399/Y399</f>
        <v>0.25980392156862731</v>
      </c>
      <c r="AB399" s="99" t="s">
        <v>3037</v>
      </c>
      <c r="AC399" s="382"/>
      <c r="AD399" s="166" t="s">
        <v>2262</v>
      </c>
      <c r="AE399" s="84">
        <v>44183</v>
      </c>
      <c r="AF399" s="83">
        <v>44195</v>
      </c>
      <c r="AG399" s="33">
        <f>AF399-AE399</f>
        <v>12</v>
      </c>
      <c r="AH399" s="116" t="s">
        <v>2263</v>
      </c>
      <c r="AI399" s="163"/>
    </row>
    <row r="400" spans="1:47" s="248" customFormat="1">
      <c r="A400" s="142" t="s">
        <v>2261</v>
      </c>
      <c r="B400" s="79">
        <v>307</v>
      </c>
      <c r="C400" s="79">
        <v>153</v>
      </c>
      <c r="D400" s="79">
        <v>3</v>
      </c>
      <c r="E400" s="79">
        <v>199</v>
      </c>
      <c r="F400" s="6">
        <v>8.8800000000000008</v>
      </c>
      <c r="G400" s="79">
        <v>6237</v>
      </c>
      <c r="H400" s="30" t="s">
        <v>2256</v>
      </c>
      <c r="I400" s="166" t="s">
        <v>2262</v>
      </c>
      <c r="J400" s="8">
        <f>IFERROR(VLOOKUP($G400,今日總結!$A:$AJ,33,0),"")</f>
        <v>1</v>
      </c>
      <c r="K400" s="5">
        <f>IFERROR(VLOOKUP($G400,今日總結!$A:$AJ,34,0),"")</f>
        <v>0</v>
      </c>
      <c r="L400" s="156">
        <f>IFERROR(VLOOKUP($G400,今日總結!$A:$AJ,31,0),"")</f>
        <v>0</v>
      </c>
      <c r="M400" s="340">
        <f>IFERROR(VLOOKUP($G400,今日總結!$A:$AJ,32,0),"")</f>
        <v>0</v>
      </c>
      <c r="N400" s="240">
        <f t="shared" si="131"/>
        <v>0</v>
      </c>
      <c r="O400" s="245"/>
      <c r="P400" s="365">
        <f>IFERROR(VLOOKUP($G400,融外自投!$A:$J,7,0),"無")</f>
        <v>90</v>
      </c>
      <c r="Q400" s="79">
        <f>IFERROR(VLOOKUP($G400,融外自投!$A:$J,9,0),"無")</f>
        <v>108</v>
      </c>
      <c r="R400" s="346">
        <f>IFERROR(VLOOKUP($G400,融外自投!$A:$J,8,0),"無")</f>
        <v>1177</v>
      </c>
      <c r="S400" s="81" t="str">
        <f>IFERROR(VLOOKUP($G400,融外自投!$A:$J,10,0),"無")</f>
        <v>無</v>
      </c>
      <c r="T400" s="327">
        <f>IFERROR(VLOOKUP($G400,'321買'!$A:$E,5,0),"'沒有資料'")</f>
        <v>271</v>
      </c>
      <c r="U400" s="185">
        <v>0.25</v>
      </c>
      <c r="V400" s="311"/>
      <c r="W400" s="57">
        <f>U400/X400</f>
        <v>4.1597337770382693E-3</v>
      </c>
      <c r="X400" s="161">
        <v>60.1</v>
      </c>
      <c r="Y400" s="155">
        <v>51</v>
      </c>
      <c r="Z400" s="162">
        <f>X400-Y400</f>
        <v>9.1000000000000014</v>
      </c>
      <c r="AA400" s="158">
        <f>Z400/Y400</f>
        <v>0.17843137254901964</v>
      </c>
      <c r="AB400" s="99" t="s">
        <v>3038</v>
      </c>
      <c r="AC400" s="382"/>
      <c r="AD400" s="166" t="s">
        <v>2262</v>
      </c>
      <c r="AE400" s="84">
        <v>44183</v>
      </c>
      <c r="AF400" s="83">
        <v>44187</v>
      </c>
      <c r="AG400" s="33">
        <f>AF400-AE400</f>
        <v>4</v>
      </c>
      <c r="AH400" s="116" t="s">
        <v>2263</v>
      </c>
      <c r="AI400" s="163"/>
    </row>
    <row r="401" spans="1:46" s="248" customFormat="1">
      <c r="A401" s="141"/>
      <c r="B401" s="79"/>
      <c r="C401" s="80"/>
      <c r="D401" s="79"/>
      <c r="E401" s="80"/>
      <c r="F401" s="6"/>
      <c r="G401" s="41"/>
      <c r="H401" s="54"/>
      <c r="I401" s="166"/>
      <c r="J401" s="1"/>
      <c r="K401" s="1"/>
      <c r="L401" s="123"/>
      <c r="M401" s="234"/>
      <c r="N401" s="341"/>
      <c r="O401" s="245"/>
      <c r="P401" s="89"/>
      <c r="Q401" s="73"/>
      <c r="R401" s="354"/>
      <c r="S401" s="81"/>
      <c r="T401" s="327"/>
      <c r="U401" s="185"/>
      <c r="V401" s="311"/>
      <c r="W401" s="94"/>
      <c r="X401" s="165">
        <f>SUM(X398:X400)</f>
        <v>208.2</v>
      </c>
      <c r="Y401" s="155">
        <f>SUM(Y398:Y400)</f>
        <v>174.3</v>
      </c>
      <c r="Z401" s="162">
        <f>SUM(Z398:Z400)</f>
        <v>33.899999999999991</v>
      </c>
      <c r="AA401" s="158">
        <f>Z401/Y401</f>
        <v>0.19449225473321852</v>
      </c>
      <c r="AB401" s="113"/>
      <c r="AC401" s="382"/>
      <c r="AD401" s="153">
        <f>X401*(0.001425*0.65)+X401*0.003+Y401*(0.001425*0.65)</f>
        <v>0.97889062500000001</v>
      </c>
      <c r="AE401" s="6">
        <f>Z401-AD401</f>
        <v>32.921109374999993</v>
      </c>
      <c r="AF401" s="83"/>
      <c r="AG401" s="33"/>
      <c r="AH401" s="138"/>
      <c r="AI401" s="163"/>
    </row>
    <row r="402" spans="1:46">
      <c r="B402" s="79"/>
      <c r="C402" s="80"/>
      <c r="D402" s="79"/>
      <c r="E402" s="80"/>
      <c r="F402" s="6"/>
      <c r="G402" s="41"/>
      <c r="H402" s="50"/>
      <c r="I402" s="16"/>
      <c r="L402" s="123"/>
      <c r="U402" s="34"/>
      <c r="W402" s="94"/>
      <c r="X402" s="13"/>
      <c r="Y402" s="45"/>
      <c r="Z402" s="15"/>
      <c r="AA402" s="76"/>
      <c r="AB402" s="113"/>
      <c r="AD402" s="16"/>
      <c r="AG402" s="33"/>
    </row>
    <row r="403" spans="1:46">
      <c r="A403" s="127" t="s">
        <v>1673</v>
      </c>
      <c r="B403" s="90" t="s">
        <v>1572</v>
      </c>
      <c r="C403" s="90" t="s">
        <v>1573</v>
      </c>
      <c r="D403" s="90" t="s">
        <v>1574</v>
      </c>
      <c r="E403" s="90" t="s">
        <v>1575</v>
      </c>
      <c r="F403" s="8" t="s">
        <v>1060</v>
      </c>
      <c r="G403" s="26" t="s">
        <v>3442</v>
      </c>
      <c r="H403" s="55" t="s">
        <v>320</v>
      </c>
      <c r="I403" s="1" t="s">
        <v>69</v>
      </c>
      <c r="L403" s="123"/>
      <c r="S403" s="104" t="s">
        <v>3415</v>
      </c>
      <c r="T403" s="321" t="s">
        <v>3339</v>
      </c>
      <c r="U403" s="10" t="s">
        <v>2949</v>
      </c>
      <c r="W403" s="68" t="s">
        <v>2947</v>
      </c>
      <c r="X403" s="28" t="s">
        <v>2948</v>
      </c>
      <c r="Y403" s="17" t="s">
        <v>2950</v>
      </c>
      <c r="Z403" s="14" t="s">
        <v>5</v>
      </c>
      <c r="AA403" s="21" t="s">
        <v>3</v>
      </c>
      <c r="AB403" s="25" t="s">
        <v>105</v>
      </c>
      <c r="AD403" s="1" t="s">
        <v>69</v>
      </c>
      <c r="AE403" s="71" t="s">
        <v>1400</v>
      </c>
      <c r="AF403" s="72" t="s">
        <v>1157</v>
      </c>
      <c r="AG403" s="32" t="s">
        <v>1158</v>
      </c>
      <c r="AH403" s="46" t="s">
        <v>1566</v>
      </c>
    </row>
    <row r="404" spans="1:46" ht="16.5" customHeight="1">
      <c r="A404" s="132"/>
      <c r="B404" s="90"/>
      <c r="C404" s="132"/>
      <c r="D404" s="90"/>
      <c r="E404" s="90"/>
      <c r="F404" s="6"/>
      <c r="G404" s="79">
        <v>632</v>
      </c>
      <c r="H404" s="8" t="s">
        <v>1403</v>
      </c>
      <c r="I404" s="22" t="s">
        <v>207</v>
      </c>
      <c r="L404" s="123"/>
      <c r="U404" s="34"/>
      <c r="W404" s="94">
        <f>U404/X404</f>
        <v>0</v>
      </c>
      <c r="X404" s="13">
        <v>6.97</v>
      </c>
      <c r="Y404" s="66">
        <v>18.57</v>
      </c>
      <c r="Z404" s="15">
        <f>X404-Y404</f>
        <v>-11.600000000000001</v>
      </c>
      <c r="AA404" s="76">
        <f>Z404/Y404</f>
        <v>-0.62466343564889615</v>
      </c>
      <c r="AB404" s="113" t="s">
        <v>1856</v>
      </c>
      <c r="AD404" s="22" t="s">
        <v>207</v>
      </c>
      <c r="AG404" s="33" t="e">
        <f>AF404-#REF!</f>
        <v>#REF!</v>
      </c>
      <c r="AH404" s="49" t="s">
        <v>1858</v>
      </c>
      <c r="AI404" s="247"/>
      <c r="AJ404" s="247"/>
      <c r="AK404" s="75"/>
      <c r="AL404" s="66"/>
      <c r="AM404" s="75"/>
      <c r="AN404" s="66"/>
      <c r="AO404" s="41"/>
      <c r="AP404" s="22"/>
    </row>
    <row r="405" spans="1:46" ht="16.5" customHeight="1">
      <c r="A405" s="132"/>
      <c r="B405" s="90"/>
      <c r="C405" s="132"/>
      <c r="D405" s="90"/>
      <c r="E405" s="90"/>
      <c r="F405" s="6"/>
      <c r="G405" s="79">
        <v>632</v>
      </c>
      <c r="H405" s="50" t="s">
        <v>1495</v>
      </c>
      <c r="I405" s="22" t="s">
        <v>207</v>
      </c>
      <c r="L405" s="123"/>
      <c r="U405" s="34"/>
      <c r="W405" s="94">
        <f>U405/X405</f>
        <v>0</v>
      </c>
      <c r="X405" s="13">
        <v>6.95</v>
      </c>
      <c r="Y405" s="66">
        <v>16.73</v>
      </c>
      <c r="Z405" s="15">
        <f>X405-Y405</f>
        <v>-9.7800000000000011</v>
      </c>
      <c r="AA405" s="76">
        <f>Z405/Y405</f>
        <v>-0.58457860131500305</v>
      </c>
      <c r="AB405" s="113" t="s">
        <v>1859</v>
      </c>
      <c r="AD405" s="22" t="s">
        <v>207</v>
      </c>
      <c r="AG405" s="33" t="e">
        <f>AF405-#REF!</f>
        <v>#REF!</v>
      </c>
      <c r="AH405" s="49" t="s">
        <v>1681</v>
      </c>
      <c r="AI405" s="247"/>
      <c r="AJ405" s="247"/>
      <c r="AK405" s="75"/>
      <c r="AL405" s="66"/>
      <c r="AM405" s="75"/>
      <c r="AN405" s="66"/>
      <c r="AO405" s="41"/>
      <c r="AP405" s="22"/>
    </row>
    <row r="406" spans="1:46">
      <c r="A406" s="127"/>
      <c r="B406" s="90"/>
      <c r="C406" s="90"/>
      <c r="D406" s="90"/>
      <c r="E406" s="90"/>
      <c r="F406" s="8"/>
      <c r="G406" s="25"/>
      <c r="H406" s="55"/>
      <c r="I406" s="1"/>
      <c r="L406" s="123"/>
      <c r="U406" s="10"/>
      <c r="W406" s="68"/>
      <c r="X406" s="28"/>
      <c r="Y406" s="17"/>
      <c r="Z406" s="14"/>
      <c r="AA406" s="21"/>
      <c r="AB406" s="25"/>
      <c r="AD406" s="1"/>
      <c r="AE406" s="71"/>
      <c r="AF406" s="72"/>
      <c r="AG406" s="32"/>
      <c r="AH406" s="46"/>
    </row>
    <row r="407" spans="1:46">
      <c r="A407" s="127" t="s">
        <v>1673</v>
      </c>
      <c r="B407" s="90" t="s">
        <v>1572</v>
      </c>
      <c r="C407" s="90" t="s">
        <v>1573</v>
      </c>
      <c r="D407" s="90" t="s">
        <v>1574</v>
      </c>
      <c r="E407" s="90" t="s">
        <v>1575</v>
      </c>
      <c r="F407" s="8" t="s">
        <v>1060</v>
      </c>
      <c r="G407" s="26" t="s">
        <v>3442</v>
      </c>
      <c r="H407" s="55" t="s">
        <v>320</v>
      </c>
      <c r="I407" s="1" t="s">
        <v>69</v>
      </c>
      <c r="L407" s="123"/>
      <c r="S407" s="104" t="s">
        <v>3415</v>
      </c>
      <c r="T407" s="321" t="s">
        <v>3339</v>
      </c>
      <c r="U407" s="10" t="s">
        <v>2949</v>
      </c>
      <c r="W407" s="68" t="s">
        <v>2947</v>
      </c>
      <c r="X407" s="28" t="s">
        <v>2948</v>
      </c>
      <c r="Y407" s="17" t="s">
        <v>2950</v>
      </c>
      <c r="Z407" s="14" t="s">
        <v>5</v>
      </c>
      <c r="AA407" s="21" t="s">
        <v>3</v>
      </c>
      <c r="AB407" s="25" t="s">
        <v>105</v>
      </c>
      <c r="AD407" s="1" t="s">
        <v>69</v>
      </c>
      <c r="AE407" s="71" t="s">
        <v>1400</v>
      </c>
      <c r="AF407" s="72" t="s">
        <v>1157</v>
      </c>
      <c r="AG407" s="32" t="s">
        <v>1158</v>
      </c>
      <c r="AH407" s="46" t="s">
        <v>1913</v>
      </c>
    </row>
    <row r="408" spans="1:46">
      <c r="B408" s="80">
        <v>-61</v>
      </c>
      <c r="C408" s="79">
        <v>22</v>
      </c>
      <c r="D408" s="80">
        <v>-61</v>
      </c>
      <c r="E408" s="79">
        <v>22</v>
      </c>
      <c r="F408" s="6">
        <v>-16.91</v>
      </c>
      <c r="G408" s="79">
        <v>2390</v>
      </c>
      <c r="H408" s="8" t="s">
        <v>1403</v>
      </c>
      <c r="I408" s="22" t="s">
        <v>493</v>
      </c>
      <c r="J408" s="8">
        <f>IFERROR(VLOOKUP($G408,今日總結!$A:$AJ,33,0),"")</f>
        <v>0</v>
      </c>
      <c r="K408" s="5">
        <f>IFERROR(VLOOKUP($G408,今日總結!$A:$AJ,34,0),"")</f>
        <v>3</v>
      </c>
      <c r="L408" s="156">
        <f>IFERROR(VLOOKUP($G408,今日總結!$A:$AJ,31,0),"")</f>
        <v>0</v>
      </c>
      <c r="M408" s="340">
        <f>IFERROR(VLOOKUP($G408,今日總結!$A:$AJ,32,0),"")</f>
        <v>0</v>
      </c>
      <c r="N408" s="240">
        <f t="shared" ref="N408:N410" si="132">IFERROR(L408-M408,"")</f>
        <v>0</v>
      </c>
      <c r="P408" s="365">
        <f>IFERROR(VLOOKUP($G408,融外自投!$A:$J,7,0),"無")</f>
        <v>116</v>
      </c>
      <c r="Q408" s="79">
        <f>IFERROR(VLOOKUP($G408,融外自投!$A:$J,9,0),"無")</f>
        <v>667</v>
      </c>
      <c r="R408" s="346">
        <f>IFERROR(VLOOKUP($G408,融外自投!$A:$J,8,0),"無")</f>
        <v>1180</v>
      </c>
      <c r="S408" s="81" t="str">
        <f>IFERROR(VLOOKUP($G408,融外自投!$A:$J,10,0),"無")</f>
        <v>無</v>
      </c>
      <c r="T408" s="327">
        <f>IFERROR(VLOOKUP($G408,'321買'!$A:$E,5,0),"'沒有資料'")</f>
        <v>379</v>
      </c>
      <c r="U408" s="34">
        <v>0</v>
      </c>
      <c r="W408" s="94">
        <f>U408/X408</f>
        <v>0</v>
      </c>
      <c r="X408" s="13">
        <v>11.8</v>
      </c>
      <c r="Y408" s="45">
        <v>13.57</v>
      </c>
      <c r="Z408" s="15">
        <f>X408-Y408</f>
        <v>-1.7699999999999996</v>
      </c>
      <c r="AA408" s="76">
        <f>Z408/Y408</f>
        <v>-0.13043478260869562</v>
      </c>
      <c r="AB408" s="113" t="s">
        <v>1916</v>
      </c>
      <c r="AD408" s="22" t="s">
        <v>493</v>
      </c>
      <c r="AE408" s="84">
        <v>43362</v>
      </c>
      <c r="AG408" s="33">
        <f>AF408-AE408</f>
        <v>-43362</v>
      </c>
      <c r="AH408" s="41" t="s">
        <v>1122</v>
      </c>
      <c r="AK408" s="11"/>
      <c r="AL408" s="11"/>
      <c r="AM408" s="11"/>
      <c r="AN408" s="11"/>
      <c r="AQ408" s="7"/>
      <c r="AR408" s="31"/>
      <c r="AS408" s="7"/>
      <c r="AT408" s="7"/>
    </row>
    <row r="409" spans="1:46">
      <c r="B409" s="80">
        <v>-61</v>
      </c>
      <c r="C409" s="79">
        <v>22</v>
      </c>
      <c r="D409" s="80">
        <v>-61</v>
      </c>
      <c r="E409" s="79">
        <v>22</v>
      </c>
      <c r="F409" s="6">
        <v>-16.91</v>
      </c>
      <c r="G409" s="79">
        <v>2390</v>
      </c>
      <c r="H409" s="50" t="s">
        <v>1404</v>
      </c>
      <c r="I409" s="22" t="s">
        <v>493</v>
      </c>
      <c r="J409" s="8">
        <f>IFERROR(VLOOKUP($G409,今日總結!$A:$AJ,33,0),"")</f>
        <v>0</v>
      </c>
      <c r="K409" s="5">
        <f>IFERROR(VLOOKUP($G409,今日總結!$A:$AJ,34,0),"")</f>
        <v>3</v>
      </c>
      <c r="L409" s="156">
        <f>IFERROR(VLOOKUP($G409,今日總結!$A:$AJ,31,0),"")</f>
        <v>0</v>
      </c>
      <c r="M409" s="340">
        <f>IFERROR(VLOOKUP($G409,今日總結!$A:$AJ,32,0),"")</f>
        <v>0</v>
      </c>
      <c r="N409" s="240">
        <f t="shared" si="132"/>
        <v>0</v>
      </c>
      <c r="P409" s="365">
        <f>IFERROR(VLOOKUP($G409,融外自投!$A:$J,7,0),"無")</f>
        <v>116</v>
      </c>
      <c r="Q409" s="79">
        <f>IFERROR(VLOOKUP($G409,融外自投!$A:$J,9,0),"無")</f>
        <v>667</v>
      </c>
      <c r="R409" s="346">
        <f>IFERROR(VLOOKUP($G409,融外自投!$A:$J,8,0),"無")</f>
        <v>1180</v>
      </c>
      <c r="S409" s="81" t="str">
        <f>IFERROR(VLOOKUP($G409,融外自投!$A:$J,10,0),"無")</f>
        <v>無</v>
      </c>
      <c r="T409" s="327">
        <f>IFERROR(VLOOKUP($G409,'321買'!$A:$E,5,0),"'沒有資料'")</f>
        <v>379</v>
      </c>
      <c r="U409" s="34">
        <v>0</v>
      </c>
      <c r="W409" s="94">
        <f>U409/X409</f>
        <v>0</v>
      </c>
      <c r="X409" s="13">
        <v>11.8</v>
      </c>
      <c r="Y409" s="45">
        <v>13.57</v>
      </c>
      <c r="Z409" s="15">
        <f>X409-Y409</f>
        <v>-1.7699999999999996</v>
      </c>
      <c r="AA409" s="76">
        <f>Z409/Y409</f>
        <v>-0.13043478260869562</v>
      </c>
      <c r="AB409" s="113" t="s">
        <v>1917</v>
      </c>
      <c r="AD409" s="22" t="s">
        <v>493</v>
      </c>
      <c r="AE409" s="84">
        <v>43362</v>
      </c>
      <c r="AG409" s="33">
        <f>AF409-AE409</f>
        <v>-43362</v>
      </c>
      <c r="AH409" s="116" t="s">
        <v>1596</v>
      </c>
      <c r="AK409" s="11"/>
      <c r="AL409" s="11"/>
      <c r="AM409" s="11"/>
      <c r="AN409" s="11"/>
      <c r="AQ409" s="7"/>
      <c r="AR409" s="31"/>
      <c r="AS409" s="7"/>
      <c r="AT409" s="7"/>
    </row>
    <row r="410" spans="1:46" ht="16.5" customHeight="1">
      <c r="A410" s="143"/>
      <c r="B410" s="80">
        <v>-66</v>
      </c>
      <c r="C410" s="80">
        <v>-17</v>
      </c>
      <c r="D410" s="80">
        <v>-66</v>
      </c>
      <c r="E410" s="80">
        <v>-17</v>
      </c>
      <c r="F410" s="6">
        <v>-25.81</v>
      </c>
      <c r="G410" s="79">
        <v>2390</v>
      </c>
      <c r="H410" s="50" t="s">
        <v>1404</v>
      </c>
      <c r="I410" s="22" t="s">
        <v>493</v>
      </c>
      <c r="J410" s="8">
        <f>IFERROR(VLOOKUP($G410,今日總結!$A:$AJ,33,0),"")</f>
        <v>0</v>
      </c>
      <c r="K410" s="5">
        <f>IFERROR(VLOOKUP($G410,今日總結!$A:$AJ,34,0),"")</f>
        <v>3</v>
      </c>
      <c r="L410" s="156">
        <f>IFERROR(VLOOKUP($G410,今日總結!$A:$AJ,31,0),"")</f>
        <v>0</v>
      </c>
      <c r="M410" s="340">
        <f>IFERROR(VLOOKUP($G410,今日總結!$A:$AJ,32,0),"")</f>
        <v>0</v>
      </c>
      <c r="N410" s="240">
        <f t="shared" si="132"/>
        <v>0</v>
      </c>
      <c r="P410" s="365">
        <f>IFERROR(VLOOKUP($G410,融外自投!$A:$J,7,0),"無")</f>
        <v>116</v>
      </c>
      <c r="Q410" s="79">
        <f>IFERROR(VLOOKUP($G410,融外自投!$A:$J,9,0),"無")</f>
        <v>667</v>
      </c>
      <c r="R410" s="346">
        <f>IFERROR(VLOOKUP($G410,融外自投!$A:$J,8,0),"無")</f>
        <v>1180</v>
      </c>
      <c r="S410" s="81" t="str">
        <f>IFERROR(VLOOKUP($G410,融外自投!$A:$J,10,0),"無")</f>
        <v>無</v>
      </c>
      <c r="T410" s="327">
        <f>IFERROR(VLOOKUP($G410,'321買'!$A:$E,5,0),"'沒有資料'")</f>
        <v>379</v>
      </c>
      <c r="U410" s="34">
        <v>0</v>
      </c>
      <c r="W410" s="94">
        <f>U410/X410</f>
        <v>0</v>
      </c>
      <c r="X410" s="36">
        <v>11.8</v>
      </c>
      <c r="Y410" s="45">
        <v>11.3</v>
      </c>
      <c r="Z410" s="15">
        <f>X410-Y410</f>
        <v>0.5</v>
      </c>
      <c r="AA410" s="63">
        <f>Z410/Y410</f>
        <v>4.4247787610619468E-2</v>
      </c>
      <c r="AB410" s="111" t="s">
        <v>1914</v>
      </c>
      <c r="AD410" s="22" t="s">
        <v>493</v>
      </c>
      <c r="AE410" s="84">
        <v>43711</v>
      </c>
      <c r="AG410" s="33">
        <f>AF410-AE410</f>
        <v>-43711</v>
      </c>
      <c r="AH410" s="116"/>
      <c r="AI410" s="245"/>
    </row>
    <row r="411" spans="1:46" ht="16.5" customHeight="1">
      <c r="B411" s="80">
        <v>-66</v>
      </c>
      <c r="C411" s="80">
        <v>-17</v>
      </c>
      <c r="D411" s="80">
        <v>-66</v>
      </c>
      <c r="E411" s="80">
        <v>-17</v>
      </c>
      <c r="F411" s="6">
        <v>-25.81</v>
      </c>
      <c r="G411" s="79">
        <v>2390</v>
      </c>
      <c r="H411" s="50" t="s">
        <v>1404</v>
      </c>
      <c r="I411" s="22" t="s">
        <v>493</v>
      </c>
      <c r="J411" s="8">
        <f>IFERROR(VLOOKUP($G411,今日總結!$A:$AJ,33,0),"")</f>
        <v>0</v>
      </c>
      <c r="K411" s="5">
        <f>IFERROR(VLOOKUP($G411,今日總結!$A:$AJ,34,0),"")</f>
        <v>3</v>
      </c>
      <c r="L411" s="156">
        <f>IFERROR(VLOOKUP($G411,今日總結!$A:$AJ,31,0),"")</f>
        <v>0</v>
      </c>
      <c r="M411" s="340">
        <f>IFERROR(VLOOKUP($G411,今日總結!$A:$AJ,32,0),"")</f>
        <v>0</v>
      </c>
      <c r="N411" s="240">
        <f t="shared" ref="N411" si="133">IFERROR(L411-M411,"")</f>
        <v>0</v>
      </c>
      <c r="P411" s="365">
        <f>IFERROR(VLOOKUP($G411,融外自投!$A:$J,7,0),"無")</f>
        <v>116</v>
      </c>
      <c r="Q411" s="79">
        <f>IFERROR(VLOOKUP($G411,融外自投!$A:$J,9,0),"無")</f>
        <v>667</v>
      </c>
      <c r="R411" s="346">
        <f>IFERROR(VLOOKUP($G411,融外自投!$A:$J,8,0),"無")</f>
        <v>1180</v>
      </c>
      <c r="S411" s="81" t="str">
        <f>IFERROR(VLOOKUP($G411,融外自投!$A:$J,10,0),"無")</f>
        <v>無</v>
      </c>
      <c r="T411" s="327">
        <f>IFERROR(VLOOKUP($G411,'321買'!$A:$E,5,0),"'沒有資料'")</f>
        <v>379</v>
      </c>
      <c r="U411" s="34">
        <v>0</v>
      </c>
      <c r="W411" s="94">
        <f>U411/X411</f>
        <v>0</v>
      </c>
      <c r="X411" s="36">
        <v>11.8</v>
      </c>
      <c r="Y411" s="45">
        <v>11.25</v>
      </c>
      <c r="Z411" s="15">
        <f>X411-Y411</f>
        <v>0.55000000000000071</v>
      </c>
      <c r="AA411" s="63">
        <f>Z411/Y411</f>
        <v>4.8888888888888954E-2</v>
      </c>
      <c r="AB411" s="111" t="s">
        <v>1915</v>
      </c>
      <c r="AD411" s="22" t="s">
        <v>493</v>
      </c>
      <c r="AE411" s="84">
        <v>43698</v>
      </c>
      <c r="AG411" s="33">
        <f>AF411-AE411</f>
        <v>-43698</v>
      </c>
      <c r="AH411" s="116"/>
    </row>
    <row r="412" spans="1:46">
      <c r="B412" s="80"/>
      <c r="C412" s="79"/>
      <c r="D412" s="80"/>
      <c r="E412" s="79"/>
      <c r="F412" s="6"/>
      <c r="G412" s="41"/>
      <c r="H412" s="8"/>
      <c r="I412" s="22"/>
      <c r="L412" s="123"/>
      <c r="U412" s="34"/>
      <c r="W412" s="94"/>
      <c r="X412" s="13">
        <f>SUM(X408:X411)</f>
        <v>47.2</v>
      </c>
      <c r="Y412" s="45">
        <f>SUM(Y408:Y411)</f>
        <v>49.69</v>
      </c>
      <c r="Z412" s="15">
        <f>X412-Y412</f>
        <v>-2.4899999999999949</v>
      </c>
      <c r="AA412" s="76">
        <f>Z412/Y412</f>
        <v>-5.0110686254779532E-2</v>
      </c>
      <c r="AB412" s="113"/>
      <c r="AD412" s="22"/>
      <c r="AG412" s="33"/>
      <c r="AH412" s="116"/>
      <c r="AK412" s="11"/>
      <c r="AL412" s="11"/>
      <c r="AM412" s="11"/>
      <c r="AN412" s="11"/>
      <c r="AQ412" s="7"/>
      <c r="AR412" s="31"/>
      <c r="AS412" s="7"/>
      <c r="AT412" s="7"/>
    </row>
    <row r="413" spans="1:46">
      <c r="A413" s="127" t="s">
        <v>1673</v>
      </c>
      <c r="B413" s="90" t="s">
        <v>1572</v>
      </c>
      <c r="C413" s="90" t="s">
        <v>1573</v>
      </c>
      <c r="D413" s="90" t="s">
        <v>1574</v>
      </c>
      <c r="E413" s="90" t="s">
        <v>1575</v>
      </c>
      <c r="F413" s="8" t="s">
        <v>1060</v>
      </c>
      <c r="G413" s="26" t="s">
        <v>3442</v>
      </c>
      <c r="H413" s="55" t="s">
        <v>320</v>
      </c>
      <c r="I413" s="1" t="s">
        <v>69</v>
      </c>
      <c r="L413" s="123"/>
      <c r="S413" s="104" t="s">
        <v>3415</v>
      </c>
      <c r="T413" s="321" t="s">
        <v>3339</v>
      </c>
      <c r="U413" s="10" t="s">
        <v>2949</v>
      </c>
      <c r="W413" s="68" t="s">
        <v>2947</v>
      </c>
      <c r="X413" s="28" t="s">
        <v>2948</v>
      </c>
      <c r="Y413" s="17" t="s">
        <v>2950</v>
      </c>
      <c r="Z413" s="14" t="s">
        <v>5</v>
      </c>
      <c r="AA413" s="21" t="s">
        <v>3</v>
      </c>
      <c r="AB413" s="25" t="s">
        <v>105</v>
      </c>
      <c r="AD413" s="1" t="s">
        <v>69</v>
      </c>
      <c r="AE413" s="71" t="s">
        <v>1400</v>
      </c>
      <c r="AF413" s="72" t="s">
        <v>1157</v>
      </c>
      <c r="AG413" s="32" t="s">
        <v>1158</v>
      </c>
      <c r="AH413" s="46" t="s">
        <v>1873</v>
      </c>
    </row>
    <row r="414" spans="1:46" ht="16.5" customHeight="1">
      <c r="A414" s="132"/>
      <c r="B414" s="90"/>
      <c r="C414" s="132"/>
      <c r="D414" s="90"/>
      <c r="E414" s="90"/>
      <c r="F414" s="6"/>
      <c r="G414" s="79">
        <v>648</v>
      </c>
      <c r="H414" s="8" t="s">
        <v>1403</v>
      </c>
      <c r="I414" s="22" t="s">
        <v>1494</v>
      </c>
      <c r="L414" s="123"/>
      <c r="S414" s="81" t="str">
        <f>IFERROR(VLOOKUP($G414,'321買'!A:D,3,0),"'沒有資料'")</f>
        <v>'沒有資料'</v>
      </c>
      <c r="U414" s="34"/>
      <c r="W414" s="94">
        <f>U414/X414</f>
        <v>0</v>
      </c>
      <c r="X414" s="36">
        <v>13.88</v>
      </c>
      <c r="Y414" s="45">
        <v>19.579999999999998</v>
      </c>
      <c r="Z414" s="15">
        <f>X414-Y414</f>
        <v>-5.6999999999999975</v>
      </c>
      <c r="AA414" s="76">
        <f>Z414/Y414</f>
        <v>-0.29111338100102135</v>
      </c>
      <c r="AB414" s="113" t="s">
        <v>1861</v>
      </c>
      <c r="AD414" s="22" t="s">
        <v>1494</v>
      </c>
      <c r="AE414" s="115"/>
      <c r="AG414" s="33">
        <f>AF414-AE414</f>
        <v>0</v>
      </c>
      <c r="AH414" s="49" t="s">
        <v>1857</v>
      </c>
      <c r="AI414" s="247"/>
      <c r="AJ414" s="247"/>
      <c r="AK414" s="75"/>
      <c r="AL414" s="66"/>
      <c r="AM414" s="75"/>
      <c r="AN414" s="66"/>
      <c r="AO414" s="41"/>
      <c r="AP414" s="22"/>
    </row>
    <row r="415" spans="1:46" ht="16.5" customHeight="1">
      <c r="A415" s="132"/>
      <c r="B415" s="90"/>
      <c r="C415" s="132"/>
      <c r="D415" s="90"/>
      <c r="E415" s="90"/>
      <c r="F415" s="6"/>
      <c r="G415" s="41"/>
      <c r="H415" s="8"/>
      <c r="I415" s="22"/>
      <c r="L415" s="123"/>
      <c r="U415" s="34"/>
      <c r="W415" s="94"/>
      <c r="X415" s="13">
        <f>X414*AH414</f>
        <v>749.5200000000001</v>
      </c>
      <c r="Y415" s="189">
        <f>Y414*AH414</f>
        <v>1057.32</v>
      </c>
      <c r="Z415" s="137">
        <f>X415-Y415</f>
        <v>-307.79999999999984</v>
      </c>
      <c r="AA415" s="76">
        <f>Z415/Y415</f>
        <v>-0.2911133810010213</v>
      </c>
      <c r="AB415" s="113"/>
      <c r="AD415" s="22"/>
      <c r="AE415" s="115"/>
      <c r="AG415" s="33"/>
      <c r="AH415" s="49"/>
      <c r="AI415" s="247"/>
      <c r="AJ415" s="247"/>
      <c r="AK415" s="75"/>
      <c r="AL415" s="66"/>
      <c r="AM415" s="75"/>
      <c r="AN415" s="66"/>
      <c r="AO415" s="41"/>
      <c r="AP415" s="22"/>
    </row>
    <row r="416" spans="1:46">
      <c r="B416" s="79"/>
      <c r="C416" s="80"/>
      <c r="D416" s="79"/>
      <c r="E416" s="80"/>
      <c r="F416" s="6"/>
      <c r="G416" s="41"/>
      <c r="H416" s="50"/>
      <c r="I416" s="16"/>
      <c r="L416" s="123"/>
      <c r="U416" s="34"/>
      <c r="W416" s="94"/>
      <c r="X416" s="13"/>
      <c r="Y416" s="45"/>
      <c r="Z416" s="15"/>
      <c r="AA416" s="76"/>
      <c r="AB416" s="113"/>
      <c r="AD416" s="16"/>
      <c r="AG416" s="33"/>
    </row>
    <row r="417" spans="1:47">
      <c r="A417" s="127" t="s">
        <v>1673</v>
      </c>
      <c r="B417" s="90" t="s">
        <v>1572</v>
      </c>
      <c r="C417" s="90" t="s">
        <v>1573</v>
      </c>
      <c r="D417" s="90" t="s">
        <v>1574</v>
      </c>
      <c r="E417" s="90" t="s">
        <v>1575</v>
      </c>
      <c r="F417" s="8" t="s">
        <v>1060</v>
      </c>
      <c r="G417" s="26" t="s">
        <v>3442</v>
      </c>
      <c r="H417" s="55" t="s">
        <v>320</v>
      </c>
      <c r="I417" s="1" t="s">
        <v>69</v>
      </c>
      <c r="L417" s="123"/>
      <c r="T417" s="321" t="s">
        <v>3339</v>
      </c>
      <c r="U417" s="10" t="s">
        <v>66</v>
      </c>
      <c r="W417" s="68" t="s">
        <v>1493</v>
      </c>
      <c r="X417" s="28" t="s">
        <v>2</v>
      </c>
      <c r="Y417" s="17" t="s">
        <v>1399</v>
      </c>
      <c r="Z417" s="14" t="s">
        <v>5</v>
      </c>
      <c r="AA417" s="21" t="s">
        <v>3</v>
      </c>
      <c r="AB417" s="25" t="s">
        <v>105</v>
      </c>
      <c r="AD417" s="1" t="s">
        <v>69</v>
      </c>
      <c r="AE417" s="71" t="s">
        <v>1400</v>
      </c>
      <c r="AF417" s="72" t="s">
        <v>1157</v>
      </c>
      <c r="AG417" s="32" t="s">
        <v>1158</v>
      </c>
      <c r="AH417" s="46" t="s">
        <v>1789</v>
      </c>
    </row>
    <row r="418" spans="1:47">
      <c r="A418" s="127" t="s">
        <v>1735</v>
      </c>
      <c r="B418" s="79">
        <v>31</v>
      </c>
      <c r="C418" s="79">
        <v>21</v>
      </c>
      <c r="D418" s="79">
        <v>3</v>
      </c>
      <c r="E418" s="79">
        <v>8</v>
      </c>
      <c r="F418" s="57">
        <v>26.31</v>
      </c>
      <c r="G418" s="81">
        <v>6592</v>
      </c>
      <c r="H418" s="4" t="s">
        <v>235</v>
      </c>
      <c r="I418" s="22" t="s">
        <v>1736</v>
      </c>
      <c r="J418" s="8" t="str">
        <f>IFERROR(VLOOKUP($G418,今日總結!$A:$AJ,33,0),"")</f>
        <v/>
      </c>
      <c r="K418" s="5" t="str">
        <f>IFERROR(VLOOKUP($G418,今日總結!$A:$AJ,34,0),"")</f>
        <v/>
      </c>
      <c r="L418" s="156" t="str">
        <f>IFERROR(VLOOKUP($G418,今日總結!$A:$AJ,31,0),"")</f>
        <v/>
      </c>
      <c r="M418" s="340" t="str">
        <f>IFERROR(VLOOKUP($G418,今日總結!$A:$AJ,32,0),"")</f>
        <v/>
      </c>
      <c r="N418" s="240" t="str">
        <f t="shared" ref="N418" si="134">IFERROR(L418-M418,"")</f>
        <v/>
      </c>
      <c r="P418" s="365">
        <f>IFERROR(VLOOKUP($G418,融外自投!$A:$J,7,0),"無")</f>
        <v>1228</v>
      </c>
      <c r="Q418" s="79">
        <f>IFERROR(VLOOKUP($G418,融外自投!$A:$J,9,0),"無")</f>
        <v>824</v>
      </c>
      <c r="R418" s="346">
        <f>IFERROR(VLOOKUP($G418,融外自投!$A:$J,8,0),"無")</f>
        <v>197</v>
      </c>
      <c r="S418" s="81">
        <f>IFERROR(VLOOKUP($G418,融外自投!$A:$J,10,0),"無")</f>
        <v>383</v>
      </c>
      <c r="T418" s="327">
        <f>IFERROR(VLOOKUP($G418,'321買'!$A:$E,5,0),"'沒有資料'")</f>
        <v>802</v>
      </c>
      <c r="U418" s="34">
        <v>3.3</v>
      </c>
      <c r="W418" s="94">
        <f>U418/X418</f>
        <v>3.793103448275862E-2</v>
      </c>
      <c r="X418" s="13">
        <v>87</v>
      </c>
      <c r="Y418" s="45">
        <f>92.6-3</f>
        <v>89.6</v>
      </c>
      <c r="Z418" s="15">
        <f>X418-Y418</f>
        <v>-2.5999999999999943</v>
      </c>
      <c r="AA418" s="76">
        <f>Z418/Y418</f>
        <v>-2.9017857142857081E-2</v>
      </c>
      <c r="AB418" s="100" t="s">
        <v>1790</v>
      </c>
      <c r="AD418" s="22" t="s">
        <v>1736</v>
      </c>
      <c r="AF418" s="83">
        <v>43833</v>
      </c>
      <c r="AG418" s="33">
        <f>AF418-AE418</f>
        <v>43833</v>
      </c>
      <c r="AH418" s="49" t="s">
        <v>1122</v>
      </c>
      <c r="AI418" s="247"/>
      <c r="AJ418" s="247"/>
      <c r="AK418" s="75"/>
      <c r="AL418" s="66"/>
      <c r="AM418" s="75"/>
      <c r="AN418" s="66"/>
      <c r="AO418" s="19"/>
      <c r="AP418" s="22"/>
    </row>
    <row r="419" spans="1:47">
      <c r="A419" s="127"/>
      <c r="B419" s="79"/>
      <c r="C419" s="79"/>
      <c r="D419" s="79"/>
      <c r="E419" s="79"/>
      <c r="F419" s="57"/>
      <c r="H419" s="4"/>
      <c r="I419" s="22"/>
      <c r="L419" s="123"/>
      <c r="U419" s="34"/>
      <c r="W419" s="94"/>
      <c r="X419" s="13"/>
      <c r="Y419" s="66"/>
      <c r="Z419" s="15"/>
      <c r="AA419" s="76"/>
      <c r="AB419" s="100"/>
      <c r="AD419" s="22"/>
      <c r="AF419" s="126"/>
      <c r="AG419" s="33"/>
      <c r="AH419" s="49"/>
      <c r="AI419" s="247"/>
      <c r="AJ419" s="247"/>
      <c r="AK419" s="75"/>
      <c r="AL419" s="66"/>
      <c r="AM419" s="75"/>
      <c r="AN419" s="66"/>
      <c r="AO419" s="19"/>
      <c r="AP419" s="22"/>
    </row>
    <row r="420" spans="1:47">
      <c r="A420" s="127" t="s">
        <v>1673</v>
      </c>
      <c r="B420" s="90" t="s">
        <v>1572</v>
      </c>
      <c r="C420" s="90" t="s">
        <v>1573</v>
      </c>
      <c r="D420" s="90" t="s">
        <v>1574</v>
      </c>
      <c r="E420" s="90" t="s">
        <v>1575</v>
      </c>
      <c r="F420" s="8" t="s">
        <v>1060</v>
      </c>
      <c r="G420" s="26" t="s">
        <v>3442</v>
      </c>
      <c r="H420" s="55" t="s">
        <v>320</v>
      </c>
      <c r="I420" s="1" t="s">
        <v>69</v>
      </c>
      <c r="L420" s="123"/>
      <c r="T420" s="321" t="s">
        <v>3339</v>
      </c>
      <c r="U420" s="10" t="s">
        <v>66</v>
      </c>
      <c r="W420" s="68" t="s">
        <v>1493</v>
      </c>
      <c r="X420" s="28" t="s">
        <v>2</v>
      </c>
      <c r="Y420" s="17" t="s">
        <v>1399</v>
      </c>
      <c r="Z420" s="14" t="s">
        <v>5</v>
      </c>
      <c r="AA420" s="21" t="s">
        <v>3</v>
      </c>
      <c r="AB420" s="25" t="s">
        <v>105</v>
      </c>
      <c r="AD420" s="1" t="s">
        <v>69</v>
      </c>
      <c r="AE420" s="71" t="s">
        <v>1400</v>
      </c>
      <c r="AF420" s="72" t="s">
        <v>1157</v>
      </c>
      <c r="AG420" s="32" t="s">
        <v>1158</v>
      </c>
      <c r="AH420" s="46" t="s">
        <v>1566</v>
      </c>
    </row>
    <row r="421" spans="1:47">
      <c r="A421" s="127" t="s">
        <v>1743</v>
      </c>
      <c r="B421" s="79">
        <v>31</v>
      </c>
      <c r="C421" s="79">
        <v>21</v>
      </c>
      <c r="D421" s="79">
        <v>3</v>
      </c>
      <c r="E421" s="79">
        <v>9</v>
      </c>
      <c r="F421" s="57">
        <v>26.31</v>
      </c>
      <c r="G421" s="81">
        <v>6592</v>
      </c>
      <c r="H421" s="4" t="s">
        <v>235</v>
      </c>
      <c r="I421" s="22" t="s">
        <v>1736</v>
      </c>
      <c r="J421" s="8" t="str">
        <f>IFERROR(VLOOKUP($G421,今日總結!$A:$AJ,33,0),"")</f>
        <v/>
      </c>
      <c r="K421" s="5" t="str">
        <f>IFERROR(VLOOKUP($G421,今日總結!$A:$AJ,34,0),"")</f>
        <v/>
      </c>
      <c r="L421" s="156" t="str">
        <f>IFERROR(VLOOKUP($G421,今日總結!$A:$AJ,31,0),"")</f>
        <v/>
      </c>
      <c r="M421" s="340" t="str">
        <f>IFERROR(VLOOKUP($G421,今日總結!$A:$AJ,32,0),"")</f>
        <v/>
      </c>
      <c r="N421" s="240" t="str">
        <f t="shared" ref="N421" si="135">IFERROR(L421-M421,"")</f>
        <v/>
      </c>
      <c r="P421" s="365">
        <f>IFERROR(VLOOKUP($G421,融外自投!$A:$J,7,0),"無")</f>
        <v>1228</v>
      </c>
      <c r="Q421" s="79">
        <f>IFERROR(VLOOKUP($G421,融外自投!$A:$J,9,0),"無")</f>
        <v>824</v>
      </c>
      <c r="R421" s="346">
        <f>IFERROR(VLOOKUP($G421,融外自投!$A:$J,8,0),"無")</f>
        <v>197</v>
      </c>
      <c r="S421" s="81">
        <f>IFERROR(VLOOKUP($G421,融外自投!$A:$J,10,0),"無")</f>
        <v>383</v>
      </c>
      <c r="T421" s="327">
        <f>IFERROR(VLOOKUP($G421,'321買'!$A:$E,5,0),"'沒有資料'")</f>
        <v>802</v>
      </c>
      <c r="U421" s="34">
        <v>3.3</v>
      </c>
      <c r="W421" s="94">
        <f>U421/X421</f>
        <v>3.7499999999999999E-2</v>
      </c>
      <c r="X421" s="13">
        <v>88</v>
      </c>
      <c r="Y421" s="45">
        <v>85</v>
      </c>
      <c r="Z421" s="15">
        <f>X421-Y421</f>
        <v>3</v>
      </c>
      <c r="AA421" s="63">
        <f>Z421/Y421</f>
        <v>3.5294117647058823E-2</v>
      </c>
      <c r="AB421" s="101" t="s">
        <v>1646</v>
      </c>
      <c r="AD421" s="22" t="s">
        <v>1736</v>
      </c>
      <c r="AF421" s="83">
        <v>43833</v>
      </c>
      <c r="AG421" s="33">
        <f>AF421-AE421</f>
        <v>43833</v>
      </c>
      <c r="AH421" s="49"/>
      <c r="AI421" s="247"/>
      <c r="AJ421" s="247"/>
      <c r="AK421" s="75"/>
      <c r="AL421" s="66"/>
      <c r="AM421" s="75"/>
      <c r="AN421" s="66"/>
      <c r="AO421" s="19"/>
      <c r="AP421" s="22"/>
    </row>
    <row r="422" spans="1:47">
      <c r="A422" s="127"/>
      <c r="B422" s="79"/>
      <c r="C422" s="79"/>
      <c r="D422" s="79"/>
      <c r="E422" s="79"/>
      <c r="F422" s="57"/>
      <c r="H422" s="4"/>
      <c r="I422" s="22"/>
      <c r="L422" s="123"/>
      <c r="U422" s="34"/>
      <c r="W422" s="94"/>
      <c r="X422" s="36"/>
      <c r="Y422" s="66"/>
      <c r="Z422" s="15"/>
      <c r="AA422" s="63"/>
      <c r="AB422" s="101"/>
      <c r="AD422" s="22"/>
      <c r="AF422" s="126"/>
      <c r="AG422" s="33"/>
      <c r="AH422" s="49"/>
      <c r="AI422" s="247"/>
      <c r="AJ422" s="247"/>
      <c r="AK422" s="75"/>
      <c r="AL422" s="66"/>
      <c r="AM422" s="75"/>
      <c r="AN422" s="66"/>
      <c r="AO422" s="19"/>
      <c r="AP422" s="22"/>
    </row>
    <row r="423" spans="1:47">
      <c r="A423" s="127" t="s">
        <v>1673</v>
      </c>
      <c r="B423" s="90" t="s">
        <v>1572</v>
      </c>
      <c r="C423" s="90" t="s">
        <v>1573</v>
      </c>
      <c r="D423" s="90" t="s">
        <v>1574</v>
      </c>
      <c r="E423" s="90" t="s">
        <v>1575</v>
      </c>
      <c r="F423" s="8" t="s">
        <v>1060</v>
      </c>
      <c r="G423" s="26" t="s">
        <v>3442</v>
      </c>
      <c r="H423" s="55" t="s">
        <v>320</v>
      </c>
      <c r="I423" s="1" t="s">
        <v>69</v>
      </c>
      <c r="L423" s="123"/>
      <c r="T423" s="321" t="s">
        <v>3339</v>
      </c>
      <c r="U423" s="10" t="s">
        <v>66</v>
      </c>
      <c r="W423" s="68" t="s">
        <v>1493</v>
      </c>
      <c r="X423" s="28" t="s">
        <v>2</v>
      </c>
      <c r="Y423" s="17" t="s">
        <v>1399</v>
      </c>
      <c r="Z423" s="14" t="s">
        <v>5</v>
      </c>
      <c r="AA423" s="21" t="s">
        <v>3</v>
      </c>
      <c r="AB423" s="25" t="s">
        <v>105</v>
      </c>
      <c r="AD423" s="1" t="s">
        <v>69</v>
      </c>
      <c r="AE423" s="71" t="s">
        <v>1400</v>
      </c>
      <c r="AF423" s="72" t="s">
        <v>1157</v>
      </c>
      <c r="AG423" s="32" t="s">
        <v>1158</v>
      </c>
      <c r="AH423" s="46" t="s">
        <v>1744</v>
      </c>
    </row>
    <row r="424" spans="1:47">
      <c r="B424" s="79">
        <v>80</v>
      </c>
      <c r="C424" s="79">
        <v>78</v>
      </c>
      <c r="D424" s="79">
        <v>80</v>
      </c>
      <c r="E424" s="79">
        <v>78</v>
      </c>
      <c r="F424" s="57">
        <v>26.24</v>
      </c>
      <c r="G424" s="79">
        <v>6173</v>
      </c>
      <c r="H424" s="50" t="s">
        <v>1404</v>
      </c>
      <c r="I424" s="16" t="s">
        <v>82</v>
      </c>
      <c r="J424" s="8" t="str">
        <f>IFERROR(VLOOKUP($G424,今日總結!$A:$AJ,33,0),"")</f>
        <v/>
      </c>
      <c r="K424" s="5" t="str">
        <f>IFERROR(VLOOKUP($G424,今日總結!$A:$AJ,34,0),"")</f>
        <v/>
      </c>
      <c r="L424" s="156" t="str">
        <f>IFERROR(VLOOKUP($G424,今日總結!$A:$AJ,31,0),"")</f>
        <v/>
      </c>
      <c r="M424" s="340" t="str">
        <f>IFERROR(VLOOKUP($G424,今日總結!$A:$AJ,32,0),"")</f>
        <v/>
      </c>
      <c r="N424" s="240" t="str">
        <f t="shared" ref="N424:N426" si="136">IFERROR(L424-M424,"")</f>
        <v/>
      </c>
      <c r="P424" s="365">
        <f>IFERROR(VLOOKUP($G424,融外自投!$A:$J,7,0),"無")</f>
        <v>356</v>
      </c>
      <c r="Q424" s="79">
        <f>IFERROR(VLOOKUP($G424,融外自投!$A:$J,9,0),"無")</f>
        <v>161</v>
      </c>
      <c r="R424" s="346">
        <f>IFERROR(VLOOKUP($G424,融外自投!$A:$J,8,0),"無")</f>
        <v>1078</v>
      </c>
      <c r="S424" s="81" t="str">
        <f>IFERROR(VLOOKUP($G424,融外自投!$A:$J,10,0),"無")</f>
        <v>無</v>
      </c>
      <c r="T424" s="327">
        <f>IFERROR(VLOOKUP($G424,'321買'!$A:$E,5,0),"'沒有資料'")</f>
        <v>852</v>
      </c>
      <c r="U424" s="34">
        <v>4.3</v>
      </c>
      <c r="W424" s="57">
        <f>U424/X424</f>
        <v>6.3235294117647056E-2</v>
      </c>
      <c r="X424" s="13">
        <v>68</v>
      </c>
      <c r="Y424" s="45">
        <f>63.1-1.6-1.6</f>
        <v>59.9</v>
      </c>
      <c r="Z424" s="15">
        <f>X424-Y424</f>
        <v>8.1000000000000014</v>
      </c>
      <c r="AA424" s="63">
        <f>Z424/Y424</f>
        <v>0.13522537562604342</v>
      </c>
      <c r="AB424" s="111" t="s">
        <v>1783</v>
      </c>
      <c r="AD424" s="16" t="s">
        <v>82</v>
      </c>
      <c r="AF424" s="83">
        <v>43825</v>
      </c>
      <c r="AG424" s="33">
        <f>AF424-AE424</f>
        <v>43825</v>
      </c>
      <c r="AH424" s="116"/>
    </row>
    <row r="425" spans="1:47">
      <c r="B425" s="80">
        <v>-33</v>
      </c>
      <c r="C425" s="80">
        <v>-21</v>
      </c>
      <c r="D425" s="80">
        <v>2</v>
      </c>
      <c r="E425" s="80">
        <v>-9</v>
      </c>
      <c r="F425" s="57">
        <v>16.489999999999998</v>
      </c>
      <c r="G425" s="79">
        <v>3264</v>
      </c>
      <c r="H425" s="30" t="s">
        <v>1462</v>
      </c>
      <c r="I425" s="16" t="s">
        <v>259</v>
      </c>
      <c r="J425" s="8" t="str">
        <f>IFERROR(VLOOKUP($G425,今日總結!$A:$AJ,33,0),"")</f>
        <v/>
      </c>
      <c r="K425" s="5" t="str">
        <f>IFERROR(VLOOKUP($G425,今日總結!$A:$AJ,34,0),"")</f>
        <v/>
      </c>
      <c r="L425" s="156" t="str">
        <f>IFERROR(VLOOKUP($G425,今日總結!$A:$AJ,31,0),"")</f>
        <v/>
      </c>
      <c r="M425" s="340" t="str">
        <f>IFERROR(VLOOKUP($G425,今日總結!$A:$AJ,32,0),"")</f>
        <v/>
      </c>
      <c r="N425" s="240" t="str">
        <f t="shared" si="136"/>
        <v/>
      </c>
      <c r="P425" s="365">
        <f>IFERROR(VLOOKUP($G425,融外自投!$A:$J,7,0),"無")</f>
        <v>626</v>
      </c>
      <c r="Q425" s="79">
        <f>IFERROR(VLOOKUP($G425,融外自投!$A:$J,9,0),"無")</f>
        <v>346</v>
      </c>
      <c r="R425" s="346">
        <f>IFERROR(VLOOKUP($G425,融外自投!$A:$J,8,0),"無")</f>
        <v>231</v>
      </c>
      <c r="S425" s="81">
        <f>IFERROR(VLOOKUP($G425,融外自投!$A:$J,10,0),"無")</f>
        <v>94</v>
      </c>
      <c r="T425" s="327">
        <f>IFERROR(VLOOKUP($G425,'321買'!$A:$E,5,0),"'沒有資料'")</f>
        <v>83</v>
      </c>
      <c r="U425" s="34">
        <v>1.6</v>
      </c>
      <c r="W425" s="94">
        <f>U425/X425</f>
        <v>1.737242128121607E-2</v>
      </c>
      <c r="X425" s="13">
        <v>92.1</v>
      </c>
      <c r="Y425" s="45">
        <v>85.7</v>
      </c>
      <c r="Z425" s="15">
        <f>X425-Y425</f>
        <v>6.3999999999999915</v>
      </c>
      <c r="AA425" s="63">
        <f>Z425/Y425</f>
        <v>7.4679113185530818E-2</v>
      </c>
      <c r="AB425" s="99" t="s">
        <v>1779</v>
      </c>
      <c r="AD425" s="16" t="s">
        <v>259</v>
      </c>
      <c r="AF425" s="83">
        <v>43822</v>
      </c>
      <c r="AG425" s="33">
        <f>AF425-AE425</f>
        <v>43822</v>
      </c>
      <c r="AH425" s="116" t="s">
        <v>1123</v>
      </c>
      <c r="AU425" s="11"/>
    </row>
    <row r="426" spans="1:47" ht="16.5" customHeight="1">
      <c r="A426" s="116"/>
      <c r="B426" s="80">
        <v>-68</v>
      </c>
      <c r="C426" s="80">
        <v>-85</v>
      </c>
      <c r="D426" s="80">
        <v>-3</v>
      </c>
      <c r="E426" s="80">
        <v>-40</v>
      </c>
      <c r="F426" s="6">
        <v>1.94</v>
      </c>
      <c r="G426" s="79">
        <v>1605</v>
      </c>
      <c r="H426" s="50" t="s">
        <v>1404</v>
      </c>
      <c r="I426" s="22" t="s">
        <v>110</v>
      </c>
      <c r="J426" s="8">
        <f>IFERROR(VLOOKUP($G426,今日總結!$A:$AJ,33,0),"")</f>
        <v>0</v>
      </c>
      <c r="K426" s="5">
        <f>IFERROR(VLOOKUP($G426,今日總結!$A:$AJ,34,0),"")</f>
        <v>1</v>
      </c>
      <c r="L426" s="156">
        <f>IFERROR(VLOOKUP($G426,今日總結!$A:$AJ,31,0),"")</f>
        <v>0</v>
      </c>
      <c r="M426" s="340">
        <f>IFERROR(VLOOKUP($G426,今日總結!$A:$AJ,32,0),"")</f>
        <v>0</v>
      </c>
      <c r="N426" s="240">
        <f t="shared" si="136"/>
        <v>0</v>
      </c>
      <c r="P426" s="365">
        <f>IFERROR(VLOOKUP($G426,融外自投!$A:$J,7,0),"無")</f>
        <v>782</v>
      </c>
      <c r="Q426" s="79">
        <f>IFERROR(VLOOKUP($G426,融外自投!$A:$J,9,0),"無")</f>
        <v>41</v>
      </c>
      <c r="R426" s="346">
        <f>IFERROR(VLOOKUP($G426,融外自投!$A:$J,8,0),"無")</f>
        <v>222</v>
      </c>
      <c r="S426" s="81">
        <f>IFERROR(VLOOKUP($G426,融外自投!$A:$J,10,0),"無")</f>
        <v>139</v>
      </c>
      <c r="T426" s="327">
        <f>IFERROR(VLOOKUP($G426,'321買'!$A:$E,5,0),"'沒有資料'")</f>
        <v>100</v>
      </c>
      <c r="U426" s="34">
        <v>1.2</v>
      </c>
      <c r="W426" s="94">
        <f>U426/X426</f>
        <v>8.9186176142697863E-3</v>
      </c>
      <c r="X426" s="13">
        <v>134.55000000000001</v>
      </c>
      <c r="Y426" s="45">
        <v>131.4</v>
      </c>
      <c r="Z426" s="15">
        <f>X426-Y426</f>
        <v>3.1500000000000057</v>
      </c>
      <c r="AA426" s="63">
        <f>Z426/Y426</f>
        <v>2.3972602739726071E-2</v>
      </c>
      <c r="AB426" s="111" t="s">
        <v>1745</v>
      </c>
      <c r="AD426" s="22" t="s">
        <v>110</v>
      </c>
      <c r="AF426" s="83">
        <v>43811</v>
      </c>
      <c r="AG426" s="33">
        <f>AF426-AE426</f>
        <v>43811</v>
      </c>
      <c r="AH426" s="116"/>
      <c r="AI426" s="245"/>
    </row>
    <row r="427" spans="1:47" ht="16.5" customHeight="1">
      <c r="A427" s="116"/>
      <c r="B427" s="80"/>
      <c r="C427" s="80"/>
      <c r="D427" s="80"/>
      <c r="E427" s="80"/>
      <c r="F427" s="6"/>
      <c r="G427" s="41"/>
      <c r="H427" s="50"/>
      <c r="I427" s="22"/>
      <c r="L427" s="123"/>
      <c r="U427" s="34"/>
      <c r="W427" s="94"/>
      <c r="X427" s="13">
        <f>SUM(X424:X426)</f>
        <v>294.64999999999998</v>
      </c>
      <c r="Y427" s="45">
        <f>SUM(Y424:Y426)</f>
        <v>277</v>
      </c>
      <c r="Z427" s="15">
        <f>X427-Y427</f>
        <v>17.649999999999977</v>
      </c>
      <c r="AA427" s="63">
        <f>Z427/Y427</f>
        <v>6.3718411552346491E-2</v>
      </c>
      <c r="AB427" s="111"/>
      <c r="AD427" s="22"/>
      <c r="AG427" s="33"/>
      <c r="AH427" s="116"/>
      <c r="AI427" s="245"/>
    </row>
    <row r="428" spans="1:47">
      <c r="A428" s="127" t="s">
        <v>1673</v>
      </c>
      <c r="B428" s="90" t="s">
        <v>1572</v>
      </c>
      <c r="C428" s="90" t="s">
        <v>1573</v>
      </c>
      <c r="D428" s="90" t="s">
        <v>1574</v>
      </c>
      <c r="E428" s="90" t="s">
        <v>1575</v>
      </c>
      <c r="F428" s="8" t="s">
        <v>1060</v>
      </c>
      <c r="G428" s="26" t="s">
        <v>3442</v>
      </c>
      <c r="H428" s="55" t="s">
        <v>320</v>
      </c>
      <c r="I428" s="1" t="s">
        <v>69</v>
      </c>
      <c r="L428" s="123"/>
      <c r="T428" s="322" t="s">
        <v>1054</v>
      </c>
      <c r="U428" s="10" t="s">
        <v>66</v>
      </c>
      <c r="W428" s="68" t="s">
        <v>1493</v>
      </c>
      <c r="X428" s="28" t="s">
        <v>2</v>
      </c>
      <c r="Y428" s="17" t="s">
        <v>1399</v>
      </c>
      <c r="Z428" s="14" t="s">
        <v>5</v>
      </c>
      <c r="AA428" s="21" t="s">
        <v>3</v>
      </c>
      <c r="AB428" s="25" t="s">
        <v>105</v>
      </c>
      <c r="AD428" s="1" t="s">
        <v>69</v>
      </c>
      <c r="AE428" s="71" t="s">
        <v>1400</v>
      </c>
      <c r="AF428" s="72" t="s">
        <v>1157</v>
      </c>
      <c r="AG428" s="32" t="s">
        <v>1158</v>
      </c>
    </row>
    <row r="429" spans="1:47">
      <c r="B429" s="80">
        <v>-33</v>
      </c>
      <c r="C429" s="80">
        <v>-21</v>
      </c>
      <c r="D429" s="80">
        <v>2</v>
      </c>
      <c r="E429" s="80">
        <v>-9</v>
      </c>
      <c r="F429" s="57">
        <v>16.489999999999998</v>
      </c>
      <c r="G429" s="79">
        <v>3264</v>
      </c>
      <c r="H429" s="30" t="s">
        <v>1462</v>
      </c>
      <c r="I429" s="16" t="s">
        <v>259</v>
      </c>
      <c r="J429" s="8" t="str">
        <f>IFERROR(VLOOKUP($G429,今日總結!$A:$AJ,33,0),"")</f>
        <v/>
      </c>
      <c r="K429" s="5" t="str">
        <f>IFERROR(VLOOKUP($G429,今日總結!$A:$AJ,34,0),"")</f>
        <v/>
      </c>
      <c r="L429" s="156" t="str">
        <f>IFERROR(VLOOKUP($G429,今日總結!$A:$AJ,31,0),"")</f>
        <v/>
      </c>
      <c r="M429" s="340" t="str">
        <f>IFERROR(VLOOKUP($G429,今日總結!$A:$AJ,32,0),"")</f>
        <v/>
      </c>
      <c r="N429" s="240" t="str">
        <f t="shared" ref="N429" si="137">IFERROR(L429-M429,"")</f>
        <v/>
      </c>
      <c r="P429" s="365">
        <f>IFERROR(VLOOKUP($G429,融外自投!$A:$J,7,0),"無")</f>
        <v>626</v>
      </c>
      <c r="Q429" s="79">
        <f>IFERROR(VLOOKUP($G429,融外自投!$A:$J,9,0),"無")</f>
        <v>346</v>
      </c>
      <c r="R429" s="346">
        <f>IFERROR(VLOOKUP($G429,融外自投!$A:$J,8,0),"無")</f>
        <v>231</v>
      </c>
      <c r="S429" s="81">
        <f>IFERROR(VLOOKUP($G429,融外自投!$A:$J,10,0),"無")</f>
        <v>94</v>
      </c>
      <c r="T429" s="327">
        <f>IFERROR(VLOOKUP($G429,'321買'!$A:$E,5,0),"'沒有資料'")</f>
        <v>83</v>
      </c>
      <c r="U429" s="34">
        <v>1.6</v>
      </c>
      <c r="W429" s="94">
        <f>U429/X429</f>
        <v>5.2117263843648211E-2</v>
      </c>
      <c r="X429" s="36">
        <v>30.7</v>
      </c>
      <c r="Y429" s="66">
        <v>28.75</v>
      </c>
      <c r="Z429" s="15">
        <f>X429-Y429</f>
        <v>1.9499999999999993</v>
      </c>
      <c r="AA429" s="63">
        <f>Z429/Y429</f>
        <v>6.7826086956521717E-2</v>
      </c>
      <c r="AB429" s="99" t="s">
        <v>1774</v>
      </c>
      <c r="AD429" s="16" t="s">
        <v>259</v>
      </c>
      <c r="AE429" s="84">
        <v>43732</v>
      </c>
      <c r="AG429" s="33">
        <f>AF429-AE429</f>
        <v>-43732</v>
      </c>
      <c r="AH429" s="116" t="s">
        <v>1123</v>
      </c>
      <c r="AU429" s="11"/>
    </row>
    <row r="430" spans="1:47">
      <c r="B430" s="80">
        <v>-33</v>
      </c>
      <c r="C430" s="80">
        <v>-21</v>
      </c>
      <c r="D430" s="80">
        <v>2</v>
      </c>
      <c r="E430" s="80">
        <v>-9</v>
      </c>
      <c r="F430" s="57">
        <v>16.489999999999998</v>
      </c>
      <c r="G430" s="79">
        <v>3264</v>
      </c>
      <c r="H430" s="30" t="s">
        <v>1462</v>
      </c>
      <c r="I430" s="16" t="s">
        <v>259</v>
      </c>
      <c r="J430" s="8" t="str">
        <f>IFERROR(VLOOKUP($G430,今日總結!$A:$AJ,33,0),"")</f>
        <v/>
      </c>
      <c r="K430" s="5" t="str">
        <f>IFERROR(VLOOKUP($G430,今日總結!$A:$AJ,34,0),"")</f>
        <v/>
      </c>
      <c r="L430" s="156" t="str">
        <f>IFERROR(VLOOKUP($G430,今日總結!$A:$AJ,31,0),"")</f>
        <v/>
      </c>
      <c r="M430" s="340" t="str">
        <f>IFERROR(VLOOKUP($G430,今日總結!$A:$AJ,32,0),"")</f>
        <v/>
      </c>
      <c r="N430" s="240" t="str">
        <f t="shared" ref="N430:N432" si="138">IFERROR(L430-M430,"")</f>
        <v/>
      </c>
      <c r="P430" s="365">
        <f>IFERROR(VLOOKUP($G430,融外自投!$A:$J,7,0),"無")</f>
        <v>626</v>
      </c>
      <c r="Q430" s="79">
        <f>IFERROR(VLOOKUP($G430,融外自投!$A:$J,9,0),"無")</f>
        <v>346</v>
      </c>
      <c r="R430" s="346">
        <f>IFERROR(VLOOKUP($G430,融外自投!$A:$J,8,0),"無")</f>
        <v>231</v>
      </c>
      <c r="S430" s="81">
        <f>IFERROR(VLOOKUP($G430,融外自投!$A:$J,10,0),"無")</f>
        <v>94</v>
      </c>
      <c r="T430" s="327">
        <f>IFERROR(VLOOKUP($G430,'321買'!$A:$E,5,0),"'沒有資料'")</f>
        <v>83</v>
      </c>
      <c r="U430" s="34">
        <v>1.6</v>
      </c>
      <c r="W430" s="94">
        <f>U430/X430</f>
        <v>5.2117263843648211E-2</v>
      </c>
      <c r="X430" s="36">
        <v>30.7</v>
      </c>
      <c r="Y430" s="66">
        <v>28.7</v>
      </c>
      <c r="Z430" s="15">
        <f>X430-Y430</f>
        <v>2</v>
      </c>
      <c r="AA430" s="63">
        <f>Z430/Y430</f>
        <v>6.968641114982578E-2</v>
      </c>
      <c r="AB430" s="99" t="s">
        <v>1730</v>
      </c>
      <c r="AD430" s="16" t="s">
        <v>259</v>
      </c>
      <c r="AE430" s="84">
        <v>43733</v>
      </c>
      <c r="AG430" s="33">
        <f>AF430-AE430</f>
        <v>-43733</v>
      </c>
      <c r="AH430" s="116"/>
      <c r="AU430" s="11"/>
    </row>
    <row r="431" spans="1:47">
      <c r="B431" s="80">
        <v>-33</v>
      </c>
      <c r="C431" s="80">
        <v>-21</v>
      </c>
      <c r="D431" s="80">
        <v>2</v>
      </c>
      <c r="E431" s="80">
        <v>-9</v>
      </c>
      <c r="F431" s="57">
        <v>16.489999999999998</v>
      </c>
      <c r="G431" s="79">
        <v>3264</v>
      </c>
      <c r="H431" s="30" t="s">
        <v>1462</v>
      </c>
      <c r="I431" s="16" t="s">
        <v>259</v>
      </c>
      <c r="J431" s="8" t="str">
        <f>IFERROR(VLOOKUP($G431,今日總結!$A:$AJ,33,0),"")</f>
        <v/>
      </c>
      <c r="K431" s="5" t="str">
        <f>IFERROR(VLOOKUP($G431,今日總結!$A:$AJ,34,0),"")</f>
        <v/>
      </c>
      <c r="L431" s="156" t="str">
        <f>IFERROR(VLOOKUP($G431,今日總結!$A:$AJ,31,0),"")</f>
        <v/>
      </c>
      <c r="M431" s="340" t="str">
        <f>IFERROR(VLOOKUP($G431,今日總結!$A:$AJ,32,0),"")</f>
        <v/>
      </c>
      <c r="N431" s="240" t="str">
        <f t="shared" si="138"/>
        <v/>
      </c>
      <c r="P431" s="365">
        <f>IFERROR(VLOOKUP($G431,融外自投!$A:$J,7,0),"無")</f>
        <v>626</v>
      </c>
      <c r="Q431" s="79">
        <f>IFERROR(VLOOKUP($G431,融外自投!$A:$J,9,0),"無")</f>
        <v>346</v>
      </c>
      <c r="R431" s="346">
        <f>IFERROR(VLOOKUP($G431,融外自投!$A:$J,8,0),"無")</f>
        <v>231</v>
      </c>
      <c r="S431" s="81">
        <f>IFERROR(VLOOKUP($G431,融外自投!$A:$J,10,0),"無")</f>
        <v>94</v>
      </c>
      <c r="T431" s="327">
        <f>IFERROR(VLOOKUP($G431,'321買'!$A:$E,5,0),"'沒有資料'")</f>
        <v>83</v>
      </c>
      <c r="U431" s="34">
        <v>1.6</v>
      </c>
      <c r="W431" s="94">
        <f>U431/X431</f>
        <v>5.2117263843648211E-2</v>
      </c>
      <c r="X431" s="36">
        <v>30.7</v>
      </c>
      <c r="Y431" s="66">
        <v>28.25</v>
      </c>
      <c r="Z431" s="15">
        <f>X431-Y431</f>
        <v>2.4499999999999993</v>
      </c>
      <c r="AA431" s="63">
        <f>Z431/Y431</f>
        <v>8.672566371681413E-2</v>
      </c>
      <c r="AB431" s="99" t="s">
        <v>1746</v>
      </c>
      <c r="AD431" s="16" t="s">
        <v>259</v>
      </c>
      <c r="AE431" s="84">
        <v>43734</v>
      </c>
      <c r="AG431" s="33">
        <f>AF431-AE431</f>
        <v>-43734</v>
      </c>
      <c r="AH431" s="116"/>
      <c r="AU431" s="11"/>
    </row>
    <row r="432" spans="1:47">
      <c r="B432" s="80">
        <v>-33</v>
      </c>
      <c r="C432" s="80">
        <v>-21</v>
      </c>
      <c r="D432" s="80">
        <v>-1</v>
      </c>
      <c r="E432" s="80">
        <v>-2</v>
      </c>
      <c r="F432" s="57">
        <v>16.489999999999998</v>
      </c>
      <c r="G432" s="81">
        <v>3264</v>
      </c>
      <c r="H432" s="30" t="s">
        <v>1462</v>
      </c>
      <c r="I432" s="16" t="s">
        <v>259</v>
      </c>
      <c r="J432" s="8" t="str">
        <f>IFERROR(VLOOKUP($G432,今日總結!$A:$AJ,33,0),"")</f>
        <v/>
      </c>
      <c r="K432" s="5" t="str">
        <f>IFERROR(VLOOKUP($G432,今日總結!$A:$AJ,34,0),"")</f>
        <v/>
      </c>
      <c r="L432" s="156" t="str">
        <f>IFERROR(VLOOKUP($G432,今日總結!$A:$AJ,31,0),"")</f>
        <v/>
      </c>
      <c r="M432" s="340" t="str">
        <f>IFERROR(VLOOKUP($G432,今日總結!$A:$AJ,32,0),"")</f>
        <v/>
      </c>
      <c r="N432" s="240" t="str">
        <f t="shared" si="138"/>
        <v/>
      </c>
      <c r="P432" s="365">
        <f>IFERROR(VLOOKUP($G432,融外自投!$A:$J,7,0),"無")</f>
        <v>626</v>
      </c>
      <c r="Q432" s="79">
        <f>IFERROR(VLOOKUP($G432,融外自投!$A:$J,9,0),"無")</f>
        <v>346</v>
      </c>
      <c r="R432" s="346">
        <f>IFERROR(VLOOKUP($G432,融外自投!$A:$J,8,0),"無")</f>
        <v>231</v>
      </c>
      <c r="S432" s="81">
        <f>IFERROR(VLOOKUP($G432,融外自投!$A:$J,10,0),"無")</f>
        <v>94</v>
      </c>
      <c r="T432" s="327">
        <f>IFERROR(VLOOKUP($G432,'321買'!$A:$E,5,0),"'沒有資料'")</f>
        <v>83</v>
      </c>
      <c r="U432" s="34">
        <v>1.6</v>
      </c>
      <c r="W432" s="94">
        <f>U432/X432</f>
        <v>5.2117263843648211E-2</v>
      </c>
      <c r="X432" s="36">
        <v>30.7</v>
      </c>
      <c r="Y432" s="66">
        <v>27.6</v>
      </c>
      <c r="Z432" s="15">
        <f>X432-Y432</f>
        <v>3.0999999999999979</v>
      </c>
      <c r="AA432" s="63">
        <f>Z432/Y432</f>
        <v>0.11231884057971006</v>
      </c>
      <c r="AB432" s="99" t="s">
        <v>1638</v>
      </c>
      <c r="AD432" s="16" t="s">
        <v>259</v>
      </c>
      <c r="AE432" s="84">
        <v>43760</v>
      </c>
      <c r="AG432" s="33">
        <f>AF432-AE432</f>
        <v>-43760</v>
      </c>
      <c r="AH432" s="116"/>
      <c r="AI432" s="245"/>
      <c r="AT432" s="11"/>
    </row>
    <row r="433" spans="1:47">
      <c r="B433" s="80"/>
      <c r="C433" s="80"/>
      <c r="D433" s="80"/>
      <c r="E433" s="80"/>
      <c r="F433" s="57"/>
      <c r="G433" s="41"/>
      <c r="H433" s="30"/>
      <c r="I433" s="16"/>
      <c r="L433" s="123"/>
      <c r="U433" s="34"/>
      <c r="W433" s="94"/>
      <c r="X433" s="13">
        <f>SUM(X429:X431)</f>
        <v>92.1</v>
      </c>
      <c r="Y433" s="45">
        <f>SUM(Y429:Y431)</f>
        <v>85.7</v>
      </c>
      <c r="Z433" s="15">
        <f>X433-Y433</f>
        <v>6.3999999999999915</v>
      </c>
      <c r="AA433" s="63">
        <f>Z433/Y433</f>
        <v>7.4679113185530818E-2</v>
      </c>
      <c r="AB433" s="99"/>
      <c r="AD433" s="16"/>
      <c r="AG433" s="33"/>
      <c r="AH433" s="116"/>
      <c r="AU433" s="11"/>
    </row>
    <row r="434" spans="1:47">
      <c r="A434" s="127" t="s">
        <v>1673</v>
      </c>
      <c r="B434" s="90" t="s">
        <v>1572</v>
      </c>
      <c r="C434" s="90" t="s">
        <v>1573</v>
      </c>
      <c r="D434" s="90" t="s">
        <v>1574</v>
      </c>
      <c r="E434" s="90" t="s">
        <v>1575</v>
      </c>
      <c r="F434" s="8" t="s">
        <v>1060</v>
      </c>
      <c r="G434" s="26" t="s">
        <v>3442</v>
      </c>
      <c r="H434" s="55" t="s">
        <v>320</v>
      </c>
      <c r="I434" s="1" t="s">
        <v>69</v>
      </c>
      <c r="L434" s="123"/>
      <c r="T434" s="322" t="s">
        <v>1054</v>
      </c>
      <c r="U434" s="10" t="s">
        <v>66</v>
      </c>
      <c r="W434" s="68" t="s">
        <v>1493</v>
      </c>
      <c r="X434" s="28" t="s">
        <v>2</v>
      </c>
      <c r="Y434" s="17" t="s">
        <v>1399</v>
      </c>
      <c r="Z434" s="14" t="s">
        <v>5</v>
      </c>
      <c r="AA434" s="21" t="s">
        <v>3</v>
      </c>
      <c r="AB434" s="25" t="s">
        <v>105</v>
      </c>
      <c r="AD434" s="1" t="s">
        <v>69</v>
      </c>
      <c r="AE434" s="71" t="s">
        <v>1400</v>
      </c>
      <c r="AF434" s="72" t="s">
        <v>1157</v>
      </c>
      <c r="AG434" s="32" t="s">
        <v>1158</v>
      </c>
    </row>
    <row r="435" spans="1:47" ht="16.5" customHeight="1">
      <c r="A435" s="116"/>
      <c r="B435" s="80">
        <v>-68</v>
      </c>
      <c r="C435" s="80">
        <v>-85</v>
      </c>
      <c r="D435" s="80">
        <v>-3</v>
      </c>
      <c r="E435" s="80">
        <v>-40</v>
      </c>
      <c r="F435" s="6">
        <v>1.94</v>
      </c>
      <c r="G435" s="79">
        <v>1605</v>
      </c>
      <c r="H435" s="50" t="s">
        <v>1404</v>
      </c>
      <c r="I435" s="22" t="s">
        <v>110</v>
      </c>
      <c r="J435" s="8">
        <f>IFERROR(VLOOKUP($G435,今日總結!$A:$AJ,33,0),"")</f>
        <v>0</v>
      </c>
      <c r="K435" s="5">
        <f>IFERROR(VLOOKUP($G435,今日總結!$A:$AJ,34,0),"")</f>
        <v>1</v>
      </c>
      <c r="L435" s="156">
        <f>IFERROR(VLOOKUP($G435,今日總結!$A:$AJ,31,0),"")</f>
        <v>0</v>
      </c>
      <c r="M435" s="340">
        <f>IFERROR(VLOOKUP($G435,今日總結!$A:$AJ,32,0),"")</f>
        <v>0</v>
      </c>
      <c r="N435" s="240">
        <f t="shared" ref="N435:N438" si="139">IFERROR(L435-M435,"")</f>
        <v>0</v>
      </c>
      <c r="P435" s="365">
        <f>IFERROR(VLOOKUP($G435,融外自投!$A:$J,7,0),"無")</f>
        <v>782</v>
      </c>
      <c r="Q435" s="79">
        <f>IFERROR(VLOOKUP($G435,融外自投!$A:$J,9,0),"無")</f>
        <v>41</v>
      </c>
      <c r="R435" s="346">
        <f>IFERROR(VLOOKUP($G435,融外自投!$A:$J,8,0),"無")</f>
        <v>222</v>
      </c>
      <c r="S435" s="81">
        <f>IFERROR(VLOOKUP($G435,融外自投!$A:$J,10,0),"無")</f>
        <v>139</v>
      </c>
      <c r="T435" s="327">
        <f>IFERROR(VLOOKUP($G435,'321買'!$A:$E,5,0),"'沒有資料'")</f>
        <v>100</v>
      </c>
      <c r="U435" s="34">
        <v>1.2</v>
      </c>
      <c r="W435" s="94">
        <f>U435/X435</f>
        <v>4.0133779264214048E-2</v>
      </c>
      <c r="X435" s="36">
        <f>14.95*2</f>
        <v>29.9</v>
      </c>
      <c r="Y435" s="66">
        <f>14.85*AH435</f>
        <v>29.7</v>
      </c>
      <c r="Z435" s="15">
        <f t="shared" ref="Z435:Z440" si="140">X435-Y435</f>
        <v>0.19999999999999929</v>
      </c>
      <c r="AA435" s="76">
        <f t="shared" ref="AA435:AA440" si="141">Z435/Y435</f>
        <v>6.7340067340067103E-3</v>
      </c>
      <c r="AB435" s="112" t="s">
        <v>1640</v>
      </c>
      <c r="AD435" s="22" t="s">
        <v>110</v>
      </c>
      <c r="AE435" s="84">
        <v>43728</v>
      </c>
      <c r="AG435" s="33">
        <f>AF435-AE435</f>
        <v>-43728</v>
      </c>
      <c r="AH435" s="116" t="s">
        <v>1502</v>
      </c>
      <c r="AI435" s="245"/>
    </row>
    <row r="436" spans="1:47" ht="16.5" customHeight="1">
      <c r="A436" s="116"/>
      <c r="B436" s="80">
        <v>-68</v>
      </c>
      <c r="C436" s="80">
        <v>-85</v>
      </c>
      <c r="D436" s="80">
        <v>-3</v>
      </c>
      <c r="E436" s="80">
        <v>-40</v>
      </c>
      <c r="F436" s="6">
        <v>1.94</v>
      </c>
      <c r="G436" s="79">
        <v>1605</v>
      </c>
      <c r="H436" s="50" t="s">
        <v>1404</v>
      </c>
      <c r="I436" s="22" t="s">
        <v>110</v>
      </c>
      <c r="J436" s="8">
        <f>IFERROR(VLOOKUP($G436,今日總結!$A:$AJ,33,0),"")</f>
        <v>0</v>
      </c>
      <c r="K436" s="5">
        <f>IFERROR(VLOOKUP($G436,今日總結!$A:$AJ,34,0),"")</f>
        <v>1</v>
      </c>
      <c r="L436" s="156">
        <f>IFERROR(VLOOKUP($G436,今日總結!$A:$AJ,31,0),"")</f>
        <v>0</v>
      </c>
      <c r="M436" s="340">
        <f>IFERROR(VLOOKUP($G436,今日總結!$A:$AJ,32,0),"")</f>
        <v>0</v>
      </c>
      <c r="N436" s="240">
        <f t="shared" si="139"/>
        <v>0</v>
      </c>
      <c r="P436" s="365">
        <f>IFERROR(VLOOKUP($G436,融外自投!$A:$J,7,0),"無")</f>
        <v>782</v>
      </c>
      <c r="Q436" s="79">
        <f>IFERROR(VLOOKUP($G436,融外自投!$A:$J,9,0),"無")</f>
        <v>41</v>
      </c>
      <c r="R436" s="346">
        <f>IFERROR(VLOOKUP($G436,融外自投!$A:$J,8,0),"無")</f>
        <v>222</v>
      </c>
      <c r="S436" s="81">
        <f>IFERROR(VLOOKUP($G436,融外自投!$A:$J,10,0),"無")</f>
        <v>139</v>
      </c>
      <c r="T436" s="327">
        <f>IFERROR(VLOOKUP($G436,'321買'!$A:$E,5,0),"'沒有資料'")</f>
        <v>100</v>
      </c>
      <c r="U436" s="34">
        <v>1.2</v>
      </c>
      <c r="W436" s="94">
        <f>U436/X436</f>
        <v>2.6755852842809368E-2</v>
      </c>
      <c r="X436" s="36">
        <f>14.95*3</f>
        <v>44.849999999999994</v>
      </c>
      <c r="Y436" s="66">
        <f>14.8*AH436</f>
        <v>44.400000000000006</v>
      </c>
      <c r="Z436" s="15">
        <f t="shared" si="140"/>
        <v>0.44999999999998863</v>
      </c>
      <c r="AA436" s="63">
        <f t="shared" si="141"/>
        <v>1.0135135135134877E-2</v>
      </c>
      <c r="AB436" s="111" t="s">
        <v>1739</v>
      </c>
      <c r="AD436" s="22" t="s">
        <v>110</v>
      </c>
      <c r="AE436" s="84">
        <v>43728</v>
      </c>
      <c r="AG436" s="33">
        <f>AF436-AE436</f>
        <v>-43728</v>
      </c>
      <c r="AH436" s="116" t="s">
        <v>1602</v>
      </c>
      <c r="AI436" s="245"/>
    </row>
    <row r="437" spans="1:47" ht="16.5" customHeight="1">
      <c r="A437" s="116"/>
      <c r="B437" s="80">
        <v>-68</v>
      </c>
      <c r="C437" s="80">
        <v>-85</v>
      </c>
      <c r="D437" s="80">
        <v>-3</v>
      </c>
      <c r="E437" s="80">
        <v>-40</v>
      </c>
      <c r="F437" s="6">
        <v>1.94</v>
      </c>
      <c r="G437" s="79">
        <v>1605</v>
      </c>
      <c r="H437" s="50" t="s">
        <v>1404</v>
      </c>
      <c r="I437" s="22" t="s">
        <v>110</v>
      </c>
      <c r="J437" s="8">
        <f>IFERROR(VLOOKUP($G437,今日總結!$A:$AJ,33,0),"")</f>
        <v>0</v>
      </c>
      <c r="K437" s="5">
        <f>IFERROR(VLOOKUP($G437,今日總結!$A:$AJ,34,0),"")</f>
        <v>1</v>
      </c>
      <c r="L437" s="156">
        <f>IFERROR(VLOOKUP($G437,今日總結!$A:$AJ,31,0),"")</f>
        <v>0</v>
      </c>
      <c r="M437" s="340">
        <f>IFERROR(VLOOKUP($G437,今日總結!$A:$AJ,32,0),"")</f>
        <v>0</v>
      </c>
      <c r="N437" s="240">
        <f t="shared" si="139"/>
        <v>0</v>
      </c>
      <c r="P437" s="365">
        <f>IFERROR(VLOOKUP($G437,融外自投!$A:$J,7,0),"無")</f>
        <v>782</v>
      </c>
      <c r="Q437" s="79">
        <f>IFERROR(VLOOKUP($G437,融外自投!$A:$J,9,0),"無")</f>
        <v>41</v>
      </c>
      <c r="R437" s="346">
        <f>IFERROR(VLOOKUP($G437,融外自投!$A:$J,8,0),"無")</f>
        <v>222</v>
      </c>
      <c r="S437" s="81">
        <f>IFERROR(VLOOKUP($G437,融外自投!$A:$J,10,0),"無")</f>
        <v>139</v>
      </c>
      <c r="T437" s="327">
        <f>IFERROR(VLOOKUP($G437,'321買'!$A:$E,5,0),"'沒有資料'")</f>
        <v>100</v>
      </c>
      <c r="U437" s="34">
        <v>1.2</v>
      </c>
      <c r="W437" s="94">
        <f>U437/X437</f>
        <v>8.0267558528428096E-2</v>
      </c>
      <c r="X437" s="36">
        <v>14.95</v>
      </c>
      <c r="Y437" s="66">
        <v>14.75</v>
      </c>
      <c r="Z437" s="15">
        <f t="shared" si="140"/>
        <v>0.19999999999999929</v>
      </c>
      <c r="AA437" s="63">
        <f t="shared" si="141"/>
        <v>1.3559322033898256E-2</v>
      </c>
      <c r="AB437" s="111" t="s">
        <v>1738</v>
      </c>
      <c r="AD437" s="22" t="s">
        <v>110</v>
      </c>
      <c r="AE437" s="84">
        <v>43728</v>
      </c>
      <c r="AG437" s="33">
        <f>AF437-AE437</f>
        <v>-43728</v>
      </c>
      <c r="AH437" s="116" t="s">
        <v>1601</v>
      </c>
      <c r="AI437" s="245"/>
    </row>
    <row r="438" spans="1:47" ht="16.5" customHeight="1">
      <c r="A438" s="116"/>
      <c r="B438" s="80">
        <v>-68</v>
      </c>
      <c r="C438" s="80">
        <v>-85</v>
      </c>
      <c r="D438" s="80">
        <v>-3</v>
      </c>
      <c r="E438" s="80">
        <v>-40</v>
      </c>
      <c r="F438" s="6">
        <v>1.94</v>
      </c>
      <c r="G438" s="79">
        <v>1605</v>
      </c>
      <c r="H438" s="50" t="s">
        <v>1404</v>
      </c>
      <c r="I438" s="22" t="s">
        <v>110</v>
      </c>
      <c r="J438" s="8">
        <f>IFERROR(VLOOKUP($G438,今日總結!$A:$AJ,33,0),"")</f>
        <v>0</v>
      </c>
      <c r="K438" s="5">
        <f>IFERROR(VLOOKUP($G438,今日總結!$A:$AJ,34,0),"")</f>
        <v>1</v>
      </c>
      <c r="L438" s="156">
        <f>IFERROR(VLOOKUP($G438,今日總結!$A:$AJ,31,0),"")</f>
        <v>0</v>
      </c>
      <c r="M438" s="340">
        <f>IFERROR(VLOOKUP($G438,今日總結!$A:$AJ,32,0),"")</f>
        <v>0</v>
      </c>
      <c r="N438" s="240">
        <f t="shared" si="139"/>
        <v>0</v>
      </c>
      <c r="P438" s="365">
        <f>IFERROR(VLOOKUP($G438,融外自投!$A:$J,7,0),"無")</f>
        <v>782</v>
      </c>
      <c r="Q438" s="79">
        <f>IFERROR(VLOOKUP($G438,融外自投!$A:$J,9,0),"無")</f>
        <v>41</v>
      </c>
      <c r="R438" s="346">
        <f>IFERROR(VLOOKUP($G438,融外自投!$A:$J,8,0),"無")</f>
        <v>222</v>
      </c>
      <c r="S438" s="81">
        <f>IFERROR(VLOOKUP($G438,融外自投!$A:$J,10,0),"無")</f>
        <v>139</v>
      </c>
      <c r="T438" s="327">
        <f>IFERROR(VLOOKUP($G438,'321買'!$A:$E,5,0),"'沒有資料'")</f>
        <v>100</v>
      </c>
      <c r="U438" s="34">
        <v>1.2</v>
      </c>
      <c r="W438" s="94">
        <f>U438/X438</f>
        <v>8.0267558528428096E-2</v>
      </c>
      <c r="X438" s="36">
        <v>14.95</v>
      </c>
      <c r="Y438" s="66">
        <v>14.55</v>
      </c>
      <c r="Z438" s="15">
        <f>X438-Y438</f>
        <v>0.39999999999999858</v>
      </c>
      <c r="AA438" s="63">
        <f>Z438/Y438</f>
        <v>2.7491408934707806E-2</v>
      </c>
      <c r="AB438" s="111" t="s">
        <v>1740</v>
      </c>
      <c r="AD438" s="22" t="s">
        <v>110</v>
      </c>
      <c r="AE438" s="84">
        <v>43742</v>
      </c>
      <c r="AG438" s="33">
        <f>AF438-AE438</f>
        <v>-43742</v>
      </c>
      <c r="AH438" s="116" t="s">
        <v>1122</v>
      </c>
      <c r="AI438" s="245"/>
    </row>
    <row r="439" spans="1:47" ht="16.5" customHeight="1">
      <c r="A439" s="142">
        <v>332</v>
      </c>
      <c r="B439" s="80">
        <v>-76</v>
      </c>
      <c r="C439" s="80">
        <v>-79</v>
      </c>
      <c r="D439" s="80">
        <v>-1</v>
      </c>
      <c r="E439" s="80">
        <v>-28</v>
      </c>
      <c r="F439" s="6">
        <v>2.0499999999999998</v>
      </c>
      <c r="G439" s="79">
        <v>1605</v>
      </c>
      <c r="H439" s="50" t="s">
        <v>1404</v>
      </c>
      <c r="I439" s="22" t="s">
        <v>110</v>
      </c>
      <c r="J439" s="8">
        <f>IFERROR(VLOOKUP($G439,今日總結!$A:$AJ,33,0),"")</f>
        <v>0</v>
      </c>
      <c r="K439" s="5">
        <f>IFERROR(VLOOKUP($G439,今日總結!$A:$AJ,34,0),"")</f>
        <v>1</v>
      </c>
      <c r="L439" s="156">
        <f>IFERROR(VLOOKUP($G439,今日總結!$A:$AJ,31,0),"")</f>
        <v>0</v>
      </c>
      <c r="M439" s="340">
        <f>IFERROR(VLOOKUP($G439,今日總結!$A:$AJ,32,0),"")</f>
        <v>0</v>
      </c>
      <c r="N439" s="240">
        <f t="shared" ref="N439" si="142">IFERROR(L439-M439,"")</f>
        <v>0</v>
      </c>
      <c r="P439" s="365">
        <f>IFERROR(VLOOKUP($G439,融外自投!$A:$J,7,0),"無")</f>
        <v>782</v>
      </c>
      <c r="Q439" s="79">
        <f>IFERROR(VLOOKUP($G439,融外自投!$A:$J,9,0),"無")</f>
        <v>41</v>
      </c>
      <c r="R439" s="346">
        <f>IFERROR(VLOOKUP($G439,融外自投!$A:$J,8,0),"無")</f>
        <v>222</v>
      </c>
      <c r="S439" s="81">
        <f>IFERROR(VLOOKUP($G439,融外自投!$A:$J,10,0),"無")</f>
        <v>139</v>
      </c>
      <c r="T439" s="327">
        <f>IFERROR(VLOOKUP($G439,'321買'!$A:$E,5,0),"'沒有資料'")</f>
        <v>100</v>
      </c>
      <c r="U439" s="34">
        <v>1.2</v>
      </c>
      <c r="W439" s="94">
        <f>U439/X439</f>
        <v>4.0133779264214048E-2</v>
      </c>
      <c r="X439" s="36">
        <f>14.95*2</f>
        <v>29.9</v>
      </c>
      <c r="Y439" s="66">
        <f>14*2</f>
        <v>28</v>
      </c>
      <c r="Z439" s="15">
        <f>X439-Y439</f>
        <v>1.8999999999999986</v>
      </c>
      <c r="AA439" s="63">
        <f>Z439/Y439</f>
        <v>6.785714285714281E-2</v>
      </c>
      <c r="AB439" s="111" t="s">
        <v>1741</v>
      </c>
      <c r="AD439" s="22" t="s">
        <v>110</v>
      </c>
      <c r="AE439" s="84">
        <v>43782</v>
      </c>
      <c r="AG439" s="33">
        <f>AF439-AE439</f>
        <v>-43782</v>
      </c>
      <c r="AH439" s="116" t="s">
        <v>1502</v>
      </c>
      <c r="AI439" s="245"/>
    </row>
    <row r="440" spans="1:47" ht="16.5" customHeight="1">
      <c r="A440" s="116"/>
      <c r="B440" s="80"/>
      <c r="C440" s="80"/>
      <c r="D440" s="80"/>
      <c r="E440" s="80"/>
      <c r="F440" s="6"/>
      <c r="G440" s="41"/>
      <c r="H440" s="5"/>
      <c r="I440" s="22"/>
      <c r="L440" s="123"/>
      <c r="U440" s="34"/>
      <c r="W440" s="94"/>
      <c r="X440" s="13">
        <f>SUM(X435:X439)</f>
        <v>134.55000000000001</v>
      </c>
      <c r="Y440" s="45">
        <f>SUM(Y435:Y439)</f>
        <v>131.4</v>
      </c>
      <c r="Z440" s="15">
        <f t="shared" si="140"/>
        <v>3.1500000000000057</v>
      </c>
      <c r="AA440" s="63">
        <f t="shared" si="141"/>
        <v>2.3972602739726071E-2</v>
      </c>
      <c r="AB440" s="111"/>
      <c r="AD440" s="22"/>
      <c r="AE440" s="115"/>
      <c r="AF440" s="126"/>
      <c r="AG440" s="33"/>
      <c r="AH440" s="116" t="s">
        <v>1712</v>
      </c>
      <c r="AI440" s="245"/>
    </row>
    <row r="441" spans="1:47">
      <c r="A441" s="127" t="s">
        <v>1673</v>
      </c>
      <c r="B441" s="90" t="s">
        <v>1572</v>
      </c>
      <c r="C441" s="90" t="s">
        <v>1573</v>
      </c>
      <c r="D441" s="90" t="s">
        <v>1574</v>
      </c>
      <c r="E441" s="90" t="s">
        <v>1575</v>
      </c>
      <c r="F441" s="8" t="s">
        <v>1060</v>
      </c>
      <c r="G441" s="26" t="s">
        <v>3442</v>
      </c>
      <c r="H441" s="55" t="s">
        <v>320</v>
      </c>
      <c r="I441" s="1" t="s">
        <v>69</v>
      </c>
      <c r="L441" s="123"/>
      <c r="T441" s="322" t="s">
        <v>1054</v>
      </c>
      <c r="U441" s="10" t="s">
        <v>66</v>
      </c>
      <c r="W441" s="68" t="s">
        <v>1493</v>
      </c>
      <c r="X441" s="28" t="s">
        <v>2</v>
      </c>
      <c r="Y441" s="17" t="s">
        <v>1399</v>
      </c>
      <c r="Z441" s="14" t="s">
        <v>5</v>
      </c>
      <c r="AA441" s="21" t="s">
        <v>3</v>
      </c>
      <c r="AB441" s="25" t="s">
        <v>105</v>
      </c>
      <c r="AD441" s="1" t="s">
        <v>69</v>
      </c>
      <c r="AE441" s="71" t="s">
        <v>1400</v>
      </c>
      <c r="AF441" s="72" t="s">
        <v>1157</v>
      </c>
      <c r="AG441" s="32" t="s">
        <v>1158</v>
      </c>
      <c r="AH441" s="46" t="s">
        <v>1686</v>
      </c>
    </row>
    <row r="442" spans="1:47" ht="16.5" customHeight="1">
      <c r="B442" s="80">
        <v>-49</v>
      </c>
      <c r="C442" s="80">
        <v>-36</v>
      </c>
      <c r="D442" s="80">
        <v>-49</v>
      </c>
      <c r="E442" s="80">
        <v>-36</v>
      </c>
      <c r="F442" s="57">
        <v>12.88</v>
      </c>
      <c r="G442" s="79">
        <v>1789</v>
      </c>
      <c r="H442" s="50" t="s">
        <v>1404</v>
      </c>
      <c r="I442" s="22" t="s">
        <v>130</v>
      </c>
      <c r="J442" s="8">
        <f>IFERROR(VLOOKUP($G442,今日總結!$A:$AJ,33,0),"")</f>
        <v>0</v>
      </c>
      <c r="K442" s="5">
        <f>IFERROR(VLOOKUP($G442,今日總結!$A:$AJ,34,0),"")</f>
        <v>2</v>
      </c>
      <c r="L442" s="156">
        <f>IFERROR(VLOOKUP($G442,今日總結!$A:$AJ,31,0),"")</f>
        <v>0</v>
      </c>
      <c r="M442" s="340">
        <f>IFERROR(VLOOKUP($G442,今日總結!$A:$AJ,32,0),"")</f>
        <v>0</v>
      </c>
      <c r="N442" s="240">
        <f t="shared" ref="N442:N446" si="143">IFERROR(L442-M442,"")</f>
        <v>0</v>
      </c>
      <c r="P442" s="365">
        <f>IFERROR(VLOOKUP($G442,融外自投!$A:$J,7,0),"無")</f>
        <v>1089</v>
      </c>
      <c r="Q442" s="79">
        <f>IFERROR(VLOOKUP($G442,融外自投!$A:$J,9,0),"無")</f>
        <v>734</v>
      </c>
      <c r="R442" s="346">
        <f>IFERROR(VLOOKUP($G442,融外自投!$A:$J,8,0),"無")</f>
        <v>851</v>
      </c>
      <c r="S442" s="81" t="str">
        <f>IFERROR(VLOOKUP($G442,融外自投!$A:$J,10,0),"無")</f>
        <v>無</v>
      </c>
      <c r="T442" s="327">
        <f>IFERROR(VLOOKUP($G442,'321買'!$A:$E,5,0),"'沒有資料'")</f>
        <v>729</v>
      </c>
      <c r="U442" s="34">
        <v>0.49</v>
      </c>
      <c r="W442" s="57">
        <f>U442/X442</f>
        <v>4.5539033457249068E-3</v>
      </c>
      <c r="X442" s="13">
        <v>107.6</v>
      </c>
      <c r="Y442" s="45">
        <v>103.27</v>
      </c>
      <c r="Z442" s="15">
        <f t="shared" ref="Z442:Z447" si="144">X442-Y442</f>
        <v>4.3299999999999983</v>
      </c>
      <c r="AA442" s="63">
        <f t="shared" ref="AA442:AA447" si="145">Z442/Y442</f>
        <v>4.1928924179335705E-2</v>
      </c>
      <c r="AB442" s="111" t="s">
        <v>1715</v>
      </c>
      <c r="AD442" s="22" t="s">
        <v>130</v>
      </c>
      <c r="AF442" s="83">
        <v>43789</v>
      </c>
      <c r="AG442" s="33">
        <f>AF442-AE442</f>
        <v>43789</v>
      </c>
      <c r="AH442" s="116"/>
    </row>
    <row r="443" spans="1:47" s="7" customFormat="1" ht="17.100000000000001" customHeight="1">
      <c r="A443" s="125"/>
      <c r="B443" s="79">
        <v>0.6</v>
      </c>
      <c r="C443" s="80">
        <v>-34</v>
      </c>
      <c r="D443" s="79">
        <v>0.6</v>
      </c>
      <c r="E443" s="80">
        <v>-34</v>
      </c>
      <c r="F443" s="6">
        <v>1.53</v>
      </c>
      <c r="G443" s="79">
        <v>2317</v>
      </c>
      <c r="H443" s="50" t="s">
        <v>1404</v>
      </c>
      <c r="I443" s="22" t="s">
        <v>4</v>
      </c>
      <c r="J443" s="8">
        <f>IFERROR(VLOOKUP($G443,今日總結!$A:$AJ,33,0),"")</f>
        <v>3</v>
      </c>
      <c r="K443" s="5">
        <f>IFERROR(VLOOKUP($G443,今日總結!$A:$AJ,34,0),"")</f>
        <v>0</v>
      </c>
      <c r="L443" s="156">
        <f>IFERROR(VLOOKUP($G443,今日總結!$A:$AJ,31,0),"")</f>
        <v>0</v>
      </c>
      <c r="M443" s="340">
        <f>IFERROR(VLOOKUP($G443,今日總結!$A:$AJ,32,0),"")</f>
        <v>0</v>
      </c>
      <c r="N443" s="240">
        <f t="shared" si="143"/>
        <v>0</v>
      </c>
      <c r="O443" s="245"/>
      <c r="P443" s="365">
        <f>IFERROR(VLOOKUP($G443,融外自投!$A:$J,7,0),"無")</f>
        <v>1172</v>
      </c>
      <c r="Q443" s="79">
        <f>IFERROR(VLOOKUP($G443,融外自投!$A:$J,9,0),"無")</f>
        <v>337</v>
      </c>
      <c r="R443" s="346">
        <f>IFERROR(VLOOKUP($G443,融外自投!$A:$J,8,0),"無")</f>
        <v>93</v>
      </c>
      <c r="S443" s="81">
        <f>IFERROR(VLOOKUP($G443,融外自投!$A:$J,10,0),"無")</f>
        <v>163</v>
      </c>
      <c r="T443" s="327">
        <f>IFERROR(VLOOKUP($G443,'321買'!$A:$E,5,0),"'沒有資料'")</f>
        <v>188</v>
      </c>
      <c r="U443" s="186">
        <v>4</v>
      </c>
      <c r="V443" s="311"/>
      <c r="W443" s="94">
        <f>U443/X443</f>
        <v>5.5248618784530384E-2</v>
      </c>
      <c r="X443" s="13">
        <f>90.5*0.8</f>
        <v>72.400000000000006</v>
      </c>
      <c r="Y443" s="45">
        <f>94.93-4-4*0.8</f>
        <v>87.73</v>
      </c>
      <c r="Z443" s="45">
        <f t="shared" si="144"/>
        <v>-15.329999999999998</v>
      </c>
      <c r="AA443" s="76">
        <f t="shared" si="145"/>
        <v>-0.17474068163684028</v>
      </c>
      <c r="AB443" s="112" t="s">
        <v>1701</v>
      </c>
      <c r="AC443" s="382"/>
      <c r="AD443" s="22" t="s">
        <v>4</v>
      </c>
      <c r="AE443" s="84"/>
      <c r="AF443" s="83">
        <v>43777</v>
      </c>
      <c r="AG443" s="33">
        <f>AF443-AE443</f>
        <v>43777</v>
      </c>
      <c r="AH443" s="116"/>
      <c r="AI443" s="125"/>
      <c r="AJ443" s="37"/>
      <c r="AK443" s="37"/>
      <c r="AL443" s="37"/>
      <c r="AM443" s="37"/>
      <c r="AN443" s="37"/>
      <c r="AO443" s="245"/>
      <c r="AP443" s="245"/>
    </row>
    <row r="444" spans="1:47">
      <c r="B444" s="79">
        <v>100</v>
      </c>
      <c r="C444" s="79">
        <v>67</v>
      </c>
      <c r="D444" s="79">
        <v>100</v>
      </c>
      <c r="E444" s="79">
        <v>67</v>
      </c>
      <c r="F444" s="57">
        <v>18.75</v>
      </c>
      <c r="G444" s="81">
        <v>9940</v>
      </c>
      <c r="H444" s="50" t="s">
        <v>1404</v>
      </c>
      <c r="I444" s="22" t="s">
        <v>92</v>
      </c>
      <c r="J444" s="8">
        <f>IFERROR(VLOOKUP($G444,今日總結!$A:$AJ,33,0),"")</f>
        <v>0</v>
      </c>
      <c r="K444" s="5">
        <f>IFERROR(VLOOKUP($G444,今日總結!$A:$AJ,34,0),"")</f>
        <v>1</v>
      </c>
      <c r="L444" s="156">
        <f>IFERROR(VLOOKUP($G444,今日總結!$A:$AJ,31,0),"")</f>
        <v>0</v>
      </c>
      <c r="M444" s="340">
        <f>IFERROR(VLOOKUP($G444,今日總結!$A:$AJ,32,0),"")</f>
        <v>0</v>
      </c>
      <c r="N444" s="240">
        <f t="shared" si="143"/>
        <v>0</v>
      </c>
      <c r="P444" s="365">
        <f>IFERROR(VLOOKUP($G444,融外自投!$A:$J,7,0),"無")</f>
        <v>1367</v>
      </c>
      <c r="Q444" s="79">
        <f>IFERROR(VLOOKUP($G444,融外自投!$A:$J,9,0),"無")</f>
        <v>824</v>
      </c>
      <c r="R444" s="346">
        <f>IFERROR(VLOOKUP($G444,融外自投!$A:$J,8,0),"無")</f>
        <v>712</v>
      </c>
      <c r="S444" s="81">
        <f>IFERROR(VLOOKUP($G444,融外自投!$A:$J,10,0),"無")</f>
        <v>278</v>
      </c>
      <c r="T444" s="327">
        <f>IFERROR(VLOOKUP($G444,'321買'!$A:$E,5,0),"'沒有資料'")</f>
        <v>515</v>
      </c>
      <c r="U444" s="34">
        <v>1.3</v>
      </c>
      <c r="W444" s="57">
        <f>U444/X444</f>
        <v>2.0280811232449302E-2</v>
      </c>
      <c r="X444" s="13">
        <v>64.099999999999994</v>
      </c>
      <c r="Y444" s="45">
        <v>63.2</v>
      </c>
      <c r="Z444" s="70">
        <f t="shared" si="144"/>
        <v>0.89999999999999147</v>
      </c>
      <c r="AA444" s="63">
        <f t="shared" si="145"/>
        <v>1.4240506329113788E-2</v>
      </c>
      <c r="AB444" s="111" t="s">
        <v>1612</v>
      </c>
      <c r="AD444" s="22" t="s">
        <v>92</v>
      </c>
      <c r="AF444" s="83">
        <v>43776</v>
      </c>
      <c r="AG444" s="33">
        <f>AF444-AE444</f>
        <v>43776</v>
      </c>
      <c r="AH444" s="116"/>
    </row>
    <row r="445" spans="1:47">
      <c r="B445" s="79">
        <v>11</v>
      </c>
      <c r="C445" s="79">
        <v>7</v>
      </c>
      <c r="D445" s="79">
        <v>1</v>
      </c>
      <c r="E445" s="80">
        <v>-11</v>
      </c>
      <c r="F445" s="57">
        <v>24.12</v>
      </c>
      <c r="G445" s="81">
        <v>5347</v>
      </c>
      <c r="H445" s="50" t="s">
        <v>1404</v>
      </c>
      <c r="I445" s="16" t="s">
        <v>33</v>
      </c>
      <c r="J445" s="8" t="str">
        <f>IFERROR(VLOOKUP($G445,今日總結!$A:$AJ,33,0),"")</f>
        <v/>
      </c>
      <c r="K445" s="5" t="str">
        <f>IFERROR(VLOOKUP($G445,今日總結!$A:$AJ,34,0),"")</f>
        <v/>
      </c>
      <c r="L445" s="156" t="str">
        <f>IFERROR(VLOOKUP($G445,今日總結!$A:$AJ,31,0),"")</f>
        <v/>
      </c>
      <c r="M445" s="340" t="str">
        <f>IFERROR(VLOOKUP($G445,今日總結!$A:$AJ,32,0),"")</f>
        <v/>
      </c>
      <c r="N445" s="240" t="str">
        <f t="shared" si="143"/>
        <v/>
      </c>
      <c r="P445" s="365">
        <f>IFERROR(VLOOKUP($G445,融外自投!$A:$J,7,0),"無")</f>
        <v>1181</v>
      </c>
      <c r="Q445" s="79">
        <f>IFERROR(VLOOKUP($G445,融外自投!$A:$J,9,0),"無")</f>
        <v>406</v>
      </c>
      <c r="R445" s="346">
        <f>IFERROR(VLOOKUP($G445,融外自投!$A:$J,8,0),"無")</f>
        <v>171</v>
      </c>
      <c r="S445" s="81">
        <f>IFERROR(VLOOKUP($G445,融外自投!$A:$J,10,0),"無")</f>
        <v>145</v>
      </c>
      <c r="T445" s="327">
        <f>IFERROR(VLOOKUP($G445,'321買'!$A:$E,5,0),"'沒有資料'")</f>
        <v>357</v>
      </c>
      <c r="U445" s="34">
        <v>3.2</v>
      </c>
      <c r="W445" s="57">
        <f>U445/X445</f>
        <v>4.7976011994002997E-2</v>
      </c>
      <c r="X445" s="13">
        <v>66.7</v>
      </c>
      <c r="Y445" s="45">
        <v>62.8</v>
      </c>
      <c r="Z445" s="15">
        <f t="shared" si="144"/>
        <v>3.9000000000000057</v>
      </c>
      <c r="AA445" s="63">
        <f t="shared" si="145"/>
        <v>6.2101910828025568E-2</v>
      </c>
      <c r="AB445" s="99" t="s">
        <v>1687</v>
      </c>
      <c r="AD445" s="16" t="s">
        <v>33</v>
      </c>
      <c r="AF445" s="83">
        <v>43774</v>
      </c>
      <c r="AG445" s="33">
        <f>AF445-AE445</f>
        <v>43774</v>
      </c>
      <c r="AH445" s="118"/>
    </row>
    <row r="446" spans="1:47">
      <c r="B446" s="80">
        <v>-211</v>
      </c>
      <c r="C446" s="93">
        <v>-5489</v>
      </c>
      <c r="D446" s="80">
        <v>-211</v>
      </c>
      <c r="E446" s="93">
        <v>-5489</v>
      </c>
      <c r="F446" s="6">
        <v>-13.71</v>
      </c>
      <c r="G446" s="79">
        <v>3545</v>
      </c>
      <c r="H446" s="50" t="s">
        <v>1404</v>
      </c>
      <c r="I446" s="22" t="s">
        <v>347</v>
      </c>
      <c r="J446" s="8">
        <f>IFERROR(VLOOKUP($G446,今日總結!$A:$AJ,33,0),"")</f>
        <v>1</v>
      </c>
      <c r="K446" s="5">
        <f>IFERROR(VLOOKUP($G446,今日總結!$A:$AJ,34,0),"")</f>
        <v>0</v>
      </c>
      <c r="L446" s="156">
        <f>IFERROR(VLOOKUP($G446,今日總結!$A:$AJ,31,0),"")</f>
        <v>0</v>
      </c>
      <c r="M446" s="340">
        <f>IFERROR(VLOOKUP($G446,今日總結!$A:$AJ,32,0),"")</f>
        <v>0</v>
      </c>
      <c r="N446" s="240">
        <f t="shared" si="143"/>
        <v>0</v>
      </c>
      <c r="P446" s="365">
        <f>IFERROR(VLOOKUP($G446,融外自投!$A:$J,7,0),"無")</f>
        <v>56</v>
      </c>
      <c r="Q446" s="79">
        <f>IFERROR(VLOOKUP($G446,融外自投!$A:$J,9,0),"無")</f>
        <v>88</v>
      </c>
      <c r="R446" s="346">
        <f>IFERROR(VLOOKUP($G446,融外自投!$A:$J,8,0),"無")</f>
        <v>408</v>
      </c>
      <c r="S446" s="81">
        <f>IFERROR(VLOOKUP($G446,融外自投!$A:$J,10,0),"無")</f>
        <v>491</v>
      </c>
      <c r="T446" s="327">
        <f>IFERROR(VLOOKUP($G446,'321買'!$A:$E,5,0),"'沒有資料'")</f>
        <v>188</v>
      </c>
      <c r="U446" s="34">
        <v>0.5</v>
      </c>
      <c r="W446" s="94">
        <f>U446/X446</f>
        <v>5.208333333333333E-3</v>
      </c>
      <c r="X446" s="13">
        <v>96</v>
      </c>
      <c r="Y446" s="45">
        <v>94.67</v>
      </c>
      <c r="Z446" s="15">
        <f t="shared" si="144"/>
        <v>1.3299999999999983</v>
      </c>
      <c r="AA446" s="63">
        <f t="shared" si="145"/>
        <v>1.404880109855285E-2</v>
      </c>
      <c r="AB446" s="111" t="s">
        <v>1694</v>
      </c>
      <c r="AD446" s="22" t="s">
        <v>347</v>
      </c>
      <c r="AF446" s="83">
        <v>43774</v>
      </c>
      <c r="AG446" s="33">
        <f>AF446-AE446</f>
        <v>43774</v>
      </c>
      <c r="AH446" s="116"/>
      <c r="AK446" s="11"/>
      <c r="AL446" s="11"/>
      <c r="AM446" s="11"/>
      <c r="AN446" s="11"/>
      <c r="AQ446" s="7"/>
      <c r="AR446" s="4"/>
    </row>
    <row r="447" spans="1:47">
      <c r="A447" s="127"/>
      <c r="B447" s="90"/>
      <c r="C447" s="90"/>
      <c r="D447" s="90"/>
      <c r="E447" s="90"/>
      <c r="F447" s="8"/>
      <c r="G447" s="25"/>
      <c r="H447" s="55"/>
      <c r="I447" s="1"/>
      <c r="L447" s="123"/>
      <c r="U447" s="10"/>
      <c r="W447" s="68"/>
      <c r="X447" s="28">
        <f>SUM(X442:X446)</f>
        <v>406.8</v>
      </c>
      <c r="Y447" s="17">
        <f>SUM(Y442:Y446)</f>
        <v>411.67</v>
      </c>
      <c r="Z447" s="15">
        <f t="shared" si="144"/>
        <v>-4.8700000000000045</v>
      </c>
      <c r="AA447" s="76">
        <f t="shared" si="145"/>
        <v>-1.1829863725799802E-2</v>
      </c>
      <c r="AB447" s="25"/>
      <c r="AD447" s="1"/>
      <c r="AE447" s="71"/>
      <c r="AF447" s="72"/>
      <c r="AG447" s="32"/>
      <c r="AH447" s="46"/>
    </row>
    <row r="448" spans="1:47">
      <c r="A448" s="127" t="s">
        <v>1673</v>
      </c>
      <c r="B448" s="90" t="s">
        <v>1572</v>
      </c>
      <c r="C448" s="90" t="s">
        <v>1573</v>
      </c>
      <c r="D448" s="90" t="s">
        <v>1574</v>
      </c>
      <c r="E448" s="90" t="s">
        <v>1575</v>
      </c>
      <c r="F448" s="8" t="s">
        <v>1060</v>
      </c>
      <c r="G448" s="26" t="s">
        <v>3442</v>
      </c>
      <c r="H448" s="55" t="s">
        <v>320</v>
      </c>
      <c r="I448" s="1" t="s">
        <v>69</v>
      </c>
      <c r="L448" s="123"/>
      <c r="T448" s="322" t="s">
        <v>1054</v>
      </c>
      <c r="U448" s="10" t="s">
        <v>66</v>
      </c>
      <c r="W448" s="68" t="s">
        <v>1493</v>
      </c>
      <c r="X448" s="28" t="s">
        <v>2</v>
      </c>
      <c r="Y448" s="17" t="s">
        <v>1399</v>
      </c>
      <c r="Z448" s="14" t="s">
        <v>5</v>
      </c>
      <c r="AA448" s="21" t="s">
        <v>3</v>
      </c>
      <c r="AB448" s="25" t="s">
        <v>105</v>
      </c>
      <c r="AD448" s="1" t="s">
        <v>69</v>
      </c>
      <c r="AE448" s="71" t="s">
        <v>1400</v>
      </c>
      <c r="AF448" s="72" t="s">
        <v>1157</v>
      </c>
      <c r="AG448" s="32" t="s">
        <v>1158</v>
      </c>
    </row>
    <row r="449" spans="1:46" s="7" customFormat="1" ht="17.100000000000001" customHeight="1">
      <c r="A449" s="120"/>
      <c r="B449" s="80">
        <v>-49</v>
      </c>
      <c r="C449" s="80">
        <v>-36</v>
      </c>
      <c r="D449" s="80">
        <v>-49</v>
      </c>
      <c r="E449" s="80">
        <v>-36</v>
      </c>
      <c r="F449" s="57">
        <v>12.88</v>
      </c>
      <c r="G449" s="79">
        <v>1789</v>
      </c>
      <c r="H449" s="50" t="s">
        <v>1404</v>
      </c>
      <c r="I449" s="22" t="s">
        <v>130</v>
      </c>
      <c r="J449" s="8">
        <f>IFERROR(VLOOKUP($G449,今日總結!$A:$AJ,33,0),"")</f>
        <v>0</v>
      </c>
      <c r="K449" s="5">
        <f>IFERROR(VLOOKUP($G449,今日總結!$A:$AJ,34,0),"")</f>
        <v>2</v>
      </c>
      <c r="L449" s="156">
        <f>IFERROR(VLOOKUP($G449,今日總結!$A:$AJ,31,0),"")</f>
        <v>0</v>
      </c>
      <c r="M449" s="340">
        <f>IFERROR(VLOOKUP($G449,今日總結!$A:$AJ,32,0),"")</f>
        <v>0</v>
      </c>
      <c r="N449" s="240">
        <f t="shared" ref="N449:N452" si="146">IFERROR(L449-M449,"")</f>
        <v>0</v>
      </c>
      <c r="O449" s="245"/>
      <c r="P449" s="365">
        <f>IFERROR(VLOOKUP($G449,融外自投!$A:$J,7,0),"無")</f>
        <v>1089</v>
      </c>
      <c r="Q449" s="79">
        <f>IFERROR(VLOOKUP($G449,融外自投!$A:$J,9,0),"無")</f>
        <v>734</v>
      </c>
      <c r="R449" s="346">
        <f>IFERROR(VLOOKUP($G449,融外自投!$A:$J,8,0),"無")</f>
        <v>851</v>
      </c>
      <c r="S449" s="81" t="str">
        <f>IFERROR(VLOOKUP($G449,融外自投!$A:$J,10,0),"無")</f>
        <v>無</v>
      </c>
      <c r="T449" s="327">
        <f>IFERROR(VLOOKUP($G449,'321買'!$A:$E,5,0),"'沒有資料'")</f>
        <v>729</v>
      </c>
      <c r="U449" s="34">
        <v>0.49</v>
      </c>
      <c r="V449" s="311"/>
      <c r="W449" s="57">
        <f>U449/X449</f>
        <v>1.8215613382899627E-2</v>
      </c>
      <c r="X449" s="13">
        <v>26.9</v>
      </c>
      <c r="Y449" s="66">
        <f>32.54-0.48-0.49</f>
        <v>31.570000000000004</v>
      </c>
      <c r="Z449" s="15">
        <f>X449-Y449</f>
        <v>-4.6700000000000053</v>
      </c>
      <c r="AA449" s="76">
        <f>Z449/Y449</f>
        <v>-0.14792524548622124</v>
      </c>
      <c r="AB449" s="112" t="s">
        <v>1716</v>
      </c>
      <c r="AC449" s="382"/>
      <c r="AD449" s="22" t="s">
        <v>130</v>
      </c>
      <c r="AE449" s="84">
        <v>43216</v>
      </c>
      <c r="AF449" s="83"/>
      <c r="AG449" s="33">
        <f>AF449-AE449</f>
        <v>-43216</v>
      </c>
      <c r="AH449" s="116" t="s">
        <v>1123</v>
      </c>
      <c r="AI449" s="120"/>
      <c r="AJ449" s="33"/>
      <c r="AK449" s="11"/>
      <c r="AL449" s="11"/>
      <c r="AM449" s="11"/>
      <c r="AN449" s="11"/>
      <c r="AO449" s="245"/>
      <c r="AP449" s="245"/>
      <c r="AR449" s="4"/>
      <c r="AS449" s="245"/>
      <c r="AT449" s="245"/>
    </row>
    <row r="450" spans="1:46" ht="16.5" customHeight="1">
      <c r="A450" s="143"/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1404</v>
      </c>
      <c r="I450" s="22" t="s">
        <v>130</v>
      </c>
      <c r="J450" s="8">
        <f>IFERROR(VLOOKUP($G450,今日總結!$A:$AJ,33,0),"")</f>
        <v>0</v>
      </c>
      <c r="K450" s="5">
        <f>IFERROR(VLOOKUP($G450,今日總結!$A:$AJ,34,0),"")</f>
        <v>2</v>
      </c>
      <c r="L450" s="156">
        <f>IFERROR(VLOOKUP($G450,今日總結!$A:$AJ,31,0),"")</f>
        <v>0</v>
      </c>
      <c r="M450" s="340">
        <f>IFERROR(VLOOKUP($G450,今日總結!$A:$AJ,32,0),"")</f>
        <v>0</v>
      </c>
      <c r="N450" s="240">
        <f t="shared" si="146"/>
        <v>0</v>
      </c>
      <c r="P450" s="365">
        <f>IFERROR(VLOOKUP($G450,融外自投!$A:$J,7,0),"無")</f>
        <v>1089</v>
      </c>
      <c r="Q450" s="79">
        <f>IFERROR(VLOOKUP($G450,融外自投!$A:$J,9,0),"無")</f>
        <v>734</v>
      </c>
      <c r="R450" s="346">
        <f>IFERROR(VLOOKUP($G450,融外自投!$A:$J,8,0),"無")</f>
        <v>851</v>
      </c>
      <c r="S450" s="81" t="str">
        <f>IFERROR(VLOOKUP($G450,融外自投!$A:$J,10,0),"無")</f>
        <v>無</v>
      </c>
      <c r="T450" s="327">
        <f>IFERROR(VLOOKUP($G450,'321買'!$A:$E,5,0),"'沒有資料'")</f>
        <v>729</v>
      </c>
      <c r="U450" s="34">
        <v>0.49</v>
      </c>
      <c r="W450" s="57">
        <f>U450/X450</f>
        <v>1.8215613382899627E-2</v>
      </c>
      <c r="X450" s="36">
        <v>26.9</v>
      </c>
      <c r="Y450" s="66">
        <v>24.05</v>
      </c>
      <c r="Z450" s="15">
        <f>X450-Y450</f>
        <v>2.8499999999999979</v>
      </c>
      <c r="AA450" s="63">
        <f>Z450/Y450</f>
        <v>0.11850311850311841</v>
      </c>
      <c r="AB450" s="111" t="s">
        <v>1717</v>
      </c>
      <c r="AD450" s="22" t="s">
        <v>130</v>
      </c>
      <c r="AE450" s="84">
        <v>43735</v>
      </c>
      <c r="AG450" s="33">
        <f>AF450-AE450</f>
        <v>-43735</v>
      </c>
      <c r="AH450" s="116"/>
      <c r="AI450" s="245"/>
    </row>
    <row r="451" spans="1:46" ht="16.5" customHeight="1">
      <c r="A451" s="143"/>
      <c r="B451" s="80">
        <v>-49</v>
      </c>
      <c r="C451" s="80">
        <v>-36</v>
      </c>
      <c r="D451" s="80">
        <v>-49</v>
      </c>
      <c r="E451" s="80">
        <v>-36</v>
      </c>
      <c r="F451" s="57">
        <v>12.88</v>
      </c>
      <c r="G451" s="79">
        <v>1789</v>
      </c>
      <c r="H451" s="50" t="s">
        <v>1404</v>
      </c>
      <c r="I451" s="22" t="s">
        <v>130</v>
      </c>
      <c r="J451" s="8">
        <f>IFERROR(VLOOKUP($G451,今日總結!$A:$AJ,33,0),"")</f>
        <v>0</v>
      </c>
      <c r="K451" s="5">
        <f>IFERROR(VLOOKUP($G451,今日總結!$A:$AJ,34,0),"")</f>
        <v>2</v>
      </c>
      <c r="L451" s="156">
        <f>IFERROR(VLOOKUP($G451,今日總結!$A:$AJ,31,0),"")</f>
        <v>0</v>
      </c>
      <c r="M451" s="340">
        <f>IFERROR(VLOOKUP($G451,今日總結!$A:$AJ,32,0),"")</f>
        <v>0</v>
      </c>
      <c r="N451" s="240">
        <f t="shared" si="146"/>
        <v>0</v>
      </c>
      <c r="P451" s="365">
        <f>IFERROR(VLOOKUP($G451,融外自投!$A:$J,7,0),"無")</f>
        <v>1089</v>
      </c>
      <c r="Q451" s="79">
        <f>IFERROR(VLOOKUP($G451,融外自投!$A:$J,9,0),"無")</f>
        <v>734</v>
      </c>
      <c r="R451" s="346">
        <f>IFERROR(VLOOKUP($G451,融外自投!$A:$J,8,0),"無")</f>
        <v>851</v>
      </c>
      <c r="S451" s="81" t="str">
        <f>IFERROR(VLOOKUP($G451,融外自投!$A:$J,10,0),"無")</f>
        <v>無</v>
      </c>
      <c r="T451" s="327">
        <f>IFERROR(VLOOKUP($G451,'321買'!$A:$E,5,0),"'沒有資料'")</f>
        <v>729</v>
      </c>
      <c r="U451" s="34">
        <v>0.49</v>
      </c>
      <c r="W451" s="57">
        <f>U451/X451</f>
        <v>1.8215613382899627E-2</v>
      </c>
      <c r="X451" s="36">
        <v>26.9</v>
      </c>
      <c r="Y451" s="66">
        <v>23.9</v>
      </c>
      <c r="Z451" s="15">
        <f>X451-Y451</f>
        <v>3</v>
      </c>
      <c r="AA451" s="63">
        <f>Z451/Y451</f>
        <v>0.12552301255230125</v>
      </c>
      <c r="AB451" s="111" t="s">
        <v>1718</v>
      </c>
      <c r="AD451" s="22" t="s">
        <v>130</v>
      </c>
      <c r="AE451" s="84">
        <v>43710</v>
      </c>
      <c r="AG451" s="33">
        <f>AF451-AE451</f>
        <v>-43710</v>
      </c>
      <c r="AH451" s="116"/>
      <c r="AI451" s="245"/>
    </row>
    <row r="452" spans="1:46" ht="16.5" customHeight="1">
      <c r="B452" s="80">
        <v>-49</v>
      </c>
      <c r="C452" s="80">
        <v>-36</v>
      </c>
      <c r="D452" s="80">
        <v>-49</v>
      </c>
      <c r="E452" s="80">
        <v>-36</v>
      </c>
      <c r="F452" s="57">
        <v>12.88</v>
      </c>
      <c r="G452" s="79">
        <v>1789</v>
      </c>
      <c r="H452" s="50" t="s">
        <v>1404</v>
      </c>
      <c r="I452" s="22" t="s">
        <v>130</v>
      </c>
      <c r="J452" s="8">
        <f>IFERROR(VLOOKUP($G452,今日總結!$A:$AJ,33,0),"")</f>
        <v>0</v>
      </c>
      <c r="K452" s="5">
        <f>IFERROR(VLOOKUP($G452,今日總結!$A:$AJ,34,0),"")</f>
        <v>2</v>
      </c>
      <c r="L452" s="156">
        <f>IFERROR(VLOOKUP($G452,今日總結!$A:$AJ,31,0),"")</f>
        <v>0</v>
      </c>
      <c r="M452" s="340">
        <f>IFERROR(VLOOKUP($G452,今日總結!$A:$AJ,32,0),"")</f>
        <v>0</v>
      </c>
      <c r="N452" s="240">
        <f t="shared" si="146"/>
        <v>0</v>
      </c>
      <c r="P452" s="365">
        <f>IFERROR(VLOOKUP($G452,融外自投!$A:$J,7,0),"無")</f>
        <v>1089</v>
      </c>
      <c r="Q452" s="79">
        <f>IFERROR(VLOOKUP($G452,融外自投!$A:$J,9,0),"無")</f>
        <v>734</v>
      </c>
      <c r="R452" s="346">
        <f>IFERROR(VLOOKUP($G452,融外自投!$A:$J,8,0),"無")</f>
        <v>851</v>
      </c>
      <c r="S452" s="81" t="str">
        <f>IFERROR(VLOOKUP($G452,融外自投!$A:$J,10,0),"無")</f>
        <v>無</v>
      </c>
      <c r="T452" s="327">
        <f>IFERROR(VLOOKUP($G452,'321買'!$A:$E,5,0),"'沒有資料'")</f>
        <v>729</v>
      </c>
      <c r="U452" s="34">
        <v>0.49</v>
      </c>
      <c r="W452" s="57">
        <f>U452/X452</f>
        <v>1.8215613382899627E-2</v>
      </c>
      <c r="X452" s="36">
        <v>26.9</v>
      </c>
      <c r="Y452" s="66">
        <v>23.75</v>
      </c>
      <c r="Z452" s="15">
        <f>X452-Y452</f>
        <v>3.1499999999999986</v>
      </c>
      <c r="AA452" s="63">
        <f>Z452/Y452</f>
        <v>0.13263157894736835</v>
      </c>
      <c r="AB452" s="111" t="s">
        <v>1719</v>
      </c>
      <c r="AD452" s="22" t="s">
        <v>130</v>
      </c>
      <c r="AE452" s="84">
        <v>43698</v>
      </c>
      <c r="AG452" s="33">
        <f>AF452-AE452</f>
        <v>-43698</v>
      </c>
      <c r="AH452" s="116"/>
    </row>
    <row r="453" spans="1:46" s="7" customFormat="1" ht="17.100000000000001" customHeight="1">
      <c r="A453" s="120"/>
      <c r="B453" s="80"/>
      <c r="C453" s="80"/>
      <c r="D453" s="80"/>
      <c r="E453" s="80"/>
      <c r="F453" s="57"/>
      <c r="G453" s="41"/>
      <c r="H453" s="50"/>
      <c r="I453" s="22"/>
      <c r="J453" s="8"/>
      <c r="K453" s="5"/>
      <c r="L453" s="156"/>
      <c r="M453" s="340"/>
      <c r="N453" s="240"/>
      <c r="O453" s="245"/>
      <c r="P453" s="365"/>
      <c r="Q453" s="79"/>
      <c r="R453" s="346"/>
      <c r="S453" s="81"/>
      <c r="T453" s="327"/>
      <c r="U453" s="34"/>
      <c r="V453" s="311"/>
      <c r="W453" s="57"/>
      <c r="X453" s="13">
        <f>SUM(X449:X452)</f>
        <v>107.6</v>
      </c>
      <c r="Y453" s="45">
        <f>SUM(Y449:Y452)</f>
        <v>103.27000000000001</v>
      </c>
      <c r="Z453" s="15">
        <f>X453-Y453</f>
        <v>4.3299999999999841</v>
      </c>
      <c r="AA453" s="63">
        <f>Z453/Y453</f>
        <v>4.1928924179335567E-2</v>
      </c>
      <c r="AB453" s="112"/>
      <c r="AC453" s="382"/>
      <c r="AD453" s="22"/>
      <c r="AE453" s="84"/>
      <c r="AF453" s="83"/>
      <c r="AG453" s="33"/>
      <c r="AH453" s="116"/>
      <c r="AI453" s="120"/>
      <c r="AJ453" s="33"/>
      <c r="AK453" s="11"/>
      <c r="AL453" s="11"/>
      <c r="AM453" s="11"/>
      <c r="AN453" s="11"/>
      <c r="AO453" s="245"/>
      <c r="AP453" s="245"/>
      <c r="AR453" s="4"/>
      <c r="AS453" s="245"/>
      <c r="AT453" s="245"/>
    </row>
    <row r="454" spans="1:46">
      <c r="A454" s="127" t="s">
        <v>1673</v>
      </c>
      <c r="B454" s="90" t="s">
        <v>1572</v>
      </c>
      <c r="C454" s="90" t="s">
        <v>1573</v>
      </c>
      <c r="D454" s="90" t="s">
        <v>1574</v>
      </c>
      <c r="E454" s="90" t="s">
        <v>1575</v>
      </c>
      <c r="F454" s="8" t="s">
        <v>1060</v>
      </c>
      <c r="G454" s="25" t="s">
        <v>386</v>
      </c>
      <c r="H454" s="55" t="s">
        <v>320</v>
      </c>
      <c r="I454" s="1" t="s">
        <v>69</v>
      </c>
      <c r="L454" s="245"/>
      <c r="T454" s="322" t="s">
        <v>1054</v>
      </c>
      <c r="U454" s="10" t="s">
        <v>66</v>
      </c>
      <c r="W454" s="68" t="s">
        <v>1493</v>
      </c>
      <c r="X454" s="28" t="s">
        <v>2</v>
      </c>
      <c r="Y454" s="17" t="s">
        <v>1399</v>
      </c>
      <c r="Z454" s="14" t="s">
        <v>5</v>
      </c>
      <c r="AA454" s="21" t="s">
        <v>3</v>
      </c>
      <c r="AB454" s="25" t="s">
        <v>105</v>
      </c>
      <c r="AD454" s="1" t="s">
        <v>69</v>
      </c>
      <c r="AE454" s="71" t="s">
        <v>1400</v>
      </c>
      <c r="AF454" s="72" t="s">
        <v>1157</v>
      </c>
      <c r="AG454" s="32" t="s">
        <v>1158</v>
      </c>
      <c r="AH454" s="46" t="s">
        <v>1566</v>
      </c>
    </row>
    <row r="455" spans="1:46" ht="16.5" customHeight="1">
      <c r="A455" s="127" t="s">
        <v>1659</v>
      </c>
      <c r="B455" s="80">
        <v>-26</v>
      </c>
      <c r="C455" s="80">
        <v>-18</v>
      </c>
      <c r="D455" s="80">
        <v>-1</v>
      </c>
      <c r="E455" s="80">
        <v>-40</v>
      </c>
      <c r="F455" s="57">
        <v>23.76</v>
      </c>
      <c r="G455" s="79">
        <v>6173</v>
      </c>
      <c r="H455" s="50" t="s">
        <v>1404</v>
      </c>
      <c r="I455" s="16" t="s">
        <v>82</v>
      </c>
      <c r="J455" s="8" t="str">
        <f>IFERROR(VLOOKUP($G455,今日總結!$A:$AJ,33,0),"")</f>
        <v/>
      </c>
      <c r="K455" s="5" t="str">
        <f>IFERROR(VLOOKUP($G455,今日總結!$A:$AJ,34,0),"")</f>
        <v/>
      </c>
      <c r="L455" s="156" t="str">
        <f>IFERROR(VLOOKUP($G455,今日總結!$A:$AJ,31,0),"")</f>
        <v/>
      </c>
      <c r="M455" s="340" t="str">
        <f>IFERROR(VLOOKUP($G455,今日總結!$A:$AJ,32,0),"")</f>
        <v/>
      </c>
      <c r="N455" s="240" t="str">
        <f t="shared" ref="N455" si="147">IFERROR(L455-M455,"")</f>
        <v/>
      </c>
      <c r="P455" s="365">
        <f>IFERROR(VLOOKUP($G455,融外自投!$A:$J,7,0),"無")</f>
        <v>356</v>
      </c>
      <c r="Q455" s="79">
        <f>IFERROR(VLOOKUP($G455,融外自投!$A:$J,9,0),"無")</f>
        <v>161</v>
      </c>
      <c r="R455" s="346">
        <f>IFERROR(VLOOKUP($G455,融外自投!$A:$J,8,0),"無")</f>
        <v>1078</v>
      </c>
      <c r="S455" s="81" t="str">
        <f>IFERROR(VLOOKUP($G455,融外自投!$A:$J,10,0),"無")</f>
        <v>無</v>
      </c>
      <c r="T455" s="327">
        <f>IFERROR(VLOOKUP($G455,'321買'!$A:$E,5,0),"'沒有資料'")</f>
        <v>852</v>
      </c>
      <c r="U455" s="34">
        <v>4.3</v>
      </c>
      <c r="W455" s="57">
        <f>U455/X455</f>
        <v>7.5438596491228069E-2</v>
      </c>
      <c r="X455" s="36">
        <v>57</v>
      </c>
      <c r="Y455" s="45">
        <v>55.4</v>
      </c>
      <c r="Z455" s="15">
        <f>X455-Y455</f>
        <v>1.6000000000000014</v>
      </c>
      <c r="AA455" s="63">
        <f>Z455/Y455</f>
        <v>2.8880866425992805E-2</v>
      </c>
      <c r="AB455" s="111" t="s">
        <v>1639</v>
      </c>
      <c r="AD455" s="16" t="s">
        <v>82</v>
      </c>
      <c r="AF455" s="83">
        <v>43783</v>
      </c>
      <c r="AG455" s="33">
        <f>AF455-AE455</f>
        <v>43783</v>
      </c>
      <c r="AH455" s="49" t="s">
        <v>1711</v>
      </c>
      <c r="AI455" s="245"/>
    </row>
    <row r="456" spans="1:46">
      <c r="A456" s="127"/>
      <c r="B456" s="90"/>
      <c r="C456" s="90"/>
      <c r="D456" s="90"/>
      <c r="E456" s="90"/>
      <c r="F456" s="8"/>
      <c r="G456" s="25"/>
      <c r="H456" s="55"/>
      <c r="I456" s="1"/>
      <c r="L456" s="245"/>
      <c r="U456" s="10"/>
      <c r="W456" s="68"/>
      <c r="X456" s="28"/>
      <c r="Y456" s="17"/>
      <c r="Z456" s="15"/>
      <c r="AA456" s="63"/>
      <c r="AB456" s="25"/>
      <c r="AD456" s="1"/>
      <c r="AE456" s="71"/>
      <c r="AF456" s="72"/>
      <c r="AG456" s="32"/>
      <c r="AH456" s="46"/>
    </row>
    <row r="457" spans="1:46">
      <c r="A457" s="127" t="s">
        <v>1673</v>
      </c>
      <c r="B457" s="90" t="s">
        <v>1572</v>
      </c>
      <c r="C457" s="90" t="s">
        <v>1573</v>
      </c>
      <c r="D457" s="90" t="s">
        <v>1574</v>
      </c>
      <c r="E457" s="90" t="s">
        <v>1575</v>
      </c>
      <c r="F457" s="8" t="s">
        <v>1060</v>
      </c>
      <c r="G457" s="25" t="s">
        <v>386</v>
      </c>
      <c r="H457" s="55" t="s">
        <v>320</v>
      </c>
      <c r="I457" s="1" t="s">
        <v>69</v>
      </c>
      <c r="L457" s="123"/>
      <c r="T457" s="322" t="s">
        <v>1054</v>
      </c>
      <c r="U457" s="10" t="s">
        <v>66</v>
      </c>
      <c r="W457" s="68" t="s">
        <v>1493</v>
      </c>
      <c r="X457" s="28" t="s">
        <v>2</v>
      </c>
      <c r="Y457" s="17" t="s">
        <v>1399</v>
      </c>
      <c r="Z457" s="14" t="s">
        <v>5</v>
      </c>
      <c r="AA457" s="21" t="s">
        <v>3</v>
      </c>
      <c r="AB457" s="25" t="s">
        <v>105</v>
      </c>
      <c r="AD457" s="1" t="s">
        <v>69</v>
      </c>
      <c r="AE457" s="71" t="s">
        <v>1400</v>
      </c>
      <c r="AF457" s="72" t="s">
        <v>1157</v>
      </c>
      <c r="AG457" s="32" t="s">
        <v>1158</v>
      </c>
    </row>
    <row r="458" spans="1:46">
      <c r="B458" s="79">
        <v>100</v>
      </c>
      <c r="C458" s="79">
        <v>67</v>
      </c>
      <c r="D458" s="79">
        <v>100</v>
      </c>
      <c r="E458" s="79">
        <v>67</v>
      </c>
      <c r="F458" s="57">
        <v>18.75</v>
      </c>
      <c r="G458" s="81">
        <v>9940</v>
      </c>
      <c r="H458" s="30" t="s">
        <v>1462</v>
      </c>
      <c r="I458" s="22" t="s">
        <v>92</v>
      </c>
      <c r="J458" s="8">
        <f>IFERROR(VLOOKUP($G458,今日總結!$A:$AJ,33,0),"")</f>
        <v>0</v>
      </c>
      <c r="K458" s="5">
        <f>IFERROR(VLOOKUP($G458,今日總結!$A:$AJ,34,0),"")</f>
        <v>1</v>
      </c>
      <c r="L458" s="156">
        <f>IFERROR(VLOOKUP($G458,今日總結!$A:$AJ,31,0),"")</f>
        <v>0</v>
      </c>
      <c r="M458" s="340">
        <f>IFERROR(VLOOKUP($G458,今日總結!$A:$AJ,32,0),"")</f>
        <v>0</v>
      </c>
      <c r="N458" s="240">
        <f t="shared" ref="N458" si="148">IFERROR(L458-M458,"")</f>
        <v>0</v>
      </c>
      <c r="P458" s="365">
        <f>IFERROR(VLOOKUP($G458,融外自投!$A:$J,7,0),"無")</f>
        <v>1367</v>
      </c>
      <c r="Q458" s="79">
        <f>IFERROR(VLOOKUP($G458,融外自投!$A:$J,9,0),"無")</f>
        <v>824</v>
      </c>
      <c r="R458" s="346">
        <f>IFERROR(VLOOKUP($G458,融外自投!$A:$J,8,0),"無")</f>
        <v>712</v>
      </c>
      <c r="S458" s="81">
        <f>IFERROR(VLOOKUP($G458,融外自投!$A:$J,10,0),"無")</f>
        <v>278</v>
      </c>
      <c r="T458" s="327">
        <f>IFERROR(VLOOKUP($G458,'321買'!$A:$E,5,0),"'沒有資料'")</f>
        <v>515</v>
      </c>
      <c r="U458" s="34">
        <v>1.3</v>
      </c>
      <c r="W458" s="57">
        <f>U458/X458</f>
        <v>4.0561622464898604E-2</v>
      </c>
      <c r="X458" s="13">
        <v>32.049999999999997</v>
      </c>
      <c r="Y458" s="66">
        <v>31.6</v>
      </c>
      <c r="Z458" s="45">
        <f>X458-Y458</f>
        <v>0.44999999999999574</v>
      </c>
      <c r="AA458" s="63">
        <f>Z458/Y458</f>
        <v>1.4240506329113788E-2</v>
      </c>
      <c r="AB458" s="111" t="s">
        <v>1620</v>
      </c>
      <c r="AD458" s="22" t="s">
        <v>92</v>
      </c>
      <c r="AE458" s="84">
        <v>43689</v>
      </c>
      <c r="AG458" s="33">
        <f>AF458-AE458</f>
        <v>-43689</v>
      </c>
      <c r="AH458" s="41" t="s">
        <v>1122</v>
      </c>
    </row>
    <row r="459" spans="1:46">
      <c r="B459" s="79">
        <v>100</v>
      </c>
      <c r="C459" s="79">
        <v>67</v>
      </c>
      <c r="D459" s="79">
        <v>100</v>
      </c>
      <c r="E459" s="79">
        <v>67</v>
      </c>
      <c r="F459" s="57">
        <v>18.75</v>
      </c>
      <c r="G459" s="81">
        <v>9940</v>
      </c>
      <c r="H459" s="50" t="s">
        <v>1404</v>
      </c>
      <c r="I459" s="22" t="s">
        <v>92</v>
      </c>
      <c r="J459" s="8">
        <f>IFERROR(VLOOKUP($G459,今日總結!$A:$AJ,33,0),"")</f>
        <v>0</v>
      </c>
      <c r="K459" s="5">
        <f>IFERROR(VLOOKUP($G459,今日總結!$A:$AJ,34,0),"")</f>
        <v>1</v>
      </c>
      <c r="L459" s="156">
        <f>IFERROR(VLOOKUP($G459,今日總結!$A:$AJ,31,0),"")</f>
        <v>0</v>
      </c>
      <c r="M459" s="340">
        <f>IFERROR(VLOOKUP($G459,今日總結!$A:$AJ,32,0),"")</f>
        <v>0</v>
      </c>
      <c r="N459" s="240">
        <f t="shared" ref="N459" si="149">IFERROR(L459-M459,"")</f>
        <v>0</v>
      </c>
      <c r="P459" s="365">
        <f>IFERROR(VLOOKUP($G459,融外自投!$A:$J,7,0),"無")</f>
        <v>1367</v>
      </c>
      <c r="Q459" s="79">
        <f>IFERROR(VLOOKUP($G459,融外自投!$A:$J,9,0),"無")</f>
        <v>824</v>
      </c>
      <c r="R459" s="346">
        <f>IFERROR(VLOOKUP($G459,融外自投!$A:$J,8,0),"無")</f>
        <v>712</v>
      </c>
      <c r="S459" s="81">
        <f>IFERROR(VLOOKUP($G459,融外自投!$A:$J,10,0),"無")</f>
        <v>278</v>
      </c>
      <c r="T459" s="327">
        <f>IFERROR(VLOOKUP($G459,'321買'!$A:$E,5,0),"'沒有資料'")</f>
        <v>515</v>
      </c>
      <c r="U459" s="34">
        <v>1.3</v>
      </c>
      <c r="W459" s="57">
        <f>U459/X459</f>
        <v>4.0561622464898604E-2</v>
      </c>
      <c r="X459" s="13">
        <v>32.049999999999997</v>
      </c>
      <c r="Y459" s="66">
        <v>31.6</v>
      </c>
      <c r="Z459" s="45">
        <f>X459-Y459</f>
        <v>0.44999999999999574</v>
      </c>
      <c r="AA459" s="63">
        <f>Z459/Y459</f>
        <v>1.4240506329113788E-2</v>
      </c>
      <c r="AB459" s="111" t="s">
        <v>1620</v>
      </c>
      <c r="AD459" s="22" t="s">
        <v>92</v>
      </c>
      <c r="AE459" s="84">
        <v>43689</v>
      </c>
      <c r="AG459" s="33">
        <f>AF459-AE459</f>
        <v>-43689</v>
      </c>
      <c r="AH459" s="116" t="s">
        <v>1597</v>
      </c>
    </row>
    <row r="460" spans="1:46">
      <c r="B460" s="79"/>
      <c r="C460" s="79"/>
      <c r="D460" s="79"/>
      <c r="E460" s="79"/>
      <c r="F460" s="57"/>
      <c r="H460" s="30"/>
      <c r="I460" s="22"/>
      <c r="L460" s="123"/>
      <c r="U460" s="34"/>
      <c r="W460" s="57"/>
      <c r="X460" s="13">
        <f>SUM(X458:X459)</f>
        <v>64.099999999999994</v>
      </c>
      <c r="Y460" s="45">
        <f>SUM(Y458:Y459)</f>
        <v>63.2</v>
      </c>
      <c r="Z460" s="15">
        <f>X460-Y460</f>
        <v>0.89999999999999147</v>
      </c>
      <c r="AA460" s="63">
        <f>Z460/Y460</f>
        <v>1.4240506329113788E-2</v>
      </c>
      <c r="AB460" s="111"/>
      <c r="AD460" s="22"/>
      <c r="AG460" s="33"/>
      <c r="AH460" s="116"/>
    </row>
    <row r="461" spans="1:46">
      <c r="A461" s="127" t="s">
        <v>1673</v>
      </c>
      <c r="B461" s="90" t="s">
        <v>1572</v>
      </c>
      <c r="C461" s="90" t="s">
        <v>1573</v>
      </c>
      <c r="D461" s="90" t="s">
        <v>1574</v>
      </c>
      <c r="E461" s="90" t="s">
        <v>1575</v>
      </c>
      <c r="F461" s="8" t="s">
        <v>1060</v>
      </c>
      <c r="G461" s="25" t="s">
        <v>386</v>
      </c>
      <c r="H461" s="55" t="s">
        <v>320</v>
      </c>
      <c r="I461" s="1" t="s">
        <v>69</v>
      </c>
      <c r="L461" s="123"/>
      <c r="T461" s="322" t="s">
        <v>1054</v>
      </c>
      <c r="U461" s="10" t="s">
        <v>66</v>
      </c>
      <c r="W461" s="68" t="s">
        <v>1493</v>
      </c>
      <c r="X461" s="28" t="s">
        <v>2</v>
      </c>
      <c r="Y461" s="17" t="s">
        <v>1399</v>
      </c>
      <c r="Z461" s="14" t="s">
        <v>5</v>
      </c>
      <c r="AA461" s="21" t="s">
        <v>3</v>
      </c>
      <c r="AB461" s="25" t="s">
        <v>105</v>
      </c>
      <c r="AD461" s="1" t="s">
        <v>69</v>
      </c>
      <c r="AE461" s="71" t="s">
        <v>1400</v>
      </c>
      <c r="AF461" s="72" t="s">
        <v>1157</v>
      </c>
      <c r="AG461" s="32" t="s">
        <v>1158</v>
      </c>
    </row>
    <row r="462" spans="1:46">
      <c r="B462" s="80">
        <v>-211</v>
      </c>
      <c r="C462" s="93">
        <v>-5489</v>
      </c>
      <c r="D462" s="80">
        <v>-211</v>
      </c>
      <c r="E462" s="93">
        <v>-5489</v>
      </c>
      <c r="F462" s="6">
        <v>-13.71</v>
      </c>
      <c r="G462" s="79">
        <v>3545</v>
      </c>
      <c r="H462" s="8" t="s">
        <v>1403</v>
      </c>
      <c r="I462" s="22" t="s">
        <v>347</v>
      </c>
      <c r="J462" s="8">
        <f>IFERROR(VLOOKUP($G462,今日總結!$A:$AJ,33,0),"")</f>
        <v>1</v>
      </c>
      <c r="K462" s="5">
        <f>IFERROR(VLOOKUP($G462,今日總結!$A:$AJ,34,0),"")</f>
        <v>0</v>
      </c>
      <c r="L462" s="156">
        <f>IFERROR(VLOOKUP($G462,今日總結!$A:$AJ,31,0),"")</f>
        <v>0</v>
      </c>
      <c r="M462" s="340">
        <f>IFERROR(VLOOKUP($G462,今日總結!$A:$AJ,32,0),"")</f>
        <v>0</v>
      </c>
      <c r="N462" s="240">
        <f t="shared" ref="N462:N465" si="150">IFERROR(L462-M462,"")</f>
        <v>0</v>
      </c>
      <c r="P462" s="365">
        <f>IFERROR(VLOOKUP($G462,融外自投!$A:$J,7,0),"無")</f>
        <v>56</v>
      </c>
      <c r="Q462" s="79">
        <f>IFERROR(VLOOKUP($G462,融外自投!$A:$J,9,0),"無")</f>
        <v>88</v>
      </c>
      <c r="R462" s="346">
        <f>IFERROR(VLOOKUP($G462,融外自投!$A:$J,8,0),"無")</f>
        <v>408</v>
      </c>
      <c r="S462" s="81">
        <f>IFERROR(VLOOKUP($G462,融外自投!$A:$J,10,0),"無")</f>
        <v>491</v>
      </c>
      <c r="T462" s="327">
        <f>IFERROR(VLOOKUP($G462,'321買'!$A:$E,5,0),"'沒有資料'")</f>
        <v>188</v>
      </c>
      <c r="U462" s="34">
        <v>0.5</v>
      </c>
      <c r="W462" s="94">
        <f>U462/X462</f>
        <v>2.0833333333333332E-2</v>
      </c>
      <c r="X462" s="36">
        <v>24</v>
      </c>
      <c r="Y462" s="45">
        <f>26.73-0.52</f>
        <v>26.21</v>
      </c>
      <c r="Z462" s="15">
        <f>X462-Y462</f>
        <v>-2.2100000000000009</v>
      </c>
      <c r="AA462" s="76">
        <f>Z462/Y462</f>
        <v>-8.4318962228157227E-2</v>
      </c>
      <c r="AB462" s="112" t="s">
        <v>1683</v>
      </c>
      <c r="AD462" s="22" t="s">
        <v>347</v>
      </c>
      <c r="AE462" s="84">
        <v>43353</v>
      </c>
      <c r="AG462" s="33">
        <f>AF462-AE462</f>
        <v>-43353</v>
      </c>
      <c r="AH462" s="116" t="s">
        <v>1122</v>
      </c>
      <c r="AK462" s="11"/>
      <c r="AL462" s="11"/>
      <c r="AM462" s="11"/>
      <c r="AN462" s="11"/>
      <c r="AQ462" s="7"/>
      <c r="AR462" s="4"/>
    </row>
    <row r="463" spans="1:46">
      <c r="B463" s="80">
        <v>-211</v>
      </c>
      <c r="C463" s="93">
        <v>-5489</v>
      </c>
      <c r="D463" s="80">
        <v>-211</v>
      </c>
      <c r="E463" s="93">
        <v>-5489</v>
      </c>
      <c r="F463" s="6">
        <v>-13.71</v>
      </c>
      <c r="G463" s="79">
        <v>3545</v>
      </c>
      <c r="H463" s="50" t="s">
        <v>1404</v>
      </c>
      <c r="I463" s="22" t="s">
        <v>347</v>
      </c>
      <c r="J463" s="8">
        <f>IFERROR(VLOOKUP($G463,今日總結!$A:$AJ,33,0),"")</f>
        <v>1</v>
      </c>
      <c r="K463" s="5">
        <f>IFERROR(VLOOKUP($G463,今日總結!$A:$AJ,34,0),"")</f>
        <v>0</v>
      </c>
      <c r="L463" s="156">
        <f>IFERROR(VLOOKUP($G463,今日總結!$A:$AJ,31,0),"")</f>
        <v>0</v>
      </c>
      <c r="M463" s="340">
        <f>IFERROR(VLOOKUP($G463,今日總結!$A:$AJ,32,0),"")</f>
        <v>0</v>
      </c>
      <c r="N463" s="240">
        <f t="shared" si="150"/>
        <v>0</v>
      </c>
      <c r="P463" s="365">
        <f>IFERROR(VLOOKUP($G463,融外自投!$A:$J,7,0),"無")</f>
        <v>56</v>
      </c>
      <c r="Q463" s="79">
        <f>IFERROR(VLOOKUP($G463,融外自投!$A:$J,9,0),"無")</f>
        <v>88</v>
      </c>
      <c r="R463" s="346">
        <f>IFERROR(VLOOKUP($G463,融外自投!$A:$J,8,0),"無")</f>
        <v>408</v>
      </c>
      <c r="S463" s="81">
        <f>IFERROR(VLOOKUP($G463,融外自投!$A:$J,10,0),"無")</f>
        <v>491</v>
      </c>
      <c r="T463" s="327">
        <f>IFERROR(VLOOKUP($G463,'321買'!$A:$E,5,0),"'沒有資料'")</f>
        <v>188</v>
      </c>
      <c r="U463" s="34">
        <v>0.5</v>
      </c>
      <c r="W463" s="94">
        <f>U463/X463</f>
        <v>2.0833333333333332E-2</v>
      </c>
      <c r="X463" s="36">
        <v>24</v>
      </c>
      <c r="Y463" s="45">
        <f>26.73-0.52-1.7</f>
        <v>24.51</v>
      </c>
      <c r="Z463" s="15">
        <f>X463-Y463</f>
        <v>-0.51000000000000156</v>
      </c>
      <c r="AA463" s="76">
        <f>Z463/Y463</f>
        <v>-2.0807833537331764E-2</v>
      </c>
      <c r="AB463" s="112" t="s">
        <v>1684</v>
      </c>
      <c r="AD463" s="22" t="s">
        <v>347</v>
      </c>
      <c r="AE463" s="84">
        <v>43353</v>
      </c>
      <c r="AG463" s="33">
        <f>AF463-AE463</f>
        <v>-43353</v>
      </c>
      <c r="AH463" s="116" t="s">
        <v>1551</v>
      </c>
      <c r="AK463" s="11"/>
      <c r="AL463" s="11"/>
      <c r="AM463" s="11"/>
      <c r="AN463" s="11"/>
      <c r="AQ463" s="7"/>
      <c r="AR463" s="4"/>
    </row>
    <row r="464" spans="1:46">
      <c r="B464" s="80">
        <v>-211</v>
      </c>
      <c r="C464" s="93">
        <v>-5489</v>
      </c>
      <c r="D464" s="80">
        <v>-211</v>
      </c>
      <c r="E464" s="93">
        <v>-5489</v>
      </c>
      <c r="F464" s="6">
        <v>-13.71</v>
      </c>
      <c r="G464" s="79">
        <v>3545</v>
      </c>
      <c r="H464" s="50" t="s">
        <v>1404</v>
      </c>
      <c r="I464" s="22" t="s">
        <v>347</v>
      </c>
      <c r="J464" s="8">
        <f>IFERROR(VLOOKUP($G464,今日總結!$A:$AJ,33,0),"")</f>
        <v>1</v>
      </c>
      <c r="K464" s="5">
        <f>IFERROR(VLOOKUP($G464,今日總結!$A:$AJ,34,0),"")</f>
        <v>0</v>
      </c>
      <c r="L464" s="156">
        <f>IFERROR(VLOOKUP($G464,今日總結!$A:$AJ,31,0),"")</f>
        <v>0</v>
      </c>
      <c r="M464" s="340">
        <f>IFERROR(VLOOKUP($G464,今日總結!$A:$AJ,32,0),"")</f>
        <v>0</v>
      </c>
      <c r="N464" s="240">
        <f t="shared" si="150"/>
        <v>0</v>
      </c>
      <c r="P464" s="365">
        <f>IFERROR(VLOOKUP($G464,融外自投!$A:$J,7,0),"無")</f>
        <v>56</v>
      </c>
      <c r="Q464" s="79">
        <f>IFERROR(VLOOKUP($G464,融外自投!$A:$J,9,0),"無")</f>
        <v>88</v>
      </c>
      <c r="R464" s="346">
        <f>IFERROR(VLOOKUP($G464,融外自投!$A:$J,8,0),"無")</f>
        <v>408</v>
      </c>
      <c r="S464" s="81">
        <f>IFERROR(VLOOKUP($G464,融外自投!$A:$J,10,0),"無")</f>
        <v>491</v>
      </c>
      <c r="T464" s="327">
        <f>IFERROR(VLOOKUP($G464,'321買'!$A:$E,5,0),"'沒有資料'")</f>
        <v>188</v>
      </c>
      <c r="U464" s="34">
        <v>0.5</v>
      </c>
      <c r="W464" s="94">
        <f>U464/X464</f>
        <v>2.0833333333333332E-2</v>
      </c>
      <c r="X464" s="36">
        <v>24</v>
      </c>
      <c r="Y464" s="45">
        <v>22.05</v>
      </c>
      <c r="Z464" s="15">
        <f>X464-Y464</f>
        <v>1.9499999999999993</v>
      </c>
      <c r="AA464" s="63">
        <f>Z464/Y464</f>
        <v>8.8435374149659823E-2</v>
      </c>
      <c r="AB464" s="111" t="s">
        <v>1685</v>
      </c>
      <c r="AD464" s="22" t="s">
        <v>347</v>
      </c>
      <c r="AE464" s="84">
        <v>43731</v>
      </c>
      <c r="AG464" s="33">
        <f>AF464-AE464</f>
        <v>-43731</v>
      </c>
      <c r="AH464" s="116"/>
      <c r="AK464" s="11"/>
      <c r="AL464" s="11"/>
      <c r="AM464" s="11"/>
      <c r="AN464" s="11"/>
      <c r="AQ464" s="7"/>
      <c r="AR464" s="4"/>
    </row>
    <row r="465" spans="1:47">
      <c r="B465" s="80">
        <v>-211</v>
      </c>
      <c r="C465" s="93">
        <v>-5489</v>
      </c>
      <c r="D465" s="80">
        <v>-211</v>
      </c>
      <c r="E465" s="93">
        <v>-5489</v>
      </c>
      <c r="F465" s="6">
        <v>-13.71</v>
      </c>
      <c r="G465" s="79">
        <v>3545</v>
      </c>
      <c r="H465" s="50" t="s">
        <v>1404</v>
      </c>
      <c r="I465" s="22" t="s">
        <v>347</v>
      </c>
      <c r="J465" s="8">
        <f>IFERROR(VLOOKUP($G465,今日總結!$A:$AJ,33,0),"")</f>
        <v>1</v>
      </c>
      <c r="K465" s="5">
        <f>IFERROR(VLOOKUP($G465,今日總結!$A:$AJ,34,0),"")</f>
        <v>0</v>
      </c>
      <c r="L465" s="156">
        <f>IFERROR(VLOOKUP($G465,今日總結!$A:$AJ,31,0),"")</f>
        <v>0</v>
      </c>
      <c r="M465" s="340">
        <f>IFERROR(VLOOKUP($G465,今日總結!$A:$AJ,32,0),"")</f>
        <v>0</v>
      </c>
      <c r="N465" s="240">
        <f t="shared" si="150"/>
        <v>0</v>
      </c>
      <c r="P465" s="365">
        <f>IFERROR(VLOOKUP($G465,融外自投!$A:$J,7,0),"無")</f>
        <v>56</v>
      </c>
      <c r="Q465" s="79">
        <f>IFERROR(VLOOKUP($G465,融外自投!$A:$J,9,0),"無")</f>
        <v>88</v>
      </c>
      <c r="R465" s="346">
        <f>IFERROR(VLOOKUP($G465,融外自投!$A:$J,8,0),"無")</f>
        <v>408</v>
      </c>
      <c r="S465" s="81">
        <f>IFERROR(VLOOKUP($G465,融外自投!$A:$J,10,0),"無")</f>
        <v>491</v>
      </c>
      <c r="T465" s="327">
        <f>IFERROR(VLOOKUP($G465,'321買'!$A:$E,5,0),"'沒有資料'")</f>
        <v>188</v>
      </c>
      <c r="U465" s="34">
        <v>0.5</v>
      </c>
      <c r="W465" s="94">
        <f>U465/X465</f>
        <v>2.0833333333333332E-2</v>
      </c>
      <c r="X465" s="36">
        <v>24</v>
      </c>
      <c r="Y465" s="45">
        <v>21.9</v>
      </c>
      <c r="Z465" s="15">
        <f>X465-Y465</f>
        <v>2.1000000000000014</v>
      </c>
      <c r="AA465" s="63">
        <f>Z465/Y465</f>
        <v>9.5890410958904188E-2</v>
      </c>
      <c r="AB465" s="111" t="s">
        <v>1568</v>
      </c>
      <c r="AD465" s="22" t="s">
        <v>347</v>
      </c>
      <c r="AE465" s="84">
        <v>43732</v>
      </c>
      <c r="AG465" s="33">
        <f>AF465-AE465</f>
        <v>-43732</v>
      </c>
      <c r="AH465" s="116"/>
      <c r="AK465" s="11"/>
      <c r="AL465" s="11"/>
      <c r="AM465" s="11"/>
      <c r="AN465" s="11"/>
      <c r="AQ465" s="7"/>
      <c r="AR465" s="4"/>
    </row>
    <row r="466" spans="1:47">
      <c r="A466" s="19"/>
      <c r="B466" s="80"/>
      <c r="C466" s="80"/>
      <c r="D466" s="80"/>
      <c r="E466" s="80"/>
      <c r="F466" s="6"/>
      <c r="H466" s="8"/>
      <c r="I466" s="22"/>
      <c r="L466" s="123"/>
      <c r="U466" s="34"/>
      <c r="W466" s="94"/>
      <c r="X466" s="13">
        <f>SUM(X462:X465)</f>
        <v>96</v>
      </c>
      <c r="Y466" s="45">
        <f>SUM(Y462:Y465)</f>
        <v>94.669999999999987</v>
      </c>
      <c r="Z466" s="15">
        <f>X466-Y466</f>
        <v>1.3300000000000125</v>
      </c>
      <c r="AA466" s="63">
        <f>Z466/Y466</f>
        <v>1.4048801098553002E-2</v>
      </c>
      <c r="AB466" s="113"/>
      <c r="AD466" s="22"/>
      <c r="AG466" s="33"/>
      <c r="AH466" s="41"/>
    </row>
    <row r="467" spans="1:47">
      <c r="A467" s="127" t="s">
        <v>1673</v>
      </c>
      <c r="B467" s="90" t="s">
        <v>1572</v>
      </c>
      <c r="C467" s="90" t="s">
        <v>1573</v>
      </c>
      <c r="D467" s="90" t="s">
        <v>1574</v>
      </c>
      <c r="E467" s="90" t="s">
        <v>1575</v>
      </c>
      <c r="F467" s="8" t="s">
        <v>1060</v>
      </c>
      <c r="G467" s="25" t="s">
        <v>386</v>
      </c>
      <c r="H467" s="55" t="s">
        <v>320</v>
      </c>
      <c r="I467" s="1" t="s">
        <v>69</v>
      </c>
      <c r="L467" s="123"/>
      <c r="T467" s="322" t="s">
        <v>1054</v>
      </c>
      <c r="U467" s="10" t="s">
        <v>66</v>
      </c>
      <c r="W467" s="68" t="s">
        <v>1493</v>
      </c>
      <c r="X467" s="28" t="s">
        <v>2</v>
      </c>
      <c r="Y467" s="17" t="s">
        <v>1399</v>
      </c>
      <c r="Z467" s="14" t="s">
        <v>5</v>
      </c>
      <c r="AA467" s="21" t="s">
        <v>3</v>
      </c>
      <c r="AB467" s="25" t="s">
        <v>105</v>
      </c>
      <c r="AD467" s="1" t="s">
        <v>69</v>
      </c>
      <c r="AE467" s="71" t="s">
        <v>1400</v>
      </c>
      <c r="AF467" s="72" t="s">
        <v>1157</v>
      </c>
      <c r="AG467" s="32" t="s">
        <v>1158</v>
      </c>
      <c r="AH467" s="46" t="s">
        <v>1635</v>
      </c>
    </row>
    <row r="468" spans="1:47">
      <c r="A468" s="116"/>
      <c r="B468" s="79">
        <v>2</v>
      </c>
      <c r="C468" s="80">
        <v>-30</v>
      </c>
      <c r="D468" s="79">
        <v>2</v>
      </c>
      <c r="E468" s="80">
        <v>-30</v>
      </c>
      <c r="F468" s="57">
        <v>10.220000000000001</v>
      </c>
      <c r="G468" s="79">
        <v>2704</v>
      </c>
      <c r="H468" s="50"/>
      <c r="I468" s="22" t="s">
        <v>0</v>
      </c>
      <c r="J468" s="8" t="str">
        <f>IFERROR(VLOOKUP($G468,今日總結!$A:$AJ,33,0),"")</f>
        <v/>
      </c>
      <c r="K468" s="5" t="str">
        <f>IFERROR(VLOOKUP($G468,今日總結!$A:$AJ,34,0),"")</f>
        <v/>
      </c>
      <c r="L468" s="156" t="str">
        <f>IFERROR(VLOOKUP($G468,今日總結!$A:$AJ,31,0),"")</f>
        <v/>
      </c>
      <c r="M468" s="340" t="str">
        <f>IFERROR(VLOOKUP($G468,今日總結!$A:$AJ,32,0),"")</f>
        <v/>
      </c>
      <c r="N468" s="240" t="str">
        <f t="shared" ref="N468:N469" si="151">IFERROR(L468-M468,"")</f>
        <v/>
      </c>
      <c r="P468" s="365">
        <f>IFERROR(VLOOKUP($G468,融外自投!$A:$J,7,0),"無")</f>
        <v>1185</v>
      </c>
      <c r="Q468" s="79">
        <f>IFERROR(VLOOKUP($G468,融外自投!$A:$J,9,0),"無")</f>
        <v>537</v>
      </c>
      <c r="R468" s="346">
        <f>IFERROR(VLOOKUP($G468,融外自投!$A:$J,8,0),"無")</f>
        <v>490</v>
      </c>
      <c r="S468" s="81">
        <f>IFERROR(VLOOKUP($G468,融外自投!$A:$J,10,0),"無")</f>
        <v>428</v>
      </c>
      <c r="T468" s="327">
        <f>IFERROR(VLOOKUP($G468,'321買'!$A:$E,5,0),"'沒有資料'")</f>
        <v>729</v>
      </c>
      <c r="U468" s="34">
        <v>0.4</v>
      </c>
      <c r="W468" s="94">
        <f>U468/X468</f>
        <v>8.3682008368200847E-3</v>
      </c>
      <c r="X468" s="36">
        <v>47.8</v>
      </c>
      <c r="Y468" s="66">
        <v>43.78</v>
      </c>
      <c r="Z468" s="15">
        <f>X468-Y468</f>
        <v>4.019999999999996</v>
      </c>
      <c r="AA468" s="63">
        <f>Z468/Y468</f>
        <v>9.1822750114207305E-2</v>
      </c>
      <c r="AB468" s="111"/>
      <c r="AD468" s="22" t="s">
        <v>0</v>
      </c>
      <c r="AF468" s="83">
        <v>43769</v>
      </c>
      <c r="AG468" s="33">
        <f>AF468-AE468</f>
        <v>43769</v>
      </c>
      <c r="AH468" s="116"/>
      <c r="AI468" s="245"/>
    </row>
    <row r="469" spans="1:47">
      <c r="B469" s="80">
        <v>-8</v>
      </c>
      <c r="C469" s="79">
        <v>15</v>
      </c>
      <c r="D469" s="79">
        <v>2</v>
      </c>
      <c r="E469" s="80">
        <v>-31</v>
      </c>
      <c r="F469" s="57">
        <v>23.94</v>
      </c>
      <c r="G469" s="79">
        <v>6182</v>
      </c>
      <c r="H469" s="50"/>
      <c r="I469" s="16" t="s">
        <v>166</v>
      </c>
      <c r="J469" s="8" t="str">
        <f>IFERROR(VLOOKUP($G469,今日總結!$A:$AJ,33,0),"")</f>
        <v/>
      </c>
      <c r="K469" s="5" t="str">
        <f>IFERROR(VLOOKUP($G469,今日總結!$A:$AJ,34,0),"")</f>
        <v/>
      </c>
      <c r="L469" s="156" t="str">
        <f>IFERROR(VLOOKUP($G469,今日總結!$A:$AJ,31,0),"")</f>
        <v/>
      </c>
      <c r="M469" s="340" t="str">
        <f>IFERROR(VLOOKUP($G469,今日總結!$A:$AJ,32,0),"")</f>
        <v/>
      </c>
      <c r="N469" s="240" t="str">
        <f t="shared" si="151"/>
        <v/>
      </c>
      <c r="P469" s="365">
        <f>IFERROR(VLOOKUP($G469,融外自投!$A:$J,7,0),"無")</f>
        <v>115</v>
      </c>
      <c r="Q469" s="79" t="str">
        <f>IFERROR(VLOOKUP($G469,融外自投!$A:$J,9,0),"無")</f>
        <v>無</v>
      </c>
      <c r="R469" s="346">
        <f>IFERROR(VLOOKUP($G469,融外自投!$A:$J,8,0),"無")</f>
        <v>342</v>
      </c>
      <c r="S469" s="81" t="str">
        <f>IFERROR(VLOOKUP($G469,融外自投!$A:$J,10,0),"無")</f>
        <v>無</v>
      </c>
      <c r="T469" s="327">
        <f>IFERROR(VLOOKUP($G469,'321買'!$A:$E,5,0),"'沒有資料'")</f>
        <v>79</v>
      </c>
      <c r="U469" s="34">
        <v>2.5</v>
      </c>
      <c r="W469" s="94">
        <f>U469/X469</f>
        <v>1.7857142857142856E-2</v>
      </c>
      <c r="X469" s="36">
        <v>140</v>
      </c>
      <c r="Y469" s="45">
        <v>136.1</v>
      </c>
      <c r="Z469" s="15">
        <f>X469-Y469</f>
        <v>3.9000000000000057</v>
      </c>
      <c r="AA469" s="63">
        <f>Z469/Y469</f>
        <v>2.8655400440852359E-2</v>
      </c>
      <c r="AB469" s="101" t="s">
        <v>1649</v>
      </c>
      <c r="AD469" s="16" t="s">
        <v>166</v>
      </c>
      <c r="AF469" s="83">
        <v>43769</v>
      </c>
      <c r="AG469" s="33">
        <f>AF469-AE469</f>
        <v>43769</v>
      </c>
      <c r="AH469" s="116"/>
      <c r="AU469" s="11"/>
    </row>
    <row r="470" spans="1:47">
      <c r="A470" s="41"/>
      <c r="B470" s="79"/>
      <c r="C470" s="80"/>
      <c r="D470" s="79"/>
      <c r="E470" s="80"/>
      <c r="F470" s="6"/>
      <c r="H470" s="50"/>
      <c r="I470" s="22"/>
      <c r="L470" s="123"/>
      <c r="U470" s="186"/>
      <c r="W470" s="94"/>
      <c r="X470" s="13">
        <f>SUM(X468:X469)</f>
        <v>187.8</v>
      </c>
      <c r="Y470" s="45">
        <f>SUM(Y468:Y469)</f>
        <v>179.88</v>
      </c>
      <c r="Z470" s="15">
        <f>X470-Y470</f>
        <v>7.9200000000000159</v>
      </c>
      <c r="AA470" s="63">
        <f>Z470/Y470</f>
        <v>4.4029352901934715E-2</v>
      </c>
      <c r="AB470" s="112"/>
      <c r="AD470" s="22"/>
      <c r="AG470" s="33"/>
      <c r="AH470" s="116"/>
    </row>
    <row r="471" spans="1:47">
      <c r="A471" s="127" t="s">
        <v>1673</v>
      </c>
      <c r="B471" s="90" t="s">
        <v>1572</v>
      </c>
      <c r="C471" s="90" t="s">
        <v>1573</v>
      </c>
      <c r="D471" s="90" t="s">
        <v>1574</v>
      </c>
      <c r="E471" s="90" t="s">
        <v>1575</v>
      </c>
      <c r="F471" s="8" t="s">
        <v>1060</v>
      </c>
      <c r="G471" s="25" t="s">
        <v>386</v>
      </c>
      <c r="H471" s="55" t="s">
        <v>320</v>
      </c>
      <c r="I471" s="1" t="s">
        <v>69</v>
      </c>
      <c r="L471" s="123"/>
      <c r="T471" s="322" t="s">
        <v>1054</v>
      </c>
      <c r="U471" s="10" t="s">
        <v>66</v>
      </c>
      <c r="W471" s="68" t="s">
        <v>1493</v>
      </c>
      <c r="X471" s="28" t="s">
        <v>2</v>
      </c>
      <c r="Y471" s="17" t="s">
        <v>1399</v>
      </c>
      <c r="Z471" s="14" t="s">
        <v>5</v>
      </c>
      <c r="AA471" s="21" t="s">
        <v>3</v>
      </c>
      <c r="AB471" s="25" t="s">
        <v>105</v>
      </c>
      <c r="AD471" s="1" t="s">
        <v>69</v>
      </c>
      <c r="AE471" s="71" t="s">
        <v>1400</v>
      </c>
      <c r="AF471" s="72" t="s">
        <v>1157</v>
      </c>
      <c r="AG471" s="32" t="s">
        <v>1158</v>
      </c>
    </row>
    <row r="472" spans="1:47">
      <c r="B472" s="80">
        <v>-8</v>
      </c>
      <c r="C472" s="79">
        <v>15</v>
      </c>
      <c r="D472" s="79">
        <v>2</v>
      </c>
      <c r="E472" s="80">
        <v>-31</v>
      </c>
      <c r="F472" s="57">
        <v>23.94</v>
      </c>
      <c r="G472" s="79">
        <v>6182</v>
      </c>
      <c r="H472" s="50" t="s">
        <v>1404</v>
      </c>
      <c r="I472" s="16" t="s">
        <v>166</v>
      </c>
      <c r="J472" s="8" t="str">
        <f>IFERROR(VLOOKUP($G472,今日總結!$A:$AJ,33,0),"")</f>
        <v/>
      </c>
      <c r="K472" s="5" t="str">
        <f>IFERROR(VLOOKUP($G472,今日總結!$A:$AJ,34,0),"")</f>
        <v/>
      </c>
      <c r="L472" s="156" t="str">
        <f>IFERROR(VLOOKUP($G472,今日總結!$A:$AJ,31,0),"")</f>
        <v/>
      </c>
      <c r="M472" s="340" t="str">
        <f>IFERROR(VLOOKUP($G472,今日總結!$A:$AJ,32,0),"")</f>
        <v/>
      </c>
      <c r="N472" s="240" t="str">
        <f t="shared" ref="N472:N475" si="152">IFERROR(L472-M472,"")</f>
        <v/>
      </c>
      <c r="P472" s="365">
        <f>IFERROR(VLOOKUP($G472,融外自投!$A:$J,7,0),"無")</f>
        <v>115</v>
      </c>
      <c r="Q472" s="79" t="str">
        <f>IFERROR(VLOOKUP($G472,融外自投!$A:$J,9,0),"無")</f>
        <v>無</v>
      </c>
      <c r="R472" s="346">
        <f>IFERROR(VLOOKUP($G472,融外自投!$A:$J,8,0),"無")</f>
        <v>342</v>
      </c>
      <c r="S472" s="81" t="str">
        <f>IFERROR(VLOOKUP($G472,融外自投!$A:$J,10,0),"無")</f>
        <v>無</v>
      </c>
      <c r="T472" s="327">
        <f>IFERROR(VLOOKUP($G472,'321買'!$A:$E,5,0),"'沒有資料'")</f>
        <v>79</v>
      </c>
      <c r="U472" s="34">
        <v>2.5</v>
      </c>
      <c r="W472" s="94">
        <f>U472/X472</f>
        <v>7.1428571428571425E-2</v>
      </c>
      <c r="X472" s="36">
        <v>35</v>
      </c>
      <c r="Y472" s="45">
        <v>34.25</v>
      </c>
      <c r="Z472" s="15">
        <f>X472-Y472</f>
        <v>0.75</v>
      </c>
      <c r="AA472" s="63">
        <f>Z472/Y472</f>
        <v>2.1897810218978103E-2</v>
      </c>
      <c r="AB472" s="101" t="s">
        <v>1649</v>
      </c>
      <c r="AD472" s="16" t="s">
        <v>166</v>
      </c>
      <c r="AE472" s="84">
        <v>43733</v>
      </c>
      <c r="AG472" s="33">
        <f>AF472-AE472</f>
        <v>-43733</v>
      </c>
      <c r="AH472" s="116" t="s">
        <v>1621</v>
      </c>
      <c r="AU472" s="11"/>
    </row>
    <row r="473" spans="1:47">
      <c r="B473" s="80">
        <v>-8</v>
      </c>
      <c r="C473" s="79">
        <v>15</v>
      </c>
      <c r="D473" s="79">
        <v>2</v>
      </c>
      <c r="E473" s="80">
        <v>-31</v>
      </c>
      <c r="F473" s="57">
        <v>23.94</v>
      </c>
      <c r="G473" s="79">
        <v>6182</v>
      </c>
      <c r="H473" s="50" t="s">
        <v>1404</v>
      </c>
      <c r="I473" s="16" t="s">
        <v>166</v>
      </c>
      <c r="J473" s="8" t="str">
        <f>IFERROR(VLOOKUP($G473,今日總結!$A:$AJ,33,0),"")</f>
        <v/>
      </c>
      <c r="K473" s="5" t="str">
        <f>IFERROR(VLOOKUP($G473,今日總結!$A:$AJ,34,0),"")</f>
        <v/>
      </c>
      <c r="L473" s="156" t="str">
        <f>IFERROR(VLOOKUP($G473,今日總結!$A:$AJ,31,0),"")</f>
        <v/>
      </c>
      <c r="M473" s="340" t="str">
        <f>IFERROR(VLOOKUP($G473,今日總結!$A:$AJ,32,0),"")</f>
        <v/>
      </c>
      <c r="N473" s="240" t="str">
        <f t="shared" si="152"/>
        <v/>
      </c>
      <c r="P473" s="365">
        <f>IFERROR(VLOOKUP($G473,融外自投!$A:$J,7,0),"無")</f>
        <v>115</v>
      </c>
      <c r="Q473" s="79" t="str">
        <f>IFERROR(VLOOKUP($G473,融外自投!$A:$J,9,0),"無")</f>
        <v>無</v>
      </c>
      <c r="R473" s="346">
        <f>IFERROR(VLOOKUP($G473,融外自投!$A:$J,8,0),"無")</f>
        <v>342</v>
      </c>
      <c r="S473" s="81" t="str">
        <f>IFERROR(VLOOKUP($G473,融外自投!$A:$J,10,0),"無")</f>
        <v>無</v>
      </c>
      <c r="T473" s="327">
        <f>IFERROR(VLOOKUP($G473,'321買'!$A:$E,5,0),"'沒有資料'")</f>
        <v>79</v>
      </c>
      <c r="U473" s="34">
        <v>2.5</v>
      </c>
      <c r="W473" s="94">
        <f>U473/X473</f>
        <v>7.1428571428571425E-2</v>
      </c>
      <c r="X473" s="36">
        <v>35</v>
      </c>
      <c r="Y473" s="45">
        <v>34.200000000000003</v>
      </c>
      <c r="Z473" s="15">
        <f>X473-Y473</f>
        <v>0.79999999999999716</v>
      </c>
      <c r="AA473" s="63">
        <f>Z473/Y473</f>
        <v>2.3391812865496991E-2</v>
      </c>
      <c r="AB473" s="101" t="s">
        <v>1567</v>
      </c>
      <c r="AD473" s="16" t="s">
        <v>166</v>
      </c>
      <c r="AE473" s="84">
        <v>43733</v>
      </c>
      <c r="AG473" s="33">
        <f>AF473-AE473</f>
        <v>-43733</v>
      </c>
      <c r="AH473" s="116"/>
      <c r="AU473" s="11"/>
    </row>
    <row r="474" spans="1:47">
      <c r="B474" s="80">
        <v>-8</v>
      </c>
      <c r="C474" s="79">
        <v>15</v>
      </c>
      <c r="D474" s="79">
        <v>2</v>
      </c>
      <c r="E474" s="80">
        <v>-31</v>
      </c>
      <c r="F474" s="57">
        <v>23.94</v>
      </c>
      <c r="G474" s="79">
        <v>6182</v>
      </c>
      <c r="H474" s="50" t="s">
        <v>1404</v>
      </c>
      <c r="I474" s="16" t="s">
        <v>166</v>
      </c>
      <c r="J474" s="8" t="str">
        <f>IFERROR(VLOOKUP($G474,今日總結!$A:$AJ,33,0),"")</f>
        <v/>
      </c>
      <c r="K474" s="5" t="str">
        <f>IFERROR(VLOOKUP($G474,今日總結!$A:$AJ,34,0),"")</f>
        <v/>
      </c>
      <c r="L474" s="156" t="str">
        <f>IFERROR(VLOOKUP($G474,今日總結!$A:$AJ,31,0),"")</f>
        <v/>
      </c>
      <c r="M474" s="340" t="str">
        <f>IFERROR(VLOOKUP($G474,今日總結!$A:$AJ,32,0),"")</f>
        <v/>
      </c>
      <c r="N474" s="240" t="str">
        <f t="shared" si="152"/>
        <v/>
      </c>
      <c r="P474" s="365">
        <f>IFERROR(VLOOKUP($G474,融外自投!$A:$J,7,0),"無")</f>
        <v>115</v>
      </c>
      <c r="Q474" s="79" t="str">
        <f>IFERROR(VLOOKUP($G474,融外自投!$A:$J,9,0),"無")</f>
        <v>無</v>
      </c>
      <c r="R474" s="346">
        <f>IFERROR(VLOOKUP($G474,融外自投!$A:$J,8,0),"無")</f>
        <v>342</v>
      </c>
      <c r="S474" s="81" t="str">
        <f>IFERROR(VLOOKUP($G474,融外自投!$A:$J,10,0),"無")</f>
        <v>無</v>
      </c>
      <c r="T474" s="327">
        <f>IFERROR(VLOOKUP($G474,'321買'!$A:$E,5,0),"'沒有資料'")</f>
        <v>79</v>
      </c>
      <c r="U474" s="34">
        <v>2.5</v>
      </c>
      <c r="W474" s="94">
        <f>U474/X474</f>
        <v>7.1428571428571425E-2</v>
      </c>
      <c r="X474" s="36">
        <v>35</v>
      </c>
      <c r="Y474" s="45">
        <v>33.9</v>
      </c>
      <c r="Z474" s="15">
        <f>X474-Y474</f>
        <v>1.1000000000000014</v>
      </c>
      <c r="AA474" s="63">
        <f>Z474/Y474</f>
        <v>3.2448377581120985E-2</v>
      </c>
      <c r="AB474" s="101" t="s">
        <v>1593</v>
      </c>
      <c r="AD474" s="16" t="s">
        <v>166</v>
      </c>
      <c r="AE474" s="84">
        <v>43733</v>
      </c>
      <c r="AG474" s="33">
        <f>AF474-AE474</f>
        <v>-43733</v>
      </c>
      <c r="AH474" s="116"/>
      <c r="AU474" s="11"/>
    </row>
    <row r="475" spans="1:47">
      <c r="B475" s="80">
        <v>-8</v>
      </c>
      <c r="C475" s="79">
        <v>15</v>
      </c>
      <c r="D475" s="79">
        <v>2</v>
      </c>
      <c r="E475" s="80">
        <v>-31</v>
      </c>
      <c r="F475" s="57">
        <v>23.94</v>
      </c>
      <c r="G475" s="79">
        <v>6182</v>
      </c>
      <c r="H475" s="50" t="s">
        <v>1404</v>
      </c>
      <c r="I475" s="16" t="s">
        <v>166</v>
      </c>
      <c r="J475" s="8" t="str">
        <f>IFERROR(VLOOKUP($G475,今日總結!$A:$AJ,33,0),"")</f>
        <v/>
      </c>
      <c r="K475" s="5" t="str">
        <f>IFERROR(VLOOKUP($G475,今日總結!$A:$AJ,34,0),"")</f>
        <v/>
      </c>
      <c r="L475" s="156" t="str">
        <f>IFERROR(VLOOKUP($G475,今日總結!$A:$AJ,31,0),"")</f>
        <v/>
      </c>
      <c r="M475" s="340" t="str">
        <f>IFERROR(VLOOKUP($G475,今日總結!$A:$AJ,32,0),"")</f>
        <v/>
      </c>
      <c r="N475" s="240" t="str">
        <f t="shared" si="152"/>
        <v/>
      </c>
      <c r="P475" s="365">
        <f>IFERROR(VLOOKUP($G475,融外自投!$A:$J,7,0),"無")</f>
        <v>115</v>
      </c>
      <c r="Q475" s="79" t="str">
        <f>IFERROR(VLOOKUP($G475,融外自投!$A:$J,9,0),"無")</f>
        <v>無</v>
      </c>
      <c r="R475" s="346">
        <f>IFERROR(VLOOKUP($G475,融外自投!$A:$J,8,0),"無")</f>
        <v>342</v>
      </c>
      <c r="S475" s="81" t="str">
        <f>IFERROR(VLOOKUP($G475,融外自投!$A:$J,10,0),"無")</f>
        <v>無</v>
      </c>
      <c r="T475" s="327">
        <f>IFERROR(VLOOKUP($G475,'321買'!$A:$E,5,0),"'沒有資料'")</f>
        <v>79</v>
      </c>
      <c r="U475" s="34">
        <v>2.5</v>
      </c>
      <c r="W475" s="94">
        <f>U475/X475</f>
        <v>7.1428571428571425E-2</v>
      </c>
      <c r="X475" s="36">
        <v>35</v>
      </c>
      <c r="Y475" s="45">
        <v>33.75</v>
      </c>
      <c r="Z475" s="15">
        <f>X475-Y475</f>
        <v>1.25</v>
      </c>
      <c r="AA475" s="63">
        <f>Z475/Y475</f>
        <v>3.7037037037037035E-2</v>
      </c>
      <c r="AB475" s="101" t="s">
        <v>1648</v>
      </c>
      <c r="AD475" s="16" t="s">
        <v>166</v>
      </c>
      <c r="AE475" s="84">
        <v>43731</v>
      </c>
      <c r="AG475" s="33">
        <f>AF475-AE475</f>
        <v>-43731</v>
      </c>
      <c r="AH475" s="116"/>
      <c r="AU475" s="11"/>
    </row>
    <row r="476" spans="1:47">
      <c r="B476" s="80"/>
      <c r="C476" s="79"/>
      <c r="D476" s="79"/>
      <c r="E476" s="80"/>
      <c r="F476" s="57"/>
      <c r="G476" s="41"/>
      <c r="H476" s="50"/>
      <c r="I476" s="16"/>
      <c r="L476" s="123"/>
      <c r="U476" s="34"/>
      <c r="W476" s="94"/>
      <c r="X476" s="13">
        <f>SUM(X472:X475)</f>
        <v>140</v>
      </c>
      <c r="Y476" s="45">
        <f>SUM(Y472:Y475)</f>
        <v>136.1</v>
      </c>
      <c r="Z476" s="15">
        <f>X476-Y476</f>
        <v>3.9000000000000057</v>
      </c>
      <c r="AA476" s="63">
        <f>Z476/Y476</f>
        <v>2.8655400440852359E-2</v>
      </c>
      <c r="AB476" s="101"/>
      <c r="AD476" s="16"/>
      <c r="AG476" s="33"/>
      <c r="AH476" s="116"/>
      <c r="AU476" s="11"/>
    </row>
    <row r="477" spans="1:47">
      <c r="A477" s="127" t="s">
        <v>1673</v>
      </c>
      <c r="B477" s="90" t="s">
        <v>1572</v>
      </c>
      <c r="C477" s="90" t="s">
        <v>1573</v>
      </c>
      <c r="D477" s="90" t="s">
        <v>1574</v>
      </c>
      <c r="E477" s="90" t="s">
        <v>1575</v>
      </c>
      <c r="F477" s="8" t="s">
        <v>1060</v>
      </c>
      <c r="G477" s="25" t="s">
        <v>386</v>
      </c>
      <c r="H477" s="55" t="s">
        <v>320</v>
      </c>
      <c r="I477" s="1" t="s">
        <v>69</v>
      </c>
      <c r="L477" s="123"/>
      <c r="T477" s="322" t="s">
        <v>1054</v>
      </c>
      <c r="U477" s="10" t="s">
        <v>66</v>
      </c>
      <c r="W477" s="68" t="s">
        <v>1493</v>
      </c>
      <c r="X477" s="28" t="s">
        <v>2</v>
      </c>
      <c r="Y477" s="17" t="s">
        <v>1399</v>
      </c>
      <c r="Z477" s="14" t="s">
        <v>5</v>
      </c>
      <c r="AA477" s="21" t="s">
        <v>3</v>
      </c>
      <c r="AB477" s="25" t="s">
        <v>105</v>
      </c>
      <c r="AD477" s="1" t="s">
        <v>69</v>
      </c>
      <c r="AE477" s="71" t="s">
        <v>1400</v>
      </c>
      <c r="AF477" s="72" t="s">
        <v>1157</v>
      </c>
      <c r="AG477" s="32" t="s">
        <v>1158</v>
      </c>
    </row>
    <row r="478" spans="1:47" s="7" customFormat="1" ht="17.100000000000001" customHeight="1">
      <c r="A478" s="56"/>
      <c r="B478" s="80">
        <v>-5</v>
      </c>
      <c r="C478" s="80">
        <v>-17</v>
      </c>
      <c r="D478" s="80">
        <v>-5</v>
      </c>
      <c r="E478" s="80">
        <v>-17</v>
      </c>
      <c r="F478" s="57">
        <v>14.01</v>
      </c>
      <c r="G478" s="79">
        <v>2704</v>
      </c>
      <c r="H478" s="8" t="s">
        <v>1403</v>
      </c>
      <c r="I478" s="22" t="s">
        <v>0</v>
      </c>
      <c r="J478" s="8" t="str">
        <f>IFERROR(VLOOKUP($G478,今日總結!$A:$AJ,33,0),"")</f>
        <v/>
      </c>
      <c r="K478" s="5" t="str">
        <f>IFERROR(VLOOKUP($G478,今日總結!$A:$AJ,34,0),"")</f>
        <v/>
      </c>
      <c r="L478" s="156" t="str">
        <f>IFERROR(VLOOKUP($G478,今日總結!$A:$AJ,31,0),"")</f>
        <v/>
      </c>
      <c r="M478" s="340" t="str">
        <f>IFERROR(VLOOKUP($G478,今日總結!$A:$AJ,32,0),"")</f>
        <v/>
      </c>
      <c r="N478" s="240" t="str">
        <f t="shared" ref="N478:N479" si="153">IFERROR(L478-M478,"")</f>
        <v/>
      </c>
      <c r="O478" s="245"/>
      <c r="P478" s="365">
        <f>IFERROR(VLOOKUP($G478,融外自投!$A:$J,7,0),"無")</f>
        <v>1185</v>
      </c>
      <c r="Q478" s="79">
        <f>IFERROR(VLOOKUP($G478,融外自投!$A:$J,9,0),"無")</f>
        <v>537</v>
      </c>
      <c r="R478" s="346">
        <f>IFERROR(VLOOKUP($G478,融外自投!$A:$J,8,0),"無")</f>
        <v>490</v>
      </c>
      <c r="S478" s="81">
        <f>IFERROR(VLOOKUP($G478,融外自投!$A:$J,10,0),"無")</f>
        <v>428</v>
      </c>
      <c r="T478" s="327">
        <f>IFERROR(VLOOKUP($G478,'321買'!$A:$E,5,0),"'沒有資料'")</f>
        <v>729</v>
      </c>
      <c r="U478" s="34">
        <v>0.4</v>
      </c>
      <c r="V478" s="311"/>
      <c r="W478" s="94">
        <f>U478/X478</f>
        <v>1.6736401673640169E-2</v>
      </c>
      <c r="X478" s="13">
        <v>23.9</v>
      </c>
      <c r="Y478" s="66">
        <f>23.88-0.7-0.4-0.4</f>
        <v>22.380000000000003</v>
      </c>
      <c r="Z478" s="15">
        <f>X478-Y478</f>
        <v>1.519999999999996</v>
      </c>
      <c r="AA478" s="63">
        <f>Z478/Y478</f>
        <v>6.7917783735477924E-2</v>
      </c>
      <c r="AB478" s="128" t="s">
        <v>1638</v>
      </c>
      <c r="AC478" s="382"/>
      <c r="AD478" s="22" t="s">
        <v>0</v>
      </c>
      <c r="AE478" s="84">
        <v>42800</v>
      </c>
      <c r="AF478" s="83"/>
      <c r="AG478" s="33">
        <f>AF478-AE478</f>
        <v>-42800</v>
      </c>
      <c r="AH478" s="41" t="s">
        <v>1122</v>
      </c>
      <c r="AI478" s="51"/>
      <c r="AJ478" s="18"/>
      <c r="AK478" s="245"/>
      <c r="AL478" s="245"/>
      <c r="AM478" s="245"/>
      <c r="AN478" s="245"/>
      <c r="AO478" s="245"/>
      <c r="AP478" s="245"/>
      <c r="AQ478" s="245"/>
      <c r="AR478" s="245"/>
      <c r="AS478" s="245"/>
      <c r="AT478" s="245"/>
    </row>
    <row r="479" spans="1:47">
      <c r="A479" s="116"/>
      <c r="B479" s="79">
        <v>2</v>
      </c>
      <c r="C479" s="80">
        <v>-30</v>
      </c>
      <c r="D479" s="79">
        <v>2</v>
      </c>
      <c r="E479" s="80">
        <v>-30</v>
      </c>
      <c r="F479" s="57">
        <v>10.220000000000001</v>
      </c>
      <c r="G479" s="79">
        <v>2704</v>
      </c>
      <c r="H479" s="50" t="s">
        <v>1404</v>
      </c>
      <c r="I479" s="22" t="s">
        <v>0</v>
      </c>
      <c r="J479" s="8" t="str">
        <f>IFERROR(VLOOKUP($G479,今日總結!$A:$AJ,33,0),"")</f>
        <v/>
      </c>
      <c r="K479" s="5" t="str">
        <f>IFERROR(VLOOKUP($G479,今日總結!$A:$AJ,34,0),"")</f>
        <v/>
      </c>
      <c r="L479" s="156" t="str">
        <f>IFERROR(VLOOKUP($G479,今日總結!$A:$AJ,31,0),"")</f>
        <v/>
      </c>
      <c r="M479" s="340" t="str">
        <f>IFERROR(VLOOKUP($G479,今日總結!$A:$AJ,32,0),"")</f>
        <v/>
      </c>
      <c r="N479" s="240" t="str">
        <f t="shared" si="153"/>
        <v/>
      </c>
      <c r="P479" s="365">
        <f>IFERROR(VLOOKUP($G479,融外自投!$A:$J,7,0),"無")</f>
        <v>1185</v>
      </c>
      <c r="Q479" s="79">
        <f>IFERROR(VLOOKUP($G479,融外自投!$A:$J,9,0),"無")</f>
        <v>537</v>
      </c>
      <c r="R479" s="346">
        <f>IFERROR(VLOOKUP($G479,融外自投!$A:$J,8,0),"無")</f>
        <v>490</v>
      </c>
      <c r="S479" s="81">
        <f>IFERROR(VLOOKUP($G479,融外自投!$A:$J,10,0),"無")</f>
        <v>428</v>
      </c>
      <c r="T479" s="327">
        <f>IFERROR(VLOOKUP($G479,'321買'!$A:$E,5,0),"'沒有資料'")</f>
        <v>729</v>
      </c>
      <c r="U479" s="34">
        <v>0.4</v>
      </c>
      <c r="W479" s="94">
        <f>U479/X479</f>
        <v>1.6736401673640169E-2</v>
      </c>
      <c r="X479" s="36">
        <v>23.9</v>
      </c>
      <c r="Y479" s="66">
        <v>21.4</v>
      </c>
      <c r="Z479" s="15">
        <f>X479-Y479</f>
        <v>2.5</v>
      </c>
      <c r="AA479" s="63">
        <f>Z479/Y479</f>
        <v>0.11682242990654207</v>
      </c>
      <c r="AB479" s="111" t="s">
        <v>1647</v>
      </c>
      <c r="AD479" s="22" t="s">
        <v>0</v>
      </c>
      <c r="AE479" s="84">
        <v>43705</v>
      </c>
      <c r="AG479" s="33">
        <f>AF479-AE479</f>
        <v>-43705</v>
      </c>
      <c r="AH479" s="116" t="s">
        <v>1122</v>
      </c>
      <c r="AI479" s="245"/>
    </row>
    <row r="480" spans="1:47" s="7" customFormat="1" ht="17.100000000000001" customHeight="1">
      <c r="A480" s="56"/>
      <c r="B480" s="80"/>
      <c r="C480" s="80"/>
      <c r="D480" s="80"/>
      <c r="E480" s="80"/>
      <c r="F480" s="57"/>
      <c r="G480" s="41"/>
      <c r="H480" s="8"/>
      <c r="I480" s="22"/>
      <c r="J480" s="1"/>
      <c r="K480" s="1"/>
      <c r="L480" s="123"/>
      <c r="M480" s="234"/>
      <c r="N480" s="341"/>
      <c r="O480" s="245"/>
      <c r="P480" s="89"/>
      <c r="Q480" s="73"/>
      <c r="R480" s="354"/>
      <c r="S480" s="303"/>
      <c r="T480" s="322"/>
      <c r="U480" s="34"/>
      <c r="V480" s="311"/>
      <c r="W480" s="94"/>
      <c r="X480" s="13">
        <f>SUM(X478:X479)</f>
        <v>47.8</v>
      </c>
      <c r="Y480" s="45">
        <f>SUM(Y478:Y479)</f>
        <v>43.78</v>
      </c>
      <c r="Z480" s="15">
        <f>X480-Y480</f>
        <v>4.019999999999996</v>
      </c>
      <c r="AA480" s="63">
        <f>Z480/Y480</f>
        <v>9.1822750114207305E-2</v>
      </c>
      <c r="AB480" s="112"/>
      <c r="AC480" s="382"/>
      <c r="AD480" s="22"/>
      <c r="AE480" s="84"/>
      <c r="AF480" s="83"/>
      <c r="AG480" s="33"/>
      <c r="AH480" s="116"/>
      <c r="AI480" s="51"/>
      <c r="AJ480" s="18"/>
      <c r="AK480" s="245"/>
      <c r="AL480" s="245"/>
      <c r="AM480" s="245"/>
      <c r="AN480" s="245"/>
      <c r="AO480" s="245"/>
      <c r="AP480" s="245"/>
      <c r="AQ480" s="245"/>
      <c r="AR480" s="245"/>
      <c r="AS480" s="245"/>
      <c r="AT480" s="245"/>
    </row>
    <row r="481" spans="1:46">
      <c r="A481" s="127" t="s">
        <v>1673</v>
      </c>
      <c r="B481" s="90" t="s">
        <v>1572</v>
      </c>
      <c r="C481" s="90" t="s">
        <v>1573</v>
      </c>
      <c r="D481" s="90" t="s">
        <v>1574</v>
      </c>
      <c r="E481" s="90" t="s">
        <v>1575</v>
      </c>
      <c r="F481" s="8" t="s">
        <v>1060</v>
      </c>
      <c r="G481" s="25" t="s">
        <v>386</v>
      </c>
      <c r="H481" s="55" t="s">
        <v>320</v>
      </c>
      <c r="I481" s="1" t="s">
        <v>69</v>
      </c>
      <c r="L481" s="123"/>
      <c r="T481" s="322" t="s">
        <v>1054</v>
      </c>
      <c r="U481" s="10" t="s">
        <v>66</v>
      </c>
      <c r="W481" s="68" t="s">
        <v>1493</v>
      </c>
      <c r="X481" s="28" t="s">
        <v>2</v>
      </c>
      <c r="Y481" s="17" t="s">
        <v>1399</v>
      </c>
      <c r="Z481" s="14" t="s">
        <v>5</v>
      </c>
      <c r="AA481" s="21" t="s">
        <v>3</v>
      </c>
      <c r="AB481" s="25" t="s">
        <v>105</v>
      </c>
      <c r="AD481" s="1" t="s">
        <v>69</v>
      </c>
      <c r="AE481" s="71" t="s">
        <v>1400</v>
      </c>
      <c r="AF481" s="72" t="s">
        <v>1157</v>
      </c>
      <c r="AG481" s="32" t="s">
        <v>1158</v>
      </c>
      <c r="AH481" s="46" t="s">
        <v>1578</v>
      </c>
    </row>
    <row r="482" spans="1:46">
      <c r="B482" s="80"/>
      <c r="C482" s="80"/>
      <c r="D482" s="80"/>
      <c r="E482" s="80"/>
      <c r="F482" s="6"/>
      <c r="G482" s="79">
        <v>2354</v>
      </c>
      <c r="H482" s="30"/>
      <c r="I482" s="22" t="s">
        <v>16</v>
      </c>
      <c r="L482" s="123"/>
      <c r="U482" s="34"/>
      <c r="W482" s="94"/>
      <c r="X482" s="13">
        <v>197.4</v>
      </c>
      <c r="Y482" s="45">
        <v>189.1</v>
      </c>
      <c r="Z482" s="15">
        <f t="shared" ref="Z482:Z487" si="154">X482-Y482</f>
        <v>8.3000000000000114</v>
      </c>
      <c r="AA482" s="63">
        <f t="shared" ref="AA482:AA487" si="155">Z482/Y482</f>
        <v>4.3892120571126451E-2</v>
      </c>
      <c r="AB482" s="111"/>
      <c r="AD482" s="22" t="s">
        <v>16</v>
      </c>
      <c r="AF482" s="83">
        <v>43733</v>
      </c>
      <c r="AG482" s="33">
        <f>AF482-AE482</f>
        <v>43733</v>
      </c>
      <c r="AH482" s="116"/>
    </row>
    <row r="483" spans="1:46">
      <c r="B483" s="79"/>
      <c r="C483" s="92"/>
      <c r="D483" s="79"/>
      <c r="E483" s="92"/>
      <c r="F483" s="57"/>
      <c r="G483" s="79">
        <v>2855</v>
      </c>
      <c r="H483" s="8"/>
      <c r="I483" s="22" t="s">
        <v>335</v>
      </c>
      <c r="L483" s="123"/>
      <c r="U483" s="34"/>
      <c r="W483" s="94"/>
      <c r="X483" s="13">
        <v>80.099999999999994</v>
      </c>
      <c r="Y483" s="45">
        <v>78.260000000000005</v>
      </c>
      <c r="Z483" s="15">
        <f t="shared" si="154"/>
        <v>1.8399999999999892</v>
      </c>
      <c r="AA483" s="63">
        <f t="shared" si="155"/>
        <v>2.351137234858151E-2</v>
      </c>
      <c r="AB483" s="112"/>
      <c r="AD483" s="22" t="s">
        <v>335</v>
      </c>
      <c r="AF483" s="83">
        <v>43724</v>
      </c>
      <c r="AG483" s="33">
        <f>AF483-AE483</f>
        <v>43724</v>
      </c>
      <c r="AH483" s="116"/>
      <c r="AK483" s="11"/>
      <c r="AL483" s="11"/>
      <c r="AM483" s="11"/>
      <c r="AN483" s="11"/>
      <c r="AQ483" s="7"/>
      <c r="AR483" s="31"/>
      <c r="AS483" s="7"/>
      <c r="AT483" s="7"/>
    </row>
    <row r="484" spans="1:46">
      <c r="B484" s="80"/>
      <c r="C484" s="80"/>
      <c r="D484" s="80"/>
      <c r="E484" s="80"/>
      <c r="F484" s="6"/>
      <c r="G484" s="79">
        <v>1710</v>
      </c>
      <c r="H484" s="30"/>
      <c r="I484" s="22" t="s">
        <v>317</v>
      </c>
      <c r="L484" s="123"/>
      <c r="U484" s="34"/>
      <c r="W484" s="94"/>
      <c r="X484" s="13">
        <v>135.6</v>
      </c>
      <c r="Y484" s="45">
        <v>133.6</v>
      </c>
      <c r="Z484" s="15">
        <f t="shared" si="154"/>
        <v>2</v>
      </c>
      <c r="AA484" s="63">
        <f t="shared" si="155"/>
        <v>1.4970059880239521E-2</v>
      </c>
      <c r="AB484" s="112"/>
      <c r="AD484" s="22" t="s">
        <v>317</v>
      </c>
      <c r="AF484" s="83">
        <v>43724</v>
      </c>
      <c r="AG484" s="33">
        <f>AF484-AE484</f>
        <v>43724</v>
      </c>
      <c r="AH484" s="116"/>
    </row>
    <row r="485" spans="1:46">
      <c r="B485" s="80"/>
      <c r="C485" s="80"/>
      <c r="D485" s="80"/>
      <c r="E485" s="80"/>
      <c r="F485" s="6"/>
      <c r="G485" s="79">
        <v>1605</v>
      </c>
      <c r="H485" s="30"/>
      <c r="I485" s="22" t="s">
        <v>110</v>
      </c>
      <c r="L485" s="123"/>
      <c r="U485" s="34"/>
      <c r="W485" s="94"/>
      <c r="X485" s="13">
        <v>147.5</v>
      </c>
      <c r="Y485" s="45">
        <v>140.85</v>
      </c>
      <c r="Z485" s="15">
        <f t="shared" si="154"/>
        <v>6.6500000000000057</v>
      </c>
      <c r="AA485" s="63">
        <f t="shared" si="155"/>
        <v>4.7213347532836396E-2</v>
      </c>
      <c r="AB485" s="111"/>
      <c r="AD485" s="22" t="s">
        <v>110</v>
      </c>
      <c r="AF485" s="83">
        <v>43724</v>
      </c>
      <c r="AG485" s="33">
        <f>AF485-AE485</f>
        <v>43724</v>
      </c>
      <c r="AH485" s="116"/>
    </row>
    <row r="486" spans="1:46" s="7" customFormat="1" ht="17.100000000000001" customHeight="1">
      <c r="A486" s="41"/>
      <c r="B486" s="80"/>
      <c r="C486" s="80"/>
      <c r="D486" s="80"/>
      <c r="E486" s="80"/>
      <c r="F486" s="6"/>
      <c r="G486" s="79">
        <v>1304</v>
      </c>
      <c r="H486" s="8"/>
      <c r="I486" s="22" t="s">
        <v>64</v>
      </c>
      <c r="J486" s="1"/>
      <c r="K486" s="1"/>
      <c r="L486" s="123"/>
      <c r="M486" s="234"/>
      <c r="N486" s="341"/>
      <c r="O486" s="245"/>
      <c r="P486" s="89"/>
      <c r="Q486" s="73"/>
      <c r="R486" s="354"/>
      <c r="S486" s="303"/>
      <c r="T486" s="322"/>
      <c r="U486" s="34"/>
      <c r="V486" s="311"/>
      <c r="W486" s="94"/>
      <c r="X486" s="13">
        <v>135.80000000000001</v>
      </c>
      <c r="Y486" s="45">
        <v>133.85</v>
      </c>
      <c r="Z486" s="15">
        <f t="shared" si="154"/>
        <v>1.9500000000000171</v>
      </c>
      <c r="AA486" s="63">
        <f t="shared" si="155"/>
        <v>1.4568546880836886E-2</v>
      </c>
      <c r="AB486" s="113"/>
      <c r="AC486" s="382"/>
      <c r="AD486" s="22" t="s">
        <v>64</v>
      </c>
      <c r="AE486" s="84"/>
      <c r="AF486" s="83">
        <v>43724</v>
      </c>
      <c r="AG486" s="33">
        <f>AF486-AE486</f>
        <v>43724</v>
      </c>
      <c r="AH486" s="116"/>
      <c r="AI486" s="27"/>
      <c r="AJ486" s="17"/>
      <c r="AK486" s="11"/>
      <c r="AL486" s="11"/>
      <c r="AM486" s="11"/>
      <c r="AN486" s="11"/>
      <c r="AO486" s="245"/>
      <c r="AP486" s="245"/>
      <c r="AR486" s="4"/>
      <c r="AS486" s="245"/>
      <c r="AT486" s="245"/>
    </row>
    <row r="487" spans="1:46" s="7" customFormat="1" ht="17.100000000000001" customHeight="1">
      <c r="A487" s="41"/>
      <c r="B487" s="80"/>
      <c r="C487" s="80"/>
      <c r="D487" s="80"/>
      <c r="E487" s="80"/>
      <c r="F487" s="6"/>
      <c r="G487" s="41"/>
      <c r="H487" s="8"/>
      <c r="I487" s="22"/>
      <c r="J487" s="1"/>
      <c r="K487" s="1"/>
      <c r="L487" s="123"/>
      <c r="M487" s="234"/>
      <c r="N487" s="341"/>
      <c r="O487" s="245"/>
      <c r="P487" s="89"/>
      <c r="Q487" s="73"/>
      <c r="R487" s="354"/>
      <c r="S487" s="303"/>
      <c r="T487" s="322"/>
      <c r="U487" s="34"/>
      <c r="V487" s="311"/>
      <c r="W487" s="94"/>
      <c r="X487" s="13">
        <f>SUM(X482:X486)</f>
        <v>696.40000000000009</v>
      </c>
      <c r="Y487" s="45">
        <f>SUM(Y482:Y486)</f>
        <v>675.66000000000008</v>
      </c>
      <c r="Z487" s="15">
        <f t="shared" si="154"/>
        <v>20.740000000000009</v>
      </c>
      <c r="AA487" s="63">
        <f t="shared" si="155"/>
        <v>3.0695912145161777E-2</v>
      </c>
      <c r="AB487" s="113"/>
      <c r="AC487" s="382"/>
      <c r="AD487" s="22"/>
      <c r="AE487" s="84"/>
      <c r="AF487" s="83"/>
      <c r="AG487" s="33"/>
      <c r="AH487" s="116"/>
      <c r="AI487" s="27"/>
      <c r="AJ487" s="17"/>
      <c r="AK487" s="11"/>
      <c r="AL487" s="11"/>
      <c r="AM487" s="11"/>
      <c r="AN487" s="11"/>
      <c r="AO487" s="245"/>
      <c r="AP487" s="245"/>
      <c r="AR487" s="4"/>
      <c r="AS487" s="245"/>
      <c r="AT487" s="245"/>
    </row>
    <row r="488" spans="1:46">
      <c r="A488" s="127" t="s">
        <v>1673</v>
      </c>
      <c r="B488" s="90" t="s">
        <v>1572</v>
      </c>
      <c r="C488" s="90" t="s">
        <v>1573</v>
      </c>
      <c r="D488" s="90" t="s">
        <v>1574</v>
      </c>
      <c r="E488" s="90" t="s">
        <v>1575</v>
      </c>
      <c r="F488" s="8" t="s">
        <v>1060</v>
      </c>
      <c r="G488" s="25" t="s">
        <v>386</v>
      </c>
      <c r="H488" s="55" t="s">
        <v>320</v>
      </c>
      <c r="I488" s="1" t="s">
        <v>69</v>
      </c>
      <c r="L488" s="123"/>
      <c r="T488" s="322" t="s">
        <v>1054</v>
      </c>
      <c r="U488" s="10" t="s">
        <v>66</v>
      </c>
      <c r="W488" s="68" t="s">
        <v>1493</v>
      </c>
      <c r="X488" s="28" t="s">
        <v>2</v>
      </c>
      <c r="Y488" s="17" t="s">
        <v>1399</v>
      </c>
      <c r="Z488" s="14" t="s">
        <v>5</v>
      </c>
      <c r="AA488" s="21" t="s">
        <v>3</v>
      </c>
      <c r="AB488" s="25" t="s">
        <v>105</v>
      </c>
      <c r="AD488" s="1" t="s">
        <v>69</v>
      </c>
      <c r="AE488" s="71" t="s">
        <v>1400</v>
      </c>
      <c r="AF488" s="72" t="s">
        <v>1157</v>
      </c>
      <c r="AG488" s="32" t="s">
        <v>1158</v>
      </c>
      <c r="AH488" s="46" t="s">
        <v>1610</v>
      </c>
    </row>
    <row r="489" spans="1:46">
      <c r="B489" s="79">
        <v>80</v>
      </c>
      <c r="C489" s="79">
        <v>78</v>
      </c>
      <c r="D489" s="79">
        <v>80</v>
      </c>
      <c r="E489" s="79">
        <v>78</v>
      </c>
      <c r="F489" s="57">
        <v>26.24</v>
      </c>
      <c r="G489" s="79">
        <v>6173</v>
      </c>
      <c r="H489" s="30" t="s">
        <v>1462</v>
      </c>
      <c r="I489" s="16" t="s">
        <v>82</v>
      </c>
      <c r="J489" s="8" t="str">
        <f>IFERROR(VLOOKUP($G489,今日總結!$A:$AJ,33,0),"")</f>
        <v/>
      </c>
      <c r="K489" s="5" t="str">
        <f>IFERROR(VLOOKUP($G489,今日總結!$A:$AJ,34,0),"")</f>
        <v/>
      </c>
      <c r="L489" s="156" t="str">
        <f>IFERROR(VLOOKUP($G489,今日總結!$A:$AJ,31,0),"")</f>
        <v/>
      </c>
      <c r="M489" s="340" t="str">
        <f>IFERROR(VLOOKUP($G489,今日總結!$A:$AJ,32,0),"")</f>
        <v/>
      </c>
      <c r="N489" s="240" t="str">
        <f t="shared" ref="N489:N493" si="156">IFERROR(L489-M489,"")</f>
        <v/>
      </c>
      <c r="P489" s="365">
        <f>IFERROR(VLOOKUP($G489,融外自投!$A:$J,7,0),"無")</f>
        <v>356</v>
      </c>
      <c r="Q489" s="79">
        <f>IFERROR(VLOOKUP($G489,融外自投!$A:$J,9,0),"無")</f>
        <v>161</v>
      </c>
      <c r="R489" s="346">
        <f>IFERROR(VLOOKUP($G489,融外自投!$A:$J,8,0),"無")</f>
        <v>1078</v>
      </c>
      <c r="S489" s="81" t="str">
        <f>IFERROR(VLOOKUP($G489,融外自投!$A:$J,10,0),"無")</f>
        <v>無</v>
      </c>
      <c r="T489" s="327">
        <f>IFERROR(VLOOKUP($G489,'321買'!$A:$E,5,0),"'沒有資料'")</f>
        <v>852</v>
      </c>
      <c r="U489" s="34">
        <v>4.3</v>
      </c>
      <c r="W489" s="57">
        <f>U489/X489</f>
        <v>7.5438596491228069E-2</v>
      </c>
      <c r="X489" s="13">
        <v>57</v>
      </c>
      <c r="Y489" s="45">
        <v>63.1</v>
      </c>
      <c r="Z489" s="15">
        <f t="shared" ref="Z489:Z494" si="157">X489-Y489</f>
        <v>-6.1000000000000014</v>
      </c>
      <c r="AA489" s="63">
        <f t="shared" ref="AA489:AA494" si="158">Z489/Y489</f>
        <v>-9.667194928684629E-2</v>
      </c>
      <c r="AB489" s="111" t="s">
        <v>1611</v>
      </c>
      <c r="AD489" s="16" t="s">
        <v>82</v>
      </c>
      <c r="AE489" s="84">
        <v>43677</v>
      </c>
      <c r="AF489" s="83">
        <v>43734</v>
      </c>
      <c r="AG489" s="33">
        <f>AF489-AE489</f>
        <v>57</v>
      </c>
      <c r="AH489" s="116" t="s">
        <v>1502</v>
      </c>
    </row>
    <row r="490" spans="1:46" ht="16.5" customHeight="1">
      <c r="A490" s="116"/>
      <c r="B490" s="80">
        <v>-26</v>
      </c>
      <c r="C490" s="80">
        <v>-18</v>
      </c>
      <c r="D490" s="80">
        <v>-26</v>
      </c>
      <c r="E490" s="80">
        <v>-18</v>
      </c>
      <c r="F490" s="57">
        <v>23.76</v>
      </c>
      <c r="G490" s="79">
        <v>6173</v>
      </c>
      <c r="H490" s="30" t="s">
        <v>1462</v>
      </c>
      <c r="I490" s="16" t="s">
        <v>82</v>
      </c>
      <c r="J490" s="8" t="str">
        <f>IFERROR(VLOOKUP($G490,今日總結!$A:$AJ,33,0),"")</f>
        <v/>
      </c>
      <c r="K490" s="5" t="str">
        <f>IFERROR(VLOOKUP($G490,今日總結!$A:$AJ,34,0),"")</f>
        <v/>
      </c>
      <c r="L490" s="156" t="str">
        <f>IFERROR(VLOOKUP($G490,今日總結!$A:$AJ,31,0),"")</f>
        <v/>
      </c>
      <c r="M490" s="340" t="str">
        <f>IFERROR(VLOOKUP($G490,今日總結!$A:$AJ,32,0),"")</f>
        <v/>
      </c>
      <c r="N490" s="240" t="str">
        <f t="shared" si="156"/>
        <v/>
      </c>
      <c r="P490" s="365">
        <f>IFERROR(VLOOKUP($G490,融外自投!$A:$J,7,0),"無")</f>
        <v>356</v>
      </c>
      <c r="Q490" s="79">
        <f>IFERROR(VLOOKUP($G490,融外自投!$A:$J,9,0),"無")</f>
        <v>161</v>
      </c>
      <c r="R490" s="346">
        <f>IFERROR(VLOOKUP($G490,融外自投!$A:$J,8,0),"無")</f>
        <v>1078</v>
      </c>
      <c r="S490" s="81" t="str">
        <f>IFERROR(VLOOKUP($G490,融外自投!$A:$J,10,0),"無")</f>
        <v>無</v>
      </c>
      <c r="T490" s="327">
        <f>IFERROR(VLOOKUP($G490,'321買'!$A:$E,5,0),"'沒有資料'")</f>
        <v>852</v>
      </c>
      <c r="U490" s="34">
        <v>4.3</v>
      </c>
      <c r="W490" s="57">
        <f>U490/X490</f>
        <v>7.5438596491228069E-2</v>
      </c>
      <c r="X490" s="36">
        <v>57</v>
      </c>
      <c r="Y490" s="45">
        <v>56.2</v>
      </c>
      <c r="Z490" s="15">
        <f t="shared" si="157"/>
        <v>0.79999999999999716</v>
      </c>
      <c r="AA490" s="63">
        <f t="shared" si="158"/>
        <v>1.4234875444839807E-2</v>
      </c>
      <c r="AB490" s="111" t="s">
        <v>1612</v>
      </c>
      <c r="AD490" s="16" t="s">
        <v>82</v>
      </c>
      <c r="AE490" s="84">
        <v>43710</v>
      </c>
      <c r="AF490" s="83">
        <v>43734</v>
      </c>
      <c r="AG490" s="33">
        <f>AF490-AE490</f>
        <v>24</v>
      </c>
      <c r="AH490" s="116"/>
      <c r="AI490" s="245"/>
    </row>
    <row r="491" spans="1:46" ht="16.5" customHeight="1">
      <c r="A491" s="116"/>
      <c r="B491" s="80">
        <v>-26</v>
      </c>
      <c r="C491" s="80">
        <v>-18</v>
      </c>
      <c r="D491" s="80">
        <v>-26</v>
      </c>
      <c r="E491" s="80">
        <v>-18</v>
      </c>
      <c r="F491" s="57">
        <v>23.76</v>
      </c>
      <c r="G491" s="79">
        <v>6173</v>
      </c>
      <c r="H491" s="50" t="s">
        <v>1404</v>
      </c>
      <c r="I491" s="16" t="s">
        <v>82</v>
      </c>
      <c r="J491" s="8" t="str">
        <f>IFERROR(VLOOKUP($G491,今日總結!$A:$AJ,33,0),"")</f>
        <v/>
      </c>
      <c r="K491" s="5" t="str">
        <f>IFERROR(VLOOKUP($G491,今日總結!$A:$AJ,34,0),"")</f>
        <v/>
      </c>
      <c r="L491" s="156" t="str">
        <f>IFERROR(VLOOKUP($G491,今日總結!$A:$AJ,31,0),"")</f>
        <v/>
      </c>
      <c r="M491" s="340" t="str">
        <f>IFERROR(VLOOKUP($G491,今日總結!$A:$AJ,32,0),"")</f>
        <v/>
      </c>
      <c r="N491" s="240" t="str">
        <f t="shared" si="156"/>
        <v/>
      </c>
      <c r="P491" s="365">
        <f>IFERROR(VLOOKUP($G491,融外自投!$A:$J,7,0),"無")</f>
        <v>356</v>
      </c>
      <c r="Q491" s="79">
        <f>IFERROR(VLOOKUP($G491,融外自投!$A:$J,9,0),"無")</f>
        <v>161</v>
      </c>
      <c r="R491" s="346">
        <f>IFERROR(VLOOKUP($G491,融外自投!$A:$J,8,0),"無")</f>
        <v>1078</v>
      </c>
      <c r="S491" s="81" t="str">
        <f>IFERROR(VLOOKUP($G491,融外自投!$A:$J,10,0),"無")</f>
        <v>無</v>
      </c>
      <c r="T491" s="327">
        <f>IFERROR(VLOOKUP($G491,'321買'!$A:$E,5,0),"'沒有資料'")</f>
        <v>852</v>
      </c>
      <c r="U491" s="34">
        <v>4.3</v>
      </c>
      <c r="W491" s="57">
        <f>U491/X491</f>
        <v>7.5174825174825169E-2</v>
      </c>
      <c r="X491" s="36">
        <v>57.2</v>
      </c>
      <c r="Y491" s="45">
        <v>56.2</v>
      </c>
      <c r="Z491" s="15">
        <f t="shared" si="157"/>
        <v>1</v>
      </c>
      <c r="AA491" s="63">
        <f t="shared" si="158"/>
        <v>1.779359430604982E-2</v>
      </c>
      <c r="AB491" s="111" t="s">
        <v>1613</v>
      </c>
      <c r="AD491" s="16" t="s">
        <v>82</v>
      </c>
      <c r="AE491" s="84">
        <v>43710</v>
      </c>
      <c r="AF491" s="83">
        <v>43734</v>
      </c>
      <c r="AG491" s="33">
        <f>AF491-AE491</f>
        <v>24</v>
      </c>
      <c r="AH491" s="116" t="s">
        <v>1609</v>
      </c>
      <c r="AI491" s="245"/>
    </row>
    <row r="492" spans="1:46" ht="16.5" customHeight="1">
      <c r="A492" s="116"/>
      <c r="B492" s="80">
        <v>-26</v>
      </c>
      <c r="C492" s="80">
        <v>-18</v>
      </c>
      <c r="D492" s="79">
        <v>2</v>
      </c>
      <c r="E492" s="80">
        <v>-51</v>
      </c>
      <c r="F492" s="57">
        <v>23.76</v>
      </c>
      <c r="G492" s="79">
        <v>6173</v>
      </c>
      <c r="H492" s="50" t="s">
        <v>1404</v>
      </c>
      <c r="I492" s="16" t="s">
        <v>82</v>
      </c>
      <c r="J492" s="8" t="str">
        <f>IFERROR(VLOOKUP($G492,今日總結!$A:$AJ,33,0),"")</f>
        <v/>
      </c>
      <c r="K492" s="5" t="str">
        <f>IFERROR(VLOOKUP($G492,今日總結!$A:$AJ,34,0),"")</f>
        <v/>
      </c>
      <c r="L492" s="156" t="str">
        <f>IFERROR(VLOOKUP($G492,今日總結!$A:$AJ,31,0),"")</f>
        <v/>
      </c>
      <c r="M492" s="340" t="str">
        <f>IFERROR(VLOOKUP($G492,今日總結!$A:$AJ,32,0),"")</f>
        <v/>
      </c>
      <c r="N492" s="240" t="str">
        <f t="shared" si="156"/>
        <v/>
      </c>
      <c r="P492" s="365">
        <f>IFERROR(VLOOKUP($G492,融外自投!$A:$J,7,0),"無")</f>
        <v>356</v>
      </c>
      <c r="Q492" s="79">
        <f>IFERROR(VLOOKUP($G492,融外自投!$A:$J,9,0),"無")</f>
        <v>161</v>
      </c>
      <c r="R492" s="346">
        <f>IFERROR(VLOOKUP($G492,融外自投!$A:$J,8,0),"無")</f>
        <v>1078</v>
      </c>
      <c r="S492" s="81" t="str">
        <f>IFERROR(VLOOKUP($G492,融外自投!$A:$J,10,0),"無")</f>
        <v>無</v>
      </c>
      <c r="T492" s="327">
        <f>IFERROR(VLOOKUP($G492,'321買'!$A:$E,5,0),"'沒有資料'")</f>
        <v>852</v>
      </c>
      <c r="U492" s="34">
        <v>4.3</v>
      </c>
      <c r="W492" s="57">
        <f>U492/X492</f>
        <v>7.5174825174825169E-2</v>
      </c>
      <c r="X492" s="36">
        <v>57.2</v>
      </c>
      <c r="Y492" s="45">
        <v>54.4</v>
      </c>
      <c r="Z492" s="15">
        <f t="shared" si="157"/>
        <v>2.8000000000000043</v>
      </c>
      <c r="AA492" s="63">
        <f t="shared" si="158"/>
        <v>5.1470588235294198E-2</v>
      </c>
      <c r="AB492" s="111" t="s">
        <v>1614</v>
      </c>
      <c r="AD492" s="16" t="s">
        <v>82</v>
      </c>
      <c r="AE492" s="84">
        <v>43727</v>
      </c>
      <c r="AF492" s="83">
        <v>43734</v>
      </c>
      <c r="AG492" s="33">
        <f>AF492-AE492</f>
        <v>7</v>
      </c>
      <c r="AH492" s="116"/>
      <c r="AI492" s="245"/>
    </row>
    <row r="493" spans="1:46" ht="16.5" customHeight="1">
      <c r="A493" s="116"/>
      <c r="B493" s="80">
        <v>-26</v>
      </c>
      <c r="C493" s="80">
        <v>-18</v>
      </c>
      <c r="D493" s="79">
        <v>2</v>
      </c>
      <c r="E493" s="80">
        <v>-51</v>
      </c>
      <c r="F493" s="57">
        <v>23.76</v>
      </c>
      <c r="G493" s="79">
        <v>6173</v>
      </c>
      <c r="H493" s="50" t="s">
        <v>1404</v>
      </c>
      <c r="I493" s="16" t="s">
        <v>82</v>
      </c>
      <c r="J493" s="8" t="str">
        <f>IFERROR(VLOOKUP($G493,今日總結!$A:$AJ,33,0),"")</f>
        <v/>
      </c>
      <c r="K493" s="5" t="str">
        <f>IFERROR(VLOOKUP($G493,今日總結!$A:$AJ,34,0),"")</f>
        <v/>
      </c>
      <c r="L493" s="156" t="str">
        <f>IFERROR(VLOOKUP($G493,今日總結!$A:$AJ,31,0),"")</f>
        <v/>
      </c>
      <c r="M493" s="340" t="str">
        <f>IFERROR(VLOOKUP($G493,今日總結!$A:$AJ,32,0),"")</f>
        <v/>
      </c>
      <c r="N493" s="240" t="str">
        <f t="shared" si="156"/>
        <v/>
      </c>
      <c r="P493" s="365">
        <f>IFERROR(VLOOKUP($G493,融外自投!$A:$J,7,0),"無")</f>
        <v>356</v>
      </c>
      <c r="Q493" s="79">
        <f>IFERROR(VLOOKUP($G493,融外自投!$A:$J,9,0),"無")</f>
        <v>161</v>
      </c>
      <c r="R493" s="346">
        <f>IFERROR(VLOOKUP($G493,融外自投!$A:$J,8,0),"無")</f>
        <v>1078</v>
      </c>
      <c r="S493" s="81" t="str">
        <f>IFERROR(VLOOKUP($G493,融外自投!$A:$J,10,0),"無")</f>
        <v>無</v>
      </c>
      <c r="T493" s="327">
        <f>IFERROR(VLOOKUP($G493,'321買'!$A:$E,5,0),"'沒有資料'")</f>
        <v>852</v>
      </c>
      <c r="U493" s="34">
        <v>4.3</v>
      </c>
      <c r="W493" s="57">
        <f>U493/X493</f>
        <v>7.5174825174825169E-2</v>
      </c>
      <c r="X493" s="36">
        <v>57.2</v>
      </c>
      <c r="Y493" s="45">
        <v>54.1</v>
      </c>
      <c r="Z493" s="15">
        <f t="shared" si="157"/>
        <v>3.1000000000000014</v>
      </c>
      <c r="AA493" s="63">
        <f t="shared" si="158"/>
        <v>5.7301293900184867E-2</v>
      </c>
      <c r="AB493" s="111" t="s">
        <v>1615</v>
      </c>
      <c r="AD493" s="16" t="s">
        <v>82</v>
      </c>
      <c r="AE493" s="84">
        <v>43733</v>
      </c>
      <c r="AF493" s="83">
        <v>43734</v>
      </c>
      <c r="AG493" s="33">
        <f>AF493-AE493</f>
        <v>1</v>
      </c>
      <c r="AH493" s="116"/>
      <c r="AI493" s="245"/>
    </row>
    <row r="494" spans="1:46">
      <c r="B494" s="79"/>
      <c r="C494" s="79"/>
      <c r="D494" s="79"/>
      <c r="E494" s="79"/>
      <c r="F494" s="57"/>
      <c r="G494" s="41"/>
      <c r="H494" s="30"/>
      <c r="I494" s="16"/>
      <c r="L494" s="123"/>
      <c r="U494" s="34"/>
      <c r="W494" s="57"/>
      <c r="X494" s="13">
        <f>SUM(X489:X493)</f>
        <v>285.59999999999997</v>
      </c>
      <c r="Y494" s="45">
        <f>SUM(Y489:Y493)</f>
        <v>284</v>
      </c>
      <c r="Z494" s="15">
        <f t="shared" si="157"/>
        <v>1.5999999999999659</v>
      </c>
      <c r="AA494" s="63">
        <f t="shared" si="158"/>
        <v>5.6338028169012882E-3</v>
      </c>
      <c r="AB494" s="111"/>
      <c r="AD494" s="16"/>
      <c r="AG494" s="33"/>
      <c r="AH494" s="116"/>
    </row>
    <row r="495" spans="1:46">
      <c r="A495" s="127" t="s">
        <v>1673</v>
      </c>
      <c r="B495" s="90" t="s">
        <v>1572</v>
      </c>
      <c r="C495" s="90" t="s">
        <v>1573</v>
      </c>
      <c r="D495" s="90" t="s">
        <v>1574</v>
      </c>
      <c r="E495" s="90" t="s">
        <v>1575</v>
      </c>
      <c r="F495" s="8" t="s">
        <v>1060</v>
      </c>
      <c r="G495" s="25" t="s">
        <v>386</v>
      </c>
      <c r="H495" s="55" t="s">
        <v>320</v>
      </c>
      <c r="I495" s="1" t="s">
        <v>69</v>
      </c>
      <c r="L495" s="123"/>
      <c r="T495" s="322" t="s">
        <v>1054</v>
      </c>
      <c r="U495" s="10" t="s">
        <v>66</v>
      </c>
      <c r="W495" s="68" t="s">
        <v>1493</v>
      </c>
      <c r="X495" s="28" t="s">
        <v>2</v>
      </c>
      <c r="Y495" s="17" t="s">
        <v>1399</v>
      </c>
      <c r="Z495" s="14" t="s">
        <v>5</v>
      </c>
      <c r="AA495" s="21" t="s">
        <v>3</v>
      </c>
      <c r="AB495" s="25" t="s">
        <v>105</v>
      </c>
      <c r="AD495" s="1" t="s">
        <v>69</v>
      </c>
      <c r="AE495" s="71" t="s">
        <v>1400</v>
      </c>
      <c r="AF495" s="72" t="s">
        <v>1157</v>
      </c>
      <c r="AG495" s="32" t="s">
        <v>1158</v>
      </c>
    </row>
    <row r="496" spans="1:46">
      <c r="B496" s="80">
        <v>0</v>
      </c>
      <c r="C496" s="80">
        <v>-49</v>
      </c>
      <c r="D496" s="80">
        <v>0</v>
      </c>
      <c r="E496" s="80">
        <v>-49</v>
      </c>
      <c r="F496" s="6">
        <v>3.54</v>
      </c>
      <c r="G496" s="79">
        <v>2354</v>
      </c>
      <c r="H496" s="30" t="s">
        <v>1462</v>
      </c>
      <c r="I496" s="22" t="s">
        <v>16</v>
      </c>
      <c r="J496" s="8">
        <f>IFERROR(VLOOKUP($G496,今日總結!$A:$AJ,33,0),"")</f>
        <v>3</v>
      </c>
      <c r="K496" s="5">
        <f>IFERROR(VLOOKUP($G496,今日總結!$A:$AJ,34,0),"")</f>
        <v>1</v>
      </c>
      <c r="L496" s="156">
        <f>IFERROR(VLOOKUP($G496,今日總結!$A:$AJ,31,0),"")</f>
        <v>0</v>
      </c>
      <c r="M496" s="340">
        <f>IFERROR(VLOOKUP($G496,今日總結!$A:$AJ,32,0),"")</f>
        <v>0</v>
      </c>
      <c r="N496" s="240">
        <f t="shared" ref="N496:N497" si="159">IFERROR(L496-M496,"")</f>
        <v>0</v>
      </c>
      <c r="P496" s="365">
        <f>IFERROR(VLOOKUP($G496,融外自投!$A:$J,7,0),"無")</f>
        <v>934</v>
      </c>
      <c r="Q496" s="79">
        <f>IFERROR(VLOOKUP($G496,融外自投!$A:$J,9,0),"無")</f>
        <v>395</v>
      </c>
      <c r="R496" s="346">
        <f>IFERROR(VLOOKUP($G496,融外自投!$A:$J,8,0),"無")</f>
        <v>273</v>
      </c>
      <c r="S496" s="81">
        <f>IFERROR(VLOOKUP($G496,融外自投!$A:$J,10,0),"無")</f>
        <v>118</v>
      </c>
      <c r="T496" s="327">
        <f>IFERROR(VLOOKUP($G496,'321買'!$A:$E,5,0),"'沒有資料'")</f>
        <v>255</v>
      </c>
      <c r="U496" s="34">
        <v>3.2</v>
      </c>
      <c r="W496" s="94">
        <f>U496/X496</f>
        <v>4.8632218844984809E-2</v>
      </c>
      <c r="X496" s="36">
        <v>65.8</v>
      </c>
      <c r="Y496" s="66">
        <v>62.3</v>
      </c>
      <c r="Z496" s="15">
        <f>X496-Y496</f>
        <v>3.5</v>
      </c>
      <c r="AA496" s="63">
        <f>Z496/Y496</f>
        <v>5.6179775280898882E-2</v>
      </c>
      <c r="AB496" s="111" t="s">
        <v>1479</v>
      </c>
      <c r="AD496" s="22" t="s">
        <v>16</v>
      </c>
      <c r="AE496" s="84">
        <v>43696</v>
      </c>
      <c r="AF496" s="83">
        <v>43733</v>
      </c>
      <c r="AG496" s="33">
        <f>AF496-AE496</f>
        <v>37</v>
      </c>
      <c r="AH496" s="116" t="s">
        <v>1594</v>
      </c>
    </row>
    <row r="497" spans="1:46">
      <c r="A497" s="143"/>
      <c r="B497" s="80">
        <v>0</v>
      </c>
      <c r="C497" s="80">
        <v>-49</v>
      </c>
      <c r="D497" s="80">
        <v>0</v>
      </c>
      <c r="E497" s="80">
        <v>-49</v>
      </c>
      <c r="F497" s="6">
        <v>3.54</v>
      </c>
      <c r="G497" s="79">
        <v>2354</v>
      </c>
      <c r="H497" s="30" t="s">
        <v>1462</v>
      </c>
      <c r="I497" s="22" t="s">
        <v>16</v>
      </c>
      <c r="J497" s="8">
        <f>IFERROR(VLOOKUP($G497,今日總結!$A:$AJ,33,0),"")</f>
        <v>3</v>
      </c>
      <c r="K497" s="5">
        <f>IFERROR(VLOOKUP($G497,今日總結!$A:$AJ,34,0),"")</f>
        <v>1</v>
      </c>
      <c r="L497" s="156">
        <f>IFERROR(VLOOKUP($G497,今日總結!$A:$AJ,31,0),"")</f>
        <v>0</v>
      </c>
      <c r="M497" s="340">
        <f>IFERROR(VLOOKUP($G497,今日總結!$A:$AJ,32,0),"")</f>
        <v>0</v>
      </c>
      <c r="N497" s="240">
        <f t="shared" si="159"/>
        <v>0</v>
      </c>
      <c r="P497" s="365">
        <f>IFERROR(VLOOKUP($G497,融外自投!$A:$J,7,0),"無")</f>
        <v>934</v>
      </c>
      <c r="Q497" s="79">
        <f>IFERROR(VLOOKUP($G497,融外自投!$A:$J,9,0),"無")</f>
        <v>395</v>
      </c>
      <c r="R497" s="346">
        <f>IFERROR(VLOOKUP($G497,融外自投!$A:$J,8,0),"無")</f>
        <v>273</v>
      </c>
      <c r="S497" s="81">
        <f>IFERROR(VLOOKUP($G497,融外自投!$A:$J,10,0),"無")</f>
        <v>118</v>
      </c>
      <c r="T497" s="327">
        <f>IFERROR(VLOOKUP($G497,'321買'!$A:$E,5,0),"'沒有資料'")</f>
        <v>255</v>
      </c>
      <c r="U497" s="34">
        <v>3.2</v>
      </c>
      <c r="W497" s="94">
        <f>U497/X497</f>
        <v>4.8632218844984809E-2</v>
      </c>
      <c r="X497" s="36">
        <v>65.8</v>
      </c>
      <c r="Y497" s="66">
        <v>63.4</v>
      </c>
      <c r="Z497" s="15">
        <f>X497-Y497</f>
        <v>2.3999999999999986</v>
      </c>
      <c r="AA497" s="63">
        <f>Z497/Y497</f>
        <v>3.7854889589905343E-2</v>
      </c>
      <c r="AB497" s="111" t="s">
        <v>1482</v>
      </c>
      <c r="AD497" s="22" t="s">
        <v>16</v>
      </c>
      <c r="AE497" s="84">
        <v>43710</v>
      </c>
      <c r="AF497" s="83">
        <v>43733</v>
      </c>
      <c r="AG497" s="33">
        <f>AF497-AE497</f>
        <v>23</v>
      </c>
      <c r="AH497" s="116"/>
      <c r="AI497" s="245"/>
    </row>
    <row r="498" spans="1:46">
      <c r="A498" s="143"/>
      <c r="B498" s="80">
        <v>0</v>
      </c>
      <c r="C498" s="80">
        <v>-49</v>
      </c>
      <c r="D498" s="80">
        <v>0</v>
      </c>
      <c r="E498" s="80">
        <v>-49</v>
      </c>
      <c r="F498" s="6">
        <v>3.54</v>
      </c>
      <c r="G498" s="79">
        <v>2354</v>
      </c>
      <c r="H498" s="30" t="s">
        <v>1462</v>
      </c>
      <c r="I498" s="22" t="s">
        <v>16</v>
      </c>
      <c r="J498" s="8">
        <f>IFERROR(VLOOKUP($G498,今日總結!$A:$AJ,33,0),"")</f>
        <v>3</v>
      </c>
      <c r="K498" s="5">
        <f>IFERROR(VLOOKUP($G498,今日總結!$A:$AJ,34,0),"")</f>
        <v>1</v>
      </c>
      <c r="L498" s="156">
        <f>IFERROR(VLOOKUP($G498,今日總結!$A:$AJ,31,0),"")</f>
        <v>0</v>
      </c>
      <c r="M498" s="340">
        <f>IFERROR(VLOOKUP($G498,今日總結!$A:$AJ,32,0),"")</f>
        <v>0</v>
      </c>
      <c r="N498" s="240">
        <f t="shared" ref="N498" si="160">IFERROR(L498-M498,"")</f>
        <v>0</v>
      </c>
      <c r="P498" s="365">
        <f>IFERROR(VLOOKUP($G498,融外自投!$A:$J,7,0),"無")</f>
        <v>934</v>
      </c>
      <c r="Q498" s="79">
        <f>IFERROR(VLOOKUP($G498,融外自投!$A:$J,9,0),"無")</f>
        <v>395</v>
      </c>
      <c r="R498" s="346">
        <f>IFERROR(VLOOKUP($G498,融外自投!$A:$J,8,0),"無")</f>
        <v>273</v>
      </c>
      <c r="S498" s="81">
        <f>IFERROR(VLOOKUP($G498,融外自投!$A:$J,10,0),"無")</f>
        <v>118</v>
      </c>
      <c r="T498" s="327">
        <f>IFERROR(VLOOKUP($G498,'321買'!$A:$E,5,0),"'沒有資料'")</f>
        <v>255</v>
      </c>
      <c r="U498" s="34">
        <v>3.2</v>
      </c>
      <c r="W498" s="94">
        <f>U498/X498</f>
        <v>4.8632218844984809E-2</v>
      </c>
      <c r="X498" s="36">
        <v>65.8</v>
      </c>
      <c r="Y498" s="66">
        <v>63.4</v>
      </c>
      <c r="Z498" s="15">
        <f>X498-Y498</f>
        <v>2.3999999999999986</v>
      </c>
      <c r="AA498" s="63">
        <f>Z498/Y498</f>
        <v>3.7854889589905343E-2</v>
      </c>
      <c r="AB498" s="111" t="s">
        <v>1482</v>
      </c>
      <c r="AD498" s="22" t="s">
        <v>16</v>
      </c>
      <c r="AE498" s="84">
        <v>43710</v>
      </c>
      <c r="AF498" s="83">
        <v>43733</v>
      </c>
      <c r="AG498" s="33">
        <f>AF498-AE498</f>
        <v>23</v>
      </c>
      <c r="AH498" s="116"/>
      <c r="AI498" s="245"/>
    </row>
    <row r="499" spans="1:46">
      <c r="B499" s="80"/>
      <c r="C499" s="80"/>
      <c r="D499" s="80"/>
      <c r="E499" s="80"/>
      <c r="F499" s="6"/>
      <c r="G499" s="41"/>
      <c r="H499" s="30"/>
      <c r="I499" s="22"/>
      <c r="L499" s="123"/>
      <c r="T499" s="327"/>
      <c r="U499" s="34"/>
      <c r="W499" s="94"/>
      <c r="X499" s="13">
        <f>SUM(X496:X498)</f>
        <v>197.39999999999998</v>
      </c>
      <c r="Y499" s="45">
        <f>SUM(Y496:Y498)</f>
        <v>189.1</v>
      </c>
      <c r="Z499" s="15">
        <f>X499-Y499</f>
        <v>8.2999999999999829</v>
      </c>
      <c r="AA499" s="63">
        <f>Z499/Y499</f>
        <v>4.3892120571126299E-2</v>
      </c>
      <c r="AB499" s="111"/>
      <c r="AD499" s="22"/>
      <c r="AG499" s="33"/>
      <c r="AH499" s="116"/>
    </row>
    <row r="500" spans="1:46">
      <c r="A500" s="127" t="s">
        <v>1673</v>
      </c>
      <c r="B500" s="90" t="s">
        <v>1572</v>
      </c>
      <c r="C500" s="90" t="s">
        <v>1573</v>
      </c>
      <c r="D500" s="90" t="s">
        <v>1574</v>
      </c>
      <c r="E500" s="90" t="s">
        <v>1575</v>
      </c>
      <c r="F500" s="8" t="s">
        <v>1060</v>
      </c>
      <c r="G500" s="25" t="s">
        <v>386</v>
      </c>
      <c r="H500" s="55" t="s">
        <v>320</v>
      </c>
      <c r="I500" s="1" t="s">
        <v>69</v>
      </c>
      <c r="L500" s="123"/>
      <c r="T500" s="322" t="s">
        <v>1054</v>
      </c>
      <c r="U500" s="10" t="s">
        <v>66</v>
      </c>
      <c r="W500" s="68" t="s">
        <v>1493</v>
      </c>
      <c r="X500" s="28" t="s">
        <v>2</v>
      </c>
      <c r="Y500" s="17" t="s">
        <v>1399</v>
      </c>
      <c r="Z500" s="14" t="s">
        <v>5</v>
      </c>
      <c r="AA500" s="21" t="s">
        <v>3</v>
      </c>
      <c r="AB500" s="25" t="s">
        <v>105</v>
      </c>
      <c r="AD500" s="1" t="s">
        <v>69</v>
      </c>
      <c r="AE500" s="71" t="s">
        <v>1400</v>
      </c>
      <c r="AF500" s="72" t="s">
        <v>1157</v>
      </c>
      <c r="AG500" s="32" t="s">
        <v>1158</v>
      </c>
    </row>
    <row r="501" spans="1:46">
      <c r="B501" s="79">
        <v>705</v>
      </c>
      <c r="C501" s="92">
        <v>1518</v>
      </c>
      <c r="D501" s="79">
        <v>705</v>
      </c>
      <c r="E501" s="92">
        <v>1518</v>
      </c>
      <c r="F501" s="57">
        <v>40.08</v>
      </c>
      <c r="G501" s="79">
        <v>2855</v>
      </c>
      <c r="H501" s="8" t="s">
        <v>1403</v>
      </c>
      <c r="I501" s="22" t="s">
        <v>335</v>
      </c>
      <c r="J501" s="8">
        <f>IFERROR(VLOOKUP($G501,今日總結!$A:$AJ,33,0),"")</f>
        <v>0</v>
      </c>
      <c r="K501" s="5">
        <f>IFERROR(VLOOKUP($G501,今日總結!$A:$AJ,34,0),"")</f>
        <v>1</v>
      </c>
      <c r="L501" s="156">
        <f>IFERROR(VLOOKUP($G501,今日總結!$A:$AJ,31,0),"")</f>
        <v>0</v>
      </c>
      <c r="M501" s="340">
        <f>IFERROR(VLOOKUP($G501,今日總結!$A:$AJ,32,0),"")</f>
        <v>0</v>
      </c>
      <c r="N501" s="240">
        <f t="shared" ref="N501:N503" si="161">IFERROR(L501-M501,"")</f>
        <v>0</v>
      </c>
      <c r="P501" s="365">
        <f>IFERROR(VLOOKUP($G501,融外自投!$A:$J,7,0),"無")</f>
        <v>1281</v>
      </c>
      <c r="Q501" s="79">
        <f>IFERROR(VLOOKUP($G501,融外自投!$A:$J,9,0),"無")</f>
        <v>1051</v>
      </c>
      <c r="R501" s="346">
        <f>IFERROR(VLOOKUP($G501,融外自投!$A:$J,8,0),"無")</f>
        <v>569</v>
      </c>
      <c r="S501" s="81">
        <f>IFERROR(VLOOKUP($G501,融外自投!$A:$J,10,0),"無")</f>
        <v>416</v>
      </c>
      <c r="T501" s="327">
        <f>IFERROR(VLOOKUP($G501,'321買'!$A:$E,5,0),"'沒有資料'")</f>
        <v>1066</v>
      </c>
      <c r="U501" s="34">
        <v>0.69</v>
      </c>
      <c r="W501" s="94">
        <f t="shared" ref="W501:W506" si="162">U501/X501</f>
        <v>5.1685393258426963E-2</v>
      </c>
      <c r="X501" s="13">
        <v>13.35</v>
      </c>
      <c r="Y501" s="66">
        <f>14.32-0.69</f>
        <v>13.63</v>
      </c>
      <c r="Z501" s="15">
        <f t="shared" ref="Z501:Z507" si="163">X501-Y501</f>
        <v>-0.28000000000000114</v>
      </c>
      <c r="AA501" s="76">
        <f t="shared" ref="AA501:AA507" si="164">Z501/Y501</f>
        <v>-2.0542920029347111E-2</v>
      </c>
      <c r="AB501" s="112" t="s">
        <v>1591</v>
      </c>
      <c r="AD501" s="22" t="s">
        <v>335</v>
      </c>
      <c r="AE501" s="84">
        <v>43362</v>
      </c>
      <c r="AF501" s="83">
        <v>43724</v>
      </c>
      <c r="AG501" s="33">
        <f t="shared" ref="AG501:AG506" si="165">AF501-AE501</f>
        <v>362</v>
      </c>
      <c r="AH501" s="116"/>
      <c r="AK501" s="11"/>
      <c r="AL501" s="11"/>
      <c r="AM501" s="11"/>
      <c r="AN501" s="11"/>
      <c r="AQ501" s="7"/>
      <c r="AR501" s="31"/>
      <c r="AS501" s="7"/>
      <c r="AT501" s="7"/>
    </row>
    <row r="502" spans="1:46">
      <c r="B502" s="79">
        <v>705</v>
      </c>
      <c r="C502" s="92">
        <v>1518</v>
      </c>
      <c r="D502" s="79">
        <v>705</v>
      </c>
      <c r="E502" s="92">
        <v>1518</v>
      </c>
      <c r="F502" s="57">
        <v>40.08</v>
      </c>
      <c r="G502" s="79">
        <v>2855</v>
      </c>
      <c r="H502" s="8" t="s">
        <v>1403</v>
      </c>
      <c r="I502" s="22" t="s">
        <v>335</v>
      </c>
      <c r="J502" s="8">
        <f>IFERROR(VLOOKUP($G502,今日總結!$A:$AJ,33,0),"")</f>
        <v>0</v>
      </c>
      <c r="K502" s="5">
        <f>IFERROR(VLOOKUP($G502,今日總結!$A:$AJ,34,0),"")</f>
        <v>1</v>
      </c>
      <c r="L502" s="156">
        <f>IFERROR(VLOOKUP($G502,今日總結!$A:$AJ,31,0),"")</f>
        <v>0</v>
      </c>
      <c r="M502" s="340">
        <f>IFERROR(VLOOKUP($G502,今日總結!$A:$AJ,32,0),"")</f>
        <v>0</v>
      </c>
      <c r="N502" s="240">
        <f t="shared" si="161"/>
        <v>0</v>
      </c>
      <c r="P502" s="365">
        <f>IFERROR(VLOOKUP($G502,融外自投!$A:$J,7,0),"無")</f>
        <v>1281</v>
      </c>
      <c r="Q502" s="79">
        <f>IFERROR(VLOOKUP($G502,融外自投!$A:$J,9,0),"無")</f>
        <v>1051</v>
      </c>
      <c r="R502" s="346">
        <f>IFERROR(VLOOKUP($G502,融外自投!$A:$J,8,0),"無")</f>
        <v>569</v>
      </c>
      <c r="S502" s="81">
        <f>IFERROR(VLOOKUP($G502,融外自投!$A:$J,10,0),"無")</f>
        <v>416</v>
      </c>
      <c r="T502" s="327">
        <f>IFERROR(VLOOKUP($G502,'321買'!$A:$E,5,0),"'沒有資料'")</f>
        <v>1066</v>
      </c>
      <c r="U502" s="34">
        <v>0.69</v>
      </c>
      <c r="W502" s="94">
        <f t="shared" si="162"/>
        <v>5.1685393258426963E-2</v>
      </c>
      <c r="X502" s="13">
        <v>13.35</v>
      </c>
      <c r="Y502" s="66">
        <v>12.75</v>
      </c>
      <c r="Z502" s="15">
        <f t="shared" si="163"/>
        <v>0.59999999999999964</v>
      </c>
      <c r="AA502" s="63">
        <f t="shared" si="164"/>
        <v>4.7058823529411736E-2</v>
      </c>
      <c r="AB502" s="111" t="s">
        <v>1582</v>
      </c>
      <c r="AD502" s="22" t="s">
        <v>335</v>
      </c>
      <c r="AE502" s="84">
        <v>43689</v>
      </c>
      <c r="AF502" s="83">
        <v>43724</v>
      </c>
      <c r="AG502" s="33">
        <f t="shared" si="165"/>
        <v>35</v>
      </c>
      <c r="AH502" s="116"/>
      <c r="AK502" s="11"/>
      <c r="AL502" s="11"/>
      <c r="AM502" s="11"/>
      <c r="AN502" s="11"/>
      <c r="AQ502" s="7"/>
      <c r="AR502" s="31"/>
      <c r="AS502" s="7"/>
      <c r="AT502" s="7"/>
    </row>
    <row r="503" spans="1:46">
      <c r="B503" s="79">
        <v>705</v>
      </c>
      <c r="C503" s="92">
        <v>1518</v>
      </c>
      <c r="D503" s="79">
        <v>705</v>
      </c>
      <c r="E503" s="92">
        <v>1518</v>
      </c>
      <c r="F503" s="57">
        <v>40.08</v>
      </c>
      <c r="G503" s="79">
        <v>2855</v>
      </c>
      <c r="H503" s="30" t="s">
        <v>1462</v>
      </c>
      <c r="I503" s="22" t="s">
        <v>335</v>
      </c>
      <c r="J503" s="8">
        <f>IFERROR(VLOOKUP($G503,今日總結!$A:$AJ,33,0),"")</f>
        <v>0</v>
      </c>
      <c r="K503" s="5">
        <f>IFERROR(VLOOKUP($G503,今日總結!$A:$AJ,34,0),"")</f>
        <v>1</v>
      </c>
      <c r="L503" s="156">
        <f>IFERROR(VLOOKUP($G503,今日總結!$A:$AJ,31,0),"")</f>
        <v>0</v>
      </c>
      <c r="M503" s="340">
        <f>IFERROR(VLOOKUP($G503,今日總結!$A:$AJ,32,0),"")</f>
        <v>0</v>
      </c>
      <c r="N503" s="240">
        <f t="shared" si="161"/>
        <v>0</v>
      </c>
      <c r="P503" s="365">
        <f>IFERROR(VLOOKUP($G503,融外自投!$A:$J,7,0),"無")</f>
        <v>1281</v>
      </c>
      <c r="Q503" s="79">
        <f>IFERROR(VLOOKUP($G503,融外自投!$A:$J,9,0),"無")</f>
        <v>1051</v>
      </c>
      <c r="R503" s="346">
        <f>IFERROR(VLOOKUP($G503,融外自投!$A:$J,8,0),"無")</f>
        <v>569</v>
      </c>
      <c r="S503" s="81">
        <f>IFERROR(VLOOKUP($G503,融外自投!$A:$J,10,0),"無")</f>
        <v>416</v>
      </c>
      <c r="T503" s="327">
        <f>IFERROR(VLOOKUP($G503,'321買'!$A:$E,5,0),"'沒有資料'")</f>
        <v>1066</v>
      </c>
      <c r="U503" s="34">
        <v>0.69</v>
      </c>
      <c r="W503" s="94">
        <f t="shared" si="162"/>
        <v>5.1685393258426963E-2</v>
      </c>
      <c r="X503" s="13">
        <v>13.35</v>
      </c>
      <c r="Y503" s="66">
        <v>12.75</v>
      </c>
      <c r="Z503" s="15">
        <f t="shared" si="163"/>
        <v>0.59999999999999964</v>
      </c>
      <c r="AA503" s="63">
        <f t="shared" si="164"/>
        <v>4.7058823529411736E-2</v>
      </c>
      <c r="AB503" s="111" t="s">
        <v>1582</v>
      </c>
      <c r="AD503" s="22" t="s">
        <v>335</v>
      </c>
      <c r="AE503" s="84">
        <v>43689</v>
      </c>
      <c r="AF503" s="83">
        <v>43724</v>
      </c>
      <c r="AG503" s="33">
        <f t="shared" si="165"/>
        <v>35</v>
      </c>
      <c r="AH503" s="116"/>
      <c r="AK503" s="11"/>
      <c r="AL503" s="11"/>
      <c r="AM503" s="11"/>
      <c r="AN503" s="11"/>
      <c r="AQ503" s="7"/>
      <c r="AR503" s="31"/>
      <c r="AS503" s="7"/>
      <c r="AT503" s="7"/>
    </row>
    <row r="504" spans="1:46">
      <c r="B504" s="79">
        <v>705</v>
      </c>
      <c r="C504" s="92">
        <v>1518</v>
      </c>
      <c r="D504" s="79">
        <v>705</v>
      </c>
      <c r="E504" s="92">
        <v>1518</v>
      </c>
      <c r="F504" s="57">
        <v>40.08</v>
      </c>
      <c r="G504" s="79">
        <v>2855</v>
      </c>
      <c r="H504" s="30" t="s">
        <v>1462</v>
      </c>
      <c r="I504" s="22" t="s">
        <v>335</v>
      </c>
      <c r="J504" s="8">
        <f>IFERROR(VLOOKUP($G504,今日總結!$A:$AJ,33,0),"")</f>
        <v>0</v>
      </c>
      <c r="K504" s="5">
        <f>IFERROR(VLOOKUP($G504,今日總結!$A:$AJ,34,0),"")</f>
        <v>1</v>
      </c>
      <c r="L504" s="156">
        <f>IFERROR(VLOOKUP($G504,今日總結!$A:$AJ,31,0),"")</f>
        <v>0</v>
      </c>
      <c r="M504" s="340">
        <f>IFERROR(VLOOKUP($G504,今日總結!$A:$AJ,32,0),"")</f>
        <v>0</v>
      </c>
      <c r="N504" s="240">
        <f t="shared" ref="N504:N506" si="166">IFERROR(L504-M504,"")</f>
        <v>0</v>
      </c>
      <c r="P504" s="365">
        <f>IFERROR(VLOOKUP($G504,融外自投!$A:$J,7,0),"無")</f>
        <v>1281</v>
      </c>
      <c r="Q504" s="79">
        <f>IFERROR(VLOOKUP($G504,融外自投!$A:$J,9,0),"無")</f>
        <v>1051</v>
      </c>
      <c r="R504" s="346">
        <f>IFERROR(VLOOKUP($G504,融外自投!$A:$J,8,0),"無")</f>
        <v>569</v>
      </c>
      <c r="S504" s="81">
        <f>IFERROR(VLOOKUP($G504,融外自投!$A:$J,10,0),"無")</f>
        <v>416</v>
      </c>
      <c r="T504" s="327">
        <f>IFERROR(VLOOKUP($G504,'321買'!$A:$E,5,0),"'沒有資料'")</f>
        <v>1066</v>
      </c>
      <c r="U504" s="34">
        <v>0.69</v>
      </c>
      <c r="W504" s="94">
        <f t="shared" si="162"/>
        <v>5.1685393258426963E-2</v>
      </c>
      <c r="X504" s="13">
        <v>13.35</v>
      </c>
      <c r="Y504" s="66">
        <v>12.75</v>
      </c>
      <c r="Z504" s="15">
        <f t="shared" si="163"/>
        <v>0.59999999999999964</v>
      </c>
      <c r="AA504" s="63">
        <f t="shared" si="164"/>
        <v>4.7058823529411736E-2</v>
      </c>
      <c r="AB504" s="111" t="s">
        <v>1582</v>
      </c>
      <c r="AD504" s="22" t="s">
        <v>335</v>
      </c>
      <c r="AE504" s="84">
        <v>43689</v>
      </c>
      <c r="AF504" s="83">
        <v>43724</v>
      </c>
      <c r="AG504" s="33">
        <f t="shared" si="165"/>
        <v>35</v>
      </c>
      <c r="AH504" s="116"/>
      <c r="AK504" s="11"/>
      <c r="AL504" s="11"/>
      <c r="AM504" s="11"/>
      <c r="AN504" s="11"/>
      <c r="AQ504" s="7"/>
      <c r="AR504" s="31"/>
      <c r="AS504" s="7"/>
      <c r="AT504" s="7"/>
    </row>
    <row r="505" spans="1:46">
      <c r="B505" s="79">
        <v>705</v>
      </c>
      <c r="C505" s="92">
        <v>1518</v>
      </c>
      <c r="D505" s="79">
        <v>705</v>
      </c>
      <c r="E505" s="92">
        <v>1518</v>
      </c>
      <c r="F505" s="57">
        <v>40.08</v>
      </c>
      <c r="G505" s="79">
        <v>2855</v>
      </c>
      <c r="H505" s="50" t="s">
        <v>1404</v>
      </c>
      <c r="I505" s="22" t="s">
        <v>335</v>
      </c>
      <c r="J505" s="8">
        <f>IFERROR(VLOOKUP($G505,今日總結!$A:$AJ,33,0),"")</f>
        <v>0</v>
      </c>
      <c r="K505" s="5">
        <f>IFERROR(VLOOKUP($G505,今日總結!$A:$AJ,34,0),"")</f>
        <v>1</v>
      </c>
      <c r="L505" s="156">
        <f>IFERROR(VLOOKUP($G505,今日總結!$A:$AJ,31,0),"")</f>
        <v>0</v>
      </c>
      <c r="M505" s="340">
        <f>IFERROR(VLOOKUP($G505,今日總結!$A:$AJ,32,0),"")</f>
        <v>0</v>
      </c>
      <c r="N505" s="240">
        <f t="shared" si="166"/>
        <v>0</v>
      </c>
      <c r="P505" s="365">
        <f>IFERROR(VLOOKUP($G505,融外自投!$A:$J,7,0),"無")</f>
        <v>1281</v>
      </c>
      <c r="Q505" s="79">
        <f>IFERROR(VLOOKUP($G505,融外自投!$A:$J,9,0),"無")</f>
        <v>1051</v>
      </c>
      <c r="R505" s="346">
        <f>IFERROR(VLOOKUP($G505,融外自投!$A:$J,8,0),"無")</f>
        <v>569</v>
      </c>
      <c r="S505" s="81">
        <f>IFERROR(VLOOKUP($G505,融外自投!$A:$J,10,0),"無")</f>
        <v>416</v>
      </c>
      <c r="T505" s="327">
        <f>IFERROR(VLOOKUP($G505,'321買'!$A:$E,5,0),"'沒有資料'")</f>
        <v>1066</v>
      </c>
      <c r="U505" s="34">
        <v>0.69</v>
      </c>
      <c r="W505" s="94">
        <f t="shared" si="162"/>
        <v>5.1685393258426963E-2</v>
      </c>
      <c r="X505" s="13">
        <v>13.35</v>
      </c>
      <c r="Y505" s="66">
        <f>14.32-0.69</f>
        <v>13.63</v>
      </c>
      <c r="Z505" s="15">
        <f t="shared" si="163"/>
        <v>-0.28000000000000114</v>
      </c>
      <c r="AA505" s="76">
        <f t="shared" si="164"/>
        <v>-2.0542920029347111E-2</v>
      </c>
      <c r="AB505" s="112" t="s">
        <v>1591</v>
      </c>
      <c r="AD505" s="22" t="s">
        <v>335</v>
      </c>
      <c r="AE505" s="84">
        <v>43368</v>
      </c>
      <c r="AF505" s="83">
        <v>43724</v>
      </c>
      <c r="AG505" s="33">
        <f t="shared" si="165"/>
        <v>356</v>
      </c>
      <c r="AH505" s="116"/>
      <c r="AK505" s="11"/>
      <c r="AL505" s="11"/>
      <c r="AM505" s="11"/>
      <c r="AN505" s="11"/>
      <c r="AQ505" s="7"/>
      <c r="AR505" s="31"/>
      <c r="AS505" s="7"/>
      <c r="AT505" s="7"/>
    </row>
    <row r="506" spans="1:46">
      <c r="B506" s="79">
        <v>705</v>
      </c>
      <c r="C506" s="92">
        <v>1518</v>
      </c>
      <c r="D506" s="79">
        <v>705</v>
      </c>
      <c r="E506" s="92">
        <v>1518</v>
      </c>
      <c r="F506" s="57">
        <v>40.08</v>
      </c>
      <c r="G506" s="79">
        <v>2855</v>
      </c>
      <c r="H506" s="50" t="s">
        <v>1404</v>
      </c>
      <c r="I506" s="22" t="s">
        <v>335</v>
      </c>
      <c r="J506" s="8">
        <f>IFERROR(VLOOKUP($G506,今日總結!$A:$AJ,33,0),"")</f>
        <v>0</v>
      </c>
      <c r="K506" s="5">
        <f>IFERROR(VLOOKUP($G506,今日總結!$A:$AJ,34,0),"")</f>
        <v>1</v>
      </c>
      <c r="L506" s="156">
        <f>IFERROR(VLOOKUP($G506,今日總結!$A:$AJ,31,0),"")</f>
        <v>0</v>
      </c>
      <c r="M506" s="340">
        <f>IFERROR(VLOOKUP($G506,今日總結!$A:$AJ,32,0),"")</f>
        <v>0</v>
      </c>
      <c r="N506" s="240">
        <f t="shared" si="166"/>
        <v>0</v>
      </c>
      <c r="P506" s="365">
        <f>IFERROR(VLOOKUP($G506,融外自投!$A:$J,7,0),"無")</f>
        <v>1281</v>
      </c>
      <c r="Q506" s="79">
        <f>IFERROR(VLOOKUP($G506,融外自投!$A:$J,9,0),"無")</f>
        <v>1051</v>
      </c>
      <c r="R506" s="346">
        <f>IFERROR(VLOOKUP($G506,融外自投!$A:$J,8,0),"無")</f>
        <v>569</v>
      </c>
      <c r="S506" s="81">
        <f>IFERROR(VLOOKUP($G506,融外自投!$A:$J,10,0),"無")</f>
        <v>416</v>
      </c>
      <c r="T506" s="327">
        <f>IFERROR(VLOOKUP($G506,'321買'!$A:$E,5,0),"'沒有資料'")</f>
        <v>1066</v>
      </c>
      <c r="U506" s="34">
        <v>0.69</v>
      </c>
      <c r="W506" s="94">
        <f t="shared" si="162"/>
        <v>5.1685393258426963E-2</v>
      </c>
      <c r="X506" s="13">
        <v>13.35</v>
      </c>
      <c r="Y506" s="66">
        <v>12.75</v>
      </c>
      <c r="Z506" s="15">
        <f t="shared" si="163"/>
        <v>0.59999999999999964</v>
      </c>
      <c r="AA506" s="63">
        <f t="shared" si="164"/>
        <v>4.7058823529411736E-2</v>
      </c>
      <c r="AB506" s="111" t="s">
        <v>1582</v>
      </c>
      <c r="AD506" s="22" t="s">
        <v>335</v>
      </c>
      <c r="AE506" s="84">
        <v>43689</v>
      </c>
      <c r="AF506" s="83">
        <v>43724</v>
      </c>
      <c r="AG506" s="33">
        <f t="shared" si="165"/>
        <v>35</v>
      </c>
      <c r="AH506" s="116"/>
      <c r="AK506" s="11"/>
      <c r="AL506" s="11"/>
      <c r="AM506" s="11"/>
      <c r="AN506" s="11"/>
      <c r="AQ506" s="7"/>
      <c r="AR506" s="31"/>
      <c r="AS506" s="7"/>
      <c r="AT506" s="7"/>
    </row>
    <row r="507" spans="1:46">
      <c r="B507" s="80"/>
      <c r="C507" s="80"/>
      <c r="D507" s="80"/>
      <c r="E507" s="80"/>
      <c r="F507" s="57"/>
      <c r="H507" s="8"/>
      <c r="I507" s="22"/>
      <c r="L507" s="123"/>
      <c r="U507" s="34"/>
      <c r="W507" s="94"/>
      <c r="X507" s="13">
        <f>SUM(X501:X506)</f>
        <v>80.099999999999994</v>
      </c>
      <c r="Y507" s="45">
        <f>SUM(Y501:Y506)</f>
        <v>78.260000000000005</v>
      </c>
      <c r="Z507" s="15">
        <f t="shared" si="163"/>
        <v>1.8399999999999892</v>
      </c>
      <c r="AA507" s="63">
        <f t="shared" si="164"/>
        <v>2.351137234858151E-2</v>
      </c>
      <c r="AB507" s="112"/>
      <c r="AD507" s="22"/>
      <c r="AG507" s="33"/>
    </row>
    <row r="508" spans="1:46">
      <c r="A508" s="127" t="s">
        <v>1673</v>
      </c>
      <c r="B508" s="90" t="s">
        <v>1572</v>
      </c>
      <c r="C508" s="90" t="s">
        <v>1573</v>
      </c>
      <c r="D508" s="90" t="s">
        <v>1574</v>
      </c>
      <c r="E508" s="90" t="s">
        <v>1575</v>
      </c>
      <c r="F508" s="8" t="s">
        <v>1060</v>
      </c>
      <c r="G508" s="25" t="s">
        <v>386</v>
      </c>
      <c r="H508" s="55" t="s">
        <v>320</v>
      </c>
      <c r="I508" s="1" t="s">
        <v>69</v>
      </c>
      <c r="L508" s="123"/>
      <c r="T508" s="322" t="s">
        <v>1054</v>
      </c>
      <c r="U508" s="10" t="s">
        <v>66</v>
      </c>
      <c r="W508" s="68" t="s">
        <v>1493</v>
      </c>
      <c r="X508" s="28" t="s">
        <v>2</v>
      </c>
      <c r="Y508" s="17" t="s">
        <v>1399</v>
      </c>
      <c r="Z508" s="14" t="s">
        <v>5</v>
      </c>
      <c r="AA508" s="21" t="s">
        <v>3</v>
      </c>
      <c r="AB508" s="25" t="s">
        <v>105</v>
      </c>
      <c r="AD508" s="1" t="s">
        <v>69</v>
      </c>
      <c r="AE508" s="71" t="s">
        <v>1400</v>
      </c>
      <c r="AF508" s="72" t="s">
        <v>1157</v>
      </c>
      <c r="AG508" s="32" t="s">
        <v>1158</v>
      </c>
    </row>
    <row r="509" spans="1:46">
      <c r="B509" s="80">
        <v>-73</v>
      </c>
      <c r="C509" s="80">
        <v>-96</v>
      </c>
      <c r="D509" s="80">
        <v>-73</v>
      </c>
      <c r="E509" s="80">
        <v>-96</v>
      </c>
      <c r="F509" s="6">
        <v>0.63</v>
      </c>
      <c r="G509" s="79">
        <v>1710</v>
      </c>
      <c r="H509" s="30" t="s">
        <v>1462</v>
      </c>
      <c r="I509" s="22" t="s">
        <v>317</v>
      </c>
      <c r="J509" s="8" t="str">
        <f>IFERROR(VLOOKUP($G509,今日總結!$A:$AJ,33,0),"")</f>
        <v/>
      </c>
      <c r="K509" s="5" t="str">
        <f>IFERROR(VLOOKUP($G509,今日總結!$A:$AJ,34,0),"")</f>
        <v/>
      </c>
      <c r="L509" s="156" t="str">
        <f>IFERROR(VLOOKUP($G509,今日總結!$A:$AJ,31,0),"")</f>
        <v/>
      </c>
      <c r="M509" s="340" t="str">
        <f>IFERROR(VLOOKUP($G509,今日總結!$A:$AJ,32,0),"")</f>
        <v/>
      </c>
      <c r="N509" s="240" t="str">
        <f t="shared" ref="N509:N514" si="167">IFERROR(L509-M509,"")</f>
        <v/>
      </c>
      <c r="P509" s="365">
        <f>IFERROR(VLOOKUP($G509,融外自投!$A:$J,7,0),"無")</f>
        <v>885</v>
      </c>
      <c r="Q509" s="79">
        <f>IFERROR(VLOOKUP($G509,融外自投!$A:$J,9,0),"無")</f>
        <v>215</v>
      </c>
      <c r="R509" s="346">
        <f>IFERROR(VLOOKUP($G509,融外自投!$A:$J,8,0),"無")</f>
        <v>589</v>
      </c>
      <c r="S509" s="81">
        <f>IFERROR(VLOOKUP($G509,融外自投!$A:$J,10,0),"無")</f>
        <v>437</v>
      </c>
      <c r="T509" s="327">
        <f>IFERROR(VLOOKUP($G509,'321買'!$A:$E,5,0),"'沒有資料'")</f>
        <v>217</v>
      </c>
      <c r="U509" s="34">
        <v>1.75</v>
      </c>
      <c r="W509" s="94">
        <f t="shared" ref="W509:W514" si="168">U509/X509</f>
        <v>7.7433628318584066E-2</v>
      </c>
      <c r="X509" s="13">
        <v>22.6</v>
      </c>
      <c r="Y509" s="66">
        <v>23.9</v>
      </c>
      <c r="Z509" s="15">
        <f t="shared" ref="Z509:Z515" si="169">X509-Y509</f>
        <v>-1.2999999999999972</v>
      </c>
      <c r="AA509" s="76">
        <f t="shared" ref="AA509:AA515" si="170">Z509/Y509</f>
        <v>-5.4393305439330429E-2</v>
      </c>
      <c r="AB509" s="112" t="s">
        <v>1553</v>
      </c>
      <c r="AD509" s="22" t="s">
        <v>317</v>
      </c>
      <c r="AE509" s="84">
        <v>43675</v>
      </c>
      <c r="AF509" s="83">
        <v>43724</v>
      </c>
      <c r="AG509" s="33">
        <f t="shared" ref="AG509:AG514" si="171">AF509-AE509</f>
        <v>49</v>
      </c>
      <c r="AH509" s="116"/>
    </row>
    <row r="510" spans="1:46" ht="16.5" customHeight="1">
      <c r="A510" s="116"/>
      <c r="B510" s="80">
        <v>-105</v>
      </c>
      <c r="C510" s="80">
        <v>-112</v>
      </c>
      <c r="D510" s="80">
        <v>-105</v>
      </c>
      <c r="E510" s="80">
        <v>-112</v>
      </c>
      <c r="F510" s="6">
        <v>-1.92</v>
      </c>
      <c r="G510" s="79">
        <v>1710</v>
      </c>
      <c r="H510" s="30" t="s">
        <v>1462</v>
      </c>
      <c r="I510" s="22" t="s">
        <v>317</v>
      </c>
      <c r="J510" s="8" t="str">
        <f>IFERROR(VLOOKUP($G510,今日總結!$A:$AJ,33,0),"")</f>
        <v/>
      </c>
      <c r="K510" s="5" t="str">
        <f>IFERROR(VLOOKUP($G510,今日總結!$A:$AJ,34,0),"")</f>
        <v/>
      </c>
      <c r="L510" s="156" t="str">
        <f>IFERROR(VLOOKUP($G510,今日總結!$A:$AJ,31,0),"")</f>
        <v/>
      </c>
      <c r="M510" s="340" t="str">
        <f>IFERROR(VLOOKUP($G510,今日總結!$A:$AJ,32,0),"")</f>
        <v/>
      </c>
      <c r="N510" s="240" t="str">
        <f t="shared" si="167"/>
        <v/>
      </c>
      <c r="P510" s="365">
        <f>IFERROR(VLOOKUP($G510,融外自投!$A:$J,7,0),"無")</f>
        <v>885</v>
      </c>
      <c r="Q510" s="79">
        <f>IFERROR(VLOOKUP($G510,融外自投!$A:$J,9,0),"無")</f>
        <v>215</v>
      </c>
      <c r="R510" s="346">
        <f>IFERROR(VLOOKUP($G510,融外自投!$A:$J,8,0),"無")</f>
        <v>589</v>
      </c>
      <c r="S510" s="81">
        <f>IFERROR(VLOOKUP($G510,融外自投!$A:$J,10,0),"無")</f>
        <v>437</v>
      </c>
      <c r="T510" s="327">
        <f>IFERROR(VLOOKUP($G510,'321買'!$A:$E,5,0),"'沒有資料'")</f>
        <v>217</v>
      </c>
      <c r="U510" s="34">
        <v>1.75</v>
      </c>
      <c r="W510" s="94">
        <f t="shared" si="168"/>
        <v>7.7433628318584066E-2</v>
      </c>
      <c r="X510" s="36">
        <v>22.6</v>
      </c>
      <c r="Y510" s="66">
        <v>21.15</v>
      </c>
      <c r="Z510" s="15">
        <f t="shared" si="169"/>
        <v>1.4500000000000028</v>
      </c>
      <c r="AA510" s="63">
        <f t="shared" si="170"/>
        <v>6.855791962174955E-2</v>
      </c>
      <c r="AB510" s="111" t="s">
        <v>1581</v>
      </c>
      <c r="AD510" s="22" t="s">
        <v>317</v>
      </c>
      <c r="AE510" s="84">
        <v>43707</v>
      </c>
      <c r="AF510" s="83">
        <v>43724</v>
      </c>
      <c r="AG510" s="33">
        <f t="shared" si="171"/>
        <v>17</v>
      </c>
      <c r="AH510" s="116"/>
      <c r="AI510" s="245"/>
    </row>
    <row r="511" spans="1:46" ht="16.5" customHeight="1">
      <c r="A511" s="116"/>
      <c r="B511" s="80">
        <v>-105</v>
      </c>
      <c r="C511" s="80">
        <v>-112</v>
      </c>
      <c r="D511" s="80">
        <v>-105</v>
      </c>
      <c r="E511" s="80">
        <v>-112</v>
      </c>
      <c r="F511" s="6">
        <v>-1.92</v>
      </c>
      <c r="G511" s="79">
        <v>1710</v>
      </c>
      <c r="H511" s="30" t="s">
        <v>1462</v>
      </c>
      <c r="I511" s="22" t="s">
        <v>317</v>
      </c>
      <c r="J511" s="8" t="str">
        <f>IFERROR(VLOOKUP($G511,今日總結!$A:$AJ,33,0),"")</f>
        <v/>
      </c>
      <c r="K511" s="5" t="str">
        <f>IFERROR(VLOOKUP($G511,今日總結!$A:$AJ,34,0),"")</f>
        <v/>
      </c>
      <c r="L511" s="156" t="str">
        <f>IFERROR(VLOOKUP($G511,今日總結!$A:$AJ,31,0),"")</f>
        <v/>
      </c>
      <c r="M511" s="340" t="str">
        <f>IFERROR(VLOOKUP($G511,今日總結!$A:$AJ,32,0),"")</f>
        <v/>
      </c>
      <c r="N511" s="240" t="str">
        <f t="shared" si="167"/>
        <v/>
      </c>
      <c r="P511" s="365">
        <f>IFERROR(VLOOKUP($G511,融外自投!$A:$J,7,0),"無")</f>
        <v>885</v>
      </c>
      <c r="Q511" s="79">
        <f>IFERROR(VLOOKUP($G511,融外自投!$A:$J,9,0),"無")</f>
        <v>215</v>
      </c>
      <c r="R511" s="346">
        <f>IFERROR(VLOOKUP($G511,融外自投!$A:$J,8,0),"無")</f>
        <v>589</v>
      </c>
      <c r="S511" s="81">
        <f>IFERROR(VLOOKUP($G511,融外自投!$A:$J,10,0),"無")</f>
        <v>437</v>
      </c>
      <c r="T511" s="327">
        <f>IFERROR(VLOOKUP($G511,'321買'!$A:$E,5,0),"'沒有資料'")</f>
        <v>217</v>
      </c>
      <c r="U511" s="34">
        <v>1.75</v>
      </c>
      <c r="W511" s="94">
        <f t="shared" si="168"/>
        <v>7.7433628318584066E-2</v>
      </c>
      <c r="X511" s="36">
        <v>22.6</v>
      </c>
      <c r="Y511" s="66">
        <v>21.75</v>
      </c>
      <c r="Z511" s="15">
        <f t="shared" si="169"/>
        <v>0.85000000000000142</v>
      </c>
      <c r="AA511" s="63">
        <f t="shared" si="170"/>
        <v>3.9080459770115004E-2</v>
      </c>
      <c r="AB511" s="111" t="s">
        <v>1592</v>
      </c>
      <c r="AD511" s="22" t="s">
        <v>317</v>
      </c>
      <c r="AE511" s="84">
        <v>43711</v>
      </c>
      <c r="AF511" s="83">
        <v>43724</v>
      </c>
      <c r="AG511" s="33">
        <f t="shared" si="171"/>
        <v>13</v>
      </c>
      <c r="AH511" s="116"/>
      <c r="AI511" s="245"/>
    </row>
    <row r="512" spans="1:46">
      <c r="B512" s="80">
        <v>-73</v>
      </c>
      <c r="C512" s="80">
        <v>-96</v>
      </c>
      <c r="D512" s="80">
        <v>-73</v>
      </c>
      <c r="E512" s="80">
        <v>-96</v>
      </c>
      <c r="F512" s="6">
        <v>0.63</v>
      </c>
      <c r="G512" s="79">
        <v>1710</v>
      </c>
      <c r="H512" s="50" t="s">
        <v>1404</v>
      </c>
      <c r="I512" s="22" t="s">
        <v>317</v>
      </c>
      <c r="J512" s="8" t="str">
        <f>IFERROR(VLOOKUP($G512,今日總結!$A:$AJ,33,0),"")</f>
        <v/>
      </c>
      <c r="K512" s="5" t="str">
        <f>IFERROR(VLOOKUP($G512,今日總結!$A:$AJ,34,0),"")</f>
        <v/>
      </c>
      <c r="L512" s="156" t="str">
        <f>IFERROR(VLOOKUP($G512,今日總結!$A:$AJ,31,0),"")</f>
        <v/>
      </c>
      <c r="M512" s="340" t="str">
        <f>IFERROR(VLOOKUP($G512,今日總結!$A:$AJ,32,0),"")</f>
        <v/>
      </c>
      <c r="N512" s="240" t="str">
        <f t="shared" si="167"/>
        <v/>
      </c>
      <c r="P512" s="365">
        <f>IFERROR(VLOOKUP($G512,融外自投!$A:$J,7,0),"無")</f>
        <v>885</v>
      </c>
      <c r="Q512" s="79">
        <f>IFERROR(VLOOKUP($G512,融外自投!$A:$J,9,0),"無")</f>
        <v>215</v>
      </c>
      <c r="R512" s="346">
        <f>IFERROR(VLOOKUP($G512,融外自投!$A:$J,8,0),"無")</f>
        <v>589</v>
      </c>
      <c r="S512" s="81">
        <f>IFERROR(VLOOKUP($G512,融外自投!$A:$J,10,0),"無")</f>
        <v>437</v>
      </c>
      <c r="T512" s="327">
        <f>IFERROR(VLOOKUP($G512,'321買'!$A:$E,5,0),"'沒有資料'")</f>
        <v>217</v>
      </c>
      <c r="U512" s="34">
        <v>1.75</v>
      </c>
      <c r="W512" s="94">
        <f t="shared" si="168"/>
        <v>7.7433628318584066E-2</v>
      </c>
      <c r="X512" s="13">
        <v>22.6</v>
      </c>
      <c r="Y512" s="66">
        <v>23.9</v>
      </c>
      <c r="Z512" s="15">
        <f t="shared" si="169"/>
        <v>-1.2999999999999972</v>
      </c>
      <c r="AA512" s="76">
        <f t="shared" si="170"/>
        <v>-5.4393305439330429E-2</v>
      </c>
      <c r="AB512" s="112" t="s">
        <v>1553</v>
      </c>
      <c r="AD512" s="22" t="s">
        <v>317</v>
      </c>
      <c r="AE512" s="84">
        <v>43675</v>
      </c>
      <c r="AF512" s="83">
        <v>43724</v>
      </c>
      <c r="AG512" s="33">
        <f t="shared" si="171"/>
        <v>49</v>
      </c>
      <c r="AH512" s="116"/>
    </row>
    <row r="513" spans="1:35" ht="16.5" customHeight="1">
      <c r="A513" s="116"/>
      <c r="B513" s="80">
        <v>-105</v>
      </c>
      <c r="C513" s="80">
        <v>-112</v>
      </c>
      <c r="D513" s="80">
        <v>-105</v>
      </c>
      <c r="E513" s="80">
        <v>-112</v>
      </c>
      <c r="F513" s="6">
        <v>-1.92</v>
      </c>
      <c r="G513" s="79">
        <v>1710</v>
      </c>
      <c r="H513" s="50" t="s">
        <v>1404</v>
      </c>
      <c r="I513" s="22" t="s">
        <v>317</v>
      </c>
      <c r="J513" s="8" t="str">
        <f>IFERROR(VLOOKUP($G513,今日總結!$A:$AJ,33,0),"")</f>
        <v/>
      </c>
      <c r="K513" s="5" t="str">
        <f>IFERROR(VLOOKUP($G513,今日總結!$A:$AJ,34,0),"")</f>
        <v/>
      </c>
      <c r="L513" s="156" t="str">
        <f>IFERROR(VLOOKUP($G513,今日總結!$A:$AJ,31,0),"")</f>
        <v/>
      </c>
      <c r="M513" s="340" t="str">
        <f>IFERROR(VLOOKUP($G513,今日總結!$A:$AJ,32,0),"")</f>
        <v/>
      </c>
      <c r="N513" s="240" t="str">
        <f t="shared" si="167"/>
        <v/>
      </c>
      <c r="P513" s="365">
        <f>IFERROR(VLOOKUP($G513,融外自投!$A:$J,7,0),"無")</f>
        <v>885</v>
      </c>
      <c r="Q513" s="79">
        <f>IFERROR(VLOOKUP($G513,融外自投!$A:$J,9,0),"無")</f>
        <v>215</v>
      </c>
      <c r="R513" s="346">
        <f>IFERROR(VLOOKUP($G513,融外自投!$A:$J,8,0),"無")</f>
        <v>589</v>
      </c>
      <c r="S513" s="81">
        <f>IFERROR(VLOOKUP($G513,融外自投!$A:$J,10,0),"無")</f>
        <v>437</v>
      </c>
      <c r="T513" s="327">
        <f>IFERROR(VLOOKUP($G513,'321買'!$A:$E,5,0),"'沒有資料'")</f>
        <v>217</v>
      </c>
      <c r="U513" s="34">
        <v>1.75</v>
      </c>
      <c r="W513" s="94">
        <f t="shared" si="168"/>
        <v>7.7433628318584066E-2</v>
      </c>
      <c r="X513" s="36">
        <v>22.6</v>
      </c>
      <c r="Y513" s="66">
        <v>21.15</v>
      </c>
      <c r="Z513" s="15">
        <f t="shared" si="169"/>
        <v>1.4500000000000028</v>
      </c>
      <c r="AA513" s="63">
        <f t="shared" si="170"/>
        <v>6.855791962174955E-2</v>
      </c>
      <c r="AB513" s="111" t="s">
        <v>1581</v>
      </c>
      <c r="AD513" s="22" t="s">
        <v>317</v>
      </c>
      <c r="AE513" s="84">
        <v>43707</v>
      </c>
      <c r="AF513" s="83">
        <v>43724</v>
      </c>
      <c r="AG513" s="33">
        <f t="shared" si="171"/>
        <v>17</v>
      </c>
      <c r="AH513" s="116"/>
      <c r="AI513" s="245"/>
    </row>
    <row r="514" spans="1:35" ht="16.5" customHeight="1">
      <c r="A514" s="116"/>
      <c r="B514" s="80">
        <v>-105</v>
      </c>
      <c r="C514" s="80">
        <v>-112</v>
      </c>
      <c r="D514" s="80">
        <v>-105</v>
      </c>
      <c r="E514" s="80">
        <v>-112</v>
      </c>
      <c r="F514" s="6">
        <v>-1.92</v>
      </c>
      <c r="G514" s="79">
        <v>1710</v>
      </c>
      <c r="H514" s="50" t="s">
        <v>1404</v>
      </c>
      <c r="I514" s="22" t="s">
        <v>317</v>
      </c>
      <c r="J514" s="8" t="str">
        <f>IFERROR(VLOOKUP($G514,今日總結!$A:$AJ,33,0),"")</f>
        <v/>
      </c>
      <c r="K514" s="5" t="str">
        <f>IFERROR(VLOOKUP($G514,今日總結!$A:$AJ,34,0),"")</f>
        <v/>
      </c>
      <c r="L514" s="156" t="str">
        <f>IFERROR(VLOOKUP($G514,今日總結!$A:$AJ,31,0),"")</f>
        <v/>
      </c>
      <c r="M514" s="340" t="str">
        <f>IFERROR(VLOOKUP($G514,今日總結!$A:$AJ,32,0),"")</f>
        <v/>
      </c>
      <c r="N514" s="240" t="str">
        <f t="shared" si="167"/>
        <v/>
      </c>
      <c r="P514" s="365">
        <f>IFERROR(VLOOKUP($G514,融外自投!$A:$J,7,0),"無")</f>
        <v>885</v>
      </c>
      <c r="Q514" s="79">
        <f>IFERROR(VLOOKUP($G514,融外自投!$A:$J,9,0),"無")</f>
        <v>215</v>
      </c>
      <c r="R514" s="346">
        <f>IFERROR(VLOOKUP($G514,融外自投!$A:$J,8,0),"無")</f>
        <v>589</v>
      </c>
      <c r="S514" s="81">
        <f>IFERROR(VLOOKUP($G514,融外自投!$A:$J,10,0),"無")</f>
        <v>437</v>
      </c>
      <c r="T514" s="327">
        <f>IFERROR(VLOOKUP($G514,'321買'!$A:$E,5,0),"'沒有資料'")</f>
        <v>217</v>
      </c>
      <c r="U514" s="34">
        <v>1.75</v>
      </c>
      <c r="W514" s="94">
        <f t="shared" si="168"/>
        <v>7.7433628318584066E-2</v>
      </c>
      <c r="X514" s="36">
        <v>22.6</v>
      </c>
      <c r="Y514" s="66">
        <v>21.75</v>
      </c>
      <c r="Z514" s="15">
        <f t="shared" si="169"/>
        <v>0.85000000000000142</v>
      </c>
      <c r="AA514" s="63">
        <f t="shared" si="170"/>
        <v>3.9080459770115004E-2</v>
      </c>
      <c r="AB514" s="111" t="s">
        <v>1592</v>
      </c>
      <c r="AD514" s="22" t="s">
        <v>317</v>
      </c>
      <c r="AE514" s="84">
        <v>43711</v>
      </c>
      <c r="AF514" s="83">
        <v>43724</v>
      </c>
      <c r="AG514" s="33">
        <f t="shared" si="171"/>
        <v>13</v>
      </c>
      <c r="AH514" s="116"/>
      <c r="AI514" s="245"/>
    </row>
    <row r="515" spans="1:35">
      <c r="B515" s="80"/>
      <c r="C515" s="80"/>
      <c r="D515" s="80"/>
      <c r="E515" s="80"/>
      <c r="F515" s="6"/>
      <c r="G515" s="41"/>
      <c r="H515" s="8"/>
      <c r="I515" s="22"/>
      <c r="L515" s="123"/>
      <c r="U515" s="34"/>
      <c r="W515" s="94"/>
      <c r="X515" s="13">
        <f>SUM(X509:X514)</f>
        <v>135.6</v>
      </c>
      <c r="Y515" s="66">
        <f>SUM(Y509:Y514)</f>
        <v>133.6</v>
      </c>
      <c r="Z515" s="15">
        <f t="shared" si="169"/>
        <v>2</v>
      </c>
      <c r="AA515" s="63">
        <f t="shared" si="170"/>
        <v>1.4970059880239521E-2</v>
      </c>
      <c r="AB515" s="112"/>
      <c r="AD515" s="22"/>
      <c r="AG515" s="33"/>
      <c r="AH515" s="116"/>
    </row>
    <row r="516" spans="1:35">
      <c r="A516" s="127" t="s">
        <v>1673</v>
      </c>
      <c r="B516" s="90" t="s">
        <v>1572</v>
      </c>
      <c r="C516" s="90" t="s">
        <v>1573</v>
      </c>
      <c r="D516" s="90" t="s">
        <v>1574</v>
      </c>
      <c r="E516" s="90" t="s">
        <v>1575</v>
      </c>
      <c r="F516" s="8" t="s">
        <v>1060</v>
      </c>
      <c r="G516" s="25" t="s">
        <v>386</v>
      </c>
      <c r="H516" s="55" t="s">
        <v>320</v>
      </c>
      <c r="I516" s="1" t="s">
        <v>69</v>
      </c>
      <c r="L516" s="123"/>
      <c r="T516" s="322" t="s">
        <v>1054</v>
      </c>
      <c r="U516" s="10" t="s">
        <v>66</v>
      </c>
      <c r="W516" s="68" t="s">
        <v>1493</v>
      </c>
      <c r="X516" s="28" t="s">
        <v>2</v>
      </c>
      <c r="Y516" s="17" t="s">
        <v>1399</v>
      </c>
      <c r="Z516" s="14" t="s">
        <v>5</v>
      </c>
      <c r="AA516" s="21" t="s">
        <v>3</v>
      </c>
      <c r="AB516" s="25" t="s">
        <v>105</v>
      </c>
      <c r="AD516" s="1" t="s">
        <v>69</v>
      </c>
      <c r="AE516" s="71" t="s">
        <v>1400</v>
      </c>
      <c r="AF516" s="72" t="s">
        <v>1157</v>
      </c>
      <c r="AG516" s="32" t="s">
        <v>1158</v>
      </c>
    </row>
    <row r="517" spans="1:35">
      <c r="B517" s="80">
        <v>-68</v>
      </c>
      <c r="C517" s="80">
        <v>-85</v>
      </c>
      <c r="D517" s="80">
        <v>-68</v>
      </c>
      <c r="E517" s="80">
        <v>-85</v>
      </c>
      <c r="F517" s="6">
        <v>1.94</v>
      </c>
      <c r="G517" s="79">
        <v>1605</v>
      </c>
      <c r="H517" s="30" t="s">
        <v>1462</v>
      </c>
      <c r="I517" s="22" t="s">
        <v>110</v>
      </c>
      <c r="J517" s="8">
        <f>IFERROR(VLOOKUP($G517,今日總結!$A:$AJ,33,0),"")</f>
        <v>0</v>
      </c>
      <c r="K517" s="5">
        <f>IFERROR(VLOOKUP($G517,今日總結!$A:$AJ,34,0),"")</f>
        <v>1</v>
      </c>
      <c r="L517" s="156">
        <f>IFERROR(VLOOKUP($G517,今日總結!$A:$AJ,31,0),"")</f>
        <v>0</v>
      </c>
      <c r="M517" s="340">
        <f>IFERROR(VLOOKUP($G517,今日總結!$A:$AJ,32,0),"")</f>
        <v>0</v>
      </c>
      <c r="N517" s="240">
        <f t="shared" ref="N517:N522" si="172">IFERROR(L517-M517,"")</f>
        <v>0</v>
      </c>
      <c r="P517" s="365">
        <f>IFERROR(VLOOKUP($G517,融外自投!$A:$J,7,0),"無")</f>
        <v>782</v>
      </c>
      <c r="Q517" s="79">
        <f>IFERROR(VLOOKUP($G517,融外自投!$A:$J,9,0),"無")</f>
        <v>41</v>
      </c>
      <c r="R517" s="346">
        <f>IFERROR(VLOOKUP($G517,融外自投!$A:$J,8,0),"無")</f>
        <v>222</v>
      </c>
      <c r="S517" s="81">
        <f>IFERROR(VLOOKUP($G517,融外自投!$A:$J,10,0),"無")</f>
        <v>139</v>
      </c>
      <c r="T517" s="327">
        <f>IFERROR(VLOOKUP($G517,'321買'!$A:$E,5,0),"'沒有資料'")</f>
        <v>100</v>
      </c>
      <c r="U517" s="34">
        <v>1.2</v>
      </c>
      <c r="W517" s="94">
        <f t="shared" ref="W517:W526" si="173">U517/X517</f>
        <v>8.1355932203389825E-2</v>
      </c>
      <c r="X517" s="13">
        <v>14.75</v>
      </c>
      <c r="Y517" s="66">
        <v>15</v>
      </c>
      <c r="Z517" s="15">
        <f t="shared" ref="Z517:Z523" si="174">X517-Y517</f>
        <v>-0.25</v>
      </c>
      <c r="AA517" s="63">
        <f t="shared" ref="AA517:AA523" si="175">Z517/Y517</f>
        <v>-1.6666666666666666E-2</v>
      </c>
      <c r="AB517" s="111" t="s">
        <v>1500</v>
      </c>
      <c r="AD517" s="22" t="s">
        <v>110</v>
      </c>
      <c r="AE517" s="84">
        <v>43675</v>
      </c>
      <c r="AF517" s="83">
        <v>43724</v>
      </c>
      <c r="AG517" s="33">
        <f t="shared" ref="AG517:AG523" si="176">AF517-AE517</f>
        <v>49</v>
      </c>
      <c r="AH517" s="116"/>
    </row>
    <row r="518" spans="1:35" ht="16.5" customHeight="1">
      <c r="B518" s="80">
        <v>-68</v>
      </c>
      <c r="C518" s="80">
        <v>-85</v>
      </c>
      <c r="D518" s="80">
        <v>-68</v>
      </c>
      <c r="E518" s="80">
        <v>-85</v>
      </c>
      <c r="F518" s="6">
        <v>1.94</v>
      </c>
      <c r="G518" s="79">
        <v>1605</v>
      </c>
      <c r="H518" s="30" t="s">
        <v>1462</v>
      </c>
      <c r="I518" s="22" t="s">
        <v>110</v>
      </c>
      <c r="J518" s="8">
        <f>IFERROR(VLOOKUP($G518,今日總結!$A:$AJ,33,0),"")</f>
        <v>0</v>
      </c>
      <c r="K518" s="5">
        <f>IFERROR(VLOOKUP($G518,今日總結!$A:$AJ,34,0),"")</f>
        <v>1</v>
      </c>
      <c r="L518" s="156">
        <f>IFERROR(VLOOKUP($G518,今日總結!$A:$AJ,31,0),"")</f>
        <v>0</v>
      </c>
      <c r="M518" s="340">
        <f>IFERROR(VLOOKUP($G518,今日總結!$A:$AJ,32,0),"")</f>
        <v>0</v>
      </c>
      <c r="N518" s="240">
        <f t="shared" si="172"/>
        <v>0</v>
      </c>
      <c r="P518" s="365">
        <f>IFERROR(VLOOKUP($G518,融外自投!$A:$J,7,0),"無")</f>
        <v>782</v>
      </c>
      <c r="Q518" s="79">
        <f>IFERROR(VLOOKUP($G518,融外自投!$A:$J,9,0),"無")</f>
        <v>41</v>
      </c>
      <c r="R518" s="346">
        <f>IFERROR(VLOOKUP($G518,融外自投!$A:$J,8,0),"無")</f>
        <v>222</v>
      </c>
      <c r="S518" s="81">
        <f>IFERROR(VLOOKUP($G518,融外自投!$A:$J,10,0),"無")</f>
        <v>139</v>
      </c>
      <c r="T518" s="327">
        <f>IFERROR(VLOOKUP($G518,'321買'!$A:$E,5,0),"'沒有資料'")</f>
        <v>100</v>
      </c>
      <c r="U518" s="34">
        <v>1.2</v>
      </c>
      <c r="W518" s="94">
        <f t="shared" si="173"/>
        <v>8.1355932203389825E-2</v>
      </c>
      <c r="X518" s="36">
        <v>14.75</v>
      </c>
      <c r="Y518" s="66">
        <v>13.65</v>
      </c>
      <c r="Z518" s="15">
        <f t="shared" si="174"/>
        <v>1.0999999999999996</v>
      </c>
      <c r="AA518" s="63">
        <f t="shared" si="175"/>
        <v>8.0586080586080563E-2</v>
      </c>
      <c r="AB518" s="111" t="s">
        <v>1580</v>
      </c>
      <c r="AD518" s="22" t="s">
        <v>110</v>
      </c>
      <c r="AE518" s="84">
        <v>43699</v>
      </c>
      <c r="AF518" s="83">
        <v>43724</v>
      </c>
      <c r="AG518" s="33">
        <f t="shared" si="176"/>
        <v>25</v>
      </c>
      <c r="AH518" s="116"/>
    </row>
    <row r="519" spans="1:35" ht="16.5" customHeight="1">
      <c r="B519" s="80">
        <v>-68</v>
      </c>
      <c r="C519" s="80">
        <v>-85</v>
      </c>
      <c r="D519" s="80">
        <v>-68</v>
      </c>
      <c r="E519" s="80">
        <v>-85</v>
      </c>
      <c r="F519" s="6">
        <v>1.94</v>
      </c>
      <c r="G519" s="79">
        <v>1605</v>
      </c>
      <c r="H519" s="30" t="s">
        <v>1462</v>
      </c>
      <c r="I519" s="22" t="s">
        <v>110</v>
      </c>
      <c r="J519" s="8">
        <f>IFERROR(VLOOKUP($G519,今日總結!$A:$AJ,33,0),"")</f>
        <v>0</v>
      </c>
      <c r="K519" s="5">
        <f>IFERROR(VLOOKUP($G519,今日總結!$A:$AJ,34,0),"")</f>
        <v>1</v>
      </c>
      <c r="L519" s="156">
        <f>IFERROR(VLOOKUP($G519,今日總結!$A:$AJ,31,0),"")</f>
        <v>0</v>
      </c>
      <c r="M519" s="340">
        <f>IFERROR(VLOOKUP($G519,今日總結!$A:$AJ,32,0),"")</f>
        <v>0</v>
      </c>
      <c r="N519" s="240">
        <f t="shared" si="172"/>
        <v>0</v>
      </c>
      <c r="P519" s="365">
        <f>IFERROR(VLOOKUP($G519,融外自投!$A:$J,7,0),"無")</f>
        <v>782</v>
      </c>
      <c r="Q519" s="79">
        <f>IFERROR(VLOOKUP($G519,融外自投!$A:$J,9,0),"無")</f>
        <v>41</v>
      </c>
      <c r="R519" s="346">
        <f>IFERROR(VLOOKUP($G519,融外自投!$A:$J,8,0),"無")</f>
        <v>222</v>
      </c>
      <c r="S519" s="81">
        <f>IFERROR(VLOOKUP($G519,融外自投!$A:$J,10,0),"無")</f>
        <v>139</v>
      </c>
      <c r="T519" s="327">
        <f>IFERROR(VLOOKUP($G519,'321買'!$A:$E,5,0),"'沒有資料'")</f>
        <v>100</v>
      </c>
      <c r="U519" s="34">
        <v>1.2</v>
      </c>
      <c r="W519" s="94">
        <f t="shared" si="173"/>
        <v>8.1355932203389825E-2</v>
      </c>
      <c r="X519" s="36">
        <v>14.75</v>
      </c>
      <c r="Y519" s="66">
        <v>13.65</v>
      </c>
      <c r="Z519" s="15">
        <f t="shared" si="174"/>
        <v>1.0999999999999996</v>
      </c>
      <c r="AA519" s="63">
        <f t="shared" si="175"/>
        <v>8.0586080586080563E-2</v>
      </c>
      <c r="AB519" s="111" t="s">
        <v>1580</v>
      </c>
      <c r="AD519" s="22" t="s">
        <v>110</v>
      </c>
      <c r="AE519" s="84">
        <v>43699</v>
      </c>
      <c r="AF519" s="83">
        <v>43724</v>
      </c>
      <c r="AG519" s="33">
        <f t="shared" si="176"/>
        <v>25</v>
      </c>
      <c r="AH519" s="116"/>
    </row>
    <row r="520" spans="1:35" ht="16.5" customHeight="1">
      <c r="A520" s="116"/>
      <c r="B520" s="80">
        <v>-68</v>
      </c>
      <c r="C520" s="80">
        <v>-85</v>
      </c>
      <c r="D520" s="80">
        <v>-68</v>
      </c>
      <c r="E520" s="80">
        <v>-85</v>
      </c>
      <c r="F520" s="6">
        <v>1.94</v>
      </c>
      <c r="G520" s="79">
        <v>1605</v>
      </c>
      <c r="H520" s="30" t="s">
        <v>1462</v>
      </c>
      <c r="I520" s="22" t="s">
        <v>110</v>
      </c>
      <c r="J520" s="8">
        <f>IFERROR(VLOOKUP($G520,今日總結!$A:$AJ,33,0),"")</f>
        <v>0</v>
      </c>
      <c r="K520" s="5">
        <f>IFERROR(VLOOKUP($G520,今日總結!$A:$AJ,34,0),"")</f>
        <v>1</v>
      </c>
      <c r="L520" s="156">
        <f>IFERROR(VLOOKUP($G520,今日總結!$A:$AJ,31,0),"")</f>
        <v>0</v>
      </c>
      <c r="M520" s="340">
        <f>IFERROR(VLOOKUP($G520,今日總結!$A:$AJ,32,0),"")</f>
        <v>0</v>
      </c>
      <c r="N520" s="240">
        <f t="shared" si="172"/>
        <v>0</v>
      </c>
      <c r="P520" s="365">
        <f>IFERROR(VLOOKUP($G520,融外自投!$A:$J,7,0),"無")</f>
        <v>782</v>
      </c>
      <c r="Q520" s="79">
        <f>IFERROR(VLOOKUP($G520,融外自投!$A:$J,9,0),"無")</f>
        <v>41</v>
      </c>
      <c r="R520" s="346">
        <f>IFERROR(VLOOKUP($G520,融外自投!$A:$J,8,0),"無")</f>
        <v>222</v>
      </c>
      <c r="S520" s="81">
        <f>IFERROR(VLOOKUP($G520,融外自投!$A:$J,10,0),"無")</f>
        <v>139</v>
      </c>
      <c r="T520" s="327">
        <f>IFERROR(VLOOKUP($G520,'321買'!$A:$E,5,0),"'沒有資料'")</f>
        <v>100</v>
      </c>
      <c r="U520" s="34">
        <v>1.2</v>
      </c>
      <c r="W520" s="94">
        <f t="shared" si="173"/>
        <v>8.1355932203389825E-2</v>
      </c>
      <c r="X520" s="36">
        <v>14.75</v>
      </c>
      <c r="Y520" s="66">
        <v>14</v>
      </c>
      <c r="Z520" s="15">
        <f>X520-Y520</f>
        <v>0.75</v>
      </c>
      <c r="AA520" s="63">
        <f>Z520/Y520</f>
        <v>5.3571428571428568E-2</v>
      </c>
      <c r="AB520" s="111" t="s">
        <v>1459</v>
      </c>
      <c r="AD520" s="22" t="s">
        <v>110</v>
      </c>
      <c r="AE520" s="84">
        <v>43710</v>
      </c>
      <c r="AF520" s="83">
        <v>43724</v>
      </c>
      <c r="AG520" s="33">
        <f>AF520-AE520</f>
        <v>14</v>
      </c>
      <c r="AH520" s="116"/>
      <c r="AI520" s="245"/>
    </row>
    <row r="521" spans="1:35">
      <c r="B521" s="80">
        <v>-68</v>
      </c>
      <c r="C521" s="80">
        <v>-85</v>
      </c>
      <c r="D521" s="80">
        <v>-68</v>
      </c>
      <c r="E521" s="80">
        <v>-85</v>
      </c>
      <c r="F521" s="6">
        <v>1.94</v>
      </c>
      <c r="G521" s="79">
        <v>1605</v>
      </c>
      <c r="H521" s="50" t="s">
        <v>1404</v>
      </c>
      <c r="I521" s="22" t="s">
        <v>110</v>
      </c>
      <c r="J521" s="8">
        <f>IFERROR(VLOOKUP($G521,今日總結!$A:$AJ,33,0),"")</f>
        <v>0</v>
      </c>
      <c r="K521" s="5">
        <f>IFERROR(VLOOKUP($G521,今日總結!$A:$AJ,34,0),"")</f>
        <v>1</v>
      </c>
      <c r="L521" s="156">
        <f>IFERROR(VLOOKUP($G521,今日總結!$A:$AJ,31,0),"")</f>
        <v>0</v>
      </c>
      <c r="M521" s="340">
        <f>IFERROR(VLOOKUP($G521,今日總結!$A:$AJ,32,0),"")</f>
        <v>0</v>
      </c>
      <c r="N521" s="240">
        <f t="shared" si="172"/>
        <v>0</v>
      </c>
      <c r="P521" s="365">
        <f>IFERROR(VLOOKUP($G521,融外自投!$A:$J,7,0),"無")</f>
        <v>782</v>
      </c>
      <c r="Q521" s="79">
        <f>IFERROR(VLOOKUP($G521,融外自投!$A:$J,9,0),"無")</f>
        <v>41</v>
      </c>
      <c r="R521" s="346">
        <f>IFERROR(VLOOKUP($G521,融外自投!$A:$J,8,0),"無")</f>
        <v>222</v>
      </c>
      <c r="S521" s="81">
        <f>IFERROR(VLOOKUP($G521,融外自投!$A:$J,10,0),"無")</f>
        <v>139</v>
      </c>
      <c r="T521" s="327">
        <f>IFERROR(VLOOKUP($G521,'321買'!$A:$E,5,0),"'沒有資料'")</f>
        <v>100</v>
      </c>
      <c r="U521" s="34">
        <v>1.2</v>
      </c>
      <c r="W521" s="94">
        <f t="shared" si="173"/>
        <v>8.1355932203389825E-2</v>
      </c>
      <c r="X521" s="13">
        <v>14.75</v>
      </c>
      <c r="Y521" s="66">
        <v>15</v>
      </c>
      <c r="Z521" s="15">
        <f t="shared" si="174"/>
        <v>-0.25</v>
      </c>
      <c r="AA521" s="63">
        <f t="shared" si="175"/>
        <v>-1.6666666666666666E-2</v>
      </c>
      <c r="AB521" s="111" t="s">
        <v>1500</v>
      </c>
      <c r="AD521" s="22" t="s">
        <v>110</v>
      </c>
      <c r="AE521" s="84">
        <v>43675</v>
      </c>
      <c r="AF521" s="83">
        <v>43724</v>
      </c>
      <c r="AG521" s="33">
        <f t="shared" si="176"/>
        <v>49</v>
      </c>
      <c r="AH521" s="116"/>
    </row>
    <row r="522" spans="1:35" ht="16.5" customHeight="1">
      <c r="B522" s="80">
        <v>-68</v>
      </c>
      <c r="C522" s="80">
        <v>-85</v>
      </c>
      <c r="D522" s="80">
        <v>-68</v>
      </c>
      <c r="E522" s="80">
        <v>-85</v>
      </c>
      <c r="F522" s="6">
        <v>1.94</v>
      </c>
      <c r="G522" s="79">
        <v>1605</v>
      </c>
      <c r="H522" s="50" t="s">
        <v>1404</v>
      </c>
      <c r="I522" s="22" t="s">
        <v>110</v>
      </c>
      <c r="J522" s="8">
        <f>IFERROR(VLOOKUP($G522,今日總結!$A:$AJ,33,0),"")</f>
        <v>0</v>
      </c>
      <c r="K522" s="5">
        <f>IFERROR(VLOOKUP($G522,今日總結!$A:$AJ,34,0),"")</f>
        <v>1</v>
      </c>
      <c r="L522" s="156">
        <f>IFERROR(VLOOKUP($G522,今日總結!$A:$AJ,31,0),"")</f>
        <v>0</v>
      </c>
      <c r="M522" s="340">
        <f>IFERROR(VLOOKUP($G522,今日總結!$A:$AJ,32,0),"")</f>
        <v>0</v>
      </c>
      <c r="N522" s="240">
        <f t="shared" si="172"/>
        <v>0</v>
      </c>
      <c r="P522" s="365">
        <f>IFERROR(VLOOKUP($G522,融外自投!$A:$J,7,0),"無")</f>
        <v>782</v>
      </c>
      <c r="Q522" s="79">
        <f>IFERROR(VLOOKUP($G522,融外自投!$A:$J,9,0),"無")</f>
        <v>41</v>
      </c>
      <c r="R522" s="346">
        <f>IFERROR(VLOOKUP($G522,融外自投!$A:$J,8,0),"無")</f>
        <v>222</v>
      </c>
      <c r="S522" s="81">
        <f>IFERROR(VLOOKUP($G522,融外自投!$A:$J,10,0),"無")</f>
        <v>139</v>
      </c>
      <c r="T522" s="327">
        <f>IFERROR(VLOOKUP($G522,'321買'!$A:$E,5,0),"'沒有資料'")</f>
        <v>100</v>
      </c>
      <c r="U522" s="34">
        <v>1.2</v>
      </c>
      <c r="W522" s="94">
        <f t="shared" si="173"/>
        <v>8.1355932203389825E-2</v>
      </c>
      <c r="X522" s="36">
        <v>14.75</v>
      </c>
      <c r="Y522" s="66">
        <v>13.65</v>
      </c>
      <c r="Z522" s="15">
        <f t="shared" si="174"/>
        <v>1.0999999999999996</v>
      </c>
      <c r="AA522" s="63">
        <f t="shared" si="175"/>
        <v>8.0586080586080563E-2</v>
      </c>
      <c r="AB522" s="111" t="s">
        <v>1580</v>
      </c>
      <c r="AD522" s="22" t="s">
        <v>110</v>
      </c>
      <c r="AE522" s="84">
        <v>43699</v>
      </c>
      <c r="AF522" s="83">
        <v>43724</v>
      </c>
      <c r="AG522" s="33">
        <f t="shared" si="176"/>
        <v>25</v>
      </c>
      <c r="AH522" s="116"/>
    </row>
    <row r="523" spans="1:35" ht="16.5" customHeight="1">
      <c r="B523" s="80">
        <v>-68</v>
      </c>
      <c r="C523" s="80">
        <v>-85</v>
      </c>
      <c r="D523" s="80">
        <v>-68</v>
      </c>
      <c r="E523" s="80">
        <v>-85</v>
      </c>
      <c r="F523" s="6">
        <v>1.94</v>
      </c>
      <c r="G523" s="79">
        <v>1605</v>
      </c>
      <c r="H523" s="50" t="s">
        <v>1404</v>
      </c>
      <c r="I523" s="22" t="s">
        <v>110</v>
      </c>
      <c r="J523" s="8">
        <f>IFERROR(VLOOKUP($G523,今日總結!$A:$AJ,33,0),"")</f>
        <v>0</v>
      </c>
      <c r="K523" s="5">
        <f>IFERROR(VLOOKUP($G523,今日總結!$A:$AJ,34,0),"")</f>
        <v>1</v>
      </c>
      <c r="L523" s="156">
        <f>IFERROR(VLOOKUP($G523,今日總結!$A:$AJ,31,0),"")</f>
        <v>0</v>
      </c>
      <c r="M523" s="340">
        <f>IFERROR(VLOOKUP($G523,今日總結!$A:$AJ,32,0),"")</f>
        <v>0</v>
      </c>
      <c r="N523" s="240">
        <f t="shared" ref="N523:N526" si="177">IFERROR(L523-M523,"")</f>
        <v>0</v>
      </c>
      <c r="P523" s="365">
        <f>IFERROR(VLOOKUP($G523,融外自投!$A:$J,7,0),"無")</f>
        <v>782</v>
      </c>
      <c r="Q523" s="79">
        <f>IFERROR(VLOOKUP($G523,融外自投!$A:$J,9,0),"無")</f>
        <v>41</v>
      </c>
      <c r="R523" s="346">
        <f>IFERROR(VLOOKUP($G523,融外自投!$A:$J,8,0),"無")</f>
        <v>222</v>
      </c>
      <c r="S523" s="81">
        <f>IFERROR(VLOOKUP($G523,融外自投!$A:$J,10,0),"無")</f>
        <v>139</v>
      </c>
      <c r="T523" s="327">
        <f>IFERROR(VLOOKUP($G523,'321買'!$A:$E,5,0),"'沒有資料'")</f>
        <v>100</v>
      </c>
      <c r="U523" s="34">
        <v>1.2</v>
      </c>
      <c r="W523" s="94">
        <f t="shared" si="173"/>
        <v>8.1355932203389825E-2</v>
      </c>
      <c r="X523" s="36">
        <v>14.75</v>
      </c>
      <c r="Y523" s="66">
        <v>13.65</v>
      </c>
      <c r="Z523" s="15">
        <f t="shared" si="174"/>
        <v>1.0999999999999996</v>
      </c>
      <c r="AA523" s="63">
        <f t="shared" si="175"/>
        <v>8.0586080586080563E-2</v>
      </c>
      <c r="AB523" s="111" t="s">
        <v>1580</v>
      </c>
      <c r="AD523" s="22" t="s">
        <v>110</v>
      </c>
      <c r="AE523" s="84">
        <v>43699</v>
      </c>
      <c r="AF523" s="83">
        <v>43724</v>
      </c>
      <c r="AG523" s="33">
        <f t="shared" si="176"/>
        <v>25</v>
      </c>
      <c r="AH523" s="116"/>
    </row>
    <row r="524" spans="1:35" ht="16.5" customHeight="1">
      <c r="A524" s="116"/>
      <c r="B524" s="80">
        <v>-68</v>
      </c>
      <c r="C524" s="80">
        <v>-85</v>
      </c>
      <c r="D524" s="80">
        <v>-68</v>
      </c>
      <c r="E524" s="80">
        <v>-85</v>
      </c>
      <c r="F524" s="6">
        <v>1.94</v>
      </c>
      <c r="G524" s="79">
        <v>1605</v>
      </c>
      <c r="H524" s="50" t="s">
        <v>1404</v>
      </c>
      <c r="I524" s="22" t="s">
        <v>110</v>
      </c>
      <c r="J524" s="8">
        <f>IFERROR(VLOOKUP($G524,今日總結!$A:$AJ,33,0),"")</f>
        <v>0</v>
      </c>
      <c r="K524" s="5">
        <f>IFERROR(VLOOKUP($G524,今日總結!$A:$AJ,34,0),"")</f>
        <v>1</v>
      </c>
      <c r="L524" s="156">
        <f>IFERROR(VLOOKUP($G524,今日總結!$A:$AJ,31,0),"")</f>
        <v>0</v>
      </c>
      <c r="M524" s="340">
        <f>IFERROR(VLOOKUP($G524,今日總結!$A:$AJ,32,0),"")</f>
        <v>0</v>
      </c>
      <c r="N524" s="240">
        <f t="shared" si="177"/>
        <v>0</v>
      </c>
      <c r="P524" s="365">
        <f>IFERROR(VLOOKUP($G524,融外自投!$A:$J,7,0),"無")</f>
        <v>782</v>
      </c>
      <c r="Q524" s="79">
        <f>IFERROR(VLOOKUP($G524,融外自投!$A:$J,9,0),"無")</f>
        <v>41</v>
      </c>
      <c r="R524" s="346">
        <f>IFERROR(VLOOKUP($G524,融外自投!$A:$J,8,0),"無")</f>
        <v>222</v>
      </c>
      <c r="S524" s="81">
        <f>IFERROR(VLOOKUP($G524,融外自投!$A:$J,10,0),"無")</f>
        <v>139</v>
      </c>
      <c r="T524" s="327">
        <f>IFERROR(VLOOKUP($G524,'321買'!$A:$E,5,0),"'沒有資料'")</f>
        <v>100</v>
      </c>
      <c r="U524" s="34">
        <v>1.2</v>
      </c>
      <c r="W524" s="94">
        <f t="shared" si="173"/>
        <v>8.1355932203389825E-2</v>
      </c>
      <c r="X524" s="36">
        <v>14.75</v>
      </c>
      <c r="Y524" s="66">
        <v>13.95</v>
      </c>
      <c r="Z524" s="15">
        <f>X524-Y524</f>
        <v>0.80000000000000071</v>
      </c>
      <c r="AA524" s="63">
        <f>Z524/Y524</f>
        <v>5.7347670250896113E-2</v>
      </c>
      <c r="AB524" s="111" t="s">
        <v>1583</v>
      </c>
      <c r="AD524" s="22" t="s">
        <v>110</v>
      </c>
      <c r="AE524" s="84">
        <v>43710</v>
      </c>
      <c r="AF524" s="83">
        <v>43724</v>
      </c>
      <c r="AG524" s="33">
        <f>AF524-AE524</f>
        <v>14</v>
      </c>
      <c r="AH524" s="116"/>
      <c r="AI524" s="245"/>
    </row>
    <row r="525" spans="1:35" ht="16.5" customHeight="1">
      <c r="A525" s="116"/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50" t="s">
        <v>1404</v>
      </c>
      <c r="I525" s="22" t="s">
        <v>110</v>
      </c>
      <c r="J525" s="8">
        <f>IFERROR(VLOOKUP($G525,今日總結!$A:$AJ,33,0),"")</f>
        <v>0</v>
      </c>
      <c r="K525" s="5">
        <f>IFERROR(VLOOKUP($G525,今日總結!$A:$AJ,34,0),"")</f>
        <v>1</v>
      </c>
      <c r="L525" s="156">
        <f>IFERROR(VLOOKUP($G525,今日總結!$A:$AJ,31,0),"")</f>
        <v>0</v>
      </c>
      <c r="M525" s="340">
        <f>IFERROR(VLOOKUP($G525,今日總結!$A:$AJ,32,0),"")</f>
        <v>0</v>
      </c>
      <c r="N525" s="240">
        <f t="shared" si="177"/>
        <v>0</v>
      </c>
      <c r="P525" s="365">
        <f>IFERROR(VLOOKUP($G525,融外自投!$A:$J,7,0),"無")</f>
        <v>782</v>
      </c>
      <c r="Q525" s="79">
        <f>IFERROR(VLOOKUP($G525,融外自投!$A:$J,9,0),"無")</f>
        <v>41</v>
      </c>
      <c r="R525" s="346">
        <f>IFERROR(VLOOKUP($G525,融外自投!$A:$J,8,0),"無")</f>
        <v>222</v>
      </c>
      <c r="S525" s="81">
        <f>IFERROR(VLOOKUP($G525,融外自投!$A:$J,10,0),"無")</f>
        <v>139</v>
      </c>
      <c r="T525" s="327">
        <f>IFERROR(VLOOKUP($G525,'321買'!$A:$E,5,0),"'沒有資料'")</f>
        <v>100</v>
      </c>
      <c r="U525" s="34">
        <v>1.2</v>
      </c>
      <c r="W525" s="94">
        <f t="shared" si="173"/>
        <v>8.1355932203389825E-2</v>
      </c>
      <c r="X525" s="36">
        <v>14.75</v>
      </c>
      <c r="Y525" s="66">
        <v>14.15</v>
      </c>
      <c r="Z525" s="15">
        <f>X525-Y525</f>
        <v>0.59999999999999964</v>
      </c>
      <c r="AA525" s="63">
        <f>Z525/Y525</f>
        <v>4.240282685512365E-2</v>
      </c>
      <c r="AB525" s="111" t="s">
        <v>1584</v>
      </c>
      <c r="AD525" s="22" t="s">
        <v>110</v>
      </c>
      <c r="AE525" s="84">
        <v>43711</v>
      </c>
      <c r="AF525" s="83">
        <v>43724</v>
      </c>
      <c r="AG525" s="33">
        <f>AF525-AE525</f>
        <v>13</v>
      </c>
      <c r="AH525" s="116"/>
      <c r="AI525" s="245"/>
    </row>
    <row r="526" spans="1:35" ht="16.5" customHeight="1">
      <c r="A526" s="116"/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50" t="s">
        <v>1404</v>
      </c>
      <c r="I526" s="22" t="s">
        <v>110</v>
      </c>
      <c r="J526" s="8">
        <f>IFERROR(VLOOKUP($G526,今日總結!$A:$AJ,33,0),"")</f>
        <v>0</v>
      </c>
      <c r="K526" s="5">
        <f>IFERROR(VLOOKUP($G526,今日總結!$A:$AJ,34,0),"")</f>
        <v>1</v>
      </c>
      <c r="L526" s="156">
        <f>IFERROR(VLOOKUP($G526,今日總結!$A:$AJ,31,0),"")</f>
        <v>0</v>
      </c>
      <c r="M526" s="340">
        <f>IFERROR(VLOOKUP($G526,今日總結!$A:$AJ,32,0),"")</f>
        <v>0</v>
      </c>
      <c r="N526" s="240">
        <f t="shared" si="177"/>
        <v>0</v>
      </c>
      <c r="P526" s="365">
        <f>IFERROR(VLOOKUP($G526,融外自投!$A:$J,7,0),"無")</f>
        <v>782</v>
      </c>
      <c r="Q526" s="79">
        <f>IFERROR(VLOOKUP($G526,融外自投!$A:$J,9,0),"無")</f>
        <v>41</v>
      </c>
      <c r="R526" s="346">
        <f>IFERROR(VLOOKUP($G526,融外自投!$A:$J,8,0),"無")</f>
        <v>222</v>
      </c>
      <c r="S526" s="81">
        <f>IFERROR(VLOOKUP($G526,融外自投!$A:$J,10,0),"無")</f>
        <v>139</v>
      </c>
      <c r="T526" s="327">
        <f>IFERROR(VLOOKUP($G526,'321買'!$A:$E,5,0),"'沒有資料'")</f>
        <v>100</v>
      </c>
      <c r="U526" s="34">
        <v>1.2</v>
      </c>
      <c r="W526" s="94">
        <f t="shared" si="173"/>
        <v>8.1355932203389825E-2</v>
      </c>
      <c r="X526" s="36">
        <v>14.75</v>
      </c>
      <c r="Y526" s="66">
        <v>14.15</v>
      </c>
      <c r="Z526" s="15">
        <f>X526-Y526</f>
        <v>0.59999999999999964</v>
      </c>
      <c r="AA526" s="63">
        <f>Z526/Y526</f>
        <v>4.240282685512365E-2</v>
      </c>
      <c r="AB526" s="111" t="s">
        <v>1584</v>
      </c>
      <c r="AD526" s="22" t="s">
        <v>110</v>
      </c>
      <c r="AE526" s="84">
        <v>43711</v>
      </c>
      <c r="AF526" s="83">
        <v>43724</v>
      </c>
      <c r="AG526" s="33">
        <f>AF526-AE526</f>
        <v>13</v>
      </c>
      <c r="AH526" s="116"/>
      <c r="AI526" s="245"/>
    </row>
    <row r="527" spans="1:35">
      <c r="B527" s="80"/>
      <c r="C527" s="80"/>
      <c r="D527" s="80"/>
      <c r="E527" s="80"/>
      <c r="F527" s="6"/>
      <c r="G527" s="41"/>
      <c r="H527" s="8"/>
      <c r="I527" s="22"/>
      <c r="L527" s="123"/>
      <c r="U527" s="34"/>
      <c r="W527" s="94"/>
      <c r="X527" s="13">
        <f>SUM(X517:X526)</f>
        <v>147.5</v>
      </c>
      <c r="Y527" s="66">
        <f>SUM(Y517:Y526)</f>
        <v>140.85000000000002</v>
      </c>
      <c r="Z527" s="15">
        <f>X527-Y527</f>
        <v>6.6499999999999773</v>
      </c>
      <c r="AA527" s="63">
        <f>Z527/Y527</f>
        <v>4.7213347532836181E-2</v>
      </c>
      <c r="AB527" s="111"/>
      <c r="AD527" s="22"/>
      <c r="AG527" s="33"/>
      <c r="AH527" s="116"/>
    </row>
    <row r="528" spans="1:35">
      <c r="A528" s="127" t="s">
        <v>1673</v>
      </c>
      <c r="B528" s="90" t="s">
        <v>1572</v>
      </c>
      <c r="C528" s="90" t="s">
        <v>1573</v>
      </c>
      <c r="D528" s="90" t="s">
        <v>1574</v>
      </c>
      <c r="E528" s="90" t="s">
        <v>1575</v>
      </c>
      <c r="F528" s="8" t="s">
        <v>1060</v>
      </c>
      <c r="G528" s="25" t="s">
        <v>386</v>
      </c>
      <c r="H528" s="55" t="s">
        <v>320</v>
      </c>
      <c r="I528" s="1" t="s">
        <v>69</v>
      </c>
      <c r="L528" s="123"/>
      <c r="T528" s="322" t="s">
        <v>1054</v>
      </c>
      <c r="U528" s="10" t="s">
        <v>66</v>
      </c>
      <c r="W528" s="68" t="s">
        <v>1493</v>
      </c>
      <c r="X528" s="28" t="s">
        <v>2</v>
      </c>
      <c r="Y528" s="17" t="s">
        <v>1399</v>
      </c>
      <c r="Z528" s="14" t="s">
        <v>5</v>
      </c>
      <c r="AA528" s="21" t="s">
        <v>3</v>
      </c>
      <c r="AB528" s="25" t="s">
        <v>105</v>
      </c>
      <c r="AD528" s="1" t="s">
        <v>69</v>
      </c>
      <c r="AE528" s="71" t="s">
        <v>1400</v>
      </c>
      <c r="AF528" s="72" t="s">
        <v>1157</v>
      </c>
      <c r="AG528" s="32" t="s">
        <v>1158</v>
      </c>
      <c r="AH528" s="41"/>
    </row>
    <row r="529" spans="1:46" s="7" customFormat="1" ht="17.100000000000001" customHeight="1">
      <c r="A529" s="41"/>
      <c r="B529" s="80">
        <v>-28</v>
      </c>
      <c r="C529" s="80">
        <v>-33</v>
      </c>
      <c r="D529" s="80">
        <v>-28</v>
      </c>
      <c r="E529" s="80">
        <v>-33</v>
      </c>
      <c r="F529" s="6">
        <v>4.51</v>
      </c>
      <c r="G529" s="79">
        <v>1304</v>
      </c>
      <c r="H529" s="8" t="s">
        <v>1403</v>
      </c>
      <c r="I529" s="22" t="s">
        <v>64</v>
      </c>
      <c r="J529" s="8" t="str">
        <f>IFERROR(VLOOKUP($G529,今日總結!$A:$AJ,33,0),"")</f>
        <v/>
      </c>
      <c r="K529" s="5" t="str">
        <f>IFERROR(VLOOKUP($G529,今日總結!$A:$AJ,34,0),"")</f>
        <v/>
      </c>
      <c r="L529" s="156" t="str">
        <f>IFERROR(VLOOKUP($G529,今日總結!$A:$AJ,31,0),"")</f>
        <v/>
      </c>
      <c r="M529" s="340" t="str">
        <f>IFERROR(VLOOKUP($G529,今日總結!$A:$AJ,32,0),"")</f>
        <v/>
      </c>
      <c r="N529" s="240" t="str">
        <f t="shared" ref="N529" si="178">IFERROR(L529-M529,"")</f>
        <v/>
      </c>
      <c r="O529" s="245"/>
      <c r="P529" s="365">
        <f>IFERROR(VLOOKUP($G529,融外自投!$A:$J,7,0),"無")</f>
        <v>852</v>
      </c>
      <c r="Q529" s="79">
        <f>IFERROR(VLOOKUP($G529,融外自投!$A:$J,9,0),"無")</f>
        <v>586</v>
      </c>
      <c r="R529" s="346">
        <f>IFERROR(VLOOKUP($G529,融外自投!$A:$J,8,0),"無")</f>
        <v>158</v>
      </c>
      <c r="S529" s="81">
        <f>IFERROR(VLOOKUP($G529,融外自投!$A:$J,10,0),"無")</f>
        <v>491</v>
      </c>
      <c r="T529" s="327">
        <f>IFERROR(VLOOKUP($G529,'321買'!$A:$E,5,0),"'沒有資料'")</f>
        <v>237</v>
      </c>
      <c r="U529" s="34">
        <v>0.3</v>
      </c>
      <c r="V529" s="311"/>
      <c r="W529" s="94">
        <f t="shared" ref="W529:W538" si="179">U529/X529</f>
        <v>2.1660649819494584E-2</v>
      </c>
      <c r="X529" s="13">
        <v>13.85</v>
      </c>
      <c r="Y529" s="66">
        <f>16.97-0.3-0.3-0.47</f>
        <v>15.899999999999997</v>
      </c>
      <c r="Z529" s="15">
        <f>X529-Y529</f>
        <v>-2.0499999999999972</v>
      </c>
      <c r="AA529" s="76">
        <f>Z529/Y529</f>
        <v>-0.12893081761006275</v>
      </c>
      <c r="AB529" s="113" t="s">
        <v>1585</v>
      </c>
      <c r="AC529" s="382"/>
      <c r="AD529" s="22" t="s">
        <v>64</v>
      </c>
      <c r="AE529" s="84">
        <v>42719</v>
      </c>
      <c r="AF529" s="83">
        <v>43724</v>
      </c>
      <c r="AG529" s="33">
        <f>AF529-AE529</f>
        <v>1005</v>
      </c>
      <c r="AH529" s="116"/>
      <c r="AI529" s="27"/>
      <c r="AJ529" s="17"/>
      <c r="AK529" s="11"/>
      <c r="AL529" s="11"/>
      <c r="AM529" s="11"/>
      <c r="AN529" s="11"/>
      <c r="AO529" s="245"/>
      <c r="AP529" s="245"/>
      <c r="AR529" s="4"/>
      <c r="AS529" s="245"/>
      <c r="AT529" s="245"/>
    </row>
    <row r="530" spans="1:46" s="7" customFormat="1" ht="17.100000000000001" customHeight="1">
      <c r="A530" s="41"/>
      <c r="B530" s="80">
        <v>-28</v>
      </c>
      <c r="C530" s="80">
        <v>-33</v>
      </c>
      <c r="D530" s="80">
        <v>-28</v>
      </c>
      <c r="E530" s="80">
        <v>-33</v>
      </c>
      <c r="F530" s="6">
        <v>4.51</v>
      </c>
      <c r="G530" s="79">
        <v>1304</v>
      </c>
      <c r="H530" s="50" t="s">
        <v>1404</v>
      </c>
      <c r="I530" s="22" t="s">
        <v>64</v>
      </c>
      <c r="J530" s="8" t="str">
        <f>IFERROR(VLOOKUP($G530,今日總結!$A:$AJ,33,0),"")</f>
        <v/>
      </c>
      <c r="K530" s="5" t="str">
        <f>IFERROR(VLOOKUP($G530,今日總結!$A:$AJ,34,0),"")</f>
        <v/>
      </c>
      <c r="L530" s="156" t="str">
        <f>IFERROR(VLOOKUP($G530,今日總結!$A:$AJ,31,0),"")</f>
        <v/>
      </c>
      <c r="M530" s="340" t="str">
        <f>IFERROR(VLOOKUP($G530,今日總結!$A:$AJ,32,0),"")</f>
        <v/>
      </c>
      <c r="N530" s="240" t="str">
        <f t="shared" ref="N530:N538" si="180">IFERROR(L530-M530,"")</f>
        <v/>
      </c>
      <c r="O530" s="245"/>
      <c r="P530" s="365">
        <f>IFERROR(VLOOKUP($G530,融外自投!$A:$J,7,0),"無")</f>
        <v>852</v>
      </c>
      <c r="Q530" s="79">
        <f>IFERROR(VLOOKUP($G530,融外自投!$A:$J,9,0),"無")</f>
        <v>586</v>
      </c>
      <c r="R530" s="346">
        <f>IFERROR(VLOOKUP($G530,融外自投!$A:$J,8,0),"無")</f>
        <v>158</v>
      </c>
      <c r="S530" s="81">
        <f>IFERROR(VLOOKUP($G530,融外自投!$A:$J,10,0),"無")</f>
        <v>491</v>
      </c>
      <c r="T530" s="327">
        <f>IFERROR(VLOOKUP($G530,'321買'!$A:$E,5,0),"'沒有資料'")</f>
        <v>237</v>
      </c>
      <c r="U530" s="34">
        <v>0.3</v>
      </c>
      <c r="V530" s="311"/>
      <c r="W530" s="94">
        <f t="shared" si="179"/>
        <v>2.1660649819494584E-2</v>
      </c>
      <c r="X530" s="13">
        <v>13.85</v>
      </c>
      <c r="Y530" s="66">
        <f>16.87-0.3-0.3-0.46</f>
        <v>15.809999999999999</v>
      </c>
      <c r="Z530" s="15">
        <f>X530-Y530</f>
        <v>-1.9599999999999991</v>
      </c>
      <c r="AA530" s="76">
        <f>Z530/Y530</f>
        <v>-0.12397216951296643</v>
      </c>
      <c r="AB530" s="113" t="s">
        <v>1586</v>
      </c>
      <c r="AC530" s="382"/>
      <c r="AD530" s="22" t="s">
        <v>64</v>
      </c>
      <c r="AE530" s="84">
        <v>42718</v>
      </c>
      <c r="AF530" s="83">
        <v>43724</v>
      </c>
      <c r="AG530" s="33">
        <f>AF530-AE530</f>
        <v>1006</v>
      </c>
      <c r="AH530" s="116"/>
      <c r="AI530" s="27"/>
      <c r="AJ530" s="17"/>
      <c r="AK530" s="11"/>
      <c r="AL530" s="11"/>
      <c r="AM530" s="11"/>
      <c r="AN530" s="11"/>
      <c r="AO530" s="245"/>
      <c r="AP530" s="245"/>
      <c r="AR530" s="4"/>
      <c r="AS530" s="245"/>
      <c r="AT530" s="245"/>
    </row>
    <row r="531" spans="1:46" s="7" customFormat="1" ht="17.100000000000001" customHeight="1">
      <c r="A531" s="41"/>
      <c r="B531" s="80">
        <v>-28</v>
      </c>
      <c r="C531" s="80">
        <v>-33</v>
      </c>
      <c r="D531" s="80">
        <v>-28</v>
      </c>
      <c r="E531" s="80">
        <v>-33</v>
      </c>
      <c r="F531" s="6">
        <v>4.51</v>
      </c>
      <c r="G531" s="79">
        <v>1304</v>
      </c>
      <c r="H531" s="8" t="s">
        <v>1403</v>
      </c>
      <c r="I531" s="22" t="s">
        <v>64</v>
      </c>
      <c r="J531" s="8" t="str">
        <f>IFERROR(VLOOKUP($G531,今日總結!$A:$AJ,33,0),"")</f>
        <v/>
      </c>
      <c r="K531" s="5" t="str">
        <f>IFERROR(VLOOKUP($G531,今日總結!$A:$AJ,34,0),"")</f>
        <v/>
      </c>
      <c r="L531" s="156" t="str">
        <f>IFERROR(VLOOKUP($G531,今日總結!$A:$AJ,31,0),"")</f>
        <v/>
      </c>
      <c r="M531" s="340" t="str">
        <f>IFERROR(VLOOKUP($G531,今日總結!$A:$AJ,32,0),"")</f>
        <v/>
      </c>
      <c r="N531" s="240" t="str">
        <f t="shared" si="180"/>
        <v/>
      </c>
      <c r="O531" s="245"/>
      <c r="P531" s="365">
        <f>IFERROR(VLOOKUP($G531,融外自投!$A:$J,7,0),"無")</f>
        <v>852</v>
      </c>
      <c r="Q531" s="79">
        <f>IFERROR(VLOOKUP($G531,融外自投!$A:$J,9,0),"無")</f>
        <v>586</v>
      </c>
      <c r="R531" s="346">
        <f>IFERROR(VLOOKUP($G531,融外自投!$A:$J,8,0),"無")</f>
        <v>158</v>
      </c>
      <c r="S531" s="81">
        <f>IFERROR(VLOOKUP($G531,融外自投!$A:$J,10,0),"無")</f>
        <v>491</v>
      </c>
      <c r="T531" s="327">
        <f>IFERROR(VLOOKUP($G531,'321買'!$A:$E,5,0),"'沒有資料'")</f>
        <v>237</v>
      </c>
      <c r="U531" s="34">
        <v>0.3</v>
      </c>
      <c r="V531" s="311"/>
      <c r="W531" s="94">
        <f t="shared" si="179"/>
        <v>2.3255813953488372E-2</v>
      </c>
      <c r="X531" s="13">
        <v>12.9</v>
      </c>
      <c r="Y531" s="66">
        <f>13.82-0.3</f>
        <v>13.52</v>
      </c>
      <c r="Z531" s="15">
        <f>X531-Y531</f>
        <v>-0.61999999999999922</v>
      </c>
      <c r="AA531" s="76">
        <f>Z531/Y531</f>
        <v>-4.5857988165680416E-2</v>
      </c>
      <c r="AB531" s="113" t="s">
        <v>1579</v>
      </c>
      <c r="AC531" s="382"/>
      <c r="AD531" s="22" t="s">
        <v>64</v>
      </c>
      <c r="AE531" s="84">
        <v>43350</v>
      </c>
      <c r="AF531" s="83">
        <v>43724</v>
      </c>
      <c r="AG531" s="33">
        <f>AF531-AE531</f>
        <v>374</v>
      </c>
      <c r="AH531" s="116"/>
      <c r="AI531" s="27"/>
      <c r="AJ531" s="17"/>
      <c r="AK531" s="11"/>
      <c r="AL531" s="11"/>
      <c r="AM531" s="11"/>
      <c r="AN531" s="11"/>
      <c r="AO531" s="245"/>
      <c r="AP531" s="245"/>
      <c r="AR531" s="4"/>
      <c r="AS531" s="245"/>
      <c r="AT531" s="245"/>
    </row>
    <row r="532" spans="1:46" s="7" customFormat="1" ht="17.100000000000001" customHeight="1">
      <c r="A532" s="41"/>
      <c r="B532" s="80">
        <v>-28</v>
      </c>
      <c r="C532" s="80">
        <v>-33</v>
      </c>
      <c r="D532" s="80">
        <v>-28</v>
      </c>
      <c r="E532" s="80">
        <v>-33</v>
      </c>
      <c r="F532" s="6">
        <v>4.51</v>
      </c>
      <c r="G532" s="79">
        <v>1304</v>
      </c>
      <c r="H532" s="50" t="s">
        <v>1404</v>
      </c>
      <c r="I532" s="22" t="s">
        <v>64</v>
      </c>
      <c r="J532" s="8" t="str">
        <f>IFERROR(VLOOKUP($G532,今日總結!$A:$AJ,33,0),"")</f>
        <v/>
      </c>
      <c r="K532" s="5" t="str">
        <f>IFERROR(VLOOKUP($G532,今日總結!$A:$AJ,34,0),"")</f>
        <v/>
      </c>
      <c r="L532" s="156" t="str">
        <f>IFERROR(VLOOKUP($G532,今日總結!$A:$AJ,31,0),"")</f>
        <v/>
      </c>
      <c r="M532" s="340" t="str">
        <f>IFERROR(VLOOKUP($G532,今日總結!$A:$AJ,32,0),"")</f>
        <v/>
      </c>
      <c r="N532" s="240" t="str">
        <f t="shared" si="180"/>
        <v/>
      </c>
      <c r="O532" s="245"/>
      <c r="P532" s="365">
        <f>IFERROR(VLOOKUP($G532,融外自投!$A:$J,7,0),"無")</f>
        <v>852</v>
      </c>
      <c r="Q532" s="79">
        <f>IFERROR(VLOOKUP($G532,融外自投!$A:$J,9,0),"無")</f>
        <v>586</v>
      </c>
      <c r="R532" s="346">
        <f>IFERROR(VLOOKUP($G532,融外自投!$A:$J,8,0),"無")</f>
        <v>158</v>
      </c>
      <c r="S532" s="81">
        <f>IFERROR(VLOOKUP($G532,融外自投!$A:$J,10,0),"無")</f>
        <v>491</v>
      </c>
      <c r="T532" s="327">
        <f>IFERROR(VLOOKUP($G532,'321買'!$A:$E,5,0),"'沒有資料'")</f>
        <v>237</v>
      </c>
      <c r="U532" s="34">
        <v>0.3</v>
      </c>
      <c r="V532" s="311"/>
      <c r="W532" s="94">
        <f t="shared" si="179"/>
        <v>2.2058823529411766E-2</v>
      </c>
      <c r="X532" s="13">
        <v>13.6</v>
      </c>
      <c r="Y532" s="66">
        <f>13.82-0.3</f>
        <v>13.52</v>
      </c>
      <c r="Z532" s="15">
        <f>X532-Y532</f>
        <v>8.0000000000000071E-2</v>
      </c>
      <c r="AA532" s="76">
        <f>Z532/Y532</f>
        <v>5.9171597633136145E-3</v>
      </c>
      <c r="AB532" s="113" t="s">
        <v>1587</v>
      </c>
      <c r="AC532" s="382"/>
      <c r="AD532" s="22" t="s">
        <v>64</v>
      </c>
      <c r="AE532" s="84">
        <v>43350</v>
      </c>
      <c r="AF532" s="83">
        <v>43724</v>
      </c>
      <c r="AG532" s="33">
        <f>AF532-AE532</f>
        <v>374</v>
      </c>
      <c r="AH532" s="116"/>
      <c r="AI532" s="27"/>
      <c r="AJ532" s="17"/>
      <c r="AK532" s="11"/>
      <c r="AL532" s="11"/>
      <c r="AM532" s="11"/>
      <c r="AN532" s="11"/>
      <c r="AO532" s="245"/>
      <c r="AP532" s="245"/>
      <c r="AR532" s="4"/>
      <c r="AS532" s="245"/>
      <c r="AT532" s="245"/>
    </row>
    <row r="533" spans="1:46" ht="16.5" customHeight="1">
      <c r="B533" s="80">
        <v>-22</v>
      </c>
      <c r="C533" s="80">
        <v>-32</v>
      </c>
      <c r="D533" s="80">
        <v>-22</v>
      </c>
      <c r="E533" s="80">
        <v>-32</v>
      </c>
      <c r="F533" s="6">
        <v>4.38</v>
      </c>
      <c r="G533" s="79">
        <v>1304</v>
      </c>
      <c r="H533" s="50" t="s">
        <v>1404</v>
      </c>
      <c r="I533" s="22" t="s">
        <v>64</v>
      </c>
      <c r="J533" s="8" t="str">
        <f>IFERROR(VLOOKUP($G533,今日總結!$A:$AJ,33,0),"")</f>
        <v/>
      </c>
      <c r="K533" s="5" t="str">
        <f>IFERROR(VLOOKUP($G533,今日總結!$A:$AJ,34,0),"")</f>
        <v/>
      </c>
      <c r="L533" s="156" t="str">
        <f>IFERROR(VLOOKUP($G533,今日總結!$A:$AJ,31,0),"")</f>
        <v/>
      </c>
      <c r="M533" s="340" t="str">
        <f>IFERROR(VLOOKUP($G533,今日總結!$A:$AJ,32,0),"")</f>
        <v/>
      </c>
      <c r="N533" s="240" t="str">
        <f t="shared" si="180"/>
        <v/>
      </c>
      <c r="P533" s="365">
        <f>IFERROR(VLOOKUP($G533,融外自投!$A:$J,7,0),"無")</f>
        <v>852</v>
      </c>
      <c r="Q533" s="79">
        <f>IFERROR(VLOOKUP($G533,融外自投!$A:$J,9,0),"無")</f>
        <v>586</v>
      </c>
      <c r="R533" s="346">
        <f>IFERROR(VLOOKUP($G533,融外自投!$A:$J,8,0),"無")</f>
        <v>158</v>
      </c>
      <c r="S533" s="81">
        <f>IFERROR(VLOOKUP($G533,融外自投!$A:$J,10,0),"無")</f>
        <v>491</v>
      </c>
      <c r="T533" s="327">
        <f>IFERROR(VLOOKUP($G533,'321買'!$A:$E,5,0),"'沒有資料'")</f>
        <v>237</v>
      </c>
      <c r="U533" s="34">
        <v>0.3</v>
      </c>
      <c r="W533" s="94">
        <f t="shared" si="179"/>
        <v>2.2058823529411766E-2</v>
      </c>
      <c r="X533" s="36">
        <v>13.6</v>
      </c>
      <c r="Y533" s="66">
        <v>12.25</v>
      </c>
      <c r="Z533" s="15">
        <f t="shared" ref="Z533:Z538" si="181">X533-Y533</f>
        <v>1.3499999999999996</v>
      </c>
      <c r="AA533" s="63">
        <f t="shared" ref="AA533:AA538" si="182">Z533/Y533</f>
        <v>0.11020408163265304</v>
      </c>
      <c r="AB533" s="111" t="s">
        <v>1571</v>
      </c>
      <c r="AD533" s="22" t="s">
        <v>64</v>
      </c>
      <c r="AE533" s="84">
        <v>43697</v>
      </c>
      <c r="AF533" s="83">
        <v>43724</v>
      </c>
      <c r="AG533" s="33">
        <f t="shared" ref="AG533:AG538" si="183">AF533-AE533</f>
        <v>27</v>
      </c>
      <c r="AH533" s="116"/>
    </row>
    <row r="534" spans="1:46" ht="16.5" customHeight="1">
      <c r="B534" s="80">
        <v>-22</v>
      </c>
      <c r="C534" s="80">
        <v>-32</v>
      </c>
      <c r="D534" s="80">
        <v>-22</v>
      </c>
      <c r="E534" s="80">
        <v>-32</v>
      </c>
      <c r="F534" s="6">
        <v>4.38</v>
      </c>
      <c r="G534" s="79">
        <v>1304</v>
      </c>
      <c r="H534" s="50" t="s">
        <v>1404</v>
      </c>
      <c r="I534" s="22" t="s">
        <v>64</v>
      </c>
      <c r="J534" s="8" t="str">
        <f>IFERROR(VLOOKUP($G534,今日總結!$A:$AJ,33,0),"")</f>
        <v/>
      </c>
      <c r="K534" s="5" t="str">
        <f>IFERROR(VLOOKUP($G534,今日總結!$A:$AJ,34,0),"")</f>
        <v/>
      </c>
      <c r="L534" s="156" t="str">
        <f>IFERROR(VLOOKUP($G534,今日總結!$A:$AJ,31,0),"")</f>
        <v/>
      </c>
      <c r="M534" s="340" t="str">
        <f>IFERROR(VLOOKUP($G534,今日總結!$A:$AJ,32,0),"")</f>
        <v/>
      </c>
      <c r="N534" s="240" t="str">
        <f t="shared" si="180"/>
        <v/>
      </c>
      <c r="P534" s="365">
        <f>IFERROR(VLOOKUP($G534,融外自投!$A:$J,7,0),"無")</f>
        <v>852</v>
      </c>
      <c r="Q534" s="79">
        <f>IFERROR(VLOOKUP($G534,融外自投!$A:$J,9,0),"無")</f>
        <v>586</v>
      </c>
      <c r="R534" s="346">
        <f>IFERROR(VLOOKUP($G534,融外自投!$A:$J,8,0),"無")</f>
        <v>158</v>
      </c>
      <c r="S534" s="81">
        <f>IFERROR(VLOOKUP($G534,融外自投!$A:$J,10,0),"無")</f>
        <v>491</v>
      </c>
      <c r="T534" s="327">
        <f>IFERROR(VLOOKUP($G534,'321買'!$A:$E,5,0),"'沒有資料'")</f>
        <v>237</v>
      </c>
      <c r="U534" s="34">
        <v>0.3</v>
      </c>
      <c r="W534" s="94">
        <f t="shared" si="179"/>
        <v>2.2058823529411766E-2</v>
      </c>
      <c r="X534" s="36">
        <v>13.6</v>
      </c>
      <c r="Y534" s="66">
        <v>12.25</v>
      </c>
      <c r="Z534" s="15">
        <f t="shared" si="181"/>
        <v>1.3499999999999996</v>
      </c>
      <c r="AA534" s="63">
        <f t="shared" si="182"/>
        <v>0.11020408163265304</v>
      </c>
      <c r="AB534" s="111" t="s">
        <v>1571</v>
      </c>
      <c r="AD534" s="22" t="s">
        <v>64</v>
      </c>
      <c r="AE534" s="84">
        <v>43697</v>
      </c>
      <c r="AF534" s="83">
        <v>43724</v>
      </c>
      <c r="AG534" s="33">
        <f t="shared" si="183"/>
        <v>27</v>
      </c>
      <c r="AH534" s="116"/>
    </row>
    <row r="535" spans="1:46" ht="16.5" customHeight="1">
      <c r="A535" s="143"/>
      <c r="B535" s="80">
        <v>-22</v>
      </c>
      <c r="C535" s="80">
        <v>-32</v>
      </c>
      <c r="D535" s="80">
        <v>-22</v>
      </c>
      <c r="E535" s="80">
        <v>-32</v>
      </c>
      <c r="F535" s="6">
        <v>4.38</v>
      </c>
      <c r="G535" s="81">
        <v>1304</v>
      </c>
      <c r="H535" s="50" t="s">
        <v>1404</v>
      </c>
      <c r="I535" s="22" t="s">
        <v>64</v>
      </c>
      <c r="J535" s="8" t="str">
        <f>IFERROR(VLOOKUP($G535,今日總結!$A:$AJ,33,0),"")</f>
        <v/>
      </c>
      <c r="K535" s="5" t="str">
        <f>IFERROR(VLOOKUP($G535,今日總結!$A:$AJ,34,0),"")</f>
        <v/>
      </c>
      <c r="L535" s="156" t="str">
        <f>IFERROR(VLOOKUP($G535,今日總結!$A:$AJ,31,0),"")</f>
        <v/>
      </c>
      <c r="M535" s="340" t="str">
        <f>IFERROR(VLOOKUP($G535,今日總結!$A:$AJ,32,0),"")</f>
        <v/>
      </c>
      <c r="N535" s="240" t="str">
        <f t="shared" si="180"/>
        <v/>
      </c>
      <c r="P535" s="365">
        <f>IFERROR(VLOOKUP($G535,融外自投!$A:$J,7,0),"無")</f>
        <v>852</v>
      </c>
      <c r="Q535" s="79">
        <f>IFERROR(VLOOKUP($G535,融外自投!$A:$J,9,0),"無")</f>
        <v>586</v>
      </c>
      <c r="R535" s="346">
        <f>IFERROR(VLOOKUP($G535,融外自投!$A:$J,8,0),"無")</f>
        <v>158</v>
      </c>
      <c r="S535" s="81">
        <f>IFERROR(VLOOKUP($G535,融外自投!$A:$J,10,0),"無")</f>
        <v>491</v>
      </c>
      <c r="T535" s="327">
        <f>IFERROR(VLOOKUP($G535,'321買'!$A:$E,5,0),"'沒有資料'")</f>
        <v>237</v>
      </c>
      <c r="U535" s="34">
        <v>0.3</v>
      </c>
      <c r="W535" s="94">
        <f t="shared" si="179"/>
        <v>2.2058823529411766E-2</v>
      </c>
      <c r="X535" s="36">
        <v>13.6</v>
      </c>
      <c r="Y535" s="66">
        <v>12.6</v>
      </c>
      <c r="Z535" s="15">
        <f t="shared" si="181"/>
        <v>1</v>
      </c>
      <c r="AA535" s="63">
        <f t="shared" si="182"/>
        <v>7.9365079365079361E-2</v>
      </c>
      <c r="AB535" s="111" t="s">
        <v>1588</v>
      </c>
      <c r="AD535" s="22" t="s">
        <v>64</v>
      </c>
      <c r="AE535" s="84">
        <v>43704</v>
      </c>
      <c r="AF535" s="83">
        <v>43724</v>
      </c>
      <c r="AG535" s="33">
        <f t="shared" si="183"/>
        <v>20</v>
      </c>
      <c r="AH535" s="116"/>
      <c r="AI535" s="245"/>
    </row>
    <row r="536" spans="1:46" ht="16.5" customHeight="1">
      <c r="A536" s="143"/>
      <c r="B536" s="80">
        <v>-22</v>
      </c>
      <c r="C536" s="80">
        <v>-32</v>
      </c>
      <c r="D536" s="80">
        <v>-22</v>
      </c>
      <c r="E536" s="80">
        <v>-32</v>
      </c>
      <c r="F536" s="6">
        <v>4.38</v>
      </c>
      <c r="G536" s="81">
        <v>1304</v>
      </c>
      <c r="H536" s="50" t="s">
        <v>1404</v>
      </c>
      <c r="I536" s="22" t="s">
        <v>64</v>
      </c>
      <c r="J536" s="8" t="str">
        <f>IFERROR(VLOOKUP($G536,今日總結!$A:$AJ,33,0),"")</f>
        <v/>
      </c>
      <c r="K536" s="5" t="str">
        <f>IFERROR(VLOOKUP($G536,今日總結!$A:$AJ,34,0),"")</f>
        <v/>
      </c>
      <c r="L536" s="156" t="str">
        <f>IFERROR(VLOOKUP($G536,今日總結!$A:$AJ,31,0),"")</f>
        <v/>
      </c>
      <c r="M536" s="340" t="str">
        <f>IFERROR(VLOOKUP($G536,今日總結!$A:$AJ,32,0),"")</f>
        <v/>
      </c>
      <c r="N536" s="240" t="str">
        <f t="shared" si="180"/>
        <v/>
      </c>
      <c r="P536" s="365">
        <f>IFERROR(VLOOKUP($G536,融外自投!$A:$J,7,0),"無")</f>
        <v>852</v>
      </c>
      <c r="Q536" s="79">
        <f>IFERROR(VLOOKUP($G536,融外自投!$A:$J,9,0),"無")</f>
        <v>586</v>
      </c>
      <c r="R536" s="346">
        <f>IFERROR(VLOOKUP($G536,融外自投!$A:$J,8,0),"無")</f>
        <v>158</v>
      </c>
      <c r="S536" s="81">
        <f>IFERROR(VLOOKUP($G536,融外自投!$A:$J,10,0),"無")</f>
        <v>491</v>
      </c>
      <c r="T536" s="327">
        <f>IFERROR(VLOOKUP($G536,'321買'!$A:$E,5,0),"'沒有資料'")</f>
        <v>237</v>
      </c>
      <c r="U536" s="34">
        <v>0.3</v>
      </c>
      <c r="W536" s="94">
        <f t="shared" si="179"/>
        <v>2.2058823529411766E-2</v>
      </c>
      <c r="X536" s="36">
        <v>13.6</v>
      </c>
      <c r="Y536" s="66">
        <v>12.6</v>
      </c>
      <c r="Z536" s="15">
        <f t="shared" si="181"/>
        <v>1</v>
      </c>
      <c r="AA536" s="63">
        <f t="shared" si="182"/>
        <v>7.9365079365079361E-2</v>
      </c>
      <c r="AB536" s="111" t="s">
        <v>1588</v>
      </c>
      <c r="AD536" s="22" t="s">
        <v>64</v>
      </c>
      <c r="AE536" s="84">
        <v>43704</v>
      </c>
      <c r="AF536" s="83">
        <v>43724</v>
      </c>
      <c r="AG536" s="33">
        <f t="shared" si="183"/>
        <v>20</v>
      </c>
      <c r="AH536" s="116"/>
      <c r="AI536" s="245"/>
    </row>
    <row r="537" spans="1:46" ht="16.5" customHeight="1">
      <c r="A537" s="143"/>
      <c r="B537" s="80">
        <v>-22</v>
      </c>
      <c r="C537" s="80">
        <v>-32</v>
      </c>
      <c r="D537" s="80">
        <v>-22</v>
      </c>
      <c r="E537" s="80">
        <v>-32</v>
      </c>
      <c r="F537" s="6">
        <v>4.38</v>
      </c>
      <c r="G537" s="81">
        <v>1304</v>
      </c>
      <c r="H537" s="50" t="s">
        <v>1404</v>
      </c>
      <c r="I537" s="22" t="s">
        <v>64</v>
      </c>
      <c r="J537" s="8" t="str">
        <f>IFERROR(VLOOKUP($G537,今日總結!$A:$AJ,33,0),"")</f>
        <v/>
      </c>
      <c r="K537" s="5" t="str">
        <f>IFERROR(VLOOKUP($G537,今日總結!$A:$AJ,34,0),"")</f>
        <v/>
      </c>
      <c r="L537" s="156" t="str">
        <f>IFERROR(VLOOKUP($G537,今日總結!$A:$AJ,31,0),"")</f>
        <v/>
      </c>
      <c r="M537" s="340" t="str">
        <f>IFERROR(VLOOKUP($G537,今日總結!$A:$AJ,32,0),"")</f>
        <v/>
      </c>
      <c r="N537" s="240" t="str">
        <f t="shared" si="180"/>
        <v/>
      </c>
      <c r="P537" s="365">
        <f>IFERROR(VLOOKUP($G537,融外自投!$A:$J,7,0),"無")</f>
        <v>852</v>
      </c>
      <c r="Q537" s="79">
        <f>IFERROR(VLOOKUP($G537,融外自投!$A:$J,9,0),"無")</f>
        <v>586</v>
      </c>
      <c r="R537" s="346">
        <f>IFERROR(VLOOKUP($G537,融外自投!$A:$J,8,0),"無")</f>
        <v>158</v>
      </c>
      <c r="S537" s="81">
        <f>IFERROR(VLOOKUP($G537,融外自投!$A:$J,10,0),"無")</f>
        <v>491</v>
      </c>
      <c r="T537" s="327">
        <f>IFERROR(VLOOKUP($G537,'321買'!$A:$E,5,0),"'沒有資料'")</f>
        <v>237</v>
      </c>
      <c r="U537" s="34">
        <v>0.3</v>
      </c>
      <c r="W537" s="94">
        <f t="shared" si="179"/>
        <v>2.2058823529411766E-2</v>
      </c>
      <c r="X537" s="36">
        <v>13.6</v>
      </c>
      <c r="Y537" s="66">
        <v>12.7</v>
      </c>
      <c r="Z537" s="15">
        <f t="shared" si="181"/>
        <v>0.90000000000000036</v>
      </c>
      <c r="AA537" s="63">
        <f t="shared" si="182"/>
        <v>7.0866141732283491E-2</v>
      </c>
      <c r="AB537" s="111" t="s">
        <v>1589</v>
      </c>
      <c r="AD537" s="22" t="s">
        <v>64</v>
      </c>
      <c r="AE537" s="84">
        <v>43710</v>
      </c>
      <c r="AF537" s="83">
        <v>43724</v>
      </c>
      <c r="AG537" s="33">
        <f t="shared" si="183"/>
        <v>14</v>
      </c>
      <c r="AH537" s="116"/>
      <c r="AI537" s="245"/>
    </row>
    <row r="538" spans="1:46" ht="16.5" customHeight="1">
      <c r="A538" s="143"/>
      <c r="B538" s="80">
        <v>-22</v>
      </c>
      <c r="C538" s="80">
        <v>-32</v>
      </c>
      <c r="D538" s="80">
        <v>-22</v>
      </c>
      <c r="E538" s="80">
        <v>-32</v>
      </c>
      <c r="F538" s="6">
        <v>4.38</v>
      </c>
      <c r="G538" s="81">
        <v>1304</v>
      </c>
      <c r="H538" s="50" t="s">
        <v>1404</v>
      </c>
      <c r="I538" s="22" t="s">
        <v>64</v>
      </c>
      <c r="J538" s="8" t="str">
        <f>IFERROR(VLOOKUP($G538,今日總結!$A:$AJ,33,0),"")</f>
        <v/>
      </c>
      <c r="K538" s="5" t="str">
        <f>IFERROR(VLOOKUP($G538,今日總結!$A:$AJ,34,0),"")</f>
        <v/>
      </c>
      <c r="L538" s="156" t="str">
        <f>IFERROR(VLOOKUP($G538,今日總結!$A:$AJ,31,0),"")</f>
        <v/>
      </c>
      <c r="M538" s="340" t="str">
        <f>IFERROR(VLOOKUP($G538,今日總結!$A:$AJ,32,0),"")</f>
        <v/>
      </c>
      <c r="N538" s="240" t="str">
        <f t="shared" si="180"/>
        <v/>
      </c>
      <c r="P538" s="365">
        <f>IFERROR(VLOOKUP($G538,融外自投!$A:$J,7,0),"無")</f>
        <v>852</v>
      </c>
      <c r="Q538" s="79">
        <f>IFERROR(VLOOKUP($G538,融外自投!$A:$J,9,0),"無")</f>
        <v>586</v>
      </c>
      <c r="R538" s="346">
        <f>IFERROR(VLOOKUP($G538,融外自投!$A:$J,8,0),"無")</f>
        <v>158</v>
      </c>
      <c r="S538" s="81">
        <f>IFERROR(VLOOKUP($G538,融外自投!$A:$J,10,0),"無")</f>
        <v>491</v>
      </c>
      <c r="T538" s="327">
        <f>IFERROR(VLOOKUP($G538,'321買'!$A:$E,5,0),"'沒有資料'")</f>
        <v>237</v>
      </c>
      <c r="U538" s="34">
        <v>0.3</v>
      </c>
      <c r="W538" s="94">
        <f t="shared" si="179"/>
        <v>2.2058823529411766E-2</v>
      </c>
      <c r="X538" s="36">
        <v>13.6</v>
      </c>
      <c r="Y538" s="66">
        <v>12.7</v>
      </c>
      <c r="Z538" s="15">
        <f t="shared" si="181"/>
        <v>0.90000000000000036</v>
      </c>
      <c r="AA538" s="63">
        <f t="shared" si="182"/>
        <v>7.0866141732283491E-2</v>
      </c>
      <c r="AB538" s="111" t="s">
        <v>1590</v>
      </c>
      <c r="AD538" s="22" t="s">
        <v>64</v>
      </c>
      <c r="AE538" s="84">
        <v>43710</v>
      </c>
      <c r="AF538" s="83">
        <v>43724</v>
      </c>
      <c r="AG538" s="33">
        <f t="shared" si="183"/>
        <v>14</v>
      </c>
      <c r="AH538" s="116"/>
      <c r="AI538" s="245"/>
    </row>
    <row r="539" spans="1:46">
      <c r="B539" s="80"/>
      <c r="C539" s="80"/>
      <c r="D539" s="80"/>
      <c r="E539" s="80"/>
      <c r="F539" s="6"/>
      <c r="G539" s="41"/>
      <c r="H539" s="8"/>
      <c r="I539" s="22"/>
      <c r="L539" s="123"/>
      <c r="U539" s="34"/>
      <c r="W539" s="57"/>
      <c r="X539" s="13">
        <f>SUM(X529:X538)</f>
        <v>135.79999999999998</v>
      </c>
      <c r="Y539" s="66">
        <f>SUM(Y529:Y538)</f>
        <v>133.84999999999997</v>
      </c>
      <c r="Z539" s="15">
        <f>X539-Y539</f>
        <v>1.9500000000000171</v>
      </c>
      <c r="AA539" s="63">
        <f>Z539/Y539</f>
        <v>1.4568546880836889E-2</v>
      </c>
      <c r="AB539" s="113"/>
      <c r="AD539" s="22"/>
      <c r="AG539" s="33"/>
    </row>
    <row r="540" spans="1:46">
      <c r="A540" s="127" t="s">
        <v>1673</v>
      </c>
      <c r="B540" s="90" t="s">
        <v>1572</v>
      </c>
      <c r="C540" s="90" t="s">
        <v>1573</v>
      </c>
      <c r="D540" s="90" t="s">
        <v>1574</v>
      </c>
      <c r="E540" s="90" t="s">
        <v>1575</v>
      </c>
      <c r="F540" s="8" t="s">
        <v>1060</v>
      </c>
      <c r="G540" s="25" t="s">
        <v>386</v>
      </c>
      <c r="H540" s="55" t="s">
        <v>320</v>
      </c>
      <c r="I540" s="1" t="s">
        <v>69</v>
      </c>
      <c r="L540" s="123"/>
      <c r="T540" s="322" t="s">
        <v>1054</v>
      </c>
      <c r="U540" s="10" t="s">
        <v>66</v>
      </c>
      <c r="W540" s="68" t="s">
        <v>1493</v>
      </c>
      <c r="X540" s="28" t="s">
        <v>2</v>
      </c>
      <c r="Y540" s="17" t="s">
        <v>1399</v>
      </c>
      <c r="Z540" s="14" t="s">
        <v>5</v>
      </c>
      <c r="AA540" s="21" t="s">
        <v>3</v>
      </c>
      <c r="AB540" s="25" t="s">
        <v>105</v>
      </c>
      <c r="AD540" s="1" t="s">
        <v>69</v>
      </c>
      <c r="AE540" s="71" t="s">
        <v>1400</v>
      </c>
      <c r="AF540" s="72" t="s">
        <v>1157</v>
      </c>
      <c r="AG540" s="32" t="s">
        <v>1158</v>
      </c>
      <c r="AH540" s="46" t="s">
        <v>1570</v>
      </c>
    </row>
    <row r="541" spans="1:46" ht="16.5" customHeight="1">
      <c r="B541" s="80">
        <v>-467</v>
      </c>
      <c r="C541" s="80">
        <v>-992</v>
      </c>
      <c r="D541" s="80">
        <v>-467</v>
      </c>
      <c r="E541" s="80">
        <v>-992</v>
      </c>
      <c r="F541" s="6">
        <v>-9.84</v>
      </c>
      <c r="G541" s="79">
        <v>3545</v>
      </c>
      <c r="H541" s="50" t="s">
        <v>1404</v>
      </c>
      <c r="I541" s="22" t="s">
        <v>347</v>
      </c>
      <c r="J541" s="8">
        <f>IFERROR(VLOOKUP($G541,今日總結!$A:$AJ,33,0),"")</f>
        <v>1</v>
      </c>
      <c r="K541" s="5">
        <f>IFERROR(VLOOKUP($G541,今日總結!$A:$AJ,34,0),"")</f>
        <v>0</v>
      </c>
      <c r="L541" s="156">
        <f>IFERROR(VLOOKUP($G541,今日總結!$A:$AJ,31,0),"")</f>
        <v>0</v>
      </c>
      <c r="M541" s="340">
        <f>IFERROR(VLOOKUP($G541,今日總結!$A:$AJ,32,0),"")</f>
        <v>0</v>
      </c>
      <c r="N541" s="240">
        <f t="shared" ref="N541:N542" si="184">IFERROR(L541-M541,"")</f>
        <v>0</v>
      </c>
      <c r="P541" s="365">
        <f>IFERROR(VLOOKUP($G541,融外自投!$A:$J,7,0),"無")</f>
        <v>56</v>
      </c>
      <c r="Q541" s="79">
        <f>IFERROR(VLOOKUP($G541,融外自投!$A:$J,9,0),"無")</f>
        <v>88</v>
      </c>
      <c r="R541" s="346">
        <f>IFERROR(VLOOKUP($G541,融外自投!$A:$J,8,0),"無")</f>
        <v>408</v>
      </c>
      <c r="S541" s="81">
        <f>IFERROR(VLOOKUP($G541,融外自投!$A:$J,10,0),"無")</f>
        <v>491</v>
      </c>
      <c r="T541" s="327">
        <f>IFERROR(VLOOKUP($G541,'321買'!$A:$E,5,0),"'沒有資料'")</f>
        <v>188</v>
      </c>
      <c r="U541" s="34">
        <v>0.52</v>
      </c>
      <c r="W541" s="94">
        <f>U541/X541</f>
        <v>2.2365591397849462E-2</v>
      </c>
      <c r="X541" s="36">
        <v>23.25</v>
      </c>
      <c r="Y541" s="45">
        <v>22.4</v>
      </c>
      <c r="Z541" s="15">
        <f>X541-Y541</f>
        <v>0.85000000000000142</v>
      </c>
      <c r="AA541" s="63">
        <f>Z541/Y541</f>
        <v>3.7946428571428638E-2</v>
      </c>
      <c r="AB541" s="111" t="s">
        <v>1569</v>
      </c>
      <c r="AD541" s="22" t="s">
        <v>347</v>
      </c>
      <c r="AE541" s="84">
        <v>43696</v>
      </c>
      <c r="AF541" s="83">
        <v>43713</v>
      </c>
      <c r="AG541" s="33">
        <f>AF541-AE541</f>
        <v>17</v>
      </c>
      <c r="AH541" s="116"/>
    </row>
    <row r="542" spans="1:46" ht="16.5" customHeight="1">
      <c r="B542" s="80">
        <v>-467</v>
      </c>
      <c r="C542" s="80">
        <v>-992</v>
      </c>
      <c r="D542" s="80">
        <v>-467</v>
      </c>
      <c r="E542" s="80">
        <v>-992</v>
      </c>
      <c r="F542" s="6">
        <v>-9.84</v>
      </c>
      <c r="G542" s="79">
        <v>3545</v>
      </c>
      <c r="H542" s="50" t="s">
        <v>1404</v>
      </c>
      <c r="I542" s="22" t="s">
        <v>347</v>
      </c>
      <c r="J542" s="8">
        <f>IFERROR(VLOOKUP($G542,今日總結!$A:$AJ,33,0),"")</f>
        <v>1</v>
      </c>
      <c r="K542" s="5">
        <f>IFERROR(VLOOKUP($G542,今日總結!$A:$AJ,34,0),"")</f>
        <v>0</v>
      </c>
      <c r="L542" s="156">
        <f>IFERROR(VLOOKUP($G542,今日總結!$A:$AJ,31,0),"")</f>
        <v>0</v>
      </c>
      <c r="M542" s="340">
        <f>IFERROR(VLOOKUP($G542,今日總結!$A:$AJ,32,0),"")</f>
        <v>0</v>
      </c>
      <c r="N542" s="240">
        <f t="shared" si="184"/>
        <v>0</v>
      </c>
      <c r="P542" s="365">
        <f>IFERROR(VLOOKUP($G542,融外自投!$A:$J,7,0),"無")</f>
        <v>56</v>
      </c>
      <c r="Q542" s="79">
        <f>IFERROR(VLOOKUP($G542,融外自投!$A:$J,9,0),"無")</f>
        <v>88</v>
      </c>
      <c r="R542" s="346">
        <f>IFERROR(VLOOKUP($G542,融外自投!$A:$J,8,0),"無")</f>
        <v>408</v>
      </c>
      <c r="S542" s="81">
        <f>IFERROR(VLOOKUP($G542,融外自投!$A:$J,10,0),"無")</f>
        <v>491</v>
      </c>
      <c r="T542" s="327">
        <f>IFERROR(VLOOKUP($G542,'321買'!$A:$E,5,0),"'沒有資料'")</f>
        <v>188</v>
      </c>
      <c r="U542" s="34">
        <v>0.52</v>
      </c>
      <c r="W542" s="94">
        <f>U542/X542</f>
        <v>2.2365591397849462E-2</v>
      </c>
      <c r="X542" s="36">
        <v>23.25</v>
      </c>
      <c r="Y542" s="45">
        <v>22.4</v>
      </c>
      <c r="Z542" s="15">
        <f>X542-Y542</f>
        <v>0.85000000000000142</v>
      </c>
      <c r="AA542" s="63">
        <f>Z542/Y542</f>
        <v>3.7946428571428638E-2</v>
      </c>
      <c r="AB542" s="111" t="s">
        <v>1569</v>
      </c>
      <c r="AD542" s="22" t="s">
        <v>347</v>
      </c>
      <c r="AE542" s="84">
        <v>43696</v>
      </c>
      <c r="AF542" s="83">
        <v>43713</v>
      </c>
      <c r="AG542" s="33">
        <f>AF542-AE542</f>
        <v>17</v>
      </c>
      <c r="AH542" s="49"/>
    </row>
    <row r="543" spans="1:46" ht="16.5" customHeight="1">
      <c r="B543" s="80"/>
      <c r="C543" s="80"/>
      <c r="D543" s="80"/>
      <c r="E543" s="80"/>
      <c r="F543" s="6"/>
      <c r="G543" s="41"/>
      <c r="H543" s="50"/>
      <c r="I543" s="22"/>
      <c r="L543" s="123"/>
      <c r="S543" s="81"/>
      <c r="T543" s="327"/>
      <c r="U543" s="34"/>
      <c r="W543" s="94"/>
      <c r="X543" s="36">
        <f>SUM(X541:X542)</f>
        <v>46.5</v>
      </c>
      <c r="Y543" s="45">
        <f>SUM(Y541:Y542)</f>
        <v>44.8</v>
      </c>
      <c r="Z543" s="15">
        <f>SUM(Z541:Z542)</f>
        <v>1.7000000000000028</v>
      </c>
      <c r="AA543" s="63">
        <f>Z543/Y543</f>
        <v>3.7946428571428638E-2</v>
      </c>
      <c r="AB543" s="111"/>
      <c r="AD543" s="22"/>
      <c r="AG543" s="33"/>
      <c r="AH543" s="49"/>
    </row>
    <row r="544" spans="1:46">
      <c r="A544" s="127" t="s">
        <v>1673</v>
      </c>
      <c r="B544" s="90" t="s">
        <v>1572</v>
      </c>
      <c r="C544" s="90" t="s">
        <v>1573</v>
      </c>
      <c r="D544" s="90" t="s">
        <v>1574</v>
      </c>
      <c r="E544" s="90" t="s">
        <v>1575</v>
      </c>
      <c r="F544" s="8" t="s">
        <v>1060</v>
      </c>
      <c r="G544" s="25" t="s">
        <v>386</v>
      </c>
      <c r="H544" s="55" t="s">
        <v>320</v>
      </c>
      <c r="I544" s="1" t="s">
        <v>69</v>
      </c>
      <c r="L544" s="123"/>
      <c r="T544" s="322" t="s">
        <v>1054</v>
      </c>
      <c r="U544" s="10" t="s">
        <v>66</v>
      </c>
      <c r="W544" s="68" t="s">
        <v>1493</v>
      </c>
      <c r="X544" s="28" t="s">
        <v>2</v>
      </c>
      <c r="Y544" s="17" t="s">
        <v>1399</v>
      </c>
      <c r="Z544" s="14" t="s">
        <v>5</v>
      </c>
      <c r="AA544" s="21" t="s">
        <v>3</v>
      </c>
      <c r="AB544" s="25" t="s">
        <v>105</v>
      </c>
      <c r="AD544" s="1" t="s">
        <v>69</v>
      </c>
      <c r="AE544" s="71" t="s">
        <v>1400</v>
      </c>
      <c r="AF544" s="72" t="s">
        <v>1157</v>
      </c>
      <c r="AG544" s="32" t="s">
        <v>1158</v>
      </c>
      <c r="AH544" s="46" t="s">
        <v>1577</v>
      </c>
    </row>
    <row r="545" spans="1:34">
      <c r="B545" s="80">
        <v>-45</v>
      </c>
      <c r="C545" s="80">
        <v>-62</v>
      </c>
      <c r="D545" s="80">
        <v>-45</v>
      </c>
      <c r="E545" s="80">
        <v>-62</v>
      </c>
      <c r="F545" s="57">
        <v>10.51</v>
      </c>
      <c r="G545" s="81">
        <v>6216</v>
      </c>
      <c r="H545" s="50" t="s">
        <v>1404</v>
      </c>
      <c r="I545" s="22" t="s">
        <v>523</v>
      </c>
      <c r="J545" s="8">
        <f>IFERROR(VLOOKUP($G545,今日總結!$A:$AJ,33,0),"")</f>
        <v>2</v>
      </c>
      <c r="K545" s="5">
        <f>IFERROR(VLOOKUP($G545,今日總結!$A:$AJ,34,0),"")</f>
        <v>0</v>
      </c>
      <c r="L545" s="156">
        <f>IFERROR(VLOOKUP($G545,今日總結!$A:$AJ,31,0),"")</f>
        <v>0</v>
      </c>
      <c r="M545" s="340">
        <f>IFERROR(VLOOKUP($G545,今日總結!$A:$AJ,32,0),"")</f>
        <v>0</v>
      </c>
      <c r="N545" s="240">
        <f t="shared" ref="N545:N546" si="185">IFERROR(L545-M545,"")</f>
        <v>0</v>
      </c>
      <c r="P545" s="365">
        <f>IFERROR(VLOOKUP($G545,融外自投!$A:$J,7,0),"無")</f>
        <v>571</v>
      </c>
      <c r="Q545" s="79">
        <f>IFERROR(VLOOKUP($G545,融外自投!$A:$J,9,0),"無")</f>
        <v>324</v>
      </c>
      <c r="R545" s="346">
        <f>IFERROR(VLOOKUP($G545,融外自投!$A:$J,8,0),"無")</f>
        <v>1118</v>
      </c>
      <c r="S545" s="81" t="str">
        <f>IFERROR(VLOOKUP($G545,融外自投!$A:$J,10,0),"無")</f>
        <v>無</v>
      </c>
      <c r="T545" s="327">
        <f>IFERROR(VLOOKUP($G545,'321買'!$A:$E,5,0),"'沒有資料'")</f>
        <v>1066</v>
      </c>
      <c r="U545" s="34">
        <v>1.98</v>
      </c>
      <c r="W545" s="94">
        <f>U545/X545</f>
        <v>6.815834767641997E-2</v>
      </c>
      <c r="X545" s="36">
        <v>29.05</v>
      </c>
      <c r="Y545" s="66">
        <f>30.34-2.06</f>
        <v>28.28</v>
      </c>
      <c r="Z545" s="15">
        <f>X545-Y545</f>
        <v>0.76999999999999957</v>
      </c>
      <c r="AA545" s="63">
        <f>Z545/Y545</f>
        <v>2.722772277227721E-2</v>
      </c>
      <c r="AB545" s="128" t="s">
        <v>1496</v>
      </c>
      <c r="AD545" s="22" t="s">
        <v>523</v>
      </c>
      <c r="AE545" s="84">
        <v>43321</v>
      </c>
      <c r="AF545" s="83">
        <v>43697</v>
      </c>
      <c r="AG545" s="33">
        <f>AF545-AE545</f>
        <v>376</v>
      </c>
      <c r="AH545" s="49"/>
    </row>
    <row r="546" spans="1:34">
      <c r="B546" s="79">
        <v>525</v>
      </c>
      <c r="C546" s="79">
        <v>8</v>
      </c>
      <c r="D546" s="79">
        <v>525</v>
      </c>
      <c r="E546" s="79">
        <v>8</v>
      </c>
      <c r="F546" s="6">
        <v>4.24</v>
      </c>
      <c r="G546" s="79">
        <v>6108</v>
      </c>
      <c r="H546" s="50" t="s">
        <v>1404</v>
      </c>
      <c r="I546" s="22" t="s">
        <v>394</v>
      </c>
      <c r="J546" s="8">
        <f>IFERROR(VLOOKUP($G546,今日總結!$A:$AJ,33,0),"")</f>
        <v>0</v>
      </c>
      <c r="K546" s="5">
        <f>IFERROR(VLOOKUP($G546,今日總結!$A:$AJ,34,0),"")</f>
        <v>1</v>
      </c>
      <c r="L546" s="156">
        <f>IFERROR(VLOOKUP($G546,今日總結!$A:$AJ,31,0),"")</f>
        <v>0</v>
      </c>
      <c r="M546" s="340">
        <f>IFERROR(VLOOKUP($G546,今日總結!$A:$AJ,32,0),"")</f>
        <v>0</v>
      </c>
      <c r="N546" s="240">
        <f t="shared" si="185"/>
        <v>0</v>
      </c>
      <c r="P546" s="365">
        <f>IFERROR(VLOOKUP($G546,融外自投!$A:$J,7,0),"無")</f>
        <v>813</v>
      </c>
      <c r="Q546" s="79">
        <f>IFERROR(VLOOKUP($G546,融外自投!$A:$J,9,0),"無")</f>
        <v>852</v>
      </c>
      <c r="R546" s="346">
        <f>IFERROR(VLOOKUP($G546,融外自投!$A:$J,8,0),"無")</f>
        <v>853</v>
      </c>
      <c r="S546" s="81" t="str">
        <f>IFERROR(VLOOKUP($G546,融外自投!$A:$J,10,0),"無")</f>
        <v>無</v>
      </c>
      <c r="T546" s="327">
        <f>IFERROR(VLOOKUP($G546,'321買'!$A:$E,5,0),"'沒有資料'")</f>
        <v>1126</v>
      </c>
      <c r="U546" s="34">
        <v>2.5</v>
      </c>
      <c r="W546" s="94">
        <f>U546/X546</f>
        <v>9.727626459143969E-2</v>
      </c>
      <c r="X546" s="36">
        <v>25.7</v>
      </c>
      <c r="Y546" s="66">
        <f>27.08-2.5</f>
        <v>24.58</v>
      </c>
      <c r="Z546" s="15">
        <f>X546-Y546</f>
        <v>1.120000000000001</v>
      </c>
      <c r="AA546" s="63">
        <f>Z546/Y546</f>
        <v>4.5565500406834866E-2</v>
      </c>
      <c r="AB546" s="128" t="s">
        <v>1485</v>
      </c>
      <c r="AD546" s="22" t="s">
        <v>394</v>
      </c>
      <c r="AE546" s="84">
        <v>43335</v>
      </c>
      <c r="AF546" s="83">
        <v>43690</v>
      </c>
      <c r="AG546" s="33">
        <f>AF546-AE546</f>
        <v>355</v>
      </c>
      <c r="AH546" s="49"/>
    </row>
    <row r="547" spans="1:34">
      <c r="B547" s="79">
        <v>525</v>
      </c>
      <c r="C547" s="79">
        <v>8</v>
      </c>
      <c r="D547" s="79">
        <v>525</v>
      </c>
      <c r="E547" s="79">
        <v>8</v>
      </c>
      <c r="F547" s="6">
        <v>4.24</v>
      </c>
      <c r="G547" s="79">
        <v>6108</v>
      </c>
      <c r="H547" s="8" t="s">
        <v>1403</v>
      </c>
      <c r="I547" s="22" t="s">
        <v>394</v>
      </c>
      <c r="J547" s="8">
        <f>IFERROR(VLOOKUP($G547,今日總結!$A:$AJ,33,0),"")</f>
        <v>0</v>
      </c>
      <c r="K547" s="5">
        <f>IFERROR(VLOOKUP($G547,今日總結!$A:$AJ,34,0),"")</f>
        <v>1</v>
      </c>
      <c r="L547" s="156">
        <f>IFERROR(VLOOKUP($G547,今日總結!$A:$AJ,31,0),"")</f>
        <v>0</v>
      </c>
      <c r="M547" s="340">
        <f>IFERROR(VLOOKUP($G547,今日總結!$A:$AJ,32,0),"")</f>
        <v>0</v>
      </c>
      <c r="N547" s="240">
        <f t="shared" ref="N547" si="186">IFERROR(L547-M547,"")</f>
        <v>0</v>
      </c>
      <c r="P547" s="365">
        <f>IFERROR(VLOOKUP($G547,融外自投!$A:$J,7,0),"無")</f>
        <v>813</v>
      </c>
      <c r="Q547" s="79">
        <f>IFERROR(VLOOKUP($G547,融外自投!$A:$J,9,0),"無")</f>
        <v>852</v>
      </c>
      <c r="R547" s="346">
        <f>IFERROR(VLOOKUP($G547,融外自投!$A:$J,8,0),"無")</f>
        <v>853</v>
      </c>
      <c r="S547" s="81" t="str">
        <f>IFERROR(VLOOKUP($G547,融外自投!$A:$J,10,0),"無")</f>
        <v>無</v>
      </c>
      <c r="T547" s="327">
        <f>IFERROR(VLOOKUP($G547,'321買'!$A:$E,5,0),"'沒有資料'")</f>
        <v>1126</v>
      </c>
      <c r="U547" s="34">
        <v>2.5</v>
      </c>
      <c r="W547" s="94">
        <f>U547/X547</f>
        <v>9.727626459143969E-2</v>
      </c>
      <c r="X547" s="36">
        <v>25.7</v>
      </c>
      <c r="Y547" s="66">
        <f>27.03-2.5</f>
        <v>24.53</v>
      </c>
      <c r="Z547" s="15">
        <f>X547-Y547</f>
        <v>1.1699999999999982</v>
      </c>
      <c r="AA547" s="63">
        <f>Z547/Y547</f>
        <v>4.7696697920913092E-2</v>
      </c>
      <c r="AB547" s="128" t="s">
        <v>1484</v>
      </c>
      <c r="AD547" s="22" t="s">
        <v>394</v>
      </c>
      <c r="AE547" s="84">
        <v>43360</v>
      </c>
      <c r="AF547" s="83">
        <v>43690</v>
      </c>
      <c r="AG547" s="33">
        <f>AF547-AE547</f>
        <v>330</v>
      </c>
      <c r="AH547" s="49"/>
    </row>
    <row r="548" spans="1:34">
      <c r="B548" s="79"/>
      <c r="C548" s="79"/>
      <c r="D548" s="79"/>
      <c r="E548" s="79"/>
      <c r="F548" s="6"/>
      <c r="H548" s="8"/>
      <c r="I548" s="22"/>
      <c r="L548" s="123"/>
      <c r="U548" s="34"/>
      <c r="W548" s="94"/>
      <c r="X548" s="13">
        <f>SUM(X545:X547)</f>
        <v>80.45</v>
      </c>
      <c r="Y548" s="45">
        <f>SUM(Y545:Y547)</f>
        <v>77.39</v>
      </c>
      <c r="Z548" s="15">
        <f>X548-Y548</f>
        <v>3.0600000000000023</v>
      </c>
      <c r="AA548" s="63">
        <f>Z548/Y548</f>
        <v>3.9539992247060375E-2</v>
      </c>
      <c r="AB548" s="128"/>
      <c r="AD548" s="22"/>
      <c r="AG548" s="33"/>
      <c r="AH548" s="121"/>
    </row>
    <row r="549" spans="1:34">
      <c r="A549" s="127" t="s">
        <v>1673</v>
      </c>
      <c r="B549" s="90" t="s">
        <v>1572</v>
      </c>
      <c r="C549" s="90" t="s">
        <v>1573</v>
      </c>
      <c r="D549" s="90" t="s">
        <v>1574</v>
      </c>
      <c r="E549" s="90" t="s">
        <v>1575</v>
      </c>
      <c r="F549" s="8" t="s">
        <v>1060</v>
      </c>
      <c r="G549" s="25" t="s">
        <v>386</v>
      </c>
      <c r="H549" s="55" t="s">
        <v>320</v>
      </c>
      <c r="I549" s="1" t="s">
        <v>69</v>
      </c>
      <c r="L549" s="123"/>
      <c r="T549" s="322" t="s">
        <v>1054</v>
      </c>
      <c r="U549" s="10" t="s">
        <v>66</v>
      </c>
      <c r="W549" s="68" t="s">
        <v>1493</v>
      </c>
      <c r="X549" s="28" t="s">
        <v>2</v>
      </c>
      <c r="Y549" s="17" t="s">
        <v>1399</v>
      </c>
      <c r="Z549" s="14" t="s">
        <v>5</v>
      </c>
      <c r="AA549" s="21" t="s">
        <v>3</v>
      </c>
      <c r="AB549" s="25" t="s">
        <v>105</v>
      </c>
      <c r="AD549" s="1" t="s">
        <v>69</v>
      </c>
      <c r="AE549" s="71" t="s">
        <v>1400</v>
      </c>
      <c r="AF549" s="72" t="s">
        <v>1157</v>
      </c>
      <c r="AG549" s="32" t="s">
        <v>1158</v>
      </c>
      <c r="AH549" s="46" t="s">
        <v>1576</v>
      </c>
    </row>
    <row r="550" spans="1:34">
      <c r="A550" s="41"/>
      <c r="B550" s="80">
        <v>-92</v>
      </c>
      <c r="C550" s="80">
        <v>-95</v>
      </c>
      <c r="D550" s="80">
        <v>-92</v>
      </c>
      <c r="E550" s="80">
        <v>-95</v>
      </c>
      <c r="F550" s="6">
        <v>1.42</v>
      </c>
      <c r="G550" s="81">
        <v>2337</v>
      </c>
      <c r="H550" s="50" t="s">
        <v>1404</v>
      </c>
      <c r="I550" s="22" t="s">
        <v>42</v>
      </c>
      <c r="J550" s="8" t="str">
        <f>IFERROR(VLOOKUP($G550,今日總結!$A:$AJ,33,0),"")</f>
        <v/>
      </c>
      <c r="K550" s="5" t="str">
        <f>IFERROR(VLOOKUP($G550,今日總結!$A:$AJ,34,0),"")</f>
        <v/>
      </c>
      <c r="L550" s="156" t="str">
        <f>IFERROR(VLOOKUP($G550,今日總結!$A:$AJ,31,0),"")</f>
        <v/>
      </c>
      <c r="M550" s="340" t="str">
        <f>IFERROR(VLOOKUP($G550,今日總結!$A:$AJ,32,0),"")</f>
        <v/>
      </c>
      <c r="N550" s="240" t="str">
        <f t="shared" ref="N550:N552" si="187">IFERROR(L550-M550,"")</f>
        <v/>
      </c>
      <c r="P550" s="365">
        <f>IFERROR(VLOOKUP($G550,融外自投!$A:$J,7,0),"無")</f>
        <v>565</v>
      </c>
      <c r="Q550" s="79">
        <f>IFERROR(VLOOKUP($G550,融外自投!$A:$J,9,0),"無")</f>
        <v>104</v>
      </c>
      <c r="R550" s="346">
        <f>IFERROR(VLOOKUP($G550,融外自投!$A:$J,8,0),"無")</f>
        <v>229</v>
      </c>
      <c r="S550" s="81">
        <f>IFERROR(VLOOKUP($G550,融外自投!$A:$J,10,0),"無")</f>
        <v>103</v>
      </c>
      <c r="T550" s="327">
        <f>IFERROR(VLOOKUP($G550,'321買'!$A:$E,5,0),"'沒有資料'")</f>
        <v>59</v>
      </c>
      <c r="U550" s="34">
        <v>1.2</v>
      </c>
      <c r="W550" s="94">
        <f t="shared" ref="W550:W556" si="188">U550/X550</f>
        <v>3.8399999999999997E-2</v>
      </c>
      <c r="X550" s="36">
        <v>31.25</v>
      </c>
      <c r="Y550" s="66">
        <v>21.58</v>
      </c>
      <c r="Z550" s="15">
        <f t="shared" ref="Z550:Z556" si="189">X550-Y550</f>
        <v>9.6700000000000017</v>
      </c>
      <c r="AA550" s="63">
        <f t="shared" ref="AA550:AA557" si="190">Z550/Y550</f>
        <v>0.44810009267840606</v>
      </c>
      <c r="AB550" s="111" t="s">
        <v>1461</v>
      </c>
      <c r="AD550" s="22" t="s">
        <v>42</v>
      </c>
      <c r="AE550" s="84">
        <v>43566</v>
      </c>
      <c r="AF550" s="83">
        <v>43676</v>
      </c>
      <c r="AG550" s="33">
        <f t="shared" ref="AG550:AG556" si="191">AF550-AE550</f>
        <v>110</v>
      </c>
      <c r="AH550" s="49"/>
    </row>
    <row r="551" spans="1:34">
      <c r="A551" s="41"/>
      <c r="B551" s="79">
        <v>249</v>
      </c>
      <c r="C551" s="79">
        <v>39</v>
      </c>
      <c r="D551" s="79">
        <v>249</v>
      </c>
      <c r="E551" s="79">
        <v>39</v>
      </c>
      <c r="F551" s="57">
        <v>12.02</v>
      </c>
      <c r="G551" s="81">
        <v>4164</v>
      </c>
      <c r="H551" s="50" t="s">
        <v>1404</v>
      </c>
      <c r="I551" s="22" t="s">
        <v>634</v>
      </c>
      <c r="J551" s="8">
        <f>IFERROR(VLOOKUP($G551,今日總結!$A:$AJ,33,0),"")</f>
        <v>0</v>
      </c>
      <c r="K551" s="5">
        <f>IFERROR(VLOOKUP($G551,今日總結!$A:$AJ,34,0),"")</f>
        <v>2</v>
      </c>
      <c r="L551" s="156">
        <f>IFERROR(VLOOKUP($G551,今日總結!$A:$AJ,31,0),"")</f>
        <v>0</v>
      </c>
      <c r="M551" s="340">
        <f>IFERROR(VLOOKUP($G551,今日總結!$A:$AJ,32,0),"")</f>
        <v>0</v>
      </c>
      <c r="N551" s="240">
        <f t="shared" si="187"/>
        <v>0</v>
      </c>
      <c r="P551" s="365">
        <f>IFERROR(VLOOKUP($G551,融外自投!$A:$J,7,0),"無")</f>
        <v>931</v>
      </c>
      <c r="Q551" s="79">
        <f>IFERROR(VLOOKUP($G551,融外自投!$A:$J,9,0),"無")</f>
        <v>614</v>
      </c>
      <c r="R551" s="346">
        <f>IFERROR(VLOOKUP($G551,融外自投!$A:$J,8,0),"無")</f>
        <v>190</v>
      </c>
      <c r="S551" s="81">
        <f>IFERROR(VLOOKUP($G551,融外自投!$A:$J,10,0),"無")</f>
        <v>256</v>
      </c>
      <c r="T551" s="327">
        <f>IFERROR(VLOOKUP($G551,'321買'!$A:$E,5,0),"'沒有資料'")</f>
        <v>515</v>
      </c>
      <c r="U551" s="34">
        <v>1.8</v>
      </c>
      <c r="W551" s="57">
        <f t="shared" si="188"/>
        <v>3.7460978147762752E-2</v>
      </c>
      <c r="X551" s="13">
        <v>48.05</v>
      </c>
      <c r="Y551" s="66">
        <f>35.75-1.8</f>
        <v>33.950000000000003</v>
      </c>
      <c r="Z551" s="15">
        <f t="shared" si="189"/>
        <v>14.099999999999994</v>
      </c>
      <c r="AA551" s="63">
        <f t="shared" si="190"/>
        <v>0.41531664212076563</v>
      </c>
      <c r="AB551" s="128" t="s">
        <v>1473</v>
      </c>
      <c r="AD551" s="22" t="s">
        <v>634</v>
      </c>
      <c r="AE551" s="84">
        <v>43362</v>
      </c>
      <c r="AF551" s="83">
        <v>43676</v>
      </c>
      <c r="AG551" s="33">
        <f t="shared" si="191"/>
        <v>314</v>
      </c>
      <c r="AH551" s="49"/>
    </row>
    <row r="552" spans="1:34">
      <c r="A552" s="41"/>
      <c r="B552" s="79">
        <v>249</v>
      </c>
      <c r="C552" s="79">
        <v>39</v>
      </c>
      <c r="D552" s="79">
        <v>249</v>
      </c>
      <c r="E552" s="79">
        <v>39</v>
      </c>
      <c r="F552" s="57">
        <v>12.02</v>
      </c>
      <c r="G552" s="81">
        <v>4164</v>
      </c>
      <c r="H552" s="8" t="s">
        <v>1403</v>
      </c>
      <c r="I552" s="22" t="s">
        <v>634</v>
      </c>
      <c r="J552" s="8">
        <f>IFERROR(VLOOKUP($G552,今日總結!$A:$AJ,33,0),"")</f>
        <v>0</v>
      </c>
      <c r="K552" s="5">
        <f>IFERROR(VLOOKUP($G552,今日總結!$A:$AJ,34,0),"")</f>
        <v>2</v>
      </c>
      <c r="L552" s="156">
        <f>IFERROR(VLOOKUP($G552,今日總結!$A:$AJ,31,0),"")</f>
        <v>0</v>
      </c>
      <c r="M552" s="340">
        <f>IFERROR(VLOOKUP($G552,今日總結!$A:$AJ,32,0),"")</f>
        <v>0</v>
      </c>
      <c r="N552" s="240">
        <f t="shared" si="187"/>
        <v>0</v>
      </c>
      <c r="P552" s="365">
        <f>IFERROR(VLOOKUP($G552,融外自投!$A:$J,7,0),"無")</f>
        <v>931</v>
      </c>
      <c r="Q552" s="79">
        <f>IFERROR(VLOOKUP($G552,融外自投!$A:$J,9,0),"無")</f>
        <v>614</v>
      </c>
      <c r="R552" s="346">
        <f>IFERROR(VLOOKUP($G552,融外自投!$A:$J,8,0),"無")</f>
        <v>190</v>
      </c>
      <c r="S552" s="81">
        <f>IFERROR(VLOOKUP($G552,融外自投!$A:$J,10,0),"無")</f>
        <v>256</v>
      </c>
      <c r="T552" s="327">
        <f>IFERROR(VLOOKUP($G552,'321買'!$A:$E,5,0),"'沒有資料'")</f>
        <v>515</v>
      </c>
      <c r="U552" s="34">
        <v>1.8</v>
      </c>
      <c r="W552" s="57">
        <f t="shared" si="188"/>
        <v>3.7460978147762752E-2</v>
      </c>
      <c r="X552" s="13">
        <v>48.05</v>
      </c>
      <c r="Y552" s="66">
        <f>35.75-1.8</f>
        <v>33.950000000000003</v>
      </c>
      <c r="Z552" s="15">
        <f t="shared" si="189"/>
        <v>14.099999999999994</v>
      </c>
      <c r="AA552" s="63">
        <f t="shared" si="190"/>
        <v>0.41531664212076563</v>
      </c>
      <c r="AB552" s="128" t="s">
        <v>1473</v>
      </c>
      <c r="AD552" s="22" t="s">
        <v>634</v>
      </c>
      <c r="AE552" s="84">
        <v>43362</v>
      </c>
      <c r="AF552" s="83">
        <v>43676</v>
      </c>
      <c r="AG552" s="33">
        <f t="shared" si="191"/>
        <v>314</v>
      </c>
      <c r="AH552" s="49"/>
    </row>
    <row r="553" spans="1:34">
      <c r="A553" s="41"/>
      <c r="B553" s="79">
        <v>476</v>
      </c>
      <c r="C553" s="79">
        <v>181</v>
      </c>
      <c r="D553" s="79">
        <v>476</v>
      </c>
      <c r="E553" s="79">
        <v>181</v>
      </c>
      <c r="F553" s="6">
        <v>3.5</v>
      </c>
      <c r="G553" s="81">
        <v>1813</v>
      </c>
      <c r="H553" s="50" t="s">
        <v>1404</v>
      </c>
      <c r="I553" s="16" t="s">
        <v>608</v>
      </c>
      <c r="J553" s="8" t="str">
        <f>IFERROR(VLOOKUP($G553,今日總結!$A:$AJ,33,0),"")</f>
        <v/>
      </c>
      <c r="K553" s="5" t="str">
        <f>IFERROR(VLOOKUP($G553,今日總結!$A:$AJ,34,0),"")</f>
        <v/>
      </c>
      <c r="L553" s="156" t="str">
        <f>IFERROR(VLOOKUP($G553,今日總結!$A:$AJ,31,0),"")</f>
        <v/>
      </c>
      <c r="M553" s="340" t="str">
        <f>IFERROR(VLOOKUP($G553,今日總結!$A:$AJ,32,0),"")</f>
        <v/>
      </c>
      <c r="N553" s="240" t="str">
        <f t="shared" ref="N553:N556" si="192">IFERROR(L553-M553,"")</f>
        <v/>
      </c>
      <c r="P553" s="365">
        <f>IFERROR(VLOOKUP($G553,融外自投!$A:$J,7,0),"無")</f>
        <v>1064</v>
      </c>
      <c r="Q553" s="79" t="str">
        <f>IFERROR(VLOOKUP($G553,融外自投!$A:$J,9,0),"無")</f>
        <v>無</v>
      </c>
      <c r="R553" s="346">
        <f>IFERROR(VLOOKUP($G553,融外自投!$A:$J,8,0),"無")</f>
        <v>497</v>
      </c>
      <c r="S553" s="81" t="str">
        <f>IFERROR(VLOOKUP($G553,融外自投!$A:$J,10,0),"無")</f>
        <v>無</v>
      </c>
      <c r="T553" s="327">
        <f>IFERROR(VLOOKUP($G553,'321買'!$A:$E,5,0),"'沒有資料'")</f>
        <v>1383</v>
      </c>
      <c r="U553" s="34">
        <v>2</v>
      </c>
      <c r="W553" s="57">
        <f t="shared" si="188"/>
        <v>8.4033613445378144E-2</v>
      </c>
      <c r="X553" s="36">
        <v>23.8</v>
      </c>
      <c r="Y553" s="66">
        <f>22.33-2</f>
        <v>20.329999999999998</v>
      </c>
      <c r="Z553" s="15">
        <f t="shared" si="189"/>
        <v>3.4700000000000024</v>
      </c>
      <c r="AA553" s="63">
        <f t="shared" si="190"/>
        <v>0.17068371864240053</v>
      </c>
      <c r="AB553" s="128" t="s">
        <v>1474</v>
      </c>
      <c r="AD553" s="16" t="s">
        <v>608</v>
      </c>
      <c r="AE553" s="84">
        <v>43360</v>
      </c>
      <c r="AF553" s="83">
        <v>43676</v>
      </c>
      <c r="AG553" s="33">
        <f t="shared" si="191"/>
        <v>316</v>
      </c>
      <c r="AH553" s="49"/>
    </row>
    <row r="554" spans="1:34">
      <c r="A554" s="41"/>
      <c r="B554" s="79">
        <v>476</v>
      </c>
      <c r="C554" s="79">
        <v>181</v>
      </c>
      <c r="D554" s="79">
        <v>476</v>
      </c>
      <c r="E554" s="79">
        <v>181</v>
      </c>
      <c r="F554" s="6">
        <v>3.5</v>
      </c>
      <c r="G554" s="81">
        <v>1813</v>
      </c>
      <c r="H554" s="8" t="s">
        <v>1403</v>
      </c>
      <c r="I554" s="16" t="s">
        <v>608</v>
      </c>
      <c r="J554" s="8" t="str">
        <f>IFERROR(VLOOKUP($G554,今日總結!$A:$AJ,33,0),"")</f>
        <v/>
      </c>
      <c r="K554" s="5" t="str">
        <f>IFERROR(VLOOKUP($G554,今日總結!$A:$AJ,34,0),"")</f>
        <v/>
      </c>
      <c r="L554" s="156" t="str">
        <f>IFERROR(VLOOKUP($G554,今日總結!$A:$AJ,31,0),"")</f>
        <v/>
      </c>
      <c r="M554" s="340" t="str">
        <f>IFERROR(VLOOKUP($G554,今日總結!$A:$AJ,32,0),"")</f>
        <v/>
      </c>
      <c r="N554" s="240" t="str">
        <f t="shared" si="192"/>
        <v/>
      </c>
      <c r="P554" s="365">
        <f>IFERROR(VLOOKUP($G554,融外自投!$A:$J,7,0),"無")</f>
        <v>1064</v>
      </c>
      <c r="Q554" s="79" t="str">
        <f>IFERROR(VLOOKUP($G554,融外自投!$A:$J,9,0),"無")</f>
        <v>無</v>
      </c>
      <c r="R554" s="346">
        <f>IFERROR(VLOOKUP($G554,融外自投!$A:$J,8,0),"無")</f>
        <v>497</v>
      </c>
      <c r="S554" s="81" t="str">
        <f>IFERROR(VLOOKUP($G554,融外自投!$A:$J,10,0),"無")</f>
        <v>無</v>
      </c>
      <c r="T554" s="327">
        <f>IFERROR(VLOOKUP($G554,'321買'!$A:$E,5,0),"'沒有資料'")</f>
        <v>1383</v>
      </c>
      <c r="U554" s="34">
        <v>2</v>
      </c>
      <c r="W554" s="57">
        <f t="shared" si="188"/>
        <v>8.4033613445378144E-2</v>
      </c>
      <c r="X554" s="36">
        <v>23.8</v>
      </c>
      <c r="Y554" s="66">
        <f>21.78-2</f>
        <v>19.78</v>
      </c>
      <c r="Z554" s="15">
        <f t="shared" si="189"/>
        <v>4.0199999999999996</v>
      </c>
      <c r="AA554" s="63">
        <f t="shared" si="190"/>
        <v>0.20323559150657225</v>
      </c>
      <c r="AB554" s="128" t="s">
        <v>1475</v>
      </c>
      <c r="AD554" s="16" t="s">
        <v>608</v>
      </c>
      <c r="AE554" s="84">
        <v>43354</v>
      </c>
      <c r="AF554" s="83">
        <v>43676</v>
      </c>
      <c r="AG554" s="33">
        <f t="shared" si="191"/>
        <v>322</v>
      </c>
      <c r="AH554" s="49"/>
    </row>
    <row r="555" spans="1:34">
      <c r="A555" s="41"/>
      <c r="B555" s="79">
        <v>26</v>
      </c>
      <c r="C555" s="80">
        <v>-22</v>
      </c>
      <c r="D555" s="79">
        <v>26</v>
      </c>
      <c r="E555" s="80">
        <v>-22</v>
      </c>
      <c r="F555" s="6">
        <v>6.6</v>
      </c>
      <c r="G555" s="81">
        <v>1733</v>
      </c>
      <c r="H555" s="50" t="s">
        <v>1404</v>
      </c>
      <c r="I555" s="22" t="s">
        <v>284</v>
      </c>
      <c r="J555" s="8">
        <f>IFERROR(VLOOKUP($G555,今日總結!$A:$AJ,33,0),"")</f>
        <v>0</v>
      </c>
      <c r="K555" s="5">
        <f>IFERROR(VLOOKUP($G555,今日總結!$A:$AJ,34,0),"")</f>
        <v>4</v>
      </c>
      <c r="L555" s="156">
        <f>IFERROR(VLOOKUP($G555,今日總結!$A:$AJ,31,0),"")</f>
        <v>0</v>
      </c>
      <c r="M555" s="340">
        <f>IFERROR(VLOOKUP($G555,今日總結!$A:$AJ,32,0),"")</f>
        <v>0</v>
      </c>
      <c r="N555" s="240">
        <f t="shared" si="192"/>
        <v>0</v>
      </c>
      <c r="P555" s="365">
        <f>IFERROR(VLOOKUP($G555,融外自投!$A:$J,7,0),"無")</f>
        <v>664</v>
      </c>
      <c r="Q555" s="79">
        <f>IFERROR(VLOOKUP($G555,融外自投!$A:$J,9,0),"無")</f>
        <v>73</v>
      </c>
      <c r="R555" s="346">
        <f>IFERROR(VLOOKUP($G555,融外自投!$A:$J,8,0),"無")</f>
        <v>642</v>
      </c>
      <c r="S555" s="81" t="str">
        <f>IFERROR(VLOOKUP($G555,融外自投!$A:$J,10,0),"無")</f>
        <v>無</v>
      </c>
      <c r="T555" s="327">
        <f>IFERROR(VLOOKUP($G555,'321買'!$A:$E,5,0),"'沒有資料'")</f>
        <v>445</v>
      </c>
      <c r="U555" s="34">
        <v>0.85</v>
      </c>
      <c r="W555" s="94">
        <f t="shared" si="188"/>
        <v>2.8192371475953566E-2</v>
      </c>
      <c r="X555" s="36">
        <v>30.15</v>
      </c>
      <c r="Y555" s="66">
        <f>31.74-1.5-0.85</f>
        <v>29.389999999999997</v>
      </c>
      <c r="Z555" s="15">
        <f t="shared" si="189"/>
        <v>0.76000000000000156</v>
      </c>
      <c r="AA555" s="63">
        <f t="shared" si="190"/>
        <v>2.5859135760462799E-2</v>
      </c>
      <c r="AB555" s="128" t="s">
        <v>1476</v>
      </c>
      <c r="AD555" s="22" t="s">
        <v>284</v>
      </c>
      <c r="AE555" s="84">
        <v>43215</v>
      </c>
      <c r="AF555" s="83">
        <v>43676</v>
      </c>
      <c r="AG555" s="33">
        <f t="shared" si="191"/>
        <v>461</v>
      </c>
      <c r="AH555" s="49"/>
    </row>
    <row r="556" spans="1:34">
      <c r="A556" s="41"/>
      <c r="B556" s="79">
        <v>26</v>
      </c>
      <c r="C556" s="80">
        <v>-22</v>
      </c>
      <c r="D556" s="79">
        <v>26</v>
      </c>
      <c r="E556" s="80">
        <v>-22</v>
      </c>
      <c r="F556" s="6">
        <v>6.6</v>
      </c>
      <c r="G556" s="81">
        <v>1733</v>
      </c>
      <c r="H556" s="8" t="s">
        <v>1403</v>
      </c>
      <c r="I556" s="22" t="s">
        <v>284</v>
      </c>
      <c r="J556" s="8">
        <f>IFERROR(VLOOKUP($G556,今日總結!$A:$AJ,33,0),"")</f>
        <v>0</v>
      </c>
      <c r="K556" s="5">
        <f>IFERROR(VLOOKUP($G556,今日總結!$A:$AJ,34,0),"")</f>
        <v>4</v>
      </c>
      <c r="L556" s="156">
        <f>IFERROR(VLOOKUP($G556,今日總結!$A:$AJ,31,0),"")</f>
        <v>0</v>
      </c>
      <c r="M556" s="340">
        <f>IFERROR(VLOOKUP($G556,今日總結!$A:$AJ,32,0),"")</f>
        <v>0</v>
      </c>
      <c r="N556" s="240">
        <f t="shared" si="192"/>
        <v>0</v>
      </c>
      <c r="P556" s="365">
        <f>IFERROR(VLOOKUP($G556,融外自投!$A:$J,7,0),"無")</f>
        <v>664</v>
      </c>
      <c r="Q556" s="79">
        <f>IFERROR(VLOOKUP($G556,融外自投!$A:$J,9,0),"無")</f>
        <v>73</v>
      </c>
      <c r="R556" s="346">
        <f>IFERROR(VLOOKUP($G556,融外自投!$A:$J,8,0),"無")</f>
        <v>642</v>
      </c>
      <c r="S556" s="81" t="str">
        <f>IFERROR(VLOOKUP($G556,融外自投!$A:$J,10,0),"無")</f>
        <v>無</v>
      </c>
      <c r="T556" s="327">
        <f>IFERROR(VLOOKUP($G556,'321買'!$A:$E,5,0),"'沒有資料'")</f>
        <v>445</v>
      </c>
      <c r="U556" s="34">
        <v>0.85</v>
      </c>
      <c r="W556" s="94">
        <f t="shared" si="188"/>
        <v>2.8192371475953566E-2</v>
      </c>
      <c r="X556" s="36">
        <v>30.15</v>
      </c>
      <c r="Y556" s="66">
        <f>29.24-0.85</f>
        <v>28.389999999999997</v>
      </c>
      <c r="Z556" s="15">
        <f t="shared" si="189"/>
        <v>1.7600000000000016</v>
      </c>
      <c r="AA556" s="63">
        <f t="shared" si="190"/>
        <v>6.1993659739344904E-2</v>
      </c>
      <c r="AB556" s="128" t="s">
        <v>1477</v>
      </c>
      <c r="AD556" s="22" t="s">
        <v>284</v>
      </c>
      <c r="AE556" s="84">
        <v>43361</v>
      </c>
      <c r="AF556" s="83">
        <v>43676</v>
      </c>
      <c r="AG556" s="33">
        <f t="shared" si="191"/>
        <v>315</v>
      </c>
      <c r="AH556" s="49"/>
    </row>
    <row r="557" spans="1:34">
      <c r="F557" s="245"/>
      <c r="H557" s="245"/>
      <c r="L557" s="123"/>
      <c r="P557" s="365"/>
      <c r="Q557" s="79"/>
      <c r="R557" s="346"/>
      <c r="S557" s="81"/>
      <c r="U557" s="70"/>
      <c r="W557" s="217"/>
      <c r="X557" s="13">
        <f>SUM(X550:X556)</f>
        <v>235.25000000000003</v>
      </c>
      <c r="Y557" s="45">
        <f>SUM(Y550:Y556)</f>
        <v>187.36999999999998</v>
      </c>
      <c r="Z557" s="70">
        <f>SUM(Z550:Z556)</f>
        <v>47.879999999999995</v>
      </c>
      <c r="AA557" s="63">
        <f t="shared" si="190"/>
        <v>0.25553717243955809</v>
      </c>
      <c r="AB557" s="129"/>
      <c r="AD557" s="15"/>
      <c r="AE557" s="257"/>
      <c r="AF557" s="257"/>
      <c r="AG557" s="7"/>
      <c r="AH557" s="121"/>
    </row>
    <row r="558" spans="1:34">
      <c r="A558" s="127" t="s">
        <v>1673</v>
      </c>
      <c r="B558" s="90" t="s">
        <v>1572</v>
      </c>
      <c r="C558" s="90" t="s">
        <v>1573</v>
      </c>
      <c r="D558" s="90" t="s">
        <v>1574</v>
      </c>
      <c r="E558" s="90" t="s">
        <v>1575</v>
      </c>
      <c r="F558" s="8" t="s">
        <v>1060</v>
      </c>
      <c r="G558" s="25" t="s">
        <v>386</v>
      </c>
      <c r="H558" s="55" t="s">
        <v>320</v>
      </c>
      <c r="I558" s="1" t="s">
        <v>69</v>
      </c>
      <c r="L558" s="123"/>
      <c r="P558" s="365"/>
      <c r="Q558" s="79"/>
      <c r="R558" s="346"/>
      <c r="S558" s="81"/>
      <c r="T558" s="322" t="s">
        <v>1054</v>
      </c>
      <c r="U558" s="10" t="s">
        <v>66</v>
      </c>
      <c r="W558" s="68" t="s">
        <v>1493</v>
      </c>
      <c r="X558" s="28" t="s">
        <v>1464</v>
      </c>
      <c r="Y558" s="17" t="s">
        <v>1465</v>
      </c>
      <c r="Z558" s="14" t="s">
        <v>1466</v>
      </c>
      <c r="AA558" s="21" t="s">
        <v>3</v>
      </c>
      <c r="AB558" s="25" t="s">
        <v>105</v>
      </c>
      <c r="AD558" s="1" t="s">
        <v>69</v>
      </c>
      <c r="AE558" s="71" t="s">
        <v>1400</v>
      </c>
      <c r="AF558" s="72" t="s">
        <v>1157</v>
      </c>
      <c r="AG558" s="32" t="s">
        <v>1158</v>
      </c>
      <c r="AH558" s="46" t="s">
        <v>1598</v>
      </c>
    </row>
    <row r="559" spans="1:34">
      <c r="A559" s="41"/>
      <c r="B559" s="80" t="s">
        <v>283</v>
      </c>
      <c r="C559" s="79" t="s">
        <v>290</v>
      </c>
      <c r="D559" s="80" t="s">
        <v>283</v>
      </c>
      <c r="E559" s="79" t="s">
        <v>290</v>
      </c>
      <c r="F559" s="6">
        <v>-70.83</v>
      </c>
      <c r="G559" s="80">
        <v>2514</v>
      </c>
      <c r="H559" s="50" t="s">
        <v>1404</v>
      </c>
      <c r="I559" s="22" t="s">
        <v>676</v>
      </c>
      <c r="J559" s="8" t="str">
        <f>IFERROR(VLOOKUP($G559,今日總結!$A:$AJ,33,0),"")</f>
        <v/>
      </c>
      <c r="K559" s="5" t="str">
        <f>IFERROR(VLOOKUP($G559,今日總結!$A:$AJ,34,0),"")</f>
        <v/>
      </c>
      <c r="L559" s="156" t="str">
        <f>IFERROR(VLOOKUP($G559,今日總結!$A:$AJ,31,0),"")</f>
        <v/>
      </c>
      <c r="M559" s="340" t="str">
        <f>IFERROR(VLOOKUP($G559,今日總結!$A:$AJ,32,0),"")</f>
        <v/>
      </c>
      <c r="N559" s="240" t="str">
        <f t="shared" ref="N559:N565" si="193">IFERROR(L559-M559,"")</f>
        <v/>
      </c>
      <c r="P559" s="365">
        <f>IFERROR(VLOOKUP($G559,融外自投!$A:$J,7,0),"無")</f>
        <v>986</v>
      </c>
      <c r="Q559" s="79">
        <f>IFERROR(VLOOKUP($G559,融外自投!$A:$J,9,0),"無")</f>
        <v>145</v>
      </c>
      <c r="R559" s="346">
        <f>IFERROR(VLOOKUP($G559,融外自投!$A:$J,8,0),"無")</f>
        <v>1113</v>
      </c>
      <c r="S559" s="81" t="str">
        <f>IFERROR(VLOOKUP($G559,融外自投!$A:$J,10,0),"無")</f>
        <v>無</v>
      </c>
      <c r="T559" s="327">
        <f>IFERROR(VLOOKUP($G559,'321買'!$A:$E,5,0),"'沒有資料'")</f>
        <v>752</v>
      </c>
      <c r="U559" s="34">
        <v>0.5</v>
      </c>
      <c r="W559" s="94">
        <f t="shared" ref="W559:W565" si="194">U559/X559</f>
        <v>3.1446540880503145E-2</v>
      </c>
      <c r="X559" s="13">
        <v>15.9</v>
      </c>
      <c r="Y559" s="144">
        <v>25</v>
      </c>
      <c r="Z559" s="74">
        <f t="shared" ref="Z559:Z564" si="195">X559*Y559</f>
        <v>397.5</v>
      </c>
      <c r="AA559" s="3">
        <f t="shared" ref="AA559:AA565" si="196">Z559/Y559</f>
        <v>15.9</v>
      </c>
      <c r="AB559" s="128"/>
      <c r="AD559" s="22" t="s">
        <v>676</v>
      </c>
      <c r="AG559" s="33">
        <f t="shared" ref="AG559:AG564" si="197">AF559-AE559</f>
        <v>0</v>
      </c>
      <c r="AH559" s="49"/>
    </row>
    <row r="560" spans="1:34">
      <c r="A560" s="41"/>
      <c r="B560" s="79" t="s">
        <v>283</v>
      </c>
      <c r="C560" s="79"/>
      <c r="D560" s="79" t="s">
        <v>283</v>
      </c>
      <c r="E560" s="79"/>
      <c r="F560" s="6"/>
      <c r="G560" s="81">
        <v>2834</v>
      </c>
      <c r="H560" s="50" t="s">
        <v>1404</v>
      </c>
      <c r="I560" s="22" t="s">
        <v>263</v>
      </c>
      <c r="J560" s="8" t="str">
        <f>IFERROR(VLOOKUP($G560,今日總結!$A:$AJ,33,0),"")</f>
        <v/>
      </c>
      <c r="K560" s="5" t="str">
        <f>IFERROR(VLOOKUP($G560,今日總結!$A:$AJ,34,0),"")</f>
        <v/>
      </c>
      <c r="L560" s="156" t="str">
        <f>IFERROR(VLOOKUP($G560,今日總結!$A:$AJ,31,0),"")</f>
        <v/>
      </c>
      <c r="M560" s="340" t="str">
        <f>IFERROR(VLOOKUP($G560,今日總結!$A:$AJ,32,0),"")</f>
        <v/>
      </c>
      <c r="N560" s="240" t="str">
        <f t="shared" si="193"/>
        <v/>
      </c>
      <c r="P560" s="365">
        <f>IFERROR(VLOOKUP($G560,融外自投!$A:$J,7,0),"無")</f>
        <v>1090</v>
      </c>
      <c r="Q560" s="79">
        <f>IFERROR(VLOOKUP($G560,融外自投!$A:$J,9,0),"無")</f>
        <v>653</v>
      </c>
      <c r="R560" s="346">
        <f>IFERROR(VLOOKUP($G560,融外自投!$A:$J,8,0),"無")</f>
        <v>523</v>
      </c>
      <c r="S560" s="81">
        <f>IFERROR(VLOOKUP($G560,融外自投!$A:$J,10,0),"無")</f>
        <v>262</v>
      </c>
      <c r="T560" s="327">
        <f>IFERROR(VLOOKUP($G560,'321買'!$A:$E,5,0),"'沒有資料'")</f>
        <v>107</v>
      </c>
      <c r="U560" s="34">
        <v>0.8</v>
      </c>
      <c r="W560" s="94">
        <f t="shared" si="194"/>
        <v>5.9479553903345729E-2</v>
      </c>
      <c r="X560" s="13">
        <v>13.45</v>
      </c>
      <c r="Y560" s="190">
        <v>31</v>
      </c>
      <c r="Z560" s="74">
        <f t="shared" si="195"/>
        <v>416.95</v>
      </c>
      <c r="AA560" s="3">
        <f t="shared" si="196"/>
        <v>13.45</v>
      </c>
      <c r="AB560" s="130"/>
      <c r="AD560" s="22" t="s">
        <v>263</v>
      </c>
      <c r="AG560" s="33">
        <f t="shared" si="197"/>
        <v>0</v>
      </c>
      <c r="AH560" s="49"/>
    </row>
    <row r="561" spans="1:47">
      <c r="A561" s="41"/>
      <c r="B561" s="79" t="s">
        <v>283</v>
      </c>
      <c r="C561" s="79" t="s">
        <v>290</v>
      </c>
      <c r="D561" s="79" t="s">
        <v>283</v>
      </c>
      <c r="E561" s="79" t="s">
        <v>290</v>
      </c>
      <c r="F561" s="6">
        <v>7.08</v>
      </c>
      <c r="G561" s="81">
        <v>4927</v>
      </c>
      <c r="H561" s="50" t="s">
        <v>1404</v>
      </c>
      <c r="I561" s="22" t="s">
        <v>447</v>
      </c>
      <c r="J561" s="8">
        <f>IFERROR(VLOOKUP($G561,今日總結!$A:$AJ,33,0),"")</f>
        <v>1</v>
      </c>
      <c r="K561" s="5">
        <f>IFERROR(VLOOKUP($G561,今日總結!$A:$AJ,34,0),"")</f>
        <v>0</v>
      </c>
      <c r="L561" s="156">
        <f>IFERROR(VLOOKUP($G561,今日總結!$A:$AJ,31,0),"")</f>
        <v>0</v>
      </c>
      <c r="M561" s="340">
        <f>IFERROR(VLOOKUP($G561,今日總結!$A:$AJ,32,0),"")</f>
        <v>0</v>
      </c>
      <c r="N561" s="240">
        <f t="shared" si="193"/>
        <v>0</v>
      </c>
      <c r="P561" s="365">
        <f>IFERROR(VLOOKUP($G561,融外自投!$A:$J,7,0),"無")</f>
        <v>291</v>
      </c>
      <c r="Q561" s="79">
        <f>IFERROR(VLOOKUP($G561,融外自投!$A:$J,9,0),"無")</f>
        <v>194</v>
      </c>
      <c r="R561" s="346">
        <f>IFERROR(VLOOKUP($G561,融外自投!$A:$J,8,0),"無")</f>
        <v>283</v>
      </c>
      <c r="S561" s="81">
        <f>IFERROR(VLOOKUP($G561,融外自投!$A:$J,10,0),"無")</f>
        <v>37</v>
      </c>
      <c r="T561" s="327">
        <f>IFERROR(VLOOKUP($G561,'321買'!$A:$E,5,0),"'沒有資料'")</f>
        <v>51</v>
      </c>
      <c r="U561" s="34">
        <v>2.56</v>
      </c>
      <c r="W561" s="94">
        <f t="shared" si="194"/>
        <v>4.8301886792452828E-2</v>
      </c>
      <c r="X561" s="13">
        <v>53</v>
      </c>
      <c r="Y561" s="144">
        <v>32</v>
      </c>
      <c r="Z561" s="74">
        <f t="shared" si="195"/>
        <v>1696</v>
      </c>
      <c r="AA561" s="3">
        <f t="shared" si="196"/>
        <v>53</v>
      </c>
      <c r="AB561" s="128"/>
      <c r="AD561" s="22" t="s">
        <v>447</v>
      </c>
      <c r="AG561" s="33">
        <f t="shared" si="197"/>
        <v>0</v>
      </c>
      <c r="AH561" s="49"/>
    </row>
    <row r="562" spans="1:47">
      <c r="A562" s="41"/>
      <c r="B562" s="79" t="s">
        <v>283</v>
      </c>
      <c r="C562" s="79" t="s">
        <v>290</v>
      </c>
      <c r="D562" s="79" t="s">
        <v>283</v>
      </c>
      <c r="E562" s="79" t="s">
        <v>290</v>
      </c>
      <c r="F562" s="6">
        <v>4.6100000000000003</v>
      </c>
      <c r="G562" s="79">
        <v>6485</v>
      </c>
      <c r="H562" s="50" t="s">
        <v>1404</v>
      </c>
      <c r="I562" s="16" t="s">
        <v>232</v>
      </c>
      <c r="J562" s="8" t="str">
        <f>IFERROR(VLOOKUP($G562,今日總結!$A:$AJ,33,0),"")</f>
        <v/>
      </c>
      <c r="K562" s="5" t="str">
        <f>IFERROR(VLOOKUP($G562,今日總結!$A:$AJ,34,0),"")</f>
        <v/>
      </c>
      <c r="L562" s="156" t="str">
        <f>IFERROR(VLOOKUP($G562,今日總結!$A:$AJ,31,0),"")</f>
        <v/>
      </c>
      <c r="M562" s="340" t="str">
        <f>IFERROR(VLOOKUP($G562,今日總結!$A:$AJ,32,0),"")</f>
        <v/>
      </c>
      <c r="N562" s="240" t="str">
        <f t="shared" si="193"/>
        <v/>
      </c>
      <c r="P562" s="365">
        <f>IFERROR(VLOOKUP($G562,融外自投!$A:$J,7,0),"無")</f>
        <v>15</v>
      </c>
      <c r="Q562" s="79">
        <f>IFERROR(VLOOKUP($G562,融外自投!$A:$J,9,0),"無")</f>
        <v>125</v>
      </c>
      <c r="R562" s="346">
        <f>IFERROR(VLOOKUP($G562,融外自投!$A:$J,8,0),"無")</f>
        <v>818</v>
      </c>
      <c r="S562" s="81">
        <f>IFERROR(VLOOKUP($G562,融外自投!$A:$J,10,0),"無")</f>
        <v>416</v>
      </c>
      <c r="T562" s="327">
        <f>IFERROR(VLOOKUP($G562,'321買'!$A:$E,5,0),"'沒有資料'")</f>
        <v>71</v>
      </c>
      <c r="U562" s="34">
        <v>0</v>
      </c>
      <c r="W562" s="94">
        <f t="shared" si="194"/>
        <v>0</v>
      </c>
      <c r="X562" s="36">
        <v>38.85</v>
      </c>
      <c r="Y562" s="144">
        <v>19</v>
      </c>
      <c r="Z562" s="74">
        <f t="shared" si="195"/>
        <v>738.15</v>
      </c>
      <c r="AA562" s="3">
        <f t="shared" si="196"/>
        <v>38.85</v>
      </c>
      <c r="AB562" s="128"/>
      <c r="AD562" s="16" t="s">
        <v>232</v>
      </c>
      <c r="AG562" s="33">
        <f t="shared" si="197"/>
        <v>0</v>
      </c>
      <c r="AH562" s="49"/>
    </row>
    <row r="563" spans="1:47">
      <c r="A563" s="41"/>
      <c r="B563" s="79" t="s">
        <v>283</v>
      </c>
      <c r="C563" s="79" t="s">
        <v>290</v>
      </c>
      <c r="D563" s="79" t="s">
        <v>283</v>
      </c>
      <c r="E563" s="79" t="s">
        <v>290</v>
      </c>
      <c r="F563" s="6">
        <v>4.6100000000000003</v>
      </c>
      <c r="G563" s="79">
        <v>6485</v>
      </c>
      <c r="H563" s="50" t="s">
        <v>1404</v>
      </c>
      <c r="I563" s="16" t="s">
        <v>232</v>
      </c>
      <c r="J563" s="8" t="str">
        <f>IFERROR(VLOOKUP($G563,今日總結!$A:$AJ,33,0),"")</f>
        <v/>
      </c>
      <c r="K563" s="5" t="str">
        <f>IFERROR(VLOOKUP($G563,今日總結!$A:$AJ,34,0),"")</f>
        <v/>
      </c>
      <c r="L563" s="156" t="str">
        <f>IFERROR(VLOOKUP($G563,今日總結!$A:$AJ,31,0),"")</f>
        <v/>
      </c>
      <c r="M563" s="340" t="str">
        <f>IFERROR(VLOOKUP($G563,今日總結!$A:$AJ,32,0),"")</f>
        <v/>
      </c>
      <c r="N563" s="240" t="str">
        <f t="shared" si="193"/>
        <v/>
      </c>
      <c r="P563" s="365">
        <f>IFERROR(VLOOKUP($G563,融外自投!$A:$J,7,0),"無")</f>
        <v>15</v>
      </c>
      <c r="Q563" s="79">
        <f>IFERROR(VLOOKUP($G563,融外自投!$A:$J,9,0),"無")</f>
        <v>125</v>
      </c>
      <c r="R563" s="346">
        <f>IFERROR(VLOOKUP($G563,融外自投!$A:$J,8,0),"無")</f>
        <v>818</v>
      </c>
      <c r="S563" s="81">
        <f>IFERROR(VLOOKUP($G563,融外自投!$A:$J,10,0),"無")</f>
        <v>416</v>
      </c>
      <c r="T563" s="327">
        <f>IFERROR(VLOOKUP($G563,'321買'!$A:$E,5,0),"'沒有資料'")</f>
        <v>71</v>
      </c>
      <c r="U563" s="34">
        <v>0</v>
      </c>
      <c r="W563" s="94">
        <f t="shared" si="194"/>
        <v>0</v>
      </c>
      <c r="X563" s="36">
        <v>37.799999999999997</v>
      </c>
      <c r="Y563" s="144">
        <v>78</v>
      </c>
      <c r="Z563" s="74">
        <f>X563*Y563</f>
        <v>2948.3999999999996</v>
      </c>
      <c r="AA563" s="3">
        <f t="shared" si="196"/>
        <v>37.799999999999997</v>
      </c>
      <c r="AB563" s="128"/>
      <c r="AD563" s="16" t="s">
        <v>232</v>
      </c>
      <c r="AG563" s="33">
        <f>AF563-AE563</f>
        <v>0</v>
      </c>
      <c r="AH563" s="49"/>
    </row>
    <row r="564" spans="1:47">
      <c r="A564" s="41"/>
      <c r="B564" s="79" t="s">
        <v>283</v>
      </c>
      <c r="C564" s="79" t="s">
        <v>290</v>
      </c>
      <c r="D564" s="79" t="s">
        <v>283</v>
      </c>
      <c r="E564" s="79" t="s">
        <v>290</v>
      </c>
      <c r="F564" s="57">
        <v>11.06</v>
      </c>
      <c r="G564" s="79">
        <v>2027</v>
      </c>
      <c r="H564" s="8" t="s">
        <v>1403</v>
      </c>
      <c r="I564" s="22" t="s">
        <v>280</v>
      </c>
      <c r="J564" s="8">
        <f>IFERROR(VLOOKUP($G564,今日總結!$A:$AJ,33,0),"")</f>
        <v>0</v>
      </c>
      <c r="K564" s="5">
        <f>IFERROR(VLOOKUP($G564,今日總結!$A:$AJ,34,0),"")</f>
        <v>1</v>
      </c>
      <c r="L564" s="156">
        <f>IFERROR(VLOOKUP($G564,今日總結!$A:$AJ,31,0),"")</f>
        <v>0</v>
      </c>
      <c r="M564" s="340">
        <f>IFERROR(VLOOKUP($G564,今日總結!$A:$AJ,32,0),"")</f>
        <v>0</v>
      </c>
      <c r="N564" s="240">
        <f t="shared" si="193"/>
        <v>0</v>
      </c>
      <c r="P564" s="365">
        <f>IFERROR(VLOOKUP($G564,融外自投!$A:$J,7,0),"無")</f>
        <v>442</v>
      </c>
      <c r="Q564" s="79">
        <f>IFERROR(VLOOKUP($G564,融外自投!$A:$J,9,0),"無")</f>
        <v>55</v>
      </c>
      <c r="R564" s="346">
        <f>IFERROR(VLOOKUP($G564,融外自投!$A:$J,8,0),"無")</f>
        <v>351</v>
      </c>
      <c r="S564" s="81">
        <f>IFERROR(VLOOKUP($G564,融外自投!$A:$J,10,0),"無")</f>
        <v>227</v>
      </c>
      <c r="T564" s="327">
        <f>IFERROR(VLOOKUP($G564,'321買'!$A:$E,5,0),"'沒有資料'")</f>
        <v>392</v>
      </c>
      <c r="U564" s="34">
        <v>3</v>
      </c>
      <c r="W564" s="94">
        <f t="shared" si="194"/>
        <v>6.5146579804560262E-2</v>
      </c>
      <c r="X564" s="13">
        <v>46.05</v>
      </c>
      <c r="Y564" s="190">
        <v>30</v>
      </c>
      <c r="Z564" s="74">
        <f t="shared" si="195"/>
        <v>1381.5</v>
      </c>
      <c r="AA564" s="3">
        <f t="shared" si="196"/>
        <v>46.05</v>
      </c>
      <c r="AB564" s="130" t="s">
        <v>214</v>
      </c>
      <c r="AD564" s="22" t="s">
        <v>280</v>
      </c>
      <c r="AG564" s="33">
        <f t="shared" si="197"/>
        <v>0</v>
      </c>
      <c r="AH564" s="49"/>
    </row>
    <row r="565" spans="1:47">
      <c r="B565" s="79" t="s">
        <v>283</v>
      </c>
      <c r="C565" s="79"/>
      <c r="D565" s="79" t="s">
        <v>283</v>
      </c>
      <c r="E565" s="79"/>
      <c r="F565" s="6"/>
      <c r="G565" s="80">
        <v>2890</v>
      </c>
      <c r="H565" s="109" t="s">
        <v>1495</v>
      </c>
      <c r="I565" s="22" t="s">
        <v>1</v>
      </c>
      <c r="J565" s="8">
        <f>IFERROR(VLOOKUP($G565,今日總結!$A:$AJ,33,0),"")</f>
        <v>2</v>
      </c>
      <c r="K565" s="5">
        <f>IFERROR(VLOOKUP($G565,今日總結!$A:$AJ,34,0),"")</f>
        <v>0</v>
      </c>
      <c r="L565" s="156">
        <f>IFERROR(VLOOKUP($G565,今日總結!$A:$AJ,31,0),"")</f>
        <v>0</v>
      </c>
      <c r="M565" s="340">
        <f>IFERROR(VLOOKUP($G565,今日總結!$A:$AJ,32,0),"")</f>
        <v>0</v>
      </c>
      <c r="N565" s="240">
        <f t="shared" si="193"/>
        <v>0</v>
      </c>
      <c r="P565" s="365">
        <f>IFERROR(VLOOKUP($G565,融外自投!$A:$J,7,0),"無")</f>
        <v>1401</v>
      </c>
      <c r="Q565" s="79">
        <f>IFERROR(VLOOKUP($G565,融外自投!$A:$J,9,0),"無")</f>
        <v>537</v>
      </c>
      <c r="R565" s="346">
        <f>IFERROR(VLOOKUP($G565,融外自投!$A:$J,8,0),"無")</f>
        <v>193</v>
      </c>
      <c r="S565" s="81">
        <f>IFERROR(VLOOKUP($G565,融外自投!$A:$J,10,0),"無")</f>
        <v>138</v>
      </c>
      <c r="T565" s="327">
        <f>IFERROR(VLOOKUP($G565,'321買'!$A:$E,5,0),"'沒有資料'")</f>
        <v>21</v>
      </c>
      <c r="U565" s="34">
        <v>0.64</v>
      </c>
      <c r="W565" s="94">
        <f t="shared" si="194"/>
        <v>5.245901639344263E-2</v>
      </c>
      <c r="X565" s="13">
        <v>12.2</v>
      </c>
      <c r="Y565" s="190">
        <v>107</v>
      </c>
      <c r="Z565" s="74">
        <f>X565*Y565</f>
        <v>1305.3999999999999</v>
      </c>
      <c r="AA565" s="3">
        <f t="shared" si="196"/>
        <v>12.2</v>
      </c>
      <c r="AB565" s="130" t="s">
        <v>1397</v>
      </c>
      <c r="AD565" s="22" t="s">
        <v>1</v>
      </c>
      <c r="AH565" s="49"/>
      <c r="AU565" s="11"/>
    </row>
    <row r="566" spans="1:47">
      <c r="A566" s="41"/>
      <c r="B566" s="79"/>
      <c r="C566" s="79"/>
      <c r="D566" s="79"/>
      <c r="E566" s="79"/>
      <c r="F566" s="57"/>
      <c r="G566" s="41"/>
      <c r="H566" s="8"/>
      <c r="I566" s="22"/>
      <c r="L566" s="123"/>
      <c r="S566" s="81"/>
      <c r="T566" s="327"/>
      <c r="U566" s="34"/>
      <c r="W566" s="94"/>
      <c r="X566" s="13"/>
      <c r="Y566" s="190"/>
      <c r="Z566" s="15">
        <f>SUM(Z559:Z565)/1000</f>
        <v>8.8838999999999988</v>
      </c>
      <c r="AA566" s="3"/>
      <c r="AB566" s="130"/>
      <c r="AD566" s="22"/>
      <c r="AG566" s="33"/>
      <c r="AH566" s="49"/>
    </row>
    <row r="567" spans="1:47">
      <c r="F567" s="245"/>
      <c r="H567" s="245"/>
      <c r="L567" s="123"/>
      <c r="S567" s="81"/>
      <c r="T567" s="327"/>
      <c r="U567" s="106"/>
      <c r="W567" s="216"/>
      <c r="X567" s="245"/>
      <c r="Y567" s="187"/>
      <c r="Z567" s="245"/>
      <c r="AA567" s="245"/>
      <c r="AB567" s="129"/>
      <c r="AD567" s="245"/>
      <c r="AE567" s="257"/>
      <c r="AF567" s="257"/>
      <c r="AG567" s="7"/>
    </row>
    <row r="568" spans="1:47">
      <c r="L568" s="123"/>
      <c r="S568" s="81"/>
      <c r="T568" s="327"/>
    </row>
    <row r="569" spans="1:47">
      <c r="L569" s="123"/>
    </row>
    <row r="570" spans="1:47">
      <c r="L570" s="123"/>
    </row>
    <row r="571" spans="1:47">
      <c r="L571" s="123"/>
    </row>
    <row r="572" spans="1:47">
      <c r="L572" s="123"/>
    </row>
    <row r="573" spans="1:47">
      <c r="L573" s="123"/>
    </row>
    <row r="574" spans="1:47">
      <c r="L574" s="123"/>
    </row>
    <row r="575" spans="1:47">
      <c r="L575" s="123"/>
    </row>
    <row r="576" spans="1:47">
      <c r="L576" s="123"/>
    </row>
    <row r="577" spans="12:12">
      <c r="L577" s="33"/>
    </row>
    <row r="578" spans="12:12">
      <c r="L578" s="123"/>
    </row>
    <row r="579" spans="12:12">
      <c r="L579" s="123"/>
    </row>
    <row r="580" spans="12:12">
      <c r="L580" s="245"/>
    </row>
    <row r="581" spans="12:12">
      <c r="L581" s="123"/>
    </row>
    <row r="582" spans="12:12">
      <c r="L582" s="123"/>
    </row>
    <row r="583" spans="12:12">
      <c r="L583" s="123"/>
    </row>
    <row r="584" spans="12:12">
      <c r="L584" s="123"/>
    </row>
    <row r="585" spans="12:12">
      <c r="L585" s="123"/>
    </row>
    <row r="586" spans="12:12">
      <c r="L586" s="245"/>
    </row>
    <row r="587" spans="12:12">
      <c r="L587" s="123"/>
    </row>
    <row r="588" spans="12:12">
      <c r="L588" s="123"/>
    </row>
    <row r="589" spans="12:12">
      <c r="L589" s="123"/>
    </row>
    <row r="590" spans="12:12">
      <c r="L590" s="123"/>
    </row>
    <row r="591" spans="12:12">
      <c r="L591" s="123"/>
    </row>
    <row r="592" spans="12:12">
      <c r="L592" s="123"/>
    </row>
    <row r="593" spans="12:12">
      <c r="L593" s="123"/>
    </row>
    <row r="594" spans="12:12">
      <c r="L594" s="123"/>
    </row>
    <row r="595" spans="12:12">
      <c r="L595" s="123"/>
    </row>
    <row r="596" spans="12:12">
      <c r="L596" s="123"/>
    </row>
    <row r="597" spans="12:12">
      <c r="L597" s="245"/>
    </row>
    <row r="598" spans="12:12">
      <c r="L598" s="123"/>
    </row>
    <row r="599" spans="12:12">
      <c r="L599" s="123"/>
    </row>
    <row r="600" spans="12:12">
      <c r="L600" s="123"/>
    </row>
    <row r="601" spans="12:12">
      <c r="L601" s="123"/>
    </row>
    <row r="602" spans="12:12">
      <c r="L602" s="123"/>
    </row>
    <row r="603" spans="12:12">
      <c r="L603" s="123"/>
    </row>
    <row r="604" spans="12:12">
      <c r="L604" s="123"/>
    </row>
    <row r="605" spans="12:12">
      <c r="L605" s="123"/>
    </row>
    <row r="606" spans="12:12">
      <c r="L606" s="123"/>
    </row>
    <row r="607" spans="12:12">
      <c r="L607" s="245"/>
    </row>
    <row r="608" spans="12:12">
      <c r="L608" s="123"/>
    </row>
    <row r="609" spans="12:12">
      <c r="L609" s="123"/>
    </row>
    <row r="610" spans="12:12">
      <c r="L610" s="123"/>
    </row>
    <row r="611" spans="12:12">
      <c r="L611" s="123"/>
    </row>
    <row r="612" spans="12:12">
      <c r="L612" s="123"/>
    </row>
    <row r="613" spans="12:12">
      <c r="L613" s="123"/>
    </row>
    <row r="614" spans="12:12">
      <c r="L614" s="123"/>
    </row>
    <row r="615" spans="12:12">
      <c r="L615" s="245"/>
    </row>
    <row r="616" spans="12:12">
      <c r="L616" s="123"/>
    </row>
    <row r="617" spans="12:12">
      <c r="L617" s="123"/>
    </row>
    <row r="618" spans="12:12">
      <c r="L618" s="123"/>
    </row>
    <row r="619" spans="12:12">
      <c r="L619" s="123"/>
    </row>
    <row r="620" spans="12:12">
      <c r="L620" s="123"/>
    </row>
    <row r="621" spans="12:12">
      <c r="L621" s="123"/>
    </row>
    <row r="622" spans="12:12">
      <c r="L622" s="123"/>
    </row>
    <row r="623" spans="12:12">
      <c r="L623" s="123"/>
    </row>
    <row r="624" spans="12:12">
      <c r="L624" s="123"/>
    </row>
    <row r="625" spans="12:12">
      <c r="L625" s="245"/>
    </row>
    <row r="626" spans="12:12">
      <c r="L626" s="123"/>
    </row>
    <row r="627" spans="12:12">
      <c r="L627" s="123"/>
    </row>
    <row r="628" spans="12:12">
      <c r="L628" s="123"/>
    </row>
    <row r="629" spans="12:12">
      <c r="L629" s="123"/>
    </row>
    <row r="630" spans="12:12">
      <c r="L630" s="123"/>
    </row>
    <row r="631" spans="12:12">
      <c r="L631" s="123"/>
    </row>
    <row r="632" spans="12:12">
      <c r="L632" s="123"/>
    </row>
    <row r="633" spans="12:12">
      <c r="L633" s="123"/>
    </row>
    <row r="634" spans="12:12">
      <c r="L634" s="123"/>
    </row>
    <row r="635" spans="12:12">
      <c r="L635" s="123"/>
    </row>
    <row r="636" spans="12:12">
      <c r="L636" s="123"/>
    </row>
    <row r="637" spans="12:12">
      <c r="L637" s="123"/>
    </row>
    <row r="638" spans="12:12">
      <c r="L638" s="123"/>
    </row>
    <row r="639" spans="12:12">
      <c r="L639" s="123"/>
    </row>
    <row r="640" spans="12:12">
      <c r="L640" s="123"/>
    </row>
    <row r="641" spans="12:12">
      <c r="L641" s="123"/>
    </row>
    <row r="642" spans="12:12">
      <c r="L642" s="123"/>
    </row>
    <row r="643" spans="12:12">
      <c r="L643" s="123"/>
    </row>
    <row r="644" spans="12:12">
      <c r="L644" s="123"/>
    </row>
    <row r="645" spans="12:12">
      <c r="L645" s="123"/>
    </row>
    <row r="646" spans="12:12">
      <c r="L646" s="245"/>
    </row>
    <row r="647" spans="12:12">
      <c r="L647" s="123"/>
    </row>
    <row r="648" spans="12:12">
      <c r="L648" s="123"/>
    </row>
    <row r="649" spans="12:12">
      <c r="L649" s="123"/>
    </row>
    <row r="651" spans="12:12">
      <c r="L651" s="123"/>
    </row>
    <row r="652" spans="12:12">
      <c r="L652" s="123"/>
    </row>
    <row r="653" spans="12:12">
      <c r="L653" s="123"/>
    </row>
    <row r="654" spans="12:12">
      <c r="L654" s="123"/>
    </row>
    <row r="655" spans="12:12">
      <c r="L655" s="123"/>
    </row>
    <row r="656" spans="12:12">
      <c r="L656" s="123"/>
    </row>
    <row r="657" spans="12:12">
      <c r="L657" s="123"/>
    </row>
    <row r="658" spans="12:12">
      <c r="L658" s="123"/>
    </row>
    <row r="659" spans="12:12">
      <c r="L659" s="245"/>
    </row>
    <row r="660" spans="12:12">
      <c r="L660" s="123"/>
    </row>
    <row r="661" spans="12:12">
      <c r="L661" s="123"/>
    </row>
    <row r="662" spans="12:12">
      <c r="L662" s="123"/>
    </row>
    <row r="663" spans="12:12">
      <c r="L663" s="245"/>
    </row>
    <row r="664" spans="12:12">
      <c r="L664" s="123"/>
    </row>
    <row r="665" spans="12:12">
      <c r="L665" s="123"/>
    </row>
    <row r="666" spans="12:12">
      <c r="L666" s="123"/>
    </row>
    <row r="667" spans="12:12">
      <c r="L667" s="123"/>
    </row>
    <row r="668" spans="12:12">
      <c r="L668" s="123"/>
    </row>
    <row r="669" spans="12:12">
      <c r="L669" s="123"/>
    </row>
    <row r="670" spans="12:12">
      <c r="L670" s="123"/>
    </row>
    <row r="671" spans="12:12">
      <c r="L671" s="123"/>
    </row>
    <row r="672" spans="12:12">
      <c r="L672" s="123"/>
    </row>
    <row r="673" spans="12:12">
      <c r="L673" s="123"/>
    </row>
    <row r="674" spans="12:12">
      <c r="L674" s="123"/>
    </row>
    <row r="675" spans="12:12">
      <c r="L675" s="123"/>
    </row>
    <row r="676" spans="12:12">
      <c r="L676" s="123"/>
    </row>
    <row r="677" spans="12:12">
      <c r="L677" s="123"/>
    </row>
    <row r="678" spans="12:12">
      <c r="L678" s="123"/>
    </row>
    <row r="679" spans="12:12">
      <c r="L679" s="123"/>
    </row>
    <row r="680" spans="12:12">
      <c r="L680" s="123"/>
    </row>
    <row r="681" spans="12:12">
      <c r="L681" s="123"/>
    </row>
    <row r="682" spans="12:12">
      <c r="L682" s="123"/>
    </row>
    <row r="683" spans="12:12">
      <c r="L683" s="123"/>
    </row>
    <row r="684" spans="12:12">
      <c r="L684" s="123"/>
    </row>
    <row r="685" spans="12:12">
      <c r="L685" s="123"/>
    </row>
    <row r="686" spans="12:12">
      <c r="L686" s="123"/>
    </row>
    <row r="687" spans="12:12">
      <c r="L687" s="123"/>
    </row>
    <row r="688" spans="12:12">
      <c r="L688" s="123"/>
    </row>
    <row r="689" spans="12:12">
      <c r="L689" s="123"/>
    </row>
    <row r="690" spans="12:12">
      <c r="L690" s="123"/>
    </row>
    <row r="691" spans="12:12">
      <c r="L691" s="123"/>
    </row>
    <row r="692" spans="12:12">
      <c r="L692" s="123"/>
    </row>
    <row r="693" spans="12:12">
      <c r="L693" s="123"/>
    </row>
    <row r="694" spans="12:12">
      <c r="L694" s="123"/>
    </row>
    <row r="695" spans="12:12">
      <c r="L695" s="123"/>
    </row>
    <row r="696" spans="12:12">
      <c r="L696" s="123"/>
    </row>
    <row r="697" spans="12:12">
      <c r="L697" s="123"/>
    </row>
    <row r="698" spans="12:12">
      <c r="L698" s="123"/>
    </row>
    <row r="699" spans="12:12">
      <c r="L699" s="123"/>
    </row>
    <row r="700" spans="12:12">
      <c r="L700" s="123"/>
    </row>
    <row r="701" spans="12:12">
      <c r="L701" s="123"/>
    </row>
    <row r="702" spans="12:12">
      <c r="L702" s="123"/>
    </row>
    <row r="703" spans="12:12">
      <c r="L703" s="123"/>
    </row>
    <row r="704" spans="12:12">
      <c r="L704" s="123"/>
    </row>
    <row r="705" spans="12:29">
      <c r="L705" s="123"/>
    </row>
    <row r="706" spans="12:29">
      <c r="L706" s="123"/>
    </row>
    <row r="707" spans="12:29">
      <c r="L707" s="123"/>
    </row>
    <row r="708" spans="12:29">
      <c r="L708" s="27"/>
    </row>
    <row r="709" spans="12:29">
      <c r="L709" s="123"/>
    </row>
    <row r="710" spans="12:29">
      <c r="L710" s="123"/>
    </row>
    <row r="711" spans="12:29">
      <c r="L711" s="123"/>
    </row>
    <row r="712" spans="12:29">
      <c r="L712" s="123"/>
    </row>
    <row r="713" spans="12:29">
      <c r="L713" s="123"/>
    </row>
    <row r="714" spans="12:29">
      <c r="L714" s="123"/>
    </row>
    <row r="715" spans="12:29">
      <c r="L715" s="123"/>
    </row>
    <row r="716" spans="12:29">
      <c r="L716" s="123"/>
    </row>
    <row r="717" spans="12:29">
      <c r="L717" s="123"/>
    </row>
    <row r="718" spans="12:29">
      <c r="L718" s="123"/>
    </row>
    <row r="719" spans="12:29">
      <c r="L719" s="123"/>
      <c r="AC719" s="383"/>
    </row>
    <row r="720" spans="12:29">
      <c r="L720" s="123"/>
    </row>
    <row r="721" spans="12:12">
      <c r="L721" s="123"/>
    </row>
    <row r="722" spans="12:12">
      <c r="L722" s="123"/>
    </row>
    <row r="723" spans="12:12">
      <c r="L723" s="123"/>
    </row>
    <row r="724" spans="12:12">
      <c r="L724" s="123"/>
    </row>
    <row r="725" spans="12:12">
      <c r="L725" s="123"/>
    </row>
    <row r="726" spans="12:12">
      <c r="L726" s="123"/>
    </row>
    <row r="727" spans="12:12">
      <c r="L727" s="123"/>
    </row>
    <row r="728" spans="12:12">
      <c r="L728" s="123"/>
    </row>
    <row r="729" spans="12:12">
      <c r="L729" s="123"/>
    </row>
    <row r="730" spans="12:12">
      <c r="L730" s="123"/>
    </row>
    <row r="731" spans="12:12">
      <c r="L731" s="123"/>
    </row>
    <row r="732" spans="12:12">
      <c r="L732" s="123"/>
    </row>
    <row r="733" spans="12:12">
      <c r="L733" s="123"/>
    </row>
    <row r="734" spans="12:12">
      <c r="L734" s="123"/>
    </row>
    <row r="735" spans="12:12">
      <c r="L735" s="123"/>
    </row>
    <row r="736" spans="12:12">
      <c r="L736" s="123"/>
    </row>
    <row r="737" spans="12:29">
      <c r="L737" s="123"/>
    </row>
    <row r="738" spans="12:29">
      <c r="L738" s="123"/>
    </row>
    <row r="739" spans="12:29">
      <c r="L739" s="123"/>
    </row>
    <row r="740" spans="12:29">
      <c r="L740" s="123"/>
    </row>
    <row r="741" spans="12:29">
      <c r="L741" s="245"/>
    </row>
    <row r="742" spans="12:29">
      <c r="L742" s="245"/>
    </row>
    <row r="743" spans="12:29">
      <c r="L743" s="123"/>
    </row>
    <row r="744" spans="12:29">
      <c r="L744" s="123"/>
    </row>
    <row r="745" spans="12:29">
      <c r="L745" s="123"/>
    </row>
    <row r="746" spans="12:29">
      <c r="L746" s="123"/>
    </row>
    <row r="747" spans="12:29">
      <c r="L747" s="123"/>
    </row>
    <row r="748" spans="12:29">
      <c r="L748" s="123"/>
    </row>
    <row r="749" spans="12:29">
      <c r="L749" s="123"/>
      <c r="AC749" s="383"/>
    </row>
    <row r="750" spans="12:29">
      <c r="L750" s="123"/>
    </row>
    <row r="751" spans="12:29">
      <c r="L751" s="123"/>
    </row>
    <row r="752" spans="12:29">
      <c r="L752" s="123"/>
    </row>
    <row r="753" spans="12:12">
      <c r="L753" s="123"/>
    </row>
    <row r="754" spans="12:12">
      <c r="L754" s="123"/>
    </row>
    <row r="755" spans="12:12">
      <c r="L755" s="123"/>
    </row>
    <row r="756" spans="12:12">
      <c r="L756" s="123"/>
    </row>
    <row r="757" spans="12:12">
      <c r="L757" s="123"/>
    </row>
    <row r="758" spans="12:12">
      <c r="L758" s="123"/>
    </row>
    <row r="759" spans="12:12">
      <c r="L759" s="123"/>
    </row>
    <row r="760" spans="12:12">
      <c r="L760" s="123"/>
    </row>
    <row r="761" spans="12:12">
      <c r="L761" s="123"/>
    </row>
    <row r="762" spans="12:12">
      <c r="L762" s="123"/>
    </row>
    <row r="763" spans="12:12">
      <c r="L763" s="123"/>
    </row>
    <row r="764" spans="12:12">
      <c r="L764" s="123"/>
    </row>
    <row r="765" spans="12:12">
      <c r="L765" s="123"/>
    </row>
    <row r="766" spans="12:12">
      <c r="L766" s="123"/>
    </row>
    <row r="767" spans="12:12">
      <c r="L767" s="123"/>
    </row>
    <row r="768" spans="12:12">
      <c r="L768" s="123"/>
    </row>
    <row r="769" spans="12:12">
      <c r="L769" s="123"/>
    </row>
    <row r="770" spans="12:12">
      <c r="L770" s="123"/>
    </row>
    <row r="771" spans="12:12">
      <c r="L771" s="123"/>
    </row>
    <row r="772" spans="12:12">
      <c r="L772" s="123"/>
    </row>
    <row r="773" spans="12:12">
      <c r="L773" s="123"/>
    </row>
    <row r="774" spans="12:12">
      <c r="L774" s="123"/>
    </row>
    <row r="775" spans="12:12">
      <c r="L775" s="123"/>
    </row>
    <row r="776" spans="12:12">
      <c r="L776" s="123"/>
    </row>
    <row r="777" spans="12:12">
      <c r="L777" s="123"/>
    </row>
    <row r="778" spans="12:12">
      <c r="L778" s="123"/>
    </row>
    <row r="779" spans="12:12">
      <c r="L779" s="123"/>
    </row>
    <row r="780" spans="12:12">
      <c r="L780" s="123"/>
    </row>
    <row r="781" spans="12:12">
      <c r="L781" s="245"/>
    </row>
    <row r="782" spans="12:12">
      <c r="L782" s="123"/>
    </row>
    <row r="783" spans="12:12">
      <c r="L783" s="123"/>
    </row>
    <row r="784" spans="12:12">
      <c r="L784" s="123"/>
    </row>
    <row r="785" spans="12:12">
      <c r="L785" s="123"/>
    </row>
    <row r="786" spans="12:12">
      <c r="L786" s="123"/>
    </row>
    <row r="787" spans="12:12">
      <c r="L787" s="123"/>
    </row>
    <row r="788" spans="12:12">
      <c r="L788" s="123"/>
    </row>
    <row r="789" spans="12:12">
      <c r="L789" s="123"/>
    </row>
    <row r="790" spans="12:12">
      <c r="L790" s="123"/>
    </row>
    <row r="791" spans="12:12">
      <c r="L791" s="123"/>
    </row>
    <row r="792" spans="12:12">
      <c r="L792" s="123"/>
    </row>
    <row r="793" spans="12:12">
      <c r="L793" s="123"/>
    </row>
    <row r="794" spans="12:12">
      <c r="L794" s="123"/>
    </row>
    <row r="795" spans="12:12">
      <c r="L795" s="123"/>
    </row>
    <row r="796" spans="12:12">
      <c r="L796" s="123"/>
    </row>
    <row r="797" spans="12:12">
      <c r="L797" s="123"/>
    </row>
    <row r="798" spans="12:12">
      <c r="L798" s="123"/>
    </row>
    <row r="799" spans="12:12">
      <c r="L799" s="123"/>
    </row>
    <row r="800" spans="12:12">
      <c r="L800" s="123"/>
    </row>
    <row r="801" spans="12:12">
      <c r="L801" s="123"/>
    </row>
    <row r="802" spans="12:12">
      <c r="L802" s="123"/>
    </row>
    <row r="803" spans="12:12">
      <c r="L803" s="123"/>
    </row>
    <row r="804" spans="12:12">
      <c r="L804" s="123"/>
    </row>
    <row r="805" spans="12:12">
      <c r="L805" s="123"/>
    </row>
    <row r="806" spans="12:12">
      <c r="L806" s="123"/>
    </row>
    <row r="807" spans="12:12">
      <c r="L807" s="123"/>
    </row>
    <row r="808" spans="12:12">
      <c r="L808" s="123"/>
    </row>
    <row r="809" spans="12:12">
      <c r="L809" s="123"/>
    </row>
    <row r="810" spans="12:12">
      <c r="L810" s="123"/>
    </row>
    <row r="811" spans="12:12">
      <c r="L811" s="123"/>
    </row>
    <row r="812" spans="12:12">
      <c r="L812" s="123"/>
    </row>
    <row r="813" spans="12:12">
      <c r="L813" s="123"/>
    </row>
    <row r="814" spans="12:12">
      <c r="L814" s="123"/>
    </row>
    <row r="815" spans="12:12">
      <c r="L815" s="123"/>
    </row>
    <row r="816" spans="12:12">
      <c r="L816" s="123"/>
    </row>
    <row r="817" spans="12:12">
      <c r="L817" s="123"/>
    </row>
    <row r="818" spans="12:12">
      <c r="L818" s="123"/>
    </row>
    <row r="819" spans="12:12">
      <c r="L819" s="123"/>
    </row>
    <row r="820" spans="12:12">
      <c r="L820" s="123"/>
    </row>
    <row r="821" spans="12:12">
      <c r="L821" s="123"/>
    </row>
    <row r="822" spans="12:12">
      <c r="L822" s="123"/>
    </row>
    <row r="823" spans="12:12">
      <c r="L823" s="123"/>
    </row>
    <row r="824" spans="12:12">
      <c r="L824" s="123"/>
    </row>
    <row r="825" spans="12:12">
      <c r="L825" s="123"/>
    </row>
    <row r="826" spans="12:12">
      <c r="L826" s="123"/>
    </row>
    <row r="827" spans="12:12">
      <c r="L827" s="123"/>
    </row>
    <row r="828" spans="12:12">
      <c r="L828" s="123"/>
    </row>
    <row r="829" spans="12:12">
      <c r="L829" s="123"/>
    </row>
    <row r="830" spans="12:12">
      <c r="L830" s="123"/>
    </row>
    <row r="831" spans="12:12">
      <c r="L831" s="123"/>
    </row>
    <row r="832" spans="12:12">
      <c r="L832" s="123"/>
    </row>
    <row r="833" spans="12:12">
      <c r="L833" s="123"/>
    </row>
    <row r="834" spans="12:12">
      <c r="L834" s="123"/>
    </row>
    <row r="835" spans="12:12">
      <c r="L835" s="123"/>
    </row>
    <row r="836" spans="12:12">
      <c r="L836" s="123"/>
    </row>
    <row r="837" spans="12:12">
      <c r="L837" s="123"/>
    </row>
    <row r="838" spans="12:12">
      <c r="L838" s="123"/>
    </row>
    <row r="839" spans="12:12">
      <c r="L839" s="245"/>
    </row>
    <row r="840" spans="12:12">
      <c r="L840" s="123"/>
    </row>
    <row r="841" spans="12:12">
      <c r="L841" s="123"/>
    </row>
    <row r="842" spans="12:12">
      <c r="L842" s="123"/>
    </row>
    <row r="843" spans="12:12">
      <c r="L843" s="123"/>
    </row>
    <row r="844" spans="12:12">
      <c r="L844" s="123"/>
    </row>
    <row r="845" spans="12:12">
      <c r="L845" s="123"/>
    </row>
    <row r="846" spans="12:12">
      <c r="L846" s="123"/>
    </row>
    <row r="847" spans="12:12">
      <c r="L847" s="123"/>
    </row>
    <row r="848" spans="12:12">
      <c r="L848" s="123"/>
    </row>
    <row r="849" spans="12:12">
      <c r="L849" s="123"/>
    </row>
    <row r="850" spans="12:12">
      <c r="L850" s="123"/>
    </row>
    <row r="851" spans="12:12">
      <c r="L851" s="123"/>
    </row>
    <row r="852" spans="12:12">
      <c r="L852" s="123"/>
    </row>
    <row r="853" spans="12:12">
      <c r="L853" s="123"/>
    </row>
    <row r="854" spans="12:12">
      <c r="L854" s="123"/>
    </row>
    <row r="855" spans="12:12">
      <c r="L855" s="123"/>
    </row>
    <row r="856" spans="12:12">
      <c r="L856" s="123"/>
    </row>
    <row r="857" spans="12:12">
      <c r="L857" s="123"/>
    </row>
    <row r="858" spans="12:12">
      <c r="L858" s="123"/>
    </row>
    <row r="859" spans="12:12">
      <c r="L859" s="123"/>
    </row>
    <row r="860" spans="12:12">
      <c r="L860" s="123"/>
    </row>
    <row r="861" spans="12:12">
      <c r="L861" s="123"/>
    </row>
    <row r="862" spans="12:12">
      <c r="L862" s="123"/>
    </row>
    <row r="863" spans="12:12">
      <c r="L863" s="123"/>
    </row>
    <row r="864" spans="12:12">
      <c r="L864" s="123"/>
    </row>
    <row r="865" spans="12:12">
      <c r="L865" s="123"/>
    </row>
    <row r="866" spans="12:12">
      <c r="L866" s="123"/>
    </row>
    <row r="867" spans="12:12">
      <c r="L867" s="123"/>
    </row>
    <row r="868" spans="12:12">
      <c r="L868" s="123"/>
    </row>
    <row r="869" spans="12:12">
      <c r="L869" s="123"/>
    </row>
    <row r="870" spans="12:12">
      <c r="L870" s="123"/>
    </row>
    <row r="871" spans="12:12">
      <c r="L871" s="123"/>
    </row>
    <row r="872" spans="12:12">
      <c r="L872" s="123"/>
    </row>
    <row r="873" spans="12:12">
      <c r="L873" s="123"/>
    </row>
    <row r="874" spans="12:12">
      <c r="L874" s="123"/>
    </row>
    <row r="875" spans="12:12">
      <c r="L875" s="123"/>
    </row>
    <row r="876" spans="12:12">
      <c r="L876" s="123"/>
    </row>
    <row r="877" spans="12:12">
      <c r="L877" s="123"/>
    </row>
    <row r="878" spans="12:12">
      <c r="L878" s="123"/>
    </row>
    <row r="879" spans="12:12">
      <c r="L879" s="123"/>
    </row>
    <row r="880" spans="12:12">
      <c r="L880" s="123"/>
    </row>
    <row r="881" spans="12:12">
      <c r="L881" s="123"/>
    </row>
    <row r="882" spans="12:12">
      <c r="L882" s="123"/>
    </row>
    <row r="883" spans="12:12">
      <c r="L883" s="123"/>
    </row>
    <row r="884" spans="12:12">
      <c r="L884" s="123"/>
    </row>
    <row r="885" spans="12:12">
      <c r="L885" s="123"/>
    </row>
    <row r="886" spans="12:12">
      <c r="L886" s="123"/>
    </row>
    <row r="887" spans="12:12">
      <c r="L887" s="123"/>
    </row>
    <row r="888" spans="12:12">
      <c r="L888" s="123"/>
    </row>
    <row r="889" spans="12:12">
      <c r="L889" s="123"/>
    </row>
    <row r="890" spans="12:12">
      <c r="L890" s="123"/>
    </row>
    <row r="891" spans="12:12">
      <c r="L891" s="123"/>
    </row>
    <row r="892" spans="12:12">
      <c r="L892" s="123"/>
    </row>
    <row r="893" spans="12:12">
      <c r="L893" s="123"/>
    </row>
    <row r="894" spans="12:12">
      <c r="L894" s="123"/>
    </row>
    <row r="895" spans="12:12">
      <c r="L895" s="123"/>
    </row>
    <row r="896" spans="12:12">
      <c r="L896" s="245"/>
    </row>
    <row r="897" spans="12:12">
      <c r="L897" s="123"/>
    </row>
    <row r="898" spans="12:12">
      <c r="L898" s="123"/>
    </row>
    <row r="899" spans="12:12">
      <c r="L899" s="123"/>
    </row>
    <row r="900" spans="12:12">
      <c r="L900" s="123"/>
    </row>
    <row r="901" spans="12:12">
      <c r="L901" s="123"/>
    </row>
    <row r="902" spans="12:12">
      <c r="L902" s="123"/>
    </row>
    <row r="903" spans="12:12">
      <c r="L903" s="123"/>
    </row>
    <row r="904" spans="12:12">
      <c r="L904" s="123"/>
    </row>
    <row r="905" spans="12:12">
      <c r="L905" s="123"/>
    </row>
    <row r="906" spans="12:12">
      <c r="L906" s="123"/>
    </row>
    <row r="907" spans="12:12">
      <c r="L907" s="123"/>
    </row>
    <row r="908" spans="12:12">
      <c r="L908" s="123"/>
    </row>
    <row r="909" spans="12:12">
      <c r="L909" s="123"/>
    </row>
    <row r="910" spans="12:12">
      <c r="L910" s="123"/>
    </row>
    <row r="911" spans="12:12">
      <c r="L911" s="123"/>
    </row>
    <row r="912" spans="12:12">
      <c r="L912" s="123"/>
    </row>
    <row r="913" spans="12:12">
      <c r="L913" s="123"/>
    </row>
    <row r="914" spans="12:12">
      <c r="L914" s="123"/>
    </row>
    <row r="915" spans="12:12">
      <c r="L915" s="123"/>
    </row>
    <row r="916" spans="12:12">
      <c r="L916" s="123"/>
    </row>
    <row r="917" spans="12:12">
      <c r="L917" s="123"/>
    </row>
    <row r="918" spans="12:12">
      <c r="L918" s="123"/>
    </row>
    <row r="919" spans="12:12">
      <c r="L919" s="123"/>
    </row>
    <row r="920" spans="12:12">
      <c r="L920" s="123"/>
    </row>
    <row r="921" spans="12:12">
      <c r="L921" s="123"/>
    </row>
    <row r="922" spans="12:12">
      <c r="L922" s="123"/>
    </row>
    <row r="923" spans="12:12">
      <c r="L923" s="123"/>
    </row>
    <row r="924" spans="12:12">
      <c r="L924" s="225"/>
    </row>
    <row r="925" spans="12:12">
      <c r="L925" s="123"/>
    </row>
    <row r="926" spans="12:12">
      <c r="L926" s="123"/>
    </row>
    <row r="927" spans="12:12">
      <c r="L927" s="123"/>
    </row>
    <row r="928" spans="12:12">
      <c r="L928" s="123"/>
    </row>
    <row r="929" spans="12:12">
      <c r="L929" s="123"/>
    </row>
    <row r="930" spans="12:12">
      <c r="L930" s="123"/>
    </row>
    <row r="931" spans="12:12">
      <c r="L931" s="123"/>
    </row>
    <row r="932" spans="12:12">
      <c r="L932" s="123"/>
    </row>
    <row r="933" spans="12:12">
      <c r="L933" s="123"/>
    </row>
    <row r="934" spans="12:12">
      <c r="L934" s="123"/>
    </row>
    <row r="935" spans="12:12">
      <c r="L935" s="123"/>
    </row>
    <row r="936" spans="12:12">
      <c r="L936" s="123"/>
    </row>
    <row r="937" spans="12:12">
      <c r="L937" s="123"/>
    </row>
    <row r="938" spans="12:12">
      <c r="L938" s="245"/>
    </row>
    <row r="939" spans="12:12">
      <c r="L939" s="123"/>
    </row>
    <row r="940" spans="12:12">
      <c r="L940" s="123"/>
    </row>
    <row r="941" spans="12:12">
      <c r="L941" s="123"/>
    </row>
    <row r="942" spans="12:12">
      <c r="L942" s="123"/>
    </row>
    <row r="943" spans="12:12">
      <c r="L943" s="123"/>
    </row>
    <row r="944" spans="12:12">
      <c r="L944" s="123"/>
    </row>
    <row r="945" spans="12:12">
      <c r="L945" s="123"/>
    </row>
    <row r="946" spans="12:12">
      <c r="L946" s="123"/>
    </row>
    <row r="948" spans="12:12">
      <c r="L948" s="123"/>
    </row>
    <row r="949" spans="12:12">
      <c r="L949" s="123"/>
    </row>
    <row r="950" spans="12:12">
      <c r="L950" s="245"/>
    </row>
    <row r="951" spans="12:12">
      <c r="L951" s="123"/>
    </row>
    <row r="952" spans="12:12">
      <c r="L952" s="245"/>
    </row>
    <row r="953" spans="12:12">
      <c r="L953" s="123"/>
    </row>
    <row r="954" spans="12:12">
      <c r="L954" s="123"/>
    </row>
    <row r="955" spans="12:12">
      <c r="L955" s="123"/>
    </row>
    <row r="956" spans="12:12">
      <c r="L956" s="245"/>
    </row>
    <row r="957" spans="12:12">
      <c r="L957" s="120"/>
    </row>
    <row r="959" spans="12:12">
      <c r="L959" s="123"/>
    </row>
    <row r="960" spans="12:12">
      <c r="L960" s="245"/>
    </row>
    <row r="961" spans="12:12">
      <c r="L961" s="123"/>
    </row>
    <row r="962" spans="12:12">
      <c r="L962" s="123"/>
    </row>
    <row r="963" spans="12:12">
      <c r="L963" s="245"/>
    </row>
    <row r="964" spans="12:12">
      <c r="L964" s="123"/>
    </row>
    <row r="965" spans="12:12">
      <c r="L965" s="123"/>
    </row>
    <row r="966" spans="12:12">
      <c r="L966" s="123"/>
    </row>
    <row r="967" spans="12:12">
      <c r="L967" s="123"/>
    </row>
    <row r="968" spans="12:12">
      <c r="L968" s="123"/>
    </row>
    <row r="969" spans="12:12">
      <c r="L969" s="245"/>
    </row>
    <row r="970" spans="12:12">
      <c r="L970" s="123"/>
    </row>
    <row r="971" spans="12:12">
      <c r="L971" s="123"/>
    </row>
    <row r="972" spans="12:12">
      <c r="L972" s="123"/>
    </row>
    <row r="973" spans="12:12">
      <c r="L973" s="123"/>
    </row>
    <row r="975" spans="12:12">
      <c r="L975" s="245"/>
    </row>
    <row r="976" spans="12:12">
      <c r="L976" s="123"/>
    </row>
    <row r="977" spans="12:12">
      <c r="L977" s="123"/>
    </row>
    <row r="978" spans="12:12">
      <c r="L978" s="123"/>
    </row>
    <row r="979" spans="12:12">
      <c r="L979" s="123"/>
    </row>
    <row r="980" spans="12:12">
      <c r="L980" s="123"/>
    </row>
    <row r="981" spans="12:12">
      <c r="L981" s="123"/>
    </row>
    <row r="982" spans="12:12">
      <c r="L982" s="123"/>
    </row>
    <row r="983" spans="12:12">
      <c r="L983" s="123"/>
    </row>
    <row r="984" spans="12:12">
      <c r="L984" s="26"/>
    </row>
    <row r="985" spans="12:12">
      <c r="L985" s="123"/>
    </row>
    <row r="986" spans="12:12">
      <c r="L986" s="123"/>
    </row>
    <row r="987" spans="12:12">
      <c r="L987" s="123"/>
    </row>
    <row r="988" spans="12:12">
      <c r="L988" s="123"/>
    </row>
    <row r="989" spans="12:12">
      <c r="L989" s="123"/>
    </row>
    <row r="990" spans="12:12">
      <c r="L990" s="123"/>
    </row>
    <row r="991" spans="12:12">
      <c r="L991" s="123"/>
    </row>
    <row r="992" spans="12:12">
      <c r="L992" s="245"/>
    </row>
    <row r="993" spans="12:12">
      <c r="L993" s="123"/>
    </row>
    <row r="994" spans="12:12">
      <c r="L994" s="123"/>
    </row>
    <row r="995" spans="12:12">
      <c r="L995" s="123"/>
    </row>
    <row r="996" spans="12:12">
      <c r="L996" s="123"/>
    </row>
    <row r="997" spans="12:12">
      <c r="L997" s="123"/>
    </row>
    <row r="998" spans="12:12">
      <c r="L998" s="123"/>
    </row>
    <row r="999" spans="12:12">
      <c r="L999" s="245"/>
    </row>
    <row r="1000" spans="12:12">
      <c r="L1000" s="123"/>
    </row>
    <row r="1001" spans="12:12">
      <c r="L1001" s="123"/>
    </row>
    <row r="1002" spans="12:12">
      <c r="L1002" s="123"/>
    </row>
    <row r="1003" spans="12:12">
      <c r="L1003" s="123"/>
    </row>
    <row r="1004" spans="12:12">
      <c r="L1004" s="123"/>
    </row>
    <row r="1005" spans="12:12">
      <c r="L1005" s="123"/>
    </row>
    <row r="1006" spans="12:12">
      <c r="L1006" s="123"/>
    </row>
    <row r="1007" spans="12:12">
      <c r="L1007" s="245"/>
    </row>
    <row r="1008" spans="12:12">
      <c r="L1008" s="123"/>
    </row>
    <row r="1009" spans="12:12">
      <c r="L1009" s="123"/>
    </row>
    <row r="1010" spans="12:12">
      <c r="L1010" s="123"/>
    </row>
    <row r="1011" spans="12:12">
      <c r="L1011" s="123"/>
    </row>
    <row r="1012" spans="12:12">
      <c r="L1012" s="123"/>
    </row>
    <row r="1013" spans="12:12">
      <c r="L1013" s="123"/>
    </row>
    <row r="1014" spans="12:12">
      <c r="L1014" s="123"/>
    </row>
    <row r="1015" spans="12:12">
      <c r="L1015" s="123"/>
    </row>
    <row r="1016" spans="12:12">
      <c r="L1016" s="123"/>
    </row>
    <row r="1017" spans="12:12">
      <c r="L1017" s="120"/>
    </row>
    <row r="1018" spans="12:12">
      <c r="L1018" s="120"/>
    </row>
    <row r="1019" spans="12:12">
      <c r="L1019" s="123"/>
    </row>
    <row r="1020" spans="12:12">
      <c r="L1020" s="123"/>
    </row>
    <row r="1021" spans="12:12">
      <c r="L1021" s="123"/>
    </row>
    <row r="1022" spans="12:12">
      <c r="L1022" s="123"/>
    </row>
    <row r="1023" spans="12:12">
      <c r="L1023" s="123"/>
    </row>
    <row r="1024" spans="12:12">
      <c r="L1024" s="123"/>
    </row>
    <row r="1025" spans="12:12">
      <c r="L1025" s="123"/>
    </row>
    <row r="1026" spans="12:12">
      <c r="L1026" s="123"/>
    </row>
    <row r="1027" spans="12:12">
      <c r="L1027" s="123"/>
    </row>
    <row r="1028" spans="12:12">
      <c r="L1028" s="123"/>
    </row>
    <row r="1029" spans="12:12">
      <c r="L1029" s="123"/>
    </row>
    <row r="1030" spans="12:12">
      <c r="L1030" s="245"/>
    </row>
    <row r="1031" spans="12:12">
      <c r="L1031" s="123"/>
    </row>
    <row r="1032" spans="12:12">
      <c r="L1032" s="123"/>
    </row>
    <row r="1033" spans="12:12">
      <c r="L1033" s="245"/>
    </row>
    <row r="1034" spans="12:12">
      <c r="L1034" s="123"/>
    </row>
    <row r="1035" spans="12:12">
      <c r="L1035" s="123"/>
    </row>
    <row r="1036" spans="12:12">
      <c r="L1036" s="123"/>
    </row>
    <row r="1037" spans="12:12">
      <c r="L1037" s="43"/>
    </row>
    <row r="1039" spans="12:12">
      <c r="L1039" s="123"/>
    </row>
    <row r="1040" spans="12:12">
      <c r="L1040" s="123"/>
    </row>
    <row r="1041" spans="12:12">
      <c r="L1041" s="123"/>
    </row>
    <row r="1042" spans="12:12">
      <c r="L1042" s="123"/>
    </row>
    <row r="1043" spans="12:12">
      <c r="L1043" s="123"/>
    </row>
    <row r="1044" spans="12:12">
      <c r="L1044" s="123"/>
    </row>
    <row r="1045" spans="12:12">
      <c r="L1045" s="123"/>
    </row>
    <row r="1046" spans="12:12">
      <c r="L1046" s="123"/>
    </row>
    <row r="1047" spans="12:12">
      <c r="L1047" s="120"/>
    </row>
    <row r="1048" spans="12:12">
      <c r="L1048" s="123"/>
    </row>
    <row r="1049" spans="12:12">
      <c r="L1049" s="123"/>
    </row>
    <row r="1050" spans="12:12">
      <c r="L1050" s="123"/>
    </row>
    <row r="1051" spans="12:12">
      <c r="L1051" s="123"/>
    </row>
    <row r="1052" spans="12:12">
      <c r="L1052" s="123"/>
    </row>
    <row r="1053" spans="12:12">
      <c r="L1053" s="123"/>
    </row>
    <row r="1054" spans="12:12">
      <c r="L1054" s="123"/>
    </row>
    <row r="1055" spans="12:12">
      <c r="L1055" s="123"/>
    </row>
    <row r="1057" spans="12:12">
      <c r="L1057" s="123"/>
    </row>
    <row r="1058" spans="12:12">
      <c r="L1058" s="123"/>
    </row>
    <row r="1059" spans="12:12">
      <c r="L1059" s="123"/>
    </row>
    <row r="1060" spans="12:12">
      <c r="L1060" s="123"/>
    </row>
    <row r="1061" spans="12:12">
      <c r="L1061" s="245"/>
    </row>
    <row r="1062" spans="12:12">
      <c r="L1062" s="123"/>
    </row>
    <row r="1063" spans="12:12">
      <c r="L1063" s="123"/>
    </row>
    <row r="1064" spans="12:12">
      <c r="L1064" s="123"/>
    </row>
    <row r="1065" spans="12:12">
      <c r="L1065" s="123"/>
    </row>
    <row r="1066" spans="12:12">
      <c r="L1066" s="123"/>
    </row>
    <row r="1067" spans="12:12">
      <c r="L1067" s="123"/>
    </row>
    <row r="1068" spans="12:12">
      <c r="L1068" s="120"/>
    </row>
    <row r="1069" spans="12:12">
      <c r="L1069" s="123"/>
    </row>
    <row r="1070" spans="12:12">
      <c r="L1070" s="245"/>
    </row>
    <row r="1071" spans="12:12">
      <c r="L1071" s="123"/>
    </row>
    <row r="1072" spans="12:12">
      <c r="L1072" s="123"/>
    </row>
    <row r="1073" spans="12:12">
      <c r="L1073" s="123"/>
    </row>
    <row r="1074" spans="12:12">
      <c r="L1074" s="123"/>
    </row>
    <row r="1075" spans="12:12">
      <c r="L1075" s="123"/>
    </row>
    <row r="1076" spans="12:12">
      <c r="L1076" s="123"/>
    </row>
    <row r="1077" spans="12:12">
      <c r="L1077" s="123"/>
    </row>
    <row r="1078" spans="12:12">
      <c r="L1078" s="123"/>
    </row>
    <row r="1079" spans="12:12">
      <c r="L1079" s="123"/>
    </row>
    <row r="1080" spans="12:12">
      <c r="L1080" s="123"/>
    </row>
    <row r="1081" spans="12:12">
      <c r="L1081" s="123"/>
    </row>
    <row r="1082" spans="12:12">
      <c r="L1082" s="123"/>
    </row>
    <row r="1083" spans="12:12">
      <c r="L1083" s="123"/>
    </row>
    <row r="1084" spans="12:12">
      <c r="L1084" s="123"/>
    </row>
    <row r="1085" spans="12:12">
      <c r="L1085" s="123"/>
    </row>
    <row r="1086" spans="12:12">
      <c r="L1086" s="123"/>
    </row>
    <row r="1087" spans="12:12">
      <c r="L1087" s="123"/>
    </row>
    <row r="1088" spans="12:12">
      <c r="L1088" s="123"/>
    </row>
    <row r="1089" spans="12:12">
      <c r="L1089" s="120"/>
    </row>
    <row r="1090" spans="12:12">
      <c r="L1090" s="123"/>
    </row>
    <row r="1091" spans="12:12">
      <c r="L1091" s="123"/>
    </row>
    <row r="1092" spans="12:12">
      <c r="L1092" s="123"/>
    </row>
    <row r="1093" spans="12:12">
      <c r="L1093" s="123"/>
    </row>
    <row r="1094" spans="12:12">
      <c r="L1094" s="123"/>
    </row>
    <row r="1095" spans="12:12">
      <c r="L1095" s="27"/>
    </row>
    <row r="1096" spans="12:12">
      <c r="L1096" s="120"/>
    </row>
    <row r="1097" spans="12:12">
      <c r="L1097" s="245"/>
    </row>
    <row r="1098" spans="12:12">
      <c r="L1098" s="245"/>
    </row>
    <row r="1099" spans="12:12">
      <c r="L1099" s="123"/>
    </row>
    <row r="1100" spans="12:12">
      <c r="L1100" s="120"/>
    </row>
    <row r="1101" spans="12:12">
      <c r="L1101" s="123"/>
    </row>
    <row r="1102" spans="12:12">
      <c r="L1102" s="123"/>
    </row>
    <row r="1103" spans="12:12">
      <c r="L1103" s="123"/>
    </row>
    <row r="1104" spans="12:12">
      <c r="L1104" s="43"/>
    </row>
    <row r="1105" spans="12:12">
      <c r="L1105" s="123"/>
    </row>
    <row r="1107" spans="12:12">
      <c r="L1107" s="123"/>
    </row>
    <row r="1108" spans="12:12">
      <c r="L1108" s="120"/>
    </row>
    <row r="1109" spans="12:12">
      <c r="L1109" s="123"/>
    </row>
    <row r="1110" spans="12:12">
      <c r="L1110" s="123"/>
    </row>
    <row r="1111" spans="12:12">
      <c r="L1111" s="120"/>
    </row>
    <row r="1112" spans="12:12">
      <c r="L1112" s="123"/>
    </row>
    <row r="1113" spans="12:12">
      <c r="L1113" s="123"/>
    </row>
    <row r="1114" spans="12:12">
      <c r="L1114" s="123"/>
    </row>
    <row r="1115" spans="12:12">
      <c r="L1115" s="123"/>
    </row>
    <row r="1116" spans="12:12">
      <c r="L1116" s="123"/>
    </row>
    <row r="1117" spans="12:12">
      <c r="L1117" s="123"/>
    </row>
    <row r="1118" spans="12:12">
      <c r="L1118" s="123"/>
    </row>
    <row r="1119" spans="12:12">
      <c r="L1119" s="123"/>
    </row>
    <row r="1120" spans="12:12">
      <c r="L1120" s="123"/>
    </row>
    <row r="1121" spans="12:29">
      <c r="L1121" s="123"/>
    </row>
    <row r="1122" spans="12:29">
      <c r="L1122" s="245"/>
    </row>
    <row r="1123" spans="12:29">
      <c r="L1123" s="123"/>
    </row>
    <row r="1124" spans="12:29">
      <c r="L1124" s="123"/>
    </row>
    <row r="1125" spans="12:29">
      <c r="L1125" s="123"/>
    </row>
    <row r="1126" spans="12:29">
      <c r="L1126" s="123"/>
    </row>
    <row r="1127" spans="12:29">
      <c r="L1127" s="123"/>
    </row>
    <row r="1128" spans="12:29">
      <c r="L1128" s="123"/>
    </row>
    <row r="1129" spans="12:29">
      <c r="L1129" s="120"/>
      <c r="AC1129" s="383"/>
    </row>
    <row r="1130" spans="12:29">
      <c r="L1130" s="123"/>
    </row>
    <row r="1131" spans="12:29">
      <c r="L1131" s="123"/>
    </row>
    <row r="1132" spans="12:29">
      <c r="L1132" s="123"/>
    </row>
    <row r="1133" spans="12:29">
      <c r="L1133" s="123"/>
    </row>
    <row r="1134" spans="12:29">
      <c r="L1134" s="245"/>
    </row>
    <row r="1136" spans="12:29">
      <c r="L1136" s="123"/>
    </row>
    <row r="1137" spans="12:12">
      <c r="L1137" s="123"/>
    </row>
    <row r="1138" spans="12:12">
      <c r="L1138" s="123"/>
    </row>
    <row r="1139" spans="12:12">
      <c r="L1139" s="27"/>
    </row>
    <row r="1140" spans="12:12">
      <c r="L1140" s="123"/>
    </row>
    <row r="1141" spans="12:12">
      <c r="L1141" s="245"/>
    </row>
    <row r="1142" spans="12:12">
      <c r="L1142" s="120"/>
    </row>
    <row r="1143" spans="12:12">
      <c r="L1143" s="123"/>
    </row>
    <row r="1144" spans="12:12">
      <c r="L1144" s="123"/>
    </row>
    <row r="1145" spans="12:12">
      <c r="L1145" s="123"/>
    </row>
    <row r="1146" spans="12:12">
      <c r="L1146" s="123"/>
    </row>
    <row r="1147" spans="12:12">
      <c r="L1147" s="123"/>
    </row>
    <row r="1148" spans="12:12">
      <c r="L1148" s="123"/>
    </row>
    <row r="1149" spans="12:12">
      <c r="L1149" s="123"/>
    </row>
    <row r="1150" spans="12:12">
      <c r="L1150" s="123"/>
    </row>
    <row r="1151" spans="12:12">
      <c r="L1151" s="123"/>
    </row>
    <row r="1152" spans="12:12">
      <c r="L1152" s="123"/>
    </row>
    <row r="1153" spans="12:12">
      <c r="L1153" s="123"/>
    </row>
    <row r="1154" spans="12:12">
      <c r="L1154" s="123"/>
    </row>
    <row r="1155" spans="12:12">
      <c r="L1155" s="123"/>
    </row>
    <row r="1156" spans="12:12">
      <c r="L1156" s="245"/>
    </row>
    <row r="1158" spans="12:12">
      <c r="L1158" s="123"/>
    </row>
    <row r="1159" spans="12:12">
      <c r="L1159" s="123"/>
    </row>
    <row r="1160" spans="12:12">
      <c r="L1160" s="123"/>
    </row>
    <row r="1161" spans="12:12">
      <c r="L1161" s="123"/>
    </row>
    <row r="1162" spans="12:12">
      <c r="L1162" s="123"/>
    </row>
    <row r="1163" spans="12:12">
      <c r="L1163" s="123"/>
    </row>
    <row r="1164" spans="12:12">
      <c r="L1164" s="123"/>
    </row>
    <row r="1165" spans="12:12">
      <c r="L1165" s="123"/>
    </row>
    <row r="1166" spans="12:12">
      <c r="L1166" s="123"/>
    </row>
    <row r="1167" spans="12:12">
      <c r="L1167" s="123"/>
    </row>
    <row r="1168" spans="12:12">
      <c r="L1168" s="123"/>
    </row>
    <row r="1169" spans="12:12">
      <c r="L1169" s="123"/>
    </row>
    <row r="1170" spans="12:12">
      <c r="L1170" s="123"/>
    </row>
    <row r="1171" spans="12:12">
      <c r="L1171" s="123"/>
    </row>
    <row r="1173" spans="12:12">
      <c r="L1173" s="123"/>
    </row>
    <row r="1174" spans="12:12">
      <c r="L1174" s="120"/>
    </row>
    <row r="1175" spans="12:12">
      <c r="L1175" s="123"/>
    </row>
    <row r="1176" spans="12:12">
      <c r="L1176" s="123"/>
    </row>
    <row r="1177" spans="12:12">
      <c r="L1177" s="123"/>
    </row>
    <row r="1178" spans="12:12">
      <c r="L1178" s="123"/>
    </row>
    <row r="1179" spans="12:12">
      <c r="L1179" s="123"/>
    </row>
    <row r="1180" spans="12:12">
      <c r="L1180" s="123"/>
    </row>
    <row r="1182" spans="12:12">
      <c r="L1182" s="123"/>
    </row>
    <row r="1183" spans="12:12">
      <c r="L1183" s="123"/>
    </row>
    <row r="1184" spans="12:12">
      <c r="L1184" s="123"/>
    </row>
    <row r="1185" spans="12:12">
      <c r="L1185" s="123"/>
    </row>
    <row r="1186" spans="12:12">
      <c r="L1186" s="123"/>
    </row>
    <row r="1187" spans="12:12">
      <c r="L1187" s="123"/>
    </row>
    <row r="1188" spans="12:12">
      <c r="L1188" s="123"/>
    </row>
    <row r="1189" spans="12:12">
      <c r="L1189" s="123"/>
    </row>
    <row r="1190" spans="12:12">
      <c r="L1190" s="123"/>
    </row>
    <row r="1191" spans="12:12">
      <c r="L1191" s="120"/>
    </row>
    <row r="1192" spans="12:12">
      <c r="L1192" s="123"/>
    </row>
    <row r="1193" spans="12:12">
      <c r="L1193" s="123"/>
    </row>
    <row r="1194" spans="12:12">
      <c r="L1194" s="123"/>
    </row>
    <row r="1196" spans="12:12">
      <c r="L1196" s="123"/>
    </row>
    <row r="1197" spans="12:12">
      <c r="L1197" s="123"/>
    </row>
    <row r="1198" spans="12:12">
      <c r="L1198" s="245"/>
    </row>
    <row r="1199" spans="12:12">
      <c r="L1199" s="123"/>
    </row>
    <row r="1200" spans="12:12">
      <c r="L1200" s="245"/>
    </row>
    <row r="1201" spans="12:12">
      <c r="L1201" s="123"/>
    </row>
    <row r="1202" spans="12:12">
      <c r="L1202" s="123"/>
    </row>
    <row r="1203" spans="12:12">
      <c r="L1203" s="123"/>
    </row>
    <row r="1204" spans="12:12">
      <c r="L1204" s="245"/>
    </row>
    <row r="1205" spans="12:12">
      <c r="L1205" s="245"/>
    </row>
    <row r="1206" spans="12:12">
      <c r="L1206" s="123"/>
    </row>
    <row r="1207" spans="12:12">
      <c r="L1207" s="123"/>
    </row>
    <row r="1208" spans="12:12">
      <c r="L1208" s="123"/>
    </row>
    <row r="1209" spans="12:12">
      <c r="L1209" s="123"/>
    </row>
    <row r="1210" spans="12:12">
      <c r="L1210" s="245"/>
    </row>
    <row r="1211" spans="12:12">
      <c r="L1211" s="123"/>
    </row>
    <row r="1212" spans="12:12">
      <c r="L1212" s="245"/>
    </row>
    <row r="1213" spans="12:12">
      <c r="L1213" s="123"/>
    </row>
    <row r="1214" spans="12:12">
      <c r="L1214" s="245"/>
    </row>
    <row r="1215" spans="12:12">
      <c r="L1215" s="123"/>
    </row>
    <row r="1216" spans="12:12">
      <c r="L1216" s="123"/>
    </row>
    <row r="1217" spans="12:12">
      <c r="L1217" s="123"/>
    </row>
    <row r="1218" spans="12:12">
      <c r="L1218" s="123"/>
    </row>
    <row r="1219" spans="12:12">
      <c r="L1219" s="123"/>
    </row>
    <row r="1220" spans="12:12">
      <c r="L1220" s="123"/>
    </row>
    <row r="1221" spans="12:12">
      <c r="L1221" s="123"/>
    </row>
    <row r="1222" spans="12:12">
      <c r="L1222" s="123"/>
    </row>
    <row r="1223" spans="12:12">
      <c r="L1223" s="123"/>
    </row>
    <row r="1224" spans="12:12">
      <c r="L1224" s="123"/>
    </row>
    <row r="1225" spans="12:12">
      <c r="L1225" s="123"/>
    </row>
    <row r="1226" spans="12:12">
      <c r="L1226" s="123"/>
    </row>
    <row r="1227" spans="12:12">
      <c r="L1227" s="123"/>
    </row>
    <row r="1228" spans="12:12">
      <c r="L1228" s="123"/>
    </row>
    <row r="1229" spans="12:12">
      <c r="L1229" s="123"/>
    </row>
    <row r="1230" spans="12:12">
      <c r="L1230" s="123"/>
    </row>
    <row r="1231" spans="12:12">
      <c r="L1231" s="245"/>
    </row>
    <row r="1232" spans="12:12">
      <c r="L1232" s="123"/>
    </row>
    <row r="1233" spans="12:12">
      <c r="L1233" s="123"/>
    </row>
    <row r="1234" spans="12:12">
      <c r="L1234" s="123"/>
    </row>
    <row r="1235" spans="12:12">
      <c r="L1235" s="123"/>
    </row>
    <row r="1236" spans="12:12">
      <c r="L1236" s="123"/>
    </row>
    <row r="1237" spans="12:12">
      <c r="L1237" s="123"/>
    </row>
    <row r="1238" spans="12:12">
      <c r="L1238" s="123"/>
    </row>
    <row r="1239" spans="12:12">
      <c r="L1239" s="245"/>
    </row>
    <row r="1240" spans="12:12">
      <c r="L1240" s="123"/>
    </row>
    <row r="1241" spans="12:12">
      <c r="L1241" s="123"/>
    </row>
    <row r="1242" spans="12:12">
      <c r="L1242" s="123"/>
    </row>
    <row r="1243" spans="12:12">
      <c r="L1243" s="123"/>
    </row>
    <row r="1244" spans="12:12">
      <c r="L1244" s="123"/>
    </row>
    <row r="1245" spans="12:12">
      <c r="L1245" s="123"/>
    </row>
    <row r="1246" spans="12:12">
      <c r="L1246" s="123"/>
    </row>
    <row r="1247" spans="12:12">
      <c r="L1247" s="123"/>
    </row>
    <row r="1248" spans="12:12">
      <c r="L1248" s="123"/>
    </row>
    <row r="1249" spans="12:12">
      <c r="L1249" s="123"/>
    </row>
    <row r="1250" spans="12:12">
      <c r="L1250" s="120"/>
    </row>
    <row r="1251" spans="12:12">
      <c r="L1251" s="123"/>
    </row>
    <row r="1252" spans="12:12">
      <c r="L1252" s="123"/>
    </row>
    <row r="1253" spans="12:12">
      <c r="L1253" s="245"/>
    </row>
    <row r="1254" spans="12:12">
      <c r="L1254" s="123"/>
    </row>
    <row r="1255" spans="12:12">
      <c r="L1255" s="123"/>
    </row>
    <row r="1256" spans="12:12">
      <c r="L1256" s="123"/>
    </row>
    <row r="1257" spans="12:12">
      <c r="L1257" s="123"/>
    </row>
    <row r="1258" spans="12:12">
      <c r="L1258" s="123"/>
    </row>
    <row r="1259" spans="12:12">
      <c r="L1259" s="123"/>
    </row>
    <row r="1260" spans="12:12">
      <c r="L1260" s="123"/>
    </row>
    <row r="1261" spans="12:12">
      <c r="L1261" s="245"/>
    </row>
    <row r="1262" spans="12:12">
      <c r="L1262" s="245"/>
    </row>
    <row r="1263" spans="12:12">
      <c r="L1263" s="123"/>
    </row>
    <row r="1264" spans="12:12">
      <c r="L1264" s="245"/>
    </row>
    <row r="1265" spans="12:12">
      <c r="L1265" s="123"/>
    </row>
    <row r="1266" spans="12:12">
      <c r="L1266" s="123"/>
    </row>
    <row r="1267" spans="12:12">
      <c r="L1267" s="123"/>
    </row>
    <row r="1268" spans="12:12">
      <c r="L1268" s="123"/>
    </row>
    <row r="1269" spans="12:12">
      <c r="L1269" s="123"/>
    </row>
    <row r="1270" spans="12:12">
      <c r="L1270" s="123"/>
    </row>
    <row r="1271" spans="12:12">
      <c r="L1271" s="123"/>
    </row>
    <row r="1272" spans="12:12">
      <c r="L1272" s="245"/>
    </row>
    <row r="1273" spans="12:12">
      <c r="L1273" s="123"/>
    </row>
    <row r="1274" spans="12:12">
      <c r="L1274" s="123"/>
    </row>
    <row r="1275" spans="12:12">
      <c r="L1275" s="123"/>
    </row>
    <row r="1276" spans="12:12">
      <c r="L1276" s="123"/>
    </row>
    <row r="1277" spans="12:12">
      <c r="L1277" s="123"/>
    </row>
    <row r="1278" spans="12:12">
      <c r="L1278" s="123"/>
    </row>
    <row r="1279" spans="12:12">
      <c r="L1279" s="123"/>
    </row>
    <row r="1280" spans="12:12">
      <c r="L1280" s="123"/>
    </row>
    <row r="1281" spans="12:12">
      <c r="L1281" s="123"/>
    </row>
    <row r="1282" spans="12:12">
      <c r="L1282" s="123"/>
    </row>
    <row r="1283" spans="12:12">
      <c r="L1283" s="123"/>
    </row>
    <row r="1284" spans="12:12">
      <c r="L1284" s="124"/>
    </row>
    <row r="1285" spans="12:12">
      <c r="L1285" s="123"/>
    </row>
    <row r="1286" spans="12:12">
      <c r="L1286" s="123"/>
    </row>
    <row r="1287" spans="12:12">
      <c r="L1287" s="123"/>
    </row>
    <row r="1288" spans="12:12">
      <c r="L1288" s="123"/>
    </row>
    <row r="1289" spans="12:12">
      <c r="L1289" s="123"/>
    </row>
    <row r="1290" spans="12:12">
      <c r="L1290" s="123"/>
    </row>
    <row r="1291" spans="12:12">
      <c r="L1291" s="123"/>
    </row>
    <row r="1292" spans="12:12">
      <c r="L1292" s="245"/>
    </row>
    <row r="1293" spans="12:12">
      <c r="L1293" s="123"/>
    </row>
    <row r="1294" spans="12:12">
      <c r="L1294" s="123"/>
    </row>
    <row r="1295" spans="12:12">
      <c r="L1295" s="123"/>
    </row>
    <row r="1296" spans="12:12">
      <c r="L1296" s="123"/>
    </row>
    <row r="1297" spans="12:18">
      <c r="L1297" s="123"/>
    </row>
    <row r="1298" spans="12:18">
      <c r="L1298" s="123"/>
    </row>
    <row r="1299" spans="12:18">
      <c r="L1299" s="123"/>
      <c r="P1299" s="366"/>
      <c r="R1299" s="355"/>
    </row>
    <row r="1300" spans="12:18">
      <c r="L1300" s="123"/>
    </row>
    <row r="1301" spans="12:18">
      <c r="L1301" s="123"/>
    </row>
    <row r="1302" spans="12:18">
      <c r="L1302" s="123"/>
    </row>
    <row r="1303" spans="12:18">
      <c r="L1303" s="123"/>
    </row>
    <row r="1304" spans="12:18">
      <c r="L1304" s="123"/>
    </row>
    <row r="1305" spans="12:18">
      <c r="L1305" s="123"/>
    </row>
    <row r="1306" spans="12:18">
      <c r="L1306" s="123"/>
    </row>
    <row r="1307" spans="12:18">
      <c r="L1307" s="245"/>
    </row>
    <row r="1308" spans="12:18">
      <c r="L1308" s="245"/>
    </row>
    <row r="1309" spans="12:18">
      <c r="L1309" s="123"/>
      <c r="P1309" s="366"/>
      <c r="R1309" s="355"/>
    </row>
    <row r="1310" spans="12:18">
      <c r="L1310" s="123"/>
    </row>
    <row r="1311" spans="12:18">
      <c r="L1311" s="123"/>
    </row>
    <row r="1312" spans="12:18">
      <c r="L1312" s="123"/>
    </row>
    <row r="1313" spans="12:18">
      <c r="L1313" s="123"/>
      <c r="P1313" s="366"/>
      <c r="R1313" s="355"/>
    </row>
    <row r="1314" spans="12:18">
      <c r="L1314" s="123"/>
    </row>
    <row r="1315" spans="12:18">
      <c r="L1315" s="123"/>
    </row>
    <row r="1316" spans="12:18">
      <c r="L1316" s="123"/>
    </row>
    <row r="1317" spans="12:18">
      <c r="L1317" s="123"/>
    </row>
    <row r="1318" spans="12:18">
      <c r="L1318" s="245"/>
      <c r="P1318" s="366"/>
      <c r="R1318" s="355"/>
    </row>
    <row r="1319" spans="12:18">
      <c r="L1319" s="123"/>
      <c r="P1319" s="366"/>
      <c r="R1319" s="355"/>
    </row>
    <row r="1320" spans="12:18">
      <c r="L1320" s="123"/>
      <c r="P1320" s="366"/>
      <c r="R1320" s="355"/>
    </row>
    <row r="1321" spans="12:18">
      <c r="L1321" s="123"/>
    </row>
    <row r="1322" spans="12:18">
      <c r="L1322" s="123"/>
      <c r="P1322" s="366"/>
      <c r="R1322" s="355"/>
    </row>
    <row r="1323" spans="12:18">
      <c r="L1323" s="123"/>
      <c r="P1323" s="366"/>
      <c r="R1323" s="355"/>
    </row>
    <row r="1324" spans="12:18">
      <c r="L1324" s="123"/>
    </row>
    <row r="1325" spans="12:18">
      <c r="L1325" s="120"/>
      <c r="P1325" s="366"/>
      <c r="R1325" s="355"/>
    </row>
    <row r="1326" spans="12:18">
      <c r="L1326" s="123"/>
    </row>
    <row r="1327" spans="12:18">
      <c r="P1327" s="366"/>
      <c r="R1327" s="355"/>
    </row>
    <row r="1328" spans="12:18">
      <c r="L1328" s="123"/>
      <c r="P1328" s="366"/>
      <c r="R1328" s="355"/>
    </row>
    <row r="1329" spans="12:18">
      <c r="L1329" s="245"/>
      <c r="P1329" s="366"/>
      <c r="R1329" s="355"/>
    </row>
    <row r="1330" spans="12:18">
      <c r="L1330" s="123"/>
      <c r="P1330" s="366"/>
      <c r="R1330" s="355"/>
    </row>
    <row r="1331" spans="12:18">
      <c r="L1331" s="123"/>
      <c r="P1331" s="366"/>
      <c r="R1331" s="355"/>
    </row>
    <row r="1332" spans="12:18">
      <c r="L1332" s="123"/>
      <c r="P1332" s="366"/>
      <c r="R1332" s="355"/>
    </row>
    <row r="1333" spans="12:18">
      <c r="L1333" s="123"/>
      <c r="P1333" s="366"/>
      <c r="R1333" s="355"/>
    </row>
    <row r="1334" spans="12:18">
      <c r="L1334" s="123"/>
      <c r="P1334" s="366"/>
      <c r="R1334" s="355"/>
    </row>
    <row r="1335" spans="12:18">
      <c r="L1335" s="123"/>
    </row>
    <row r="1336" spans="12:18">
      <c r="L1336" s="123"/>
    </row>
    <row r="1337" spans="12:18">
      <c r="L1337" s="123"/>
    </row>
    <row r="1338" spans="12:18">
      <c r="L1338" s="123"/>
    </row>
    <row r="1339" spans="12:18">
      <c r="L1339" s="123"/>
    </row>
    <row r="1340" spans="12:18">
      <c r="L1340" s="123"/>
    </row>
    <row r="1341" spans="12:18">
      <c r="L1341" s="123"/>
    </row>
    <row r="1342" spans="12:18">
      <c r="L1342" s="123"/>
    </row>
    <row r="1343" spans="12:18">
      <c r="L1343" s="123"/>
      <c r="P1343" s="366"/>
      <c r="R1343" s="355"/>
    </row>
    <row r="1344" spans="12:18">
      <c r="L1344" s="123"/>
      <c r="P1344" s="366"/>
      <c r="R1344" s="355"/>
    </row>
    <row r="1345" spans="12:18">
      <c r="L1345" s="123"/>
      <c r="P1345" s="366"/>
      <c r="R1345" s="355"/>
    </row>
    <row r="1346" spans="12:18">
      <c r="L1346" s="123"/>
    </row>
    <row r="1347" spans="12:18">
      <c r="L1347" s="123"/>
      <c r="P1347" s="366"/>
      <c r="R1347" s="355"/>
    </row>
    <row r="1348" spans="12:18">
      <c r="L1348" s="123"/>
      <c r="P1348" s="366"/>
      <c r="R1348" s="355"/>
    </row>
    <row r="1349" spans="12:18">
      <c r="L1349" s="123"/>
      <c r="P1349" s="366"/>
      <c r="R1349" s="355"/>
    </row>
    <row r="1350" spans="12:18">
      <c r="L1350" s="123"/>
      <c r="P1350" s="366"/>
      <c r="R1350" s="355"/>
    </row>
    <row r="1351" spans="12:18">
      <c r="L1351" s="123"/>
    </row>
    <row r="1352" spans="12:18">
      <c r="L1352" s="123"/>
    </row>
    <row r="1354" spans="12:18">
      <c r="L1354" s="123"/>
    </row>
    <row r="1355" spans="12:18">
      <c r="L1355" s="123"/>
    </row>
    <row r="1356" spans="12:18">
      <c r="L1356" s="123"/>
    </row>
    <row r="1357" spans="12:18">
      <c r="L1357" s="123"/>
    </row>
    <row r="1358" spans="12:18">
      <c r="L1358" s="123"/>
    </row>
    <row r="1359" spans="12:18">
      <c r="L1359" s="123"/>
    </row>
    <row r="1360" spans="12:18">
      <c r="L1360" s="123"/>
    </row>
    <row r="1361" spans="12:29">
      <c r="L1361" s="123"/>
    </row>
    <row r="1362" spans="12:29">
      <c r="L1362" s="51"/>
    </row>
    <row r="1363" spans="12:29">
      <c r="L1363" s="123"/>
    </row>
    <row r="1364" spans="12:29">
      <c r="L1364" s="123"/>
    </row>
    <row r="1365" spans="12:29">
      <c r="L1365" s="123"/>
    </row>
    <row r="1366" spans="12:29">
      <c r="L1366" s="123"/>
      <c r="AC1366" s="383"/>
    </row>
    <row r="1367" spans="12:29">
      <c r="L1367" s="123"/>
    </row>
    <row r="1368" spans="12:29">
      <c r="L1368" s="123"/>
    </row>
    <row r="1369" spans="12:29">
      <c r="L1369" s="123"/>
    </row>
    <row r="1370" spans="12:29">
      <c r="L1370" s="123"/>
    </row>
    <row r="1371" spans="12:29">
      <c r="L1371" s="123"/>
    </row>
    <row r="1372" spans="12:29">
      <c r="L1372" s="123"/>
    </row>
    <row r="1373" spans="12:29">
      <c r="L1373" s="245"/>
    </row>
    <row r="1374" spans="12:29">
      <c r="L1374" s="26"/>
    </row>
    <row r="1375" spans="12:29">
      <c r="L1375" s="245"/>
    </row>
    <row r="1376" spans="12:29">
      <c r="L1376" s="123"/>
    </row>
    <row r="1377" spans="12:12">
      <c r="L1377" s="123"/>
    </row>
    <row r="1378" spans="12:12">
      <c r="L1378" s="123"/>
    </row>
    <row r="1379" spans="12:12">
      <c r="L1379" s="123"/>
    </row>
    <row r="1380" spans="12:12">
      <c r="L1380" s="123"/>
    </row>
    <row r="1381" spans="12:12">
      <c r="L1381" s="123"/>
    </row>
    <row r="1382" spans="12:12">
      <c r="L1382" s="123"/>
    </row>
    <row r="1383" spans="12:12">
      <c r="L1383" s="123"/>
    </row>
    <row r="1384" spans="12:12">
      <c r="L1384" s="123"/>
    </row>
    <row r="1385" spans="12:12">
      <c r="L1385" s="123"/>
    </row>
    <row r="1386" spans="12:12">
      <c r="L1386" s="123"/>
    </row>
    <row r="1387" spans="12:12">
      <c r="L1387" s="123"/>
    </row>
    <row r="1388" spans="12:12">
      <c r="L1388" s="123"/>
    </row>
    <row r="1389" spans="12:12">
      <c r="L1389" s="123"/>
    </row>
    <row r="1390" spans="12:12">
      <c r="L1390" s="123"/>
    </row>
    <row r="1391" spans="12:12">
      <c r="L1391" s="123"/>
    </row>
    <row r="1392" spans="12:12">
      <c r="L1392" s="123"/>
    </row>
    <row r="1393" spans="12:12">
      <c r="L1393" s="123"/>
    </row>
    <row r="1394" spans="12:12">
      <c r="L1394" s="123"/>
    </row>
    <row r="1395" spans="12:12">
      <c r="L1395" s="123"/>
    </row>
    <row r="1396" spans="12:12">
      <c r="L1396" s="123"/>
    </row>
    <row r="1397" spans="12:12">
      <c r="L1397" s="245"/>
    </row>
    <row r="1398" spans="12:12">
      <c r="L1398" s="245"/>
    </row>
    <row r="1399" spans="12:12">
      <c r="L1399" s="27"/>
    </row>
    <row r="1400" spans="12:12">
      <c r="L1400" s="123"/>
    </row>
    <row r="1401" spans="12:12">
      <c r="L1401" s="123"/>
    </row>
    <row r="1402" spans="12:12">
      <c r="L1402" s="123"/>
    </row>
    <row r="1403" spans="12:12">
      <c r="L1403" s="123"/>
    </row>
    <row r="1404" spans="12:12">
      <c r="L1404" s="123"/>
    </row>
    <row r="1405" spans="12:12">
      <c r="L1405" s="123"/>
    </row>
    <row r="1406" spans="12:12">
      <c r="L1406" s="123"/>
    </row>
    <row r="1407" spans="12:12">
      <c r="L1407" s="123"/>
    </row>
    <row r="1408" spans="12:12">
      <c r="L1408" s="123"/>
    </row>
    <row r="1409" spans="12:12">
      <c r="L1409" s="123"/>
    </row>
    <row r="1410" spans="12:12">
      <c r="L1410" s="123"/>
    </row>
    <row r="1411" spans="12:12">
      <c r="L1411" s="123"/>
    </row>
    <row r="1412" spans="12:12">
      <c r="L1412" s="123"/>
    </row>
    <row r="1413" spans="12:12">
      <c r="L1413" s="245"/>
    </row>
    <row r="1414" spans="12:12">
      <c r="L1414" s="123"/>
    </row>
    <row r="1415" spans="12:12">
      <c r="L1415" s="123"/>
    </row>
    <row r="1416" spans="12:12">
      <c r="L1416" s="123"/>
    </row>
    <row r="1417" spans="12:12">
      <c r="L1417" s="123"/>
    </row>
    <row r="1418" spans="12:12">
      <c r="L1418" s="123"/>
    </row>
    <row r="1419" spans="12:12">
      <c r="L1419" s="123"/>
    </row>
    <row r="1420" spans="12:12">
      <c r="L1420" s="123"/>
    </row>
    <row r="1421" spans="12:12">
      <c r="L1421" s="123"/>
    </row>
    <row r="1422" spans="12:12">
      <c r="L1422" s="123"/>
    </row>
    <row r="1423" spans="12:12">
      <c r="L1423" s="123"/>
    </row>
    <row r="1424" spans="12:12">
      <c r="L1424" s="123"/>
    </row>
    <row r="1425" spans="12:12">
      <c r="L1425" s="27"/>
    </row>
    <row r="1426" spans="12:12">
      <c r="L1426" s="123"/>
    </row>
    <row r="1427" spans="12:12">
      <c r="L1427" s="123"/>
    </row>
    <row r="1428" spans="12:12">
      <c r="L1428" s="123"/>
    </row>
    <row r="1429" spans="12:12">
      <c r="L1429" s="123"/>
    </row>
    <row r="1430" spans="12:12">
      <c r="L1430" s="123"/>
    </row>
    <row r="1431" spans="12:12">
      <c r="L1431" s="123"/>
    </row>
    <row r="1432" spans="12:12">
      <c r="L1432" s="120"/>
    </row>
    <row r="1433" spans="12:12">
      <c r="L1433" s="123"/>
    </row>
    <row r="1434" spans="12:12">
      <c r="L1434" s="123"/>
    </row>
    <row r="1435" spans="12:12">
      <c r="L1435" s="123"/>
    </row>
    <row r="1436" spans="12:12">
      <c r="L1436" s="123"/>
    </row>
    <row r="1437" spans="12:12">
      <c r="L1437" s="123"/>
    </row>
    <row r="1438" spans="12:12">
      <c r="L1438" s="123"/>
    </row>
    <row r="1439" spans="12:12">
      <c r="L1439" s="123"/>
    </row>
    <row r="1440" spans="12:12">
      <c r="L1440" s="123"/>
    </row>
    <row r="1441" spans="12:12">
      <c r="L1441" s="123"/>
    </row>
    <row r="1442" spans="12:12">
      <c r="L1442" s="123"/>
    </row>
    <row r="1443" spans="12:12">
      <c r="L1443" s="123"/>
    </row>
    <row r="1444" spans="12:12">
      <c r="L1444" s="123"/>
    </row>
    <row r="1445" spans="12:12">
      <c r="L1445" s="123"/>
    </row>
    <row r="1446" spans="12:12">
      <c r="L1446" s="123"/>
    </row>
    <row r="1447" spans="12:12">
      <c r="L1447" s="123"/>
    </row>
    <row r="1448" spans="12:12">
      <c r="L1448" s="123"/>
    </row>
    <row r="1449" spans="12:12">
      <c r="L1449" s="123"/>
    </row>
    <row r="1450" spans="12:12">
      <c r="L1450" s="123"/>
    </row>
    <row r="1451" spans="12:12">
      <c r="L1451" s="123"/>
    </row>
    <row r="1452" spans="12:12">
      <c r="L1452" s="123"/>
    </row>
    <row r="1453" spans="12:12">
      <c r="L1453" s="123"/>
    </row>
    <row r="1454" spans="12:12">
      <c r="L1454" s="123"/>
    </row>
    <row r="1455" spans="12:12">
      <c r="L1455" s="123"/>
    </row>
    <row r="1456" spans="12:12">
      <c r="L1456" s="123"/>
    </row>
    <row r="1457" spans="12:12">
      <c r="L1457" s="123"/>
    </row>
    <row r="1458" spans="12:12">
      <c r="L1458" s="123"/>
    </row>
    <row r="1459" spans="12:12">
      <c r="L1459" s="123"/>
    </row>
    <row r="1460" spans="12:12">
      <c r="L1460" s="123"/>
    </row>
    <row r="1461" spans="12:12">
      <c r="L1461" s="123"/>
    </row>
    <row r="1462" spans="12:12">
      <c r="L1462" s="123"/>
    </row>
    <row r="1463" spans="12:12">
      <c r="L1463" s="123"/>
    </row>
    <row r="1464" spans="12:12">
      <c r="L1464" s="123"/>
    </row>
    <row r="1465" spans="12:12">
      <c r="L1465" s="123"/>
    </row>
    <row r="1466" spans="12:12">
      <c r="L1466" s="123"/>
    </row>
    <row r="1467" spans="12:12">
      <c r="L1467" s="123"/>
    </row>
    <row r="1468" spans="12:12">
      <c r="L1468" s="123"/>
    </row>
    <row r="1469" spans="12:12">
      <c r="L1469" s="123"/>
    </row>
    <row r="1470" spans="12:12">
      <c r="L1470" s="123"/>
    </row>
    <row r="1471" spans="12:12">
      <c r="L1471" s="123"/>
    </row>
    <row r="1472" spans="12:12">
      <c r="L1472" s="245"/>
    </row>
    <row r="1473" spans="12:18">
      <c r="L1473" s="123"/>
    </row>
    <row r="1474" spans="12:18">
      <c r="L1474" s="123"/>
    </row>
    <row r="1475" spans="12:18">
      <c r="L1475" s="123"/>
    </row>
    <row r="1476" spans="12:18">
      <c r="L1476" s="123"/>
      <c r="P1476" s="366"/>
      <c r="R1476" s="355"/>
    </row>
    <row r="1477" spans="12:18">
      <c r="L1477" s="247"/>
    </row>
    <row r="1478" spans="12:18">
      <c r="L1478" s="123"/>
    </row>
    <row r="1479" spans="12:18">
      <c r="L1479" s="123"/>
    </row>
    <row r="1480" spans="12:18">
      <c r="L1480" s="123"/>
    </row>
    <row r="1481" spans="12:18">
      <c r="L1481" s="123"/>
    </row>
    <row r="1482" spans="12:18">
      <c r="L1482" s="123"/>
    </row>
    <row r="1483" spans="12:18">
      <c r="L1483" s="123"/>
    </row>
    <row r="1484" spans="12:18">
      <c r="L1484" s="211"/>
    </row>
    <row r="1485" spans="12:18">
      <c r="L1485" s="123"/>
    </row>
    <row r="1486" spans="12:18">
      <c r="L1486" s="123"/>
      <c r="P1486" s="366"/>
      <c r="R1486" s="355"/>
    </row>
    <row r="1487" spans="12:18">
      <c r="L1487" s="123"/>
    </row>
    <row r="1488" spans="12:18">
      <c r="L1488" s="123"/>
    </row>
    <row r="1489" spans="12:18">
      <c r="L1489" s="123"/>
    </row>
    <row r="1490" spans="12:18">
      <c r="L1490" s="123"/>
      <c r="P1490" s="366"/>
      <c r="R1490" s="355"/>
    </row>
    <row r="1491" spans="12:18">
      <c r="L1491" s="123"/>
    </row>
    <row r="1492" spans="12:18">
      <c r="L1492" s="123"/>
    </row>
    <row r="1493" spans="12:18">
      <c r="L1493" s="123"/>
    </row>
    <row r="1494" spans="12:18">
      <c r="L1494" s="123"/>
    </row>
    <row r="1495" spans="12:18">
      <c r="L1495" s="245"/>
      <c r="P1495" s="366"/>
      <c r="R1495" s="355"/>
    </row>
    <row r="1496" spans="12:18">
      <c r="L1496" s="123"/>
      <c r="P1496" s="366"/>
      <c r="R1496" s="355"/>
    </row>
    <row r="1497" spans="12:18">
      <c r="L1497" s="123"/>
      <c r="P1497" s="366"/>
      <c r="R1497" s="355"/>
    </row>
    <row r="1498" spans="12:18">
      <c r="L1498" s="123"/>
    </row>
    <row r="1499" spans="12:18">
      <c r="L1499" s="123"/>
      <c r="P1499" s="366"/>
      <c r="R1499" s="355"/>
    </row>
    <row r="1500" spans="12:18">
      <c r="L1500" s="123"/>
      <c r="P1500" s="366"/>
      <c r="R1500" s="355"/>
    </row>
    <row r="1501" spans="12:18">
      <c r="L1501" s="123"/>
    </row>
    <row r="1502" spans="12:18">
      <c r="L1502" s="123"/>
      <c r="P1502" s="366"/>
      <c r="R1502" s="355"/>
    </row>
    <row r="1503" spans="12:18">
      <c r="L1503" s="123"/>
    </row>
    <row r="1504" spans="12:18">
      <c r="L1504" s="123"/>
      <c r="P1504" s="366"/>
      <c r="R1504" s="355"/>
    </row>
    <row r="1505" spans="12:18">
      <c r="L1505" s="123"/>
      <c r="P1505" s="366"/>
      <c r="R1505" s="355"/>
    </row>
    <row r="1506" spans="12:18">
      <c r="L1506" s="123"/>
      <c r="P1506" s="366"/>
      <c r="R1506" s="355"/>
    </row>
    <row r="1507" spans="12:18">
      <c r="L1507" s="245"/>
      <c r="P1507" s="366"/>
      <c r="R1507" s="355"/>
    </row>
    <row r="1508" spans="12:18">
      <c r="L1508" s="123"/>
      <c r="P1508" s="366"/>
      <c r="R1508" s="355"/>
    </row>
    <row r="1509" spans="12:18">
      <c r="L1509" s="27"/>
      <c r="P1509" s="366"/>
      <c r="R1509" s="355"/>
    </row>
    <row r="1510" spans="12:18">
      <c r="L1510" s="245"/>
      <c r="P1510" s="366"/>
      <c r="R1510" s="355"/>
    </row>
    <row r="1511" spans="12:18">
      <c r="L1511" s="123"/>
      <c r="P1511" s="366"/>
      <c r="R1511" s="355"/>
    </row>
    <row r="1512" spans="12:18">
      <c r="L1512" s="123"/>
      <c r="P1512" s="366"/>
      <c r="R1512" s="355"/>
    </row>
    <row r="1513" spans="12:18">
      <c r="L1513" s="123"/>
      <c r="P1513" s="366"/>
      <c r="R1513" s="355"/>
    </row>
    <row r="1514" spans="12:18">
      <c r="L1514" s="123"/>
    </row>
    <row r="1515" spans="12:18">
      <c r="L1515" s="245"/>
      <c r="P1515" s="366"/>
      <c r="R1515" s="355"/>
    </row>
    <row r="1516" spans="12:18">
      <c r="L1516" s="123"/>
      <c r="P1516" s="366"/>
      <c r="R1516" s="355"/>
    </row>
    <row r="1517" spans="12:18">
      <c r="L1517" s="123"/>
      <c r="P1517" s="366"/>
      <c r="R1517" s="355"/>
    </row>
    <row r="1518" spans="12:18">
      <c r="L1518" s="123"/>
      <c r="P1518" s="366"/>
      <c r="R1518" s="355"/>
    </row>
    <row r="1519" spans="12:18">
      <c r="L1519" s="123"/>
      <c r="P1519" s="366"/>
      <c r="R1519" s="355"/>
    </row>
    <row r="1520" spans="12:18">
      <c r="L1520" s="123"/>
      <c r="P1520" s="366"/>
      <c r="R1520" s="355"/>
    </row>
    <row r="1521" spans="12:18">
      <c r="L1521" s="123"/>
      <c r="P1521" s="366"/>
      <c r="R1521" s="355"/>
    </row>
    <row r="1522" spans="12:18">
      <c r="L1522" s="123"/>
      <c r="P1522" s="366"/>
      <c r="R1522" s="355"/>
    </row>
    <row r="1523" spans="12:18">
      <c r="L1523" s="123"/>
    </row>
    <row r="1524" spans="12:18">
      <c r="L1524" s="123"/>
      <c r="P1524" s="366"/>
      <c r="R1524" s="355"/>
    </row>
    <row r="1525" spans="12:18">
      <c r="L1525" s="123"/>
      <c r="P1525" s="366"/>
      <c r="R1525" s="355"/>
    </row>
    <row r="1526" spans="12:18">
      <c r="L1526" s="123"/>
      <c r="P1526" s="366"/>
      <c r="R1526" s="355"/>
    </row>
    <row r="1527" spans="12:18">
      <c r="L1527" s="123"/>
      <c r="P1527" s="366"/>
      <c r="R1527" s="355"/>
    </row>
    <row r="1528" spans="12:18">
      <c r="L1528" s="123"/>
      <c r="P1528" s="366"/>
      <c r="R1528" s="355"/>
    </row>
    <row r="1529" spans="12:18">
      <c r="L1529" s="123"/>
      <c r="P1529" s="366"/>
      <c r="R1529" s="355"/>
    </row>
    <row r="1530" spans="12:18">
      <c r="L1530" s="123"/>
      <c r="P1530" s="366"/>
      <c r="R1530" s="355"/>
    </row>
    <row r="1531" spans="12:18">
      <c r="L1531" s="123"/>
      <c r="P1531" s="366"/>
      <c r="R1531" s="355"/>
    </row>
    <row r="1532" spans="12:18">
      <c r="L1532" s="123"/>
      <c r="P1532" s="366"/>
      <c r="R1532" s="355"/>
    </row>
    <row r="1533" spans="12:18">
      <c r="L1533" s="123"/>
      <c r="P1533" s="366"/>
      <c r="R1533" s="355"/>
    </row>
    <row r="1534" spans="12:18">
      <c r="L1534" s="123"/>
      <c r="P1534" s="366"/>
      <c r="R1534" s="355"/>
    </row>
    <row r="1535" spans="12:18">
      <c r="L1535" s="245"/>
    </row>
    <row r="1536" spans="12:18">
      <c r="L1536" s="123"/>
      <c r="P1536" s="366"/>
      <c r="R1536" s="355"/>
    </row>
    <row r="1537" spans="12:18">
      <c r="L1537" s="123"/>
      <c r="P1537" s="366"/>
      <c r="R1537" s="355"/>
    </row>
    <row r="1538" spans="12:18">
      <c r="L1538" s="123"/>
      <c r="P1538" s="366"/>
      <c r="R1538" s="355"/>
    </row>
    <row r="1539" spans="12:18">
      <c r="L1539" s="123"/>
      <c r="P1539" s="366"/>
      <c r="R1539" s="355"/>
    </row>
    <row r="1540" spans="12:18">
      <c r="L1540" s="123"/>
      <c r="P1540" s="366"/>
      <c r="R1540" s="355"/>
    </row>
    <row r="1541" spans="12:18">
      <c r="L1541" s="123"/>
      <c r="P1541" s="366"/>
      <c r="R1541" s="355"/>
    </row>
    <row r="1542" spans="12:18">
      <c r="L1542" s="123"/>
      <c r="P1542" s="366"/>
      <c r="R1542" s="355"/>
    </row>
    <row r="1543" spans="12:18">
      <c r="L1543" s="123"/>
      <c r="P1543" s="366"/>
      <c r="R1543" s="355"/>
    </row>
    <row r="1544" spans="12:18">
      <c r="L1544" s="123"/>
    </row>
    <row r="1545" spans="12:18">
      <c r="L1545" s="123"/>
      <c r="P1545" s="366"/>
      <c r="R1545" s="355"/>
    </row>
    <row r="1546" spans="12:18">
      <c r="L1546" s="123"/>
      <c r="P1546" s="366"/>
      <c r="R1546" s="355"/>
    </row>
    <row r="1547" spans="12:18">
      <c r="L1547" s="123"/>
      <c r="P1547" s="366"/>
      <c r="R1547" s="355"/>
    </row>
    <row r="1548" spans="12:18">
      <c r="L1548" s="123"/>
      <c r="P1548" s="366"/>
      <c r="R1548" s="355"/>
    </row>
    <row r="1549" spans="12:18">
      <c r="L1549" s="123"/>
      <c r="P1549" s="366"/>
      <c r="R1549" s="355"/>
    </row>
    <row r="1550" spans="12:18">
      <c r="L1550" s="123"/>
      <c r="P1550" s="366"/>
      <c r="R1550" s="355"/>
    </row>
    <row r="1551" spans="12:18">
      <c r="L1551" s="123"/>
      <c r="P1551" s="366"/>
      <c r="R1551" s="355"/>
    </row>
    <row r="1552" spans="12:18">
      <c r="L1552" s="123"/>
      <c r="P1552" s="366"/>
      <c r="R1552" s="355"/>
    </row>
    <row r="1553" spans="12:18">
      <c r="L1553" s="123"/>
      <c r="P1553" s="366"/>
      <c r="R1553" s="355"/>
    </row>
    <row r="1554" spans="12:18">
      <c r="L1554" s="123"/>
      <c r="P1554" s="366"/>
      <c r="R1554" s="355"/>
    </row>
    <row r="1555" spans="12:18">
      <c r="L1555" s="123"/>
      <c r="P1555" s="366"/>
      <c r="R1555" s="355"/>
    </row>
    <row r="1556" spans="12:18">
      <c r="L1556" s="123"/>
      <c r="P1556" s="366"/>
      <c r="R1556" s="355"/>
    </row>
    <row r="1557" spans="12:18">
      <c r="L1557" s="123"/>
      <c r="P1557" s="366"/>
      <c r="R1557" s="355"/>
    </row>
    <row r="1558" spans="12:18">
      <c r="L1558" s="123"/>
      <c r="P1558" s="366"/>
      <c r="R1558" s="355"/>
    </row>
    <row r="1559" spans="12:18">
      <c r="L1559" s="123"/>
      <c r="P1559" s="366"/>
      <c r="R1559" s="355"/>
    </row>
    <row r="1560" spans="12:18">
      <c r="L1560" s="123"/>
      <c r="P1560" s="366"/>
      <c r="R1560" s="355"/>
    </row>
    <row r="1561" spans="12:18">
      <c r="L1561" s="123"/>
      <c r="P1561" s="366"/>
      <c r="R1561" s="355"/>
    </row>
    <row r="1562" spans="12:18">
      <c r="L1562" s="123"/>
      <c r="P1562" s="366"/>
      <c r="R1562" s="355"/>
    </row>
    <row r="1563" spans="12:18">
      <c r="L1563" s="123"/>
      <c r="P1563" s="366"/>
      <c r="R1563" s="355"/>
    </row>
    <row r="1564" spans="12:18">
      <c r="L1564" s="123"/>
      <c r="P1564" s="366"/>
      <c r="R1564" s="355"/>
    </row>
    <row r="1565" spans="12:18">
      <c r="L1565" s="123"/>
      <c r="P1565" s="366"/>
      <c r="R1565" s="355"/>
    </row>
    <row r="1566" spans="12:18">
      <c r="L1566" s="123"/>
      <c r="P1566" s="366"/>
      <c r="R1566" s="355"/>
    </row>
    <row r="1567" spans="12:18">
      <c r="L1567" s="123"/>
      <c r="P1567" s="366"/>
      <c r="R1567" s="355"/>
    </row>
    <row r="1568" spans="12:18">
      <c r="L1568" s="123"/>
      <c r="P1568" s="366"/>
      <c r="R1568" s="355"/>
    </row>
    <row r="1569" spans="12:18">
      <c r="L1569" s="123"/>
      <c r="P1569" s="366"/>
      <c r="R1569" s="355"/>
    </row>
    <row r="1570" spans="12:18">
      <c r="L1570" s="123"/>
      <c r="P1570" s="366"/>
      <c r="R1570" s="355"/>
    </row>
    <row r="1571" spans="12:18">
      <c r="L1571" s="123"/>
      <c r="P1571" s="366"/>
      <c r="R1571" s="355"/>
    </row>
    <row r="1572" spans="12:18">
      <c r="L1572" s="123"/>
      <c r="P1572" s="366"/>
      <c r="R1572" s="355"/>
    </row>
    <row r="1573" spans="12:18">
      <c r="L1573" s="123"/>
      <c r="P1573" s="366"/>
      <c r="R1573" s="355"/>
    </row>
    <row r="1574" spans="12:18">
      <c r="L1574" s="245"/>
      <c r="P1574" s="366"/>
      <c r="R1574" s="355"/>
    </row>
    <row r="1575" spans="12:18">
      <c r="L1575" s="123"/>
      <c r="P1575" s="366"/>
      <c r="R1575" s="355"/>
    </row>
    <row r="1576" spans="12:18">
      <c r="L1576" s="123"/>
      <c r="P1576" s="366"/>
      <c r="R1576" s="355"/>
    </row>
    <row r="1577" spans="12:18">
      <c r="L1577" s="123"/>
      <c r="P1577" s="366"/>
      <c r="R1577" s="355"/>
    </row>
    <row r="1578" spans="12:18">
      <c r="L1578" s="123"/>
      <c r="P1578" s="366"/>
      <c r="R1578" s="355"/>
    </row>
    <row r="1579" spans="12:18">
      <c r="L1579" s="123"/>
      <c r="P1579" s="366"/>
      <c r="R1579" s="355"/>
    </row>
    <row r="1580" spans="12:18">
      <c r="L1580" s="123"/>
      <c r="P1580" s="366"/>
      <c r="R1580" s="355"/>
    </row>
    <row r="1581" spans="12:18">
      <c r="L1581" s="123"/>
      <c r="P1581" s="366"/>
      <c r="R1581" s="355"/>
    </row>
    <row r="1582" spans="12:18">
      <c r="L1582" s="123"/>
      <c r="P1582" s="366"/>
      <c r="R1582" s="355"/>
    </row>
    <row r="1583" spans="12:18">
      <c r="L1583" s="123"/>
      <c r="P1583" s="366"/>
      <c r="R1583" s="355"/>
    </row>
    <row r="1584" spans="12:18">
      <c r="L1584" s="123"/>
      <c r="P1584" s="366"/>
      <c r="R1584" s="355"/>
    </row>
    <row r="1585" spans="12:18">
      <c r="L1585" s="123"/>
      <c r="P1585" s="366"/>
      <c r="R1585" s="355"/>
    </row>
    <row r="1586" spans="12:18">
      <c r="L1586" s="123"/>
      <c r="P1586" s="366"/>
      <c r="R1586" s="355"/>
    </row>
    <row r="1587" spans="12:18">
      <c r="L1587" s="123"/>
      <c r="P1587" s="366"/>
      <c r="R1587" s="355"/>
    </row>
    <row r="1588" spans="12:18">
      <c r="L1588" s="123"/>
      <c r="P1588" s="366"/>
      <c r="R1588" s="355"/>
    </row>
    <row r="1589" spans="12:18">
      <c r="L1589" s="123"/>
      <c r="P1589" s="366"/>
      <c r="R1589" s="355"/>
    </row>
    <row r="1590" spans="12:18">
      <c r="L1590" s="123"/>
      <c r="P1590" s="366"/>
      <c r="R1590" s="355"/>
    </row>
    <row r="1591" spans="12:18">
      <c r="L1591" s="123"/>
      <c r="P1591" s="366"/>
      <c r="R1591" s="355"/>
    </row>
    <row r="1592" spans="12:18">
      <c r="L1592" s="123"/>
      <c r="P1592" s="366"/>
      <c r="R1592" s="355"/>
    </row>
    <row r="1593" spans="12:18">
      <c r="L1593" s="123"/>
      <c r="P1593" s="366"/>
      <c r="R1593" s="355"/>
    </row>
    <row r="1594" spans="12:18">
      <c r="L1594" s="123"/>
      <c r="P1594" s="366"/>
      <c r="R1594" s="355"/>
    </row>
    <row r="1595" spans="12:18">
      <c r="L1595" s="123"/>
      <c r="P1595" s="366"/>
      <c r="R1595" s="355"/>
    </row>
    <row r="1596" spans="12:18">
      <c r="L1596" s="123"/>
      <c r="P1596" s="366"/>
      <c r="R1596" s="355"/>
    </row>
    <row r="1597" spans="12:18">
      <c r="L1597" s="123"/>
      <c r="P1597" s="366"/>
      <c r="R1597" s="355"/>
    </row>
    <row r="1598" spans="12:18">
      <c r="L1598" s="123"/>
      <c r="P1598" s="366"/>
      <c r="R1598" s="355"/>
    </row>
    <row r="1599" spans="12:18">
      <c r="L1599" s="123"/>
      <c r="P1599" s="366"/>
      <c r="R1599" s="355"/>
    </row>
    <row r="1600" spans="12:18">
      <c r="L1600" s="123"/>
      <c r="P1600" s="366"/>
      <c r="R1600" s="355"/>
    </row>
    <row r="1601" spans="12:18">
      <c r="L1601" s="123"/>
      <c r="P1601" s="366"/>
      <c r="R1601" s="355"/>
    </row>
    <row r="1602" spans="12:18">
      <c r="L1602" s="123"/>
      <c r="P1602" s="366"/>
      <c r="R1602" s="355"/>
    </row>
    <row r="1603" spans="12:18">
      <c r="L1603" s="123"/>
      <c r="P1603" s="366"/>
      <c r="R1603" s="355"/>
    </row>
    <row r="1604" spans="12:18">
      <c r="L1604" s="123"/>
      <c r="P1604" s="366"/>
      <c r="R1604" s="355"/>
    </row>
    <row r="1605" spans="12:18">
      <c r="L1605" s="123"/>
      <c r="P1605" s="366"/>
      <c r="R1605" s="355"/>
    </row>
    <row r="1606" spans="12:18">
      <c r="L1606" s="123"/>
      <c r="P1606" s="366"/>
      <c r="R1606" s="355"/>
    </row>
    <row r="1607" spans="12:18">
      <c r="L1607" s="120"/>
      <c r="P1607" s="366"/>
      <c r="R1607" s="355"/>
    </row>
    <row r="1608" spans="12:18">
      <c r="L1608" s="123"/>
      <c r="P1608" s="366"/>
      <c r="R1608" s="355"/>
    </row>
    <row r="1609" spans="12:18">
      <c r="L1609" s="123"/>
      <c r="P1609" s="366"/>
      <c r="R1609" s="355"/>
    </row>
    <row r="1610" spans="12:18">
      <c r="L1610" s="123"/>
      <c r="P1610" s="366"/>
      <c r="R1610" s="355"/>
    </row>
    <row r="1611" spans="12:18">
      <c r="L1611" s="123"/>
      <c r="P1611" s="366"/>
      <c r="R1611" s="355"/>
    </row>
    <row r="1612" spans="12:18">
      <c r="L1612" s="123"/>
      <c r="P1612" s="366"/>
      <c r="R1612" s="355"/>
    </row>
    <row r="1613" spans="12:18">
      <c r="L1613" s="123"/>
      <c r="P1613" s="366"/>
      <c r="R1613" s="355"/>
    </row>
    <row r="1614" spans="12:18">
      <c r="L1614" s="123"/>
      <c r="P1614" s="366"/>
      <c r="R1614" s="355"/>
    </row>
    <row r="1615" spans="12:18">
      <c r="L1615" s="123"/>
      <c r="P1615" s="366"/>
      <c r="R1615" s="355"/>
    </row>
    <row r="1616" spans="12:18">
      <c r="L1616" s="123"/>
      <c r="P1616" s="366"/>
      <c r="R1616" s="355"/>
    </row>
    <row r="1617" spans="12:18">
      <c r="L1617" s="123"/>
      <c r="P1617" s="366"/>
      <c r="R1617" s="355"/>
    </row>
    <row r="1618" spans="12:18">
      <c r="L1618" s="123"/>
      <c r="P1618" s="366"/>
      <c r="R1618" s="355"/>
    </row>
    <row r="1619" spans="12:18">
      <c r="L1619" s="123"/>
      <c r="P1619" s="366"/>
      <c r="R1619" s="355"/>
    </row>
    <row r="1620" spans="12:18">
      <c r="L1620" s="123"/>
      <c r="P1620" s="366"/>
      <c r="R1620" s="355"/>
    </row>
    <row r="1621" spans="12:18">
      <c r="L1621" s="245"/>
      <c r="P1621" s="366"/>
      <c r="R1621" s="355"/>
    </row>
    <row r="1622" spans="12:18">
      <c r="L1622" s="123"/>
      <c r="P1622" s="366"/>
      <c r="R1622" s="355"/>
    </row>
    <row r="1623" spans="12:18">
      <c r="L1623" s="123"/>
      <c r="P1623" s="366"/>
      <c r="R1623" s="355"/>
    </row>
    <row r="1624" spans="12:18">
      <c r="L1624" s="123"/>
      <c r="P1624" s="366"/>
      <c r="R1624" s="355"/>
    </row>
    <row r="1625" spans="12:18">
      <c r="L1625" s="123"/>
      <c r="P1625" s="366"/>
      <c r="R1625" s="355"/>
    </row>
    <row r="1626" spans="12:18">
      <c r="L1626" s="123"/>
      <c r="P1626" s="366"/>
      <c r="R1626" s="355"/>
    </row>
    <row r="1627" spans="12:18">
      <c r="L1627" s="123"/>
      <c r="P1627" s="366"/>
      <c r="R1627" s="355"/>
    </row>
    <row r="1628" spans="12:18">
      <c r="L1628" s="123"/>
      <c r="P1628" s="366"/>
      <c r="R1628" s="355"/>
    </row>
    <row r="1629" spans="12:18">
      <c r="L1629" s="123"/>
      <c r="P1629" s="366"/>
      <c r="R1629" s="355"/>
    </row>
    <row r="1630" spans="12:18">
      <c r="L1630" s="123"/>
      <c r="P1630" s="366"/>
      <c r="R1630" s="355"/>
    </row>
    <row r="1631" spans="12:18">
      <c r="L1631" s="123"/>
      <c r="P1631" s="366"/>
      <c r="R1631" s="355"/>
    </row>
    <row r="1632" spans="12:18">
      <c r="L1632" s="123"/>
      <c r="P1632" s="366"/>
      <c r="R1632" s="355"/>
    </row>
    <row r="1633" spans="12:18">
      <c r="L1633" s="123"/>
      <c r="P1633" s="366"/>
      <c r="R1633" s="355"/>
    </row>
    <row r="1634" spans="12:18">
      <c r="L1634" s="123"/>
      <c r="P1634" s="366"/>
      <c r="R1634" s="355"/>
    </row>
    <row r="1635" spans="12:18">
      <c r="L1635" s="123"/>
      <c r="P1635" s="366"/>
      <c r="R1635" s="355"/>
    </row>
    <row r="1636" spans="12:18">
      <c r="L1636" s="27"/>
      <c r="P1636" s="366"/>
      <c r="R1636" s="355"/>
    </row>
    <row r="1637" spans="12:18">
      <c r="L1637" s="123"/>
      <c r="P1637" s="366"/>
      <c r="R1637" s="355"/>
    </row>
    <row r="1638" spans="12:18">
      <c r="L1638" s="123"/>
      <c r="P1638" s="366"/>
      <c r="R1638" s="355"/>
    </row>
    <row r="1639" spans="12:18">
      <c r="L1639" s="123"/>
      <c r="P1639" s="366"/>
      <c r="R1639" s="355"/>
    </row>
    <row r="1640" spans="12:18">
      <c r="L1640" s="123"/>
      <c r="P1640" s="366"/>
      <c r="R1640" s="355"/>
    </row>
    <row r="1641" spans="12:18">
      <c r="L1641" s="123"/>
      <c r="P1641" s="366"/>
      <c r="R1641" s="355"/>
    </row>
    <row r="1642" spans="12:18">
      <c r="L1642" s="123"/>
      <c r="P1642" s="366"/>
      <c r="R1642" s="355"/>
    </row>
    <row r="1643" spans="12:18">
      <c r="L1643" s="123"/>
      <c r="P1643" s="366"/>
      <c r="R1643" s="355"/>
    </row>
    <row r="1644" spans="12:18">
      <c r="L1644" s="123"/>
      <c r="P1644" s="366"/>
      <c r="R1644" s="355"/>
    </row>
    <row r="1645" spans="12:18">
      <c r="L1645" s="123"/>
      <c r="P1645" s="366"/>
      <c r="R1645" s="355"/>
    </row>
    <row r="1646" spans="12:18">
      <c r="L1646" s="123"/>
      <c r="P1646" s="366"/>
      <c r="R1646" s="355"/>
    </row>
    <row r="1647" spans="12:18">
      <c r="L1647" s="123"/>
      <c r="P1647" s="366"/>
      <c r="R1647" s="355"/>
    </row>
    <row r="1648" spans="12:18">
      <c r="L1648" s="123"/>
      <c r="P1648" s="366"/>
      <c r="R1648" s="355"/>
    </row>
    <row r="1649" spans="12:18">
      <c r="L1649" s="123"/>
      <c r="P1649" s="366"/>
      <c r="R1649" s="355"/>
    </row>
    <row r="1650" spans="12:18">
      <c r="L1650" s="245"/>
      <c r="P1650" s="366"/>
      <c r="R1650" s="355"/>
    </row>
    <row r="1651" spans="12:18">
      <c r="L1651" s="123"/>
      <c r="P1651" s="366"/>
      <c r="R1651" s="355"/>
    </row>
    <row r="1652" spans="12:18">
      <c r="L1652" s="123"/>
      <c r="P1652" s="366"/>
      <c r="R1652" s="355"/>
    </row>
    <row r="1653" spans="12:18">
      <c r="L1653" s="123"/>
      <c r="P1653" s="366"/>
      <c r="R1653" s="355"/>
    </row>
    <row r="1654" spans="12:18">
      <c r="L1654" s="123"/>
      <c r="P1654" s="366"/>
      <c r="R1654" s="355"/>
    </row>
    <row r="1655" spans="12:18">
      <c r="L1655" s="123"/>
      <c r="P1655" s="366"/>
      <c r="R1655" s="355"/>
    </row>
    <row r="1656" spans="12:18">
      <c r="L1656" s="123"/>
      <c r="P1656" s="366"/>
      <c r="R1656" s="355"/>
    </row>
    <row r="1657" spans="12:18">
      <c r="L1657" s="123"/>
      <c r="P1657" s="366"/>
      <c r="R1657" s="355"/>
    </row>
    <row r="1658" spans="12:18">
      <c r="L1658" s="123"/>
      <c r="P1658" s="366"/>
      <c r="R1658" s="355"/>
    </row>
    <row r="1659" spans="12:18">
      <c r="L1659" s="123"/>
      <c r="P1659" s="366"/>
      <c r="R1659" s="355"/>
    </row>
    <row r="1660" spans="12:18">
      <c r="L1660" s="123"/>
      <c r="P1660" s="366"/>
      <c r="R1660" s="355"/>
    </row>
    <row r="1661" spans="12:18">
      <c r="L1661" s="245"/>
      <c r="P1661" s="366"/>
      <c r="R1661" s="355"/>
    </row>
    <row r="1662" spans="12:18">
      <c r="L1662" s="123"/>
      <c r="P1662" s="366"/>
      <c r="R1662" s="355"/>
    </row>
    <row r="1663" spans="12:18">
      <c r="L1663" s="123"/>
      <c r="P1663" s="366"/>
      <c r="R1663" s="355"/>
    </row>
    <row r="1664" spans="12:18">
      <c r="L1664" s="245"/>
      <c r="P1664" s="366"/>
      <c r="R1664" s="355"/>
    </row>
    <row r="1665" spans="12:18">
      <c r="L1665" s="123"/>
      <c r="P1665" s="366"/>
      <c r="R1665" s="355"/>
    </row>
    <row r="1666" spans="12:18">
      <c r="L1666" s="123"/>
      <c r="P1666" s="366"/>
      <c r="R1666" s="355"/>
    </row>
    <row r="1667" spans="12:18">
      <c r="L1667" s="123"/>
      <c r="P1667" s="366"/>
      <c r="R1667" s="355"/>
    </row>
    <row r="1668" spans="12:18">
      <c r="L1668" s="123"/>
      <c r="P1668" s="366"/>
      <c r="R1668" s="355"/>
    </row>
    <row r="1669" spans="12:18">
      <c r="L1669" s="123"/>
      <c r="P1669" s="366"/>
      <c r="R1669" s="355"/>
    </row>
    <row r="1670" spans="12:18">
      <c r="L1670" s="123"/>
      <c r="P1670" s="366"/>
      <c r="R1670" s="355"/>
    </row>
    <row r="1671" spans="12:18">
      <c r="L1671" s="123"/>
      <c r="P1671" s="366"/>
      <c r="R1671" s="355"/>
    </row>
    <row r="1672" spans="12:18">
      <c r="L1672" s="123"/>
      <c r="P1672" s="366"/>
      <c r="R1672" s="355"/>
    </row>
    <row r="1673" spans="12:18">
      <c r="L1673" s="123"/>
      <c r="P1673" s="366"/>
      <c r="R1673" s="355"/>
    </row>
    <row r="1674" spans="12:18">
      <c r="L1674" s="123"/>
      <c r="P1674" s="366"/>
      <c r="R1674" s="355"/>
    </row>
    <row r="1675" spans="12:18">
      <c r="L1675" s="123"/>
      <c r="P1675" s="366"/>
      <c r="R1675" s="355"/>
    </row>
    <row r="1676" spans="12:18">
      <c r="L1676" s="123"/>
      <c r="P1676" s="366"/>
      <c r="R1676" s="355"/>
    </row>
    <row r="1677" spans="12:18">
      <c r="L1677" s="123"/>
      <c r="P1677" s="366"/>
      <c r="R1677" s="355"/>
    </row>
    <row r="1678" spans="12:18">
      <c r="L1678" s="123"/>
      <c r="P1678" s="366"/>
      <c r="R1678" s="355"/>
    </row>
    <row r="1679" spans="12:18">
      <c r="L1679" s="123"/>
      <c r="P1679" s="366"/>
      <c r="R1679" s="355"/>
    </row>
    <row r="1680" spans="12:18">
      <c r="L1680" s="123"/>
      <c r="P1680" s="366"/>
      <c r="R1680" s="355"/>
    </row>
    <row r="1681" spans="12:18">
      <c r="L1681" s="123"/>
      <c r="P1681" s="366"/>
      <c r="R1681" s="355"/>
    </row>
    <row r="1682" spans="12:18">
      <c r="L1682" s="123"/>
      <c r="P1682" s="366"/>
      <c r="R1682" s="355"/>
    </row>
    <row r="1683" spans="12:18">
      <c r="L1683" s="123"/>
      <c r="P1683" s="366"/>
      <c r="R1683" s="355"/>
    </row>
    <row r="1684" spans="12:18">
      <c r="L1684" s="123"/>
      <c r="P1684" s="366"/>
      <c r="R1684" s="355"/>
    </row>
    <row r="1685" spans="12:18">
      <c r="L1685" s="123"/>
      <c r="P1685" s="366"/>
      <c r="R1685" s="355"/>
    </row>
    <row r="1686" spans="12:18">
      <c r="L1686" s="123"/>
      <c r="P1686" s="366"/>
      <c r="R1686" s="355"/>
    </row>
    <row r="1687" spans="12:18">
      <c r="L1687" s="245"/>
      <c r="P1687" s="366"/>
      <c r="R1687" s="355"/>
    </row>
    <row r="1688" spans="12:18">
      <c r="L1688" s="123"/>
      <c r="P1688" s="366"/>
      <c r="R1688" s="355"/>
    </row>
    <row r="1689" spans="12:18">
      <c r="L1689" s="123"/>
      <c r="P1689" s="366"/>
      <c r="R1689" s="355"/>
    </row>
    <row r="1690" spans="12:18">
      <c r="L1690" s="123"/>
      <c r="P1690" s="366"/>
      <c r="R1690" s="355"/>
    </row>
    <row r="1691" spans="12:18">
      <c r="L1691" s="123"/>
      <c r="P1691" s="366"/>
      <c r="R1691" s="355"/>
    </row>
    <row r="1692" spans="12:18">
      <c r="L1692" s="123"/>
      <c r="P1692" s="366"/>
      <c r="R1692" s="355"/>
    </row>
    <row r="1693" spans="12:18">
      <c r="L1693" s="123"/>
      <c r="P1693" s="366"/>
      <c r="R1693" s="355"/>
    </row>
    <row r="1694" spans="12:18">
      <c r="L1694" s="123"/>
      <c r="P1694" s="366"/>
      <c r="R1694" s="355"/>
    </row>
    <row r="1695" spans="12:18">
      <c r="L1695" s="123"/>
      <c r="P1695" s="366"/>
      <c r="R1695" s="355"/>
    </row>
    <row r="1696" spans="12:18">
      <c r="L1696" s="123"/>
      <c r="P1696" s="366"/>
      <c r="R1696" s="355"/>
    </row>
    <row r="1697" spans="12:18">
      <c r="L1697" s="123"/>
      <c r="P1697" s="366"/>
      <c r="R1697" s="355"/>
    </row>
    <row r="1698" spans="12:18">
      <c r="L1698" s="123"/>
      <c r="P1698" s="366"/>
      <c r="R1698" s="355"/>
    </row>
    <row r="1699" spans="12:18">
      <c r="L1699" s="123"/>
      <c r="P1699" s="366"/>
      <c r="R1699" s="355"/>
    </row>
    <row r="1700" spans="12:18">
      <c r="L1700" s="123"/>
      <c r="P1700" s="366"/>
      <c r="R1700" s="355"/>
    </row>
    <row r="1701" spans="12:18">
      <c r="L1701" s="123"/>
      <c r="P1701" s="366"/>
      <c r="R1701" s="355"/>
    </row>
    <row r="1702" spans="12:18">
      <c r="L1702" s="123"/>
      <c r="P1702" s="366"/>
      <c r="R1702" s="355"/>
    </row>
    <row r="1703" spans="12:18">
      <c r="L1703" s="123"/>
      <c r="P1703" s="366"/>
      <c r="R1703" s="355"/>
    </row>
    <row r="1704" spans="12:18">
      <c r="L1704" s="123"/>
      <c r="P1704" s="366"/>
      <c r="R1704" s="355"/>
    </row>
    <row r="1705" spans="12:18">
      <c r="L1705" s="123"/>
      <c r="P1705" s="366"/>
      <c r="R1705" s="355"/>
    </row>
    <row r="1706" spans="12:18">
      <c r="L1706" s="123"/>
      <c r="P1706" s="366"/>
      <c r="R1706" s="355"/>
    </row>
    <row r="1707" spans="12:18">
      <c r="L1707" s="123"/>
      <c r="P1707" s="366"/>
      <c r="R1707" s="355"/>
    </row>
    <row r="1708" spans="12:18">
      <c r="L1708" s="123"/>
      <c r="P1708" s="366"/>
      <c r="R1708" s="355"/>
    </row>
    <row r="1709" spans="12:18">
      <c r="L1709" s="123"/>
      <c r="P1709" s="366"/>
      <c r="R1709" s="355"/>
    </row>
    <row r="1710" spans="12:18">
      <c r="L1710" s="123"/>
      <c r="P1710" s="366"/>
      <c r="R1710" s="355"/>
    </row>
    <row r="1711" spans="12:18">
      <c r="L1711" s="123"/>
      <c r="P1711" s="366"/>
      <c r="R1711" s="355"/>
    </row>
    <row r="1712" spans="12:18">
      <c r="L1712" s="123"/>
      <c r="P1712" s="366"/>
      <c r="R1712" s="355"/>
    </row>
    <row r="1713" spans="12:18">
      <c r="L1713" s="123"/>
      <c r="P1713" s="366"/>
      <c r="R1713" s="355"/>
    </row>
    <row r="1714" spans="12:18">
      <c r="L1714" s="123"/>
      <c r="P1714" s="366"/>
      <c r="R1714" s="355"/>
    </row>
    <row r="1715" spans="12:18">
      <c r="L1715" s="123"/>
      <c r="P1715" s="366"/>
      <c r="R1715" s="355"/>
    </row>
    <row r="1716" spans="12:18">
      <c r="L1716" s="123"/>
      <c r="P1716" s="366"/>
      <c r="R1716" s="355"/>
    </row>
    <row r="1717" spans="12:18">
      <c r="L1717" s="123"/>
      <c r="P1717" s="366"/>
      <c r="R1717" s="355"/>
    </row>
    <row r="1718" spans="12:18">
      <c r="L1718" s="123"/>
      <c r="P1718" s="366"/>
      <c r="R1718" s="355"/>
    </row>
    <row r="1719" spans="12:18">
      <c r="L1719" s="123"/>
      <c r="P1719" s="366"/>
      <c r="R1719" s="355"/>
    </row>
    <row r="1720" spans="12:18">
      <c r="L1720" s="245"/>
      <c r="P1720" s="366"/>
      <c r="R1720" s="355"/>
    </row>
    <row r="1721" spans="12:18">
      <c r="L1721" s="245"/>
      <c r="P1721" s="366"/>
      <c r="R1721" s="355"/>
    </row>
    <row r="1722" spans="12:18">
      <c r="L1722" s="123"/>
      <c r="P1722" s="366"/>
      <c r="R1722" s="355"/>
    </row>
    <row r="1723" spans="12:18">
      <c r="L1723" s="123"/>
      <c r="P1723" s="366"/>
      <c r="R1723" s="355"/>
    </row>
    <row r="1724" spans="12:18">
      <c r="L1724" s="123"/>
      <c r="P1724" s="366"/>
      <c r="R1724" s="355"/>
    </row>
    <row r="1725" spans="12:18">
      <c r="L1725" s="123"/>
      <c r="P1725" s="366"/>
      <c r="R1725" s="355"/>
    </row>
    <row r="1726" spans="12:18">
      <c r="L1726" s="123"/>
      <c r="P1726" s="366"/>
      <c r="R1726" s="355"/>
    </row>
    <row r="1727" spans="12:18">
      <c r="L1727" s="123"/>
      <c r="P1727" s="366"/>
      <c r="R1727" s="355"/>
    </row>
    <row r="1728" spans="12:18">
      <c r="L1728" s="123"/>
      <c r="P1728" s="366"/>
      <c r="R1728" s="355"/>
    </row>
    <row r="1729" spans="12:18">
      <c r="L1729" s="123"/>
      <c r="P1729" s="366"/>
      <c r="R1729" s="355"/>
    </row>
    <row r="1730" spans="12:18">
      <c r="L1730" s="245"/>
      <c r="P1730" s="366"/>
      <c r="R1730" s="355"/>
    </row>
    <row r="1731" spans="12:18">
      <c r="L1731" s="123"/>
      <c r="P1731" s="366"/>
      <c r="R1731" s="355"/>
    </row>
    <row r="1732" spans="12:18">
      <c r="L1732" s="123"/>
      <c r="P1732" s="366"/>
      <c r="R1732" s="355"/>
    </row>
    <row r="1733" spans="12:18">
      <c r="L1733" s="123"/>
      <c r="P1733" s="366"/>
      <c r="R1733" s="355"/>
    </row>
    <row r="1734" spans="12:18">
      <c r="L1734" s="123"/>
      <c r="P1734" s="366"/>
      <c r="R1734" s="355"/>
    </row>
    <row r="1735" spans="12:18">
      <c r="L1735" s="123"/>
      <c r="P1735" s="366"/>
      <c r="R1735" s="355"/>
    </row>
    <row r="1736" spans="12:18">
      <c r="L1736" s="123"/>
      <c r="P1736" s="366"/>
      <c r="R1736" s="355"/>
    </row>
    <row r="1737" spans="12:18">
      <c r="L1737" s="123"/>
      <c r="P1737" s="366"/>
      <c r="R1737" s="355"/>
    </row>
    <row r="1738" spans="12:18">
      <c r="L1738" s="123"/>
      <c r="P1738" s="366"/>
      <c r="R1738" s="355"/>
    </row>
    <row r="1739" spans="12:18">
      <c r="L1739" s="123"/>
      <c r="P1739" s="366"/>
      <c r="R1739" s="355"/>
    </row>
    <row r="1740" spans="12:18">
      <c r="L1740" s="245"/>
      <c r="P1740" s="366"/>
      <c r="R1740" s="355"/>
    </row>
    <row r="1741" spans="12:18">
      <c r="L1741" s="123"/>
      <c r="P1741" s="366"/>
      <c r="R1741" s="355"/>
    </row>
    <row r="1742" spans="12:18">
      <c r="L1742" s="123"/>
      <c r="P1742" s="366"/>
      <c r="R1742" s="355"/>
    </row>
    <row r="1743" spans="12:18">
      <c r="L1743" s="123"/>
      <c r="P1743" s="366"/>
      <c r="R1743" s="355"/>
    </row>
    <row r="1744" spans="12:18">
      <c r="L1744" s="245"/>
      <c r="P1744" s="366"/>
      <c r="R1744" s="355"/>
    </row>
    <row r="1745" spans="12:18">
      <c r="L1745" s="123"/>
      <c r="P1745" s="366"/>
      <c r="R1745" s="355"/>
    </row>
    <row r="1746" spans="12:18">
      <c r="L1746" s="123"/>
      <c r="P1746" s="366"/>
      <c r="R1746" s="355"/>
    </row>
    <row r="1747" spans="12:18">
      <c r="L1747" s="123"/>
      <c r="P1747" s="366"/>
      <c r="R1747" s="355"/>
    </row>
    <row r="1748" spans="12:18">
      <c r="L1748" s="123"/>
      <c r="P1748" s="366"/>
      <c r="R1748" s="355"/>
    </row>
    <row r="1749" spans="12:18">
      <c r="L1749" s="123"/>
      <c r="P1749" s="366"/>
      <c r="R1749" s="355"/>
    </row>
    <row r="1750" spans="12:18">
      <c r="L1750" s="123"/>
      <c r="P1750" s="366"/>
      <c r="R1750" s="355"/>
    </row>
    <row r="1751" spans="12:18">
      <c r="L1751" s="123"/>
      <c r="P1751" s="366"/>
      <c r="R1751" s="355"/>
    </row>
    <row r="1752" spans="12:18">
      <c r="L1752" s="123"/>
      <c r="P1752" s="366"/>
      <c r="R1752" s="355"/>
    </row>
    <row r="1753" spans="12:18">
      <c r="L1753" s="123"/>
      <c r="P1753" s="366"/>
      <c r="R1753" s="355"/>
    </row>
    <row r="1754" spans="12:18">
      <c r="L1754" s="123"/>
      <c r="P1754" s="366"/>
      <c r="R1754" s="355"/>
    </row>
    <row r="1755" spans="12:18">
      <c r="L1755" s="123"/>
      <c r="P1755" s="366"/>
      <c r="R1755" s="355"/>
    </row>
    <row r="1756" spans="12:18">
      <c r="L1756" s="123"/>
      <c r="P1756" s="366"/>
      <c r="R1756" s="355"/>
    </row>
    <row r="1757" spans="12:18">
      <c r="L1757" s="123"/>
      <c r="P1757" s="366"/>
      <c r="R1757" s="355"/>
    </row>
    <row r="1758" spans="12:18">
      <c r="L1758" s="123"/>
      <c r="P1758" s="366"/>
      <c r="R1758" s="355"/>
    </row>
    <row r="1759" spans="12:18">
      <c r="L1759" s="123"/>
      <c r="P1759" s="366"/>
      <c r="R1759" s="355"/>
    </row>
    <row r="1760" spans="12:18">
      <c r="L1760" s="123"/>
      <c r="P1760" s="366"/>
      <c r="R1760" s="355"/>
    </row>
    <row r="1761" spans="12:18">
      <c r="L1761" s="123"/>
      <c r="P1761" s="366"/>
      <c r="R1761" s="355"/>
    </row>
    <row r="1762" spans="12:18">
      <c r="L1762" s="123"/>
      <c r="P1762" s="366"/>
      <c r="R1762" s="355"/>
    </row>
    <row r="1763" spans="12:18">
      <c r="L1763" s="123"/>
      <c r="P1763" s="366"/>
      <c r="R1763" s="355"/>
    </row>
    <row r="1764" spans="12:18">
      <c r="L1764" s="123"/>
      <c r="P1764" s="366"/>
      <c r="R1764" s="355"/>
    </row>
    <row r="1765" spans="12:18">
      <c r="L1765" s="123"/>
      <c r="P1765" s="366"/>
      <c r="R1765" s="355"/>
    </row>
    <row r="1766" spans="12:18">
      <c r="P1766" s="366"/>
      <c r="R1766" s="355"/>
    </row>
    <row r="1767" spans="12:18">
      <c r="L1767" s="123"/>
      <c r="P1767" s="366"/>
      <c r="R1767" s="355"/>
    </row>
    <row r="1768" spans="12:18">
      <c r="L1768" s="123"/>
      <c r="P1768" s="366"/>
      <c r="R1768" s="355"/>
    </row>
    <row r="1769" spans="12:18">
      <c r="L1769" s="123"/>
      <c r="P1769" s="366"/>
      <c r="R1769" s="355"/>
    </row>
    <row r="1770" spans="12:18">
      <c r="L1770" s="123"/>
      <c r="P1770" s="366"/>
      <c r="R1770" s="355"/>
    </row>
    <row r="1771" spans="12:18">
      <c r="L1771" s="123"/>
      <c r="P1771" s="366"/>
      <c r="R1771" s="355"/>
    </row>
    <row r="1772" spans="12:18">
      <c r="L1772" s="123"/>
      <c r="P1772" s="366"/>
      <c r="R1772" s="355"/>
    </row>
    <row r="1773" spans="12:18">
      <c r="L1773" s="123"/>
      <c r="P1773" s="366"/>
      <c r="R1773" s="355"/>
    </row>
    <row r="1774" spans="12:18">
      <c r="L1774" s="123"/>
      <c r="P1774" s="366"/>
      <c r="R1774" s="355"/>
    </row>
    <row r="1775" spans="12:18">
      <c r="L1775" s="123"/>
      <c r="P1775" s="366"/>
      <c r="R1775" s="355"/>
    </row>
    <row r="1776" spans="12:18">
      <c r="L1776" s="123"/>
      <c r="P1776" s="366"/>
      <c r="R1776" s="355"/>
    </row>
    <row r="1777" spans="12:18">
      <c r="L1777" s="123"/>
      <c r="P1777" s="366"/>
      <c r="R1777" s="355"/>
    </row>
    <row r="1778" spans="12:18">
      <c r="L1778" s="123"/>
      <c r="P1778" s="366"/>
      <c r="R1778" s="355"/>
    </row>
    <row r="1779" spans="12:18">
      <c r="L1779" s="123"/>
      <c r="P1779" s="366"/>
      <c r="R1779" s="355"/>
    </row>
    <row r="1780" spans="12:18">
      <c r="L1780" s="123"/>
      <c r="P1780" s="366"/>
      <c r="R1780" s="355"/>
    </row>
    <row r="1781" spans="12:18">
      <c r="L1781" s="123"/>
      <c r="P1781" s="366"/>
      <c r="R1781" s="355"/>
    </row>
    <row r="1782" spans="12:18">
      <c r="L1782" s="123"/>
      <c r="P1782" s="366"/>
      <c r="R1782" s="355"/>
    </row>
    <row r="1783" spans="12:18">
      <c r="L1783" s="123"/>
      <c r="P1783" s="366"/>
      <c r="R1783" s="355"/>
    </row>
    <row r="1784" spans="12:18">
      <c r="L1784" s="123"/>
      <c r="P1784" s="366"/>
      <c r="R1784" s="355"/>
    </row>
    <row r="1785" spans="12:18">
      <c r="L1785" s="123"/>
      <c r="P1785" s="366"/>
      <c r="R1785" s="355"/>
    </row>
    <row r="1786" spans="12:18">
      <c r="L1786" s="123"/>
      <c r="P1786" s="366"/>
      <c r="R1786" s="355"/>
    </row>
    <row r="1787" spans="12:18">
      <c r="L1787" s="123"/>
      <c r="P1787" s="366"/>
      <c r="R1787" s="355"/>
    </row>
    <row r="1788" spans="12:18">
      <c r="L1788" s="123"/>
      <c r="P1788" s="366"/>
      <c r="R1788" s="355"/>
    </row>
    <row r="1789" spans="12:18">
      <c r="L1789" s="123"/>
      <c r="P1789" s="366"/>
      <c r="R1789" s="355"/>
    </row>
    <row r="1790" spans="12:18">
      <c r="L1790" s="123"/>
      <c r="P1790" s="366"/>
      <c r="R1790" s="355"/>
    </row>
    <row r="1791" spans="12:18">
      <c r="L1791" s="123"/>
      <c r="P1791" s="366"/>
      <c r="R1791" s="355"/>
    </row>
    <row r="1792" spans="12:18">
      <c r="L1792" s="123"/>
      <c r="P1792" s="366"/>
      <c r="R1792" s="355"/>
    </row>
    <row r="1793" spans="12:18">
      <c r="L1793" s="123"/>
      <c r="P1793" s="366"/>
      <c r="R1793" s="355"/>
    </row>
    <row r="1794" spans="12:18">
      <c r="L1794" s="123"/>
      <c r="P1794" s="366"/>
      <c r="R1794" s="355"/>
    </row>
    <row r="1795" spans="12:18">
      <c r="L1795" s="123"/>
      <c r="P1795" s="366"/>
      <c r="R1795" s="355"/>
    </row>
    <row r="1796" spans="12:18">
      <c r="L1796" s="123"/>
      <c r="P1796" s="366"/>
      <c r="R1796" s="355"/>
    </row>
    <row r="1797" spans="12:18">
      <c r="L1797" s="123"/>
      <c r="P1797" s="366"/>
      <c r="R1797" s="355"/>
    </row>
    <row r="1798" spans="12:18">
      <c r="L1798" s="123"/>
      <c r="P1798" s="366"/>
      <c r="R1798" s="355"/>
    </row>
    <row r="1799" spans="12:18">
      <c r="L1799" s="123"/>
      <c r="P1799" s="366"/>
      <c r="R1799" s="355"/>
    </row>
    <row r="1800" spans="12:18">
      <c r="L1800" s="123"/>
      <c r="P1800" s="366"/>
      <c r="R1800" s="355"/>
    </row>
    <row r="1801" spans="12:18">
      <c r="L1801" s="123"/>
      <c r="P1801" s="366"/>
      <c r="R1801" s="355"/>
    </row>
    <row r="1802" spans="12:18">
      <c r="L1802" s="123"/>
      <c r="P1802" s="366"/>
      <c r="R1802" s="355"/>
    </row>
    <row r="1803" spans="12:18">
      <c r="L1803" s="123"/>
      <c r="P1803" s="366"/>
      <c r="R1803" s="355"/>
    </row>
    <row r="1804" spans="12:18">
      <c r="L1804" s="123"/>
      <c r="P1804" s="366"/>
      <c r="R1804" s="355"/>
    </row>
    <row r="1805" spans="12:18">
      <c r="L1805" s="123"/>
      <c r="P1805" s="366"/>
      <c r="R1805" s="355"/>
    </row>
    <row r="1806" spans="12:18">
      <c r="L1806" s="123"/>
      <c r="P1806" s="366"/>
      <c r="R1806" s="355"/>
    </row>
    <row r="1807" spans="12:18">
      <c r="L1807" s="123"/>
      <c r="P1807" s="366"/>
      <c r="R1807" s="355"/>
    </row>
    <row r="1808" spans="12:18">
      <c r="L1808" s="123"/>
      <c r="P1808" s="366"/>
      <c r="R1808" s="355"/>
    </row>
    <row r="1809" spans="12:18">
      <c r="L1809" s="123"/>
      <c r="P1809" s="366"/>
      <c r="R1809" s="355"/>
    </row>
    <row r="1810" spans="12:18">
      <c r="L1810" s="123"/>
      <c r="P1810" s="366"/>
      <c r="R1810" s="355"/>
    </row>
    <row r="1811" spans="12:18">
      <c r="L1811" s="245"/>
      <c r="P1811" s="366"/>
      <c r="R1811" s="355"/>
    </row>
    <row r="1812" spans="12:18">
      <c r="L1812" s="123"/>
      <c r="P1812" s="366"/>
      <c r="R1812" s="355"/>
    </row>
    <row r="1813" spans="12:18">
      <c r="L1813" s="123"/>
      <c r="P1813" s="366"/>
      <c r="R1813" s="355"/>
    </row>
    <row r="1814" spans="12:18">
      <c r="L1814" s="123"/>
      <c r="P1814" s="366"/>
      <c r="R1814" s="355"/>
    </row>
    <row r="1815" spans="12:18">
      <c r="L1815" s="123"/>
      <c r="P1815" s="366"/>
      <c r="R1815" s="355"/>
    </row>
    <row r="1816" spans="12:18">
      <c r="L1816" s="123"/>
      <c r="P1816" s="366"/>
      <c r="R1816" s="355"/>
    </row>
    <row r="1817" spans="12:18">
      <c r="L1817" s="123"/>
      <c r="P1817" s="366"/>
      <c r="R1817" s="355"/>
    </row>
    <row r="1818" spans="12:18">
      <c r="L1818" s="123"/>
      <c r="P1818" s="366"/>
      <c r="R1818" s="355"/>
    </row>
    <row r="1819" spans="12:18">
      <c r="L1819" s="123"/>
      <c r="P1819" s="366"/>
      <c r="R1819" s="355"/>
    </row>
    <row r="1820" spans="12:18">
      <c r="L1820" s="123"/>
      <c r="P1820" s="366"/>
      <c r="R1820" s="355"/>
    </row>
    <row r="1821" spans="12:18">
      <c r="L1821" s="123"/>
      <c r="P1821" s="366"/>
      <c r="R1821" s="355"/>
    </row>
    <row r="1822" spans="12:18">
      <c r="L1822" s="123"/>
      <c r="P1822" s="366"/>
      <c r="R1822" s="355"/>
    </row>
    <row r="1823" spans="12:18">
      <c r="L1823" s="123"/>
      <c r="P1823" s="366"/>
      <c r="R1823" s="355"/>
    </row>
    <row r="1824" spans="12:18">
      <c r="L1824" s="123"/>
      <c r="P1824" s="366"/>
      <c r="R1824" s="355"/>
    </row>
    <row r="1825" spans="12:18">
      <c r="L1825" s="123"/>
      <c r="P1825" s="366"/>
      <c r="R1825" s="355"/>
    </row>
    <row r="1826" spans="12:18">
      <c r="L1826" s="123"/>
      <c r="P1826" s="366"/>
      <c r="R1826" s="355"/>
    </row>
    <row r="1827" spans="12:18">
      <c r="L1827" s="123"/>
      <c r="P1827" s="366"/>
      <c r="R1827" s="355"/>
    </row>
    <row r="1828" spans="12:18">
      <c r="L1828" s="123"/>
      <c r="P1828" s="366"/>
      <c r="R1828" s="355"/>
    </row>
    <row r="1829" spans="12:18">
      <c r="L1829" s="123"/>
      <c r="P1829" s="366"/>
      <c r="R1829" s="355"/>
    </row>
    <row r="1830" spans="12:18">
      <c r="L1830" s="123"/>
      <c r="P1830" s="366"/>
      <c r="R1830" s="355"/>
    </row>
    <row r="1831" spans="12:18">
      <c r="L1831" s="123"/>
      <c r="P1831" s="366"/>
      <c r="R1831" s="355"/>
    </row>
    <row r="1832" spans="12:18">
      <c r="L1832" s="123"/>
      <c r="P1832" s="366"/>
      <c r="R1832" s="355"/>
    </row>
    <row r="1833" spans="12:18">
      <c r="L1833" s="123"/>
      <c r="P1833" s="366"/>
      <c r="R1833" s="355"/>
    </row>
    <row r="1834" spans="12:18">
      <c r="L1834" s="123"/>
      <c r="P1834" s="366"/>
      <c r="R1834" s="355"/>
    </row>
    <row r="1835" spans="12:18">
      <c r="L1835" s="123"/>
      <c r="P1835" s="366"/>
      <c r="R1835" s="355"/>
    </row>
    <row r="1836" spans="12:18">
      <c r="L1836" s="123"/>
      <c r="P1836" s="366"/>
      <c r="R1836" s="355"/>
    </row>
    <row r="1837" spans="12:18">
      <c r="L1837" s="123"/>
      <c r="P1837" s="366"/>
      <c r="R1837" s="355"/>
    </row>
    <row r="1838" spans="12:18">
      <c r="L1838" s="123"/>
      <c r="P1838" s="366"/>
      <c r="R1838" s="355"/>
    </row>
    <row r="1839" spans="12:18">
      <c r="L1839" s="123"/>
      <c r="P1839" s="366"/>
      <c r="R1839" s="355"/>
    </row>
    <row r="1840" spans="12:18">
      <c r="L1840" s="123"/>
      <c r="P1840" s="366"/>
      <c r="R1840" s="355"/>
    </row>
    <row r="1841" spans="12:18">
      <c r="L1841" s="123"/>
      <c r="P1841" s="366"/>
      <c r="R1841" s="355"/>
    </row>
    <row r="1842" spans="12:18">
      <c r="L1842" s="123"/>
      <c r="P1842" s="366"/>
      <c r="R1842" s="355"/>
    </row>
    <row r="1843" spans="12:18">
      <c r="L1843" s="123"/>
      <c r="P1843" s="366"/>
      <c r="R1843" s="355"/>
    </row>
    <row r="1844" spans="12:18">
      <c r="L1844" s="123"/>
      <c r="P1844" s="366"/>
      <c r="R1844" s="355"/>
    </row>
    <row r="1845" spans="12:18">
      <c r="L1845" s="123"/>
      <c r="P1845" s="366"/>
      <c r="R1845" s="355"/>
    </row>
    <row r="1846" spans="12:18">
      <c r="L1846" s="123"/>
      <c r="P1846" s="366"/>
      <c r="R1846" s="355"/>
    </row>
    <row r="1847" spans="12:18">
      <c r="L1847" s="123"/>
      <c r="P1847" s="366"/>
      <c r="R1847" s="355"/>
    </row>
    <row r="1848" spans="12:18">
      <c r="L1848" s="123"/>
      <c r="P1848" s="366"/>
      <c r="R1848" s="355"/>
    </row>
    <row r="1849" spans="12:18">
      <c r="L1849" s="123"/>
      <c r="P1849" s="366"/>
      <c r="R1849" s="355"/>
    </row>
    <row r="1850" spans="12:18">
      <c r="L1850" s="123"/>
      <c r="P1850" s="366"/>
      <c r="R1850" s="355"/>
    </row>
    <row r="1851" spans="12:18">
      <c r="L1851" s="123"/>
      <c r="P1851" s="366"/>
      <c r="R1851" s="355"/>
    </row>
    <row r="1852" spans="12:18">
      <c r="L1852" s="123"/>
      <c r="P1852" s="366"/>
      <c r="R1852" s="355"/>
    </row>
    <row r="1853" spans="12:18">
      <c r="L1853" s="123"/>
      <c r="P1853" s="366"/>
      <c r="R1853" s="355"/>
    </row>
    <row r="1854" spans="12:18">
      <c r="L1854" s="245"/>
      <c r="P1854" s="366"/>
      <c r="R1854" s="355"/>
    </row>
    <row r="1855" spans="12:18">
      <c r="L1855" s="245"/>
      <c r="P1855" s="366"/>
      <c r="R1855" s="355"/>
    </row>
    <row r="1856" spans="12:18">
      <c r="L1856" s="123"/>
      <c r="P1856" s="366"/>
      <c r="R1856" s="355"/>
    </row>
    <row r="1857" spans="12:18">
      <c r="L1857" s="123"/>
      <c r="P1857" s="366"/>
      <c r="R1857" s="355"/>
    </row>
    <row r="1858" spans="12:18">
      <c r="L1858" s="123"/>
      <c r="P1858" s="366"/>
      <c r="R1858" s="355"/>
    </row>
    <row r="1859" spans="12:18">
      <c r="L1859" s="123"/>
      <c r="P1859" s="366"/>
      <c r="R1859" s="355"/>
    </row>
    <row r="1860" spans="12:18">
      <c r="L1860" s="123"/>
      <c r="P1860" s="366"/>
      <c r="R1860" s="355"/>
    </row>
    <row r="1861" spans="12:18">
      <c r="L1861" s="123"/>
      <c r="P1861" s="366"/>
      <c r="R1861" s="355"/>
    </row>
    <row r="1862" spans="12:18">
      <c r="L1862" s="123"/>
      <c r="P1862" s="366"/>
      <c r="R1862" s="355"/>
    </row>
    <row r="1863" spans="12:18">
      <c r="L1863" s="123"/>
      <c r="P1863" s="366"/>
      <c r="R1863" s="355"/>
    </row>
    <row r="1864" spans="12:18">
      <c r="L1864" s="123"/>
      <c r="P1864" s="366"/>
      <c r="R1864" s="355"/>
    </row>
    <row r="1865" spans="12:18">
      <c r="L1865" s="123"/>
      <c r="P1865" s="366"/>
      <c r="R1865" s="355"/>
    </row>
    <row r="1866" spans="12:18">
      <c r="L1866" s="123"/>
      <c r="P1866" s="366"/>
      <c r="R1866" s="355"/>
    </row>
    <row r="1867" spans="12:18">
      <c r="L1867" s="123"/>
      <c r="P1867" s="366"/>
      <c r="R1867" s="355"/>
    </row>
    <row r="1868" spans="12:18">
      <c r="L1868" s="245"/>
      <c r="P1868" s="366"/>
      <c r="R1868" s="355"/>
    </row>
    <row r="1869" spans="12:18">
      <c r="L1869" s="123"/>
      <c r="P1869" s="366"/>
      <c r="R1869" s="355"/>
    </row>
    <row r="1870" spans="12:18">
      <c r="L1870" s="123"/>
      <c r="P1870" s="366"/>
      <c r="R1870" s="355"/>
    </row>
    <row r="1871" spans="12:18">
      <c r="L1871" s="123"/>
      <c r="P1871" s="366"/>
      <c r="R1871" s="355"/>
    </row>
    <row r="1872" spans="12:18">
      <c r="L1872" s="123"/>
      <c r="P1872" s="366"/>
      <c r="R1872" s="355"/>
    </row>
    <row r="1873" spans="12:18">
      <c r="L1873" s="123"/>
      <c r="P1873" s="366"/>
      <c r="R1873" s="355"/>
    </row>
    <row r="1874" spans="12:18">
      <c r="L1874" s="123"/>
      <c r="P1874" s="366"/>
      <c r="R1874" s="355"/>
    </row>
    <row r="1875" spans="12:18">
      <c r="L1875" s="51"/>
      <c r="P1875" s="366"/>
      <c r="R1875" s="355"/>
    </row>
    <row r="1876" spans="12:18">
      <c r="L1876" s="123"/>
      <c r="P1876" s="366"/>
      <c r="R1876" s="355"/>
    </row>
    <row r="1877" spans="12:18">
      <c r="L1877" s="123"/>
      <c r="P1877" s="366"/>
      <c r="R1877" s="355"/>
    </row>
    <row r="1878" spans="12:18">
      <c r="L1878" s="123"/>
      <c r="P1878" s="366"/>
      <c r="R1878" s="355"/>
    </row>
    <row r="1879" spans="12:18">
      <c r="L1879" s="123"/>
      <c r="P1879" s="366"/>
      <c r="R1879" s="355"/>
    </row>
    <row r="1880" spans="12:18">
      <c r="L1880" s="123"/>
      <c r="P1880" s="366"/>
      <c r="R1880" s="355"/>
    </row>
    <row r="1881" spans="12:18">
      <c r="L1881" s="123"/>
      <c r="P1881" s="366"/>
      <c r="R1881" s="355"/>
    </row>
    <row r="1882" spans="12:18">
      <c r="L1882" s="123"/>
      <c r="P1882" s="366"/>
      <c r="R1882" s="355"/>
    </row>
    <row r="1883" spans="12:18">
      <c r="L1883" s="123"/>
      <c r="P1883" s="366"/>
      <c r="R1883" s="355"/>
    </row>
    <row r="1884" spans="12:18">
      <c r="L1884" s="123"/>
      <c r="P1884" s="366"/>
      <c r="R1884" s="355"/>
    </row>
    <row r="1885" spans="12:18">
      <c r="L1885" s="123"/>
      <c r="P1885" s="366"/>
      <c r="R1885" s="355"/>
    </row>
    <row r="1886" spans="12:18">
      <c r="L1886" s="123"/>
      <c r="P1886" s="366"/>
      <c r="R1886" s="355"/>
    </row>
    <row r="1887" spans="12:18">
      <c r="L1887" s="123"/>
      <c r="P1887" s="366"/>
      <c r="R1887" s="355"/>
    </row>
    <row r="1888" spans="12:18">
      <c r="L1888" s="123"/>
      <c r="P1888" s="366"/>
      <c r="R1888" s="355"/>
    </row>
    <row r="1889" spans="12:18">
      <c r="L1889" s="123"/>
      <c r="P1889" s="366"/>
      <c r="R1889" s="355"/>
    </row>
    <row r="1890" spans="12:18">
      <c r="L1890" s="123"/>
      <c r="P1890" s="366"/>
      <c r="R1890" s="355"/>
    </row>
    <row r="1891" spans="12:18">
      <c r="L1891" s="123"/>
      <c r="P1891" s="366"/>
      <c r="R1891" s="355"/>
    </row>
    <row r="1892" spans="12:18">
      <c r="L1892" s="123"/>
      <c r="P1892" s="366"/>
      <c r="R1892" s="355"/>
    </row>
    <row r="1893" spans="12:18">
      <c r="L1893" s="123"/>
      <c r="P1893" s="366"/>
      <c r="R1893" s="355"/>
    </row>
    <row r="1894" spans="12:18">
      <c r="L1894" s="123"/>
      <c r="P1894" s="366"/>
      <c r="R1894" s="355"/>
    </row>
    <row r="1895" spans="12:18">
      <c r="L1895" s="123"/>
      <c r="P1895" s="366"/>
      <c r="R1895" s="355"/>
    </row>
    <row r="1896" spans="12:18">
      <c r="L1896" s="123"/>
      <c r="P1896" s="366"/>
      <c r="R1896" s="355"/>
    </row>
    <row r="1897" spans="12:18">
      <c r="L1897" s="123"/>
      <c r="P1897" s="366"/>
      <c r="R1897" s="355"/>
    </row>
    <row r="1898" spans="12:18">
      <c r="L1898" s="123"/>
      <c r="P1898" s="366"/>
      <c r="R1898" s="355"/>
    </row>
    <row r="1899" spans="12:18">
      <c r="L1899" s="123"/>
      <c r="P1899" s="366"/>
      <c r="R1899" s="355"/>
    </row>
    <row r="1900" spans="12:18">
      <c r="L1900" s="123"/>
      <c r="P1900" s="366"/>
      <c r="R1900" s="355"/>
    </row>
    <row r="1901" spans="12:18">
      <c r="L1901" s="123"/>
      <c r="P1901" s="366"/>
      <c r="R1901" s="355"/>
    </row>
    <row r="1902" spans="12:18">
      <c r="L1902" s="123"/>
      <c r="P1902" s="366"/>
      <c r="R1902" s="355"/>
    </row>
    <row r="1903" spans="12:18">
      <c r="L1903" s="123"/>
      <c r="P1903" s="366"/>
      <c r="R1903" s="355"/>
    </row>
    <row r="1904" spans="12:18">
      <c r="L1904" s="123"/>
      <c r="P1904" s="366"/>
      <c r="R1904" s="355"/>
    </row>
    <row r="1905" spans="12:18">
      <c r="L1905" s="123"/>
      <c r="P1905" s="366"/>
      <c r="R1905" s="355"/>
    </row>
    <row r="1906" spans="12:18">
      <c r="L1906" s="123"/>
      <c r="P1906" s="366"/>
      <c r="R1906" s="355"/>
    </row>
    <row r="1907" spans="12:18">
      <c r="L1907" s="123"/>
      <c r="P1907" s="366"/>
      <c r="R1907" s="355"/>
    </row>
    <row r="1908" spans="12:18">
      <c r="L1908" s="120"/>
      <c r="P1908" s="366"/>
      <c r="R1908" s="355"/>
    </row>
    <row r="1909" spans="12:18">
      <c r="L1909" s="123"/>
      <c r="P1909" s="366"/>
      <c r="R1909" s="355"/>
    </row>
    <row r="1910" spans="12:18">
      <c r="L1910" s="123"/>
      <c r="P1910" s="366"/>
      <c r="R1910" s="355"/>
    </row>
    <row r="1911" spans="12:18">
      <c r="L1911" s="123"/>
      <c r="P1911" s="366"/>
      <c r="R1911" s="355"/>
    </row>
    <row r="1912" spans="12:18">
      <c r="L1912" s="123"/>
      <c r="P1912" s="366"/>
      <c r="R1912" s="355"/>
    </row>
    <row r="1913" spans="12:18">
      <c r="L1913" s="123"/>
      <c r="P1913" s="366"/>
      <c r="R1913" s="355"/>
    </row>
    <row r="1914" spans="12:18">
      <c r="L1914" s="123"/>
      <c r="P1914" s="366"/>
      <c r="R1914" s="355"/>
    </row>
    <row r="1915" spans="12:18">
      <c r="L1915" s="123"/>
      <c r="P1915" s="366"/>
      <c r="R1915" s="355"/>
    </row>
    <row r="1916" spans="12:18">
      <c r="L1916" s="123"/>
      <c r="P1916" s="366"/>
      <c r="R1916" s="355"/>
    </row>
    <row r="1917" spans="12:18">
      <c r="L1917" s="123"/>
      <c r="P1917" s="366"/>
      <c r="R1917" s="355"/>
    </row>
    <row r="1918" spans="12:18">
      <c r="L1918" s="123"/>
      <c r="P1918" s="366"/>
      <c r="R1918" s="355"/>
    </row>
    <row r="1919" spans="12:18">
      <c r="L1919" s="123"/>
      <c r="P1919" s="366"/>
      <c r="R1919" s="355"/>
    </row>
    <row r="1920" spans="12:18">
      <c r="L1920" s="123"/>
      <c r="P1920" s="366"/>
      <c r="R1920" s="355"/>
    </row>
    <row r="1921" spans="12:18">
      <c r="L1921" s="123"/>
      <c r="P1921" s="366"/>
      <c r="R1921" s="355"/>
    </row>
    <row r="1922" spans="12:18">
      <c r="L1922" s="123"/>
      <c r="P1922" s="366"/>
      <c r="R1922" s="355"/>
    </row>
    <row r="1923" spans="12:18">
      <c r="L1923" s="123"/>
      <c r="P1923" s="366"/>
      <c r="R1923" s="355"/>
    </row>
    <row r="1924" spans="12:18">
      <c r="L1924" s="123"/>
      <c r="P1924" s="366"/>
      <c r="R1924" s="355"/>
    </row>
    <row r="1925" spans="12:18">
      <c r="L1925" s="123"/>
      <c r="P1925" s="366"/>
      <c r="R1925" s="355"/>
    </row>
    <row r="1926" spans="12:18">
      <c r="L1926" s="123"/>
      <c r="P1926" s="366"/>
      <c r="R1926" s="355"/>
    </row>
    <row r="1927" spans="12:18">
      <c r="L1927" s="123"/>
      <c r="P1927" s="366"/>
      <c r="R1927" s="355"/>
    </row>
    <row r="1928" spans="12:18">
      <c r="L1928" s="123"/>
      <c r="P1928" s="366"/>
      <c r="R1928" s="355"/>
    </row>
    <row r="1929" spans="12:18">
      <c r="L1929" s="123"/>
      <c r="P1929" s="366"/>
      <c r="R1929" s="355"/>
    </row>
    <row r="1930" spans="12:18">
      <c r="L1930" s="123"/>
      <c r="P1930" s="366"/>
      <c r="R1930" s="355"/>
    </row>
    <row r="1931" spans="12:18">
      <c r="L1931" s="123"/>
      <c r="P1931" s="366"/>
      <c r="R1931" s="355"/>
    </row>
    <row r="1932" spans="12:18">
      <c r="L1932" s="245"/>
      <c r="P1932" s="366"/>
      <c r="R1932" s="355"/>
    </row>
    <row r="1933" spans="12:18">
      <c r="L1933" s="123"/>
      <c r="P1933" s="366"/>
      <c r="R1933" s="355"/>
    </row>
    <row r="1934" spans="12:18">
      <c r="L1934" s="123"/>
      <c r="P1934" s="366"/>
      <c r="R1934" s="355"/>
    </row>
    <row r="1935" spans="12:18">
      <c r="L1935" s="123"/>
      <c r="P1935" s="366"/>
      <c r="R1935" s="355"/>
    </row>
    <row r="1936" spans="12:18">
      <c r="L1936" s="123"/>
      <c r="P1936" s="366"/>
      <c r="R1936" s="355"/>
    </row>
    <row r="1937" spans="12:18">
      <c r="L1937" s="245"/>
      <c r="P1937" s="366"/>
      <c r="R1937" s="355"/>
    </row>
    <row r="1938" spans="12:18">
      <c r="L1938" s="123"/>
      <c r="P1938" s="366"/>
      <c r="R1938" s="355"/>
    </row>
    <row r="1939" spans="12:18">
      <c r="L1939" s="123"/>
      <c r="P1939" s="366"/>
      <c r="R1939" s="355"/>
    </row>
    <row r="1940" spans="12:18">
      <c r="L1940" s="123"/>
      <c r="P1940" s="366"/>
      <c r="R1940" s="355"/>
    </row>
    <row r="1941" spans="12:18">
      <c r="L1941" s="123"/>
      <c r="P1941" s="366"/>
      <c r="R1941" s="355"/>
    </row>
    <row r="1942" spans="12:18">
      <c r="L1942" s="123"/>
      <c r="P1942" s="366"/>
      <c r="R1942" s="355"/>
    </row>
    <row r="1943" spans="12:18">
      <c r="L1943" s="123"/>
      <c r="P1943" s="366"/>
      <c r="R1943" s="355"/>
    </row>
    <row r="1944" spans="12:18">
      <c r="L1944" s="123"/>
      <c r="P1944" s="366"/>
      <c r="R1944" s="355"/>
    </row>
    <row r="1945" spans="12:18">
      <c r="L1945" s="123"/>
      <c r="P1945" s="366"/>
      <c r="R1945" s="355"/>
    </row>
    <row r="1946" spans="12:18">
      <c r="L1946" s="123"/>
      <c r="P1946" s="366"/>
      <c r="R1946" s="355"/>
    </row>
    <row r="1947" spans="12:18">
      <c r="L1947" s="123"/>
      <c r="P1947" s="366"/>
      <c r="R1947" s="355"/>
    </row>
    <row r="1948" spans="12:18">
      <c r="L1948" s="123"/>
      <c r="P1948" s="366"/>
      <c r="R1948" s="355"/>
    </row>
    <row r="1949" spans="12:18">
      <c r="L1949" s="245"/>
      <c r="P1949" s="366"/>
      <c r="R1949" s="355"/>
    </row>
    <row r="1950" spans="12:18">
      <c r="L1950" s="245"/>
      <c r="P1950" s="366"/>
      <c r="R1950" s="355"/>
    </row>
    <row r="1951" spans="12:18">
      <c r="L1951" s="245"/>
      <c r="P1951" s="366"/>
      <c r="R1951" s="355"/>
    </row>
    <row r="1952" spans="12:18">
      <c r="L1952" s="245"/>
      <c r="P1952" s="366"/>
      <c r="R1952" s="355"/>
    </row>
    <row r="1953" spans="12:18">
      <c r="L1953" s="245"/>
      <c r="P1953" s="366"/>
      <c r="R1953" s="355"/>
    </row>
    <row r="1954" spans="12:18">
      <c r="L1954" s="245"/>
      <c r="P1954" s="366"/>
      <c r="R1954" s="355"/>
    </row>
    <row r="1955" spans="12:18">
      <c r="L1955" s="245"/>
      <c r="P1955" s="366"/>
      <c r="R1955" s="355"/>
    </row>
    <row r="1956" spans="12:18">
      <c r="L1956" s="245"/>
      <c r="P1956" s="366"/>
      <c r="R1956" s="355"/>
    </row>
    <row r="1957" spans="12:18">
      <c r="L1957" s="245"/>
      <c r="P1957" s="366"/>
      <c r="R1957" s="355"/>
    </row>
    <row r="1958" spans="12:18">
      <c r="L1958" s="123"/>
      <c r="P1958" s="366"/>
      <c r="R1958" s="355"/>
    </row>
    <row r="1959" spans="12:18">
      <c r="L1959" s="245"/>
      <c r="P1959" s="366"/>
      <c r="R1959" s="355"/>
    </row>
    <row r="1960" spans="12:18">
      <c r="L1960" s="245"/>
      <c r="P1960" s="366"/>
      <c r="R1960" s="355"/>
    </row>
    <row r="1961" spans="12:18">
      <c r="L1961" s="245"/>
      <c r="P1961" s="366"/>
      <c r="R1961" s="355"/>
    </row>
    <row r="1962" spans="12:18">
      <c r="L1962" s="123"/>
      <c r="P1962" s="366"/>
      <c r="R1962" s="355"/>
    </row>
    <row r="1963" spans="12:18">
      <c r="L1963" s="245"/>
      <c r="P1963" s="366"/>
      <c r="R1963" s="355"/>
    </row>
    <row r="1964" spans="12:18">
      <c r="L1964" s="245"/>
      <c r="P1964" s="366"/>
      <c r="R1964" s="355"/>
    </row>
    <row r="1965" spans="12:18">
      <c r="L1965" s="123"/>
      <c r="P1965" s="366"/>
      <c r="R1965" s="355"/>
    </row>
    <row r="1966" spans="12:18">
      <c r="L1966" s="123"/>
      <c r="P1966" s="366"/>
      <c r="R1966" s="355"/>
    </row>
    <row r="1967" spans="12:18">
      <c r="P1967" s="366"/>
      <c r="R1967" s="355"/>
    </row>
    <row r="1968" spans="12:18">
      <c r="P1968" s="366"/>
      <c r="R1968" s="355"/>
    </row>
    <row r="1969" spans="16:18">
      <c r="P1969" s="366"/>
      <c r="R1969" s="355"/>
    </row>
    <row r="1970" spans="16:18">
      <c r="P1970" s="366"/>
      <c r="R1970" s="355"/>
    </row>
    <row r="1971" spans="16:18">
      <c r="P1971" s="366"/>
      <c r="R1971" s="355"/>
    </row>
    <row r="1972" spans="16:18">
      <c r="P1972" s="366"/>
      <c r="R1972" s="355"/>
    </row>
    <row r="1973" spans="16:18">
      <c r="P1973" s="366"/>
      <c r="R1973" s="355"/>
    </row>
    <row r="1974" spans="16:18">
      <c r="P1974" s="366"/>
      <c r="R1974" s="355"/>
    </row>
    <row r="1975" spans="16:18">
      <c r="P1975" s="366"/>
      <c r="R1975" s="355"/>
    </row>
    <row r="1976" spans="16:18">
      <c r="P1976" s="366"/>
      <c r="R1976" s="355"/>
    </row>
    <row r="1977" spans="16:18">
      <c r="P1977" s="366"/>
      <c r="R1977" s="355"/>
    </row>
    <row r="1978" spans="16:18">
      <c r="P1978" s="366"/>
      <c r="R1978" s="355"/>
    </row>
    <row r="1979" spans="16:18">
      <c r="P1979" s="366"/>
      <c r="R1979" s="355"/>
    </row>
    <row r="1980" spans="16:18">
      <c r="P1980" s="366"/>
      <c r="R1980" s="355"/>
    </row>
    <row r="1981" spans="16:18">
      <c r="P1981" s="366"/>
      <c r="R1981" s="355"/>
    </row>
    <row r="1982" spans="16:18">
      <c r="P1982" s="366"/>
      <c r="R1982" s="355"/>
    </row>
    <row r="1983" spans="16:18">
      <c r="P1983" s="366"/>
      <c r="R1983" s="355"/>
    </row>
    <row r="1984" spans="16:18">
      <c r="P1984" s="366"/>
      <c r="R1984" s="355"/>
    </row>
    <row r="1985" spans="16:18">
      <c r="P1985" s="366"/>
      <c r="R1985" s="355"/>
    </row>
    <row r="1986" spans="16:18">
      <c r="P1986" s="366"/>
      <c r="R1986" s="355"/>
    </row>
    <row r="1987" spans="16:18">
      <c r="P1987" s="366"/>
      <c r="R1987" s="355"/>
    </row>
    <row r="1988" spans="16:18">
      <c r="P1988" s="366"/>
      <c r="R1988" s="355"/>
    </row>
    <row r="1989" spans="16:18">
      <c r="P1989" s="366"/>
      <c r="R1989" s="355"/>
    </row>
    <row r="1990" spans="16:18">
      <c r="P1990" s="366"/>
      <c r="R1990" s="355"/>
    </row>
    <row r="1991" spans="16:18">
      <c r="P1991" s="366"/>
      <c r="R1991" s="355"/>
    </row>
    <row r="1992" spans="16:18">
      <c r="P1992" s="366"/>
      <c r="R1992" s="355"/>
    </row>
    <row r="1993" spans="16:18">
      <c r="P1993" s="366"/>
      <c r="R1993" s="355"/>
    </row>
    <row r="1994" spans="16:18">
      <c r="P1994" s="366"/>
      <c r="R1994" s="355"/>
    </row>
    <row r="1995" spans="16:18">
      <c r="P1995" s="366"/>
      <c r="R1995" s="355"/>
    </row>
    <row r="1996" spans="16:18">
      <c r="P1996" s="366"/>
      <c r="R1996" s="355"/>
    </row>
    <row r="1997" spans="16:18">
      <c r="P1997" s="366"/>
      <c r="R1997" s="355"/>
    </row>
    <row r="1998" spans="16:18">
      <c r="P1998" s="366"/>
      <c r="R1998" s="355"/>
    </row>
    <row r="1999" spans="16:18">
      <c r="P1999" s="366"/>
      <c r="R1999" s="355"/>
    </row>
    <row r="2000" spans="16:18">
      <c r="P2000" s="366"/>
      <c r="R2000" s="355"/>
    </row>
    <row r="2001" spans="16:18">
      <c r="P2001" s="366"/>
      <c r="R2001" s="355"/>
    </row>
    <row r="2002" spans="16:18">
      <c r="P2002" s="366"/>
      <c r="R2002" s="355"/>
    </row>
    <row r="2003" spans="16:18">
      <c r="P2003" s="366"/>
      <c r="R2003" s="355"/>
    </row>
    <row r="2004" spans="16:18">
      <c r="P2004" s="366"/>
      <c r="R2004" s="355"/>
    </row>
    <row r="2005" spans="16:18">
      <c r="P2005" s="366"/>
      <c r="R2005" s="355"/>
    </row>
    <row r="2006" spans="16:18">
      <c r="P2006" s="366"/>
      <c r="R2006" s="355"/>
    </row>
    <row r="2007" spans="16:18">
      <c r="P2007" s="366"/>
      <c r="R2007" s="355"/>
    </row>
    <row r="2008" spans="16:18">
      <c r="P2008" s="366"/>
      <c r="R2008" s="355"/>
    </row>
    <row r="2009" spans="16:18">
      <c r="P2009" s="366"/>
      <c r="R2009" s="355"/>
    </row>
    <row r="2010" spans="16:18">
      <c r="P2010" s="366"/>
      <c r="R2010" s="355"/>
    </row>
    <row r="2011" spans="16:18">
      <c r="P2011" s="366"/>
      <c r="R2011" s="355"/>
    </row>
    <row r="2012" spans="16:18">
      <c r="P2012" s="366"/>
      <c r="R2012" s="355"/>
    </row>
    <row r="2013" spans="16:18">
      <c r="P2013" s="366"/>
      <c r="R2013" s="355"/>
    </row>
    <row r="2014" spans="16:18">
      <c r="P2014" s="366"/>
      <c r="R2014" s="355"/>
    </row>
    <row r="2015" spans="16:18">
      <c r="P2015" s="366"/>
      <c r="R2015" s="355"/>
    </row>
    <row r="2016" spans="16:18">
      <c r="P2016" s="366"/>
      <c r="R2016" s="355"/>
    </row>
    <row r="2017" spans="16:18">
      <c r="P2017" s="366"/>
      <c r="R2017" s="355"/>
    </row>
    <row r="2018" spans="16:18">
      <c r="P2018" s="366"/>
      <c r="R2018" s="355"/>
    </row>
    <row r="2019" spans="16:18">
      <c r="P2019" s="366"/>
      <c r="R2019" s="355"/>
    </row>
    <row r="2020" spans="16:18">
      <c r="P2020" s="366"/>
      <c r="R2020" s="355"/>
    </row>
    <row r="2021" spans="16:18">
      <c r="P2021" s="366"/>
      <c r="R2021" s="355"/>
    </row>
    <row r="2022" spans="16:18">
      <c r="P2022" s="366"/>
      <c r="R2022" s="355"/>
    </row>
    <row r="2023" spans="16:18">
      <c r="P2023" s="366"/>
      <c r="R2023" s="355"/>
    </row>
    <row r="2024" spans="16:18">
      <c r="P2024" s="366"/>
      <c r="R2024" s="355"/>
    </row>
    <row r="2025" spans="16:18">
      <c r="P2025" s="366"/>
      <c r="R2025" s="355"/>
    </row>
    <row r="2026" spans="16:18">
      <c r="P2026" s="366"/>
      <c r="R2026" s="355"/>
    </row>
    <row r="2027" spans="16:18">
      <c r="P2027" s="366"/>
      <c r="R2027" s="355"/>
    </row>
    <row r="2028" spans="16:18">
      <c r="P2028" s="366"/>
      <c r="R2028" s="355"/>
    </row>
    <row r="2029" spans="16:18">
      <c r="P2029" s="366"/>
      <c r="R2029" s="355"/>
    </row>
    <row r="2030" spans="16:18">
      <c r="P2030" s="366"/>
      <c r="R2030" s="355"/>
    </row>
    <row r="2031" spans="16:18">
      <c r="P2031" s="366"/>
      <c r="R2031" s="355"/>
    </row>
    <row r="2032" spans="16:18">
      <c r="P2032" s="366"/>
      <c r="R2032" s="355"/>
    </row>
    <row r="2033" spans="16:18">
      <c r="P2033" s="366"/>
      <c r="R2033" s="355"/>
    </row>
    <row r="2034" spans="16:18">
      <c r="P2034" s="366"/>
      <c r="R2034" s="355"/>
    </row>
    <row r="2035" spans="16:18">
      <c r="P2035" s="366"/>
      <c r="R2035" s="355"/>
    </row>
    <row r="2036" spans="16:18">
      <c r="P2036" s="366"/>
      <c r="R2036" s="355"/>
    </row>
    <row r="2037" spans="16:18">
      <c r="P2037" s="366"/>
      <c r="R2037" s="355"/>
    </row>
    <row r="2038" spans="16:18">
      <c r="P2038" s="366"/>
      <c r="R2038" s="355"/>
    </row>
    <row r="2039" spans="16:18">
      <c r="P2039" s="366"/>
      <c r="R2039" s="355"/>
    </row>
    <row r="2040" spans="16:18">
      <c r="P2040" s="366"/>
      <c r="R2040" s="355"/>
    </row>
    <row r="2041" spans="16:18">
      <c r="P2041" s="366"/>
      <c r="R2041" s="355"/>
    </row>
    <row r="2042" spans="16:18">
      <c r="P2042" s="366"/>
      <c r="R2042" s="355"/>
    </row>
    <row r="2043" spans="16:18">
      <c r="P2043" s="366"/>
      <c r="R2043" s="355"/>
    </row>
    <row r="2044" spans="16:18">
      <c r="P2044" s="366"/>
      <c r="R2044" s="355"/>
    </row>
    <row r="2045" spans="16:18">
      <c r="P2045" s="366"/>
      <c r="R2045" s="355"/>
    </row>
    <row r="2046" spans="16:18">
      <c r="P2046" s="366"/>
      <c r="R2046" s="355"/>
    </row>
    <row r="2047" spans="16:18">
      <c r="P2047" s="366"/>
      <c r="R2047" s="355"/>
    </row>
    <row r="2048" spans="16:18">
      <c r="P2048" s="366"/>
      <c r="R2048" s="355"/>
    </row>
    <row r="2049" spans="16:18">
      <c r="P2049" s="366"/>
      <c r="R2049" s="355"/>
    </row>
    <row r="2050" spans="16:18">
      <c r="P2050" s="366"/>
      <c r="R2050" s="355"/>
    </row>
    <row r="2051" spans="16:18">
      <c r="P2051" s="366"/>
      <c r="R2051" s="355"/>
    </row>
    <row r="2052" spans="16:18">
      <c r="P2052" s="366"/>
      <c r="R2052" s="355"/>
    </row>
    <row r="2053" spans="16:18">
      <c r="P2053" s="366"/>
      <c r="R2053" s="355"/>
    </row>
    <row r="2054" spans="16:18">
      <c r="P2054" s="366"/>
      <c r="R2054" s="355"/>
    </row>
    <row r="2055" spans="16:18">
      <c r="P2055" s="366"/>
      <c r="R2055" s="355"/>
    </row>
    <row r="2056" spans="16:18">
      <c r="P2056" s="366"/>
      <c r="R2056" s="355"/>
    </row>
    <row r="2057" spans="16:18">
      <c r="P2057" s="366"/>
      <c r="R2057" s="355"/>
    </row>
    <row r="2058" spans="16:18">
      <c r="P2058" s="366"/>
      <c r="R2058" s="355"/>
    </row>
    <row r="2059" spans="16:18">
      <c r="P2059" s="366"/>
      <c r="R2059" s="355"/>
    </row>
    <row r="2060" spans="16:18">
      <c r="P2060" s="366"/>
      <c r="R2060" s="355"/>
    </row>
    <row r="2061" spans="16:18">
      <c r="P2061" s="366"/>
      <c r="R2061" s="355"/>
    </row>
    <row r="2062" spans="16:18">
      <c r="P2062" s="366"/>
      <c r="R2062" s="355"/>
    </row>
    <row r="2063" spans="16:18">
      <c r="P2063" s="366"/>
      <c r="R2063" s="355"/>
    </row>
    <row r="2064" spans="16:18">
      <c r="P2064" s="366"/>
      <c r="R2064" s="355"/>
    </row>
    <row r="2065" spans="16:18">
      <c r="P2065" s="366"/>
      <c r="R2065" s="355"/>
    </row>
    <row r="2066" spans="16:18">
      <c r="P2066" s="366"/>
      <c r="R2066" s="355"/>
    </row>
    <row r="2067" spans="16:18">
      <c r="P2067" s="366"/>
      <c r="R2067" s="355"/>
    </row>
    <row r="2068" spans="16:18">
      <c r="P2068" s="366"/>
      <c r="R2068" s="355"/>
    </row>
    <row r="2069" spans="16:18">
      <c r="P2069" s="366"/>
      <c r="R2069" s="355"/>
    </row>
    <row r="2070" spans="16:18">
      <c r="P2070" s="366"/>
      <c r="R2070" s="355"/>
    </row>
    <row r="2071" spans="16:18">
      <c r="P2071" s="366"/>
      <c r="R2071" s="355"/>
    </row>
    <row r="2072" spans="16:18">
      <c r="P2072" s="366"/>
      <c r="R2072" s="355"/>
    </row>
    <row r="2073" spans="16:18">
      <c r="P2073" s="366"/>
      <c r="R2073" s="355"/>
    </row>
    <row r="2074" spans="16:18">
      <c r="P2074" s="366"/>
      <c r="R2074" s="355"/>
    </row>
    <row r="2075" spans="16:18">
      <c r="P2075" s="366"/>
      <c r="R2075" s="355"/>
    </row>
    <row r="2076" spans="16:18">
      <c r="P2076" s="366"/>
      <c r="R2076" s="355"/>
    </row>
    <row r="2077" spans="16:18">
      <c r="P2077" s="366"/>
      <c r="R2077" s="355"/>
    </row>
    <row r="2078" spans="16:18">
      <c r="P2078" s="366"/>
      <c r="R2078" s="355"/>
    </row>
    <row r="2079" spans="16:18">
      <c r="P2079" s="366"/>
      <c r="R2079" s="355"/>
    </row>
    <row r="2080" spans="16:18">
      <c r="P2080" s="366"/>
      <c r="R2080" s="355"/>
    </row>
    <row r="2081" spans="16:18">
      <c r="P2081" s="366"/>
      <c r="R2081" s="355"/>
    </row>
    <row r="2082" spans="16:18">
      <c r="P2082" s="366"/>
      <c r="R2082" s="355"/>
    </row>
    <row r="2083" spans="16:18">
      <c r="P2083" s="366"/>
      <c r="R2083" s="355"/>
    </row>
    <row r="2084" spans="16:18">
      <c r="P2084" s="366"/>
      <c r="R2084" s="355"/>
    </row>
    <row r="2085" spans="16:18">
      <c r="P2085" s="366"/>
      <c r="R2085" s="355"/>
    </row>
    <row r="2086" spans="16:18">
      <c r="P2086" s="366"/>
      <c r="R2086" s="355"/>
    </row>
    <row r="2087" spans="16:18">
      <c r="P2087" s="366"/>
      <c r="R2087" s="355"/>
    </row>
    <row r="2088" spans="16:18">
      <c r="P2088" s="366"/>
      <c r="R2088" s="355"/>
    </row>
    <row r="2089" spans="16:18">
      <c r="P2089" s="366"/>
      <c r="R2089" s="355"/>
    </row>
    <row r="2090" spans="16:18">
      <c r="P2090" s="366"/>
      <c r="R2090" s="355"/>
    </row>
    <row r="2091" spans="16:18">
      <c r="P2091" s="366"/>
      <c r="R2091" s="355"/>
    </row>
    <row r="2092" spans="16:18">
      <c r="P2092" s="366"/>
      <c r="R2092" s="355"/>
    </row>
    <row r="2093" spans="16:18">
      <c r="P2093" s="366"/>
      <c r="R2093" s="355"/>
    </row>
    <row r="2094" spans="16:18">
      <c r="P2094" s="366"/>
      <c r="R2094" s="355"/>
    </row>
    <row r="2095" spans="16:18">
      <c r="P2095" s="366"/>
      <c r="R2095" s="355"/>
    </row>
    <row r="2096" spans="16:18">
      <c r="P2096" s="366"/>
      <c r="R2096" s="355"/>
    </row>
    <row r="2097" spans="16:18">
      <c r="P2097" s="366"/>
      <c r="R2097" s="355"/>
    </row>
    <row r="2098" spans="16:18">
      <c r="P2098" s="366"/>
      <c r="R2098" s="355"/>
    </row>
    <row r="2099" spans="16:18">
      <c r="P2099" s="366"/>
      <c r="R2099" s="355"/>
    </row>
    <row r="2100" spans="16:18">
      <c r="P2100" s="366"/>
      <c r="R2100" s="355"/>
    </row>
    <row r="2101" spans="16:18">
      <c r="P2101" s="366"/>
      <c r="R2101" s="355"/>
    </row>
    <row r="2102" spans="16:18">
      <c r="P2102" s="366"/>
      <c r="R2102" s="355"/>
    </row>
    <row r="2103" spans="16:18">
      <c r="P2103" s="366"/>
      <c r="R2103" s="355"/>
    </row>
    <row r="2104" spans="16:18">
      <c r="P2104" s="366"/>
      <c r="R2104" s="355"/>
    </row>
    <row r="2105" spans="16:18">
      <c r="P2105" s="366"/>
      <c r="R2105" s="355"/>
    </row>
    <row r="2106" spans="16:18">
      <c r="P2106" s="366"/>
      <c r="R2106" s="355"/>
    </row>
    <row r="2107" spans="16:18">
      <c r="P2107" s="366"/>
      <c r="R2107" s="355"/>
    </row>
    <row r="2108" spans="16:18">
      <c r="P2108" s="366"/>
      <c r="R2108" s="355"/>
    </row>
    <row r="2109" spans="16:18">
      <c r="P2109" s="366"/>
      <c r="R2109" s="355"/>
    </row>
    <row r="2110" spans="16:18">
      <c r="P2110" s="366"/>
      <c r="R2110" s="355"/>
    </row>
    <row r="2111" spans="16:18">
      <c r="P2111" s="366"/>
      <c r="R2111" s="355"/>
    </row>
    <row r="2112" spans="16:18">
      <c r="P2112" s="366"/>
      <c r="R2112" s="355"/>
    </row>
    <row r="2113" spans="16:18">
      <c r="P2113" s="366"/>
      <c r="R2113" s="355"/>
    </row>
    <row r="2114" spans="16:18">
      <c r="P2114" s="366"/>
      <c r="R2114" s="355"/>
    </row>
    <row r="2115" spans="16:18">
      <c r="P2115" s="366"/>
      <c r="R2115" s="355"/>
    </row>
    <row r="2116" spans="16:18">
      <c r="P2116" s="366"/>
      <c r="R2116" s="355"/>
    </row>
    <row r="2117" spans="16:18">
      <c r="P2117" s="366"/>
      <c r="R2117" s="355"/>
    </row>
    <row r="2118" spans="16:18">
      <c r="P2118" s="366"/>
      <c r="R2118" s="355"/>
    </row>
    <row r="2119" spans="16:18">
      <c r="P2119" s="366"/>
      <c r="R2119" s="355"/>
    </row>
    <row r="2120" spans="16:18">
      <c r="P2120" s="366"/>
      <c r="R2120" s="355"/>
    </row>
    <row r="2121" spans="16:18">
      <c r="P2121" s="366"/>
      <c r="R2121" s="355"/>
    </row>
    <row r="2122" spans="16:18">
      <c r="P2122" s="366"/>
      <c r="R2122" s="355"/>
    </row>
    <row r="2123" spans="16:18">
      <c r="P2123" s="366"/>
      <c r="R2123" s="355"/>
    </row>
    <row r="2124" spans="16:18">
      <c r="P2124" s="366"/>
      <c r="R2124" s="355"/>
    </row>
    <row r="2125" spans="16:18">
      <c r="P2125" s="366"/>
      <c r="R2125" s="355"/>
    </row>
    <row r="2126" spans="16:18">
      <c r="P2126" s="366"/>
      <c r="R2126" s="355"/>
    </row>
    <row r="2127" spans="16:18">
      <c r="P2127" s="366"/>
      <c r="R2127" s="355"/>
    </row>
    <row r="2128" spans="16:18">
      <c r="P2128" s="366"/>
      <c r="R2128" s="355"/>
    </row>
    <row r="2129" spans="16:18">
      <c r="P2129" s="366"/>
      <c r="R2129" s="355"/>
    </row>
    <row r="2130" spans="16:18">
      <c r="P2130" s="366"/>
      <c r="R2130" s="355"/>
    </row>
    <row r="2131" spans="16:18">
      <c r="P2131" s="366"/>
      <c r="R2131" s="355"/>
    </row>
    <row r="2132" spans="16:18">
      <c r="P2132" s="366"/>
      <c r="R2132" s="355"/>
    </row>
    <row r="2133" spans="16:18">
      <c r="P2133" s="366"/>
      <c r="R2133" s="355"/>
    </row>
    <row r="2134" spans="16:18">
      <c r="P2134" s="366"/>
      <c r="R2134" s="355"/>
    </row>
    <row r="2135" spans="16:18">
      <c r="P2135" s="366"/>
      <c r="R2135" s="355"/>
    </row>
    <row r="2136" spans="16:18">
      <c r="P2136" s="366"/>
      <c r="R2136" s="355"/>
    </row>
    <row r="2137" spans="16:18">
      <c r="P2137" s="366"/>
      <c r="R2137" s="355"/>
    </row>
    <row r="2138" spans="16:18">
      <c r="P2138" s="366"/>
      <c r="R2138" s="355"/>
    </row>
    <row r="2139" spans="16:18">
      <c r="P2139" s="366"/>
      <c r="R2139" s="355"/>
    </row>
    <row r="2140" spans="16:18">
      <c r="P2140" s="366"/>
      <c r="R2140" s="355"/>
    </row>
    <row r="2141" spans="16:18">
      <c r="P2141" s="366"/>
      <c r="R2141" s="355"/>
    </row>
    <row r="2142" spans="16:18">
      <c r="P2142" s="366"/>
      <c r="R2142" s="355"/>
    </row>
    <row r="2143" spans="16:18">
      <c r="P2143" s="366"/>
      <c r="R2143" s="355"/>
    </row>
    <row r="2144" spans="16:18">
      <c r="P2144" s="366"/>
      <c r="R2144" s="355"/>
    </row>
    <row r="2145" spans="16:18">
      <c r="P2145" s="366"/>
      <c r="R2145" s="355"/>
    </row>
    <row r="2146" spans="16:18">
      <c r="P2146" s="366"/>
      <c r="R2146" s="355"/>
    </row>
    <row r="2147" spans="16:18">
      <c r="P2147" s="366"/>
      <c r="R2147" s="355"/>
    </row>
    <row r="2148" spans="16:18">
      <c r="P2148" s="366"/>
      <c r="R2148" s="355"/>
    </row>
    <row r="2149" spans="16:18">
      <c r="P2149" s="366"/>
      <c r="R2149" s="355"/>
    </row>
    <row r="2150" spans="16:18">
      <c r="P2150" s="366"/>
      <c r="R2150" s="355"/>
    </row>
    <row r="2151" spans="16:18">
      <c r="P2151" s="366"/>
      <c r="R2151" s="355"/>
    </row>
    <row r="2152" spans="16:18">
      <c r="P2152" s="366"/>
      <c r="R2152" s="355"/>
    </row>
    <row r="2153" spans="16:18">
      <c r="P2153" s="366"/>
      <c r="R2153" s="355"/>
    </row>
    <row r="2154" spans="16:18">
      <c r="P2154" s="366"/>
      <c r="R2154" s="355"/>
    </row>
    <row r="2155" spans="16:18">
      <c r="P2155" s="366"/>
      <c r="R2155" s="355"/>
    </row>
    <row r="2156" spans="16:18">
      <c r="P2156" s="366"/>
      <c r="R2156" s="355"/>
    </row>
    <row r="2157" spans="16:18">
      <c r="P2157" s="366"/>
      <c r="R2157" s="355"/>
    </row>
    <row r="2158" spans="16:18">
      <c r="P2158" s="366"/>
      <c r="R2158" s="355"/>
    </row>
    <row r="2159" spans="16:18">
      <c r="P2159" s="366"/>
      <c r="R2159" s="355"/>
    </row>
    <row r="2160" spans="16:18">
      <c r="P2160" s="366"/>
      <c r="R2160" s="355"/>
    </row>
    <row r="2161" spans="16:18">
      <c r="P2161" s="366"/>
      <c r="R2161" s="355"/>
    </row>
    <row r="2162" spans="16:18">
      <c r="P2162" s="366"/>
      <c r="R2162" s="355"/>
    </row>
    <row r="2163" spans="16:18">
      <c r="P2163" s="366"/>
      <c r="R2163" s="355"/>
    </row>
    <row r="2164" spans="16:18">
      <c r="P2164" s="366"/>
      <c r="R2164" s="355"/>
    </row>
    <row r="2165" spans="16:18">
      <c r="P2165" s="366"/>
      <c r="R2165" s="355"/>
    </row>
    <row r="2166" spans="16:18">
      <c r="P2166" s="366"/>
      <c r="R2166" s="355"/>
    </row>
    <row r="2167" spans="16:18">
      <c r="P2167" s="366"/>
      <c r="R2167" s="355"/>
    </row>
    <row r="2168" spans="16:18">
      <c r="P2168" s="366"/>
      <c r="R2168" s="355"/>
    </row>
    <row r="2169" spans="16:18">
      <c r="P2169" s="366"/>
      <c r="R2169" s="355"/>
    </row>
    <row r="2170" spans="16:18">
      <c r="P2170" s="366"/>
      <c r="R2170" s="355"/>
    </row>
    <row r="2171" spans="16:18">
      <c r="P2171" s="366"/>
      <c r="R2171" s="355"/>
    </row>
    <row r="2172" spans="16:18">
      <c r="P2172" s="366"/>
      <c r="R2172" s="355"/>
    </row>
    <row r="2173" spans="16:18">
      <c r="P2173" s="366"/>
      <c r="R2173" s="355"/>
    </row>
    <row r="2174" spans="16:18">
      <c r="P2174" s="366"/>
      <c r="R2174" s="355"/>
    </row>
    <row r="2175" spans="16:18">
      <c r="P2175" s="366"/>
      <c r="R2175" s="355"/>
    </row>
    <row r="2176" spans="16:18">
      <c r="P2176" s="366"/>
      <c r="R2176" s="355"/>
    </row>
    <row r="2177" spans="16:21">
      <c r="P2177" s="366"/>
      <c r="R2177" s="355"/>
    </row>
    <row r="2178" spans="16:21">
      <c r="P2178" s="366"/>
      <c r="R2178" s="355"/>
    </row>
    <row r="2179" spans="16:21">
      <c r="P2179" s="366"/>
      <c r="R2179" s="355"/>
    </row>
    <row r="2180" spans="16:21">
      <c r="P2180" s="366"/>
      <c r="R2180" s="355"/>
    </row>
    <row r="2181" spans="16:21" ht="26.4">
      <c r="P2181" s="366"/>
      <c r="R2181" s="355"/>
      <c r="U2181" s="85" ph="1"/>
    </row>
    <row r="2182" spans="16:21">
      <c r="P2182" s="366"/>
      <c r="R2182" s="355"/>
    </row>
    <row r="2183" spans="16:21">
      <c r="P2183" s="366"/>
      <c r="R2183" s="355"/>
    </row>
    <row r="2184" spans="16:21">
      <c r="P2184" s="366"/>
      <c r="R2184" s="355"/>
    </row>
    <row r="2185" spans="16:21">
      <c r="P2185" s="366"/>
      <c r="R2185" s="355"/>
    </row>
    <row r="2186" spans="16:21">
      <c r="P2186" s="366"/>
      <c r="R2186" s="355"/>
    </row>
    <row r="2187" spans="16:21">
      <c r="P2187" s="366"/>
      <c r="R2187" s="355"/>
    </row>
    <row r="2188" spans="16:21">
      <c r="P2188" s="366"/>
      <c r="R2188" s="355"/>
    </row>
    <row r="2189" spans="16:21">
      <c r="P2189" s="366"/>
      <c r="R2189" s="355"/>
    </row>
    <row r="2190" spans="16:21">
      <c r="P2190" s="366"/>
      <c r="R2190" s="355"/>
    </row>
    <row r="2191" spans="16:21">
      <c r="P2191" s="366"/>
      <c r="R2191" s="355"/>
    </row>
    <row r="2192" spans="16:21">
      <c r="P2192" s="366"/>
      <c r="R2192" s="355"/>
    </row>
    <row r="2193" spans="16:18">
      <c r="P2193" s="366"/>
      <c r="R2193" s="355"/>
    </row>
    <row r="2194" spans="16:18">
      <c r="P2194" s="366"/>
      <c r="R2194" s="355"/>
    </row>
    <row r="2195" spans="16:18">
      <c r="P2195" s="366"/>
      <c r="R2195" s="355"/>
    </row>
    <row r="2196" spans="16:18">
      <c r="P2196" s="366"/>
      <c r="R2196" s="355"/>
    </row>
    <row r="2197" spans="16:18">
      <c r="P2197" s="366"/>
      <c r="R2197" s="355"/>
    </row>
    <row r="2198" spans="16:18">
      <c r="P2198" s="366"/>
      <c r="R2198" s="355"/>
    </row>
    <row r="2199" spans="16:18">
      <c r="P2199" s="366"/>
      <c r="R2199" s="355"/>
    </row>
    <row r="2200" spans="16:18">
      <c r="P2200" s="366"/>
      <c r="R2200" s="355"/>
    </row>
    <row r="2201" spans="16:18">
      <c r="P2201" s="366"/>
      <c r="R2201" s="355"/>
    </row>
    <row r="2202" spans="16:18">
      <c r="P2202" s="366"/>
      <c r="R2202" s="355"/>
    </row>
    <row r="2203" spans="16:18">
      <c r="P2203" s="366"/>
      <c r="R2203" s="355"/>
    </row>
    <row r="2204" spans="16:18">
      <c r="P2204" s="366"/>
      <c r="R2204" s="355"/>
    </row>
    <row r="2205" spans="16:18">
      <c r="P2205" s="366"/>
      <c r="R2205" s="355"/>
    </row>
    <row r="2206" spans="16:18">
      <c r="P2206" s="366"/>
      <c r="R2206" s="355"/>
    </row>
    <row r="2207" spans="16:18">
      <c r="P2207" s="366"/>
      <c r="R2207" s="355"/>
    </row>
    <row r="2208" spans="16:18">
      <c r="P2208" s="366"/>
      <c r="R2208" s="355"/>
    </row>
    <row r="2209" spans="16:18">
      <c r="P2209" s="366"/>
      <c r="R2209" s="355"/>
    </row>
    <row r="2210" spans="16:18">
      <c r="P2210" s="366"/>
      <c r="R2210" s="355"/>
    </row>
    <row r="2211" spans="16:18">
      <c r="P2211" s="366"/>
      <c r="R2211" s="355"/>
    </row>
    <row r="2212" spans="16:18">
      <c r="P2212" s="366"/>
      <c r="R2212" s="355"/>
    </row>
    <row r="2213" spans="16:18">
      <c r="P2213" s="366"/>
      <c r="R2213" s="355"/>
    </row>
    <row r="2214" spans="16:18">
      <c r="P2214" s="366"/>
      <c r="R2214" s="355"/>
    </row>
    <row r="2215" spans="16:18">
      <c r="P2215" s="366"/>
      <c r="R2215" s="355"/>
    </row>
    <row r="2216" spans="16:18">
      <c r="P2216" s="366"/>
      <c r="R2216" s="355"/>
    </row>
    <row r="2217" spans="16:18">
      <c r="P2217" s="366"/>
      <c r="R2217" s="355"/>
    </row>
    <row r="2218" spans="16:18">
      <c r="P2218" s="366"/>
      <c r="R2218" s="355"/>
    </row>
    <row r="2219" spans="16:18">
      <c r="P2219" s="366"/>
      <c r="R2219" s="355"/>
    </row>
    <row r="2220" spans="16:18">
      <c r="P2220" s="366"/>
      <c r="R2220" s="355"/>
    </row>
    <row r="2221" spans="16:18">
      <c r="P2221" s="366"/>
      <c r="R2221" s="355"/>
    </row>
    <row r="2222" spans="16:18">
      <c r="P2222" s="366"/>
      <c r="R2222" s="355"/>
    </row>
    <row r="2223" spans="16:18">
      <c r="P2223" s="366"/>
      <c r="R2223" s="355"/>
    </row>
    <row r="2224" spans="16:18">
      <c r="P2224" s="366"/>
      <c r="R2224" s="355"/>
    </row>
    <row r="2225" spans="16:18">
      <c r="P2225" s="366"/>
      <c r="R2225" s="355"/>
    </row>
    <row r="2226" spans="16:18">
      <c r="P2226" s="366"/>
      <c r="R2226" s="355"/>
    </row>
    <row r="2227" spans="16:18">
      <c r="P2227" s="366"/>
      <c r="R2227" s="355"/>
    </row>
    <row r="2228" spans="16:18">
      <c r="P2228" s="366"/>
      <c r="R2228" s="355"/>
    </row>
    <row r="2229" spans="16:18">
      <c r="P2229" s="366"/>
      <c r="R2229" s="355"/>
    </row>
    <row r="2230" spans="16:18">
      <c r="P2230" s="366"/>
      <c r="R2230" s="355"/>
    </row>
    <row r="2231" spans="16:18">
      <c r="P2231" s="366"/>
      <c r="R2231" s="355"/>
    </row>
    <row r="2232" spans="16:18">
      <c r="P2232" s="366"/>
      <c r="R2232" s="355"/>
    </row>
    <row r="2233" spans="16:18">
      <c r="P2233" s="366"/>
      <c r="R2233" s="355"/>
    </row>
    <row r="2234" spans="16:18">
      <c r="P2234" s="366"/>
      <c r="R2234" s="355"/>
    </row>
    <row r="2235" spans="16:18">
      <c r="P2235" s="366"/>
      <c r="R2235" s="355"/>
    </row>
    <row r="2236" spans="16:18">
      <c r="P2236" s="366"/>
      <c r="R2236" s="355"/>
    </row>
    <row r="2237" spans="16:18">
      <c r="P2237" s="366"/>
      <c r="R2237" s="355"/>
    </row>
    <row r="2238" spans="16:18">
      <c r="P2238" s="366"/>
      <c r="R2238" s="355"/>
    </row>
    <row r="2239" spans="16:18">
      <c r="P2239" s="366"/>
      <c r="R2239" s="355"/>
    </row>
    <row r="2240" spans="16:18">
      <c r="P2240" s="366"/>
      <c r="R2240" s="355"/>
    </row>
    <row r="2241" spans="16:18">
      <c r="P2241" s="366"/>
      <c r="R2241" s="355"/>
    </row>
    <row r="2242" spans="16:18">
      <c r="P2242" s="366"/>
      <c r="R2242" s="355"/>
    </row>
    <row r="2243" spans="16:18">
      <c r="P2243" s="366"/>
      <c r="R2243" s="355"/>
    </row>
    <row r="2244" spans="16:18">
      <c r="P2244" s="366"/>
      <c r="R2244" s="355"/>
    </row>
    <row r="2245" spans="16:18">
      <c r="P2245" s="366"/>
      <c r="R2245" s="355"/>
    </row>
    <row r="2246" spans="16:18">
      <c r="P2246" s="366"/>
      <c r="R2246" s="355"/>
    </row>
    <row r="2247" spans="16:18">
      <c r="P2247" s="366"/>
      <c r="R2247" s="355"/>
    </row>
    <row r="2248" spans="16:18">
      <c r="P2248" s="366"/>
      <c r="R2248" s="355"/>
    </row>
    <row r="2249" spans="16:18">
      <c r="P2249" s="366"/>
      <c r="R2249" s="355"/>
    </row>
    <row r="2250" spans="16:18">
      <c r="P2250" s="366"/>
      <c r="R2250" s="355"/>
    </row>
    <row r="2251" spans="16:18">
      <c r="P2251" s="366"/>
      <c r="R2251" s="355"/>
    </row>
    <row r="2252" spans="16:18">
      <c r="P2252" s="366"/>
      <c r="R2252" s="355"/>
    </row>
    <row r="2253" spans="16:18">
      <c r="P2253" s="366"/>
      <c r="R2253" s="355"/>
    </row>
    <row r="2254" spans="16:18">
      <c r="P2254" s="366"/>
      <c r="R2254" s="355"/>
    </row>
    <row r="2255" spans="16:18">
      <c r="P2255" s="366"/>
      <c r="R2255" s="355"/>
    </row>
    <row r="2256" spans="16:18">
      <c r="P2256" s="366"/>
      <c r="R2256" s="355"/>
    </row>
    <row r="2257" spans="16:18">
      <c r="P2257" s="366"/>
      <c r="R2257" s="355"/>
    </row>
    <row r="2258" spans="16:18">
      <c r="P2258" s="366"/>
      <c r="R2258" s="355"/>
    </row>
    <row r="2259" spans="16:18">
      <c r="P2259" s="366"/>
      <c r="R2259" s="355"/>
    </row>
    <row r="2260" spans="16:18">
      <c r="P2260" s="366"/>
      <c r="R2260" s="355"/>
    </row>
    <row r="2261" spans="16:18">
      <c r="P2261" s="366"/>
      <c r="R2261" s="355"/>
    </row>
    <row r="2262" spans="16:18">
      <c r="P2262" s="366"/>
      <c r="R2262" s="355"/>
    </row>
    <row r="2263" spans="16:18">
      <c r="P2263" s="366"/>
      <c r="R2263" s="355"/>
    </row>
    <row r="2264" spans="16:18">
      <c r="P2264" s="366"/>
      <c r="R2264" s="355"/>
    </row>
    <row r="2265" spans="16:18">
      <c r="P2265" s="366"/>
      <c r="R2265" s="355"/>
    </row>
    <row r="2266" spans="16:18">
      <c r="P2266" s="366"/>
      <c r="R2266" s="355"/>
    </row>
    <row r="2267" spans="16:18">
      <c r="P2267" s="366"/>
      <c r="R2267" s="355"/>
    </row>
    <row r="2268" spans="16:18">
      <c r="P2268" s="366"/>
      <c r="R2268" s="355"/>
    </row>
    <row r="2269" spans="16:18">
      <c r="P2269" s="366"/>
      <c r="R2269" s="355"/>
    </row>
    <row r="2270" spans="16:18">
      <c r="P2270" s="366"/>
      <c r="R2270" s="355"/>
    </row>
    <row r="2271" spans="16:18">
      <c r="P2271" s="366"/>
      <c r="R2271" s="355"/>
    </row>
    <row r="2272" spans="16:18">
      <c r="P2272" s="366"/>
      <c r="R2272" s="355"/>
    </row>
    <row r="2273" spans="16:18">
      <c r="P2273" s="366"/>
      <c r="R2273" s="355"/>
    </row>
    <row r="2274" spans="16:18">
      <c r="P2274" s="366"/>
      <c r="R2274" s="355"/>
    </row>
    <row r="2275" spans="16:18">
      <c r="P2275" s="366"/>
      <c r="R2275" s="355"/>
    </row>
    <row r="2276" spans="16:18">
      <c r="P2276" s="366"/>
      <c r="R2276" s="355"/>
    </row>
    <row r="2277" spans="16:18">
      <c r="P2277" s="366"/>
      <c r="R2277" s="355"/>
    </row>
    <row r="2278" spans="16:18">
      <c r="P2278" s="366"/>
      <c r="R2278" s="355"/>
    </row>
    <row r="2279" spans="16:18">
      <c r="P2279" s="366"/>
      <c r="R2279" s="355"/>
    </row>
    <row r="2280" spans="16:18">
      <c r="P2280" s="366"/>
      <c r="R2280" s="355"/>
    </row>
    <row r="2281" spans="16:18">
      <c r="P2281" s="366"/>
      <c r="R2281" s="355"/>
    </row>
    <row r="2282" spans="16:18">
      <c r="P2282" s="366"/>
      <c r="R2282" s="355"/>
    </row>
    <row r="2283" spans="16:18">
      <c r="P2283" s="366"/>
      <c r="R2283" s="355"/>
    </row>
    <row r="2284" spans="16:18">
      <c r="P2284" s="366"/>
      <c r="R2284" s="355"/>
    </row>
    <row r="2285" spans="16:18">
      <c r="P2285" s="366"/>
      <c r="R2285" s="355"/>
    </row>
    <row r="2286" spans="16:18">
      <c r="P2286" s="366"/>
      <c r="R2286" s="355"/>
    </row>
    <row r="2287" spans="16:18">
      <c r="P2287" s="366"/>
      <c r="R2287" s="355"/>
    </row>
    <row r="2288" spans="16:18">
      <c r="P2288" s="366"/>
      <c r="R2288" s="355"/>
    </row>
    <row r="2289" spans="16:18">
      <c r="P2289" s="366"/>
      <c r="R2289" s="355"/>
    </row>
    <row r="2290" spans="16:18">
      <c r="P2290" s="366"/>
      <c r="R2290" s="355"/>
    </row>
    <row r="2291" spans="16:18">
      <c r="P2291" s="366"/>
      <c r="R2291" s="355"/>
    </row>
    <row r="2292" spans="16:18">
      <c r="P2292" s="366"/>
      <c r="R2292" s="355"/>
    </row>
    <row r="2293" spans="16:18">
      <c r="P2293" s="366"/>
      <c r="R2293" s="355"/>
    </row>
    <row r="2294" spans="16:18">
      <c r="P2294" s="366"/>
      <c r="R2294" s="355"/>
    </row>
    <row r="2295" spans="16:18">
      <c r="P2295" s="366"/>
      <c r="R2295" s="355"/>
    </row>
    <row r="2296" spans="16:18">
      <c r="P2296" s="366"/>
      <c r="R2296" s="355"/>
    </row>
    <row r="2297" spans="16:18">
      <c r="P2297" s="366"/>
      <c r="R2297" s="355"/>
    </row>
    <row r="2298" spans="16:18">
      <c r="P2298" s="366"/>
      <c r="R2298" s="355"/>
    </row>
    <row r="2299" spans="16:18">
      <c r="P2299" s="366"/>
      <c r="R2299" s="355"/>
    </row>
    <row r="2300" spans="16:18">
      <c r="P2300" s="366"/>
      <c r="R2300" s="355"/>
    </row>
    <row r="2301" spans="16:18">
      <c r="P2301" s="366"/>
      <c r="R2301" s="355"/>
    </row>
    <row r="2302" spans="16:18">
      <c r="P2302" s="366"/>
      <c r="R2302" s="355"/>
    </row>
    <row r="2303" spans="16:18">
      <c r="P2303" s="366"/>
      <c r="R2303" s="355"/>
    </row>
    <row r="2304" spans="16:18">
      <c r="P2304" s="366"/>
      <c r="R2304" s="355"/>
    </row>
    <row r="2305" spans="16:18">
      <c r="P2305" s="366"/>
      <c r="R2305" s="355"/>
    </row>
    <row r="2306" spans="16:18">
      <c r="P2306" s="366"/>
      <c r="R2306" s="355"/>
    </row>
    <row r="2307" spans="16:18">
      <c r="P2307" s="366"/>
      <c r="R2307" s="355"/>
    </row>
    <row r="2308" spans="16:18">
      <c r="P2308" s="366"/>
      <c r="R2308" s="355"/>
    </row>
    <row r="2309" spans="16:18">
      <c r="P2309" s="366"/>
      <c r="R2309" s="355"/>
    </row>
    <row r="2310" spans="16:18">
      <c r="P2310" s="366"/>
      <c r="R2310" s="355"/>
    </row>
    <row r="2311" spans="16:18">
      <c r="P2311" s="366"/>
      <c r="R2311" s="355"/>
    </row>
  </sheetData>
  <phoneticPr fontId="1" type="noConversion"/>
  <conditionalFormatting sqref="P1:Q1048576 S1:S1048576">
    <cfRule type="cellIs" dxfId="8" priority="9" operator="between">
      <formula>100</formula>
      <formula>1</formula>
    </cfRule>
  </conditionalFormatting>
  <conditionalFormatting sqref="R1:R1048576">
    <cfRule type="cellIs" dxfId="7" priority="8" operator="between">
      <formula>200</formula>
      <formula>1</formula>
    </cfRule>
  </conditionalFormatting>
  <conditionalFormatting sqref="P6:Q6 S6">
    <cfRule type="cellIs" dxfId="6" priority="7" operator="between">
      <formula>100</formula>
      <formula>1</formula>
    </cfRule>
  </conditionalFormatting>
  <conditionalFormatting sqref="R6">
    <cfRule type="cellIs" dxfId="5" priority="6" operator="between">
      <formula>200</formula>
      <formula>1</formula>
    </cfRule>
  </conditionalFormatting>
  <conditionalFormatting sqref="P6:Q6 S6">
    <cfRule type="cellIs" dxfId="4" priority="5" operator="between">
      <formula>100</formula>
      <formula>1</formula>
    </cfRule>
  </conditionalFormatting>
  <conditionalFormatting sqref="R6">
    <cfRule type="cellIs" dxfId="3" priority="4" operator="between">
      <formula>200</formula>
      <formula>1</formula>
    </cfRule>
  </conditionalFormatting>
  <conditionalFormatting sqref="P6:Q6 S6">
    <cfRule type="cellIs" dxfId="2" priority="3" operator="between">
      <formula>100</formula>
      <formula>1</formula>
    </cfRule>
  </conditionalFormatting>
  <conditionalFormatting sqref="R6">
    <cfRule type="cellIs" dxfId="1" priority="2" operator="between">
      <formula>200</formula>
      <formula>1</formula>
    </cfRule>
  </conditionalFormatting>
  <conditionalFormatting sqref="T1:T1048576">
    <cfRule type="cellIs" dxfId="0" priority="1" operator="between">
      <formula>100</formula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">
    <tabColor rgb="FF0070C0"/>
  </sheetPr>
  <dimension ref="A1:E1414"/>
  <sheetViews>
    <sheetView workbookViewId="0"/>
  </sheetViews>
  <sheetFormatPr defaultRowHeight="15"/>
  <cols>
    <col min="1" max="1" width="5.625" customWidth="1"/>
    <col min="2" max="2" width="13.625" customWidth="1"/>
  </cols>
  <sheetData>
    <row r="1" spans="1:5" s="245" customFormat="1">
      <c r="A1" s="257" t="s">
        <v>6107</v>
      </c>
      <c r="B1" s="245" t="s">
        <v>6108</v>
      </c>
      <c r="C1" s="257" t="s">
        <v>6221</v>
      </c>
      <c r="D1" s="257" t="s">
        <v>6222</v>
      </c>
      <c r="E1" s="257" t="s">
        <v>4716</v>
      </c>
    </row>
    <row r="2" spans="1:5">
      <c r="A2">
        <v>4157</v>
      </c>
      <c r="B2" t="s">
        <v>5534</v>
      </c>
      <c r="C2">
        <v>157</v>
      </c>
      <c r="D2">
        <v>164</v>
      </c>
      <c r="E2">
        <v>1</v>
      </c>
    </row>
    <row r="3" spans="1:5">
      <c r="A3">
        <v>3035</v>
      </c>
      <c r="B3" t="s">
        <v>5295</v>
      </c>
      <c r="C3">
        <v>151</v>
      </c>
      <c r="D3">
        <v>148</v>
      </c>
      <c r="E3">
        <v>2</v>
      </c>
    </row>
    <row r="4" spans="1:5">
      <c r="A4">
        <v>2412</v>
      </c>
      <c r="B4" t="s">
        <v>5099</v>
      </c>
      <c r="C4">
        <v>144</v>
      </c>
      <c r="D4">
        <v>53</v>
      </c>
      <c r="E4">
        <v>3</v>
      </c>
    </row>
    <row r="5" spans="1:5">
      <c r="A5">
        <v>6104</v>
      </c>
      <c r="B5" t="s">
        <v>5745</v>
      </c>
      <c r="C5">
        <v>142</v>
      </c>
      <c r="D5">
        <v>151</v>
      </c>
      <c r="E5">
        <v>4</v>
      </c>
    </row>
    <row r="6" spans="1:5">
      <c r="A6">
        <v>2356</v>
      </c>
      <c r="B6" t="s">
        <v>5064</v>
      </c>
      <c r="C6">
        <v>141</v>
      </c>
      <c r="D6">
        <v>61</v>
      </c>
      <c r="E6">
        <v>5</v>
      </c>
    </row>
    <row r="7" spans="1:5">
      <c r="A7">
        <v>2357</v>
      </c>
      <c r="B7" t="s">
        <v>5065</v>
      </c>
      <c r="C7">
        <v>141</v>
      </c>
      <c r="D7">
        <v>64</v>
      </c>
      <c r="E7">
        <v>5</v>
      </c>
    </row>
    <row r="8" spans="1:5">
      <c r="A8">
        <v>2324</v>
      </c>
      <c r="B8" t="s">
        <v>5044</v>
      </c>
      <c r="C8">
        <v>139</v>
      </c>
      <c r="D8">
        <v>84</v>
      </c>
      <c r="E8">
        <v>7</v>
      </c>
    </row>
    <row r="9" spans="1:5">
      <c r="A9">
        <v>2301</v>
      </c>
      <c r="B9" t="s">
        <v>5034</v>
      </c>
      <c r="C9">
        <v>134</v>
      </c>
      <c r="D9">
        <v>91</v>
      </c>
      <c r="E9">
        <v>8</v>
      </c>
    </row>
    <row r="10" spans="1:5">
      <c r="A10">
        <v>2886</v>
      </c>
      <c r="B10" t="s">
        <v>5245</v>
      </c>
      <c r="C10">
        <v>134</v>
      </c>
      <c r="D10">
        <v>54</v>
      </c>
      <c r="E10">
        <v>8</v>
      </c>
    </row>
    <row r="11" spans="1:5">
      <c r="A11">
        <v>1101</v>
      </c>
      <c r="B11" t="s">
        <v>4776</v>
      </c>
      <c r="C11">
        <v>133</v>
      </c>
      <c r="D11">
        <v>72</v>
      </c>
      <c r="E11">
        <v>10</v>
      </c>
    </row>
    <row r="12" spans="1:5">
      <c r="A12">
        <v>2880</v>
      </c>
      <c r="B12" t="s">
        <v>5239</v>
      </c>
      <c r="C12">
        <v>128</v>
      </c>
      <c r="D12">
        <v>41</v>
      </c>
      <c r="E12">
        <v>11</v>
      </c>
    </row>
    <row r="13" spans="1:5">
      <c r="A13">
        <v>3141</v>
      </c>
      <c r="B13" t="s">
        <v>5331</v>
      </c>
      <c r="C13">
        <v>127</v>
      </c>
      <c r="D13">
        <v>140</v>
      </c>
      <c r="E13">
        <v>12</v>
      </c>
    </row>
    <row r="14" spans="1:5">
      <c r="A14">
        <v>1102</v>
      </c>
      <c r="B14" t="s">
        <v>4777</v>
      </c>
      <c r="C14">
        <v>126</v>
      </c>
      <c r="D14">
        <v>54</v>
      </c>
      <c r="E14">
        <v>13</v>
      </c>
    </row>
    <row r="15" spans="1:5">
      <c r="A15">
        <v>4904</v>
      </c>
      <c r="B15" t="s">
        <v>5609</v>
      </c>
      <c r="C15">
        <v>125</v>
      </c>
      <c r="D15">
        <v>35</v>
      </c>
      <c r="E15">
        <v>14</v>
      </c>
    </row>
    <row r="16" spans="1:5">
      <c r="A16">
        <v>6411</v>
      </c>
      <c r="B16" t="s">
        <v>5865</v>
      </c>
      <c r="C16">
        <v>125</v>
      </c>
      <c r="D16">
        <v>124</v>
      </c>
      <c r="E16">
        <v>14</v>
      </c>
    </row>
    <row r="17" spans="1:5">
      <c r="A17">
        <v>1303</v>
      </c>
      <c r="B17" t="s">
        <v>4806</v>
      </c>
      <c r="C17">
        <v>124</v>
      </c>
      <c r="D17">
        <v>46</v>
      </c>
      <c r="E17">
        <v>16</v>
      </c>
    </row>
    <row r="18" spans="1:5">
      <c r="A18">
        <v>2887</v>
      </c>
      <c r="B18" t="s">
        <v>5246</v>
      </c>
      <c r="C18">
        <v>124</v>
      </c>
      <c r="D18">
        <v>28</v>
      </c>
      <c r="E18">
        <v>16</v>
      </c>
    </row>
    <row r="19" spans="1:5">
      <c r="A19">
        <v>2382</v>
      </c>
      <c r="B19" t="s">
        <v>5082</v>
      </c>
      <c r="C19">
        <v>123</v>
      </c>
      <c r="D19">
        <v>61</v>
      </c>
      <c r="E19">
        <v>18</v>
      </c>
    </row>
    <row r="20" spans="1:5">
      <c r="A20">
        <v>2882</v>
      </c>
      <c r="B20" t="s">
        <v>5241</v>
      </c>
      <c r="C20">
        <v>123</v>
      </c>
      <c r="D20">
        <v>39</v>
      </c>
      <c r="E20">
        <v>18</v>
      </c>
    </row>
    <row r="21" spans="1:5">
      <c r="A21">
        <v>2891</v>
      </c>
      <c r="B21" t="s">
        <v>5250</v>
      </c>
      <c r="C21">
        <v>122</v>
      </c>
      <c r="D21">
        <v>36</v>
      </c>
      <c r="E21">
        <v>20</v>
      </c>
    </row>
    <row r="22" spans="1:5">
      <c r="A22">
        <v>2890</v>
      </c>
      <c r="B22" t="s">
        <v>5249</v>
      </c>
      <c r="C22">
        <v>120</v>
      </c>
      <c r="D22">
        <v>44</v>
      </c>
      <c r="E22">
        <v>21</v>
      </c>
    </row>
    <row r="23" spans="1:5">
      <c r="A23">
        <v>6548</v>
      </c>
      <c r="B23" t="s">
        <v>5909</v>
      </c>
      <c r="C23">
        <v>120</v>
      </c>
      <c r="D23">
        <v>143</v>
      </c>
      <c r="E23">
        <v>21</v>
      </c>
    </row>
    <row r="24" spans="1:5">
      <c r="A24">
        <v>2884</v>
      </c>
      <c r="B24" t="s">
        <v>5243</v>
      </c>
      <c r="C24">
        <v>118</v>
      </c>
      <c r="D24">
        <v>36</v>
      </c>
      <c r="E24">
        <v>23</v>
      </c>
    </row>
    <row r="25" spans="1:5">
      <c r="A25">
        <v>2347</v>
      </c>
      <c r="B25" t="s">
        <v>5057</v>
      </c>
      <c r="C25">
        <v>117</v>
      </c>
      <c r="D25">
        <v>56</v>
      </c>
      <c r="E25">
        <v>24</v>
      </c>
    </row>
    <row r="26" spans="1:5">
      <c r="A26">
        <v>2385</v>
      </c>
      <c r="B26" t="s">
        <v>5084</v>
      </c>
      <c r="C26">
        <v>117</v>
      </c>
      <c r="D26">
        <v>68</v>
      </c>
      <c r="E26">
        <v>24</v>
      </c>
    </row>
    <row r="27" spans="1:5">
      <c r="A27">
        <v>3231</v>
      </c>
      <c r="B27" t="s">
        <v>5355</v>
      </c>
      <c r="C27">
        <v>116</v>
      </c>
      <c r="D27">
        <v>97</v>
      </c>
      <c r="E27">
        <v>26</v>
      </c>
    </row>
    <row r="28" spans="1:5">
      <c r="A28">
        <v>4938</v>
      </c>
      <c r="B28" t="s">
        <v>5621</v>
      </c>
      <c r="C28">
        <v>116</v>
      </c>
      <c r="D28">
        <v>78</v>
      </c>
      <c r="E28">
        <v>26</v>
      </c>
    </row>
    <row r="29" spans="1:5">
      <c r="A29">
        <v>2883</v>
      </c>
      <c r="B29" t="s">
        <v>5242</v>
      </c>
      <c r="C29">
        <v>115</v>
      </c>
      <c r="D29">
        <v>118</v>
      </c>
      <c r="E29">
        <v>28</v>
      </c>
    </row>
    <row r="30" spans="1:5">
      <c r="A30">
        <v>6217</v>
      </c>
      <c r="B30" t="s">
        <v>5819</v>
      </c>
      <c r="C30">
        <v>115</v>
      </c>
      <c r="D30">
        <v>111</v>
      </c>
      <c r="E30">
        <v>28</v>
      </c>
    </row>
    <row r="31" spans="1:5">
      <c r="A31">
        <v>2542</v>
      </c>
      <c r="B31" t="s">
        <v>6184</v>
      </c>
      <c r="C31">
        <v>114</v>
      </c>
      <c r="D31">
        <v>149</v>
      </c>
      <c r="E31">
        <v>30</v>
      </c>
    </row>
    <row r="32" spans="1:5">
      <c r="A32">
        <v>2885</v>
      </c>
      <c r="B32" t="s">
        <v>5244</v>
      </c>
      <c r="C32">
        <v>114</v>
      </c>
      <c r="D32">
        <v>75</v>
      </c>
      <c r="E32">
        <v>30</v>
      </c>
    </row>
    <row r="33" spans="1:5">
      <c r="A33">
        <v>3702</v>
      </c>
      <c r="B33" t="s">
        <v>5500</v>
      </c>
      <c r="C33">
        <v>113</v>
      </c>
      <c r="D33">
        <v>75</v>
      </c>
      <c r="E33">
        <v>32</v>
      </c>
    </row>
    <row r="34" spans="1:5">
      <c r="A34">
        <v>8155</v>
      </c>
      <c r="B34" t="s">
        <v>5997</v>
      </c>
      <c r="C34">
        <v>113</v>
      </c>
      <c r="D34">
        <v>106</v>
      </c>
      <c r="E34">
        <v>32</v>
      </c>
    </row>
    <row r="35" spans="1:5">
      <c r="A35">
        <v>2441</v>
      </c>
      <c r="B35" t="s">
        <v>5118</v>
      </c>
      <c r="C35">
        <v>112</v>
      </c>
      <c r="D35">
        <v>103</v>
      </c>
      <c r="E35">
        <v>34</v>
      </c>
    </row>
    <row r="36" spans="1:5">
      <c r="A36">
        <v>2353</v>
      </c>
      <c r="B36" t="s">
        <v>5061</v>
      </c>
      <c r="C36">
        <v>111</v>
      </c>
      <c r="D36">
        <v>79</v>
      </c>
      <c r="E36">
        <v>35</v>
      </c>
    </row>
    <row r="37" spans="1:5">
      <c r="A37">
        <v>2892</v>
      </c>
      <c r="B37" t="s">
        <v>5251</v>
      </c>
      <c r="C37">
        <v>111</v>
      </c>
      <c r="D37">
        <v>32</v>
      </c>
      <c r="E37">
        <v>35</v>
      </c>
    </row>
    <row r="38" spans="1:5">
      <c r="A38">
        <v>5425</v>
      </c>
      <c r="B38" t="s">
        <v>5690</v>
      </c>
      <c r="C38">
        <v>111</v>
      </c>
      <c r="D38">
        <v>103</v>
      </c>
      <c r="E38">
        <v>35</v>
      </c>
    </row>
    <row r="39" spans="1:5">
      <c r="A39">
        <v>2368</v>
      </c>
      <c r="B39" t="s">
        <v>5073</v>
      </c>
      <c r="C39">
        <v>110</v>
      </c>
      <c r="D39">
        <v>91</v>
      </c>
      <c r="E39">
        <v>38</v>
      </c>
    </row>
    <row r="40" spans="1:5">
      <c r="A40">
        <v>2801</v>
      </c>
      <c r="B40" t="s">
        <v>5223</v>
      </c>
      <c r="C40">
        <v>110</v>
      </c>
      <c r="D40">
        <v>36</v>
      </c>
      <c r="E40">
        <v>38</v>
      </c>
    </row>
    <row r="41" spans="1:5">
      <c r="A41">
        <v>2449</v>
      </c>
      <c r="B41" t="s">
        <v>5120</v>
      </c>
      <c r="C41">
        <v>109</v>
      </c>
      <c r="D41">
        <v>87</v>
      </c>
      <c r="E41">
        <v>40</v>
      </c>
    </row>
    <row r="42" spans="1:5">
      <c r="A42">
        <v>3661</v>
      </c>
      <c r="B42" t="s">
        <v>5483</v>
      </c>
      <c r="C42">
        <v>109</v>
      </c>
      <c r="D42">
        <v>99</v>
      </c>
      <c r="E42">
        <v>40</v>
      </c>
    </row>
    <row r="43" spans="1:5">
      <c r="A43">
        <v>5880</v>
      </c>
      <c r="B43" t="s">
        <v>5733</v>
      </c>
      <c r="C43">
        <v>109</v>
      </c>
      <c r="D43">
        <v>34</v>
      </c>
      <c r="E43">
        <v>40</v>
      </c>
    </row>
    <row r="44" spans="1:5">
      <c r="A44">
        <v>1402</v>
      </c>
      <c r="B44" t="s">
        <v>4830</v>
      </c>
      <c r="C44">
        <v>108</v>
      </c>
      <c r="D44">
        <v>34</v>
      </c>
      <c r="E44">
        <v>43</v>
      </c>
    </row>
    <row r="45" spans="1:5">
      <c r="A45">
        <v>3707</v>
      </c>
      <c r="B45" t="s">
        <v>5505</v>
      </c>
      <c r="C45">
        <v>107</v>
      </c>
      <c r="D45">
        <v>107</v>
      </c>
      <c r="E45">
        <v>44</v>
      </c>
    </row>
    <row r="46" spans="1:5">
      <c r="A46">
        <v>4919</v>
      </c>
      <c r="B46" t="s">
        <v>5616</v>
      </c>
      <c r="C46">
        <v>107</v>
      </c>
      <c r="D46">
        <v>110</v>
      </c>
      <c r="E46">
        <v>44</v>
      </c>
    </row>
    <row r="47" spans="1:5">
      <c r="A47">
        <v>5522</v>
      </c>
      <c r="B47" t="s">
        <v>5714</v>
      </c>
      <c r="C47">
        <v>107</v>
      </c>
      <c r="D47">
        <v>55</v>
      </c>
      <c r="E47">
        <v>44</v>
      </c>
    </row>
    <row r="48" spans="1:5">
      <c r="A48">
        <v>6271</v>
      </c>
      <c r="B48" t="s">
        <v>5848</v>
      </c>
      <c r="C48">
        <v>106</v>
      </c>
      <c r="D48">
        <v>89</v>
      </c>
      <c r="E48">
        <v>47</v>
      </c>
    </row>
    <row r="49" spans="1:5">
      <c r="A49">
        <v>3017</v>
      </c>
      <c r="B49" t="s">
        <v>5280</v>
      </c>
      <c r="C49">
        <v>105</v>
      </c>
      <c r="D49">
        <v>82</v>
      </c>
      <c r="E49">
        <v>48</v>
      </c>
    </row>
    <row r="50" spans="1:5">
      <c r="A50">
        <v>2458</v>
      </c>
      <c r="B50" t="s">
        <v>5127</v>
      </c>
      <c r="C50">
        <v>104</v>
      </c>
      <c r="D50">
        <v>96</v>
      </c>
      <c r="E50">
        <v>49</v>
      </c>
    </row>
    <row r="51" spans="1:5">
      <c r="A51">
        <v>2809</v>
      </c>
      <c r="B51" t="s">
        <v>5224</v>
      </c>
      <c r="C51">
        <v>104</v>
      </c>
      <c r="D51">
        <v>98</v>
      </c>
      <c r="E51">
        <v>49</v>
      </c>
    </row>
    <row r="52" spans="1:5">
      <c r="A52">
        <v>4927</v>
      </c>
      <c r="B52" t="s">
        <v>5617</v>
      </c>
      <c r="C52">
        <v>103</v>
      </c>
      <c r="D52">
        <v>78</v>
      </c>
      <c r="E52">
        <v>51</v>
      </c>
    </row>
    <row r="53" spans="1:5">
      <c r="A53">
        <v>2108</v>
      </c>
      <c r="B53" t="s">
        <v>5013</v>
      </c>
      <c r="C53">
        <v>102</v>
      </c>
      <c r="D53">
        <v>77</v>
      </c>
      <c r="E53">
        <v>52</v>
      </c>
    </row>
    <row r="54" spans="1:5">
      <c r="A54">
        <v>2330</v>
      </c>
      <c r="B54" t="s">
        <v>5048</v>
      </c>
      <c r="C54">
        <v>102</v>
      </c>
      <c r="D54">
        <v>95</v>
      </c>
      <c r="E54">
        <v>52</v>
      </c>
    </row>
    <row r="55" spans="1:5">
      <c r="A55">
        <v>2377</v>
      </c>
      <c r="B55" t="s">
        <v>5080</v>
      </c>
      <c r="C55">
        <v>102</v>
      </c>
      <c r="D55">
        <v>103</v>
      </c>
      <c r="E55">
        <v>52</v>
      </c>
    </row>
    <row r="56" spans="1:5">
      <c r="A56">
        <v>2408</v>
      </c>
      <c r="B56" t="s">
        <v>5097</v>
      </c>
      <c r="C56">
        <v>102</v>
      </c>
      <c r="D56">
        <v>67</v>
      </c>
      <c r="E56">
        <v>52</v>
      </c>
    </row>
    <row r="57" spans="1:5">
      <c r="A57">
        <v>3044</v>
      </c>
      <c r="B57" t="s">
        <v>5302</v>
      </c>
      <c r="C57">
        <v>102</v>
      </c>
      <c r="D57">
        <v>106</v>
      </c>
      <c r="E57">
        <v>52</v>
      </c>
    </row>
    <row r="58" spans="1:5">
      <c r="A58">
        <v>3491</v>
      </c>
      <c r="B58" t="s">
        <v>5423</v>
      </c>
      <c r="C58">
        <v>102</v>
      </c>
      <c r="D58">
        <v>85</v>
      </c>
      <c r="E58">
        <v>52</v>
      </c>
    </row>
    <row r="59" spans="1:5">
      <c r="A59">
        <v>6706</v>
      </c>
      <c r="B59" t="s">
        <v>5944</v>
      </c>
      <c r="C59">
        <v>102</v>
      </c>
      <c r="D59">
        <v>98</v>
      </c>
      <c r="E59">
        <v>52</v>
      </c>
    </row>
    <row r="60" spans="1:5">
      <c r="A60">
        <v>2337</v>
      </c>
      <c r="B60" t="s">
        <v>5051</v>
      </c>
      <c r="C60">
        <v>101</v>
      </c>
      <c r="D60">
        <v>71</v>
      </c>
      <c r="E60">
        <v>59</v>
      </c>
    </row>
    <row r="61" spans="1:5">
      <c r="A61">
        <v>3045</v>
      </c>
      <c r="B61" t="s">
        <v>5303</v>
      </c>
      <c r="C61">
        <v>101</v>
      </c>
      <c r="D61">
        <v>61</v>
      </c>
      <c r="E61">
        <v>59</v>
      </c>
    </row>
    <row r="62" spans="1:5">
      <c r="A62">
        <v>6176</v>
      </c>
      <c r="B62" t="s">
        <v>5790</v>
      </c>
      <c r="C62">
        <v>101</v>
      </c>
      <c r="D62">
        <v>76</v>
      </c>
      <c r="E62">
        <v>59</v>
      </c>
    </row>
    <row r="63" spans="1:5">
      <c r="A63">
        <v>8255</v>
      </c>
      <c r="B63" t="s">
        <v>6010</v>
      </c>
      <c r="C63">
        <v>101</v>
      </c>
      <c r="D63">
        <v>97</v>
      </c>
      <c r="E63">
        <v>59</v>
      </c>
    </row>
    <row r="64" spans="1:5">
      <c r="A64">
        <v>2376</v>
      </c>
      <c r="B64" t="s">
        <v>5079</v>
      </c>
      <c r="C64">
        <v>99</v>
      </c>
      <c r="D64">
        <v>90</v>
      </c>
      <c r="E64">
        <v>63</v>
      </c>
    </row>
    <row r="65" spans="1:5">
      <c r="A65">
        <v>2534</v>
      </c>
      <c r="B65" t="s">
        <v>5172</v>
      </c>
      <c r="C65">
        <v>99</v>
      </c>
      <c r="D65">
        <v>48</v>
      </c>
      <c r="E65">
        <v>63</v>
      </c>
    </row>
    <row r="66" spans="1:5">
      <c r="A66">
        <v>2912</v>
      </c>
      <c r="B66" t="s">
        <v>5261</v>
      </c>
      <c r="C66">
        <v>99</v>
      </c>
      <c r="D66">
        <v>67</v>
      </c>
      <c r="E66">
        <v>63</v>
      </c>
    </row>
    <row r="67" spans="1:5">
      <c r="A67">
        <v>3532</v>
      </c>
      <c r="B67" t="s">
        <v>5439</v>
      </c>
      <c r="C67">
        <v>99</v>
      </c>
      <c r="D67">
        <v>76</v>
      </c>
      <c r="E67">
        <v>63</v>
      </c>
    </row>
    <row r="68" spans="1:5">
      <c r="A68">
        <v>3653</v>
      </c>
      <c r="B68" t="s">
        <v>5482</v>
      </c>
      <c r="C68">
        <v>99</v>
      </c>
      <c r="D68">
        <v>72</v>
      </c>
      <c r="E68">
        <v>63</v>
      </c>
    </row>
    <row r="69" spans="1:5">
      <c r="A69">
        <v>1326</v>
      </c>
      <c r="B69" t="s">
        <v>4823</v>
      </c>
      <c r="C69">
        <v>98</v>
      </c>
      <c r="D69">
        <v>58</v>
      </c>
      <c r="E69">
        <v>68</v>
      </c>
    </row>
    <row r="70" spans="1:5">
      <c r="A70">
        <v>2002</v>
      </c>
      <c r="B70" t="s">
        <v>4977</v>
      </c>
      <c r="C70">
        <v>98</v>
      </c>
      <c r="D70">
        <v>75</v>
      </c>
      <c r="E70">
        <v>68</v>
      </c>
    </row>
    <row r="71" spans="1:5">
      <c r="A71">
        <v>2481</v>
      </c>
      <c r="B71" t="s">
        <v>5144</v>
      </c>
      <c r="C71">
        <v>98</v>
      </c>
      <c r="D71">
        <v>113</v>
      </c>
      <c r="E71">
        <v>68</v>
      </c>
    </row>
    <row r="72" spans="1:5">
      <c r="A72">
        <v>5876</v>
      </c>
      <c r="B72" t="s">
        <v>5732</v>
      </c>
      <c r="C72">
        <v>97</v>
      </c>
      <c r="D72">
        <v>30</v>
      </c>
      <c r="E72">
        <v>71</v>
      </c>
    </row>
    <row r="73" spans="1:5">
      <c r="A73">
        <v>6485</v>
      </c>
      <c r="B73" t="s">
        <v>5888</v>
      </c>
      <c r="C73">
        <v>97</v>
      </c>
      <c r="D73">
        <v>100</v>
      </c>
      <c r="E73">
        <v>71</v>
      </c>
    </row>
    <row r="74" spans="1:5">
      <c r="A74">
        <v>3443</v>
      </c>
      <c r="B74" t="s">
        <v>5412</v>
      </c>
      <c r="C74">
        <v>96</v>
      </c>
      <c r="D74">
        <v>95</v>
      </c>
      <c r="E74">
        <v>73</v>
      </c>
    </row>
    <row r="75" spans="1:5">
      <c r="A75">
        <v>3324</v>
      </c>
      <c r="B75" t="s">
        <v>5383</v>
      </c>
      <c r="C75">
        <v>95</v>
      </c>
      <c r="D75">
        <v>94</v>
      </c>
      <c r="E75">
        <v>74</v>
      </c>
    </row>
    <row r="76" spans="1:5">
      <c r="A76">
        <v>6138</v>
      </c>
      <c r="B76" t="s">
        <v>5765</v>
      </c>
      <c r="C76">
        <v>95</v>
      </c>
      <c r="D76">
        <v>115</v>
      </c>
      <c r="E76">
        <v>74</v>
      </c>
    </row>
    <row r="77" spans="1:5">
      <c r="A77">
        <v>9802</v>
      </c>
      <c r="B77" t="s">
        <v>6070</v>
      </c>
      <c r="C77">
        <v>95</v>
      </c>
      <c r="D77">
        <v>60</v>
      </c>
      <c r="E77">
        <v>74</v>
      </c>
    </row>
    <row r="78" spans="1:5">
      <c r="A78">
        <v>1216</v>
      </c>
      <c r="B78" t="s">
        <v>4787</v>
      </c>
      <c r="C78">
        <v>94</v>
      </c>
      <c r="D78">
        <v>92</v>
      </c>
      <c r="E78">
        <v>77</v>
      </c>
    </row>
    <row r="79" spans="1:5">
      <c r="A79">
        <v>2455</v>
      </c>
      <c r="B79" t="s">
        <v>5125</v>
      </c>
      <c r="C79">
        <v>93</v>
      </c>
      <c r="D79">
        <v>87</v>
      </c>
      <c r="E79">
        <v>78</v>
      </c>
    </row>
    <row r="80" spans="1:5">
      <c r="A80">
        <v>2404</v>
      </c>
      <c r="B80" t="s">
        <v>5095</v>
      </c>
      <c r="C80">
        <v>92</v>
      </c>
      <c r="D80">
        <v>85</v>
      </c>
      <c r="E80">
        <v>79</v>
      </c>
    </row>
    <row r="81" spans="1:5">
      <c r="A81">
        <v>3624</v>
      </c>
      <c r="B81" t="s">
        <v>5475</v>
      </c>
      <c r="C81">
        <v>92</v>
      </c>
      <c r="D81">
        <v>85</v>
      </c>
      <c r="E81">
        <v>79</v>
      </c>
    </row>
    <row r="82" spans="1:5">
      <c r="A82">
        <v>4739</v>
      </c>
      <c r="B82" t="s">
        <v>5598</v>
      </c>
      <c r="C82">
        <v>92</v>
      </c>
      <c r="D82">
        <v>109</v>
      </c>
      <c r="E82">
        <v>79</v>
      </c>
    </row>
    <row r="83" spans="1:5">
      <c r="A83">
        <v>6182</v>
      </c>
      <c r="B83" t="s">
        <v>5794</v>
      </c>
      <c r="C83">
        <v>92</v>
      </c>
      <c r="D83">
        <v>110</v>
      </c>
      <c r="E83">
        <v>79</v>
      </c>
    </row>
    <row r="84" spans="1:5">
      <c r="A84">
        <v>3037</v>
      </c>
      <c r="B84" t="s">
        <v>5297</v>
      </c>
      <c r="C84">
        <v>91</v>
      </c>
      <c r="D84">
        <v>65</v>
      </c>
      <c r="E84">
        <v>83</v>
      </c>
    </row>
    <row r="85" spans="1:5">
      <c r="A85">
        <v>3189</v>
      </c>
      <c r="B85" t="s">
        <v>5341</v>
      </c>
      <c r="C85">
        <v>91</v>
      </c>
      <c r="D85">
        <v>112</v>
      </c>
      <c r="E85">
        <v>83</v>
      </c>
    </row>
    <row r="86" spans="1:5">
      <c r="A86">
        <v>3264</v>
      </c>
      <c r="B86" t="s">
        <v>5362</v>
      </c>
      <c r="C86">
        <v>91</v>
      </c>
      <c r="D86">
        <v>91</v>
      </c>
      <c r="E86">
        <v>83</v>
      </c>
    </row>
    <row r="87" spans="1:5">
      <c r="A87">
        <v>6531</v>
      </c>
      <c r="B87" t="s">
        <v>5905</v>
      </c>
      <c r="C87">
        <v>91</v>
      </c>
      <c r="D87">
        <v>121</v>
      </c>
      <c r="E87">
        <v>83</v>
      </c>
    </row>
    <row r="88" spans="1:5">
      <c r="A88">
        <v>3675</v>
      </c>
      <c r="B88" t="s">
        <v>5490</v>
      </c>
      <c r="C88">
        <v>90</v>
      </c>
      <c r="D88">
        <v>90</v>
      </c>
      <c r="E88">
        <v>87</v>
      </c>
    </row>
    <row r="89" spans="1:5">
      <c r="A89">
        <v>8069</v>
      </c>
      <c r="B89" t="s">
        <v>5972</v>
      </c>
      <c r="C89">
        <v>90</v>
      </c>
      <c r="D89">
        <v>61</v>
      </c>
      <c r="E89">
        <v>87</v>
      </c>
    </row>
    <row r="90" spans="1:5">
      <c r="A90">
        <v>2395</v>
      </c>
      <c r="B90" t="s">
        <v>5090</v>
      </c>
      <c r="C90">
        <v>89</v>
      </c>
      <c r="D90">
        <v>31</v>
      </c>
      <c r="E90">
        <v>89</v>
      </c>
    </row>
    <row r="91" spans="1:5">
      <c r="A91">
        <v>2908</v>
      </c>
      <c r="B91" t="s">
        <v>5258</v>
      </c>
      <c r="C91">
        <v>89</v>
      </c>
      <c r="D91">
        <v>125</v>
      </c>
      <c r="E91">
        <v>89</v>
      </c>
    </row>
    <row r="92" spans="1:5">
      <c r="A92">
        <v>2936</v>
      </c>
      <c r="B92" t="s">
        <v>5267</v>
      </c>
      <c r="C92">
        <v>89</v>
      </c>
      <c r="D92">
        <v>3</v>
      </c>
      <c r="E92">
        <v>89</v>
      </c>
    </row>
    <row r="93" spans="1:5">
      <c r="A93">
        <v>3481</v>
      </c>
      <c r="B93" t="s">
        <v>5419</v>
      </c>
      <c r="C93">
        <v>89</v>
      </c>
      <c r="D93">
        <v>69</v>
      </c>
      <c r="E93">
        <v>89</v>
      </c>
    </row>
    <row r="94" spans="1:5">
      <c r="A94">
        <v>1434</v>
      </c>
      <c r="B94" t="s">
        <v>4838</v>
      </c>
      <c r="C94">
        <v>88</v>
      </c>
      <c r="D94">
        <v>89</v>
      </c>
      <c r="E94">
        <v>93</v>
      </c>
    </row>
    <row r="95" spans="1:5">
      <c r="A95">
        <v>2409</v>
      </c>
      <c r="B95" t="s">
        <v>5098</v>
      </c>
      <c r="C95">
        <v>88</v>
      </c>
      <c r="D95">
        <v>80</v>
      </c>
      <c r="E95">
        <v>93</v>
      </c>
    </row>
    <row r="96" spans="1:5">
      <c r="A96">
        <v>3006</v>
      </c>
      <c r="B96" t="s">
        <v>5273</v>
      </c>
      <c r="C96">
        <v>88</v>
      </c>
      <c r="D96">
        <v>93</v>
      </c>
      <c r="E96">
        <v>93</v>
      </c>
    </row>
    <row r="97" spans="1:5">
      <c r="A97">
        <v>3169</v>
      </c>
      <c r="B97" t="s">
        <v>5338</v>
      </c>
      <c r="C97">
        <v>88</v>
      </c>
      <c r="D97">
        <v>103</v>
      </c>
      <c r="E97">
        <v>93</v>
      </c>
    </row>
    <row r="98" spans="1:5">
      <c r="A98">
        <v>1708</v>
      </c>
      <c r="B98" t="s">
        <v>4928</v>
      </c>
      <c r="C98">
        <v>87</v>
      </c>
      <c r="D98">
        <v>97</v>
      </c>
      <c r="E98">
        <v>97</v>
      </c>
    </row>
    <row r="99" spans="1:5">
      <c r="A99">
        <v>2606</v>
      </c>
      <c r="B99" t="s">
        <v>5188</v>
      </c>
      <c r="C99">
        <v>87</v>
      </c>
      <c r="D99">
        <v>59</v>
      </c>
      <c r="E99">
        <v>97</v>
      </c>
    </row>
    <row r="100" spans="1:5">
      <c r="A100">
        <v>8070</v>
      </c>
      <c r="B100" t="s">
        <v>5973</v>
      </c>
      <c r="C100">
        <v>87</v>
      </c>
      <c r="D100">
        <v>88</v>
      </c>
      <c r="E100">
        <v>97</v>
      </c>
    </row>
    <row r="101" spans="1:5">
      <c r="A101">
        <v>1605</v>
      </c>
      <c r="B101" t="s">
        <v>4915</v>
      </c>
      <c r="C101">
        <v>86</v>
      </c>
      <c r="D101">
        <v>51</v>
      </c>
      <c r="E101">
        <v>100</v>
      </c>
    </row>
    <row r="102" spans="1:5">
      <c r="A102">
        <v>2436</v>
      </c>
      <c r="B102" t="s">
        <v>5116</v>
      </c>
      <c r="C102">
        <v>86</v>
      </c>
      <c r="D102">
        <v>111</v>
      </c>
      <c r="E102">
        <v>100</v>
      </c>
    </row>
    <row r="103" spans="1:5">
      <c r="A103">
        <v>3122</v>
      </c>
      <c r="B103" t="s">
        <v>5327</v>
      </c>
      <c r="C103">
        <v>86</v>
      </c>
      <c r="D103">
        <v>91</v>
      </c>
      <c r="E103">
        <v>100</v>
      </c>
    </row>
    <row r="104" spans="1:5">
      <c r="A104">
        <v>6278</v>
      </c>
      <c r="B104" t="s">
        <v>5853</v>
      </c>
      <c r="C104">
        <v>86</v>
      </c>
      <c r="D104">
        <v>87</v>
      </c>
      <c r="E104">
        <v>100</v>
      </c>
    </row>
    <row r="105" spans="1:5">
      <c r="A105">
        <v>2338</v>
      </c>
      <c r="B105" t="s">
        <v>5052</v>
      </c>
      <c r="C105">
        <v>85</v>
      </c>
      <c r="D105">
        <v>95</v>
      </c>
      <c r="E105">
        <v>104</v>
      </c>
    </row>
    <row r="106" spans="1:5">
      <c r="A106">
        <v>3232</v>
      </c>
      <c r="B106" t="s">
        <v>5356</v>
      </c>
      <c r="C106">
        <v>85</v>
      </c>
      <c r="D106">
        <v>59</v>
      </c>
      <c r="E106">
        <v>104</v>
      </c>
    </row>
    <row r="107" spans="1:5">
      <c r="A107">
        <v>3596</v>
      </c>
      <c r="B107" t="s">
        <v>5465</v>
      </c>
      <c r="C107">
        <v>85</v>
      </c>
      <c r="D107">
        <v>104</v>
      </c>
      <c r="E107">
        <v>104</v>
      </c>
    </row>
    <row r="108" spans="1:5">
      <c r="A108">
        <v>1722</v>
      </c>
      <c r="B108" t="s">
        <v>4939</v>
      </c>
      <c r="C108">
        <v>84</v>
      </c>
      <c r="D108">
        <v>37</v>
      </c>
      <c r="E108">
        <v>107</v>
      </c>
    </row>
    <row r="109" spans="1:5">
      <c r="A109">
        <v>2820</v>
      </c>
      <c r="B109" t="s">
        <v>5227</v>
      </c>
      <c r="C109">
        <v>84</v>
      </c>
      <c r="D109">
        <v>41</v>
      </c>
      <c r="E109">
        <v>107</v>
      </c>
    </row>
    <row r="110" spans="1:5">
      <c r="A110">
        <v>2834</v>
      </c>
      <c r="B110" t="s">
        <v>5229</v>
      </c>
      <c r="C110">
        <v>84</v>
      </c>
      <c r="D110">
        <v>73</v>
      </c>
      <c r="E110">
        <v>107</v>
      </c>
    </row>
    <row r="111" spans="1:5">
      <c r="A111">
        <v>1586</v>
      </c>
      <c r="B111" t="s">
        <v>4903</v>
      </c>
      <c r="C111">
        <v>83</v>
      </c>
      <c r="D111">
        <v>40</v>
      </c>
      <c r="E111">
        <v>110</v>
      </c>
    </row>
    <row r="112" spans="1:5">
      <c r="A112">
        <v>2014</v>
      </c>
      <c r="B112" t="s">
        <v>4985</v>
      </c>
      <c r="C112">
        <v>83</v>
      </c>
      <c r="D112">
        <v>70</v>
      </c>
      <c r="E112">
        <v>110</v>
      </c>
    </row>
    <row r="113" spans="1:5">
      <c r="A113">
        <v>2303</v>
      </c>
      <c r="B113" t="s">
        <v>5036</v>
      </c>
      <c r="C113">
        <v>83</v>
      </c>
      <c r="D113">
        <v>94</v>
      </c>
      <c r="E113">
        <v>110</v>
      </c>
    </row>
    <row r="114" spans="1:5">
      <c r="A114">
        <v>2603</v>
      </c>
      <c r="B114" t="s">
        <v>5186</v>
      </c>
      <c r="C114">
        <v>83</v>
      </c>
      <c r="D114">
        <v>76</v>
      </c>
      <c r="E114">
        <v>110</v>
      </c>
    </row>
    <row r="115" spans="1:5">
      <c r="A115">
        <v>3588</v>
      </c>
      <c r="B115" t="s">
        <v>5462</v>
      </c>
      <c r="C115">
        <v>83</v>
      </c>
      <c r="D115">
        <v>92</v>
      </c>
      <c r="E115">
        <v>110</v>
      </c>
    </row>
    <row r="116" spans="1:5">
      <c r="A116">
        <v>4966</v>
      </c>
      <c r="B116" t="s">
        <v>5632</v>
      </c>
      <c r="C116">
        <v>83</v>
      </c>
      <c r="D116">
        <v>77</v>
      </c>
      <c r="E116">
        <v>110</v>
      </c>
    </row>
    <row r="117" spans="1:5">
      <c r="A117">
        <v>5269</v>
      </c>
      <c r="B117" t="s">
        <v>5665</v>
      </c>
      <c r="C117">
        <v>83</v>
      </c>
      <c r="D117">
        <v>59</v>
      </c>
      <c r="E117">
        <v>110</v>
      </c>
    </row>
    <row r="118" spans="1:5">
      <c r="A118">
        <v>2351</v>
      </c>
      <c r="B118" t="s">
        <v>5059</v>
      </c>
      <c r="C118">
        <v>82</v>
      </c>
      <c r="D118">
        <v>94</v>
      </c>
      <c r="E118">
        <v>117</v>
      </c>
    </row>
    <row r="119" spans="1:5">
      <c r="A119">
        <v>2881</v>
      </c>
      <c r="B119" t="s">
        <v>5240</v>
      </c>
      <c r="C119">
        <v>82</v>
      </c>
      <c r="D119">
        <v>87</v>
      </c>
      <c r="E119">
        <v>117</v>
      </c>
    </row>
    <row r="120" spans="1:5">
      <c r="A120">
        <v>4958</v>
      </c>
      <c r="B120" t="s">
        <v>5629</v>
      </c>
      <c r="C120">
        <v>82</v>
      </c>
      <c r="D120">
        <v>63</v>
      </c>
      <c r="E120">
        <v>117</v>
      </c>
    </row>
    <row r="121" spans="1:5">
      <c r="A121">
        <v>5608</v>
      </c>
      <c r="B121" t="s">
        <v>5726</v>
      </c>
      <c r="C121">
        <v>82</v>
      </c>
      <c r="D121">
        <v>83</v>
      </c>
      <c r="E121">
        <v>117</v>
      </c>
    </row>
    <row r="122" spans="1:5">
      <c r="A122">
        <v>1301</v>
      </c>
      <c r="B122" t="s">
        <v>4805</v>
      </c>
      <c r="C122">
        <v>81</v>
      </c>
      <c r="D122">
        <v>45</v>
      </c>
      <c r="E122">
        <v>121</v>
      </c>
    </row>
    <row r="123" spans="1:5">
      <c r="A123">
        <v>3056</v>
      </c>
      <c r="B123" t="s">
        <v>5311</v>
      </c>
      <c r="C123">
        <v>80</v>
      </c>
      <c r="D123">
        <v>62</v>
      </c>
      <c r="E123">
        <v>122</v>
      </c>
    </row>
    <row r="124" spans="1:5">
      <c r="A124">
        <v>3711</v>
      </c>
      <c r="B124" t="s">
        <v>5507</v>
      </c>
      <c r="C124">
        <v>80</v>
      </c>
      <c r="D124">
        <v>75</v>
      </c>
      <c r="E124">
        <v>122</v>
      </c>
    </row>
    <row r="125" spans="1:5">
      <c r="A125">
        <v>5871</v>
      </c>
      <c r="B125" t="s">
        <v>5731</v>
      </c>
      <c r="C125">
        <v>80</v>
      </c>
      <c r="D125">
        <v>71</v>
      </c>
      <c r="E125">
        <v>122</v>
      </c>
    </row>
    <row r="126" spans="1:5">
      <c r="A126">
        <v>8016</v>
      </c>
      <c r="B126" t="s">
        <v>5956</v>
      </c>
      <c r="C126">
        <v>80</v>
      </c>
      <c r="D126">
        <v>75</v>
      </c>
      <c r="E126">
        <v>122</v>
      </c>
    </row>
    <row r="127" spans="1:5">
      <c r="A127">
        <v>2610</v>
      </c>
      <c r="B127" t="s">
        <v>5192</v>
      </c>
      <c r="C127">
        <v>79</v>
      </c>
      <c r="D127">
        <v>90</v>
      </c>
      <c r="E127">
        <v>126</v>
      </c>
    </row>
    <row r="128" spans="1:5">
      <c r="A128">
        <v>2636</v>
      </c>
      <c r="B128" t="s">
        <v>5203</v>
      </c>
      <c r="C128">
        <v>79</v>
      </c>
      <c r="D128">
        <v>78</v>
      </c>
      <c r="E128">
        <v>126</v>
      </c>
    </row>
    <row r="129" spans="1:5">
      <c r="A129">
        <v>3689</v>
      </c>
      <c r="B129" t="s">
        <v>5495</v>
      </c>
      <c r="C129">
        <v>79</v>
      </c>
      <c r="D129">
        <v>74</v>
      </c>
      <c r="E129">
        <v>126</v>
      </c>
    </row>
    <row r="130" spans="1:5">
      <c r="A130">
        <v>4721</v>
      </c>
      <c r="B130" t="s">
        <v>5592</v>
      </c>
      <c r="C130">
        <v>79</v>
      </c>
      <c r="D130">
        <v>93</v>
      </c>
      <c r="E130">
        <v>126</v>
      </c>
    </row>
    <row r="131" spans="1:5">
      <c r="A131">
        <v>6239</v>
      </c>
      <c r="B131" t="s">
        <v>5834</v>
      </c>
      <c r="C131">
        <v>79</v>
      </c>
      <c r="D131">
        <v>96</v>
      </c>
      <c r="E131">
        <v>126</v>
      </c>
    </row>
    <row r="132" spans="1:5">
      <c r="A132">
        <v>2340</v>
      </c>
      <c r="B132" t="s">
        <v>5053</v>
      </c>
      <c r="C132">
        <v>78</v>
      </c>
      <c r="D132">
        <v>80</v>
      </c>
      <c r="E132">
        <v>131</v>
      </c>
    </row>
    <row r="133" spans="1:5">
      <c r="A133">
        <v>2383</v>
      </c>
      <c r="B133" t="s">
        <v>5083</v>
      </c>
      <c r="C133">
        <v>78</v>
      </c>
      <c r="D133">
        <v>83</v>
      </c>
      <c r="E133">
        <v>131</v>
      </c>
    </row>
    <row r="134" spans="1:5">
      <c r="A134">
        <v>4114</v>
      </c>
      <c r="B134" t="s">
        <v>5517</v>
      </c>
      <c r="C134">
        <v>78</v>
      </c>
      <c r="D134">
        <v>52</v>
      </c>
      <c r="E134">
        <v>131</v>
      </c>
    </row>
    <row r="135" spans="1:5">
      <c r="A135">
        <v>5009</v>
      </c>
      <c r="B135" t="s">
        <v>5645</v>
      </c>
      <c r="C135">
        <v>78</v>
      </c>
      <c r="D135">
        <v>84</v>
      </c>
      <c r="E135">
        <v>131</v>
      </c>
    </row>
    <row r="136" spans="1:5">
      <c r="A136">
        <v>6147</v>
      </c>
      <c r="B136" t="s">
        <v>5771</v>
      </c>
      <c r="C136">
        <v>78</v>
      </c>
      <c r="D136">
        <v>95</v>
      </c>
      <c r="E136">
        <v>131</v>
      </c>
    </row>
    <row r="137" spans="1:5">
      <c r="A137">
        <v>6414</v>
      </c>
      <c r="B137" t="s">
        <v>5867</v>
      </c>
      <c r="C137">
        <v>78</v>
      </c>
      <c r="D137">
        <v>51</v>
      </c>
      <c r="E137">
        <v>131</v>
      </c>
    </row>
    <row r="138" spans="1:5">
      <c r="A138">
        <v>8112</v>
      </c>
      <c r="B138" t="s">
        <v>5992</v>
      </c>
      <c r="C138">
        <v>78</v>
      </c>
      <c r="D138">
        <v>59</v>
      </c>
      <c r="E138">
        <v>131</v>
      </c>
    </row>
    <row r="139" spans="1:5">
      <c r="A139">
        <v>1316</v>
      </c>
      <c r="B139" t="s">
        <v>4817</v>
      </c>
      <c r="C139">
        <v>77</v>
      </c>
      <c r="D139">
        <v>87</v>
      </c>
      <c r="E139">
        <v>138</v>
      </c>
    </row>
    <row r="140" spans="1:5">
      <c r="A140">
        <v>2308</v>
      </c>
      <c r="B140" t="s">
        <v>5038</v>
      </c>
      <c r="C140">
        <v>77</v>
      </c>
      <c r="D140">
        <v>81</v>
      </c>
      <c r="E140">
        <v>138</v>
      </c>
    </row>
    <row r="141" spans="1:5">
      <c r="A141">
        <v>3059</v>
      </c>
      <c r="B141" t="s">
        <v>5312</v>
      </c>
      <c r="C141">
        <v>77</v>
      </c>
      <c r="D141">
        <v>73</v>
      </c>
      <c r="E141">
        <v>138</v>
      </c>
    </row>
    <row r="142" spans="1:5">
      <c r="A142">
        <v>6196</v>
      </c>
      <c r="B142" t="s">
        <v>5805</v>
      </c>
      <c r="C142">
        <v>77</v>
      </c>
      <c r="D142">
        <v>64</v>
      </c>
      <c r="E142">
        <v>138</v>
      </c>
    </row>
    <row r="143" spans="1:5">
      <c r="A143">
        <v>6202</v>
      </c>
      <c r="B143" t="s">
        <v>5808</v>
      </c>
      <c r="C143">
        <v>77</v>
      </c>
      <c r="D143">
        <v>72</v>
      </c>
      <c r="E143">
        <v>138</v>
      </c>
    </row>
    <row r="144" spans="1:5">
      <c r="A144">
        <v>6443</v>
      </c>
      <c r="B144" t="s">
        <v>5877</v>
      </c>
      <c r="C144">
        <v>77</v>
      </c>
      <c r="D144">
        <v>82</v>
      </c>
      <c r="E144">
        <v>138</v>
      </c>
    </row>
    <row r="145" spans="1:5">
      <c r="A145">
        <v>9939</v>
      </c>
      <c r="B145" t="s">
        <v>6095</v>
      </c>
      <c r="C145">
        <v>77</v>
      </c>
      <c r="D145">
        <v>40</v>
      </c>
      <c r="E145">
        <v>138</v>
      </c>
    </row>
    <row r="146" spans="1:5">
      <c r="A146">
        <v>1732</v>
      </c>
      <c r="B146" t="s">
        <v>4945</v>
      </c>
      <c r="C146">
        <v>76</v>
      </c>
      <c r="D146">
        <v>79</v>
      </c>
      <c r="E146">
        <v>145</v>
      </c>
    </row>
    <row r="147" spans="1:5">
      <c r="A147">
        <v>2344</v>
      </c>
      <c r="B147" t="s">
        <v>5055</v>
      </c>
      <c r="C147">
        <v>76</v>
      </c>
      <c r="D147">
        <v>76</v>
      </c>
      <c r="E147">
        <v>145</v>
      </c>
    </row>
    <row r="148" spans="1:5">
      <c r="A148">
        <v>3062</v>
      </c>
      <c r="B148" t="s">
        <v>5314</v>
      </c>
      <c r="C148">
        <v>76</v>
      </c>
      <c r="D148">
        <v>72</v>
      </c>
      <c r="E148">
        <v>145</v>
      </c>
    </row>
    <row r="149" spans="1:5">
      <c r="A149">
        <v>3455</v>
      </c>
      <c r="B149" t="s">
        <v>5416</v>
      </c>
      <c r="C149">
        <v>76</v>
      </c>
      <c r="D149">
        <v>59</v>
      </c>
      <c r="E149">
        <v>145</v>
      </c>
    </row>
    <row r="150" spans="1:5">
      <c r="A150">
        <v>3527</v>
      </c>
      <c r="B150" t="s">
        <v>5435</v>
      </c>
      <c r="C150">
        <v>76</v>
      </c>
      <c r="D150">
        <v>86</v>
      </c>
      <c r="E150">
        <v>145</v>
      </c>
    </row>
    <row r="151" spans="1:5">
      <c r="A151">
        <v>1560</v>
      </c>
      <c r="B151" t="s">
        <v>4894</v>
      </c>
      <c r="C151">
        <v>75</v>
      </c>
      <c r="D151">
        <v>77</v>
      </c>
      <c r="E151">
        <v>150</v>
      </c>
    </row>
    <row r="152" spans="1:5">
      <c r="A152">
        <v>2313</v>
      </c>
      <c r="B152" t="s">
        <v>5040</v>
      </c>
      <c r="C152">
        <v>75</v>
      </c>
      <c r="D152">
        <v>64</v>
      </c>
      <c r="E152">
        <v>150</v>
      </c>
    </row>
    <row r="153" spans="1:5">
      <c r="A153">
        <v>8210</v>
      </c>
      <c r="B153" t="s">
        <v>6003</v>
      </c>
      <c r="C153">
        <v>75</v>
      </c>
      <c r="D153">
        <v>49</v>
      </c>
      <c r="E153">
        <v>150</v>
      </c>
    </row>
    <row r="154" spans="1:5">
      <c r="A154">
        <v>1727</v>
      </c>
      <c r="B154" t="s">
        <v>4942</v>
      </c>
      <c r="C154">
        <v>74</v>
      </c>
      <c r="D154">
        <v>77</v>
      </c>
      <c r="E154">
        <v>153</v>
      </c>
    </row>
    <row r="155" spans="1:5">
      <c r="A155">
        <v>1795</v>
      </c>
      <c r="B155" t="s">
        <v>4963</v>
      </c>
      <c r="C155">
        <v>74</v>
      </c>
      <c r="D155">
        <v>84</v>
      </c>
      <c r="E155">
        <v>153</v>
      </c>
    </row>
    <row r="156" spans="1:5">
      <c r="A156">
        <v>2342</v>
      </c>
      <c r="B156" t="s">
        <v>5054</v>
      </c>
      <c r="C156">
        <v>74</v>
      </c>
      <c r="D156">
        <v>73</v>
      </c>
      <c r="E156">
        <v>153</v>
      </c>
    </row>
    <row r="157" spans="1:5">
      <c r="A157">
        <v>2379</v>
      </c>
      <c r="B157" t="s">
        <v>5081</v>
      </c>
      <c r="C157">
        <v>74</v>
      </c>
      <c r="D157">
        <v>101</v>
      </c>
      <c r="E157">
        <v>153</v>
      </c>
    </row>
    <row r="158" spans="1:5">
      <c r="A158">
        <v>2476</v>
      </c>
      <c r="B158" t="s">
        <v>5140</v>
      </c>
      <c r="C158">
        <v>74</v>
      </c>
      <c r="D158">
        <v>85</v>
      </c>
      <c r="E158">
        <v>153</v>
      </c>
    </row>
    <row r="159" spans="1:5">
      <c r="A159">
        <v>2497</v>
      </c>
      <c r="B159" t="s">
        <v>5157</v>
      </c>
      <c r="C159">
        <v>74</v>
      </c>
      <c r="D159">
        <v>67</v>
      </c>
      <c r="E159">
        <v>153</v>
      </c>
    </row>
    <row r="160" spans="1:5">
      <c r="A160">
        <v>2915</v>
      </c>
      <c r="B160" t="s">
        <v>5263</v>
      </c>
      <c r="C160">
        <v>74</v>
      </c>
      <c r="D160">
        <v>105</v>
      </c>
      <c r="E160">
        <v>153</v>
      </c>
    </row>
    <row r="161" spans="1:5">
      <c r="A161">
        <v>3041</v>
      </c>
      <c r="B161" t="s">
        <v>5300</v>
      </c>
      <c r="C161">
        <v>74</v>
      </c>
      <c r="D161">
        <v>70</v>
      </c>
      <c r="E161">
        <v>153</v>
      </c>
    </row>
    <row r="162" spans="1:5">
      <c r="A162">
        <v>3317</v>
      </c>
      <c r="B162" t="s">
        <v>5381</v>
      </c>
      <c r="C162">
        <v>74</v>
      </c>
      <c r="D162">
        <v>75</v>
      </c>
      <c r="E162">
        <v>153</v>
      </c>
    </row>
    <row r="163" spans="1:5">
      <c r="A163">
        <v>6509</v>
      </c>
      <c r="B163" t="s">
        <v>5898</v>
      </c>
      <c r="C163">
        <v>74</v>
      </c>
      <c r="D163">
        <v>81</v>
      </c>
      <c r="E163">
        <v>153</v>
      </c>
    </row>
    <row r="164" spans="1:5">
      <c r="A164">
        <v>8261</v>
      </c>
      <c r="B164" t="s">
        <v>6011</v>
      </c>
      <c r="C164">
        <v>74</v>
      </c>
      <c r="D164">
        <v>100</v>
      </c>
      <c r="E164">
        <v>153</v>
      </c>
    </row>
    <row r="165" spans="1:5">
      <c r="A165">
        <v>2208</v>
      </c>
      <c r="B165" t="s">
        <v>5021</v>
      </c>
      <c r="C165">
        <v>73</v>
      </c>
      <c r="D165">
        <v>56</v>
      </c>
      <c r="E165">
        <v>164</v>
      </c>
    </row>
    <row r="166" spans="1:5">
      <c r="A166">
        <v>2369</v>
      </c>
      <c r="B166" t="s">
        <v>5074</v>
      </c>
      <c r="C166">
        <v>73</v>
      </c>
      <c r="D166">
        <v>84</v>
      </c>
      <c r="E166">
        <v>164</v>
      </c>
    </row>
    <row r="167" spans="1:5">
      <c r="A167">
        <v>2618</v>
      </c>
      <c r="B167" t="s">
        <v>5200</v>
      </c>
      <c r="C167">
        <v>73</v>
      </c>
      <c r="D167">
        <v>75</v>
      </c>
      <c r="E167">
        <v>164</v>
      </c>
    </row>
    <row r="168" spans="1:5">
      <c r="A168">
        <v>2637</v>
      </c>
      <c r="B168" t="s">
        <v>5204</v>
      </c>
      <c r="C168">
        <v>73</v>
      </c>
      <c r="D168">
        <v>50</v>
      </c>
      <c r="E168">
        <v>164</v>
      </c>
    </row>
    <row r="169" spans="1:5">
      <c r="A169">
        <v>3529</v>
      </c>
      <c r="B169" t="s">
        <v>5437</v>
      </c>
      <c r="C169">
        <v>73</v>
      </c>
      <c r="D169">
        <v>82</v>
      </c>
      <c r="E169">
        <v>164</v>
      </c>
    </row>
    <row r="170" spans="1:5">
      <c r="A170">
        <v>4961</v>
      </c>
      <c r="B170" t="s">
        <v>5631</v>
      </c>
      <c r="C170">
        <v>73</v>
      </c>
      <c r="D170">
        <v>81</v>
      </c>
      <c r="E170">
        <v>164</v>
      </c>
    </row>
    <row r="171" spans="1:5">
      <c r="A171">
        <v>6180</v>
      </c>
      <c r="B171" t="s">
        <v>5793</v>
      </c>
      <c r="C171">
        <v>73</v>
      </c>
      <c r="D171">
        <v>43</v>
      </c>
      <c r="E171">
        <v>164</v>
      </c>
    </row>
    <row r="172" spans="1:5">
      <c r="A172">
        <v>6223</v>
      </c>
      <c r="B172" t="s">
        <v>5823</v>
      </c>
      <c r="C172">
        <v>73</v>
      </c>
      <c r="D172">
        <v>106</v>
      </c>
      <c r="E172">
        <v>164</v>
      </c>
    </row>
    <row r="173" spans="1:5">
      <c r="A173">
        <v>6477</v>
      </c>
      <c r="B173" t="s">
        <v>5887</v>
      </c>
      <c r="C173">
        <v>73</v>
      </c>
      <c r="D173">
        <v>93</v>
      </c>
      <c r="E173">
        <v>164</v>
      </c>
    </row>
    <row r="174" spans="1:5">
      <c r="A174">
        <v>6488</v>
      </c>
      <c r="B174" t="s">
        <v>5890</v>
      </c>
      <c r="C174">
        <v>73</v>
      </c>
      <c r="D174">
        <v>99</v>
      </c>
      <c r="E174">
        <v>164</v>
      </c>
    </row>
    <row r="175" spans="1:5">
      <c r="A175">
        <v>6669</v>
      </c>
      <c r="B175" t="s">
        <v>5937</v>
      </c>
      <c r="C175">
        <v>73</v>
      </c>
      <c r="D175">
        <v>65</v>
      </c>
      <c r="E175">
        <v>164</v>
      </c>
    </row>
    <row r="176" spans="1:5">
      <c r="A176">
        <v>6732</v>
      </c>
      <c r="B176" t="s">
        <v>5946</v>
      </c>
      <c r="C176">
        <v>73</v>
      </c>
      <c r="D176">
        <v>61</v>
      </c>
      <c r="E176">
        <v>164</v>
      </c>
    </row>
    <row r="177" spans="1:5">
      <c r="A177">
        <v>6756</v>
      </c>
      <c r="B177" t="s">
        <v>5950</v>
      </c>
      <c r="C177">
        <v>73</v>
      </c>
      <c r="D177">
        <v>64</v>
      </c>
      <c r="E177">
        <v>164</v>
      </c>
    </row>
    <row r="178" spans="1:5">
      <c r="A178">
        <v>8044</v>
      </c>
      <c r="B178" t="s">
        <v>5965</v>
      </c>
      <c r="C178">
        <v>73</v>
      </c>
      <c r="D178">
        <v>76</v>
      </c>
      <c r="E178">
        <v>164</v>
      </c>
    </row>
    <row r="179" spans="1:5">
      <c r="A179">
        <v>1612</v>
      </c>
      <c r="B179" t="s">
        <v>4919</v>
      </c>
      <c r="C179">
        <v>72</v>
      </c>
      <c r="D179">
        <v>57</v>
      </c>
      <c r="E179">
        <v>178</v>
      </c>
    </row>
    <row r="180" spans="1:5">
      <c r="A180">
        <v>2486</v>
      </c>
      <c r="B180" t="s">
        <v>5149</v>
      </c>
      <c r="C180">
        <v>72</v>
      </c>
      <c r="D180">
        <v>92</v>
      </c>
      <c r="E180">
        <v>178</v>
      </c>
    </row>
    <row r="181" spans="1:5">
      <c r="A181">
        <v>3230</v>
      </c>
      <c r="B181" t="s">
        <v>5354</v>
      </c>
      <c r="C181">
        <v>72</v>
      </c>
      <c r="D181">
        <v>28</v>
      </c>
      <c r="E181">
        <v>178</v>
      </c>
    </row>
    <row r="182" spans="1:5">
      <c r="A182">
        <v>3533</v>
      </c>
      <c r="B182" t="s">
        <v>5440</v>
      </c>
      <c r="C182">
        <v>72</v>
      </c>
      <c r="D182">
        <v>69</v>
      </c>
      <c r="E182">
        <v>178</v>
      </c>
    </row>
    <row r="183" spans="1:5">
      <c r="A183">
        <v>4967</v>
      </c>
      <c r="B183" t="s">
        <v>5633</v>
      </c>
      <c r="C183">
        <v>72</v>
      </c>
      <c r="D183">
        <v>93</v>
      </c>
      <c r="E183">
        <v>178</v>
      </c>
    </row>
    <row r="184" spans="1:5">
      <c r="A184">
        <v>5351</v>
      </c>
      <c r="B184" t="s">
        <v>5681</v>
      </c>
      <c r="C184">
        <v>72</v>
      </c>
      <c r="D184">
        <v>93</v>
      </c>
      <c r="E184">
        <v>178</v>
      </c>
    </row>
    <row r="185" spans="1:5">
      <c r="A185">
        <v>6187</v>
      </c>
      <c r="B185" t="s">
        <v>5799</v>
      </c>
      <c r="C185">
        <v>72</v>
      </c>
      <c r="D185">
        <v>104</v>
      </c>
      <c r="E185">
        <v>178</v>
      </c>
    </row>
    <row r="186" spans="1:5">
      <c r="A186">
        <v>6494</v>
      </c>
      <c r="B186" t="s">
        <v>5892</v>
      </c>
      <c r="C186">
        <v>72</v>
      </c>
      <c r="D186">
        <v>65</v>
      </c>
      <c r="E186">
        <v>178</v>
      </c>
    </row>
    <row r="187" spans="1:5">
      <c r="A187">
        <v>6679</v>
      </c>
      <c r="B187" t="s">
        <v>5942</v>
      </c>
      <c r="C187">
        <v>72</v>
      </c>
      <c r="D187">
        <v>88</v>
      </c>
      <c r="E187">
        <v>178</v>
      </c>
    </row>
    <row r="188" spans="1:5">
      <c r="A188">
        <v>8103</v>
      </c>
      <c r="B188" t="s">
        <v>5986</v>
      </c>
      <c r="C188">
        <v>72</v>
      </c>
      <c r="D188">
        <v>76</v>
      </c>
      <c r="E188">
        <v>178</v>
      </c>
    </row>
    <row r="189" spans="1:5">
      <c r="A189">
        <v>2317</v>
      </c>
      <c r="B189" t="s">
        <v>5042</v>
      </c>
      <c r="C189">
        <v>71</v>
      </c>
      <c r="D189">
        <v>91</v>
      </c>
      <c r="E189">
        <v>188</v>
      </c>
    </row>
    <row r="190" spans="1:5">
      <c r="A190">
        <v>2498</v>
      </c>
      <c r="B190" t="s">
        <v>5158</v>
      </c>
      <c r="C190">
        <v>71</v>
      </c>
      <c r="D190">
        <v>67</v>
      </c>
      <c r="E190">
        <v>188</v>
      </c>
    </row>
    <row r="191" spans="1:5">
      <c r="A191">
        <v>3034</v>
      </c>
      <c r="B191" t="s">
        <v>5294</v>
      </c>
      <c r="C191">
        <v>71</v>
      </c>
      <c r="D191">
        <v>92</v>
      </c>
      <c r="E191">
        <v>188</v>
      </c>
    </row>
    <row r="192" spans="1:5">
      <c r="A192">
        <v>3545</v>
      </c>
      <c r="B192" t="s">
        <v>5446</v>
      </c>
      <c r="C192">
        <v>71</v>
      </c>
      <c r="D192">
        <v>78</v>
      </c>
      <c r="E192">
        <v>188</v>
      </c>
    </row>
    <row r="193" spans="1:5">
      <c r="A193">
        <v>4956</v>
      </c>
      <c r="B193" t="s">
        <v>5628</v>
      </c>
      <c r="C193">
        <v>71</v>
      </c>
      <c r="D193">
        <v>47</v>
      </c>
      <c r="E193">
        <v>188</v>
      </c>
    </row>
    <row r="194" spans="1:5">
      <c r="A194">
        <v>5321</v>
      </c>
      <c r="B194" t="s">
        <v>5678</v>
      </c>
      <c r="C194">
        <v>71</v>
      </c>
      <c r="D194">
        <v>67</v>
      </c>
      <c r="E194">
        <v>188</v>
      </c>
    </row>
    <row r="195" spans="1:5">
      <c r="A195">
        <v>6230</v>
      </c>
      <c r="B195" t="s">
        <v>5828</v>
      </c>
      <c r="C195">
        <v>71</v>
      </c>
      <c r="D195">
        <v>15</v>
      </c>
      <c r="E195">
        <v>188</v>
      </c>
    </row>
    <row r="196" spans="1:5">
      <c r="A196">
        <v>1711</v>
      </c>
      <c r="B196" t="s">
        <v>4931</v>
      </c>
      <c r="C196">
        <v>70</v>
      </c>
      <c r="D196">
        <v>85</v>
      </c>
      <c r="E196">
        <v>195</v>
      </c>
    </row>
    <row r="197" spans="1:5">
      <c r="A197">
        <v>2323</v>
      </c>
      <c r="B197" t="s">
        <v>5043</v>
      </c>
      <c r="C197">
        <v>70</v>
      </c>
      <c r="D197">
        <v>59</v>
      </c>
      <c r="E197">
        <v>195</v>
      </c>
    </row>
    <row r="198" spans="1:5">
      <c r="A198">
        <v>2345</v>
      </c>
      <c r="B198" t="s">
        <v>5056</v>
      </c>
      <c r="C198">
        <v>70</v>
      </c>
      <c r="D198">
        <v>71</v>
      </c>
      <c r="E198">
        <v>195</v>
      </c>
    </row>
    <row r="199" spans="1:5">
      <c r="A199">
        <v>3023</v>
      </c>
      <c r="B199" t="s">
        <v>5284</v>
      </c>
      <c r="C199">
        <v>70</v>
      </c>
      <c r="D199">
        <v>67</v>
      </c>
      <c r="E199">
        <v>195</v>
      </c>
    </row>
    <row r="200" spans="1:5">
      <c r="A200">
        <v>3257</v>
      </c>
      <c r="B200" t="s">
        <v>5360</v>
      </c>
      <c r="C200">
        <v>70</v>
      </c>
      <c r="D200">
        <v>79</v>
      </c>
      <c r="E200">
        <v>195</v>
      </c>
    </row>
    <row r="201" spans="1:5">
      <c r="A201">
        <v>3714</v>
      </c>
      <c r="B201" t="s">
        <v>5509</v>
      </c>
      <c r="C201">
        <v>69</v>
      </c>
      <c r="D201">
        <v>77</v>
      </c>
      <c r="E201">
        <v>200</v>
      </c>
    </row>
    <row r="202" spans="1:5">
      <c r="A202">
        <v>6177</v>
      </c>
      <c r="B202" t="s">
        <v>5791</v>
      </c>
      <c r="C202">
        <v>69</v>
      </c>
      <c r="D202">
        <v>34</v>
      </c>
      <c r="E202">
        <v>200</v>
      </c>
    </row>
    <row r="203" spans="1:5">
      <c r="A203">
        <v>6269</v>
      </c>
      <c r="B203" t="s">
        <v>5846</v>
      </c>
      <c r="C203">
        <v>69</v>
      </c>
      <c r="D203">
        <v>109</v>
      </c>
      <c r="E203">
        <v>200</v>
      </c>
    </row>
    <row r="204" spans="1:5">
      <c r="A204">
        <v>6409</v>
      </c>
      <c r="B204" t="s">
        <v>5864</v>
      </c>
      <c r="C204">
        <v>69</v>
      </c>
      <c r="D204">
        <v>28</v>
      </c>
      <c r="E204">
        <v>200</v>
      </c>
    </row>
    <row r="205" spans="1:5">
      <c r="A205">
        <v>6510</v>
      </c>
      <c r="B205" t="s">
        <v>5899</v>
      </c>
      <c r="C205">
        <v>69</v>
      </c>
      <c r="D205">
        <v>61</v>
      </c>
      <c r="E205">
        <v>200</v>
      </c>
    </row>
    <row r="206" spans="1:5">
      <c r="A206">
        <v>8046</v>
      </c>
      <c r="B206" t="s">
        <v>5966</v>
      </c>
      <c r="C206">
        <v>69</v>
      </c>
      <c r="D206">
        <v>56</v>
      </c>
      <c r="E206">
        <v>200</v>
      </c>
    </row>
    <row r="207" spans="1:5">
      <c r="A207">
        <v>9933</v>
      </c>
      <c r="B207" t="s">
        <v>6090</v>
      </c>
      <c r="C207">
        <v>69</v>
      </c>
      <c r="D207">
        <v>49</v>
      </c>
      <c r="E207">
        <v>200</v>
      </c>
    </row>
    <row r="208" spans="1:5">
      <c r="A208">
        <v>1815</v>
      </c>
      <c r="B208" t="s">
        <v>4969</v>
      </c>
      <c r="C208">
        <v>68</v>
      </c>
      <c r="D208">
        <v>48</v>
      </c>
      <c r="E208">
        <v>207</v>
      </c>
    </row>
    <row r="209" spans="1:5">
      <c r="A209">
        <v>2030</v>
      </c>
      <c r="B209" t="s">
        <v>4994</v>
      </c>
      <c r="C209">
        <v>68</v>
      </c>
      <c r="D209">
        <v>76</v>
      </c>
      <c r="E209">
        <v>207</v>
      </c>
    </row>
    <row r="210" spans="1:5">
      <c r="A210">
        <v>2371</v>
      </c>
      <c r="B210" t="s">
        <v>5075</v>
      </c>
      <c r="C210">
        <v>68</v>
      </c>
      <c r="D210">
        <v>59</v>
      </c>
      <c r="E210">
        <v>207</v>
      </c>
    </row>
    <row r="211" spans="1:5">
      <c r="A211">
        <v>2374</v>
      </c>
      <c r="B211" t="s">
        <v>5077</v>
      </c>
      <c r="C211">
        <v>68</v>
      </c>
      <c r="D211">
        <v>75</v>
      </c>
      <c r="E211">
        <v>207</v>
      </c>
    </row>
    <row r="212" spans="1:5">
      <c r="A212">
        <v>3014</v>
      </c>
      <c r="B212" t="s">
        <v>5277</v>
      </c>
      <c r="C212">
        <v>68</v>
      </c>
      <c r="D212">
        <v>84</v>
      </c>
      <c r="E212">
        <v>207</v>
      </c>
    </row>
    <row r="213" spans="1:5">
      <c r="A213">
        <v>3665</v>
      </c>
      <c r="B213" t="s">
        <v>5485</v>
      </c>
      <c r="C213">
        <v>68</v>
      </c>
      <c r="D213">
        <v>79</v>
      </c>
      <c r="E213">
        <v>207</v>
      </c>
    </row>
    <row r="214" spans="1:5">
      <c r="A214">
        <v>6438</v>
      </c>
      <c r="B214" t="s">
        <v>5874</v>
      </c>
      <c r="C214">
        <v>68</v>
      </c>
      <c r="D214">
        <v>90</v>
      </c>
      <c r="E214">
        <v>207</v>
      </c>
    </row>
    <row r="215" spans="1:5">
      <c r="A215">
        <v>6457</v>
      </c>
      <c r="B215" t="s">
        <v>5881</v>
      </c>
      <c r="C215">
        <v>68</v>
      </c>
      <c r="D215">
        <v>88</v>
      </c>
      <c r="E215">
        <v>207</v>
      </c>
    </row>
    <row r="216" spans="1:5">
      <c r="A216">
        <v>8183</v>
      </c>
      <c r="B216" t="s">
        <v>6001</v>
      </c>
      <c r="C216">
        <v>68</v>
      </c>
      <c r="D216">
        <v>65</v>
      </c>
      <c r="E216">
        <v>207</v>
      </c>
    </row>
    <row r="217" spans="1:5">
      <c r="A217">
        <v>9910</v>
      </c>
      <c r="B217" t="s">
        <v>6077</v>
      </c>
      <c r="C217">
        <v>68</v>
      </c>
      <c r="D217">
        <v>51</v>
      </c>
      <c r="E217">
        <v>207</v>
      </c>
    </row>
    <row r="218" spans="1:5">
      <c r="A218">
        <v>1710</v>
      </c>
      <c r="B218" t="s">
        <v>4930</v>
      </c>
      <c r="C218">
        <v>67</v>
      </c>
      <c r="D218">
        <v>64</v>
      </c>
      <c r="E218">
        <v>217</v>
      </c>
    </row>
    <row r="219" spans="1:5">
      <c r="A219">
        <v>2038</v>
      </c>
      <c r="B219" t="s">
        <v>5000</v>
      </c>
      <c r="C219">
        <v>67</v>
      </c>
      <c r="D219">
        <v>65</v>
      </c>
      <c r="E219">
        <v>217</v>
      </c>
    </row>
    <row r="220" spans="1:5">
      <c r="A220">
        <v>2615</v>
      </c>
      <c r="B220" t="s">
        <v>5197</v>
      </c>
      <c r="C220">
        <v>67</v>
      </c>
      <c r="D220">
        <v>42</v>
      </c>
      <c r="E220">
        <v>217</v>
      </c>
    </row>
    <row r="221" spans="1:5">
      <c r="A221">
        <v>2888</v>
      </c>
      <c r="B221" t="s">
        <v>5247</v>
      </c>
      <c r="C221">
        <v>67</v>
      </c>
      <c r="D221">
        <v>110</v>
      </c>
      <c r="E221">
        <v>217</v>
      </c>
    </row>
    <row r="222" spans="1:5">
      <c r="A222">
        <v>3703</v>
      </c>
      <c r="B222" t="s">
        <v>5501</v>
      </c>
      <c r="C222">
        <v>67</v>
      </c>
      <c r="D222">
        <v>38</v>
      </c>
      <c r="E222">
        <v>217</v>
      </c>
    </row>
    <row r="223" spans="1:5">
      <c r="A223">
        <v>6405</v>
      </c>
      <c r="B223" t="s">
        <v>5863</v>
      </c>
      <c r="C223">
        <v>67</v>
      </c>
      <c r="D223">
        <v>35</v>
      </c>
      <c r="E223">
        <v>217</v>
      </c>
    </row>
    <row r="224" spans="1:5">
      <c r="A224">
        <v>8299</v>
      </c>
      <c r="B224" t="s">
        <v>6015</v>
      </c>
      <c r="C224">
        <v>67</v>
      </c>
      <c r="D224">
        <v>95</v>
      </c>
      <c r="E224">
        <v>217</v>
      </c>
    </row>
    <row r="225" spans="1:5">
      <c r="A225">
        <v>2838</v>
      </c>
      <c r="B225" t="s">
        <v>5231</v>
      </c>
      <c r="C225">
        <v>66</v>
      </c>
      <c r="D225">
        <v>25</v>
      </c>
      <c r="E225">
        <v>224</v>
      </c>
    </row>
    <row r="226" spans="1:5">
      <c r="A226">
        <v>3033</v>
      </c>
      <c r="B226" t="s">
        <v>5293</v>
      </c>
      <c r="C226">
        <v>66</v>
      </c>
      <c r="D226">
        <v>106</v>
      </c>
      <c r="E226">
        <v>224</v>
      </c>
    </row>
    <row r="227" spans="1:5">
      <c r="A227">
        <v>3305</v>
      </c>
      <c r="B227" t="s">
        <v>5376</v>
      </c>
      <c r="C227">
        <v>66</v>
      </c>
      <c r="D227">
        <v>92</v>
      </c>
      <c r="E227">
        <v>224</v>
      </c>
    </row>
    <row r="228" spans="1:5">
      <c r="A228">
        <v>3706</v>
      </c>
      <c r="B228" t="s">
        <v>5504</v>
      </c>
      <c r="C228">
        <v>66</v>
      </c>
      <c r="D228">
        <v>50</v>
      </c>
      <c r="E228">
        <v>224</v>
      </c>
    </row>
    <row r="229" spans="1:5">
      <c r="A229">
        <v>4979</v>
      </c>
      <c r="B229" t="s">
        <v>5640</v>
      </c>
      <c r="C229">
        <v>66</v>
      </c>
      <c r="D229">
        <v>26</v>
      </c>
      <c r="E229">
        <v>224</v>
      </c>
    </row>
    <row r="230" spans="1:5">
      <c r="A230">
        <v>5483</v>
      </c>
      <c r="B230" t="s">
        <v>5706</v>
      </c>
      <c r="C230">
        <v>66</v>
      </c>
      <c r="D230">
        <v>78</v>
      </c>
      <c r="E230">
        <v>224</v>
      </c>
    </row>
    <row r="231" spans="1:5">
      <c r="A231">
        <v>6205</v>
      </c>
      <c r="B231" t="s">
        <v>5810</v>
      </c>
      <c r="C231">
        <v>66</v>
      </c>
      <c r="D231">
        <v>57</v>
      </c>
      <c r="E231">
        <v>224</v>
      </c>
    </row>
    <row r="232" spans="1:5">
      <c r="A232">
        <v>9944</v>
      </c>
      <c r="B232" t="s">
        <v>6100</v>
      </c>
      <c r="C232">
        <v>66</v>
      </c>
      <c r="D232">
        <v>68</v>
      </c>
      <c r="E232">
        <v>224</v>
      </c>
    </row>
    <row r="233" spans="1:5">
      <c r="A233">
        <v>2897</v>
      </c>
      <c r="B233" t="s">
        <v>5252</v>
      </c>
      <c r="C233">
        <v>65</v>
      </c>
      <c r="D233">
        <v>52</v>
      </c>
      <c r="E233">
        <v>232</v>
      </c>
    </row>
    <row r="234" spans="1:5">
      <c r="A234">
        <v>3036</v>
      </c>
      <c r="B234" t="s">
        <v>5296</v>
      </c>
      <c r="C234">
        <v>65</v>
      </c>
      <c r="D234">
        <v>69</v>
      </c>
      <c r="E234">
        <v>232</v>
      </c>
    </row>
    <row r="235" spans="1:5">
      <c r="A235">
        <v>4128</v>
      </c>
      <c r="B235" t="s">
        <v>5524</v>
      </c>
      <c r="C235">
        <v>65</v>
      </c>
      <c r="D235">
        <v>54</v>
      </c>
      <c r="E235">
        <v>232</v>
      </c>
    </row>
    <row r="236" spans="1:5">
      <c r="A236">
        <v>6251</v>
      </c>
      <c r="B236" t="s">
        <v>5840</v>
      </c>
      <c r="C236">
        <v>65</v>
      </c>
      <c r="D236">
        <v>100</v>
      </c>
      <c r="E236">
        <v>232</v>
      </c>
    </row>
    <row r="237" spans="1:5">
      <c r="A237">
        <v>8054</v>
      </c>
      <c r="B237" t="s">
        <v>5970</v>
      </c>
      <c r="C237">
        <v>65</v>
      </c>
      <c r="D237">
        <v>87</v>
      </c>
      <c r="E237">
        <v>232</v>
      </c>
    </row>
    <row r="238" spans="1:5">
      <c r="A238">
        <v>1304</v>
      </c>
      <c r="B238" t="s">
        <v>4807</v>
      </c>
      <c r="C238">
        <v>64</v>
      </c>
      <c r="D238">
        <v>62</v>
      </c>
      <c r="E238">
        <v>237</v>
      </c>
    </row>
    <row r="239" spans="1:5">
      <c r="A239">
        <v>1536</v>
      </c>
      <c r="B239" t="s">
        <v>4888</v>
      </c>
      <c r="C239">
        <v>64</v>
      </c>
      <c r="D239">
        <v>47</v>
      </c>
      <c r="E239">
        <v>237</v>
      </c>
    </row>
    <row r="240" spans="1:5">
      <c r="A240">
        <v>1709</v>
      </c>
      <c r="B240" t="s">
        <v>4929</v>
      </c>
      <c r="C240">
        <v>64</v>
      </c>
      <c r="D240">
        <v>70</v>
      </c>
      <c r="E240">
        <v>237</v>
      </c>
    </row>
    <row r="241" spans="1:5">
      <c r="A241">
        <v>1906</v>
      </c>
      <c r="B241" t="s">
        <v>4974</v>
      </c>
      <c r="C241">
        <v>64</v>
      </c>
      <c r="D241">
        <v>37</v>
      </c>
      <c r="E241">
        <v>237</v>
      </c>
    </row>
    <row r="242" spans="1:5">
      <c r="A242">
        <v>2101</v>
      </c>
      <c r="B242" t="s">
        <v>5006</v>
      </c>
      <c r="C242">
        <v>64</v>
      </c>
      <c r="D242">
        <v>50</v>
      </c>
      <c r="E242">
        <v>237</v>
      </c>
    </row>
    <row r="243" spans="1:5">
      <c r="A243">
        <v>2233</v>
      </c>
      <c r="B243" t="s">
        <v>5027</v>
      </c>
      <c r="C243">
        <v>64</v>
      </c>
      <c r="D243">
        <v>92</v>
      </c>
      <c r="E243">
        <v>237</v>
      </c>
    </row>
    <row r="244" spans="1:5">
      <c r="A244">
        <v>2633</v>
      </c>
      <c r="B244" t="s">
        <v>5201</v>
      </c>
      <c r="C244">
        <v>64</v>
      </c>
      <c r="D244">
        <v>59</v>
      </c>
      <c r="E244">
        <v>237</v>
      </c>
    </row>
    <row r="245" spans="1:5">
      <c r="A245">
        <v>2642</v>
      </c>
      <c r="B245" t="s">
        <v>5206</v>
      </c>
      <c r="C245">
        <v>64</v>
      </c>
      <c r="D245">
        <v>81</v>
      </c>
      <c r="E245">
        <v>237</v>
      </c>
    </row>
    <row r="246" spans="1:5">
      <c r="A246">
        <v>3609</v>
      </c>
      <c r="B246" t="s">
        <v>5469</v>
      </c>
      <c r="C246">
        <v>64</v>
      </c>
      <c r="D246">
        <v>47</v>
      </c>
      <c r="E246">
        <v>237</v>
      </c>
    </row>
    <row r="247" spans="1:5">
      <c r="A247">
        <v>3708</v>
      </c>
      <c r="B247" t="s">
        <v>5506</v>
      </c>
      <c r="C247">
        <v>64</v>
      </c>
      <c r="D247">
        <v>90</v>
      </c>
      <c r="E247">
        <v>237</v>
      </c>
    </row>
    <row r="248" spans="1:5">
      <c r="A248">
        <v>6150</v>
      </c>
      <c r="B248" t="s">
        <v>5773</v>
      </c>
      <c r="C248">
        <v>64</v>
      </c>
      <c r="D248">
        <v>98</v>
      </c>
      <c r="E248">
        <v>237</v>
      </c>
    </row>
    <row r="249" spans="1:5">
      <c r="A249">
        <v>2352</v>
      </c>
      <c r="B249" t="s">
        <v>5060</v>
      </c>
      <c r="C249">
        <v>63</v>
      </c>
      <c r="D249">
        <v>89</v>
      </c>
      <c r="E249">
        <v>248</v>
      </c>
    </row>
    <row r="250" spans="1:5">
      <c r="A250">
        <v>2360</v>
      </c>
      <c r="B250" t="s">
        <v>5068</v>
      </c>
      <c r="C250">
        <v>63</v>
      </c>
      <c r="D250">
        <v>66</v>
      </c>
      <c r="E250">
        <v>248</v>
      </c>
    </row>
    <row r="251" spans="1:5">
      <c r="A251">
        <v>3587</v>
      </c>
      <c r="B251" t="s">
        <v>5461</v>
      </c>
      <c r="C251">
        <v>63</v>
      </c>
      <c r="D251">
        <v>72</v>
      </c>
      <c r="E251">
        <v>248</v>
      </c>
    </row>
    <row r="252" spans="1:5">
      <c r="A252">
        <v>5530</v>
      </c>
      <c r="B252" t="s">
        <v>5716</v>
      </c>
      <c r="C252">
        <v>63</v>
      </c>
      <c r="D252">
        <v>19</v>
      </c>
      <c r="E252">
        <v>248</v>
      </c>
    </row>
    <row r="253" spans="1:5">
      <c r="A253">
        <v>6285</v>
      </c>
      <c r="B253" t="s">
        <v>5859</v>
      </c>
      <c r="C253">
        <v>63</v>
      </c>
      <c r="D253">
        <v>67</v>
      </c>
      <c r="E253">
        <v>248</v>
      </c>
    </row>
    <row r="254" spans="1:5">
      <c r="A254">
        <v>6415</v>
      </c>
      <c r="B254" t="s">
        <v>5868</v>
      </c>
      <c r="C254">
        <v>63</v>
      </c>
      <c r="D254">
        <v>54</v>
      </c>
      <c r="E254">
        <v>248</v>
      </c>
    </row>
    <row r="255" spans="1:5">
      <c r="A255">
        <v>6515</v>
      </c>
      <c r="B255" t="s">
        <v>5901</v>
      </c>
      <c r="C255">
        <v>63</v>
      </c>
      <c r="D255">
        <v>58</v>
      </c>
      <c r="E255">
        <v>248</v>
      </c>
    </row>
    <row r="256" spans="1:5">
      <c r="A256">
        <v>1308</v>
      </c>
      <c r="B256" t="s">
        <v>4810</v>
      </c>
      <c r="C256">
        <v>62</v>
      </c>
      <c r="D256">
        <v>67</v>
      </c>
      <c r="E256">
        <v>255</v>
      </c>
    </row>
    <row r="257" spans="1:5">
      <c r="A257">
        <v>2006</v>
      </c>
      <c r="B257" t="s">
        <v>4978</v>
      </c>
      <c r="C257">
        <v>62</v>
      </c>
      <c r="D257">
        <v>88</v>
      </c>
      <c r="E257">
        <v>255</v>
      </c>
    </row>
    <row r="258" spans="1:5">
      <c r="A258">
        <v>2354</v>
      </c>
      <c r="B258" t="s">
        <v>5062</v>
      </c>
      <c r="C258">
        <v>62</v>
      </c>
      <c r="D258">
        <v>72</v>
      </c>
      <c r="E258">
        <v>255</v>
      </c>
    </row>
    <row r="259" spans="1:5">
      <c r="A259">
        <v>2474</v>
      </c>
      <c r="B259" t="s">
        <v>5139</v>
      </c>
      <c r="C259">
        <v>62</v>
      </c>
      <c r="D259">
        <v>76</v>
      </c>
      <c r="E259">
        <v>255</v>
      </c>
    </row>
    <row r="260" spans="1:5">
      <c r="A260">
        <v>3217</v>
      </c>
      <c r="B260" t="s">
        <v>5348</v>
      </c>
      <c r="C260">
        <v>62</v>
      </c>
      <c r="D260">
        <v>69</v>
      </c>
      <c r="E260">
        <v>255</v>
      </c>
    </row>
    <row r="261" spans="1:5">
      <c r="A261">
        <v>3406</v>
      </c>
      <c r="B261" t="s">
        <v>5403</v>
      </c>
      <c r="C261">
        <v>62</v>
      </c>
      <c r="D261">
        <v>72</v>
      </c>
      <c r="E261">
        <v>255</v>
      </c>
    </row>
    <row r="262" spans="1:5">
      <c r="A262">
        <v>3526</v>
      </c>
      <c r="B262" t="s">
        <v>5434</v>
      </c>
      <c r="C262">
        <v>62</v>
      </c>
      <c r="D262">
        <v>113</v>
      </c>
      <c r="E262">
        <v>255</v>
      </c>
    </row>
    <row r="263" spans="1:5">
      <c r="A263">
        <v>3530</v>
      </c>
      <c r="B263" t="s">
        <v>5438</v>
      </c>
      <c r="C263">
        <v>62</v>
      </c>
      <c r="D263">
        <v>89</v>
      </c>
      <c r="E263">
        <v>255</v>
      </c>
    </row>
    <row r="264" spans="1:5">
      <c r="A264">
        <v>3591</v>
      </c>
      <c r="B264" t="s">
        <v>5463</v>
      </c>
      <c r="C264">
        <v>62</v>
      </c>
      <c r="D264">
        <v>39</v>
      </c>
      <c r="E264">
        <v>255</v>
      </c>
    </row>
    <row r="265" spans="1:5">
      <c r="A265">
        <v>5388</v>
      </c>
      <c r="B265" t="s">
        <v>5686</v>
      </c>
      <c r="C265">
        <v>62</v>
      </c>
      <c r="D265">
        <v>56</v>
      </c>
      <c r="E265">
        <v>255</v>
      </c>
    </row>
    <row r="266" spans="1:5">
      <c r="A266">
        <v>5534</v>
      </c>
      <c r="B266" t="s">
        <v>5719</v>
      </c>
      <c r="C266">
        <v>62</v>
      </c>
      <c r="D266">
        <v>41</v>
      </c>
      <c r="E266">
        <v>255</v>
      </c>
    </row>
    <row r="267" spans="1:5">
      <c r="A267">
        <v>6235</v>
      </c>
      <c r="B267" t="s">
        <v>5832</v>
      </c>
      <c r="C267">
        <v>62</v>
      </c>
      <c r="D267">
        <v>57</v>
      </c>
      <c r="E267">
        <v>255</v>
      </c>
    </row>
    <row r="268" spans="1:5">
      <c r="A268">
        <v>8097</v>
      </c>
      <c r="B268" t="s">
        <v>5984</v>
      </c>
      <c r="C268">
        <v>62</v>
      </c>
      <c r="D268">
        <v>41</v>
      </c>
      <c r="E268">
        <v>255</v>
      </c>
    </row>
    <row r="269" spans="1:5">
      <c r="A269">
        <v>8358</v>
      </c>
      <c r="B269" t="s">
        <v>6018</v>
      </c>
      <c r="C269">
        <v>62</v>
      </c>
      <c r="D269">
        <v>107</v>
      </c>
      <c r="E269">
        <v>255</v>
      </c>
    </row>
    <row r="270" spans="1:5">
      <c r="A270">
        <v>8478</v>
      </c>
      <c r="B270" t="s">
        <v>6050</v>
      </c>
      <c r="C270">
        <v>62</v>
      </c>
      <c r="D270">
        <v>38</v>
      </c>
      <c r="E270">
        <v>255</v>
      </c>
    </row>
    <row r="271" spans="1:5">
      <c r="A271">
        <v>9919</v>
      </c>
      <c r="B271" t="s">
        <v>6082</v>
      </c>
      <c r="C271">
        <v>62</v>
      </c>
      <c r="D271">
        <v>52</v>
      </c>
      <c r="E271">
        <v>255</v>
      </c>
    </row>
    <row r="272" spans="1:5">
      <c r="A272">
        <v>1529</v>
      </c>
      <c r="B272" t="s">
        <v>4882</v>
      </c>
      <c r="C272">
        <v>61</v>
      </c>
      <c r="D272">
        <v>62</v>
      </c>
      <c r="E272">
        <v>271</v>
      </c>
    </row>
    <row r="273" spans="1:5">
      <c r="A273">
        <v>2013</v>
      </c>
      <c r="B273" t="s">
        <v>4984</v>
      </c>
      <c r="C273">
        <v>61</v>
      </c>
      <c r="D273">
        <v>61</v>
      </c>
      <c r="E273">
        <v>271</v>
      </c>
    </row>
    <row r="274" spans="1:5">
      <c r="A274">
        <v>2609</v>
      </c>
      <c r="B274" t="s">
        <v>5191</v>
      </c>
      <c r="C274">
        <v>61</v>
      </c>
      <c r="D274">
        <v>66</v>
      </c>
      <c r="E274">
        <v>271</v>
      </c>
    </row>
    <row r="275" spans="1:5">
      <c r="A275">
        <v>3016</v>
      </c>
      <c r="B275" t="s">
        <v>5279</v>
      </c>
      <c r="C275">
        <v>61</v>
      </c>
      <c r="D275">
        <v>61</v>
      </c>
      <c r="E275">
        <v>271</v>
      </c>
    </row>
    <row r="276" spans="1:5">
      <c r="A276">
        <v>3504</v>
      </c>
      <c r="B276" t="s">
        <v>5428</v>
      </c>
      <c r="C276">
        <v>61</v>
      </c>
      <c r="D276">
        <v>66</v>
      </c>
      <c r="E276">
        <v>271</v>
      </c>
    </row>
    <row r="277" spans="1:5">
      <c r="A277">
        <v>3687</v>
      </c>
      <c r="B277" t="s">
        <v>5494</v>
      </c>
      <c r="C277">
        <v>61</v>
      </c>
      <c r="D277">
        <v>69</v>
      </c>
      <c r="E277">
        <v>271</v>
      </c>
    </row>
    <row r="278" spans="1:5">
      <c r="A278">
        <v>4133</v>
      </c>
      <c r="B278" t="s">
        <v>5527</v>
      </c>
      <c r="C278">
        <v>61</v>
      </c>
      <c r="D278">
        <v>64</v>
      </c>
      <c r="E278">
        <v>271</v>
      </c>
    </row>
    <row r="279" spans="1:5">
      <c r="A279">
        <v>6237</v>
      </c>
      <c r="B279" t="s">
        <v>5833</v>
      </c>
      <c r="C279">
        <v>61</v>
      </c>
      <c r="D279">
        <v>95</v>
      </c>
      <c r="E279">
        <v>271</v>
      </c>
    </row>
    <row r="280" spans="1:5">
      <c r="A280">
        <v>8104</v>
      </c>
      <c r="B280" t="s">
        <v>5987</v>
      </c>
      <c r="C280">
        <v>61</v>
      </c>
      <c r="D280">
        <v>54</v>
      </c>
      <c r="E280">
        <v>271</v>
      </c>
    </row>
    <row r="281" spans="1:5">
      <c r="A281">
        <v>9904</v>
      </c>
      <c r="B281" t="s">
        <v>6072</v>
      </c>
      <c r="C281">
        <v>61</v>
      </c>
      <c r="D281">
        <v>61</v>
      </c>
      <c r="E281">
        <v>271</v>
      </c>
    </row>
    <row r="282" spans="1:5">
      <c r="A282">
        <v>1626</v>
      </c>
      <c r="B282" t="s">
        <v>4924</v>
      </c>
      <c r="C282">
        <v>60</v>
      </c>
      <c r="D282">
        <v>26</v>
      </c>
      <c r="E282">
        <v>281</v>
      </c>
    </row>
    <row r="283" spans="1:5">
      <c r="A283">
        <v>1721</v>
      </c>
      <c r="B283" t="s">
        <v>4938</v>
      </c>
      <c r="C283">
        <v>60</v>
      </c>
      <c r="D283">
        <v>68</v>
      </c>
      <c r="E283">
        <v>281</v>
      </c>
    </row>
    <row r="284" spans="1:5">
      <c r="A284">
        <v>2614</v>
      </c>
      <c r="B284" t="s">
        <v>5196</v>
      </c>
      <c r="C284">
        <v>60</v>
      </c>
      <c r="D284">
        <v>89</v>
      </c>
      <c r="E284">
        <v>281</v>
      </c>
    </row>
    <row r="285" spans="1:5">
      <c r="A285">
        <v>3088</v>
      </c>
      <c r="B285" t="s">
        <v>5320</v>
      </c>
      <c r="C285">
        <v>60</v>
      </c>
      <c r="D285">
        <v>61</v>
      </c>
      <c r="E285">
        <v>281</v>
      </c>
    </row>
    <row r="286" spans="1:5">
      <c r="A286">
        <v>3221</v>
      </c>
      <c r="B286" t="s">
        <v>5351</v>
      </c>
      <c r="C286">
        <v>60</v>
      </c>
      <c r="D286">
        <v>70</v>
      </c>
      <c r="E286">
        <v>281</v>
      </c>
    </row>
    <row r="287" spans="1:5">
      <c r="A287">
        <v>3508</v>
      </c>
      <c r="B287" t="s">
        <v>5429</v>
      </c>
      <c r="C287">
        <v>60</v>
      </c>
      <c r="D287">
        <v>79</v>
      </c>
      <c r="E287">
        <v>281</v>
      </c>
    </row>
    <row r="288" spans="1:5">
      <c r="A288">
        <v>3556</v>
      </c>
      <c r="B288" t="s">
        <v>5452</v>
      </c>
      <c r="C288">
        <v>60</v>
      </c>
      <c r="D288">
        <v>77</v>
      </c>
      <c r="E288">
        <v>281</v>
      </c>
    </row>
    <row r="289" spans="1:5">
      <c r="A289">
        <v>4968</v>
      </c>
      <c r="B289" t="s">
        <v>5634</v>
      </c>
      <c r="C289">
        <v>60</v>
      </c>
      <c r="D289">
        <v>79</v>
      </c>
      <c r="E289">
        <v>281</v>
      </c>
    </row>
    <row r="290" spans="1:5">
      <c r="A290">
        <v>6781</v>
      </c>
      <c r="B290" t="s">
        <v>5953</v>
      </c>
      <c r="C290">
        <v>60</v>
      </c>
      <c r="D290">
        <v>57</v>
      </c>
      <c r="E290">
        <v>281</v>
      </c>
    </row>
    <row r="291" spans="1:5">
      <c r="A291">
        <v>8091</v>
      </c>
      <c r="B291" t="s">
        <v>5982</v>
      </c>
      <c r="C291">
        <v>60</v>
      </c>
      <c r="D291">
        <v>45</v>
      </c>
      <c r="E291">
        <v>281</v>
      </c>
    </row>
    <row r="292" spans="1:5">
      <c r="A292">
        <v>8996</v>
      </c>
      <c r="B292" t="s">
        <v>6069</v>
      </c>
      <c r="C292">
        <v>60</v>
      </c>
      <c r="D292">
        <v>52</v>
      </c>
      <c r="E292">
        <v>281</v>
      </c>
    </row>
    <row r="293" spans="1:5">
      <c r="A293">
        <v>1440</v>
      </c>
      <c r="B293" t="s">
        <v>4843</v>
      </c>
      <c r="C293">
        <v>59</v>
      </c>
      <c r="D293">
        <v>76</v>
      </c>
      <c r="E293">
        <v>292</v>
      </c>
    </row>
    <row r="294" spans="1:5">
      <c r="A294">
        <v>1504</v>
      </c>
      <c r="B294" t="s">
        <v>4868</v>
      </c>
      <c r="C294">
        <v>59</v>
      </c>
      <c r="D294">
        <v>74</v>
      </c>
      <c r="E294">
        <v>292</v>
      </c>
    </row>
    <row r="295" spans="1:5">
      <c r="A295">
        <v>1760</v>
      </c>
      <c r="B295" t="s">
        <v>4953</v>
      </c>
      <c r="C295">
        <v>59</v>
      </c>
      <c r="D295">
        <v>75</v>
      </c>
      <c r="E295">
        <v>292</v>
      </c>
    </row>
    <row r="296" spans="1:5">
      <c r="A296">
        <v>1785</v>
      </c>
      <c r="B296" t="s">
        <v>4959</v>
      </c>
      <c r="C296">
        <v>59</v>
      </c>
      <c r="D296">
        <v>54</v>
      </c>
      <c r="E296">
        <v>292</v>
      </c>
    </row>
    <row r="297" spans="1:5">
      <c r="A297">
        <v>2504</v>
      </c>
      <c r="B297" t="s">
        <v>5160</v>
      </c>
      <c r="C297">
        <v>59</v>
      </c>
      <c r="D297">
        <v>78</v>
      </c>
      <c r="E297">
        <v>292</v>
      </c>
    </row>
    <row r="298" spans="1:5">
      <c r="A298">
        <v>2520</v>
      </c>
      <c r="B298" t="s">
        <v>5167</v>
      </c>
      <c r="C298">
        <v>59</v>
      </c>
      <c r="D298">
        <v>83</v>
      </c>
      <c r="E298">
        <v>292</v>
      </c>
    </row>
    <row r="299" spans="1:5">
      <c r="A299">
        <v>3081</v>
      </c>
      <c r="B299" t="s">
        <v>5317</v>
      </c>
      <c r="C299">
        <v>59</v>
      </c>
      <c r="D299">
        <v>45</v>
      </c>
      <c r="E299">
        <v>292</v>
      </c>
    </row>
    <row r="300" spans="1:5">
      <c r="A300">
        <v>3162</v>
      </c>
      <c r="B300" t="s">
        <v>5334</v>
      </c>
      <c r="C300">
        <v>59</v>
      </c>
      <c r="D300">
        <v>37</v>
      </c>
      <c r="E300">
        <v>292</v>
      </c>
    </row>
    <row r="301" spans="1:5">
      <c r="A301">
        <v>3672</v>
      </c>
      <c r="B301" t="s">
        <v>5488</v>
      </c>
      <c r="C301">
        <v>59</v>
      </c>
      <c r="D301">
        <v>37</v>
      </c>
      <c r="E301">
        <v>292</v>
      </c>
    </row>
    <row r="302" spans="1:5">
      <c r="A302">
        <v>3701</v>
      </c>
      <c r="B302" t="s">
        <v>5499</v>
      </c>
      <c r="C302">
        <v>59</v>
      </c>
      <c r="D302">
        <v>62</v>
      </c>
      <c r="E302">
        <v>292</v>
      </c>
    </row>
    <row r="303" spans="1:5">
      <c r="A303">
        <v>4414</v>
      </c>
      <c r="B303" t="s">
        <v>5551</v>
      </c>
      <c r="C303">
        <v>59</v>
      </c>
      <c r="D303">
        <v>55</v>
      </c>
      <c r="E303">
        <v>292</v>
      </c>
    </row>
    <row r="304" spans="1:5">
      <c r="A304">
        <v>4915</v>
      </c>
      <c r="B304" t="s">
        <v>5614</v>
      </c>
      <c r="C304">
        <v>59</v>
      </c>
      <c r="D304">
        <v>85</v>
      </c>
      <c r="E304">
        <v>292</v>
      </c>
    </row>
    <row r="305" spans="1:5">
      <c r="A305">
        <v>5258</v>
      </c>
      <c r="B305" t="s">
        <v>5663</v>
      </c>
      <c r="C305">
        <v>59</v>
      </c>
      <c r="D305">
        <v>66</v>
      </c>
      <c r="E305">
        <v>292</v>
      </c>
    </row>
    <row r="306" spans="1:5">
      <c r="A306">
        <v>6741</v>
      </c>
      <c r="B306" t="s">
        <v>5947</v>
      </c>
      <c r="C306">
        <v>59</v>
      </c>
      <c r="D306">
        <v>55</v>
      </c>
      <c r="E306">
        <v>292</v>
      </c>
    </row>
    <row r="307" spans="1:5">
      <c r="A307">
        <v>2207</v>
      </c>
      <c r="B307" t="s">
        <v>5020</v>
      </c>
      <c r="C307">
        <v>58</v>
      </c>
      <c r="D307">
        <v>25</v>
      </c>
      <c r="E307">
        <v>306</v>
      </c>
    </row>
    <row r="308" spans="1:5">
      <c r="A308">
        <v>2231</v>
      </c>
      <c r="B308" t="s">
        <v>5026</v>
      </c>
      <c r="C308">
        <v>58</v>
      </c>
      <c r="D308">
        <v>37</v>
      </c>
      <c r="E308">
        <v>306</v>
      </c>
    </row>
    <row r="309" spans="1:5">
      <c r="A309">
        <v>2634</v>
      </c>
      <c r="B309" t="s">
        <v>5202</v>
      </c>
      <c r="C309">
        <v>58</v>
      </c>
      <c r="D309">
        <v>48</v>
      </c>
      <c r="E309">
        <v>306</v>
      </c>
    </row>
    <row r="310" spans="1:5">
      <c r="A310">
        <v>2812</v>
      </c>
      <c r="B310" t="s">
        <v>5225</v>
      </c>
      <c r="C310">
        <v>58</v>
      </c>
      <c r="D310">
        <v>41</v>
      </c>
      <c r="E310">
        <v>306</v>
      </c>
    </row>
    <row r="311" spans="1:5">
      <c r="A311">
        <v>2845</v>
      </c>
      <c r="B311" t="s">
        <v>5232</v>
      </c>
      <c r="C311">
        <v>58</v>
      </c>
      <c r="D311">
        <v>42</v>
      </c>
      <c r="E311">
        <v>306</v>
      </c>
    </row>
    <row r="312" spans="1:5">
      <c r="A312">
        <v>3005</v>
      </c>
      <c r="B312" t="s">
        <v>5272</v>
      </c>
      <c r="C312">
        <v>58</v>
      </c>
      <c r="D312">
        <v>89</v>
      </c>
      <c r="E312">
        <v>306</v>
      </c>
    </row>
    <row r="313" spans="1:5">
      <c r="A313">
        <v>3515</v>
      </c>
      <c r="B313" t="s">
        <v>5431</v>
      </c>
      <c r="C313">
        <v>58</v>
      </c>
      <c r="D313">
        <v>95</v>
      </c>
      <c r="E313">
        <v>306</v>
      </c>
    </row>
    <row r="314" spans="1:5">
      <c r="A314">
        <v>3557</v>
      </c>
      <c r="B314" t="s">
        <v>5453</v>
      </c>
      <c r="C314">
        <v>58</v>
      </c>
      <c r="D314">
        <v>49</v>
      </c>
      <c r="E314">
        <v>306</v>
      </c>
    </row>
    <row r="315" spans="1:5">
      <c r="A315">
        <v>4755</v>
      </c>
      <c r="B315" t="s">
        <v>5602</v>
      </c>
      <c r="C315">
        <v>58</v>
      </c>
      <c r="D315">
        <v>52</v>
      </c>
      <c r="E315">
        <v>306</v>
      </c>
    </row>
    <row r="316" spans="1:5">
      <c r="A316">
        <v>8110</v>
      </c>
      <c r="B316" t="s">
        <v>5990</v>
      </c>
      <c r="C316">
        <v>58</v>
      </c>
      <c r="D316">
        <v>62</v>
      </c>
      <c r="E316">
        <v>306</v>
      </c>
    </row>
    <row r="317" spans="1:5">
      <c r="A317">
        <v>8215</v>
      </c>
      <c r="B317" t="s">
        <v>6005</v>
      </c>
      <c r="C317">
        <v>58</v>
      </c>
      <c r="D317">
        <v>80</v>
      </c>
      <c r="E317">
        <v>306</v>
      </c>
    </row>
    <row r="318" spans="1:5">
      <c r="A318">
        <v>8383</v>
      </c>
      <c r="B318" t="s">
        <v>6021</v>
      </c>
      <c r="C318">
        <v>58</v>
      </c>
      <c r="D318">
        <v>42</v>
      </c>
      <c r="E318">
        <v>306</v>
      </c>
    </row>
    <row r="319" spans="1:5">
      <c r="A319">
        <v>1476</v>
      </c>
      <c r="B319" t="s">
        <v>4865</v>
      </c>
      <c r="C319">
        <v>57</v>
      </c>
      <c r="D319">
        <v>82</v>
      </c>
      <c r="E319">
        <v>318</v>
      </c>
    </row>
    <row r="320" spans="1:5">
      <c r="A320">
        <v>1513</v>
      </c>
      <c r="B320" t="s">
        <v>4869</v>
      </c>
      <c r="C320">
        <v>57</v>
      </c>
      <c r="D320">
        <v>85</v>
      </c>
      <c r="E320">
        <v>318</v>
      </c>
    </row>
    <row r="321" spans="1:5">
      <c r="A321">
        <v>2015</v>
      </c>
      <c r="B321" t="s">
        <v>4986</v>
      </c>
      <c r="C321">
        <v>57</v>
      </c>
      <c r="D321">
        <v>41</v>
      </c>
      <c r="E321">
        <v>318</v>
      </c>
    </row>
    <row r="322" spans="1:5">
      <c r="A322">
        <v>2105</v>
      </c>
      <c r="B322" t="s">
        <v>5010</v>
      </c>
      <c r="C322">
        <v>57</v>
      </c>
      <c r="D322">
        <v>75</v>
      </c>
      <c r="E322">
        <v>318</v>
      </c>
    </row>
    <row r="323" spans="1:5">
      <c r="A323">
        <v>3092</v>
      </c>
      <c r="B323" t="s">
        <v>5322</v>
      </c>
      <c r="C323">
        <v>57</v>
      </c>
      <c r="D323">
        <v>55</v>
      </c>
      <c r="E323">
        <v>318</v>
      </c>
    </row>
    <row r="324" spans="1:5">
      <c r="A324">
        <v>3207</v>
      </c>
      <c r="B324" t="s">
        <v>5344</v>
      </c>
      <c r="C324">
        <v>57</v>
      </c>
      <c r="D324">
        <v>48</v>
      </c>
      <c r="E324">
        <v>318</v>
      </c>
    </row>
    <row r="325" spans="1:5">
      <c r="A325">
        <v>4906</v>
      </c>
      <c r="B325" t="s">
        <v>5610</v>
      </c>
      <c r="C325">
        <v>57</v>
      </c>
      <c r="D325">
        <v>100</v>
      </c>
      <c r="E325">
        <v>318</v>
      </c>
    </row>
    <row r="326" spans="1:5">
      <c r="A326">
        <v>5263</v>
      </c>
      <c r="B326" t="s">
        <v>5664</v>
      </c>
      <c r="C326">
        <v>57</v>
      </c>
      <c r="D326">
        <v>39</v>
      </c>
      <c r="E326">
        <v>318</v>
      </c>
    </row>
    <row r="327" spans="1:5">
      <c r="A327">
        <v>5434</v>
      </c>
      <c r="B327" t="s">
        <v>5693</v>
      </c>
      <c r="C327">
        <v>57</v>
      </c>
      <c r="D327">
        <v>52</v>
      </c>
      <c r="E327">
        <v>318</v>
      </c>
    </row>
    <row r="328" spans="1:5">
      <c r="A328">
        <v>5536</v>
      </c>
      <c r="B328" t="s">
        <v>5720</v>
      </c>
      <c r="C328">
        <v>57</v>
      </c>
      <c r="D328">
        <v>46</v>
      </c>
      <c r="E328">
        <v>318</v>
      </c>
    </row>
    <row r="329" spans="1:5">
      <c r="A329">
        <v>6005</v>
      </c>
      <c r="B329" t="s">
        <v>5740</v>
      </c>
      <c r="C329">
        <v>57</v>
      </c>
      <c r="D329">
        <v>69</v>
      </c>
      <c r="E329">
        <v>318</v>
      </c>
    </row>
    <row r="330" spans="1:5">
      <c r="A330">
        <v>6015</v>
      </c>
      <c r="B330" t="s">
        <v>5741</v>
      </c>
      <c r="C330">
        <v>57</v>
      </c>
      <c r="D330">
        <v>36</v>
      </c>
      <c r="E330">
        <v>318</v>
      </c>
    </row>
    <row r="331" spans="1:5">
      <c r="A331">
        <v>6116</v>
      </c>
      <c r="B331" t="s">
        <v>5751</v>
      </c>
      <c r="C331">
        <v>57</v>
      </c>
      <c r="D331">
        <v>58</v>
      </c>
      <c r="E331">
        <v>318</v>
      </c>
    </row>
    <row r="332" spans="1:5">
      <c r="A332">
        <v>6121</v>
      </c>
      <c r="B332" t="s">
        <v>5755</v>
      </c>
      <c r="C332">
        <v>57</v>
      </c>
      <c r="D332">
        <v>92</v>
      </c>
      <c r="E332">
        <v>318</v>
      </c>
    </row>
    <row r="333" spans="1:5">
      <c r="A333">
        <v>6412</v>
      </c>
      <c r="B333" t="s">
        <v>5866</v>
      </c>
      <c r="C333">
        <v>57</v>
      </c>
      <c r="D333">
        <v>47</v>
      </c>
      <c r="E333">
        <v>318</v>
      </c>
    </row>
    <row r="334" spans="1:5">
      <c r="A334">
        <v>8150</v>
      </c>
      <c r="B334" t="s">
        <v>5996</v>
      </c>
      <c r="C334">
        <v>57</v>
      </c>
      <c r="D334">
        <v>82</v>
      </c>
      <c r="E334">
        <v>318</v>
      </c>
    </row>
    <row r="335" spans="1:5">
      <c r="A335">
        <v>8440</v>
      </c>
      <c r="B335" t="s">
        <v>6036</v>
      </c>
      <c r="C335">
        <v>57</v>
      </c>
      <c r="D335">
        <v>81</v>
      </c>
      <c r="E335">
        <v>318</v>
      </c>
    </row>
    <row r="336" spans="1:5">
      <c r="A336">
        <v>8464</v>
      </c>
      <c r="B336" t="s">
        <v>6045</v>
      </c>
      <c r="C336">
        <v>57</v>
      </c>
      <c r="D336">
        <v>52</v>
      </c>
      <c r="E336">
        <v>318</v>
      </c>
    </row>
    <row r="337" spans="1:5">
      <c r="A337">
        <v>2426</v>
      </c>
      <c r="B337" t="s">
        <v>5109</v>
      </c>
      <c r="C337">
        <v>56</v>
      </c>
      <c r="D337">
        <v>61</v>
      </c>
      <c r="E337">
        <v>336</v>
      </c>
    </row>
    <row r="338" spans="1:5">
      <c r="A338">
        <v>2454</v>
      </c>
      <c r="B338" t="s">
        <v>5124</v>
      </c>
      <c r="C338">
        <v>56</v>
      </c>
      <c r="D338">
        <v>65</v>
      </c>
      <c r="E338">
        <v>336</v>
      </c>
    </row>
    <row r="339" spans="1:5">
      <c r="A339">
        <v>2641</v>
      </c>
      <c r="B339" t="s">
        <v>5205</v>
      </c>
      <c r="C339">
        <v>56</v>
      </c>
      <c r="D339">
        <v>86</v>
      </c>
      <c r="E339">
        <v>336</v>
      </c>
    </row>
    <row r="340" spans="1:5">
      <c r="A340">
        <v>3048</v>
      </c>
      <c r="B340" t="s">
        <v>5305</v>
      </c>
      <c r="C340">
        <v>56</v>
      </c>
      <c r="D340">
        <v>54</v>
      </c>
      <c r="E340">
        <v>336</v>
      </c>
    </row>
    <row r="341" spans="1:5">
      <c r="A341">
        <v>3373</v>
      </c>
      <c r="B341" t="s">
        <v>5395</v>
      </c>
      <c r="C341">
        <v>56</v>
      </c>
      <c r="D341">
        <v>35</v>
      </c>
      <c r="E341">
        <v>336</v>
      </c>
    </row>
    <row r="342" spans="1:5">
      <c r="A342">
        <v>3413</v>
      </c>
      <c r="B342" t="s">
        <v>5404</v>
      </c>
      <c r="C342">
        <v>56</v>
      </c>
      <c r="D342">
        <v>72</v>
      </c>
      <c r="E342">
        <v>336</v>
      </c>
    </row>
    <row r="343" spans="1:5">
      <c r="A343">
        <v>3479</v>
      </c>
      <c r="B343" t="s">
        <v>5418</v>
      </c>
      <c r="C343">
        <v>56</v>
      </c>
      <c r="D343">
        <v>22</v>
      </c>
      <c r="E343">
        <v>336</v>
      </c>
    </row>
    <row r="344" spans="1:5">
      <c r="A344">
        <v>6125</v>
      </c>
      <c r="B344" t="s">
        <v>5758</v>
      </c>
      <c r="C344">
        <v>56</v>
      </c>
      <c r="D344">
        <v>80</v>
      </c>
      <c r="E344">
        <v>336</v>
      </c>
    </row>
    <row r="345" spans="1:5">
      <c r="A345">
        <v>6164</v>
      </c>
      <c r="B345" t="s">
        <v>5782</v>
      </c>
      <c r="C345">
        <v>56</v>
      </c>
      <c r="D345">
        <v>65</v>
      </c>
      <c r="E345">
        <v>336</v>
      </c>
    </row>
    <row r="346" spans="1:5">
      <c r="A346">
        <v>8289</v>
      </c>
      <c r="B346" t="s">
        <v>6014</v>
      </c>
      <c r="C346">
        <v>56</v>
      </c>
      <c r="D346">
        <v>80</v>
      </c>
      <c r="E346">
        <v>336</v>
      </c>
    </row>
    <row r="347" spans="1:5">
      <c r="A347">
        <v>8403</v>
      </c>
      <c r="B347" t="s">
        <v>6024</v>
      </c>
      <c r="C347">
        <v>56</v>
      </c>
      <c r="D347">
        <v>45</v>
      </c>
      <c r="E347">
        <v>336</v>
      </c>
    </row>
    <row r="348" spans="1:5">
      <c r="A348">
        <v>8422</v>
      </c>
      <c r="B348" t="s">
        <v>6029</v>
      </c>
      <c r="C348">
        <v>56</v>
      </c>
      <c r="D348">
        <v>68</v>
      </c>
      <c r="E348">
        <v>336</v>
      </c>
    </row>
    <row r="349" spans="1:5">
      <c r="A349">
        <v>8924</v>
      </c>
      <c r="B349" t="s">
        <v>6060</v>
      </c>
      <c r="C349">
        <v>56</v>
      </c>
      <c r="D349">
        <v>95</v>
      </c>
      <c r="E349">
        <v>336</v>
      </c>
    </row>
    <row r="350" spans="1:5">
      <c r="A350">
        <v>1217</v>
      </c>
      <c r="B350" t="s">
        <v>4788</v>
      </c>
      <c r="C350">
        <v>55</v>
      </c>
      <c r="D350">
        <v>53</v>
      </c>
      <c r="E350">
        <v>349</v>
      </c>
    </row>
    <row r="351" spans="1:5">
      <c r="A351">
        <v>2358</v>
      </c>
      <c r="B351" t="s">
        <v>5066</v>
      </c>
      <c r="C351">
        <v>55</v>
      </c>
      <c r="D351">
        <v>80</v>
      </c>
      <c r="E351">
        <v>349</v>
      </c>
    </row>
    <row r="352" spans="1:5">
      <c r="A352">
        <v>2489</v>
      </c>
      <c r="B352" t="s">
        <v>5151</v>
      </c>
      <c r="C352">
        <v>55</v>
      </c>
      <c r="D352">
        <v>86</v>
      </c>
      <c r="E352">
        <v>349</v>
      </c>
    </row>
    <row r="353" spans="1:5">
      <c r="A353">
        <v>3311</v>
      </c>
      <c r="B353" t="s">
        <v>5379</v>
      </c>
      <c r="C353">
        <v>55</v>
      </c>
      <c r="D353">
        <v>36</v>
      </c>
      <c r="E353">
        <v>349</v>
      </c>
    </row>
    <row r="354" spans="1:5">
      <c r="A354">
        <v>3374</v>
      </c>
      <c r="B354" t="s">
        <v>5396</v>
      </c>
      <c r="C354">
        <v>55</v>
      </c>
      <c r="D354">
        <v>68</v>
      </c>
      <c r="E354">
        <v>349</v>
      </c>
    </row>
    <row r="355" spans="1:5">
      <c r="A355">
        <v>3704</v>
      </c>
      <c r="B355" t="s">
        <v>5502</v>
      </c>
      <c r="C355">
        <v>55</v>
      </c>
      <c r="D355">
        <v>69</v>
      </c>
      <c r="E355">
        <v>349</v>
      </c>
    </row>
    <row r="356" spans="1:5">
      <c r="A356">
        <v>4971</v>
      </c>
      <c r="B356" t="s">
        <v>5635</v>
      </c>
      <c r="C356">
        <v>55</v>
      </c>
      <c r="D356">
        <v>34</v>
      </c>
      <c r="E356">
        <v>349</v>
      </c>
    </row>
    <row r="357" spans="1:5">
      <c r="A357">
        <v>6523</v>
      </c>
      <c r="B357" t="s">
        <v>5903</v>
      </c>
      <c r="C357">
        <v>55</v>
      </c>
      <c r="D357">
        <v>51</v>
      </c>
      <c r="E357">
        <v>349</v>
      </c>
    </row>
    <row r="358" spans="1:5">
      <c r="A358">
        <v>1218</v>
      </c>
      <c r="B358" t="s">
        <v>4789</v>
      </c>
      <c r="C358">
        <v>54</v>
      </c>
      <c r="D358">
        <v>48</v>
      </c>
      <c r="E358">
        <v>357</v>
      </c>
    </row>
    <row r="359" spans="1:5">
      <c r="A359">
        <v>1455</v>
      </c>
      <c r="B359" t="s">
        <v>4853</v>
      </c>
      <c r="C359">
        <v>54</v>
      </c>
      <c r="D359">
        <v>63</v>
      </c>
      <c r="E359">
        <v>357</v>
      </c>
    </row>
    <row r="360" spans="1:5">
      <c r="A360">
        <v>1909</v>
      </c>
      <c r="B360" t="s">
        <v>4976</v>
      </c>
      <c r="C360">
        <v>54</v>
      </c>
      <c r="D360">
        <v>59</v>
      </c>
      <c r="E360">
        <v>357</v>
      </c>
    </row>
    <row r="361" spans="1:5">
      <c r="A361">
        <v>2104</v>
      </c>
      <c r="B361" t="s">
        <v>5009</v>
      </c>
      <c r="C361">
        <v>54</v>
      </c>
      <c r="D361">
        <v>44</v>
      </c>
      <c r="E361">
        <v>357</v>
      </c>
    </row>
    <row r="362" spans="1:5">
      <c r="A362">
        <v>2312</v>
      </c>
      <c r="B362" t="s">
        <v>5039</v>
      </c>
      <c r="C362">
        <v>54</v>
      </c>
      <c r="D362">
        <v>69</v>
      </c>
      <c r="E362">
        <v>357</v>
      </c>
    </row>
    <row r="363" spans="1:5">
      <c r="A363">
        <v>2417</v>
      </c>
      <c r="B363" t="s">
        <v>5103</v>
      </c>
      <c r="C363">
        <v>54</v>
      </c>
      <c r="D363">
        <v>81</v>
      </c>
      <c r="E363">
        <v>357</v>
      </c>
    </row>
    <row r="364" spans="1:5">
      <c r="A364">
        <v>2484</v>
      </c>
      <c r="B364" t="s">
        <v>5147</v>
      </c>
      <c r="C364">
        <v>54</v>
      </c>
      <c r="D364">
        <v>54</v>
      </c>
      <c r="E364">
        <v>357</v>
      </c>
    </row>
    <row r="365" spans="1:5">
      <c r="A365">
        <v>2545</v>
      </c>
      <c r="B365" t="s">
        <v>5179</v>
      </c>
      <c r="C365">
        <v>54</v>
      </c>
      <c r="D365">
        <v>57</v>
      </c>
      <c r="E365">
        <v>357</v>
      </c>
    </row>
    <row r="366" spans="1:5">
      <c r="A366">
        <v>3303</v>
      </c>
      <c r="B366" t="s">
        <v>5375</v>
      </c>
      <c r="C366">
        <v>54</v>
      </c>
      <c r="D366">
        <v>22</v>
      </c>
      <c r="E366">
        <v>357</v>
      </c>
    </row>
    <row r="367" spans="1:5">
      <c r="A367">
        <v>3376</v>
      </c>
      <c r="B367" t="s">
        <v>5397</v>
      </c>
      <c r="C367">
        <v>54</v>
      </c>
      <c r="D367">
        <v>43</v>
      </c>
      <c r="E367">
        <v>357</v>
      </c>
    </row>
    <row r="368" spans="1:5">
      <c r="A368">
        <v>3546</v>
      </c>
      <c r="B368" t="s">
        <v>5447</v>
      </c>
      <c r="C368">
        <v>54</v>
      </c>
      <c r="D368">
        <v>71</v>
      </c>
      <c r="E368">
        <v>357</v>
      </c>
    </row>
    <row r="369" spans="1:5">
      <c r="A369">
        <v>4943</v>
      </c>
      <c r="B369" t="s">
        <v>5624</v>
      </c>
      <c r="C369">
        <v>54</v>
      </c>
      <c r="D369">
        <v>60</v>
      </c>
      <c r="E369">
        <v>357</v>
      </c>
    </row>
    <row r="370" spans="1:5">
      <c r="A370">
        <v>4976</v>
      </c>
      <c r="B370" t="s">
        <v>5638</v>
      </c>
      <c r="C370">
        <v>54</v>
      </c>
      <c r="D370">
        <v>92</v>
      </c>
      <c r="E370">
        <v>357</v>
      </c>
    </row>
    <row r="371" spans="1:5">
      <c r="A371">
        <v>5299</v>
      </c>
      <c r="B371" t="s">
        <v>316</v>
      </c>
      <c r="C371">
        <v>54</v>
      </c>
      <c r="D371">
        <v>98</v>
      </c>
      <c r="E371">
        <v>357</v>
      </c>
    </row>
    <row r="372" spans="1:5">
      <c r="A372">
        <v>5347</v>
      </c>
      <c r="B372" t="s">
        <v>5680</v>
      </c>
      <c r="C372">
        <v>54</v>
      </c>
      <c r="D372">
        <v>94</v>
      </c>
      <c r="E372">
        <v>357</v>
      </c>
    </row>
    <row r="373" spans="1:5">
      <c r="A373">
        <v>6118</v>
      </c>
      <c r="B373" t="s">
        <v>5753</v>
      </c>
      <c r="C373">
        <v>54</v>
      </c>
      <c r="D373">
        <v>61</v>
      </c>
      <c r="E373">
        <v>357</v>
      </c>
    </row>
    <row r="374" spans="1:5">
      <c r="A374">
        <v>6143</v>
      </c>
      <c r="B374" t="s">
        <v>5769</v>
      </c>
      <c r="C374">
        <v>54</v>
      </c>
      <c r="D374">
        <v>71</v>
      </c>
      <c r="E374">
        <v>357</v>
      </c>
    </row>
    <row r="375" spans="1:5">
      <c r="A375">
        <v>6469</v>
      </c>
      <c r="B375" t="s">
        <v>5885</v>
      </c>
      <c r="C375">
        <v>54</v>
      </c>
      <c r="D375">
        <v>50</v>
      </c>
      <c r="E375">
        <v>357</v>
      </c>
    </row>
    <row r="376" spans="1:5">
      <c r="A376">
        <v>6672</v>
      </c>
      <c r="B376" t="s">
        <v>5940</v>
      </c>
      <c r="C376">
        <v>54</v>
      </c>
      <c r="D376">
        <v>83</v>
      </c>
      <c r="E376">
        <v>357</v>
      </c>
    </row>
    <row r="377" spans="1:5">
      <c r="A377">
        <v>8081</v>
      </c>
      <c r="B377" t="s">
        <v>5978</v>
      </c>
      <c r="C377">
        <v>54</v>
      </c>
      <c r="D377">
        <v>75</v>
      </c>
      <c r="E377">
        <v>357</v>
      </c>
    </row>
    <row r="378" spans="1:5">
      <c r="A378">
        <v>8926</v>
      </c>
      <c r="B378" t="s">
        <v>6061</v>
      </c>
      <c r="C378">
        <v>54</v>
      </c>
      <c r="D378">
        <v>39</v>
      </c>
      <c r="E378">
        <v>357</v>
      </c>
    </row>
    <row r="379" spans="1:5">
      <c r="A379">
        <v>9924</v>
      </c>
      <c r="B379" t="s">
        <v>6084</v>
      </c>
      <c r="C379">
        <v>54</v>
      </c>
      <c r="D379">
        <v>25</v>
      </c>
      <c r="E379">
        <v>357</v>
      </c>
    </row>
    <row r="380" spans="1:5">
      <c r="A380">
        <v>1305</v>
      </c>
      <c r="B380" t="s">
        <v>4808</v>
      </c>
      <c r="C380">
        <v>53</v>
      </c>
      <c r="D380">
        <v>119</v>
      </c>
      <c r="E380">
        <v>379</v>
      </c>
    </row>
    <row r="381" spans="1:5">
      <c r="A381">
        <v>2390</v>
      </c>
      <c r="B381" t="s">
        <v>5087</v>
      </c>
      <c r="C381">
        <v>53</v>
      </c>
      <c r="D381">
        <v>23</v>
      </c>
      <c r="E381">
        <v>379</v>
      </c>
    </row>
    <row r="382" spans="1:5">
      <c r="A382">
        <v>2515</v>
      </c>
      <c r="B382" t="s">
        <v>5166</v>
      </c>
      <c r="C382">
        <v>53</v>
      </c>
      <c r="D382">
        <v>42</v>
      </c>
      <c r="E382">
        <v>379</v>
      </c>
    </row>
    <row r="383" spans="1:5">
      <c r="A383">
        <v>2889</v>
      </c>
      <c r="B383" t="s">
        <v>5248</v>
      </c>
      <c r="C383">
        <v>53</v>
      </c>
      <c r="D383">
        <v>75</v>
      </c>
      <c r="E383">
        <v>379</v>
      </c>
    </row>
    <row r="384" spans="1:5">
      <c r="A384">
        <v>3003</v>
      </c>
      <c r="B384" t="s">
        <v>5270</v>
      </c>
      <c r="C384">
        <v>53</v>
      </c>
      <c r="D384">
        <v>91</v>
      </c>
      <c r="E384">
        <v>379</v>
      </c>
    </row>
    <row r="385" spans="1:5">
      <c r="A385">
        <v>4513</v>
      </c>
      <c r="B385" t="s">
        <v>5561</v>
      </c>
      <c r="C385">
        <v>53</v>
      </c>
      <c r="D385">
        <v>44</v>
      </c>
      <c r="E385">
        <v>379</v>
      </c>
    </row>
    <row r="386" spans="1:5">
      <c r="A386">
        <v>6168</v>
      </c>
      <c r="B386" t="s">
        <v>5785</v>
      </c>
      <c r="C386">
        <v>53</v>
      </c>
      <c r="D386">
        <v>40</v>
      </c>
      <c r="E386">
        <v>379</v>
      </c>
    </row>
    <row r="387" spans="1:5">
      <c r="A387">
        <v>6194</v>
      </c>
      <c r="B387" t="s">
        <v>6313</v>
      </c>
      <c r="C387">
        <v>53</v>
      </c>
      <c r="D387">
        <v>13</v>
      </c>
      <c r="E387">
        <v>379</v>
      </c>
    </row>
    <row r="388" spans="1:5">
      <c r="A388">
        <v>6213</v>
      </c>
      <c r="B388" t="s">
        <v>5815</v>
      </c>
      <c r="C388">
        <v>53</v>
      </c>
      <c r="D388">
        <v>62</v>
      </c>
      <c r="E388">
        <v>379</v>
      </c>
    </row>
    <row r="389" spans="1:5">
      <c r="A389">
        <v>6229</v>
      </c>
      <c r="B389" t="s">
        <v>5827</v>
      </c>
      <c r="C389">
        <v>53</v>
      </c>
      <c r="D389">
        <v>54</v>
      </c>
      <c r="E389">
        <v>379</v>
      </c>
    </row>
    <row r="390" spans="1:5">
      <c r="A390">
        <v>8071</v>
      </c>
      <c r="B390" t="s">
        <v>5974</v>
      </c>
      <c r="C390">
        <v>53</v>
      </c>
      <c r="D390">
        <v>54</v>
      </c>
      <c r="E390">
        <v>379</v>
      </c>
    </row>
    <row r="391" spans="1:5">
      <c r="A391">
        <v>8415</v>
      </c>
      <c r="B391" t="s">
        <v>6027</v>
      </c>
      <c r="C391">
        <v>53</v>
      </c>
      <c r="D391">
        <v>55</v>
      </c>
      <c r="E391">
        <v>379</v>
      </c>
    </row>
    <row r="392" spans="1:5">
      <c r="A392">
        <v>9934</v>
      </c>
      <c r="B392" t="s">
        <v>6091</v>
      </c>
      <c r="C392">
        <v>53</v>
      </c>
      <c r="D392">
        <v>60</v>
      </c>
      <c r="E392">
        <v>379</v>
      </c>
    </row>
    <row r="393" spans="1:5">
      <c r="A393">
        <v>1409</v>
      </c>
      <c r="B393" t="s">
        <v>4831</v>
      </c>
      <c r="C393">
        <v>52</v>
      </c>
      <c r="D393">
        <v>33</v>
      </c>
      <c r="E393">
        <v>392</v>
      </c>
    </row>
    <row r="394" spans="1:5">
      <c r="A394">
        <v>2027</v>
      </c>
      <c r="B394" t="s">
        <v>4991</v>
      </c>
      <c r="C394">
        <v>52</v>
      </c>
      <c r="D394">
        <v>86</v>
      </c>
      <c r="E394">
        <v>392</v>
      </c>
    </row>
    <row r="395" spans="1:5">
      <c r="A395">
        <v>2492</v>
      </c>
      <c r="B395" t="s">
        <v>5153</v>
      </c>
      <c r="C395">
        <v>52</v>
      </c>
      <c r="D395">
        <v>90</v>
      </c>
      <c r="E395">
        <v>392</v>
      </c>
    </row>
    <row r="396" spans="1:5">
      <c r="A396">
        <v>2539</v>
      </c>
      <c r="B396" t="s">
        <v>5177</v>
      </c>
      <c r="C396">
        <v>52</v>
      </c>
      <c r="D396">
        <v>46</v>
      </c>
      <c r="E396">
        <v>392</v>
      </c>
    </row>
    <row r="397" spans="1:5">
      <c r="A397">
        <v>2611</v>
      </c>
      <c r="B397" t="s">
        <v>5193</v>
      </c>
      <c r="C397">
        <v>52</v>
      </c>
      <c r="D397">
        <v>66</v>
      </c>
      <c r="E397">
        <v>392</v>
      </c>
    </row>
    <row r="398" spans="1:5">
      <c r="A398">
        <v>3583</v>
      </c>
      <c r="B398" t="s">
        <v>5460</v>
      </c>
      <c r="C398">
        <v>52</v>
      </c>
      <c r="D398">
        <v>71</v>
      </c>
      <c r="E398">
        <v>392</v>
      </c>
    </row>
    <row r="399" spans="1:5">
      <c r="A399">
        <v>3605</v>
      </c>
      <c r="B399" t="s">
        <v>5467</v>
      </c>
      <c r="C399">
        <v>52</v>
      </c>
      <c r="D399">
        <v>65</v>
      </c>
      <c r="E399">
        <v>392</v>
      </c>
    </row>
    <row r="400" spans="1:5">
      <c r="A400">
        <v>5234</v>
      </c>
      <c r="B400" t="s">
        <v>5658</v>
      </c>
      <c r="C400">
        <v>52</v>
      </c>
      <c r="D400">
        <v>59</v>
      </c>
      <c r="E400">
        <v>392</v>
      </c>
    </row>
    <row r="401" spans="1:5">
      <c r="A401">
        <v>5512</v>
      </c>
      <c r="B401" t="s">
        <v>5710</v>
      </c>
      <c r="C401">
        <v>52</v>
      </c>
      <c r="D401">
        <v>16</v>
      </c>
      <c r="E401">
        <v>392</v>
      </c>
    </row>
    <row r="402" spans="1:5">
      <c r="A402">
        <v>6153</v>
      </c>
      <c r="B402" t="s">
        <v>5775</v>
      </c>
      <c r="C402">
        <v>52</v>
      </c>
      <c r="D402">
        <v>47</v>
      </c>
      <c r="E402">
        <v>392</v>
      </c>
    </row>
    <row r="403" spans="1:5">
      <c r="A403">
        <v>6667</v>
      </c>
      <c r="B403" t="s">
        <v>5935</v>
      </c>
      <c r="C403">
        <v>52</v>
      </c>
      <c r="D403">
        <v>33</v>
      </c>
      <c r="E403">
        <v>392</v>
      </c>
    </row>
    <row r="404" spans="1:5">
      <c r="A404">
        <v>2327</v>
      </c>
      <c r="B404" t="s">
        <v>5045</v>
      </c>
      <c r="C404">
        <v>51</v>
      </c>
      <c r="D404">
        <v>58</v>
      </c>
      <c r="E404">
        <v>403</v>
      </c>
    </row>
    <row r="405" spans="1:5">
      <c r="A405">
        <v>2328</v>
      </c>
      <c r="B405" t="s">
        <v>5046</v>
      </c>
      <c r="C405">
        <v>51</v>
      </c>
      <c r="D405">
        <v>70</v>
      </c>
      <c r="E405">
        <v>403</v>
      </c>
    </row>
    <row r="406" spans="1:5">
      <c r="A406">
        <v>2393</v>
      </c>
      <c r="B406" t="s">
        <v>5089</v>
      </c>
      <c r="C406">
        <v>51</v>
      </c>
      <c r="D406">
        <v>72</v>
      </c>
      <c r="E406">
        <v>403</v>
      </c>
    </row>
    <row r="407" spans="1:5">
      <c r="A407">
        <v>2608</v>
      </c>
      <c r="B407" t="s">
        <v>5190</v>
      </c>
      <c r="C407">
        <v>51</v>
      </c>
      <c r="D407">
        <v>72</v>
      </c>
      <c r="E407">
        <v>403</v>
      </c>
    </row>
    <row r="408" spans="1:5">
      <c r="A408">
        <v>2906</v>
      </c>
      <c r="B408" t="s">
        <v>5257</v>
      </c>
      <c r="C408">
        <v>51</v>
      </c>
      <c r="D408">
        <v>55</v>
      </c>
      <c r="E408">
        <v>403</v>
      </c>
    </row>
    <row r="409" spans="1:5">
      <c r="A409">
        <v>3228</v>
      </c>
      <c r="B409" t="s">
        <v>6428</v>
      </c>
      <c r="C409">
        <v>51</v>
      </c>
      <c r="D409">
        <v>37</v>
      </c>
      <c r="E409">
        <v>403</v>
      </c>
    </row>
    <row r="410" spans="1:5">
      <c r="A410">
        <v>3312</v>
      </c>
      <c r="B410" t="s">
        <v>5380</v>
      </c>
      <c r="C410">
        <v>51</v>
      </c>
      <c r="D410">
        <v>58</v>
      </c>
      <c r="E410">
        <v>403</v>
      </c>
    </row>
    <row r="411" spans="1:5">
      <c r="A411">
        <v>4142</v>
      </c>
      <c r="B411" t="s">
        <v>5529</v>
      </c>
      <c r="C411">
        <v>51</v>
      </c>
      <c r="D411">
        <v>62</v>
      </c>
      <c r="E411">
        <v>403</v>
      </c>
    </row>
    <row r="412" spans="1:5">
      <c r="A412">
        <v>5274</v>
      </c>
      <c r="B412" t="s">
        <v>5667</v>
      </c>
      <c r="C412">
        <v>51</v>
      </c>
      <c r="D412">
        <v>46</v>
      </c>
      <c r="E412">
        <v>403</v>
      </c>
    </row>
    <row r="413" spans="1:5">
      <c r="A413">
        <v>5285</v>
      </c>
      <c r="B413" t="s">
        <v>5670</v>
      </c>
      <c r="C413">
        <v>51</v>
      </c>
      <c r="D413">
        <v>78</v>
      </c>
      <c r="E413">
        <v>403</v>
      </c>
    </row>
    <row r="414" spans="1:5">
      <c r="A414">
        <v>6282</v>
      </c>
      <c r="B414" t="s">
        <v>5856</v>
      </c>
      <c r="C414">
        <v>51</v>
      </c>
      <c r="D414">
        <v>71</v>
      </c>
      <c r="E414">
        <v>403</v>
      </c>
    </row>
    <row r="415" spans="1:5">
      <c r="A415">
        <v>6505</v>
      </c>
      <c r="B415" t="s">
        <v>5895</v>
      </c>
      <c r="C415">
        <v>51</v>
      </c>
      <c r="D415">
        <v>50</v>
      </c>
      <c r="E415">
        <v>403</v>
      </c>
    </row>
    <row r="416" spans="1:5">
      <c r="A416">
        <v>6525</v>
      </c>
      <c r="B416" t="s">
        <v>5904</v>
      </c>
      <c r="C416">
        <v>51</v>
      </c>
      <c r="D416">
        <v>76</v>
      </c>
      <c r="E416">
        <v>403</v>
      </c>
    </row>
    <row r="417" spans="1:5">
      <c r="A417">
        <v>1569</v>
      </c>
      <c r="B417" t="s">
        <v>4897</v>
      </c>
      <c r="C417">
        <v>50</v>
      </c>
      <c r="D417">
        <v>36</v>
      </c>
      <c r="E417">
        <v>416</v>
      </c>
    </row>
    <row r="418" spans="1:5">
      <c r="A418">
        <v>1603</v>
      </c>
      <c r="B418" t="s">
        <v>4913</v>
      </c>
      <c r="C418">
        <v>50</v>
      </c>
      <c r="D418">
        <v>20</v>
      </c>
      <c r="E418">
        <v>416</v>
      </c>
    </row>
    <row r="419" spans="1:5">
      <c r="A419">
        <v>1604</v>
      </c>
      <c r="B419" t="s">
        <v>4914</v>
      </c>
      <c r="C419">
        <v>50</v>
      </c>
      <c r="D419">
        <v>46</v>
      </c>
      <c r="E419">
        <v>416</v>
      </c>
    </row>
    <row r="420" spans="1:5">
      <c r="A420">
        <v>2401</v>
      </c>
      <c r="B420" t="s">
        <v>5093</v>
      </c>
      <c r="C420">
        <v>50</v>
      </c>
      <c r="D420">
        <v>62</v>
      </c>
      <c r="E420">
        <v>416</v>
      </c>
    </row>
    <row r="421" spans="1:5">
      <c r="A421">
        <v>2867</v>
      </c>
      <c r="B421" t="s">
        <v>5238</v>
      </c>
      <c r="C421">
        <v>50</v>
      </c>
      <c r="D421">
        <v>69</v>
      </c>
      <c r="E421">
        <v>416</v>
      </c>
    </row>
    <row r="422" spans="1:5">
      <c r="A422">
        <v>3105</v>
      </c>
      <c r="B422" t="s">
        <v>5324</v>
      </c>
      <c r="C422">
        <v>50</v>
      </c>
      <c r="D422">
        <v>54</v>
      </c>
      <c r="E422">
        <v>416</v>
      </c>
    </row>
    <row r="423" spans="1:5">
      <c r="A423">
        <v>3227</v>
      </c>
      <c r="B423" t="s">
        <v>5353</v>
      </c>
      <c r="C423">
        <v>50</v>
      </c>
      <c r="D423">
        <v>83</v>
      </c>
      <c r="E423">
        <v>416</v>
      </c>
    </row>
    <row r="424" spans="1:5">
      <c r="A424">
        <v>3434</v>
      </c>
      <c r="B424" t="s">
        <v>5408</v>
      </c>
      <c r="C424">
        <v>50</v>
      </c>
      <c r="D424">
        <v>50</v>
      </c>
      <c r="E424">
        <v>416</v>
      </c>
    </row>
    <row r="425" spans="1:5">
      <c r="A425">
        <v>3483</v>
      </c>
      <c r="B425" t="s">
        <v>5420</v>
      </c>
      <c r="C425">
        <v>50</v>
      </c>
      <c r="D425">
        <v>70</v>
      </c>
      <c r="E425">
        <v>416</v>
      </c>
    </row>
    <row r="426" spans="1:5">
      <c r="A426">
        <v>4960</v>
      </c>
      <c r="B426" t="s">
        <v>5630</v>
      </c>
      <c r="C426">
        <v>50</v>
      </c>
      <c r="D426">
        <v>68</v>
      </c>
      <c r="E426">
        <v>416</v>
      </c>
    </row>
    <row r="427" spans="1:5">
      <c r="A427">
        <v>5609</v>
      </c>
      <c r="B427" t="s">
        <v>5727</v>
      </c>
      <c r="C427">
        <v>50</v>
      </c>
      <c r="D427">
        <v>61</v>
      </c>
      <c r="E427">
        <v>416</v>
      </c>
    </row>
    <row r="428" spans="1:5">
      <c r="A428">
        <v>6257</v>
      </c>
      <c r="B428" t="s">
        <v>5841</v>
      </c>
      <c r="C428">
        <v>50</v>
      </c>
      <c r="D428">
        <v>67</v>
      </c>
      <c r="E428">
        <v>416</v>
      </c>
    </row>
    <row r="429" spans="1:5">
      <c r="A429">
        <v>6533</v>
      </c>
      <c r="B429" t="s">
        <v>5907</v>
      </c>
      <c r="C429">
        <v>50</v>
      </c>
      <c r="D429">
        <v>66</v>
      </c>
      <c r="E429">
        <v>416</v>
      </c>
    </row>
    <row r="430" spans="1:5">
      <c r="A430">
        <v>8027</v>
      </c>
      <c r="B430" t="s">
        <v>5959</v>
      </c>
      <c r="C430">
        <v>50</v>
      </c>
      <c r="D430">
        <v>60</v>
      </c>
      <c r="E430">
        <v>416</v>
      </c>
    </row>
    <row r="431" spans="1:5">
      <c r="A431">
        <v>1227</v>
      </c>
      <c r="B431" t="s">
        <v>4793</v>
      </c>
      <c r="C431">
        <v>49</v>
      </c>
      <c r="D431">
        <v>51</v>
      </c>
      <c r="E431">
        <v>430</v>
      </c>
    </row>
    <row r="432" spans="1:5">
      <c r="A432">
        <v>1904</v>
      </c>
      <c r="B432" t="s">
        <v>4972</v>
      </c>
      <c r="C432">
        <v>49</v>
      </c>
      <c r="D432">
        <v>75</v>
      </c>
      <c r="E432">
        <v>430</v>
      </c>
    </row>
    <row r="433" spans="1:5">
      <c r="A433">
        <v>2031</v>
      </c>
      <c r="B433" t="s">
        <v>4995</v>
      </c>
      <c r="C433">
        <v>49</v>
      </c>
      <c r="D433">
        <v>81</v>
      </c>
      <c r="E433">
        <v>430</v>
      </c>
    </row>
    <row r="434" spans="1:5">
      <c r="A434">
        <v>2034</v>
      </c>
      <c r="B434" t="s">
        <v>4998</v>
      </c>
      <c r="C434">
        <v>49</v>
      </c>
      <c r="D434">
        <v>69</v>
      </c>
      <c r="E434">
        <v>430</v>
      </c>
    </row>
    <row r="435" spans="1:5">
      <c r="A435">
        <v>2049</v>
      </c>
      <c r="B435" t="s">
        <v>5001</v>
      </c>
      <c r="C435">
        <v>49</v>
      </c>
      <c r="D435">
        <v>80</v>
      </c>
      <c r="E435">
        <v>430</v>
      </c>
    </row>
    <row r="436" spans="1:5">
      <c r="A436">
        <v>2204</v>
      </c>
      <c r="B436" t="s">
        <v>5018</v>
      </c>
      <c r="C436">
        <v>49</v>
      </c>
      <c r="D436">
        <v>47</v>
      </c>
      <c r="E436">
        <v>430</v>
      </c>
    </row>
    <row r="437" spans="1:5">
      <c r="A437">
        <v>2316</v>
      </c>
      <c r="B437" t="s">
        <v>5041</v>
      </c>
      <c r="C437">
        <v>49</v>
      </c>
      <c r="D437">
        <v>20</v>
      </c>
      <c r="E437">
        <v>430</v>
      </c>
    </row>
    <row r="438" spans="1:5">
      <c r="A438">
        <v>2607</v>
      </c>
      <c r="B438" t="s">
        <v>5189</v>
      </c>
      <c r="C438">
        <v>49</v>
      </c>
      <c r="D438">
        <v>45</v>
      </c>
      <c r="E438">
        <v>430</v>
      </c>
    </row>
    <row r="439" spans="1:5">
      <c r="A439">
        <v>3260</v>
      </c>
      <c r="B439" t="s">
        <v>5361</v>
      </c>
      <c r="C439">
        <v>49</v>
      </c>
      <c r="D439">
        <v>84</v>
      </c>
      <c r="E439">
        <v>430</v>
      </c>
    </row>
    <row r="440" spans="1:5">
      <c r="A440">
        <v>3563</v>
      </c>
      <c r="B440" t="s">
        <v>5455</v>
      </c>
      <c r="C440">
        <v>49</v>
      </c>
      <c r="D440">
        <v>46</v>
      </c>
      <c r="E440">
        <v>430</v>
      </c>
    </row>
    <row r="441" spans="1:5">
      <c r="A441">
        <v>4736</v>
      </c>
      <c r="B441" t="s">
        <v>5596</v>
      </c>
      <c r="C441">
        <v>49</v>
      </c>
      <c r="D441">
        <v>76</v>
      </c>
      <c r="E441">
        <v>430</v>
      </c>
    </row>
    <row r="442" spans="1:5">
      <c r="A442">
        <v>6190</v>
      </c>
      <c r="B442" t="s">
        <v>5802</v>
      </c>
      <c r="C442">
        <v>49</v>
      </c>
      <c r="D442">
        <v>90</v>
      </c>
      <c r="E442">
        <v>430</v>
      </c>
    </row>
    <row r="443" spans="1:5">
      <c r="A443">
        <v>6226</v>
      </c>
      <c r="B443" t="s">
        <v>5825</v>
      </c>
      <c r="C443">
        <v>49</v>
      </c>
      <c r="D443">
        <v>73</v>
      </c>
      <c r="E443">
        <v>430</v>
      </c>
    </row>
    <row r="444" spans="1:5">
      <c r="A444">
        <v>6279</v>
      </c>
      <c r="B444" t="s">
        <v>5854</v>
      </c>
      <c r="C444">
        <v>49</v>
      </c>
      <c r="D444">
        <v>67</v>
      </c>
      <c r="E444">
        <v>430</v>
      </c>
    </row>
    <row r="445" spans="1:5">
      <c r="A445">
        <v>6290</v>
      </c>
      <c r="B445" t="s">
        <v>5861</v>
      </c>
      <c r="C445">
        <v>49</v>
      </c>
      <c r="D445">
        <v>74</v>
      </c>
      <c r="E445">
        <v>430</v>
      </c>
    </row>
    <row r="446" spans="1:5">
      <c r="A446">
        <v>1714</v>
      </c>
      <c r="B446" t="s">
        <v>4934</v>
      </c>
      <c r="C446">
        <v>48</v>
      </c>
      <c r="D446">
        <v>55</v>
      </c>
      <c r="E446">
        <v>445</v>
      </c>
    </row>
    <row r="447" spans="1:5">
      <c r="A447">
        <v>1733</v>
      </c>
      <c r="B447" t="s">
        <v>4946</v>
      </c>
      <c r="C447">
        <v>48</v>
      </c>
      <c r="D447">
        <v>29</v>
      </c>
      <c r="E447">
        <v>445</v>
      </c>
    </row>
    <row r="448" spans="1:5">
      <c r="A448">
        <v>2305</v>
      </c>
      <c r="B448" t="s">
        <v>5037</v>
      </c>
      <c r="C448">
        <v>48</v>
      </c>
      <c r="D448">
        <v>31</v>
      </c>
      <c r="E448">
        <v>445</v>
      </c>
    </row>
    <row r="449" spans="1:5">
      <c r="A449">
        <v>2406</v>
      </c>
      <c r="B449" t="s">
        <v>5096</v>
      </c>
      <c r="C449">
        <v>48</v>
      </c>
      <c r="D449">
        <v>92</v>
      </c>
      <c r="E449">
        <v>445</v>
      </c>
    </row>
    <row r="450" spans="1:5">
      <c r="A450">
        <v>2419</v>
      </c>
      <c r="B450" t="s">
        <v>5104</v>
      </c>
      <c r="C450">
        <v>48</v>
      </c>
      <c r="D450">
        <v>51</v>
      </c>
      <c r="E450">
        <v>445</v>
      </c>
    </row>
    <row r="451" spans="1:5">
      <c r="A451">
        <v>3027</v>
      </c>
      <c r="B451" t="s">
        <v>5287</v>
      </c>
      <c r="C451">
        <v>48</v>
      </c>
      <c r="D451">
        <v>38</v>
      </c>
      <c r="E451">
        <v>445</v>
      </c>
    </row>
    <row r="452" spans="1:5">
      <c r="A452">
        <v>3209</v>
      </c>
      <c r="B452" t="s">
        <v>5345</v>
      </c>
      <c r="C452">
        <v>48</v>
      </c>
      <c r="D452">
        <v>64</v>
      </c>
      <c r="E452">
        <v>445</v>
      </c>
    </row>
    <row r="453" spans="1:5">
      <c r="A453">
        <v>3551</v>
      </c>
      <c r="B453" t="s">
        <v>5450</v>
      </c>
      <c r="C453">
        <v>48</v>
      </c>
      <c r="D453">
        <v>70</v>
      </c>
      <c r="E453">
        <v>445</v>
      </c>
    </row>
    <row r="454" spans="1:5">
      <c r="A454">
        <v>4119</v>
      </c>
      <c r="B454" t="s">
        <v>5519</v>
      </c>
      <c r="C454">
        <v>48</v>
      </c>
      <c r="D454">
        <v>31</v>
      </c>
      <c r="E454">
        <v>445</v>
      </c>
    </row>
    <row r="455" spans="1:5">
      <c r="A455">
        <v>4728</v>
      </c>
      <c r="B455" t="s">
        <v>5594</v>
      </c>
      <c r="C455">
        <v>48</v>
      </c>
      <c r="D455">
        <v>19</v>
      </c>
      <c r="E455">
        <v>445</v>
      </c>
    </row>
    <row r="456" spans="1:5">
      <c r="A456">
        <v>4977</v>
      </c>
      <c r="B456" t="s">
        <v>5639</v>
      </c>
      <c r="C456">
        <v>48</v>
      </c>
      <c r="D456">
        <v>27</v>
      </c>
      <c r="E456">
        <v>445</v>
      </c>
    </row>
    <row r="457" spans="1:5">
      <c r="A457">
        <v>5203</v>
      </c>
      <c r="B457" t="s">
        <v>5650</v>
      </c>
      <c r="C457">
        <v>48</v>
      </c>
      <c r="D457">
        <v>42</v>
      </c>
      <c r="E457">
        <v>445</v>
      </c>
    </row>
    <row r="458" spans="1:5">
      <c r="A458">
        <v>5288</v>
      </c>
      <c r="B458" t="s">
        <v>5672</v>
      </c>
      <c r="C458">
        <v>48</v>
      </c>
      <c r="D458">
        <v>82</v>
      </c>
      <c r="E458">
        <v>445</v>
      </c>
    </row>
    <row r="459" spans="1:5">
      <c r="A459">
        <v>5471</v>
      </c>
      <c r="B459" t="s">
        <v>5702</v>
      </c>
      <c r="C459">
        <v>48</v>
      </c>
      <c r="D459">
        <v>83</v>
      </c>
      <c r="E459">
        <v>445</v>
      </c>
    </row>
    <row r="460" spans="1:5">
      <c r="A460">
        <v>5905</v>
      </c>
      <c r="B460" t="s">
        <v>5737</v>
      </c>
      <c r="C460">
        <v>48</v>
      </c>
      <c r="D460">
        <v>49</v>
      </c>
      <c r="E460">
        <v>445</v>
      </c>
    </row>
    <row r="461" spans="1:5">
      <c r="A461">
        <v>8049</v>
      </c>
      <c r="B461" t="s">
        <v>5968</v>
      </c>
      <c r="C461">
        <v>48</v>
      </c>
      <c r="D461">
        <v>36</v>
      </c>
      <c r="E461">
        <v>445</v>
      </c>
    </row>
    <row r="462" spans="1:5">
      <c r="A462">
        <v>8454</v>
      </c>
      <c r="B462" t="s">
        <v>6042</v>
      </c>
      <c r="C462">
        <v>48</v>
      </c>
      <c r="D462">
        <v>48</v>
      </c>
      <c r="E462">
        <v>445</v>
      </c>
    </row>
    <row r="463" spans="1:5">
      <c r="A463">
        <v>9962</v>
      </c>
      <c r="B463" t="s">
        <v>6106</v>
      </c>
      <c r="C463">
        <v>48</v>
      </c>
      <c r="D463">
        <v>65</v>
      </c>
      <c r="E463">
        <v>445</v>
      </c>
    </row>
    <row r="464" spans="1:5">
      <c r="A464">
        <v>1442</v>
      </c>
      <c r="B464" t="s">
        <v>4844</v>
      </c>
      <c r="C464">
        <v>47</v>
      </c>
      <c r="D464">
        <v>57</v>
      </c>
      <c r="E464">
        <v>463</v>
      </c>
    </row>
    <row r="465" spans="1:5">
      <c r="A465">
        <v>2062</v>
      </c>
      <c r="B465" t="s">
        <v>673</v>
      </c>
      <c r="C465">
        <v>47</v>
      </c>
      <c r="D465">
        <v>61</v>
      </c>
      <c r="E465">
        <v>463</v>
      </c>
    </row>
    <row r="466" spans="1:5">
      <c r="A466">
        <v>2329</v>
      </c>
      <c r="B466" t="s">
        <v>5047</v>
      </c>
      <c r="C466">
        <v>47</v>
      </c>
      <c r="D466">
        <v>52</v>
      </c>
      <c r="E466">
        <v>463</v>
      </c>
    </row>
    <row r="467" spans="1:5">
      <c r="A467">
        <v>2482</v>
      </c>
      <c r="B467" t="s">
        <v>5145</v>
      </c>
      <c r="C467">
        <v>47</v>
      </c>
      <c r="D467">
        <v>38</v>
      </c>
      <c r="E467">
        <v>463</v>
      </c>
    </row>
    <row r="468" spans="1:5">
      <c r="A468">
        <v>2605</v>
      </c>
      <c r="B468" t="s">
        <v>5187</v>
      </c>
      <c r="C468">
        <v>47</v>
      </c>
      <c r="D468">
        <v>75</v>
      </c>
      <c r="E468">
        <v>463</v>
      </c>
    </row>
    <row r="469" spans="1:5">
      <c r="A469">
        <v>2617</v>
      </c>
      <c r="B469" t="s">
        <v>5199</v>
      </c>
      <c r="C469">
        <v>47</v>
      </c>
      <c r="D469">
        <v>62</v>
      </c>
      <c r="E469">
        <v>463</v>
      </c>
    </row>
    <row r="470" spans="1:5">
      <c r="A470">
        <v>2732</v>
      </c>
      <c r="B470" t="s">
        <v>5219</v>
      </c>
      <c r="C470">
        <v>47</v>
      </c>
      <c r="D470">
        <v>37</v>
      </c>
      <c r="E470">
        <v>463</v>
      </c>
    </row>
    <row r="471" spans="1:5">
      <c r="A471">
        <v>3019</v>
      </c>
      <c r="B471" t="s">
        <v>5281</v>
      </c>
      <c r="C471">
        <v>47</v>
      </c>
      <c r="D471">
        <v>68</v>
      </c>
      <c r="E471">
        <v>463</v>
      </c>
    </row>
    <row r="472" spans="1:5">
      <c r="A472">
        <v>3128</v>
      </c>
      <c r="B472" t="s">
        <v>5328</v>
      </c>
      <c r="C472">
        <v>47</v>
      </c>
      <c r="D472">
        <v>46</v>
      </c>
      <c r="E472">
        <v>463</v>
      </c>
    </row>
    <row r="473" spans="1:5">
      <c r="A473">
        <v>5245</v>
      </c>
      <c r="B473" t="s">
        <v>5661</v>
      </c>
      <c r="C473">
        <v>47</v>
      </c>
      <c r="D473">
        <v>42</v>
      </c>
      <c r="E473">
        <v>463</v>
      </c>
    </row>
    <row r="474" spans="1:5">
      <c r="A474">
        <v>5291</v>
      </c>
      <c r="B474" t="s">
        <v>5674</v>
      </c>
      <c r="C474">
        <v>47</v>
      </c>
      <c r="D474">
        <v>54</v>
      </c>
      <c r="E474">
        <v>463</v>
      </c>
    </row>
    <row r="475" spans="1:5">
      <c r="A475">
        <v>6163</v>
      </c>
      <c r="B475" t="s">
        <v>5781</v>
      </c>
      <c r="C475">
        <v>47</v>
      </c>
      <c r="D475">
        <v>52</v>
      </c>
      <c r="E475">
        <v>463</v>
      </c>
    </row>
    <row r="476" spans="1:5">
      <c r="A476">
        <v>8021</v>
      </c>
      <c r="B476" t="s">
        <v>5957</v>
      </c>
      <c r="C476">
        <v>47</v>
      </c>
      <c r="D476">
        <v>54</v>
      </c>
      <c r="E476">
        <v>463</v>
      </c>
    </row>
    <row r="477" spans="1:5">
      <c r="A477">
        <v>8064</v>
      </c>
      <c r="B477" t="s">
        <v>5971</v>
      </c>
      <c r="C477">
        <v>47</v>
      </c>
      <c r="D477">
        <v>59</v>
      </c>
      <c r="E477">
        <v>463</v>
      </c>
    </row>
    <row r="478" spans="1:5">
      <c r="A478">
        <v>9917</v>
      </c>
      <c r="B478" t="s">
        <v>6080</v>
      </c>
      <c r="C478">
        <v>47</v>
      </c>
      <c r="D478">
        <v>40</v>
      </c>
      <c r="E478">
        <v>463</v>
      </c>
    </row>
    <row r="479" spans="1:5">
      <c r="A479">
        <v>9941</v>
      </c>
      <c r="B479" t="s">
        <v>6097</v>
      </c>
      <c r="C479">
        <v>47</v>
      </c>
      <c r="D479">
        <v>49</v>
      </c>
      <c r="E479">
        <v>463</v>
      </c>
    </row>
    <row r="480" spans="1:5">
      <c r="A480">
        <v>9945</v>
      </c>
      <c r="B480" t="s">
        <v>6101</v>
      </c>
      <c r="C480">
        <v>47</v>
      </c>
      <c r="D480">
        <v>65</v>
      </c>
      <c r="E480">
        <v>463</v>
      </c>
    </row>
    <row r="481" spans="1:5">
      <c r="A481">
        <v>1215</v>
      </c>
      <c r="B481" t="s">
        <v>4786</v>
      </c>
      <c r="C481">
        <v>46</v>
      </c>
      <c r="D481">
        <v>52</v>
      </c>
      <c r="E481">
        <v>480</v>
      </c>
    </row>
    <row r="482" spans="1:5">
      <c r="A482">
        <v>1229</v>
      </c>
      <c r="B482" t="s">
        <v>4794</v>
      </c>
      <c r="C482">
        <v>46</v>
      </c>
      <c r="D482">
        <v>42</v>
      </c>
      <c r="E482">
        <v>480</v>
      </c>
    </row>
    <row r="483" spans="1:5">
      <c r="A483">
        <v>1325</v>
      </c>
      <c r="B483" t="s">
        <v>4822</v>
      </c>
      <c r="C483">
        <v>46</v>
      </c>
      <c r="D483">
        <v>48</v>
      </c>
      <c r="E483">
        <v>480</v>
      </c>
    </row>
    <row r="484" spans="1:5">
      <c r="A484">
        <v>1342</v>
      </c>
      <c r="B484" t="s">
        <v>4829</v>
      </c>
      <c r="C484">
        <v>46</v>
      </c>
      <c r="D484">
        <v>19</v>
      </c>
      <c r="E484">
        <v>480</v>
      </c>
    </row>
    <row r="485" spans="1:5">
      <c r="A485">
        <v>1453</v>
      </c>
      <c r="B485" t="s">
        <v>4851</v>
      </c>
      <c r="C485">
        <v>46</v>
      </c>
      <c r="D485">
        <v>17</v>
      </c>
      <c r="E485">
        <v>480</v>
      </c>
    </row>
    <row r="486" spans="1:5">
      <c r="A486">
        <v>1467</v>
      </c>
      <c r="B486" t="s">
        <v>4861</v>
      </c>
      <c r="C486">
        <v>46</v>
      </c>
      <c r="D486">
        <v>39</v>
      </c>
      <c r="E486">
        <v>480</v>
      </c>
    </row>
    <row r="487" spans="1:5">
      <c r="A487">
        <v>1590</v>
      </c>
      <c r="B487" t="s">
        <v>4906</v>
      </c>
      <c r="C487">
        <v>46</v>
      </c>
      <c r="D487">
        <v>39</v>
      </c>
      <c r="E487">
        <v>480</v>
      </c>
    </row>
    <row r="488" spans="1:5">
      <c r="A488">
        <v>2359</v>
      </c>
      <c r="B488" t="s">
        <v>5067</v>
      </c>
      <c r="C488">
        <v>46</v>
      </c>
      <c r="D488">
        <v>22</v>
      </c>
      <c r="E488">
        <v>480</v>
      </c>
    </row>
    <row r="489" spans="1:5">
      <c r="A489">
        <v>2375</v>
      </c>
      <c r="B489" t="s">
        <v>5078</v>
      </c>
      <c r="C489">
        <v>46</v>
      </c>
      <c r="D489">
        <v>81</v>
      </c>
      <c r="E489">
        <v>480</v>
      </c>
    </row>
    <row r="490" spans="1:5">
      <c r="A490">
        <v>2480</v>
      </c>
      <c r="B490" t="s">
        <v>5143</v>
      </c>
      <c r="C490">
        <v>46</v>
      </c>
      <c r="D490">
        <v>40</v>
      </c>
      <c r="E490">
        <v>480</v>
      </c>
    </row>
    <row r="491" spans="1:5">
      <c r="A491">
        <v>2495</v>
      </c>
      <c r="B491" t="s">
        <v>5155</v>
      </c>
      <c r="C491">
        <v>46</v>
      </c>
      <c r="D491">
        <v>31</v>
      </c>
      <c r="E491">
        <v>480</v>
      </c>
    </row>
    <row r="492" spans="1:5">
      <c r="A492">
        <v>4912</v>
      </c>
      <c r="B492" t="s">
        <v>5613</v>
      </c>
      <c r="C492">
        <v>46</v>
      </c>
      <c r="D492">
        <v>62</v>
      </c>
      <c r="E492">
        <v>480</v>
      </c>
    </row>
    <row r="493" spans="1:5">
      <c r="A493">
        <v>5011</v>
      </c>
      <c r="B493" t="s">
        <v>5646</v>
      </c>
      <c r="C493">
        <v>46</v>
      </c>
      <c r="D493">
        <v>74</v>
      </c>
      <c r="E493">
        <v>480</v>
      </c>
    </row>
    <row r="494" spans="1:5">
      <c r="A494">
        <v>5439</v>
      </c>
      <c r="B494" t="s">
        <v>5695</v>
      </c>
      <c r="C494">
        <v>46</v>
      </c>
      <c r="D494">
        <v>96</v>
      </c>
      <c r="E494">
        <v>480</v>
      </c>
    </row>
    <row r="495" spans="1:5">
      <c r="A495">
        <v>5607</v>
      </c>
      <c r="B495" t="s">
        <v>5725</v>
      </c>
      <c r="C495">
        <v>46</v>
      </c>
      <c r="D495">
        <v>38</v>
      </c>
      <c r="E495">
        <v>480</v>
      </c>
    </row>
    <row r="496" spans="1:5">
      <c r="A496">
        <v>5706</v>
      </c>
      <c r="B496" t="s">
        <v>5728</v>
      </c>
      <c r="C496">
        <v>46</v>
      </c>
      <c r="D496">
        <v>59</v>
      </c>
      <c r="E496">
        <v>480</v>
      </c>
    </row>
    <row r="497" spans="1:5">
      <c r="A497">
        <v>6111</v>
      </c>
      <c r="B497" t="s">
        <v>5747</v>
      </c>
      <c r="C497">
        <v>46</v>
      </c>
      <c r="D497">
        <v>55</v>
      </c>
      <c r="E497">
        <v>480</v>
      </c>
    </row>
    <row r="498" spans="1:5">
      <c r="A498">
        <v>6158</v>
      </c>
      <c r="B498" t="s">
        <v>5779</v>
      </c>
      <c r="C498">
        <v>46</v>
      </c>
      <c r="D498">
        <v>39</v>
      </c>
      <c r="E498">
        <v>480</v>
      </c>
    </row>
    <row r="499" spans="1:5">
      <c r="A499">
        <v>6188</v>
      </c>
      <c r="B499" t="s">
        <v>5800</v>
      </c>
      <c r="C499">
        <v>46</v>
      </c>
      <c r="D499">
        <v>63</v>
      </c>
      <c r="E499">
        <v>480</v>
      </c>
    </row>
    <row r="500" spans="1:5">
      <c r="A500">
        <v>6491</v>
      </c>
      <c r="B500" t="s">
        <v>5891</v>
      </c>
      <c r="C500">
        <v>46</v>
      </c>
      <c r="D500">
        <v>56</v>
      </c>
      <c r="E500">
        <v>480</v>
      </c>
    </row>
    <row r="501" spans="1:5">
      <c r="A501">
        <v>8028</v>
      </c>
      <c r="B501" t="s">
        <v>5960</v>
      </c>
      <c r="C501">
        <v>46</v>
      </c>
      <c r="D501">
        <v>40</v>
      </c>
      <c r="E501">
        <v>480</v>
      </c>
    </row>
    <row r="502" spans="1:5">
      <c r="A502">
        <v>8114</v>
      </c>
      <c r="B502" t="s">
        <v>5993</v>
      </c>
      <c r="C502">
        <v>46</v>
      </c>
      <c r="D502">
        <v>28</v>
      </c>
      <c r="E502">
        <v>480</v>
      </c>
    </row>
    <row r="503" spans="1:5">
      <c r="A503">
        <v>9958</v>
      </c>
      <c r="B503" t="s">
        <v>6105</v>
      </c>
      <c r="C503">
        <v>46</v>
      </c>
      <c r="D503">
        <v>78</v>
      </c>
      <c r="E503">
        <v>480</v>
      </c>
    </row>
    <row r="504" spans="1:5">
      <c r="A504">
        <v>1734</v>
      </c>
      <c r="B504" t="s">
        <v>4947</v>
      </c>
      <c r="C504">
        <v>45</v>
      </c>
      <c r="D504">
        <v>67</v>
      </c>
      <c r="E504">
        <v>503</v>
      </c>
    </row>
    <row r="505" spans="1:5">
      <c r="A505">
        <v>1802</v>
      </c>
      <c r="B505" t="s">
        <v>4964</v>
      </c>
      <c r="C505">
        <v>45</v>
      </c>
      <c r="D505">
        <v>59</v>
      </c>
      <c r="E505">
        <v>503</v>
      </c>
    </row>
    <row r="506" spans="1:5">
      <c r="A506">
        <v>2009</v>
      </c>
      <c r="B506" t="s">
        <v>4981</v>
      </c>
      <c r="C506">
        <v>45</v>
      </c>
      <c r="D506">
        <v>65</v>
      </c>
      <c r="E506">
        <v>503</v>
      </c>
    </row>
    <row r="507" spans="1:5">
      <c r="A507">
        <v>2103</v>
      </c>
      <c r="B507" t="s">
        <v>5008</v>
      </c>
      <c r="C507">
        <v>45</v>
      </c>
      <c r="D507">
        <v>65</v>
      </c>
      <c r="E507">
        <v>503</v>
      </c>
    </row>
    <row r="508" spans="1:5">
      <c r="A508">
        <v>2332</v>
      </c>
      <c r="B508" t="s">
        <v>5050</v>
      </c>
      <c r="C508">
        <v>45</v>
      </c>
      <c r="D508">
        <v>74</v>
      </c>
      <c r="E508">
        <v>503</v>
      </c>
    </row>
    <row r="509" spans="1:5">
      <c r="A509">
        <v>2548</v>
      </c>
      <c r="B509" t="s">
        <v>5182</v>
      </c>
      <c r="C509">
        <v>45</v>
      </c>
      <c r="D509">
        <v>66</v>
      </c>
      <c r="E509">
        <v>503</v>
      </c>
    </row>
    <row r="510" spans="1:5">
      <c r="A510">
        <v>2707</v>
      </c>
      <c r="B510" t="s">
        <v>5212</v>
      </c>
      <c r="C510">
        <v>45</v>
      </c>
      <c r="D510">
        <v>50</v>
      </c>
      <c r="E510">
        <v>503</v>
      </c>
    </row>
    <row r="511" spans="1:5">
      <c r="A511">
        <v>3008</v>
      </c>
      <c r="B511" t="s">
        <v>5274</v>
      </c>
      <c r="C511">
        <v>45</v>
      </c>
      <c r="D511">
        <v>45</v>
      </c>
      <c r="E511">
        <v>503</v>
      </c>
    </row>
    <row r="512" spans="1:5">
      <c r="A512">
        <v>3611</v>
      </c>
      <c r="B512" t="s">
        <v>5470</v>
      </c>
      <c r="C512">
        <v>45</v>
      </c>
      <c r="D512">
        <v>39</v>
      </c>
      <c r="E512">
        <v>503</v>
      </c>
    </row>
    <row r="513" spans="1:5">
      <c r="A513">
        <v>5519</v>
      </c>
      <c r="B513" t="s">
        <v>5712</v>
      </c>
      <c r="C513">
        <v>45</v>
      </c>
      <c r="D513">
        <v>50</v>
      </c>
      <c r="E513">
        <v>503</v>
      </c>
    </row>
    <row r="514" spans="1:5">
      <c r="A514">
        <v>8171</v>
      </c>
      <c r="B514" t="s">
        <v>5999</v>
      </c>
      <c r="C514">
        <v>45</v>
      </c>
      <c r="D514">
        <v>59</v>
      </c>
      <c r="E514">
        <v>503</v>
      </c>
    </row>
    <row r="515" spans="1:5">
      <c r="A515">
        <v>8271</v>
      </c>
      <c r="B515" t="s">
        <v>6012</v>
      </c>
      <c r="C515">
        <v>45</v>
      </c>
      <c r="D515">
        <v>71</v>
      </c>
      <c r="E515">
        <v>503</v>
      </c>
    </row>
    <row r="516" spans="1:5">
      <c r="A516">
        <v>2388</v>
      </c>
      <c r="B516" t="s">
        <v>5086</v>
      </c>
      <c r="C516">
        <v>44</v>
      </c>
      <c r="D516">
        <v>73</v>
      </c>
      <c r="E516">
        <v>515</v>
      </c>
    </row>
    <row r="517" spans="1:5">
      <c r="A517">
        <v>2509</v>
      </c>
      <c r="B517" t="s">
        <v>5163</v>
      </c>
      <c r="C517">
        <v>44</v>
      </c>
      <c r="D517">
        <v>28</v>
      </c>
      <c r="E517">
        <v>515</v>
      </c>
    </row>
    <row r="518" spans="1:5">
      <c r="A518">
        <v>3031</v>
      </c>
      <c r="B518" t="s">
        <v>5291</v>
      </c>
      <c r="C518">
        <v>44</v>
      </c>
      <c r="D518">
        <v>48</v>
      </c>
      <c r="E518">
        <v>515</v>
      </c>
    </row>
    <row r="519" spans="1:5">
      <c r="A519">
        <v>3049</v>
      </c>
      <c r="B519" t="s">
        <v>5306</v>
      </c>
      <c r="C519">
        <v>44</v>
      </c>
      <c r="D519">
        <v>76</v>
      </c>
      <c r="E519">
        <v>515</v>
      </c>
    </row>
    <row r="520" spans="1:5">
      <c r="A520">
        <v>3490</v>
      </c>
      <c r="B520" t="s">
        <v>5422</v>
      </c>
      <c r="C520">
        <v>44</v>
      </c>
      <c r="D520">
        <v>36</v>
      </c>
      <c r="E520">
        <v>515</v>
      </c>
    </row>
    <row r="521" spans="1:5">
      <c r="A521">
        <v>3580</v>
      </c>
      <c r="B521" t="s">
        <v>5458</v>
      </c>
      <c r="C521">
        <v>44</v>
      </c>
      <c r="D521">
        <v>50</v>
      </c>
      <c r="E521">
        <v>515</v>
      </c>
    </row>
    <row r="522" spans="1:5">
      <c r="A522">
        <v>3680</v>
      </c>
      <c r="B522" t="s">
        <v>5492</v>
      </c>
      <c r="C522">
        <v>44</v>
      </c>
      <c r="D522">
        <v>46</v>
      </c>
      <c r="E522">
        <v>515</v>
      </c>
    </row>
    <row r="523" spans="1:5">
      <c r="A523">
        <v>4164</v>
      </c>
      <c r="B523" t="s">
        <v>5538</v>
      </c>
      <c r="C523">
        <v>44</v>
      </c>
      <c r="D523">
        <v>42</v>
      </c>
      <c r="E523">
        <v>515</v>
      </c>
    </row>
    <row r="524" spans="1:5">
      <c r="A524">
        <v>4503</v>
      </c>
      <c r="B524" t="s">
        <v>5558</v>
      </c>
      <c r="C524">
        <v>44</v>
      </c>
      <c r="D524">
        <v>46</v>
      </c>
      <c r="E524">
        <v>515</v>
      </c>
    </row>
    <row r="525" spans="1:5">
      <c r="A525">
        <v>4935</v>
      </c>
      <c r="B525" t="s">
        <v>5620</v>
      </c>
      <c r="C525">
        <v>44</v>
      </c>
      <c r="D525">
        <v>49</v>
      </c>
      <c r="E525">
        <v>515</v>
      </c>
    </row>
    <row r="526" spans="1:5">
      <c r="A526">
        <v>4942</v>
      </c>
      <c r="B526" t="s">
        <v>5623</v>
      </c>
      <c r="C526">
        <v>44</v>
      </c>
      <c r="D526">
        <v>62</v>
      </c>
      <c r="E526">
        <v>515</v>
      </c>
    </row>
    <row r="527" spans="1:5">
      <c r="A527">
        <v>5533</v>
      </c>
      <c r="B527" t="s">
        <v>5718</v>
      </c>
      <c r="C527">
        <v>44</v>
      </c>
      <c r="D527">
        <v>13</v>
      </c>
      <c r="E527">
        <v>515</v>
      </c>
    </row>
    <row r="528" spans="1:5">
      <c r="A528">
        <v>6220</v>
      </c>
      <c r="B528" t="s">
        <v>5822</v>
      </c>
      <c r="C528">
        <v>44</v>
      </c>
      <c r="D528">
        <v>44</v>
      </c>
      <c r="E528">
        <v>515</v>
      </c>
    </row>
    <row r="529" spans="1:5">
      <c r="A529">
        <v>6274</v>
      </c>
      <c r="B529" t="s">
        <v>5849</v>
      </c>
      <c r="C529">
        <v>44</v>
      </c>
      <c r="D529">
        <v>85</v>
      </c>
      <c r="E529">
        <v>515</v>
      </c>
    </row>
    <row r="530" spans="1:5">
      <c r="A530">
        <v>6664</v>
      </c>
      <c r="B530" t="s">
        <v>5933</v>
      </c>
      <c r="C530">
        <v>44</v>
      </c>
      <c r="D530">
        <v>39</v>
      </c>
      <c r="E530">
        <v>515</v>
      </c>
    </row>
    <row r="531" spans="1:5">
      <c r="A531">
        <v>8201</v>
      </c>
      <c r="B531" t="s">
        <v>6002</v>
      </c>
      <c r="C531">
        <v>44</v>
      </c>
      <c r="D531">
        <v>40</v>
      </c>
      <c r="E531">
        <v>515</v>
      </c>
    </row>
    <row r="532" spans="1:5">
      <c r="A532">
        <v>8431</v>
      </c>
      <c r="B532" t="s">
        <v>6031</v>
      </c>
      <c r="C532">
        <v>44</v>
      </c>
      <c r="D532">
        <v>50</v>
      </c>
      <c r="E532">
        <v>515</v>
      </c>
    </row>
    <row r="533" spans="1:5">
      <c r="A533">
        <v>8444</v>
      </c>
      <c r="B533" t="s">
        <v>6039</v>
      </c>
      <c r="C533">
        <v>44</v>
      </c>
      <c r="D533">
        <v>11</v>
      </c>
      <c r="E533">
        <v>515</v>
      </c>
    </row>
    <row r="534" spans="1:5">
      <c r="A534">
        <v>9907</v>
      </c>
      <c r="B534" t="s">
        <v>6075</v>
      </c>
      <c r="C534">
        <v>44</v>
      </c>
      <c r="D534">
        <v>34</v>
      </c>
      <c r="E534">
        <v>515</v>
      </c>
    </row>
    <row r="535" spans="1:5">
      <c r="A535">
        <v>9921</v>
      </c>
      <c r="B535" t="s">
        <v>6083</v>
      </c>
      <c r="C535">
        <v>44</v>
      </c>
      <c r="D535">
        <v>48</v>
      </c>
      <c r="E535">
        <v>515</v>
      </c>
    </row>
    <row r="536" spans="1:5">
      <c r="A536">
        <v>9940</v>
      </c>
      <c r="B536" t="s">
        <v>6096</v>
      </c>
      <c r="C536">
        <v>44</v>
      </c>
      <c r="D536">
        <v>37</v>
      </c>
      <c r="E536">
        <v>515</v>
      </c>
    </row>
    <row r="537" spans="1:5">
      <c r="A537">
        <v>1312</v>
      </c>
      <c r="B537" t="s">
        <v>4813</v>
      </c>
      <c r="C537">
        <v>43</v>
      </c>
      <c r="D537">
        <v>74</v>
      </c>
      <c r="E537">
        <v>536</v>
      </c>
    </row>
    <row r="538" spans="1:5">
      <c r="A538">
        <v>1477</v>
      </c>
      <c r="B538" t="s">
        <v>4866</v>
      </c>
      <c r="C538">
        <v>43</v>
      </c>
      <c r="D538">
        <v>73</v>
      </c>
      <c r="E538">
        <v>536</v>
      </c>
    </row>
    <row r="539" spans="1:5">
      <c r="A539">
        <v>1608</v>
      </c>
      <c r="B539" t="s">
        <v>4916</v>
      </c>
      <c r="C539">
        <v>43</v>
      </c>
      <c r="D539">
        <v>57</v>
      </c>
      <c r="E539">
        <v>536</v>
      </c>
    </row>
    <row r="540" spans="1:5">
      <c r="A540">
        <v>1905</v>
      </c>
      <c r="B540" t="s">
        <v>4973</v>
      </c>
      <c r="C540">
        <v>43</v>
      </c>
      <c r="D540">
        <v>61</v>
      </c>
      <c r="E540">
        <v>536</v>
      </c>
    </row>
    <row r="541" spans="1:5">
      <c r="A541">
        <v>2241</v>
      </c>
      <c r="B541" t="s">
        <v>5030</v>
      </c>
      <c r="C541">
        <v>43</v>
      </c>
      <c r="D541">
        <v>36</v>
      </c>
      <c r="E541">
        <v>536</v>
      </c>
    </row>
    <row r="542" spans="1:5">
      <c r="A542">
        <v>2421</v>
      </c>
      <c r="B542" t="s">
        <v>5106</v>
      </c>
      <c r="C542">
        <v>43</v>
      </c>
      <c r="D542">
        <v>48</v>
      </c>
      <c r="E542">
        <v>536</v>
      </c>
    </row>
    <row r="543" spans="1:5">
      <c r="A543">
        <v>2430</v>
      </c>
      <c r="B543" t="s">
        <v>5112</v>
      </c>
      <c r="C543">
        <v>43</v>
      </c>
      <c r="D543">
        <v>48</v>
      </c>
      <c r="E543">
        <v>536</v>
      </c>
    </row>
    <row r="544" spans="1:5">
      <c r="A544">
        <v>3030</v>
      </c>
      <c r="B544" t="s">
        <v>5290</v>
      </c>
      <c r="C544">
        <v>43</v>
      </c>
      <c r="D544">
        <v>37</v>
      </c>
      <c r="E544">
        <v>536</v>
      </c>
    </row>
    <row r="545" spans="1:5">
      <c r="A545">
        <v>3050</v>
      </c>
      <c r="B545" t="s">
        <v>5307</v>
      </c>
      <c r="C545">
        <v>43</v>
      </c>
      <c r="D545">
        <v>46</v>
      </c>
      <c r="E545">
        <v>536</v>
      </c>
    </row>
    <row r="546" spans="1:5">
      <c r="A546">
        <v>3094</v>
      </c>
      <c r="B546" t="s">
        <v>5323</v>
      </c>
      <c r="C546">
        <v>43</v>
      </c>
      <c r="D546">
        <v>58</v>
      </c>
      <c r="E546">
        <v>536</v>
      </c>
    </row>
    <row r="547" spans="1:5">
      <c r="A547">
        <v>3224</v>
      </c>
      <c r="B547" t="s">
        <v>5352</v>
      </c>
      <c r="C547">
        <v>43</v>
      </c>
      <c r="D547">
        <v>33</v>
      </c>
      <c r="E547">
        <v>536</v>
      </c>
    </row>
    <row r="548" spans="1:5">
      <c r="A548">
        <v>3419</v>
      </c>
      <c r="B548" t="s">
        <v>5406</v>
      </c>
      <c r="C548">
        <v>43</v>
      </c>
      <c r="D548">
        <v>50</v>
      </c>
      <c r="E548">
        <v>536</v>
      </c>
    </row>
    <row r="549" spans="1:5">
      <c r="A549">
        <v>3498</v>
      </c>
      <c r="B549" t="s">
        <v>5425</v>
      </c>
      <c r="C549">
        <v>43</v>
      </c>
      <c r="D549">
        <v>35</v>
      </c>
      <c r="E549">
        <v>536</v>
      </c>
    </row>
    <row r="550" spans="1:5">
      <c r="A550">
        <v>3645</v>
      </c>
      <c r="B550" t="s">
        <v>5479</v>
      </c>
      <c r="C550">
        <v>43</v>
      </c>
      <c r="D550">
        <v>60</v>
      </c>
      <c r="E550">
        <v>536</v>
      </c>
    </row>
    <row r="551" spans="1:5">
      <c r="A551">
        <v>4104</v>
      </c>
      <c r="B551" t="s">
        <v>5511</v>
      </c>
      <c r="C551">
        <v>43</v>
      </c>
      <c r="D551">
        <v>24</v>
      </c>
      <c r="E551">
        <v>536</v>
      </c>
    </row>
    <row r="552" spans="1:5">
      <c r="A552">
        <v>4106</v>
      </c>
      <c r="B552" t="s">
        <v>630</v>
      </c>
      <c r="C552">
        <v>43</v>
      </c>
      <c r="D552">
        <v>42</v>
      </c>
      <c r="E552">
        <v>536</v>
      </c>
    </row>
    <row r="553" spans="1:5">
      <c r="A553">
        <v>4989</v>
      </c>
      <c r="B553" t="s">
        <v>5641</v>
      </c>
      <c r="C553">
        <v>43</v>
      </c>
      <c r="D553">
        <v>66</v>
      </c>
      <c r="E553">
        <v>536</v>
      </c>
    </row>
    <row r="554" spans="1:5">
      <c r="A554">
        <v>5438</v>
      </c>
      <c r="B554" t="s">
        <v>5694</v>
      </c>
      <c r="C554">
        <v>43</v>
      </c>
      <c r="D554">
        <v>98</v>
      </c>
      <c r="E554">
        <v>536</v>
      </c>
    </row>
    <row r="555" spans="1:5">
      <c r="A555">
        <v>6174</v>
      </c>
      <c r="B555" t="s">
        <v>5788</v>
      </c>
      <c r="C555">
        <v>43</v>
      </c>
      <c r="D555">
        <v>46</v>
      </c>
      <c r="E555">
        <v>536</v>
      </c>
    </row>
    <row r="556" spans="1:5">
      <c r="A556">
        <v>8024</v>
      </c>
      <c r="B556" t="s">
        <v>5958</v>
      </c>
      <c r="C556">
        <v>43</v>
      </c>
      <c r="D556">
        <v>44</v>
      </c>
      <c r="E556">
        <v>536</v>
      </c>
    </row>
    <row r="557" spans="1:5">
      <c r="A557">
        <v>8040</v>
      </c>
      <c r="B557" t="s">
        <v>5963</v>
      </c>
      <c r="C557">
        <v>43</v>
      </c>
      <c r="D557">
        <v>67</v>
      </c>
      <c r="E557">
        <v>536</v>
      </c>
    </row>
    <row r="558" spans="1:5">
      <c r="A558">
        <v>9914</v>
      </c>
      <c r="B558" t="s">
        <v>6079</v>
      </c>
      <c r="C558">
        <v>43</v>
      </c>
      <c r="D558">
        <v>99</v>
      </c>
      <c r="E558">
        <v>536</v>
      </c>
    </row>
    <row r="559" spans="1:5">
      <c r="A559">
        <v>1762</v>
      </c>
      <c r="B559" t="s">
        <v>4954</v>
      </c>
      <c r="C559">
        <v>42</v>
      </c>
      <c r="D559">
        <v>70</v>
      </c>
      <c r="E559">
        <v>558</v>
      </c>
    </row>
    <row r="560" spans="1:5">
      <c r="A560">
        <v>2032</v>
      </c>
      <c r="B560" t="s">
        <v>4996</v>
      </c>
      <c r="C560">
        <v>42</v>
      </c>
      <c r="D560">
        <v>74</v>
      </c>
      <c r="E560">
        <v>558</v>
      </c>
    </row>
    <row r="561" spans="1:5">
      <c r="A561">
        <v>2201</v>
      </c>
      <c r="B561" t="s">
        <v>5017</v>
      </c>
      <c r="C561">
        <v>42</v>
      </c>
      <c r="D561">
        <v>61</v>
      </c>
      <c r="E561">
        <v>558</v>
      </c>
    </row>
    <row r="562" spans="1:5">
      <c r="A562">
        <v>2363</v>
      </c>
      <c r="B562" t="s">
        <v>5070</v>
      </c>
      <c r="C562">
        <v>42</v>
      </c>
      <c r="D562">
        <v>76</v>
      </c>
      <c r="E562">
        <v>558</v>
      </c>
    </row>
    <row r="563" spans="1:5">
      <c r="A563">
        <v>2462</v>
      </c>
      <c r="B563" t="s">
        <v>5131</v>
      </c>
      <c r="C563">
        <v>42</v>
      </c>
      <c r="D563">
        <v>35</v>
      </c>
      <c r="E563">
        <v>558</v>
      </c>
    </row>
    <row r="564" spans="1:5">
      <c r="A564">
        <v>3167</v>
      </c>
      <c r="B564" t="s">
        <v>5337</v>
      </c>
      <c r="C564">
        <v>42</v>
      </c>
      <c r="D564">
        <v>66</v>
      </c>
      <c r="E564">
        <v>558</v>
      </c>
    </row>
    <row r="565" spans="1:5">
      <c r="A565">
        <v>3218</v>
      </c>
      <c r="B565" t="s">
        <v>5349</v>
      </c>
      <c r="C565">
        <v>42</v>
      </c>
      <c r="D565">
        <v>47</v>
      </c>
      <c r="E565">
        <v>558</v>
      </c>
    </row>
    <row r="566" spans="1:5">
      <c r="A566">
        <v>3306</v>
      </c>
      <c r="B566" t="s">
        <v>5377</v>
      </c>
      <c r="C566">
        <v>42</v>
      </c>
      <c r="D566">
        <v>46</v>
      </c>
      <c r="E566">
        <v>558</v>
      </c>
    </row>
    <row r="567" spans="1:5">
      <c r="A567">
        <v>3380</v>
      </c>
      <c r="B567" t="s">
        <v>5399</v>
      </c>
      <c r="C567">
        <v>42</v>
      </c>
      <c r="D567">
        <v>77</v>
      </c>
      <c r="E567">
        <v>558</v>
      </c>
    </row>
    <row r="568" spans="1:5">
      <c r="A568">
        <v>3511</v>
      </c>
      <c r="B568" t="s">
        <v>5430</v>
      </c>
      <c r="C568">
        <v>42</v>
      </c>
      <c r="D568">
        <v>54</v>
      </c>
      <c r="E568">
        <v>558</v>
      </c>
    </row>
    <row r="569" spans="1:5">
      <c r="A569">
        <v>3548</v>
      </c>
      <c r="B569" t="s">
        <v>5448</v>
      </c>
      <c r="C569">
        <v>42</v>
      </c>
      <c r="D569">
        <v>59</v>
      </c>
      <c r="E569">
        <v>558</v>
      </c>
    </row>
    <row r="570" spans="1:5">
      <c r="A570">
        <v>3615</v>
      </c>
      <c r="B570" t="s">
        <v>5471</v>
      </c>
      <c r="C570">
        <v>42</v>
      </c>
      <c r="D570">
        <v>57</v>
      </c>
      <c r="E570">
        <v>558</v>
      </c>
    </row>
    <row r="571" spans="1:5">
      <c r="A571">
        <v>4167</v>
      </c>
      <c r="B571" t="s">
        <v>5539</v>
      </c>
      <c r="C571">
        <v>42</v>
      </c>
      <c r="D571">
        <v>18</v>
      </c>
      <c r="E571">
        <v>558</v>
      </c>
    </row>
    <row r="572" spans="1:5">
      <c r="A572">
        <v>4540</v>
      </c>
      <c r="B572" t="s">
        <v>5568</v>
      </c>
      <c r="C572">
        <v>42</v>
      </c>
      <c r="D572">
        <v>42</v>
      </c>
      <c r="E572">
        <v>558</v>
      </c>
    </row>
    <row r="573" spans="1:5">
      <c r="A573">
        <v>4939</v>
      </c>
      <c r="B573" t="s">
        <v>5622</v>
      </c>
      <c r="C573">
        <v>42</v>
      </c>
      <c r="D573">
        <v>20</v>
      </c>
      <c r="E573">
        <v>558</v>
      </c>
    </row>
    <row r="574" spans="1:5">
      <c r="A574">
        <v>5371</v>
      </c>
      <c r="B574" t="s">
        <v>5684</v>
      </c>
      <c r="C574">
        <v>42</v>
      </c>
      <c r="D574">
        <v>82</v>
      </c>
      <c r="E574">
        <v>558</v>
      </c>
    </row>
    <row r="575" spans="1:5">
      <c r="A575">
        <v>6112</v>
      </c>
      <c r="B575" t="s">
        <v>5748</v>
      </c>
      <c r="C575">
        <v>42</v>
      </c>
      <c r="D575">
        <v>14</v>
      </c>
      <c r="E575">
        <v>558</v>
      </c>
    </row>
    <row r="576" spans="1:5">
      <c r="A576">
        <v>6161</v>
      </c>
      <c r="B576" t="s">
        <v>5780</v>
      </c>
      <c r="C576">
        <v>42</v>
      </c>
      <c r="D576">
        <v>34</v>
      </c>
      <c r="E576">
        <v>558</v>
      </c>
    </row>
    <row r="577" spans="1:5">
      <c r="A577">
        <v>6170</v>
      </c>
      <c r="B577" t="s">
        <v>5786</v>
      </c>
      <c r="C577">
        <v>42</v>
      </c>
      <c r="D577">
        <v>51</v>
      </c>
      <c r="E577">
        <v>558</v>
      </c>
    </row>
    <row r="578" spans="1:5">
      <c r="A578">
        <v>6171</v>
      </c>
      <c r="B578" t="s">
        <v>6160</v>
      </c>
      <c r="C578">
        <v>42</v>
      </c>
      <c r="D578">
        <v>57</v>
      </c>
      <c r="E578">
        <v>558</v>
      </c>
    </row>
    <row r="579" spans="1:5">
      <c r="A579">
        <v>6266</v>
      </c>
      <c r="B579" t="s">
        <v>5845</v>
      </c>
      <c r="C579">
        <v>42</v>
      </c>
      <c r="D579">
        <v>46</v>
      </c>
      <c r="E579">
        <v>558</v>
      </c>
    </row>
    <row r="580" spans="1:5">
      <c r="A580">
        <v>6504</v>
      </c>
      <c r="B580" t="s">
        <v>5894</v>
      </c>
      <c r="C580">
        <v>42</v>
      </c>
      <c r="D580">
        <v>43</v>
      </c>
      <c r="E580">
        <v>558</v>
      </c>
    </row>
    <row r="581" spans="1:5">
      <c r="A581">
        <v>6603</v>
      </c>
      <c r="B581" t="s">
        <v>5922</v>
      </c>
      <c r="C581">
        <v>42</v>
      </c>
      <c r="D581">
        <v>59</v>
      </c>
      <c r="E581">
        <v>558</v>
      </c>
    </row>
    <row r="582" spans="1:5">
      <c r="A582">
        <v>8096</v>
      </c>
      <c r="B582" t="s">
        <v>5983</v>
      </c>
      <c r="C582">
        <v>42</v>
      </c>
      <c r="D582">
        <v>40</v>
      </c>
      <c r="E582">
        <v>558</v>
      </c>
    </row>
    <row r="583" spans="1:5">
      <c r="A583">
        <v>8163</v>
      </c>
      <c r="B583" t="s">
        <v>5998</v>
      </c>
      <c r="C583">
        <v>42</v>
      </c>
      <c r="D583">
        <v>65</v>
      </c>
      <c r="E583">
        <v>558</v>
      </c>
    </row>
    <row r="584" spans="1:5">
      <c r="A584">
        <v>8341</v>
      </c>
      <c r="B584" t="s">
        <v>6016</v>
      </c>
      <c r="C584">
        <v>42</v>
      </c>
      <c r="D584">
        <v>49</v>
      </c>
      <c r="E584">
        <v>558</v>
      </c>
    </row>
    <row r="585" spans="1:5">
      <c r="A585">
        <v>1337</v>
      </c>
      <c r="B585" t="s">
        <v>4825</v>
      </c>
      <c r="C585">
        <v>41</v>
      </c>
      <c r="D585">
        <v>31</v>
      </c>
      <c r="E585">
        <v>584</v>
      </c>
    </row>
    <row r="586" spans="1:5">
      <c r="A586">
        <v>1444</v>
      </c>
      <c r="B586" t="s">
        <v>4845</v>
      </c>
      <c r="C586">
        <v>41</v>
      </c>
      <c r="D586">
        <v>76</v>
      </c>
      <c r="E586">
        <v>584</v>
      </c>
    </row>
    <row r="587" spans="1:5">
      <c r="A587">
        <v>1723</v>
      </c>
      <c r="B587" t="s">
        <v>4940</v>
      </c>
      <c r="C587">
        <v>41</v>
      </c>
      <c r="D587">
        <v>48</v>
      </c>
      <c r="E587">
        <v>584</v>
      </c>
    </row>
    <row r="588" spans="1:5">
      <c r="A588">
        <v>2007</v>
      </c>
      <c r="B588" t="s">
        <v>4979</v>
      </c>
      <c r="C588">
        <v>41</v>
      </c>
      <c r="D588">
        <v>58</v>
      </c>
      <c r="E588">
        <v>584</v>
      </c>
    </row>
    <row r="589" spans="1:5">
      <c r="A589">
        <v>2427</v>
      </c>
      <c r="B589" t="s">
        <v>5110</v>
      </c>
      <c r="C589">
        <v>41</v>
      </c>
      <c r="D589">
        <v>49</v>
      </c>
      <c r="E589">
        <v>584</v>
      </c>
    </row>
    <row r="590" spans="1:5">
      <c r="A590">
        <v>2464</v>
      </c>
      <c r="B590" t="s">
        <v>5132</v>
      </c>
      <c r="C590">
        <v>41</v>
      </c>
      <c r="D590">
        <v>75</v>
      </c>
      <c r="E590">
        <v>584</v>
      </c>
    </row>
    <row r="591" spans="1:5">
      <c r="A591">
        <v>2466</v>
      </c>
      <c r="B591" t="s">
        <v>5134</v>
      </c>
      <c r="C591">
        <v>41</v>
      </c>
      <c r="D591">
        <v>42</v>
      </c>
      <c r="E591">
        <v>584</v>
      </c>
    </row>
    <row r="592" spans="1:5">
      <c r="A592">
        <v>2511</v>
      </c>
      <c r="B592" t="s">
        <v>5164</v>
      </c>
      <c r="C592">
        <v>41</v>
      </c>
      <c r="D592">
        <v>26</v>
      </c>
      <c r="E592">
        <v>584</v>
      </c>
    </row>
    <row r="593" spans="1:5">
      <c r="A593">
        <v>2537</v>
      </c>
      <c r="B593" t="s">
        <v>5175</v>
      </c>
      <c r="C593">
        <v>41</v>
      </c>
      <c r="D593">
        <v>25</v>
      </c>
      <c r="E593">
        <v>584</v>
      </c>
    </row>
    <row r="594" spans="1:5">
      <c r="A594">
        <v>3042</v>
      </c>
      <c r="B594" t="s">
        <v>5301</v>
      </c>
      <c r="C594">
        <v>41</v>
      </c>
      <c r="D594">
        <v>89</v>
      </c>
      <c r="E594">
        <v>584</v>
      </c>
    </row>
    <row r="595" spans="1:5">
      <c r="A595">
        <v>3047</v>
      </c>
      <c r="B595" t="s">
        <v>5304</v>
      </c>
      <c r="C595">
        <v>41</v>
      </c>
      <c r="D595">
        <v>36</v>
      </c>
      <c r="E595">
        <v>584</v>
      </c>
    </row>
    <row r="596" spans="1:5">
      <c r="A596">
        <v>3290</v>
      </c>
      <c r="B596" t="s">
        <v>5370</v>
      </c>
      <c r="C596">
        <v>41</v>
      </c>
      <c r="D596">
        <v>45</v>
      </c>
      <c r="E596">
        <v>584</v>
      </c>
    </row>
    <row r="597" spans="1:5">
      <c r="A597">
        <v>3325</v>
      </c>
      <c r="B597" t="s">
        <v>5384</v>
      </c>
      <c r="C597">
        <v>41</v>
      </c>
      <c r="D597">
        <v>33</v>
      </c>
      <c r="E597">
        <v>584</v>
      </c>
    </row>
    <row r="598" spans="1:5">
      <c r="A598">
        <v>3499</v>
      </c>
      <c r="B598" t="s">
        <v>5426</v>
      </c>
      <c r="C598">
        <v>41</v>
      </c>
      <c r="D598">
        <v>44</v>
      </c>
      <c r="E598">
        <v>584</v>
      </c>
    </row>
    <row r="599" spans="1:5">
      <c r="A599">
        <v>4908</v>
      </c>
      <c r="B599" t="s">
        <v>5611</v>
      </c>
      <c r="C599">
        <v>41</v>
      </c>
      <c r="D599">
        <v>36</v>
      </c>
      <c r="E599">
        <v>584</v>
      </c>
    </row>
    <row r="600" spans="1:5">
      <c r="A600">
        <v>4952</v>
      </c>
      <c r="B600" t="s">
        <v>5626</v>
      </c>
      <c r="C600">
        <v>41</v>
      </c>
      <c r="D600">
        <v>67</v>
      </c>
      <c r="E600">
        <v>584</v>
      </c>
    </row>
    <row r="601" spans="1:5">
      <c r="A601">
        <v>5014</v>
      </c>
      <c r="B601" t="s">
        <v>5648</v>
      </c>
      <c r="C601">
        <v>41</v>
      </c>
      <c r="D601">
        <v>56</v>
      </c>
      <c r="E601">
        <v>584</v>
      </c>
    </row>
    <row r="602" spans="1:5">
      <c r="A602">
        <v>5902</v>
      </c>
      <c r="B602" t="s">
        <v>5734</v>
      </c>
      <c r="C602">
        <v>41</v>
      </c>
      <c r="D602">
        <v>26</v>
      </c>
      <c r="E602">
        <v>584</v>
      </c>
    </row>
    <row r="603" spans="1:5">
      <c r="A603">
        <v>6189</v>
      </c>
      <c r="B603" t="s">
        <v>5801</v>
      </c>
      <c r="C603">
        <v>41</v>
      </c>
      <c r="D603">
        <v>37</v>
      </c>
      <c r="E603">
        <v>584</v>
      </c>
    </row>
    <row r="604" spans="1:5">
      <c r="A604">
        <v>6261</v>
      </c>
      <c r="B604" t="s">
        <v>5842</v>
      </c>
      <c r="C604">
        <v>41</v>
      </c>
      <c r="D604">
        <v>86</v>
      </c>
      <c r="E604">
        <v>584</v>
      </c>
    </row>
    <row r="605" spans="1:5">
      <c r="A605">
        <v>8213</v>
      </c>
      <c r="B605" t="s">
        <v>6004</v>
      </c>
      <c r="C605">
        <v>41</v>
      </c>
      <c r="D605">
        <v>68</v>
      </c>
      <c r="E605">
        <v>584</v>
      </c>
    </row>
    <row r="606" spans="1:5">
      <c r="A606">
        <v>8436</v>
      </c>
      <c r="B606" t="s">
        <v>6034</v>
      </c>
      <c r="C606">
        <v>41</v>
      </c>
      <c r="D606">
        <v>78</v>
      </c>
      <c r="E606">
        <v>584</v>
      </c>
    </row>
    <row r="607" spans="1:5">
      <c r="A607">
        <v>2367</v>
      </c>
      <c r="B607" t="s">
        <v>5072</v>
      </c>
      <c r="C607">
        <v>40</v>
      </c>
      <c r="D607">
        <v>64</v>
      </c>
      <c r="E607">
        <v>606</v>
      </c>
    </row>
    <row r="608" spans="1:5">
      <c r="A608">
        <v>2442</v>
      </c>
      <c r="B608" t="s">
        <v>5119</v>
      </c>
      <c r="C608">
        <v>40</v>
      </c>
      <c r="D608">
        <v>54</v>
      </c>
      <c r="E608">
        <v>606</v>
      </c>
    </row>
    <row r="609" spans="1:5">
      <c r="A609">
        <v>2465</v>
      </c>
      <c r="B609" t="s">
        <v>5133</v>
      </c>
      <c r="C609">
        <v>40</v>
      </c>
      <c r="D609">
        <v>82</v>
      </c>
      <c r="E609">
        <v>606</v>
      </c>
    </row>
    <row r="610" spans="1:5">
      <c r="A610">
        <v>2731</v>
      </c>
      <c r="B610" t="s">
        <v>5218</v>
      </c>
      <c r="C610">
        <v>40</v>
      </c>
      <c r="D610">
        <v>68</v>
      </c>
      <c r="E610">
        <v>606</v>
      </c>
    </row>
    <row r="611" spans="1:5">
      <c r="A611">
        <v>3211</v>
      </c>
      <c r="B611" t="s">
        <v>5346</v>
      </c>
      <c r="C611">
        <v>40</v>
      </c>
      <c r="D611">
        <v>67</v>
      </c>
      <c r="E611">
        <v>606</v>
      </c>
    </row>
    <row r="612" spans="1:5">
      <c r="A612">
        <v>3338</v>
      </c>
      <c r="B612" t="s">
        <v>5385</v>
      </c>
      <c r="C612">
        <v>40</v>
      </c>
      <c r="D612">
        <v>49</v>
      </c>
      <c r="E612">
        <v>606</v>
      </c>
    </row>
    <row r="613" spans="1:5">
      <c r="A613">
        <v>3363</v>
      </c>
      <c r="B613" t="s">
        <v>5393</v>
      </c>
      <c r="C613">
        <v>40</v>
      </c>
      <c r="D613">
        <v>48</v>
      </c>
      <c r="E613">
        <v>606</v>
      </c>
    </row>
    <row r="614" spans="1:5">
      <c r="A614">
        <v>3535</v>
      </c>
      <c r="B614" t="s">
        <v>5441</v>
      </c>
      <c r="C614">
        <v>40</v>
      </c>
      <c r="D614">
        <v>32</v>
      </c>
      <c r="E614">
        <v>606</v>
      </c>
    </row>
    <row r="615" spans="1:5">
      <c r="A615">
        <v>3673</v>
      </c>
      <c r="B615" t="s">
        <v>5489</v>
      </c>
      <c r="C615">
        <v>40</v>
      </c>
      <c r="D615">
        <v>56</v>
      </c>
      <c r="E615">
        <v>606</v>
      </c>
    </row>
    <row r="616" spans="1:5">
      <c r="A616">
        <v>4137</v>
      </c>
      <c r="B616" t="s">
        <v>5528</v>
      </c>
      <c r="C616">
        <v>40</v>
      </c>
      <c r="D616">
        <v>74</v>
      </c>
      <c r="E616">
        <v>606</v>
      </c>
    </row>
    <row r="617" spans="1:5">
      <c r="A617">
        <v>4162</v>
      </c>
      <c r="B617" t="s">
        <v>5536</v>
      </c>
      <c r="C617">
        <v>40</v>
      </c>
      <c r="D617">
        <v>56</v>
      </c>
      <c r="E617">
        <v>606</v>
      </c>
    </row>
    <row r="618" spans="1:5">
      <c r="A618">
        <v>4174</v>
      </c>
      <c r="B618" t="s">
        <v>5543</v>
      </c>
      <c r="C618">
        <v>40</v>
      </c>
      <c r="D618">
        <v>70</v>
      </c>
      <c r="E618">
        <v>606</v>
      </c>
    </row>
    <row r="619" spans="1:5">
      <c r="A619">
        <v>4760</v>
      </c>
      <c r="B619" t="s">
        <v>5603</v>
      </c>
      <c r="C619">
        <v>40</v>
      </c>
      <c r="D619">
        <v>30</v>
      </c>
      <c r="E619">
        <v>606</v>
      </c>
    </row>
    <row r="620" spans="1:5">
      <c r="A620">
        <v>4764</v>
      </c>
      <c r="B620" t="s">
        <v>5605</v>
      </c>
      <c r="C620">
        <v>40</v>
      </c>
      <c r="D620">
        <v>2</v>
      </c>
      <c r="E620">
        <v>606</v>
      </c>
    </row>
    <row r="621" spans="1:5">
      <c r="A621">
        <v>4999</v>
      </c>
      <c r="B621" t="s">
        <v>5643</v>
      </c>
      <c r="C621">
        <v>40</v>
      </c>
      <c r="D621">
        <v>27</v>
      </c>
      <c r="E621">
        <v>606</v>
      </c>
    </row>
    <row r="622" spans="1:5">
      <c r="A622">
        <v>6139</v>
      </c>
      <c r="B622" t="s">
        <v>5766</v>
      </c>
      <c r="C622">
        <v>40</v>
      </c>
      <c r="D622">
        <v>43</v>
      </c>
      <c r="E622">
        <v>606</v>
      </c>
    </row>
    <row r="623" spans="1:5">
      <c r="A623">
        <v>8050</v>
      </c>
      <c r="B623" t="s">
        <v>5969</v>
      </c>
      <c r="C623">
        <v>40</v>
      </c>
      <c r="D623">
        <v>13</v>
      </c>
      <c r="E623">
        <v>606</v>
      </c>
    </row>
    <row r="624" spans="1:5">
      <c r="A624">
        <v>1108</v>
      </c>
      <c r="B624" t="s">
        <v>4780</v>
      </c>
      <c r="C624">
        <v>39</v>
      </c>
      <c r="D624">
        <v>22</v>
      </c>
      <c r="E624">
        <v>623</v>
      </c>
    </row>
    <row r="625" spans="1:5">
      <c r="A625">
        <v>1528</v>
      </c>
      <c r="B625" t="s">
        <v>4881</v>
      </c>
      <c r="C625">
        <v>39</v>
      </c>
      <c r="D625">
        <v>61</v>
      </c>
      <c r="E625">
        <v>623</v>
      </c>
    </row>
    <row r="626" spans="1:5">
      <c r="A626">
        <v>1609</v>
      </c>
      <c r="B626" t="s">
        <v>4917</v>
      </c>
      <c r="C626">
        <v>39</v>
      </c>
      <c r="D626">
        <v>64</v>
      </c>
      <c r="E626">
        <v>623</v>
      </c>
    </row>
    <row r="627" spans="1:5">
      <c r="A627">
        <v>1611</v>
      </c>
      <c r="B627" t="s">
        <v>4918</v>
      </c>
      <c r="C627">
        <v>39</v>
      </c>
      <c r="D627">
        <v>56</v>
      </c>
      <c r="E627">
        <v>623</v>
      </c>
    </row>
    <row r="628" spans="1:5">
      <c r="A628">
        <v>2102</v>
      </c>
      <c r="B628" t="s">
        <v>5007</v>
      </c>
      <c r="C628">
        <v>39</v>
      </c>
      <c r="D628">
        <v>47</v>
      </c>
      <c r="E628">
        <v>623</v>
      </c>
    </row>
    <row r="629" spans="1:5">
      <c r="A629">
        <v>2597</v>
      </c>
      <c r="B629" t="s">
        <v>5184</v>
      </c>
      <c r="C629">
        <v>39</v>
      </c>
      <c r="D629">
        <v>42</v>
      </c>
      <c r="E629">
        <v>623</v>
      </c>
    </row>
    <row r="630" spans="1:5">
      <c r="A630">
        <v>2905</v>
      </c>
      <c r="B630" t="s">
        <v>5256</v>
      </c>
      <c r="C630">
        <v>39</v>
      </c>
      <c r="D630">
        <v>80</v>
      </c>
      <c r="E630">
        <v>623</v>
      </c>
    </row>
    <row r="631" spans="1:5">
      <c r="A631">
        <v>3234</v>
      </c>
      <c r="B631" t="s">
        <v>5357</v>
      </c>
      <c r="C631">
        <v>39</v>
      </c>
      <c r="D631">
        <v>43</v>
      </c>
      <c r="E631">
        <v>623</v>
      </c>
    </row>
    <row r="632" spans="1:5">
      <c r="A632">
        <v>3669</v>
      </c>
      <c r="B632" t="s">
        <v>5487</v>
      </c>
      <c r="C632">
        <v>39</v>
      </c>
      <c r="D632">
        <v>56</v>
      </c>
      <c r="E632">
        <v>623</v>
      </c>
    </row>
    <row r="633" spans="1:5">
      <c r="A633">
        <v>5225</v>
      </c>
      <c r="B633" t="s">
        <v>5656</v>
      </c>
      <c r="C633">
        <v>39</v>
      </c>
      <c r="D633">
        <v>43</v>
      </c>
      <c r="E633">
        <v>623</v>
      </c>
    </row>
    <row r="634" spans="1:5">
      <c r="A634">
        <v>6175</v>
      </c>
      <c r="B634" t="s">
        <v>5789</v>
      </c>
      <c r="C634">
        <v>39</v>
      </c>
      <c r="D634">
        <v>72</v>
      </c>
      <c r="E634">
        <v>623</v>
      </c>
    </row>
    <row r="635" spans="1:5">
      <c r="A635">
        <v>1110</v>
      </c>
      <c r="B635" t="s">
        <v>4782</v>
      </c>
      <c r="C635">
        <v>38</v>
      </c>
      <c r="D635">
        <v>31</v>
      </c>
      <c r="E635">
        <v>634</v>
      </c>
    </row>
    <row r="636" spans="1:5">
      <c r="A636">
        <v>1319</v>
      </c>
      <c r="B636" t="s">
        <v>4818</v>
      </c>
      <c r="C636">
        <v>38</v>
      </c>
      <c r="D636">
        <v>48</v>
      </c>
      <c r="E636">
        <v>634</v>
      </c>
    </row>
    <row r="637" spans="1:5">
      <c r="A637">
        <v>1454</v>
      </c>
      <c r="B637" t="s">
        <v>4852</v>
      </c>
      <c r="C637">
        <v>38</v>
      </c>
      <c r="D637">
        <v>22</v>
      </c>
      <c r="E637">
        <v>634</v>
      </c>
    </row>
    <row r="638" spans="1:5">
      <c r="A638">
        <v>1565</v>
      </c>
      <c r="B638" t="s">
        <v>4895</v>
      </c>
      <c r="C638">
        <v>38</v>
      </c>
      <c r="D638">
        <v>55</v>
      </c>
      <c r="E638">
        <v>634</v>
      </c>
    </row>
    <row r="639" spans="1:5">
      <c r="A639">
        <v>1584</v>
      </c>
      <c r="B639" t="s">
        <v>4902</v>
      </c>
      <c r="C639">
        <v>38</v>
      </c>
      <c r="D639">
        <v>51</v>
      </c>
      <c r="E639">
        <v>634</v>
      </c>
    </row>
    <row r="640" spans="1:5">
      <c r="A640">
        <v>1702</v>
      </c>
      <c r="B640" t="s">
        <v>4926</v>
      </c>
      <c r="C640">
        <v>38</v>
      </c>
      <c r="D640">
        <v>71</v>
      </c>
      <c r="E640">
        <v>634</v>
      </c>
    </row>
    <row r="641" spans="1:5">
      <c r="A641">
        <v>2010</v>
      </c>
      <c r="B641" t="s">
        <v>4982</v>
      </c>
      <c r="C641">
        <v>38</v>
      </c>
      <c r="D641">
        <v>65</v>
      </c>
      <c r="E641">
        <v>634</v>
      </c>
    </row>
    <row r="642" spans="1:5">
      <c r="A642">
        <v>2069</v>
      </c>
      <c r="B642" t="s">
        <v>5005</v>
      </c>
      <c r="C642">
        <v>38</v>
      </c>
      <c r="D642">
        <v>76</v>
      </c>
      <c r="E642">
        <v>634</v>
      </c>
    </row>
    <row r="643" spans="1:5">
      <c r="A643">
        <v>2211</v>
      </c>
      <c r="B643" t="s">
        <v>5022</v>
      </c>
      <c r="C643">
        <v>38</v>
      </c>
      <c r="D643">
        <v>41</v>
      </c>
      <c r="E643">
        <v>634</v>
      </c>
    </row>
    <row r="644" spans="1:5">
      <c r="A644">
        <v>2348</v>
      </c>
      <c r="B644" t="s">
        <v>5058</v>
      </c>
      <c r="C644">
        <v>38</v>
      </c>
      <c r="D644">
        <v>33</v>
      </c>
      <c r="E644">
        <v>634</v>
      </c>
    </row>
    <row r="645" spans="1:5">
      <c r="A645">
        <v>2415</v>
      </c>
      <c r="B645" t="s">
        <v>5102</v>
      </c>
      <c r="C645">
        <v>38</v>
      </c>
      <c r="D645">
        <v>49</v>
      </c>
      <c r="E645">
        <v>634</v>
      </c>
    </row>
    <row r="646" spans="1:5">
      <c r="A646">
        <v>2439</v>
      </c>
      <c r="B646" t="s">
        <v>5117</v>
      </c>
      <c r="C646">
        <v>38</v>
      </c>
      <c r="D646">
        <v>60</v>
      </c>
      <c r="E646">
        <v>634</v>
      </c>
    </row>
    <row r="647" spans="1:5">
      <c r="A647">
        <v>2457</v>
      </c>
      <c r="B647" t="s">
        <v>5126</v>
      </c>
      <c r="C647">
        <v>38</v>
      </c>
      <c r="D647">
        <v>63</v>
      </c>
      <c r="E647">
        <v>634</v>
      </c>
    </row>
    <row r="648" spans="1:5">
      <c r="A648">
        <v>3055</v>
      </c>
      <c r="B648" t="s">
        <v>5310</v>
      </c>
      <c r="C648">
        <v>38</v>
      </c>
      <c r="D648">
        <v>32</v>
      </c>
      <c r="E648">
        <v>634</v>
      </c>
    </row>
    <row r="649" spans="1:5">
      <c r="A649">
        <v>3078</v>
      </c>
      <c r="B649" t="s">
        <v>5316</v>
      </c>
      <c r="C649">
        <v>38</v>
      </c>
      <c r="D649">
        <v>47</v>
      </c>
      <c r="E649">
        <v>634</v>
      </c>
    </row>
    <row r="650" spans="1:5">
      <c r="A650">
        <v>3163</v>
      </c>
      <c r="B650" t="s">
        <v>5335</v>
      </c>
      <c r="C650">
        <v>38</v>
      </c>
      <c r="D650">
        <v>60</v>
      </c>
      <c r="E650">
        <v>634</v>
      </c>
    </row>
    <row r="651" spans="1:5">
      <c r="A651">
        <v>3323</v>
      </c>
      <c r="B651" t="s">
        <v>5382</v>
      </c>
      <c r="C651">
        <v>38</v>
      </c>
      <c r="D651">
        <v>60</v>
      </c>
      <c r="E651">
        <v>634</v>
      </c>
    </row>
    <row r="652" spans="1:5">
      <c r="A652">
        <v>3416</v>
      </c>
      <c r="B652" t="s">
        <v>5405</v>
      </c>
      <c r="C652">
        <v>38</v>
      </c>
      <c r="D652">
        <v>36</v>
      </c>
      <c r="E652">
        <v>634</v>
      </c>
    </row>
    <row r="653" spans="1:5">
      <c r="A653">
        <v>3541</v>
      </c>
      <c r="B653" t="s">
        <v>5444</v>
      </c>
      <c r="C653">
        <v>38</v>
      </c>
      <c r="D653">
        <v>46</v>
      </c>
      <c r="E653">
        <v>634</v>
      </c>
    </row>
    <row r="654" spans="1:5">
      <c r="A654">
        <v>3558</v>
      </c>
      <c r="B654" t="s">
        <v>5454</v>
      </c>
      <c r="C654">
        <v>38</v>
      </c>
      <c r="D654">
        <v>31</v>
      </c>
      <c r="E654">
        <v>634</v>
      </c>
    </row>
    <row r="655" spans="1:5">
      <c r="A655">
        <v>3691</v>
      </c>
      <c r="B655" t="s">
        <v>5496</v>
      </c>
      <c r="C655">
        <v>38</v>
      </c>
      <c r="D655">
        <v>73</v>
      </c>
      <c r="E655">
        <v>634</v>
      </c>
    </row>
    <row r="656" spans="1:5">
      <c r="A656">
        <v>4171</v>
      </c>
      <c r="B656" t="s">
        <v>5541</v>
      </c>
      <c r="C656">
        <v>38</v>
      </c>
      <c r="D656">
        <v>57</v>
      </c>
      <c r="E656">
        <v>634</v>
      </c>
    </row>
    <row r="657" spans="1:5">
      <c r="A657">
        <v>4931</v>
      </c>
      <c r="B657" t="s">
        <v>5618</v>
      </c>
      <c r="C657">
        <v>38</v>
      </c>
      <c r="D657">
        <v>35</v>
      </c>
      <c r="E657">
        <v>634</v>
      </c>
    </row>
    <row r="658" spans="1:5">
      <c r="A658">
        <v>5457</v>
      </c>
      <c r="B658" t="s">
        <v>5699</v>
      </c>
      <c r="C658">
        <v>38</v>
      </c>
      <c r="D658">
        <v>51</v>
      </c>
      <c r="E658">
        <v>634</v>
      </c>
    </row>
    <row r="659" spans="1:5">
      <c r="A659">
        <v>6120</v>
      </c>
      <c r="B659" t="s">
        <v>5754</v>
      </c>
      <c r="C659">
        <v>38</v>
      </c>
      <c r="D659">
        <v>52</v>
      </c>
      <c r="E659">
        <v>634</v>
      </c>
    </row>
    <row r="660" spans="1:5">
      <c r="A660">
        <v>6245</v>
      </c>
      <c r="B660" t="s">
        <v>5837</v>
      </c>
      <c r="C660">
        <v>38</v>
      </c>
      <c r="D660">
        <v>21</v>
      </c>
      <c r="E660">
        <v>634</v>
      </c>
    </row>
    <row r="661" spans="1:5">
      <c r="A661">
        <v>6609</v>
      </c>
      <c r="B661" t="s">
        <v>5924</v>
      </c>
      <c r="C661">
        <v>38</v>
      </c>
      <c r="D661">
        <v>26</v>
      </c>
      <c r="E661">
        <v>634</v>
      </c>
    </row>
    <row r="662" spans="1:5">
      <c r="A662">
        <v>8034</v>
      </c>
      <c r="B662" t="s">
        <v>5961</v>
      </c>
      <c r="C662">
        <v>38</v>
      </c>
      <c r="D662">
        <v>49</v>
      </c>
      <c r="E662">
        <v>634</v>
      </c>
    </row>
    <row r="663" spans="1:5">
      <c r="A663">
        <v>8086</v>
      </c>
      <c r="B663" t="s">
        <v>5979</v>
      </c>
      <c r="C663">
        <v>38</v>
      </c>
      <c r="D663">
        <v>94</v>
      </c>
      <c r="E663">
        <v>634</v>
      </c>
    </row>
    <row r="664" spans="1:5">
      <c r="A664">
        <v>8099</v>
      </c>
      <c r="B664" t="s">
        <v>5985</v>
      </c>
      <c r="C664">
        <v>38</v>
      </c>
      <c r="D664">
        <v>47</v>
      </c>
      <c r="E664">
        <v>634</v>
      </c>
    </row>
    <row r="665" spans="1:5">
      <c r="A665">
        <v>1514</v>
      </c>
      <c r="B665" t="s">
        <v>4870</v>
      </c>
      <c r="C665">
        <v>37</v>
      </c>
      <c r="D665">
        <v>43</v>
      </c>
      <c r="E665">
        <v>664</v>
      </c>
    </row>
    <row r="666" spans="1:5">
      <c r="A666">
        <v>1570</v>
      </c>
      <c r="B666" t="s">
        <v>4898</v>
      </c>
      <c r="C666">
        <v>37</v>
      </c>
      <c r="D666">
        <v>62</v>
      </c>
      <c r="E666">
        <v>664</v>
      </c>
    </row>
    <row r="667" spans="1:5">
      <c r="A667">
        <v>1712</v>
      </c>
      <c r="B667" t="s">
        <v>4932</v>
      </c>
      <c r="C667">
        <v>37</v>
      </c>
      <c r="D667">
        <v>56</v>
      </c>
      <c r="E667">
        <v>664</v>
      </c>
    </row>
    <row r="668" spans="1:5">
      <c r="A668">
        <v>1773</v>
      </c>
      <c r="B668" t="s">
        <v>4955</v>
      </c>
      <c r="C668">
        <v>37</v>
      </c>
      <c r="D668">
        <v>60</v>
      </c>
      <c r="E668">
        <v>664</v>
      </c>
    </row>
    <row r="669" spans="1:5">
      <c r="A669">
        <v>2059</v>
      </c>
      <c r="B669" t="s">
        <v>5002</v>
      </c>
      <c r="C669">
        <v>37</v>
      </c>
      <c r="D669">
        <v>40</v>
      </c>
      <c r="E669">
        <v>664</v>
      </c>
    </row>
    <row r="670" spans="1:5">
      <c r="A670">
        <v>2331</v>
      </c>
      <c r="B670" t="s">
        <v>5049</v>
      </c>
      <c r="C670">
        <v>37</v>
      </c>
      <c r="D670">
        <v>59</v>
      </c>
      <c r="E670">
        <v>664</v>
      </c>
    </row>
    <row r="671" spans="1:5">
      <c r="A671">
        <v>2535</v>
      </c>
      <c r="B671" t="s">
        <v>5173</v>
      </c>
      <c r="C671">
        <v>37</v>
      </c>
      <c r="D671">
        <v>43</v>
      </c>
      <c r="E671">
        <v>664</v>
      </c>
    </row>
    <row r="672" spans="1:5">
      <c r="A672">
        <v>3029</v>
      </c>
      <c r="B672" t="s">
        <v>5289</v>
      </c>
      <c r="C672">
        <v>37</v>
      </c>
      <c r="D672">
        <v>66</v>
      </c>
      <c r="E672">
        <v>664</v>
      </c>
    </row>
    <row r="673" spans="1:5">
      <c r="A673">
        <v>3297</v>
      </c>
      <c r="B673" t="s">
        <v>5374</v>
      </c>
      <c r="C673">
        <v>37</v>
      </c>
      <c r="D673">
        <v>27</v>
      </c>
      <c r="E673">
        <v>664</v>
      </c>
    </row>
    <row r="674" spans="1:5">
      <c r="A674">
        <v>3360</v>
      </c>
      <c r="B674" t="s">
        <v>5391</v>
      </c>
      <c r="C674">
        <v>37</v>
      </c>
      <c r="D674">
        <v>20</v>
      </c>
      <c r="E674">
        <v>664</v>
      </c>
    </row>
    <row r="675" spans="1:5">
      <c r="A675">
        <v>3437</v>
      </c>
      <c r="B675" t="s">
        <v>5409</v>
      </c>
      <c r="C675">
        <v>37</v>
      </c>
      <c r="D675">
        <v>51</v>
      </c>
      <c r="E675">
        <v>664</v>
      </c>
    </row>
    <row r="676" spans="1:5">
      <c r="A676">
        <v>3594</v>
      </c>
      <c r="B676" t="s">
        <v>5464</v>
      </c>
      <c r="C676">
        <v>37</v>
      </c>
      <c r="D676">
        <v>64</v>
      </c>
      <c r="E676">
        <v>664</v>
      </c>
    </row>
    <row r="677" spans="1:5">
      <c r="A677">
        <v>3694</v>
      </c>
      <c r="B677" t="s">
        <v>5498</v>
      </c>
      <c r="C677">
        <v>37</v>
      </c>
      <c r="D677">
        <v>19</v>
      </c>
      <c r="E677">
        <v>664</v>
      </c>
    </row>
    <row r="678" spans="1:5">
      <c r="A678">
        <v>4105</v>
      </c>
      <c r="B678" t="s">
        <v>5512</v>
      </c>
      <c r="C678">
        <v>37</v>
      </c>
      <c r="D678">
        <v>51</v>
      </c>
      <c r="E678">
        <v>664</v>
      </c>
    </row>
    <row r="679" spans="1:5">
      <c r="A679">
        <v>5223</v>
      </c>
      <c r="B679" t="s">
        <v>5655</v>
      </c>
      <c r="C679">
        <v>37</v>
      </c>
      <c r="D679">
        <v>19</v>
      </c>
      <c r="E679">
        <v>664</v>
      </c>
    </row>
    <row r="680" spans="1:5">
      <c r="A680">
        <v>5521</v>
      </c>
      <c r="B680" t="s">
        <v>5713</v>
      </c>
      <c r="C680">
        <v>37</v>
      </c>
      <c r="D680">
        <v>48</v>
      </c>
      <c r="E680">
        <v>664</v>
      </c>
    </row>
    <row r="681" spans="1:5">
      <c r="A681">
        <v>6208</v>
      </c>
      <c r="B681" t="s">
        <v>5813</v>
      </c>
      <c r="C681">
        <v>37</v>
      </c>
      <c r="D681">
        <v>54</v>
      </c>
      <c r="E681">
        <v>664</v>
      </c>
    </row>
    <row r="682" spans="1:5">
      <c r="A682">
        <v>6265</v>
      </c>
      <c r="B682" t="s">
        <v>5844</v>
      </c>
      <c r="C682">
        <v>37</v>
      </c>
      <c r="D682">
        <v>41</v>
      </c>
      <c r="E682">
        <v>664</v>
      </c>
    </row>
    <row r="683" spans="1:5">
      <c r="A683">
        <v>6538</v>
      </c>
      <c r="B683" t="s">
        <v>5908</v>
      </c>
      <c r="C683">
        <v>37</v>
      </c>
      <c r="D683">
        <v>55</v>
      </c>
      <c r="E683">
        <v>664</v>
      </c>
    </row>
    <row r="684" spans="1:5">
      <c r="A684">
        <v>1314</v>
      </c>
      <c r="B684" t="s">
        <v>4815</v>
      </c>
      <c r="C684">
        <v>36</v>
      </c>
      <c r="D684">
        <v>64</v>
      </c>
      <c r="E684">
        <v>683</v>
      </c>
    </row>
    <row r="685" spans="1:5">
      <c r="A685">
        <v>1447</v>
      </c>
      <c r="B685" t="s">
        <v>4848</v>
      </c>
      <c r="C685">
        <v>36</v>
      </c>
      <c r="D685">
        <v>42</v>
      </c>
      <c r="E685">
        <v>683</v>
      </c>
    </row>
    <row r="686" spans="1:5">
      <c r="A686">
        <v>1532</v>
      </c>
      <c r="B686" t="s">
        <v>4885</v>
      </c>
      <c r="C686">
        <v>36</v>
      </c>
      <c r="D686">
        <v>65</v>
      </c>
      <c r="E686">
        <v>683</v>
      </c>
    </row>
    <row r="687" spans="1:5">
      <c r="A687">
        <v>1720</v>
      </c>
      <c r="B687" t="s">
        <v>4937</v>
      </c>
      <c r="C687">
        <v>36</v>
      </c>
      <c r="D687">
        <v>32</v>
      </c>
      <c r="E687">
        <v>683</v>
      </c>
    </row>
    <row r="688" spans="1:5">
      <c r="A688">
        <v>1809</v>
      </c>
      <c r="B688" t="s">
        <v>4967</v>
      </c>
      <c r="C688">
        <v>36</v>
      </c>
      <c r="D688">
        <v>40</v>
      </c>
      <c r="E688">
        <v>683</v>
      </c>
    </row>
    <row r="689" spans="1:5">
      <c r="A689">
        <v>1903</v>
      </c>
      <c r="B689" t="s">
        <v>4971</v>
      </c>
      <c r="C689">
        <v>36</v>
      </c>
      <c r="D689">
        <v>34</v>
      </c>
      <c r="E689">
        <v>683</v>
      </c>
    </row>
    <row r="690" spans="1:5">
      <c r="A690">
        <v>1907</v>
      </c>
      <c r="B690" t="s">
        <v>4975</v>
      </c>
      <c r="C690">
        <v>36</v>
      </c>
      <c r="D690">
        <v>56</v>
      </c>
      <c r="E690">
        <v>683</v>
      </c>
    </row>
    <row r="691" spans="1:5">
      <c r="A691">
        <v>2017</v>
      </c>
      <c r="B691" t="s">
        <v>4987</v>
      </c>
      <c r="C691">
        <v>36</v>
      </c>
      <c r="D691">
        <v>62</v>
      </c>
      <c r="E691">
        <v>683</v>
      </c>
    </row>
    <row r="692" spans="1:5">
      <c r="A692">
        <v>2365</v>
      </c>
      <c r="B692" t="s">
        <v>5071</v>
      </c>
      <c r="C692">
        <v>36</v>
      </c>
      <c r="D692">
        <v>27</v>
      </c>
      <c r="E692">
        <v>683</v>
      </c>
    </row>
    <row r="693" spans="1:5">
      <c r="A693">
        <v>2451</v>
      </c>
      <c r="B693" t="s">
        <v>5122</v>
      </c>
      <c r="C693">
        <v>36</v>
      </c>
      <c r="D693">
        <v>51</v>
      </c>
      <c r="E693">
        <v>683</v>
      </c>
    </row>
    <row r="694" spans="1:5">
      <c r="A694">
        <v>2461</v>
      </c>
      <c r="B694" t="s">
        <v>5130</v>
      </c>
      <c r="C694">
        <v>36</v>
      </c>
      <c r="D694">
        <v>57</v>
      </c>
      <c r="E694">
        <v>683</v>
      </c>
    </row>
    <row r="695" spans="1:5">
      <c r="A695">
        <v>2505</v>
      </c>
      <c r="B695" t="s">
        <v>5161</v>
      </c>
      <c r="C695">
        <v>36</v>
      </c>
      <c r="D695">
        <v>45</v>
      </c>
      <c r="E695">
        <v>683</v>
      </c>
    </row>
    <row r="696" spans="1:5">
      <c r="A696">
        <v>2727</v>
      </c>
      <c r="B696" t="s">
        <v>5217</v>
      </c>
      <c r="C696">
        <v>36</v>
      </c>
      <c r="D696">
        <v>47</v>
      </c>
      <c r="E696">
        <v>683</v>
      </c>
    </row>
    <row r="697" spans="1:5">
      <c r="A697">
        <v>2836</v>
      </c>
      <c r="B697" t="s">
        <v>5230</v>
      </c>
      <c r="C697">
        <v>36</v>
      </c>
      <c r="D697">
        <v>59</v>
      </c>
      <c r="E697">
        <v>683</v>
      </c>
    </row>
    <row r="698" spans="1:5">
      <c r="A698">
        <v>3537</v>
      </c>
      <c r="B698" t="s">
        <v>5442</v>
      </c>
      <c r="C698">
        <v>36</v>
      </c>
      <c r="D698">
        <v>46</v>
      </c>
      <c r="E698">
        <v>683</v>
      </c>
    </row>
    <row r="699" spans="1:5">
      <c r="A699">
        <v>3552</v>
      </c>
      <c r="B699" t="s">
        <v>5451</v>
      </c>
      <c r="C699">
        <v>36</v>
      </c>
      <c r="D699">
        <v>46</v>
      </c>
      <c r="E699">
        <v>683</v>
      </c>
    </row>
    <row r="700" spans="1:5">
      <c r="A700">
        <v>3625</v>
      </c>
      <c r="B700" t="s">
        <v>5476</v>
      </c>
      <c r="C700">
        <v>36</v>
      </c>
      <c r="D700">
        <v>78</v>
      </c>
      <c r="E700">
        <v>683</v>
      </c>
    </row>
    <row r="701" spans="1:5">
      <c r="A701">
        <v>3646</v>
      </c>
      <c r="B701" t="s">
        <v>5480</v>
      </c>
      <c r="C701">
        <v>36</v>
      </c>
      <c r="D701">
        <v>36</v>
      </c>
      <c r="E701">
        <v>683</v>
      </c>
    </row>
    <row r="702" spans="1:5">
      <c r="A702">
        <v>4108</v>
      </c>
      <c r="B702" t="s">
        <v>5514</v>
      </c>
      <c r="C702">
        <v>36</v>
      </c>
      <c r="D702">
        <v>40</v>
      </c>
      <c r="E702">
        <v>683</v>
      </c>
    </row>
    <row r="703" spans="1:5">
      <c r="A703">
        <v>4744</v>
      </c>
      <c r="B703" t="s">
        <v>5599</v>
      </c>
      <c r="C703">
        <v>36</v>
      </c>
      <c r="D703">
        <v>29</v>
      </c>
      <c r="E703">
        <v>683</v>
      </c>
    </row>
    <row r="704" spans="1:5">
      <c r="A704">
        <v>5306</v>
      </c>
      <c r="B704" t="s">
        <v>5675</v>
      </c>
      <c r="C704">
        <v>36</v>
      </c>
      <c r="D704">
        <v>58</v>
      </c>
      <c r="E704">
        <v>683</v>
      </c>
    </row>
    <row r="705" spans="1:5">
      <c r="A705">
        <v>5410</v>
      </c>
      <c r="B705" t="s">
        <v>5689</v>
      </c>
      <c r="C705">
        <v>36</v>
      </c>
      <c r="D705">
        <v>41</v>
      </c>
      <c r="E705">
        <v>683</v>
      </c>
    </row>
    <row r="706" spans="1:5">
      <c r="A706">
        <v>6166</v>
      </c>
      <c r="B706" t="s">
        <v>5784</v>
      </c>
      <c r="C706">
        <v>36</v>
      </c>
      <c r="D706">
        <v>35</v>
      </c>
      <c r="E706">
        <v>683</v>
      </c>
    </row>
    <row r="707" spans="1:5">
      <c r="A707">
        <v>6197</v>
      </c>
      <c r="B707" t="s">
        <v>5806</v>
      </c>
      <c r="C707">
        <v>36</v>
      </c>
      <c r="D707">
        <v>49</v>
      </c>
      <c r="E707">
        <v>683</v>
      </c>
    </row>
    <row r="708" spans="1:5">
      <c r="A708">
        <v>6209</v>
      </c>
      <c r="B708" t="s">
        <v>5814</v>
      </c>
      <c r="C708">
        <v>36</v>
      </c>
      <c r="D708">
        <v>47</v>
      </c>
      <c r="E708">
        <v>683</v>
      </c>
    </row>
    <row r="709" spans="1:5">
      <c r="A709">
        <v>6231</v>
      </c>
      <c r="B709" t="s">
        <v>5829</v>
      </c>
      <c r="C709">
        <v>36</v>
      </c>
      <c r="D709">
        <v>52</v>
      </c>
      <c r="E709">
        <v>683</v>
      </c>
    </row>
    <row r="710" spans="1:5">
      <c r="A710">
        <v>8182</v>
      </c>
      <c r="B710" t="s">
        <v>6000</v>
      </c>
      <c r="C710">
        <v>36</v>
      </c>
      <c r="D710">
        <v>51</v>
      </c>
      <c r="E710">
        <v>683</v>
      </c>
    </row>
    <row r="711" spans="1:5">
      <c r="A711">
        <v>1457</v>
      </c>
      <c r="B711" t="s">
        <v>4855</v>
      </c>
      <c r="C711">
        <v>35</v>
      </c>
      <c r="D711">
        <v>40</v>
      </c>
      <c r="E711">
        <v>710</v>
      </c>
    </row>
    <row r="712" spans="1:5">
      <c r="A712">
        <v>2012</v>
      </c>
      <c r="B712" t="s">
        <v>4983</v>
      </c>
      <c r="C712">
        <v>35</v>
      </c>
      <c r="D712">
        <v>43</v>
      </c>
      <c r="E712">
        <v>710</v>
      </c>
    </row>
    <row r="713" spans="1:5">
      <c r="A713">
        <v>2399</v>
      </c>
      <c r="B713" t="s">
        <v>5092</v>
      </c>
      <c r="C713">
        <v>35</v>
      </c>
      <c r="D713">
        <v>63</v>
      </c>
      <c r="E713">
        <v>710</v>
      </c>
    </row>
    <row r="714" spans="1:5">
      <c r="A714">
        <v>2601</v>
      </c>
      <c r="B714" t="s">
        <v>5185</v>
      </c>
      <c r="C714">
        <v>35</v>
      </c>
      <c r="D714">
        <v>52</v>
      </c>
      <c r="E714">
        <v>710</v>
      </c>
    </row>
    <row r="715" spans="1:5">
      <c r="A715">
        <v>2706</v>
      </c>
      <c r="B715" t="s">
        <v>5211</v>
      </c>
      <c r="C715">
        <v>35</v>
      </c>
      <c r="D715">
        <v>38</v>
      </c>
      <c r="E715">
        <v>710</v>
      </c>
    </row>
    <row r="716" spans="1:5">
      <c r="A716">
        <v>3540</v>
      </c>
      <c r="B716" t="s">
        <v>5443</v>
      </c>
      <c r="C716">
        <v>35</v>
      </c>
      <c r="D716">
        <v>41</v>
      </c>
      <c r="E716">
        <v>710</v>
      </c>
    </row>
    <row r="717" spans="1:5">
      <c r="A717">
        <v>4123</v>
      </c>
      <c r="B717" t="s">
        <v>5522</v>
      </c>
      <c r="C717">
        <v>35</v>
      </c>
      <c r="D717">
        <v>50</v>
      </c>
      <c r="E717">
        <v>710</v>
      </c>
    </row>
    <row r="718" spans="1:5">
      <c r="A718">
        <v>4126</v>
      </c>
      <c r="B718" t="s">
        <v>5523</v>
      </c>
      <c r="C718">
        <v>35</v>
      </c>
      <c r="D718">
        <v>39</v>
      </c>
      <c r="E718">
        <v>710</v>
      </c>
    </row>
    <row r="719" spans="1:5">
      <c r="A719">
        <v>4746</v>
      </c>
      <c r="B719" t="s">
        <v>5601</v>
      </c>
      <c r="C719">
        <v>35</v>
      </c>
      <c r="D719">
        <v>65</v>
      </c>
      <c r="E719">
        <v>710</v>
      </c>
    </row>
    <row r="720" spans="1:5">
      <c r="A720">
        <v>5452</v>
      </c>
      <c r="B720" t="s">
        <v>5698</v>
      </c>
      <c r="C720">
        <v>35</v>
      </c>
      <c r="D720">
        <v>40</v>
      </c>
      <c r="E720">
        <v>710</v>
      </c>
    </row>
    <row r="721" spans="1:5">
      <c r="A721">
        <v>5531</v>
      </c>
      <c r="B721" t="s">
        <v>5717</v>
      </c>
      <c r="C721">
        <v>35</v>
      </c>
      <c r="D721">
        <v>34</v>
      </c>
      <c r="E721">
        <v>710</v>
      </c>
    </row>
    <row r="722" spans="1:5">
      <c r="A722">
        <v>6134</v>
      </c>
      <c r="B722" t="s">
        <v>5763</v>
      </c>
      <c r="C722">
        <v>35</v>
      </c>
      <c r="D722">
        <v>46</v>
      </c>
      <c r="E722">
        <v>710</v>
      </c>
    </row>
    <row r="723" spans="1:5">
      <c r="A723">
        <v>6435</v>
      </c>
      <c r="B723" t="s">
        <v>5873</v>
      </c>
      <c r="C723">
        <v>35</v>
      </c>
      <c r="D723">
        <v>70</v>
      </c>
      <c r="E723">
        <v>710</v>
      </c>
    </row>
    <row r="724" spans="1:5">
      <c r="A724">
        <v>6558</v>
      </c>
      <c r="B724" t="s">
        <v>5911</v>
      </c>
      <c r="C724">
        <v>35</v>
      </c>
      <c r="D724">
        <v>32</v>
      </c>
      <c r="E724">
        <v>710</v>
      </c>
    </row>
    <row r="725" spans="1:5">
      <c r="A725">
        <v>6591</v>
      </c>
      <c r="B725" t="s">
        <v>5919</v>
      </c>
      <c r="C725">
        <v>35</v>
      </c>
      <c r="D725">
        <v>30</v>
      </c>
      <c r="E725">
        <v>710</v>
      </c>
    </row>
    <row r="726" spans="1:5">
      <c r="A726">
        <v>6670</v>
      </c>
      <c r="B726" t="s">
        <v>5938</v>
      </c>
      <c r="C726">
        <v>35</v>
      </c>
      <c r="D726">
        <v>61</v>
      </c>
      <c r="E726">
        <v>710</v>
      </c>
    </row>
    <row r="727" spans="1:5">
      <c r="A727">
        <v>8111</v>
      </c>
      <c r="B727" t="s">
        <v>5991</v>
      </c>
      <c r="C727">
        <v>35</v>
      </c>
      <c r="D727">
        <v>46</v>
      </c>
      <c r="E727">
        <v>710</v>
      </c>
    </row>
    <row r="728" spans="1:5">
      <c r="A728">
        <v>8131</v>
      </c>
      <c r="B728" t="s">
        <v>5994</v>
      </c>
      <c r="C728">
        <v>35</v>
      </c>
      <c r="D728">
        <v>31</v>
      </c>
      <c r="E728">
        <v>710</v>
      </c>
    </row>
    <row r="729" spans="1:5">
      <c r="A729">
        <v>9938</v>
      </c>
      <c r="B729" t="s">
        <v>6094</v>
      </c>
      <c r="C729">
        <v>35</v>
      </c>
      <c r="D729">
        <v>60</v>
      </c>
      <c r="E729">
        <v>710</v>
      </c>
    </row>
    <row r="730" spans="1:5">
      <c r="A730">
        <v>1731</v>
      </c>
      <c r="B730" t="s">
        <v>4944</v>
      </c>
      <c r="C730">
        <v>34</v>
      </c>
      <c r="D730">
        <v>37</v>
      </c>
      <c r="E730">
        <v>729</v>
      </c>
    </row>
    <row r="731" spans="1:5">
      <c r="A731">
        <v>1742</v>
      </c>
      <c r="B731" t="s">
        <v>4951</v>
      </c>
      <c r="C731">
        <v>34</v>
      </c>
      <c r="D731">
        <v>26</v>
      </c>
      <c r="E731">
        <v>729</v>
      </c>
    </row>
    <row r="732" spans="1:5">
      <c r="A732">
        <v>1789</v>
      </c>
      <c r="B732" t="s">
        <v>4962</v>
      </c>
      <c r="C732">
        <v>34</v>
      </c>
      <c r="D732">
        <v>40</v>
      </c>
      <c r="E732">
        <v>729</v>
      </c>
    </row>
    <row r="733" spans="1:5">
      <c r="A733">
        <v>2387</v>
      </c>
      <c r="B733" t="s">
        <v>5085</v>
      </c>
      <c r="C733">
        <v>34</v>
      </c>
      <c r="D733">
        <v>63</v>
      </c>
      <c r="E733">
        <v>729</v>
      </c>
    </row>
    <row r="734" spans="1:5">
      <c r="A734">
        <v>2538</v>
      </c>
      <c r="B734" t="s">
        <v>5176</v>
      </c>
      <c r="C734">
        <v>34</v>
      </c>
      <c r="D734">
        <v>58</v>
      </c>
      <c r="E734">
        <v>729</v>
      </c>
    </row>
    <row r="735" spans="1:5">
      <c r="A735">
        <v>2701</v>
      </c>
      <c r="B735" t="s">
        <v>5208</v>
      </c>
      <c r="C735">
        <v>34</v>
      </c>
      <c r="D735">
        <v>12</v>
      </c>
      <c r="E735">
        <v>729</v>
      </c>
    </row>
    <row r="736" spans="1:5">
      <c r="A736">
        <v>2704</v>
      </c>
      <c r="B736" t="s">
        <v>5209</v>
      </c>
      <c r="C736">
        <v>34</v>
      </c>
      <c r="D736">
        <v>34</v>
      </c>
      <c r="E736">
        <v>729</v>
      </c>
    </row>
    <row r="737" spans="1:5">
      <c r="A737">
        <v>2913</v>
      </c>
      <c r="B737" t="s">
        <v>5262</v>
      </c>
      <c r="C737">
        <v>34</v>
      </c>
      <c r="D737">
        <v>44</v>
      </c>
      <c r="E737">
        <v>729</v>
      </c>
    </row>
    <row r="738" spans="1:5">
      <c r="A738">
        <v>3010</v>
      </c>
      <c r="B738" t="s">
        <v>5275</v>
      </c>
      <c r="C738">
        <v>34</v>
      </c>
      <c r="D738">
        <v>71</v>
      </c>
      <c r="E738">
        <v>729</v>
      </c>
    </row>
    <row r="739" spans="1:5">
      <c r="A739">
        <v>3060</v>
      </c>
      <c r="B739" t="s">
        <v>5313</v>
      </c>
      <c r="C739">
        <v>34</v>
      </c>
      <c r="D739">
        <v>57</v>
      </c>
      <c r="E739">
        <v>729</v>
      </c>
    </row>
    <row r="740" spans="1:5">
      <c r="A740">
        <v>3090</v>
      </c>
      <c r="B740" t="s">
        <v>5321</v>
      </c>
      <c r="C740">
        <v>34</v>
      </c>
      <c r="D740">
        <v>42</v>
      </c>
      <c r="E740">
        <v>729</v>
      </c>
    </row>
    <row r="741" spans="1:5">
      <c r="A741">
        <v>3093</v>
      </c>
      <c r="B741" t="s">
        <v>6299</v>
      </c>
      <c r="C741">
        <v>34</v>
      </c>
      <c r="D741">
        <v>30</v>
      </c>
      <c r="E741">
        <v>729</v>
      </c>
    </row>
    <row r="742" spans="1:5">
      <c r="A742">
        <v>4147</v>
      </c>
      <c r="B742" t="s">
        <v>5530</v>
      </c>
      <c r="C742">
        <v>34</v>
      </c>
      <c r="D742">
        <v>54</v>
      </c>
      <c r="E742">
        <v>729</v>
      </c>
    </row>
    <row r="743" spans="1:5">
      <c r="A743">
        <v>4168</v>
      </c>
      <c r="B743" t="s">
        <v>5540</v>
      </c>
      <c r="C743">
        <v>34</v>
      </c>
      <c r="D743">
        <v>41</v>
      </c>
      <c r="E743">
        <v>729</v>
      </c>
    </row>
    <row r="744" spans="1:5">
      <c r="A744">
        <v>5272</v>
      </c>
      <c r="B744" t="s">
        <v>5666</v>
      </c>
      <c r="C744">
        <v>34</v>
      </c>
      <c r="D744">
        <v>64</v>
      </c>
      <c r="E744">
        <v>729</v>
      </c>
    </row>
    <row r="745" spans="1:5">
      <c r="A745">
        <v>5403</v>
      </c>
      <c r="B745" t="s">
        <v>5688</v>
      </c>
      <c r="C745">
        <v>34</v>
      </c>
      <c r="D745">
        <v>6</v>
      </c>
      <c r="E745">
        <v>729</v>
      </c>
    </row>
    <row r="746" spans="1:5">
      <c r="A746">
        <v>5469</v>
      </c>
      <c r="B746" t="s">
        <v>5701</v>
      </c>
      <c r="C746">
        <v>34</v>
      </c>
      <c r="D746">
        <v>54</v>
      </c>
      <c r="E746">
        <v>729</v>
      </c>
    </row>
    <row r="747" spans="1:5">
      <c r="A747">
        <v>5603</v>
      </c>
      <c r="B747" t="s">
        <v>5724</v>
      </c>
      <c r="C747">
        <v>34</v>
      </c>
      <c r="D747">
        <v>44</v>
      </c>
      <c r="E747">
        <v>729</v>
      </c>
    </row>
    <row r="748" spans="1:5">
      <c r="A748">
        <v>6026</v>
      </c>
      <c r="B748" t="s">
        <v>5744</v>
      </c>
      <c r="C748">
        <v>34</v>
      </c>
      <c r="D748">
        <v>55</v>
      </c>
      <c r="E748">
        <v>729</v>
      </c>
    </row>
    <row r="749" spans="1:5">
      <c r="A749">
        <v>6186</v>
      </c>
      <c r="B749" t="s">
        <v>5798</v>
      </c>
      <c r="C749">
        <v>34</v>
      </c>
      <c r="D749">
        <v>57</v>
      </c>
      <c r="E749">
        <v>729</v>
      </c>
    </row>
    <row r="750" spans="1:5">
      <c r="A750">
        <v>8011</v>
      </c>
      <c r="B750" t="s">
        <v>5955</v>
      </c>
      <c r="C750">
        <v>34</v>
      </c>
      <c r="D750">
        <v>32</v>
      </c>
      <c r="E750">
        <v>729</v>
      </c>
    </row>
    <row r="751" spans="1:5">
      <c r="A751">
        <v>8927</v>
      </c>
      <c r="B751" t="s">
        <v>6062</v>
      </c>
      <c r="C751">
        <v>34</v>
      </c>
      <c r="D751">
        <v>49</v>
      </c>
      <c r="E751">
        <v>729</v>
      </c>
    </row>
    <row r="752" spans="1:5">
      <c r="A752">
        <v>9935</v>
      </c>
      <c r="B752" t="s">
        <v>6092</v>
      </c>
      <c r="C752">
        <v>34</v>
      </c>
      <c r="D752">
        <v>34</v>
      </c>
      <c r="E752">
        <v>729</v>
      </c>
    </row>
    <row r="753" spans="1:5">
      <c r="A753">
        <v>1103</v>
      </c>
      <c r="B753" t="s">
        <v>4778</v>
      </c>
      <c r="C753">
        <v>33</v>
      </c>
      <c r="D753">
        <v>48</v>
      </c>
      <c r="E753">
        <v>752</v>
      </c>
    </row>
    <row r="754" spans="1:5">
      <c r="A754">
        <v>1414</v>
      </c>
      <c r="B754" t="s">
        <v>4833</v>
      </c>
      <c r="C754">
        <v>33</v>
      </c>
      <c r="D754">
        <v>44</v>
      </c>
      <c r="E754">
        <v>752</v>
      </c>
    </row>
    <row r="755" spans="1:5">
      <c r="A755">
        <v>1516</v>
      </c>
      <c r="B755" t="s">
        <v>4872</v>
      </c>
      <c r="C755">
        <v>33</v>
      </c>
      <c r="D755">
        <v>20</v>
      </c>
      <c r="E755">
        <v>752</v>
      </c>
    </row>
    <row r="756" spans="1:5">
      <c r="A756">
        <v>1519</v>
      </c>
      <c r="B756" t="s">
        <v>4874</v>
      </c>
      <c r="C756">
        <v>33</v>
      </c>
      <c r="D756">
        <v>55</v>
      </c>
      <c r="E756">
        <v>752</v>
      </c>
    </row>
    <row r="757" spans="1:5">
      <c r="A757">
        <v>1526</v>
      </c>
      <c r="B757" t="s">
        <v>4879</v>
      </c>
      <c r="C757">
        <v>33</v>
      </c>
      <c r="D757">
        <v>48</v>
      </c>
      <c r="E757">
        <v>752</v>
      </c>
    </row>
    <row r="758" spans="1:5">
      <c r="A758">
        <v>1599</v>
      </c>
      <c r="B758" t="s">
        <v>4912</v>
      </c>
      <c r="C758">
        <v>33</v>
      </c>
      <c r="D758">
        <v>28</v>
      </c>
      <c r="E758">
        <v>752</v>
      </c>
    </row>
    <row r="759" spans="1:5">
      <c r="A759">
        <v>1717</v>
      </c>
      <c r="B759" t="s">
        <v>4935</v>
      </c>
      <c r="C759">
        <v>33</v>
      </c>
      <c r="D759">
        <v>76</v>
      </c>
      <c r="E759">
        <v>752</v>
      </c>
    </row>
    <row r="760" spans="1:5">
      <c r="A760">
        <v>1783</v>
      </c>
      <c r="B760" t="s">
        <v>4957</v>
      </c>
      <c r="C760">
        <v>33</v>
      </c>
      <c r="D760">
        <v>47</v>
      </c>
      <c r="E760">
        <v>752</v>
      </c>
    </row>
    <row r="761" spans="1:5">
      <c r="A761">
        <v>2033</v>
      </c>
      <c r="B761" t="s">
        <v>4997</v>
      </c>
      <c r="C761">
        <v>33</v>
      </c>
      <c r="D761">
        <v>37</v>
      </c>
      <c r="E761">
        <v>752</v>
      </c>
    </row>
    <row r="762" spans="1:5">
      <c r="A762">
        <v>2355</v>
      </c>
      <c r="B762" t="s">
        <v>5063</v>
      </c>
      <c r="C762">
        <v>33</v>
      </c>
      <c r="D762">
        <v>58</v>
      </c>
      <c r="E762">
        <v>752</v>
      </c>
    </row>
    <row r="763" spans="1:5">
      <c r="A763">
        <v>2514</v>
      </c>
      <c r="B763" t="s">
        <v>5165</v>
      </c>
      <c r="C763">
        <v>33</v>
      </c>
      <c r="D763">
        <v>40</v>
      </c>
      <c r="E763">
        <v>752</v>
      </c>
    </row>
    <row r="764" spans="1:5">
      <c r="A764">
        <v>2851</v>
      </c>
      <c r="B764" t="s">
        <v>5235</v>
      </c>
      <c r="C764">
        <v>33</v>
      </c>
      <c r="D764">
        <v>62</v>
      </c>
      <c r="E764">
        <v>752</v>
      </c>
    </row>
    <row r="765" spans="1:5">
      <c r="A765">
        <v>3052</v>
      </c>
      <c r="B765" t="s">
        <v>5308</v>
      </c>
      <c r="C765">
        <v>33</v>
      </c>
      <c r="D765">
        <v>44</v>
      </c>
      <c r="E765">
        <v>752</v>
      </c>
    </row>
    <row r="766" spans="1:5">
      <c r="A766">
        <v>3357</v>
      </c>
      <c r="B766" t="s">
        <v>5390</v>
      </c>
      <c r="C766">
        <v>33</v>
      </c>
      <c r="D766">
        <v>37</v>
      </c>
      <c r="E766">
        <v>752</v>
      </c>
    </row>
    <row r="767" spans="1:5">
      <c r="A767">
        <v>3362</v>
      </c>
      <c r="B767" t="s">
        <v>5392</v>
      </c>
      <c r="C767">
        <v>33</v>
      </c>
      <c r="D767">
        <v>40</v>
      </c>
      <c r="E767">
        <v>752</v>
      </c>
    </row>
    <row r="768" spans="1:5">
      <c r="A768">
        <v>3484</v>
      </c>
      <c r="B768" t="s">
        <v>5421</v>
      </c>
      <c r="C768">
        <v>33</v>
      </c>
      <c r="D768">
        <v>87</v>
      </c>
      <c r="E768">
        <v>752</v>
      </c>
    </row>
    <row r="769" spans="1:5">
      <c r="A769">
        <v>4153</v>
      </c>
      <c r="B769" t="s">
        <v>5532</v>
      </c>
      <c r="C769">
        <v>33</v>
      </c>
      <c r="D769">
        <v>9</v>
      </c>
      <c r="E769">
        <v>752</v>
      </c>
    </row>
    <row r="770" spans="1:5">
      <c r="A770">
        <v>4306</v>
      </c>
      <c r="B770" t="s">
        <v>5548</v>
      </c>
      <c r="C770">
        <v>33</v>
      </c>
      <c r="D770">
        <v>39</v>
      </c>
      <c r="E770">
        <v>752</v>
      </c>
    </row>
    <row r="771" spans="1:5">
      <c r="A771">
        <v>4714</v>
      </c>
      <c r="B771" t="s">
        <v>5589</v>
      </c>
      <c r="C771">
        <v>33</v>
      </c>
      <c r="D771">
        <v>44</v>
      </c>
      <c r="E771">
        <v>752</v>
      </c>
    </row>
    <row r="772" spans="1:5">
      <c r="A772">
        <v>4722</v>
      </c>
      <c r="B772" t="s">
        <v>5593</v>
      </c>
      <c r="C772">
        <v>33</v>
      </c>
      <c r="D772">
        <v>56</v>
      </c>
      <c r="E772">
        <v>752</v>
      </c>
    </row>
    <row r="773" spans="1:5">
      <c r="A773">
        <v>5426</v>
      </c>
      <c r="B773" t="s">
        <v>5691</v>
      </c>
      <c r="C773">
        <v>33</v>
      </c>
      <c r="D773">
        <v>17</v>
      </c>
      <c r="E773">
        <v>752</v>
      </c>
    </row>
    <row r="774" spans="1:5">
      <c r="A774">
        <v>5820</v>
      </c>
      <c r="B774" t="s">
        <v>5729</v>
      </c>
      <c r="C774">
        <v>33</v>
      </c>
      <c r="D774">
        <v>37</v>
      </c>
      <c r="E774">
        <v>752</v>
      </c>
    </row>
    <row r="775" spans="1:5">
      <c r="A775">
        <v>6224</v>
      </c>
      <c r="B775" t="s">
        <v>5824</v>
      </c>
      <c r="C775">
        <v>33</v>
      </c>
      <c r="D775">
        <v>64</v>
      </c>
      <c r="E775">
        <v>752</v>
      </c>
    </row>
    <row r="776" spans="1:5">
      <c r="A776">
        <v>6233</v>
      </c>
      <c r="B776" t="s">
        <v>5830</v>
      </c>
      <c r="C776">
        <v>33</v>
      </c>
      <c r="D776">
        <v>79</v>
      </c>
      <c r="E776">
        <v>752</v>
      </c>
    </row>
    <row r="777" spans="1:5">
      <c r="A777">
        <v>6552</v>
      </c>
      <c r="B777" t="s">
        <v>5910</v>
      </c>
      <c r="C777">
        <v>33</v>
      </c>
      <c r="D777">
        <v>32</v>
      </c>
      <c r="E777">
        <v>752</v>
      </c>
    </row>
    <row r="778" spans="1:5">
      <c r="A778">
        <v>6643</v>
      </c>
      <c r="B778" t="s">
        <v>5929</v>
      </c>
      <c r="C778">
        <v>33</v>
      </c>
      <c r="D778">
        <v>63</v>
      </c>
      <c r="E778">
        <v>752</v>
      </c>
    </row>
    <row r="779" spans="1:5">
      <c r="A779">
        <v>8931</v>
      </c>
      <c r="B779" t="s">
        <v>6065</v>
      </c>
      <c r="C779">
        <v>33</v>
      </c>
      <c r="D779">
        <v>5</v>
      </c>
      <c r="E779">
        <v>752</v>
      </c>
    </row>
    <row r="780" spans="1:5">
      <c r="A780">
        <v>1718</v>
      </c>
      <c r="B780" t="s">
        <v>4936</v>
      </c>
      <c r="C780">
        <v>32</v>
      </c>
      <c r="D780">
        <v>43</v>
      </c>
      <c r="E780">
        <v>779</v>
      </c>
    </row>
    <row r="781" spans="1:5">
      <c r="A781">
        <v>1788</v>
      </c>
      <c r="B781" t="s">
        <v>4961</v>
      </c>
      <c r="C781">
        <v>32</v>
      </c>
      <c r="D781">
        <v>30</v>
      </c>
      <c r="E781">
        <v>779</v>
      </c>
    </row>
    <row r="782" spans="1:5">
      <c r="A782">
        <v>2029</v>
      </c>
      <c r="B782" t="s">
        <v>4993</v>
      </c>
      <c r="C782">
        <v>32</v>
      </c>
      <c r="D782">
        <v>47</v>
      </c>
      <c r="E782">
        <v>779</v>
      </c>
    </row>
    <row r="783" spans="1:5">
      <c r="A783">
        <v>2472</v>
      </c>
      <c r="B783" t="s">
        <v>5138</v>
      </c>
      <c r="C783">
        <v>32</v>
      </c>
      <c r="D783">
        <v>53</v>
      </c>
      <c r="E783">
        <v>779</v>
      </c>
    </row>
    <row r="784" spans="1:5">
      <c r="A784">
        <v>3032</v>
      </c>
      <c r="B784" t="s">
        <v>5292</v>
      </c>
      <c r="C784">
        <v>32</v>
      </c>
      <c r="D784">
        <v>20</v>
      </c>
      <c r="E784">
        <v>779</v>
      </c>
    </row>
    <row r="785" spans="1:5">
      <c r="A785">
        <v>3272</v>
      </c>
      <c r="B785" t="s">
        <v>5366</v>
      </c>
      <c r="C785">
        <v>32</v>
      </c>
      <c r="D785">
        <v>19</v>
      </c>
      <c r="E785">
        <v>779</v>
      </c>
    </row>
    <row r="786" spans="1:5">
      <c r="A786">
        <v>3346</v>
      </c>
      <c r="B786" t="s">
        <v>5387</v>
      </c>
      <c r="C786">
        <v>32</v>
      </c>
      <c r="D786">
        <v>45</v>
      </c>
      <c r="E786">
        <v>779</v>
      </c>
    </row>
    <row r="787" spans="1:5">
      <c r="A787">
        <v>3372</v>
      </c>
      <c r="B787" t="s">
        <v>5394</v>
      </c>
      <c r="C787">
        <v>32</v>
      </c>
      <c r="D787">
        <v>42</v>
      </c>
      <c r="E787">
        <v>779</v>
      </c>
    </row>
    <row r="788" spans="1:5">
      <c r="A788">
        <v>3444</v>
      </c>
      <c r="B788" t="s">
        <v>5413</v>
      </c>
      <c r="C788">
        <v>32</v>
      </c>
      <c r="D788">
        <v>37</v>
      </c>
      <c r="E788">
        <v>779</v>
      </c>
    </row>
    <row r="789" spans="1:5">
      <c r="A789">
        <v>3630</v>
      </c>
      <c r="B789" t="s">
        <v>5478</v>
      </c>
      <c r="C789">
        <v>32</v>
      </c>
      <c r="D789">
        <v>54</v>
      </c>
      <c r="E789">
        <v>779</v>
      </c>
    </row>
    <row r="790" spans="1:5">
      <c r="A790">
        <v>3712</v>
      </c>
      <c r="B790" t="s">
        <v>5508</v>
      </c>
      <c r="C790">
        <v>32</v>
      </c>
      <c r="D790">
        <v>66</v>
      </c>
      <c r="E790">
        <v>779</v>
      </c>
    </row>
    <row r="791" spans="1:5">
      <c r="A791">
        <v>4121</v>
      </c>
      <c r="B791" t="s">
        <v>5521</v>
      </c>
      <c r="C791">
        <v>32</v>
      </c>
      <c r="D791">
        <v>60</v>
      </c>
      <c r="E791">
        <v>779</v>
      </c>
    </row>
    <row r="792" spans="1:5">
      <c r="A792">
        <v>4438</v>
      </c>
      <c r="B792" t="s">
        <v>5556</v>
      </c>
      <c r="C792">
        <v>32</v>
      </c>
      <c r="D792">
        <v>48</v>
      </c>
      <c r="E792">
        <v>779</v>
      </c>
    </row>
    <row r="793" spans="1:5">
      <c r="A793">
        <v>4707</v>
      </c>
      <c r="B793" t="s">
        <v>5587</v>
      </c>
      <c r="C793">
        <v>32</v>
      </c>
      <c r="D793">
        <v>61</v>
      </c>
      <c r="E793">
        <v>779</v>
      </c>
    </row>
    <row r="794" spans="1:5">
      <c r="A794">
        <v>4930</v>
      </c>
      <c r="B794" t="s">
        <v>6191</v>
      </c>
      <c r="C794">
        <v>32</v>
      </c>
      <c r="D794">
        <v>42</v>
      </c>
      <c r="E794">
        <v>779</v>
      </c>
    </row>
    <row r="795" spans="1:5">
      <c r="A795">
        <v>6126</v>
      </c>
      <c r="B795" t="s">
        <v>5759</v>
      </c>
      <c r="C795">
        <v>32</v>
      </c>
      <c r="D795">
        <v>58</v>
      </c>
      <c r="E795">
        <v>779</v>
      </c>
    </row>
    <row r="796" spans="1:5">
      <c r="A796">
        <v>6243</v>
      </c>
      <c r="B796" t="s">
        <v>5836</v>
      </c>
      <c r="C796">
        <v>32</v>
      </c>
      <c r="D796">
        <v>61</v>
      </c>
      <c r="E796">
        <v>779</v>
      </c>
    </row>
    <row r="797" spans="1:5">
      <c r="A797">
        <v>6508</v>
      </c>
      <c r="B797" t="s">
        <v>5897</v>
      </c>
      <c r="C797">
        <v>32</v>
      </c>
      <c r="D797">
        <v>57</v>
      </c>
      <c r="E797">
        <v>779</v>
      </c>
    </row>
    <row r="798" spans="1:5">
      <c r="A798">
        <v>6573</v>
      </c>
      <c r="B798" t="s">
        <v>5914</v>
      </c>
      <c r="C798">
        <v>32</v>
      </c>
      <c r="D798">
        <v>36</v>
      </c>
      <c r="E798">
        <v>779</v>
      </c>
    </row>
    <row r="799" spans="1:5">
      <c r="A799">
        <v>6743</v>
      </c>
      <c r="B799" t="s">
        <v>5948</v>
      </c>
      <c r="C799">
        <v>32</v>
      </c>
      <c r="D799">
        <v>64</v>
      </c>
      <c r="E799">
        <v>779</v>
      </c>
    </row>
    <row r="800" spans="1:5">
      <c r="A800">
        <v>8367</v>
      </c>
      <c r="B800" t="s">
        <v>6019</v>
      </c>
      <c r="C800">
        <v>32</v>
      </c>
      <c r="D800">
        <v>42</v>
      </c>
      <c r="E800">
        <v>779</v>
      </c>
    </row>
    <row r="801" spans="1:5">
      <c r="A801">
        <v>8938</v>
      </c>
      <c r="B801" t="s">
        <v>6067</v>
      </c>
      <c r="C801">
        <v>32</v>
      </c>
      <c r="D801">
        <v>59</v>
      </c>
      <c r="E801">
        <v>779</v>
      </c>
    </row>
    <row r="802" spans="1:5">
      <c r="A802">
        <v>9946</v>
      </c>
      <c r="B802" t="s">
        <v>6102</v>
      </c>
      <c r="C802">
        <v>32</v>
      </c>
      <c r="D802">
        <v>20</v>
      </c>
      <c r="E802">
        <v>779</v>
      </c>
    </row>
    <row r="803" spans="1:5">
      <c r="A803">
        <v>1338</v>
      </c>
      <c r="B803" t="s">
        <v>4826</v>
      </c>
      <c r="C803">
        <v>31</v>
      </c>
      <c r="D803">
        <v>41</v>
      </c>
      <c r="E803">
        <v>802</v>
      </c>
    </row>
    <row r="804" spans="1:5">
      <c r="A804">
        <v>1808</v>
      </c>
      <c r="B804" t="s">
        <v>4966</v>
      </c>
      <c r="C804">
        <v>31</v>
      </c>
      <c r="D804">
        <v>66</v>
      </c>
      <c r="E804">
        <v>802</v>
      </c>
    </row>
    <row r="805" spans="1:5">
      <c r="A805">
        <v>2023</v>
      </c>
      <c r="B805" t="s">
        <v>4989</v>
      </c>
      <c r="C805">
        <v>31</v>
      </c>
      <c r="D805">
        <v>51</v>
      </c>
      <c r="E805">
        <v>802</v>
      </c>
    </row>
    <row r="806" spans="1:5">
      <c r="A806">
        <v>2065</v>
      </c>
      <c r="B806" t="s">
        <v>5004</v>
      </c>
      <c r="C806">
        <v>31</v>
      </c>
      <c r="D806">
        <v>38</v>
      </c>
      <c r="E806">
        <v>802</v>
      </c>
    </row>
    <row r="807" spans="1:5">
      <c r="A807">
        <v>2230</v>
      </c>
      <c r="B807" t="s">
        <v>5025</v>
      </c>
      <c r="C807">
        <v>31</v>
      </c>
      <c r="D807">
        <v>3</v>
      </c>
      <c r="E807">
        <v>802</v>
      </c>
    </row>
    <row r="808" spans="1:5">
      <c r="A808">
        <v>2613</v>
      </c>
      <c r="B808" t="s">
        <v>5195</v>
      </c>
      <c r="C808">
        <v>31</v>
      </c>
      <c r="D808">
        <v>42</v>
      </c>
      <c r="E808">
        <v>802</v>
      </c>
    </row>
    <row r="809" spans="1:5">
      <c r="A809">
        <v>2743</v>
      </c>
      <c r="B809" t="s">
        <v>5221</v>
      </c>
      <c r="C809">
        <v>31</v>
      </c>
      <c r="D809">
        <v>40</v>
      </c>
      <c r="E809">
        <v>802</v>
      </c>
    </row>
    <row r="810" spans="1:5">
      <c r="A810">
        <v>3026</v>
      </c>
      <c r="B810" t="s">
        <v>5286</v>
      </c>
      <c r="C810">
        <v>31</v>
      </c>
      <c r="D810">
        <v>80</v>
      </c>
      <c r="E810">
        <v>802</v>
      </c>
    </row>
    <row r="811" spans="1:5">
      <c r="A811">
        <v>3114</v>
      </c>
      <c r="B811" t="s">
        <v>5325</v>
      </c>
      <c r="C811">
        <v>31</v>
      </c>
      <c r="D811">
        <v>43</v>
      </c>
      <c r="E811">
        <v>802</v>
      </c>
    </row>
    <row r="812" spans="1:5">
      <c r="A812">
        <v>3152</v>
      </c>
      <c r="B812" t="s">
        <v>5333</v>
      </c>
      <c r="C812">
        <v>31</v>
      </c>
      <c r="D812">
        <v>70</v>
      </c>
      <c r="E812">
        <v>802</v>
      </c>
    </row>
    <row r="813" spans="1:5">
      <c r="A813">
        <v>4130</v>
      </c>
      <c r="B813" t="s">
        <v>5526</v>
      </c>
      <c r="C813">
        <v>31</v>
      </c>
      <c r="D813">
        <v>36</v>
      </c>
      <c r="E813">
        <v>802</v>
      </c>
    </row>
    <row r="814" spans="1:5">
      <c r="A814">
        <v>4560</v>
      </c>
      <c r="B814" t="s">
        <v>5577</v>
      </c>
      <c r="C814">
        <v>31</v>
      </c>
      <c r="D814">
        <v>4</v>
      </c>
      <c r="E814">
        <v>802</v>
      </c>
    </row>
    <row r="815" spans="1:5">
      <c r="A815">
        <v>4720</v>
      </c>
      <c r="B815" t="s">
        <v>5591</v>
      </c>
      <c r="C815">
        <v>31</v>
      </c>
      <c r="D815">
        <v>42</v>
      </c>
      <c r="E815">
        <v>802</v>
      </c>
    </row>
    <row r="816" spans="1:5">
      <c r="A816">
        <v>4974</v>
      </c>
      <c r="B816" t="s">
        <v>5637</v>
      </c>
      <c r="C816">
        <v>31</v>
      </c>
      <c r="D816">
        <v>80</v>
      </c>
      <c r="E816">
        <v>802</v>
      </c>
    </row>
    <row r="817" spans="1:5">
      <c r="A817">
        <v>5498</v>
      </c>
      <c r="B817" t="s">
        <v>5708</v>
      </c>
      <c r="C817">
        <v>31</v>
      </c>
      <c r="D817">
        <v>62</v>
      </c>
      <c r="E817">
        <v>802</v>
      </c>
    </row>
    <row r="818" spans="1:5">
      <c r="A818">
        <v>5538</v>
      </c>
      <c r="B818" t="s">
        <v>5721</v>
      </c>
      <c r="C818">
        <v>31</v>
      </c>
      <c r="D818">
        <v>54</v>
      </c>
      <c r="E818">
        <v>802</v>
      </c>
    </row>
    <row r="819" spans="1:5">
      <c r="A819">
        <v>5543</v>
      </c>
      <c r="B819" t="s">
        <v>5722</v>
      </c>
      <c r="C819">
        <v>31</v>
      </c>
      <c r="D819">
        <v>14</v>
      </c>
      <c r="E819">
        <v>802</v>
      </c>
    </row>
    <row r="820" spans="1:5">
      <c r="A820">
        <v>6123</v>
      </c>
      <c r="B820" t="s">
        <v>5757</v>
      </c>
      <c r="C820">
        <v>31</v>
      </c>
      <c r="D820">
        <v>22</v>
      </c>
      <c r="E820">
        <v>802</v>
      </c>
    </row>
    <row r="821" spans="1:5">
      <c r="A821">
        <v>6148</v>
      </c>
      <c r="B821" t="s">
        <v>5772</v>
      </c>
      <c r="C821">
        <v>31</v>
      </c>
      <c r="D821">
        <v>34</v>
      </c>
      <c r="E821">
        <v>802</v>
      </c>
    </row>
    <row r="822" spans="1:5">
      <c r="A822">
        <v>6456</v>
      </c>
      <c r="B822" t="s">
        <v>5880</v>
      </c>
      <c r="C822">
        <v>31</v>
      </c>
      <c r="D822">
        <v>45</v>
      </c>
      <c r="E822">
        <v>802</v>
      </c>
    </row>
    <row r="823" spans="1:5">
      <c r="A823">
        <v>6592</v>
      </c>
      <c r="B823" t="s">
        <v>5920</v>
      </c>
      <c r="C823">
        <v>31</v>
      </c>
      <c r="D823">
        <v>51</v>
      </c>
      <c r="E823">
        <v>802</v>
      </c>
    </row>
    <row r="824" spans="1:5">
      <c r="A824">
        <v>8088</v>
      </c>
      <c r="B824" t="s">
        <v>5980</v>
      </c>
      <c r="C824">
        <v>31</v>
      </c>
      <c r="D824">
        <v>42</v>
      </c>
      <c r="E824">
        <v>802</v>
      </c>
    </row>
    <row r="825" spans="1:5">
      <c r="A825">
        <v>8147</v>
      </c>
      <c r="B825" t="s">
        <v>5995</v>
      </c>
      <c r="C825">
        <v>31</v>
      </c>
      <c r="D825">
        <v>27</v>
      </c>
      <c r="E825">
        <v>802</v>
      </c>
    </row>
    <row r="826" spans="1:5">
      <c r="A826">
        <v>8249</v>
      </c>
      <c r="B826" t="s">
        <v>6009</v>
      </c>
      <c r="C826">
        <v>31</v>
      </c>
      <c r="D826">
        <v>53</v>
      </c>
      <c r="E826">
        <v>802</v>
      </c>
    </row>
    <row r="827" spans="1:5">
      <c r="A827">
        <v>8450</v>
      </c>
      <c r="B827" t="s">
        <v>6041</v>
      </c>
      <c r="C827">
        <v>31</v>
      </c>
      <c r="D827">
        <v>42</v>
      </c>
      <c r="E827">
        <v>802</v>
      </c>
    </row>
    <row r="828" spans="1:5">
      <c r="A828">
        <v>1416</v>
      </c>
      <c r="B828" t="s">
        <v>4834</v>
      </c>
      <c r="C828">
        <v>30</v>
      </c>
      <c r="D828">
        <v>44</v>
      </c>
      <c r="E828">
        <v>827</v>
      </c>
    </row>
    <row r="829" spans="1:5">
      <c r="A829">
        <v>1417</v>
      </c>
      <c r="B829" t="s">
        <v>4835</v>
      </c>
      <c r="C829">
        <v>30</v>
      </c>
      <c r="D829">
        <v>19</v>
      </c>
      <c r="E829">
        <v>827</v>
      </c>
    </row>
    <row r="830" spans="1:5">
      <c r="A830">
        <v>1464</v>
      </c>
      <c r="B830" t="s">
        <v>4858</v>
      </c>
      <c r="C830">
        <v>30</v>
      </c>
      <c r="D830">
        <v>17</v>
      </c>
      <c r="E830">
        <v>827</v>
      </c>
    </row>
    <row r="831" spans="1:5">
      <c r="A831">
        <v>1806</v>
      </c>
      <c r="B831" t="s">
        <v>4965</v>
      </c>
      <c r="C831">
        <v>30</v>
      </c>
      <c r="D831">
        <v>37</v>
      </c>
      <c r="E831">
        <v>827</v>
      </c>
    </row>
    <row r="832" spans="1:5">
      <c r="A832">
        <v>1810</v>
      </c>
      <c r="B832" t="s">
        <v>4968</v>
      </c>
      <c r="C832">
        <v>30</v>
      </c>
      <c r="D832">
        <v>50</v>
      </c>
      <c r="E832">
        <v>827</v>
      </c>
    </row>
    <row r="833" spans="1:5">
      <c r="A833">
        <v>2485</v>
      </c>
      <c r="B833" t="s">
        <v>5148</v>
      </c>
      <c r="C833">
        <v>30</v>
      </c>
      <c r="D833">
        <v>41</v>
      </c>
      <c r="E833">
        <v>827</v>
      </c>
    </row>
    <row r="834" spans="1:5">
      <c r="A834">
        <v>2530</v>
      </c>
      <c r="B834" t="s">
        <v>5171</v>
      </c>
      <c r="C834">
        <v>30</v>
      </c>
      <c r="D834">
        <v>13</v>
      </c>
      <c r="E834">
        <v>827</v>
      </c>
    </row>
    <row r="835" spans="1:5">
      <c r="A835">
        <v>2850</v>
      </c>
      <c r="B835" t="s">
        <v>5234</v>
      </c>
      <c r="C835">
        <v>30</v>
      </c>
      <c r="D835">
        <v>21</v>
      </c>
      <c r="E835">
        <v>827</v>
      </c>
    </row>
    <row r="836" spans="1:5">
      <c r="A836">
        <v>3015</v>
      </c>
      <c r="B836" t="s">
        <v>5278</v>
      </c>
      <c r="C836">
        <v>30</v>
      </c>
      <c r="D836">
        <v>46</v>
      </c>
      <c r="E836">
        <v>827</v>
      </c>
    </row>
    <row r="837" spans="1:5">
      <c r="A837">
        <v>3354</v>
      </c>
      <c r="B837" t="s">
        <v>5388</v>
      </c>
      <c r="C837">
        <v>30</v>
      </c>
      <c r="D837">
        <v>51</v>
      </c>
      <c r="E837">
        <v>827</v>
      </c>
    </row>
    <row r="838" spans="1:5">
      <c r="A838">
        <v>3356</v>
      </c>
      <c r="B838" t="s">
        <v>5389</v>
      </c>
      <c r="C838">
        <v>30</v>
      </c>
      <c r="D838">
        <v>43</v>
      </c>
      <c r="E838">
        <v>827</v>
      </c>
    </row>
    <row r="839" spans="1:5">
      <c r="A839">
        <v>4113</v>
      </c>
      <c r="B839" t="s">
        <v>5516</v>
      </c>
      <c r="C839">
        <v>30</v>
      </c>
      <c r="D839">
        <v>29</v>
      </c>
      <c r="E839">
        <v>827</v>
      </c>
    </row>
    <row r="840" spans="1:5">
      <c r="A840">
        <v>4173</v>
      </c>
      <c r="B840" t="s">
        <v>5542</v>
      </c>
      <c r="C840">
        <v>30</v>
      </c>
      <c r="D840">
        <v>31</v>
      </c>
      <c r="E840">
        <v>827</v>
      </c>
    </row>
    <row r="841" spans="1:5">
      <c r="A841">
        <v>4555</v>
      </c>
      <c r="B841" t="s">
        <v>5575</v>
      </c>
      <c r="C841">
        <v>30</v>
      </c>
      <c r="D841">
        <v>18</v>
      </c>
      <c r="E841">
        <v>827</v>
      </c>
    </row>
    <row r="842" spans="1:5">
      <c r="A842">
        <v>4711</v>
      </c>
      <c r="B842" t="s">
        <v>5588</v>
      </c>
      <c r="C842">
        <v>30</v>
      </c>
      <c r="D842">
        <v>35</v>
      </c>
      <c r="E842">
        <v>827</v>
      </c>
    </row>
    <row r="843" spans="1:5">
      <c r="A843">
        <v>4804</v>
      </c>
      <c r="B843" t="s">
        <v>5607</v>
      </c>
      <c r="C843">
        <v>30</v>
      </c>
      <c r="D843">
        <v>32</v>
      </c>
      <c r="E843">
        <v>827</v>
      </c>
    </row>
    <row r="844" spans="1:5">
      <c r="A844">
        <v>6179</v>
      </c>
      <c r="B844" t="s">
        <v>5792</v>
      </c>
      <c r="C844">
        <v>30</v>
      </c>
      <c r="D844">
        <v>55</v>
      </c>
      <c r="E844">
        <v>827</v>
      </c>
    </row>
    <row r="845" spans="1:5">
      <c r="A845">
        <v>6191</v>
      </c>
      <c r="B845" t="s">
        <v>5803</v>
      </c>
      <c r="C845">
        <v>30</v>
      </c>
      <c r="D845">
        <v>73</v>
      </c>
      <c r="E845">
        <v>827</v>
      </c>
    </row>
    <row r="846" spans="1:5">
      <c r="A846">
        <v>6651</v>
      </c>
      <c r="B846" t="s">
        <v>5930</v>
      </c>
      <c r="C846">
        <v>30</v>
      </c>
      <c r="D846">
        <v>21</v>
      </c>
      <c r="E846">
        <v>827</v>
      </c>
    </row>
    <row r="847" spans="1:5">
      <c r="A847">
        <v>6668</v>
      </c>
      <c r="B847" t="s">
        <v>5936</v>
      </c>
      <c r="C847">
        <v>30</v>
      </c>
      <c r="D847">
        <v>37</v>
      </c>
      <c r="E847">
        <v>827</v>
      </c>
    </row>
    <row r="848" spans="1:5">
      <c r="A848">
        <v>6698</v>
      </c>
      <c r="B848" t="s">
        <v>5943</v>
      </c>
      <c r="C848">
        <v>30</v>
      </c>
      <c r="D848">
        <v>19</v>
      </c>
      <c r="E848">
        <v>827</v>
      </c>
    </row>
    <row r="849" spans="1:5">
      <c r="A849">
        <v>8089</v>
      </c>
      <c r="B849" t="s">
        <v>5981</v>
      </c>
      <c r="C849">
        <v>30</v>
      </c>
      <c r="D849">
        <v>12</v>
      </c>
      <c r="E849">
        <v>827</v>
      </c>
    </row>
    <row r="850" spans="1:5">
      <c r="A850">
        <v>8105</v>
      </c>
      <c r="B850" t="s">
        <v>5988</v>
      </c>
      <c r="C850">
        <v>30</v>
      </c>
      <c r="D850">
        <v>46</v>
      </c>
      <c r="E850">
        <v>827</v>
      </c>
    </row>
    <row r="851" spans="1:5">
      <c r="A851">
        <v>8446</v>
      </c>
      <c r="B851" t="s">
        <v>6040</v>
      </c>
      <c r="C851">
        <v>30</v>
      </c>
      <c r="D851">
        <v>16</v>
      </c>
      <c r="E851">
        <v>827</v>
      </c>
    </row>
    <row r="852" spans="1:5">
      <c r="A852">
        <v>8463</v>
      </c>
      <c r="B852" t="s">
        <v>6044</v>
      </c>
      <c r="C852">
        <v>30</v>
      </c>
      <c r="D852">
        <v>20</v>
      </c>
      <c r="E852">
        <v>827</v>
      </c>
    </row>
    <row r="853" spans="1:5">
      <c r="A853">
        <v>1109</v>
      </c>
      <c r="B853" t="s">
        <v>4781</v>
      </c>
      <c r="C853">
        <v>29</v>
      </c>
      <c r="D853">
        <v>36</v>
      </c>
      <c r="E853">
        <v>852</v>
      </c>
    </row>
    <row r="854" spans="1:5">
      <c r="A854">
        <v>1219</v>
      </c>
      <c r="B854" t="s">
        <v>4790</v>
      </c>
      <c r="C854">
        <v>29</v>
      </c>
      <c r="D854">
        <v>41</v>
      </c>
      <c r="E854">
        <v>852</v>
      </c>
    </row>
    <row r="855" spans="1:5">
      <c r="A855">
        <v>1323</v>
      </c>
      <c r="B855" t="s">
        <v>4820</v>
      </c>
      <c r="C855">
        <v>29</v>
      </c>
      <c r="D855">
        <v>30</v>
      </c>
      <c r="E855">
        <v>852</v>
      </c>
    </row>
    <row r="856" spans="1:5">
      <c r="A856">
        <v>1515</v>
      </c>
      <c r="B856" t="s">
        <v>4871</v>
      </c>
      <c r="C856">
        <v>29</v>
      </c>
      <c r="D856">
        <v>59</v>
      </c>
      <c r="E856">
        <v>852</v>
      </c>
    </row>
    <row r="857" spans="1:5">
      <c r="A857">
        <v>2221</v>
      </c>
      <c r="B857" t="s">
        <v>5023</v>
      </c>
      <c r="C857">
        <v>29</v>
      </c>
      <c r="D857">
        <v>28</v>
      </c>
      <c r="E857">
        <v>852</v>
      </c>
    </row>
    <row r="858" spans="1:5">
      <c r="A858">
        <v>2431</v>
      </c>
      <c r="B858" t="s">
        <v>5113</v>
      </c>
      <c r="C858">
        <v>29</v>
      </c>
      <c r="D858">
        <v>29</v>
      </c>
      <c r="E858">
        <v>852</v>
      </c>
    </row>
    <row r="859" spans="1:5">
      <c r="A859">
        <v>2527</v>
      </c>
      <c r="B859" t="s">
        <v>5169</v>
      </c>
      <c r="C859">
        <v>29</v>
      </c>
      <c r="D859">
        <v>66</v>
      </c>
      <c r="E859">
        <v>852</v>
      </c>
    </row>
    <row r="860" spans="1:5">
      <c r="A860">
        <v>2612</v>
      </c>
      <c r="B860" t="s">
        <v>5194</v>
      </c>
      <c r="C860">
        <v>29</v>
      </c>
      <c r="D860">
        <v>67</v>
      </c>
      <c r="E860">
        <v>852</v>
      </c>
    </row>
    <row r="861" spans="1:5">
      <c r="A861">
        <v>3322</v>
      </c>
      <c r="B861" t="s">
        <v>6188</v>
      </c>
      <c r="C861">
        <v>29</v>
      </c>
      <c r="D861">
        <v>44</v>
      </c>
      <c r="E861">
        <v>852</v>
      </c>
    </row>
    <row r="862" spans="1:5">
      <c r="A862">
        <v>3438</v>
      </c>
      <c r="B862" t="s">
        <v>5410</v>
      </c>
      <c r="C862">
        <v>29</v>
      </c>
      <c r="D862">
        <v>60</v>
      </c>
      <c r="E862">
        <v>852</v>
      </c>
    </row>
    <row r="863" spans="1:5">
      <c r="A863">
        <v>4534</v>
      </c>
      <c r="B863" t="s">
        <v>5566</v>
      </c>
      <c r="C863">
        <v>29</v>
      </c>
      <c r="D863">
        <v>26</v>
      </c>
      <c r="E863">
        <v>852</v>
      </c>
    </row>
    <row r="864" spans="1:5">
      <c r="A864">
        <v>4953</v>
      </c>
      <c r="B864" t="s">
        <v>5627</v>
      </c>
      <c r="C864">
        <v>29</v>
      </c>
      <c r="D864">
        <v>31</v>
      </c>
      <c r="E864">
        <v>852</v>
      </c>
    </row>
    <row r="865" spans="1:5">
      <c r="A865">
        <v>6016</v>
      </c>
      <c r="B865" t="s">
        <v>5742</v>
      </c>
      <c r="C865">
        <v>29</v>
      </c>
      <c r="D865">
        <v>28</v>
      </c>
      <c r="E865">
        <v>852</v>
      </c>
    </row>
    <row r="866" spans="1:5">
      <c r="A866">
        <v>6173</v>
      </c>
      <c r="B866" t="s">
        <v>5787</v>
      </c>
      <c r="C866">
        <v>29</v>
      </c>
      <c r="D866">
        <v>54</v>
      </c>
      <c r="E866">
        <v>852</v>
      </c>
    </row>
    <row r="867" spans="1:5">
      <c r="A867">
        <v>6715</v>
      </c>
      <c r="B867" t="s">
        <v>5945</v>
      </c>
      <c r="C867">
        <v>29</v>
      </c>
      <c r="D867">
        <v>18</v>
      </c>
      <c r="E867">
        <v>852</v>
      </c>
    </row>
    <row r="868" spans="1:5">
      <c r="A868">
        <v>6768</v>
      </c>
      <c r="B868" t="s">
        <v>5951</v>
      </c>
      <c r="C868">
        <v>29</v>
      </c>
      <c r="D868">
        <v>41</v>
      </c>
      <c r="E868">
        <v>852</v>
      </c>
    </row>
    <row r="869" spans="1:5">
      <c r="A869">
        <v>8916</v>
      </c>
      <c r="B869" t="s">
        <v>6059</v>
      </c>
      <c r="C869">
        <v>29</v>
      </c>
      <c r="D869">
        <v>40</v>
      </c>
      <c r="E869">
        <v>852</v>
      </c>
    </row>
    <row r="870" spans="1:5">
      <c r="A870">
        <v>1225</v>
      </c>
      <c r="B870" t="s">
        <v>4792</v>
      </c>
      <c r="C870">
        <v>28</v>
      </c>
      <c r="D870">
        <v>14</v>
      </c>
      <c r="E870">
        <v>869</v>
      </c>
    </row>
    <row r="871" spans="1:5">
      <c r="A871">
        <v>1310</v>
      </c>
      <c r="B871" t="s">
        <v>4812</v>
      </c>
      <c r="C871">
        <v>28</v>
      </c>
      <c r="D871">
        <v>80</v>
      </c>
      <c r="E871">
        <v>869</v>
      </c>
    </row>
    <row r="872" spans="1:5">
      <c r="A872">
        <v>1531</v>
      </c>
      <c r="B872" t="s">
        <v>4884</v>
      </c>
      <c r="C872">
        <v>28</v>
      </c>
      <c r="D872">
        <v>65</v>
      </c>
      <c r="E872">
        <v>869</v>
      </c>
    </row>
    <row r="873" spans="1:5">
      <c r="A873">
        <v>2106</v>
      </c>
      <c r="B873" t="s">
        <v>5011</v>
      </c>
      <c r="C873">
        <v>28</v>
      </c>
      <c r="D873">
        <v>56</v>
      </c>
      <c r="E873">
        <v>869</v>
      </c>
    </row>
    <row r="874" spans="1:5">
      <c r="A874">
        <v>2362</v>
      </c>
      <c r="B874" t="s">
        <v>5069</v>
      </c>
      <c r="C874">
        <v>28</v>
      </c>
      <c r="D874">
        <v>41</v>
      </c>
      <c r="E874">
        <v>869</v>
      </c>
    </row>
    <row r="875" spans="1:5">
      <c r="A875">
        <v>2392</v>
      </c>
      <c r="B875" t="s">
        <v>5088</v>
      </c>
      <c r="C875">
        <v>28</v>
      </c>
      <c r="D875">
        <v>56</v>
      </c>
      <c r="E875">
        <v>869</v>
      </c>
    </row>
    <row r="876" spans="1:5">
      <c r="A876">
        <v>2420</v>
      </c>
      <c r="B876" t="s">
        <v>5105</v>
      </c>
      <c r="C876">
        <v>28</v>
      </c>
      <c r="D876">
        <v>60</v>
      </c>
      <c r="E876">
        <v>869</v>
      </c>
    </row>
    <row r="877" spans="1:5">
      <c r="A877">
        <v>2478</v>
      </c>
      <c r="B877" t="s">
        <v>5142</v>
      </c>
      <c r="C877">
        <v>28</v>
      </c>
      <c r="D877">
        <v>67</v>
      </c>
      <c r="E877">
        <v>869</v>
      </c>
    </row>
    <row r="878" spans="1:5">
      <c r="A878">
        <v>3021</v>
      </c>
      <c r="B878" t="s">
        <v>5282</v>
      </c>
      <c r="C878">
        <v>28</v>
      </c>
      <c r="D878">
        <v>16</v>
      </c>
      <c r="E878">
        <v>869</v>
      </c>
    </row>
    <row r="879" spans="1:5">
      <c r="A879">
        <v>3289</v>
      </c>
      <c r="B879" t="s">
        <v>5369</v>
      </c>
      <c r="C879">
        <v>28</v>
      </c>
      <c r="D879">
        <v>60</v>
      </c>
      <c r="E879">
        <v>869</v>
      </c>
    </row>
    <row r="880" spans="1:5">
      <c r="A880">
        <v>3402</v>
      </c>
      <c r="B880" t="s">
        <v>5402</v>
      </c>
      <c r="C880">
        <v>28</v>
      </c>
      <c r="D880">
        <v>46</v>
      </c>
      <c r="E880">
        <v>869</v>
      </c>
    </row>
    <row r="881" spans="1:5">
      <c r="A881">
        <v>3450</v>
      </c>
      <c r="B881" t="s">
        <v>5414</v>
      </c>
      <c r="C881">
        <v>28</v>
      </c>
      <c r="D881">
        <v>29</v>
      </c>
      <c r="E881">
        <v>869</v>
      </c>
    </row>
    <row r="882" spans="1:5">
      <c r="A882">
        <v>3454</v>
      </c>
      <c r="B882" t="s">
        <v>5415</v>
      </c>
      <c r="C882">
        <v>28</v>
      </c>
      <c r="D882">
        <v>48</v>
      </c>
      <c r="E882">
        <v>869</v>
      </c>
    </row>
    <row r="883" spans="1:5">
      <c r="A883">
        <v>4303</v>
      </c>
      <c r="B883" t="s">
        <v>5547</v>
      </c>
      <c r="C883">
        <v>28</v>
      </c>
      <c r="D883">
        <v>30</v>
      </c>
      <c r="E883">
        <v>869</v>
      </c>
    </row>
    <row r="884" spans="1:5">
      <c r="A884">
        <v>4716</v>
      </c>
      <c r="B884" t="s">
        <v>5590</v>
      </c>
      <c r="C884">
        <v>28</v>
      </c>
      <c r="D884">
        <v>27</v>
      </c>
      <c r="E884">
        <v>869</v>
      </c>
    </row>
    <row r="885" spans="1:5">
      <c r="A885">
        <v>4763</v>
      </c>
      <c r="B885" t="s">
        <v>5604</v>
      </c>
      <c r="C885">
        <v>28</v>
      </c>
      <c r="D885">
        <v>27</v>
      </c>
      <c r="E885">
        <v>869</v>
      </c>
    </row>
    <row r="886" spans="1:5">
      <c r="A886">
        <v>5328</v>
      </c>
      <c r="B886" t="s">
        <v>5679</v>
      </c>
      <c r="C886">
        <v>28</v>
      </c>
      <c r="D886">
        <v>47</v>
      </c>
      <c r="E886">
        <v>869</v>
      </c>
    </row>
    <row r="887" spans="1:5">
      <c r="A887">
        <v>5546</v>
      </c>
      <c r="B887" t="s">
        <v>5723</v>
      </c>
      <c r="C887">
        <v>28</v>
      </c>
      <c r="D887">
        <v>5</v>
      </c>
      <c r="E887">
        <v>869</v>
      </c>
    </row>
    <row r="888" spans="1:5">
      <c r="A888">
        <v>6207</v>
      </c>
      <c r="B888" t="s">
        <v>5812</v>
      </c>
      <c r="C888">
        <v>28</v>
      </c>
      <c r="D888">
        <v>42</v>
      </c>
      <c r="E888">
        <v>869</v>
      </c>
    </row>
    <row r="889" spans="1:5">
      <c r="A889">
        <v>6270</v>
      </c>
      <c r="B889" t="s">
        <v>5847</v>
      </c>
      <c r="C889">
        <v>28</v>
      </c>
      <c r="D889">
        <v>27</v>
      </c>
      <c r="E889">
        <v>869</v>
      </c>
    </row>
    <row r="890" spans="1:5">
      <c r="A890">
        <v>6416</v>
      </c>
      <c r="B890" t="s">
        <v>5869</v>
      </c>
      <c r="C890">
        <v>28</v>
      </c>
      <c r="D890">
        <v>42</v>
      </c>
      <c r="E890">
        <v>869</v>
      </c>
    </row>
    <row r="891" spans="1:5">
      <c r="A891">
        <v>6418</v>
      </c>
      <c r="B891" t="s">
        <v>5870</v>
      </c>
      <c r="C891">
        <v>28</v>
      </c>
      <c r="D891">
        <v>25</v>
      </c>
      <c r="E891">
        <v>869</v>
      </c>
    </row>
    <row r="892" spans="1:5">
      <c r="A892">
        <v>6486</v>
      </c>
      <c r="B892" t="s">
        <v>5889</v>
      </c>
      <c r="C892">
        <v>28</v>
      </c>
      <c r="D892">
        <v>25</v>
      </c>
      <c r="E892">
        <v>869</v>
      </c>
    </row>
    <row r="893" spans="1:5">
      <c r="A893">
        <v>6582</v>
      </c>
      <c r="B893" t="s">
        <v>5918</v>
      </c>
      <c r="C893">
        <v>28</v>
      </c>
      <c r="D893">
        <v>36</v>
      </c>
      <c r="E893">
        <v>869</v>
      </c>
    </row>
    <row r="894" spans="1:5">
      <c r="A894">
        <v>8429</v>
      </c>
      <c r="B894" t="s">
        <v>6030</v>
      </c>
      <c r="C894">
        <v>28</v>
      </c>
      <c r="D894">
        <v>20</v>
      </c>
      <c r="E894">
        <v>869</v>
      </c>
    </row>
    <row r="895" spans="1:5">
      <c r="A895">
        <v>1309</v>
      </c>
      <c r="B895" t="s">
        <v>4811</v>
      </c>
      <c r="C895">
        <v>27</v>
      </c>
      <c r="D895">
        <v>90</v>
      </c>
      <c r="E895">
        <v>894</v>
      </c>
    </row>
    <row r="896" spans="1:5">
      <c r="A896">
        <v>1784</v>
      </c>
      <c r="B896" t="s">
        <v>4958</v>
      </c>
      <c r="C896">
        <v>27</v>
      </c>
      <c r="D896">
        <v>38</v>
      </c>
      <c r="E896">
        <v>894</v>
      </c>
    </row>
    <row r="897" spans="1:5">
      <c r="A897">
        <v>2107</v>
      </c>
      <c r="B897" t="s">
        <v>5012</v>
      </c>
      <c r="C897">
        <v>27</v>
      </c>
      <c r="D897">
        <v>45</v>
      </c>
      <c r="E897">
        <v>894</v>
      </c>
    </row>
    <row r="898" spans="1:5">
      <c r="A898">
        <v>2413</v>
      </c>
      <c r="B898" t="s">
        <v>5100</v>
      </c>
      <c r="C898">
        <v>27</v>
      </c>
      <c r="D898">
        <v>32</v>
      </c>
      <c r="E898">
        <v>894</v>
      </c>
    </row>
    <row r="899" spans="1:5">
      <c r="A899">
        <v>2423</v>
      </c>
      <c r="B899" t="s">
        <v>5107</v>
      </c>
      <c r="C899">
        <v>27</v>
      </c>
      <c r="D899">
        <v>16</v>
      </c>
      <c r="E899">
        <v>894</v>
      </c>
    </row>
    <row r="900" spans="1:5">
      <c r="A900">
        <v>2540</v>
      </c>
      <c r="B900" t="s">
        <v>5178</v>
      </c>
      <c r="C900">
        <v>27</v>
      </c>
      <c r="D900">
        <v>17</v>
      </c>
      <c r="E900">
        <v>894</v>
      </c>
    </row>
    <row r="901" spans="1:5">
      <c r="A901">
        <v>2547</v>
      </c>
      <c r="B901" t="s">
        <v>5181</v>
      </c>
      <c r="C901">
        <v>27</v>
      </c>
      <c r="D901">
        <v>77</v>
      </c>
      <c r="E901">
        <v>894</v>
      </c>
    </row>
    <row r="902" spans="1:5">
      <c r="A902">
        <v>3013</v>
      </c>
      <c r="B902" t="s">
        <v>5276</v>
      </c>
      <c r="C902">
        <v>27</v>
      </c>
      <c r="D902">
        <v>7</v>
      </c>
      <c r="E902">
        <v>894</v>
      </c>
    </row>
    <row r="903" spans="1:5">
      <c r="A903">
        <v>3138</v>
      </c>
      <c r="B903" t="s">
        <v>5330</v>
      </c>
      <c r="C903">
        <v>27</v>
      </c>
      <c r="D903">
        <v>35</v>
      </c>
      <c r="E903">
        <v>894</v>
      </c>
    </row>
    <row r="904" spans="1:5">
      <c r="A904">
        <v>3390</v>
      </c>
      <c r="B904" t="s">
        <v>5401</v>
      </c>
      <c r="C904">
        <v>27</v>
      </c>
      <c r="D904">
        <v>32</v>
      </c>
      <c r="E904">
        <v>894</v>
      </c>
    </row>
    <row r="905" spans="1:5">
      <c r="A905">
        <v>3466</v>
      </c>
      <c r="B905" t="s">
        <v>5417</v>
      </c>
      <c r="C905">
        <v>27</v>
      </c>
      <c r="D905">
        <v>27</v>
      </c>
      <c r="E905">
        <v>894</v>
      </c>
    </row>
    <row r="906" spans="1:5">
      <c r="A906">
        <v>3550</v>
      </c>
      <c r="B906" t="s">
        <v>5449</v>
      </c>
      <c r="C906">
        <v>27</v>
      </c>
      <c r="D906">
        <v>55</v>
      </c>
      <c r="E906">
        <v>894</v>
      </c>
    </row>
    <row r="907" spans="1:5">
      <c r="A907">
        <v>4129</v>
      </c>
      <c r="B907" t="s">
        <v>5525</v>
      </c>
      <c r="C907">
        <v>27</v>
      </c>
      <c r="D907">
        <v>17</v>
      </c>
      <c r="E907">
        <v>894</v>
      </c>
    </row>
    <row r="908" spans="1:5">
      <c r="A908">
        <v>4175</v>
      </c>
      <c r="B908" t="s">
        <v>5544</v>
      </c>
      <c r="C908">
        <v>27</v>
      </c>
      <c r="D908">
        <v>61</v>
      </c>
      <c r="E908">
        <v>894</v>
      </c>
    </row>
    <row r="909" spans="1:5">
      <c r="A909">
        <v>4735</v>
      </c>
      <c r="B909" t="s">
        <v>5595</v>
      </c>
      <c r="C909">
        <v>27</v>
      </c>
      <c r="D909">
        <v>22</v>
      </c>
      <c r="E909">
        <v>894</v>
      </c>
    </row>
    <row r="910" spans="1:5">
      <c r="A910">
        <v>4973</v>
      </c>
      <c r="B910" t="s">
        <v>5636</v>
      </c>
      <c r="C910">
        <v>27</v>
      </c>
      <c r="D910">
        <v>23</v>
      </c>
      <c r="E910">
        <v>894</v>
      </c>
    </row>
    <row r="911" spans="1:5">
      <c r="A911">
        <v>5222</v>
      </c>
      <c r="B911" t="s">
        <v>6571</v>
      </c>
      <c r="C911">
        <v>27</v>
      </c>
      <c r="D911">
        <v>19</v>
      </c>
      <c r="E911">
        <v>894</v>
      </c>
    </row>
    <row r="912" spans="1:5">
      <c r="A912">
        <v>5289</v>
      </c>
      <c r="B912" t="s">
        <v>5673</v>
      </c>
      <c r="C912">
        <v>27</v>
      </c>
      <c r="D912">
        <v>45</v>
      </c>
      <c r="E912">
        <v>894</v>
      </c>
    </row>
    <row r="913" spans="1:5">
      <c r="A913">
        <v>5490</v>
      </c>
      <c r="B913" t="s">
        <v>6158</v>
      </c>
      <c r="C913">
        <v>27</v>
      </c>
      <c r="D913">
        <v>25</v>
      </c>
      <c r="E913">
        <v>894</v>
      </c>
    </row>
    <row r="914" spans="1:5">
      <c r="A914">
        <v>6203</v>
      </c>
      <c r="B914" t="s">
        <v>5809</v>
      </c>
      <c r="C914">
        <v>27</v>
      </c>
      <c r="D914">
        <v>52</v>
      </c>
      <c r="E914">
        <v>894</v>
      </c>
    </row>
    <row r="915" spans="1:5">
      <c r="A915">
        <v>6514</v>
      </c>
      <c r="B915" t="s">
        <v>5900</v>
      </c>
      <c r="C915">
        <v>27</v>
      </c>
      <c r="D915">
        <v>32</v>
      </c>
      <c r="E915">
        <v>894</v>
      </c>
    </row>
    <row r="916" spans="1:5">
      <c r="A916">
        <v>1201</v>
      </c>
      <c r="B916" t="s">
        <v>4783</v>
      </c>
      <c r="C916">
        <v>26</v>
      </c>
      <c r="D916">
        <v>62</v>
      </c>
      <c r="E916">
        <v>915</v>
      </c>
    </row>
    <row r="917" spans="1:5">
      <c r="A917">
        <v>1210</v>
      </c>
      <c r="B917" t="s">
        <v>4785</v>
      </c>
      <c r="C917">
        <v>26</v>
      </c>
      <c r="D917">
        <v>62</v>
      </c>
      <c r="E917">
        <v>915</v>
      </c>
    </row>
    <row r="918" spans="1:5">
      <c r="A918">
        <v>1220</v>
      </c>
      <c r="B918" t="s">
        <v>4791</v>
      </c>
      <c r="C918">
        <v>26</v>
      </c>
      <c r="D918">
        <v>50</v>
      </c>
      <c r="E918">
        <v>915</v>
      </c>
    </row>
    <row r="919" spans="1:5">
      <c r="A919">
        <v>1231</v>
      </c>
      <c r="B919" t="s">
        <v>4795</v>
      </c>
      <c r="C919">
        <v>26</v>
      </c>
      <c r="D919">
        <v>33</v>
      </c>
      <c r="E919">
        <v>915</v>
      </c>
    </row>
    <row r="920" spans="1:5">
      <c r="A920">
        <v>1736</v>
      </c>
      <c r="B920" t="s">
        <v>4949</v>
      </c>
      <c r="C920">
        <v>26</v>
      </c>
      <c r="D920">
        <v>54</v>
      </c>
      <c r="E920">
        <v>915</v>
      </c>
    </row>
    <row r="921" spans="1:5">
      <c r="A921">
        <v>1737</v>
      </c>
      <c r="B921" t="s">
        <v>4950</v>
      </c>
      <c r="C921">
        <v>26</v>
      </c>
      <c r="D921">
        <v>21</v>
      </c>
      <c r="E921">
        <v>915</v>
      </c>
    </row>
    <row r="922" spans="1:5">
      <c r="A922">
        <v>2109</v>
      </c>
      <c r="B922" t="s">
        <v>5014</v>
      </c>
      <c r="C922">
        <v>26</v>
      </c>
      <c r="D922">
        <v>23</v>
      </c>
      <c r="E922">
        <v>915</v>
      </c>
    </row>
    <row r="923" spans="1:5">
      <c r="A923">
        <v>2414</v>
      </c>
      <c r="B923" t="s">
        <v>5101</v>
      </c>
      <c r="C923">
        <v>26</v>
      </c>
      <c r="D923">
        <v>60</v>
      </c>
      <c r="E923">
        <v>915</v>
      </c>
    </row>
    <row r="924" spans="1:5">
      <c r="A924">
        <v>2425</v>
      </c>
      <c r="B924" t="s">
        <v>5108</v>
      </c>
      <c r="C924">
        <v>26</v>
      </c>
      <c r="D924">
        <v>44</v>
      </c>
      <c r="E924">
        <v>915</v>
      </c>
    </row>
    <row r="925" spans="1:5">
      <c r="A925">
        <v>2428</v>
      </c>
      <c r="B925" t="s">
        <v>5111</v>
      </c>
      <c r="C925">
        <v>26</v>
      </c>
      <c r="D925">
        <v>35</v>
      </c>
      <c r="E925">
        <v>915</v>
      </c>
    </row>
    <row r="926" spans="1:5">
      <c r="A926">
        <v>2754</v>
      </c>
      <c r="B926" t="s">
        <v>6318</v>
      </c>
      <c r="C926">
        <v>26</v>
      </c>
      <c r="D926">
        <v>18</v>
      </c>
      <c r="E926">
        <v>915</v>
      </c>
    </row>
    <row r="927" spans="1:5">
      <c r="A927">
        <v>3628</v>
      </c>
      <c r="B927" t="s">
        <v>5477</v>
      </c>
      <c r="C927">
        <v>26</v>
      </c>
      <c r="D927">
        <v>22</v>
      </c>
      <c r="E927">
        <v>915</v>
      </c>
    </row>
    <row r="928" spans="1:5">
      <c r="A928">
        <v>3631</v>
      </c>
      <c r="B928" t="s">
        <v>6298</v>
      </c>
      <c r="C928">
        <v>26</v>
      </c>
      <c r="D928">
        <v>21</v>
      </c>
      <c r="E928">
        <v>915</v>
      </c>
    </row>
    <row r="929" spans="1:5">
      <c r="A929">
        <v>3663</v>
      </c>
      <c r="B929" t="s">
        <v>5484</v>
      </c>
      <c r="C929">
        <v>26</v>
      </c>
      <c r="D929">
        <v>34</v>
      </c>
      <c r="E929">
        <v>915</v>
      </c>
    </row>
    <row r="930" spans="1:5">
      <c r="A930">
        <v>4107</v>
      </c>
      <c r="B930" t="s">
        <v>5513</v>
      </c>
      <c r="C930">
        <v>26</v>
      </c>
      <c r="D930">
        <v>58</v>
      </c>
      <c r="E930">
        <v>915</v>
      </c>
    </row>
    <row r="931" spans="1:5">
      <c r="A931">
        <v>4190</v>
      </c>
      <c r="B931" t="s">
        <v>5545</v>
      </c>
      <c r="C931">
        <v>26</v>
      </c>
      <c r="D931">
        <v>27</v>
      </c>
      <c r="E931">
        <v>915</v>
      </c>
    </row>
    <row r="932" spans="1:5">
      <c r="A932">
        <v>6127</v>
      </c>
      <c r="B932" t="s">
        <v>5760</v>
      </c>
      <c r="C932">
        <v>26</v>
      </c>
      <c r="D932">
        <v>41</v>
      </c>
      <c r="E932">
        <v>915</v>
      </c>
    </row>
    <row r="933" spans="1:5">
      <c r="A933">
        <v>6165</v>
      </c>
      <c r="B933" t="s">
        <v>5783</v>
      </c>
      <c r="C933">
        <v>26</v>
      </c>
      <c r="D933">
        <v>24</v>
      </c>
      <c r="E933">
        <v>915</v>
      </c>
    </row>
    <row r="934" spans="1:5">
      <c r="A934">
        <v>6275</v>
      </c>
      <c r="B934" t="s">
        <v>5850</v>
      </c>
      <c r="C934">
        <v>26</v>
      </c>
      <c r="D934">
        <v>53</v>
      </c>
      <c r="E934">
        <v>915</v>
      </c>
    </row>
    <row r="935" spans="1:5">
      <c r="A935">
        <v>6578</v>
      </c>
      <c r="B935" t="s">
        <v>5915</v>
      </c>
      <c r="C935">
        <v>26</v>
      </c>
      <c r="D935">
        <v>18</v>
      </c>
      <c r="E935">
        <v>915</v>
      </c>
    </row>
    <row r="936" spans="1:5">
      <c r="A936">
        <v>6598</v>
      </c>
      <c r="B936" t="s">
        <v>5921</v>
      </c>
      <c r="C936">
        <v>26</v>
      </c>
      <c r="D936">
        <v>35</v>
      </c>
      <c r="E936">
        <v>915</v>
      </c>
    </row>
    <row r="937" spans="1:5">
      <c r="A937">
        <v>8039</v>
      </c>
      <c r="B937" t="s">
        <v>5962</v>
      </c>
      <c r="C937">
        <v>26</v>
      </c>
      <c r="D937">
        <v>52</v>
      </c>
      <c r="E937">
        <v>915</v>
      </c>
    </row>
    <row r="938" spans="1:5">
      <c r="A938">
        <v>8462</v>
      </c>
      <c r="B938" t="s">
        <v>6043</v>
      </c>
      <c r="C938">
        <v>26</v>
      </c>
      <c r="D938">
        <v>40</v>
      </c>
      <c r="E938">
        <v>915</v>
      </c>
    </row>
    <row r="939" spans="1:5">
      <c r="A939">
        <v>9951</v>
      </c>
      <c r="B939" t="s">
        <v>6103</v>
      </c>
      <c r="C939">
        <v>26</v>
      </c>
      <c r="D939">
        <v>63</v>
      </c>
      <c r="E939">
        <v>915</v>
      </c>
    </row>
    <row r="940" spans="1:5">
      <c r="A940">
        <v>1315</v>
      </c>
      <c r="B940" t="s">
        <v>4816</v>
      </c>
      <c r="C940">
        <v>25</v>
      </c>
      <c r="D940">
        <v>39</v>
      </c>
      <c r="E940">
        <v>939</v>
      </c>
    </row>
    <row r="941" spans="1:5">
      <c r="A941">
        <v>1474</v>
      </c>
      <c r="B941" t="s">
        <v>4864</v>
      </c>
      <c r="C941">
        <v>25</v>
      </c>
      <c r="D941">
        <v>39</v>
      </c>
      <c r="E941">
        <v>939</v>
      </c>
    </row>
    <row r="942" spans="1:5">
      <c r="A942">
        <v>1701</v>
      </c>
      <c r="B942" t="s">
        <v>4925</v>
      </c>
      <c r="C942">
        <v>25</v>
      </c>
      <c r="D942">
        <v>44</v>
      </c>
      <c r="E942">
        <v>939</v>
      </c>
    </row>
    <row r="943" spans="1:5">
      <c r="A943">
        <v>1707</v>
      </c>
      <c r="B943" t="s">
        <v>4927</v>
      </c>
      <c r="C943">
        <v>25</v>
      </c>
      <c r="D943">
        <v>26</v>
      </c>
      <c r="E943">
        <v>939</v>
      </c>
    </row>
    <row r="944" spans="1:5">
      <c r="A944">
        <v>2020</v>
      </c>
      <c r="B944" t="s">
        <v>4988</v>
      </c>
      <c r="C944">
        <v>25</v>
      </c>
      <c r="D944">
        <v>50</v>
      </c>
      <c r="E944">
        <v>939</v>
      </c>
    </row>
    <row r="945" spans="1:5">
      <c r="A945">
        <v>2243</v>
      </c>
      <c r="B945" t="s">
        <v>5031</v>
      </c>
      <c r="C945">
        <v>25</v>
      </c>
      <c r="D945">
        <v>30</v>
      </c>
      <c r="E945">
        <v>939</v>
      </c>
    </row>
    <row r="946" spans="1:5">
      <c r="A946">
        <v>2459</v>
      </c>
      <c r="B946" t="s">
        <v>5128</v>
      </c>
      <c r="C946">
        <v>25</v>
      </c>
      <c r="D946">
        <v>16</v>
      </c>
      <c r="E946">
        <v>939</v>
      </c>
    </row>
    <row r="947" spans="1:5">
      <c r="A947">
        <v>2491</v>
      </c>
      <c r="B947" t="s">
        <v>5152</v>
      </c>
      <c r="C947">
        <v>25</v>
      </c>
      <c r="D947">
        <v>41</v>
      </c>
      <c r="E947">
        <v>939</v>
      </c>
    </row>
    <row r="948" spans="1:5">
      <c r="A948">
        <v>2493</v>
      </c>
      <c r="B948" t="s">
        <v>5154</v>
      </c>
      <c r="C948">
        <v>25</v>
      </c>
      <c r="D948">
        <v>56</v>
      </c>
      <c r="E948">
        <v>939</v>
      </c>
    </row>
    <row r="949" spans="1:5">
      <c r="A949">
        <v>2506</v>
      </c>
      <c r="B949" t="s">
        <v>5162</v>
      </c>
      <c r="C949">
        <v>25</v>
      </c>
      <c r="D949">
        <v>18</v>
      </c>
      <c r="E949">
        <v>939</v>
      </c>
    </row>
    <row r="950" spans="1:5">
      <c r="A950">
        <v>3213</v>
      </c>
      <c r="B950" t="s">
        <v>5347</v>
      </c>
      <c r="C950">
        <v>25</v>
      </c>
      <c r="D950">
        <v>54</v>
      </c>
      <c r="E950">
        <v>939</v>
      </c>
    </row>
    <row r="951" spans="1:5">
      <c r="A951">
        <v>3294</v>
      </c>
      <c r="B951" t="s">
        <v>5372</v>
      </c>
      <c r="C951">
        <v>25</v>
      </c>
      <c r="D951">
        <v>49</v>
      </c>
      <c r="E951">
        <v>939</v>
      </c>
    </row>
    <row r="952" spans="1:5">
      <c r="A952">
        <v>3441</v>
      </c>
      <c r="B952" t="s">
        <v>5411</v>
      </c>
      <c r="C952">
        <v>25</v>
      </c>
      <c r="D952">
        <v>44</v>
      </c>
      <c r="E952">
        <v>939</v>
      </c>
    </row>
    <row r="953" spans="1:5">
      <c r="A953">
        <v>3577</v>
      </c>
      <c r="B953" t="s">
        <v>5457</v>
      </c>
      <c r="C953">
        <v>25</v>
      </c>
      <c r="D953">
        <v>21</v>
      </c>
      <c r="E953">
        <v>939</v>
      </c>
    </row>
    <row r="954" spans="1:5">
      <c r="A954">
        <v>5392</v>
      </c>
      <c r="B954" t="s">
        <v>5687</v>
      </c>
      <c r="C954">
        <v>25</v>
      </c>
      <c r="D954">
        <v>37</v>
      </c>
      <c r="E954">
        <v>939</v>
      </c>
    </row>
    <row r="955" spans="1:5">
      <c r="A955">
        <v>5478</v>
      </c>
      <c r="B955" t="s">
        <v>5704</v>
      </c>
      <c r="C955">
        <v>25</v>
      </c>
      <c r="D955">
        <v>51</v>
      </c>
      <c r="E955">
        <v>939</v>
      </c>
    </row>
    <row r="956" spans="1:5">
      <c r="A956">
        <v>5508</v>
      </c>
      <c r="B956" t="s">
        <v>5709</v>
      </c>
      <c r="C956">
        <v>25</v>
      </c>
      <c r="D956">
        <v>28</v>
      </c>
      <c r="E956">
        <v>939</v>
      </c>
    </row>
    <row r="957" spans="1:5">
      <c r="A957">
        <v>6206</v>
      </c>
      <c r="B957" t="s">
        <v>5811</v>
      </c>
      <c r="C957">
        <v>25</v>
      </c>
      <c r="D957">
        <v>29</v>
      </c>
      <c r="E957">
        <v>939</v>
      </c>
    </row>
    <row r="958" spans="1:5">
      <c r="A958">
        <v>6234</v>
      </c>
      <c r="B958" t="s">
        <v>5831</v>
      </c>
      <c r="C958">
        <v>25</v>
      </c>
      <c r="D958">
        <v>20</v>
      </c>
      <c r="E958">
        <v>939</v>
      </c>
    </row>
    <row r="959" spans="1:5">
      <c r="A959">
        <v>6581</v>
      </c>
      <c r="B959" t="s">
        <v>5917</v>
      </c>
      <c r="C959">
        <v>25</v>
      </c>
      <c r="D959">
        <v>17</v>
      </c>
      <c r="E959">
        <v>939</v>
      </c>
    </row>
    <row r="960" spans="1:5">
      <c r="A960">
        <v>8476</v>
      </c>
      <c r="B960" t="s">
        <v>6251</v>
      </c>
      <c r="C960">
        <v>25</v>
      </c>
      <c r="D960">
        <v>23</v>
      </c>
      <c r="E960">
        <v>939</v>
      </c>
    </row>
    <row r="961" spans="1:5">
      <c r="A961">
        <v>8905</v>
      </c>
      <c r="B961" t="s">
        <v>6057</v>
      </c>
      <c r="C961">
        <v>25</v>
      </c>
      <c r="D961">
        <v>45</v>
      </c>
      <c r="E961">
        <v>939</v>
      </c>
    </row>
    <row r="962" spans="1:5">
      <c r="A962">
        <v>9902</v>
      </c>
      <c r="B962" t="s">
        <v>6071</v>
      </c>
      <c r="C962">
        <v>25</v>
      </c>
      <c r="D962">
        <v>53</v>
      </c>
      <c r="E962">
        <v>939</v>
      </c>
    </row>
    <row r="963" spans="1:5">
      <c r="A963">
        <v>9906</v>
      </c>
      <c r="B963" t="s">
        <v>6074</v>
      </c>
      <c r="C963">
        <v>25</v>
      </c>
      <c r="D963">
        <v>28</v>
      </c>
      <c r="E963">
        <v>939</v>
      </c>
    </row>
    <row r="964" spans="1:5">
      <c r="A964">
        <v>9955</v>
      </c>
      <c r="B964" t="s">
        <v>6104</v>
      </c>
      <c r="C964">
        <v>25</v>
      </c>
      <c r="D964">
        <v>23</v>
      </c>
      <c r="E964">
        <v>939</v>
      </c>
    </row>
    <row r="965" spans="1:5">
      <c r="A965">
        <v>1313</v>
      </c>
      <c r="B965" t="s">
        <v>4814</v>
      </c>
      <c r="C965">
        <v>24</v>
      </c>
      <c r="D965">
        <v>56</v>
      </c>
      <c r="E965">
        <v>964</v>
      </c>
    </row>
    <row r="966" spans="1:5">
      <c r="A966">
        <v>1527</v>
      </c>
      <c r="B966" t="s">
        <v>4880</v>
      </c>
      <c r="C966">
        <v>24</v>
      </c>
      <c r="D966">
        <v>59</v>
      </c>
      <c r="E966">
        <v>964</v>
      </c>
    </row>
    <row r="967" spans="1:5">
      <c r="A967">
        <v>1582</v>
      </c>
      <c r="B967" t="s">
        <v>4900</v>
      </c>
      <c r="C967">
        <v>24</v>
      </c>
      <c r="D967">
        <v>39</v>
      </c>
      <c r="E967">
        <v>964</v>
      </c>
    </row>
    <row r="968" spans="1:5">
      <c r="A968">
        <v>2206</v>
      </c>
      <c r="B968" t="s">
        <v>5019</v>
      </c>
      <c r="C968">
        <v>24</v>
      </c>
      <c r="D968">
        <v>49</v>
      </c>
      <c r="E968">
        <v>964</v>
      </c>
    </row>
    <row r="969" spans="1:5">
      <c r="A969">
        <v>2460</v>
      </c>
      <c r="B969" t="s">
        <v>5129</v>
      </c>
      <c r="C969">
        <v>24</v>
      </c>
      <c r="D969">
        <v>52</v>
      </c>
      <c r="E969">
        <v>964</v>
      </c>
    </row>
    <row r="970" spans="1:5">
      <c r="A970">
        <v>2471</v>
      </c>
      <c r="B970" t="s">
        <v>5137</v>
      </c>
      <c r="C970">
        <v>24</v>
      </c>
      <c r="D970">
        <v>53</v>
      </c>
      <c r="E970">
        <v>964</v>
      </c>
    </row>
    <row r="971" spans="1:5">
      <c r="A971">
        <v>2546</v>
      </c>
      <c r="B971" t="s">
        <v>5180</v>
      </c>
      <c r="C971">
        <v>24</v>
      </c>
      <c r="D971">
        <v>12</v>
      </c>
      <c r="E971">
        <v>964</v>
      </c>
    </row>
    <row r="972" spans="1:5">
      <c r="A972">
        <v>2643</v>
      </c>
      <c r="B972" t="s">
        <v>5207</v>
      </c>
      <c r="C972">
        <v>24</v>
      </c>
      <c r="D972">
        <v>43</v>
      </c>
      <c r="E972">
        <v>964</v>
      </c>
    </row>
    <row r="973" spans="1:5">
      <c r="A973">
        <v>3202</v>
      </c>
      <c r="B973" t="s">
        <v>5342</v>
      </c>
      <c r="C973">
        <v>24</v>
      </c>
      <c r="D973">
        <v>86</v>
      </c>
      <c r="E973">
        <v>964</v>
      </c>
    </row>
    <row r="974" spans="1:5">
      <c r="A974">
        <v>4564</v>
      </c>
      <c r="B974" t="s">
        <v>5579</v>
      </c>
      <c r="C974">
        <v>24</v>
      </c>
      <c r="D974">
        <v>52</v>
      </c>
      <c r="E974">
        <v>964</v>
      </c>
    </row>
    <row r="975" spans="1:5">
      <c r="A975">
        <v>4916</v>
      </c>
      <c r="B975" t="s">
        <v>5615</v>
      </c>
      <c r="C975">
        <v>24</v>
      </c>
      <c r="D975">
        <v>43</v>
      </c>
      <c r="E975">
        <v>964</v>
      </c>
    </row>
    <row r="976" spans="1:5">
      <c r="A976">
        <v>5243</v>
      </c>
      <c r="B976" t="s">
        <v>5660</v>
      </c>
      <c r="C976">
        <v>24</v>
      </c>
      <c r="D976">
        <v>69</v>
      </c>
      <c r="E976">
        <v>964</v>
      </c>
    </row>
    <row r="977" spans="1:5">
      <c r="A977">
        <v>5443</v>
      </c>
      <c r="B977" t="s">
        <v>5696</v>
      </c>
      <c r="C977">
        <v>24</v>
      </c>
      <c r="D977">
        <v>61</v>
      </c>
      <c r="E977">
        <v>964</v>
      </c>
    </row>
    <row r="978" spans="1:5">
      <c r="A978">
        <v>6156</v>
      </c>
      <c r="B978" t="s">
        <v>5778</v>
      </c>
      <c r="C978">
        <v>24</v>
      </c>
      <c r="D978">
        <v>41</v>
      </c>
      <c r="E978">
        <v>964</v>
      </c>
    </row>
    <row r="979" spans="1:5">
      <c r="A979">
        <v>6219</v>
      </c>
      <c r="B979" t="s">
        <v>5821</v>
      </c>
      <c r="C979">
        <v>24</v>
      </c>
      <c r="D979">
        <v>88</v>
      </c>
      <c r="E979">
        <v>964</v>
      </c>
    </row>
    <row r="980" spans="1:5">
      <c r="A980">
        <v>6276</v>
      </c>
      <c r="B980" t="s">
        <v>5851</v>
      </c>
      <c r="C980">
        <v>24</v>
      </c>
      <c r="D980">
        <v>6</v>
      </c>
      <c r="E980">
        <v>964</v>
      </c>
    </row>
    <row r="981" spans="1:5">
      <c r="A981">
        <v>6284</v>
      </c>
      <c r="B981" t="s">
        <v>5858</v>
      </c>
      <c r="C981">
        <v>24</v>
      </c>
      <c r="D981">
        <v>90</v>
      </c>
      <c r="E981">
        <v>964</v>
      </c>
    </row>
    <row r="982" spans="1:5">
      <c r="A982">
        <v>6461</v>
      </c>
      <c r="B982" t="s">
        <v>5882</v>
      </c>
      <c r="C982">
        <v>24</v>
      </c>
      <c r="D982">
        <v>33</v>
      </c>
      <c r="E982">
        <v>964</v>
      </c>
    </row>
    <row r="983" spans="1:5">
      <c r="A983">
        <v>6642</v>
      </c>
      <c r="B983" t="s">
        <v>6300</v>
      </c>
      <c r="C983">
        <v>24</v>
      </c>
      <c r="D983">
        <v>24</v>
      </c>
      <c r="E983">
        <v>964</v>
      </c>
    </row>
    <row r="984" spans="1:5">
      <c r="A984">
        <v>9927</v>
      </c>
      <c r="B984" t="s">
        <v>6087</v>
      </c>
      <c r="C984">
        <v>24</v>
      </c>
      <c r="D984">
        <v>65</v>
      </c>
      <c r="E984">
        <v>964</v>
      </c>
    </row>
    <row r="985" spans="1:5">
      <c r="A985">
        <v>1232</v>
      </c>
      <c r="B985" t="s">
        <v>4796</v>
      </c>
      <c r="C985">
        <v>23</v>
      </c>
      <c r="D985">
        <v>34</v>
      </c>
      <c r="E985">
        <v>984</v>
      </c>
    </row>
    <row r="986" spans="1:5">
      <c r="A986">
        <v>1256</v>
      </c>
      <c r="B986" t="s">
        <v>4802</v>
      </c>
      <c r="C986">
        <v>23</v>
      </c>
      <c r="D986">
        <v>26</v>
      </c>
      <c r="E986">
        <v>984</v>
      </c>
    </row>
    <row r="987" spans="1:5">
      <c r="A987">
        <v>1340</v>
      </c>
      <c r="B987" t="s">
        <v>4828</v>
      </c>
      <c r="C987">
        <v>23</v>
      </c>
      <c r="D987">
        <v>5</v>
      </c>
      <c r="E987">
        <v>984</v>
      </c>
    </row>
    <row r="988" spans="1:5">
      <c r="A988">
        <v>1517</v>
      </c>
      <c r="B988" t="s">
        <v>4873</v>
      </c>
      <c r="C988">
        <v>23</v>
      </c>
      <c r="D988">
        <v>34</v>
      </c>
      <c r="E988">
        <v>984</v>
      </c>
    </row>
    <row r="989" spans="1:5">
      <c r="A989">
        <v>1522</v>
      </c>
      <c r="B989" t="s">
        <v>4876</v>
      </c>
      <c r="C989">
        <v>23</v>
      </c>
      <c r="D989">
        <v>24</v>
      </c>
      <c r="E989">
        <v>984</v>
      </c>
    </row>
    <row r="990" spans="1:5">
      <c r="A990">
        <v>2250</v>
      </c>
      <c r="B990" t="s">
        <v>5033</v>
      </c>
      <c r="C990">
        <v>23</v>
      </c>
      <c r="D990">
        <v>16</v>
      </c>
      <c r="E990">
        <v>984</v>
      </c>
    </row>
    <row r="991" spans="1:5">
      <c r="A991">
        <v>2477</v>
      </c>
      <c r="B991" t="s">
        <v>5141</v>
      </c>
      <c r="C991">
        <v>23</v>
      </c>
      <c r="D991">
        <v>41</v>
      </c>
      <c r="E991">
        <v>984</v>
      </c>
    </row>
    <row r="992" spans="1:5">
      <c r="A992">
        <v>3038</v>
      </c>
      <c r="B992" t="s">
        <v>5298</v>
      </c>
      <c r="C992">
        <v>23</v>
      </c>
      <c r="D992">
        <v>29</v>
      </c>
      <c r="E992">
        <v>984</v>
      </c>
    </row>
    <row r="993" spans="1:5">
      <c r="A993">
        <v>3219</v>
      </c>
      <c r="B993" t="s">
        <v>5350</v>
      </c>
      <c r="C993">
        <v>23</v>
      </c>
      <c r="D993">
        <v>25</v>
      </c>
      <c r="E993">
        <v>984</v>
      </c>
    </row>
    <row r="994" spans="1:5">
      <c r="A994">
        <v>3265</v>
      </c>
      <c r="B994" t="s">
        <v>5363</v>
      </c>
      <c r="C994">
        <v>23</v>
      </c>
      <c r="D994">
        <v>27</v>
      </c>
      <c r="E994">
        <v>984</v>
      </c>
    </row>
    <row r="995" spans="1:5">
      <c r="A995">
        <v>3293</v>
      </c>
      <c r="B995" t="s">
        <v>5371</v>
      </c>
      <c r="C995">
        <v>23</v>
      </c>
      <c r="D995">
        <v>52</v>
      </c>
      <c r="E995">
        <v>984</v>
      </c>
    </row>
    <row r="996" spans="1:5">
      <c r="A996">
        <v>3388</v>
      </c>
      <c r="B996" t="s">
        <v>5400</v>
      </c>
      <c r="C996">
        <v>23</v>
      </c>
      <c r="D996">
        <v>13</v>
      </c>
      <c r="E996">
        <v>984</v>
      </c>
    </row>
    <row r="997" spans="1:5">
      <c r="A997">
        <v>3518</v>
      </c>
      <c r="B997" t="s">
        <v>5432</v>
      </c>
      <c r="C997">
        <v>23</v>
      </c>
      <c r="D997">
        <v>26</v>
      </c>
      <c r="E997">
        <v>984</v>
      </c>
    </row>
    <row r="998" spans="1:5">
      <c r="A998">
        <v>4102</v>
      </c>
      <c r="B998" t="s">
        <v>5510</v>
      </c>
      <c r="C998">
        <v>23</v>
      </c>
      <c r="D998">
        <v>34</v>
      </c>
      <c r="E998">
        <v>984</v>
      </c>
    </row>
    <row r="999" spans="1:5">
      <c r="A999">
        <v>4155</v>
      </c>
      <c r="B999" t="s">
        <v>5533</v>
      </c>
      <c r="C999">
        <v>23</v>
      </c>
      <c r="D999">
        <v>28</v>
      </c>
      <c r="E999">
        <v>984</v>
      </c>
    </row>
    <row r="1000" spans="1:5">
      <c r="A1000">
        <v>4576</v>
      </c>
      <c r="B1000" t="s">
        <v>5583</v>
      </c>
      <c r="C1000">
        <v>23</v>
      </c>
      <c r="D1000">
        <v>26</v>
      </c>
      <c r="E1000">
        <v>984</v>
      </c>
    </row>
    <row r="1001" spans="1:5">
      <c r="A1001">
        <v>4702</v>
      </c>
      <c r="B1001" t="s">
        <v>5586</v>
      </c>
      <c r="C1001">
        <v>23</v>
      </c>
      <c r="D1001">
        <v>47</v>
      </c>
      <c r="E1001">
        <v>984</v>
      </c>
    </row>
    <row r="1002" spans="1:5">
      <c r="A1002">
        <v>5213</v>
      </c>
      <c r="B1002" t="s">
        <v>5653</v>
      </c>
      <c r="C1002">
        <v>23</v>
      </c>
      <c r="D1002">
        <v>31</v>
      </c>
      <c r="E1002">
        <v>984</v>
      </c>
    </row>
    <row r="1003" spans="1:5">
      <c r="A1003">
        <v>5474</v>
      </c>
      <c r="B1003" t="s">
        <v>5703</v>
      </c>
      <c r="C1003">
        <v>23</v>
      </c>
      <c r="D1003">
        <v>25</v>
      </c>
      <c r="E1003">
        <v>984</v>
      </c>
    </row>
    <row r="1004" spans="1:5">
      <c r="A1004">
        <v>6141</v>
      </c>
      <c r="B1004" t="s">
        <v>5768</v>
      </c>
      <c r="C1004">
        <v>23</v>
      </c>
      <c r="D1004">
        <v>33</v>
      </c>
      <c r="E1004">
        <v>984</v>
      </c>
    </row>
    <row r="1005" spans="1:5">
      <c r="A1005">
        <v>6154</v>
      </c>
      <c r="B1005" t="s">
        <v>5776</v>
      </c>
      <c r="C1005">
        <v>23</v>
      </c>
      <c r="D1005">
        <v>33</v>
      </c>
      <c r="E1005">
        <v>984</v>
      </c>
    </row>
    <row r="1006" spans="1:5">
      <c r="A1006">
        <v>6470</v>
      </c>
      <c r="B1006" t="s">
        <v>6164</v>
      </c>
      <c r="C1006">
        <v>23</v>
      </c>
      <c r="D1006">
        <v>40</v>
      </c>
      <c r="E1006">
        <v>984</v>
      </c>
    </row>
    <row r="1007" spans="1:5">
      <c r="A1007">
        <v>8936</v>
      </c>
      <c r="B1007" t="s">
        <v>6066</v>
      </c>
      <c r="C1007">
        <v>23</v>
      </c>
      <c r="D1007">
        <v>45</v>
      </c>
      <c r="E1007">
        <v>984</v>
      </c>
    </row>
    <row r="1008" spans="1:5">
      <c r="A1008">
        <v>1104</v>
      </c>
      <c r="B1008" t="s">
        <v>4779</v>
      </c>
      <c r="C1008">
        <v>22</v>
      </c>
      <c r="D1008">
        <v>22</v>
      </c>
      <c r="E1008">
        <v>1007</v>
      </c>
    </row>
    <row r="1009" spans="1:5">
      <c r="A1009">
        <v>2008</v>
      </c>
      <c r="B1009" t="s">
        <v>4980</v>
      </c>
      <c r="C1009">
        <v>22</v>
      </c>
      <c r="D1009">
        <v>21</v>
      </c>
      <c r="E1009">
        <v>1007</v>
      </c>
    </row>
    <row r="1010" spans="1:5">
      <c r="A1010">
        <v>2028</v>
      </c>
      <c r="B1010" t="s">
        <v>4992</v>
      </c>
      <c r="C1010">
        <v>22</v>
      </c>
      <c r="D1010">
        <v>82</v>
      </c>
      <c r="E1010">
        <v>1007</v>
      </c>
    </row>
    <row r="1011" spans="1:5">
      <c r="A1011">
        <v>2064</v>
      </c>
      <c r="B1011" t="s">
        <v>5003</v>
      </c>
      <c r="C1011">
        <v>22</v>
      </c>
      <c r="D1011">
        <v>24</v>
      </c>
      <c r="E1011">
        <v>1007</v>
      </c>
    </row>
    <row r="1012" spans="1:5">
      <c r="A1012">
        <v>2247</v>
      </c>
      <c r="B1012" t="s">
        <v>5032</v>
      </c>
      <c r="C1012">
        <v>22</v>
      </c>
      <c r="D1012">
        <v>21</v>
      </c>
      <c r="E1012">
        <v>1007</v>
      </c>
    </row>
    <row r="1013" spans="1:5">
      <c r="A1013">
        <v>2453</v>
      </c>
      <c r="B1013" t="s">
        <v>5123</v>
      </c>
      <c r="C1013">
        <v>22</v>
      </c>
      <c r="D1013">
        <v>37</v>
      </c>
      <c r="E1013">
        <v>1007</v>
      </c>
    </row>
    <row r="1014" spans="1:5">
      <c r="A1014">
        <v>2640</v>
      </c>
      <c r="B1014" t="s">
        <v>6308</v>
      </c>
      <c r="C1014">
        <v>22</v>
      </c>
      <c r="D1014">
        <v>61</v>
      </c>
      <c r="E1014">
        <v>1007</v>
      </c>
    </row>
    <row r="1015" spans="1:5">
      <c r="A1015">
        <v>2723</v>
      </c>
      <c r="B1015" t="s">
        <v>5215</v>
      </c>
      <c r="C1015">
        <v>22</v>
      </c>
      <c r="D1015">
        <v>78</v>
      </c>
      <c r="E1015">
        <v>1007</v>
      </c>
    </row>
    <row r="1016" spans="1:5">
      <c r="A1016">
        <v>2753</v>
      </c>
      <c r="B1016" t="s">
        <v>6146</v>
      </c>
      <c r="C1016">
        <v>22</v>
      </c>
      <c r="D1016">
        <v>37</v>
      </c>
      <c r="E1016">
        <v>1007</v>
      </c>
    </row>
    <row r="1017" spans="1:5">
      <c r="A1017">
        <v>2832</v>
      </c>
      <c r="B1017" t="s">
        <v>5228</v>
      </c>
      <c r="C1017">
        <v>22</v>
      </c>
      <c r="D1017">
        <v>17</v>
      </c>
      <c r="E1017">
        <v>1007</v>
      </c>
    </row>
    <row r="1018" spans="1:5">
      <c r="A1018">
        <v>2903</v>
      </c>
      <c r="B1018" t="s">
        <v>5254</v>
      </c>
      <c r="C1018">
        <v>22</v>
      </c>
      <c r="D1018">
        <v>67</v>
      </c>
      <c r="E1018">
        <v>1007</v>
      </c>
    </row>
    <row r="1019" spans="1:5">
      <c r="A1019">
        <v>3054</v>
      </c>
      <c r="B1019" t="s">
        <v>5309</v>
      </c>
      <c r="C1019">
        <v>22</v>
      </c>
      <c r="D1019">
        <v>26</v>
      </c>
      <c r="E1019">
        <v>1007</v>
      </c>
    </row>
    <row r="1020" spans="1:5">
      <c r="A1020">
        <v>3178</v>
      </c>
      <c r="B1020" t="s">
        <v>5339</v>
      </c>
      <c r="C1020">
        <v>22</v>
      </c>
      <c r="D1020">
        <v>43</v>
      </c>
      <c r="E1020">
        <v>1007</v>
      </c>
    </row>
    <row r="1021" spans="1:5">
      <c r="A1021">
        <v>3236</v>
      </c>
      <c r="B1021" t="s">
        <v>5358</v>
      </c>
      <c r="C1021">
        <v>22</v>
      </c>
      <c r="D1021">
        <v>34</v>
      </c>
      <c r="E1021">
        <v>1007</v>
      </c>
    </row>
    <row r="1022" spans="1:5">
      <c r="A1022">
        <v>3623</v>
      </c>
      <c r="B1022" t="s">
        <v>5474</v>
      </c>
      <c r="C1022">
        <v>22</v>
      </c>
      <c r="D1022">
        <v>20</v>
      </c>
      <c r="E1022">
        <v>1007</v>
      </c>
    </row>
    <row r="1023" spans="1:5">
      <c r="A1023">
        <v>3666</v>
      </c>
      <c r="B1023" t="s">
        <v>5486</v>
      </c>
      <c r="C1023">
        <v>22</v>
      </c>
      <c r="D1023">
        <v>56</v>
      </c>
      <c r="E1023">
        <v>1007</v>
      </c>
    </row>
    <row r="1024" spans="1:5">
      <c r="A1024">
        <v>4417</v>
      </c>
      <c r="B1024" t="s">
        <v>5552</v>
      </c>
      <c r="C1024">
        <v>22</v>
      </c>
      <c r="D1024">
        <v>49</v>
      </c>
      <c r="E1024">
        <v>1007</v>
      </c>
    </row>
    <row r="1025" spans="1:5">
      <c r="A1025">
        <v>4523</v>
      </c>
      <c r="B1025" t="s">
        <v>6297</v>
      </c>
      <c r="C1025">
        <v>22</v>
      </c>
      <c r="D1025">
        <v>15</v>
      </c>
      <c r="E1025">
        <v>1007</v>
      </c>
    </row>
    <row r="1026" spans="1:5">
      <c r="A1026">
        <v>4551</v>
      </c>
      <c r="B1026" t="s">
        <v>5573</v>
      </c>
      <c r="C1026">
        <v>22</v>
      </c>
      <c r="D1026">
        <v>51</v>
      </c>
      <c r="E1026">
        <v>1007</v>
      </c>
    </row>
    <row r="1027" spans="1:5">
      <c r="A1027">
        <v>4552</v>
      </c>
      <c r="B1027" t="s">
        <v>5574</v>
      </c>
      <c r="C1027">
        <v>22</v>
      </c>
      <c r="D1027">
        <v>41</v>
      </c>
      <c r="E1027">
        <v>1007</v>
      </c>
    </row>
    <row r="1028" spans="1:5">
      <c r="A1028">
        <v>5230</v>
      </c>
      <c r="B1028" t="s">
        <v>5657</v>
      </c>
      <c r="C1028">
        <v>22</v>
      </c>
      <c r="D1028">
        <v>44</v>
      </c>
      <c r="E1028">
        <v>1007</v>
      </c>
    </row>
    <row r="1029" spans="1:5">
      <c r="A1029">
        <v>5481</v>
      </c>
      <c r="B1029" t="s">
        <v>5705</v>
      </c>
      <c r="C1029">
        <v>22</v>
      </c>
      <c r="D1029">
        <v>26</v>
      </c>
      <c r="E1029">
        <v>1007</v>
      </c>
    </row>
    <row r="1030" spans="1:5">
      <c r="A1030">
        <v>5904</v>
      </c>
      <c r="B1030" t="s">
        <v>5736</v>
      </c>
      <c r="C1030">
        <v>22</v>
      </c>
      <c r="D1030">
        <v>63</v>
      </c>
      <c r="E1030">
        <v>1007</v>
      </c>
    </row>
    <row r="1031" spans="1:5">
      <c r="A1031">
        <v>6129</v>
      </c>
      <c r="B1031" t="s">
        <v>6196</v>
      </c>
      <c r="C1031">
        <v>22</v>
      </c>
      <c r="D1031">
        <v>29</v>
      </c>
      <c r="E1031">
        <v>1007</v>
      </c>
    </row>
    <row r="1032" spans="1:5">
      <c r="A1032">
        <v>6214</v>
      </c>
      <c r="B1032" t="s">
        <v>5816</v>
      </c>
      <c r="C1032">
        <v>22</v>
      </c>
      <c r="D1032">
        <v>48</v>
      </c>
      <c r="E1032">
        <v>1007</v>
      </c>
    </row>
    <row r="1033" spans="1:5">
      <c r="A1033">
        <v>6215</v>
      </c>
      <c r="B1033" t="s">
        <v>5817</v>
      </c>
      <c r="C1033">
        <v>22</v>
      </c>
      <c r="D1033">
        <v>47</v>
      </c>
      <c r="E1033">
        <v>1007</v>
      </c>
    </row>
    <row r="1034" spans="1:5">
      <c r="A1034">
        <v>6462</v>
      </c>
      <c r="B1034" t="s">
        <v>5883</v>
      </c>
      <c r="C1034">
        <v>22</v>
      </c>
      <c r="D1034">
        <v>48</v>
      </c>
      <c r="E1034">
        <v>1007</v>
      </c>
    </row>
    <row r="1035" spans="1:5">
      <c r="A1035">
        <v>6613</v>
      </c>
      <c r="B1035" t="s">
        <v>5926</v>
      </c>
      <c r="C1035">
        <v>22</v>
      </c>
      <c r="D1035">
        <v>12</v>
      </c>
      <c r="E1035">
        <v>1007</v>
      </c>
    </row>
    <row r="1036" spans="1:5">
      <c r="A1036">
        <v>6788</v>
      </c>
      <c r="B1036" t="s">
        <v>6215</v>
      </c>
      <c r="C1036">
        <v>22</v>
      </c>
      <c r="D1036">
        <v>27</v>
      </c>
      <c r="E1036">
        <v>1007</v>
      </c>
    </row>
    <row r="1037" spans="1:5">
      <c r="A1037">
        <v>8489</v>
      </c>
      <c r="B1037" t="s">
        <v>6055</v>
      </c>
      <c r="C1037">
        <v>22</v>
      </c>
      <c r="D1037">
        <v>17</v>
      </c>
      <c r="E1037">
        <v>1007</v>
      </c>
    </row>
    <row r="1038" spans="1:5">
      <c r="A1038">
        <v>8932</v>
      </c>
      <c r="B1038" t="s">
        <v>6311</v>
      </c>
      <c r="C1038">
        <v>22</v>
      </c>
      <c r="D1038">
        <v>22</v>
      </c>
      <c r="E1038">
        <v>1007</v>
      </c>
    </row>
    <row r="1039" spans="1:5">
      <c r="A1039">
        <v>1438</v>
      </c>
      <c r="B1039" t="s">
        <v>4841</v>
      </c>
      <c r="C1039">
        <v>21</v>
      </c>
      <c r="D1039">
        <v>18</v>
      </c>
      <c r="E1039">
        <v>1038</v>
      </c>
    </row>
    <row r="1040" spans="1:5">
      <c r="A1040">
        <v>1446</v>
      </c>
      <c r="B1040" t="s">
        <v>4847</v>
      </c>
      <c r="C1040">
        <v>21</v>
      </c>
      <c r="D1040">
        <v>34</v>
      </c>
      <c r="E1040">
        <v>1038</v>
      </c>
    </row>
    <row r="1041" spans="1:5">
      <c r="A1041">
        <v>1449</v>
      </c>
      <c r="B1041" t="s">
        <v>6180</v>
      </c>
      <c r="C1041">
        <v>21</v>
      </c>
      <c r="D1041">
        <v>27</v>
      </c>
      <c r="E1041">
        <v>1038</v>
      </c>
    </row>
    <row r="1042" spans="1:5">
      <c r="A1042">
        <v>1452</v>
      </c>
      <c r="B1042" t="s">
        <v>4850</v>
      </c>
      <c r="C1042">
        <v>21</v>
      </c>
      <c r="D1042">
        <v>48</v>
      </c>
      <c r="E1042">
        <v>1038</v>
      </c>
    </row>
    <row r="1043" spans="1:5">
      <c r="A1043">
        <v>1580</v>
      </c>
      <c r="B1043" t="s">
        <v>4899</v>
      </c>
      <c r="C1043">
        <v>21</v>
      </c>
      <c r="D1043">
        <v>34</v>
      </c>
      <c r="E1043">
        <v>1038</v>
      </c>
    </row>
    <row r="1044" spans="1:5">
      <c r="A1044">
        <v>1618</v>
      </c>
      <c r="B1044" t="s">
        <v>4923</v>
      </c>
      <c r="C1044">
        <v>21</v>
      </c>
      <c r="D1044">
        <v>25</v>
      </c>
      <c r="E1044">
        <v>1038</v>
      </c>
    </row>
    <row r="1045" spans="1:5">
      <c r="A1045">
        <v>2063</v>
      </c>
      <c r="B1045" t="s">
        <v>6181</v>
      </c>
      <c r="C1045">
        <v>21</v>
      </c>
      <c r="D1045">
        <v>15</v>
      </c>
      <c r="E1045">
        <v>1038</v>
      </c>
    </row>
    <row r="1046" spans="1:5">
      <c r="A1046">
        <v>2114</v>
      </c>
      <c r="B1046" t="s">
        <v>5015</v>
      </c>
      <c r="C1046">
        <v>21</v>
      </c>
      <c r="D1046">
        <v>51</v>
      </c>
      <c r="E1046">
        <v>1038</v>
      </c>
    </row>
    <row r="1047" spans="1:5">
      <c r="A1047">
        <v>2524</v>
      </c>
      <c r="B1047" t="s">
        <v>5168</v>
      </c>
      <c r="C1047">
        <v>21</v>
      </c>
      <c r="D1047">
        <v>11</v>
      </c>
      <c r="E1047">
        <v>1038</v>
      </c>
    </row>
    <row r="1048" spans="1:5">
      <c r="A1048">
        <v>2536</v>
      </c>
      <c r="B1048" t="s">
        <v>5174</v>
      </c>
      <c r="C1048">
        <v>21</v>
      </c>
      <c r="D1048">
        <v>39</v>
      </c>
      <c r="E1048">
        <v>1038</v>
      </c>
    </row>
    <row r="1049" spans="1:5">
      <c r="A1049">
        <v>2852</v>
      </c>
      <c r="B1049" t="s">
        <v>5236</v>
      </c>
      <c r="C1049">
        <v>21</v>
      </c>
      <c r="D1049">
        <v>27</v>
      </c>
      <c r="E1049">
        <v>1038</v>
      </c>
    </row>
    <row r="1050" spans="1:5">
      <c r="A1050">
        <v>3083</v>
      </c>
      <c r="B1050" t="s">
        <v>5318</v>
      </c>
      <c r="C1050">
        <v>21</v>
      </c>
      <c r="D1050">
        <v>34</v>
      </c>
      <c r="E1050">
        <v>1038</v>
      </c>
    </row>
    <row r="1051" spans="1:5">
      <c r="A1051">
        <v>3276</v>
      </c>
      <c r="B1051" t="s">
        <v>5367</v>
      </c>
      <c r="C1051">
        <v>21</v>
      </c>
      <c r="D1051">
        <v>20</v>
      </c>
      <c r="E1051">
        <v>1038</v>
      </c>
    </row>
    <row r="1052" spans="1:5">
      <c r="A1052">
        <v>3581</v>
      </c>
      <c r="B1052" t="s">
        <v>5459</v>
      </c>
      <c r="C1052">
        <v>21</v>
      </c>
      <c r="D1052">
        <v>22</v>
      </c>
      <c r="E1052">
        <v>1038</v>
      </c>
    </row>
    <row r="1053" spans="1:5">
      <c r="A1053">
        <v>3705</v>
      </c>
      <c r="B1053" t="s">
        <v>5503</v>
      </c>
      <c r="C1053">
        <v>21</v>
      </c>
      <c r="D1053">
        <v>66</v>
      </c>
      <c r="E1053">
        <v>1038</v>
      </c>
    </row>
    <row r="1054" spans="1:5">
      <c r="A1054">
        <v>4401</v>
      </c>
      <c r="B1054" t="s">
        <v>5549</v>
      </c>
      <c r="C1054">
        <v>21</v>
      </c>
      <c r="D1054">
        <v>24</v>
      </c>
      <c r="E1054">
        <v>1038</v>
      </c>
    </row>
    <row r="1055" spans="1:5">
      <c r="A1055">
        <v>4571</v>
      </c>
      <c r="B1055" t="s">
        <v>5581</v>
      </c>
      <c r="C1055">
        <v>21</v>
      </c>
      <c r="D1055">
        <v>68</v>
      </c>
      <c r="E1055">
        <v>1038</v>
      </c>
    </row>
    <row r="1056" spans="1:5">
      <c r="A1056">
        <v>4994</v>
      </c>
      <c r="B1056" t="s">
        <v>5642</v>
      </c>
      <c r="C1056">
        <v>21</v>
      </c>
      <c r="D1056">
        <v>40</v>
      </c>
      <c r="E1056">
        <v>1038</v>
      </c>
    </row>
    <row r="1057" spans="1:5">
      <c r="A1057">
        <v>5015</v>
      </c>
      <c r="B1057" t="s">
        <v>5649</v>
      </c>
      <c r="C1057">
        <v>21</v>
      </c>
      <c r="D1057">
        <v>13</v>
      </c>
      <c r="E1057">
        <v>1038</v>
      </c>
    </row>
    <row r="1058" spans="1:5">
      <c r="A1058">
        <v>5864</v>
      </c>
      <c r="B1058" t="s">
        <v>5730</v>
      </c>
      <c r="C1058">
        <v>21</v>
      </c>
      <c r="D1058">
        <v>60</v>
      </c>
      <c r="E1058">
        <v>1038</v>
      </c>
    </row>
    <row r="1059" spans="1:5">
      <c r="A1059">
        <v>6023</v>
      </c>
      <c r="B1059" t="s">
        <v>6195</v>
      </c>
      <c r="C1059">
        <v>21</v>
      </c>
      <c r="D1059">
        <v>16</v>
      </c>
      <c r="E1059">
        <v>1038</v>
      </c>
    </row>
    <row r="1060" spans="1:5">
      <c r="A1060">
        <v>6024</v>
      </c>
      <c r="B1060" t="s">
        <v>5743</v>
      </c>
      <c r="C1060">
        <v>21</v>
      </c>
      <c r="D1060">
        <v>15</v>
      </c>
      <c r="E1060">
        <v>1038</v>
      </c>
    </row>
    <row r="1061" spans="1:5">
      <c r="A1061">
        <v>6227</v>
      </c>
      <c r="B1061" t="s">
        <v>5826</v>
      </c>
      <c r="C1061">
        <v>21</v>
      </c>
      <c r="D1061">
        <v>46</v>
      </c>
      <c r="E1061">
        <v>1038</v>
      </c>
    </row>
    <row r="1062" spans="1:5">
      <c r="A1062">
        <v>6263</v>
      </c>
      <c r="B1062" t="s">
        <v>5843</v>
      </c>
      <c r="C1062">
        <v>21</v>
      </c>
      <c r="D1062">
        <v>11</v>
      </c>
      <c r="E1062">
        <v>1038</v>
      </c>
    </row>
    <row r="1063" spans="1:5">
      <c r="A1063">
        <v>6283</v>
      </c>
      <c r="B1063" t="s">
        <v>5857</v>
      </c>
      <c r="C1063">
        <v>21</v>
      </c>
      <c r="D1063">
        <v>28</v>
      </c>
      <c r="E1063">
        <v>1038</v>
      </c>
    </row>
    <row r="1064" spans="1:5">
      <c r="A1064">
        <v>6449</v>
      </c>
      <c r="B1064" t="s">
        <v>5878</v>
      </c>
      <c r="C1064">
        <v>21</v>
      </c>
      <c r="D1064">
        <v>39</v>
      </c>
      <c r="E1064">
        <v>1038</v>
      </c>
    </row>
    <row r="1065" spans="1:5">
      <c r="A1065">
        <v>8420</v>
      </c>
      <c r="B1065" t="s">
        <v>6028</v>
      </c>
      <c r="C1065">
        <v>21</v>
      </c>
      <c r="D1065">
        <v>34</v>
      </c>
      <c r="E1065">
        <v>1038</v>
      </c>
    </row>
    <row r="1066" spans="1:5">
      <c r="A1066">
        <v>8466</v>
      </c>
      <c r="B1066" t="s">
        <v>6046</v>
      </c>
      <c r="C1066">
        <v>21</v>
      </c>
      <c r="D1066">
        <v>7</v>
      </c>
      <c r="E1066">
        <v>1038</v>
      </c>
    </row>
    <row r="1067" spans="1:5">
      <c r="A1067">
        <v>1321</v>
      </c>
      <c r="B1067" t="s">
        <v>4819</v>
      </c>
      <c r="C1067">
        <v>20</v>
      </c>
      <c r="D1067">
        <v>18</v>
      </c>
      <c r="E1067">
        <v>1066</v>
      </c>
    </row>
    <row r="1068" spans="1:5">
      <c r="A1068">
        <v>2373</v>
      </c>
      <c r="B1068" t="s">
        <v>5076</v>
      </c>
      <c r="C1068">
        <v>20</v>
      </c>
      <c r="D1068">
        <v>13</v>
      </c>
      <c r="E1068">
        <v>1066</v>
      </c>
    </row>
    <row r="1069" spans="1:5">
      <c r="A1069">
        <v>2705</v>
      </c>
      <c r="B1069" t="s">
        <v>5210</v>
      </c>
      <c r="C1069">
        <v>20</v>
      </c>
      <c r="D1069">
        <v>29</v>
      </c>
      <c r="E1069">
        <v>1066</v>
      </c>
    </row>
    <row r="1070" spans="1:5">
      <c r="A1070">
        <v>2849</v>
      </c>
      <c r="B1070" t="s">
        <v>5233</v>
      </c>
      <c r="C1070">
        <v>20</v>
      </c>
      <c r="D1070">
        <v>27</v>
      </c>
      <c r="E1070">
        <v>1066</v>
      </c>
    </row>
    <row r="1071" spans="1:5">
      <c r="A1071">
        <v>2855</v>
      </c>
      <c r="B1071" t="s">
        <v>5237</v>
      </c>
      <c r="C1071">
        <v>20</v>
      </c>
      <c r="D1071">
        <v>87</v>
      </c>
      <c r="E1071">
        <v>1066</v>
      </c>
    </row>
    <row r="1072" spans="1:5">
      <c r="A1072">
        <v>3489</v>
      </c>
      <c r="B1072" t="s">
        <v>6315</v>
      </c>
      <c r="C1072">
        <v>20</v>
      </c>
      <c r="D1072">
        <v>23</v>
      </c>
      <c r="E1072">
        <v>1066</v>
      </c>
    </row>
    <row r="1073" spans="1:5">
      <c r="A1073">
        <v>3709</v>
      </c>
      <c r="B1073" t="s">
        <v>6148</v>
      </c>
      <c r="C1073">
        <v>20</v>
      </c>
      <c r="D1073">
        <v>46</v>
      </c>
      <c r="E1073">
        <v>1066</v>
      </c>
    </row>
    <row r="1074" spans="1:5">
      <c r="A1074">
        <v>5211</v>
      </c>
      <c r="B1074" t="s">
        <v>5652</v>
      </c>
      <c r="C1074">
        <v>20</v>
      </c>
      <c r="D1074">
        <v>36</v>
      </c>
      <c r="E1074">
        <v>1066</v>
      </c>
    </row>
    <row r="1075" spans="1:5">
      <c r="A1075">
        <v>6185</v>
      </c>
      <c r="B1075" t="s">
        <v>5797</v>
      </c>
      <c r="C1075">
        <v>20</v>
      </c>
      <c r="D1075">
        <v>35</v>
      </c>
      <c r="E1075">
        <v>1066</v>
      </c>
    </row>
    <row r="1076" spans="1:5">
      <c r="A1076">
        <v>6216</v>
      </c>
      <c r="B1076" t="s">
        <v>5818</v>
      </c>
      <c r="C1076">
        <v>20</v>
      </c>
      <c r="D1076">
        <v>25</v>
      </c>
      <c r="E1076">
        <v>1066</v>
      </c>
    </row>
    <row r="1077" spans="1:5">
      <c r="A1077">
        <v>6432</v>
      </c>
      <c r="B1077" t="s">
        <v>5872</v>
      </c>
      <c r="C1077">
        <v>20</v>
      </c>
      <c r="D1077">
        <v>17</v>
      </c>
      <c r="E1077">
        <v>1066</v>
      </c>
    </row>
    <row r="1078" spans="1:5">
      <c r="A1078">
        <v>6441</v>
      </c>
      <c r="B1078" t="s">
        <v>5875</v>
      </c>
      <c r="C1078">
        <v>20</v>
      </c>
      <c r="D1078">
        <v>44</v>
      </c>
      <c r="E1078">
        <v>1066</v>
      </c>
    </row>
    <row r="1079" spans="1:5">
      <c r="A1079">
        <v>6472</v>
      </c>
      <c r="B1079" t="s">
        <v>5886</v>
      </c>
      <c r="C1079">
        <v>20</v>
      </c>
      <c r="D1079">
        <v>49</v>
      </c>
      <c r="E1079">
        <v>1066</v>
      </c>
    </row>
    <row r="1080" spans="1:5">
      <c r="A1080">
        <v>8042</v>
      </c>
      <c r="B1080" t="s">
        <v>6165</v>
      </c>
      <c r="C1080">
        <v>20</v>
      </c>
      <c r="D1080">
        <v>20</v>
      </c>
      <c r="E1080">
        <v>1066</v>
      </c>
    </row>
    <row r="1081" spans="1:5">
      <c r="A1081">
        <v>8076</v>
      </c>
      <c r="B1081" t="s">
        <v>5977</v>
      </c>
      <c r="C1081">
        <v>20</v>
      </c>
      <c r="D1081">
        <v>35</v>
      </c>
      <c r="E1081">
        <v>1066</v>
      </c>
    </row>
    <row r="1082" spans="1:5">
      <c r="A1082">
        <v>8222</v>
      </c>
      <c r="B1082" t="s">
        <v>6006</v>
      </c>
      <c r="C1082">
        <v>20</v>
      </c>
      <c r="D1082">
        <v>28</v>
      </c>
      <c r="E1082">
        <v>1066</v>
      </c>
    </row>
    <row r="1083" spans="1:5">
      <c r="A1083">
        <v>8240</v>
      </c>
      <c r="B1083" t="s">
        <v>6008</v>
      </c>
      <c r="C1083">
        <v>20</v>
      </c>
      <c r="D1083">
        <v>23</v>
      </c>
      <c r="E1083">
        <v>1066</v>
      </c>
    </row>
    <row r="1084" spans="1:5">
      <c r="A1084">
        <v>8473</v>
      </c>
      <c r="B1084" t="s">
        <v>6048</v>
      </c>
      <c r="C1084">
        <v>20</v>
      </c>
      <c r="D1084">
        <v>15</v>
      </c>
      <c r="E1084">
        <v>1066</v>
      </c>
    </row>
    <row r="1085" spans="1:5">
      <c r="A1085">
        <v>9943</v>
      </c>
      <c r="B1085" t="s">
        <v>6099</v>
      </c>
      <c r="C1085">
        <v>20</v>
      </c>
      <c r="D1085">
        <v>35</v>
      </c>
      <c r="E1085">
        <v>1066</v>
      </c>
    </row>
    <row r="1086" spans="1:5">
      <c r="A1086">
        <v>1419</v>
      </c>
      <c r="B1086" t="s">
        <v>4836</v>
      </c>
      <c r="C1086">
        <v>19</v>
      </c>
      <c r="D1086">
        <v>21</v>
      </c>
      <c r="E1086">
        <v>1085</v>
      </c>
    </row>
    <row r="1087" spans="1:5">
      <c r="A1087">
        <v>1533</v>
      </c>
      <c r="B1087" t="s">
        <v>4886</v>
      </c>
      <c r="C1087">
        <v>19</v>
      </c>
      <c r="D1087">
        <v>36</v>
      </c>
      <c r="E1087">
        <v>1085</v>
      </c>
    </row>
    <row r="1088" spans="1:5">
      <c r="A1088">
        <v>1752</v>
      </c>
      <c r="B1088" t="s">
        <v>4952</v>
      </c>
      <c r="C1088">
        <v>19</v>
      </c>
      <c r="D1088">
        <v>32</v>
      </c>
      <c r="E1088">
        <v>1085</v>
      </c>
    </row>
    <row r="1089" spans="1:5">
      <c r="A1089">
        <v>2467</v>
      </c>
      <c r="B1089" t="s">
        <v>5135</v>
      </c>
      <c r="C1089">
        <v>19</v>
      </c>
      <c r="D1089">
        <v>66</v>
      </c>
      <c r="E1089">
        <v>1085</v>
      </c>
    </row>
    <row r="1090" spans="1:5">
      <c r="A1090">
        <v>3567</v>
      </c>
      <c r="B1090" t="s">
        <v>5456</v>
      </c>
      <c r="C1090">
        <v>19</v>
      </c>
      <c r="D1090">
        <v>43</v>
      </c>
      <c r="E1090">
        <v>1085</v>
      </c>
    </row>
    <row r="1091" spans="1:5">
      <c r="A1091">
        <v>3607</v>
      </c>
      <c r="B1091" t="s">
        <v>5468</v>
      </c>
      <c r="C1091">
        <v>19</v>
      </c>
      <c r="D1091">
        <v>42</v>
      </c>
      <c r="E1091">
        <v>1085</v>
      </c>
    </row>
    <row r="1092" spans="1:5">
      <c r="A1092">
        <v>4432</v>
      </c>
      <c r="B1092" t="s">
        <v>5554</v>
      </c>
      <c r="C1092">
        <v>19</v>
      </c>
      <c r="D1092">
        <v>8</v>
      </c>
      <c r="E1092">
        <v>1085</v>
      </c>
    </row>
    <row r="1093" spans="1:5">
      <c r="A1093">
        <v>4545</v>
      </c>
      <c r="B1093" t="s">
        <v>5571</v>
      </c>
      <c r="C1093">
        <v>19</v>
      </c>
      <c r="D1093">
        <v>9</v>
      </c>
      <c r="E1093">
        <v>1085</v>
      </c>
    </row>
    <row r="1094" spans="1:5">
      <c r="A1094">
        <v>4580</v>
      </c>
      <c r="B1094" t="s">
        <v>5584</v>
      </c>
      <c r="C1094">
        <v>19</v>
      </c>
      <c r="D1094">
        <v>14</v>
      </c>
      <c r="E1094">
        <v>1085</v>
      </c>
    </row>
    <row r="1095" spans="1:5">
      <c r="A1095">
        <v>4991</v>
      </c>
      <c r="B1095" t="s">
        <v>6154</v>
      </c>
      <c r="C1095">
        <v>19</v>
      </c>
      <c r="D1095">
        <v>35</v>
      </c>
      <c r="E1095">
        <v>1085</v>
      </c>
    </row>
    <row r="1096" spans="1:5">
      <c r="A1096">
        <v>5215</v>
      </c>
      <c r="B1096" t="s">
        <v>5654</v>
      </c>
      <c r="C1096">
        <v>19</v>
      </c>
      <c r="D1096">
        <v>25</v>
      </c>
      <c r="E1096">
        <v>1085</v>
      </c>
    </row>
    <row r="1097" spans="1:5">
      <c r="A1097">
        <v>6288</v>
      </c>
      <c r="B1097" t="s">
        <v>5860</v>
      </c>
      <c r="C1097">
        <v>19</v>
      </c>
      <c r="D1097">
        <v>78</v>
      </c>
      <c r="E1097">
        <v>1085</v>
      </c>
    </row>
    <row r="1098" spans="1:5">
      <c r="A1098">
        <v>6532</v>
      </c>
      <c r="B1098" t="s">
        <v>5906</v>
      </c>
      <c r="C1098">
        <v>19</v>
      </c>
      <c r="D1098">
        <v>22</v>
      </c>
      <c r="E1098">
        <v>1085</v>
      </c>
    </row>
    <row r="1099" spans="1:5">
      <c r="A1099">
        <v>6654</v>
      </c>
      <c r="B1099" t="s">
        <v>5931</v>
      </c>
      <c r="C1099">
        <v>19</v>
      </c>
      <c r="D1099">
        <v>36</v>
      </c>
      <c r="E1099">
        <v>1085</v>
      </c>
    </row>
    <row r="1100" spans="1:5">
      <c r="A1100">
        <v>1236</v>
      </c>
      <c r="B1100" t="s">
        <v>4800</v>
      </c>
      <c r="C1100">
        <v>18</v>
      </c>
      <c r="D1100">
        <v>23</v>
      </c>
      <c r="E1100">
        <v>1099</v>
      </c>
    </row>
    <row r="1101" spans="1:5">
      <c r="A1101">
        <v>1445</v>
      </c>
      <c r="B1101" t="s">
        <v>4846</v>
      </c>
      <c r="C1101">
        <v>18</v>
      </c>
      <c r="D1101">
        <v>46</v>
      </c>
      <c r="E1101">
        <v>1099</v>
      </c>
    </row>
    <row r="1102" spans="1:5">
      <c r="A1102">
        <v>1459</v>
      </c>
      <c r="B1102" t="s">
        <v>4856</v>
      </c>
      <c r="C1102">
        <v>18</v>
      </c>
      <c r="D1102">
        <v>16</v>
      </c>
      <c r="E1102">
        <v>1099</v>
      </c>
    </row>
    <row r="1103" spans="1:5">
      <c r="A1103">
        <v>1460</v>
      </c>
      <c r="B1103" t="s">
        <v>6237</v>
      </c>
      <c r="C1103">
        <v>18</v>
      </c>
      <c r="D1103">
        <v>45</v>
      </c>
      <c r="E1103">
        <v>1099</v>
      </c>
    </row>
    <row r="1104" spans="1:5">
      <c r="A1104">
        <v>1463</v>
      </c>
      <c r="B1104" t="s">
        <v>4857</v>
      </c>
      <c r="C1104">
        <v>18</v>
      </c>
      <c r="D1104">
        <v>32</v>
      </c>
      <c r="E1104">
        <v>1099</v>
      </c>
    </row>
    <row r="1105" spans="1:5">
      <c r="A1105">
        <v>1539</v>
      </c>
      <c r="B1105" t="s">
        <v>4890</v>
      </c>
      <c r="C1105">
        <v>18</v>
      </c>
      <c r="D1105">
        <v>13</v>
      </c>
      <c r="E1105">
        <v>1099</v>
      </c>
    </row>
    <row r="1106" spans="1:5">
      <c r="A1106">
        <v>1589</v>
      </c>
      <c r="B1106" t="s">
        <v>4905</v>
      </c>
      <c r="C1106">
        <v>18</v>
      </c>
      <c r="D1106">
        <v>49</v>
      </c>
      <c r="E1106">
        <v>1099</v>
      </c>
    </row>
    <row r="1107" spans="1:5">
      <c r="A1107">
        <v>1598</v>
      </c>
      <c r="B1107" t="s">
        <v>4911</v>
      </c>
      <c r="C1107">
        <v>18</v>
      </c>
      <c r="D1107">
        <v>78</v>
      </c>
      <c r="E1107">
        <v>1099</v>
      </c>
    </row>
    <row r="1108" spans="1:5">
      <c r="A1108">
        <v>2402</v>
      </c>
      <c r="B1108" t="s">
        <v>5094</v>
      </c>
      <c r="C1108">
        <v>18</v>
      </c>
      <c r="D1108">
        <v>29</v>
      </c>
      <c r="E1108">
        <v>1099</v>
      </c>
    </row>
    <row r="1109" spans="1:5">
      <c r="A1109">
        <v>2405</v>
      </c>
      <c r="B1109" t="s">
        <v>6182</v>
      </c>
      <c r="C1109">
        <v>18</v>
      </c>
      <c r="D1109">
        <v>40</v>
      </c>
      <c r="E1109">
        <v>1099</v>
      </c>
    </row>
    <row r="1110" spans="1:5">
      <c r="A1110">
        <v>2483</v>
      </c>
      <c r="B1110" t="s">
        <v>5146</v>
      </c>
      <c r="C1110">
        <v>18</v>
      </c>
      <c r="D1110">
        <v>34</v>
      </c>
      <c r="E1110">
        <v>1099</v>
      </c>
    </row>
    <row r="1111" spans="1:5">
      <c r="A1111">
        <v>2501</v>
      </c>
      <c r="B1111" t="s">
        <v>5159</v>
      </c>
      <c r="C1111">
        <v>18</v>
      </c>
      <c r="D1111">
        <v>41</v>
      </c>
      <c r="E1111">
        <v>1099</v>
      </c>
    </row>
    <row r="1112" spans="1:5">
      <c r="A1112">
        <v>2748</v>
      </c>
      <c r="B1112" t="s">
        <v>5222</v>
      </c>
      <c r="C1112">
        <v>18</v>
      </c>
      <c r="D1112">
        <v>26</v>
      </c>
      <c r="E1112">
        <v>1099</v>
      </c>
    </row>
    <row r="1113" spans="1:5">
      <c r="A1113">
        <v>2929</v>
      </c>
      <c r="B1113" t="s">
        <v>5266</v>
      </c>
      <c r="C1113">
        <v>18</v>
      </c>
      <c r="D1113">
        <v>35</v>
      </c>
      <c r="E1113">
        <v>1099</v>
      </c>
    </row>
    <row r="1114" spans="1:5">
      <c r="A1114">
        <v>4406</v>
      </c>
      <c r="B1114" t="s">
        <v>5550</v>
      </c>
      <c r="C1114">
        <v>18</v>
      </c>
      <c r="D1114">
        <v>44</v>
      </c>
      <c r="E1114">
        <v>1099</v>
      </c>
    </row>
    <row r="1115" spans="1:5">
      <c r="A1115">
        <v>4416</v>
      </c>
      <c r="B1115" t="s">
        <v>6216</v>
      </c>
      <c r="C1115">
        <v>18</v>
      </c>
      <c r="D1115">
        <v>20</v>
      </c>
      <c r="E1115">
        <v>1099</v>
      </c>
    </row>
    <row r="1116" spans="1:5">
      <c r="A1116">
        <v>4532</v>
      </c>
      <c r="B1116" t="s">
        <v>5564</v>
      </c>
      <c r="C1116">
        <v>18</v>
      </c>
      <c r="D1116">
        <v>50</v>
      </c>
      <c r="E1116">
        <v>1099</v>
      </c>
    </row>
    <row r="1117" spans="1:5">
      <c r="A1117">
        <v>4737</v>
      </c>
      <c r="B1117" t="s">
        <v>5597</v>
      </c>
      <c r="C1117">
        <v>18</v>
      </c>
      <c r="D1117">
        <v>8</v>
      </c>
      <c r="E1117">
        <v>1099</v>
      </c>
    </row>
    <row r="1118" spans="1:5">
      <c r="A1118">
        <v>4945</v>
      </c>
      <c r="B1118" t="s">
        <v>5625</v>
      </c>
      <c r="C1118">
        <v>18</v>
      </c>
      <c r="D1118">
        <v>31</v>
      </c>
      <c r="E1118">
        <v>1099</v>
      </c>
    </row>
    <row r="1119" spans="1:5">
      <c r="A1119">
        <v>5202</v>
      </c>
      <c r="B1119" t="s">
        <v>6156</v>
      </c>
      <c r="C1119">
        <v>18</v>
      </c>
      <c r="D1119">
        <v>9</v>
      </c>
      <c r="E1119">
        <v>1099</v>
      </c>
    </row>
    <row r="1120" spans="1:5">
      <c r="A1120">
        <v>5315</v>
      </c>
      <c r="B1120" t="s">
        <v>5677</v>
      </c>
      <c r="C1120">
        <v>18</v>
      </c>
      <c r="D1120">
        <v>46</v>
      </c>
      <c r="E1120">
        <v>1099</v>
      </c>
    </row>
    <row r="1121" spans="1:5">
      <c r="A1121">
        <v>6655</v>
      </c>
      <c r="B1121" t="s">
        <v>5932</v>
      </c>
      <c r="C1121">
        <v>18</v>
      </c>
      <c r="D1121">
        <v>12</v>
      </c>
      <c r="E1121">
        <v>1099</v>
      </c>
    </row>
    <row r="1122" spans="1:5">
      <c r="A1122">
        <v>6803</v>
      </c>
      <c r="B1122" t="s">
        <v>5954</v>
      </c>
      <c r="C1122">
        <v>18</v>
      </c>
      <c r="D1122">
        <v>13</v>
      </c>
      <c r="E1122">
        <v>1099</v>
      </c>
    </row>
    <row r="1123" spans="1:5">
      <c r="A1123">
        <v>8390</v>
      </c>
      <c r="B1123" t="s">
        <v>6022</v>
      </c>
      <c r="C1123">
        <v>18</v>
      </c>
      <c r="D1123">
        <v>57</v>
      </c>
      <c r="E1123">
        <v>1099</v>
      </c>
    </row>
    <row r="1124" spans="1:5">
      <c r="A1124">
        <v>8401</v>
      </c>
      <c r="B1124" t="s">
        <v>6023</v>
      </c>
      <c r="C1124">
        <v>18</v>
      </c>
      <c r="D1124">
        <v>25</v>
      </c>
      <c r="E1124">
        <v>1099</v>
      </c>
    </row>
    <row r="1125" spans="1:5">
      <c r="A1125">
        <v>8410</v>
      </c>
      <c r="B1125" t="s">
        <v>6198</v>
      </c>
      <c r="C1125">
        <v>18</v>
      </c>
      <c r="D1125">
        <v>13</v>
      </c>
      <c r="E1125">
        <v>1099</v>
      </c>
    </row>
    <row r="1126" spans="1:5">
      <c r="A1126">
        <v>8942</v>
      </c>
      <c r="B1126" t="s">
        <v>6068</v>
      </c>
      <c r="C1126">
        <v>18</v>
      </c>
      <c r="D1126">
        <v>62</v>
      </c>
      <c r="E1126">
        <v>1099</v>
      </c>
    </row>
    <row r="1127" spans="1:5">
      <c r="A1127">
        <v>1456</v>
      </c>
      <c r="B1127" t="s">
        <v>4854</v>
      </c>
      <c r="C1127">
        <v>17</v>
      </c>
      <c r="D1127">
        <v>28</v>
      </c>
      <c r="E1127">
        <v>1126</v>
      </c>
    </row>
    <row r="1128" spans="1:5">
      <c r="A1128">
        <v>1466</v>
      </c>
      <c r="B1128" t="s">
        <v>4860</v>
      </c>
      <c r="C1128">
        <v>17</v>
      </c>
      <c r="D1128">
        <v>37</v>
      </c>
      <c r="E1128">
        <v>1126</v>
      </c>
    </row>
    <row r="1129" spans="1:5">
      <c r="A1129">
        <v>2596</v>
      </c>
      <c r="B1129" t="s">
        <v>5183</v>
      </c>
      <c r="C1129">
        <v>17</v>
      </c>
      <c r="D1129">
        <v>20</v>
      </c>
      <c r="E1129">
        <v>1126</v>
      </c>
    </row>
    <row r="1130" spans="1:5">
      <c r="A1130">
        <v>3025</v>
      </c>
      <c r="B1130" t="s">
        <v>5285</v>
      </c>
      <c r="C1130">
        <v>17</v>
      </c>
      <c r="D1130">
        <v>48</v>
      </c>
      <c r="E1130">
        <v>1126</v>
      </c>
    </row>
    <row r="1131" spans="1:5">
      <c r="A1131">
        <v>3028</v>
      </c>
      <c r="B1131" t="s">
        <v>5288</v>
      </c>
      <c r="C1131">
        <v>17</v>
      </c>
      <c r="D1131">
        <v>77</v>
      </c>
      <c r="E1131">
        <v>1126</v>
      </c>
    </row>
    <row r="1132" spans="1:5">
      <c r="A1132">
        <v>3310</v>
      </c>
      <c r="B1132" t="s">
        <v>5378</v>
      </c>
      <c r="C1132">
        <v>17</v>
      </c>
      <c r="D1132">
        <v>28</v>
      </c>
      <c r="E1132">
        <v>1126</v>
      </c>
    </row>
    <row r="1133" spans="1:5">
      <c r="A1133">
        <v>3492</v>
      </c>
      <c r="B1133" t="s">
        <v>5424</v>
      </c>
      <c r="C1133">
        <v>17</v>
      </c>
      <c r="D1133">
        <v>11</v>
      </c>
      <c r="E1133">
        <v>1126</v>
      </c>
    </row>
    <row r="1134" spans="1:5">
      <c r="A1134">
        <v>4541</v>
      </c>
      <c r="B1134" t="s">
        <v>5569</v>
      </c>
      <c r="C1134">
        <v>17</v>
      </c>
      <c r="D1134">
        <v>26</v>
      </c>
      <c r="E1134">
        <v>1126</v>
      </c>
    </row>
    <row r="1135" spans="1:5">
      <c r="A1135">
        <v>5386</v>
      </c>
      <c r="B1135" t="s">
        <v>5685</v>
      </c>
      <c r="C1135">
        <v>17</v>
      </c>
      <c r="D1135">
        <v>44</v>
      </c>
      <c r="E1135">
        <v>1126</v>
      </c>
    </row>
    <row r="1136" spans="1:5">
      <c r="A1136">
        <v>6108</v>
      </c>
      <c r="B1136" t="s">
        <v>5746</v>
      </c>
      <c r="C1136">
        <v>17</v>
      </c>
      <c r="D1136">
        <v>35</v>
      </c>
      <c r="E1136">
        <v>1126</v>
      </c>
    </row>
    <row r="1137" spans="1:5">
      <c r="A1137">
        <v>6195</v>
      </c>
      <c r="B1137" t="s">
        <v>6161</v>
      </c>
      <c r="C1137">
        <v>17</v>
      </c>
      <c r="D1137">
        <v>30</v>
      </c>
      <c r="E1137">
        <v>1126</v>
      </c>
    </row>
    <row r="1138" spans="1:5">
      <c r="A1138">
        <v>6506</v>
      </c>
      <c r="B1138" t="s">
        <v>5896</v>
      </c>
      <c r="C1138">
        <v>17</v>
      </c>
      <c r="D1138">
        <v>20</v>
      </c>
      <c r="E1138">
        <v>1126</v>
      </c>
    </row>
    <row r="1139" spans="1:5">
      <c r="A1139">
        <v>6530</v>
      </c>
      <c r="B1139" t="s">
        <v>6309</v>
      </c>
      <c r="C1139">
        <v>17</v>
      </c>
      <c r="D1139">
        <v>30</v>
      </c>
      <c r="E1139">
        <v>1126</v>
      </c>
    </row>
    <row r="1140" spans="1:5">
      <c r="A1140">
        <v>8499</v>
      </c>
      <c r="B1140" t="s">
        <v>6056</v>
      </c>
      <c r="C1140">
        <v>17</v>
      </c>
      <c r="D1140">
        <v>12</v>
      </c>
      <c r="E1140">
        <v>1126</v>
      </c>
    </row>
    <row r="1141" spans="1:5">
      <c r="A1141">
        <v>8906</v>
      </c>
      <c r="B1141" t="s">
        <v>6307</v>
      </c>
      <c r="C1141">
        <v>17</v>
      </c>
      <c r="D1141">
        <v>6</v>
      </c>
      <c r="E1141">
        <v>1126</v>
      </c>
    </row>
    <row r="1142" spans="1:5">
      <c r="A1142">
        <v>8928</v>
      </c>
      <c r="B1142" t="s">
        <v>6063</v>
      </c>
      <c r="C1142">
        <v>17</v>
      </c>
      <c r="D1142">
        <v>46</v>
      </c>
      <c r="E1142">
        <v>1126</v>
      </c>
    </row>
    <row r="1143" spans="1:5">
      <c r="A1143">
        <v>8930</v>
      </c>
      <c r="B1143" t="s">
        <v>6168</v>
      </c>
      <c r="C1143">
        <v>17</v>
      </c>
      <c r="D1143">
        <v>33</v>
      </c>
      <c r="E1143">
        <v>1126</v>
      </c>
    </row>
    <row r="1144" spans="1:5">
      <c r="A1144">
        <v>1436</v>
      </c>
      <c r="B1144" t="s">
        <v>4839</v>
      </c>
      <c r="C1144">
        <v>16</v>
      </c>
      <c r="D1144">
        <v>12</v>
      </c>
      <c r="E1144">
        <v>1143</v>
      </c>
    </row>
    <row r="1145" spans="1:5">
      <c r="A1145">
        <v>1503</v>
      </c>
      <c r="B1145" t="s">
        <v>4867</v>
      </c>
      <c r="C1145">
        <v>16</v>
      </c>
      <c r="D1145">
        <v>24</v>
      </c>
      <c r="E1145">
        <v>1143</v>
      </c>
    </row>
    <row r="1146" spans="1:5">
      <c r="A1146">
        <v>1524</v>
      </c>
      <c r="B1146" t="s">
        <v>4877</v>
      </c>
      <c r="C1146">
        <v>16</v>
      </c>
      <c r="D1146">
        <v>41</v>
      </c>
      <c r="E1146">
        <v>1143</v>
      </c>
    </row>
    <row r="1147" spans="1:5">
      <c r="A1147">
        <v>3051</v>
      </c>
      <c r="B1147" t="s">
        <v>6186</v>
      </c>
      <c r="C1147">
        <v>16</v>
      </c>
      <c r="D1147">
        <v>37</v>
      </c>
      <c r="E1147">
        <v>1143</v>
      </c>
    </row>
    <row r="1148" spans="1:5">
      <c r="A1148">
        <v>3086</v>
      </c>
      <c r="B1148" t="s">
        <v>5319</v>
      </c>
      <c r="C1148">
        <v>16</v>
      </c>
      <c r="D1148">
        <v>14</v>
      </c>
      <c r="E1148">
        <v>1143</v>
      </c>
    </row>
    <row r="1149" spans="1:5">
      <c r="A1149">
        <v>3339</v>
      </c>
      <c r="B1149" t="s">
        <v>5386</v>
      </c>
      <c r="C1149">
        <v>16</v>
      </c>
      <c r="D1149">
        <v>31</v>
      </c>
      <c r="E1149">
        <v>1143</v>
      </c>
    </row>
    <row r="1150" spans="1:5">
      <c r="A1150">
        <v>4109</v>
      </c>
      <c r="B1150" t="s">
        <v>5515</v>
      </c>
      <c r="C1150">
        <v>16</v>
      </c>
      <c r="D1150">
        <v>21</v>
      </c>
      <c r="E1150">
        <v>1143</v>
      </c>
    </row>
    <row r="1151" spans="1:5">
      <c r="A1151">
        <v>4526</v>
      </c>
      <c r="B1151" t="s">
        <v>5562</v>
      </c>
      <c r="C1151">
        <v>16</v>
      </c>
      <c r="D1151">
        <v>38</v>
      </c>
      <c r="E1151">
        <v>1143</v>
      </c>
    </row>
    <row r="1152" spans="1:5">
      <c r="A1152">
        <v>4549</v>
      </c>
      <c r="B1152" t="s">
        <v>5572</v>
      </c>
      <c r="C1152">
        <v>16</v>
      </c>
      <c r="D1152">
        <v>22</v>
      </c>
      <c r="E1152">
        <v>1143</v>
      </c>
    </row>
    <row r="1153" spans="1:5">
      <c r="A1153">
        <v>4562</v>
      </c>
      <c r="B1153" t="s">
        <v>5578</v>
      </c>
      <c r="C1153">
        <v>16</v>
      </c>
      <c r="D1153">
        <v>15</v>
      </c>
      <c r="E1153">
        <v>1143</v>
      </c>
    </row>
    <row r="1154" spans="1:5">
      <c r="A1154">
        <v>5287</v>
      </c>
      <c r="B1154" t="s">
        <v>5671</v>
      </c>
      <c r="C1154">
        <v>16</v>
      </c>
      <c r="D1154">
        <v>66</v>
      </c>
      <c r="E1154">
        <v>1143</v>
      </c>
    </row>
    <row r="1155" spans="1:5">
      <c r="A1155">
        <v>6136</v>
      </c>
      <c r="B1155" t="s">
        <v>5764</v>
      </c>
      <c r="C1155">
        <v>16</v>
      </c>
      <c r="D1155">
        <v>28</v>
      </c>
      <c r="E1155">
        <v>1143</v>
      </c>
    </row>
    <row r="1156" spans="1:5">
      <c r="A1156">
        <v>6277</v>
      </c>
      <c r="B1156" t="s">
        <v>5852</v>
      </c>
      <c r="C1156">
        <v>16</v>
      </c>
      <c r="D1156">
        <v>42</v>
      </c>
      <c r="E1156">
        <v>1143</v>
      </c>
    </row>
    <row r="1157" spans="1:5">
      <c r="A1157">
        <v>6451</v>
      </c>
      <c r="B1157" t="s">
        <v>5879</v>
      </c>
      <c r="C1157">
        <v>16</v>
      </c>
      <c r="D1157">
        <v>57</v>
      </c>
      <c r="E1157">
        <v>1143</v>
      </c>
    </row>
    <row r="1158" spans="1:5">
      <c r="A1158">
        <v>6561</v>
      </c>
      <c r="B1158" t="s">
        <v>5912</v>
      </c>
      <c r="C1158">
        <v>16</v>
      </c>
      <c r="D1158">
        <v>24</v>
      </c>
      <c r="E1158">
        <v>1143</v>
      </c>
    </row>
    <row r="1159" spans="1:5">
      <c r="A1159">
        <v>8404</v>
      </c>
      <c r="B1159" t="s">
        <v>6025</v>
      </c>
      <c r="C1159">
        <v>16</v>
      </c>
      <c r="D1159">
        <v>63</v>
      </c>
      <c r="E1159">
        <v>1143</v>
      </c>
    </row>
    <row r="1160" spans="1:5">
      <c r="A1160">
        <v>8437</v>
      </c>
      <c r="B1160" t="s">
        <v>6035</v>
      </c>
      <c r="C1160">
        <v>16</v>
      </c>
      <c r="D1160">
        <v>62</v>
      </c>
      <c r="E1160">
        <v>1143</v>
      </c>
    </row>
    <row r="1161" spans="1:5">
      <c r="A1161">
        <v>9930</v>
      </c>
      <c r="B1161" t="s">
        <v>6088</v>
      </c>
      <c r="C1161">
        <v>16</v>
      </c>
      <c r="D1161">
        <v>32</v>
      </c>
      <c r="E1161">
        <v>1143</v>
      </c>
    </row>
    <row r="1162" spans="1:5">
      <c r="A1162">
        <v>1307</v>
      </c>
      <c r="B1162" t="s">
        <v>4809</v>
      </c>
      <c r="C1162">
        <v>15</v>
      </c>
      <c r="D1162">
        <v>30</v>
      </c>
      <c r="E1162">
        <v>1161</v>
      </c>
    </row>
    <row r="1163" spans="1:5">
      <c r="A1163">
        <v>1336</v>
      </c>
      <c r="B1163" t="s">
        <v>4824</v>
      </c>
      <c r="C1163">
        <v>15</v>
      </c>
      <c r="D1163">
        <v>32</v>
      </c>
      <c r="E1163">
        <v>1161</v>
      </c>
    </row>
    <row r="1164" spans="1:5">
      <c r="A1164">
        <v>1475</v>
      </c>
      <c r="B1164" t="s">
        <v>6310</v>
      </c>
      <c r="C1164">
        <v>15</v>
      </c>
      <c r="D1164">
        <v>6</v>
      </c>
      <c r="E1164">
        <v>1161</v>
      </c>
    </row>
    <row r="1165" spans="1:5">
      <c r="A1165">
        <v>1568</v>
      </c>
      <c r="B1165" t="s">
        <v>4896</v>
      </c>
      <c r="C1165">
        <v>15</v>
      </c>
      <c r="D1165">
        <v>32</v>
      </c>
      <c r="E1165">
        <v>1161</v>
      </c>
    </row>
    <row r="1166" spans="1:5">
      <c r="A1166">
        <v>2228</v>
      </c>
      <c r="B1166" t="s">
        <v>5024</v>
      </c>
      <c r="C1166">
        <v>15</v>
      </c>
      <c r="D1166">
        <v>25</v>
      </c>
      <c r="E1166">
        <v>1161</v>
      </c>
    </row>
    <row r="1167" spans="1:5">
      <c r="A1167">
        <v>2239</v>
      </c>
      <c r="B1167" t="s">
        <v>5029</v>
      </c>
      <c r="C1167">
        <v>15</v>
      </c>
      <c r="D1167">
        <v>45</v>
      </c>
      <c r="E1167">
        <v>1161</v>
      </c>
    </row>
    <row r="1168" spans="1:5">
      <c r="A1168">
        <v>2450</v>
      </c>
      <c r="B1168" t="s">
        <v>5121</v>
      </c>
      <c r="C1168">
        <v>15</v>
      </c>
      <c r="D1168">
        <v>14</v>
      </c>
      <c r="E1168">
        <v>1161</v>
      </c>
    </row>
    <row r="1169" spans="1:5">
      <c r="A1169">
        <v>2616</v>
      </c>
      <c r="B1169" t="s">
        <v>5198</v>
      </c>
      <c r="C1169">
        <v>15</v>
      </c>
      <c r="D1169">
        <v>25</v>
      </c>
      <c r="E1169">
        <v>1161</v>
      </c>
    </row>
    <row r="1170" spans="1:5">
      <c r="A1170">
        <v>3685</v>
      </c>
      <c r="B1170" t="s">
        <v>5493</v>
      </c>
      <c r="C1170">
        <v>15</v>
      </c>
      <c r="D1170">
        <v>30</v>
      </c>
      <c r="E1170">
        <v>1161</v>
      </c>
    </row>
    <row r="1171" spans="1:5">
      <c r="A1171">
        <v>4148</v>
      </c>
      <c r="B1171" t="s">
        <v>5531</v>
      </c>
      <c r="C1171">
        <v>15</v>
      </c>
      <c r="D1171">
        <v>20</v>
      </c>
      <c r="E1171">
        <v>1161</v>
      </c>
    </row>
    <row r="1172" spans="1:5">
      <c r="A1172">
        <v>4536</v>
      </c>
      <c r="B1172" t="s">
        <v>5567</v>
      </c>
      <c r="C1172">
        <v>15</v>
      </c>
      <c r="D1172">
        <v>44</v>
      </c>
      <c r="E1172">
        <v>1161</v>
      </c>
    </row>
    <row r="1173" spans="1:5">
      <c r="A1173">
        <v>5515</v>
      </c>
      <c r="B1173" t="s">
        <v>5711</v>
      </c>
      <c r="C1173">
        <v>15</v>
      </c>
      <c r="D1173">
        <v>46</v>
      </c>
      <c r="E1173">
        <v>1161</v>
      </c>
    </row>
    <row r="1174" spans="1:5">
      <c r="A1174">
        <v>6114</v>
      </c>
      <c r="B1174" t="s">
        <v>5749</v>
      </c>
      <c r="C1174">
        <v>15</v>
      </c>
      <c r="D1174">
        <v>8</v>
      </c>
      <c r="E1174">
        <v>1161</v>
      </c>
    </row>
    <row r="1175" spans="1:5">
      <c r="A1175">
        <v>6122</v>
      </c>
      <c r="B1175" t="s">
        <v>5756</v>
      </c>
      <c r="C1175">
        <v>15</v>
      </c>
      <c r="D1175">
        <v>45</v>
      </c>
      <c r="E1175">
        <v>1161</v>
      </c>
    </row>
    <row r="1176" spans="1:5">
      <c r="A1176">
        <v>6425</v>
      </c>
      <c r="B1176" t="s">
        <v>6204</v>
      </c>
      <c r="C1176">
        <v>15</v>
      </c>
      <c r="D1176">
        <v>17</v>
      </c>
      <c r="E1176">
        <v>1161</v>
      </c>
    </row>
    <row r="1177" spans="1:5">
      <c r="A1177">
        <v>6426</v>
      </c>
      <c r="B1177" t="s">
        <v>5871</v>
      </c>
      <c r="C1177">
        <v>15</v>
      </c>
      <c r="D1177">
        <v>19</v>
      </c>
      <c r="E1177">
        <v>1161</v>
      </c>
    </row>
    <row r="1178" spans="1:5">
      <c r="A1178">
        <v>6605</v>
      </c>
      <c r="B1178" t="s">
        <v>5923</v>
      </c>
      <c r="C1178">
        <v>15</v>
      </c>
      <c r="D1178">
        <v>43</v>
      </c>
      <c r="E1178">
        <v>1161</v>
      </c>
    </row>
    <row r="1179" spans="1:5">
      <c r="A1179">
        <v>9942</v>
      </c>
      <c r="B1179" t="s">
        <v>6098</v>
      </c>
      <c r="C1179">
        <v>15</v>
      </c>
      <c r="D1179">
        <v>57</v>
      </c>
      <c r="E1179">
        <v>1161</v>
      </c>
    </row>
    <row r="1180" spans="1:5">
      <c r="A1180">
        <v>1537</v>
      </c>
      <c r="B1180" t="s">
        <v>4889</v>
      </c>
      <c r="C1180">
        <v>14</v>
      </c>
      <c r="D1180">
        <v>67</v>
      </c>
      <c r="E1180">
        <v>1179</v>
      </c>
    </row>
    <row r="1181" spans="1:5">
      <c r="A1181">
        <v>1558</v>
      </c>
      <c r="B1181" t="s">
        <v>4893</v>
      </c>
      <c r="C1181">
        <v>14</v>
      </c>
      <c r="D1181">
        <v>85</v>
      </c>
      <c r="E1181">
        <v>1179</v>
      </c>
    </row>
    <row r="1182" spans="1:5">
      <c r="A1182">
        <v>1614</v>
      </c>
      <c r="B1182" t="s">
        <v>4920</v>
      </c>
      <c r="C1182">
        <v>14</v>
      </c>
      <c r="D1182">
        <v>18</v>
      </c>
      <c r="E1182">
        <v>1179</v>
      </c>
    </row>
    <row r="1183" spans="1:5">
      <c r="A1183">
        <v>1776</v>
      </c>
      <c r="B1183" t="s">
        <v>4956</v>
      </c>
      <c r="C1183">
        <v>14</v>
      </c>
      <c r="D1183">
        <v>25</v>
      </c>
      <c r="E1183">
        <v>1179</v>
      </c>
    </row>
    <row r="1184" spans="1:5">
      <c r="A1184">
        <v>2024</v>
      </c>
      <c r="B1184" t="s">
        <v>4990</v>
      </c>
      <c r="C1184">
        <v>14</v>
      </c>
      <c r="D1184">
        <v>60</v>
      </c>
      <c r="E1184">
        <v>1179</v>
      </c>
    </row>
    <row r="1185" spans="1:5">
      <c r="A1185">
        <v>2302</v>
      </c>
      <c r="B1185" t="s">
        <v>5035</v>
      </c>
      <c r="C1185">
        <v>14</v>
      </c>
      <c r="D1185">
        <v>30</v>
      </c>
      <c r="E1185">
        <v>1179</v>
      </c>
    </row>
    <row r="1186" spans="1:5">
      <c r="A1186">
        <v>2488</v>
      </c>
      <c r="B1186" t="s">
        <v>5150</v>
      </c>
      <c r="C1186">
        <v>14</v>
      </c>
      <c r="D1186">
        <v>29</v>
      </c>
      <c r="E1186">
        <v>1179</v>
      </c>
    </row>
    <row r="1187" spans="1:5">
      <c r="A1187">
        <v>2911</v>
      </c>
      <c r="B1187" t="s">
        <v>5260</v>
      </c>
      <c r="C1187">
        <v>14</v>
      </c>
      <c r="D1187">
        <v>34</v>
      </c>
      <c r="E1187">
        <v>1179</v>
      </c>
    </row>
    <row r="1188" spans="1:5">
      <c r="A1188">
        <v>3071</v>
      </c>
      <c r="B1188" t="s">
        <v>5315</v>
      </c>
      <c r="C1188">
        <v>14</v>
      </c>
      <c r="D1188">
        <v>56</v>
      </c>
      <c r="E1188">
        <v>1179</v>
      </c>
    </row>
    <row r="1189" spans="1:5">
      <c r="A1189">
        <v>3164</v>
      </c>
      <c r="B1189" t="s">
        <v>5336</v>
      </c>
      <c r="C1189">
        <v>14</v>
      </c>
      <c r="D1189">
        <v>8</v>
      </c>
      <c r="E1189">
        <v>1179</v>
      </c>
    </row>
    <row r="1190" spans="1:5">
      <c r="A1190">
        <v>3266</v>
      </c>
      <c r="B1190" t="s">
        <v>5364</v>
      </c>
      <c r="C1190">
        <v>14</v>
      </c>
      <c r="D1190">
        <v>11</v>
      </c>
      <c r="E1190">
        <v>1179</v>
      </c>
    </row>
    <row r="1191" spans="1:5">
      <c r="A1191">
        <v>3501</v>
      </c>
      <c r="B1191" t="s">
        <v>5427</v>
      </c>
      <c r="C1191">
        <v>14</v>
      </c>
      <c r="D1191">
        <v>43</v>
      </c>
      <c r="E1191">
        <v>1179</v>
      </c>
    </row>
    <row r="1192" spans="1:5">
      <c r="A1192">
        <v>4163</v>
      </c>
      <c r="B1192" t="s">
        <v>5537</v>
      </c>
      <c r="C1192">
        <v>14</v>
      </c>
      <c r="D1192">
        <v>18</v>
      </c>
      <c r="E1192">
        <v>1179</v>
      </c>
    </row>
    <row r="1193" spans="1:5">
      <c r="A1193">
        <v>4766</v>
      </c>
      <c r="B1193" t="s">
        <v>5606</v>
      </c>
      <c r="C1193">
        <v>14</v>
      </c>
      <c r="D1193">
        <v>85</v>
      </c>
      <c r="E1193">
        <v>1179</v>
      </c>
    </row>
    <row r="1194" spans="1:5">
      <c r="A1194">
        <v>4909</v>
      </c>
      <c r="B1194" t="s">
        <v>5612</v>
      </c>
      <c r="C1194">
        <v>14</v>
      </c>
      <c r="D1194">
        <v>35</v>
      </c>
      <c r="E1194">
        <v>1179</v>
      </c>
    </row>
    <row r="1195" spans="1:5">
      <c r="A1195">
        <v>4933</v>
      </c>
      <c r="B1195" t="s">
        <v>5619</v>
      </c>
      <c r="C1195">
        <v>14</v>
      </c>
      <c r="D1195">
        <v>57</v>
      </c>
      <c r="E1195">
        <v>1179</v>
      </c>
    </row>
    <row r="1196" spans="1:5">
      <c r="A1196">
        <v>5465</v>
      </c>
      <c r="B1196" t="s">
        <v>6306</v>
      </c>
      <c r="C1196">
        <v>14</v>
      </c>
      <c r="D1196">
        <v>26</v>
      </c>
      <c r="E1196">
        <v>1179</v>
      </c>
    </row>
    <row r="1197" spans="1:5">
      <c r="A1197">
        <v>6184</v>
      </c>
      <c r="B1197" t="s">
        <v>5796</v>
      </c>
      <c r="C1197">
        <v>14</v>
      </c>
      <c r="D1197">
        <v>22</v>
      </c>
      <c r="E1197">
        <v>1179</v>
      </c>
    </row>
    <row r="1198" spans="1:5">
      <c r="A1198">
        <v>6612</v>
      </c>
      <c r="B1198" t="s">
        <v>5925</v>
      </c>
      <c r="C1198">
        <v>14</v>
      </c>
      <c r="D1198">
        <v>32</v>
      </c>
      <c r="E1198">
        <v>1179</v>
      </c>
    </row>
    <row r="1199" spans="1:5">
      <c r="A1199">
        <v>1339</v>
      </c>
      <c r="B1199" t="s">
        <v>4827</v>
      </c>
      <c r="C1199">
        <v>13</v>
      </c>
      <c r="D1199">
        <v>10</v>
      </c>
      <c r="E1199">
        <v>1198</v>
      </c>
    </row>
    <row r="1200" spans="1:5">
      <c r="A1200">
        <v>1470</v>
      </c>
      <c r="B1200" t="s">
        <v>4862</v>
      </c>
      <c r="C1200">
        <v>13</v>
      </c>
      <c r="D1200">
        <v>2</v>
      </c>
      <c r="E1200">
        <v>1198</v>
      </c>
    </row>
    <row r="1201" spans="1:5">
      <c r="A1201">
        <v>2528</v>
      </c>
      <c r="B1201" t="s">
        <v>5170</v>
      </c>
      <c r="C1201">
        <v>13</v>
      </c>
      <c r="D1201">
        <v>8</v>
      </c>
      <c r="E1201">
        <v>1198</v>
      </c>
    </row>
    <row r="1202" spans="1:5">
      <c r="A1202">
        <v>3002</v>
      </c>
      <c r="B1202" t="s">
        <v>5269</v>
      </c>
      <c r="C1202">
        <v>13</v>
      </c>
      <c r="D1202">
        <v>12</v>
      </c>
      <c r="E1202">
        <v>1198</v>
      </c>
    </row>
    <row r="1203" spans="1:5">
      <c r="A1203">
        <v>3206</v>
      </c>
      <c r="B1203" t="s">
        <v>6253</v>
      </c>
      <c r="C1203">
        <v>13</v>
      </c>
      <c r="D1203">
        <v>35</v>
      </c>
      <c r="E1203">
        <v>1198</v>
      </c>
    </row>
    <row r="1204" spans="1:5">
      <c r="A1204">
        <v>3693</v>
      </c>
      <c r="B1204" t="s">
        <v>5497</v>
      </c>
      <c r="C1204">
        <v>13</v>
      </c>
      <c r="D1204">
        <v>34</v>
      </c>
      <c r="E1204">
        <v>1198</v>
      </c>
    </row>
    <row r="1205" spans="1:5">
      <c r="A1205">
        <v>4207</v>
      </c>
      <c r="B1205" t="s">
        <v>5546</v>
      </c>
      <c r="C1205">
        <v>13</v>
      </c>
      <c r="D1205">
        <v>63</v>
      </c>
      <c r="E1205">
        <v>1198</v>
      </c>
    </row>
    <row r="1206" spans="1:5">
      <c r="A1206">
        <v>5356</v>
      </c>
      <c r="B1206" t="s">
        <v>5683</v>
      </c>
      <c r="C1206">
        <v>13</v>
      </c>
      <c r="D1206">
        <v>76</v>
      </c>
      <c r="E1206">
        <v>1198</v>
      </c>
    </row>
    <row r="1207" spans="1:5">
      <c r="A1207">
        <v>5464</v>
      </c>
      <c r="B1207" t="s">
        <v>5700</v>
      </c>
      <c r="C1207">
        <v>13</v>
      </c>
      <c r="D1207">
        <v>25</v>
      </c>
      <c r="E1207">
        <v>1198</v>
      </c>
    </row>
    <row r="1208" spans="1:5">
      <c r="A1208">
        <v>5903</v>
      </c>
      <c r="B1208" t="s">
        <v>5735</v>
      </c>
      <c r="C1208">
        <v>13</v>
      </c>
      <c r="D1208">
        <v>71</v>
      </c>
      <c r="E1208">
        <v>1198</v>
      </c>
    </row>
    <row r="1209" spans="1:5">
      <c r="A1209">
        <v>6192</v>
      </c>
      <c r="B1209" t="s">
        <v>5804</v>
      </c>
      <c r="C1209">
        <v>13</v>
      </c>
      <c r="D1209">
        <v>75</v>
      </c>
      <c r="E1209">
        <v>1198</v>
      </c>
    </row>
    <row r="1210" spans="1:5">
      <c r="A1210">
        <v>6218</v>
      </c>
      <c r="B1210" t="s">
        <v>5820</v>
      </c>
      <c r="C1210">
        <v>13</v>
      </c>
      <c r="D1210">
        <v>34</v>
      </c>
      <c r="E1210">
        <v>1198</v>
      </c>
    </row>
    <row r="1211" spans="1:5">
      <c r="A1211">
        <v>6246</v>
      </c>
      <c r="B1211" t="s">
        <v>5838</v>
      </c>
      <c r="C1211">
        <v>13</v>
      </c>
      <c r="D1211">
        <v>16</v>
      </c>
      <c r="E1211">
        <v>1198</v>
      </c>
    </row>
    <row r="1212" spans="1:5">
      <c r="A1212">
        <v>6499</v>
      </c>
      <c r="B1212" t="s">
        <v>5893</v>
      </c>
      <c r="C1212">
        <v>13</v>
      </c>
      <c r="D1212">
        <v>28</v>
      </c>
      <c r="E1212">
        <v>1198</v>
      </c>
    </row>
    <row r="1213" spans="1:5">
      <c r="A1213">
        <v>6516</v>
      </c>
      <c r="B1213" t="s">
        <v>5902</v>
      </c>
      <c r="C1213">
        <v>13</v>
      </c>
      <c r="D1213">
        <v>18</v>
      </c>
      <c r="E1213">
        <v>1198</v>
      </c>
    </row>
    <row r="1214" spans="1:5">
      <c r="A1214">
        <v>6790</v>
      </c>
      <c r="B1214" t="s">
        <v>6235</v>
      </c>
      <c r="C1214">
        <v>13</v>
      </c>
      <c r="D1214">
        <v>5</v>
      </c>
      <c r="E1214">
        <v>1198</v>
      </c>
    </row>
    <row r="1215" spans="1:5">
      <c r="A1215">
        <v>1597</v>
      </c>
      <c r="B1215" t="s">
        <v>4910</v>
      </c>
      <c r="C1215">
        <v>12</v>
      </c>
      <c r="D1215">
        <v>79</v>
      </c>
      <c r="E1215">
        <v>1214</v>
      </c>
    </row>
    <row r="1216" spans="1:5">
      <c r="A1216">
        <v>2726</v>
      </c>
      <c r="B1216" t="s">
        <v>5216</v>
      </c>
      <c r="C1216">
        <v>12</v>
      </c>
      <c r="D1216">
        <v>40</v>
      </c>
      <c r="E1216">
        <v>1214</v>
      </c>
    </row>
    <row r="1217" spans="1:5">
      <c r="A1217">
        <v>2816</v>
      </c>
      <c r="B1217" t="s">
        <v>5226</v>
      </c>
      <c r="C1217">
        <v>12</v>
      </c>
      <c r="D1217">
        <v>29</v>
      </c>
      <c r="E1217">
        <v>1214</v>
      </c>
    </row>
    <row r="1218" spans="1:5">
      <c r="A1218">
        <v>3024</v>
      </c>
      <c r="B1218" t="s">
        <v>6185</v>
      </c>
      <c r="C1218">
        <v>12</v>
      </c>
      <c r="D1218">
        <v>24</v>
      </c>
      <c r="E1218">
        <v>1214</v>
      </c>
    </row>
    <row r="1219" spans="1:5">
      <c r="A1219">
        <v>3040</v>
      </c>
      <c r="B1219" t="s">
        <v>5299</v>
      </c>
      <c r="C1219">
        <v>12</v>
      </c>
      <c r="D1219">
        <v>16</v>
      </c>
      <c r="E1219">
        <v>1214</v>
      </c>
    </row>
    <row r="1220" spans="1:5">
      <c r="A1220">
        <v>3379</v>
      </c>
      <c r="B1220" t="s">
        <v>5398</v>
      </c>
      <c r="C1220">
        <v>12</v>
      </c>
      <c r="D1220">
        <v>13</v>
      </c>
      <c r="E1220">
        <v>1214</v>
      </c>
    </row>
    <row r="1221" spans="1:5">
      <c r="A1221">
        <v>3543</v>
      </c>
      <c r="B1221" t="s">
        <v>5445</v>
      </c>
      <c r="C1221">
        <v>12</v>
      </c>
      <c r="D1221">
        <v>21</v>
      </c>
      <c r="E1221">
        <v>1214</v>
      </c>
    </row>
    <row r="1222" spans="1:5">
      <c r="A1222">
        <v>3617</v>
      </c>
      <c r="B1222" t="s">
        <v>5472</v>
      </c>
      <c r="C1222">
        <v>12</v>
      </c>
      <c r="D1222">
        <v>13</v>
      </c>
      <c r="E1222">
        <v>1214</v>
      </c>
    </row>
    <row r="1223" spans="1:5">
      <c r="A1223">
        <v>4426</v>
      </c>
      <c r="B1223" t="s">
        <v>5553</v>
      </c>
      <c r="C1223">
        <v>12</v>
      </c>
      <c r="D1223">
        <v>34</v>
      </c>
      <c r="E1223">
        <v>1214</v>
      </c>
    </row>
    <row r="1224" spans="1:5">
      <c r="A1224">
        <v>5016</v>
      </c>
      <c r="B1224" t="s">
        <v>6155</v>
      </c>
      <c r="C1224">
        <v>12</v>
      </c>
      <c r="D1224">
        <v>32</v>
      </c>
      <c r="E1224">
        <v>1214</v>
      </c>
    </row>
    <row r="1225" spans="1:5">
      <c r="A1225">
        <v>5201</v>
      </c>
      <c r="B1225" t="s">
        <v>6303</v>
      </c>
      <c r="C1225">
        <v>12</v>
      </c>
      <c r="D1225">
        <v>1</v>
      </c>
      <c r="E1225">
        <v>1214</v>
      </c>
    </row>
    <row r="1226" spans="1:5">
      <c r="A1226">
        <v>5353</v>
      </c>
      <c r="B1226" t="s">
        <v>5682</v>
      </c>
      <c r="C1226">
        <v>12</v>
      </c>
      <c r="D1226">
        <v>23</v>
      </c>
      <c r="E1226">
        <v>1214</v>
      </c>
    </row>
    <row r="1227" spans="1:5">
      <c r="A1227">
        <v>5523</v>
      </c>
      <c r="B1227" t="s">
        <v>6322</v>
      </c>
      <c r="C1227">
        <v>12</v>
      </c>
      <c r="D1227">
        <v>28</v>
      </c>
      <c r="E1227">
        <v>1214</v>
      </c>
    </row>
    <row r="1228" spans="1:5">
      <c r="A1228">
        <v>5525</v>
      </c>
      <c r="B1228" t="s">
        <v>5715</v>
      </c>
      <c r="C1228">
        <v>12</v>
      </c>
      <c r="D1228">
        <v>17</v>
      </c>
      <c r="E1228">
        <v>1214</v>
      </c>
    </row>
    <row r="1229" spans="1:5">
      <c r="A1229">
        <v>5907</v>
      </c>
      <c r="B1229" t="s">
        <v>5739</v>
      </c>
      <c r="C1229">
        <v>12</v>
      </c>
      <c r="D1229">
        <v>20</v>
      </c>
      <c r="E1229">
        <v>1214</v>
      </c>
    </row>
    <row r="1230" spans="1:5">
      <c r="A1230">
        <v>6201</v>
      </c>
      <c r="B1230" t="s">
        <v>5807</v>
      </c>
      <c r="C1230">
        <v>12</v>
      </c>
      <c r="D1230">
        <v>25</v>
      </c>
      <c r="E1230">
        <v>1214</v>
      </c>
    </row>
    <row r="1231" spans="1:5">
      <c r="A1231">
        <v>6442</v>
      </c>
      <c r="B1231" t="s">
        <v>5876</v>
      </c>
      <c r="C1231">
        <v>12</v>
      </c>
      <c r="D1231">
        <v>2</v>
      </c>
      <c r="E1231">
        <v>1214</v>
      </c>
    </row>
    <row r="1232" spans="1:5">
      <c r="A1232">
        <v>6464</v>
      </c>
      <c r="B1232" t="s">
        <v>5884</v>
      </c>
      <c r="C1232">
        <v>12</v>
      </c>
      <c r="D1232">
        <v>20</v>
      </c>
      <c r="E1232">
        <v>1214</v>
      </c>
    </row>
    <row r="1233" spans="1:5">
      <c r="A1233">
        <v>6712</v>
      </c>
      <c r="B1233" t="s">
        <v>6429</v>
      </c>
      <c r="C1233">
        <v>12</v>
      </c>
      <c r="D1233">
        <v>20</v>
      </c>
      <c r="E1233">
        <v>1214</v>
      </c>
    </row>
    <row r="1234" spans="1:5">
      <c r="A1234">
        <v>6776</v>
      </c>
      <c r="B1234" t="s">
        <v>5952</v>
      </c>
      <c r="C1234">
        <v>12</v>
      </c>
      <c r="D1234">
        <v>14</v>
      </c>
      <c r="E1234">
        <v>1214</v>
      </c>
    </row>
    <row r="1235" spans="1:5">
      <c r="A1235">
        <v>8043</v>
      </c>
      <c r="B1235" t="s">
        <v>5964</v>
      </c>
      <c r="C1235">
        <v>12</v>
      </c>
      <c r="D1235">
        <v>32</v>
      </c>
      <c r="E1235">
        <v>1214</v>
      </c>
    </row>
    <row r="1236" spans="1:5">
      <c r="A1236">
        <v>8048</v>
      </c>
      <c r="B1236" t="s">
        <v>5967</v>
      </c>
      <c r="C1236">
        <v>12</v>
      </c>
      <c r="D1236">
        <v>24</v>
      </c>
      <c r="E1236">
        <v>1214</v>
      </c>
    </row>
    <row r="1237" spans="1:5">
      <c r="A1237">
        <v>8085</v>
      </c>
      <c r="B1237" t="s">
        <v>6234</v>
      </c>
      <c r="C1237">
        <v>12</v>
      </c>
      <c r="D1237">
        <v>18</v>
      </c>
      <c r="E1237">
        <v>1214</v>
      </c>
    </row>
    <row r="1238" spans="1:5">
      <c r="A1238">
        <v>8234</v>
      </c>
      <c r="B1238" t="s">
        <v>6007</v>
      </c>
      <c r="C1238">
        <v>12</v>
      </c>
      <c r="D1238">
        <v>13</v>
      </c>
      <c r="E1238">
        <v>1214</v>
      </c>
    </row>
    <row r="1239" spans="1:5">
      <c r="A1239">
        <v>9905</v>
      </c>
      <c r="B1239" t="s">
        <v>6073</v>
      </c>
      <c r="C1239">
        <v>12</v>
      </c>
      <c r="D1239">
        <v>36</v>
      </c>
      <c r="E1239">
        <v>1214</v>
      </c>
    </row>
    <row r="1240" spans="1:5">
      <c r="A1240">
        <v>1423</v>
      </c>
      <c r="B1240" t="s">
        <v>4837</v>
      </c>
      <c r="C1240">
        <v>11</v>
      </c>
      <c r="D1240">
        <v>54</v>
      </c>
      <c r="E1240">
        <v>1239</v>
      </c>
    </row>
    <row r="1241" spans="1:5">
      <c r="A1241">
        <v>1725</v>
      </c>
      <c r="B1241" t="s">
        <v>765</v>
      </c>
      <c r="C1241">
        <v>11</v>
      </c>
      <c r="D1241">
        <v>26</v>
      </c>
      <c r="E1241">
        <v>1239</v>
      </c>
    </row>
    <row r="1242" spans="1:5">
      <c r="A1242">
        <v>2916</v>
      </c>
      <c r="B1242" t="s">
        <v>5264</v>
      </c>
      <c r="C1242">
        <v>11</v>
      </c>
      <c r="D1242">
        <v>7</v>
      </c>
      <c r="E1242">
        <v>1239</v>
      </c>
    </row>
    <row r="1243" spans="1:5">
      <c r="A1243">
        <v>2939</v>
      </c>
      <c r="B1243" t="s">
        <v>5268</v>
      </c>
      <c r="C1243">
        <v>11</v>
      </c>
      <c r="D1243">
        <v>37</v>
      </c>
      <c r="E1243">
        <v>1239</v>
      </c>
    </row>
    <row r="1244" spans="1:5">
      <c r="A1244">
        <v>3205</v>
      </c>
      <c r="B1244" t="s">
        <v>5343</v>
      </c>
      <c r="C1244">
        <v>11</v>
      </c>
      <c r="D1244">
        <v>11</v>
      </c>
      <c r="E1244">
        <v>1239</v>
      </c>
    </row>
    <row r="1245" spans="1:5">
      <c r="A1245">
        <v>3622</v>
      </c>
      <c r="B1245" t="s">
        <v>5473</v>
      </c>
      <c r="C1245">
        <v>11</v>
      </c>
      <c r="D1245">
        <v>56</v>
      </c>
      <c r="E1245">
        <v>1239</v>
      </c>
    </row>
    <row r="1246" spans="1:5">
      <c r="A1246">
        <v>4161</v>
      </c>
      <c r="B1246" t="s">
        <v>5535</v>
      </c>
      <c r="C1246">
        <v>11</v>
      </c>
      <c r="D1246">
        <v>22</v>
      </c>
      <c r="E1246">
        <v>1239</v>
      </c>
    </row>
    <row r="1247" spans="1:5">
      <c r="A1247">
        <v>4543</v>
      </c>
      <c r="B1247" t="s">
        <v>5570</v>
      </c>
      <c r="C1247">
        <v>11</v>
      </c>
      <c r="D1247">
        <v>26</v>
      </c>
      <c r="E1247">
        <v>1239</v>
      </c>
    </row>
    <row r="1248" spans="1:5">
      <c r="A1248">
        <v>4572</v>
      </c>
      <c r="B1248" t="s">
        <v>5582</v>
      </c>
      <c r="C1248">
        <v>11</v>
      </c>
      <c r="D1248">
        <v>18</v>
      </c>
      <c r="E1248">
        <v>1239</v>
      </c>
    </row>
    <row r="1249" spans="1:5">
      <c r="A1249">
        <v>4745</v>
      </c>
      <c r="B1249" t="s">
        <v>5600</v>
      </c>
      <c r="C1249">
        <v>11</v>
      </c>
      <c r="D1249">
        <v>13</v>
      </c>
      <c r="E1249">
        <v>1239</v>
      </c>
    </row>
    <row r="1250" spans="1:5">
      <c r="A1250">
        <v>5206</v>
      </c>
      <c r="B1250" t="s">
        <v>5651</v>
      </c>
      <c r="C1250">
        <v>11</v>
      </c>
      <c r="D1250">
        <v>23</v>
      </c>
      <c r="E1250">
        <v>1239</v>
      </c>
    </row>
    <row r="1251" spans="1:5">
      <c r="A1251">
        <v>6155</v>
      </c>
      <c r="B1251" t="s">
        <v>5777</v>
      </c>
      <c r="C1251">
        <v>11</v>
      </c>
      <c r="D1251">
        <v>24</v>
      </c>
      <c r="E1251">
        <v>1239</v>
      </c>
    </row>
    <row r="1252" spans="1:5">
      <c r="A1252">
        <v>6292</v>
      </c>
      <c r="B1252" t="s">
        <v>5862</v>
      </c>
      <c r="C1252">
        <v>11</v>
      </c>
      <c r="D1252">
        <v>11</v>
      </c>
      <c r="E1252">
        <v>1239</v>
      </c>
    </row>
    <row r="1253" spans="1:5">
      <c r="A1253">
        <v>8074</v>
      </c>
      <c r="B1253" t="s">
        <v>5976</v>
      </c>
      <c r="C1253">
        <v>11</v>
      </c>
      <c r="D1253">
        <v>40</v>
      </c>
      <c r="E1253">
        <v>1239</v>
      </c>
    </row>
    <row r="1254" spans="1:5">
      <c r="A1254">
        <v>8109</v>
      </c>
      <c r="B1254" t="s">
        <v>6166</v>
      </c>
      <c r="C1254">
        <v>11</v>
      </c>
      <c r="D1254">
        <v>34</v>
      </c>
      <c r="E1254">
        <v>1239</v>
      </c>
    </row>
    <row r="1255" spans="1:5">
      <c r="A1255">
        <v>8374</v>
      </c>
      <c r="B1255" t="s">
        <v>6020</v>
      </c>
      <c r="C1255">
        <v>11</v>
      </c>
      <c r="D1255">
        <v>19</v>
      </c>
      <c r="E1255">
        <v>1239</v>
      </c>
    </row>
    <row r="1256" spans="1:5">
      <c r="A1256">
        <v>8442</v>
      </c>
      <c r="B1256" t="s">
        <v>6037</v>
      </c>
      <c r="C1256">
        <v>11</v>
      </c>
      <c r="D1256">
        <v>13</v>
      </c>
      <c r="E1256">
        <v>1239</v>
      </c>
    </row>
    <row r="1257" spans="1:5">
      <c r="A1257">
        <v>9918</v>
      </c>
      <c r="B1257" t="s">
        <v>6081</v>
      </c>
      <c r="C1257">
        <v>11</v>
      </c>
      <c r="D1257">
        <v>5</v>
      </c>
      <c r="E1257">
        <v>1239</v>
      </c>
    </row>
    <row r="1258" spans="1:5">
      <c r="A1258">
        <v>9925</v>
      </c>
      <c r="B1258" t="s">
        <v>6085</v>
      </c>
      <c r="C1258">
        <v>11</v>
      </c>
      <c r="D1258">
        <v>17</v>
      </c>
      <c r="E1258">
        <v>1239</v>
      </c>
    </row>
    <row r="1259" spans="1:5">
      <c r="A1259">
        <v>9937</v>
      </c>
      <c r="B1259" t="s">
        <v>6093</v>
      </c>
      <c r="C1259">
        <v>11</v>
      </c>
      <c r="D1259">
        <v>36</v>
      </c>
      <c r="E1259">
        <v>1239</v>
      </c>
    </row>
    <row r="1260" spans="1:5">
      <c r="A1260">
        <v>1437</v>
      </c>
      <c r="B1260" t="s">
        <v>4840</v>
      </c>
      <c r="C1260">
        <v>10</v>
      </c>
      <c r="D1260">
        <v>35</v>
      </c>
      <c r="E1260">
        <v>1259</v>
      </c>
    </row>
    <row r="1261" spans="1:5">
      <c r="A1261">
        <v>1473</v>
      </c>
      <c r="B1261" t="s">
        <v>4863</v>
      </c>
      <c r="C1261">
        <v>10</v>
      </c>
      <c r="D1261">
        <v>16</v>
      </c>
      <c r="E1261">
        <v>1259</v>
      </c>
    </row>
    <row r="1262" spans="1:5">
      <c r="A1262">
        <v>1587</v>
      </c>
      <c r="B1262" t="s">
        <v>4904</v>
      </c>
      <c r="C1262">
        <v>10</v>
      </c>
      <c r="D1262">
        <v>51</v>
      </c>
      <c r="E1262">
        <v>1259</v>
      </c>
    </row>
    <row r="1263" spans="1:5">
      <c r="A1263">
        <v>1617</v>
      </c>
      <c r="B1263" t="s">
        <v>4922</v>
      </c>
      <c r="C1263">
        <v>10</v>
      </c>
      <c r="D1263">
        <v>20</v>
      </c>
      <c r="E1263">
        <v>1259</v>
      </c>
    </row>
    <row r="1264" spans="1:5">
      <c r="A1264">
        <v>1730</v>
      </c>
      <c r="B1264" t="s">
        <v>4943</v>
      </c>
      <c r="C1264">
        <v>10</v>
      </c>
      <c r="D1264">
        <v>23</v>
      </c>
      <c r="E1264">
        <v>1259</v>
      </c>
    </row>
    <row r="1265" spans="1:5">
      <c r="A1265">
        <v>2035</v>
      </c>
      <c r="B1265" t="s">
        <v>4999</v>
      </c>
      <c r="C1265">
        <v>10</v>
      </c>
      <c r="D1265">
        <v>17</v>
      </c>
      <c r="E1265">
        <v>1259</v>
      </c>
    </row>
    <row r="1266" spans="1:5">
      <c r="A1266">
        <v>2702</v>
      </c>
      <c r="B1266" t="s">
        <v>6236</v>
      </c>
      <c r="C1266">
        <v>10</v>
      </c>
      <c r="D1266">
        <v>23</v>
      </c>
      <c r="E1266">
        <v>1259</v>
      </c>
    </row>
    <row r="1267" spans="1:5">
      <c r="A1267">
        <v>2736</v>
      </c>
      <c r="B1267" t="s">
        <v>5220</v>
      </c>
      <c r="C1267">
        <v>10</v>
      </c>
      <c r="D1267">
        <v>15</v>
      </c>
      <c r="E1267">
        <v>1259</v>
      </c>
    </row>
    <row r="1268" spans="1:5">
      <c r="A1268">
        <v>3268</v>
      </c>
      <c r="B1268" t="s">
        <v>5365</v>
      </c>
      <c r="C1268">
        <v>10</v>
      </c>
      <c r="D1268">
        <v>25</v>
      </c>
      <c r="E1268">
        <v>1259</v>
      </c>
    </row>
    <row r="1269" spans="1:5">
      <c r="A1269">
        <v>3432</v>
      </c>
      <c r="B1269" t="s">
        <v>5407</v>
      </c>
      <c r="C1269">
        <v>10</v>
      </c>
      <c r="D1269">
        <v>22</v>
      </c>
      <c r="E1269">
        <v>1259</v>
      </c>
    </row>
    <row r="1270" spans="1:5">
      <c r="A1270">
        <v>3679</v>
      </c>
      <c r="B1270" t="s">
        <v>5491</v>
      </c>
      <c r="C1270">
        <v>10</v>
      </c>
      <c r="D1270">
        <v>39</v>
      </c>
      <c r="E1270">
        <v>1259</v>
      </c>
    </row>
    <row r="1271" spans="1:5">
      <c r="A1271">
        <v>4440</v>
      </c>
      <c r="B1271" t="s">
        <v>6548</v>
      </c>
      <c r="C1271">
        <v>10</v>
      </c>
      <c r="D1271">
        <v>5</v>
      </c>
      <c r="E1271">
        <v>1259</v>
      </c>
    </row>
    <row r="1272" spans="1:5">
      <c r="A1272">
        <v>4533</v>
      </c>
      <c r="B1272" t="s">
        <v>5565</v>
      </c>
      <c r="C1272">
        <v>10</v>
      </c>
      <c r="D1272">
        <v>21</v>
      </c>
      <c r="E1272">
        <v>1259</v>
      </c>
    </row>
    <row r="1273" spans="1:5">
      <c r="A1273">
        <v>5460</v>
      </c>
      <c r="B1273" t="s">
        <v>6254</v>
      </c>
      <c r="C1273">
        <v>10</v>
      </c>
      <c r="D1273">
        <v>4</v>
      </c>
      <c r="E1273">
        <v>1259</v>
      </c>
    </row>
    <row r="1274" spans="1:5">
      <c r="A1274">
        <v>6128</v>
      </c>
      <c r="B1274" t="s">
        <v>5761</v>
      </c>
      <c r="C1274">
        <v>10</v>
      </c>
      <c r="D1274">
        <v>11</v>
      </c>
      <c r="E1274">
        <v>1259</v>
      </c>
    </row>
    <row r="1275" spans="1:5">
      <c r="A1275">
        <v>6151</v>
      </c>
      <c r="B1275" t="s">
        <v>5774</v>
      </c>
      <c r="C1275">
        <v>10</v>
      </c>
      <c r="D1275">
        <v>18</v>
      </c>
      <c r="E1275">
        <v>1259</v>
      </c>
    </row>
    <row r="1276" spans="1:5">
      <c r="A1276">
        <v>6248</v>
      </c>
      <c r="B1276" t="s">
        <v>5839</v>
      </c>
      <c r="C1276">
        <v>10</v>
      </c>
      <c r="D1276">
        <v>31</v>
      </c>
      <c r="E1276">
        <v>1259</v>
      </c>
    </row>
    <row r="1277" spans="1:5">
      <c r="A1277">
        <v>8066</v>
      </c>
      <c r="B1277" t="s">
        <v>6312</v>
      </c>
      <c r="C1277">
        <v>10</v>
      </c>
      <c r="D1277">
        <v>23</v>
      </c>
      <c r="E1277">
        <v>1259</v>
      </c>
    </row>
    <row r="1278" spans="1:5">
      <c r="A1278">
        <v>8284</v>
      </c>
      <c r="B1278" t="s">
        <v>6013</v>
      </c>
      <c r="C1278">
        <v>10</v>
      </c>
      <c r="D1278">
        <v>11</v>
      </c>
      <c r="E1278">
        <v>1259</v>
      </c>
    </row>
    <row r="1279" spans="1:5">
      <c r="A1279">
        <v>8411</v>
      </c>
      <c r="B1279" t="s">
        <v>6026</v>
      </c>
      <c r="C1279">
        <v>10</v>
      </c>
      <c r="D1279">
        <v>9</v>
      </c>
      <c r="E1279">
        <v>1259</v>
      </c>
    </row>
    <row r="1280" spans="1:5">
      <c r="A1280">
        <v>8435</v>
      </c>
      <c r="B1280" t="s">
        <v>6033</v>
      </c>
      <c r="C1280">
        <v>10</v>
      </c>
      <c r="D1280">
        <v>8</v>
      </c>
      <c r="E1280">
        <v>1259</v>
      </c>
    </row>
    <row r="1281" spans="1:5">
      <c r="A1281">
        <v>8477</v>
      </c>
      <c r="B1281" t="s">
        <v>6049</v>
      </c>
      <c r="C1281">
        <v>10</v>
      </c>
      <c r="D1281">
        <v>11</v>
      </c>
      <c r="E1281">
        <v>1259</v>
      </c>
    </row>
    <row r="1282" spans="1:5">
      <c r="A1282">
        <v>1235</v>
      </c>
      <c r="B1282" t="s">
        <v>4799</v>
      </c>
      <c r="C1282">
        <v>9</v>
      </c>
      <c r="D1282">
        <v>5</v>
      </c>
      <c r="E1282">
        <v>1281</v>
      </c>
    </row>
    <row r="1283" spans="1:5">
      <c r="A1283">
        <v>1240</v>
      </c>
      <c r="B1283" t="s">
        <v>4801</v>
      </c>
      <c r="C1283">
        <v>9</v>
      </c>
      <c r="D1283">
        <v>2</v>
      </c>
      <c r="E1283">
        <v>1281</v>
      </c>
    </row>
    <row r="1284" spans="1:5">
      <c r="A1284">
        <v>1465</v>
      </c>
      <c r="B1284" t="s">
        <v>4859</v>
      </c>
      <c r="C1284">
        <v>9</v>
      </c>
      <c r="D1284">
        <v>8</v>
      </c>
      <c r="E1284">
        <v>1281</v>
      </c>
    </row>
    <row r="1285" spans="1:5">
      <c r="A1285">
        <v>1535</v>
      </c>
      <c r="B1285" t="s">
        <v>4887</v>
      </c>
      <c r="C1285">
        <v>9</v>
      </c>
      <c r="D1285">
        <v>14</v>
      </c>
      <c r="E1285">
        <v>1281</v>
      </c>
    </row>
    <row r="1286" spans="1:5">
      <c r="A1286">
        <v>1591</v>
      </c>
      <c r="B1286" t="s">
        <v>4907</v>
      </c>
      <c r="C1286">
        <v>9</v>
      </c>
      <c r="D1286">
        <v>23</v>
      </c>
      <c r="E1286">
        <v>1281</v>
      </c>
    </row>
    <row r="1287" spans="1:5">
      <c r="A1287">
        <v>2115</v>
      </c>
      <c r="B1287" t="s">
        <v>5016</v>
      </c>
      <c r="C1287">
        <v>9</v>
      </c>
      <c r="D1287">
        <v>14</v>
      </c>
      <c r="E1287">
        <v>1281</v>
      </c>
    </row>
    <row r="1288" spans="1:5">
      <c r="A1288">
        <v>2236</v>
      </c>
      <c r="B1288" t="s">
        <v>5028</v>
      </c>
      <c r="C1288">
        <v>9</v>
      </c>
      <c r="D1288">
        <v>24</v>
      </c>
      <c r="E1288">
        <v>1281</v>
      </c>
    </row>
    <row r="1289" spans="1:5">
      <c r="A1289">
        <v>2397</v>
      </c>
      <c r="B1289" t="s">
        <v>5091</v>
      </c>
      <c r="C1289">
        <v>9</v>
      </c>
      <c r="D1289">
        <v>12</v>
      </c>
      <c r="E1289">
        <v>1281</v>
      </c>
    </row>
    <row r="1290" spans="1:5">
      <c r="A1290">
        <v>3022</v>
      </c>
      <c r="B1290" t="s">
        <v>5283</v>
      </c>
      <c r="C1290">
        <v>9</v>
      </c>
      <c r="D1290">
        <v>27</v>
      </c>
      <c r="E1290">
        <v>1281</v>
      </c>
    </row>
    <row r="1291" spans="1:5">
      <c r="A1291">
        <v>3130</v>
      </c>
      <c r="B1291" t="s">
        <v>5329</v>
      </c>
      <c r="C1291">
        <v>9</v>
      </c>
      <c r="D1291">
        <v>53</v>
      </c>
      <c r="E1291">
        <v>1281</v>
      </c>
    </row>
    <row r="1292" spans="1:5">
      <c r="A1292">
        <v>3287</v>
      </c>
      <c r="B1292" t="s">
        <v>6187</v>
      </c>
      <c r="C1292">
        <v>9</v>
      </c>
      <c r="D1292">
        <v>4</v>
      </c>
      <c r="E1292">
        <v>1281</v>
      </c>
    </row>
    <row r="1293" spans="1:5">
      <c r="A1293">
        <v>4566</v>
      </c>
      <c r="B1293" t="s">
        <v>5580</v>
      </c>
      <c r="C1293">
        <v>9</v>
      </c>
      <c r="D1293">
        <v>25</v>
      </c>
      <c r="E1293">
        <v>1281</v>
      </c>
    </row>
    <row r="1294" spans="1:5">
      <c r="A1294">
        <v>5236</v>
      </c>
      <c r="B1294" t="s">
        <v>5659</v>
      </c>
      <c r="C1294">
        <v>9</v>
      </c>
      <c r="D1294">
        <v>29</v>
      </c>
      <c r="E1294">
        <v>1281</v>
      </c>
    </row>
    <row r="1295" spans="1:5">
      <c r="A1295">
        <v>5516</v>
      </c>
      <c r="B1295" t="s">
        <v>6193</v>
      </c>
      <c r="C1295">
        <v>9</v>
      </c>
      <c r="D1295">
        <v>18</v>
      </c>
      <c r="E1295">
        <v>1281</v>
      </c>
    </row>
    <row r="1296" spans="1:5">
      <c r="A1296">
        <v>6183</v>
      </c>
      <c r="B1296" t="s">
        <v>5795</v>
      </c>
      <c r="C1296">
        <v>9</v>
      </c>
      <c r="D1296">
        <v>9</v>
      </c>
      <c r="E1296">
        <v>1281</v>
      </c>
    </row>
    <row r="1297" spans="1:5">
      <c r="A1297">
        <v>1203</v>
      </c>
      <c r="B1297" t="s">
        <v>4784</v>
      </c>
      <c r="C1297">
        <v>8</v>
      </c>
      <c r="D1297">
        <v>8</v>
      </c>
      <c r="E1297">
        <v>1296</v>
      </c>
    </row>
    <row r="1298" spans="1:5">
      <c r="A1298">
        <v>1258</v>
      </c>
      <c r="B1298" t="s">
        <v>4803</v>
      </c>
      <c r="C1298">
        <v>8</v>
      </c>
      <c r="D1298">
        <v>5</v>
      </c>
      <c r="E1298">
        <v>1296</v>
      </c>
    </row>
    <row r="1299" spans="1:5">
      <c r="A1299">
        <v>1595</v>
      </c>
      <c r="B1299" t="s">
        <v>4909</v>
      </c>
      <c r="C1299">
        <v>8</v>
      </c>
      <c r="D1299">
        <v>33</v>
      </c>
      <c r="E1299">
        <v>1296</v>
      </c>
    </row>
    <row r="1300" spans="1:5">
      <c r="A1300">
        <v>2926</v>
      </c>
      <c r="B1300" t="s">
        <v>5265</v>
      </c>
      <c r="C1300">
        <v>8</v>
      </c>
      <c r="D1300">
        <v>9</v>
      </c>
      <c r="E1300">
        <v>1296</v>
      </c>
    </row>
    <row r="1301" spans="1:5">
      <c r="A1301">
        <v>3296</v>
      </c>
      <c r="B1301" t="s">
        <v>5373</v>
      </c>
      <c r="C1301">
        <v>8</v>
      </c>
      <c r="D1301">
        <v>29</v>
      </c>
      <c r="E1301">
        <v>1296</v>
      </c>
    </row>
    <row r="1302" spans="1:5">
      <c r="A1302">
        <v>4528</v>
      </c>
      <c r="B1302" t="s">
        <v>6152</v>
      </c>
      <c r="C1302">
        <v>8</v>
      </c>
      <c r="D1302">
        <v>22</v>
      </c>
      <c r="E1302">
        <v>1296</v>
      </c>
    </row>
    <row r="1303" spans="1:5">
      <c r="A1303">
        <v>4529</v>
      </c>
      <c r="B1303" t="s">
        <v>5563</v>
      </c>
      <c r="C1303">
        <v>8</v>
      </c>
      <c r="D1303">
        <v>22</v>
      </c>
      <c r="E1303">
        <v>1296</v>
      </c>
    </row>
    <row r="1304" spans="1:5">
      <c r="A1304">
        <v>5450</v>
      </c>
      <c r="B1304" t="s">
        <v>5697</v>
      </c>
      <c r="C1304">
        <v>8</v>
      </c>
      <c r="D1304">
        <v>14</v>
      </c>
      <c r="E1304">
        <v>1296</v>
      </c>
    </row>
    <row r="1305" spans="1:5">
      <c r="A1305">
        <v>6133</v>
      </c>
      <c r="B1305" t="s">
        <v>5762</v>
      </c>
      <c r="C1305">
        <v>8</v>
      </c>
      <c r="D1305">
        <v>42</v>
      </c>
      <c r="E1305">
        <v>1296</v>
      </c>
    </row>
    <row r="1306" spans="1:5">
      <c r="A1306">
        <v>6140</v>
      </c>
      <c r="B1306" t="s">
        <v>5767</v>
      </c>
      <c r="C1306">
        <v>8</v>
      </c>
      <c r="D1306">
        <v>25</v>
      </c>
      <c r="E1306">
        <v>1296</v>
      </c>
    </row>
    <row r="1307" spans="1:5">
      <c r="A1307">
        <v>6204</v>
      </c>
      <c r="B1307" t="s">
        <v>6162</v>
      </c>
      <c r="C1307">
        <v>8</v>
      </c>
      <c r="D1307">
        <v>27</v>
      </c>
      <c r="E1307">
        <v>1296</v>
      </c>
    </row>
    <row r="1308" spans="1:5">
      <c r="A1308">
        <v>6240</v>
      </c>
      <c r="B1308" t="s">
        <v>5835</v>
      </c>
      <c r="C1308">
        <v>8</v>
      </c>
      <c r="D1308">
        <v>15</v>
      </c>
      <c r="E1308">
        <v>1296</v>
      </c>
    </row>
    <row r="1309" spans="1:5">
      <c r="A1309">
        <v>6594</v>
      </c>
      <c r="B1309" t="s">
        <v>6197</v>
      </c>
      <c r="C1309">
        <v>8</v>
      </c>
      <c r="D1309">
        <v>8</v>
      </c>
      <c r="E1309">
        <v>1296</v>
      </c>
    </row>
    <row r="1310" spans="1:5">
      <c r="A1310">
        <v>8083</v>
      </c>
      <c r="B1310" t="s">
        <v>6346</v>
      </c>
      <c r="C1310">
        <v>8</v>
      </c>
      <c r="D1310">
        <v>4</v>
      </c>
      <c r="E1310">
        <v>1296</v>
      </c>
    </row>
    <row r="1311" spans="1:5">
      <c r="A1311">
        <v>1234</v>
      </c>
      <c r="B1311" t="s">
        <v>4798</v>
      </c>
      <c r="C1311">
        <v>7</v>
      </c>
      <c r="D1311">
        <v>23</v>
      </c>
      <c r="E1311">
        <v>1310</v>
      </c>
    </row>
    <row r="1312" spans="1:5">
      <c r="A1312">
        <v>1439</v>
      </c>
      <c r="B1312" t="s">
        <v>4842</v>
      </c>
      <c r="C1312">
        <v>7</v>
      </c>
      <c r="D1312">
        <v>8</v>
      </c>
      <c r="E1312">
        <v>1310</v>
      </c>
    </row>
    <row r="1313" spans="1:5">
      <c r="A1313">
        <v>1451</v>
      </c>
      <c r="B1313" t="s">
        <v>4849</v>
      </c>
      <c r="C1313">
        <v>7</v>
      </c>
      <c r="D1313">
        <v>27</v>
      </c>
      <c r="E1313">
        <v>1310</v>
      </c>
    </row>
    <row r="1314" spans="1:5">
      <c r="A1314">
        <v>1530</v>
      </c>
      <c r="B1314" t="s">
        <v>4883</v>
      </c>
      <c r="C1314">
        <v>7</v>
      </c>
      <c r="D1314">
        <v>6</v>
      </c>
      <c r="E1314">
        <v>1310</v>
      </c>
    </row>
    <row r="1315" spans="1:5">
      <c r="A1315">
        <v>1713</v>
      </c>
      <c r="B1315" t="s">
        <v>4933</v>
      </c>
      <c r="C1315">
        <v>7</v>
      </c>
      <c r="D1315">
        <v>27</v>
      </c>
      <c r="E1315">
        <v>1310</v>
      </c>
    </row>
    <row r="1316" spans="1:5">
      <c r="A1316">
        <v>2722</v>
      </c>
      <c r="B1316" t="s">
        <v>5214</v>
      </c>
      <c r="C1316">
        <v>7</v>
      </c>
      <c r="D1316">
        <v>12</v>
      </c>
      <c r="E1316">
        <v>1310</v>
      </c>
    </row>
    <row r="1317" spans="1:5">
      <c r="A1317">
        <v>3004</v>
      </c>
      <c r="B1317" t="s">
        <v>5271</v>
      </c>
      <c r="C1317">
        <v>7</v>
      </c>
      <c r="D1317">
        <v>38</v>
      </c>
      <c r="E1317">
        <v>1310</v>
      </c>
    </row>
    <row r="1318" spans="1:5">
      <c r="A1318">
        <v>4116</v>
      </c>
      <c r="B1318" t="s">
        <v>5518</v>
      </c>
      <c r="C1318">
        <v>7</v>
      </c>
      <c r="D1318">
        <v>8</v>
      </c>
      <c r="E1318">
        <v>1310</v>
      </c>
    </row>
    <row r="1319" spans="1:5">
      <c r="A1319">
        <v>4120</v>
      </c>
      <c r="B1319" t="s">
        <v>5520</v>
      </c>
      <c r="C1319">
        <v>7</v>
      </c>
      <c r="D1319">
        <v>13</v>
      </c>
      <c r="E1319">
        <v>1310</v>
      </c>
    </row>
    <row r="1320" spans="1:5">
      <c r="A1320">
        <v>4205</v>
      </c>
      <c r="B1320" t="s">
        <v>6150</v>
      </c>
      <c r="C1320">
        <v>7</v>
      </c>
      <c r="D1320">
        <v>9</v>
      </c>
      <c r="E1320">
        <v>1310</v>
      </c>
    </row>
    <row r="1321" spans="1:5">
      <c r="A1321">
        <v>4561</v>
      </c>
      <c r="B1321" t="s">
        <v>546</v>
      </c>
      <c r="C1321">
        <v>7</v>
      </c>
      <c r="D1321">
        <v>22</v>
      </c>
      <c r="E1321">
        <v>1310</v>
      </c>
    </row>
    <row r="1322" spans="1:5">
      <c r="A1322">
        <v>6146</v>
      </c>
      <c r="B1322" t="s">
        <v>5770</v>
      </c>
      <c r="C1322">
        <v>7</v>
      </c>
      <c r="D1322">
        <v>84</v>
      </c>
      <c r="E1322">
        <v>1310</v>
      </c>
    </row>
    <row r="1323" spans="1:5">
      <c r="A1323">
        <v>6281</v>
      </c>
      <c r="B1323" t="s">
        <v>5855</v>
      </c>
      <c r="C1323">
        <v>7</v>
      </c>
      <c r="D1323">
        <v>21</v>
      </c>
      <c r="E1323">
        <v>1310</v>
      </c>
    </row>
    <row r="1324" spans="1:5">
      <c r="A1324">
        <v>6671</v>
      </c>
      <c r="B1324" t="s">
        <v>5939</v>
      </c>
      <c r="C1324">
        <v>7</v>
      </c>
      <c r="D1324">
        <v>7</v>
      </c>
      <c r="E1324">
        <v>1310</v>
      </c>
    </row>
    <row r="1325" spans="1:5">
      <c r="A1325">
        <v>8107</v>
      </c>
      <c r="B1325" t="s">
        <v>5989</v>
      </c>
      <c r="C1325">
        <v>7</v>
      </c>
      <c r="D1325">
        <v>20</v>
      </c>
      <c r="E1325">
        <v>1310</v>
      </c>
    </row>
    <row r="1326" spans="1:5">
      <c r="A1326">
        <v>8432</v>
      </c>
      <c r="B1326" t="s">
        <v>6320</v>
      </c>
      <c r="C1326">
        <v>7</v>
      </c>
      <c r="D1326">
        <v>28</v>
      </c>
      <c r="E1326">
        <v>1310</v>
      </c>
    </row>
    <row r="1327" spans="1:5">
      <c r="A1327">
        <v>9911</v>
      </c>
      <c r="B1327" t="s">
        <v>6078</v>
      </c>
      <c r="C1327">
        <v>7</v>
      </c>
      <c r="D1327">
        <v>78</v>
      </c>
      <c r="E1327">
        <v>1310</v>
      </c>
    </row>
    <row r="1328" spans="1:5">
      <c r="A1328">
        <v>1521</v>
      </c>
      <c r="B1328" t="s">
        <v>4875</v>
      </c>
      <c r="C1328">
        <v>6</v>
      </c>
      <c r="D1328">
        <v>3</v>
      </c>
      <c r="E1328">
        <v>1327</v>
      </c>
    </row>
    <row r="1329" spans="1:5">
      <c r="A1329">
        <v>1541</v>
      </c>
      <c r="B1329" t="s">
        <v>4892</v>
      </c>
      <c r="C1329">
        <v>6</v>
      </c>
      <c r="D1329">
        <v>12</v>
      </c>
      <c r="E1329">
        <v>1327</v>
      </c>
    </row>
    <row r="1330" spans="1:5">
      <c r="A1330">
        <v>1615</v>
      </c>
      <c r="B1330" t="s">
        <v>4921</v>
      </c>
      <c r="C1330">
        <v>6</v>
      </c>
      <c r="D1330">
        <v>33</v>
      </c>
      <c r="E1330">
        <v>1327</v>
      </c>
    </row>
    <row r="1331" spans="1:5">
      <c r="A1331">
        <v>2434</v>
      </c>
      <c r="B1331" t="s">
        <v>5115</v>
      </c>
      <c r="C1331">
        <v>6</v>
      </c>
      <c r="D1331">
        <v>3</v>
      </c>
      <c r="E1331">
        <v>1327</v>
      </c>
    </row>
    <row r="1332" spans="1:5">
      <c r="A1332">
        <v>3171</v>
      </c>
      <c r="B1332" t="s">
        <v>6323</v>
      </c>
      <c r="C1332">
        <v>6</v>
      </c>
      <c r="D1332">
        <v>12</v>
      </c>
      <c r="E1332">
        <v>1327</v>
      </c>
    </row>
    <row r="1333" spans="1:5">
      <c r="A1333">
        <v>4807</v>
      </c>
      <c r="B1333" t="s">
        <v>5608</v>
      </c>
      <c r="C1333">
        <v>6</v>
      </c>
      <c r="D1333">
        <v>11</v>
      </c>
      <c r="E1333">
        <v>1327</v>
      </c>
    </row>
    <row r="1334" spans="1:5">
      <c r="A1334">
        <v>4972</v>
      </c>
      <c r="B1334" t="s">
        <v>6217</v>
      </c>
      <c r="C1334">
        <v>6</v>
      </c>
      <c r="D1334">
        <v>12</v>
      </c>
      <c r="E1334">
        <v>1327</v>
      </c>
    </row>
    <row r="1335" spans="1:5">
      <c r="A1335">
        <v>5007</v>
      </c>
      <c r="B1335" t="s">
        <v>5644</v>
      </c>
      <c r="C1335">
        <v>6</v>
      </c>
      <c r="D1335">
        <v>24</v>
      </c>
      <c r="E1335">
        <v>1327</v>
      </c>
    </row>
    <row r="1336" spans="1:5">
      <c r="A1336">
        <v>5493</v>
      </c>
      <c r="B1336" t="s">
        <v>5707</v>
      </c>
      <c r="C1336">
        <v>6</v>
      </c>
      <c r="D1336">
        <v>5</v>
      </c>
      <c r="E1336">
        <v>1327</v>
      </c>
    </row>
    <row r="1337" spans="1:5">
      <c r="A1337">
        <v>6124</v>
      </c>
      <c r="B1337" t="s">
        <v>6325</v>
      </c>
      <c r="C1337">
        <v>6</v>
      </c>
      <c r="D1337">
        <v>1</v>
      </c>
      <c r="E1337">
        <v>1327</v>
      </c>
    </row>
    <row r="1338" spans="1:5">
      <c r="A1338">
        <v>9908</v>
      </c>
      <c r="B1338" t="s">
        <v>6076</v>
      </c>
      <c r="C1338">
        <v>6</v>
      </c>
      <c r="D1338">
        <v>21</v>
      </c>
      <c r="E1338">
        <v>1327</v>
      </c>
    </row>
    <row r="1339" spans="1:5">
      <c r="A1339">
        <v>1525</v>
      </c>
      <c r="B1339" t="s">
        <v>4878</v>
      </c>
      <c r="C1339">
        <v>5</v>
      </c>
      <c r="D1339">
        <v>30</v>
      </c>
      <c r="E1339">
        <v>1338</v>
      </c>
    </row>
    <row r="1340" spans="1:5">
      <c r="A1340">
        <v>1540</v>
      </c>
      <c r="B1340" t="s">
        <v>4891</v>
      </c>
      <c r="C1340">
        <v>5</v>
      </c>
      <c r="D1340">
        <v>19</v>
      </c>
      <c r="E1340">
        <v>1338</v>
      </c>
    </row>
    <row r="1341" spans="1:5">
      <c r="A1341">
        <v>1583</v>
      </c>
      <c r="B1341" t="s">
        <v>4901</v>
      </c>
      <c r="C1341">
        <v>5</v>
      </c>
      <c r="D1341">
        <v>16</v>
      </c>
      <c r="E1341">
        <v>1338</v>
      </c>
    </row>
    <row r="1342" spans="1:5">
      <c r="A1342">
        <v>1817</v>
      </c>
      <c r="B1342" t="s">
        <v>4970</v>
      </c>
      <c r="C1342">
        <v>5</v>
      </c>
      <c r="D1342">
        <v>36</v>
      </c>
      <c r="E1342">
        <v>1338</v>
      </c>
    </row>
    <row r="1343" spans="1:5">
      <c r="A1343">
        <v>2433</v>
      </c>
      <c r="B1343" t="s">
        <v>5114</v>
      </c>
      <c r="C1343">
        <v>5</v>
      </c>
      <c r="D1343">
        <v>17</v>
      </c>
      <c r="E1343">
        <v>1338</v>
      </c>
    </row>
    <row r="1344" spans="1:5">
      <c r="A1344">
        <v>2468</v>
      </c>
      <c r="B1344" t="s">
        <v>5136</v>
      </c>
      <c r="C1344">
        <v>5</v>
      </c>
      <c r="D1344">
        <v>18</v>
      </c>
      <c r="E1344">
        <v>1338</v>
      </c>
    </row>
    <row r="1345" spans="1:5">
      <c r="A1345">
        <v>2712</v>
      </c>
      <c r="B1345" t="s">
        <v>5213</v>
      </c>
      <c r="C1345">
        <v>5</v>
      </c>
      <c r="D1345">
        <v>3</v>
      </c>
      <c r="E1345">
        <v>1338</v>
      </c>
    </row>
    <row r="1346" spans="1:5">
      <c r="A1346">
        <v>4433</v>
      </c>
      <c r="B1346" t="s">
        <v>5555</v>
      </c>
      <c r="C1346">
        <v>5</v>
      </c>
      <c r="D1346">
        <v>6</v>
      </c>
      <c r="E1346">
        <v>1338</v>
      </c>
    </row>
    <row r="1347" spans="1:5">
      <c r="A1347">
        <v>4439</v>
      </c>
      <c r="B1347" t="s">
        <v>5557</v>
      </c>
      <c r="C1347">
        <v>5</v>
      </c>
      <c r="D1347">
        <v>6</v>
      </c>
      <c r="E1347">
        <v>1338</v>
      </c>
    </row>
    <row r="1348" spans="1:5">
      <c r="A1348">
        <v>5251</v>
      </c>
      <c r="B1348" t="s">
        <v>5662</v>
      </c>
      <c r="C1348">
        <v>5</v>
      </c>
      <c r="D1348">
        <v>14</v>
      </c>
      <c r="E1348">
        <v>1338</v>
      </c>
    </row>
    <row r="1349" spans="1:5">
      <c r="A1349">
        <v>5398</v>
      </c>
      <c r="B1349" t="s">
        <v>6157</v>
      </c>
      <c r="C1349">
        <v>5</v>
      </c>
      <c r="D1349">
        <v>5</v>
      </c>
      <c r="E1349">
        <v>1338</v>
      </c>
    </row>
    <row r="1350" spans="1:5">
      <c r="A1350">
        <v>6115</v>
      </c>
      <c r="B1350" t="s">
        <v>5750</v>
      </c>
      <c r="C1350">
        <v>5</v>
      </c>
      <c r="D1350">
        <v>90</v>
      </c>
      <c r="E1350">
        <v>1338</v>
      </c>
    </row>
    <row r="1351" spans="1:5">
      <c r="A1351">
        <v>6496</v>
      </c>
      <c r="B1351" t="s">
        <v>6255</v>
      </c>
      <c r="C1351">
        <v>5</v>
      </c>
      <c r="D1351">
        <v>2</v>
      </c>
      <c r="E1351">
        <v>1338</v>
      </c>
    </row>
    <row r="1352" spans="1:5">
      <c r="A1352">
        <v>6579</v>
      </c>
      <c r="B1352" t="s">
        <v>5916</v>
      </c>
      <c r="C1352">
        <v>5</v>
      </c>
      <c r="D1352">
        <v>13</v>
      </c>
      <c r="E1352">
        <v>1338</v>
      </c>
    </row>
    <row r="1353" spans="1:5">
      <c r="A1353">
        <v>6666</v>
      </c>
      <c r="B1353" t="s">
        <v>5934</v>
      </c>
      <c r="C1353">
        <v>5</v>
      </c>
      <c r="D1353">
        <v>12</v>
      </c>
      <c r="E1353">
        <v>1338</v>
      </c>
    </row>
    <row r="1354" spans="1:5">
      <c r="A1354">
        <v>6754</v>
      </c>
      <c r="B1354" t="s">
        <v>5949</v>
      </c>
      <c r="C1354">
        <v>5</v>
      </c>
      <c r="D1354">
        <v>42</v>
      </c>
      <c r="E1354">
        <v>1338</v>
      </c>
    </row>
    <row r="1355" spans="1:5">
      <c r="A1355">
        <v>8072</v>
      </c>
      <c r="B1355" t="s">
        <v>5975</v>
      </c>
      <c r="C1355">
        <v>5</v>
      </c>
      <c r="D1355">
        <v>11</v>
      </c>
      <c r="E1355">
        <v>1338</v>
      </c>
    </row>
    <row r="1356" spans="1:5">
      <c r="A1356">
        <v>8443</v>
      </c>
      <c r="B1356" t="s">
        <v>6038</v>
      </c>
      <c r="C1356">
        <v>5</v>
      </c>
      <c r="D1356">
        <v>3</v>
      </c>
      <c r="E1356">
        <v>1338</v>
      </c>
    </row>
    <row r="1357" spans="1:5">
      <c r="A1357">
        <v>8480</v>
      </c>
      <c r="B1357" t="s">
        <v>6051</v>
      </c>
      <c r="C1357">
        <v>5</v>
      </c>
      <c r="D1357">
        <v>2</v>
      </c>
      <c r="E1357">
        <v>1338</v>
      </c>
    </row>
    <row r="1358" spans="1:5">
      <c r="A1358">
        <v>8481</v>
      </c>
      <c r="B1358" t="s">
        <v>6052</v>
      </c>
      <c r="C1358">
        <v>5</v>
      </c>
      <c r="D1358">
        <v>31</v>
      </c>
      <c r="E1358">
        <v>1338</v>
      </c>
    </row>
    <row r="1359" spans="1:5">
      <c r="A1359">
        <v>9931</v>
      </c>
      <c r="B1359" t="s">
        <v>6089</v>
      </c>
      <c r="C1359">
        <v>5</v>
      </c>
      <c r="D1359">
        <v>9</v>
      </c>
      <c r="E1359">
        <v>1338</v>
      </c>
    </row>
    <row r="1360" spans="1:5">
      <c r="A1360">
        <v>2496</v>
      </c>
      <c r="B1360" t="s">
        <v>5156</v>
      </c>
      <c r="C1360">
        <v>4</v>
      </c>
      <c r="D1360">
        <v>35</v>
      </c>
      <c r="E1360">
        <v>1359</v>
      </c>
    </row>
    <row r="1361" spans="1:5">
      <c r="A1361">
        <v>2901</v>
      </c>
      <c r="B1361" t="s">
        <v>5253</v>
      </c>
      <c r="C1361">
        <v>4</v>
      </c>
      <c r="D1361">
        <v>14</v>
      </c>
      <c r="E1361">
        <v>1359</v>
      </c>
    </row>
    <row r="1362" spans="1:5">
      <c r="A1362">
        <v>2910</v>
      </c>
      <c r="B1362" t="s">
        <v>5259</v>
      </c>
      <c r="C1362">
        <v>4</v>
      </c>
      <c r="D1362">
        <v>4</v>
      </c>
      <c r="E1362">
        <v>1359</v>
      </c>
    </row>
    <row r="1363" spans="1:5">
      <c r="A1363">
        <v>3252</v>
      </c>
      <c r="B1363" t="s">
        <v>5359</v>
      </c>
      <c r="C1363">
        <v>4</v>
      </c>
      <c r="D1363">
        <v>18</v>
      </c>
      <c r="E1363">
        <v>1359</v>
      </c>
    </row>
    <row r="1364" spans="1:5">
      <c r="A1364">
        <v>4111</v>
      </c>
      <c r="B1364" t="s">
        <v>6149</v>
      </c>
      <c r="C1364">
        <v>4</v>
      </c>
      <c r="D1364">
        <v>8</v>
      </c>
      <c r="E1364">
        <v>1359</v>
      </c>
    </row>
    <row r="1365" spans="1:5">
      <c r="A1365">
        <v>4706</v>
      </c>
      <c r="B1365" t="s">
        <v>6347</v>
      </c>
      <c r="C1365">
        <v>4</v>
      </c>
      <c r="D1365">
        <v>5</v>
      </c>
      <c r="E1365">
        <v>1359</v>
      </c>
    </row>
    <row r="1366" spans="1:5">
      <c r="A1366">
        <v>5511</v>
      </c>
      <c r="B1366" t="s">
        <v>6159</v>
      </c>
      <c r="C1366">
        <v>4</v>
      </c>
      <c r="D1366">
        <v>8</v>
      </c>
      <c r="E1366">
        <v>1359</v>
      </c>
    </row>
    <row r="1367" spans="1:5">
      <c r="A1367">
        <v>6020</v>
      </c>
      <c r="B1367" t="s">
        <v>6194</v>
      </c>
      <c r="C1367">
        <v>4</v>
      </c>
      <c r="D1367">
        <v>30</v>
      </c>
      <c r="E1367">
        <v>1359</v>
      </c>
    </row>
    <row r="1368" spans="1:5">
      <c r="A1368">
        <v>1268</v>
      </c>
      <c r="B1368" t="s">
        <v>6353</v>
      </c>
      <c r="C1368">
        <v>3</v>
      </c>
      <c r="D1368">
        <v>3</v>
      </c>
      <c r="E1368">
        <v>1367</v>
      </c>
    </row>
    <row r="1369" spans="1:5">
      <c r="A1369">
        <v>1726</v>
      </c>
      <c r="B1369" t="s">
        <v>4941</v>
      </c>
      <c r="C1369">
        <v>3</v>
      </c>
      <c r="D1369">
        <v>63</v>
      </c>
      <c r="E1369">
        <v>1367</v>
      </c>
    </row>
    <row r="1370" spans="1:5">
      <c r="A1370">
        <v>1735</v>
      </c>
      <c r="B1370" t="s">
        <v>4948</v>
      </c>
      <c r="C1370">
        <v>3</v>
      </c>
      <c r="D1370">
        <v>3</v>
      </c>
      <c r="E1370">
        <v>1367</v>
      </c>
    </row>
    <row r="1371" spans="1:5">
      <c r="A1371">
        <v>1786</v>
      </c>
      <c r="B1371" t="s">
        <v>4960</v>
      </c>
      <c r="C1371">
        <v>3</v>
      </c>
      <c r="D1371">
        <v>9</v>
      </c>
      <c r="E1371">
        <v>1367</v>
      </c>
    </row>
    <row r="1372" spans="1:5">
      <c r="A1372">
        <v>3284</v>
      </c>
      <c r="B1372" t="s">
        <v>5368</v>
      </c>
      <c r="C1372">
        <v>3</v>
      </c>
      <c r="D1372">
        <v>11</v>
      </c>
      <c r="E1372">
        <v>1367</v>
      </c>
    </row>
    <row r="1373" spans="1:5">
      <c r="A1373">
        <v>3516</v>
      </c>
      <c r="B1373" t="s">
        <v>6238</v>
      </c>
      <c r="C1373">
        <v>3</v>
      </c>
      <c r="D1373">
        <v>18</v>
      </c>
      <c r="E1373">
        <v>1367</v>
      </c>
    </row>
    <row r="1374" spans="1:5">
      <c r="A1374">
        <v>3528</v>
      </c>
      <c r="B1374" t="s">
        <v>5436</v>
      </c>
      <c r="C1374">
        <v>3</v>
      </c>
      <c r="D1374">
        <v>17</v>
      </c>
      <c r="E1374">
        <v>1367</v>
      </c>
    </row>
    <row r="1375" spans="1:5">
      <c r="A1375">
        <v>4557</v>
      </c>
      <c r="B1375" t="s">
        <v>5576</v>
      </c>
      <c r="C1375">
        <v>3</v>
      </c>
      <c r="D1375">
        <v>8</v>
      </c>
      <c r="E1375">
        <v>1367</v>
      </c>
    </row>
    <row r="1376" spans="1:5">
      <c r="A1376">
        <v>4563</v>
      </c>
      <c r="B1376" t="s">
        <v>6190</v>
      </c>
      <c r="C1376">
        <v>3</v>
      </c>
      <c r="D1376">
        <v>1</v>
      </c>
      <c r="E1376">
        <v>1367</v>
      </c>
    </row>
    <row r="1377" spans="1:5">
      <c r="A1377">
        <v>4568</v>
      </c>
      <c r="B1377" t="s">
        <v>6153</v>
      </c>
      <c r="C1377">
        <v>3</v>
      </c>
      <c r="D1377">
        <v>2</v>
      </c>
      <c r="E1377">
        <v>1367</v>
      </c>
    </row>
    <row r="1378" spans="1:5">
      <c r="A1378">
        <v>5212</v>
      </c>
      <c r="B1378" t="s">
        <v>6336</v>
      </c>
      <c r="C1378">
        <v>3</v>
      </c>
      <c r="D1378">
        <v>1</v>
      </c>
      <c r="E1378">
        <v>1367</v>
      </c>
    </row>
    <row r="1379" spans="1:5">
      <c r="A1379">
        <v>5432</v>
      </c>
      <c r="B1379" t="s">
        <v>5692</v>
      </c>
      <c r="C1379">
        <v>3</v>
      </c>
      <c r="D1379">
        <v>5</v>
      </c>
      <c r="E1379">
        <v>1367</v>
      </c>
    </row>
    <row r="1380" spans="1:5">
      <c r="A1380">
        <v>6596</v>
      </c>
      <c r="B1380" t="s">
        <v>6256</v>
      </c>
      <c r="C1380">
        <v>3</v>
      </c>
      <c r="D1380">
        <v>7</v>
      </c>
      <c r="E1380">
        <v>1367</v>
      </c>
    </row>
    <row r="1381" spans="1:5">
      <c r="A1381">
        <v>6641</v>
      </c>
      <c r="B1381" t="s">
        <v>5928</v>
      </c>
      <c r="C1381">
        <v>3</v>
      </c>
      <c r="D1381">
        <v>7</v>
      </c>
      <c r="E1381">
        <v>1367</v>
      </c>
    </row>
    <row r="1382" spans="1:5">
      <c r="A1382">
        <v>8433</v>
      </c>
      <c r="B1382" t="s">
        <v>6032</v>
      </c>
      <c r="C1382">
        <v>3</v>
      </c>
      <c r="D1382">
        <v>16</v>
      </c>
      <c r="E1382">
        <v>1367</v>
      </c>
    </row>
    <row r="1383" spans="1:5">
      <c r="A1383">
        <v>8482</v>
      </c>
      <c r="B1383" t="s">
        <v>6053</v>
      </c>
      <c r="C1383">
        <v>3</v>
      </c>
      <c r="D1383">
        <v>21</v>
      </c>
      <c r="E1383">
        <v>1367</v>
      </c>
    </row>
    <row r="1384" spans="1:5">
      <c r="A1384">
        <v>1233</v>
      </c>
      <c r="B1384" t="s">
        <v>4797</v>
      </c>
      <c r="C1384">
        <v>2</v>
      </c>
      <c r="D1384">
        <v>5</v>
      </c>
      <c r="E1384">
        <v>1383</v>
      </c>
    </row>
    <row r="1385" spans="1:5">
      <c r="A1385">
        <v>1264</v>
      </c>
      <c r="B1385" t="s">
        <v>4804</v>
      </c>
      <c r="C1385">
        <v>2</v>
      </c>
      <c r="D1385">
        <v>30</v>
      </c>
      <c r="E1385">
        <v>1383</v>
      </c>
    </row>
    <row r="1386" spans="1:5">
      <c r="A1386">
        <v>1410</v>
      </c>
      <c r="B1386" t="s">
        <v>4832</v>
      </c>
      <c r="C1386">
        <v>2</v>
      </c>
      <c r="D1386">
        <v>7</v>
      </c>
      <c r="E1386">
        <v>1383</v>
      </c>
    </row>
    <row r="1387" spans="1:5">
      <c r="A1387">
        <v>1813</v>
      </c>
      <c r="B1387" t="s">
        <v>6324</v>
      </c>
      <c r="C1387">
        <v>2</v>
      </c>
      <c r="D1387">
        <v>5</v>
      </c>
      <c r="E1387">
        <v>1383</v>
      </c>
    </row>
    <row r="1388" spans="1:5">
      <c r="A1388">
        <v>2904</v>
      </c>
      <c r="B1388" t="s">
        <v>5255</v>
      </c>
      <c r="C1388">
        <v>2</v>
      </c>
      <c r="D1388">
        <v>4</v>
      </c>
      <c r="E1388">
        <v>1383</v>
      </c>
    </row>
    <row r="1389" spans="1:5">
      <c r="A1389">
        <v>3118</v>
      </c>
      <c r="B1389" t="s">
        <v>5326</v>
      </c>
      <c r="C1389">
        <v>2</v>
      </c>
      <c r="D1389">
        <v>13</v>
      </c>
      <c r="E1389">
        <v>1383</v>
      </c>
    </row>
    <row r="1390" spans="1:5">
      <c r="A1390">
        <v>5283</v>
      </c>
      <c r="B1390" t="s">
        <v>5668</v>
      </c>
      <c r="C1390">
        <v>2</v>
      </c>
      <c r="D1390">
        <v>30</v>
      </c>
      <c r="E1390">
        <v>1383</v>
      </c>
    </row>
    <row r="1391" spans="1:5">
      <c r="A1391">
        <v>5312</v>
      </c>
      <c r="B1391" t="s">
        <v>5676</v>
      </c>
      <c r="C1391">
        <v>2</v>
      </c>
      <c r="D1391">
        <v>59</v>
      </c>
      <c r="E1391">
        <v>1383</v>
      </c>
    </row>
    <row r="1392" spans="1:5">
      <c r="A1392">
        <v>6117</v>
      </c>
      <c r="B1392" t="s">
        <v>5752</v>
      </c>
      <c r="C1392">
        <v>2</v>
      </c>
      <c r="D1392">
        <v>4</v>
      </c>
      <c r="E1392">
        <v>1383</v>
      </c>
    </row>
    <row r="1393" spans="1:5">
      <c r="A1393">
        <v>6570</v>
      </c>
      <c r="B1393" t="s">
        <v>5913</v>
      </c>
      <c r="C1393">
        <v>2</v>
      </c>
      <c r="D1393">
        <v>17</v>
      </c>
      <c r="E1393">
        <v>1383</v>
      </c>
    </row>
    <row r="1394" spans="1:5">
      <c r="A1394">
        <v>6625</v>
      </c>
      <c r="B1394" t="s">
        <v>5927</v>
      </c>
      <c r="C1394">
        <v>2</v>
      </c>
      <c r="D1394">
        <v>8</v>
      </c>
      <c r="E1394">
        <v>1383</v>
      </c>
    </row>
    <row r="1395" spans="1:5">
      <c r="A1395">
        <v>8467</v>
      </c>
      <c r="B1395" t="s">
        <v>6047</v>
      </c>
      <c r="C1395">
        <v>2</v>
      </c>
      <c r="D1395">
        <v>2</v>
      </c>
      <c r="E1395">
        <v>1383</v>
      </c>
    </row>
    <row r="1396" spans="1:5">
      <c r="A1396">
        <v>8908</v>
      </c>
      <c r="B1396" t="s">
        <v>6058</v>
      </c>
      <c r="C1396">
        <v>2</v>
      </c>
      <c r="D1396">
        <v>3</v>
      </c>
      <c r="E1396">
        <v>1383</v>
      </c>
    </row>
    <row r="1397" spans="1:5">
      <c r="A1397">
        <v>9926</v>
      </c>
      <c r="B1397" t="s">
        <v>6086</v>
      </c>
      <c r="C1397">
        <v>2</v>
      </c>
      <c r="D1397">
        <v>2</v>
      </c>
      <c r="E1397">
        <v>1383</v>
      </c>
    </row>
    <row r="1398" spans="1:5">
      <c r="A1398">
        <v>1324</v>
      </c>
      <c r="B1398" t="s">
        <v>4821</v>
      </c>
      <c r="C1398">
        <v>1</v>
      </c>
      <c r="D1398">
        <v>6</v>
      </c>
      <c r="E1398">
        <v>1397</v>
      </c>
    </row>
    <row r="1399" spans="1:5">
      <c r="A1399">
        <v>2066</v>
      </c>
      <c r="B1399" t="s">
        <v>6202</v>
      </c>
      <c r="C1399">
        <v>1</v>
      </c>
      <c r="D1399">
        <v>5</v>
      </c>
      <c r="E1399">
        <v>1397</v>
      </c>
    </row>
    <row r="1400" spans="1:5">
      <c r="A1400">
        <v>2440</v>
      </c>
      <c r="B1400" t="s">
        <v>6183</v>
      </c>
      <c r="C1400">
        <v>1</v>
      </c>
      <c r="D1400">
        <v>7</v>
      </c>
      <c r="E1400">
        <v>1397</v>
      </c>
    </row>
    <row r="1401" spans="1:5">
      <c r="A1401">
        <v>4429</v>
      </c>
      <c r="B1401" t="s">
        <v>6339</v>
      </c>
      <c r="C1401">
        <v>1</v>
      </c>
      <c r="D1401">
        <v>3</v>
      </c>
      <c r="E1401">
        <v>1397</v>
      </c>
    </row>
    <row r="1402" spans="1:5">
      <c r="A1402">
        <v>4506</v>
      </c>
      <c r="B1402" t="s">
        <v>5559</v>
      </c>
      <c r="C1402">
        <v>1</v>
      </c>
      <c r="D1402">
        <v>85</v>
      </c>
      <c r="E1402">
        <v>1397</v>
      </c>
    </row>
    <row r="1403" spans="1:5">
      <c r="A1403">
        <v>4527</v>
      </c>
      <c r="B1403" t="s">
        <v>6151</v>
      </c>
      <c r="C1403">
        <v>1</v>
      </c>
      <c r="D1403">
        <v>4</v>
      </c>
      <c r="E1403">
        <v>1397</v>
      </c>
    </row>
    <row r="1404" spans="1:5">
      <c r="A1404">
        <v>4995</v>
      </c>
      <c r="B1404" t="s">
        <v>6203</v>
      </c>
      <c r="C1404">
        <v>1</v>
      </c>
      <c r="D1404">
        <v>3</v>
      </c>
      <c r="E1404">
        <v>1397</v>
      </c>
    </row>
    <row r="1405" spans="1:5">
      <c r="A1405">
        <v>5284</v>
      </c>
      <c r="B1405" t="s">
        <v>5669</v>
      </c>
      <c r="C1405">
        <v>1</v>
      </c>
      <c r="D1405">
        <v>22</v>
      </c>
      <c r="E1405">
        <v>1397</v>
      </c>
    </row>
    <row r="1406" spans="1:5">
      <c r="A1406">
        <v>6674</v>
      </c>
      <c r="B1406" t="s">
        <v>5941</v>
      </c>
      <c r="C1406">
        <v>1</v>
      </c>
      <c r="D1406">
        <v>5</v>
      </c>
      <c r="E1406">
        <v>1397</v>
      </c>
    </row>
    <row r="1407" spans="1:5">
      <c r="A1407">
        <v>8488</v>
      </c>
      <c r="B1407" t="s">
        <v>6054</v>
      </c>
      <c r="C1407">
        <v>1</v>
      </c>
      <c r="D1407">
        <v>30</v>
      </c>
      <c r="E1407">
        <v>1397</v>
      </c>
    </row>
    <row r="1408" spans="1:5">
      <c r="A1408">
        <v>8929</v>
      </c>
      <c r="B1408" t="s">
        <v>6064</v>
      </c>
      <c r="C1408">
        <v>1</v>
      </c>
      <c r="D1408">
        <v>5</v>
      </c>
      <c r="E1408">
        <v>1397</v>
      </c>
    </row>
    <row r="1409" spans="1:5">
      <c r="A1409">
        <v>4535</v>
      </c>
      <c r="B1409" t="s">
        <v>6364</v>
      </c>
      <c r="C1409">
        <v>0</v>
      </c>
      <c r="D1409">
        <v>0</v>
      </c>
      <c r="E1409">
        <v>1408</v>
      </c>
    </row>
    <row r="1410" spans="1:5">
      <c r="A1410">
        <v>4581</v>
      </c>
      <c r="B1410" t="s">
        <v>5585</v>
      </c>
      <c r="C1410">
        <v>0</v>
      </c>
      <c r="D1410">
        <v>2</v>
      </c>
      <c r="E1410">
        <v>1408</v>
      </c>
    </row>
    <row r="1411" spans="1:5">
      <c r="A1411">
        <v>4747</v>
      </c>
      <c r="B1411" t="s">
        <v>6334</v>
      </c>
      <c r="C1411">
        <v>0</v>
      </c>
      <c r="D1411">
        <v>0</v>
      </c>
      <c r="E1411">
        <v>1408</v>
      </c>
    </row>
    <row r="1412" spans="1:5">
      <c r="A1412">
        <v>5520</v>
      </c>
      <c r="B1412" t="s">
        <v>6361</v>
      </c>
      <c r="C1412">
        <v>0</v>
      </c>
      <c r="D1412">
        <v>3</v>
      </c>
      <c r="E1412">
        <v>1408</v>
      </c>
    </row>
    <row r="1413" spans="1:5">
      <c r="A1413">
        <v>5906</v>
      </c>
      <c r="B1413" t="s">
        <v>5738</v>
      </c>
      <c r="C1413">
        <v>0</v>
      </c>
      <c r="D1413">
        <v>3</v>
      </c>
      <c r="E1413">
        <v>1408</v>
      </c>
    </row>
    <row r="1414" spans="1:5">
      <c r="A1414">
        <v>8342</v>
      </c>
      <c r="B1414" t="s">
        <v>6239</v>
      </c>
      <c r="C1414">
        <v>0</v>
      </c>
      <c r="D1414">
        <v>0</v>
      </c>
      <c r="E1414">
        <v>1408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進出">
                <anchor moveWithCells="1" sizeWithCells="1">
                  <from>
                    <xdr:col>6</xdr:col>
                    <xdr:colOff>15240</xdr:colOff>
                    <xdr:row>1</xdr:row>
                    <xdr:rowOff>7620</xdr:rowOff>
                  </from>
                  <to>
                    <xdr:col>8</xdr:col>
                    <xdr:colOff>251460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>
    <tabColor rgb="FF92D050"/>
  </sheetPr>
  <dimension ref="A1:J1476"/>
  <sheetViews>
    <sheetView workbookViewId="0"/>
  </sheetViews>
  <sheetFormatPr defaultRowHeight="15"/>
  <cols>
    <col min="1" max="1" width="5.625" customWidth="1"/>
    <col min="3" max="6" width="7.125" style="373" customWidth="1"/>
    <col min="7" max="10" width="6.625" style="373" customWidth="1"/>
  </cols>
  <sheetData>
    <row r="1" spans="1:10" s="245" customFormat="1">
      <c r="A1" s="257" t="s">
        <v>6107</v>
      </c>
      <c r="B1" s="245" t="s">
        <v>6108</v>
      </c>
      <c r="C1" s="363" t="s">
        <v>6290</v>
      </c>
      <c r="D1" s="363" t="s">
        <v>6291</v>
      </c>
      <c r="E1" s="363" t="s">
        <v>6292</v>
      </c>
      <c r="F1" s="363" t="s">
        <v>6282</v>
      </c>
      <c r="G1" s="363" t="s">
        <v>6293</v>
      </c>
      <c r="H1" s="363" t="s">
        <v>6294</v>
      </c>
      <c r="I1" s="363" t="s">
        <v>6295</v>
      </c>
      <c r="J1" s="363" t="s">
        <v>6296</v>
      </c>
    </row>
    <row r="2" spans="1:10">
      <c r="A2">
        <v>3252</v>
      </c>
      <c r="B2" t="s">
        <v>5359</v>
      </c>
      <c r="C2">
        <v>92.87</v>
      </c>
      <c r="D2">
        <v>7.51</v>
      </c>
      <c r="E2">
        <v>0.01</v>
      </c>
      <c r="F2">
        <v>0</v>
      </c>
      <c r="G2">
        <v>1</v>
      </c>
      <c r="H2">
        <v>600</v>
      </c>
      <c r="I2">
        <v>1110</v>
      </c>
      <c r="J2" t="s">
        <v>6289</v>
      </c>
    </row>
    <row r="3" spans="1:10">
      <c r="A3">
        <v>8097</v>
      </c>
      <c r="B3" t="s">
        <v>5984</v>
      </c>
      <c r="C3">
        <v>80.72</v>
      </c>
      <c r="D3">
        <v>5.85</v>
      </c>
      <c r="E3">
        <v>7.0000000000000007E-2</v>
      </c>
      <c r="F3">
        <v>0</v>
      </c>
      <c r="G3">
        <v>2</v>
      </c>
      <c r="H3">
        <v>711</v>
      </c>
      <c r="I3">
        <v>824</v>
      </c>
      <c r="J3" t="s">
        <v>6289</v>
      </c>
    </row>
    <row r="4" spans="1:10">
      <c r="A4">
        <v>4931</v>
      </c>
      <c r="B4" t="s">
        <v>5618</v>
      </c>
      <c r="C4">
        <v>66.790000000000006</v>
      </c>
      <c r="D4">
        <v>35.61</v>
      </c>
      <c r="E4">
        <v>0.18</v>
      </c>
      <c r="F4">
        <v>0.19</v>
      </c>
      <c r="G4">
        <v>3</v>
      </c>
      <c r="H4">
        <v>140</v>
      </c>
      <c r="I4">
        <v>586</v>
      </c>
      <c r="J4">
        <v>332</v>
      </c>
    </row>
    <row r="5" spans="1:10">
      <c r="A5">
        <v>3516</v>
      </c>
      <c r="B5" t="s">
        <v>6238</v>
      </c>
      <c r="C5">
        <v>66.739999999999995</v>
      </c>
      <c r="D5">
        <v>0.41</v>
      </c>
      <c r="E5">
        <v>0</v>
      </c>
      <c r="F5">
        <v>0</v>
      </c>
      <c r="G5">
        <v>4</v>
      </c>
      <c r="H5">
        <v>1351</v>
      </c>
      <c r="I5" t="s">
        <v>6289</v>
      </c>
      <c r="J5" t="s">
        <v>6289</v>
      </c>
    </row>
    <row r="6" spans="1:10">
      <c r="A6">
        <v>3232</v>
      </c>
      <c r="B6" t="s">
        <v>5356</v>
      </c>
      <c r="C6">
        <v>64.22</v>
      </c>
      <c r="D6">
        <v>6.19</v>
      </c>
      <c r="E6">
        <v>0.03</v>
      </c>
      <c r="F6">
        <v>0</v>
      </c>
      <c r="G6">
        <v>5</v>
      </c>
      <c r="H6">
        <v>691</v>
      </c>
      <c r="I6">
        <v>978</v>
      </c>
      <c r="J6" t="s">
        <v>6289</v>
      </c>
    </row>
    <row r="7" spans="1:10">
      <c r="A7">
        <v>6470</v>
      </c>
      <c r="B7" t="s">
        <v>6164</v>
      </c>
      <c r="C7">
        <v>64.16</v>
      </c>
      <c r="D7">
        <v>8.23</v>
      </c>
      <c r="E7">
        <v>0.03</v>
      </c>
      <c r="F7">
        <v>2.0299999999999998</v>
      </c>
      <c r="G7">
        <v>6</v>
      </c>
      <c r="H7">
        <v>577</v>
      </c>
      <c r="I7">
        <v>978</v>
      </c>
      <c r="J7">
        <v>130</v>
      </c>
    </row>
    <row r="8" spans="1:10">
      <c r="A8">
        <v>3609</v>
      </c>
      <c r="B8" t="s">
        <v>5469</v>
      </c>
      <c r="C8">
        <v>64.040000000000006</v>
      </c>
      <c r="D8">
        <v>0.51</v>
      </c>
      <c r="E8">
        <v>0.03</v>
      </c>
      <c r="F8">
        <v>0</v>
      </c>
      <c r="G8">
        <v>7</v>
      </c>
      <c r="H8">
        <v>1318</v>
      </c>
      <c r="I8">
        <v>978</v>
      </c>
      <c r="J8" t="s">
        <v>6289</v>
      </c>
    </row>
    <row r="9" spans="1:10">
      <c r="A9">
        <v>6217</v>
      </c>
      <c r="B9" t="s">
        <v>5819</v>
      </c>
      <c r="C9">
        <v>62.42</v>
      </c>
      <c r="D9">
        <v>1.58</v>
      </c>
      <c r="E9">
        <v>1.59</v>
      </c>
      <c r="F9">
        <v>5.67</v>
      </c>
      <c r="G9">
        <v>8</v>
      </c>
      <c r="H9">
        <v>1094</v>
      </c>
      <c r="I9">
        <v>100</v>
      </c>
      <c r="J9">
        <v>44</v>
      </c>
    </row>
    <row r="10" spans="1:10">
      <c r="A10">
        <v>8171</v>
      </c>
      <c r="B10" t="s">
        <v>5999</v>
      </c>
      <c r="C10">
        <v>61.75</v>
      </c>
      <c r="D10">
        <v>0.53</v>
      </c>
      <c r="E10">
        <v>0</v>
      </c>
      <c r="F10">
        <v>0.89</v>
      </c>
      <c r="G10">
        <v>9</v>
      </c>
      <c r="H10">
        <v>1311</v>
      </c>
      <c r="I10" t="s">
        <v>6289</v>
      </c>
      <c r="J10">
        <v>198</v>
      </c>
    </row>
    <row r="11" spans="1:10">
      <c r="A11">
        <v>1586</v>
      </c>
      <c r="B11" t="s">
        <v>4903</v>
      </c>
      <c r="C11">
        <v>61.73</v>
      </c>
      <c r="D11">
        <v>1.6</v>
      </c>
      <c r="E11">
        <v>0.32</v>
      </c>
      <c r="F11">
        <v>0</v>
      </c>
      <c r="G11">
        <v>10</v>
      </c>
      <c r="H11">
        <v>1091</v>
      </c>
      <c r="I11">
        <v>447</v>
      </c>
      <c r="J11" t="s">
        <v>6289</v>
      </c>
    </row>
    <row r="12" spans="1:10">
      <c r="A12">
        <v>3483</v>
      </c>
      <c r="B12" t="s">
        <v>5420</v>
      </c>
      <c r="C12">
        <v>59.15</v>
      </c>
      <c r="D12">
        <v>1.18</v>
      </c>
      <c r="E12">
        <v>0.18</v>
      </c>
      <c r="F12">
        <v>0.42</v>
      </c>
      <c r="G12">
        <v>11</v>
      </c>
      <c r="H12">
        <v>1173</v>
      </c>
      <c r="I12">
        <v>586</v>
      </c>
      <c r="J12">
        <v>272</v>
      </c>
    </row>
    <row r="13" spans="1:10">
      <c r="A13">
        <v>3290</v>
      </c>
      <c r="B13" t="s">
        <v>5370</v>
      </c>
      <c r="C13">
        <v>58.18</v>
      </c>
      <c r="D13">
        <v>2.79</v>
      </c>
      <c r="E13">
        <v>0</v>
      </c>
      <c r="F13">
        <v>0</v>
      </c>
      <c r="G13">
        <v>12</v>
      </c>
      <c r="H13">
        <v>937</v>
      </c>
      <c r="I13" t="s">
        <v>6289</v>
      </c>
      <c r="J13" t="s">
        <v>6289</v>
      </c>
    </row>
    <row r="14" spans="1:10">
      <c r="A14">
        <v>5291</v>
      </c>
      <c r="B14" t="s">
        <v>5674</v>
      </c>
      <c r="C14">
        <v>57.47</v>
      </c>
      <c r="D14">
        <v>2.12</v>
      </c>
      <c r="E14">
        <v>0.01</v>
      </c>
      <c r="F14">
        <v>0</v>
      </c>
      <c r="G14">
        <v>13</v>
      </c>
      <c r="H14">
        <v>1011</v>
      </c>
      <c r="I14">
        <v>1110</v>
      </c>
      <c r="J14" t="s">
        <v>6289</v>
      </c>
    </row>
    <row r="15" spans="1:10">
      <c r="A15">
        <v>4971</v>
      </c>
      <c r="B15" t="s">
        <v>5635</v>
      </c>
      <c r="C15">
        <v>55.44</v>
      </c>
      <c r="D15">
        <v>14.54</v>
      </c>
      <c r="E15">
        <v>0.26</v>
      </c>
      <c r="F15">
        <v>0.43</v>
      </c>
      <c r="G15">
        <v>14</v>
      </c>
      <c r="H15">
        <v>365</v>
      </c>
      <c r="I15">
        <v>502</v>
      </c>
      <c r="J15">
        <v>271</v>
      </c>
    </row>
    <row r="16" spans="1:10">
      <c r="A16">
        <v>6485</v>
      </c>
      <c r="B16" t="s">
        <v>5888</v>
      </c>
      <c r="C16">
        <v>53.4</v>
      </c>
      <c r="D16">
        <v>4.29</v>
      </c>
      <c r="E16">
        <v>1.38</v>
      </c>
      <c r="F16">
        <v>0.06</v>
      </c>
      <c r="G16">
        <v>15</v>
      </c>
      <c r="H16">
        <v>818</v>
      </c>
      <c r="I16">
        <v>125</v>
      </c>
      <c r="J16">
        <v>416</v>
      </c>
    </row>
    <row r="17" spans="1:10">
      <c r="A17">
        <v>8431</v>
      </c>
      <c r="B17" t="s">
        <v>6031</v>
      </c>
      <c r="C17">
        <v>53.23</v>
      </c>
      <c r="D17">
        <v>0.7</v>
      </c>
      <c r="E17">
        <v>0.17</v>
      </c>
      <c r="F17">
        <v>0.7</v>
      </c>
      <c r="G17">
        <v>16</v>
      </c>
      <c r="H17">
        <v>1270</v>
      </c>
      <c r="I17">
        <v>598</v>
      </c>
      <c r="J17">
        <v>232</v>
      </c>
    </row>
    <row r="18" spans="1:10">
      <c r="A18">
        <v>8071</v>
      </c>
      <c r="B18" t="s">
        <v>5974</v>
      </c>
      <c r="C18">
        <v>51.22</v>
      </c>
      <c r="D18">
        <v>1.72</v>
      </c>
      <c r="E18">
        <v>0.73</v>
      </c>
      <c r="F18">
        <v>0</v>
      </c>
      <c r="G18">
        <v>17</v>
      </c>
      <c r="H18">
        <v>1075</v>
      </c>
      <c r="I18">
        <v>238</v>
      </c>
      <c r="J18" t="s">
        <v>6289</v>
      </c>
    </row>
    <row r="19" spans="1:10">
      <c r="A19">
        <v>3141</v>
      </c>
      <c r="B19" t="s">
        <v>5331</v>
      </c>
      <c r="C19">
        <v>49.87</v>
      </c>
      <c r="D19">
        <v>6.03</v>
      </c>
      <c r="E19">
        <v>0.81</v>
      </c>
      <c r="F19">
        <v>0.89</v>
      </c>
      <c r="G19">
        <v>18</v>
      </c>
      <c r="H19">
        <v>698</v>
      </c>
      <c r="I19">
        <v>215</v>
      </c>
      <c r="J19">
        <v>198</v>
      </c>
    </row>
    <row r="20" spans="1:10">
      <c r="A20">
        <v>3169</v>
      </c>
      <c r="B20" t="s">
        <v>5338</v>
      </c>
      <c r="C20">
        <v>49.48</v>
      </c>
      <c r="D20">
        <v>3.03</v>
      </c>
      <c r="E20">
        <v>0.75</v>
      </c>
      <c r="F20">
        <v>0.1</v>
      </c>
      <c r="G20">
        <v>19</v>
      </c>
      <c r="H20">
        <v>919</v>
      </c>
      <c r="I20">
        <v>231</v>
      </c>
      <c r="J20">
        <v>383</v>
      </c>
    </row>
    <row r="21" spans="1:10">
      <c r="A21">
        <v>3207</v>
      </c>
      <c r="B21" t="s">
        <v>5344</v>
      </c>
      <c r="C21">
        <v>49.15</v>
      </c>
      <c r="D21">
        <v>8.76</v>
      </c>
      <c r="E21">
        <v>0</v>
      </c>
      <c r="F21">
        <v>0</v>
      </c>
      <c r="G21">
        <v>20</v>
      </c>
      <c r="H21">
        <v>556</v>
      </c>
      <c r="I21" t="s">
        <v>6289</v>
      </c>
      <c r="J21" t="s">
        <v>6289</v>
      </c>
    </row>
    <row r="22" spans="1:10">
      <c r="A22">
        <v>6104</v>
      </c>
      <c r="B22" t="s">
        <v>5745</v>
      </c>
      <c r="C22">
        <v>48.49</v>
      </c>
      <c r="D22">
        <v>12.23</v>
      </c>
      <c r="E22">
        <v>1.3</v>
      </c>
      <c r="F22">
        <v>6.98</v>
      </c>
      <c r="G22">
        <v>21</v>
      </c>
      <c r="H22">
        <v>420</v>
      </c>
      <c r="I22">
        <v>131</v>
      </c>
      <c r="J22">
        <v>31</v>
      </c>
    </row>
    <row r="23" spans="1:10">
      <c r="A23">
        <v>8027</v>
      </c>
      <c r="B23" t="s">
        <v>5959</v>
      </c>
      <c r="C23">
        <v>48.14</v>
      </c>
      <c r="D23">
        <v>5.65</v>
      </c>
      <c r="E23">
        <v>0.1</v>
      </c>
      <c r="F23">
        <v>0.12</v>
      </c>
      <c r="G23">
        <v>22</v>
      </c>
      <c r="H23">
        <v>722</v>
      </c>
      <c r="I23">
        <v>734</v>
      </c>
      <c r="J23">
        <v>362</v>
      </c>
    </row>
    <row r="24" spans="1:10">
      <c r="A24">
        <v>3511</v>
      </c>
      <c r="B24" t="s">
        <v>5430</v>
      </c>
      <c r="C24">
        <v>46.64</v>
      </c>
      <c r="D24">
        <v>0.94</v>
      </c>
      <c r="E24">
        <v>0.09</v>
      </c>
      <c r="F24">
        <v>0</v>
      </c>
      <c r="G24">
        <v>23</v>
      </c>
      <c r="H24">
        <v>1219</v>
      </c>
      <c r="I24">
        <v>762</v>
      </c>
      <c r="J24" t="s">
        <v>6289</v>
      </c>
    </row>
    <row r="25" spans="1:10">
      <c r="A25">
        <v>1742</v>
      </c>
      <c r="B25" t="s">
        <v>4951</v>
      </c>
      <c r="C25">
        <v>46.61</v>
      </c>
      <c r="D25">
        <v>0.3</v>
      </c>
      <c r="E25">
        <v>7.0000000000000007E-2</v>
      </c>
      <c r="F25">
        <v>0</v>
      </c>
      <c r="G25">
        <v>24</v>
      </c>
      <c r="H25">
        <v>1385</v>
      </c>
      <c r="I25">
        <v>824</v>
      </c>
      <c r="J25" t="s">
        <v>6289</v>
      </c>
    </row>
    <row r="26" spans="1:10">
      <c r="A26">
        <v>3006</v>
      </c>
      <c r="B26" t="s">
        <v>5273</v>
      </c>
      <c r="C26">
        <v>46.53</v>
      </c>
      <c r="D26">
        <v>13.61</v>
      </c>
      <c r="E26">
        <v>0</v>
      </c>
      <c r="F26">
        <v>1.29</v>
      </c>
      <c r="G26">
        <v>25</v>
      </c>
      <c r="H26">
        <v>387</v>
      </c>
      <c r="I26" t="s">
        <v>6289</v>
      </c>
      <c r="J26">
        <v>169</v>
      </c>
    </row>
    <row r="27" spans="1:10">
      <c r="A27">
        <v>3672</v>
      </c>
      <c r="B27" t="s">
        <v>5488</v>
      </c>
      <c r="C27">
        <v>46.08</v>
      </c>
      <c r="D27">
        <v>0.19</v>
      </c>
      <c r="E27">
        <v>0.03</v>
      </c>
      <c r="F27">
        <v>0</v>
      </c>
      <c r="G27">
        <v>26</v>
      </c>
      <c r="H27">
        <v>1412</v>
      </c>
      <c r="I27">
        <v>978</v>
      </c>
      <c r="J27" t="s">
        <v>6289</v>
      </c>
    </row>
    <row r="28" spans="1:10">
      <c r="A28">
        <v>6235</v>
      </c>
      <c r="B28" t="s">
        <v>5832</v>
      </c>
      <c r="C28">
        <v>45.95</v>
      </c>
      <c r="D28">
        <v>5.26</v>
      </c>
      <c r="E28">
        <v>0.47</v>
      </c>
      <c r="F28">
        <v>0.09</v>
      </c>
      <c r="G28">
        <v>27</v>
      </c>
      <c r="H28">
        <v>755</v>
      </c>
      <c r="I28">
        <v>334</v>
      </c>
      <c r="J28">
        <v>395</v>
      </c>
    </row>
    <row r="29" spans="1:10">
      <c r="A29">
        <v>6150</v>
      </c>
      <c r="B29" t="s">
        <v>5773</v>
      </c>
      <c r="C29">
        <v>45.81</v>
      </c>
      <c r="D29">
        <v>9.3000000000000007</v>
      </c>
      <c r="E29">
        <v>4.54</v>
      </c>
      <c r="F29">
        <v>0</v>
      </c>
      <c r="G29">
        <v>28</v>
      </c>
      <c r="H29">
        <v>530</v>
      </c>
      <c r="I29">
        <v>30</v>
      </c>
      <c r="J29" t="s">
        <v>6289</v>
      </c>
    </row>
    <row r="30" spans="1:10">
      <c r="A30">
        <v>8054</v>
      </c>
      <c r="B30" t="s">
        <v>5970</v>
      </c>
      <c r="C30">
        <v>45.61</v>
      </c>
      <c r="D30">
        <v>1.03</v>
      </c>
      <c r="E30">
        <v>0.56999999999999995</v>
      </c>
      <c r="F30">
        <v>0</v>
      </c>
      <c r="G30">
        <v>29</v>
      </c>
      <c r="H30">
        <v>1197</v>
      </c>
      <c r="I30">
        <v>292</v>
      </c>
      <c r="J30" t="s">
        <v>6289</v>
      </c>
    </row>
    <row r="31" spans="1:10">
      <c r="A31">
        <v>4523</v>
      </c>
      <c r="B31" t="s">
        <v>6297</v>
      </c>
      <c r="C31">
        <v>45.39</v>
      </c>
      <c r="D31">
        <v>1.87</v>
      </c>
      <c r="E31">
        <v>0.03</v>
      </c>
      <c r="F31">
        <v>0</v>
      </c>
      <c r="G31">
        <v>30</v>
      </c>
      <c r="H31">
        <v>1051</v>
      </c>
      <c r="I31">
        <v>978</v>
      </c>
      <c r="J31" t="s">
        <v>6289</v>
      </c>
    </row>
    <row r="32" spans="1:10">
      <c r="A32">
        <v>5011</v>
      </c>
      <c r="B32" t="s">
        <v>5646</v>
      </c>
      <c r="C32">
        <v>43.84</v>
      </c>
      <c r="D32">
        <v>1.52</v>
      </c>
      <c r="E32">
        <v>0.72</v>
      </c>
      <c r="F32">
        <v>0</v>
      </c>
      <c r="G32">
        <v>31</v>
      </c>
      <c r="H32">
        <v>1100</v>
      </c>
      <c r="I32">
        <v>243</v>
      </c>
      <c r="J32" t="s">
        <v>6289</v>
      </c>
    </row>
    <row r="33" spans="1:10">
      <c r="A33">
        <v>4995</v>
      </c>
      <c r="B33" t="s">
        <v>6203</v>
      </c>
      <c r="C33">
        <v>43.31</v>
      </c>
      <c r="D33">
        <v>3</v>
      </c>
      <c r="E33">
        <v>0</v>
      </c>
      <c r="F33">
        <v>0</v>
      </c>
      <c r="G33">
        <v>32</v>
      </c>
      <c r="H33">
        <v>921</v>
      </c>
      <c r="I33" t="s">
        <v>6289</v>
      </c>
      <c r="J33" t="s">
        <v>6289</v>
      </c>
    </row>
    <row r="34" spans="1:10">
      <c r="A34">
        <v>2743</v>
      </c>
      <c r="B34" t="s">
        <v>5221</v>
      </c>
      <c r="C34">
        <v>42.45</v>
      </c>
      <c r="D34">
        <v>1.05</v>
      </c>
      <c r="E34">
        <v>0</v>
      </c>
      <c r="F34">
        <v>0</v>
      </c>
      <c r="G34">
        <v>33</v>
      </c>
      <c r="H34">
        <v>1193</v>
      </c>
      <c r="I34" t="s">
        <v>6289</v>
      </c>
      <c r="J34" t="s">
        <v>6289</v>
      </c>
    </row>
    <row r="35" spans="1:10">
      <c r="A35">
        <v>1316</v>
      </c>
      <c r="B35" t="s">
        <v>4817</v>
      </c>
      <c r="C35">
        <v>42.15</v>
      </c>
      <c r="D35">
        <v>3.59</v>
      </c>
      <c r="E35">
        <v>0.01</v>
      </c>
      <c r="F35">
        <v>0</v>
      </c>
      <c r="G35">
        <v>34</v>
      </c>
      <c r="H35">
        <v>857</v>
      </c>
      <c r="I35">
        <v>1110</v>
      </c>
      <c r="J35" t="s">
        <v>6289</v>
      </c>
    </row>
    <row r="36" spans="1:10">
      <c r="A36">
        <v>3317</v>
      </c>
      <c r="B36" t="s">
        <v>5381</v>
      </c>
      <c r="C36">
        <v>42.03</v>
      </c>
      <c r="D36">
        <v>3.11</v>
      </c>
      <c r="E36">
        <v>0.12</v>
      </c>
      <c r="F36">
        <v>0</v>
      </c>
      <c r="G36">
        <v>35</v>
      </c>
      <c r="H36">
        <v>908</v>
      </c>
      <c r="I36">
        <v>683</v>
      </c>
      <c r="J36" t="s">
        <v>6289</v>
      </c>
    </row>
    <row r="37" spans="1:10">
      <c r="A37">
        <v>3689</v>
      </c>
      <c r="B37" t="s">
        <v>5495</v>
      </c>
      <c r="C37">
        <v>41.86</v>
      </c>
      <c r="D37">
        <v>2.11</v>
      </c>
      <c r="E37">
        <v>0.31</v>
      </c>
      <c r="F37">
        <v>0</v>
      </c>
      <c r="G37">
        <v>36</v>
      </c>
      <c r="H37">
        <v>1015</v>
      </c>
      <c r="I37">
        <v>459</v>
      </c>
      <c r="J37" t="s">
        <v>6289</v>
      </c>
    </row>
    <row r="38" spans="1:10">
      <c r="A38">
        <v>3230</v>
      </c>
      <c r="B38" t="s">
        <v>5354</v>
      </c>
      <c r="C38">
        <v>41.71</v>
      </c>
      <c r="D38">
        <v>0.54</v>
      </c>
      <c r="E38">
        <v>0</v>
      </c>
      <c r="F38">
        <v>0</v>
      </c>
      <c r="G38">
        <v>37</v>
      </c>
      <c r="H38">
        <v>1310</v>
      </c>
      <c r="I38" t="s">
        <v>6289</v>
      </c>
      <c r="J38" t="s">
        <v>6289</v>
      </c>
    </row>
    <row r="39" spans="1:10">
      <c r="A39">
        <v>8996</v>
      </c>
      <c r="B39" t="s">
        <v>6069</v>
      </c>
      <c r="C39">
        <v>41.08</v>
      </c>
      <c r="D39">
        <v>4.54</v>
      </c>
      <c r="E39">
        <v>0.19</v>
      </c>
      <c r="F39">
        <v>0.75</v>
      </c>
      <c r="G39">
        <v>38</v>
      </c>
      <c r="H39">
        <v>807</v>
      </c>
      <c r="I39">
        <v>571</v>
      </c>
      <c r="J39">
        <v>222</v>
      </c>
    </row>
    <row r="40" spans="1:10">
      <c r="A40">
        <v>4967</v>
      </c>
      <c r="B40" t="s">
        <v>5633</v>
      </c>
      <c r="C40">
        <v>40.98</v>
      </c>
      <c r="D40">
        <v>1.81</v>
      </c>
      <c r="E40">
        <v>0.22</v>
      </c>
      <c r="F40">
        <v>0</v>
      </c>
      <c r="G40">
        <v>39</v>
      </c>
      <c r="H40">
        <v>1059</v>
      </c>
      <c r="I40">
        <v>537</v>
      </c>
      <c r="J40" t="s">
        <v>6289</v>
      </c>
    </row>
    <row r="41" spans="1:10">
      <c r="A41">
        <v>6205</v>
      </c>
      <c r="B41" t="s">
        <v>5810</v>
      </c>
      <c r="C41">
        <v>40.31</v>
      </c>
      <c r="D41">
        <v>1.78</v>
      </c>
      <c r="E41">
        <v>0</v>
      </c>
      <c r="F41">
        <v>0.6</v>
      </c>
      <c r="G41">
        <v>40</v>
      </c>
      <c r="H41">
        <v>1067</v>
      </c>
      <c r="I41" t="s">
        <v>6289</v>
      </c>
      <c r="J41">
        <v>244</v>
      </c>
    </row>
    <row r="42" spans="1:10">
      <c r="A42">
        <v>8261</v>
      </c>
      <c r="B42" t="s">
        <v>6011</v>
      </c>
      <c r="C42">
        <v>40.26</v>
      </c>
      <c r="D42">
        <v>12.33</v>
      </c>
      <c r="E42">
        <v>1.46</v>
      </c>
      <c r="F42">
        <v>0.01</v>
      </c>
      <c r="G42">
        <v>41</v>
      </c>
      <c r="H42">
        <v>415</v>
      </c>
      <c r="I42">
        <v>114</v>
      </c>
      <c r="J42">
        <v>491</v>
      </c>
    </row>
    <row r="43" spans="1:10">
      <c r="A43">
        <v>4171</v>
      </c>
      <c r="B43" t="s">
        <v>5541</v>
      </c>
      <c r="C43">
        <v>39.950000000000003</v>
      </c>
      <c r="D43">
        <v>22.04</v>
      </c>
      <c r="E43">
        <v>1.23</v>
      </c>
      <c r="F43">
        <v>0</v>
      </c>
      <c r="G43">
        <v>42</v>
      </c>
      <c r="H43">
        <v>251</v>
      </c>
      <c r="I43">
        <v>138</v>
      </c>
      <c r="J43" t="s">
        <v>6289</v>
      </c>
    </row>
    <row r="44" spans="1:10">
      <c r="A44">
        <v>1529</v>
      </c>
      <c r="B44" t="s">
        <v>4882</v>
      </c>
      <c r="C44">
        <v>39.799999999999997</v>
      </c>
      <c r="D44">
        <v>0.46</v>
      </c>
      <c r="E44">
        <v>8.8800000000000008</v>
      </c>
      <c r="F44">
        <v>0</v>
      </c>
      <c r="G44">
        <v>43</v>
      </c>
      <c r="H44">
        <v>1338</v>
      </c>
      <c r="I44">
        <v>6</v>
      </c>
      <c r="J44" t="s">
        <v>6289</v>
      </c>
    </row>
    <row r="45" spans="1:10">
      <c r="A45">
        <v>3580</v>
      </c>
      <c r="B45" t="s">
        <v>5458</v>
      </c>
      <c r="C45">
        <v>39.28</v>
      </c>
      <c r="D45">
        <v>6.26</v>
      </c>
      <c r="E45">
        <v>0.27</v>
      </c>
      <c r="F45">
        <v>0</v>
      </c>
      <c r="G45">
        <v>44</v>
      </c>
      <c r="H45">
        <v>683</v>
      </c>
      <c r="I45">
        <v>492</v>
      </c>
      <c r="J45" t="s">
        <v>6289</v>
      </c>
    </row>
    <row r="46" spans="1:10">
      <c r="A46">
        <v>5706</v>
      </c>
      <c r="B46" t="s">
        <v>5728</v>
      </c>
      <c r="C46">
        <v>38.380000000000003</v>
      </c>
      <c r="D46">
        <v>1.21</v>
      </c>
      <c r="E46">
        <v>0.04</v>
      </c>
      <c r="F46">
        <v>0</v>
      </c>
      <c r="G46">
        <v>45</v>
      </c>
      <c r="H46">
        <v>1166</v>
      </c>
      <c r="I46">
        <v>936</v>
      </c>
      <c r="J46" t="s">
        <v>6289</v>
      </c>
    </row>
    <row r="47" spans="1:10">
      <c r="A47">
        <v>5014</v>
      </c>
      <c r="B47" t="s">
        <v>5648</v>
      </c>
      <c r="C47">
        <v>37.979999999999997</v>
      </c>
      <c r="D47">
        <v>1.52</v>
      </c>
      <c r="E47">
        <v>0</v>
      </c>
      <c r="F47">
        <v>0</v>
      </c>
      <c r="G47">
        <v>46</v>
      </c>
      <c r="H47">
        <v>1100</v>
      </c>
      <c r="I47" t="s">
        <v>6289</v>
      </c>
      <c r="J47" t="s">
        <v>6289</v>
      </c>
    </row>
    <row r="48" spans="1:10">
      <c r="A48">
        <v>6229</v>
      </c>
      <c r="B48" t="s">
        <v>5827</v>
      </c>
      <c r="C48">
        <v>37.15</v>
      </c>
      <c r="D48">
        <v>0.89</v>
      </c>
      <c r="E48">
        <v>1.37</v>
      </c>
      <c r="F48">
        <v>0</v>
      </c>
      <c r="G48">
        <v>47</v>
      </c>
      <c r="H48">
        <v>1229</v>
      </c>
      <c r="I48">
        <v>126</v>
      </c>
      <c r="J48" t="s">
        <v>6289</v>
      </c>
    </row>
    <row r="49" spans="1:10">
      <c r="A49">
        <v>3548</v>
      </c>
      <c r="B49" t="s">
        <v>5448</v>
      </c>
      <c r="C49">
        <v>37.020000000000003</v>
      </c>
      <c r="D49">
        <v>6.61</v>
      </c>
      <c r="E49">
        <v>0.5</v>
      </c>
      <c r="F49">
        <v>0.02</v>
      </c>
      <c r="G49">
        <v>48</v>
      </c>
      <c r="H49">
        <v>661</v>
      </c>
      <c r="I49">
        <v>321</v>
      </c>
      <c r="J49">
        <v>473</v>
      </c>
    </row>
    <row r="50" spans="1:10">
      <c r="A50">
        <v>5321</v>
      </c>
      <c r="B50" t="s">
        <v>5678</v>
      </c>
      <c r="C50">
        <v>36.76</v>
      </c>
      <c r="D50">
        <v>1.82</v>
      </c>
      <c r="E50">
        <v>1.05</v>
      </c>
      <c r="F50">
        <v>0</v>
      </c>
      <c r="G50">
        <v>49</v>
      </c>
      <c r="H50">
        <v>1058</v>
      </c>
      <c r="I50">
        <v>167</v>
      </c>
      <c r="J50" t="s">
        <v>6289</v>
      </c>
    </row>
    <row r="51" spans="1:10">
      <c r="A51">
        <v>8024</v>
      </c>
      <c r="B51" t="s">
        <v>5958</v>
      </c>
      <c r="C51">
        <v>36.71</v>
      </c>
      <c r="D51">
        <v>4.0599999999999996</v>
      </c>
      <c r="E51">
        <v>0.28000000000000003</v>
      </c>
      <c r="F51">
        <v>0</v>
      </c>
      <c r="G51">
        <v>50</v>
      </c>
      <c r="H51">
        <v>833</v>
      </c>
      <c r="I51">
        <v>485</v>
      </c>
      <c r="J51" t="s">
        <v>6289</v>
      </c>
    </row>
    <row r="52" spans="1:10">
      <c r="A52">
        <v>6223</v>
      </c>
      <c r="B52" t="s">
        <v>5823</v>
      </c>
      <c r="C52">
        <v>36.58</v>
      </c>
      <c r="D52">
        <v>3.08</v>
      </c>
      <c r="E52">
        <v>0.11</v>
      </c>
      <c r="F52">
        <v>5.38</v>
      </c>
      <c r="G52">
        <v>51</v>
      </c>
      <c r="H52">
        <v>914</v>
      </c>
      <c r="I52">
        <v>708</v>
      </c>
      <c r="J52">
        <v>51</v>
      </c>
    </row>
    <row r="53" spans="1:10">
      <c r="A53">
        <v>3646</v>
      </c>
      <c r="B53" t="s">
        <v>5480</v>
      </c>
      <c r="C53">
        <v>36.35</v>
      </c>
      <c r="D53">
        <v>7.22</v>
      </c>
      <c r="E53">
        <v>0</v>
      </c>
      <c r="F53">
        <v>0</v>
      </c>
      <c r="G53">
        <v>52</v>
      </c>
      <c r="H53">
        <v>622</v>
      </c>
      <c r="I53" t="s">
        <v>6289</v>
      </c>
      <c r="J53" t="s">
        <v>6289</v>
      </c>
    </row>
    <row r="54" spans="1:10">
      <c r="A54">
        <v>2436</v>
      </c>
      <c r="B54" t="s">
        <v>5116</v>
      </c>
      <c r="C54">
        <v>36.229999999999997</v>
      </c>
      <c r="D54">
        <v>5.31</v>
      </c>
      <c r="E54">
        <v>0.39</v>
      </c>
      <c r="F54">
        <v>0.11</v>
      </c>
      <c r="G54">
        <v>53</v>
      </c>
      <c r="H54">
        <v>750</v>
      </c>
      <c r="I54">
        <v>379</v>
      </c>
      <c r="J54">
        <v>374</v>
      </c>
    </row>
    <row r="55" spans="1:10">
      <c r="A55">
        <v>3324</v>
      </c>
      <c r="B55" t="s">
        <v>5383</v>
      </c>
      <c r="C55">
        <v>36.22</v>
      </c>
      <c r="D55">
        <v>12.74</v>
      </c>
      <c r="E55">
        <v>1.88</v>
      </c>
      <c r="F55">
        <v>3.1</v>
      </c>
      <c r="G55">
        <v>54</v>
      </c>
      <c r="H55">
        <v>409</v>
      </c>
      <c r="I55">
        <v>81</v>
      </c>
      <c r="J55">
        <v>85</v>
      </c>
    </row>
    <row r="56" spans="1:10">
      <c r="A56">
        <v>6494</v>
      </c>
      <c r="B56" t="s">
        <v>5892</v>
      </c>
      <c r="C56">
        <v>36.15</v>
      </c>
      <c r="D56">
        <v>9.0299999999999994</v>
      </c>
      <c r="E56">
        <v>1.51</v>
      </c>
      <c r="F56">
        <v>0.04</v>
      </c>
      <c r="G56">
        <v>55</v>
      </c>
      <c r="H56">
        <v>539</v>
      </c>
      <c r="I56">
        <v>104</v>
      </c>
      <c r="J56">
        <v>437</v>
      </c>
    </row>
    <row r="57" spans="1:10">
      <c r="A57">
        <v>3545</v>
      </c>
      <c r="B57" t="s">
        <v>5446</v>
      </c>
      <c r="C57">
        <v>36.11</v>
      </c>
      <c r="D57">
        <v>12.83</v>
      </c>
      <c r="E57">
        <v>1.78</v>
      </c>
      <c r="F57">
        <v>0.01</v>
      </c>
      <c r="G57">
        <v>56</v>
      </c>
      <c r="H57">
        <v>408</v>
      </c>
      <c r="I57">
        <v>88</v>
      </c>
      <c r="J57">
        <v>491</v>
      </c>
    </row>
    <row r="58" spans="1:10">
      <c r="A58">
        <v>2342</v>
      </c>
      <c r="B58" t="s">
        <v>5054</v>
      </c>
      <c r="C58">
        <v>36</v>
      </c>
      <c r="D58">
        <v>4.49</v>
      </c>
      <c r="E58">
        <v>0.04</v>
      </c>
      <c r="F58">
        <v>0</v>
      </c>
      <c r="G58">
        <v>57</v>
      </c>
      <c r="H58">
        <v>809</v>
      </c>
      <c r="I58">
        <v>936</v>
      </c>
      <c r="J58" t="s">
        <v>6289</v>
      </c>
    </row>
    <row r="59" spans="1:10">
      <c r="A59">
        <v>3092</v>
      </c>
      <c r="B59" t="s">
        <v>5322</v>
      </c>
      <c r="C59">
        <v>35.840000000000003</v>
      </c>
      <c r="D59">
        <v>2.33</v>
      </c>
      <c r="E59">
        <v>0.12</v>
      </c>
      <c r="F59">
        <v>0.12</v>
      </c>
      <c r="G59">
        <v>58</v>
      </c>
      <c r="H59">
        <v>989</v>
      </c>
      <c r="I59">
        <v>683</v>
      </c>
      <c r="J59">
        <v>362</v>
      </c>
    </row>
    <row r="60" spans="1:10">
      <c r="A60">
        <v>1591</v>
      </c>
      <c r="B60" t="s">
        <v>4907</v>
      </c>
      <c r="C60">
        <v>35.65</v>
      </c>
      <c r="D60">
        <v>15.77</v>
      </c>
      <c r="E60">
        <v>0.28999999999999998</v>
      </c>
      <c r="F60">
        <v>0</v>
      </c>
      <c r="G60">
        <v>59</v>
      </c>
      <c r="H60">
        <v>339</v>
      </c>
      <c r="I60">
        <v>474</v>
      </c>
      <c r="J60" t="s">
        <v>6289</v>
      </c>
    </row>
    <row r="61" spans="1:10">
      <c r="A61">
        <v>1708</v>
      </c>
      <c r="B61" t="s">
        <v>4928</v>
      </c>
      <c r="C61">
        <v>35.21</v>
      </c>
      <c r="D61">
        <v>12.45</v>
      </c>
      <c r="E61">
        <v>0.85</v>
      </c>
      <c r="F61">
        <v>1</v>
      </c>
      <c r="G61">
        <v>60</v>
      </c>
      <c r="H61">
        <v>412</v>
      </c>
      <c r="I61">
        <v>207</v>
      </c>
      <c r="J61">
        <v>193</v>
      </c>
    </row>
    <row r="62" spans="1:10">
      <c r="A62">
        <v>3122</v>
      </c>
      <c r="B62" t="s">
        <v>5327</v>
      </c>
      <c r="C62">
        <v>34.659999999999997</v>
      </c>
      <c r="D62">
        <v>2.2799999999999998</v>
      </c>
      <c r="E62">
        <v>2.87</v>
      </c>
      <c r="F62">
        <v>0</v>
      </c>
      <c r="G62">
        <v>61</v>
      </c>
      <c r="H62">
        <v>993</v>
      </c>
      <c r="I62">
        <v>49</v>
      </c>
      <c r="J62" t="s">
        <v>6289</v>
      </c>
    </row>
    <row r="63" spans="1:10">
      <c r="A63">
        <v>4168</v>
      </c>
      <c r="B63" t="s">
        <v>5540</v>
      </c>
      <c r="C63">
        <v>34.409999999999997</v>
      </c>
      <c r="D63">
        <v>5.35</v>
      </c>
      <c r="E63">
        <v>0</v>
      </c>
      <c r="F63">
        <v>0</v>
      </c>
      <c r="G63">
        <v>62</v>
      </c>
      <c r="H63">
        <v>747</v>
      </c>
      <c r="I63" t="s">
        <v>6289</v>
      </c>
      <c r="J63" t="s">
        <v>6289</v>
      </c>
    </row>
    <row r="64" spans="1:10">
      <c r="A64">
        <v>4102</v>
      </c>
      <c r="B64" t="s">
        <v>5510</v>
      </c>
      <c r="C64">
        <v>34.229999999999997</v>
      </c>
      <c r="D64">
        <v>1.97</v>
      </c>
      <c r="E64">
        <v>0.09</v>
      </c>
      <c r="F64">
        <v>0</v>
      </c>
      <c r="G64">
        <v>63</v>
      </c>
      <c r="H64">
        <v>1035</v>
      </c>
      <c r="I64">
        <v>762</v>
      </c>
      <c r="J64" t="s">
        <v>6289</v>
      </c>
    </row>
    <row r="65" spans="1:10">
      <c r="A65">
        <v>8099</v>
      </c>
      <c r="B65" t="s">
        <v>5985</v>
      </c>
      <c r="C65">
        <v>34.19</v>
      </c>
      <c r="D65">
        <v>1.79</v>
      </c>
      <c r="E65">
        <v>0.28999999999999998</v>
      </c>
      <c r="F65">
        <v>0</v>
      </c>
      <c r="G65">
        <v>64</v>
      </c>
      <c r="H65">
        <v>1063</v>
      </c>
      <c r="I65">
        <v>474</v>
      </c>
      <c r="J65" t="s">
        <v>6289</v>
      </c>
    </row>
    <row r="66" spans="1:10">
      <c r="A66">
        <v>4716</v>
      </c>
      <c r="B66" t="s">
        <v>5590</v>
      </c>
      <c r="C66">
        <v>34.03</v>
      </c>
      <c r="D66">
        <v>0.45</v>
      </c>
      <c r="E66">
        <v>0.08</v>
      </c>
      <c r="F66">
        <v>0</v>
      </c>
      <c r="G66">
        <v>65</v>
      </c>
      <c r="H66">
        <v>1339</v>
      </c>
      <c r="I66">
        <v>789</v>
      </c>
      <c r="J66" t="s">
        <v>6289</v>
      </c>
    </row>
    <row r="67" spans="1:10">
      <c r="A67">
        <v>2358</v>
      </c>
      <c r="B67" t="s">
        <v>5066</v>
      </c>
      <c r="C67">
        <v>33.85</v>
      </c>
      <c r="D67">
        <v>1.42</v>
      </c>
      <c r="E67">
        <v>0.02</v>
      </c>
      <c r="F67">
        <v>0</v>
      </c>
      <c r="G67">
        <v>66</v>
      </c>
      <c r="H67">
        <v>1129</v>
      </c>
      <c r="I67">
        <v>1051</v>
      </c>
      <c r="J67" t="s">
        <v>6289</v>
      </c>
    </row>
    <row r="68" spans="1:10">
      <c r="A68">
        <v>4739</v>
      </c>
      <c r="B68" t="s">
        <v>5598</v>
      </c>
      <c r="C68">
        <v>33.78</v>
      </c>
      <c r="D68">
        <v>2.0699999999999998</v>
      </c>
      <c r="E68">
        <v>0</v>
      </c>
      <c r="F68">
        <v>2.4500000000000002</v>
      </c>
      <c r="G68">
        <v>67</v>
      </c>
      <c r="H68">
        <v>1022</v>
      </c>
      <c r="I68" t="s">
        <v>6289</v>
      </c>
      <c r="J68">
        <v>109</v>
      </c>
    </row>
    <row r="69" spans="1:10">
      <c r="A69">
        <v>6509</v>
      </c>
      <c r="B69" t="s">
        <v>5898</v>
      </c>
      <c r="C69">
        <v>33.74</v>
      </c>
      <c r="D69">
        <v>3.28</v>
      </c>
      <c r="E69">
        <v>0.25</v>
      </c>
      <c r="F69">
        <v>0</v>
      </c>
      <c r="G69">
        <v>68</v>
      </c>
      <c r="H69">
        <v>894</v>
      </c>
      <c r="I69">
        <v>507</v>
      </c>
      <c r="J69" t="s">
        <v>6289</v>
      </c>
    </row>
    <row r="70" spans="1:10">
      <c r="A70">
        <v>3219</v>
      </c>
      <c r="B70" t="s">
        <v>5350</v>
      </c>
      <c r="C70">
        <v>33.619999999999997</v>
      </c>
      <c r="D70">
        <v>2.5499999999999998</v>
      </c>
      <c r="E70">
        <v>0.01</v>
      </c>
      <c r="F70">
        <v>0</v>
      </c>
      <c r="G70">
        <v>69</v>
      </c>
      <c r="H70">
        <v>964</v>
      </c>
      <c r="I70">
        <v>1110</v>
      </c>
      <c r="J70" t="s">
        <v>6289</v>
      </c>
    </row>
    <row r="71" spans="1:10">
      <c r="A71">
        <v>6246</v>
      </c>
      <c r="B71" t="s">
        <v>5838</v>
      </c>
      <c r="C71">
        <v>33.58</v>
      </c>
      <c r="D71">
        <v>0.31</v>
      </c>
      <c r="E71">
        <v>0</v>
      </c>
      <c r="F71">
        <v>0</v>
      </c>
      <c r="G71">
        <v>70</v>
      </c>
      <c r="H71">
        <v>1382</v>
      </c>
      <c r="I71" t="s">
        <v>6289</v>
      </c>
      <c r="J71" t="s">
        <v>6289</v>
      </c>
    </row>
    <row r="72" spans="1:10">
      <c r="A72">
        <v>3687</v>
      </c>
      <c r="B72" t="s">
        <v>5494</v>
      </c>
      <c r="C72">
        <v>33.520000000000003</v>
      </c>
      <c r="D72">
        <v>3.17</v>
      </c>
      <c r="E72">
        <v>1.03</v>
      </c>
      <c r="F72">
        <v>0</v>
      </c>
      <c r="G72">
        <v>71</v>
      </c>
      <c r="H72">
        <v>902</v>
      </c>
      <c r="I72">
        <v>169</v>
      </c>
      <c r="J72" t="s">
        <v>6289</v>
      </c>
    </row>
    <row r="73" spans="1:10">
      <c r="A73">
        <v>3550</v>
      </c>
      <c r="B73" t="s">
        <v>5449</v>
      </c>
      <c r="C73">
        <v>33.39</v>
      </c>
      <c r="D73">
        <v>1.64</v>
      </c>
      <c r="E73">
        <v>0.14000000000000001</v>
      </c>
      <c r="F73">
        <v>0</v>
      </c>
      <c r="G73">
        <v>72</v>
      </c>
      <c r="H73">
        <v>1085</v>
      </c>
      <c r="I73">
        <v>653</v>
      </c>
      <c r="J73" t="s">
        <v>6289</v>
      </c>
    </row>
    <row r="74" spans="1:10">
      <c r="A74">
        <v>2233</v>
      </c>
      <c r="B74" t="s">
        <v>5027</v>
      </c>
      <c r="C74">
        <v>33.22</v>
      </c>
      <c r="D74">
        <v>10.26</v>
      </c>
      <c r="E74">
        <v>0.36</v>
      </c>
      <c r="F74">
        <v>2.68</v>
      </c>
      <c r="G74">
        <v>73</v>
      </c>
      <c r="H74">
        <v>491</v>
      </c>
      <c r="I74">
        <v>406</v>
      </c>
      <c r="J74">
        <v>99</v>
      </c>
    </row>
    <row r="75" spans="1:10">
      <c r="A75">
        <v>3631</v>
      </c>
      <c r="B75" t="s">
        <v>6298</v>
      </c>
      <c r="C75">
        <v>33.130000000000003</v>
      </c>
      <c r="D75">
        <v>12.85</v>
      </c>
      <c r="E75">
        <v>0</v>
      </c>
      <c r="F75">
        <v>0</v>
      </c>
      <c r="G75">
        <v>74</v>
      </c>
      <c r="H75">
        <v>406</v>
      </c>
      <c r="I75" t="s">
        <v>6289</v>
      </c>
      <c r="J75" t="s">
        <v>6289</v>
      </c>
    </row>
    <row r="76" spans="1:10">
      <c r="A76">
        <v>3224</v>
      </c>
      <c r="B76" t="s">
        <v>5352</v>
      </c>
      <c r="C76">
        <v>33.049999999999997</v>
      </c>
      <c r="D76">
        <v>1.48</v>
      </c>
      <c r="E76">
        <v>0.09</v>
      </c>
      <c r="F76">
        <v>0</v>
      </c>
      <c r="G76">
        <v>75</v>
      </c>
      <c r="H76">
        <v>1110</v>
      </c>
      <c r="I76">
        <v>762</v>
      </c>
      <c r="J76" t="s">
        <v>6289</v>
      </c>
    </row>
    <row r="77" spans="1:10">
      <c r="A77">
        <v>6411</v>
      </c>
      <c r="B77" t="s">
        <v>5865</v>
      </c>
      <c r="C77">
        <v>32.909999999999997</v>
      </c>
      <c r="D77">
        <v>13.8</v>
      </c>
      <c r="E77">
        <v>0.33</v>
      </c>
      <c r="F77">
        <v>0.31</v>
      </c>
      <c r="G77">
        <v>76</v>
      </c>
      <c r="H77">
        <v>384</v>
      </c>
      <c r="I77">
        <v>435</v>
      </c>
      <c r="J77">
        <v>298</v>
      </c>
    </row>
    <row r="78" spans="1:10">
      <c r="A78">
        <v>3296</v>
      </c>
      <c r="B78" t="s">
        <v>5373</v>
      </c>
      <c r="C78">
        <v>32.799999999999997</v>
      </c>
      <c r="D78">
        <v>2.25</v>
      </c>
      <c r="E78">
        <v>0.01</v>
      </c>
      <c r="F78">
        <v>0</v>
      </c>
      <c r="G78">
        <v>77</v>
      </c>
      <c r="H78">
        <v>997</v>
      </c>
      <c r="I78">
        <v>1110</v>
      </c>
      <c r="J78" t="s">
        <v>6289</v>
      </c>
    </row>
    <row r="79" spans="1:10">
      <c r="A79">
        <v>5425</v>
      </c>
      <c r="B79" t="s">
        <v>5690</v>
      </c>
      <c r="C79">
        <v>32.24</v>
      </c>
      <c r="D79">
        <v>9.34</v>
      </c>
      <c r="E79">
        <v>0.35</v>
      </c>
      <c r="F79">
        <v>11.4</v>
      </c>
      <c r="G79">
        <v>78</v>
      </c>
      <c r="H79">
        <v>528</v>
      </c>
      <c r="I79">
        <v>414</v>
      </c>
      <c r="J79">
        <v>10</v>
      </c>
    </row>
    <row r="80" spans="1:10">
      <c r="A80">
        <v>3093</v>
      </c>
      <c r="B80" t="s">
        <v>6299</v>
      </c>
      <c r="C80">
        <v>32.18</v>
      </c>
      <c r="D80">
        <v>68.27</v>
      </c>
      <c r="E80">
        <v>0</v>
      </c>
      <c r="F80">
        <v>0</v>
      </c>
      <c r="G80">
        <v>79</v>
      </c>
      <c r="H80">
        <v>27</v>
      </c>
      <c r="I80" t="s">
        <v>6289</v>
      </c>
      <c r="J80" t="s">
        <v>6289</v>
      </c>
    </row>
    <row r="81" spans="1:10">
      <c r="A81">
        <v>5351</v>
      </c>
      <c r="B81" t="s">
        <v>5681</v>
      </c>
      <c r="C81">
        <v>32.130000000000003</v>
      </c>
      <c r="D81">
        <v>5.87</v>
      </c>
      <c r="E81">
        <v>1.1100000000000001</v>
      </c>
      <c r="F81">
        <v>7.0000000000000007E-2</v>
      </c>
      <c r="G81">
        <v>80</v>
      </c>
      <c r="H81">
        <v>709</v>
      </c>
      <c r="I81">
        <v>159</v>
      </c>
      <c r="J81">
        <v>407</v>
      </c>
    </row>
    <row r="82" spans="1:10">
      <c r="A82">
        <v>6111</v>
      </c>
      <c r="B82" t="s">
        <v>5747</v>
      </c>
      <c r="C82">
        <v>32.119999999999997</v>
      </c>
      <c r="D82">
        <v>28.59</v>
      </c>
      <c r="E82">
        <v>0.35</v>
      </c>
      <c r="F82">
        <v>0</v>
      </c>
      <c r="G82">
        <v>81</v>
      </c>
      <c r="H82">
        <v>194</v>
      </c>
      <c r="I82">
        <v>414</v>
      </c>
      <c r="J82" t="s">
        <v>6289</v>
      </c>
    </row>
    <row r="83" spans="1:10">
      <c r="A83">
        <v>2726</v>
      </c>
      <c r="B83" t="s">
        <v>5216</v>
      </c>
      <c r="C83">
        <v>31.88</v>
      </c>
      <c r="D83">
        <v>37.869999999999997</v>
      </c>
      <c r="E83">
        <v>0</v>
      </c>
      <c r="F83">
        <v>0</v>
      </c>
      <c r="G83">
        <v>82</v>
      </c>
      <c r="H83">
        <v>130</v>
      </c>
      <c r="I83" t="s">
        <v>6289</v>
      </c>
      <c r="J83" t="s">
        <v>6289</v>
      </c>
    </row>
    <row r="84" spans="1:10">
      <c r="A84">
        <v>5493</v>
      </c>
      <c r="B84" t="s">
        <v>5707</v>
      </c>
      <c r="C84">
        <v>31.63</v>
      </c>
      <c r="D84">
        <v>0.43</v>
      </c>
      <c r="E84">
        <v>0</v>
      </c>
      <c r="F84">
        <v>0</v>
      </c>
      <c r="G84">
        <v>83</v>
      </c>
      <c r="H84">
        <v>1344</v>
      </c>
      <c r="I84" t="s">
        <v>6289</v>
      </c>
      <c r="J84" t="s">
        <v>6289</v>
      </c>
    </row>
    <row r="85" spans="1:10">
      <c r="A85">
        <v>3305</v>
      </c>
      <c r="B85" t="s">
        <v>5376</v>
      </c>
      <c r="C85">
        <v>31.42</v>
      </c>
      <c r="D85">
        <v>3.62</v>
      </c>
      <c r="E85">
        <v>0.46</v>
      </c>
      <c r="F85">
        <v>0.15</v>
      </c>
      <c r="G85">
        <v>84</v>
      </c>
      <c r="H85">
        <v>855</v>
      </c>
      <c r="I85">
        <v>337</v>
      </c>
      <c r="J85">
        <v>349</v>
      </c>
    </row>
    <row r="86" spans="1:10">
      <c r="A86">
        <v>1760</v>
      </c>
      <c r="B86" t="s">
        <v>4953</v>
      </c>
      <c r="C86">
        <v>31.41</v>
      </c>
      <c r="D86">
        <v>8.67</v>
      </c>
      <c r="E86">
        <v>1.73</v>
      </c>
      <c r="F86">
        <v>0</v>
      </c>
      <c r="G86">
        <v>85</v>
      </c>
      <c r="H86">
        <v>560</v>
      </c>
      <c r="I86">
        <v>92</v>
      </c>
      <c r="J86" t="s">
        <v>6289</v>
      </c>
    </row>
    <row r="87" spans="1:10">
      <c r="A87">
        <v>3552</v>
      </c>
      <c r="B87" t="s">
        <v>5451</v>
      </c>
      <c r="C87">
        <v>31.19</v>
      </c>
      <c r="D87">
        <v>13.36</v>
      </c>
      <c r="E87">
        <v>2.25</v>
      </c>
      <c r="F87">
        <v>0.2</v>
      </c>
      <c r="G87">
        <v>86</v>
      </c>
      <c r="H87">
        <v>391</v>
      </c>
      <c r="I87">
        <v>71</v>
      </c>
      <c r="J87">
        <v>329</v>
      </c>
    </row>
    <row r="88" spans="1:10">
      <c r="A88">
        <v>1467</v>
      </c>
      <c r="B88" t="s">
        <v>4861</v>
      </c>
      <c r="C88">
        <v>30.83</v>
      </c>
      <c r="D88">
        <v>20.14</v>
      </c>
      <c r="E88">
        <v>0.15</v>
      </c>
      <c r="F88">
        <v>0</v>
      </c>
      <c r="G88">
        <v>87</v>
      </c>
      <c r="H88">
        <v>281</v>
      </c>
      <c r="I88">
        <v>635</v>
      </c>
      <c r="J88" t="s">
        <v>6289</v>
      </c>
    </row>
    <row r="89" spans="1:10">
      <c r="A89">
        <v>2457</v>
      </c>
      <c r="B89" t="s">
        <v>5126</v>
      </c>
      <c r="C89">
        <v>30.78</v>
      </c>
      <c r="D89">
        <v>4.2699999999999996</v>
      </c>
      <c r="E89">
        <v>1.42</v>
      </c>
      <c r="F89">
        <v>0</v>
      </c>
      <c r="G89">
        <v>88</v>
      </c>
      <c r="H89">
        <v>820</v>
      </c>
      <c r="I89">
        <v>117</v>
      </c>
      <c r="J89" t="s">
        <v>6289</v>
      </c>
    </row>
    <row r="90" spans="1:10">
      <c r="A90">
        <v>5258</v>
      </c>
      <c r="B90" t="s">
        <v>5663</v>
      </c>
      <c r="C90">
        <v>30.72</v>
      </c>
      <c r="D90">
        <v>5.93</v>
      </c>
      <c r="E90">
        <v>0.1</v>
      </c>
      <c r="F90">
        <v>0</v>
      </c>
      <c r="G90">
        <v>89</v>
      </c>
      <c r="H90">
        <v>705</v>
      </c>
      <c r="I90">
        <v>734</v>
      </c>
      <c r="J90" t="s">
        <v>6289</v>
      </c>
    </row>
    <row r="91" spans="1:10">
      <c r="A91">
        <v>6237</v>
      </c>
      <c r="B91" t="s">
        <v>5833</v>
      </c>
      <c r="C91">
        <v>30.53</v>
      </c>
      <c r="D91">
        <v>1.17</v>
      </c>
      <c r="E91">
        <v>1.49</v>
      </c>
      <c r="F91">
        <v>0</v>
      </c>
      <c r="G91">
        <v>90</v>
      </c>
      <c r="H91">
        <v>1177</v>
      </c>
      <c r="I91">
        <v>108</v>
      </c>
      <c r="J91" t="s">
        <v>6289</v>
      </c>
    </row>
    <row r="92" spans="1:10">
      <c r="A92">
        <v>6140</v>
      </c>
      <c r="B92" t="s">
        <v>5767</v>
      </c>
      <c r="C92">
        <v>30.48</v>
      </c>
      <c r="D92">
        <v>0.43</v>
      </c>
      <c r="E92">
        <v>0.33</v>
      </c>
      <c r="F92">
        <v>0</v>
      </c>
      <c r="G92">
        <v>91</v>
      </c>
      <c r="H92">
        <v>1344</v>
      </c>
      <c r="I92">
        <v>435</v>
      </c>
      <c r="J92" t="s">
        <v>6289</v>
      </c>
    </row>
    <row r="93" spans="1:10">
      <c r="A93">
        <v>2636</v>
      </c>
      <c r="B93" t="s">
        <v>5203</v>
      </c>
      <c r="C93">
        <v>30.36</v>
      </c>
      <c r="D93">
        <v>12.09</v>
      </c>
      <c r="E93">
        <v>0.99</v>
      </c>
      <c r="F93">
        <v>0.01</v>
      </c>
      <c r="G93">
        <v>92</v>
      </c>
      <c r="H93">
        <v>425</v>
      </c>
      <c r="I93">
        <v>179</v>
      </c>
      <c r="J93">
        <v>491</v>
      </c>
    </row>
    <row r="94" spans="1:10">
      <c r="A94">
        <v>6578</v>
      </c>
      <c r="B94" t="s">
        <v>5915</v>
      </c>
      <c r="C94">
        <v>30.31</v>
      </c>
      <c r="D94">
        <v>0.68</v>
      </c>
      <c r="E94">
        <v>0.1</v>
      </c>
      <c r="F94">
        <v>0</v>
      </c>
      <c r="G94">
        <v>93</v>
      </c>
      <c r="H94">
        <v>1276</v>
      </c>
      <c r="I94">
        <v>734</v>
      </c>
      <c r="J94" t="s">
        <v>6289</v>
      </c>
    </row>
    <row r="95" spans="1:10">
      <c r="A95">
        <v>4744</v>
      </c>
      <c r="B95" t="s">
        <v>5599</v>
      </c>
      <c r="C95">
        <v>30.12</v>
      </c>
      <c r="D95">
        <v>2.5499999999999998</v>
      </c>
      <c r="E95">
        <v>7.0000000000000007E-2</v>
      </c>
      <c r="F95">
        <v>0.02</v>
      </c>
      <c r="G95">
        <v>94</v>
      </c>
      <c r="H95">
        <v>964</v>
      </c>
      <c r="I95">
        <v>824</v>
      </c>
      <c r="J95">
        <v>473</v>
      </c>
    </row>
    <row r="96" spans="1:10">
      <c r="A96">
        <v>6143</v>
      </c>
      <c r="B96" t="s">
        <v>5769</v>
      </c>
      <c r="C96">
        <v>30.1</v>
      </c>
      <c r="D96">
        <v>3.75</v>
      </c>
      <c r="E96">
        <v>1.1200000000000001</v>
      </c>
      <c r="F96">
        <v>1.91</v>
      </c>
      <c r="G96">
        <v>95</v>
      </c>
      <c r="H96">
        <v>848</v>
      </c>
      <c r="I96">
        <v>155</v>
      </c>
      <c r="J96">
        <v>136</v>
      </c>
    </row>
    <row r="97" spans="1:10">
      <c r="A97">
        <v>3310</v>
      </c>
      <c r="B97" t="s">
        <v>5378</v>
      </c>
      <c r="C97">
        <v>30.07</v>
      </c>
      <c r="D97">
        <v>0.09</v>
      </c>
      <c r="E97">
        <v>0</v>
      </c>
      <c r="F97">
        <v>0</v>
      </c>
      <c r="G97">
        <v>96</v>
      </c>
      <c r="H97">
        <v>1448</v>
      </c>
      <c r="I97" t="s">
        <v>6289</v>
      </c>
      <c r="J97" t="s">
        <v>6289</v>
      </c>
    </row>
    <row r="98" spans="1:10">
      <c r="A98">
        <v>6283</v>
      </c>
      <c r="B98" t="s">
        <v>5857</v>
      </c>
      <c r="C98">
        <v>29.93</v>
      </c>
      <c r="D98">
        <v>18.13</v>
      </c>
      <c r="E98">
        <v>0.14000000000000001</v>
      </c>
      <c r="F98">
        <v>0</v>
      </c>
      <c r="G98">
        <v>97</v>
      </c>
      <c r="H98">
        <v>306</v>
      </c>
      <c r="I98">
        <v>653</v>
      </c>
      <c r="J98" t="s">
        <v>6289</v>
      </c>
    </row>
    <row r="99" spans="1:10">
      <c r="A99">
        <v>3591</v>
      </c>
      <c r="B99" t="s">
        <v>5463</v>
      </c>
      <c r="C99">
        <v>29.71</v>
      </c>
      <c r="D99">
        <v>2.56</v>
      </c>
      <c r="E99">
        <v>0.08</v>
      </c>
      <c r="F99">
        <v>0</v>
      </c>
      <c r="G99">
        <v>98</v>
      </c>
      <c r="H99">
        <v>961</v>
      </c>
      <c r="I99">
        <v>789</v>
      </c>
      <c r="J99" t="s">
        <v>6289</v>
      </c>
    </row>
    <row r="100" spans="1:10">
      <c r="A100">
        <v>4728</v>
      </c>
      <c r="B100" t="s">
        <v>5594</v>
      </c>
      <c r="C100">
        <v>29.66</v>
      </c>
      <c r="D100">
        <v>14.98</v>
      </c>
      <c r="E100">
        <v>0.32</v>
      </c>
      <c r="F100">
        <v>0</v>
      </c>
      <c r="G100">
        <v>99</v>
      </c>
      <c r="H100">
        <v>357</v>
      </c>
      <c r="I100">
        <v>447</v>
      </c>
      <c r="J100" t="s">
        <v>6289</v>
      </c>
    </row>
    <row r="101" spans="1:10">
      <c r="A101">
        <v>6219</v>
      </c>
      <c r="B101" t="s">
        <v>5821</v>
      </c>
      <c r="C101">
        <v>29.38</v>
      </c>
      <c r="D101">
        <v>1.97</v>
      </c>
      <c r="E101">
        <v>0</v>
      </c>
      <c r="F101">
        <v>0</v>
      </c>
      <c r="G101">
        <v>100</v>
      </c>
      <c r="H101">
        <v>1035</v>
      </c>
      <c r="I101" t="s">
        <v>6289</v>
      </c>
      <c r="J101" t="s">
        <v>6289</v>
      </c>
    </row>
    <row r="102" spans="1:10">
      <c r="A102">
        <v>4721</v>
      </c>
      <c r="B102" t="s">
        <v>5592</v>
      </c>
      <c r="C102">
        <v>29.1</v>
      </c>
      <c r="D102">
        <v>0.79</v>
      </c>
      <c r="E102">
        <v>0.81</v>
      </c>
      <c r="F102">
        <v>0.03</v>
      </c>
      <c r="G102">
        <v>101</v>
      </c>
      <c r="H102">
        <v>1248</v>
      </c>
      <c r="I102">
        <v>215</v>
      </c>
      <c r="J102">
        <v>458</v>
      </c>
    </row>
    <row r="103" spans="1:10">
      <c r="A103">
        <v>6591</v>
      </c>
      <c r="B103" t="s">
        <v>5919</v>
      </c>
      <c r="C103">
        <v>29</v>
      </c>
      <c r="D103">
        <v>22.22</v>
      </c>
      <c r="E103">
        <v>1.45</v>
      </c>
      <c r="F103">
        <v>0.62</v>
      </c>
      <c r="G103">
        <v>102</v>
      </c>
      <c r="H103">
        <v>248</v>
      </c>
      <c r="I103">
        <v>115</v>
      </c>
      <c r="J103">
        <v>240</v>
      </c>
    </row>
    <row r="104" spans="1:10">
      <c r="A104">
        <v>2497</v>
      </c>
      <c r="B104" t="s">
        <v>5157</v>
      </c>
      <c r="C104">
        <v>28.96</v>
      </c>
      <c r="D104">
        <v>2.7</v>
      </c>
      <c r="E104">
        <v>0.43</v>
      </c>
      <c r="F104">
        <v>0</v>
      </c>
      <c r="G104">
        <v>103</v>
      </c>
      <c r="H104">
        <v>951</v>
      </c>
      <c r="I104">
        <v>355</v>
      </c>
      <c r="J104" t="s">
        <v>6289</v>
      </c>
    </row>
    <row r="105" spans="1:10">
      <c r="A105">
        <v>3708</v>
      </c>
      <c r="B105" t="s">
        <v>5506</v>
      </c>
      <c r="C105">
        <v>28.82</v>
      </c>
      <c r="D105">
        <v>13.27</v>
      </c>
      <c r="E105">
        <v>0.83</v>
      </c>
      <c r="F105">
        <v>8.94</v>
      </c>
      <c r="G105">
        <v>104</v>
      </c>
      <c r="H105">
        <v>394</v>
      </c>
      <c r="I105">
        <v>212</v>
      </c>
      <c r="J105">
        <v>17</v>
      </c>
    </row>
    <row r="106" spans="1:10">
      <c r="A106">
        <v>3455</v>
      </c>
      <c r="B106" t="s">
        <v>5416</v>
      </c>
      <c r="C106">
        <v>28.74</v>
      </c>
      <c r="D106">
        <v>3.41</v>
      </c>
      <c r="E106">
        <v>0.48</v>
      </c>
      <c r="F106">
        <v>2.0299999999999998</v>
      </c>
      <c r="G106">
        <v>105</v>
      </c>
      <c r="H106">
        <v>880</v>
      </c>
      <c r="I106">
        <v>329</v>
      </c>
      <c r="J106">
        <v>130</v>
      </c>
    </row>
    <row r="107" spans="1:10">
      <c r="A107">
        <v>6706</v>
      </c>
      <c r="B107" t="s">
        <v>5944</v>
      </c>
      <c r="C107">
        <v>28.74</v>
      </c>
      <c r="D107">
        <v>11</v>
      </c>
      <c r="E107">
        <v>0.21</v>
      </c>
      <c r="F107">
        <v>0</v>
      </c>
      <c r="G107">
        <v>105</v>
      </c>
      <c r="H107">
        <v>461</v>
      </c>
      <c r="I107">
        <v>550</v>
      </c>
      <c r="J107" t="s">
        <v>6289</v>
      </c>
    </row>
    <row r="108" spans="1:10">
      <c r="A108">
        <v>8183</v>
      </c>
      <c r="B108" t="s">
        <v>6001</v>
      </c>
      <c r="C108">
        <v>28.58</v>
      </c>
      <c r="D108">
        <v>1.74</v>
      </c>
      <c r="E108">
        <v>0.65</v>
      </c>
      <c r="F108">
        <v>3.76</v>
      </c>
      <c r="G108">
        <v>107</v>
      </c>
      <c r="H108">
        <v>1072</v>
      </c>
      <c r="I108">
        <v>266</v>
      </c>
      <c r="J108">
        <v>77</v>
      </c>
    </row>
    <row r="109" spans="1:10">
      <c r="A109">
        <v>2465</v>
      </c>
      <c r="B109" t="s">
        <v>5133</v>
      </c>
      <c r="C109">
        <v>28.57</v>
      </c>
      <c r="D109">
        <v>1.17</v>
      </c>
      <c r="E109">
        <v>0.33</v>
      </c>
      <c r="F109">
        <v>0</v>
      </c>
      <c r="G109">
        <v>108</v>
      </c>
      <c r="H109">
        <v>1177</v>
      </c>
      <c r="I109">
        <v>435</v>
      </c>
      <c r="J109" t="s">
        <v>6289</v>
      </c>
    </row>
    <row r="110" spans="1:10">
      <c r="A110">
        <v>3588</v>
      </c>
      <c r="B110" t="s">
        <v>5462</v>
      </c>
      <c r="C110">
        <v>28.56</v>
      </c>
      <c r="D110">
        <v>5.3</v>
      </c>
      <c r="E110">
        <v>0.2</v>
      </c>
      <c r="F110">
        <v>0.01</v>
      </c>
      <c r="G110">
        <v>109</v>
      </c>
      <c r="H110">
        <v>752</v>
      </c>
      <c r="I110">
        <v>558</v>
      </c>
      <c r="J110">
        <v>491</v>
      </c>
    </row>
    <row r="111" spans="1:10">
      <c r="A111">
        <v>6667</v>
      </c>
      <c r="B111" t="s">
        <v>5935</v>
      </c>
      <c r="C111">
        <v>28.51</v>
      </c>
      <c r="D111">
        <v>3.53</v>
      </c>
      <c r="E111">
        <v>0.28999999999999998</v>
      </c>
      <c r="F111">
        <v>0.45</v>
      </c>
      <c r="G111">
        <v>110</v>
      </c>
      <c r="H111">
        <v>863</v>
      </c>
      <c r="I111">
        <v>474</v>
      </c>
      <c r="J111">
        <v>262</v>
      </c>
    </row>
    <row r="112" spans="1:10">
      <c r="A112">
        <v>1810</v>
      </c>
      <c r="B112" t="s">
        <v>4968</v>
      </c>
      <c r="C112">
        <v>28.37</v>
      </c>
      <c r="D112">
        <v>5.41</v>
      </c>
      <c r="E112">
        <v>0</v>
      </c>
      <c r="F112">
        <v>0</v>
      </c>
      <c r="G112">
        <v>111</v>
      </c>
      <c r="H112">
        <v>742</v>
      </c>
      <c r="I112" t="s">
        <v>6289</v>
      </c>
      <c r="J112" t="s">
        <v>6289</v>
      </c>
    </row>
    <row r="113" spans="1:10">
      <c r="A113">
        <v>6531</v>
      </c>
      <c r="B113" t="s">
        <v>5905</v>
      </c>
      <c r="C113">
        <v>28.34</v>
      </c>
      <c r="D113">
        <v>16.79</v>
      </c>
      <c r="E113">
        <v>0.39</v>
      </c>
      <c r="F113">
        <v>0.37</v>
      </c>
      <c r="G113">
        <v>112</v>
      </c>
      <c r="H113">
        <v>332</v>
      </c>
      <c r="I113">
        <v>379</v>
      </c>
      <c r="J113">
        <v>278</v>
      </c>
    </row>
    <row r="114" spans="1:10">
      <c r="A114">
        <v>6443</v>
      </c>
      <c r="B114" t="s">
        <v>5877</v>
      </c>
      <c r="C114">
        <v>28.32</v>
      </c>
      <c r="D114">
        <v>20.36</v>
      </c>
      <c r="E114">
        <v>0.53</v>
      </c>
      <c r="F114">
        <v>8.5299999999999994</v>
      </c>
      <c r="G114">
        <v>113</v>
      </c>
      <c r="H114">
        <v>274</v>
      </c>
      <c r="I114">
        <v>308</v>
      </c>
      <c r="J114">
        <v>18</v>
      </c>
    </row>
    <row r="115" spans="1:10">
      <c r="A115">
        <v>2231</v>
      </c>
      <c r="B115" t="s">
        <v>5026</v>
      </c>
      <c r="C115">
        <v>28.3</v>
      </c>
      <c r="D115">
        <v>7.5</v>
      </c>
      <c r="E115">
        <v>0</v>
      </c>
      <c r="F115">
        <v>0.05</v>
      </c>
      <c r="G115">
        <v>114</v>
      </c>
      <c r="H115">
        <v>603</v>
      </c>
      <c r="I115" t="s">
        <v>6289</v>
      </c>
      <c r="J115">
        <v>428</v>
      </c>
    </row>
    <row r="116" spans="1:10">
      <c r="A116">
        <v>6182</v>
      </c>
      <c r="B116" t="s">
        <v>5794</v>
      </c>
      <c r="C116">
        <v>28.2</v>
      </c>
      <c r="D116">
        <v>15.5</v>
      </c>
      <c r="E116">
        <v>0</v>
      </c>
      <c r="F116">
        <v>0</v>
      </c>
      <c r="G116">
        <v>115</v>
      </c>
      <c r="H116">
        <v>342</v>
      </c>
      <c r="I116" t="s">
        <v>6289</v>
      </c>
      <c r="J116" t="s">
        <v>6289</v>
      </c>
    </row>
    <row r="117" spans="1:10">
      <c r="A117">
        <v>2390</v>
      </c>
      <c r="B117" t="s">
        <v>5087</v>
      </c>
      <c r="C117">
        <v>28.11</v>
      </c>
      <c r="D117">
        <v>1.1599999999999999</v>
      </c>
      <c r="E117">
        <v>0.13</v>
      </c>
      <c r="F117">
        <v>0</v>
      </c>
      <c r="G117">
        <v>116</v>
      </c>
      <c r="H117">
        <v>1180</v>
      </c>
      <c r="I117">
        <v>667</v>
      </c>
      <c r="J117" t="s">
        <v>6289</v>
      </c>
    </row>
    <row r="118" spans="1:10">
      <c r="A118">
        <v>3221</v>
      </c>
      <c r="B118" t="s">
        <v>5351</v>
      </c>
      <c r="C118">
        <v>28.06</v>
      </c>
      <c r="D118">
        <v>4.6900000000000004</v>
      </c>
      <c r="E118">
        <v>0.21</v>
      </c>
      <c r="F118">
        <v>0</v>
      </c>
      <c r="G118">
        <v>117</v>
      </c>
      <c r="H118">
        <v>796</v>
      </c>
      <c r="I118">
        <v>550</v>
      </c>
      <c r="J118" t="s">
        <v>6289</v>
      </c>
    </row>
    <row r="119" spans="1:10">
      <c r="A119">
        <v>6435</v>
      </c>
      <c r="B119" t="s">
        <v>5873</v>
      </c>
      <c r="C119">
        <v>27.75</v>
      </c>
      <c r="D119">
        <v>2.54</v>
      </c>
      <c r="E119">
        <v>1.41</v>
      </c>
      <c r="F119">
        <v>0</v>
      </c>
      <c r="G119">
        <v>118</v>
      </c>
      <c r="H119">
        <v>967</v>
      </c>
      <c r="I119">
        <v>121</v>
      </c>
      <c r="J119" t="s">
        <v>6289</v>
      </c>
    </row>
    <row r="120" spans="1:10">
      <c r="A120">
        <v>3027</v>
      </c>
      <c r="B120" t="s">
        <v>5287</v>
      </c>
      <c r="C120">
        <v>27.71</v>
      </c>
      <c r="D120">
        <v>1.17</v>
      </c>
      <c r="E120">
        <v>0.02</v>
      </c>
      <c r="F120">
        <v>0</v>
      </c>
      <c r="G120">
        <v>119</v>
      </c>
      <c r="H120">
        <v>1177</v>
      </c>
      <c r="I120">
        <v>1051</v>
      </c>
      <c r="J120" t="s">
        <v>6289</v>
      </c>
    </row>
    <row r="121" spans="1:10">
      <c r="A121">
        <v>4121</v>
      </c>
      <c r="B121" t="s">
        <v>5521</v>
      </c>
      <c r="C121">
        <v>27.63</v>
      </c>
      <c r="D121">
        <v>0.95</v>
      </c>
      <c r="E121">
        <v>1.2</v>
      </c>
      <c r="F121">
        <v>0</v>
      </c>
      <c r="G121">
        <v>120</v>
      </c>
      <c r="H121">
        <v>1216</v>
      </c>
      <c r="I121">
        <v>140</v>
      </c>
      <c r="J121" t="s">
        <v>6289</v>
      </c>
    </row>
    <row r="122" spans="1:10">
      <c r="A122">
        <v>6438</v>
      </c>
      <c r="B122" t="s">
        <v>5874</v>
      </c>
      <c r="C122">
        <v>27.49</v>
      </c>
      <c r="D122">
        <v>13.73</v>
      </c>
      <c r="E122">
        <v>0.28000000000000003</v>
      </c>
      <c r="F122">
        <v>5.69</v>
      </c>
      <c r="G122">
        <v>121</v>
      </c>
      <c r="H122">
        <v>386</v>
      </c>
      <c r="I122">
        <v>485</v>
      </c>
      <c r="J122">
        <v>42</v>
      </c>
    </row>
    <row r="123" spans="1:10">
      <c r="A123">
        <v>6441</v>
      </c>
      <c r="B123" t="s">
        <v>5875</v>
      </c>
      <c r="C123">
        <v>27.44</v>
      </c>
      <c r="D123">
        <v>0.42</v>
      </c>
      <c r="E123">
        <v>0.53</v>
      </c>
      <c r="F123">
        <v>0</v>
      </c>
      <c r="G123">
        <v>122</v>
      </c>
      <c r="H123">
        <v>1348</v>
      </c>
      <c r="I123">
        <v>308</v>
      </c>
      <c r="J123" t="s">
        <v>6289</v>
      </c>
    </row>
    <row r="124" spans="1:10">
      <c r="A124">
        <v>2486</v>
      </c>
      <c r="B124" t="s">
        <v>5149</v>
      </c>
      <c r="C124">
        <v>27.28</v>
      </c>
      <c r="D124">
        <v>1.59</v>
      </c>
      <c r="E124">
        <v>0</v>
      </c>
      <c r="F124">
        <v>0</v>
      </c>
      <c r="G124">
        <v>123</v>
      </c>
      <c r="H124">
        <v>1092</v>
      </c>
      <c r="I124" t="s">
        <v>6289</v>
      </c>
      <c r="J124" t="s">
        <v>6289</v>
      </c>
    </row>
    <row r="125" spans="1:10">
      <c r="A125">
        <v>4153</v>
      </c>
      <c r="B125" t="s">
        <v>5532</v>
      </c>
      <c r="C125">
        <v>27.24</v>
      </c>
      <c r="D125">
        <v>0.2</v>
      </c>
      <c r="E125">
        <v>0.06</v>
      </c>
      <c r="F125">
        <v>0</v>
      </c>
      <c r="G125">
        <v>124</v>
      </c>
      <c r="H125">
        <v>1409</v>
      </c>
      <c r="I125">
        <v>852</v>
      </c>
      <c r="J125" t="s">
        <v>6289</v>
      </c>
    </row>
    <row r="126" spans="1:10">
      <c r="A126">
        <v>5299</v>
      </c>
      <c r="B126" t="s">
        <v>316</v>
      </c>
      <c r="C126">
        <v>26.96</v>
      </c>
      <c r="D126">
        <v>1.73</v>
      </c>
      <c r="E126">
        <v>0.28999999999999998</v>
      </c>
      <c r="F126">
        <v>0</v>
      </c>
      <c r="G126">
        <v>125</v>
      </c>
      <c r="H126">
        <v>1073</v>
      </c>
      <c r="I126">
        <v>474</v>
      </c>
      <c r="J126" t="s">
        <v>6289</v>
      </c>
    </row>
    <row r="127" spans="1:10">
      <c r="A127">
        <v>6231</v>
      </c>
      <c r="B127" t="s">
        <v>5829</v>
      </c>
      <c r="C127">
        <v>26.95</v>
      </c>
      <c r="D127">
        <v>15.44</v>
      </c>
      <c r="E127">
        <v>0.46</v>
      </c>
      <c r="F127">
        <v>0.81</v>
      </c>
      <c r="G127">
        <v>126</v>
      </c>
      <c r="H127">
        <v>345</v>
      </c>
      <c r="I127">
        <v>337</v>
      </c>
      <c r="J127">
        <v>211</v>
      </c>
    </row>
    <row r="128" spans="1:10">
      <c r="A128">
        <v>5245</v>
      </c>
      <c r="B128" t="s">
        <v>5661</v>
      </c>
      <c r="C128">
        <v>26.76</v>
      </c>
      <c r="D128">
        <v>13.14</v>
      </c>
      <c r="E128">
        <v>0.86</v>
      </c>
      <c r="F128">
        <v>0.18</v>
      </c>
      <c r="G128">
        <v>127</v>
      </c>
      <c r="H128">
        <v>398</v>
      </c>
      <c r="I128">
        <v>200</v>
      </c>
      <c r="J128">
        <v>334</v>
      </c>
    </row>
    <row r="129" spans="1:10">
      <c r="A129">
        <v>3041</v>
      </c>
      <c r="B129" t="s">
        <v>5300</v>
      </c>
      <c r="C129">
        <v>26.62</v>
      </c>
      <c r="D129">
        <v>12.02</v>
      </c>
      <c r="E129">
        <v>0.57999999999999996</v>
      </c>
      <c r="F129">
        <v>0.02</v>
      </c>
      <c r="G129">
        <v>128</v>
      </c>
      <c r="H129">
        <v>429</v>
      </c>
      <c r="I129">
        <v>287</v>
      </c>
      <c r="J129">
        <v>473</v>
      </c>
    </row>
    <row r="130" spans="1:10">
      <c r="A130">
        <v>4746</v>
      </c>
      <c r="B130" t="s">
        <v>5601</v>
      </c>
      <c r="C130">
        <v>26.62</v>
      </c>
      <c r="D130">
        <v>3.1</v>
      </c>
      <c r="E130">
        <v>1.1399999999999999</v>
      </c>
      <c r="F130">
        <v>0</v>
      </c>
      <c r="G130">
        <v>128</v>
      </c>
      <c r="H130">
        <v>911</v>
      </c>
      <c r="I130">
        <v>152</v>
      </c>
      <c r="J130" t="s">
        <v>6289</v>
      </c>
    </row>
    <row r="131" spans="1:10">
      <c r="A131">
        <v>2462</v>
      </c>
      <c r="B131" t="s">
        <v>5131</v>
      </c>
      <c r="C131">
        <v>26.34</v>
      </c>
      <c r="D131">
        <v>0.94</v>
      </c>
      <c r="E131">
        <v>0.37</v>
      </c>
      <c r="F131">
        <v>0</v>
      </c>
      <c r="G131">
        <v>130</v>
      </c>
      <c r="H131">
        <v>1219</v>
      </c>
      <c r="I131">
        <v>395</v>
      </c>
      <c r="J131" t="s">
        <v>6289</v>
      </c>
    </row>
    <row r="132" spans="1:10">
      <c r="A132">
        <v>3527</v>
      </c>
      <c r="B132" t="s">
        <v>5435</v>
      </c>
      <c r="C132">
        <v>26.29</v>
      </c>
      <c r="D132">
        <v>7.37</v>
      </c>
      <c r="E132">
        <v>0.35</v>
      </c>
      <c r="F132">
        <v>0.95</v>
      </c>
      <c r="G132">
        <v>131</v>
      </c>
      <c r="H132">
        <v>611</v>
      </c>
      <c r="I132">
        <v>414</v>
      </c>
      <c r="J132">
        <v>195</v>
      </c>
    </row>
    <row r="133" spans="1:10">
      <c r="A133">
        <v>2641</v>
      </c>
      <c r="B133" t="s">
        <v>5205</v>
      </c>
      <c r="C133">
        <v>26.23</v>
      </c>
      <c r="D133">
        <v>1.87</v>
      </c>
      <c r="E133">
        <v>0.15</v>
      </c>
      <c r="F133">
        <v>0</v>
      </c>
      <c r="G133">
        <v>132</v>
      </c>
      <c r="H133">
        <v>1051</v>
      </c>
      <c r="I133">
        <v>635</v>
      </c>
      <c r="J133" t="s">
        <v>6289</v>
      </c>
    </row>
    <row r="134" spans="1:10">
      <c r="A134">
        <v>2371</v>
      </c>
      <c r="B134" t="s">
        <v>5075</v>
      </c>
      <c r="C134">
        <v>26.22</v>
      </c>
      <c r="D134">
        <v>18.7</v>
      </c>
      <c r="E134">
        <v>1.51</v>
      </c>
      <c r="F134">
        <v>0.18</v>
      </c>
      <c r="G134">
        <v>133</v>
      </c>
      <c r="H134">
        <v>297</v>
      </c>
      <c r="I134">
        <v>104</v>
      </c>
      <c r="J134">
        <v>334</v>
      </c>
    </row>
    <row r="135" spans="1:10">
      <c r="A135">
        <v>9802</v>
      </c>
      <c r="B135" t="s">
        <v>6070</v>
      </c>
      <c r="C135">
        <v>26.21</v>
      </c>
      <c r="D135">
        <v>44.26</v>
      </c>
      <c r="E135">
        <v>0.56000000000000005</v>
      </c>
      <c r="F135">
        <v>4.8600000000000003</v>
      </c>
      <c r="G135">
        <v>134</v>
      </c>
      <c r="H135">
        <v>94</v>
      </c>
      <c r="I135">
        <v>296</v>
      </c>
      <c r="J135">
        <v>61</v>
      </c>
    </row>
    <row r="136" spans="1:10">
      <c r="A136">
        <v>3491</v>
      </c>
      <c r="B136" t="s">
        <v>5423</v>
      </c>
      <c r="C136">
        <v>26.03</v>
      </c>
      <c r="D136">
        <v>12.91</v>
      </c>
      <c r="E136">
        <v>0.79</v>
      </c>
      <c r="F136">
        <v>2.17</v>
      </c>
      <c r="G136">
        <v>135</v>
      </c>
      <c r="H136">
        <v>405</v>
      </c>
      <c r="I136">
        <v>222</v>
      </c>
      <c r="J136">
        <v>123</v>
      </c>
    </row>
    <row r="137" spans="1:10">
      <c r="A137">
        <v>4968</v>
      </c>
      <c r="B137" t="s">
        <v>5634</v>
      </c>
      <c r="C137">
        <v>25.97</v>
      </c>
      <c r="D137">
        <v>31.45</v>
      </c>
      <c r="E137">
        <v>1.63</v>
      </c>
      <c r="F137">
        <v>2.69</v>
      </c>
      <c r="G137">
        <v>136</v>
      </c>
      <c r="H137">
        <v>168</v>
      </c>
      <c r="I137">
        <v>99</v>
      </c>
      <c r="J137">
        <v>98</v>
      </c>
    </row>
    <row r="138" spans="1:10">
      <c r="A138">
        <v>1337</v>
      </c>
      <c r="B138" t="s">
        <v>4825</v>
      </c>
      <c r="C138">
        <v>25.76</v>
      </c>
      <c r="D138">
        <v>24.14</v>
      </c>
      <c r="E138">
        <v>0.08</v>
      </c>
      <c r="F138">
        <v>0</v>
      </c>
      <c r="G138">
        <v>137</v>
      </c>
      <c r="H138">
        <v>228</v>
      </c>
      <c r="I138">
        <v>789</v>
      </c>
      <c r="J138" t="s">
        <v>6289</v>
      </c>
    </row>
    <row r="139" spans="1:10">
      <c r="A139">
        <v>3294</v>
      </c>
      <c r="B139" t="s">
        <v>5372</v>
      </c>
      <c r="C139">
        <v>25.74</v>
      </c>
      <c r="D139">
        <v>6.77</v>
      </c>
      <c r="E139">
        <v>0.17</v>
      </c>
      <c r="F139">
        <v>0</v>
      </c>
      <c r="G139">
        <v>138</v>
      </c>
      <c r="H139">
        <v>647</v>
      </c>
      <c r="I139">
        <v>598</v>
      </c>
      <c r="J139" t="s">
        <v>6289</v>
      </c>
    </row>
    <row r="140" spans="1:10">
      <c r="A140">
        <v>1526</v>
      </c>
      <c r="B140" t="s">
        <v>4879</v>
      </c>
      <c r="C140">
        <v>25.65</v>
      </c>
      <c r="D140">
        <v>3.48</v>
      </c>
      <c r="E140">
        <v>0.1</v>
      </c>
      <c r="F140">
        <v>0</v>
      </c>
      <c r="G140">
        <v>139</v>
      </c>
      <c r="H140">
        <v>871</v>
      </c>
      <c r="I140">
        <v>734</v>
      </c>
      <c r="J140" t="s">
        <v>6289</v>
      </c>
    </row>
    <row r="141" spans="1:10">
      <c r="A141">
        <v>2375</v>
      </c>
      <c r="B141" t="s">
        <v>5078</v>
      </c>
      <c r="C141">
        <v>25.61</v>
      </c>
      <c r="D141">
        <v>5.28</v>
      </c>
      <c r="E141">
        <v>0.01</v>
      </c>
      <c r="F141">
        <v>0</v>
      </c>
      <c r="G141">
        <v>140</v>
      </c>
      <c r="H141">
        <v>754</v>
      </c>
      <c r="I141">
        <v>1110</v>
      </c>
      <c r="J141" t="s">
        <v>6289</v>
      </c>
    </row>
    <row r="142" spans="1:10">
      <c r="A142">
        <v>9944</v>
      </c>
      <c r="B142" t="s">
        <v>6100</v>
      </c>
      <c r="C142">
        <v>25.6</v>
      </c>
      <c r="D142">
        <v>1.83</v>
      </c>
      <c r="E142">
        <v>0.37</v>
      </c>
      <c r="F142">
        <v>0</v>
      </c>
      <c r="G142">
        <v>141</v>
      </c>
      <c r="H142">
        <v>1056</v>
      </c>
      <c r="I142">
        <v>395</v>
      </c>
      <c r="J142" t="s">
        <v>6289</v>
      </c>
    </row>
    <row r="143" spans="1:10">
      <c r="A143">
        <v>3059</v>
      </c>
      <c r="B143" t="s">
        <v>5312</v>
      </c>
      <c r="C143">
        <v>25.57</v>
      </c>
      <c r="D143">
        <v>9.64</v>
      </c>
      <c r="E143">
        <v>0.77</v>
      </c>
      <c r="F143">
        <v>2.33</v>
      </c>
      <c r="G143">
        <v>142</v>
      </c>
      <c r="H143">
        <v>512</v>
      </c>
      <c r="I143">
        <v>226</v>
      </c>
      <c r="J143">
        <v>113</v>
      </c>
    </row>
    <row r="144" spans="1:10">
      <c r="A144">
        <v>2484</v>
      </c>
      <c r="B144" t="s">
        <v>5147</v>
      </c>
      <c r="C144">
        <v>25.2</v>
      </c>
      <c r="D144">
        <v>4.6900000000000004</v>
      </c>
      <c r="E144">
        <v>0.03</v>
      </c>
      <c r="F144">
        <v>0</v>
      </c>
      <c r="G144">
        <v>143</v>
      </c>
      <c r="H144">
        <v>796</v>
      </c>
      <c r="I144">
        <v>978</v>
      </c>
      <c r="J144" t="s">
        <v>6289</v>
      </c>
    </row>
    <row r="145" spans="1:10">
      <c r="A145">
        <v>8440</v>
      </c>
      <c r="B145" t="s">
        <v>6036</v>
      </c>
      <c r="C145">
        <v>25.16</v>
      </c>
      <c r="D145">
        <v>2.67</v>
      </c>
      <c r="E145">
        <v>1.26</v>
      </c>
      <c r="F145">
        <v>0</v>
      </c>
      <c r="G145">
        <v>144</v>
      </c>
      <c r="H145">
        <v>953</v>
      </c>
      <c r="I145">
        <v>136</v>
      </c>
      <c r="J145" t="s">
        <v>6289</v>
      </c>
    </row>
    <row r="146" spans="1:10">
      <c r="A146">
        <v>6417</v>
      </c>
      <c r="B146" t="s">
        <v>6301</v>
      </c>
      <c r="C146">
        <v>24.79</v>
      </c>
      <c r="D146">
        <v>11.61</v>
      </c>
      <c r="E146">
        <v>0</v>
      </c>
      <c r="F146">
        <v>0</v>
      </c>
      <c r="G146">
        <v>145</v>
      </c>
      <c r="H146">
        <v>438</v>
      </c>
      <c r="I146" t="s">
        <v>6289</v>
      </c>
      <c r="J146" t="s">
        <v>6289</v>
      </c>
    </row>
    <row r="147" spans="1:10">
      <c r="A147">
        <v>6642</v>
      </c>
      <c r="B147" t="s">
        <v>6300</v>
      </c>
      <c r="C147">
        <v>24.78</v>
      </c>
      <c r="D147">
        <v>3.33</v>
      </c>
      <c r="E147">
        <v>0</v>
      </c>
      <c r="F147">
        <v>0</v>
      </c>
      <c r="G147">
        <v>146</v>
      </c>
      <c r="H147">
        <v>889</v>
      </c>
      <c r="I147" t="s">
        <v>6289</v>
      </c>
      <c r="J147" t="s">
        <v>6289</v>
      </c>
    </row>
    <row r="148" spans="1:10">
      <c r="A148">
        <v>3594</v>
      </c>
      <c r="B148" t="s">
        <v>5464</v>
      </c>
      <c r="C148">
        <v>24.75</v>
      </c>
      <c r="D148">
        <v>0.25</v>
      </c>
      <c r="E148">
        <v>0.57999999999999996</v>
      </c>
      <c r="F148">
        <v>1.78</v>
      </c>
      <c r="G148">
        <v>147</v>
      </c>
      <c r="H148">
        <v>1399</v>
      </c>
      <c r="I148">
        <v>287</v>
      </c>
      <c r="J148">
        <v>143</v>
      </c>
    </row>
    <row r="149" spans="1:10">
      <c r="A149">
        <v>2338</v>
      </c>
      <c r="B149" t="s">
        <v>5052</v>
      </c>
      <c r="C149">
        <v>24.73</v>
      </c>
      <c r="D149">
        <v>7.3</v>
      </c>
      <c r="E149">
        <v>0.02</v>
      </c>
      <c r="F149">
        <v>2.83</v>
      </c>
      <c r="G149">
        <v>148</v>
      </c>
      <c r="H149">
        <v>617</v>
      </c>
      <c r="I149">
        <v>1051</v>
      </c>
      <c r="J149">
        <v>92</v>
      </c>
    </row>
    <row r="150" spans="1:10">
      <c r="A150">
        <v>6276</v>
      </c>
      <c r="B150" t="s">
        <v>5851</v>
      </c>
      <c r="C150">
        <v>24.68</v>
      </c>
      <c r="D150">
        <v>3.21</v>
      </c>
      <c r="E150">
        <v>0.03</v>
      </c>
      <c r="F150">
        <v>0</v>
      </c>
      <c r="G150">
        <v>149</v>
      </c>
      <c r="H150">
        <v>899</v>
      </c>
      <c r="I150">
        <v>978</v>
      </c>
      <c r="J150" t="s">
        <v>6289</v>
      </c>
    </row>
    <row r="151" spans="1:10">
      <c r="A151">
        <v>1727</v>
      </c>
      <c r="B151" t="s">
        <v>4942</v>
      </c>
      <c r="C151">
        <v>24.67</v>
      </c>
      <c r="D151">
        <v>2.25</v>
      </c>
      <c r="E151">
        <v>0.64</v>
      </c>
      <c r="F151">
        <v>0.1</v>
      </c>
      <c r="G151">
        <v>150</v>
      </c>
      <c r="H151">
        <v>997</v>
      </c>
      <c r="I151">
        <v>270</v>
      </c>
      <c r="J151">
        <v>383</v>
      </c>
    </row>
    <row r="152" spans="1:10">
      <c r="A152">
        <v>6290</v>
      </c>
      <c r="B152" t="s">
        <v>5861</v>
      </c>
      <c r="C152">
        <v>24.66</v>
      </c>
      <c r="D152">
        <v>2.09</v>
      </c>
      <c r="E152">
        <v>0.08</v>
      </c>
      <c r="F152">
        <v>0</v>
      </c>
      <c r="G152">
        <v>151</v>
      </c>
      <c r="H152">
        <v>1017</v>
      </c>
      <c r="I152">
        <v>789</v>
      </c>
      <c r="J152" t="s">
        <v>6289</v>
      </c>
    </row>
    <row r="153" spans="1:10">
      <c r="A153">
        <v>2030</v>
      </c>
      <c r="B153" t="s">
        <v>4994</v>
      </c>
      <c r="C153">
        <v>24.39</v>
      </c>
      <c r="D153">
        <v>3.92</v>
      </c>
      <c r="E153">
        <v>0.86</v>
      </c>
      <c r="F153">
        <v>0.03</v>
      </c>
      <c r="G153">
        <v>152</v>
      </c>
      <c r="H153">
        <v>839</v>
      </c>
      <c r="I153">
        <v>200</v>
      </c>
      <c r="J153">
        <v>458</v>
      </c>
    </row>
    <row r="154" spans="1:10">
      <c r="A154">
        <v>3050</v>
      </c>
      <c r="B154" t="s">
        <v>5307</v>
      </c>
      <c r="C154">
        <v>24.39</v>
      </c>
      <c r="D154">
        <v>12.01</v>
      </c>
      <c r="E154">
        <v>0.11</v>
      </c>
      <c r="F154">
        <v>0</v>
      </c>
      <c r="G154">
        <v>152</v>
      </c>
      <c r="H154">
        <v>430</v>
      </c>
      <c r="I154">
        <v>708</v>
      </c>
      <c r="J154" t="s">
        <v>6289</v>
      </c>
    </row>
    <row r="155" spans="1:10">
      <c r="A155">
        <v>3558</v>
      </c>
      <c r="B155" t="s">
        <v>5454</v>
      </c>
      <c r="C155">
        <v>24.29</v>
      </c>
      <c r="D155">
        <v>3.13</v>
      </c>
      <c r="E155">
        <v>1.0900000000000001</v>
      </c>
      <c r="F155">
        <v>9.98</v>
      </c>
      <c r="G155">
        <v>154</v>
      </c>
      <c r="H155">
        <v>905</v>
      </c>
      <c r="I155">
        <v>162</v>
      </c>
      <c r="J155">
        <v>13</v>
      </c>
    </row>
    <row r="156" spans="1:10">
      <c r="A156">
        <v>3707</v>
      </c>
      <c r="B156" t="s">
        <v>5505</v>
      </c>
      <c r="C156">
        <v>24.27</v>
      </c>
      <c r="D156">
        <v>9.61</v>
      </c>
      <c r="E156">
        <v>0.42</v>
      </c>
      <c r="F156">
        <v>5.27</v>
      </c>
      <c r="G156">
        <v>155</v>
      </c>
      <c r="H156">
        <v>514</v>
      </c>
      <c r="I156">
        <v>363</v>
      </c>
      <c r="J156">
        <v>54</v>
      </c>
    </row>
    <row r="157" spans="1:10">
      <c r="A157">
        <v>6243</v>
      </c>
      <c r="B157" t="s">
        <v>5836</v>
      </c>
      <c r="C157">
        <v>24.16</v>
      </c>
      <c r="D157">
        <v>0.62</v>
      </c>
      <c r="E157">
        <v>0.72</v>
      </c>
      <c r="F157">
        <v>0.13</v>
      </c>
      <c r="G157">
        <v>156</v>
      </c>
      <c r="H157">
        <v>1291</v>
      </c>
      <c r="I157">
        <v>243</v>
      </c>
      <c r="J157">
        <v>357</v>
      </c>
    </row>
    <row r="158" spans="1:10">
      <c r="A158">
        <v>2481</v>
      </c>
      <c r="B158" t="s">
        <v>5144</v>
      </c>
      <c r="C158">
        <v>24.12</v>
      </c>
      <c r="D158">
        <v>12.66</v>
      </c>
      <c r="E158">
        <v>0.33</v>
      </c>
      <c r="F158">
        <v>1.52</v>
      </c>
      <c r="G158">
        <v>157</v>
      </c>
      <c r="H158">
        <v>410</v>
      </c>
      <c r="I158">
        <v>435</v>
      </c>
      <c r="J158">
        <v>158</v>
      </c>
    </row>
    <row r="159" spans="1:10">
      <c r="A159">
        <v>3714</v>
      </c>
      <c r="B159" t="s">
        <v>5509</v>
      </c>
      <c r="C159">
        <v>24.08</v>
      </c>
      <c r="D159">
        <v>13.34</v>
      </c>
      <c r="E159">
        <v>0</v>
      </c>
      <c r="F159">
        <v>0.3</v>
      </c>
      <c r="G159">
        <v>158</v>
      </c>
      <c r="H159">
        <v>392</v>
      </c>
      <c r="I159" t="s">
        <v>6289</v>
      </c>
      <c r="J159">
        <v>299</v>
      </c>
    </row>
    <row r="160" spans="1:10">
      <c r="A160">
        <v>6251</v>
      </c>
      <c r="B160" t="s">
        <v>5840</v>
      </c>
      <c r="C160">
        <v>24.07</v>
      </c>
      <c r="D160">
        <v>16.47</v>
      </c>
      <c r="E160">
        <v>0.92</v>
      </c>
      <c r="F160">
        <v>0.1</v>
      </c>
      <c r="G160">
        <v>159</v>
      </c>
      <c r="H160">
        <v>337</v>
      </c>
      <c r="I160">
        <v>189</v>
      </c>
      <c r="J160">
        <v>383</v>
      </c>
    </row>
    <row r="161" spans="1:10">
      <c r="A161">
        <v>5009</v>
      </c>
      <c r="B161" t="s">
        <v>5645</v>
      </c>
      <c r="C161">
        <v>24.06</v>
      </c>
      <c r="D161">
        <v>12.06</v>
      </c>
      <c r="E161">
        <v>1.17</v>
      </c>
      <c r="F161">
        <v>5.42</v>
      </c>
      <c r="G161">
        <v>160</v>
      </c>
      <c r="H161">
        <v>427</v>
      </c>
      <c r="I161">
        <v>147</v>
      </c>
      <c r="J161">
        <v>50</v>
      </c>
    </row>
    <row r="162" spans="1:10">
      <c r="A162">
        <v>6190</v>
      </c>
      <c r="B162" t="s">
        <v>5802</v>
      </c>
      <c r="C162">
        <v>23.89</v>
      </c>
      <c r="D162">
        <v>0.91</v>
      </c>
      <c r="E162">
        <v>0.06</v>
      </c>
      <c r="F162">
        <v>0</v>
      </c>
      <c r="G162">
        <v>161</v>
      </c>
      <c r="H162">
        <v>1224</v>
      </c>
      <c r="I162">
        <v>852</v>
      </c>
      <c r="J162" t="s">
        <v>6289</v>
      </c>
    </row>
    <row r="163" spans="1:10">
      <c r="A163">
        <v>4961</v>
      </c>
      <c r="B163" t="s">
        <v>5631</v>
      </c>
      <c r="C163">
        <v>23.81</v>
      </c>
      <c r="D163">
        <v>7.49</v>
      </c>
      <c r="E163">
        <v>1</v>
      </c>
      <c r="F163">
        <v>0.21</v>
      </c>
      <c r="G163">
        <v>162</v>
      </c>
      <c r="H163">
        <v>604</v>
      </c>
      <c r="I163">
        <v>176</v>
      </c>
      <c r="J163">
        <v>324</v>
      </c>
    </row>
    <row r="164" spans="1:10">
      <c r="A164">
        <v>5608</v>
      </c>
      <c r="B164" t="s">
        <v>5726</v>
      </c>
      <c r="C164">
        <v>23.78</v>
      </c>
      <c r="D164">
        <v>5.74</v>
      </c>
      <c r="E164">
        <v>0.92</v>
      </c>
      <c r="F164">
        <v>0.01</v>
      </c>
      <c r="G164">
        <v>163</v>
      </c>
      <c r="H164">
        <v>717</v>
      </c>
      <c r="I164">
        <v>189</v>
      </c>
      <c r="J164">
        <v>491</v>
      </c>
    </row>
    <row r="165" spans="1:10">
      <c r="A165">
        <v>6233</v>
      </c>
      <c r="B165" t="s">
        <v>5830</v>
      </c>
      <c r="C165">
        <v>23.66</v>
      </c>
      <c r="D165">
        <v>3.46</v>
      </c>
      <c r="E165">
        <v>0.85</v>
      </c>
      <c r="F165">
        <v>0</v>
      </c>
      <c r="G165">
        <v>164</v>
      </c>
      <c r="H165">
        <v>877</v>
      </c>
      <c r="I165">
        <v>207</v>
      </c>
      <c r="J165" t="s">
        <v>6289</v>
      </c>
    </row>
    <row r="166" spans="1:10">
      <c r="A166">
        <v>2406</v>
      </c>
      <c r="B166" t="s">
        <v>5096</v>
      </c>
      <c r="C166">
        <v>23.6</v>
      </c>
      <c r="D166">
        <v>4.96</v>
      </c>
      <c r="E166">
        <v>0.43</v>
      </c>
      <c r="F166">
        <v>0</v>
      </c>
      <c r="G166">
        <v>165</v>
      </c>
      <c r="H166">
        <v>775</v>
      </c>
      <c r="I166">
        <v>355</v>
      </c>
      <c r="J166" t="s">
        <v>6289</v>
      </c>
    </row>
    <row r="167" spans="1:10">
      <c r="A167">
        <v>1584</v>
      </c>
      <c r="B167" t="s">
        <v>4902</v>
      </c>
      <c r="C167">
        <v>23.57</v>
      </c>
      <c r="D167">
        <v>1.33</v>
      </c>
      <c r="E167">
        <v>0.48</v>
      </c>
      <c r="F167">
        <v>0</v>
      </c>
      <c r="G167">
        <v>166</v>
      </c>
      <c r="H167">
        <v>1144</v>
      </c>
      <c r="I167">
        <v>329</v>
      </c>
      <c r="J167" t="s">
        <v>6289</v>
      </c>
    </row>
    <row r="168" spans="1:10">
      <c r="A168">
        <v>3490</v>
      </c>
      <c r="B168" t="s">
        <v>5422</v>
      </c>
      <c r="C168">
        <v>23.56</v>
      </c>
      <c r="D168">
        <v>4.1399999999999997</v>
      </c>
      <c r="E168">
        <v>0.59</v>
      </c>
      <c r="F168">
        <v>0</v>
      </c>
      <c r="G168">
        <v>167</v>
      </c>
      <c r="H168">
        <v>826</v>
      </c>
      <c r="I168">
        <v>286</v>
      </c>
      <c r="J168" t="s">
        <v>6289</v>
      </c>
    </row>
    <row r="169" spans="1:10">
      <c r="A169">
        <v>2359</v>
      </c>
      <c r="B169" t="s">
        <v>5067</v>
      </c>
      <c r="C169">
        <v>23.55</v>
      </c>
      <c r="D169">
        <v>4.7699999999999996</v>
      </c>
      <c r="E169">
        <v>0.39</v>
      </c>
      <c r="F169">
        <v>0.1</v>
      </c>
      <c r="G169">
        <v>168</v>
      </c>
      <c r="H169">
        <v>787</v>
      </c>
      <c r="I169">
        <v>379</v>
      </c>
      <c r="J169">
        <v>383</v>
      </c>
    </row>
    <row r="170" spans="1:10">
      <c r="A170">
        <v>3508</v>
      </c>
      <c r="B170" t="s">
        <v>5429</v>
      </c>
      <c r="C170">
        <v>23.43</v>
      </c>
      <c r="D170">
        <v>4.72</v>
      </c>
      <c r="E170">
        <v>2.41</v>
      </c>
      <c r="F170">
        <v>0</v>
      </c>
      <c r="G170">
        <v>169</v>
      </c>
      <c r="H170">
        <v>794</v>
      </c>
      <c r="I170">
        <v>62</v>
      </c>
      <c r="J170" t="s">
        <v>6289</v>
      </c>
    </row>
    <row r="171" spans="1:10">
      <c r="A171">
        <v>3062</v>
      </c>
      <c r="B171" t="s">
        <v>5314</v>
      </c>
      <c r="C171">
        <v>23.34</v>
      </c>
      <c r="D171">
        <v>10.94</v>
      </c>
      <c r="E171">
        <v>0.25</v>
      </c>
      <c r="F171">
        <v>0</v>
      </c>
      <c r="G171">
        <v>170</v>
      </c>
      <c r="H171">
        <v>466</v>
      </c>
      <c r="I171">
        <v>507</v>
      </c>
      <c r="J171" t="s">
        <v>6289</v>
      </c>
    </row>
    <row r="172" spans="1:10">
      <c r="A172">
        <v>3128</v>
      </c>
      <c r="B172" t="s">
        <v>5328</v>
      </c>
      <c r="C172">
        <v>23.33</v>
      </c>
      <c r="D172">
        <v>3.02</v>
      </c>
      <c r="E172">
        <v>0.95</v>
      </c>
      <c r="F172">
        <v>0</v>
      </c>
      <c r="G172">
        <v>171</v>
      </c>
      <c r="H172">
        <v>920</v>
      </c>
      <c r="I172">
        <v>182</v>
      </c>
      <c r="J172" t="s">
        <v>6289</v>
      </c>
    </row>
    <row r="173" spans="1:10">
      <c r="A173">
        <v>5902</v>
      </c>
      <c r="B173" t="s">
        <v>5734</v>
      </c>
      <c r="C173">
        <v>23.31</v>
      </c>
      <c r="D173">
        <v>0.1</v>
      </c>
      <c r="E173">
        <v>0.16</v>
      </c>
      <c r="F173">
        <v>0</v>
      </c>
      <c r="G173">
        <v>172</v>
      </c>
      <c r="H173">
        <v>1445</v>
      </c>
      <c r="I173">
        <v>614</v>
      </c>
      <c r="J173" t="s">
        <v>6289</v>
      </c>
    </row>
    <row r="174" spans="1:10">
      <c r="A174">
        <v>3055</v>
      </c>
      <c r="B174" t="s">
        <v>5310</v>
      </c>
      <c r="C174">
        <v>23.23</v>
      </c>
      <c r="D174">
        <v>1.69</v>
      </c>
      <c r="E174">
        <v>0.04</v>
      </c>
      <c r="F174">
        <v>0</v>
      </c>
      <c r="G174">
        <v>173</v>
      </c>
      <c r="H174">
        <v>1079</v>
      </c>
      <c r="I174">
        <v>936</v>
      </c>
      <c r="J174" t="s">
        <v>6289</v>
      </c>
    </row>
    <row r="175" spans="1:10">
      <c r="A175">
        <v>6165</v>
      </c>
      <c r="B175" t="s">
        <v>5783</v>
      </c>
      <c r="C175">
        <v>23.17</v>
      </c>
      <c r="D175">
        <v>0.89</v>
      </c>
      <c r="E175">
        <v>0.03</v>
      </c>
      <c r="F175">
        <v>0</v>
      </c>
      <c r="G175">
        <v>174</v>
      </c>
      <c r="H175">
        <v>1229</v>
      </c>
      <c r="I175">
        <v>978</v>
      </c>
      <c r="J175" t="s">
        <v>6289</v>
      </c>
    </row>
    <row r="176" spans="1:10">
      <c r="A176">
        <v>3025</v>
      </c>
      <c r="B176" t="s">
        <v>5285</v>
      </c>
      <c r="C176">
        <v>23.14</v>
      </c>
      <c r="D176">
        <v>1.28</v>
      </c>
      <c r="E176">
        <v>0.36</v>
      </c>
      <c r="F176">
        <v>0</v>
      </c>
      <c r="G176">
        <v>175</v>
      </c>
      <c r="H176">
        <v>1153</v>
      </c>
      <c r="I176">
        <v>406</v>
      </c>
      <c r="J176" t="s">
        <v>6289</v>
      </c>
    </row>
    <row r="177" spans="1:10">
      <c r="A177">
        <v>4106</v>
      </c>
      <c r="B177" t="s">
        <v>630</v>
      </c>
      <c r="C177">
        <v>23.08</v>
      </c>
      <c r="D177">
        <v>2.14</v>
      </c>
      <c r="E177">
        <v>0.67</v>
      </c>
      <c r="F177">
        <v>0</v>
      </c>
      <c r="G177">
        <v>176</v>
      </c>
      <c r="H177">
        <v>1008</v>
      </c>
      <c r="I177">
        <v>259</v>
      </c>
      <c r="J177" t="s">
        <v>6289</v>
      </c>
    </row>
    <row r="178" spans="1:10">
      <c r="A178">
        <v>3285</v>
      </c>
      <c r="B178" t="s">
        <v>6302</v>
      </c>
      <c r="C178">
        <v>23.06</v>
      </c>
      <c r="D178">
        <v>0.82</v>
      </c>
      <c r="E178">
        <v>0</v>
      </c>
      <c r="F178">
        <v>0</v>
      </c>
      <c r="G178">
        <v>177</v>
      </c>
      <c r="H178">
        <v>1241</v>
      </c>
      <c r="I178" t="s">
        <v>6289</v>
      </c>
      <c r="J178" t="s">
        <v>6289</v>
      </c>
    </row>
    <row r="179" spans="1:10">
      <c r="A179">
        <v>3615</v>
      </c>
      <c r="B179" t="s">
        <v>5471</v>
      </c>
      <c r="C179">
        <v>22.98</v>
      </c>
      <c r="D179">
        <v>0.64</v>
      </c>
      <c r="E179">
        <v>0.12</v>
      </c>
      <c r="F179">
        <v>0</v>
      </c>
      <c r="G179">
        <v>178</v>
      </c>
      <c r="H179">
        <v>1286</v>
      </c>
      <c r="I179">
        <v>683</v>
      </c>
      <c r="J179" t="s">
        <v>6289</v>
      </c>
    </row>
    <row r="180" spans="1:10">
      <c r="A180">
        <v>2455</v>
      </c>
      <c r="B180" t="s">
        <v>5125</v>
      </c>
      <c r="C180">
        <v>22.92</v>
      </c>
      <c r="D180">
        <v>28.86</v>
      </c>
      <c r="E180">
        <v>1.86</v>
      </c>
      <c r="F180">
        <v>0.83</v>
      </c>
      <c r="G180">
        <v>179</v>
      </c>
      <c r="H180">
        <v>191</v>
      </c>
      <c r="I180">
        <v>82</v>
      </c>
      <c r="J180">
        <v>209</v>
      </c>
    </row>
    <row r="181" spans="1:10">
      <c r="A181">
        <v>6538</v>
      </c>
      <c r="B181" t="s">
        <v>5908</v>
      </c>
      <c r="C181">
        <v>22.88</v>
      </c>
      <c r="D181">
        <v>3.36</v>
      </c>
      <c r="E181">
        <v>0.55000000000000004</v>
      </c>
      <c r="F181">
        <v>0.3</v>
      </c>
      <c r="G181">
        <v>180</v>
      </c>
      <c r="H181">
        <v>885</v>
      </c>
      <c r="I181">
        <v>302</v>
      </c>
      <c r="J181">
        <v>299</v>
      </c>
    </row>
    <row r="182" spans="1:10">
      <c r="A182">
        <v>3260</v>
      </c>
      <c r="B182" t="s">
        <v>5361</v>
      </c>
      <c r="C182">
        <v>22.83</v>
      </c>
      <c r="D182">
        <v>7.2</v>
      </c>
      <c r="E182">
        <v>0.54</v>
      </c>
      <c r="F182">
        <v>0.09</v>
      </c>
      <c r="G182">
        <v>181</v>
      </c>
      <c r="H182">
        <v>623</v>
      </c>
      <c r="I182">
        <v>304</v>
      </c>
      <c r="J182">
        <v>395</v>
      </c>
    </row>
    <row r="183" spans="1:10">
      <c r="A183">
        <v>5201</v>
      </c>
      <c r="B183" t="s">
        <v>6303</v>
      </c>
      <c r="C183">
        <v>22.7</v>
      </c>
      <c r="D183">
        <v>5.6</v>
      </c>
      <c r="E183">
        <v>0.13</v>
      </c>
      <c r="F183">
        <v>0</v>
      </c>
      <c r="G183">
        <v>182</v>
      </c>
      <c r="H183">
        <v>727</v>
      </c>
      <c r="I183">
        <v>667</v>
      </c>
      <c r="J183" t="s">
        <v>6289</v>
      </c>
    </row>
    <row r="184" spans="1:10">
      <c r="A184">
        <v>1732</v>
      </c>
      <c r="B184" t="s">
        <v>4945</v>
      </c>
      <c r="C184">
        <v>22.64</v>
      </c>
      <c r="D184">
        <v>1.99</v>
      </c>
      <c r="E184">
        <v>2.09</v>
      </c>
      <c r="F184">
        <v>7.0000000000000007E-2</v>
      </c>
      <c r="G184">
        <v>183</v>
      </c>
      <c r="H184">
        <v>1030</v>
      </c>
      <c r="I184">
        <v>75</v>
      </c>
      <c r="J184">
        <v>407</v>
      </c>
    </row>
    <row r="185" spans="1:10">
      <c r="A185">
        <v>4534</v>
      </c>
      <c r="B185" t="s">
        <v>5566</v>
      </c>
      <c r="C185">
        <v>22.64</v>
      </c>
      <c r="D185">
        <v>0.28999999999999998</v>
      </c>
      <c r="E185">
        <v>0.03</v>
      </c>
      <c r="F185">
        <v>0</v>
      </c>
      <c r="G185">
        <v>183</v>
      </c>
      <c r="H185">
        <v>1387</v>
      </c>
      <c r="I185">
        <v>978</v>
      </c>
      <c r="J185" t="s">
        <v>6289</v>
      </c>
    </row>
    <row r="186" spans="1:10">
      <c r="A186">
        <v>6122</v>
      </c>
      <c r="B186" t="s">
        <v>5756</v>
      </c>
      <c r="C186">
        <v>22.48</v>
      </c>
      <c r="D186">
        <v>2.78</v>
      </c>
      <c r="E186">
        <v>0.02</v>
      </c>
      <c r="F186">
        <v>0</v>
      </c>
      <c r="G186">
        <v>185</v>
      </c>
      <c r="H186">
        <v>940</v>
      </c>
      <c r="I186">
        <v>1051</v>
      </c>
      <c r="J186" t="s">
        <v>6289</v>
      </c>
    </row>
    <row r="187" spans="1:10">
      <c r="A187">
        <v>4912</v>
      </c>
      <c r="B187" t="s">
        <v>5613</v>
      </c>
      <c r="C187">
        <v>22.43</v>
      </c>
      <c r="D187">
        <v>30.31</v>
      </c>
      <c r="E187">
        <v>0.09</v>
      </c>
      <c r="F187">
        <v>0</v>
      </c>
      <c r="G187">
        <v>186</v>
      </c>
      <c r="H187">
        <v>180</v>
      </c>
      <c r="I187">
        <v>762</v>
      </c>
      <c r="J187" t="s">
        <v>6289</v>
      </c>
    </row>
    <row r="188" spans="1:10">
      <c r="A188">
        <v>9958</v>
      </c>
      <c r="B188" t="s">
        <v>6105</v>
      </c>
      <c r="C188">
        <v>22.42</v>
      </c>
      <c r="D188">
        <v>10.24</v>
      </c>
      <c r="E188">
        <v>0.18</v>
      </c>
      <c r="F188">
        <v>5.0599999999999996</v>
      </c>
      <c r="G188">
        <v>187</v>
      </c>
      <c r="H188">
        <v>492</v>
      </c>
      <c r="I188">
        <v>586</v>
      </c>
      <c r="J188">
        <v>60</v>
      </c>
    </row>
    <row r="189" spans="1:10">
      <c r="A189">
        <v>3163</v>
      </c>
      <c r="B189" t="s">
        <v>5335</v>
      </c>
      <c r="C189">
        <v>22.41</v>
      </c>
      <c r="D189">
        <v>6.06</v>
      </c>
      <c r="E189">
        <v>0.42</v>
      </c>
      <c r="F189">
        <v>0</v>
      </c>
      <c r="G189">
        <v>188</v>
      </c>
      <c r="H189">
        <v>697</v>
      </c>
      <c r="I189">
        <v>363</v>
      </c>
      <c r="J189" t="s">
        <v>6289</v>
      </c>
    </row>
    <row r="190" spans="1:10">
      <c r="A190">
        <v>4720</v>
      </c>
      <c r="B190" t="s">
        <v>5591</v>
      </c>
      <c r="C190">
        <v>22.34</v>
      </c>
      <c r="D190">
        <v>3.35</v>
      </c>
      <c r="E190">
        <v>0.51</v>
      </c>
      <c r="F190">
        <v>0</v>
      </c>
      <c r="G190">
        <v>189</v>
      </c>
      <c r="H190">
        <v>886</v>
      </c>
      <c r="I190">
        <v>316</v>
      </c>
      <c r="J190" t="s">
        <v>6289</v>
      </c>
    </row>
    <row r="191" spans="1:10">
      <c r="A191">
        <v>6462</v>
      </c>
      <c r="B191" t="s">
        <v>5883</v>
      </c>
      <c r="C191">
        <v>22.1</v>
      </c>
      <c r="D191">
        <v>17.14</v>
      </c>
      <c r="E191">
        <v>2.25</v>
      </c>
      <c r="F191">
        <v>0</v>
      </c>
      <c r="G191">
        <v>190</v>
      </c>
      <c r="H191">
        <v>326</v>
      </c>
      <c r="I191">
        <v>71</v>
      </c>
      <c r="J191" t="s">
        <v>6289</v>
      </c>
    </row>
    <row r="192" spans="1:10">
      <c r="A192">
        <v>3094</v>
      </c>
      <c r="B192" t="s">
        <v>5323</v>
      </c>
      <c r="C192">
        <v>22.02</v>
      </c>
      <c r="D192">
        <v>1.59</v>
      </c>
      <c r="E192">
        <v>0.11</v>
      </c>
      <c r="F192">
        <v>0</v>
      </c>
      <c r="G192">
        <v>191</v>
      </c>
      <c r="H192">
        <v>1092</v>
      </c>
      <c r="I192">
        <v>708</v>
      </c>
      <c r="J192" t="s">
        <v>6289</v>
      </c>
    </row>
    <row r="193" spans="1:10">
      <c r="A193">
        <v>6508</v>
      </c>
      <c r="B193" t="s">
        <v>5897</v>
      </c>
      <c r="C193">
        <v>21.95</v>
      </c>
      <c r="D193">
        <v>1.41</v>
      </c>
      <c r="E193">
        <v>0.1</v>
      </c>
      <c r="F193">
        <v>0</v>
      </c>
      <c r="G193">
        <v>192</v>
      </c>
      <c r="H193">
        <v>1131</v>
      </c>
      <c r="I193">
        <v>734</v>
      </c>
      <c r="J193" t="s">
        <v>6289</v>
      </c>
    </row>
    <row r="194" spans="1:10">
      <c r="A194">
        <v>8086</v>
      </c>
      <c r="B194" t="s">
        <v>5979</v>
      </c>
      <c r="C194">
        <v>21.85</v>
      </c>
      <c r="D194">
        <v>9.4499999999999993</v>
      </c>
      <c r="E194">
        <v>0.56999999999999995</v>
      </c>
      <c r="F194">
        <v>0.22</v>
      </c>
      <c r="G194">
        <v>193</v>
      </c>
      <c r="H194">
        <v>522</v>
      </c>
      <c r="I194">
        <v>292</v>
      </c>
      <c r="J194">
        <v>319</v>
      </c>
    </row>
    <row r="195" spans="1:10">
      <c r="A195">
        <v>8103</v>
      </c>
      <c r="B195" t="s">
        <v>5986</v>
      </c>
      <c r="C195">
        <v>21.85</v>
      </c>
      <c r="D195">
        <v>13.43</v>
      </c>
      <c r="E195">
        <v>0.92</v>
      </c>
      <c r="F195">
        <v>0</v>
      </c>
      <c r="G195">
        <v>193</v>
      </c>
      <c r="H195">
        <v>390</v>
      </c>
      <c r="I195">
        <v>189</v>
      </c>
      <c r="J195" t="s">
        <v>6289</v>
      </c>
    </row>
    <row r="196" spans="1:10">
      <c r="A196">
        <v>6477</v>
      </c>
      <c r="B196" t="s">
        <v>5887</v>
      </c>
      <c r="C196">
        <v>21.67</v>
      </c>
      <c r="D196">
        <v>2.63</v>
      </c>
      <c r="E196">
        <v>0.69</v>
      </c>
      <c r="F196">
        <v>7.64</v>
      </c>
      <c r="G196">
        <v>195</v>
      </c>
      <c r="H196">
        <v>956</v>
      </c>
      <c r="I196">
        <v>256</v>
      </c>
      <c r="J196">
        <v>27</v>
      </c>
    </row>
    <row r="197" spans="1:10">
      <c r="A197">
        <v>4133</v>
      </c>
      <c r="B197" t="s">
        <v>5527</v>
      </c>
      <c r="C197">
        <v>21.62</v>
      </c>
      <c r="D197">
        <v>14.84</v>
      </c>
      <c r="E197">
        <v>4.5199999999999996</v>
      </c>
      <c r="F197">
        <v>0</v>
      </c>
      <c r="G197">
        <v>196</v>
      </c>
      <c r="H197">
        <v>359</v>
      </c>
      <c r="I197">
        <v>31</v>
      </c>
      <c r="J197" t="s">
        <v>6289</v>
      </c>
    </row>
    <row r="198" spans="1:10">
      <c r="A198">
        <v>6405</v>
      </c>
      <c r="B198" t="s">
        <v>5863</v>
      </c>
      <c r="C198">
        <v>21.57</v>
      </c>
      <c r="D198">
        <v>0.51</v>
      </c>
      <c r="E198">
        <v>0.03</v>
      </c>
      <c r="F198">
        <v>0</v>
      </c>
      <c r="G198">
        <v>197</v>
      </c>
      <c r="H198">
        <v>1318</v>
      </c>
      <c r="I198">
        <v>978</v>
      </c>
      <c r="J198" t="s">
        <v>6289</v>
      </c>
    </row>
    <row r="199" spans="1:10">
      <c r="A199">
        <v>1721</v>
      </c>
      <c r="B199" t="s">
        <v>4938</v>
      </c>
      <c r="C199">
        <v>21.42</v>
      </c>
      <c r="D199">
        <v>0.92</v>
      </c>
      <c r="E199">
        <v>1.72</v>
      </c>
      <c r="F199">
        <v>0</v>
      </c>
      <c r="G199">
        <v>198</v>
      </c>
      <c r="H199">
        <v>1222</v>
      </c>
      <c r="I199">
        <v>93</v>
      </c>
      <c r="J199" t="s">
        <v>6289</v>
      </c>
    </row>
    <row r="200" spans="1:10">
      <c r="A200">
        <v>4976</v>
      </c>
      <c r="B200" t="s">
        <v>5638</v>
      </c>
      <c r="C200">
        <v>21.35</v>
      </c>
      <c r="D200">
        <v>0.73</v>
      </c>
      <c r="E200">
        <v>0.17</v>
      </c>
      <c r="F200">
        <v>0</v>
      </c>
      <c r="G200">
        <v>199</v>
      </c>
      <c r="H200">
        <v>1260</v>
      </c>
      <c r="I200">
        <v>598</v>
      </c>
      <c r="J200" t="s">
        <v>6289</v>
      </c>
    </row>
    <row r="201" spans="1:10">
      <c r="A201">
        <v>6164</v>
      </c>
      <c r="B201" t="s">
        <v>5782</v>
      </c>
      <c r="C201">
        <v>21.3</v>
      </c>
      <c r="D201">
        <v>0.76</v>
      </c>
      <c r="E201">
        <v>0.09</v>
      </c>
      <c r="F201">
        <v>0</v>
      </c>
      <c r="G201">
        <v>200</v>
      </c>
      <c r="H201">
        <v>1253</v>
      </c>
      <c r="I201">
        <v>762</v>
      </c>
      <c r="J201" t="s">
        <v>6289</v>
      </c>
    </row>
    <row r="202" spans="1:10">
      <c r="A202">
        <v>3019</v>
      </c>
      <c r="B202" t="s">
        <v>5281</v>
      </c>
      <c r="C202">
        <v>21.27</v>
      </c>
      <c r="D202">
        <v>7.6</v>
      </c>
      <c r="E202">
        <v>0.72</v>
      </c>
      <c r="F202">
        <v>0.2</v>
      </c>
      <c r="G202">
        <v>201</v>
      </c>
      <c r="H202">
        <v>598</v>
      </c>
      <c r="I202">
        <v>243</v>
      </c>
      <c r="J202">
        <v>329</v>
      </c>
    </row>
    <row r="203" spans="1:10">
      <c r="A203">
        <v>4736</v>
      </c>
      <c r="B203" t="s">
        <v>5596</v>
      </c>
      <c r="C203">
        <v>21.27</v>
      </c>
      <c r="D203">
        <v>13.27</v>
      </c>
      <c r="E203">
        <v>1.42</v>
      </c>
      <c r="F203">
        <v>0.21</v>
      </c>
      <c r="G203">
        <v>201</v>
      </c>
      <c r="H203">
        <v>394</v>
      </c>
      <c r="I203">
        <v>117</v>
      </c>
      <c r="J203">
        <v>324</v>
      </c>
    </row>
    <row r="204" spans="1:10">
      <c r="A204">
        <v>8016</v>
      </c>
      <c r="B204" t="s">
        <v>5956</v>
      </c>
      <c r="C204">
        <v>21.21</v>
      </c>
      <c r="D204">
        <v>25.88</v>
      </c>
      <c r="E204">
        <v>0.6</v>
      </c>
      <c r="F204">
        <v>1.1000000000000001</v>
      </c>
      <c r="G204">
        <v>203</v>
      </c>
      <c r="H204">
        <v>211</v>
      </c>
      <c r="I204">
        <v>282</v>
      </c>
      <c r="J204">
        <v>186</v>
      </c>
    </row>
    <row r="205" spans="1:10">
      <c r="A205">
        <v>3623</v>
      </c>
      <c r="B205" t="s">
        <v>5474</v>
      </c>
      <c r="C205">
        <v>21.2</v>
      </c>
      <c r="D205">
        <v>0.34</v>
      </c>
      <c r="E205">
        <v>0.37</v>
      </c>
      <c r="F205">
        <v>0</v>
      </c>
      <c r="G205">
        <v>204</v>
      </c>
      <c r="H205">
        <v>1373</v>
      </c>
      <c r="I205">
        <v>395</v>
      </c>
      <c r="J205" t="s">
        <v>6289</v>
      </c>
    </row>
    <row r="206" spans="1:10">
      <c r="A206">
        <v>6672</v>
      </c>
      <c r="B206" t="s">
        <v>5940</v>
      </c>
      <c r="C206">
        <v>21.06</v>
      </c>
      <c r="D206">
        <v>24.98</v>
      </c>
      <c r="E206">
        <v>0.01</v>
      </c>
      <c r="F206">
        <v>0</v>
      </c>
      <c r="G206">
        <v>205</v>
      </c>
      <c r="H206">
        <v>222</v>
      </c>
      <c r="I206">
        <v>1110</v>
      </c>
      <c r="J206" t="s">
        <v>6289</v>
      </c>
    </row>
    <row r="207" spans="1:10">
      <c r="A207">
        <v>6170</v>
      </c>
      <c r="B207" t="s">
        <v>5786</v>
      </c>
      <c r="C207">
        <v>21</v>
      </c>
      <c r="D207">
        <v>1.32</v>
      </c>
      <c r="E207">
        <v>1.1499999999999999</v>
      </c>
      <c r="F207">
        <v>0</v>
      </c>
      <c r="G207">
        <v>206</v>
      </c>
      <c r="H207">
        <v>1146</v>
      </c>
      <c r="I207">
        <v>150</v>
      </c>
      <c r="J207" t="s">
        <v>6289</v>
      </c>
    </row>
    <row r="208" spans="1:10">
      <c r="A208">
        <v>3363</v>
      </c>
      <c r="B208" t="s">
        <v>5393</v>
      </c>
      <c r="C208">
        <v>20.97</v>
      </c>
      <c r="D208">
        <v>6.01</v>
      </c>
      <c r="E208">
        <v>0</v>
      </c>
      <c r="F208">
        <v>0</v>
      </c>
      <c r="G208">
        <v>207</v>
      </c>
      <c r="H208">
        <v>700</v>
      </c>
      <c r="I208" t="s">
        <v>6289</v>
      </c>
      <c r="J208" t="s">
        <v>6289</v>
      </c>
    </row>
    <row r="209" spans="1:10">
      <c r="A209">
        <v>1454</v>
      </c>
      <c r="B209" t="s">
        <v>4852</v>
      </c>
      <c r="C209">
        <v>20.96</v>
      </c>
      <c r="D209">
        <v>0.94</v>
      </c>
      <c r="E209">
        <v>0.03</v>
      </c>
      <c r="F209">
        <v>0</v>
      </c>
      <c r="G209">
        <v>208</v>
      </c>
      <c r="H209">
        <v>1219</v>
      </c>
      <c r="I209">
        <v>978</v>
      </c>
      <c r="J209" t="s">
        <v>6289</v>
      </c>
    </row>
    <row r="210" spans="1:10">
      <c r="A210">
        <v>6532</v>
      </c>
      <c r="B210" t="s">
        <v>5906</v>
      </c>
      <c r="C210">
        <v>20.82</v>
      </c>
      <c r="D210">
        <v>2.36</v>
      </c>
      <c r="E210">
        <v>0.67</v>
      </c>
      <c r="F210">
        <v>0</v>
      </c>
      <c r="G210">
        <v>209</v>
      </c>
      <c r="H210">
        <v>987</v>
      </c>
      <c r="I210">
        <v>259</v>
      </c>
      <c r="J210" t="s">
        <v>6289</v>
      </c>
    </row>
    <row r="211" spans="1:10">
      <c r="A211">
        <v>6127</v>
      </c>
      <c r="B211" t="s">
        <v>5760</v>
      </c>
      <c r="C211">
        <v>20.76</v>
      </c>
      <c r="D211">
        <v>1.18</v>
      </c>
      <c r="E211">
        <v>0.09</v>
      </c>
      <c r="F211">
        <v>0</v>
      </c>
      <c r="G211">
        <v>210</v>
      </c>
      <c r="H211">
        <v>1173</v>
      </c>
      <c r="I211">
        <v>762</v>
      </c>
      <c r="J211" t="s">
        <v>6289</v>
      </c>
    </row>
    <row r="212" spans="1:10">
      <c r="A212">
        <v>6275</v>
      </c>
      <c r="B212" t="s">
        <v>5850</v>
      </c>
      <c r="C212">
        <v>20.72</v>
      </c>
      <c r="D212">
        <v>1.24</v>
      </c>
      <c r="E212">
        <v>0.45</v>
      </c>
      <c r="F212">
        <v>0</v>
      </c>
      <c r="G212">
        <v>211</v>
      </c>
      <c r="H212">
        <v>1160</v>
      </c>
      <c r="I212">
        <v>346</v>
      </c>
      <c r="J212" t="s">
        <v>6289</v>
      </c>
    </row>
    <row r="213" spans="1:10">
      <c r="A213">
        <v>6187</v>
      </c>
      <c r="B213" t="s">
        <v>5799</v>
      </c>
      <c r="C213">
        <v>20.64</v>
      </c>
      <c r="D213">
        <v>1.72</v>
      </c>
      <c r="E213">
        <v>2.95</v>
      </c>
      <c r="F213">
        <v>17.55</v>
      </c>
      <c r="G213">
        <v>212</v>
      </c>
      <c r="H213">
        <v>1075</v>
      </c>
      <c r="I213">
        <v>45</v>
      </c>
      <c r="J213">
        <v>4</v>
      </c>
    </row>
    <row r="214" spans="1:10">
      <c r="A214">
        <v>5432</v>
      </c>
      <c r="B214" t="s">
        <v>5692</v>
      </c>
      <c r="C214">
        <v>20.63</v>
      </c>
      <c r="D214">
        <v>7.0000000000000007E-2</v>
      </c>
      <c r="E214">
        <v>0</v>
      </c>
      <c r="F214">
        <v>0</v>
      </c>
      <c r="G214">
        <v>213</v>
      </c>
      <c r="H214">
        <v>1453</v>
      </c>
      <c r="I214" t="s">
        <v>6289</v>
      </c>
      <c r="J214" t="s">
        <v>6289</v>
      </c>
    </row>
    <row r="215" spans="1:10">
      <c r="A215">
        <v>1513</v>
      </c>
      <c r="B215" t="s">
        <v>4869</v>
      </c>
      <c r="C215">
        <v>20.62</v>
      </c>
      <c r="D215">
        <v>10.39</v>
      </c>
      <c r="E215">
        <v>0.01</v>
      </c>
      <c r="F215">
        <v>2.54</v>
      </c>
      <c r="G215">
        <v>214</v>
      </c>
      <c r="H215">
        <v>486</v>
      </c>
      <c r="I215">
        <v>1110</v>
      </c>
      <c r="J215">
        <v>101</v>
      </c>
    </row>
    <row r="216" spans="1:10">
      <c r="A216">
        <v>6138</v>
      </c>
      <c r="B216" t="s">
        <v>5765</v>
      </c>
      <c r="C216">
        <v>20.6</v>
      </c>
      <c r="D216">
        <v>18.260000000000002</v>
      </c>
      <c r="E216">
        <v>1.1499999999999999</v>
      </c>
      <c r="F216">
        <v>6.43</v>
      </c>
      <c r="G216">
        <v>215</v>
      </c>
      <c r="H216">
        <v>302</v>
      </c>
      <c r="I216">
        <v>150</v>
      </c>
      <c r="J216">
        <v>35</v>
      </c>
    </row>
    <row r="217" spans="1:10">
      <c r="A217">
        <v>4960</v>
      </c>
      <c r="B217" t="s">
        <v>5630</v>
      </c>
      <c r="C217">
        <v>20.53</v>
      </c>
      <c r="D217">
        <v>3.48</v>
      </c>
      <c r="E217">
        <v>0.2</v>
      </c>
      <c r="F217">
        <v>0</v>
      </c>
      <c r="G217">
        <v>216</v>
      </c>
      <c r="H217">
        <v>871</v>
      </c>
      <c r="I217">
        <v>558</v>
      </c>
      <c r="J217" t="s">
        <v>6289</v>
      </c>
    </row>
    <row r="218" spans="1:10">
      <c r="A218">
        <v>8936</v>
      </c>
      <c r="B218" t="s">
        <v>6066</v>
      </c>
      <c r="C218">
        <v>20.51</v>
      </c>
      <c r="D218">
        <v>5.96</v>
      </c>
      <c r="E218">
        <v>0.02</v>
      </c>
      <c r="F218">
        <v>0</v>
      </c>
      <c r="G218">
        <v>217</v>
      </c>
      <c r="H218">
        <v>704</v>
      </c>
      <c r="I218">
        <v>1051</v>
      </c>
      <c r="J218" t="s">
        <v>6289</v>
      </c>
    </row>
    <row r="219" spans="1:10">
      <c r="A219">
        <v>3346</v>
      </c>
      <c r="B219" t="s">
        <v>5387</v>
      </c>
      <c r="C219">
        <v>20.49</v>
      </c>
      <c r="D219">
        <v>2.84</v>
      </c>
      <c r="E219">
        <v>0</v>
      </c>
      <c r="F219">
        <v>0</v>
      </c>
      <c r="G219">
        <v>218</v>
      </c>
      <c r="H219">
        <v>933</v>
      </c>
      <c r="I219" t="s">
        <v>6289</v>
      </c>
      <c r="J219" t="s">
        <v>6289</v>
      </c>
    </row>
    <row r="220" spans="1:10">
      <c r="A220">
        <v>3624</v>
      </c>
      <c r="B220" t="s">
        <v>5475</v>
      </c>
      <c r="C220">
        <v>20.440000000000001</v>
      </c>
      <c r="D220">
        <v>43.55</v>
      </c>
      <c r="E220">
        <v>1.02</v>
      </c>
      <c r="F220">
        <v>11.44</v>
      </c>
      <c r="G220">
        <v>219</v>
      </c>
      <c r="H220">
        <v>97</v>
      </c>
      <c r="I220">
        <v>171</v>
      </c>
      <c r="J220">
        <v>9</v>
      </c>
    </row>
    <row r="221" spans="1:10">
      <c r="A221">
        <v>2498</v>
      </c>
      <c r="B221" t="s">
        <v>5158</v>
      </c>
      <c r="C221">
        <v>20.399999999999999</v>
      </c>
      <c r="D221">
        <v>15.12</v>
      </c>
      <c r="E221">
        <v>4.4400000000000004</v>
      </c>
      <c r="F221">
        <v>0.14000000000000001</v>
      </c>
      <c r="G221">
        <v>220</v>
      </c>
      <c r="H221">
        <v>354</v>
      </c>
      <c r="I221">
        <v>33</v>
      </c>
      <c r="J221">
        <v>351</v>
      </c>
    </row>
    <row r="222" spans="1:10">
      <c r="A222">
        <v>3441</v>
      </c>
      <c r="B222" t="s">
        <v>5411</v>
      </c>
      <c r="C222">
        <v>20.38</v>
      </c>
      <c r="D222">
        <v>0.68</v>
      </c>
      <c r="E222">
        <v>0.75</v>
      </c>
      <c r="F222">
        <v>0</v>
      </c>
      <c r="G222">
        <v>221</v>
      </c>
      <c r="H222">
        <v>1276</v>
      </c>
      <c r="I222">
        <v>231</v>
      </c>
      <c r="J222" t="s">
        <v>6289</v>
      </c>
    </row>
    <row r="223" spans="1:10">
      <c r="A223">
        <v>6158</v>
      </c>
      <c r="B223" t="s">
        <v>5779</v>
      </c>
      <c r="C223">
        <v>20.22</v>
      </c>
      <c r="D223">
        <v>4.0999999999999996</v>
      </c>
      <c r="E223">
        <v>0.54</v>
      </c>
      <c r="F223">
        <v>0</v>
      </c>
      <c r="G223">
        <v>222</v>
      </c>
      <c r="H223">
        <v>829</v>
      </c>
      <c r="I223">
        <v>304</v>
      </c>
      <c r="J223" t="s">
        <v>6289</v>
      </c>
    </row>
    <row r="224" spans="1:10">
      <c r="A224">
        <v>3339</v>
      </c>
      <c r="B224" t="s">
        <v>5386</v>
      </c>
      <c r="C224">
        <v>20.149999999999999</v>
      </c>
      <c r="D224">
        <v>2.8</v>
      </c>
      <c r="E224">
        <v>0.44</v>
      </c>
      <c r="F224">
        <v>0</v>
      </c>
      <c r="G224">
        <v>223</v>
      </c>
      <c r="H224">
        <v>936</v>
      </c>
      <c r="I224">
        <v>350</v>
      </c>
      <c r="J224" t="s">
        <v>6289</v>
      </c>
    </row>
    <row r="225" spans="1:10">
      <c r="A225">
        <v>2038</v>
      </c>
      <c r="B225" t="s">
        <v>5000</v>
      </c>
      <c r="C225">
        <v>20.14</v>
      </c>
      <c r="D225">
        <v>1.1100000000000001</v>
      </c>
      <c r="E225">
        <v>0.39</v>
      </c>
      <c r="F225">
        <v>0</v>
      </c>
      <c r="G225">
        <v>224</v>
      </c>
      <c r="H225">
        <v>1187</v>
      </c>
      <c r="I225">
        <v>379</v>
      </c>
      <c r="J225" t="s">
        <v>6289</v>
      </c>
    </row>
    <row r="226" spans="1:10">
      <c r="A226">
        <v>6209</v>
      </c>
      <c r="B226" t="s">
        <v>5814</v>
      </c>
      <c r="C226">
        <v>20.010000000000002</v>
      </c>
      <c r="D226">
        <v>1.1000000000000001</v>
      </c>
      <c r="E226">
        <v>0.22</v>
      </c>
      <c r="F226">
        <v>0</v>
      </c>
      <c r="G226">
        <v>225</v>
      </c>
      <c r="H226">
        <v>1188</v>
      </c>
      <c r="I226">
        <v>537</v>
      </c>
      <c r="J226" t="s">
        <v>6289</v>
      </c>
    </row>
    <row r="227" spans="1:10">
      <c r="A227">
        <v>1589</v>
      </c>
      <c r="B227" t="s">
        <v>4905</v>
      </c>
      <c r="C227">
        <v>20</v>
      </c>
      <c r="D227">
        <v>4.3499999999999996</v>
      </c>
      <c r="E227">
        <v>0.51</v>
      </c>
      <c r="F227">
        <v>0.18</v>
      </c>
      <c r="G227">
        <v>226</v>
      </c>
      <c r="H227">
        <v>815</v>
      </c>
      <c r="I227">
        <v>316</v>
      </c>
      <c r="J227">
        <v>334</v>
      </c>
    </row>
    <row r="228" spans="1:10">
      <c r="A228">
        <v>8155</v>
      </c>
      <c r="B228" t="s">
        <v>5997</v>
      </c>
      <c r="C228">
        <v>19.96</v>
      </c>
      <c r="D228">
        <v>1.47</v>
      </c>
      <c r="E228">
        <v>0.81</v>
      </c>
      <c r="F228">
        <v>21.87</v>
      </c>
      <c r="G228">
        <v>227</v>
      </c>
      <c r="H228">
        <v>1113</v>
      </c>
      <c r="I228">
        <v>215</v>
      </c>
      <c r="J228">
        <v>1</v>
      </c>
    </row>
    <row r="229" spans="1:10">
      <c r="A229">
        <v>3276</v>
      </c>
      <c r="B229" t="s">
        <v>5367</v>
      </c>
      <c r="C229">
        <v>19.87</v>
      </c>
      <c r="D229">
        <v>0.48</v>
      </c>
      <c r="E229">
        <v>0.02</v>
      </c>
      <c r="F229">
        <v>0</v>
      </c>
      <c r="G229">
        <v>228</v>
      </c>
      <c r="H229">
        <v>1331</v>
      </c>
      <c r="I229">
        <v>1051</v>
      </c>
      <c r="J229" t="s">
        <v>6289</v>
      </c>
    </row>
    <row r="230" spans="1:10">
      <c r="A230">
        <v>3556</v>
      </c>
      <c r="B230" t="s">
        <v>5452</v>
      </c>
      <c r="C230">
        <v>19.78</v>
      </c>
      <c r="D230">
        <v>6.56</v>
      </c>
      <c r="E230">
        <v>0.46</v>
      </c>
      <c r="F230">
        <v>0.28000000000000003</v>
      </c>
      <c r="G230">
        <v>229</v>
      </c>
      <c r="H230">
        <v>667</v>
      </c>
      <c r="I230">
        <v>337</v>
      </c>
      <c r="J230">
        <v>305</v>
      </c>
    </row>
    <row r="231" spans="1:10">
      <c r="A231">
        <v>3162</v>
      </c>
      <c r="B231" t="s">
        <v>5334</v>
      </c>
      <c r="C231">
        <v>19.72</v>
      </c>
      <c r="D231">
        <v>51.12</v>
      </c>
      <c r="E231">
        <v>0</v>
      </c>
      <c r="F231">
        <v>0</v>
      </c>
      <c r="G231">
        <v>230</v>
      </c>
      <c r="H231">
        <v>74</v>
      </c>
      <c r="I231" t="s">
        <v>6289</v>
      </c>
      <c r="J231" t="s">
        <v>6289</v>
      </c>
    </row>
    <row r="232" spans="1:10">
      <c r="A232">
        <v>3419</v>
      </c>
      <c r="B232" t="s">
        <v>5406</v>
      </c>
      <c r="C232">
        <v>19.68</v>
      </c>
      <c r="D232">
        <v>6.76</v>
      </c>
      <c r="E232">
        <v>0.33</v>
      </c>
      <c r="F232">
        <v>0</v>
      </c>
      <c r="G232">
        <v>231</v>
      </c>
      <c r="H232">
        <v>648</v>
      </c>
      <c r="I232">
        <v>435</v>
      </c>
      <c r="J232" t="s">
        <v>6289</v>
      </c>
    </row>
    <row r="233" spans="1:10">
      <c r="A233">
        <v>2305</v>
      </c>
      <c r="B233" t="s">
        <v>5037</v>
      </c>
      <c r="C233">
        <v>19.66</v>
      </c>
      <c r="D233">
        <v>5.97</v>
      </c>
      <c r="E233">
        <v>0.08</v>
      </c>
      <c r="F233">
        <v>0</v>
      </c>
      <c r="G233">
        <v>232</v>
      </c>
      <c r="H233">
        <v>703</v>
      </c>
      <c r="I233">
        <v>789</v>
      </c>
      <c r="J233" t="s">
        <v>6289</v>
      </c>
    </row>
    <row r="234" spans="1:10">
      <c r="A234">
        <v>2013</v>
      </c>
      <c r="B234" t="s">
        <v>4984</v>
      </c>
      <c r="C234">
        <v>19.64</v>
      </c>
      <c r="D234">
        <v>7.27</v>
      </c>
      <c r="E234">
        <v>0.72</v>
      </c>
      <c r="F234">
        <v>0</v>
      </c>
      <c r="G234">
        <v>233</v>
      </c>
      <c r="H234">
        <v>618</v>
      </c>
      <c r="I234">
        <v>243</v>
      </c>
      <c r="J234" t="s">
        <v>6289</v>
      </c>
    </row>
    <row r="235" spans="1:10">
      <c r="A235">
        <v>4804</v>
      </c>
      <c r="B235" t="s">
        <v>5607</v>
      </c>
      <c r="C235">
        <v>19.579999999999998</v>
      </c>
      <c r="D235">
        <v>8.6199999999999992</v>
      </c>
      <c r="E235">
        <v>0.46</v>
      </c>
      <c r="F235">
        <v>0</v>
      </c>
      <c r="G235">
        <v>234</v>
      </c>
      <c r="H235">
        <v>562</v>
      </c>
      <c r="I235">
        <v>337</v>
      </c>
      <c r="J235" t="s">
        <v>6289</v>
      </c>
    </row>
    <row r="236" spans="1:10">
      <c r="A236">
        <v>1560</v>
      </c>
      <c r="B236" t="s">
        <v>4894</v>
      </c>
      <c r="C236">
        <v>19.559999999999999</v>
      </c>
      <c r="D236">
        <v>9.9600000000000009</v>
      </c>
      <c r="E236">
        <v>0.86</v>
      </c>
      <c r="F236">
        <v>5.74</v>
      </c>
      <c r="G236">
        <v>235</v>
      </c>
      <c r="H236">
        <v>502</v>
      </c>
      <c r="I236">
        <v>200</v>
      </c>
      <c r="J236">
        <v>40</v>
      </c>
    </row>
    <row r="237" spans="1:10">
      <c r="A237">
        <v>3518</v>
      </c>
      <c r="B237" t="s">
        <v>5432</v>
      </c>
      <c r="C237">
        <v>19.559999999999999</v>
      </c>
      <c r="D237">
        <v>7.67</v>
      </c>
      <c r="E237">
        <v>0.34</v>
      </c>
      <c r="F237">
        <v>0</v>
      </c>
      <c r="G237">
        <v>235</v>
      </c>
      <c r="H237">
        <v>596</v>
      </c>
      <c r="I237">
        <v>425</v>
      </c>
      <c r="J237" t="s">
        <v>6289</v>
      </c>
    </row>
    <row r="238" spans="1:10">
      <c r="A238">
        <v>2340</v>
      </c>
      <c r="B238" t="s">
        <v>5053</v>
      </c>
      <c r="C238">
        <v>19.52</v>
      </c>
      <c r="D238">
        <v>17.21</v>
      </c>
      <c r="E238">
        <v>1.0900000000000001</v>
      </c>
      <c r="F238">
        <v>0.02</v>
      </c>
      <c r="G238">
        <v>237</v>
      </c>
      <c r="H238">
        <v>324</v>
      </c>
      <c r="I238">
        <v>162</v>
      </c>
      <c r="J238">
        <v>473</v>
      </c>
    </row>
    <row r="239" spans="1:10">
      <c r="A239">
        <v>8104</v>
      </c>
      <c r="B239" t="s">
        <v>5987</v>
      </c>
      <c r="C239">
        <v>19.5</v>
      </c>
      <c r="D239">
        <v>5.09</v>
      </c>
      <c r="E239">
        <v>0.12</v>
      </c>
      <c r="F239">
        <v>4.3600000000000003</v>
      </c>
      <c r="G239">
        <v>238</v>
      </c>
      <c r="H239">
        <v>765</v>
      </c>
      <c r="I239">
        <v>683</v>
      </c>
      <c r="J239">
        <v>64</v>
      </c>
    </row>
    <row r="240" spans="1:10">
      <c r="A240">
        <v>6426</v>
      </c>
      <c r="B240" t="s">
        <v>5871</v>
      </c>
      <c r="C240">
        <v>19.46</v>
      </c>
      <c r="D240">
        <v>5.82</v>
      </c>
      <c r="E240">
        <v>0.19</v>
      </c>
      <c r="F240">
        <v>0</v>
      </c>
      <c r="G240">
        <v>239</v>
      </c>
      <c r="H240">
        <v>714</v>
      </c>
      <c r="I240">
        <v>571</v>
      </c>
      <c r="J240" t="s">
        <v>6289</v>
      </c>
    </row>
    <row r="241" spans="1:10">
      <c r="A241">
        <v>1795</v>
      </c>
      <c r="B241" t="s">
        <v>4963</v>
      </c>
      <c r="C241">
        <v>19.36</v>
      </c>
      <c r="D241">
        <v>72.73</v>
      </c>
      <c r="E241">
        <v>0.26</v>
      </c>
      <c r="F241">
        <v>4.3</v>
      </c>
      <c r="G241">
        <v>240</v>
      </c>
      <c r="H241">
        <v>19</v>
      </c>
      <c r="I241">
        <v>502</v>
      </c>
      <c r="J241">
        <v>65</v>
      </c>
    </row>
    <row r="242" spans="1:10">
      <c r="A242">
        <v>3338</v>
      </c>
      <c r="B242" t="s">
        <v>5385</v>
      </c>
      <c r="C242">
        <v>19.350000000000001</v>
      </c>
      <c r="D242">
        <v>4.26</v>
      </c>
      <c r="E242">
        <v>0.42</v>
      </c>
      <c r="F242">
        <v>0</v>
      </c>
      <c r="G242">
        <v>241</v>
      </c>
      <c r="H242">
        <v>821</v>
      </c>
      <c r="I242">
        <v>363</v>
      </c>
      <c r="J242" t="s">
        <v>6289</v>
      </c>
    </row>
    <row r="243" spans="1:10">
      <c r="A243">
        <v>3234</v>
      </c>
      <c r="B243" t="s">
        <v>5357</v>
      </c>
      <c r="C243">
        <v>19.34</v>
      </c>
      <c r="D243">
        <v>1.93</v>
      </c>
      <c r="E243">
        <v>3.51</v>
      </c>
      <c r="F243">
        <v>0</v>
      </c>
      <c r="G243">
        <v>242</v>
      </c>
      <c r="H243">
        <v>1041</v>
      </c>
      <c r="I243">
        <v>40</v>
      </c>
      <c r="J243" t="s">
        <v>6289</v>
      </c>
    </row>
    <row r="244" spans="1:10">
      <c r="A244">
        <v>3323</v>
      </c>
      <c r="B244" t="s">
        <v>5382</v>
      </c>
      <c r="C244">
        <v>19.34</v>
      </c>
      <c r="D244">
        <v>1.64</v>
      </c>
      <c r="E244">
        <v>0.4</v>
      </c>
      <c r="F244">
        <v>0</v>
      </c>
      <c r="G244">
        <v>242</v>
      </c>
      <c r="H244">
        <v>1085</v>
      </c>
      <c r="I244">
        <v>377</v>
      </c>
      <c r="J244" t="s">
        <v>6289</v>
      </c>
    </row>
    <row r="245" spans="1:10">
      <c r="A245">
        <v>5202</v>
      </c>
      <c r="B245" t="s">
        <v>6156</v>
      </c>
      <c r="C245">
        <v>19.34</v>
      </c>
      <c r="D245">
        <v>0.41</v>
      </c>
      <c r="E245">
        <v>0</v>
      </c>
      <c r="F245">
        <v>0</v>
      </c>
      <c r="G245">
        <v>242</v>
      </c>
      <c r="H245">
        <v>1351</v>
      </c>
      <c r="I245" t="s">
        <v>6289</v>
      </c>
      <c r="J245" t="s">
        <v>6289</v>
      </c>
    </row>
    <row r="246" spans="1:10">
      <c r="A246">
        <v>8028</v>
      </c>
      <c r="B246" t="s">
        <v>5960</v>
      </c>
      <c r="C246">
        <v>19.29</v>
      </c>
      <c r="D246">
        <v>14.07</v>
      </c>
      <c r="E246">
        <v>0.16</v>
      </c>
      <c r="F246">
        <v>0.61</v>
      </c>
      <c r="G246">
        <v>245</v>
      </c>
      <c r="H246">
        <v>376</v>
      </c>
      <c r="I246">
        <v>614</v>
      </c>
      <c r="J246">
        <v>241</v>
      </c>
    </row>
    <row r="247" spans="1:10">
      <c r="A247">
        <v>6416</v>
      </c>
      <c r="B247" t="s">
        <v>5869</v>
      </c>
      <c r="C247">
        <v>19.25</v>
      </c>
      <c r="D247">
        <v>0.7</v>
      </c>
      <c r="E247">
        <v>0.04</v>
      </c>
      <c r="F247">
        <v>0</v>
      </c>
      <c r="G247">
        <v>246</v>
      </c>
      <c r="H247">
        <v>1270</v>
      </c>
      <c r="I247">
        <v>936</v>
      </c>
      <c r="J247" t="s">
        <v>6289</v>
      </c>
    </row>
    <row r="248" spans="1:10">
      <c r="A248">
        <v>6603</v>
      </c>
      <c r="B248" t="s">
        <v>5922</v>
      </c>
      <c r="C248">
        <v>19.239999999999998</v>
      </c>
      <c r="D248">
        <v>1.1599999999999999</v>
      </c>
      <c r="E248">
        <v>0.16</v>
      </c>
      <c r="F248">
        <v>0</v>
      </c>
      <c r="G248">
        <v>247</v>
      </c>
      <c r="H248">
        <v>1180</v>
      </c>
      <c r="I248">
        <v>614</v>
      </c>
      <c r="J248" t="s">
        <v>6289</v>
      </c>
    </row>
    <row r="249" spans="1:10">
      <c r="A249">
        <v>8040</v>
      </c>
      <c r="B249" t="s">
        <v>5963</v>
      </c>
      <c r="C249">
        <v>19.2</v>
      </c>
      <c r="D249">
        <v>6.24</v>
      </c>
      <c r="E249">
        <v>1.19</v>
      </c>
      <c r="F249">
        <v>0</v>
      </c>
      <c r="G249">
        <v>248</v>
      </c>
      <c r="H249">
        <v>686</v>
      </c>
      <c r="I249">
        <v>143</v>
      </c>
      <c r="J249" t="s">
        <v>6289</v>
      </c>
    </row>
    <row r="250" spans="1:10">
      <c r="A250">
        <v>1465</v>
      </c>
      <c r="B250" t="s">
        <v>4859</v>
      </c>
      <c r="C250">
        <v>19.149999999999999</v>
      </c>
      <c r="D250">
        <v>0.41</v>
      </c>
      <c r="E250">
        <v>0.03</v>
      </c>
      <c r="F250">
        <v>0</v>
      </c>
      <c r="G250">
        <v>249</v>
      </c>
      <c r="H250">
        <v>1351</v>
      </c>
      <c r="I250">
        <v>978</v>
      </c>
      <c r="J250" t="s">
        <v>6289</v>
      </c>
    </row>
    <row r="251" spans="1:10">
      <c r="A251">
        <v>6126</v>
      </c>
      <c r="B251" t="s">
        <v>5759</v>
      </c>
      <c r="C251">
        <v>19.100000000000001</v>
      </c>
      <c r="D251">
        <v>2.02</v>
      </c>
      <c r="E251">
        <v>0.21</v>
      </c>
      <c r="F251">
        <v>0</v>
      </c>
      <c r="G251">
        <v>250</v>
      </c>
      <c r="H251">
        <v>1028</v>
      </c>
      <c r="I251">
        <v>550</v>
      </c>
      <c r="J251" t="s">
        <v>6289</v>
      </c>
    </row>
    <row r="252" spans="1:10">
      <c r="A252">
        <v>4760</v>
      </c>
      <c r="B252" t="s">
        <v>5603</v>
      </c>
      <c r="C252">
        <v>19.079999999999998</v>
      </c>
      <c r="D252">
        <v>1.23</v>
      </c>
      <c r="E252">
        <v>0.03</v>
      </c>
      <c r="F252">
        <v>0</v>
      </c>
      <c r="G252">
        <v>251</v>
      </c>
      <c r="H252">
        <v>1163</v>
      </c>
      <c r="I252">
        <v>978</v>
      </c>
      <c r="J252" t="s">
        <v>6289</v>
      </c>
    </row>
    <row r="253" spans="1:10">
      <c r="A253">
        <v>4139</v>
      </c>
      <c r="B253" t="s">
        <v>6304</v>
      </c>
      <c r="C253">
        <v>19.07</v>
      </c>
      <c r="D253">
        <v>23.34</v>
      </c>
      <c r="E253">
        <v>0.66</v>
      </c>
      <c r="F253">
        <v>0</v>
      </c>
      <c r="G253">
        <v>252</v>
      </c>
      <c r="H253">
        <v>236</v>
      </c>
      <c r="I253">
        <v>263</v>
      </c>
      <c r="J253" t="s">
        <v>6289</v>
      </c>
    </row>
    <row r="254" spans="1:10">
      <c r="A254">
        <v>5285</v>
      </c>
      <c r="B254" t="s">
        <v>5670</v>
      </c>
      <c r="C254">
        <v>18.899999999999999</v>
      </c>
      <c r="D254">
        <v>2.3199999999999998</v>
      </c>
      <c r="E254">
        <v>0.76</v>
      </c>
      <c r="F254">
        <v>0</v>
      </c>
      <c r="G254">
        <v>253</v>
      </c>
      <c r="H254">
        <v>990</v>
      </c>
      <c r="I254">
        <v>229</v>
      </c>
      <c r="J254" t="s">
        <v>6289</v>
      </c>
    </row>
    <row r="255" spans="1:10">
      <c r="A255">
        <v>3042</v>
      </c>
      <c r="B255" t="s">
        <v>5301</v>
      </c>
      <c r="C255">
        <v>18.850000000000001</v>
      </c>
      <c r="D255">
        <v>11.65</v>
      </c>
      <c r="E255">
        <v>0.6</v>
      </c>
      <c r="F255">
        <v>1.08</v>
      </c>
      <c r="G255">
        <v>254</v>
      </c>
      <c r="H255">
        <v>437</v>
      </c>
      <c r="I255">
        <v>282</v>
      </c>
      <c r="J255">
        <v>189</v>
      </c>
    </row>
    <row r="256" spans="1:10">
      <c r="A256">
        <v>6265</v>
      </c>
      <c r="B256" t="s">
        <v>5844</v>
      </c>
      <c r="C256">
        <v>18.8</v>
      </c>
      <c r="D256">
        <v>4.3600000000000003</v>
      </c>
      <c r="E256">
        <v>0.41</v>
      </c>
      <c r="F256">
        <v>0</v>
      </c>
      <c r="G256">
        <v>255</v>
      </c>
      <c r="H256">
        <v>814</v>
      </c>
      <c r="I256">
        <v>370</v>
      </c>
      <c r="J256" t="s">
        <v>6289</v>
      </c>
    </row>
    <row r="257" spans="1:10">
      <c r="A257">
        <v>4116</v>
      </c>
      <c r="B257" t="s">
        <v>5518</v>
      </c>
      <c r="C257">
        <v>18.75</v>
      </c>
      <c r="D257">
        <v>0.37</v>
      </c>
      <c r="E257">
        <v>0.11</v>
      </c>
      <c r="F257">
        <v>0</v>
      </c>
      <c r="G257">
        <v>256</v>
      </c>
      <c r="H257">
        <v>1367</v>
      </c>
      <c r="I257">
        <v>708</v>
      </c>
      <c r="J257" t="s">
        <v>6289</v>
      </c>
    </row>
    <row r="258" spans="1:10">
      <c r="A258">
        <v>4939</v>
      </c>
      <c r="B258" t="s">
        <v>5622</v>
      </c>
      <c r="C258">
        <v>18.7</v>
      </c>
      <c r="D258">
        <v>3.58</v>
      </c>
      <c r="E258">
        <v>0.15</v>
      </c>
      <c r="F258">
        <v>0</v>
      </c>
      <c r="G258">
        <v>257</v>
      </c>
      <c r="H258">
        <v>859</v>
      </c>
      <c r="I258">
        <v>635</v>
      </c>
      <c r="J258" t="s">
        <v>6289</v>
      </c>
    </row>
    <row r="259" spans="1:10">
      <c r="A259">
        <v>2417</v>
      </c>
      <c r="B259" t="s">
        <v>5103</v>
      </c>
      <c r="C259">
        <v>18.649999999999999</v>
      </c>
      <c r="D259">
        <v>0.91</v>
      </c>
      <c r="E259">
        <v>0.94</v>
      </c>
      <c r="F259">
        <v>0</v>
      </c>
      <c r="G259">
        <v>258</v>
      </c>
      <c r="H259">
        <v>1224</v>
      </c>
      <c r="I259">
        <v>183</v>
      </c>
      <c r="J259" t="s">
        <v>6289</v>
      </c>
    </row>
    <row r="260" spans="1:10">
      <c r="A260">
        <v>3406</v>
      </c>
      <c r="B260" t="s">
        <v>5403</v>
      </c>
      <c r="C260">
        <v>18.62</v>
      </c>
      <c r="D260">
        <v>27.64</v>
      </c>
      <c r="E260">
        <v>5.56</v>
      </c>
      <c r="F260">
        <v>2.1</v>
      </c>
      <c r="G260">
        <v>259</v>
      </c>
      <c r="H260">
        <v>199</v>
      </c>
      <c r="I260">
        <v>15</v>
      </c>
      <c r="J260">
        <v>126</v>
      </c>
    </row>
    <row r="261" spans="1:10">
      <c r="A261">
        <v>2614</v>
      </c>
      <c r="B261" t="s">
        <v>5196</v>
      </c>
      <c r="C261">
        <v>18.600000000000001</v>
      </c>
      <c r="D261">
        <v>1.43</v>
      </c>
      <c r="E261">
        <v>0.86</v>
      </c>
      <c r="F261">
        <v>0</v>
      </c>
      <c r="G261">
        <v>260</v>
      </c>
      <c r="H261">
        <v>1124</v>
      </c>
      <c r="I261">
        <v>200</v>
      </c>
      <c r="J261" t="s">
        <v>6289</v>
      </c>
    </row>
    <row r="262" spans="1:10">
      <c r="A262">
        <v>2906</v>
      </c>
      <c r="B262" t="s">
        <v>5257</v>
      </c>
      <c r="C262">
        <v>18.600000000000001</v>
      </c>
      <c r="D262">
        <v>5.17</v>
      </c>
      <c r="E262">
        <v>3.55</v>
      </c>
      <c r="F262">
        <v>0</v>
      </c>
      <c r="G262">
        <v>260</v>
      </c>
      <c r="H262">
        <v>760</v>
      </c>
      <c r="I262">
        <v>39</v>
      </c>
      <c r="J262" t="s">
        <v>6289</v>
      </c>
    </row>
    <row r="263" spans="1:10">
      <c r="A263">
        <v>8034</v>
      </c>
      <c r="B263" t="s">
        <v>5961</v>
      </c>
      <c r="C263">
        <v>18.53</v>
      </c>
      <c r="D263">
        <v>3.24</v>
      </c>
      <c r="E263">
        <v>1.76</v>
      </c>
      <c r="F263">
        <v>0</v>
      </c>
      <c r="G263">
        <v>262</v>
      </c>
      <c r="H263">
        <v>896</v>
      </c>
      <c r="I263">
        <v>90</v>
      </c>
      <c r="J263" t="s">
        <v>6289</v>
      </c>
    </row>
    <row r="264" spans="1:10">
      <c r="A264">
        <v>3557</v>
      </c>
      <c r="B264" t="s">
        <v>5453</v>
      </c>
      <c r="C264">
        <v>18.489999999999998</v>
      </c>
      <c r="D264">
        <v>18.97</v>
      </c>
      <c r="E264">
        <v>0</v>
      </c>
      <c r="F264">
        <v>0</v>
      </c>
      <c r="G264">
        <v>263</v>
      </c>
      <c r="H264">
        <v>292</v>
      </c>
      <c r="I264" t="s">
        <v>6289</v>
      </c>
      <c r="J264" t="s">
        <v>6289</v>
      </c>
    </row>
    <row r="265" spans="1:10">
      <c r="A265">
        <v>2482</v>
      </c>
      <c r="B265" t="s">
        <v>5145</v>
      </c>
      <c r="C265">
        <v>18.440000000000001</v>
      </c>
      <c r="D265">
        <v>6.52</v>
      </c>
      <c r="E265">
        <v>0.34</v>
      </c>
      <c r="F265">
        <v>0</v>
      </c>
      <c r="G265">
        <v>264</v>
      </c>
      <c r="H265">
        <v>671</v>
      </c>
      <c r="I265">
        <v>425</v>
      </c>
      <c r="J265" t="s">
        <v>6289</v>
      </c>
    </row>
    <row r="266" spans="1:10">
      <c r="A266">
        <v>8429</v>
      </c>
      <c r="B266" t="s">
        <v>6030</v>
      </c>
      <c r="C266">
        <v>18.350000000000001</v>
      </c>
      <c r="D266">
        <v>33.61</v>
      </c>
      <c r="E266">
        <v>7.0000000000000007E-2</v>
      </c>
      <c r="F266">
        <v>0</v>
      </c>
      <c r="G266">
        <v>265</v>
      </c>
      <c r="H266">
        <v>151</v>
      </c>
      <c r="I266">
        <v>824</v>
      </c>
      <c r="J266" t="s">
        <v>6289</v>
      </c>
    </row>
    <row r="267" spans="1:10">
      <c r="A267">
        <v>2426</v>
      </c>
      <c r="B267" t="s">
        <v>5109</v>
      </c>
      <c r="C267">
        <v>18.32</v>
      </c>
      <c r="D267">
        <v>7.84</v>
      </c>
      <c r="E267">
        <v>0.26</v>
      </c>
      <c r="F267">
        <v>0.02</v>
      </c>
      <c r="G267">
        <v>266</v>
      </c>
      <c r="H267">
        <v>588</v>
      </c>
      <c r="I267">
        <v>502</v>
      </c>
      <c r="J267">
        <v>473</v>
      </c>
    </row>
    <row r="268" spans="1:10">
      <c r="A268">
        <v>1524</v>
      </c>
      <c r="B268" t="s">
        <v>4877</v>
      </c>
      <c r="C268">
        <v>18.21</v>
      </c>
      <c r="D268">
        <v>0.41</v>
      </c>
      <c r="E268">
        <v>0.15</v>
      </c>
      <c r="F268">
        <v>0</v>
      </c>
      <c r="G268">
        <v>267</v>
      </c>
      <c r="H268">
        <v>1351</v>
      </c>
      <c r="I268">
        <v>635</v>
      </c>
      <c r="J268" t="s">
        <v>6289</v>
      </c>
    </row>
    <row r="269" spans="1:10">
      <c r="A269">
        <v>2399</v>
      </c>
      <c r="B269" t="s">
        <v>5092</v>
      </c>
      <c r="C269">
        <v>18.21</v>
      </c>
      <c r="D269">
        <v>9.27</v>
      </c>
      <c r="E269">
        <v>0.51</v>
      </c>
      <c r="F269">
        <v>0</v>
      </c>
      <c r="G269">
        <v>267</v>
      </c>
      <c r="H269">
        <v>531</v>
      </c>
      <c r="I269">
        <v>316</v>
      </c>
      <c r="J269" t="s">
        <v>6289</v>
      </c>
    </row>
    <row r="270" spans="1:10">
      <c r="A270">
        <v>2476</v>
      </c>
      <c r="B270" t="s">
        <v>5140</v>
      </c>
      <c r="C270">
        <v>18.16</v>
      </c>
      <c r="D270">
        <v>3.92</v>
      </c>
      <c r="E270">
        <v>0.06</v>
      </c>
      <c r="F270">
        <v>0</v>
      </c>
      <c r="G270">
        <v>269</v>
      </c>
      <c r="H270">
        <v>839</v>
      </c>
      <c r="I270">
        <v>852</v>
      </c>
      <c r="J270" t="s">
        <v>6289</v>
      </c>
    </row>
    <row r="271" spans="1:10">
      <c r="A271">
        <v>3530</v>
      </c>
      <c r="B271" t="s">
        <v>5438</v>
      </c>
      <c r="C271">
        <v>18.16</v>
      </c>
      <c r="D271">
        <v>43.44</v>
      </c>
      <c r="E271">
        <v>0.68</v>
      </c>
      <c r="F271">
        <v>0</v>
      </c>
      <c r="G271">
        <v>269</v>
      </c>
      <c r="H271">
        <v>98</v>
      </c>
      <c r="I271">
        <v>258</v>
      </c>
      <c r="J271" t="s">
        <v>6289</v>
      </c>
    </row>
    <row r="272" spans="1:10">
      <c r="A272">
        <v>2331</v>
      </c>
      <c r="B272" t="s">
        <v>5049</v>
      </c>
      <c r="C272">
        <v>18.149999999999999</v>
      </c>
      <c r="D272">
        <v>5.65</v>
      </c>
      <c r="E272">
        <v>1.1599999999999999</v>
      </c>
      <c r="F272">
        <v>0</v>
      </c>
      <c r="G272">
        <v>271</v>
      </c>
      <c r="H272">
        <v>722</v>
      </c>
      <c r="I272">
        <v>149</v>
      </c>
      <c r="J272" t="s">
        <v>6289</v>
      </c>
    </row>
    <row r="273" spans="1:10">
      <c r="A273">
        <v>2485</v>
      </c>
      <c r="B273" t="s">
        <v>5148</v>
      </c>
      <c r="C273">
        <v>18.149999999999999</v>
      </c>
      <c r="D273">
        <v>4.88</v>
      </c>
      <c r="E273">
        <v>0.16</v>
      </c>
      <c r="F273">
        <v>0</v>
      </c>
      <c r="G273">
        <v>271</v>
      </c>
      <c r="H273">
        <v>782</v>
      </c>
      <c r="I273">
        <v>614</v>
      </c>
      <c r="J273" t="s">
        <v>6289</v>
      </c>
    </row>
    <row r="274" spans="1:10">
      <c r="A274">
        <v>8390</v>
      </c>
      <c r="B274" t="s">
        <v>6022</v>
      </c>
      <c r="C274">
        <v>18.100000000000001</v>
      </c>
      <c r="D274">
        <v>16.829999999999998</v>
      </c>
      <c r="E274">
        <v>0.43</v>
      </c>
      <c r="F274">
        <v>0</v>
      </c>
      <c r="G274">
        <v>273</v>
      </c>
      <c r="H274">
        <v>331</v>
      </c>
      <c r="I274">
        <v>355</v>
      </c>
      <c r="J274" t="s">
        <v>6289</v>
      </c>
    </row>
    <row r="275" spans="1:10">
      <c r="A275">
        <v>9962</v>
      </c>
      <c r="B275" t="s">
        <v>6106</v>
      </c>
      <c r="C275">
        <v>18.100000000000001</v>
      </c>
      <c r="D275">
        <v>2.58</v>
      </c>
      <c r="E275">
        <v>2.31</v>
      </c>
      <c r="F275">
        <v>0</v>
      </c>
      <c r="G275">
        <v>273</v>
      </c>
      <c r="H275">
        <v>958</v>
      </c>
      <c r="I275">
        <v>68</v>
      </c>
      <c r="J275" t="s">
        <v>6289</v>
      </c>
    </row>
    <row r="276" spans="1:10">
      <c r="A276">
        <v>1312</v>
      </c>
      <c r="B276" t="s">
        <v>4813</v>
      </c>
      <c r="C276">
        <v>18.04</v>
      </c>
      <c r="D276">
        <v>15.21</v>
      </c>
      <c r="E276">
        <v>5.46</v>
      </c>
      <c r="F276">
        <v>0.01</v>
      </c>
      <c r="G276">
        <v>275</v>
      </c>
      <c r="H276">
        <v>352</v>
      </c>
      <c r="I276">
        <v>16</v>
      </c>
      <c r="J276">
        <v>491</v>
      </c>
    </row>
    <row r="277" spans="1:10">
      <c r="A277">
        <v>4162</v>
      </c>
      <c r="B277" t="s">
        <v>5536</v>
      </c>
      <c r="C277">
        <v>17.96</v>
      </c>
      <c r="D277">
        <v>5.34</v>
      </c>
      <c r="E277">
        <v>0.52</v>
      </c>
      <c r="F277">
        <v>0.77</v>
      </c>
      <c r="G277">
        <v>276</v>
      </c>
      <c r="H277">
        <v>748</v>
      </c>
      <c r="I277">
        <v>312</v>
      </c>
      <c r="J277">
        <v>217</v>
      </c>
    </row>
    <row r="278" spans="1:10">
      <c r="A278">
        <v>6552</v>
      </c>
      <c r="B278" t="s">
        <v>5910</v>
      </c>
      <c r="C278">
        <v>17.940000000000001</v>
      </c>
      <c r="D278">
        <v>0.72</v>
      </c>
      <c r="E278">
        <v>0.26</v>
      </c>
      <c r="F278">
        <v>0</v>
      </c>
      <c r="G278">
        <v>277</v>
      </c>
      <c r="H278">
        <v>1263</v>
      </c>
      <c r="I278">
        <v>502</v>
      </c>
      <c r="J278" t="s">
        <v>6289</v>
      </c>
    </row>
    <row r="279" spans="1:10">
      <c r="A279">
        <v>4714</v>
      </c>
      <c r="B279" t="s">
        <v>5589</v>
      </c>
      <c r="C279">
        <v>17.93</v>
      </c>
      <c r="D279">
        <v>1.31</v>
      </c>
      <c r="E279">
        <v>0.39</v>
      </c>
      <c r="F279">
        <v>0</v>
      </c>
      <c r="G279">
        <v>278</v>
      </c>
      <c r="H279">
        <v>1148</v>
      </c>
      <c r="I279">
        <v>379</v>
      </c>
      <c r="J279" t="s">
        <v>6289</v>
      </c>
    </row>
    <row r="280" spans="1:10">
      <c r="A280">
        <v>3605</v>
      </c>
      <c r="B280" t="s">
        <v>5467</v>
      </c>
      <c r="C280">
        <v>17.8</v>
      </c>
      <c r="D280">
        <v>9.0399999999999991</v>
      </c>
      <c r="E280">
        <v>0.09</v>
      </c>
      <c r="F280">
        <v>0</v>
      </c>
      <c r="G280">
        <v>279</v>
      </c>
      <c r="H280">
        <v>538</v>
      </c>
      <c r="I280">
        <v>762</v>
      </c>
      <c r="J280" t="s">
        <v>6289</v>
      </c>
    </row>
    <row r="281" spans="1:10">
      <c r="A281">
        <v>6163</v>
      </c>
      <c r="B281" t="s">
        <v>5781</v>
      </c>
      <c r="C281">
        <v>17.78</v>
      </c>
      <c r="D281">
        <v>2.27</v>
      </c>
      <c r="E281">
        <v>0.06</v>
      </c>
      <c r="F281">
        <v>0</v>
      </c>
      <c r="G281">
        <v>280</v>
      </c>
      <c r="H281">
        <v>994</v>
      </c>
      <c r="I281">
        <v>852</v>
      </c>
      <c r="J281" t="s">
        <v>6289</v>
      </c>
    </row>
    <row r="282" spans="1:10">
      <c r="A282">
        <v>2461</v>
      </c>
      <c r="B282" t="s">
        <v>5130</v>
      </c>
      <c r="C282">
        <v>17.59</v>
      </c>
      <c r="D282">
        <v>7.18</v>
      </c>
      <c r="E282">
        <v>0.03</v>
      </c>
      <c r="F282">
        <v>0</v>
      </c>
      <c r="G282">
        <v>281</v>
      </c>
      <c r="H282">
        <v>627</v>
      </c>
      <c r="I282">
        <v>978</v>
      </c>
      <c r="J282" t="s">
        <v>6289</v>
      </c>
    </row>
    <row r="283" spans="1:10">
      <c r="A283">
        <v>1762</v>
      </c>
      <c r="B283" t="s">
        <v>4954</v>
      </c>
      <c r="C283">
        <v>17.489999999999998</v>
      </c>
      <c r="D283">
        <v>4.0999999999999996</v>
      </c>
      <c r="E283">
        <v>0.45</v>
      </c>
      <c r="F283">
        <v>1.1000000000000001</v>
      </c>
      <c r="G283">
        <v>282</v>
      </c>
      <c r="H283">
        <v>829</v>
      </c>
      <c r="I283">
        <v>346</v>
      </c>
      <c r="J283">
        <v>186</v>
      </c>
    </row>
    <row r="284" spans="1:10">
      <c r="A284">
        <v>8044</v>
      </c>
      <c r="B284" t="s">
        <v>5965</v>
      </c>
      <c r="C284">
        <v>17.489999999999998</v>
      </c>
      <c r="D284">
        <v>19.18</v>
      </c>
      <c r="E284">
        <v>0.85</v>
      </c>
      <c r="F284">
        <v>0.34</v>
      </c>
      <c r="G284">
        <v>282</v>
      </c>
      <c r="H284">
        <v>291</v>
      </c>
      <c r="I284">
        <v>207</v>
      </c>
      <c r="J284">
        <v>289</v>
      </c>
    </row>
    <row r="285" spans="1:10">
      <c r="A285">
        <v>3413</v>
      </c>
      <c r="B285" t="s">
        <v>5404</v>
      </c>
      <c r="C285">
        <v>17.47</v>
      </c>
      <c r="D285">
        <v>22.14</v>
      </c>
      <c r="E285">
        <v>0</v>
      </c>
      <c r="F285">
        <v>1.76</v>
      </c>
      <c r="G285">
        <v>284</v>
      </c>
      <c r="H285">
        <v>249</v>
      </c>
      <c r="I285" t="s">
        <v>6289</v>
      </c>
      <c r="J285">
        <v>144</v>
      </c>
    </row>
    <row r="286" spans="1:10">
      <c r="A286">
        <v>5457</v>
      </c>
      <c r="B286" t="s">
        <v>5699</v>
      </c>
      <c r="C286">
        <v>17.440000000000001</v>
      </c>
      <c r="D286">
        <v>36.979999999999997</v>
      </c>
      <c r="E286">
        <v>0.18</v>
      </c>
      <c r="F286">
        <v>1.28</v>
      </c>
      <c r="G286">
        <v>285</v>
      </c>
      <c r="H286">
        <v>133</v>
      </c>
      <c r="I286">
        <v>586</v>
      </c>
      <c r="J286">
        <v>172</v>
      </c>
    </row>
    <row r="287" spans="1:10">
      <c r="A287">
        <v>3645</v>
      </c>
      <c r="B287" t="s">
        <v>5479</v>
      </c>
      <c r="C287">
        <v>17.420000000000002</v>
      </c>
      <c r="D287">
        <v>14.15</v>
      </c>
      <c r="E287">
        <v>1.02</v>
      </c>
      <c r="F287">
        <v>1.43</v>
      </c>
      <c r="G287">
        <v>286</v>
      </c>
      <c r="H287">
        <v>374</v>
      </c>
      <c r="I287">
        <v>171</v>
      </c>
      <c r="J287">
        <v>159</v>
      </c>
    </row>
    <row r="288" spans="1:10">
      <c r="A288">
        <v>2472</v>
      </c>
      <c r="B288" t="s">
        <v>5138</v>
      </c>
      <c r="C288">
        <v>17.399999999999999</v>
      </c>
      <c r="D288">
        <v>1.21</v>
      </c>
      <c r="E288">
        <v>0.1</v>
      </c>
      <c r="F288">
        <v>0.01</v>
      </c>
      <c r="G288">
        <v>287</v>
      </c>
      <c r="H288">
        <v>1166</v>
      </c>
      <c r="I288">
        <v>734</v>
      </c>
      <c r="J288">
        <v>491</v>
      </c>
    </row>
    <row r="289" spans="1:10">
      <c r="A289">
        <v>2609</v>
      </c>
      <c r="B289" t="s">
        <v>5191</v>
      </c>
      <c r="C289">
        <v>17.34</v>
      </c>
      <c r="D289">
        <v>15.68</v>
      </c>
      <c r="E289">
        <v>0.16</v>
      </c>
      <c r="F289">
        <v>0.98</v>
      </c>
      <c r="G289">
        <v>288</v>
      </c>
      <c r="H289">
        <v>341</v>
      </c>
      <c r="I289">
        <v>614</v>
      </c>
      <c r="J289">
        <v>194</v>
      </c>
    </row>
    <row r="290" spans="1:10">
      <c r="A290">
        <v>4956</v>
      </c>
      <c r="B290" t="s">
        <v>5628</v>
      </c>
      <c r="C290">
        <v>17.34</v>
      </c>
      <c r="D290">
        <v>6.69</v>
      </c>
      <c r="E290">
        <v>0.33</v>
      </c>
      <c r="F290">
        <v>0</v>
      </c>
      <c r="G290">
        <v>288</v>
      </c>
      <c r="H290">
        <v>654</v>
      </c>
      <c r="I290">
        <v>435</v>
      </c>
      <c r="J290" t="s">
        <v>6289</v>
      </c>
    </row>
    <row r="291" spans="1:10">
      <c r="A291">
        <v>6156</v>
      </c>
      <c r="B291" t="s">
        <v>5778</v>
      </c>
      <c r="C291">
        <v>17.29</v>
      </c>
      <c r="D291">
        <v>4.21</v>
      </c>
      <c r="E291">
        <v>0.05</v>
      </c>
      <c r="F291">
        <v>0</v>
      </c>
      <c r="G291">
        <v>290</v>
      </c>
      <c r="H291">
        <v>823</v>
      </c>
      <c r="I291">
        <v>896</v>
      </c>
      <c r="J291" t="s">
        <v>6289</v>
      </c>
    </row>
    <row r="292" spans="1:10">
      <c r="A292">
        <v>4927</v>
      </c>
      <c r="B292" t="s">
        <v>5617</v>
      </c>
      <c r="C292">
        <v>17.25</v>
      </c>
      <c r="D292">
        <v>20.11</v>
      </c>
      <c r="E292">
        <v>0.88</v>
      </c>
      <c r="F292">
        <v>5.79</v>
      </c>
      <c r="G292">
        <v>291</v>
      </c>
      <c r="H292">
        <v>283</v>
      </c>
      <c r="I292">
        <v>194</v>
      </c>
      <c r="J292">
        <v>37</v>
      </c>
    </row>
    <row r="293" spans="1:10">
      <c r="A293">
        <v>1516</v>
      </c>
      <c r="B293" t="s">
        <v>4872</v>
      </c>
      <c r="C293">
        <v>17.239999999999998</v>
      </c>
      <c r="D293">
        <v>3.79</v>
      </c>
      <c r="E293">
        <v>0.41</v>
      </c>
      <c r="F293">
        <v>0.1</v>
      </c>
      <c r="G293">
        <v>292</v>
      </c>
      <c r="H293">
        <v>846</v>
      </c>
      <c r="I293">
        <v>370</v>
      </c>
      <c r="J293">
        <v>383</v>
      </c>
    </row>
    <row r="294" spans="1:10">
      <c r="A294">
        <v>3390</v>
      </c>
      <c r="B294" t="s">
        <v>5401</v>
      </c>
      <c r="C294">
        <v>17.23</v>
      </c>
      <c r="D294">
        <v>1.96</v>
      </c>
      <c r="E294">
        <v>0.02</v>
      </c>
      <c r="F294">
        <v>0</v>
      </c>
      <c r="G294">
        <v>293</v>
      </c>
      <c r="H294">
        <v>1040</v>
      </c>
      <c r="I294">
        <v>1051</v>
      </c>
      <c r="J294" t="s">
        <v>6289</v>
      </c>
    </row>
    <row r="295" spans="1:10">
      <c r="A295">
        <v>6643</v>
      </c>
      <c r="B295" t="s">
        <v>5929</v>
      </c>
      <c r="C295">
        <v>17.2</v>
      </c>
      <c r="D295">
        <v>8.9</v>
      </c>
      <c r="E295">
        <v>0.05</v>
      </c>
      <c r="F295">
        <v>0</v>
      </c>
      <c r="G295">
        <v>294</v>
      </c>
      <c r="H295">
        <v>547</v>
      </c>
      <c r="I295">
        <v>896</v>
      </c>
      <c r="J295" t="s">
        <v>6289</v>
      </c>
    </row>
    <row r="296" spans="1:10">
      <c r="A296">
        <v>9960</v>
      </c>
      <c r="B296" t="s">
        <v>6259</v>
      </c>
      <c r="C296">
        <v>17.190000000000001</v>
      </c>
      <c r="D296">
        <v>7.89</v>
      </c>
      <c r="E296">
        <v>0</v>
      </c>
      <c r="F296">
        <v>0</v>
      </c>
      <c r="G296">
        <v>295</v>
      </c>
      <c r="H296">
        <v>584</v>
      </c>
      <c r="I296" t="s">
        <v>6289</v>
      </c>
      <c r="J296" t="s">
        <v>6289</v>
      </c>
    </row>
    <row r="297" spans="1:10">
      <c r="A297">
        <v>4909</v>
      </c>
      <c r="B297" t="s">
        <v>5612</v>
      </c>
      <c r="C297">
        <v>17.16</v>
      </c>
      <c r="D297">
        <v>4.09</v>
      </c>
      <c r="E297">
        <v>0.28999999999999998</v>
      </c>
      <c r="F297">
        <v>0.04</v>
      </c>
      <c r="G297">
        <v>296</v>
      </c>
      <c r="H297">
        <v>831</v>
      </c>
      <c r="I297">
        <v>474</v>
      </c>
      <c r="J297">
        <v>437</v>
      </c>
    </row>
    <row r="298" spans="1:10">
      <c r="A298">
        <v>3437</v>
      </c>
      <c r="B298" t="s">
        <v>5409</v>
      </c>
      <c r="C298">
        <v>17.12</v>
      </c>
      <c r="D298">
        <v>3.67</v>
      </c>
      <c r="E298">
        <v>0.27</v>
      </c>
      <c r="F298">
        <v>0</v>
      </c>
      <c r="G298">
        <v>297</v>
      </c>
      <c r="H298">
        <v>853</v>
      </c>
      <c r="I298">
        <v>492</v>
      </c>
      <c r="J298" t="s">
        <v>6289</v>
      </c>
    </row>
    <row r="299" spans="1:10">
      <c r="A299">
        <v>5223</v>
      </c>
      <c r="B299" t="s">
        <v>5655</v>
      </c>
      <c r="C299">
        <v>17.09</v>
      </c>
      <c r="D299">
        <v>42.84</v>
      </c>
      <c r="E299">
        <v>0</v>
      </c>
      <c r="F299">
        <v>0</v>
      </c>
      <c r="G299">
        <v>298</v>
      </c>
      <c r="H299">
        <v>102</v>
      </c>
      <c r="I299" t="s">
        <v>6289</v>
      </c>
      <c r="J299" t="s">
        <v>6289</v>
      </c>
    </row>
    <row r="300" spans="1:10">
      <c r="A300">
        <v>4919</v>
      </c>
      <c r="B300" t="s">
        <v>5616</v>
      </c>
      <c r="C300">
        <v>17.04</v>
      </c>
      <c r="D300">
        <v>7.77</v>
      </c>
      <c r="E300">
        <v>0.56000000000000005</v>
      </c>
      <c r="F300">
        <v>9.19</v>
      </c>
      <c r="G300">
        <v>299</v>
      </c>
      <c r="H300">
        <v>591</v>
      </c>
      <c r="I300">
        <v>296</v>
      </c>
      <c r="J300">
        <v>16</v>
      </c>
    </row>
    <row r="301" spans="1:10">
      <c r="A301">
        <v>8358</v>
      </c>
      <c r="B301" t="s">
        <v>6018</v>
      </c>
      <c r="C301">
        <v>17.02</v>
      </c>
      <c r="D301">
        <v>6.75</v>
      </c>
      <c r="E301">
        <v>0.53</v>
      </c>
      <c r="F301">
        <v>5.87</v>
      </c>
      <c r="G301">
        <v>300</v>
      </c>
      <c r="H301">
        <v>649</v>
      </c>
      <c r="I301">
        <v>308</v>
      </c>
      <c r="J301">
        <v>36</v>
      </c>
    </row>
    <row r="302" spans="1:10">
      <c r="A302">
        <v>1325</v>
      </c>
      <c r="B302" t="s">
        <v>4822</v>
      </c>
      <c r="C302">
        <v>17</v>
      </c>
      <c r="D302">
        <v>3.8</v>
      </c>
      <c r="E302">
        <v>5.09</v>
      </c>
      <c r="F302">
        <v>0</v>
      </c>
      <c r="G302">
        <v>301</v>
      </c>
      <c r="H302">
        <v>844</v>
      </c>
      <c r="I302">
        <v>23</v>
      </c>
      <c r="J302" t="s">
        <v>6289</v>
      </c>
    </row>
    <row r="303" spans="1:10">
      <c r="A303">
        <v>2069</v>
      </c>
      <c r="B303" t="s">
        <v>5005</v>
      </c>
      <c r="C303">
        <v>16.989999999999998</v>
      </c>
      <c r="D303">
        <v>1.02</v>
      </c>
      <c r="E303">
        <v>0.16</v>
      </c>
      <c r="F303">
        <v>0</v>
      </c>
      <c r="G303">
        <v>302</v>
      </c>
      <c r="H303">
        <v>1202</v>
      </c>
      <c r="I303">
        <v>614</v>
      </c>
      <c r="J303" t="s">
        <v>6289</v>
      </c>
    </row>
    <row r="304" spans="1:10">
      <c r="A304">
        <v>9902</v>
      </c>
      <c r="B304" t="s">
        <v>6071</v>
      </c>
      <c r="C304">
        <v>16.989999999999998</v>
      </c>
      <c r="D304">
        <v>0.67</v>
      </c>
      <c r="E304">
        <v>0.24</v>
      </c>
      <c r="F304">
        <v>0</v>
      </c>
      <c r="G304">
        <v>302</v>
      </c>
      <c r="H304">
        <v>1282</v>
      </c>
      <c r="I304">
        <v>514</v>
      </c>
      <c r="J304" t="s">
        <v>6289</v>
      </c>
    </row>
    <row r="305" spans="1:10">
      <c r="A305">
        <v>3374</v>
      </c>
      <c r="B305" t="s">
        <v>5396</v>
      </c>
      <c r="C305">
        <v>16.98</v>
      </c>
      <c r="D305">
        <v>6.16</v>
      </c>
      <c r="E305">
        <v>0.86</v>
      </c>
      <c r="F305">
        <v>3.99</v>
      </c>
      <c r="G305">
        <v>304</v>
      </c>
      <c r="H305">
        <v>692</v>
      </c>
      <c r="I305">
        <v>200</v>
      </c>
      <c r="J305">
        <v>72</v>
      </c>
    </row>
    <row r="306" spans="1:10">
      <c r="A306">
        <v>8111</v>
      </c>
      <c r="B306" t="s">
        <v>5991</v>
      </c>
      <c r="C306">
        <v>16.88</v>
      </c>
      <c r="D306">
        <v>2.13</v>
      </c>
      <c r="E306">
        <v>0.94</v>
      </c>
      <c r="F306">
        <v>0</v>
      </c>
      <c r="G306">
        <v>305</v>
      </c>
      <c r="H306">
        <v>1009</v>
      </c>
      <c r="I306">
        <v>183</v>
      </c>
      <c r="J306" t="s">
        <v>6289</v>
      </c>
    </row>
    <row r="307" spans="1:10">
      <c r="A307">
        <v>2431</v>
      </c>
      <c r="B307" t="s">
        <v>5113</v>
      </c>
      <c r="C307">
        <v>16.82</v>
      </c>
      <c r="D307">
        <v>0.69</v>
      </c>
      <c r="E307">
        <v>0.3</v>
      </c>
      <c r="F307">
        <v>0</v>
      </c>
      <c r="G307">
        <v>306</v>
      </c>
      <c r="H307">
        <v>1273</v>
      </c>
      <c r="I307">
        <v>466</v>
      </c>
      <c r="J307" t="s">
        <v>6289</v>
      </c>
    </row>
    <row r="308" spans="1:10">
      <c r="A308">
        <v>3287</v>
      </c>
      <c r="B308" t="s">
        <v>6187</v>
      </c>
      <c r="C308">
        <v>16.78</v>
      </c>
      <c r="D308">
        <v>0.52</v>
      </c>
      <c r="E308">
        <v>0</v>
      </c>
      <c r="F308">
        <v>0</v>
      </c>
      <c r="G308">
        <v>307</v>
      </c>
      <c r="H308">
        <v>1314</v>
      </c>
      <c r="I308" t="s">
        <v>6289</v>
      </c>
      <c r="J308" t="s">
        <v>6289</v>
      </c>
    </row>
    <row r="309" spans="1:10">
      <c r="A309">
        <v>4952</v>
      </c>
      <c r="B309" t="s">
        <v>5626</v>
      </c>
      <c r="C309">
        <v>16.78</v>
      </c>
      <c r="D309">
        <v>6.26</v>
      </c>
      <c r="E309">
        <v>0.2</v>
      </c>
      <c r="F309">
        <v>0.08</v>
      </c>
      <c r="G309">
        <v>307</v>
      </c>
      <c r="H309">
        <v>683</v>
      </c>
      <c r="I309">
        <v>558</v>
      </c>
      <c r="J309">
        <v>401</v>
      </c>
    </row>
    <row r="310" spans="1:10">
      <c r="A310">
        <v>1609</v>
      </c>
      <c r="B310" t="s">
        <v>4917</v>
      </c>
      <c r="C310">
        <v>16.739999999999998</v>
      </c>
      <c r="D310">
        <v>9.19</v>
      </c>
      <c r="E310">
        <v>0.14000000000000001</v>
      </c>
      <c r="F310">
        <v>0.12</v>
      </c>
      <c r="G310">
        <v>309</v>
      </c>
      <c r="H310">
        <v>534</v>
      </c>
      <c r="I310">
        <v>653</v>
      </c>
      <c r="J310">
        <v>362</v>
      </c>
    </row>
    <row r="311" spans="1:10">
      <c r="A311">
        <v>2603</v>
      </c>
      <c r="B311" t="s">
        <v>5186</v>
      </c>
      <c r="C311">
        <v>16.739999999999998</v>
      </c>
      <c r="D311">
        <v>26.77</v>
      </c>
      <c r="E311">
        <v>1.57</v>
      </c>
      <c r="F311">
        <v>2.75</v>
      </c>
      <c r="G311">
        <v>309</v>
      </c>
      <c r="H311">
        <v>203</v>
      </c>
      <c r="I311">
        <v>101</v>
      </c>
      <c r="J311">
        <v>97</v>
      </c>
    </row>
    <row r="312" spans="1:10">
      <c r="A312">
        <v>3002</v>
      </c>
      <c r="B312" t="s">
        <v>5269</v>
      </c>
      <c r="C312">
        <v>16.73</v>
      </c>
      <c r="D312">
        <v>0.64</v>
      </c>
      <c r="E312">
        <v>0.03</v>
      </c>
      <c r="F312">
        <v>0</v>
      </c>
      <c r="G312">
        <v>311</v>
      </c>
      <c r="H312">
        <v>1286</v>
      </c>
      <c r="I312">
        <v>978</v>
      </c>
      <c r="J312" t="s">
        <v>6289</v>
      </c>
    </row>
    <row r="313" spans="1:10">
      <c r="A313">
        <v>2028</v>
      </c>
      <c r="B313" t="s">
        <v>4992</v>
      </c>
      <c r="C313">
        <v>16.72</v>
      </c>
      <c r="D313">
        <v>0.48</v>
      </c>
      <c r="E313">
        <v>0.11</v>
      </c>
      <c r="F313">
        <v>0</v>
      </c>
      <c r="G313">
        <v>312</v>
      </c>
      <c r="H313">
        <v>1331</v>
      </c>
      <c r="I313">
        <v>708</v>
      </c>
      <c r="J313" t="s">
        <v>6289</v>
      </c>
    </row>
    <row r="314" spans="1:10">
      <c r="A314">
        <v>6179</v>
      </c>
      <c r="B314" t="s">
        <v>5792</v>
      </c>
      <c r="C314">
        <v>16.7</v>
      </c>
      <c r="D314">
        <v>0.72</v>
      </c>
      <c r="E314">
        <v>0</v>
      </c>
      <c r="F314">
        <v>0</v>
      </c>
      <c r="G314">
        <v>313</v>
      </c>
      <c r="H314">
        <v>1263</v>
      </c>
      <c r="I314" t="s">
        <v>6289</v>
      </c>
      <c r="J314" t="s">
        <v>6289</v>
      </c>
    </row>
    <row r="315" spans="1:10">
      <c r="A315">
        <v>1785</v>
      </c>
      <c r="B315" t="s">
        <v>4959</v>
      </c>
      <c r="C315">
        <v>16.559999999999999</v>
      </c>
      <c r="D315">
        <v>7.19</v>
      </c>
      <c r="E315">
        <v>0.03</v>
      </c>
      <c r="F315">
        <v>0.06</v>
      </c>
      <c r="G315">
        <v>314</v>
      </c>
      <c r="H315">
        <v>625</v>
      </c>
      <c r="I315">
        <v>978</v>
      </c>
      <c r="J315">
        <v>416</v>
      </c>
    </row>
    <row r="316" spans="1:10">
      <c r="A316">
        <v>6432</v>
      </c>
      <c r="B316" t="s">
        <v>5872</v>
      </c>
      <c r="C316">
        <v>16.5</v>
      </c>
      <c r="D316">
        <v>0.74</v>
      </c>
      <c r="E316">
        <v>0</v>
      </c>
      <c r="F316">
        <v>0</v>
      </c>
      <c r="G316">
        <v>315</v>
      </c>
      <c r="H316">
        <v>1256</v>
      </c>
      <c r="I316" t="s">
        <v>6289</v>
      </c>
      <c r="J316" t="s">
        <v>6289</v>
      </c>
    </row>
    <row r="317" spans="1:10">
      <c r="A317">
        <v>3583</v>
      </c>
      <c r="B317" t="s">
        <v>5460</v>
      </c>
      <c r="C317">
        <v>16.43</v>
      </c>
      <c r="D317">
        <v>8.9700000000000006</v>
      </c>
      <c r="E317">
        <v>0.09</v>
      </c>
      <c r="F317">
        <v>0</v>
      </c>
      <c r="G317">
        <v>316</v>
      </c>
      <c r="H317">
        <v>543</v>
      </c>
      <c r="I317">
        <v>762</v>
      </c>
      <c r="J317" t="s">
        <v>6289</v>
      </c>
    </row>
    <row r="318" spans="1:10">
      <c r="A318">
        <v>5243</v>
      </c>
      <c r="B318" t="s">
        <v>5660</v>
      </c>
      <c r="C318">
        <v>16.43</v>
      </c>
      <c r="D318">
        <v>52.62</v>
      </c>
      <c r="E318">
        <v>0.08</v>
      </c>
      <c r="F318">
        <v>0</v>
      </c>
      <c r="G318">
        <v>316</v>
      </c>
      <c r="H318">
        <v>68</v>
      </c>
      <c r="I318">
        <v>789</v>
      </c>
      <c r="J318" t="s">
        <v>6289</v>
      </c>
    </row>
    <row r="319" spans="1:10">
      <c r="A319">
        <v>2611</v>
      </c>
      <c r="B319" t="s">
        <v>5193</v>
      </c>
      <c r="C319">
        <v>16.37</v>
      </c>
      <c r="D319">
        <v>0.5</v>
      </c>
      <c r="E319">
        <v>0.96</v>
      </c>
      <c r="F319">
        <v>0</v>
      </c>
      <c r="G319">
        <v>318</v>
      </c>
      <c r="H319">
        <v>1322</v>
      </c>
      <c r="I319">
        <v>180</v>
      </c>
      <c r="J319" t="s">
        <v>6289</v>
      </c>
    </row>
    <row r="320" spans="1:10">
      <c r="A320">
        <v>5386</v>
      </c>
      <c r="B320" t="s">
        <v>5685</v>
      </c>
      <c r="C320">
        <v>16.37</v>
      </c>
      <c r="D320">
        <v>0.85</v>
      </c>
      <c r="E320">
        <v>5.23</v>
      </c>
      <c r="F320">
        <v>0</v>
      </c>
      <c r="G320">
        <v>318</v>
      </c>
      <c r="H320">
        <v>1238</v>
      </c>
      <c r="I320">
        <v>19</v>
      </c>
      <c r="J320" t="s">
        <v>6289</v>
      </c>
    </row>
    <row r="321" spans="1:10">
      <c r="A321">
        <v>2415</v>
      </c>
      <c r="B321" t="s">
        <v>5102</v>
      </c>
      <c r="C321">
        <v>16.36</v>
      </c>
      <c r="D321">
        <v>1.63</v>
      </c>
      <c r="E321">
        <v>0.15</v>
      </c>
      <c r="F321">
        <v>0</v>
      </c>
      <c r="G321">
        <v>320</v>
      </c>
      <c r="H321">
        <v>1088</v>
      </c>
      <c r="I321">
        <v>635</v>
      </c>
      <c r="J321" t="s">
        <v>6289</v>
      </c>
    </row>
    <row r="322" spans="1:10">
      <c r="A322">
        <v>4174</v>
      </c>
      <c r="B322" t="s">
        <v>5543</v>
      </c>
      <c r="C322">
        <v>16.36</v>
      </c>
      <c r="D322">
        <v>11.43</v>
      </c>
      <c r="E322">
        <v>0.01</v>
      </c>
      <c r="F322">
        <v>0</v>
      </c>
      <c r="G322">
        <v>320</v>
      </c>
      <c r="H322">
        <v>442</v>
      </c>
      <c r="I322">
        <v>1110</v>
      </c>
      <c r="J322" t="s">
        <v>6289</v>
      </c>
    </row>
    <row r="323" spans="1:10">
      <c r="A323">
        <v>8928</v>
      </c>
      <c r="B323" t="s">
        <v>6063</v>
      </c>
      <c r="C323">
        <v>16.27</v>
      </c>
      <c r="D323">
        <v>0.9</v>
      </c>
      <c r="E323">
        <v>0.04</v>
      </c>
      <c r="F323">
        <v>0.61</v>
      </c>
      <c r="G323">
        <v>322</v>
      </c>
      <c r="H323">
        <v>1227</v>
      </c>
      <c r="I323">
        <v>936</v>
      </c>
      <c r="J323">
        <v>241</v>
      </c>
    </row>
    <row r="324" spans="1:10">
      <c r="A324">
        <v>2617</v>
      </c>
      <c r="B324" t="s">
        <v>5199</v>
      </c>
      <c r="C324">
        <v>16.170000000000002</v>
      </c>
      <c r="D324">
        <v>3.34</v>
      </c>
      <c r="E324">
        <v>0.12</v>
      </c>
      <c r="F324">
        <v>0</v>
      </c>
      <c r="G324">
        <v>323</v>
      </c>
      <c r="H324">
        <v>887</v>
      </c>
      <c r="I324">
        <v>683</v>
      </c>
      <c r="J324" t="s">
        <v>6289</v>
      </c>
    </row>
    <row r="325" spans="1:10">
      <c r="A325">
        <v>3035</v>
      </c>
      <c r="B325" t="s">
        <v>5295</v>
      </c>
      <c r="C325">
        <v>16.16</v>
      </c>
      <c r="D325">
        <v>29.16</v>
      </c>
      <c r="E325">
        <v>2.06</v>
      </c>
      <c r="F325">
        <v>20.47</v>
      </c>
      <c r="G325">
        <v>324</v>
      </c>
      <c r="H325">
        <v>187</v>
      </c>
      <c r="I325">
        <v>78</v>
      </c>
      <c r="J325">
        <v>2</v>
      </c>
    </row>
    <row r="326" spans="1:10">
      <c r="A326">
        <v>6715</v>
      </c>
      <c r="B326" t="s">
        <v>5945</v>
      </c>
      <c r="C326">
        <v>16.12</v>
      </c>
      <c r="D326">
        <v>1.47</v>
      </c>
      <c r="E326">
        <v>7.0000000000000007E-2</v>
      </c>
      <c r="F326">
        <v>0</v>
      </c>
      <c r="G326">
        <v>325</v>
      </c>
      <c r="H326">
        <v>1113</v>
      </c>
      <c r="I326">
        <v>824</v>
      </c>
      <c r="J326" t="s">
        <v>6289</v>
      </c>
    </row>
    <row r="327" spans="1:10">
      <c r="A327">
        <v>4503</v>
      </c>
      <c r="B327" t="s">
        <v>5558</v>
      </c>
      <c r="C327">
        <v>16.100000000000001</v>
      </c>
      <c r="D327">
        <v>0.56999999999999995</v>
      </c>
      <c r="E327">
        <v>0.17</v>
      </c>
      <c r="F327">
        <v>0</v>
      </c>
      <c r="G327">
        <v>326</v>
      </c>
      <c r="H327">
        <v>1302</v>
      </c>
      <c r="I327">
        <v>598</v>
      </c>
      <c r="J327" t="s">
        <v>6289</v>
      </c>
    </row>
    <row r="328" spans="1:10">
      <c r="A328">
        <v>2323</v>
      </c>
      <c r="B328" t="s">
        <v>5043</v>
      </c>
      <c r="C328">
        <v>16.05</v>
      </c>
      <c r="D328">
        <v>9.9600000000000009</v>
      </c>
      <c r="E328">
        <v>4.25</v>
      </c>
      <c r="F328">
        <v>0.01</v>
      </c>
      <c r="G328">
        <v>327</v>
      </c>
      <c r="H328">
        <v>502</v>
      </c>
      <c r="I328">
        <v>34</v>
      </c>
      <c r="J328">
        <v>491</v>
      </c>
    </row>
    <row r="329" spans="1:10">
      <c r="A329">
        <v>6136</v>
      </c>
      <c r="B329" t="s">
        <v>5764</v>
      </c>
      <c r="C329">
        <v>15.99</v>
      </c>
      <c r="D329">
        <v>4.55</v>
      </c>
      <c r="E329">
        <v>0.04</v>
      </c>
      <c r="F329">
        <v>0</v>
      </c>
      <c r="G329">
        <v>328</v>
      </c>
      <c r="H329">
        <v>806</v>
      </c>
      <c r="I329">
        <v>936</v>
      </c>
      <c r="J329" t="s">
        <v>6289</v>
      </c>
    </row>
    <row r="330" spans="1:10">
      <c r="A330">
        <v>2442</v>
      </c>
      <c r="B330" t="s">
        <v>5119</v>
      </c>
      <c r="C330">
        <v>15.98</v>
      </c>
      <c r="D330">
        <v>4.45</v>
      </c>
      <c r="E330">
        <v>0.06</v>
      </c>
      <c r="F330">
        <v>0</v>
      </c>
      <c r="G330">
        <v>329</v>
      </c>
      <c r="H330">
        <v>811</v>
      </c>
      <c r="I330">
        <v>852</v>
      </c>
      <c r="J330" t="s">
        <v>6289</v>
      </c>
    </row>
    <row r="331" spans="1:10">
      <c r="A331">
        <v>2369</v>
      </c>
      <c r="B331" t="s">
        <v>5074</v>
      </c>
      <c r="C331">
        <v>15.95</v>
      </c>
      <c r="D331">
        <v>14.31</v>
      </c>
      <c r="E331">
        <v>0.33</v>
      </c>
      <c r="F331">
        <v>0.01</v>
      </c>
      <c r="G331">
        <v>330</v>
      </c>
      <c r="H331">
        <v>371</v>
      </c>
      <c r="I331">
        <v>435</v>
      </c>
      <c r="J331">
        <v>491</v>
      </c>
    </row>
    <row r="332" spans="1:10">
      <c r="A332">
        <v>4979</v>
      </c>
      <c r="B332" t="s">
        <v>5640</v>
      </c>
      <c r="C332">
        <v>15.91</v>
      </c>
      <c r="D332">
        <v>3.93</v>
      </c>
      <c r="E332">
        <v>0.23</v>
      </c>
      <c r="F332">
        <v>0</v>
      </c>
      <c r="G332">
        <v>331</v>
      </c>
      <c r="H332">
        <v>838</v>
      </c>
      <c r="I332">
        <v>526</v>
      </c>
      <c r="J332" t="s">
        <v>6289</v>
      </c>
    </row>
    <row r="333" spans="1:10">
      <c r="A333">
        <v>3546</v>
      </c>
      <c r="B333" t="s">
        <v>5447</v>
      </c>
      <c r="C333">
        <v>15.9</v>
      </c>
      <c r="D333">
        <v>10.86</v>
      </c>
      <c r="E333">
        <v>0</v>
      </c>
      <c r="F333">
        <v>0</v>
      </c>
      <c r="G333">
        <v>332</v>
      </c>
      <c r="H333">
        <v>472</v>
      </c>
      <c r="I333" t="s">
        <v>6289</v>
      </c>
      <c r="J333" t="s">
        <v>6289</v>
      </c>
    </row>
    <row r="334" spans="1:10">
      <c r="A334">
        <v>3003</v>
      </c>
      <c r="B334" t="s">
        <v>5270</v>
      </c>
      <c r="C334">
        <v>15.86</v>
      </c>
      <c r="D334">
        <v>4.58</v>
      </c>
      <c r="E334">
        <v>0.13</v>
      </c>
      <c r="F334">
        <v>0.35</v>
      </c>
      <c r="G334">
        <v>333</v>
      </c>
      <c r="H334">
        <v>804</v>
      </c>
      <c r="I334">
        <v>667</v>
      </c>
      <c r="J334">
        <v>284</v>
      </c>
    </row>
    <row r="335" spans="1:10">
      <c r="A335">
        <v>3086</v>
      </c>
      <c r="B335" t="s">
        <v>5319</v>
      </c>
      <c r="C335">
        <v>15.86</v>
      </c>
      <c r="D335">
        <v>28.8</v>
      </c>
      <c r="E335">
        <v>0</v>
      </c>
      <c r="F335">
        <v>0</v>
      </c>
      <c r="G335">
        <v>333</v>
      </c>
      <c r="H335">
        <v>192</v>
      </c>
      <c r="I335" t="s">
        <v>6289</v>
      </c>
      <c r="J335" t="s">
        <v>6289</v>
      </c>
    </row>
    <row r="336" spans="1:10">
      <c r="A336">
        <v>1612</v>
      </c>
      <c r="B336" t="s">
        <v>4919</v>
      </c>
      <c r="C336">
        <v>15.83</v>
      </c>
      <c r="D336">
        <v>15.05</v>
      </c>
      <c r="E336">
        <v>0.34</v>
      </c>
      <c r="F336">
        <v>0.08</v>
      </c>
      <c r="G336">
        <v>335</v>
      </c>
      <c r="H336">
        <v>356</v>
      </c>
      <c r="I336">
        <v>425</v>
      </c>
      <c r="J336">
        <v>401</v>
      </c>
    </row>
    <row r="337" spans="1:10">
      <c r="A337">
        <v>6533</v>
      </c>
      <c r="B337" t="s">
        <v>5907</v>
      </c>
      <c r="C337">
        <v>15.78</v>
      </c>
      <c r="D337">
        <v>24.83</v>
      </c>
      <c r="E337">
        <v>0.63</v>
      </c>
      <c r="F337">
        <v>0.11</v>
      </c>
      <c r="G337">
        <v>336</v>
      </c>
      <c r="H337">
        <v>224</v>
      </c>
      <c r="I337">
        <v>276</v>
      </c>
      <c r="J337">
        <v>374</v>
      </c>
    </row>
    <row r="338" spans="1:10">
      <c r="A338">
        <v>3444</v>
      </c>
      <c r="B338" t="s">
        <v>5413</v>
      </c>
      <c r="C338">
        <v>15.75</v>
      </c>
      <c r="D338">
        <v>9.52</v>
      </c>
      <c r="E338">
        <v>0.49</v>
      </c>
      <c r="F338">
        <v>0</v>
      </c>
      <c r="G338">
        <v>337</v>
      </c>
      <c r="H338">
        <v>519</v>
      </c>
      <c r="I338">
        <v>324</v>
      </c>
      <c r="J338" t="s">
        <v>6289</v>
      </c>
    </row>
    <row r="339" spans="1:10">
      <c r="A339">
        <v>6266</v>
      </c>
      <c r="B339" t="s">
        <v>5845</v>
      </c>
      <c r="C339">
        <v>15.66</v>
      </c>
      <c r="D339">
        <v>2.71</v>
      </c>
      <c r="E339">
        <v>0.6</v>
      </c>
      <c r="F339">
        <v>0</v>
      </c>
      <c r="G339">
        <v>338</v>
      </c>
      <c r="H339">
        <v>948</v>
      </c>
      <c r="I339">
        <v>282</v>
      </c>
      <c r="J339" t="s">
        <v>6289</v>
      </c>
    </row>
    <row r="340" spans="1:10">
      <c r="A340">
        <v>2007</v>
      </c>
      <c r="B340" t="s">
        <v>4979</v>
      </c>
      <c r="C340">
        <v>15.63</v>
      </c>
      <c r="D340">
        <v>0.43</v>
      </c>
      <c r="E340">
        <v>0.11</v>
      </c>
      <c r="F340">
        <v>0</v>
      </c>
      <c r="G340">
        <v>339</v>
      </c>
      <c r="H340">
        <v>1344</v>
      </c>
      <c r="I340">
        <v>708</v>
      </c>
      <c r="J340" t="s">
        <v>6289</v>
      </c>
    </row>
    <row r="341" spans="1:10">
      <c r="A341">
        <v>1784</v>
      </c>
      <c r="B341" t="s">
        <v>4958</v>
      </c>
      <c r="C341">
        <v>15.51</v>
      </c>
      <c r="D341">
        <v>1.57</v>
      </c>
      <c r="E341">
        <v>0.11</v>
      </c>
      <c r="F341">
        <v>0</v>
      </c>
      <c r="G341">
        <v>340</v>
      </c>
      <c r="H341">
        <v>1097</v>
      </c>
      <c r="I341">
        <v>708</v>
      </c>
      <c r="J341" t="s">
        <v>6289</v>
      </c>
    </row>
    <row r="342" spans="1:10">
      <c r="A342">
        <v>3675</v>
      </c>
      <c r="B342" t="s">
        <v>5490</v>
      </c>
      <c r="C342">
        <v>15.51</v>
      </c>
      <c r="D342">
        <v>52.48</v>
      </c>
      <c r="E342">
        <v>0.39</v>
      </c>
      <c r="F342">
        <v>18.579999999999998</v>
      </c>
      <c r="G342">
        <v>340</v>
      </c>
      <c r="H342">
        <v>69</v>
      </c>
      <c r="I342">
        <v>379</v>
      </c>
      <c r="J342">
        <v>3</v>
      </c>
    </row>
    <row r="343" spans="1:10">
      <c r="A343">
        <v>6026</v>
      </c>
      <c r="B343" t="s">
        <v>5744</v>
      </c>
      <c r="C343">
        <v>15.48</v>
      </c>
      <c r="D343">
        <v>1.86</v>
      </c>
      <c r="E343">
        <v>0</v>
      </c>
      <c r="F343">
        <v>0</v>
      </c>
      <c r="G343">
        <v>342</v>
      </c>
      <c r="H343">
        <v>1053</v>
      </c>
      <c r="I343" t="s">
        <v>6289</v>
      </c>
      <c r="J343" t="s">
        <v>6289</v>
      </c>
    </row>
    <row r="344" spans="1:10">
      <c r="A344">
        <v>4906</v>
      </c>
      <c r="B344" t="s">
        <v>5610</v>
      </c>
      <c r="C344">
        <v>15.36</v>
      </c>
      <c r="D344">
        <v>10.33</v>
      </c>
      <c r="E344">
        <v>0.01</v>
      </c>
      <c r="F344">
        <v>0</v>
      </c>
      <c r="G344">
        <v>343</v>
      </c>
      <c r="H344">
        <v>487</v>
      </c>
      <c r="I344">
        <v>1110</v>
      </c>
      <c r="J344" t="s">
        <v>6289</v>
      </c>
    </row>
    <row r="345" spans="1:10">
      <c r="A345">
        <v>6516</v>
      </c>
      <c r="B345" t="s">
        <v>5902</v>
      </c>
      <c r="C345">
        <v>15.35</v>
      </c>
      <c r="D345">
        <v>0.33</v>
      </c>
      <c r="E345">
        <v>0</v>
      </c>
      <c r="F345">
        <v>0</v>
      </c>
      <c r="G345">
        <v>344</v>
      </c>
      <c r="H345">
        <v>1375</v>
      </c>
      <c r="I345" t="s">
        <v>6289</v>
      </c>
      <c r="J345" t="s">
        <v>6289</v>
      </c>
    </row>
    <row r="346" spans="1:10">
      <c r="A346">
        <v>3450</v>
      </c>
      <c r="B346" t="s">
        <v>5414</v>
      </c>
      <c r="C346">
        <v>15.33</v>
      </c>
      <c r="D346">
        <v>7.19</v>
      </c>
      <c r="E346">
        <v>0.15</v>
      </c>
      <c r="F346">
        <v>0</v>
      </c>
      <c r="G346">
        <v>345</v>
      </c>
      <c r="H346">
        <v>625</v>
      </c>
      <c r="I346">
        <v>635</v>
      </c>
      <c r="J346" t="s">
        <v>6289</v>
      </c>
    </row>
    <row r="347" spans="1:10">
      <c r="A347">
        <v>6284</v>
      </c>
      <c r="B347" t="s">
        <v>5858</v>
      </c>
      <c r="C347">
        <v>15.23</v>
      </c>
      <c r="D347">
        <v>0.87</v>
      </c>
      <c r="E347">
        <v>0.24</v>
      </c>
      <c r="F347">
        <v>0.22</v>
      </c>
      <c r="G347">
        <v>346</v>
      </c>
      <c r="H347">
        <v>1234</v>
      </c>
      <c r="I347">
        <v>514</v>
      </c>
      <c r="J347">
        <v>319</v>
      </c>
    </row>
    <row r="348" spans="1:10">
      <c r="A348">
        <v>8255</v>
      </c>
      <c r="B348" t="s">
        <v>6010</v>
      </c>
      <c r="C348">
        <v>15.23</v>
      </c>
      <c r="D348">
        <v>8.14</v>
      </c>
      <c r="E348">
        <v>0.52</v>
      </c>
      <c r="F348">
        <v>3.08</v>
      </c>
      <c r="G348">
        <v>346</v>
      </c>
      <c r="H348">
        <v>579</v>
      </c>
      <c r="I348">
        <v>312</v>
      </c>
      <c r="J348">
        <v>86</v>
      </c>
    </row>
    <row r="349" spans="1:10">
      <c r="A349">
        <v>2610</v>
      </c>
      <c r="B349" t="s">
        <v>5192</v>
      </c>
      <c r="C349">
        <v>15.21</v>
      </c>
      <c r="D349">
        <v>16.66</v>
      </c>
      <c r="E349">
        <v>0.05</v>
      </c>
      <c r="F349">
        <v>2.48</v>
      </c>
      <c r="G349">
        <v>348</v>
      </c>
      <c r="H349">
        <v>334</v>
      </c>
      <c r="I349">
        <v>896</v>
      </c>
      <c r="J349">
        <v>106</v>
      </c>
    </row>
    <row r="350" spans="1:10">
      <c r="A350">
        <v>8088</v>
      </c>
      <c r="B350" t="s">
        <v>5980</v>
      </c>
      <c r="C350">
        <v>15.21</v>
      </c>
      <c r="D350">
        <v>9.6999999999999993</v>
      </c>
      <c r="E350">
        <v>0.61</v>
      </c>
      <c r="F350">
        <v>0</v>
      </c>
      <c r="G350">
        <v>348</v>
      </c>
      <c r="H350">
        <v>509</v>
      </c>
      <c r="I350">
        <v>279</v>
      </c>
      <c r="J350" t="s">
        <v>6289</v>
      </c>
    </row>
    <row r="351" spans="1:10">
      <c r="A351">
        <v>4953</v>
      </c>
      <c r="B351" t="s">
        <v>5627</v>
      </c>
      <c r="C351">
        <v>15.16</v>
      </c>
      <c r="D351">
        <v>10.1</v>
      </c>
      <c r="E351">
        <v>0.93</v>
      </c>
      <c r="F351">
        <v>0.83</v>
      </c>
      <c r="G351">
        <v>350</v>
      </c>
      <c r="H351">
        <v>498</v>
      </c>
      <c r="I351">
        <v>187</v>
      </c>
      <c r="J351">
        <v>209</v>
      </c>
    </row>
    <row r="352" spans="1:10">
      <c r="A352">
        <v>3056</v>
      </c>
      <c r="B352" t="s">
        <v>5311</v>
      </c>
      <c r="C352">
        <v>15.15</v>
      </c>
      <c r="D352">
        <v>4.6900000000000004</v>
      </c>
      <c r="E352">
        <v>0.06</v>
      </c>
      <c r="F352">
        <v>0.03</v>
      </c>
      <c r="G352">
        <v>351</v>
      </c>
      <c r="H352">
        <v>796</v>
      </c>
      <c r="I352">
        <v>852</v>
      </c>
      <c r="J352">
        <v>458</v>
      </c>
    </row>
    <row r="353" spans="1:10">
      <c r="A353">
        <v>5471</v>
      </c>
      <c r="B353" t="s">
        <v>5702</v>
      </c>
      <c r="C353">
        <v>15.12</v>
      </c>
      <c r="D353">
        <v>12.28</v>
      </c>
      <c r="E353">
        <v>0.05</v>
      </c>
      <c r="F353">
        <v>0.09</v>
      </c>
      <c r="G353">
        <v>352</v>
      </c>
      <c r="H353">
        <v>418</v>
      </c>
      <c r="I353">
        <v>896</v>
      </c>
      <c r="J353">
        <v>395</v>
      </c>
    </row>
    <row r="354" spans="1:10">
      <c r="A354">
        <v>6514</v>
      </c>
      <c r="B354" t="s">
        <v>5900</v>
      </c>
      <c r="C354">
        <v>15.09</v>
      </c>
      <c r="D354">
        <v>54.85</v>
      </c>
      <c r="E354">
        <v>0</v>
      </c>
      <c r="F354">
        <v>0</v>
      </c>
      <c r="G354">
        <v>353</v>
      </c>
      <c r="H354">
        <v>57</v>
      </c>
      <c r="I354" t="s">
        <v>6289</v>
      </c>
      <c r="J354" t="s">
        <v>6289</v>
      </c>
    </row>
    <row r="355" spans="1:10">
      <c r="A355">
        <v>6245</v>
      </c>
      <c r="B355" t="s">
        <v>5837</v>
      </c>
      <c r="C355">
        <v>15.08</v>
      </c>
      <c r="D355">
        <v>13</v>
      </c>
      <c r="E355">
        <v>0.32</v>
      </c>
      <c r="F355">
        <v>0.68</v>
      </c>
      <c r="G355">
        <v>354</v>
      </c>
      <c r="H355">
        <v>402</v>
      </c>
      <c r="I355">
        <v>447</v>
      </c>
      <c r="J355">
        <v>234</v>
      </c>
    </row>
    <row r="356" spans="1:10">
      <c r="A356">
        <v>2031</v>
      </c>
      <c r="B356" t="s">
        <v>4995</v>
      </c>
      <c r="C356">
        <v>15.05</v>
      </c>
      <c r="D356">
        <v>11.26</v>
      </c>
      <c r="E356">
        <v>0.47</v>
      </c>
      <c r="F356">
        <v>3.44</v>
      </c>
      <c r="G356">
        <v>355</v>
      </c>
      <c r="H356">
        <v>452</v>
      </c>
      <c r="I356">
        <v>334</v>
      </c>
      <c r="J356">
        <v>82</v>
      </c>
    </row>
    <row r="357" spans="1:10">
      <c r="A357">
        <v>4930</v>
      </c>
      <c r="B357" t="s">
        <v>6191</v>
      </c>
      <c r="C357">
        <v>15.03</v>
      </c>
      <c r="D357">
        <v>5.0199999999999996</v>
      </c>
      <c r="E357">
        <v>0.41</v>
      </c>
      <c r="F357">
        <v>0</v>
      </c>
      <c r="G357">
        <v>356</v>
      </c>
      <c r="H357">
        <v>771</v>
      </c>
      <c r="I357">
        <v>370</v>
      </c>
      <c r="J357" t="s">
        <v>6289</v>
      </c>
    </row>
    <row r="358" spans="1:10">
      <c r="A358">
        <v>6173</v>
      </c>
      <c r="B358" t="s">
        <v>5787</v>
      </c>
      <c r="C358">
        <v>15.03</v>
      </c>
      <c r="D358">
        <v>1.71</v>
      </c>
      <c r="E358">
        <v>1.1000000000000001</v>
      </c>
      <c r="F358">
        <v>0</v>
      </c>
      <c r="G358">
        <v>356</v>
      </c>
      <c r="H358">
        <v>1078</v>
      </c>
      <c r="I358">
        <v>161</v>
      </c>
      <c r="J358" t="s">
        <v>6289</v>
      </c>
    </row>
    <row r="359" spans="1:10">
      <c r="A359">
        <v>1338</v>
      </c>
      <c r="B359" t="s">
        <v>4826</v>
      </c>
      <c r="C359">
        <v>15.02</v>
      </c>
      <c r="D359">
        <v>8.57</v>
      </c>
      <c r="E359">
        <v>0.1</v>
      </c>
      <c r="F359">
        <v>0</v>
      </c>
      <c r="G359">
        <v>358</v>
      </c>
      <c r="H359">
        <v>565</v>
      </c>
      <c r="I359">
        <v>734</v>
      </c>
      <c r="J359" t="s">
        <v>6289</v>
      </c>
    </row>
    <row r="360" spans="1:10">
      <c r="A360">
        <v>3438</v>
      </c>
      <c r="B360" t="s">
        <v>5410</v>
      </c>
      <c r="C360">
        <v>15.02</v>
      </c>
      <c r="D360">
        <v>1.93</v>
      </c>
      <c r="E360">
        <v>4.58</v>
      </c>
      <c r="F360">
        <v>0</v>
      </c>
      <c r="G360">
        <v>358</v>
      </c>
      <c r="H360">
        <v>1041</v>
      </c>
      <c r="I360">
        <v>29</v>
      </c>
      <c r="J360" t="s">
        <v>6289</v>
      </c>
    </row>
    <row r="361" spans="1:10">
      <c r="A361">
        <v>6226</v>
      </c>
      <c r="B361" t="s">
        <v>5825</v>
      </c>
      <c r="C361">
        <v>14.99</v>
      </c>
      <c r="D361">
        <v>2.95</v>
      </c>
      <c r="E361">
        <v>0.32</v>
      </c>
      <c r="F361">
        <v>0</v>
      </c>
      <c r="G361">
        <v>360</v>
      </c>
      <c r="H361">
        <v>925</v>
      </c>
      <c r="I361">
        <v>447</v>
      </c>
      <c r="J361" t="s">
        <v>6289</v>
      </c>
    </row>
    <row r="362" spans="1:10">
      <c r="A362">
        <v>3673</v>
      </c>
      <c r="B362" t="s">
        <v>5489</v>
      </c>
      <c r="C362">
        <v>14.97</v>
      </c>
      <c r="D362">
        <v>33.049999999999997</v>
      </c>
      <c r="E362">
        <v>2.39</v>
      </c>
      <c r="F362">
        <v>0</v>
      </c>
      <c r="G362">
        <v>361</v>
      </c>
      <c r="H362">
        <v>157</v>
      </c>
      <c r="I362">
        <v>64</v>
      </c>
      <c r="J362" t="s">
        <v>6289</v>
      </c>
    </row>
    <row r="363" spans="1:10">
      <c r="A363">
        <v>2468</v>
      </c>
      <c r="B363" t="s">
        <v>5136</v>
      </c>
      <c r="C363">
        <v>14.95</v>
      </c>
      <c r="D363">
        <v>0.27</v>
      </c>
      <c r="E363">
        <v>0.03</v>
      </c>
      <c r="F363">
        <v>0</v>
      </c>
      <c r="G363">
        <v>362</v>
      </c>
      <c r="H363">
        <v>1395</v>
      </c>
      <c r="I363">
        <v>978</v>
      </c>
      <c r="J363" t="s">
        <v>6289</v>
      </c>
    </row>
    <row r="364" spans="1:10">
      <c r="A364">
        <v>2425</v>
      </c>
      <c r="B364" t="s">
        <v>5108</v>
      </c>
      <c r="C364">
        <v>14.93</v>
      </c>
      <c r="D364">
        <v>16.010000000000002</v>
      </c>
      <c r="E364">
        <v>0.12</v>
      </c>
      <c r="F364">
        <v>0</v>
      </c>
      <c r="G364">
        <v>363</v>
      </c>
      <c r="H364">
        <v>338</v>
      </c>
      <c r="I364">
        <v>683</v>
      </c>
      <c r="J364" t="s">
        <v>6289</v>
      </c>
    </row>
    <row r="365" spans="1:10">
      <c r="A365">
        <v>6414</v>
      </c>
      <c r="B365" t="s">
        <v>5867</v>
      </c>
      <c r="C365">
        <v>14.91</v>
      </c>
      <c r="D365">
        <v>10.79</v>
      </c>
      <c r="E365">
        <v>0.19</v>
      </c>
      <c r="F365">
        <v>0.49</v>
      </c>
      <c r="G365">
        <v>364</v>
      </c>
      <c r="H365">
        <v>474</v>
      </c>
      <c r="I365">
        <v>571</v>
      </c>
      <c r="J365">
        <v>253</v>
      </c>
    </row>
    <row r="366" spans="1:10">
      <c r="A366">
        <v>3362</v>
      </c>
      <c r="B366" t="s">
        <v>5392</v>
      </c>
      <c r="C366">
        <v>14.88</v>
      </c>
      <c r="D366">
        <v>0.96</v>
      </c>
      <c r="E366">
        <v>1.27</v>
      </c>
      <c r="F366">
        <v>0</v>
      </c>
      <c r="G366">
        <v>365</v>
      </c>
      <c r="H366">
        <v>1213</v>
      </c>
      <c r="I366">
        <v>135</v>
      </c>
      <c r="J366" t="s">
        <v>6289</v>
      </c>
    </row>
    <row r="367" spans="1:10">
      <c r="A367">
        <v>2605</v>
      </c>
      <c r="B367" t="s">
        <v>5187</v>
      </c>
      <c r="C367">
        <v>14.86</v>
      </c>
      <c r="D367">
        <v>36.270000000000003</v>
      </c>
      <c r="E367">
        <v>0.46</v>
      </c>
      <c r="F367">
        <v>0.76</v>
      </c>
      <c r="G367">
        <v>366</v>
      </c>
      <c r="H367">
        <v>136</v>
      </c>
      <c r="I367">
        <v>337</v>
      </c>
      <c r="J367">
        <v>220</v>
      </c>
    </row>
    <row r="368" spans="1:10">
      <c r="A368">
        <v>8064</v>
      </c>
      <c r="B368" t="s">
        <v>5971</v>
      </c>
      <c r="C368">
        <v>14.86</v>
      </c>
      <c r="D368">
        <v>8.6999999999999993</v>
      </c>
      <c r="E368">
        <v>0.34</v>
      </c>
      <c r="F368">
        <v>0</v>
      </c>
      <c r="G368">
        <v>366</v>
      </c>
      <c r="H368">
        <v>558</v>
      </c>
      <c r="I368">
        <v>425</v>
      </c>
      <c r="J368" t="s">
        <v>6289</v>
      </c>
    </row>
    <row r="369" spans="1:10">
      <c r="A369">
        <v>8450</v>
      </c>
      <c r="B369" t="s">
        <v>6041</v>
      </c>
      <c r="C369">
        <v>14.85</v>
      </c>
      <c r="D369">
        <v>1.35</v>
      </c>
      <c r="E369">
        <v>0.83</v>
      </c>
      <c r="F369">
        <v>0</v>
      </c>
      <c r="G369">
        <v>368</v>
      </c>
      <c r="H369">
        <v>1141</v>
      </c>
      <c r="I369">
        <v>212</v>
      </c>
      <c r="J369" t="s">
        <v>6289</v>
      </c>
    </row>
    <row r="370" spans="1:10">
      <c r="A370">
        <v>1734</v>
      </c>
      <c r="B370" t="s">
        <v>4947</v>
      </c>
      <c r="C370">
        <v>14.81</v>
      </c>
      <c r="D370">
        <v>2.44</v>
      </c>
      <c r="E370">
        <v>0.28999999999999998</v>
      </c>
      <c r="F370">
        <v>0</v>
      </c>
      <c r="G370">
        <v>369</v>
      </c>
      <c r="H370">
        <v>978</v>
      </c>
      <c r="I370">
        <v>474</v>
      </c>
      <c r="J370" t="s">
        <v>6289</v>
      </c>
    </row>
    <row r="371" spans="1:10">
      <c r="A371">
        <v>1815</v>
      </c>
      <c r="B371" t="s">
        <v>4969</v>
      </c>
      <c r="C371">
        <v>14.79</v>
      </c>
      <c r="D371">
        <v>2.64</v>
      </c>
      <c r="E371">
        <v>0.02</v>
      </c>
      <c r="F371">
        <v>0</v>
      </c>
      <c r="G371">
        <v>370</v>
      </c>
      <c r="H371">
        <v>955</v>
      </c>
      <c r="I371">
        <v>1051</v>
      </c>
      <c r="J371" t="s">
        <v>6289</v>
      </c>
    </row>
    <row r="372" spans="1:10">
      <c r="A372">
        <v>3499</v>
      </c>
      <c r="B372" t="s">
        <v>5426</v>
      </c>
      <c r="C372">
        <v>14.76</v>
      </c>
      <c r="D372">
        <v>2.9</v>
      </c>
      <c r="E372">
        <v>0.18</v>
      </c>
      <c r="F372">
        <v>0</v>
      </c>
      <c r="G372">
        <v>371</v>
      </c>
      <c r="H372">
        <v>929</v>
      </c>
      <c r="I372">
        <v>586</v>
      </c>
      <c r="J372" t="s">
        <v>6289</v>
      </c>
    </row>
    <row r="373" spans="1:10">
      <c r="A373">
        <v>6161</v>
      </c>
      <c r="B373" t="s">
        <v>5780</v>
      </c>
      <c r="C373">
        <v>14.75</v>
      </c>
      <c r="D373">
        <v>7.86</v>
      </c>
      <c r="E373">
        <v>0</v>
      </c>
      <c r="F373">
        <v>0</v>
      </c>
      <c r="G373">
        <v>372</v>
      </c>
      <c r="H373">
        <v>586</v>
      </c>
      <c r="I373" t="s">
        <v>6289</v>
      </c>
      <c r="J373" t="s">
        <v>6289</v>
      </c>
    </row>
    <row r="374" spans="1:10">
      <c r="A374">
        <v>3663</v>
      </c>
      <c r="B374" t="s">
        <v>5484</v>
      </c>
      <c r="C374">
        <v>14.72</v>
      </c>
      <c r="D374">
        <v>0.26</v>
      </c>
      <c r="E374">
        <v>0.28000000000000003</v>
      </c>
      <c r="F374">
        <v>0</v>
      </c>
      <c r="G374">
        <v>373</v>
      </c>
      <c r="H374">
        <v>1398</v>
      </c>
      <c r="I374">
        <v>485</v>
      </c>
      <c r="J374" t="s">
        <v>6289</v>
      </c>
    </row>
    <row r="375" spans="1:10">
      <c r="A375">
        <v>3379</v>
      </c>
      <c r="B375" t="s">
        <v>5398</v>
      </c>
      <c r="C375">
        <v>14.7</v>
      </c>
      <c r="D375">
        <v>0.2</v>
      </c>
      <c r="E375">
        <v>0.17</v>
      </c>
      <c r="F375">
        <v>0</v>
      </c>
      <c r="G375">
        <v>374</v>
      </c>
      <c r="H375">
        <v>1409</v>
      </c>
      <c r="I375">
        <v>598</v>
      </c>
      <c r="J375" t="s">
        <v>6289</v>
      </c>
    </row>
    <row r="376" spans="1:10">
      <c r="A376">
        <v>5251</v>
      </c>
      <c r="B376" t="s">
        <v>5662</v>
      </c>
      <c r="C376">
        <v>14.7</v>
      </c>
      <c r="D376">
        <v>21.95</v>
      </c>
      <c r="E376">
        <v>0.08</v>
      </c>
      <c r="F376">
        <v>0</v>
      </c>
      <c r="G376">
        <v>374</v>
      </c>
      <c r="H376">
        <v>253</v>
      </c>
      <c r="I376">
        <v>789</v>
      </c>
      <c r="J376" t="s">
        <v>6289</v>
      </c>
    </row>
    <row r="377" spans="1:10">
      <c r="A377">
        <v>1618</v>
      </c>
      <c r="B377" t="s">
        <v>4923</v>
      </c>
      <c r="C377">
        <v>14.63</v>
      </c>
      <c r="D377">
        <v>0.82</v>
      </c>
      <c r="E377">
        <v>0.12</v>
      </c>
      <c r="F377">
        <v>0</v>
      </c>
      <c r="G377">
        <v>376</v>
      </c>
      <c r="H377">
        <v>1241</v>
      </c>
      <c r="I377">
        <v>683</v>
      </c>
      <c r="J377" t="s">
        <v>6289</v>
      </c>
    </row>
    <row r="378" spans="1:10">
      <c r="A378">
        <v>1817</v>
      </c>
      <c r="B378" t="s">
        <v>4970</v>
      </c>
      <c r="C378">
        <v>14.61</v>
      </c>
      <c r="D378">
        <v>2.09</v>
      </c>
      <c r="E378">
        <v>0.31</v>
      </c>
      <c r="F378">
        <v>0.14000000000000001</v>
      </c>
      <c r="G378">
        <v>377</v>
      </c>
      <c r="H378">
        <v>1017</v>
      </c>
      <c r="I378">
        <v>459</v>
      </c>
      <c r="J378">
        <v>351</v>
      </c>
    </row>
    <row r="379" spans="1:10">
      <c r="A379">
        <v>2329</v>
      </c>
      <c r="B379" t="s">
        <v>5047</v>
      </c>
      <c r="C379">
        <v>14.6</v>
      </c>
      <c r="D379">
        <v>9.39</v>
      </c>
      <c r="E379">
        <v>0.08</v>
      </c>
      <c r="F379">
        <v>0.02</v>
      </c>
      <c r="G379">
        <v>378</v>
      </c>
      <c r="H379">
        <v>525</v>
      </c>
      <c r="I379">
        <v>789</v>
      </c>
      <c r="J379">
        <v>473</v>
      </c>
    </row>
    <row r="380" spans="1:10">
      <c r="A380">
        <v>6191</v>
      </c>
      <c r="B380" t="s">
        <v>5803</v>
      </c>
      <c r="C380">
        <v>14.6</v>
      </c>
      <c r="D380">
        <v>6.41</v>
      </c>
      <c r="E380">
        <v>0.05</v>
      </c>
      <c r="F380">
        <v>0</v>
      </c>
      <c r="G380">
        <v>378</v>
      </c>
      <c r="H380">
        <v>680</v>
      </c>
      <c r="I380">
        <v>896</v>
      </c>
      <c r="J380" t="s">
        <v>6289</v>
      </c>
    </row>
    <row r="381" spans="1:10">
      <c r="A381">
        <v>3504</v>
      </c>
      <c r="B381" t="s">
        <v>5428</v>
      </c>
      <c r="C381">
        <v>14.52</v>
      </c>
      <c r="D381">
        <v>5.15</v>
      </c>
      <c r="E381">
        <v>1.67</v>
      </c>
      <c r="F381">
        <v>0.04</v>
      </c>
      <c r="G381">
        <v>380</v>
      </c>
      <c r="H381">
        <v>762</v>
      </c>
      <c r="I381">
        <v>95</v>
      </c>
      <c r="J381">
        <v>437</v>
      </c>
    </row>
    <row r="382" spans="1:10">
      <c r="A382">
        <v>1593</v>
      </c>
      <c r="B382" t="s">
        <v>4908</v>
      </c>
      <c r="C382">
        <v>14.51</v>
      </c>
      <c r="D382">
        <v>1.79</v>
      </c>
      <c r="E382">
        <v>0.24</v>
      </c>
      <c r="F382">
        <v>0</v>
      </c>
      <c r="G382">
        <v>381</v>
      </c>
      <c r="H382">
        <v>1063</v>
      </c>
      <c r="I382">
        <v>514</v>
      </c>
      <c r="J382" t="s">
        <v>6289</v>
      </c>
    </row>
    <row r="383" spans="1:10">
      <c r="A383">
        <v>2434</v>
      </c>
      <c r="B383" t="s">
        <v>5115</v>
      </c>
      <c r="C383">
        <v>14.51</v>
      </c>
      <c r="D383">
        <v>1.04</v>
      </c>
      <c r="E383">
        <v>0.04</v>
      </c>
      <c r="F383">
        <v>0</v>
      </c>
      <c r="G383">
        <v>381</v>
      </c>
      <c r="H383">
        <v>1195</v>
      </c>
      <c r="I383">
        <v>936</v>
      </c>
      <c r="J383" t="s">
        <v>6289</v>
      </c>
    </row>
    <row r="384" spans="1:10">
      <c r="A384">
        <v>6278</v>
      </c>
      <c r="B384" t="s">
        <v>5853</v>
      </c>
      <c r="C384">
        <v>14.49</v>
      </c>
      <c r="D384">
        <v>14.52</v>
      </c>
      <c r="E384">
        <v>0.54</v>
      </c>
      <c r="F384">
        <v>1.83</v>
      </c>
      <c r="G384">
        <v>383</v>
      </c>
      <c r="H384">
        <v>367</v>
      </c>
      <c r="I384">
        <v>304</v>
      </c>
      <c r="J384">
        <v>141</v>
      </c>
    </row>
    <row r="385" spans="1:10">
      <c r="A385">
        <v>3060</v>
      </c>
      <c r="B385" t="s">
        <v>5313</v>
      </c>
      <c r="C385">
        <v>14.48</v>
      </c>
      <c r="D385">
        <v>6.71</v>
      </c>
      <c r="E385">
        <v>1.32</v>
      </c>
      <c r="F385">
        <v>0.01</v>
      </c>
      <c r="G385">
        <v>384</v>
      </c>
      <c r="H385">
        <v>651</v>
      </c>
      <c r="I385">
        <v>130</v>
      </c>
      <c r="J385">
        <v>491</v>
      </c>
    </row>
    <row r="386" spans="1:10">
      <c r="A386">
        <v>1314</v>
      </c>
      <c r="B386" t="s">
        <v>4815</v>
      </c>
      <c r="C386">
        <v>14.45</v>
      </c>
      <c r="D386">
        <v>9.57</v>
      </c>
      <c r="E386">
        <v>0.21</v>
      </c>
      <c r="F386">
        <v>0</v>
      </c>
      <c r="G386">
        <v>385</v>
      </c>
      <c r="H386">
        <v>517</v>
      </c>
      <c r="I386">
        <v>550</v>
      </c>
      <c r="J386" t="s">
        <v>6289</v>
      </c>
    </row>
    <row r="387" spans="1:10">
      <c r="A387">
        <v>4128</v>
      </c>
      <c r="B387" t="s">
        <v>5524</v>
      </c>
      <c r="C387">
        <v>14.42</v>
      </c>
      <c r="D387">
        <v>5.79</v>
      </c>
      <c r="E387">
        <v>0.14000000000000001</v>
      </c>
      <c r="F387">
        <v>0.02</v>
      </c>
      <c r="G387">
        <v>386</v>
      </c>
      <c r="H387">
        <v>715</v>
      </c>
      <c r="I387">
        <v>653</v>
      </c>
      <c r="J387">
        <v>473</v>
      </c>
    </row>
    <row r="388" spans="1:10">
      <c r="A388">
        <v>3484</v>
      </c>
      <c r="B388" t="s">
        <v>5421</v>
      </c>
      <c r="C388">
        <v>14.41</v>
      </c>
      <c r="D388">
        <v>2.4300000000000002</v>
      </c>
      <c r="E388">
        <v>0.38</v>
      </c>
      <c r="F388">
        <v>0</v>
      </c>
      <c r="G388">
        <v>387</v>
      </c>
      <c r="H388">
        <v>981</v>
      </c>
      <c r="I388">
        <v>391</v>
      </c>
      <c r="J388" t="s">
        <v>6289</v>
      </c>
    </row>
    <row r="389" spans="1:10">
      <c r="A389">
        <v>6125</v>
      </c>
      <c r="B389" t="s">
        <v>5758</v>
      </c>
      <c r="C389">
        <v>14.4</v>
      </c>
      <c r="D389">
        <v>1.89</v>
      </c>
      <c r="E389">
        <v>0.24</v>
      </c>
      <c r="F389">
        <v>0.01</v>
      </c>
      <c r="G389">
        <v>388</v>
      </c>
      <c r="H389">
        <v>1049</v>
      </c>
      <c r="I389">
        <v>514</v>
      </c>
      <c r="J389">
        <v>491</v>
      </c>
    </row>
    <row r="390" spans="1:10">
      <c r="A390">
        <v>8299</v>
      </c>
      <c r="B390" t="s">
        <v>6015</v>
      </c>
      <c r="C390">
        <v>14.38</v>
      </c>
      <c r="D390">
        <v>37.04</v>
      </c>
      <c r="E390">
        <v>1.5</v>
      </c>
      <c r="F390">
        <v>3.72</v>
      </c>
      <c r="G390">
        <v>389</v>
      </c>
      <c r="H390">
        <v>132</v>
      </c>
      <c r="I390">
        <v>107</v>
      </c>
      <c r="J390">
        <v>78</v>
      </c>
    </row>
    <row r="391" spans="1:10">
      <c r="A391">
        <v>4973</v>
      </c>
      <c r="B391" t="s">
        <v>5636</v>
      </c>
      <c r="C391">
        <v>14.36</v>
      </c>
      <c r="D391">
        <v>0.49</v>
      </c>
      <c r="E391">
        <v>0</v>
      </c>
      <c r="F391">
        <v>0</v>
      </c>
      <c r="G391">
        <v>390</v>
      </c>
      <c r="H391">
        <v>1326</v>
      </c>
      <c r="I391" t="s">
        <v>6289</v>
      </c>
      <c r="J391" t="s">
        <v>6289</v>
      </c>
    </row>
    <row r="392" spans="1:10">
      <c r="A392">
        <v>8091</v>
      </c>
      <c r="B392" t="s">
        <v>5982</v>
      </c>
      <c r="C392">
        <v>14.35</v>
      </c>
      <c r="D392">
        <v>4.6100000000000003</v>
      </c>
      <c r="E392">
        <v>1.52</v>
      </c>
      <c r="F392">
        <v>0.44</v>
      </c>
      <c r="G392">
        <v>391</v>
      </c>
      <c r="H392">
        <v>803</v>
      </c>
      <c r="I392">
        <v>103</v>
      </c>
      <c r="J392">
        <v>268</v>
      </c>
    </row>
    <row r="393" spans="1:10">
      <c r="A393">
        <v>2642</v>
      </c>
      <c r="B393" t="s">
        <v>5206</v>
      </c>
      <c r="C393">
        <v>14.33</v>
      </c>
      <c r="D393">
        <v>4.9800000000000004</v>
      </c>
      <c r="E393">
        <v>2.08</v>
      </c>
      <c r="F393">
        <v>0</v>
      </c>
      <c r="G393">
        <v>392</v>
      </c>
      <c r="H393">
        <v>773</v>
      </c>
      <c r="I393">
        <v>77</v>
      </c>
      <c r="J393" t="s">
        <v>6289</v>
      </c>
    </row>
    <row r="394" spans="1:10">
      <c r="A394">
        <v>6221</v>
      </c>
      <c r="B394" t="s">
        <v>6305</v>
      </c>
      <c r="C394">
        <v>14.33</v>
      </c>
      <c r="D394">
        <v>0.21</v>
      </c>
      <c r="E394">
        <v>0</v>
      </c>
      <c r="F394">
        <v>0</v>
      </c>
      <c r="G394">
        <v>392</v>
      </c>
      <c r="H394">
        <v>1406</v>
      </c>
      <c r="I394" t="s">
        <v>6289</v>
      </c>
      <c r="J394" t="s">
        <v>6289</v>
      </c>
    </row>
    <row r="395" spans="1:10">
      <c r="A395">
        <v>3325</v>
      </c>
      <c r="B395" t="s">
        <v>5384</v>
      </c>
      <c r="C395">
        <v>14.27</v>
      </c>
      <c r="D395">
        <v>0.88</v>
      </c>
      <c r="E395">
        <v>0</v>
      </c>
      <c r="F395">
        <v>0</v>
      </c>
      <c r="G395">
        <v>394</v>
      </c>
      <c r="H395">
        <v>1232</v>
      </c>
      <c r="I395" t="s">
        <v>6289</v>
      </c>
      <c r="J395" t="s">
        <v>6289</v>
      </c>
    </row>
    <row r="396" spans="1:10">
      <c r="A396">
        <v>1240</v>
      </c>
      <c r="B396" t="s">
        <v>4801</v>
      </c>
      <c r="C396">
        <v>14.22</v>
      </c>
      <c r="D396">
        <v>0.5</v>
      </c>
      <c r="E396">
        <v>0.01</v>
      </c>
      <c r="F396">
        <v>0</v>
      </c>
      <c r="G396">
        <v>395</v>
      </c>
      <c r="H396">
        <v>1322</v>
      </c>
      <c r="I396">
        <v>1110</v>
      </c>
      <c r="J396" t="s">
        <v>6289</v>
      </c>
    </row>
    <row r="397" spans="1:10">
      <c r="A397">
        <v>8182</v>
      </c>
      <c r="B397" t="s">
        <v>6000</v>
      </c>
      <c r="C397">
        <v>14.21</v>
      </c>
      <c r="D397">
        <v>51.75</v>
      </c>
      <c r="E397">
        <v>0.03</v>
      </c>
      <c r="F397">
        <v>0</v>
      </c>
      <c r="G397">
        <v>396</v>
      </c>
      <c r="H397">
        <v>72</v>
      </c>
      <c r="I397">
        <v>978</v>
      </c>
      <c r="J397" t="s">
        <v>6289</v>
      </c>
    </row>
    <row r="398" spans="1:10">
      <c r="A398">
        <v>2612</v>
      </c>
      <c r="B398" t="s">
        <v>5194</v>
      </c>
      <c r="C398">
        <v>14.16</v>
      </c>
      <c r="D398">
        <v>2.81</v>
      </c>
      <c r="E398">
        <v>0.04</v>
      </c>
      <c r="F398">
        <v>0.01</v>
      </c>
      <c r="G398">
        <v>397</v>
      </c>
      <c r="H398">
        <v>934</v>
      </c>
      <c r="I398">
        <v>936</v>
      </c>
      <c r="J398">
        <v>491</v>
      </c>
    </row>
    <row r="399" spans="1:10">
      <c r="A399">
        <v>4142</v>
      </c>
      <c r="B399" t="s">
        <v>5529</v>
      </c>
      <c r="C399">
        <v>14.12</v>
      </c>
      <c r="D399">
        <v>6.95</v>
      </c>
      <c r="E399">
        <v>1</v>
      </c>
      <c r="F399">
        <v>0.12</v>
      </c>
      <c r="G399">
        <v>398</v>
      </c>
      <c r="H399">
        <v>638</v>
      </c>
      <c r="I399">
        <v>176</v>
      </c>
      <c r="J399">
        <v>362</v>
      </c>
    </row>
    <row r="400" spans="1:10">
      <c r="A400">
        <v>3535</v>
      </c>
      <c r="B400" t="s">
        <v>5441</v>
      </c>
      <c r="C400">
        <v>14.11</v>
      </c>
      <c r="D400">
        <v>7.87</v>
      </c>
      <c r="E400">
        <v>1.86</v>
      </c>
      <c r="F400">
        <v>0</v>
      </c>
      <c r="G400">
        <v>399</v>
      </c>
      <c r="H400">
        <v>585</v>
      </c>
      <c r="I400">
        <v>82</v>
      </c>
      <c r="J400" t="s">
        <v>6289</v>
      </c>
    </row>
    <row r="401" spans="1:10">
      <c r="A401">
        <v>1809</v>
      </c>
      <c r="B401" t="s">
        <v>4967</v>
      </c>
      <c r="C401">
        <v>14.04</v>
      </c>
      <c r="D401">
        <v>2.19</v>
      </c>
      <c r="E401">
        <v>0.04</v>
      </c>
      <c r="F401">
        <v>0</v>
      </c>
      <c r="G401">
        <v>400</v>
      </c>
      <c r="H401">
        <v>1000</v>
      </c>
      <c r="I401">
        <v>936</v>
      </c>
      <c r="J401" t="s">
        <v>6289</v>
      </c>
    </row>
    <row r="402" spans="1:10">
      <c r="A402">
        <v>4702</v>
      </c>
      <c r="B402" t="s">
        <v>5586</v>
      </c>
      <c r="C402">
        <v>14</v>
      </c>
      <c r="D402">
        <v>47.76</v>
      </c>
      <c r="E402">
        <v>0</v>
      </c>
      <c r="F402">
        <v>0</v>
      </c>
      <c r="G402">
        <v>401</v>
      </c>
      <c r="H402">
        <v>83</v>
      </c>
      <c r="I402" t="s">
        <v>6289</v>
      </c>
      <c r="J402" t="s">
        <v>6289</v>
      </c>
    </row>
    <row r="403" spans="1:10">
      <c r="A403">
        <v>5272</v>
      </c>
      <c r="B403" t="s">
        <v>5666</v>
      </c>
      <c r="C403">
        <v>14</v>
      </c>
      <c r="D403">
        <v>4.66</v>
      </c>
      <c r="E403">
        <v>7.0000000000000007E-2</v>
      </c>
      <c r="F403">
        <v>0</v>
      </c>
      <c r="G403">
        <v>401</v>
      </c>
      <c r="H403">
        <v>799</v>
      </c>
      <c r="I403">
        <v>824</v>
      </c>
      <c r="J403" t="s">
        <v>6289</v>
      </c>
    </row>
    <row r="404" spans="1:10">
      <c r="A404">
        <v>4916</v>
      </c>
      <c r="B404" t="s">
        <v>5615</v>
      </c>
      <c r="C404">
        <v>13.94</v>
      </c>
      <c r="D404">
        <v>1.53</v>
      </c>
      <c r="E404">
        <v>0.03</v>
      </c>
      <c r="F404">
        <v>0</v>
      </c>
      <c r="G404">
        <v>403</v>
      </c>
      <c r="H404">
        <v>1099</v>
      </c>
      <c r="I404">
        <v>978</v>
      </c>
      <c r="J404" t="s">
        <v>6289</v>
      </c>
    </row>
    <row r="405" spans="1:10">
      <c r="A405">
        <v>1455</v>
      </c>
      <c r="B405" t="s">
        <v>4853</v>
      </c>
      <c r="C405">
        <v>13.92</v>
      </c>
      <c r="D405">
        <v>1.1599999999999999</v>
      </c>
      <c r="E405">
        <v>0.56000000000000005</v>
      </c>
      <c r="F405">
        <v>0</v>
      </c>
      <c r="G405">
        <v>404</v>
      </c>
      <c r="H405">
        <v>1180</v>
      </c>
      <c r="I405">
        <v>296</v>
      </c>
      <c r="J405" t="s">
        <v>6289</v>
      </c>
    </row>
    <row r="406" spans="1:10">
      <c r="A406">
        <v>5465</v>
      </c>
      <c r="B406" t="s">
        <v>6306</v>
      </c>
      <c r="C406">
        <v>13.91</v>
      </c>
      <c r="D406">
        <v>0.18</v>
      </c>
      <c r="E406">
        <v>0</v>
      </c>
      <c r="F406">
        <v>0</v>
      </c>
      <c r="G406">
        <v>405</v>
      </c>
      <c r="H406">
        <v>1417</v>
      </c>
      <c r="I406" t="s">
        <v>6289</v>
      </c>
      <c r="J406" t="s">
        <v>6289</v>
      </c>
    </row>
    <row r="407" spans="1:10">
      <c r="A407">
        <v>3360</v>
      </c>
      <c r="B407" t="s">
        <v>5391</v>
      </c>
      <c r="C407">
        <v>13.86</v>
      </c>
      <c r="D407">
        <v>1.98</v>
      </c>
      <c r="E407">
        <v>0</v>
      </c>
      <c r="F407">
        <v>0</v>
      </c>
      <c r="G407">
        <v>406</v>
      </c>
      <c r="H407">
        <v>1032</v>
      </c>
      <c r="I407" t="s">
        <v>6289</v>
      </c>
      <c r="J407" t="s">
        <v>6289</v>
      </c>
    </row>
    <row r="408" spans="1:10">
      <c r="A408">
        <v>2618</v>
      </c>
      <c r="B408" t="s">
        <v>5200</v>
      </c>
      <c r="C408">
        <v>13.68</v>
      </c>
      <c r="D408">
        <v>25.31</v>
      </c>
      <c r="E408">
        <v>0.13</v>
      </c>
      <c r="F408">
        <v>3.67</v>
      </c>
      <c r="G408">
        <v>407</v>
      </c>
      <c r="H408">
        <v>218</v>
      </c>
      <c r="I408">
        <v>667</v>
      </c>
      <c r="J408">
        <v>79</v>
      </c>
    </row>
    <row r="409" spans="1:10">
      <c r="A409">
        <v>5443</v>
      </c>
      <c r="B409" t="s">
        <v>5696</v>
      </c>
      <c r="C409">
        <v>13.67</v>
      </c>
      <c r="D409">
        <v>2.56</v>
      </c>
      <c r="E409">
        <v>0.13</v>
      </c>
      <c r="F409">
        <v>0</v>
      </c>
      <c r="G409">
        <v>408</v>
      </c>
      <c r="H409">
        <v>961</v>
      </c>
      <c r="I409">
        <v>667</v>
      </c>
      <c r="J409" t="s">
        <v>6289</v>
      </c>
    </row>
    <row r="410" spans="1:10">
      <c r="A410">
        <v>1611</v>
      </c>
      <c r="B410" t="s">
        <v>4918</v>
      </c>
      <c r="C410">
        <v>13.59</v>
      </c>
      <c r="D410">
        <v>11.11</v>
      </c>
      <c r="E410">
        <v>0.3</v>
      </c>
      <c r="F410">
        <v>0</v>
      </c>
      <c r="G410">
        <v>409</v>
      </c>
      <c r="H410">
        <v>456</v>
      </c>
      <c r="I410">
        <v>466</v>
      </c>
      <c r="J410" t="s">
        <v>6289</v>
      </c>
    </row>
    <row r="411" spans="1:10">
      <c r="A411">
        <v>3189</v>
      </c>
      <c r="B411" t="s">
        <v>5341</v>
      </c>
      <c r="C411">
        <v>13.55</v>
      </c>
      <c r="D411">
        <v>17.86</v>
      </c>
      <c r="E411">
        <v>0.79</v>
      </c>
      <c r="F411">
        <v>5.59</v>
      </c>
      <c r="G411">
        <v>410</v>
      </c>
      <c r="H411">
        <v>308</v>
      </c>
      <c r="I411">
        <v>222</v>
      </c>
      <c r="J411">
        <v>46</v>
      </c>
    </row>
    <row r="412" spans="1:10">
      <c r="A412">
        <v>6510</v>
      </c>
      <c r="B412" t="s">
        <v>5899</v>
      </c>
      <c r="C412">
        <v>13.53</v>
      </c>
      <c r="D412">
        <v>10.88</v>
      </c>
      <c r="E412">
        <v>0.73</v>
      </c>
      <c r="F412">
        <v>0.56999999999999995</v>
      </c>
      <c r="G412">
        <v>411</v>
      </c>
      <c r="H412">
        <v>469</v>
      </c>
      <c r="I412">
        <v>238</v>
      </c>
      <c r="J412">
        <v>247</v>
      </c>
    </row>
    <row r="413" spans="1:10">
      <c r="A413">
        <v>1569</v>
      </c>
      <c r="B413" t="s">
        <v>4897</v>
      </c>
      <c r="C413">
        <v>13.49</v>
      </c>
      <c r="D413">
        <v>2.54</v>
      </c>
      <c r="E413">
        <v>0.28000000000000003</v>
      </c>
      <c r="F413">
        <v>0.01</v>
      </c>
      <c r="G413">
        <v>412</v>
      </c>
      <c r="H413">
        <v>967</v>
      </c>
      <c r="I413">
        <v>485</v>
      </c>
      <c r="J413">
        <v>491</v>
      </c>
    </row>
    <row r="414" spans="1:10">
      <c r="A414">
        <v>3373</v>
      </c>
      <c r="B414" t="s">
        <v>5395</v>
      </c>
      <c r="C414">
        <v>13.42</v>
      </c>
      <c r="D414">
        <v>1.68</v>
      </c>
      <c r="E414">
        <v>5.32</v>
      </c>
      <c r="F414">
        <v>0</v>
      </c>
      <c r="G414">
        <v>413</v>
      </c>
      <c r="H414">
        <v>1081</v>
      </c>
      <c r="I414">
        <v>18</v>
      </c>
      <c r="J414" t="s">
        <v>6289</v>
      </c>
    </row>
    <row r="415" spans="1:10">
      <c r="A415">
        <v>3691</v>
      </c>
      <c r="B415" t="s">
        <v>5496</v>
      </c>
      <c r="C415">
        <v>13.39</v>
      </c>
      <c r="D415">
        <v>6.41</v>
      </c>
      <c r="E415">
        <v>5.14</v>
      </c>
      <c r="F415">
        <v>0</v>
      </c>
      <c r="G415">
        <v>414</v>
      </c>
      <c r="H415">
        <v>680</v>
      </c>
      <c r="I415">
        <v>22</v>
      </c>
      <c r="J415" t="s">
        <v>6289</v>
      </c>
    </row>
    <row r="416" spans="1:10">
      <c r="A416">
        <v>6215</v>
      </c>
      <c r="B416" t="s">
        <v>5817</v>
      </c>
      <c r="C416">
        <v>13.35</v>
      </c>
      <c r="D416">
        <v>6.64</v>
      </c>
      <c r="E416">
        <v>0.02</v>
      </c>
      <c r="F416">
        <v>0</v>
      </c>
      <c r="G416">
        <v>415</v>
      </c>
      <c r="H416">
        <v>657</v>
      </c>
      <c r="I416">
        <v>1051</v>
      </c>
      <c r="J416" t="s">
        <v>6289</v>
      </c>
    </row>
    <row r="417" spans="1:10">
      <c r="A417">
        <v>3492</v>
      </c>
      <c r="B417" t="s">
        <v>5424</v>
      </c>
      <c r="C417">
        <v>13.33</v>
      </c>
      <c r="D417">
        <v>0.32</v>
      </c>
      <c r="E417">
        <v>0</v>
      </c>
      <c r="F417">
        <v>0</v>
      </c>
      <c r="G417">
        <v>416</v>
      </c>
      <c r="H417">
        <v>1378</v>
      </c>
      <c r="I417" t="s">
        <v>6289</v>
      </c>
      <c r="J417" t="s">
        <v>6289</v>
      </c>
    </row>
    <row r="418" spans="1:10">
      <c r="A418">
        <v>1783</v>
      </c>
      <c r="B418" t="s">
        <v>4957</v>
      </c>
      <c r="C418">
        <v>13.32</v>
      </c>
      <c r="D418">
        <v>6.11</v>
      </c>
      <c r="E418">
        <v>0.34</v>
      </c>
      <c r="F418">
        <v>0</v>
      </c>
      <c r="G418">
        <v>417</v>
      </c>
      <c r="H418">
        <v>693</v>
      </c>
      <c r="I418">
        <v>425</v>
      </c>
      <c r="J418" t="s">
        <v>6289</v>
      </c>
    </row>
    <row r="419" spans="1:10">
      <c r="A419">
        <v>5452</v>
      </c>
      <c r="B419" t="s">
        <v>5698</v>
      </c>
      <c r="C419">
        <v>13.31</v>
      </c>
      <c r="D419">
        <v>10.48</v>
      </c>
      <c r="E419">
        <v>0.36</v>
      </c>
      <c r="F419">
        <v>0</v>
      </c>
      <c r="G419">
        <v>418</v>
      </c>
      <c r="H419">
        <v>480</v>
      </c>
      <c r="I419">
        <v>406</v>
      </c>
      <c r="J419" t="s">
        <v>6289</v>
      </c>
    </row>
    <row r="420" spans="1:10">
      <c r="A420">
        <v>3227</v>
      </c>
      <c r="B420" t="s">
        <v>5353</v>
      </c>
      <c r="C420">
        <v>13.3</v>
      </c>
      <c r="D420">
        <v>15.09</v>
      </c>
      <c r="E420">
        <v>1.66</v>
      </c>
      <c r="F420">
        <v>0.1</v>
      </c>
      <c r="G420">
        <v>419</v>
      </c>
      <c r="H420">
        <v>355</v>
      </c>
      <c r="I420">
        <v>98</v>
      </c>
      <c r="J420">
        <v>383</v>
      </c>
    </row>
    <row r="421" spans="1:10">
      <c r="A421">
        <v>1235</v>
      </c>
      <c r="B421" t="s">
        <v>4799</v>
      </c>
      <c r="C421">
        <v>13.28</v>
      </c>
      <c r="D421">
        <v>0.09</v>
      </c>
      <c r="E421">
        <v>0</v>
      </c>
      <c r="F421">
        <v>0</v>
      </c>
      <c r="G421">
        <v>420</v>
      </c>
      <c r="H421">
        <v>1448</v>
      </c>
      <c r="I421" t="s">
        <v>6289</v>
      </c>
      <c r="J421" t="s">
        <v>6289</v>
      </c>
    </row>
    <row r="422" spans="1:10">
      <c r="A422">
        <v>3284</v>
      </c>
      <c r="B422" t="s">
        <v>5368</v>
      </c>
      <c r="C422">
        <v>13.22</v>
      </c>
      <c r="D422">
        <v>0.52</v>
      </c>
      <c r="E422">
        <v>0.12</v>
      </c>
      <c r="F422">
        <v>0</v>
      </c>
      <c r="G422">
        <v>421</v>
      </c>
      <c r="H422">
        <v>1314</v>
      </c>
      <c r="I422">
        <v>683</v>
      </c>
      <c r="J422" t="s">
        <v>6289</v>
      </c>
    </row>
    <row r="423" spans="1:10">
      <c r="A423">
        <v>6282</v>
      </c>
      <c r="B423" t="s">
        <v>5856</v>
      </c>
      <c r="C423">
        <v>13.17</v>
      </c>
      <c r="D423">
        <v>8.56</v>
      </c>
      <c r="E423">
        <v>0.12</v>
      </c>
      <c r="F423">
        <v>0.01</v>
      </c>
      <c r="G423">
        <v>422</v>
      </c>
      <c r="H423">
        <v>567</v>
      </c>
      <c r="I423">
        <v>683</v>
      </c>
      <c r="J423">
        <v>491</v>
      </c>
    </row>
    <row r="424" spans="1:10">
      <c r="A424">
        <v>8011</v>
      </c>
      <c r="B424" t="s">
        <v>5955</v>
      </c>
      <c r="C424">
        <v>13.14</v>
      </c>
      <c r="D424">
        <v>2.16</v>
      </c>
      <c r="E424">
        <v>0</v>
      </c>
      <c r="F424">
        <v>0</v>
      </c>
      <c r="G424">
        <v>423</v>
      </c>
      <c r="H424">
        <v>1003</v>
      </c>
      <c r="I424" t="s">
        <v>6289</v>
      </c>
      <c r="J424" t="s">
        <v>6289</v>
      </c>
    </row>
    <row r="425" spans="1:10">
      <c r="A425">
        <v>6015</v>
      </c>
      <c r="B425" t="s">
        <v>5741</v>
      </c>
      <c r="C425">
        <v>13.09</v>
      </c>
      <c r="D425">
        <v>1.66</v>
      </c>
      <c r="E425">
        <v>0</v>
      </c>
      <c r="F425">
        <v>0</v>
      </c>
      <c r="G425">
        <v>424</v>
      </c>
      <c r="H425">
        <v>1083</v>
      </c>
      <c r="I425" t="s">
        <v>6289</v>
      </c>
      <c r="J425" t="s">
        <v>6289</v>
      </c>
    </row>
    <row r="426" spans="1:10">
      <c r="A426">
        <v>2401</v>
      </c>
      <c r="B426" t="s">
        <v>5093</v>
      </c>
      <c r="C426">
        <v>13.08</v>
      </c>
      <c r="D426">
        <v>12.32</v>
      </c>
      <c r="E426">
        <v>0.06</v>
      </c>
      <c r="F426">
        <v>0</v>
      </c>
      <c r="G426">
        <v>425</v>
      </c>
      <c r="H426">
        <v>416</v>
      </c>
      <c r="I426">
        <v>852</v>
      </c>
      <c r="J426" t="s">
        <v>6289</v>
      </c>
    </row>
    <row r="427" spans="1:10">
      <c r="A427">
        <v>2328</v>
      </c>
      <c r="B427" t="s">
        <v>5046</v>
      </c>
      <c r="C427">
        <v>13.07</v>
      </c>
      <c r="D427">
        <v>9.4600000000000009</v>
      </c>
      <c r="E427">
        <v>0.16</v>
      </c>
      <c r="F427">
        <v>0</v>
      </c>
      <c r="G427">
        <v>426</v>
      </c>
      <c r="H427">
        <v>520</v>
      </c>
      <c r="I427">
        <v>614</v>
      </c>
      <c r="J427" t="s">
        <v>6289</v>
      </c>
    </row>
    <row r="428" spans="1:10">
      <c r="A428">
        <v>3701</v>
      </c>
      <c r="B428" t="s">
        <v>5499</v>
      </c>
      <c r="C428">
        <v>13.07</v>
      </c>
      <c r="D428">
        <v>3.49</v>
      </c>
      <c r="E428">
        <v>0</v>
      </c>
      <c r="F428">
        <v>0.01</v>
      </c>
      <c r="G428">
        <v>426</v>
      </c>
      <c r="H428">
        <v>866</v>
      </c>
      <c r="I428" t="s">
        <v>6289</v>
      </c>
      <c r="J428">
        <v>491</v>
      </c>
    </row>
    <row r="429" spans="1:10">
      <c r="A429">
        <v>6148</v>
      </c>
      <c r="B429" t="s">
        <v>5772</v>
      </c>
      <c r="C429">
        <v>13.05</v>
      </c>
      <c r="D429">
        <v>0.74</v>
      </c>
      <c r="E429">
        <v>0.22</v>
      </c>
      <c r="F429">
        <v>0</v>
      </c>
      <c r="G429">
        <v>428</v>
      </c>
      <c r="H429">
        <v>1256</v>
      </c>
      <c r="I429">
        <v>537</v>
      </c>
      <c r="J429" t="s">
        <v>6289</v>
      </c>
    </row>
    <row r="430" spans="1:10">
      <c r="A430">
        <v>3047</v>
      </c>
      <c r="B430" t="s">
        <v>5304</v>
      </c>
      <c r="C430">
        <v>13.02</v>
      </c>
      <c r="D430">
        <v>3.61</v>
      </c>
      <c r="E430">
        <v>0.4</v>
      </c>
      <c r="F430">
        <v>0</v>
      </c>
      <c r="G430">
        <v>429</v>
      </c>
      <c r="H430">
        <v>856</v>
      </c>
      <c r="I430">
        <v>377</v>
      </c>
      <c r="J430" t="s">
        <v>6289</v>
      </c>
    </row>
    <row r="431" spans="1:10">
      <c r="A431">
        <v>3217</v>
      </c>
      <c r="B431" t="s">
        <v>5348</v>
      </c>
      <c r="C431">
        <v>13.02</v>
      </c>
      <c r="D431">
        <v>3.26</v>
      </c>
      <c r="E431">
        <v>7.0000000000000007E-2</v>
      </c>
      <c r="F431">
        <v>4.84</v>
      </c>
      <c r="G431">
        <v>429</v>
      </c>
      <c r="H431">
        <v>895</v>
      </c>
      <c r="I431">
        <v>824</v>
      </c>
      <c r="J431">
        <v>62</v>
      </c>
    </row>
    <row r="432" spans="1:10">
      <c r="A432">
        <v>3038</v>
      </c>
      <c r="B432" t="s">
        <v>5298</v>
      </c>
      <c r="C432">
        <v>12.99</v>
      </c>
      <c r="D432">
        <v>1.81</v>
      </c>
      <c r="E432">
        <v>0.08</v>
      </c>
      <c r="F432">
        <v>0</v>
      </c>
      <c r="G432">
        <v>431</v>
      </c>
      <c r="H432">
        <v>1059</v>
      </c>
      <c r="I432">
        <v>789</v>
      </c>
      <c r="J432" t="s">
        <v>6289</v>
      </c>
    </row>
    <row r="433" spans="1:10">
      <c r="A433">
        <v>3289</v>
      </c>
      <c r="B433" t="s">
        <v>5369</v>
      </c>
      <c r="C433">
        <v>12.98</v>
      </c>
      <c r="D433">
        <v>5.45</v>
      </c>
      <c r="E433">
        <v>0.09</v>
      </c>
      <c r="F433">
        <v>0</v>
      </c>
      <c r="G433">
        <v>432</v>
      </c>
      <c r="H433">
        <v>736</v>
      </c>
      <c r="I433">
        <v>762</v>
      </c>
      <c r="J433" t="s">
        <v>6289</v>
      </c>
    </row>
    <row r="434" spans="1:10">
      <c r="A434">
        <v>6451</v>
      </c>
      <c r="B434" t="s">
        <v>5879</v>
      </c>
      <c r="C434">
        <v>12.98</v>
      </c>
      <c r="D434">
        <v>61.52</v>
      </c>
      <c r="E434">
        <v>1.48</v>
      </c>
      <c r="F434">
        <v>0.09</v>
      </c>
      <c r="G434">
        <v>432</v>
      </c>
      <c r="H434">
        <v>44</v>
      </c>
      <c r="I434">
        <v>112</v>
      </c>
      <c r="J434">
        <v>395</v>
      </c>
    </row>
    <row r="435" spans="1:10">
      <c r="A435">
        <v>3563</v>
      </c>
      <c r="B435" t="s">
        <v>5455</v>
      </c>
      <c r="C435">
        <v>12.96</v>
      </c>
      <c r="D435">
        <v>9.02</v>
      </c>
      <c r="E435">
        <v>1.81</v>
      </c>
      <c r="F435">
        <v>0</v>
      </c>
      <c r="G435">
        <v>434</v>
      </c>
      <c r="H435">
        <v>540</v>
      </c>
      <c r="I435">
        <v>86</v>
      </c>
      <c r="J435" t="s">
        <v>6289</v>
      </c>
    </row>
    <row r="436" spans="1:10">
      <c r="A436">
        <v>3661</v>
      </c>
      <c r="B436" t="s">
        <v>5483</v>
      </c>
      <c r="C436">
        <v>12.96</v>
      </c>
      <c r="D436">
        <v>58.15</v>
      </c>
      <c r="E436">
        <v>1.47</v>
      </c>
      <c r="F436">
        <v>15.61</v>
      </c>
      <c r="G436">
        <v>434</v>
      </c>
      <c r="H436">
        <v>51</v>
      </c>
      <c r="I436">
        <v>113</v>
      </c>
      <c r="J436">
        <v>6</v>
      </c>
    </row>
    <row r="437" spans="1:10">
      <c r="A437">
        <v>3138</v>
      </c>
      <c r="B437" t="s">
        <v>5330</v>
      </c>
      <c r="C437">
        <v>12.93</v>
      </c>
      <c r="D437">
        <v>0.53</v>
      </c>
      <c r="E437">
        <v>0.15</v>
      </c>
      <c r="F437">
        <v>0</v>
      </c>
      <c r="G437">
        <v>436</v>
      </c>
      <c r="H437">
        <v>1311</v>
      </c>
      <c r="I437">
        <v>635</v>
      </c>
      <c r="J437" t="s">
        <v>6289</v>
      </c>
    </row>
    <row r="438" spans="1:10">
      <c r="A438">
        <v>3434</v>
      </c>
      <c r="B438" t="s">
        <v>5408</v>
      </c>
      <c r="C438">
        <v>12.9</v>
      </c>
      <c r="D438">
        <v>6.5</v>
      </c>
      <c r="E438">
        <v>0.82</v>
      </c>
      <c r="F438">
        <v>0</v>
      </c>
      <c r="G438">
        <v>437</v>
      </c>
      <c r="H438">
        <v>673</v>
      </c>
      <c r="I438">
        <v>214</v>
      </c>
      <c r="J438" t="s">
        <v>6289</v>
      </c>
    </row>
    <row r="439" spans="1:10">
      <c r="A439">
        <v>6558</v>
      </c>
      <c r="B439" t="s">
        <v>5911</v>
      </c>
      <c r="C439">
        <v>12.83</v>
      </c>
      <c r="D439">
        <v>1.98</v>
      </c>
      <c r="E439">
        <v>0.02</v>
      </c>
      <c r="F439">
        <v>0</v>
      </c>
      <c r="G439">
        <v>438</v>
      </c>
      <c r="H439">
        <v>1032</v>
      </c>
      <c r="I439">
        <v>1051</v>
      </c>
      <c r="J439" t="s">
        <v>6289</v>
      </c>
    </row>
    <row r="440" spans="1:10">
      <c r="A440">
        <v>1598</v>
      </c>
      <c r="B440" t="s">
        <v>4911</v>
      </c>
      <c r="C440">
        <v>12.81</v>
      </c>
      <c r="D440">
        <v>4.1900000000000004</v>
      </c>
      <c r="E440">
        <v>0.31</v>
      </c>
      <c r="F440">
        <v>0.01</v>
      </c>
      <c r="G440">
        <v>439</v>
      </c>
      <c r="H440">
        <v>824</v>
      </c>
      <c r="I440">
        <v>459</v>
      </c>
      <c r="J440">
        <v>491</v>
      </c>
    </row>
    <row r="441" spans="1:10">
      <c r="A441">
        <v>2032</v>
      </c>
      <c r="B441" t="s">
        <v>4996</v>
      </c>
      <c r="C441">
        <v>12.8</v>
      </c>
      <c r="D441">
        <v>0.97</v>
      </c>
      <c r="E441">
        <v>0.1</v>
      </c>
      <c r="F441">
        <v>0</v>
      </c>
      <c r="G441">
        <v>440</v>
      </c>
      <c r="H441">
        <v>1212</v>
      </c>
      <c r="I441">
        <v>734</v>
      </c>
      <c r="J441" t="s">
        <v>6289</v>
      </c>
    </row>
    <row r="442" spans="1:10">
      <c r="A442">
        <v>8215</v>
      </c>
      <c r="B442" t="s">
        <v>6005</v>
      </c>
      <c r="C442">
        <v>12.79</v>
      </c>
      <c r="D442">
        <v>3.49</v>
      </c>
      <c r="E442">
        <v>0.19</v>
      </c>
      <c r="F442">
        <v>0.06</v>
      </c>
      <c r="G442">
        <v>441</v>
      </c>
      <c r="H442">
        <v>866</v>
      </c>
      <c r="I442">
        <v>571</v>
      </c>
      <c r="J442">
        <v>416</v>
      </c>
    </row>
    <row r="443" spans="1:10">
      <c r="A443">
        <v>2027</v>
      </c>
      <c r="B443" t="s">
        <v>4991</v>
      </c>
      <c r="C443">
        <v>12.78</v>
      </c>
      <c r="D443">
        <v>15.26</v>
      </c>
      <c r="E443">
        <v>2.77</v>
      </c>
      <c r="F443">
        <v>0.74</v>
      </c>
      <c r="G443">
        <v>442</v>
      </c>
      <c r="H443">
        <v>351</v>
      </c>
      <c r="I443">
        <v>55</v>
      </c>
      <c r="J443">
        <v>227</v>
      </c>
    </row>
    <row r="444" spans="1:10">
      <c r="A444">
        <v>5603</v>
      </c>
      <c r="B444" t="s">
        <v>5724</v>
      </c>
      <c r="C444">
        <v>12.78</v>
      </c>
      <c r="D444">
        <v>14.7</v>
      </c>
      <c r="E444">
        <v>1.22</v>
      </c>
      <c r="F444">
        <v>0</v>
      </c>
      <c r="G444">
        <v>442</v>
      </c>
      <c r="H444">
        <v>364</v>
      </c>
      <c r="I444">
        <v>139</v>
      </c>
      <c r="J444" t="s">
        <v>6289</v>
      </c>
    </row>
    <row r="445" spans="1:10">
      <c r="A445">
        <v>6279</v>
      </c>
      <c r="B445" t="s">
        <v>5854</v>
      </c>
      <c r="C445">
        <v>12.73</v>
      </c>
      <c r="D445">
        <v>9.2100000000000009</v>
      </c>
      <c r="E445">
        <v>0.23</v>
      </c>
      <c r="F445">
        <v>2.4700000000000002</v>
      </c>
      <c r="G445">
        <v>444</v>
      </c>
      <c r="H445">
        <v>532</v>
      </c>
      <c r="I445">
        <v>526</v>
      </c>
      <c r="J445">
        <v>108</v>
      </c>
    </row>
    <row r="446" spans="1:10">
      <c r="A446">
        <v>3178</v>
      </c>
      <c r="B446" t="s">
        <v>5339</v>
      </c>
      <c r="C446">
        <v>12.72</v>
      </c>
      <c r="D446">
        <v>0.71</v>
      </c>
      <c r="E446">
        <v>0.08</v>
      </c>
      <c r="F446">
        <v>0</v>
      </c>
      <c r="G446">
        <v>445</v>
      </c>
      <c r="H446">
        <v>1266</v>
      </c>
      <c r="I446">
        <v>789</v>
      </c>
      <c r="J446" t="s">
        <v>6289</v>
      </c>
    </row>
    <row r="447" spans="1:10">
      <c r="A447">
        <v>2731</v>
      </c>
      <c r="B447" t="s">
        <v>5218</v>
      </c>
      <c r="C447">
        <v>12.7</v>
      </c>
      <c r="D447">
        <v>1.44</v>
      </c>
      <c r="E447">
        <v>0.03</v>
      </c>
      <c r="F447">
        <v>0.68</v>
      </c>
      <c r="G447">
        <v>446</v>
      </c>
      <c r="H447">
        <v>1122</v>
      </c>
      <c r="I447">
        <v>978</v>
      </c>
      <c r="J447">
        <v>234</v>
      </c>
    </row>
    <row r="448" spans="1:10">
      <c r="A448">
        <v>3306</v>
      </c>
      <c r="B448" t="s">
        <v>5377</v>
      </c>
      <c r="C448">
        <v>12.68</v>
      </c>
      <c r="D448">
        <v>2.39</v>
      </c>
      <c r="E448">
        <v>0.25</v>
      </c>
      <c r="F448">
        <v>0</v>
      </c>
      <c r="G448">
        <v>447</v>
      </c>
      <c r="H448">
        <v>985</v>
      </c>
      <c r="I448">
        <v>507</v>
      </c>
      <c r="J448" t="s">
        <v>6289</v>
      </c>
    </row>
    <row r="449" spans="1:10">
      <c r="A449">
        <v>6679</v>
      </c>
      <c r="B449" t="s">
        <v>5942</v>
      </c>
      <c r="C449">
        <v>12.68</v>
      </c>
      <c r="D449">
        <v>10.14</v>
      </c>
      <c r="E449">
        <v>0.16</v>
      </c>
      <c r="F449">
        <v>8.41</v>
      </c>
      <c r="G449">
        <v>447</v>
      </c>
      <c r="H449">
        <v>495</v>
      </c>
      <c r="I449">
        <v>614</v>
      </c>
      <c r="J449">
        <v>21</v>
      </c>
    </row>
    <row r="450" spans="1:10">
      <c r="A450">
        <v>4908</v>
      </c>
      <c r="B450" t="s">
        <v>5611</v>
      </c>
      <c r="C450">
        <v>12.67</v>
      </c>
      <c r="D450">
        <v>4.8099999999999996</v>
      </c>
      <c r="E450">
        <v>0.46</v>
      </c>
      <c r="F450">
        <v>0</v>
      </c>
      <c r="G450">
        <v>449</v>
      </c>
      <c r="H450">
        <v>786</v>
      </c>
      <c r="I450">
        <v>337</v>
      </c>
      <c r="J450" t="s">
        <v>6289</v>
      </c>
    </row>
    <row r="451" spans="1:10">
      <c r="A451">
        <v>2478</v>
      </c>
      <c r="B451" t="s">
        <v>5142</v>
      </c>
      <c r="C451">
        <v>12.6</v>
      </c>
      <c r="D451">
        <v>4.96</v>
      </c>
      <c r="E451">
        <v>0.25</v>
      </c>
      <c r="F451">
        <v>0</v>
      </c>
      <c r="G451">
        <v>450</v>
      </c>
      <c r="H451">
        <v>775</v>
      </c>
      <c r="I451">
        <v>507</v>
      </c>
      <c r="J451" t="s">
        <v>6289</v>
      </c>
    </row>
    <row r="452" spans="1:10">
      <c r="A452">
        <v>3356</v>
      </c>
      <c r="B452" t="s">
        <v>5389</v>
      </c>
      <c r="C452">
        <v>12.56</v>
      </c>
      <c r="D452">
        <v>3.47</v>
      </c>
      <c r="E452">
        <v>0.12</v>
      </c>
      <c r="F452">
        <v>0</v>
      </c>
      <c r="G452">
        <v>451</v>
      </c>
      <c r="H452">
        <v>874</v>
      </c>
      <c r="I452">
        <v>683</v>
      </c>
      <c r="J452" t="s">
        <v>6289</v>
      </c>
    </row>
    <row r="453" spans="1:10">
      <c r="A453">
        <v>3481</v>
      </c>
      <c r="B453" t="s">
        <v>5419</v>
      </c>
      <c r="C453">
        <v>12.56</v>
      </c>
      <c r="D453">
        <v>22.58</v>
      </c>
      <c r="E453">
        <v>1.1399999999999999</v>
      </c>
      <c r="F453">
        <v>2.79</v>
      </c>
      <c r="G453">
        <v>451</v>
      </c>
      <c r="H453">
        <v>244</v>
      </c>
      <c r="I453">
        <v>152</v>
      </c>
      <c r="J453">
        <v>95</v>
      </c>
    </row>
    <row r="454" spans="1:10">
      <c r="A454">
        <v>3567</v>
      </c>
      <c r="B454" t="s">
        <v>5456</v>
      </c>
      <c r="C454">
        <v>12.54</v>
      </c>
      <c r="D454">
        <v>1.52</v>
      </c>
      <c r="E454">
        <v>0</v>
      </c>
      <c r="F454">
        <v>2.14</v>
      </c>
      <c r="G454">
        <v>453</v>
      </c>
      <c r="H454">
        <v>1100</v>
      </c>
      <c r="I454" t="s">
        <v>6289</v>
      </c>
      <c r="J454">
        <v>125</v>
      </c>
    </row>
    <row r="455" spans="1:10">
      <c r="A455">
        <v>3236</v>
      </c>
      <c r="B455" t="s">
        <v>5358</v>
      </c>
      <c r="C455">
        <v>12.52</v>
      </c>
      <c r="D455">
        <v>10.42</v>
      </c>
      <c r="E455">
        <v>0</v>
      </c>
      <c r="F455">
        <v>0</v>
      </c>
      <c r="G455">
        <v>454</v>
      </c>
      <c r="H455">
        <v>484</v>
      </c>
      <c r="I455" t="s">
        <v>6289</v>
      </c>
      <c r="J455" t="s">
        <v>6289</v>
      </c>
    </row>
    <row r="456" spans="1:10">
      <c r="A456">
        <v>3680</v>
      </c>
      <c r="B456" t="s">
        <v>5492</v>
      </c>
      <c r="C456">
        <v>12.47</v>
      </c>
      <c r="D456">
        <v>8.66</v>
      </c>
      <c r="E456">
        <v>1.42</v>
      </c>
      <c r="F456">
        <v>4.1500000000000004</v>
      </c>
      <c r="G456">
        <v>455</v>
      </c>
      <c r="H456">
        <v>561</v>
      </c>
      <c r="I456">
        <v>117</v>
      </c>
      <c r="J456">
        <v>70</v>
      </c>
    </row>
    <row r="457" spans="1:10">
      <c r="A457">
        <v>3704</v>
      </c>
      <c r="B457" t="s">
        <v>5502</v>
      </c>
      <c r="C457">
        <v>12.47</v>
      </c>
      <c r="D457">
        <v>7.43</v>
      </c>
      <c r="E457">
        <v>0.18</v>
      </c>
      <c r="F457">
        <v>0</v>
      </c>
      <c r="G457">
        <v>455</v>
      </c>
      <c r="H457">
        <v>607</v>
      </c>
      <c r="I457">
        <v>586</v>
      </c>
      <c r="J457" t="s">
        <v>6289</v>
      </c>
    </row>
    <row r="458" spans="1:10">
      <c r="A458">
        <v>9906</v>
      </c>
      <c r="B458" t="s">
        <v>6074</v>
      </c>
      <c r="C458">
        <v>12.35</v>
      </c>
      <c r="D458">
        <v>0.78</v>
      </c>
      <c r="E458">
        <v>0.02</v>
      </c>
      <c r="F458">
        <v>0</v>
      </c>
      <c r="G458">
        <v>457</v>
      </c>
      <c r="H458">
        <v>1250</v>
      </c>
      <c r="I458">
        <v>1051</v>
      </c>
      <c r="J458" t="s">
        <v>6289</v>
      </c>
    </row>
    <row r="459" spans="1:10">
      <c r="A459">
        <v>1475</v>
      </c>
      <c r="B459" t="s">
        <v>6310</v>
      </c>
      <c r="C459">
        <v>12.34</v>
      </c>
      <c r="D459">
        <v>0.31</v>
      </c>
      <c r="E459">
        <v>0.19</v>
      </c>
      <c r="F459">
        <v>0</v>
      </c>
      <c r="G459">
        <v>458</v>
      </c>
      <c r="H459">
        <v>1382</v>
      </c>
      <c r="I459">
        <v>571</v>
      </c>
      <c r="J459" t="s">
        <v>6289</v>
      </c>
    </row>
    <row r="460" spans="1:10">
      <c r="A460">
        <v>4303</v>
      </c>
      <c r="B460" t="s">
        <v>5547</v>
      </c>
      <c r="C460">
        <v>12.3</v>
      </c>
      <c r="D460">
        <v>0.76</v>
      </c>
      <c r="E460">
        <v>0</v>
      </c>
      <c r="F460">
        <v>0</v>
      </c>
      <c r="G460">
        <v>459</v>
      </c>
      <c r="H460">
        <v>1253</v>
      </c>
      <c r="I460" t="s">
        <v>6289</v>
      </c>
      <c r="J460" t="s">
        <v>6289</v>
      </c>
    </row>
    <row r="461" spans="1:10">
      <c r="A461">
        <v>3432</v>
      </c>
      <c r="B461" t="s">
        <v>5407</v>
      </c>
      <c r="C461">
        <v>12.29</v>
      </c>
      <c r="D461">
        <v>4.7699999999999996</v>
      </c>
      <c r="E461">
        <v>0.06</v>
      </c>
      <c r="F461">
        <v>0</v>
      </c>
      <c r="G461">
        <v>460</v>
      </c>
      <c r="H461">
        <v>787</v>
      </c>
      <c r="I461">
        <v>852</v>
      </c>
      <c r="J461" t="s">
        <v>6289</v>
      </c>
    </row>
    <row r="462" spans="1:10">
      <c r="A462">
        <v>6668</v>
      </c>
      <c r="B462" t="s">
        <v>5936</v>
      </c>
      <c r="C462">
        <v>12.29</v>
      </c>
      <c r="D462">
        <v>21.57</v>
      </c>
      <c r="E462">
        <v>0.72</v>
      </c>
      <c r="F462">
        <v>0</v>
      </c>
      <c r="G462">
        <v>460</v>
      </c>
      <c r="H462">
        <v>260</v>
      </c>
      <c r="I462">
        <v>243</v>
      </c>
      <c r="J462" t="s">
        <v>6289</v>
      </c>
    </row>
    <row r="463" spans="1:10">
      <c r="A463">
        <v>8924</v>
      </c>
      <c r="B463" t="s">
        <v>6060</v>
      </c>
      <c r="C463">
        <v>12.29</v>
      </c>
      <c r="D463">
        <v>3.13</v>
      </c>
      <c r="E463">
        <v>1.33</v>
      </c>
      <c r="F463">
        <v>3.02</v>
      </c>
      <c r="G463">
        <v>460</v>
      </c>
      <c r="H463">
        <v>905</v>
      </c>
      <c r="I463">
        <v>129</v>
      </c>
      <c r="J463">
        <v>88</v>
      </c>
    </row>
    <row r="464" spans="1:10">
      <c r="A464">
        <v>6153</v>
      </c>
      <c r="B464" t="s">
        <v>5775</v>
      </c>
      <c r="C464">
        <v>12.28</v>
      </c>
      <c r="D464">
        <v>8.4499999999999993</v>
      </c>
      <c r="E464">
        <v>0.35</v>
      </c>
      <c r="F464">
        <v>0</v>
      </c>
      <c r="G464">
        <v>463</v>
      </c>
      <c r="H464">
        <v>572</v>
      </c>
      <c r="I464">
        <v>414</v>
      </c>
      <c r="J464" t="s">
        <v>6289</v>
      </c>
    </row>
    <row r="465" spans="1:10">
      <c r="A465">
        <v>9919</v>
      </c>
      <c r="B465" t="s">
        <v>6082</v>
      </c>
      <c r="C465">
        <v>12.28</v>
      </c>
      <c r="D465">
        <v>2.89</v>
      </c>
      <c r="E465">
        <v>1.4</v>
      </c>
      <c r="F465">
        <v>0.03</v>
      </c>
      <c r="G465">
        <v>463</v>
      </c>
      <c r="H465">
        <v>930</v>
      </c>
      <c r="I465">
        <v>122</v>
      </c>
      <c r="J465">
        <v>458</v>
      </c>
    </row>
    <row r="466" spans="1:10">
      <c r="A466">
        <v>8096</v>
      </c>
      <c r="B466" t="s">
        <v>5983</v>
      </c>
      <c r="C466">
        <v>12.26</v>
      </c>
      <c r="D466">
        <v>21.97</v>
      </c>
      <c r="E466">
        <v>0.06</v>
      </c>
      <c r="F466">
        <v>0</v>
      </c>
      <c r="G466">
        <v>465</v>
      </c>
      <c r="H466">
        <v>252</v>
      </c>
      <c r="I466">
        <v>852</v>
      </c>
      <c r="J466" t="s">
        <v>6289</v>
      </c>
    </row>
    <row r="467" spans="1:10">
      <c r="A467">
        <v>8289</v>
      </c>
      <c r="B467" t="s">
        <v>6014</v>
      </c>
      <c r="C467">
        <v>12.26</v>
      </c>
      <c r="D467">
        <v>7.74</v>
      </c>
      <c r="E467">
        <v>0.36</v>
      </c>
      <c r="F467">
        <v>0</v>
      </c>
      <c r="G467">
        <v>465</v>
      </c>
      <c r="H467">
        <v>592</v>
      </c>
      <c r="I467">
        <v>406</v>
      </c>
      <c r="J467" t="s">
        <v>6289</v>
      </c>
    </row>
    <row r="468" spans="1:10">
      <c r="A468">
        <v>3016</v>
      </c>
      <c r="B468" t="s">
        <v>5279</v>
      </c>
      <c r="C468">
        <v>12.22</v>
      </c>
      <c r="D468">
        <v>3.8</v>
      </c>
      <c r="E468">
        <v>0.1</v>
      </c>
      <c r="F468">
        <v>0.02</v>
      </c>
      <c r="G468">
        <v>467</v>
      </c>
      <c r="H468">
        <v>844</v>
      </c>
      <c r="I468">
        <v>734</v>
      </c>
      <c r="J468">
        <v>473</v>
      </c>
    </row>
    <row r="469" spans="1:10">
      <c r="A469">
        <v>3596</v>
      </c>
      <c r="B469" t="s">
        <v>5465</v>
      </c>
      <c r="C469">
        <v>12.22</v>
      </c>
      <c r="D469">
        <v>12.21</v>
      </c>
      <c r="E469">
        <v>7.0000000000000007E-2</v>
      </c>
      <c r="F469">
        <v>8.4499999999999993</v>
      </c>
      <c r="G469">
        <v>467</v>
      </c>
      <c r="H469">
        <v>421</v>
      </c>
      <c r="I469">
        <v>824</v>
      </c>
      <c r="J469">
        <v>20</v>
      </c>
    </row>
    <row r="470" spans="1:10">
      <c r="A470">
        <v>2601</v>
      </c>
      <c r="B470" t="s">
        <v>5185</v>
      </c>
      <c r="C470">
        <v>12.21</v>
      </c>
      <c r="D470">
        <v>0.25</v>
      </c>
      <c r="E470">
        <v>0.15</v>
      </c>
      <c r="F470">
        <v>0</v>
      </c>
      <c r="G470">
        <v>469</v>
      </c>
      <c r="H470">
        <v>1399</v>
      </c>
      <c r="I470">
        <v>635</v>
      </c>
      <c r="J470" t="s">
        <v>6289</v>
      </c>
    </row>
    <row r="471" spans="1:10">
      <c r="A471">
        <v>5543</v>
      </c>
      <c r="B471" t="s">
        <v>5722</v>
      </c>
      <c r="C471">
        <v>12.21</v>
      </c>
      <c r="D471">
        <v>0.73</v>
      </c>
      <c r="E471">
        <v>0</v>
      </c>
      <c r="F471">
        <v>0</v>
      </c>
      <c r="G471">
        <v>469</v>
      </c>
      <c r="H471">
        <v>1260</v>
      </c>
      <c r="I471" t="s">
        <v>6289</v>
      </c>
      <c r="J471" t="s">
        <v>6289</v>
      </c>
    </row>
    <row r="472" spans="1:10">
      <c r="A472">
        <v>1474</v>
      </c>
      <c r="B472" t="s">
        <v>4864</v>
      </c>
      <c r="C472">
        <v>12.2</v>
      </c>
      <c r="D472">
        <v>0.82</v>
      </c>
      <c r="E472">
        <v>0.06</v>
      </c>
      <c r="F472">
        <v>0</v>
      </c>
      <c r="G472">
        <v>471</v>
      </c>
      <c r="H472">
        <v>1241</v>
      </c>
      <c r="I472">
        <v>852</v>
      </c>
      <c r="J472" t="s">
        <v>6289</v>
      </c>
    </row>
    <row r="473" spans="1:10">
      <c r="A473">
        <v>3498</v>
      </c>
      <c r="B473" t="s">
        <v>5425</v>
      </c>
      <c r="C473">
        <v>12.19</v>
      </c>
      <c r="D473">
        <v>2.06</v>
      </c>
      <c r="E473">
        <v>1.17</v>
      </c>
      <c r="F473">
        <v>0</v>
      </c>
      <c r="G473">
        <v>472</v>
      </c>
      <c r="H473">
        <v>1024</v>
      </c>
      <c r="I473">
        <v>147</v>
      </c>
      <c r="J473" t="s">
        <v>6289</v>
      </c>
    </row>
    <row r="474" spans="1:10">
      <c r="A474">
        <v>6168</v>
      </c>
      <c r="B474" t="s">
        <v>5785</v>
      </c>
      <c r="C474">
        <v>12.12</v>
      </c>
      <c r="D474">
        <v>2.11</v>
      </c>
      <c r="E474">
        <v>0.74</v>
      </c>
      <c r="F474">
        <v>0.01</v>
      </c>
      <c r="G474">
        <v>473</v>
      </c>
      <c r="H474">
        <v>1015</v>
      </c>
      <c r="I474">
        <v>233</v>
      </c>
      <c r="J474">
        <v>491</v>
      </c>
    </row>
    <row r="475" spans="1:10">
      <c r="A475">
        <v>6118</v>
      </c>
      <c r="B475" t="s">
        <v>5753</v>
      </c>
      <c r="C475">
        <v>12.09</v>
      </c>
      <c r="D475">
        <v>1.65</v>
      </c>
      <c r="E475">
        <v>1.1200000000000001</v>
      </c>
      <c r="F475">
        <v>0</v>
      </c>
      <c r="G475">
        <v>474</v>
      </c>
      <c r="H475">
        <v>1084</v>
      </c>
      <c r="I475">
        <v>155</v>
      </c>
      <c r="J475" t="s">
        <v>6289</v>
      </c>
    </row>
    <row r="476" spans="1:10">
      <c r="A476">
        <v>2367</v>
      </c>
      <c r="B476" t="s">
        <v>5072</v>
      </c>
      <c r="C476">
        <v>11.97</v>
      </c>
      <c r="D476">
        <v>6.21</v>
      </c>
      <c r="E476">
        <v>0.35</v>
      </c>
      <c r="F476">
        <v>0.03</v>
      </c>
      <c r="G476">
        <v>475</v>
      </c>
      <c r="H476">
        <v>689</v>
      </c>
      <c r="I476">
        <v>414</v>
      </c>
      <c r="J476">
        <v>458</v>
      </c>
    </row>
    <row r="477" spans="1:10">
      <c r="A477">
        <v>2736</v>
      </c>
      <c r="B477" t="s">
        <v>5220</v>
      </c>
      <c r="C477">
        <v>11.95</v>
      </c>
      <c r="D477">
        <v>0.27</v>
      </c>
      <c r="E477">
        <v>0.02</v>
      </c>
      <c r="F477">
        <v>0</v>
      </c>
      <c r="G477">
        <v>476</v>
      </c>
      <c r="H477">
        <v>1395</v>
      </c>
      <c r="I477">
        <v>1051</v>
      </c>
      <c r="J477" t="s">
        <v>6289</v>
      </c>
    </row>
    <row r="478" spans="1:10">
      <c r="A478">
        <v>3272</v>
      </c>
      <c r="B478" t="s">
        <v>5366</v>
      </c>
      <c r="C478">
        <v>11.95</v>
      </c>
      <c r="D478">
        <v>0.49</v>
      </c>
      <c r="E478">
        <v>0.01</v>
      </c>
      <c r="F478">
        <v>7.0000000000000007E-2</v>
      </c>
      <c r="G478">
        <v>476</v>
      </c>
      <c r="H478">
        <v>1326</v>
      </c>
      <c r="I478">
        <v>1110</v>
      </c>
      <c r="J478">
        <v>407</v>
      </c>
    </row>
    <row r="479" spans="1:10">
      <c r="A479">
        <v>1466</v>
      </c>
      <c r="B479" t="s">
        <v>4860</v>
      </c>
      <c r="C479">
        <v>11.91</v>
      </c>
      <c r="D479">
        <v>0.95</v>
      </c>
      <c r="E479">
        <v>0.27</v>
      </c>
      <c r="F479">
        <v>0</v>
      </c>
      <c r="G479">
        <v>478</v>
      </c>
      <c r="H479">
        <v>1216</v>
      </c>
      <c r="I479">
        <v>492</v>
      </c>
      <c r="J479" t="s">
        <v>6289</v>
      </c>
    </row>
    <row r="480" spans="1:10">
      <c r="A480">
        <v>6598</v>
      </c>
      <c r="B480" t="s">
        <v>5921</v>
      </c>
      <c r="C480">
        <v>11.87</v>
      </c>
      <c r="D480">
        <v>33.369999999999997</v>
      </c>
      <c r="E480">
        <v>0.08</v>
      </c>
      <c r="F480">
        <v>0</v>
      </c>
      <c r="G480">
        <v>479</v>
      </c>
      <c r="H480">
        <v>152</v>
      </c>
      <c r="I480">
        <v>789</v>
      </c>
      <c r="J480" t="s">
        <v>6289</v>
      </c>
    </row>
    <row r="481" spans="1:10">
      <c r="A481">
        <v>8201</v>
      </c>
      <c r="B481" t="s">
        <v>6002</v>
      </c>
      <c r="C481">
        <v>11.8</v>
      </c>
      <c r="D481">
        <v>2.95</v>
      </c>
      <c r="E481">
        <v>0.34</v>
      </c>
      <c r="F481">
        <v>0</v>
      </c>
      <c r="G481">
        <v>480</v>
      </c>
      <c r="H481">
        <v>925</v>
      </c>
      <c r="I481">
        <v>425</v>
      </c>
      <c r="J481" t="s">
        <v>6289</v>
      </c>
    </row>
    <row r="482" spans="1:10">
      <c r="A482">
        <v>3712</v>
      </c>
      <c r="B482" t="s">
        <v>5508</v>
      </c>
      <c r="C482">
        <v>11.76</v>
      </c>
      <c r="D482">
        <v>1.38</v>
      </c>
      <c r="E482">
        <v>0.15</v>
      </c>
      <c r="F482">
        <v>0</v>
      </c>
      <c r="G482">
        <v>481</v>
      </c>
      <c r="H482">
        <v>1137</v>
      </c>
      <c r="I482">
        <v>635</v>
      </c>
      <c r="J482" t="s">
        <v>6289</v>
      </c>
    </row>
    <row r="483" spans="1:10">
      <c r="A483">
        <v>8076</v>
      </c>
      <c r="B483" t="s">
        <v>5977</v>
      </c>
      <c r="C483">
        <v>11.74</v>
      </c>
      <c r="D483">
        <v>3.39</v>
      </c>
      <c r="E483">
        <v>0.65</v>
      </c>
      <c r="F483">
        <v>0</v>
      </c>
      <c r="G483">
        <v>482</v>
      </c>
      <c r="H483">
        <v>882</v>
      </c>
      <c r="I483">
        <v>266</v>
      </c>
      <c r="J483" t="s">
        <v>6289</v>
      </c>
    </row>
    <row r="484" spans="1:10">
      <c r="A484">
        <v>3466</v>
      </c>
      <c r="B484" t="s">
        <v>5417</v>
      </c>
      <c r="C484">
        <v>11.71</v>
      </c>
      <c r="D484">
        <v>7.38</v>
      </c>
      <c r="E484">
        <v>0</v>
      </c>
      <c r="F484">
        <v>0</v>
      </c>
      <c r="G484">
        <v>483</v>
      </c>
      <c r="H484">
        <v>609</v>
      </c>
      <c r="I484" t="s">
        <v>6289</v>
      </c>
      <c r="J484" t="s">
        <v>6289</v>
      </c>
    </row>
    <row r="485" spans="1:10">
      <c r="A485">
        <v>5215</v>
      </c>
      <c r="B485" t="s">
        <v>5654</v>
      </c>
      <c r="C485">
        <v>11.71</v>
      </c>
      <c r="D485">
        <v>25.48</v>
      </c>
      <c r="E485">
        <v>0.01</v>
      </c>
      <c r="F485">
        <v>0</v>
      </c>
      <c r="G485">
        <v>483</v>
      </c>
      <c r="H485">
        <v>215</v>
      </c>
      <c r="I485">
        <v>1110</v>
      </c>
      <c r="J485" t="s">
        <v>6289</v>
      </c>
    </row>
    <row r="486" spans="1:10">
      <c r="A486">
        <v>5263</v>
      </c>
      <c r="B486" t="s">
        <v>5664</v>
      </c>
      <c r="C486">
        <v>11.65</v>
      </c>
      <c r="D486">
        <v>13.97</v>
      </c>
      <c r="E486">
        <v>0</v>
      </c>
      <c r="F486">
        <v>5.34</v>
      </c>
      <c r="G486">
        <v>485</v>
      </c>
      <c r="H486">
        <v>379</v>
      </c>
      <c r="I486" t="s">
        <v>6289</v>
      </c>
      <c r="J486">
        <v>52</v>
      </c>
    </row>
    <row r="487" spans="1:10">
      <c r="A487">
        <v>8906</v>
      </c>
      <c r="B487" t="s">
        <v>6307</v>
      </c>
      <c r="C487">
        <v>11.6</v>
      </c>
      <c r="D487">
        <v>0.08</v>
      </c>
      <c r="E487">
        <v>0</v>
      </c>
      <c r="F487">
        <v>0.5</v>
      </c>
      <c r="G487">
        <v>486</v>
      </c>
      <c r="H487">
        <v>1451</v>
      </c>
      <c r="I487" t="s">
        <v>6289</v>
      </c>
      <c r="J487">
        <v>251</v>
      </c>
    </row>
    <row r="488" spans="1:10">
      <c r="A488">
        <v>3597</v>
      </c>
      <c r="B488" t="s">
        <v>5466</v>
      </c>
      <c r="C488">
        <v>11.59</v>
      </c>
      <c r="D488">
        <v>0.28000000000000003</v>
      </c>
      <c r="E488">
        <v>0</v>
      </c>
      <c r="F488">
        <v>0</v>
      </c>
      <c r="G488">
        <v>487</v>
      </c>
      <c r="H488">
        <v>1390</v>
      </c>
      <c r="I488" t="s">
        <v>6289</v>
      </c>
      <c r="J488" t="s">
        <v>6289</v>
      </c>
    </row>
    <row r="489" spans="1:10">
      <c r="A489">
        <v>6174</v>
      </c>
      <c r="B489" t="s">
        <v>5788</v>
      </c>
      <c r="C489">
        <v>11.58</v>
      </c>
      <c r="D489">
        <v>5.67</v>
      </c>
      <c r="E489">
        <v>0.06</v>
      </c>
      <c r="F489">
        <v>0</v>
      </c>
      <c r="G489">
        <v>488</v>
      </c>
      <c r="H489">
        <v>720</v>
      </c>
      <c r="I489">
        <v>852</v>
      </c>
      <c r="J489" t="s">
        <v>6289</v>
      </c>
    </row>
    <row r="490" spans="1:10">
      <c r="A490">
        <v>1515</v>
      </c>
      <c r="B490" t="s">
        <v>4871</v>
      </c>
      <c r="C490">
        <v>11.48</v>
      </c>
      <c r="D490">
        <v>9.6999999999999993</v>
      </c>
      <c r="E490">
        <v>0.46</v>
      </c>
      <c r="F490">
        <v>0.01</v>
      </c>
      <c r="G490">
        <v>489</v>
      </c>
      <c r="H490">
        <v>509</v>
      </c>
      <c r="I490">
        <v>337</v>
      </c>
      <c r="J490">
        <v>491</v>
      </c>
    </row>
    <row r="491" spans="1:10">
      <c r="A491">
        <v>3017</v>
      </c>
      <c r="B491" t="s">
        <v>5280</v>
      </c>
      <c r="C491">
        <v>11.42</v>
      </c>
      <c r="D491">
        <v>38.92</v>
      </c>
      <c r="E491">
        <v>0.39</v>
      </c>
      <c r="F491">
        <v>14.63</v>
      </c>
      <c r="G491">
        <v>490</v>
      </c>
      <c r="H491">
        <v>126</v>
      </c>
      <c r="I491">
        <v>379</v>
      </c>
      <c r="J491">
        <v>7</v>
      </c>
    </row>
    <row r="492" spans="1:10">
      <c r="A492">
        <v>8107</v>
      </c>
      <c r="B492" t="s">
        <v>5989</v>
      </c>
      <c r="C492">
        <v>11.4</v>
      </c>
      <c r="D492">
        <v>2.0299999999999998</v>
      </c>
      <c r="E492">
        <v>0.14000000000000001</v>
      </c>
      <c r="F492">
        <v>0.03</v>
      </c>
      <c r="G492">
        <v>491</v>
      </c>
      <c r="H492">
        <v>1026</v>
      </c>
      <c r="I492">
        <v>653</v>
      </c>
      <c r="J492">
        <v>458</v>
      </c>
    </row>
    <row r="493" spans="1:10">
      <c r="A493">
        <v>8074</v>
      </c>
      <c r="B493" t="s">
        <v>5976</v>
      </c>
      <c r="C493">
        <v>11.37</v>
      </c>
      <c r="D493">
        <v>2.52</v>
      </c>
      <c r="E493">
        <v>0.16</v>
      </c>
      <c r="F493">
        <v>0</v>
      </c>
      <c r="G493">
        <v>492</v>
      </c>
      <c r="H493">
        <v>971</v>
      </c>
      <c r="I493">
        <v>614</v>
      </c>
      <c r="J493" t="s">
        <v>6289</v>
      </c>
    </row>
    <row r="494" spans="1:10">
      <c r="A494">
        <v>8489</v>
      </c>
      <c r="B494" t="s">
        <v>6055</v>
      </c>
      <c r="C494">
        <v>11.37</v>
      </c>
      <c r="D494">
        <v>1.19</v>
      </c>
      <c r="E494">
        <v>0</v>
      </c>
      <c r="F494">
        <v>0</v>
      </c>
      <c r="G494">
        <v>492</v>
      </c>
      <c r="H494">
        <v>1172</v>
      </c>
      <c r="I494" t="s">
        <v>6289</v>
      </c>
      <c r="J494" t="s">
        <v>6289</v>
      </c>
    </row>
    <row r="495" spans="1:10">
      <c r="A495">
        <v>1533</v>
      </c>
      <c r="B495" t="s">
        <v>4886</v>
      </c>
      <c r="C495">
        <v>11.35</v>
      </c>
      <c r="D495">
        <v>5.64</v>
      </c>
      <c r="E495">
        <v>0.01</v>
      </c>
      <c r="F495">
        <v>0</v>
      </c>
      <c r="G495">
        <v>494</v>
      </c>
      <c r="H495">
        <v>725</v>
      </c>
      <c r="I495">
        <v>1110</v>
      </c>
      <c r="J495" t="s">
        <v>6289</v>
      </c>
    </row>
    <row r="496" spans="1:10">
      <c r="A496">
        <v>5516</v>
      </c>
      <c r="B496" t="s">
        <v>6193</v>
      </c>
      <c r="C496">
        <v>11.35</v>
      </c>
      <c r="D496">
        <v>0.18</v>
      </c>
      <c r="E496">
        <v>0</v>
      </c>
      <c r="F496">
        <v>0</v>
      </c>
      <c r="G496">
        <v>494</v>
      </c>
      <c r="H496">
        <v>1417</v>
      </c>
      <c r="I496" t="s">
        <v>6289</v>
      </c>
      <c r="J496" t="s">
        <v>6289</v>
      </c>
    </row>
    <row r="497" spans="1:10">
      <c r="A497">
        <v>6188</v>
      </c>
      <c r="B497" t="s">
        <v>5800</v>
      </c>
      <c r="C497">
        <v>11.35</v>
      </c>
      <c r="D497">
        <v>6.66</v>
      </c>
      <c r="E497">
        <v>0.66</v>
      </c>
      <c r="F497">
        <v>0.01</v>
      </c>
      <c r="G497">
        <v>494</v>
      </c>
      <c r="H497">
        <v>656</v>
      </c>
      <c r="I497">
        <v>263</v>
      </c>
      <c r="J497">
        <v>491</v>
      </c>
    </row>
    <row r="498" spans="1:10">
      <c r="A498">
        <v>1711</v>
      </c>
      <c r="B498" t="s">
        <v>4931</v>
      </c>
      <c r="C498">
        <v>11.34</v>
      </c>
      <c r="D498">
        <v>6.23</v>
      </c>
      <c r="E498">
        <v>0.17</v>
      </c>
      <c r="F498">
        <v>0</v>
      </c>
      <c r="G498">
        <v>497</v>
      </c>
      <c r="H498">
        <v>687</v>
      </c>
      <c r="I498">
        <v>598</v>
      </c>
      <c r="J498" t="s">
        <v>6289</v>
      </c>
    </row>
    <row r="499" spans="1:10">
      <c r="A499">
        <v>6134</v>
      </c>
      <c r="B499" t="s">
        <v>5763</v>
      </c>
      <c r="C499">
        <v>11.3</v>
      </c>
      <c r="D499">
        <v>21.6</v>
      </c>
      <c r="E499">
        <v>0.45</v>
      </c>
      <c r="F499">
        <v>0</v>
      </c>
      <c r="G499">
        <v>498</v>
      </c>
      <c r="H499">
        <v>259</v>
      </c>
      <c r="I499">
        <v>346</v>
      </c>
      <c r="J499" t="s">
        <v>6289</v>
      </c>
    </row>
    <row r="500" spans="1:10">
      <c r="A500">
        <v>3694</v>
      </c>
      <c r="B500" t="s">
        <v>5498</v>
      </c>
      <c r="C500">
        <v>11.27</v>
      </c>
      <c r="D500">
        <v>1.5</v>
      </c>
      <c r="E500">
        <v>0.08</v>
      </c>
      <c r="F500">
        <v>0</v>
      </c>
      <c r="G500">
        <v>499</v>
      </c>
      <c r="H500">
        <v>1107</v>
      </c>
      <c r="I500">
        <v>789</v>
      </c>
      <c r="J500" t="s">
        <v>6289</v>
      </c>
    </row>
    <row r="501" spans="1:10">
      <c r="A501">
        <v>8147</v>
      </c>
      <c r="B501" t="s">
        <v>5995</v>
      </c>
      <c r="C501">
        <v>11.27</v>
      </c>
      <c r="D501">
        <v>4.92</v>
      </c>
      <c r="E501">
        <v>0.17</v>
      </c>
      <c r="F501">
        <v>0</v>
      </c>
      <c r="G501">
        <v>499</v>
      </c>
      <c r="H501">
        <v>779</v>
      </c>
      <c r="I501">
        <v>598</v>
      </c>
      <c r="J501" t="s">
        <v>6289</v>
      </c>
    </row>
    <row r="502" spans="1:10">
      <c r="A502">
        <v>5609</v>
      </c>
      <c r="B502" t="s">
        <v>5727</v>
      </c>
      <c r="C502">
        <v>11.26</v>
      </c>
      <c r="D502">
        <v>18.239999999999998</v>
      </c>
      <c r="E502">
        <v>0.1</v>
      </c>
      <c r="F502">
        <v>0.46</v>
      </c>
      <c r="G502">
        <v>501</v>
      </c>
      <c r="H502">
        <v>303</v>
      </c>
      <c r="I502">
        <v>734</v>
      </c>
      <c r="J502">
        <v>259</v>
      </c>
    </row>
    <row r="503" spans="1:10">
      <c r="A503">
        <v>5230</v>
      </c>
      <c r="B503" t="s">
        <v>5657</v>
      </c>
      <c r="C503">
        <v>11.25</v>
      </c>
      <c r="D503">
        <v>2.56</v>
      </c>
      <c r="E503">
        <v>0.3</v>
      </c>
      <c r="F503">
        <v>0.73</v>
      </c>
      <c r="G503">
        <v>502</v>
      </c>
      <c r="H503">
        <v>961</v>
      </c>
      <c r="I503">
        <v>466</v>
      </c>
      <c r="J503">
        <v>229</v>
      </c>
    </row>
    <row r="504" spans="1:10">
      <c r="A504">
        <v>2413</v>
      </c>
      <c r="B504" t="s">
        <v>5100</v>
      </c>
      <c r="C504">
        <v>11.23</v>
      </c>
      <c r="D504">
        <v>0.4</v>
      </c>
      <c r="E504">
        <v>0.42</v>
      </c>
      <c r="F504">
        <v>0</v>
      </c>
      <c r="G504">
        <v>503</v>
      </c>
      <c r="H504">
        <v>1360</v>
      </c>
      <c r="I504">
        <v>363</v>
      </c>
      <c r="J504" t="s">
        <v>6289</v>
      </c>
    </row>
    <row r="505" spans="1:10">
      <c r="A505">
        <v>3167</v>
      </c>
      <c r="B505" t="s">
        <v>5337</v>
      </c>
      <c r="C505">
        <v>11.21</v>
      </c>
      <c r="D505">
        <v>1.44</v>
      </c>
      <c r="E505">
        <v>0.1</v>
      </c>
      <c r="F505">
        <v>0.03</v>
      </c>
      <c r="G505">
        <v>504</v>
      </c>
      <c r="H505">
        <v>1122</v>
      </c>
      <c r="I505">
        <v>734</v>
      </c>
      <c r="J505">
        <v>458</v>
      </c>
    </row>
    <row r="506" spans="1:10">
      <c r="A506">
        <v>6698</v>
      </c>
      <c r="B506" t="s">
        <v>5943</v>
      </c>
      <c r="C506">
        <v>11.21</v>
      </c>
      <c r="D506">
        <v>1.77</v>
      </c>
      <c r="E506">
        <v>0.03</v>
      </c>
      <c r="F506">
        <v>1.33</v>
      </c>
      <c r="G506">
        <v>504</v>
      </c>
      <c r="H506">
        <v>1069</v>
      </c>
      <c r="I506">
        <v>978</v>
      </c>
      <c r="J506">
        <v>167</v>
      </c>
    </row>
    <row r="507" spans="1:10">
      <c r="A507">
        <v>3312</v>
      </c>
      <c r="B507" t="s">
        <v>5380</v>
      </c>
      <c r="C507">
        <v>11.18</v>
      </c>
      <c r="D507">
        <v>4.46</v>
      </c>
      <c r="E507">
        <v>0.01</v>
      </c>
      <c r="F507">
        <v>0</v>
      </c>
      <c r="G507">
        <v>506</v>
      </c>
      <c r="H507">
        <v>810</v>
      </c>
      <c r="I507">
        <v>1110</v>
      </c>
      <c r="J507" t="s">
        <v>6289</v>
      </c>
    </row>
    <row r="508" spans="1:10">
      <c r="A508">
        <v>8930</v>
      </c>
      <c r="B508" t="s">
        <v>6168</v>
      </c>
      <c r="C508">
        <v>11.17</v>
      </c>
      <c r="D508">
        <v>2.61</v>
      </c>
      <c r="E508">
        <v>0</v>
      </c>
      <c r="F508">
        <v>0</v>
      </c>
      <c r="G508">
        <v>507</v>
      </c>
      <c r="H508">
        <v>957</v>
      </c>
      <c r="I508" t="s">
        <v>6289</v>
      </c>
      <c r="J508" t="s">
        <v>6289</v>
      </c>
    </row>
    <row r="509" spans="1:10">
      <c r="A509">
        <v>5474</v>
      </c>
      <c r="B509" t="s">
        <v>5703</v>
      </c>
      <c r="C509">
        <v>11.15</v>
      </c>
      <c r="D509">
        <v>3.11</v>
      </c>
      <c r="E509">
        <v>0.17</v>
      </c>
      <c r="F509">
        <v>0</v>
      </c>
      <c r="G509">
        <v>508</v>
      </c>
      <c r="H509">
        <v>908</v>
      </c>
      <c r="I509">
        <v>598</v>
      </c>
      <c r="J509" t="s">
        <v>6289</v>
      </c>
    </row>
    <row r="510" spans="1:10">
      <c r="A510">
        <v>3666</v>
      </c>
      <c r="B510" t="s">
        <v>5486</v>
      </c>
      <c r="C510">
        <v>11.14</v>
      </c>
      <c r="D510">
        <v>4.88</v>
      </c>
      <c r="E510">
        <v>0.32</v>
      </c>
      <c r="F510">
        <v>0</v>
      </c>
      <c r="G510">
        <v>509</v>
      </c>
      <c r="H510">
        <v>782</v>
      </c>
      <c r="I510">
        <v>447</v>
      </c>
      <c r="J510" t="s">
        <v>6289</v>
      </c>
    </row>
    <row r="511" spans="1:10">
      <c r="A511">
        <v>3013</v>
      </c>
      <c r="B511" t="s">
        <v>5276</v>
      </c>
      <c r="C511">
        <v>11.13</v>
      </c>
      <c r="D511">
        <v>1.47</v>
      </c>
      <c r="E511">
        <v>0.05</v>
      </c>
      <c r="F511">
        <v>0</v>
      </c>
      <c r="G511">
        <v>510</v>
      </c>
      <c r="H511">
        <v>1113</v>
      </c>
      <c r="I511">
        <v>896</v>
      </c>
      <c r="J511" t="s">
        <v>6289</v>
      </c>
    </row>
    <row r="512" spans="1:10">
      <c r="A512">
        <v>3512</v>
      </c>
      <c r="B512" t="s">
        <v>6147</v>
      </c>
      <c r="C512">
        <v>11.13</v>
      </c>
      <c r="D512">
        <v>0.12</v>
      </c>
      <c r="E512">
        <v>0</v>
      </c>
      <c r="F512">
        <v>0</v>
      </c>
      <c r="G512">
        <v>510</v>
      </c>
      <c r="H512">
        <v>1442</v>
      </c>
      <c r="I512" t="s">
        <v>6289</v>
      </c>
      <c r="J512" t="s">
        <v>6289</v>
      </c>
    </row>
    <row r="513" spans="1:10">
      <c r="A513">
        <v>2374</v>
      </c>
      <c r="B513" t="s">
        <v>5077</v>
      </c>
      <c r="C513">
        <v>11.12</v>
      </c>
      <c r="D513">
        <v>6.49</v>
      </c>
      <c r="E513">
        <v>1.03</v>
      </c>
      <c r="F513">
        <v>0</v>
      </c>
      <c r="G513">
        <v>512</v>
      </c>
      <c r="H513">
        <v>675</v>
      </c>
      <c r="I513">
        <v>169</v>
      </c>
      <c r="J513" t="s">
        <v>6289</v>
      </c>
    </row>
    <row r="514" spans="1:10">
      <c r="A514">
        <v>6756</v>
      </c>
      <c r="B514" t="s">
        <v>5950</v>
      </c>
      <c r="C514">
        <v>11.12</v>
      </c>
      <c r="D514">
        <v>5.67</v>
      </c>
      <c r="E514">
        <v>0.02</v>
      </c>
      <c r="F514">
        <v>0</v>
      </c>
      <c r="G514">
        <v>512</v>
      </c>
      <c r="H514">
        <v>720</v>
      </c>
      <c r="I514">
        <v>1051</v>
      </c>
      <c r="J514" t="s">
        <v>6289</v>
      </c>
    </row>
    <row r="515" spans="1:10">
      <c r="A515">
        <v>4763</v>
      </c>
      <c r="B515" t="s">
        <v>5604</v>
      </c>
      <c r="C515">
        <v>11.09</v>
      </c>
      <c r="D515">
        <v>66.23</v>
      </c>
      <c r="E515">
        <v>0.02</v>
      </c>
      <c r="F515">
        <v>0</v>
      </c>
      <c r="G515">
        <v>514</v>
      </c>
      <c r="H515">
        <v>32</v>
      </c>
      <c r="I515">
        <v>1051</v>
      </c>
      <c r="J515" t="s">
        <v>6289</v>
      </c>
    </row>
    <row r="516" spans="1:10">
      <c r="A516">
        <v>2613</v>
      </c>
      <c r="B516" t="s">
        <v>5195</v>
      </c>
      <c r="C516">
        <v>11.08</v>
      </c>
      <c r="D516">
        <v>0.72</v>
      </c>
      <c r="E516">
        <v>0.49</v>
      </c>
      <c r="F516">
        <v>0</v>
      </c>
      <c r="G516">
        <v>515</v>
      </c>
      <c r="H516">
        <v>1263</v>
      </c>
      <c r="I516">
        <v>324</v>
      </c>
      <c r="J516" t="s">
        <v>6289</v>
      </c>
    </row>
    <row r="517" spans="1:10">
      <c r="A517">
        <v>3669</v>
      </c>
      <c r="B517" t="s">
        <v>5487</v>
      </c>
      <c r="C517">
        <v>11.06</v>
      </c>
      <c r="D517">
        <v>0.68</v>
      </c>
      <c r="E517">
        <v>0.31</v>
      </c>
      <c r="F517">
        <v>0.45</v>
      </c>
      <c r="G517">
        <v>516</v>
      </c>
      <c r="H517">
        <v>1276</v>
      </c>
      <c r="I517">
        <v>459</v>
      </c>
      <c r="J517">
        <v>262</v>
      </c>
    </row>
    <row r="518" spans="1:10">
      <c r="A518">
        <v>8021</v>
      </c>
      <c r="B518" t="s">
        <v>5957</v>
      </c>
      <c r="C518">
        <v>11.06</v>
      </c>
      <c r="D518">
        <v>9.2100000000000009</v>
      </c>
      <c r="E518">
        <v>0.08</v>
      </c>
      <c r="F518">
        <v>0</v>
      </c>
      <c r="G518">
        <v>516</v>
      </c>
      <c r="H518">
        <v>532</v>
      </c>
      <c r="I518">
        <v>789</v>
      </c>
      <c r="J518" t="s">
        <v>6289</v>
      </c>
    </row>
    <row r="519" spans="1:10">
      <c r="A519">
        <v>3551</v>
      </c>
      <c r="B519" t="s">
        <v>5450</v>
      </c>
      <c r="C519">
        <v>11.04</v>
      </c>
      <c r="D519">
        <v>5.58</v>
      </c>
      <c r="E519">
        <v>0.65</v>
      </c>
      <c r="F519">
        <v>0.57999999999999996</v>
      </c>
      <c r="G519">
        <v>518</v>
      </c>
      <c r="H519">
        <v>730</v>
      </c>
      <c r="I519">
        <v>266</v>
      </c>
      <c r="J519">
        <v>245</v>
      </c>
    </row>
    <row r="520" spans="1:10">
      <c r="A520">
        <v>6224</v>
      </c>
      <c r="B520" t="s">
        <v>5824</v>
      </c>
      <c r="C520">
        <v>11.04</v>
      </c>
      <c r="D520">
        <v>8.24</v>
      </c>
      <c r="E520">
        <v>0.04</v>
      </c>
      <c r="F520">
        <v>0</v>
      </c>
      <c r="G520">
        <v>518</v>
      </c>
      <c r="H520">
        <v>575</v>
      </c>
      <c r="I520">
        <v>936</v>
      </c>
      <c r="J520" t="s">
        <v>6289</v>
      </c>
    </row>
    <row r="521" spans="1:10">
      <c r="A521">
        <v>4173</v>
      </c>
      <c r="B521" t="s">
        <v>5542</v>
      </c>
      <c r="C521">
        <v>10.95</v>
      </c>
      <c r="D521">
        <v>0.47</v>
      </c>
      <c r="E521">
        <v>0</v>
      </c>
      <c r="F521">
        <v>0</v>
      </c>
      <c r="G521">
        <v>520</v>
      </c>
      <c r="H521">
        <v>1336</v>
      </c>
      <c r="I521" t="s">
        <v>6289</v>
      </c>
      <c r="J521" t="s">
        <v>6289</v>
      </c>
    </row>
    <row r="522" spans="1:10">
      <c r="A522">
        <v>6175</v>
      </c>
      <c r="B522" t="s">
        <v>5789</v>
      </c>
      <c r="C522">
        <v>10.94</v>
      </c>
      <c r="D522">
        <v>16.97</v>
      </c>
      <c r="E522">
        <v>0</v>
      </c>
      <c r="F522">
        <v>0</v>
      </c>
      <c r="G522">
        <v>521</v>
      </c>
      <c r="H522">
        <v>329</v>
      </c>
      <c r="I522" t="s">
        <v>6289</v>
      </c>
      <c r="J522" t="s">
        <v>6289</v>
      </c>
    </row>
    <row r="523" spans="1:10">
      <c r="A523">
        <v>6442</v>
      </c>
      <c r="B523" t="s">
        <v>5876</v>
      </c>
      <c r="C523">
        <v>10.94</v>
      </c>
      <c r="D523">
        <v>33.15</v>
      </c>
      <c r="E523">
        <v>0.02</v>
      </c>
      <c r="F523">
        <v>0</v>
      </c>
      <c r="G523">
        <v>521</v>
      </c>
      <c r="H523">
        <v>154</v>
      </c>
      <c r="I523">
        <v>1051</v>
      </c>
      <c r="J523" t="s">
        <v>6289</v>
      </c>
    </row>
    <row r="524" spans="1:10">
      <c r="A524">
        <v>2640</v>
      </c>
      <c r="B524" t="s">
        <v>6308</v>
      </c>
      <c r="C524">
        <v>10.89</v>
      </c>
      <c r="D524">
        <v>5.73</v>
      </c>
      <c r="E524">
        <v>0.01</v>
      </c>
      <c r="F524">
        <v>0.69</v>
      </c>
      <c r="G524">
        <v>523</v>
      </c>
      <c r="H524">
        <v>718</v>
      </c>
      <c r="I524">
        <v>1110</v>
      </c>
      <c r="J524">
        <v>233</v>
      </c>
    </row>
    <row r="525" spans="1:10">
      <c r="A525">
        <v>4406</v>
      </c>
      <c r="B525" t="s">
        <v>5550</v>
      </c>
      <c r="C525">
        <v>10.88</v>
      </c>
      <c r="D525">
        <v>0.62</v>
      </c>
      <c r="E525">
        <v>0.08</v>
      </c>
      <c r="F525">
        <v>0</v>
      </c>
      <c r="G525">
        <v>524</v>
      </c>
      <c r="H525">
        <v>1291</v>
      </c>
      <c r="I525">
        <v>789</v>
      </c>
      <c r="J525" t="s">
        <v>6289</v>
      </c>
    </row>
    <row r="526" spans="1:10">
      <c r="A526">
        <v>5905</v>
      </c>
      <c r="B526" t="s">
        <v>5737</v>
      </c>
      <c r="C526">
        <v>10.86</v>
      </c>
      <c r="D526">
        <v>1.27</v>
      </c>
      <c r="E526">
        <v>0.21</v>
      </c>
      <c r="F526">
        <v>0</v>
      </c>
      <c r="G526">
        <v>525</v>
      </c>
      <c r="H526">
        <v>1156</v>
      </c>
      <c r="I526">
        <v>550</v>
      </c>
      <c r="J526" t="s">
        <v>6289</v>
      </c>
    </row>
    <row r="527" spans="1:10">
      <c r="A527">
        <v>1453</v>
      </c>
      <c r="B527" t="s">
        <v>4851</v>
      </c>
      <c r="C527">
        <v>10.85</v>
      </c>
      <c r="D527">
        <v>0.48</v>
      </c>
      <c r="E527">
        <v>0.03</v>
      </c>
      <c r="F527">
        <v>0</v>
      </c>
      <c r="G527">
        <v>526</v>
      </c>
      <c r="H527">
        <v>1331</v>
      </c>
      <c r="I527">
        <v>978</v>
      </c>
      <c r="J527" t="s">
        <v>6289</v>
      </c>
    </row>
    <row r="528" spans="1:10">
      <c r="A528">
        <v>3526</v>
      </c>
      <c r="B528" t="s">
        <v>5434</v>
      </c>
      <c r="C528">
        <v>10.85</v>
      </c>
      <c r="D528">
        <v>3.77</v>
      </c>
      <c r="E528">
        <v>1.84</v>
      </c>
      <c r="F528">
        <v>4.2699999999999996</v>
      </c>
      <c r="G528">
        <v>526</v>
      </c>
      <c r="H528">
        <v>847</v>
      </c>
      <c r="I528">
        <v>84</v>
      </c>
      <c r="J528">
        <v>66</v>
      </c>
    </row>
    <row r="529" spans="1:10">
      <c r="A529">
        <v>3607</v>
      </c>
      <c r="B529" t="s">
        <v>5468</v>
      </c>
      <c r="C529">
        <v>10.83</v>
      </c>
      <c r="D529">
        <v>4.93</v>
      </c>
      <c r="E529">
        <v>0.08</v>
      </c>
      <c r="F529">
        <v>0</v>
      </c>
      <c r="G529">
        <v>528</v>
      </c>
      <c r="H529">
        <v>778</v>
      </c>
      <c r="I529">
        <v>789</v>
      </c>
      <c r="J529" t="s">
        <v>6289</v>
      </c>
    </row>
    <row r="530" spans="1:10">
      <c r="A530">
        <v>3625</v>
      </c>
      <c r="B530" t="s">
        <v>5476</v>
      </c>
      <c r="C530">
        <v>10.82</v>
      </c>
      <c r="D530">
        <v>6.6</v>
      </c>
      <c r="E530">
        <v>0</v>
      </c>
      <c r="F530">
        <v>0</v>
      </c>
      <c r="G530">
        <v>529</v>
      </c>
      <c r="H530">
        <v>663</v>
      </c>
      <c r="I530" t="s">
        <v>6289</v>
      </c>
      <c r="J530" t="s">
        <v>6289</v>
      </c>
    </row>
    <row r="531" spans="1:10">
      <c r="A531">
        <v>2534</v>
      </c>
      <c r="B531" t="s">
        <v>5172</v>
      </c>
      <c r="C531">
        <v>10.8</v>
      </c>
      <c r="D531">
        <v>8.84</v>
      </c>
      <c r="E531">
        <v>0.23</v>
      </c>
      <c r="F531">
        <v>0</v>
      </c>
      <c r="G531">
        <v>530</v>
      </c>
      <c r="H531">
        <v>549</v>
      </c>
      <c r="I531">
        <v>526</v>
      </c>
      <c r="J531" t="s">
        <v>6289</v>
      </c>
    </row>
    <row r="532" spans="1:10">
      <c r="A532">
        <v>6530</v>
      </c>
      <c r="B532" t="s">
        <v>6309</v>
      </c>
      <c r="C532">
        <v>10.79</v>
      </c>
      <c r="D532">
        <v>0.96</v>
      </c>
      <c r="E532">
        <v>0.04</v>
      </c>
      <c r="F532">
        <v>0</v>
      </c>
      <c r="G532">
        <v>531</v>
      </c>
      <c r="H532">
        <v>1213</v>
      </c>
      <c r="I532">
        <v>936</v>
      </c>
      <c r="J532" t="s">
        <v>6289</v>
      </c>
    </row>
    <row r="533" spans="1:10">
      <c r="A533">
        <v>3083</v>
      </c>
      <c r="B533" t="s">
        <v>5318</v>
      </c>
      <c r="C533">
        <v>10.76</v>
      </c>
      <c r="D533">
        <v>0.3</v>
      </c>
      <c r="E533">
        <v>0.46</v>
      </c>
      <c r="F533">
        <v>0.66</v>
      </c>
      <c r="G533">
        <v>532</v>
      </c>
      <c r="H533">
        <v>1385</v>
      </c>
      <c r="I533">
        <v>337</v>
      </c>
      <c r="J533">
        <v>237</v>
      </c>
    </row>
    <row r="534" spans="1:10">
      <c r="A534">
        <v>2537</v>
      </c>
      <c r="B534" t="s">
        <v>5175</v>
      </c>
      <c r="C534">
        <v>10.73</v>
      </c>
      <c r="D534">
        <v>8.77</v>
      </c>
      <c r="E534">
        <v>0.11</v>
      </c>
      <c r="F534">
        <v>0</v>
      </c>
      <c r="G534">
        <v>533</v>
      </c>
      <c r="H534">
        <v>555</v>
      </c>
      <c r="I534">
        <v>708</v>
      </c>
      <c r="J534" t="s">
        <v>6289</v>
      </c>
    </row>
    <row r="535" spans="1:10">
      <c r="A535">
        <v>2313</v>
      </c>
      <c r="B535" t="s">
        <v>5040</v>
      </c>
      <c r="C535">
        <v>10.68</v>
      </c>
      <c r="D535">
        <v>26.05</v>
      </c>
      <c r="E535">
        <v>1.3</v>
      </c>
      <c r="F535">
        <v>3.08</v>
      </c>
      <c r="G535">
        <v>534</v>
      </c>
      <c r="H535">
        <v>208</v>
      </c>
      <c r="I535">
        <v>131</v>
      </c>
      <c r="J535">
        <v>86</v>
      </c>
    </row>
    <row r="536" spans="1:10">
      <c r="A536">
        <v>6207</v>
      </c>
      <c r="B536" t="s">
        <v>5812</v>
      </c>
      <c r="C536">
        <v>10.68</v>
      </c>
      <c r="D536">
        <v>1.84</v>
      </c>
      <c r="E536">
        <v>0.24</v>
      </c>
      <c r="F536">
        <v>0</v>
      </c>
      <c r="G536">
        <v>534</v>
      </c>
      <c r="H536">
        <v>1055</v>
      </c>
      <c r="I536">
        <v>514</v>
      </c>
      <c r="J536" t="s">
        <v>6289</v>
      </c>
    </row>
    <row r="537" spans="1:10">
      <c r="A537">
        <v>5481</v>
      </c>
      <c r="B537" t="s">
        <v>5705</v>
      </c>
      <c r="C537">
        <v>10.66</v>
      </c>
      <c r="D537">
        <v>26.5</v>
      </c>
      <c r="E537">
        <v>0.04</v>
      </c>
      <c r="F537">
        <v>0</v>
      </c>
      <c r="G537">
        <v>536</v>
      </c>
      <c r="H537">
        <v>204</v>
      </c>
      <c r="I537">
        <v>936</v>
      </c>
      <c r="J537" t="s">
        <v>6289</v>
      </c>
    </row>
    <row r="538" spans="1:10">
      <c r="A538">
        <v>5469</v>
      </c>
      <c r="B538" t="s">
        <v>5701</v>
      </c>
      <c r="C538">
        <v>10.65</v>
      </c>
      <c r="D538">
        <v>11.29</v>
      </c>
      <c r="E538">
        <v>0.03</v>
      </c>
      <c r="F538">
        <v>0.37</v>
      </c>
      <c r="G538">
        <v>537</v>
      </c>
      <c r="H538">
        <v>450</v>
      </c>
      <c r="I538">
        <v>978</v>
      </c>
      <c r="J538">
        <v>278</v>
      </c>
    </row>
    <row r="539" spans="1:10">
      <c r="A539">
        <v>6114</v>
      </c>
      <c r="B539" t="s">
        <v>5749</v>
      </c>
      <c r="C539">
        <v>10.64</v>
      </c>
      <c r="D539">
        <v>0.41</v>
      </c>
      <c r="E539">
        <v>0</v>
      </c>
      <c r="F539">
        <v>0</v>
      </c>
      <c r="G539">
        <v>538</v>
      </c>
      <c r="H539">
        <v>1351</v>
      </c>
      <c r="I539" t="s">
        <v>6289</v>
      </c>
      <c r="J539" t="s">
        <v>6289</v>
      </c>
    </row>
    <row r="540" spans="1:10">
      <c r="A540">
        <v>6288</v>
      </c>
      <c r="B540" t="s">
        <v>5860</v>
      </c>
      <c r="C540">
        <v>10.59</v>
      </c>
      <c r="D540">
        <v>0.7</v>
      </c>
      <c r="E540">
        <v>0.43</v>
      </c>
      <c r="F540">
        <v>0.56000000000000005</v>
      </c>
      <c r="G540">
        <v>539</v>
      </c>
      <c r="H540">
        <v>1270</v>
      </c>
      <c r="I540">
        <v>355</v>
      </c>
      <c r="J540">
        <v>248</v>
      </c>
    </row>
    <row r="541" spans="1:10">
      <c r="A541">
        <v>3479</v>
      </c>
      <c r="B541" t="s">
        <v>5418</v>
      </c>
      <c r="C541">
        <v>10.57</v>
      </c>
      <c r="D541">
        <v>4</v>
      </c>
      <c r="E541">
        <v>0.49</v>
      </c>
      <c r="F541">
        <v>1.27</v>
      </c>
      <c r="G541">
        <v>540</v>
      </c>
      <c r="H541">
        <v>835</v>
      </c>
      <c r="I541">
        <v>324</v>
      </c>
      <c r="J541">
        <v>175</v>
      </c>
    </row>
    <row r="542" spans="1:10">
      <c r="A542">
        <v>2009</v>
      </c>
      <c r="B542" t="s">
        <v>4981</v>
      </c>
      <c r="C542">
        <v>10.54</v>
      </c>
      <c r="D542">
        <v>0.91</v>
      </c>
      <c r="E542">
        <v>0.69</v>
      </c>
      <c r="F542">
        <v>0</v>
      </c>
      <c r="G542">
        <v>541</v>
      </c>
      <c r="H542">
        <v>1224</v>
      </c>
      <c r="I542">
        <v>256</v>
      </c>
      <c r="J542" t="s">
        <v>6289</v>
      </c>
    </row>
    <row r="543" spans="1:10">
      <c r="A543">
        <v>2034</v>
      </c>
      <c r="B543" t="s">
        <v>4998</v>
      </c>
      <c r="C543">
        <v>10.51</v>
      </c>
      <c r="D543">
        <v>8.89</v>
      </c>
      <c r="E543">
        <v>0.05</v>
      </c>
      <c r="F543">
        <v>0.87</v>
      </c>
      <c r="G543">
        <v>542</v>
      </c>
      <c r="H543">
        <v>548</v>
      </c>
      <c r="I543">
        <v>896</v>
      </c>
      <c r="J543">
        <v>201</v>
      </c>
    </row>
    <row r="544" spans="1:10">
      <c r="A544">
        <v>8436</v>
      </c>
      <c r="B544" t="s">
        <v>6034</v>
      </c>
      <c r="C544">
        <v>10.47</v>
      </c>
      <c r="D544">
        <v>31.53</v>
      </c>
      <c r="E544">
        <v>0.72</v>
      </c>
      <c r="F544">
        <v>0.28000000000000003</v>
      </c>
      <c r="G544">
        <v>543</v>
      </c>
      <c r="H544">
        <v>167</v>
      </c>
      <c r="I544">
        <v>243</v>
      </c>
      <c r="J544">
        <v>305</v>
      </c>
    </row>
    <row r="545" spans="1:10">
      <c r="A545">
        <v>1217</v>
      </c>
      <c r="B545" t="s">
        <v>4788</v>
      </c>
      <c r="C545">
        <v>10.45</v>
      </c>
      <c r="D545">
        <v>5.52</v>
      </c>
      <c r="E545">
        <v>0.02</v>
      </c>
      <c r="F545">
        <v>0</v>
      </c>
      <c r="G545">
        <v>544</v>
      </c>
      <c r="H545">
        <v>731</v>
      </c>
      <c r="I545">
        <v>1051</v>
      </c>
      <c r="J545" t="s">
        <v>6289</v>
      </c>
    </row>
    <row r="546" spans="1:10">
      <c r="A546">
        <v>3071</v>
      </c>
      <c r="B546" t="s">
        <v>5315</v>
      </c>
      <c r="C546">
        <v>10.44</v>
      </c>
      <c r="D546">
        <v>2.13</v>
      </c>
      <c r="E546">
        <v>0.06</v>
      </c>
      <c r="F546">
        <v>0.12</v>
      </c>
      <c r="G546">
        <v>545</v>
      </c>
      <c r="H546">
        <v>1009</v>
      </c>
      <c r="I546">
        <v>852</v>
      </c>
      <c r="J546">
        <v>362</v>
      </c>
    </row>
    <row r="547" spans="1:10">
      <c r="A547">
        <v>6202</v>
      </c>
      <c r="B547" t="s">
        <v>5808</v>
      </c>
      <c r="C547">
        <v>10.41</v>
      </c>
      <c r="D547">
        <v>17.05</v>
      </c>
      <c r="E547">
        <v>0.1</v>
      </c>
      <c r="F547">
        <v>0.12</v>
      </c>
      <c r="G547">
        <v>546</v>
      </c>
      <c r="H547">
        <v>327</v>
      </c>
      <c r="I547">
        <v>734</v>
      </c>
      <c r="J547">
        <v>362</v>
      </c>
    </row>
    <row r="548" spans="1:10">
      <c r="A548">
        <v>3078</v>
      </c>
      <c r="B548" t="s">
        <v>5316</v>
      </c>
      <c r="C548">
        <v>10.4</v>
      </c>
      <c r="D548">
        <v>0.04</v>
      </c>
      <c r="E548">
        <v>0.74</v>
      </c>
      <c r="F548">
        <v>0</v>
      </c>
      <c r="G548">
        <v>547</v>
      </c>
      <c r="H548">
        <v>1462</v>
      </c>
      <c r="I548">
        <v>233</v>
      </c>
      <c r="J548" t="s">
        <v>6289</v>
      </c>
    </row>
    <row r="549" spans="1:10">
      <c r="A549">
        <v>3311</v>
      </c>
      <c r="B549" t="s">
        <v>5379</v>
      </c>
      <c r="C549">
        <v>10.4</v>
      </c>
      <c r="D549">
        <v>0.55000000000000004</v>
      </c>
      <c r="E549">
        <v>0.12</v>
      </c>
      <c r="F549">
        <v>0</v>
      </c>
      <c r="G549">
        <v>547</v>
      </c>
      <c r="H549">
        <v>1308</v>
      </c>
      <c r="I549">
        <v>683</v>
      </c>
      <c r="J549" t="s">
        <v>6289</v>
      </c>
    </row>
    <row r="550" spans="1:10">
      <c r="A550">
        <v>6425</v>
      </c>
      <c r="B550" t="s">
        <v>6204</v>
      </c>
      <c r="C550">
        <v>10.39</v>
      </c>
      <c r="D550">
        <v>0.15</v>
      </c>
      <c r="E550">
        <v>0</v>
      </c>
      <c r="F550">
        <v>0</v>
      </c>
      <c r="G550">
        <v>549</v>
      </c>
      <c r="H550">
        <v>1430</v>
      </c>
      <c r="I550" t="s">
        <v>6289</v>
      </c>
      <c r="J550" t="s">
        <v>6289</v>
      </c>
    </row>
    <row r="551" spans="1:10">
      <c r="A551">
        <v>2439</v>
      </c>
      <c r="B551" t="s">
        <v>5117</v>
      </c>
      <c r="C551">
        <v>10.38</v>
      </c>
      <c r="D551">
        <v>10.47</v>
      </c>
      <c r="E551">
        <v>5.38</v>
      </c>
      <c r="F551">
        <v>0.01</v>
      </c>
      <c r="G551">
        <v>550</v>
      </c>
      <c r="H551">
        <v>481</v>
      </c>
      <c r="I551">
        <v>17</v>
      </c>
      <c r="J551">
        <v>491</v>
      </c>
    </row>
    <row r="552" spans="1:10">
      <c r="A552">
        <v>5864</v>
      </c>
      <c r="B552" t="s">
        <v>5730</v>
      </c>
      <c r="C552">
        <v>10.38</v>
      </c>
      <c r="D552">
        <v>0.38</v>
      </c>
      <c r="E552">
        <v>0</v>
      </c>
      <c r="F552">
        <v>0</v>
      </c>
      <c r="G552">
        <v>550</v>
      </c>
      <c r="H552">
        <v>1364</v>
      </c>
      <c r="I552" t="s">
        <v>6289</v>
      </c>
      <c r="J552" t="s">
        <v>6289</v>
      </c>
    </row>
    <row r="553" spans="1:10">
      <c r="A553">
        <v>6116</v>
      </c>
      <c r="B553" t="s">
        <v>5751</v>
      </c>
      <c r="C553">
        <v>10.37</v>
      </c>
      <c r="D553">
        <v>7.18</v>
      </c>
      <c r="E553">
        <v>2.41</v>
      </c>
      <c r="F553">
        <v>0.03</v>
      </c>
      <c r="G553">
        <v>552</v>
      </c>
      <c r="H553">
        <v>627</v>
      </c>
      <c r="I553">
        <v>62</v>
      </c>
      <c r="J553">
        <v>458</v>
      </c>
    </row>
    <row r="554" spans="1:10">
      <c r="A554">
        <v>2332</v>
      </c>
      <c r="B554" t="s">
        <v>5050</v>
      </c>
      <c r="C554">
        <v>10.33</v>
      </c>
      <c r="D554">
        <v>7.49</v>
      </c>
      <c r="E554">
        <v>7.0000000000000007E-2</v>
      </c>
      <c r="F554">
        <v>0</v>
      </c>
      <c r="G554">
        <v>553</v>
      </c>
      <c r="H554">
        <v>604</v>
      </c>
      <c r="I554">
        <v>824</v>
      </c>
      <c r="J554" t="s">
        <v>6289</v>
      </c>
    </row>
    <row r="555" spans="1:10">
      <c r="A555">
        <v>3630</v>
      </c>
      <c r="B555" t="s">
        <v>5478</v>
      </c>
      <c r="C555">
        <v>10.33</v>
      </c>
      <c r="D555">
        <v>35.56</v>
      </c>
      <c r="E555">
        <v>0.35</v>
      </c>
      <c r="F555">
        <v>0</v>
      </c>
      <c r="G555">
        <v>553</v>
      </c>
      <c r="H555">
        <v>141</v>
      </c>
      <c r="I555">
        <v>414</v>
      </c>
      <c r="J555" t="s">
        <v>6289</v>
      </c>
    </row>
    <row r="556" spans="1:10">
      <c r="A556">
        <v>2901</v>
      </c>
      <c r="B556" t="s">
        <v>5253</v>
      </c>
      <c r="C556">
        <v>10.32</v>
      </c>
      <c r="D556">
        <v>0.15</v>
      </c>
      <c r="E556">
        <v>0.03</v>
      </c>
      <c r="F556">
        <v>0</v>
      </c>
      <c r="G556">
        <v>555</v>
      </c>
      <c r="H556">
        <v>1430</v>
      </c>
      <c r="I556">
        <v>978</v>
      </c>
      <c r="J556" t="s">
        <v>6289</v>
      </c>
    </row>
    <row r="557" spans="1:10">
      <c r="A557">
        <v>5211</v>
      </c>
      <c r="B557" t="s">
        <v>5652</v>
      </c>
      <c r="C557">
        <v>10.32</v>
      </c>
      <c r="D557">
        <v>9.01</v>
      </c>
      <c r="E557">
        <v>0</v>
      </c>
      <c r="F557">
        <v>0</v>
      </c>
      <c r="G557">
        <v>555</v>
      </c>
      <c r="H557">
        <v>541</v>
      </c>
      <c r="I557" t="s">
        <v>6289</v>
      </c>
      <c r="J557" t="s">
        <v>6289</v>
      </c>
    </row>
    <row r="558" spans="1:10">
      <c r="A558">
        <v>2643</v>
      </c>
      <c r="B558" t="s">
        <v>5207</v>
      </c>
      <c r="C558">
        <v>10.31</v>
      </c>
      <c r="D558">
        <v>1.1000000000000001</v>
      </c>
      <c r="E558">
        <v>0.35</v>
      </c>
      <c r="F558">
        <v>0</v>
      </c>
      <c r="G558">
        <v>557</v>
      </c>
      <c r="H558">
        <v>1188</v>
      </c>
      <c r="I558">
        <v>414</v>
      </c>
      <c r="J558" t="s">
        <v>6289</v>
      </c>
    </row>
    <row r="559" spans="1:10">
      <c r="A559">
        <v>1626</v>
      </c>
      <c r="B559" t="s">
        <v>4924</v>
      </c>
      <c r="C559">
        <v>10.3</v>
      </c>
      <c r="D559">
        <v>44.12</v>
      </c>
      <c r="E559">
        <v>7.0000000000000007E-2</v>
      </c>
      <c r="F559">
        <v>0</v>
      </c>
      <c r="G559">
        <v>558</v>
      </c>
      <c r="H559">
        <v>95</v>
      </c>
      <c r="I559">
        <v>824</v>
      </c>
      <c r="J559" t="s">
        <v>6289</v>
      </c>
    </row>
    <row r="560" spans="1:10">
      <c r="A560">
        <v>1219</v>
      </c>
      <c r="B560" t="s">
        <v>4790</v>
      </c>
      <c r="C560">
        <v>10.24</v>
      </c>
      <c r="D560">
        <v>3.48</v>
      </c>
      <c r="E560">
        <v>0.02</v>
      </c>
      <c r="F560">
        <v>0</v>
      </c>
      <c r="G560">
        <v>559</v>
      </c>
      <c r="H560">
        <v>871</v>
      </c>
      <c r="I560">
        <v>1051</v>
      </c>
      <c r="J560" t="s">
        <v>6289</v>
      </c>
    </row>
    <row r="561" spans="1:10">
      <c r="A561">
        <v>3049</v>
      </c>
      <c r="B561" t="s">
        <v>5306</v>
      </c>
      <c r="C561">
        <v>10.23</v>
      </c>
      <c r="D561">
        <v>6.25</v>
      </c>
      <c r="E561">
        <v>0</v>
      </c>
      <c r="F561">
        <v>0.01</v>
      </c>
      <c r="G561">
        <v>560</v>
      </c>
      <c r="H561">
        <v>685</v>
      </c>
      <c r="I561" t="s">
        <v>6289</v>
      </c>
      <c r="J561">
        <v>491</v>
      </c>
    </row>
    <row r="562" spans="1:10">
      <c r="A562">
        <v>3541</v>
      </c>
      <c r="B562" t="s">
        <v>5444</v>
      </c>
      <c r="C562">
        <v>10.23</v>
      </c>
      <c r="D562">
        <v>5.65</v>
      </c>
      <c r="E562">
        <v>0.56000000000000005</v>
      </c>
      <c r="F562">
        <v>0.04</v>
      </c>
      <c r="G562">
        <v>560</v>
      </c>
      <c r="H562">
        <v>722</v>
      </c>
      <c r="I562">
        <v>296</v>
      </c>
      <c r="J562">
        <v>437</v>
      </c>
    </row>
    <row r="563" spans="1:10">
      <c r="A563">
        <v>3693</v>
      </c>
      <c r="B563" t="s">
        <v>5497</v>
      </c>
      <c r="C563">
        <v>10.23</v>
      </c>
      <c r="D563">
        <v>1.1599999999999999</v>
      </c>
      <c r="E563">
        <v>1.04</v>
      </c>
      <c r="F563">
        <v>0</v>
      </c>
      <c r="G563">
        <v>560</v>
      </c>
      <c r="H563">
        <v>1180</v>
      </c>
      <c r="I563">
        <v>168</v>
      </c>
      <c r="J563" t="s">
        <v>6289</v>
      </c>
    </row>
    <row r="564" spans="1:10">
      <c r="A564">
        <v>1570</v>
      </c>
      <c r="B564" t="s">
        <v>4898</v>
      </c>
      <c r="C564">
        <v>10.210000000000001</v>
      </c>
      <c r="D564">
        <v>3.84</v>
      </c>
      <c r="E564">
        <v>0</v>
      </c>
      <c r="F564">
        <v>0.85</v>
      </c>
      <c r="G564">
        <v>563</v>
      </c>
      <c r="H564">
        <v>843</v>
      </c>
      <c r="I564" t="s">
        <v>6289</v>
      </c>
      <c r="J564">
        <v>207</v>
      </c>
    </row>
    <row r="565" spans="1:10">
      <c r="A565">
        <v>2033</v>
      </c>
      <c r="B565" t="s">
        <v>4997</v>
      </c>
      <c r="C565">
        <v>10.210000000000001</v>
      </c>
      <c r="D565">
        <v>0.25</v>
      </c>
      <c r="E565">
        <v>0.11</v>
      </c>
      <c r="F565">
        <v>0</v>
      </c>
      <c r="G565">
        <v>563</v>
      </c>
      <c r="H565">
        <v>1399</v>
      </c>
      <c r="I565">
        <v>708</v>
      </c>
      <c r="J565" t="s">
        <v>6289</v>
      </c>
    </row>
    <row r="566" spans="1:10">
      <c r="A566">
        <v>2337</v>
      </c>
      <c r="B566" t="s">
        <v>5051</v>
      </c>
      <c r="C566">
        <v>10.19</v>
      </c>
      <c r="D566">
        <v>23.97</v>
      </c>
      <c r="E566">
        <v>1.51</v>
      </c>
      <c r="F566">
        <v>2.52</v>
      </c>
      <c r="G566">
        <v>565</v>
      </c>
      <c r="H566">
        <v>229</v>
      </c>
      <c r="I566">
        <v>104</v>
      </c>
      <c r="J566">
        <v>103</v>
      </c>
    </row>
    <row r="567" spans="1:10">
      <c r="A567">
        <v>6418</v>
      </c>
      <c r="B567" t="s">
        <v>5870</v>
      </c>
      <c r="C567">
        <v>10.19</v>
      </c>
      <c r="D567">
        <v>0</v>
      </c>
      <c r="E567">
        <v>0</v>
      </c>
      <c r="F567">
        <v>0</v>
      </c>
      <c r="G567">
        <v>565</v>
      </c>
      <c r="H567" t="s">
        <v>6289</v>
      </c>
      <c r="I567" t="s">
        <v>6289</v>
      </c>
      <c r="J567" t="s">
        <v>6289</v>
      </c>
    </row>
    <row r="568" spans="1:10">
      <c r="A568">
        <v>8403</v>
      </c>
      <c r="B568" t="s">
        <v>6024</v>
      </c>
      <c r="C568">
        <v>10.19</v>
      </c>
      <c r="D568">
        <v>1.64</v>
      </c>
      <c r="E568">
        <v>0.09</v>
      </c>
      <c r="F568">
        <v>0</v>
      </c>
      <c r="G568">
        <v>565</v>
      </c>
      <c r="H568">
        <v>1085</v>
      </c>
      <c r="I568">
        <v>762</v>
      </c>
      <c r="J568" t="s">
        <v>6289</v>
      </c>
    </row>
    <row r="569" spans="1:10">
      <c r="A569">
        <v>6113</v>
      </c>
      <c r="B569" t="s">
        <v>6330</v>
      </c>
      <c r="C569">
        <v>10.17</v>
      </c>
      <c r="D569">
        <v>0.21</v>
      </c>
      <c r="E569">
        <v>0.32</v>
      </c>
      <c r="F569">
        <v>0</v>
      </c>
      <c r="G569">
        <v>568</v>
      </c>
      <c r="H569">
        <v>1406</v>
      </c>
      <c r="I569">
        <v>447</v>
      </c>
      <c r="J569" t="s">
        <v>6289</v>
      </c>
    </row>
    <row r="570" spans="1:10">
      <c r="A570">
        <v>3014</v>
      </c>
      <c r="B570" t="s">
        <v>5277</v>
      </c>
      <c r="C570">
        <v>10.16</v>
      </c>
      <c r="D570">
        <v>8.7899999999999991</v>
      </c>
      <c r="E570">
        <v>0.14000000000000001</v>
      </c>
      <c r="F570">
        <v>0.14000000000000001</v>
      </c>
      <c r="G570">
        <v>569</v>
      </c>
      <c r="H570">
        <v>553</v>
      </c>
      <c r="I570">
        <v>653</v>
      </c>
      <c r="J570">
        <v>351</v>
      </c>
    </row>
    <row r="571" spans="1:10">
      <c r="A571">
        <v>2492</v>
      </c>
      <c r="B571" t="s">
        <v>5153</v>
      </c>
      <c r="C571">
        <v>10.130000000000001</v>
      </c>
      <c r="D571">
        <v>14.13</v>
      </c>
      <c r="E571">
        <v>2.94</v>
      </c>
      <c r="F571">
        <v>0.13</v>
      </c>
      <c r="G571">
        <v>570</v>
      </c>
      <c r="H571">
        <v>375</v>
      </c>
      <c r="I571">
        <v>46</v>
      </c>
      <c r="J571">
        <v>357</v>
      </c>
    </row>
    <row r="572" spans="1:10">
      <c r="A572">
        <v>6216</v>
      </c>
      <c r="B572" t="s">
        <v>5818</v>
      </c>
      <c r="C572">
        <v>10.119999999999999</v>
      </c>
      <c r="D572">
        <v>1.46</v>
      </c>
      <c r="E572">
        <v>0.49</v>
      </c>
      <c r="F572">
        <v>0</v>
      </c>
      <c r="G572">
        <v>571</v>
      </c>
      <c r="H572">
        <v>1118</v>
      </c>
      <c r="I572">
        <v>324</v>
      </c>
      <c r="J572" t="s">
        <v>6289</v>
      </c>
    </row>
    <row r="573" spans="1:10">
      <c r="A573">
        <v>3402</v>
      </c>
      <c r="B573" t="s">
        <v>5402</v>
      </c>
      <c r="C573">
        <v>10.1</v>
      </c>
      <c r="D573">
        <v>6.09</v>
      </c>
      <c r="E573">
        <v>0.02</v>
      </c>
      <c r="F573">
        <v>0</v>
      </c>
      <c r="G573">
        <v>572</v>
      </c>
      <c r="H573">
        <v>696</v>
      </c>
      <c r="I573">
        <v>1051</v>
      </c>
      <c r="J573" t="s">
        <v>6289</v>
      </c>
    </row>
    <row r="574" spans="1:10">
      <c r="A574">
        <v>6654</v>
      </c>
      <c r="B574" t="s">
        <v>5931</v>
      </c>
      <c r="C574">
        <v>10.1</v>
      </c>
      <c r="D574">
        <v>1.23</v>
      </c>
      <c r="E574">
        <v>7.0000000000000007E-2</v>
      </c>
      <c r="F574">
        <v>0</v>
      </c>
      <c r="G574">
        <v>572</v>
      </c>
      <c r="H574">
        <v>1163</v>
      </c>
      <c r="I574">
        <v>824</v>
      </c>
      <c r="J574" t="s">
        <v>6289</v>
      </c>
    </row>
    <row r="575" spans="1:10">
      <c r="A575">
        <v>4935</v>
      </c>
      <c r="B575" t="s">
        <v>5620</v>
      </c>
      <c r="C575">
        <v>10.06</v>
      </c>
      <c r="D575">
        <v>25.36</v>
      </c>
      <c r="E575">
        <v>0.21</v>
      </c>
      <c r="F575">
        <v>0</v>
      </c>
      <c r="G575">
        <v>574</v>
      </c>
      <c r="H575">
        <v>217</v>
      </c>
      <c r="I575">
        <v>550</v>
      </c>
      <c r="J575" t="s">
        <v>6289</v>
      </c>
    </row>
    <row r="576" spans="1:10">
      <c r="A576">
        <v>2524</v>
      </c>
      <c r="B576" t="s">
        <v>5168</v>
      </c>
      <c r="C576">
        <v>10.029999999999999</v>
      </c>
      <c r="D576">
        <v>0.85</v>
      </c>
      <c r="E576">
        <v>0.01</v>
      </c>
      <c r="F576">
        <v>0</v>
      </c>
      <c r="G576">
        <v>575</v>
      </c>
      <c r="H576">
        <v>1238</v>
      </c>
      <c r="I576">
        <v>1110</v>
      </c>
      <c r="J576" t="s">
        <v>6289</v>
      </c>
    </row>
    <row r="577" spans="1:10">
      <c r="A577">
        <v>2607</v>
      </c>
      <c r="B577" t="s">
        <v>5189</v>
      </c>
      <c r="C577">
        <v>10.029999999999999</v>
      </c>
      <c r="D577">
        <v>7.31</v>
      </c>
      <c r="E577">
        <v>0.57999999999999996</v>
      </c>
      <c r="F577">
        <v>0</v>
      </c>
      <c r="G577">
        <v>575</v>
      </c>
      <c r="H577">
        <v>615</v>
      </c>
      <c r="I577">
        <v>287</v>
      </c>
      <c r="J577" t="s">
        <v>6289</v>
      </c>
    </row>
    <row r="578" spans="1:10">
      <c r="A578">
        <v>8081</v>
      </c>
      <c r="B578" t="s">
        <v>5978</v>
      </c>
      <c r="C578">
        <v>9.98</v>
      </c>
      <c r="D578">
        <v>20.13</v>
      </c>
      <c r="E578">
        <v>0.41</v>
      </c>
      <c r="F578">
        <v>0.4</v>
      </c>
      <c r="G578">
        <v>577</v>
      </c>
      <c r="H578">
        <v>282</v>
      </c>
      <c r="I578">
        <v>370</v>
      </c>
      <c r="J578">
        <v>274</v>
      </c>
    </row>
    <row r="579" spans="1:10">
      <c r="A579">
        <v>6461</v>
      </c>
      <c r="B579" t="s">
        <v>5882</v>
      </c>
      <c r="C579">
        <v>9.94</v>
      </c>
      <c r="D579">
        <v>0.74</v>
      </c>
      <c r="E579">
        <v>0</v>
      </c>
      <c r="F579">
        <v>0</v>
      </c>
      <c r="G579">
        <v>578</v>
      </c>
      <c r="H579">
        <v>1256</v>
      </c>
      <c r="I579" t="s">
        <v>6289</v>
      </c>
      <c r="J579" t="s">
        <v>6289</v>
      </c>
    </row>
    <row r="580" spans="1:10">
      <c r="A580">
        <v>8271</v>
      </c>
      <c r="B580" t="s">
        <v>6012</v>
      </c>
      <c r="C580">
        <v>9.94</v>
      </c>
      <c r="D580">
        <v>2.71</v>
      </c>
      <c r="E580">
        <v>0.1</v>
      </c>
      <c r="F580">
        <v>0</v>
      </c>
      <c r="G580">
        <v>578</v>
      </c>
      <c r="H580">
        <v>948</v>
      </c>
      <c r="I580">
        <v>734</v>
      </c>
      <c r="J580" t="s">
        <v>6289</v>
      </c>
    </row>
    <row r="581" spans="1:10">
      <c r="A581">
        <v>6257</v>
      </c>
      <c r="B581" t="s">
        <v>5841</v>
      </c>
      <c r="C581">
        <v>9.92</v>
      </c>
      <c r="D581">
        <v>21.53</v>
      </c>
      <c r="E581">
        <v>0</v>
      </c>
      <c r="F581">
        <v>0.4</v>
      </c>
      <c r="G581">
        <v>580</v>
      </c>
      <c r="H581">
        <v>262</v>
      </c>
      <c r="I581" t="s">
        <v>6289</v>
      </c>
      <c r="J581">
        <v>274</v>
      </c>
    </row>
    <row r="582" spans="1:10">
      <c r="A582">
        <v>9955</v>
      </c>
      <c r="B582" t="s">
        <v>6104</v>
      </c>
      <c r="C582">
        <v>9.92</v>
      </c>
      <c r="D582">
        <v>1.97</v>
      </c>
      <c r="E582">
        <v>0.32</v>
      </c>
      <c r="F582">
        <v>0</v>
      </c>
      <c r="G582">
        <v>580</v>
      </c>
      <c r="H582">
        <v>1035</v>
      </c>
      <c r="I582">
        <v>447</v>
      </c>
      <c r="J582" t="s">
        <v>6289</v>
      </c>
    </row>
    <row r="583" spans="1:10">
      <c r="A583">
        <v>6261</v>
      </c>
      <c r="B583" t="s">
        <v>5842</v>
      </c>
      <c r="C583">
        <v>9.9</v>
      </c>
      <c r="D583">
        <v>3.06</v>
      </c>
      <c r="E583">
        <v>0.18</v>
      </c>
      <c r="F583">
        <v>0</v>
      </c>
      <c r="G583">
        <v>582</v>
      </c>
      <c r="H583">
        <v>917</v>
      </c>
      <c r="I583">
        <v>586</v>
      </c>
      <c r="J583" t="s">
        <v>6289</v>
      </c>
    </row>
    <row r="584" spans="1:10">
      <c r="A584">
        <v>2495</v>
      </c>
      <c r="B584" t="s">
        <v>5155</v>
      </c>
      <c r="C584">
        <v>9.8699999999999992</v>
      </c>
      <c r="D584">
        <v>17.57</v>
      </c>
      <c r="E584">
        <v>0.23</v>
      </c>
      <c r="F584">
        <v>0</v>
      </c>
      <c r="G584">
        <v>583</v>
      </c>
      <c r="H584">
        <v>314</v>
      </c>
      <c r="I584">
        <v>526</v>
      </c>
      <c r="J584" t="s">
        <v>6289</v>
      </c>
    </row>
    <row r="585" spans="1:10">
      <c r="A585">
        <v>5356</v>
      </c>
      <c r="B585" t="s">
        <v>5683</v>
      </c>
      <c r="C585">
        <v>9.8699999999999992</v>
      </c>
      <c r="D585">
        <v>2.93</v>
      </c>
      <c r="E585">
        <v>0.02</v>
      </c>
      <c r="F585">
        <v>0</v>
      </c>
      <c r="G585">
        <v>583</v>
      </c>
      <c r="H585">
        <v>927</v>
      </c>
      <c r="I585">
        <v>1051</v>
      </c>
      <c r="J585" t="s">
        <v>6289</v>
      </c>
    </row>
    <row r="586" spans="1:10">
      <c r="A586">
        <v>3540</v>
      </c>
      <c r="B586" t="s">
        <v>5443</v>
      </c>
      <c r="C586">
        <v>9.81</v>
      </c>
      <c r="D586">
        <v>1.97</v>
      </c>
      <c r="E586">
        <v>0</v>
      </c>
      <c r="F586">
        <v>0</v>
      </c>
      <c r="G586">
        <v>585</v>
      </c>
      <c r="H586">
        <v>1035</v>
      </c>
      <c r="I586" t="s">
        <v>6289</v>
      </c>
      <c r="J586" t="s">
        <v>6289</v>
      </c>
    </row>
    <row r="587" spans="1:10">
      <c r="A587">
        <v>5392</v>
      </c>
      <c r="B587" t="s">
        <v>5687</v>
      </c>
      <c r="C587">
        <v>9.81</v>
      </c>
      <c r="D587">
        <v>4.1100000000000003</v>
      </c>
      <c r="E587">
        <v>0.56000000000000005</v>
      </c>
      <c r="F587">
        <v>0</v>
      </c>
      <c r="G587">
        <v>585</v>
      </c>
      <c r="H587">
        <v>827</v>
      </c>
      <c r="I587">
        <v>296</v>
      </c>
      <c r="J587" t="s">
        <v>6289</v>
      </c>
    </row>
    <row r="588" spans="1:10">
      <c r="A588">
        <v>5439</v>
      </c>
      <c r="B588" t="s">
        <v>5695</v>
      </c>
      <c r="C588">
        <v>9.81</v>
      </c>
      <c r="D588">
        <v>2.12</v>
      </c>
      <c r="E588">
        <v>0.08</v>
      </c>
      <c r="F588">
        <v>2.27</v>
      </c>
      <c r="G588">
        <v>585</v>
      </c>
      <c r="H588">
        <v>1011</v>
      </c>
      <c r="I588">
        <v>789</v>
      </c>
      <c r="J588">
        <v>116</v>
      </c>
    </row>
    <row r="589" spans="1:10">
      <c r="A589">
        <v>4945</v>
      </c>
      <c r="B589" t="s">
        <v>5625</v>
      </c>
      <c r="C589">
        <v>9.75</v>
      </c>
      <c r="D589">
        <v>4.3099999999999996</v>
      </c>
      <c r="E589">
        <v>0.09</v>
      </c>
      <c r="F589">
        <v>0.77</v>
      </c>
      <c r="G589">
        <v>588</v>
      </c>
      <c r="H589">
        <v>816</v>
      </c>
      <c r="I589">
        <v>762</v>
      </c>
      <c r="J589">
        <v>217</v>
      </c>
    </row>
    <row r="590" spans="1:10">
      <c r="A590">
        <v>2753</v>
      </c>
      <c r="B590" t="s">
        <v>6146</v>
      </c>
      <c r="C590">
        <v>9.73</v>
      </c>
      <c r="D590">
        <v>1.92</v>
      </c>
      <c r="E590">
        <v>0</v>
      </c>
      <c r="F590">
        <v>0</v>
      </c>
      <c r="G590">
        <v>589</v>
      </c>
      <c r="H590">
        <v>1044</v>
      </c>
      <c r="I590" t="s">
        <v>6289</v>
      </c>
      <c r="J590" t="s">
        <v>6289</v>
      </c>
    </row>
    <row r="591" spans="1:10">
      <c r="A591">
        <v>1414</v>
      </c>
      <c r="B591" t="s">
        <v>4833</v>
      </c>
      <c r="C591">
        <v>9.6999999999999993</v>
      </c>
      <c r="D591">
        <v>0.6</v>
      </c>
      <c r="E591">
        <v>0.02</v>
      </c>
      <c r="F591">
        <v>0</v>
      </c>
      <c r="G591">
        <v>590</v>
      </c>
      <c r="H591">
        <v>1295</v>
      </c>
      <c r="I591">
        <v>1051</v>
      </c>
      <c r="J591" t="s">
        <v>6289</v>
      </c>
    </row>
    <row r="592" spans="1:10">
      <c r="A592">
        <v>3265</v>
      </c>
      <c r="B592" t="s">
        <v>5363</v>
      </c>
      <c r="C592">
        <v>9.6999999999999993</v>
      </c>
      <c r="D592">
        <v>4.7300000000000004</v>
      </c>
      <c r="E592">
        <v>2.92</v>
      </c>
      <c r="F592">
        <v>0</v>
      </c>
      <c r="G592">
        <v>590</v>
      </c>
      <c r="H592">
        <v>791</v>
      </c>
      <c r="I592">
        <v>47</v>
      </c>
      <c r="J592" t="s">
        <v>6289</v>
      </c>
    </row>
    <row r="593" spans="1:10">
      <c r="A593">
        <v>6269</v>
      </c>
      <c r="B593" t="s">
        <v>5846</v>
      </c>
      <c r="C593">
        <v>9.67</v>
      </c>
      <c r="D593">
        <v>17.36</v>
      </c>
      <c r="E593">
        <v>0</v>
      </c>
      <c r="F593">
        <v>2.5499999999999998</v>
      </c>
      <c r="G593">
        <v>592</v>
      </c>
      <c r="H593">
        <v>319</v>
      </c>
      <c r="I593" t="s">
        <v>6289</v>
      </c>
      <c r="J593">
        <v>100</v>
      </c>
    </row>
    <row r="594" spans="1:10">
      <c r="A594">
        <v>2427</v>
      </c>
      <c r="B594" t="s">
        <v>5110</v>
      </c>
      <c r="C594">
        <v>9.65</v>
      </c>
      <c r="D594">
        <v>2.73</v>
      </c>
      <c r="E594">
        <v>0.06</v>
      </c>
      <c r="F594">
        <v>0</v>
      </c>
      <c r="G594">
        <v>593</v>
      </c>
      <c r="H594">
        <v>947</v>
      </c>
      <c r="I594">
        <v>852</v>
      </c>
      <c r="J594" t="s">
        <v>6289</v>
      </c>
    </row>
    <row r="595" spans="1:10">
      <c r="A595">
        <v>8110</v>
      </c>
      <c r="B595" t="s">
        <v>5990</v>
      </c>
      <c r="C595">
        <v>9.61</v>
      </c>
      <c r="D595">
        <v>2.31</v>
      </c>
      <c r="E595">
        <v>0.27</v>
      </c>
      <c r="F595">
        <v>0.01</v>
      </c>
      <c r="G595">
        <v>594</v>
      </c>
      <c r="H595">
        <v>991</v>
      </c>
      <c r="I595">
        <v>492</v>
      </c>
      <c r="J595">
        <v>491</v>
      </c>
    </row>
    <row r="596" spans="1:10">
      <c r="A596">
        <v>3665</v>
      </c>
      <c r="B596" t="s">
        <v>5485</v>
      </c>
      <c r="C596">
        <v>9.59</v>
      </c>
      <c r="D596">
        <v>46.85</v>
      </c>
      <c r="E596">
        <v>1.76</v>
      </c>
      <c r="F596">
        <v>4.16</v>
      </c>
      <c r="G596">
        <v>595</v>
      </c>
      <c r="H596">
        <v>85</v>
      </c>
      <c r="I596">
        <v>90</v>
      </c>
      <c r="J596">
        <v>68</v>
      </c>
    </row>
    <row r="597" spans="1:10">
      <c r="A597">
        <v>5288</v>
      </c>
      <c r="B597" t="s">
        <v>5672</v>
      </c>
      <c r="C597">
        <v>9.59</v>
      </c>
      <c r="D597">
        <v>65.52</v>
      </c>
      <c r="E597">
        <v>0.24</v>
      </c>
      <c r="F597">
        <v>0.19</v>
      </c>
      <c r="G597">
        <v>595</v>
      </c>
      <c r="H597">
        <v>36</v>
      </c>
      <c r="I597">
        <v>514</v>
      </c>
      <c r="J597">
        <v>332</v>
      </c>
    </row>
    <row r="598" spans="1:10">
      <c r="A598">
        <v>4991</v>
      </c>
      <c r="B598" t="s">
        <v>6154</v>
      </c>
      <c r="C598">
        <v>9.56</v>
      </c>
      <c r="D598">
        <v>4.57</v>
      </c>
      <c r="E598">
        <v>0.04</v>
      </c>
      <c r="F598">
        <v>0.01</v>
      </c>
      <c r="G598">
        <v>597</v>
      </c>
      <c r="H598">
        <v>805</v>
      </c>
      <c r="I598">
        <v>936</v>
      </c>
      <c r="J598">
        <v>491</v>
      </c>
    </row>
    <row r="599" spans="1:10">
      <c r="A599">
        <v>4915</v>
      </c>
      <c r="B599" t="s">
        <v>5614</v>
      </c>
      <c r="C599">
        <v>9.5500000000000007</v>
      </c>
      <c r="D599">
        <v>44.39</v>
      </c>
      <c r="E599">
        <v>1.01</v>
      </c>
      <c r="F599">
        <v>0.85</v>
      </c>
      <c r="G599">
        <v>598</v>
      </c>
      <c r="H599">
        <v>90</v>
      </c>
      <c r="I599">
        <v>174</v>
      </c>
      <c r="J599">
        <v>207</v>
      </c>
    </row>
    <row r="600" spans="1:10">
      <c r="A600">
        <v>2387</v>
      </c>
      <c r="B600" t="s">
        <v>5085</v>
      </c>
      <c r="C600">
        <v>9.5399999999999991</v>
      </c>
      <c r="D600">
        <v>1.93</v>
      </c>
      <c r="E600">
        <v>0.16</v>
      </c>
      <c r="F600">
        <v>1.61</v>
      </c>
      <c r="G600">
        <v>599</v>
      </c>
      <c r="H600">
        <v>1041</v>
      </c>
      <c r="I600">
        <v>614</v>
      </c>
      <c r="J600">
        <v>151</v>
      </c>
    </row>
    <row r="601" spans="1:10">
      <c r="A601">
        <v>3372</v>
      </c>
      <c r="B601" t="s">
        <v>5394</v>
      </c>
      <c r="C601">
        <v>9.52</v>
      </c>
      <c r="D601">
        <v>1.1200000000000001</v>
      </c>
      <c r="E601">
        <v>0.11</v>
      </c>
      <c r="F601">
        <v>1.28</v>
      </c>
      <c r="G601">
        <v>600</v>
      </c>
      <c r="H601">
        <v>1186</v>
      </c>
      <c r="I601">
        <v>708</v>
      </c>
      <c r="J601">
        <v>172</v>
      </c>
    </row>
    <row r="602" spans="1:10">
      <c r="A602">
        <v>8444</v>
      </c>
      <c r="B602" t="s">
        <v>6039</v>
      </c>
      <c r="C602">
        <v>9.5</v>
      </c>
      <c r="D602">
        <v>65.680000000000007</v>
      </c>
      <c r="E602">
        <v>0</v>
      </c>
      <c r="F602">
        <v>0</v>
      </c>
      <c r="G602">
        <v>601</v>
      </c>
      <c r="H602">
        <v>35</v>
      </c>
      <c r="I602" t="s">
        <v>6289</v>
      </c>
      <c r="J602" t="s">
        <v>6289</v>
      </c>
    </row>
    <row r="603" spans="1:10">
      <c r="A603">
        <v>3114</v>
      </c>
      <c r="B603" t="s">
        <v>5325</v>
      </c>
      <c r="C603">
        <v>9.49</v>
      </c>
      <c r="D603">
        <v>0.76</v>
      </c>
      <c r="E603">
        <v>0.17</v>
      </c>
      <c r="F603">
        <v>0</v>
      </c>
      <c r="G603">
        <v>602</v>
      </c>
      <c r="H603">
        <v>1253</v>
      </c>
      <c r="I603">
        <v>598</v>
      </c>
      <c r="J603" t="s">
        <v>6289</v>
      </c>
    </row>
    <row r="604" spans="1:10">
      <c r="A604">
        <v>5315</v>
      </c>
      <c r="B604" t="s">
        <v>5677</v>
      </c>
      <c r="C604">
        <v>9.49</v>
      </c>
      <c r="D604">
        <v>5.42</v>
      </c>
      <c r="E604">
        <v>0.13</v>
      </c>
      <c r="F604">
        <v>0</v>
      </c>
      <c r="G604">
        <v>602</v>
      </c>
      <c r="H604">
        <v>741</v>
      </c>
      <c r="I604">
        <v>667</v>
      </c>
      <c r="J604" t="s">
        <v>6289</v>
      </c>
    </row>
    <row r="605" spans="1:10">
      <c r="A605">
        <v>2606</v>
      </c>
      <c r="B605" t="s">
        <v>5188</v>
      </c>
      <c r="C605">
        <v>9.4600000000000009</v>
      </c>
      <c r="D605">
        <v>10.75</v>
      </c>
      <c r="E605">
        <v>1.0900000000000001</v>
      </c>
      <c r="F605">
        <v>7.81</v>
      </c>
      <c r="G605">
        <v>604</v>
      </c>
      <c r="H605">
        <v>475</v>
      </c>
      <c r="I605">
        <v>162</v>
      </c>
      <c r="J605">
        <v>25</v>
      </c>
    </row>
    <row r="606" spans="1:10">
      <c r="A606">
        <v>1539</v>
      </c>
      <c r="B606" t="s">
        <v>4890</v>
      </c>
      <c r="C606">
        <v>9.4499999999999993</v>
      </c>
      <c r="D606">
        <v>0.6</v>
      </c>
      <c r="E606">
        <v>0.03</v>
      </c>
      <c r="F606">
        <v>0</v>
      </c>
      <c r="G606">
        <v>605</v>
      </c>
      <c r="H606">
        <v>1295</v>
      </c>
      <c r="I606">
        <v>978</v>
      </c>
      <c r="J606" t="s">
        <v>6289</v>
      </c>
    </row>
    <row r="607" spans="1:10">
      <c r="A607">
        <v>1446</v>
      </c>
      <c r="B607" t="s">
        <v>4847</v>
      </c>
      <c r="C607">
        <v>9.43</v>
      </c>
      <c r="D607">
        <v>1.1599999999999999</v>
      </c>
      <c r="E607">
        <v>0</v>
      </c>
      <c r="F607">
        <v>0</v>
      </c>
      <c r="G607">
        <v>606</v>
      </c>
      <c r="H607">
        <v>1180</v>
      </c>
      <c r="I607" t="s">
        <v>6289</v>
      </c>
      <c r="J607" t="s">
        <v>6289</v>
      </c>
    </row>
    <row r="608" spans="1:10">
      <c r="A608">
        <v>1713</v>
      </c>
      <c r="B608" t="s">
        <v>4933</v>
      </c>
      <c r="C608">
        <v>9.39</v>
      </c>
      <c r="D608">
        <v>3.96</v>
      </c>
      <c r="E608">
        <v>0.04</v>
      </c>
      <c r="F608">
        <v>0</v>
      </c>
      <c r="G608">
        <v>607</v>
      </c>
      <c r="H608">
        <v>837</v>
      </c>
      <c r="I608">
        <v>936</v>
      </c>
      <c r="J608" t="s">
        <v>6289</v>
      </c>
    </row>
    <row r="609" spans="1:10">
      <c r="A609">
        <v>5546</v>
      </c>
      <c r="B609" t="s">
        <v>5723</v>
      </c>
      <c r="C609">
        <v>9.3800000000000008</v>
      </c>
      <c r="D609">
        <v>54.11</v>
      </c>
      <c r="E609">
        <v>0</v>
      </c>
      <c r="F609">
        <v>0</v>
      </c>
      <c r="G609">
        <v>608</v>
      </c>
      <c r="H609">
        <v>61</v>
      </c>
      <c r="I609" t="s">
        <v>6289</v>
      </c>
      <c r="J609" t="s">
        <v>6289</v>
      </c>
    </row>
    <row r="610" spans="1:10">
      <c r="A610">
        <v>3297</v>
      </c>
      <c r="B610" t="s">
        <v>5374</v>
      </c>
      <c r="C610">
        <v>9.3699999999999992</v>
      </c>
      <c r="D610">
        <v>1.48</v>
      </c>
      <c r="E610">
        <v>0.23</v>
      </c>
      <c r="F610">
        <v>0</v>
      </c>
      <c r="G610">
        <v>609</v>
      </c>
      <c r="H610">
        <v>1110</v>
      </c>
      <c r="I610">
        <v>526</v>
      </c>
      <c r="J610" t="s">
        <v>6289</v>
      </c>
    </row>
    <row r="611" spans="1:10">
      <c r="A611">
        <v>8048</v>
      </c>
      <c r="B611" t="s">
        <v>5967</v>
      </c>
      <c r="C611">
        <v>9.33</v>
      </c>
      <c r="D611">
        <v>0.77</v>
      </c>
      <c r="E611">
        <v>0.01</v>
      </c>
      <c r="F611">
        <v>0</v>
      </c>
      <c r="G611">
        <v>610</v>
      </c>
      <c r="H611">
        <v>1251</v>
      </c>
      <c r="I611">
        <v>1110</v>
      </c>
      <c r="J611" t="s">
        <v>6289</v>
      </c>
    </row>
    <row r="612" spans="1:10">
      <c r="A612">
        <v>3205</v>
      </c>
      <c r="B612" t="s">
        <v>5343</v>
      </c>
      <c r="C612">
        <v>9.31</v>
      </c>
      <c r="D612">
        <v>9.66</v>
      </c>
      <c r="E612">
        <v>0.12</v>
      </c>
      <c r="F612">
        <v>0</v>
      </c>
      <c r="G612">
        <v>611</v>
      </c>
      <c r="H612">
        <v>511</v>
      </c>
      <c r="I612">
        <v>683</v>
      </c>
      <c r="J612" t="s">
        <v>6289</v>
      </c>
    </row>
    <row r="613" spans="1:10">
      <c r="A613">
        <v>4977</v>
      </c>
      <c r="B613" t="s">
        <v>5639</v>
      </c>
      <c r="C613">
        <v>9.31</v>
      </c>
      <c r="D613">
        <v>39.36</v>
      </c>
      <c r="E613">
        <v>0.24</v>
      </c>
      <c r="F613">
        <v>0</v>
      </c>
      <c r="G613">
        <v>611</v>
      </c>
      <c r="H613">
        <v>124</v>
      </c>
      <c r="I613">
        <v>514</v>
      </c>
      <c r="J613" t="s">
        <v>6289</v>
      </c>
    </row>
    <row r="614" spans="1:10">
      <c r="A614">
        <v>4755</v>
      </c>
      <c r="B614" t="s">
        <v>5602</v>
      </c>
      <c r="C614">
        <v>9.26</v>
      </c>
      <c r="D614">
        <v>30.51</v>
      </c>
      <c r="E614">
        <v>0.16</v>
      </c>
      <c r="F614">
        <v>0.75</v>
      </c>
      <c r="G614">
        <v>613</v>
      </c>
      <c r="H614">
        <v>178</v>
      </c>
      <c r="I614">
        <v>614</v>
      </c>
      <c r="J614">
        <v>222</v>
      </c>
    </row>
    <row r="615" spans="1:10">
      <c r="A615">
        <v>5203</v>
      </c>
      <c r="B615" t="s">
        <v>5650</v>
      </c>
      <c r="C615">
        <v>9.2100000000000009</v>
      </c>
      <c r="D615">
        <v>14.77</v>
      </c>
      <c r="E615">
        <v>0.06</v>
      </c>
      <c r="F615">
        <v>0.04</v>
      </c>
      <c r="G615">
        <v>614</v>
      </c>
      <c r="H615">
        <v>362</v>
      </c>
      <c r="I615">
        <v>852</v>
      </c>
      <c r="J615">
        <v>437</v>
      </c>
    </row>
    <row r="616" spans="1:10">
      <c r="A616">
        <v>5483</v>
      </c>
      <c r="B616" t="s">
        <v>5706</v>
      </c>
      <c r="C616">
        <v>9.2100000000000009</v>
      </c>
      <c r="D616">
        <v>21.81</v>
      </c>
      <c r="E616">
        <v>0.64</v>
      </c>
      <c r="F616">
        <v>5.58</v>
      </c>
      <c r="G616">
        <v>614</v>
      </c>
      <c r="H616">
        <v>256</v>
      </c>
      <c r="I616">
        <v>270</v>
      </c>
      <c r="J616">
        <v>47</v>
      </c>
    </row>
    <row r="617" spans="1:10">
      <c r="A617">
        <v>2014</v>
      </c>
      <c r="B617" t="s">
        <v>4985</v>
      </c>
      <c r="C617">
        <v>9.19</v>
      </c>
      <c r="D617">
        <v>4.7300000000000004</v>
      </c>
      <c r="E617">
        <v>0.94</v>
      </c>
      <c r="F617">
        <v>7.13</v>
      </c>
      <c r="G617">
        <v>616</v>
      </c>
      <c r="H617">
        <v>791</v>
      </c>
      <c r="I617">
        <v>183</v>
      </c>
      <c r="J617">
        <v>28</v>
      </c>
    </row>
    <row r="618" spans="1:10">
      <c r="A618">
        <v>3577</v>
      </c>
      <c r="B618" t="s">
        <v>5457</v>
      </c>
      <c r="C618">
        <v>9.17</v>
      </c>
      <c r="D618">
        <v>1.43</v>
      </c>
      <c r="E618">
        <v>0.19</v>
      </c>
      <c r="F618">
        <v>0</v>
      </c>
      <c r="G618">
        <v>617</v>
      </c>
      <c r="H618">
        <v>1124</v>
      </c>
      <c r="I618">
        <v>571</v>
      </c>
      <c r="J618" t="s">
        <v>6289</v>
      </c>
    </row>
    <row r="619" spans="1:10">
      <c r="A619">
        <v>6208</v>
      </c>
      <c r="B619" t="s">
        <v>5813</v>
      </c>
      <c r="C619">
        <v>9.07</v>
      </c>
      <c r="D619">
        <v>1.52</v>
      </c>
      <c r="E619">
        <v>0</v>
      </c>
      <c r="F619">
        <v>0</v>
      </c>
      <c r="G619">
        <v>618</v>
      </c>
      <c r="H619">
        <v>1100</v>
      </c>
      <c r="I619" t="s">
        <v>6289</v>
      </c>
      <c r="J619" t="s">
        <v>6289</v>
      </c>
    </row>
    <row r="620" spans="1:10">
      <c r="A620">
        <v>3147</v>
      </c>
      <c r="B620" t="s">
        <v>5332</v>
      </c>
      <c r="C620">
        <v>9.0299999999999994</v>
      </c>
      <c r="D620">
        <v>0.42</v>
      </c>
      <c r="E620">
        <v>0</v>
      </c>
      <c r="F620">
        <v>0</v>
      </c>
      <c r="G620">
        <v>619</v>
      </c>
      <c r="H620">
        <v>1348</v>
      </c>
      <c r="I620" t="s">
        <v>6289</v>
      </c>
      <c r="J620" t="s">
        <v>6289</v>
      </c>
    </row>
    <row r="621" spans="1:10">
      <c r="A621">
        <v>5398</v>
      </c>
      <c r="B621" t="s">
        <v>6157</v>
      </c>
      <c r="C621">
        <v>9.0299999999999994</v>
      </c>
      <c r="D621">
        <v>2.5</v>
      </c>
      <c r="E621">
        <v>0</v>
      </c>
      <c r="F621">
        <v>0</v>
      </c>
      <c r="G621">
        <v>619</v>
      </c>
      <c r="H621">
        <v>973</v>
      </c>
      <c r="I621" t="s">
        <v>6289</v>
      </c>
      <c r="J621" t="s">
        <v>6289</v>
      </c>
    </row>
    <row r="622" spans="1:10">
      <c r="A622">
        <v>8105</v>
      </c>
      <c r="B622" t="s">
        <v>5988</v>
      </c>
      <c r="C622">
        <v>9.01</v>
      </c>
      <c r="D622">
        <v>57.78</v>
      </c>
      <c r="E622">
        <v>0.78</v>
      </c>
      <c r="F622">
        <v>0</v>
      </c>
      <c r="G622">
        <v>621</v>
      </c>
      <c r="H622">
        <v>54</v>
      </c>
      <c r="I622">
        <v>224</v>
      </c>
      <c r="J622" t="s">
        <v>6289</v>
      </c>
    </row>
    <row r="623" spans="1:10">
      <c r="A623">
        <v>5450</v>
      </c>
      <c r="B623" t="s">
        <v>5697</v>
      </c>
      <c r="C623">
        <v>9</v>
      </c>
      <c r="D623">
        <v>0.17</v>
      </c>
      <c r="E623">
        <v>0</v>
      </c>
      <c r="F623">
        <v>0</v>
      </c>
      <c r="G623">
        <v>622</v>
      </c>
      <c r="H623">
        <v>1420</v>
      </c>
      <c r="I623" t="s">
        <v>6289</v>
      </c>
      <c r="J623" t="s">
        <v>6289</v>
      </c>
    </row>
    <row r="624" spans="1:10">
      <c r="A624">
        <v>5498</v>
      </c>
      <c r="B624" t="s">
        <v>5708</v>
      </c>
      <c r="C624">
        <v>8.98</v>
      </c>
      <c r="D624">
        <v>1.02</v>
      </c>
      <c r="E624">
        <v>0</v>
      </c>
      <c r="F624">
        <v>0</v>
      </c>
      <c r="G624">
        <v>623</v>
      </c>
      <c r="H624">
        <v>1202</v>
      </c>
      <c r="I624" t="s">
        <v>6289</v>
      </c>
      <c r="J624" t="s">
        <v>6289</v>
      </c>
    </row>
    <row r="625" spans="1:10">
      <c r="A625">
        <v>8927</v>
      </c>
      <c r="B625" t="s">
        <v>6062</v>
      </c>
      <c r="C625">
        <v>8.9499999999999993</v>
      </c>
      <c r="D625">
        <v>0.17</v>
      </c>
      <c r="E625">
        <v>0.03</v>
      </c>
      <c r="F625">
        <v>0</v>
      </c>
      <c r="G625">
        <v>624</v>
      </c>
      <c r="H625">
        <v>1420</v>
      </c>
      <c r="I625">
        <v>978</v>
      </c>
      <c r="J625" t="s">
        <v>6289</v>
      </c>
    </row>
    <row r="626" spans="1:10">
      <c r="A626">
        <v>4130</v>
      </c>
      <c r="B626" t="s">
        <v>5526</v>
      </c>
      <c r="C626">
        <v>8.94</v>
      </c>
      <c r="D626">
        <v>0.53</v>
      </c>
      <c r="E626">
        <v>0.33</v>
      </c>
      <c r="F626">
        <v>0</v>
      </c>
      <c r="G626">
        <v>625</v>
      </c>
      <c r="H626">
        <v>1311</v>
      </c>
      <c r="I626">
        <v>435</v>
      </c>
      <c r="J626" t="s">
        <v>6289</v>
      </c>
    </row>
    <row r="627" spans="1:10">
      <c r="A627">
        <v>3264</v>
      </c>
      <c r="B627" t="s">
        <v>5362</v>
      </c>
      <c r="C627">
        <v>8.8699999999999992</v>
      </c>
      <c r="D627">
        <v>23.58</v>
      </c>
      <c r="E627">
        <v>0.45</v>
      </c>
      <c r="F627">
        <v>2.82</v>
      </c>
      <c r="G627">
        <v>626</v>
      </c>
      <c r="H627">
        <v>231</v>
      </c>
      <c r="I627">
        <v>346</v>
      </c>
      <c r="J627">
        <v>94</v>
      </c>
    </row>
    <row r="628" spans="1:10">
      <c r="A628">
        <v>3004</v>
      </c>
      <c r="B628" t="s">
        <v>5271</v>
      </c>
      <c r="C628">
        <v>8.84</v>
      </c>
      <c r="D628">
        <v>1.35</v>
      </c>
      <c r="E628">
        <v>0.03</v>
      </c>
      <c r="F628">
        <v>0</v>
      </c>
      <c r="G628">
        <v>627</v>
      </c>
      <c r="H628">
        <v>1141</v>
      </c>
      <c r="I628">
        <v>978</v>
      </c>
      <c r="J628" t="s">
        <v>6289</v>
      </c>
    </row>
    <row r="629" spans="1:10">
      <c r="A629">
        <v>1236</v>
      </c>
      <c r="B629" t="s">
        <v>4800</v>
      </c>
      <c r="C629">
        <v>8.83</v>
      </c>
      <c r="D629">
        <v>0.16</v>
      </c>
      <c r="E629">
        <v>0.34</v>
      </c>
      <c r="F629">
        <v>0</v>
      </c>
      <c r="G629">
        <v>628</v>
      </c>
      <c r="H629">
        <v>1426</v>
      </c>
      <c r="I629">
        <v>425</v>
      </c>
      <c r="J629" t="s">
        <v>6289</v>
      </c>
    </row>
    <row r="630" spans="1:10">
      <c r="A630">
        <v>2230</v>
      </c>
      <c r="B630" t="s">
        <v>5025</v>
      </c>
      <c r="C630">
        <v>8.82</v>
      </c>
      <c r="D630">
        <v>6.22</v>
      </c>
      <c r="E630">
        <v>0</v>
      </c>
      <c r="F630">
        <v>0</v>
      </c>
      <c r="G630">
        <v>629</v>
      </c>
      <c r="H630">
        <v>688</v>
      </c>
      <c r="I630" t="s">
        <v>6289</v>
      </c>
      <c r="J630" t="s">
        <v>6289</v>
      </c>
    </row>
    <row r="631" spans="1:10">
      <c r="A631">
        <v>5225</v>
      </c>
      <c r="B631" t="s">
        <v>5656</v>
      </c>
      <c r="C631">
        <v>8.81</v>
      </c>
      <c r="D631">
        <v>53.35</v>
      </c>
      <c r="E631">
        <v>0.08</v>
      </c>
      <c r="F631">
        <v>0.02</v>
      </c>
      <c r="G631">
        <v>630</v>
      </c>
      <c r="H631">
        <v>63</v>
      </c>
      <c r="I631">
        <v>789</v>
      </c>
      <c r="J631">
        <v>473</v>
      </c>
    </row>
    <row r="632" spans="1:10">
      <c r="A632">
        <v>1599</v>
      </c>
      <c r="B632" t="s">
        <v>4912</v>
      </c>
      <c r="C632">
        <v>8.7899999999999991</v>
      </c>
      <c r="D632">
        <v>13.99</v>
      </c>
      <c r="E632">
        <v>7.0000000000000007E-2</v>
      </c>
      <c r="F632">
        <v>0</v>
      </c>
      <c r="G632">
        <v>631</v>
      </c>
      <c r="H632">
        <v>378</v>
      </c>
      <c r="I632">
        <v>824</v>
      </c>
      <c r="J632" t="s">
        <v>6289</v>
      </c>
    </row>
    <row r="633" spans="1:10">
      <c r="A633">
        <v>2402</v>
      </c>
      <c r="B633" t="s">
        <v>5094</v>
      </c>
      <c r="C633">
        <v>8.76</v>
      </c>
      <c r="D633">
        <v>10.24</v>
      </c>
      <c r="E633">
        <v>0.67</v>
      </c>
      <c r="F633">
        <v>0.01</v>
      </c>
      <c r="G633">
        <v>632</v>
      </c>
      <c r="H633">
        <v>492</v>
      </c>
      <c r="I633">
        <v>259</v>
      </c>
      <c r="J633">
        <v>491</v>
      </c>
    </row>
    <row r="634" spans="1:10">
      <c r="A634">
        <v>6271</v>
      </c>
      <c r="B634" t="s">
        <v>5848</v>
      </c>
      <c r="C634">
        <v>8.76</v>
      </c>
      <c r="D634">
        <v>40.200000000000003</v>
      </c>
      <c r="E634">
        <v>1.24</v>
      </c>
      <c r="F634">
        <v>11.09</v>
      </c>
      <c r="G634">
        <v>632</v>
      </c>
      <c r="H634">
        <v>118</v>
      </c>
      <c r="I634">
        <v>137</v>
      </c>
      <c r="J634">
        <v>11</v>
      </c>
    </row>
    <row r="635" spans="1:10">
      <c r="A635">
        <v>6573</v>
      </c>
      <c r="B635" t="s">
        <v>5914</v>
      </c>
      <c r="C635">
        <v>8.76</v>
      </c>
      <c r="D635">
        <v>58.74</v>
      </c>
      <c r="E635">
        <v>0.11</v>
      </c>
      <c r="F635">
        <v>0</v>
      </c>
      <c r="G635">
        <v>632</v>
      </c>
      <c r="H635">
        <v>50</v>
      </c>
      <c r="I635">
        <v>708</v>
      </c>
      <c r="J635" t="s">
        <v>6289</v>
      </c>
    </row>
    <row r="636" spans="1:10">
      <c r="A636">
        <v>1336</v>
      </c>
      <c r="B636" t="s">
        <v>4824</v>
      </c>
      <c r="C636">
        <v>8.73</v>
      </c>
      <c r="D636">
        <v>1.37</v>
      </c>
      <c r="E636">
        <v>0</v>
      </c>
      <c r="F636">
        <v>0</v>
      </c>
      <c r="G636">
        <v>635</v>
      </c>
      <c r="H636">
        <v>1140</v>
      </c>
      <c r="I636" t="s">
        <v>6289</v>
      </c>
      <c r="J636" t="s">
        <v>6289</v>
      </c>
    </row>
    <row r="637" spans="1:10">
      <c r="A637">
        <v>2460</v>
      </c>
      <c r="B637" t="s">
        <v>5129</v>
      </c>
      <c r="C637">
        <v>8.7100000000000009</v>
      </c>
      <c r="D637">
        <v>0.44</v>
      </c>
      <c r="E637">
        <v>0.1</v>
      </c>
      <c r="F637">
        <v>0</v>
      </c>
      <c r="G637">
        <v>636</v>
      </c>
      <c r="H637">
        <v>1341</v>
      </c>
      <c r="I637">
        <v>734</v>
      </c>
      <c r="J637" t="s">
        <v>6289</v>
      </c>
    </row>
    <row r="638" spans="1:10">
      <c r="A638">
        <v>2101</v>
      </c>
      <c r="B638" t="s">
        <v>5006</v>
      </c>
      <c r="C638">
        <v>8.6999999999999993</v>
      </c>
      <c r="D638">
        <v>5.32</v>
      </c>
      <c r="E638">
        <v>0.06</v>
      </c>
      <c r="F638">
        <v>0</v>
      </c>
      <c r="G638">
        <v>637</v>
      </c>
      <c r="H638">
        <v>749</v>
      </c>
      <c r="I638">
        <v>852</v>
      </c>
      <c r="J638" t="s">
        <v>6289</v>
      </c>
    </row>
    <row r="639" spans="1:10">
      <c r="A639">
        <v>2365</v>
      </c>
      <c r="B639" t="s">
        <v>5071</v>
      </c>
      <c r="C639">
        <v>8.69</v>
      </c>
      <c r="D639">
        <v>7.86</v>
      </c>
      <c r="E639">
        <v>0.04</v>
      </c>
      <c r="F639">
        <v>0</v>
      </c>
      <c r="G639">
        <v>638</v>
      </c>
      <c r="H639">
        <v>586</v>
      </c>
      <c r="I639">
        <v>936</v>
      </c>
      <c r="J639" t="s">
        <v>6289</v>
      </c>
    </row>
    <row r="640" spans="1:10">
      <c r="A640">
        <v>1718</v>
      </c>
      <c r="B640" t="s">
        <v>4936</v>
      </c>
      <c r="C640">
        <v>8.66</v>
      </c>
      <c r="D640">
        <v>7.7</v>
      </c>
      <c r="E640">
        <v>0.08</v>
      </c>
      <c r="F640">
        <v>0</v>
      </c>
      <c r="G640">
        <v>639</v>
      </c>
      <c r="H640">
        <v>594</v>
      </c>
      <c r="I640">
        <v>789</v>
      </c>
      <c r="J640" t="s">
        <v>6289</v>
      </c>
    </row>
    <row r="641" spans="1:10">
      <c r="A641">
        <v>6456</v>
      </c>
      <c r="B641" t="s">
        <v>5880</v>
      </c>
      <c r="C641">
        <v>8.6300000000000008</v>
      </c>
      <c r="D641">
        <v>54.92</v>
      </c>
      <c r="E641">
        <v>0.48</v>
      </c>
      <c r="F641">
        <v>0.26</v>
      </c>
      <c r="G641">
        <v>640</v>
      </c>
      <c r="H641">
        <v>56</v>
      </c>
      <c r="I641">
        <v>329</v>
      </c>
      <c r="J641">
        <v>311</v>
      </c>
    </row>
    <row r="642" spans="1:10">
      <c r="A642">
        <v>2419</v>
      </c>
      <c r="B642" t="s">
        <v>5104</v>
      </c>
      <c r="C642">
        <v>8.6199999999999992</v>
      </c>
      <c r="D642">
        <v>1.05</v>
      </c>
      <c r="E642">
        <v>0.15</v>
      </c>
      <c r="F642">
        <v>0</v>
      </c>
      <c r="G642">
        <v>641</v>
      </c>
      <c r="H642">
        <v>1193</v>
      </c>
      <c r="I642">
        <v>635</v>
      </c>
      <c r="J642" t="s">
        <v>6289</v>
      </c>
    </row>
    <row r="643" spans="1:10">
      <c r="A643">
        <v>2363</v>
      </c>
      <c r="B643" t="s">
        <v>5070</v>
      </c>
      <c r="C643">
        <v>8.6</v>
      </c>
      <c r="D643">
        <v>4.75</v>
      </c>
      <c r="E643">
        <v>2.88</v>
      </c>
      <c r="F643">
        <v>0</v>
      </c>
      <c r="G643">
        <v>642</v>
      </c>
      <c r="H643">
        <v>790</v>
      </c>
      <c r="I643">
        <v>48</v>
      </c>
      <c r="J643" t="s">
        <v>6289</v>
      </c>
    </row>
    <row r="644" spans="1:10">
      <c r="A644">
        <v>3354</v>
      </c>
      <c r="B644" t="s">
        <v>5388</v>
      </c>
      <c r="C644">
        <v>8.56</v>
      </c>
      <c r="D644">
        <v>1.03</v>
      </c>
      <c r="E644">
        <v>0</v>
      </c>
      <c r="F644">
        <v>0</v>
      </c>
      <c r="G644">
        <v>643</v>
      </c>
      <c r="H644">
        <v>1197</v>
      </c>
      <c r="I644" t="s">
        <v>6289</v>
      </c>
      <c r="J644" t="s">
        <v>6289</v>
      </c>
    </row>
    <row r="645" spans="1:10">
      <c r="A645">
        <v>8932</v>
      </c>
      <c r="B645" t="s">
        <v>6311</v>
      </c>
      <c r="C645">
        <v>8.5299999999999994</v>
      </c>
      <c r="D645">
        <v>14.04</v>
      </c>
      <c r="E645">
        <v>0</v>
      </c>
      <c r="F645">
        <v>0</v>
      </c>
      <c r="G645">
        <v>644</v>
      </c>
      <c r="H645">
        <v>377</v>
      </c>
      <c r="I645" t="s">
        <v>6289</v>
      </c>
      <c r="J645" t="s">
        <v>6289</v>
      </c>
    </row>
    <row r="646" spans="1:10">
      <c r="A646">
        <v>1565</v>
      </c>
      <c r="B646" t="s">
        <v>4895</v>
      </c>
      <c r="C646">
        <v>8.51</v>
      </c>
      <c r="D646">
        <v>26.13</v>
      </c>
      <c r="E646">
        <v>1.34</v>
      </c>
      <c r="F646">
        <v>0.87</v>
      </c>
      <c r="G646">
        <v>645</v>
      </c>
      <c r="H646">
        <v>206</v>
      </c>
      <c r="I646">
        <v>128</v>
      </c>
      <c r="J646">
        <v>201</v>
      </c>
    </row>
    <row r="647" spans="1:10">
      <c r="A647">
        <v>3587</v>
      </c>
      <c r="B647" t="s">
        <v>5461</v>
      </c>
      <c r="C647">
        <v>8.5</v>
      </c>
      <c r="D647">
        <v>2.2999999999999998</v>
      </c>
      <c r="E647">
        <v>0.22</v>
      </c>
      <c r="F647">
        <v>1.24</v>
      </c>
      <c r="G647">
        <v>646</v>
      </c>
      <c r="H647">
        <v>992</v>
      </c>
      <c r="I647">
        <v>537</v>
      </c>
      <c r="J647">
        <v>177</v>
      </c>
    </row>
    <row r="648" spans="1:10">
      <c r="A648">
        <v>2368</v>
      </c>
      <c r="B648" t="s">
        <v>5073</v>
      </c>
      <c r="C648">
        <v>8.4700000000000006</v>
      </c>
      <c r="D648">
        <v>17.309999999999999</v>
      </c>
      <c r="E648">
        <v>0.77</v>
      </c>
      <c r="F648">
        <v>12.88</v>
      </c>
      <c r="G648">
        <v>647</v>
      </c>
      <c r="H648">
        <v>320</v>
      </c>
      <c r="I648">
        <v>226</v>
      </c>
      <c r="J648">
        <v>8</v>
      </c>
    </row>
    <row r="649" spans="1:10">
      <c r="A649">
        <v>6469</v>
      </c>
      <c r="B649" t="s">
        <v>5885</v>
      </c>
      <c r="C649">
        <v>8.4700000000000006</v>
      </c>
      <c r="D649">
        <v>5.16</v>
      </c>
      <c r="E649">
        <v>0.11</v>
      </c>
      <c r="F649">
        <v>1.28</v>
      </c>
      <c r="G649">
        <v>647</v>
      </c>
      <c r="H649">
        <v>761</v>
      </c>
      <c r="I649">
        <v>708</v>
      </c>
      <c r="J649">
        <v>172</v>
      </c>
    </row>
    <row r="650" spans="1:10">
      <c r="A650">
        <v>3030</v>
      </c>
      <c r="B650" t="s">
        <v>5290</v>
      </c>
      <c r="C650">
        <v>8.43</v>
      </c>
      <c r="D650">
        <v>18.38</v>
      </c>
      <c r="E650">
        <v>0.22</v>
      </c>
      <c r="F650">
        <v>0.02</v>
      </c>
      <c r="G650">
        <v>649</v>
      </c>
      <c r="H650">
        <v>299</v>
      </c>
      <c r="I650">
        <v>537</v>
      </c>
      <c r="J650">
        <v>473</v>
      </c>
    </row>
    <row r="651" spans="1:10">
      <c r="A651">
        <v>8222</v>
      </c>
      <c r="B651" t="s">
        <v>6006</v>
      </c>
      <c r="C651">
        <v>8.43</v>
      </c>
      <c r="D651">
        <v>0.69</v>
      </c>
      <c r="E651">
        <v>0.03</v>
      </c>
      <c r="F651">
        <v>0</v>
      </c>
      <c r="G651">
        <v>649</v>
      </c>
      <c r="H651">
        <v>1273</v>
      </c>
      <c r="I651">
        <v>978</v>
      </c>
      <c r="J651" t="s">
        <v>6289</v>
      </c>
    </row>
    <row r="652" spans="1:10">
      <c r="A652">
        <v>2327</v>
      </c>
      <c r="B652" t="s">
        <v>5045</v>
      </c>
      <c r="C652">
        <v>8.42</v>
      </c>
      <c r="D652">
        <v>42.18</v>
      </c>
      <c r="E652">
        <v>4.79</v>
      </c>
      <c r="F652">
        <v>2.16</v>
      </c>
      <c r="G652">
        <v>651</v>
      </c>
      <c r="H652">
        <v>109</v>
      </c>
      <c r="I652">
        <v>27</v>
      </c>
      <c r="J652">
        <v>124</v>
      </c>
    </row>
    <row r="653" spans="1:10">
      <c r="A653">
        <v>3037</v>
      </c>
      <c r="B653" t="s">
        <v>5297</v>
      </c>
      <c r="C653">
        <v>8.4</v>
      </c>
      <c r="D653">
        <v>40.35</v>
      </c>
      <c r="E653">
        <v>0.96</v>
      </c>
      <c r="F653">
        <v>8.1199999999999992</v>
      </c>
      <c r="G653">
        <v>652</v>
      </c>
      <c r="H653">
        <v>117</v>
      </c>
      <c r="I653">
        <v>180</v>
      </c>
      <c r="J653">
        <v>24</v>
      </c>
    </row>
    <row r="654" spans="1:10">
      <c r="A654">
        <v>3303</v>
      </c>
      <c r="B654" t="s">
        <v>5375</v>
      </c>
      <c r="C654">
        <v>8.39</v>
      </c>
      <c r="D654">
        <v>4.76</v>
      </c>
      <c r="E654">
        <v>7.0000000000000007E-2</v>
      </c>
      <c r="F654">
        <v>0</v>
      </c>
      <c r="G654">
        <v>653</v>
      </c>
      <c r="H654">
        <v>789</v>
      </c>
      <c r="I654">
        <v>824</v>
      </c>
      <c r="J654" t="s">
        <v>6289</v>
      </c>
    </row>
    <row r="655" spans="1:10">
      <c r="A655">
        <v>6155</v>
      </c>
      <c r="B655" t="s">
        <v>5777</v>
      </c>
      <c r="C655">
        <v>8.3800000000000008</v>
      </c>
      <c r="D655">
        <v>2.09</v>
      </c>
      <c r="E655">
        <v>0.02</v>
      </c>
      <c r="F655">
        <v>0</v>
      </c>
      <c r="G655">
        <v>654</v>
      </c>
      <c r="H655">
        <v>1017</v>
      </c>
      <c r="I655">
        <v>1051</v>
      </c>
      <c r="J655" t="s">
        <v>6289</v>
      </c>
    </row>
    <row r="656" spans="1:10">
      <c r="A656">
        <v>1417</v>
      </c>
      <c r="B656" t="s">
        <v>4835</v>
      </c>
      <c r="C656">
        <v>8.35</v>
      </c>
      <c r="D656">
        <v>2.79</v>
      </c>
      <c r="E656">
        <v>0.05</v>
      </c>
      <c r="F656">
        <v>0</v>
      </c>
      <c r="G656">
        <v>655</v>
      </c>
      <c r="H656">
        <v>937</v>
      </c>
      <c r="I656">
        <v>896</v>
      </c>
      <c r="J656" t="s">
        <v>6289</v>
      </c>
    </row>
    <row r="657" spans="1:10">
      <c r="A657">
        <v>3081</v>
      </c>
      <c r="B657" t="s">
        <v>5317</v>
      </c>
      <c r="C657">
        <v>8.35</v>
      </c>
      <c r="D657">
        <v>50.5</v>
      </c>
      <c r="E657">
        <v>0.88</v>
      </c>
      <c r="F657">
        <v>0.14000000000000001</v>
      </c>
      <c r="G657">
        <v>655</v>
      </c>
      <c r="H657">
        <v>77</v>
      </c>
      <c r="I657">
        <v>194</v>
      </c>
      <c r="J657">
        <v>351</v>
      </c>
    </row>
    <row r="658" spans="1:10">
      <c r="A658">
        <v>8066</v>
      </c>
      <c r="B658" t="s">
        <v>6312</v>
      </c>
      <c r="C658">
        <v>8.35</v>
      </c>
      <c r="D658">
        <v>3.97</v>
      </c>
      <c r="E658">
        <v>0.21</v>
      </c>
      <c r="F658">
        <v>0</v>
      </c>
      <c r="G658">
        <v>655</v>
      </c>
      <c r="H658">
        <v>836</v>
      </c>
      <c r="I658">
        <v>550</v>
      </c>
      <c r="J658" t="s">
        <v>6289</v>
      </c>
    </row>
    <row r="659" spans="1:10">
      <c r="A659">
        <v>2913</v>
      </c>
      <c r="B659" t="s">
        <v>5262</v>
      </c>
      <c r="C659">
        <v>8.3000000000000007</v>
      </c>
      <c r="D659">
        <v>7.27</v>
      </c>
      <c r="E659">
        <v>0.05</v>
      </c>
      <c r="F659">
        <v>0.04</v>
      </c>
      <c r="G659">
        <v>658</v>
      </c>
      <c r="H659">
        <v>618</v>
      </c>
      <c r="I659">
        <v>896</v>
      </c>
      <c r="J659">
        <v>437</v>
      </c>
    </row>
    <row r="660" spans="1:10">
      <c r="A660">
        <v>1225</v>
      </c>
      <c r="B660" t="s">
        <v>4792</v>
      </c>
      <c r="C660">
        <v>8.25</v>
      </c>
      <c r="D660">
        <v>0.69</v>
      </c>
      <c r="E660">
        <v>0.03</v>
      </c>
      <c r="F660">
        <v>0</v>
      </c>
      <c r="G660">
        <v>659</v>
      </c>
      <c r="H660">
        <v>1273</v>
      </c>
      <c r="I660">
        <v>978</v>
      </c>
      <c r="J660" t="s">
        <v>6289</v>
      </c>
    </row>
    <row r="661" spans="1:10">
      <c r="A661">
        <v>2312</v>
      </c>
      <c r="B661" t="s">
        <v>5039</v>
      </c>
      <c r="C661">
        <v>8.2100000000000009</v>
      </c>
      <c r="D661">
        <v>10.45</v>
      </c>
      <c r="E661">
        <v>7.0000000000000007E-2</v>
      </c>
      <c r="F661">
        <v>0.02</v>
      </c>
      <c r="G661">
        <v>660</v>
      </c>
      <c r="H661">
        <v>482</v>
      </c>
      <c r="I661">
        <v>824</v>
      </c>
      <c r="J661">
        <v>473</v>
      </c>
    </row>
    <row r="662" spans="1:10">
      <c r="A662">
        <v>3581</v>
      </c>
      <c r="B662" t="s">
        <v>5459</v>
      </c>
      <c r="C662">
        <v>8.1999999999999993</v>
      </c>
      <c r="D662">
        <v>7.71</v>
      </c>
      <c r="E662">
        <v>0</v>
      </c>
      <c r="F662">
        <v>0</v>
      </c>
      <c r="G662">
        <v>661</v>
      </c>
      <c r="H662">
        <v>593</v>
      </c>
      <c r="I662" t="s">
        <v>6289</v>
      </c>
      <c r="J662" t="s">
        <v>6289</v>
      </c>
    </row>
    <row r="663" spans="1:10">
      <c r="A663">
        <v>3188</v>
      </c>
      <c r="B663" t="s">
        <v>5340</v>
      </c>
      <c r="C663">
        <v>8.19</v>
      </c>
      <c r="D663">
        <v>0.24</v>
      </c>
      <c r="E663">
        <v>0.03</v>
      </c>
      <c r="F663">
        <v>0</v>
      </c>
      <c r="G663">
        <v>662</v>
      </c>
      <c r="H663">
        <v>1403</v>
      </c>
      <c r="I663">
        <v>978</v>
      </c>
      <c r="J663" t="s">
        <v>6289</v>
      </c>
    </row>
    <row r="664" spans="1:10">
      <c r="A664">
        <v>1528</v>
      </c>
      <c r="B664" t="s">
        <v>4881</v>
      </c>
      <c r="C664">
        <v>8.16</v>
      </c>
      <c r="D664">
        <v>1.45</v>
      </c>
      <c r="E664">
        <v>0.02</v>
      </c>
      <c r="F664">
        <v>0</v>
      </c>
      <c r="G664">
        <v>663</v>
      </c>
      <c r="H664">
        <v>1120</v>
      </c>
      <c r="I664">
        <v>1051</v>
      </c>
      <c r="J664" t="s">
        <v>6289</v>
      </c>
    </row>
    <row r="665" spans="1:10">
      <c r="A665">
        <v>1733</v>
      </c>
      <c r="B665" t="s">
        <v>4946</v>
      </c>
      <c r="C665">
        <v>8.14</v>
      </c>
      <c r="D665">
        <v>6.86</v>
      </c>
      <c r="E665">
        <v>2.23</v>
      </c>
      <c r="F665">
        <v>0</v>
      </c>
      <c r="G665">
        <v>664</v>
      </c>
      <c r="H665">
        <v>642</v>
      </c>
      <c r="I665">
        <v>73</v>
      </c>
      <c r="J665" t="s">
        <v>6289</v>
      </c>
    </row>
    <row r="666" spans="1:10">
      <c r="A666">
        <v>2221</v>
      </c>
      <c r="B666" t="s">
        <v>5023</v>
      </c>
      <c r="C666">
        <v>8.11</v>
      </c>
      <c r="D666">
        <v>4.84</v>
      </c>
      <c r="E666">
        <v>0.04</v>
      </c>
      <c r="F666">
        <v>0</v>
      </c>
      <c r="G666">
        <v>665</v>
      </c>
      <c r="H666">
        <v>785</v>
      </c>
      <c r="I666">
        <v>936</v>
      </c>
      <c r="J666" t="s">
        <v>6289</v>
      </c>
    </row>
    <row r="667" spans="1:10">
      <c r="A667">
        <v>6141</v>
      </c>
      <c r="B667" t="s">
        <v>5768</v>
      </c>
      <c r="C667">
        <v>8.1</v>
      </c>
      <c r="D667">
        <v>3.49</v>
      </c>
      <c r="E667">
        <v>0.2</v>
      </c>
      <c r="F667">
        <v>0</v>
      </c>
      <c r="G667">
        <v>666</v>
      </c>
      <c r="H667">
        <v>866</v>
      </c>
      <c r="I667">
        <v>558</v>
      </c>
      <c r="J667" t="s">
        <v>6289</v>
      </c>
    </row>
    <row r="668" spans="1:10">
      <c r="A668">
        <v>1220</v>
      </c>
      <c r="B668" t="s">
        <v>4791</v>
      </c>
      <c r="C668">
        <v>8.0399999999999991</v>
      </c>
      <c r="D668">
        <v>7.17</v>
      </c>
      <c r="E668">
        <v>0.03</v>
      </c>
      <c r="F668">
        <v>0</v>
      </c>
      <c r="G668">
        <v>667</v>
      </c>
      <c r="H668">
        <v>629</v>
      </c>
      <c r="I668">
        <v>978</v>
      </c>
      <c r="J668" t="s">
        <v>6289</v>
      </c>
    </row>
    <row r="669" spans="1:10">
      <c r="A669">
        <v>3048</v>
      </c>
      <c r="B669" t="s">
        <v>5305</v>
      </c>
      <c r="C669">
        <v>8.0399999999999991</v>
      </c>
      <c r="D669">
        <v>5.3</v>
      </c>
      <c r="E669">
        <v>0.06</v>
      </c>
      <c r="F669">
        <v>0</v>
      </c>
      <c r="G669">
        <v>667</v>
      </c>
      <c r="H669">
        <v>752</v>
      </c>
      <c r="I669">
        <v>852</v>
      </c>
      <c r="J669" t="s">
        <v>6289</v>
      </c>
    </row>
    <row r="670" spans="1:10">
      <c r="A670">
        <v>5328</v>
      </c>
      <c r="B670" t="s">
        <v>5679</v>
      </c>
      <c r="C670">
        <v>8.0299999999999994</v>
      </c>
      <c r="D670">
        <v>0.57999999999999996</v>
      </c>
      <c r="E670">
        <v>0</v>
      </c>
      <c r="F670">
        <v>0</v>
      </c>
      <c r="G670">
        <v>669</v>
      </c>
      <c r="H670">
        <v>1300</v>
      </c>
      <c r="I670" t="s">
        <v>6289</v>
      </c>
      <c r="J670" t="s">
        <v>6289</v>
      </c>
    </row>
    <row r="671" spans="1:10">
      <c r="A671">
        <v>6186</v>
      </c>
      <c r="B671" t="s">
        <v>5798</v>
      </c>
      <c r="C671">
        <v>8.02</v>
      </c>
      <c r="D671">
        <v>0.28000000000000003</v>
      </c>
      <c r="E671">
        <v>0</v>
      </c>
      <c r="F671">
        <v>0</v>
      </c>
      <c r="G671">
        <v>670</v>
      </c>
      <c r="H671">
        <v>1390</v>
      </c>
      <c r="I671" t="s">
        <v>6289</v>
      </c>
      <c r="J671" t="s">
        <v>6289</v>
      </c>
    </row>
    <row r="672" spans="1:10">
      <c r="A672">
        <v>2908</v>
      </c>
      <c r="B672" t="s">
        <v>5258</v>
      </c>
      <c r="C672">
        <v>8.01</v>
      </c>
      <c r="D672">
        <v>3.89</v>
      </c>
      <c r="E672">
        <v>0</v>
      </c>
      <c r="F672">
        <v>0</v>
      </c>
      <c r="G672">
        <v>671</v>
      </c>
      <c r="H672">
        <v>841</v>
      </c>
      <c r="I672" t="s">
        <v>6289</v>
      </c>
      <c r="J672" t="s">
        <v>6289</v>
      </c>
    </row>
    <row r="673" spans="1:10">
      <c r="A673">
        <v>6732</v>
      </c>
      <c r="B673" t="s">
        <v>5946</v>
      </c>
      <c r="C673">
        <v>8.01</v>
      </c>
      <c r="D673">
        <v>5.98</v>
      </c>
      <c r="E673">
        <v>0.02</v>
      </c>
      <c r="F673">
        <v>2.4900000000000002</v>
      </c>
      <c r="G673">
        <v>671</v>
      </c>
      <c r="H673">
        <v>702</v>
      </c>
      <c r="I673">
        <v>1051</v>
      </c>
      <c r="J673">
        <v>105</v>
      </c>
    </row>
    <row r="674" spans="1:10">
      <c r="A674">
        <v>6194</v>
      </c>
      <c r="B674" t="s">
        <v>6313</v>
      </c>
      <c r="C674">
        <v>7.98</v>
      </c>
      <c r="D674">
        <v>0.48</v>
      </c>
      <c r="E674">
        <v>0.03</v>
      </c>
      <c r="F674">
        <v>0.11</v>
      </c>
      <c r="G674">
        <v>673</v>
      </c>
      <c r="H674">
        <v>1331</v>
      </c>
      <c r="I674">
        <v>978</v>
      </c>
      <c r="J674">
        <v>374</v>
      </c>
    </row>
    <row r="675" spans="1:10">
      <c r="A675">
        <v>6139</v>
      </c>
      <c r="B675" t="s">
        <v>5766</v>
      </c>
      <c r="C675">
        <v>7.96</v>
      </c>
      <c r="D675">
        <v>16.73</v>
      </c>
      <c r="E675">
        <v>0.12</v>
      </c>
      <c r="F675">
        <v>0.08</v>
      </c>
      <c r="G675">
        <v>674</v>
      </c>
      <c r="H675">
        <v>333</v>
      </c>
      <c r="I675">
        <v>683</v>
      </c>
      <c r="J675">
        <v>401</v>
      </c>
    </row>
    <row r="676" spans="1:10">
      <c r="A676">
        <v>4543</v>
      </c>
      <c r="B676" t="s">
        <v>5570</v>
      </c>
      <c r="C676">
        <v>7.93</v>
      </c>
      <c r="D676">
        <v>6.47</v>
      </c>
      <c r="E676">
        <v>0</v>
      </c>
      <c r="F676">
        <v>0</v>
      </c>
      <c r="G676">
        <v>675</v>
      </c>
      <c r="H676">
        <v>676</v>
      </c>
      <c r="I676" t="s">
        <v>6289</v>
      </c>
      <c r="J676" t="s">
        <v>6289</v>
      </c>
    </row>
    <row r="677" spans="1:10">
      <c r="A677">
        <v>4175</v>
      </c>
      <c r="B677" t="s">
        <v>5544</v>
      </c>
      <c r="C677">
        <v>7.91</v>
      </c>
      <c r="D677">
        <v>0.41</v>
      </c>
      <c r="E677">
        <v>0.09</v>
      </c>
      <c r="F677">
        <v>0.28999999999999998</v>
      </c>
      <c r="G677">
        <v>676</v>
      </c>
      <c r="H677">
        <v>1351</v>
      </c>
      <c r="I677">
        <v>762</v>
      </c>
      <c r="J677">
        <v>304</v>
      </c>
    </row>
    <row r="678" spans="1:10">
      <c r="A678">
        <v>1909</v>
      </c>
      <c r="B678" t="s">
        <v>4976</v>
      </c>
      <c r="C678">
        <v>7.9</v>
      </c>
      <c r="D678">
        <v>10.62</v>
      </c>
      <c r="E678">
        <v>0.05</v>
      </c>
      <c r="F678">
        <v>0</v>
      </c>
      <c r="G678">
        <v>677</v>
      </c>
      <c r="H678">
        <v>477</v>
      </c>
      <c r="I678">
        <v>896</v>
      </c>
      <c r="J678" t="s">
        <v>6289</v>
      </c>
    </row>
    <row r="679" spans="1:10">
      <c r="A679">
        <v>6457</v>
      </c>
      <c r="B679" t="s">
        <v>5881</v>
      </c>
      <c r="C679">
        <v>7.9</v>
      </c>
      <c r="D679">
        <v>4.4000000000000004</v>
      </c>
      <c r="E679">
        <v>0.09</v>
      </c>
      <c r="F679">
        <v>0</v>
      </c>
      <c r="G679">
        <v>677</v>
      </c>
      <c r="H679">
        <v>813</v>
      </c>
      <c r="I679">
        <v>762</v>
      </c>
      <c r="J679" t="s">
        <v>6289</v>
      </c>
    </row>
    <row r="680" spans="1:10">
      <c r="A680">
        <v>1514</v>
      </c>
      <c r="B680" t="s">
        <v>4870</v>
      </c>
      <c r="C680">
        <v>7.88</v>
      </c>
      <c r="D680">
        <v>8.34</v>
      </c>
      <c r="E680">
        <v>0.11</v>
      </c>
      <c r="F680">
        <v>0.11</v>
      </c>
      <c r="G680">
        <v>679</v>
      </c>
      <c r="H680">
        <v>573</v>
      </c>
      <c r="I680">
        <v>708</v>
      </c>
      <c r="J680">
        <v>374</v>
      </c>
    </row>
    <row r="681" spans="1:10">
      <c r="A681">
        <v>4989</v>
      </c>
      <c r="B681" t="s">
        <v>5641</v>
      </c>
      <c r="C681">
        <v>7.86</v>
      </c>
      <c r="D681">
        <v>1.08</v>
      </c>
      <c r="E681">
        <v>0.38</v>
      </c>
      <c r="F681">
        <v>0.12</v>
      </c>
      <c r="G681">
        <v>680</v>
      </c>
      <c r="H681">
        <v>1191</v>
      </c>
      <c r="I681">
        <v>391</v>
      </c>
      <c r="J681">
        <v>362</v>
      </c>
    </row>
    <row r="682" spans="1:10">
      <c r="A682">
        <v>1447</v>
      </c>
      <c r="B682" t="s">
        <v>4848</v>
      </c>
      <c r="C682">
        <v>7.85</v>
      </c>
      <c r="D682">
        <v>5.92</v>
      </c>
      <c r="E682">
        <v>0.06</v>
      </c>
      <c r="F682">
        <v>0</v>
      </c>
      <c r="G682">
        <v>681</v>
      </c>
      <c r="H682">
        <v>706</v>
      </c>
      <c r="I682">
        <v>852</v>
      </c>
      <c r="J682" t="s">
        <v>6289</v>
      </c>
    </row>
    <row r="683" spans="1:10">
      <c r="A683">
        <v>1580</v>
      </c>
      <c r="B683" t="s">
        <v>4899</v>
      </c>
      <c r="C683">
        <v>7.84</v>
      </c>
      <c r="D683">
        <v>7.27</v>
      </c>
      <c r="E683">
        <v>0.05</v>
      </c>
      <c r="F683">
        <v>0.18</v>
      </c>
      <c r="G683">
        <v>682</v>
      </c>
      <c r="H683">
        <v>618</v>
      </c>
      <c r="I683">
        <v>896</v>
      </c>
      <c r="J683">
        <v>334</v>
      </c>
    </row>
    <row r="684" spans="1:10">
      <c r="A684">
        <v>8938</v>
      </c>
      <c r="B684" t="s">
        <v>6067</v>
      </c>
      <c r="C684">
        <v>7.76</v>
      </c>
      <c r="D684">
        <v>12.17</v>
      </c>
      <c r="E684">
        <v>1.4</v>
      </c>
      <c r="F684">
        <v>0.35</v>
      </c>
      <c r="G684">
        <v>683</v>
      </c>
      <c r="H684">
        <v>423</v>
      </c>
      <c r="I684">
        <v>122</v>
      </c>
      <c r="J684">
        <v>284</v>
      </c>
    </row>
    <row r="685" spans="1:10">
      <c r="A685">
        <v>2208</v>
      </c>
      <c r="B685" t="s">
        <v>5021</v>
      </c>
      <c r="C685">
        <v>7.75</v>
      </c>
      <c r="D685">
        <v>5.37</v>
      </c>
      <c r="E685">
        <v>0.02</v>
      </c>
      <c r="F685">
        <v>0.03</v>
      </c>
      <c r="G685">
        <v>684</v>
      </c>
      <c r="H685">
        <v>745</v>
      </c>
      <c r="I685">
        <v>1051</v>
      </c>
      <c r="J685">
        <v>458</v>
      </c>
    </row>
    <row r="686" spans="1:10">
      <c r="A686">
        <v>1806</v>
      </c>
      <c r="B686" t="s">
        <v>4965</v>
      </c>
      <c r="C686">
        <v>7.74</v>
      </c>
      <c r="D686">
        <v>9.86</v>
      </c>
      <c r="E686">
        <v>0.02</v>
      </c>
      <c r="F686">
        <v>0.12</v>
      </c>
      <c r="G686">
        <v>685</v>
      </c>
      <c r="H686">
        <v>505</v>
      </c>
      <c r="I686">
        <v>1051</v>
      </c>
      <c r="J686">
        <v>362</v>
      </c>
    </row>
    <row r="687" spans="1:10">
      <c r="A687">
        <v>3257</v>
      </c>
      <c r="B687" t="s">
        <v>5360</v>
      </c>
      <c r="C687">
        <v>7.74</v>
      </c>
      <c r="D687">
        <v>6.56</v>
      </c>
      <c r="E687">
        <v>1.2</v>
      </c>
      <c r="F687">
        <v>0</v>
      </c>
      <c r="G687">
        <v>685</v>
      </c>
      <c r="H687">
        <v>667</v>
      </c>
      <c r="I687">
        <v>140</v>
      </c>
      <c r="J687" t="s">
        <v>6289</v>
      </c>
    </row>
    <row r="688" spans="1:10">
      <c r="A688">
        <v>2409</v>
      </c>
      <c r="B688" t="s">
        <v>5098</v>
      </c>
      <c r="C688">
        <v>7.73</v>
      </c>
      <c r="D688">
        <v>23.13</v>
      </c>
      <c r="E688">
        <v>2.15</v>
      </c>
      <c r="F688">
        <v>5.09</v>
      </c>
      <c r="G688">
        <v>687</v>
      </c>
      <c r="H688">
        <v>238</v>
      </c>
      <c r="I688">
        <v>74</v>
      </c>
      <c r="J688">
        <v>58</v>
      </c>
    </row>
    <row r="689" spans="1:10">
      <c r="A689">
        <v>4207</v>
      </c>
      <c r="B689" t="s">
        <v>5546</v>
      </c>
      <c r="C689">
        <v>7.72</v>
      </c>
      <c r="D689">
        <v>0.55000000000000004</v>
      </c>
      <c r="E689">
        <v>0</v>
      </c>
      <c r="F689">
        <v>0</v>
      </c>
      <c r="G689">
        <v>688</v>
      </c>
      <c r="H689">
        <v>1308</v>
      </c>
      <c r="I689" t="s">
        <v>6289</v>
      </c>
      <c r="J689" t="s">
        <v>6289</v>
      </c>
    </row>
    <row r="690" spans="1:10">
      <c r="A690">
        <v>3293</v>
      </c>
      <c r="B690" t="s">
        <v>5371</v>
      </c>
      <c r="C690">
        <v>7.7</v>
      </c>
      <c r="D690">
        <v>29.23</v>
      </c>
      <c r="E690">
        <v>2.78</v>
      </c>
      <c r="F690">
        <v>0.72</v>
      </c>
      <c r="G690">
        <v>689</v>
      </c>
      <c r="H690">
        <v>186</v>
      </c>
      <c r="I690">
        <v>53</v>
      </c>
      <c r="J690">
        <v>231</v>
      </c>
    </row>
    <row r="691" spans="1:10">
      <c r="A691">
        <v>8905</v>
      </c>
      <c r="B691" t="s">
        <v>6057</v>
      </c>
      <c r="C691">
        <v>7.69</v>
      </c>
      <c r="D691">
        <v>1.4</v>
      </c>
      <c r="E691">
        <v>0.08</v>
      </c>
      <c r="F691">
        <v>0</v>
      </c>
      <c r="G691">
        <v>690</v>
      </c>
      <c r="H691">
        <v>1134</v>
      </c>
      <c r="I691">
        <v>789</v>
      </c>
      <c r="J691" t="s">
        <v>6289</v>
      </c>
    </row>
    <row r="692" spans="1:10">
      <c r="A692">
        <v>1416</v>
      </c>
      <c r="B692" t="s">
        <v>4834</v>
      </c>
      <c r="C692">
        <v>7.67</v>
      </c>
      <c r="D692">
        <v>9.08</v>
      </c>
      <c r="E692">
        <v>0.03</v>
      </c>
      <c r="F692">
        <v>0</v>
      </c>
      <c r="G692">
        <v>691</v>
      </c>
      <c r="H692">
        <v>536</v>
      </c>
      <c r="I692">
        <v>978</v>
      </c>
      <c r="J692" t="s">
        <v>6289</v>
      </c>
    </row>
    <row r="693" spans="1:10">
      <c r="A693">
        <v>8478</v>
      </c>
      <c r="B693" t="s">
        <v>6050</v>
      </c>
      <c r="C693">
        <v>7.67</v>
      </c>
      <c r="D693">
        <v>42.99</v>
      </c>
      <c r="E693">
        <v>0.3</v>
      </c>
      <c r="F693">
        <v>0.78</v>
      </c>
      <c r="G693">
        <v>691</v>
      </c>
      <c r="H693">
        <v>101</v>
      </c>
      <c r="I693">
        <v>466</v>
      </c>
      <c r="J693">
        <v>215</v>
      </c>
    </row>
    <row r="694" spans="1:10">
      <c r="A694">
        <v>3033</v>
      </c>
      <c r="B694" t="s">
        <v>5293</v>
      </c>
      <c r="C694">
        <v>7.64</v>
      </c>
      <c r="D694">
        <v>8.2899999999999991</v>
      </c>
      <c r="E694">
        <v>0</v>
      </c>
      <c r="F694">
        <v>0.01</v>
      </c>
      <c r="G694">
        <v>693</v>
      </c>
      <c r="H694">
        <v>574</v>
      </c>
      <c r="I694" t="s">
        <v>6289</v>
      </c>
      <c r="J694">
        <v>491</v>
      </c>
    </row>
    <row r="695" spans="1:10">
      <c r="A695">
        <v>1517</v>
      </c>
      <c r="B695" t="s">
        <v>4873</v>
      </c>
      <c r="C695">
        <v>7.62</v>
      </c>
      <c r="D695">
        <v>2.19</v>
      </c>
      <c r="E695">
        <v>0.44</v>
      </c>
      <c r="F695">
        <v>0</v>
      </c>
      <c r="G695">
        <v>694</v>
      </c>
      <c r="H695">
        <v>1000</v>
      </c>
      <c r="I695">
        <v>350</v>
      </c>
      <c r="J695" t="s">
        <v>6289</v>
      </c>
    </row>
    <row r="696" spans="1:10">
      <c r="A696">
        <v>2515</v>
      </c>
      <c r="B696" t="s">
        <v>5166</v>
      </c>
      <c r="C696">
        <v>7.6</v>
      </c>
      <c r="D696">
        <v>15.46</v>
      </c>
      <c r="E696">
        <v>0.28999999999999998</v>
      </c>
      <c r="F696">
        <v>0.13</v>
      </c>
      <c r="G696">
        <v>695</v>
      </c>
      <c r="H696">
        <v>344</v>
      </c>
      <c r="I696">
        <v>474</v>
      </c>
      <c r="J696">
        <v>357</v>
      </c>
    </row>
    <row r="697" spans="1:10">
      <c r="A697">
        <v>4420</v>
      </c>
      <c r="B697" t="s">
        <v>6220</v>
      </c>
      <c r="C697">
        <v>7.6</v>
      </c>
      <c r="D697">
        <v>0.36</v>
      </c>
      <c r="E697">
        <v>0</v>
      </c>
      <c r="F697">
        <v>0</v>
      </c>
      <c r="G697">
        <v>695</v>
      </c>
      <c r="H697">
        <v>1369</v>
      </c>
      <c r="I697" t="s">
        <v>6289</v>
      </c>
      <c r="J697" t="s">
        <v>6289</v>
      </c>
    </row>
    <row r="698" spans="1:10">
      <c r="A698">
        <v>1423</v>
      </c>
      <c r="B698" t="s">
        <v>4837</v>
      </c>
      <c r="C698">
        <v>7.55</v>
      </c>
      <c r="D698">
        <v>1.2</v>
      </c>
      <c r="E698">
        <v>0.04</v>
      </c>
      <c r="F698">
        <v>0</v>
      </c>
      <c r="G698">
        <v>697</v>
      </c>
      <c r="H698">
        <v>1170</v>
      </c>
      <c r="I698">
        <v>936</v>
      </c>
      <c r="J698" t="s">
        <v>6289</v>
      </c>
    </row>
    <row r="699" spans="1:10">
      <c r="A699">
        <v>6525</v>
      </c>
      <c r="B699" t="s">
        <v>5904</v>
      </c>
      <c r="C699">
        <v>7.54</v>
      </c>
      <c r="D699">
        <v>13.44</v>
      </c>
      <c r="E699">
        <v>0.03</v>
      </c>
      <c r="F699">
        <v>0.57999999999999996</v>
      </c>
      <c r="G699">
        <v>698</v>
      </c>
      <c r="H699">
        <v>388</v>
      </c>
      <c r="I699">
        <v>978</v>
      </c>
      <c r="J699">
        <v>245</v>
      </c>
    </row>
    <row r="700" spans="1:10">
      <c r="A700">
        <v>4190</v>
      </c>
      <c r="B700" t="s">
        <v>5545</v>
      </c>
      <c r="C700">
        <v>7.52</v>
      </c>
      <c r="D700">
        <v>63.67</v>
      </c>
      <c r="E700">
        <v>0.16</v>
      </c>
      <c r="F700">
        <v>0</v>
      </c>
      <c r="G700">
        <v>699</v>
      </c>
      <c r="H700">
        <v>39</v>
      </c>
      <c r="I700">
        <v>614</v>
      </c>
      <c r="J700" t="s">
        <v>6289</v>
      </c>
    </row>
    <row r="701" spans="1:10">
      <c r="A701">
        <v>8464</v>
      </c>
      <c r="B701" t="s">
        <v>6045</v>
      </c>
      <c r="C701">
        <v>7.51</v>
      </c>
      <c r="D701">
        <v>45.54</v>
      </c>
      <c r="E701">
        <v>0.12</v>
      </c>
      <c r="F701">
        <v>0.33</v>
      </c>
      <c r="G701">
        <v>700</v>
      </c>
      <c r="H701">
        <v>88</v>
      </c>
      <c r="I701">
        <v>683</v>
      </c>
      <c r="J701">
        <v>293</v>
      </c>
    </row>
    <row r="702" spans="1:10">
      <c r="A702">
        <v>2029</v>
      </c>
      <c r="B702" t="s">
        <v>4993</v>
      </c>
      <c r="C702">
        <v>7.5</v>
      </c>
      <c r="D702">
        <v>68.83</v>
      </c>
      <c r="E702">
        <v>0.28999999999999998</v>
      </c>
      <c r="F702">
        <v>0.14000000000000001</v>
      </c>
      <c r="G702">
        <v>701</v>
      </c>
      <c r="H702">
        <v>25</v>
      </c>
      <c r="I702">
        <v>474</v>
      </c>
      <c r="J702">
        <v>351</v>
      </c>
    </row>
    <row r="703" spans="1:10">
      <c r="A703">
        <v>4148</v>
      </c>
      <c r="B703" t="s">
        <v>5531</v>
      </c>
      <c r="C703">
        <v>7.48</v>
      </c>
      <c r="D703">
        <v>73.19</v>
      </c>
      <c r="E703">
        <v>0.11</v>
      </c>
      <c r="F703">
        <v>0.06</v>
      </c>
      <c r="G703">
        <v>702</v>
      </c>
      <c r="H703">
        <v>17</v>
      </c>
      <c r="I703">
        <v>708</v>
      </c>
      <c r="J703">
        <v>416</v>
      </c>
    </row>
    <row r="704" spans="1:10">
      <c r="A704">
        <v>4994</v>
      </c>
      <c r="B704" t="s">
        <v>5642</v>
      </c>
      <c r="C704">
        <v>7.48</v>
      </c>
      <c r="D704">
        <v>1.03</v>
      </c>
      <c r="E704">
        <v>0.11</v>
      </c>
      <c r="F704">
        <v>0</v>
      </c>
      <c r="G704">
        <v>702</v>
      </c>
      <c r="H704">
        <v>1197</v>
      </c>
      <c r="I704">
        <v>708</v>
      </c>
      <c r="J704" t="s">
        <v>6289</v>
      </c>
    </row>
    <row r="705" spans="1:10">
      <c r="A705">
        <v>3088</v>
      </c>
      <c r="B705" t="s">
        <v>5320</v>
      </c>
      <c r="C705">
        <v>7.46</v>
      </c>
      <c r="D705">
        <v>6.1</v>
      </c>
      <c r="E705">
        <v>0.05</v>
      </c>
      <c r="F705">
        <v>1.1599999999999999</v>
      </c>
      <c r="G705">
        <v>704</v>
      </c>
      <c r="H705">
        <v>695</v>
      </c>
      <c r="I705">
        <v>896</v>
      </c>
      <c r="J705">
        <v>182</v>
      </c>
    </row>
    <row r="706" spans="1:10">
      <c r="A706">
        <v>2017</v>
      </c>
      <c r="B706" t="s">
        <v>4987</v>
      </c>
      <c r="C706">
        <v>7.45</v>
      </c>
      <c r="D706">
        <v>0.95</v>
      </c>
      <c r="E706">
        <v>13.08</v>
      </c>
      <c r="F706">
        <v>0</v>
      </c>
      <c r="G706">
        <v>705</v>
      </c>
      <c r="H706">
        <v>1216</v>
      </c>
      <c r="I706">
        <v>3</v>
      </c>
      <c r="J706" t="s">
        <v>6289</v>
      </c>
    </row>
    <row r="707" spans="1:10">
      <c r="A707">
        <v>2303</v>
      </c>
      <c r="B707" t="s">
        <v>5036</v>
      </c>
      <c r="C707">
        <v>7.45</v>
      </c>
      <c r="D707">
        <v>30.93</v>
      </c>
      <c r="E707">
        <v>0.94</v>
      </c>
      <c r="F707">
        <v>2.83</v>
      </c>
      <c r="G707">
        <v>705</v>
      </c>
      <c r="H707">
        <v>173</v>
      </c>
      <c r="I707">
        <v>183</v>
      </c>
      <c r="J707">
        <v>92</v>
      </c>
    </row>
    <row r="708" spans="1:10">
      <c r="A708">
        <v>2376</v>
      </c>
      <c r="B708" t="s">
        <v>5079</v>
      </c>
      <c r="C708">
        <v>7.45</v>
      </c>
      <c r="D708">
        <v>20.21</v>
      </c>
      <c r="E708">
        <v>7.79</v>
      </c>
      <c r="F708">
        <v>5.78</v>
      </c>
      <c r="G708">
        <v>705</v>
      </c>
      <c r="H708">
        <v>280</v>
      </c>
      <c r="I708">
        <v>7</v>
      </c>
      <c r="J708">
        <v>38</v>
      </c>
    </row>
    <row r="709" spans="1:10">
      <c r="A709">
        <v>8163</v>
      </c>
      <c r="B709" t="s">
        <v>5998</v>
      </c>
      <c r="C709">
        <v>7.45</v>
      </c>
      <c r="D709">
        <v>13.08</v>
      </c>
      <c r="E709">
        <v>0.41</v>
      </c>
      <c r="F709">
        <v>7.0000000000000007E-2</v>
      </c>
      <c r="G709">
        <v>705</v>
      </c>
      <c r="H709">
        <v>399</v>
      </c>
      <c r="I709">
        <v>370</v>
      </c>
      <c r="J709">
        <v>407</v>
      </c>
    </row>
    <row r="710" spans="1:10">
      <c r="A710">
        <v>5607</v>
      </c>
      <c r="B710" t="s">
        <v>5725</v>
      </c>
      <c r="C710">
        <v>7.44</v>
      </c>
      <c r="D710">
        <v>4.71</v>
      </c>
      <c r="E710">
        <v>0</v>
      </c>
      <c r="F710">
        <v>0</v>
      </c>
      <c r="G710">
        <v>709</v>
      </c>
      <c r="H710">
        <v>795</v>
      </c>
      <c r="I710" t="s">
        <v>6289</v>
      </c>
      <c r="J710" t="s">
        <v>6289</v>
      </c>
    </row>
    <row r="711" spans="1:10">
      <c r="A711">
        <v>6664</v>
      </c>
      <c r="B711" t="s">
        <v>5933</v>
      </c>
      <c r="C711">
        <v>7.43</v>
      </c>
      <c r="D711">
        <v>2.98</v>
      </c>
      <c r="E711">
        <v>0.25</v>
      </c>
      <c r="F711">
        <v>0</v>
      </c>
      <c r="G711">
        <v>710</v>
      </c>
      <c r="H711">
        <v>924</v>
      </c>
      <c r="I711">
        <v>507</v>
      </c>
      <c r="J711" t="s">
        <v>6289</v>
      </c>
    </row>
    <row r="712" spans="1:10">
      <c r="A712">
        <v>2453</v>
      </c>
      <c r="B712" t="s">
        <v>5123</v>
      </c>
      <c r="C712">
        <v>7.41</v>
      </c>
      <c r="D712">
        <v>6.5</v>
      </c>
      <c r="E712">
        <v>0.85</v>
      </c>
      <c r="F712">
        <v>0.1</v>
      </c>
      <c r="G712">
        <v>711</v>
      </c>
      <c r="H712">
        <v>673</v>
      </c>
      <c r="I712">
        <v>207</v>
      </c>
      <c r="J712">
        <v>383</v>
      </c>
    </row>
    <row r="713" spans="1:10">
      <c r="A713">
        <v>4513</v>
      </c>
      <c r="B713" t="s">
        <v>5561</v>
      </c>
      <c r="C713">
        <v>7.41</v>
      </c>
      <c r="D713">
        <v>8.81</v>
      </c>
      <c r="E713">
        <v>0.48</v>
      </c>
      <c r="F713">
        <v>0</v>
      </c>
      <c r="G713">
        <v>711</v>
      </c>
      <c r="H713">
        <v>552</v>
      </c>
      <c r="I713">
        <v>329</v>
      </c>
      <c r="J713" t="s">
        <v>6289</v>
      </c>
    </row>
    <row r="714" spans="1:10">
      <c r="A714">
        <v>2344</v>
      </c>
      <c r="B714" t="s">
        <v>5055</v>
      </c>
      <c r="C714">
        <v>7.36</v>
      </c>
      <c r="D714">
        <v>25.44</v>
      </c>
      <c r="E714">
        <v>0.05</v>
      </c>
      <c r="F714">
        <v>0.47</v>
      </c>
      <c r="G714">
        <v>713</v>
      </c>
      <c r="H714">
        <v>216</v>
      </c>
      <c r="I714">
        <v>896</v>
      </c>
      <c r="J714">
        <v>257</v>
      </c>
    </row>
    <row r="715" spans="1:10">
      <c r="A715">
        <v>2351</v>
      </c>
      <c r="B715" t="s">
        <v>5059</v>
      </c>
      <c r="C715">
        <v>7.35</v>
      </c>
      <c r="D715">
        <v>18.36</v>
      </c>
      <c r="E715">
        <v>0.12</v>
      </c>
      <c r="F715">
        <v>8.4600000000000009</v>
      </c>
      <c r="G715">
        <v>714</v>
      </c>
      <c r="H715">
        <v>300</v>
      </c>
      <c r="I715">
        <v>683</v>
      </c>
      <c r="J715">
        <v>19</v>
      </c>
    </row>
    <row r="716" spans="1:10">
      <c r="A716">
        <v>1456</v>
      </c>
      <c r="B716" t="s">
        <v>4854</v>
      </c>
      <c r="C716">
        <v>7.33</v>
      </c>
      <c r="D716">
        <v>0.28000000000000003</v>
      </c>
      <c r="E716">
        <v>13.17</v>
      </c>
      <c r="F716">
        <v>0</v>
      </c>
      <c r="G716">
        <v>715</v>
      </c>
      <c r="H716">
        <v>1390</v>
      </c>
      <c r="I716">
        <v>2</v>
      </c>
      <c r="J716" t="s">
        <v>6289</v>
      </c>
    </row>
    <row r="717" spans="1:10">
      <c r="A717">
        <v>2316</v>
      </c>
      <c r="B717" t="s">
        <v>5041</v>
      </c>
      <c r="C717">
        <v>7.31</v>
      </c>
      <c r="D717">
        <v>26.82</v>
      </c>
      <c r="E717">
        <v>0.17</v>
      </c>
      <c r="F717">
        <v>0</v>
      </c>
      <c r="G717">
        <v>716</v>
      </c>
      <c r="H717">
        <v>202</v>
      </c>
      <c r="I717">
        <v>598</v>
      </c>
      <c r="J717" t="s">
        <v>6289</v>
      </c>
    </row>
    <row r="718" spans="1:10">
      <c r="A718">
        <v>4564</v>
      </c>
      <c r="B718" t="s">
        <v>5579</v>
      </c>
      <c r="C718">
        <v>7.3</v>
      </c>
      <c r="D718">
        <v>1.92</v>
      </c>
      <c r="E718">
        <v>0</v>
      </c>
      <c r="F718">
        <v>0</v>
      </c>
      <c r="G718">
        <v>717</v>
      </c>
      <c r="H718">
        <v>1044</v>
      </c>
      <c r="I718" t="s">
        <v>6289</v>
      </c>
      <c r="J718" t="s">
        <v>6289</v>
      </c>
    </row>
    <row r="719" spans="1:10">
      <c r="A719">
        <v>6743</v>
      </c>
      <c r="B719" t="s">
        <v>5948</v>
      </c>
      <c r="C719">
        <v>7.28</v>
      </c>
      <c r="D719">
        <v>3.68</v>
      </c>
      <c r="E719">
        <v>0</v>
      </c>
      <c r="F719">
        <v>0</v>
      </c>
      <c r="G719">
        <v>718</v>
      </c>
      <c r="H719">
        <v>851</v>
      </c>
      <c r="I719" t="s">
        <v>6289</v>
      </c>
      <c r="J719" t="s">
        <v>6289</v>
      </c>
    </row>
    <row r="720" spans="1:10">
      <c r="A720">
        <v>1608</v>
      </c>
      <c r="B720" t="s">
        <v>4916</v>
      </c>
      <c r="C720">
        <v>7.27</v>
      </c>
      <c r="D720">
        <v>1.32</v>
      </c>
      <c r="E720">
        <v>0.02</v>
      </c>
      <c r="F720">
        <v>0</v>
      </c>
      <c r="G720">
        <v>719</v>
      </c>
      <c r="H720">
        <v>1146</v>
      </c>
      <c r="I720">
        <v>1051</v>
      </c>
      <c r="J720" t="s">
        <v>6289</v>
      </c>
    </row>
    <row r="721" spans="1:10">
      <c r="A721">
        <v>2428</v>
      </c>
      <c r="B721" t="s">
        <v>5111</v>
      </c>
      <c r="C721">
        <v>7.27</v>
      </c>
      <c r="D721">
        <v>14.35</v>
      </c>
      <c r="E721">
        <v>0.04</v>
      </c>
      <c r="F721">
        <v>0.01</v>
      </c>
      <c r="G721">
        <v>719</v>
      </c>
      <c r="H721">
        <v>370</v>
      </c>
      <c r="I721">
        <v>936</v>
      </c>
      <c r="J721">
        <v>491</v>
      </c>
    </row>
    <row r="722" spans="1:10">
      <c r="A722">
        <v>8050</v>
      </c>
      <c r="B722" t="s">
        <v>5969</v>
      </c>
      <c r="C722">
        <v>7.27</v>
      </c>
      <c r="D722">
        <v>4.9400000000000004</v>
      </c>
      <c r="E722">
        <v>0.05</v>
      </c>
      <c r="F722">
        <v>0</v>
      </c>
      <c r="G722">
        <v>719</v>
      </c>
      <c r="H722">
        <v>777</v>
      </c>
      <c r="I722">
        <v>896</v>
      </c>
      <c r="J722" t="s">
        <v>6289</v>
      </c>
    </row>
    <row r="723" spans="1:10">
      <c r="A723">
        <v>8070</v>
      </c>
      <c r="B723" t="s">
        <v>5973</v>
      </c>
      <c r="C723">
        <v>7.24</v>
      </c>
      <c r="D723">
        <v>11.14</v>
      </c>
      <c r="E723">
        <v>0.02</v>
      </c>
      <c r="F723">
        <v>0</v>
      </c>
      <c r="G723">
        <v>722</v>
      </c>
      <c r="H723">
        <v>455</v>
      </c>
      <c r="I723">
        <v>1051</v>
      </c>
      <c r="J723" t="s">
        <v>6289</v>
      </c>
    </row>
    <row r="724" spans="1:10">
      <c r="A724">
        <v>6180</v>
      </c>
      <c r="B724" t="s">
        <v>5793</v>
      </c>
      <c r="C724">
        <v>7.22</v>
      </c>
      <c r="D724">
        <v>25.55</v>
      </c>
      <c r="E724">
        <v>0.01</v>
      </c>
      <c r="F724">
        <v>0.03</v>
      </c>
      <c r="G724">
        <v>723</v>
      </c>
      <c r="H724">
        <v>214</v>
      </c>
      <c r="I724">
        <v>1110</v>
      </c>
      <c r="J724">
        <v>458</v>
      </c>
    </row>
    <row r="725" spans="1:10">
      <c r="A725">
        <v>4735</v>
      </c>
      <c r="B725" t="s">
        <v>5595</v>
      </c>
      <c r="C725">
        <v>7.21</v>
      </c>
      <c r="D725">
        <v>0.67</v>
      </c>
      <c r="E725">
        <v>0.38</v>
      </c>
      <c r="F725">
        <v>0</v>
      </c>
      <c r="G725">
        <v>724</v>
      </c>
      <c r="H725">
        <v>1282</v>
      </c>
      <c r="I725">
        <v>391</v>
      </c>
      <c r="J725" t="s">
        <v>6289</v>
      </c>
    </row>
    <row r="726" spans="1:10">
      <c r="A726">
        <v>3054</v>
      </c>
      <c r="B726" t="s">
        <v>5309</v>
      </c>
      <c r="C726">
        <v>7.17</v>
      </c>
      <c r="D726">
        <v>0.52</v>
      </c>
      <c r="E726">
        <v>0.12</v>
      </c>
      <c r="F726">
        <v>0.02</v>
      </c>
      <c r="G726">
        <v>725</v>
      </c>
      <c r="H726">
        <v>1314</v>
      </c>
      <c r="I726">
        <v>683</v>
      </c>
      <c r="J726">
        <v>473</v>
      </c>
    </row>
    <row r="727" spans="1:10">
      <c r="A727">
        <v>4576</v>
      </c>
      <c r="B727" t="s">
        <v>5583</v>
      </c>
      <c r="C727">
        <v>7.13</v>
      </c>
      <c r="D727">
        <v>0.88</v>
      </c>
      <c r="E727">
        <v>0</v>
      </c>
      <c r="F727">
        <v>0.06</v>
      </c>
      <c r="G727">
        <v>726</v>
      </c>
      <c r="H727">
        <v>1232</v>
      </c>
      <c r="I727" t="s">
        <v>6289</v>
      </c>
      <c r="J727">
        <v>416</v>
      </c>
    </row>
    <row r="728" spans="1:10">
      <c r="A728">
        <v>1305</v>
      </c>
      <c r="B728" t="s">
        <v>4808</v>
      </c>
      <c r="C728">
        <v>7.07</v>
      </c>
      <c r="D728">
        <v>9.59</v>
      </c>
      <c r="E728">
        <v>0.01</v>
      </c>
      <c r="F728">
        <v>0.25</v>
      </c>
      <c r="G728">
        <v>727</v>
      </c>
      <c r="H728">
        <v>516</v>
      </c>
      <c r="I728">
        <v>1110</v>
      </c>
      <c r="J728">
        <v>312</v>
      </c>
    </row>
    <row r="729" spans="1:10">
      <c r="A729">
        <v>5464</v>
      </c>
      <c r="B729" t="s">
        <v>5700</v>
      </c>
      <c r="C729">
        <v>7.07</v>
      </c>
      <c r="D729">
        <v>0.41</v>
      </c>
      <c r="E729">
        <v>0.12</v>
      </c>
      <c r="F729">
        <v>0</v>
      </c>
      <c r="G729">
        <v>727</v>
      </c>
      <c r="H729">
        <v>1351</v>
      </c>
      <c r="I729">
        <v>683</v>
      </c>
      <c r="J729" t="s">
        <v>6289</v>
      </c>
    </row>
    <row r="730" spans="1:10">
      <c r="A730">
        <v>2615</v>
      </c>
      <c r="B730" t="s">
        <v>5197</v>
      </c>
      <c r="C730">
        <v>7.06</v>
      </c>
      <c r="D730">
        <v>42.72</v>
      </c>
      <c r="E730">
        <v>0.24</v>
      </c>
      <c r="F730">
        <v>0.46</v>
      </c>
      <c r="G730">
        <v>729</v>
      </c>
      <c r="H730">
        <v>106</v>
      </c>
      <c r="I730">
        <v>514</v>
      </c>
      <c r="J730">
        <v>259</v>
      </c>
    </row>
    <row r="731" spans="1:10">
      <c r="A731">
        <v>3021</v>
      </c>
      <c r="B731" t="s">
        <v>5282</v>
      </c>
      <c r="C731">
        <v>7.06</v>
      </c>
      <c r="D731">
        <v>2.81</v>
      </c>
      <c r="E731">
        <v>0.03</v>
      </c>
      <c r="F731">
        <v>0</v>
      </c>
      <c r="G731">
        <v>729</v>
      </c>
      <c r="H731">
        <v>934</v>
      </c>
      <c r="I731">
        <v>978</v>
      </c>
      <c r="J731" t="s">
        <v>6289</v>
      </c>
    </row>
    <row r="732" spans="1:10">
      <c r="A732">
        <v>4123</v>
      </c>
      <c r="B732" t="s">
        <v>5522</v>
      </c>
      <c r="C732">
        <v>7.06</v>
      </c>
      <c r="D732">
        <v>6.98</v>
      </c>
      <c r="E732">
        <v>0.04</v>
      </c>
      <c r="F732">
        <v>0.01</v>
      </c>
      <c r="G732">
        <v>729</v>
      </c>
      <c r="H732">
        <v>637</v>
      </c>
      <c r="I732">
        <v>936</v>
      </c>
      <c r="J732">
        <v>491</v>
      </c>
    </row>
    <row r="733" spans="1:10">
      <c r="A733">
        <v>3628</v>
      </c>
      <c r="B733" t="s">
        <v>5477</v>
      </c>
      <c r="C733">
        <v>7.05</v>
      </c>
      <c r="D733">
        <v>1.33</v>
      </c>
      <c r="E733">
        <v>0.38</v>
      </c>
      <c r="F733">
        <v>0</v>
      </c>
      <c r="G733">
        <v>732</v>
      </c>
      <c r="H733">
        <v>1144</v>
      </c>
      <c r="I733">
        <v>391</v>
      </c>
      <c r="J733" t="s">
        <v>6289</v>
      </c>
    </row>
    <row r="734" spans="1:10">
      <c r="A734">
        <v>3376</v>
      </c>
      <c r="B734" t="s">
        <v>5397</v>
      </c>
      <c r="C734">
        <v>7.03</v>
      </c>
      <c r="D734">
        <v>20.350000000000001</v>
      </c>
      <c r="E734">
        <v>0.19</v>
      </c>
      <c r="F734">
        <v>0.34</v>
      </c>
      <c r="G734">
        <v>733</v>
      </c>
      <c r="H734">
        <v>275</v>
      </c>
      <c r="I734">
        <v>571</v>
      </c>
      <c r="J734">
        <v>289</v>
      </c>
    </row>
    <row r="735" spans="1:10">
      <c r="A735">
        <v>4529</v>
      </c>
      <c r="B735" t="s">
        <v>5563</v>
      </c>
      <c r="C735">
        <v>7.02</v>
      </c>
      <c r="D735">
        <v>16.61</v>
      </c>
      <c r="E735">
        <v>0.02</v>
      </c>
      <c r="F735">
        <v>0</v>
      </c>
      <c r="G735">
        <v>734</v>
      </c>
      <c r="H735">
        <v>336</v>
      </c>
      <c r="I735">
        <v>1051</v>
      </c>
      <c r="J735" t="s">
        <v>6289</v>
      </c>
    </row>
    <row r="736" spans="1:10">
      <c r="A736">
        <v>6609</v>
      </c>
      <c r="B736" t="s">
        <v>5924</v>
      </c>
      <c r="C736">
        <v>7.01</v>
      </c>
      <c r="D736">
        <v>53.6</v>
      </c>
      <c r="E736">
        <v>0.39</v>
      </c>
      <c r="F736">
        <v>0</v>
      </c>
      <c r="G736">
        <v>735</v>
      </c>
      <c r="H736">
        <v>62</v>
      </c>
      <c r="I736">
        <v>379</v>
      </c>
      <c r="J736" t="s">
        <v>6289</v>
      </c>
    </row>
    <row r="737" spans="1:10">
      <c r="A737">
        <v>1536</v>
      </c>
      <c r="B737" t="s">
        <v>4888</v>
      </c>
      <c r="C737">
        <v>6.95</v>
      </c>
      <c r="D737">
        <v>11.38</v>
      </c>
      <c r="E737">
        <v>0.48</v>
      </c>
      <c r="F737">
        <v>0.01</v>
      </c>
      <c r="G737">
        <v>736</v>
      </c>
      <c r="H737">
        <v>446</v>
      </c>
      <c r="I737">
        <v>329</v>
      </c>
      <c r="J737">
        <v>491</v>
      </c>
    </row>
    <row r="738" spans="1:10">
      <c r="A738">
        <v>4109</v>
      </c>
      <c r="B738" t="s">
        <v>5515</v>
      </c>
      <c r="C738">
        <v>6.95</v>
      </c>
      <c r="D738">
        <v>0.11</v>
      </c>
      <c r="E738">
        <v>0.2</v>
      </c>
      <c r="F738">
        <v>0</v>
      </c>
      <c r="G738">
        <v>736</v>
      </c>
      <c r="H738">
        <v>1443</v>
      </c>
      <c r="I738">
        <v>558</v>
      </c>
      <c r="J738" t="s">
        <v>6289</v>
      </c>
    </row>
    <row r="739" spans="1:10">
      <c r="A739">
        <v>1525</v>
      </c>
      <c r="B739" t="s">
        <v>4878</v>
      </c>
      <c r="C739">
        <v>6.94</v>
      </c>
      <c r="D739">
        <v>0.32</v>
      </c>
      <c r="E739">
        <v>0</v>
      </c>
      <c r="F739">
        <v>0</v>
      </c>
      <c r="G739">
        <v>738</v>
      </c>
      <c r="H739">
        <v>1378</v>
      </c>
      <c r="I739" t="s">
        <v>6289</v>
      </c>
      <c r="J739" t="s">
        <v>6289</v>
      </c>
    </row>
    <row r="740" spans="1:10">
      <c r="A740">
        <v>1709</v>
      </c>
      <c r="B740" t="s">
        <v>4929</v>
      </c>
      <c r="C740">
        <v>6.94</v>
      </c>
      <c r="D740">
        <v>3.85</v>
      </c>
      <c r="E740">
        <v>0.21</v>
      </c>
      <c r="F740">
        <v>0.01</v>
      </c>
      <c r="G740">
        <v>738</v>
      </c>
      <c r="H740">
        <v>842</v>
      </c>
      <c r="I740">
        <v>550</v>
      </c>
      <c r="J740">
        <v>491</v>
      </c>
    </row>
    <row r="741" spans="1:10">
      <c r="A741">
        <v>2023</v>
      </c>
      <c r="B741" t="s">
        <v>4989</v>
      </c>
      <c r="C741">
        <v>6.94</v>
      </c>
      <c r="D741">
        <v>5.08</v>
      </c>
      <c r="E741">
        <v>0.05</v>
      </c>
      <c r="F741">
        <v>0.01</v>
      </c>
      <c r="G741">
        <v>738</v>
      </c>
      <c r="H741">
        <v>766</v>
      </c>
      <c r="I741">
        <v>896</v>
      </c>
      <c r="J741">
        <v>491</v>
      </c>
    </row>
    <row r="742" spans="1:10">
      <c r="A742">
        <v>1597</v>
      </c>
      <c r="B742" t="s">
        <v>4910</v>
      </c>
      <c r="C742">
        <v>6.93</v>
      </c>
      <c r="D742">
        <v>3.14</v>
      </c>
      <c r="E742">
        <v>0</v>
      </c>
      <c r="F742">
        <v>0</v>
      </c>
      <c r="G742">
        <v>741</v>
      </c>
      <c r="H742">
        <v>904</v>
      </c>
      <c r="I742" t="s">
        <v>6289</v>
      </c>
      <c r="J742" t="s">
        <v>6289</v>
      </c>
    </row>
    <row r="743" spans="1:10">
      <c r="A743">
        <v>8420</v>
      </c>
      <c r="B743" t="s">
        <v>6028</v>
      </c>
      <c r="C743">
        <v>6.93</v>
      </c>
      <c r="D743">
        <v>0.9</v>
      </c>
      <c r="E743">
        <v>0.03</v>
      </c>
      <c r="F743">
        <v>0</v>
      </c>
      <c r="G743">
        <v>741</v>
      </c>
      <c r="H743">
        <v>1227</v>
      </c>
      <c r="I743">
        <v>978</v>
      </c>
      <c r="J743" t="s">
        <v>6289</v>
      </c>
    </row>
    <row r="744" spans="1:10">
      <c r="A744">
        <v>3152</v>
      </c>
      <c r="B744" t="s">
        <v>5333</v>
      </c>
      <c r="C744">
        <v>6.91</v>
      </c>
      <c r="D744">
        <v>17.48</v>
      </c>
      <c r="E744">
        <v>0.8</v>
      </c>
      <c r="F744">
        <v>0.32</v>
      </c>
      <c r="G744">
        <v>743</v>
      </c>
      <c r="H744">
        <v>317</v>
      </c>
      <c r="I744">
        <v>219</v>
      </c>
      <c r="J744">
        <v>295</v>
      </c>
    </row>
    <row r="745" spans="1:10">
      <c r="A745">
        <v>5388</v>
      </c>
      <c r="B745" t="s">
        <v>5686</v>
      </c>
      <c r="C745">
        <v>6.88</v>
      </c>
      <c r="D745">
        <v>31.99</v>
      </c>
      <c r="E745">
        <v>0.8</v>
      </c>
      <c r="F745">
        <v>1.95</v>
      </c>
      <c r="G745">
        <v>744</v>
      </c>
      <c r="H745">
        <v>161</v>
      </c>
      <c r="I745">
        <v>219</v>
      </c>
      <c r="J745">
        <v>134</v>
      </c>
    </row>
    <row r="746" spans="1:10">
      <c r="A746">
        <v>3034</v>
      </c>
      <c r="B746" t="s">
        <v>5294</v>
      </c>
      <c r="C746">
        <v>6.86</v>
      </c>
      <c r="D746">
        <v>48.15</v>
      </c>
      <c r="E746">
        <v>1.98</v>
      </c>
      <c r="F746">
        <v>5.33</v>
      </c>
      <c r="G746">
        <v>745</v>
      </c>
      <c r="H746">
        <v>80</v>
      </c>
      <c r="I746">
        <v>79</v>
      </c>
      <c r="J746">
        <v>53</v>
      </c>
    </row>
    <row r="747" spans="1:10">
      <c r="A747">
        <v>2483</v>
      </c>
      <c r="B747" t="s">
        <v>5146</v>
      </c>
      <c r="C747">
        <v>6.79</v>
      </c>
      <c r="D747">
        <v>0.66</v>
      </c>
      <c r="E747">
        <v>0.02</v>
      </c>
      <c r="F747">
        <v>0</v>
      </c>
      <c r="G747">
        <v>746</v>
      </c>
      <c r="H747">
        <v>1284</v>
      </c>
      <c r="I747">
        <v>1051</v>
      </c>
      <c r="J747" t="s">
        <v>6289</v>
      </c>
    </row>
    <row r="748" spans="1:10">
      <c r="A748">
        <v>8112</v>
      </c>
      <c r="B748" t="s">
        <v>5992</v>
      </c>
      <c r="C748">
        <v>6.78</v>
      </c>
      <c r="D748">
        <v>16.62</v>
      </c>
      <c r="E748">
        <v>2.67</v>
      </c>
      <c r="F748">
        <v>0.04</v>
      </c>
      <c r="G748">
        <v>747</v>
      </c>
      <c r="H748">
        <v>335</v>
      </c>
      <c r="I748">
        <v>57</v>
      </c>
      <c r="J748">
        <v>437</v>
      </c>
    </row>
    <row r="749" spans="1:10">
      <c r="A749">
        <v>6120</v>
      </c>
      <c r="B749" t="s">
        <v>5754</v>
      </c>
      <c r="C749">
        <v>6.76</v>
      </c>
      <c r="D749">
        <v>6.81</v>
      </c>
      <c r="E749">
        <v>0.06</v>
      </c>
      <c r="F749">
        <v>0</v>
      </c>
      <c r="G749">
        <v>748</v>
      </c>
      <c r="H749">
        <v>644</v>
      </c>
      <c r="I749">
        <v>852</v>
      </c>
      <c r="J749" t="s">
        <v>6289</v>
      </c>
    </row>
    <row r="750" spans="1:10">
      <c r="A750">
        <v>4432</v>
      </c>
      <c r="B750" t="s">
        <v>5554</v>
      </c>
      <c r="C750">
        <v>6.75</v>
      </c>
      <c r="D750">
        <v>0.36</v>
      </c>
      <c r="E750">
        <v>0.55000000000000004</v>
      </c>
      <c r="F750">
        <v>0</v>
      </c>
      <c r="G750">
        <v>749</v>
      </c>
      <c r="H750">
        <v>1369</v>
      </c>
      <c r="I750">
        <v>302</v>
      </c>
      <c r="J750" t="s">
        <v>6289</v>
      </c>
    </row>
    <row r="751" spans="1:10">
      <c r="A751">
        <v>8213</v>
      </c>
      <c r="B751" t="s">
        <v>6004</v>
      </c>
      <c r="C751">
        <v>6.75</v>
      </c>
      <c r="D751">
        <v>22.33</v>
      </c>
      <c r="E751">
        <v>0.1</v>
      </c>
      <c r="F751">
        <v>0.14000000000000001</v>
      </c>
      <c r="G751">
        <v>749</v>
      </c>
      <c r="H751">
        <v>247</v>
      </c>
      <c r="I751">
        <v>734</v>
      </c>
      <c r="J751">
        <v>351</v>
      </c>
    </row>
    <row r="752" spans="1:10">
      <c r="A752">
        <v>8476</v>
      </c>
      <c r="B752" t="s">
        <v>6251</v>
      </c>
      <c r="C752">
        <v>6.75</v>
      </c>
      <c r="D752">
        <v>0.44</v>
      </c>
      <c r="E752">
        <v>0</v>
      </c>
      <c r="F752">
        <v>0</v>
      </c>
      <c r="G752">
        <v>749</v>
      </c>
      <c r="H752">
        <v>1341</v>
      </c>
      <c r="I752" t="s">
        <v>6289</v>
      </c>
      <c r="J752" t="s">
        <v>6289</v>
      </c>
    </row>
    <row r="753" spans="1:10">
      <c r="A753">
        <v>2466</v>
      </c>
      <c r="B753" t="s">
        <v>5134</v>
      </c>
      <c r="C753">
        <v>6.73</v>
      </c>
      <c r="D753">
        <v>10.220000000000001</v>
      </c>
      <c r="E753">
        <v>0.01</v>
      </c>
      <c r="F753">
        <v>0</v>
      </c>
      <c r="G753">
        <v>752</v>
      </c>
      <c r="H753">
        <v>494</v>
      </c>
      <c r="I753">
        <v>1110</v>
      </c>
      <c r="J753" t="s">
        <v>6289</v>
      </c>
    </row>
    <row r="754" spans="1:10">
      <c r="A754">
        <v>6274</v>
      </c>
      <c r="B754" t="s">
        <v>5849</v>
      </c>
      <c r="C754">
        <v>6.73</v>
      </c>
      <c r="D754">
        <v>35.92</v>
      </c>
      <c r="E754">
        <v>0.5</v>
      </c>
      <c r="F754">
        <v>1.57</v>
      </c>
      <c r="G754">
        <v>752</v>
      </c>
      <c r="H754">
        <v>138</v>
      </c>
      <c r="I754">
        <v>321</v>
      </c>
      <c r="J754">
        <v>155</v>
      </c>
    </row>
    <row r="755" spans="1:10">
      <c r="A755">
        <v>2637</v>
      </c>
      <c r="B755" t="s">
        <v>5204</v>
      </c>
      <c r="C755">
        <v>6.71</v>
      </c>
      <c r="D755">
        <v>22.65</v>
      </c>
      <c r="E755">
        <v>0.92</v>
      </c>
      <c r="F755">
        <v>3.79</v>
      </c>
      <c r="G755">
        <v>754</v>
      </c>
      <c r="H755">
        <v>243</v>
      </c>
      <c r="I755">
        <v>189</v>
      </c>
      <c r="J755">
        <v>76</v>
      </c>
    </row>
    <row r="756" spans="1:10">
      <c r="A756">
        <v>2062</v>
      </c>
      <c r="B756" t="s">
        <v>673</v>
      </c>
      <c r="C756">
        <v>6.66</v>
      </c>
      <c r="D756">
        <v>9.57</v>
      </c>
      <c r="E756">
        <v>0.35</v>
      </c>
      <c r="F756">
        <v>0.44</v>
      </c>
      <c r="G756">
        <v>755</v>
      </c>
      <c r="H756">
        <v>517</v>
      </c>
      <c r="I756">
        <v>414</v>
      </c>
      <c r="J756">
        <v>268</v>
      </c>
    </row>
    <row r="757" spans="1:10">
      <c r="A757">
        <v>1519</v>
      </c>
      <c r="B757" t="s">
        <v>4874</v>
      </c>
      <c r="C757">
        <v>6.64</v>
      </c>
      <c r="D757">
        <v>7.14</v>
      </c>
      <c r="E757">
        <v>0.05</v>
      </c>
      <c r="F757">
        <v>0.28000000000000003</v>
      </c>
      <c r="G757">
        <v>756</v>
      </c>
      <c r="H757">
        <v>630</v>
      </c>
      <c r="I757">
        <v>896</v>
      </c>
      <c r="J757">
        <v>305</v>
      </c>
    </row>
    <row r="758" spans="1:10">
      <c r="A758">
        <v>2458</v>
      </c>
      <c r="B758" t="s">
        <v>5127</v>
      </c>
      <c r="C758">
        <v>6.61</v>
      </c>
      <c r="D758">
        <v>21.12</v>
      </c>
      <c r="E758">
        <v>5.61</v>
      </c>
      <c r="F758">
        <v>7.01</v>
      </c>
      <c r="G758">
        <v>757</v>
      </c>
      <c r="H758">
        <v>270</v>
      </c>
      <c r="I758">
        <v>14</v>
      </c>
      <c r="J758">
        <v>30</v>
      </c>
    </row>
    <row r="759" spans="1:10">
      <c r="A759">
        <v>6227</v>
      </c>
      <c r="B759" t="s">
        <v>5826</v>
      </c>
      <c r="C759">
        <v>6.61</v>
      </c>
      <c r="D759">
        <v>3.13</v>
      </c>
      <c r="E759">
        <v>0</v>
      </c>
      <c r="F759">
        <v>0</v>
      </c>
      <c r="G759">
        <v>757</v>
      </c>
      <c r="H759">
        <v>905</v>
      </c>
      <c r="I759" t="s">
        <v>6289</v>
      </c>
      <c r="J759" t="s">
        <v>6289</v>
      </c>
    </row>
    <row r="760" spans="1:10">
      <c r="A760">
        <v>5508</v>
      </c>
      <c r="B760" t="s">
        <v>5709</v>
      </c>
      <c r="C760">
        <v>6.6</v>
      </c>
      <c r="D760">
        <v>1.46</v>
      </c>
      <c r="E760">
        <v>0</v>
      </c>
      <c r="F760">
        <v>0</v>
      </c>
      <c r="G760">
        <v>759</v>
      </c>
      <c r="H760">
        <v>1118</v>
      </c>
      <c r="I760" t="s">
        <v>6289</v>
      </c>
      <c r="J760" t="s">
        <v>6289</v>
      </c>
    </row>
    <row r="761" spans="1:10">
      <c r="A761">
        <v>1701</v>
      </c>
      <c r="B761" t="s">
        <v>4925</v>
      </c>
      <c r="C761">
        <v>6.59</v>
      </c>
      <c r="D761">
        <v>11.34</v>
      </c>
      <c r="E761">
        <v>0.04</v>
      </c>
      <c r="F761">
        <v>0</v>
      </c>
      <c r="G761">
        <v>760</v>
      </c>
      <c r="H761">
        <v>448</v>
      </c>
      <c r="I761">
        <v>936</v>
      </c>
      <c r="J761" t="s">
        <v>6289</v>
      </c>
    </row>
    <row r="762" spans="1:10">
      <c r="A762">
        <v>3537</v>
      </c>
      <c r="B762" t="s">
        <v>5442</v>
      </c>
      <c r="C762">
        <v>6.59</v>
      </c>
      <c r="D762">
        <v>5.59</v>
      </c>
      <c r="E762">
        <v>0.32</v>
      </c>
      <c r="F762">
        <v>0</v>
      </c>
      <c r="G762">
        <v>760</v>
      </c>
      <c r="H762">
        <v>728</v>
      </c>
      <c r="I762">
        <v>447</v>
      </c>
      <c r="J762" t="s">
        <v>6289</v>
      </c>
    </row>
    <row r="763" spans="1:10">
      <c r="A763">
        <v>1442</v>
      </c>
      <c r="B763" t="s">
        <v>4844</v>
      </c>
      <c r="C763">
        <v>6.58</v>
      </c>
      <c r="D763">
        <v>3.32</v>
      </c>
      <c r="E763">
        <v>0</v>
      </c>
      <c r="F763">
        <v>0</v>
      </c>
      <c r="G763">
        <v>762</v>
      </c>
      <c r="H763">
        <v>890</v>
      </c>
      <c r="I763" t="s">
        <v>6289</v>
      </c>
      <c r="J763" t="s">
        <v>6289</v>
      </c>
    </row>
    <row r="764" spans="1:10">
      <c r="A764">
        <v>3622</v>
      </c>
      <c r="B764" t="s">
        <v>5473</v>
      </c>
      <c r="C764">
        <v>6.56</v>
      </c>
      <c r="D764">
        <v>1.79</v>
      </c>
      <c r="E764">
        <v>0.73</v>
      </c>
      <c r="F764">
        <v>0</v>
      </c>
      <c r="G764">
        <v>763</v>
      </c>
      <c r="H764">
        <v>1063</v>
      </c>
      <c r="I764">
        <v>238</v>
      </c>
      <c r="J764" t="s">
        <v>6289</v>
      </c>
    </row>
    <row r="765" spans="1:10">
      <c r="A765">
        <v>3443</v>
      </c>
      <c r="B765" t="s">
        <v>5412</v>
      </c>
      <c r="C765">
        <v>6.55</v>
      </c>
      <c r="D765">
        <v>36.83</v>
      </c>
      <c r="E765">
        <v>3.34</v>
      </c>
      <c r="F765">
        <v>5.45</v>
      </c>
      <c r="G765">
        <v>764</v>
      </c>
      <c r="H765">
        <v>134</v>
      </c>
      <c r="I765">
        <v>43</v>
      </c>
      <c r="J765">
        <v>49</v>
      </c>
    </row>
    <row r="766" spans="1:10">
      <c r="A766">
        <v>6203</v>
      </c>
      <c r="B766" t="s">
        <v>5809</v>
      </c>
      <c r="C766">
        <v>6.55</v>
      </c>
      <c r="D766">
        <v>1.38</v>
      </c>
      <c r="E766">
        <v>0.06</v>
      </c>
      <c r="F766">
        <v>0</v>
      </c>
      <c r="G766">
        <v>764</v>
      </c>
      <c r="H766">
        <v>1137</v>
      </c>
      <c r="I766">
        <v>852</v>
      </c>
      <c r="J766" t="s">
        <v>6289</v>
      </c>
    </row>
    <row r="767" spans="1:10">
      <c r="A767">
        <v>2302</v>
      </c>
      <c r="B767" t="s">
        <v>5035</v>
      </c>
      <c r="C767">
        <v>6.54</v>
      </c>
      <c r="D767">
        <v>2.71</v>
      </c>
      <c r="E767">
        <v>0.02</v>
      </c>
      <c r="F767">
        <v>0</v>
      </c>
      <c r="G767">
        <v>766</v>
      </c>
      <c r="H767">
        <v>948</v>
      </c>
      <c r="I767">
        <v>1051</v>
      </c>
      <c r="J767" t="s">
        <v>6289</v>
      </c>
    </row>
    <row r="768" spans="1:10">
      <c r="A768">
        <v>2102</v>
      </c>
      <c r="B768" t="s">
        <v>5007</v>
      </c>
      <c r="C768">
        <v>6.52</v>
      </c>
      <c r="D768">
        <v>5.79</v>
      </c>
      <c r="E768">
        <v>0.27</v>
      </c>
      <c r="F768">
        <v>0</v>
      </c>
      <c r="G768">
        <v>767</v>
      </c>
      <c r="H768">
        <v>715</v>
      </c>
      <c r="I768">
        <v>492</v>
      </c>
      <c r="J768" t="s">
        <v>6289</v>
      </c>
    </row>
    <row r="769" spans="1:10">
      <c r="A769">
        <v>6515</v>
      </c>
      <c r="B769" t="s">
        <v>5901</v>
      </c>
      <c r="C769">
        <v>6.51</v>
      </c>
      <c r="D769">
        <v>7.7</v>
      </c>
      <c r="E769">
        <v>0</v>
      </c>
      <c r="F769">
        <v>7.13</v>
      </c>
      <c r="G769">
        <v>768</v>
      </c>
      <c r="H769">
        <v>594</v>
      </c>
      <c r="I769" t="s">
        <v>6289</v>
      </c>
      <c r="J769">
        <v>28</v>
      </c>
    </row>
    <row r="770" spans="1:10">
      <c r="A770">
        <v>3228</v>
      </c>
      <c r="B770" t="s">
        <v>6428</v>
      </c>
      <c r="C770">
        <v>6.49</v>
      </c>
      <c r="D770">
        <v>7.51</v>
      </c>
      <c r="E770">
        <v>0.37</v>
      </c>
      <c r="F770">
        <v>3.42</v>
      </c>
      <c r="G770">
        <v>769</v>
      </c>
      <c r="H770">
        <v>600</v>
      </c>
      <c r="I770">
        <v>395</v>
      </c>
      <c r="J770">
        <v>83</v>
      </c>
    </row>
    <row r="771" spans="1:10">
      <c r="A771">
        <v>4566</v>
      </c>
      <c r="B771" t="s">
        <v>5580</v>
      </c>
      <c r="C771">
        <v>6.49</v>
      </c>
      <c r="D771">
        <v>0.44</v>
      </c>
      <c r="E771">
        <v>0.15</v>
      </c>
      <c r="F771">
        <v>0</v>
      </c>
      <c r="G771">
        <v>769</v>
      </c>
      <c r="H771">
        <v>1341</v>
      </c>
      <c r="I771">
        <v>635</v>
      </c>
      <c r="J771" t="s">
        <v>6289</v>
      </c>
    </row>
    <row r="772" spans="1:10">
      <c r="A772">
        <v>4533</v>
      </c>
      <c r="B772" t="s">
        <v>5565</v>
      </c>
      <c r="C772">
        <v>6.48</v>
      </c>
      <c r="D772">
        <v>0.92</v>
      </c>
      <c r="E772">
        <v>0</v>
      </c>
      <c r="F772">
        <v>0</v>
      </c>
      <c r="G772">
        <v>771</v>
      </c>
      <c r="H772">
        <v>1222</v>
      </c>
      <c r="I772" t="s">
        <v>6289</v>
      </c>
      <c r="J772" t="s">
        <v>6289</v>
      </c>
    </row>
    <row r="773" spans="1:10">
      <c r="A773">
        <v>5521</v>
      </c>
      <c r="B773" t="s">
        <v>5713</v>
      </c>
      <c r="C773">
        <v>6.48</v>
      </c>
      <c r="D773">
        <v>4.8499999999999996</v>
      </c>
      <c r="E773">
        <v>0.13</v>
      </c>
      <c r="F773">
        <v>0.04</v>
      </c>
      <c r="G773">
        <v>771</v>
      </c>
      <c r="H773">
        <v>784</v>
      </c>
      <c r="I773">
        <v>667</v>
      </c>
      <c r="J773">
        <v>437</v>
      </c>
    </row>
    <row r="774" spans="1:10">
      <c r="A774">
        <v>6285</v>
      </c>
      <c r="B774" t="s">
        <v>5859</v>
      </c>
      <c r="C774">
        <v>6.48</v>
      </c>
      <c r="D774">
        <v>10.56</v>
      </c>
      <c r="E774">
        <v>0.23</v>
      </c>
      <c r="F774">
        <v>2.1</v>
      </c>
      <c r="G774">
        <v>771</v>
      </c>
      <c r="H774">
        <v>479</v>
      </c>
      <c r="I774">
        <v>526</v>
      </c>
      <c r="J774">
        <v>126</v>
      </c>
    </row>
    <row r="775" spans="1:10">
      <c r="A775">
        <v>1906</v>
      </c>
      <c r="B775" t="s">
        <v>4974</v>
      </c>
      <c r="C775">
        <v>6.45</v>
      </c>
      <c r="D775">
        <v>1.51</v>
      </c>
      <c r="E775">
        <v>0.04</v>
      </c>
      <c r="F775">
        <v>0</v>
      </c>
      <c r="G775">
        <v>774</v>
      </c>
      <c r="H775">
        <v>1106</v>
      </c>
      <c r="I775">
        <v>936</v>
      </c>
      <c r="J775" t="s">
        <v>6289</v>
      </c>
    </row>
    <row r="776" spans="1:10">
      <c r="A776">
        <v>2939</v>
      </c>
      <c r="B776" t="s">
        <v>5268</v>
      </c>
      <c r="C776">
        <v>6.45</v>
      </c>
      <c r="D776">
        <v>53.2</v>
      </c>
      <c r="E776">
        <v>0.34</v>
      </c>
      <c r="F776">
        <v>0</v>
      </c>
      <c r="G776">
        <v>774</v>
      </c>
      <c r="H776">
        <v>65</v>
      </c>
      <c r="I776">
        <v>425</v>
      </c>
      <c r="J776" t="s">
        <v>6289</v>
      </c>
    </row>
    <row r="777" spans="1:10">
      <c r="A777">
        <v>2250</v>
      </c>
      <c r="B777" t="s">
        <v>5033</v>
      </c>
      <c r="C777">
        <v>6.44</v>
      </c>
      <c r="D777">
        <v>5.63</v>
      </c>
      <c r="E777">
        <v>0</v>
      </c>
      <c r="F777">
        <v>0.05</v>
      </c>
      <c r="G777">
        <v>776</v>
      </c>
      <c r="H777">
        <v>726</v>
      </c>
      <c r="I777" t="s">
        <v>6289</v>
      </c>
      <c r="J777">
        <v>428</v>
      </c>
    </row>
    <row r="778" spans="1:10">
      <c r="A778">
        <v>2388</v>
      </c>
      <c r="B778" t="s">
        <v>5086</v>
      </c>
      <c r="C778">
        <v>6.44</v>
      </c>
      <c r="D778">
        <v>11.55</v>
      </c>
      <c r="E778">
        <v>0.36</v>
      </c>
      <c r="F778">
        <v>0.02</v>
      </c>
      <c r="G778">
        <v>776</v>
      </c>
      <c r="H778">
        <v>440</v>
      </c>
      <c r="I778">
        <v>406</v>
      </c>
      <c r="J778">
        <v>473</v>
      </c>
    </row>
    <row r="779" spans="1:10">
      <c r="A779">
        <v>6234</v>
      </c>
      <c r="B779" t="s">
        <v>5831</v>
      </c>
      <c r="C779">
        <v>6.42</v>
      </c>
      <c r="D779">
        <v>10.95</v>
      </c>
      <c r="E779">
        <v>0</v>
      </c>
      <c r="F779">
        <v>0</v>
      </c>
      <c r="G779">
        <v>778</v>
      </c>
      <c r="H779">
        <v>465</v>
      </c>
      <c r="I779" t="s">
        <v>6289</v>
      </c>
      <c r="J779" t="s">
        <v>6289</v>
      </c>
    </row>
    <row r="780" spans="1:10">
      <c r="A780">
        <v>6197</v>
      </c>
      <c r="B780" t="s">
        <v>5806</v>
      </c>
      <c r="C780">
        <v>6.41</v>
      </c>
      <c r="D780">
        <v>8.82</v>
      </c>
      <c r="E780">
        <v>0.77</v>
      </c>
      <c r="F780">
        <v>0</v>
      </c>
      <c r="G780">
        <v>779</v>
      </c>
      <c r="H780">
        <v>551</v>
      </c>
      <c r="I780">
        <v>226</v>
      </c>
      <c r="J780" t="s">
        <v>6289</v>
      </c>
    </row>
    <row r="781" spans="1:10">
      <c r="A781">
        <v>6248</v>
      </c>
      <c r="B781" t="s">
        <v>5839</v>
      </c>
      <c r="C781">
        <v>6.41</v>
      </c>
      <c r="D781">
        <v>0.99</v>
      </c>
      <c r="E781">
        <v>0.42</v>
      </c>
      <c r="F781">
        <v>0</v>
      </c>
      <c r="G781">
        <v>779</v>
      </c>
      <c r="H781">
        <v>1209</v>
      </c>
      <c r="I781">
        <v>363</v>
      </c>
      <c r="J781" t="s">
        <v>6289</v>
      </c>
    </row>
    <row r="782" spans="1:10">
      <c r="A782">
        <v>2538</v>
      </c>
      <c r="B782" t="s">
        <v>5176</v>
      </c>
      <c r="C782">
        <v>6.39</v>
      </c>
      <c r="D782">
        <v>11.21</v>
      </c>
      <c r="E782">
        <v>0.06</v>
      </c>
      <c r="F782">
        <v>0.1</v>
      </c>
      <c r="G782">
        <v>781</v>
      </c>
      <c r="H782">
        <v>453</v>
      </c>
      <c r="I782">
        <v>852</v>
      </c>
      <c r="J782">
        <v>383</v>
      </c>
    </row>
    <row r="783" spans="1:10">
      <c r="A783">
        <v>1605</v>
      </c>
      <c r="B783" t="s">
        <v>4915</v>
      </c>
      <c r="C783">
        <v>6.37</v>
      </c>
      <c r="D783">
        <v>24.98</v>
      </c>
      <c r="E783">
        <v>3.38</v>
      </c>
      <c r="F783">
        <v>1.86</v>
      </c>
      <c r="G783">
        <v>782</v>
      </c>
      <c r="H783">
        <v>222</v>
      </c>
      <c r="I783">
        <v>41</v>
      </c>
      <c r="J783">
        <v>139</v>
      </c>
    </row>
    <row r="784" spans="1:10">
      <c r="A784">
        <v>2727</v>
      </c>
      <c r="B784" t="s">
        <v>5217</v>
      </c>
      <c r="C784">
        <v>6.37</v>
      </c>
      <c r="D784">
        <v>5.51</v>
      </c>
      <c r="E784">
        <v>0.08</v>
      </c>
      <c r="F784">
        <v>0.42</v>
      </c>
      <c r="G784">
        <v>782</v>
      </c>
      <c r="H784">
        <v>732</v>
      </c>
      <c r="I784">
        <v>789</v>
      </c>
      <c r="J784">
        <v>272</v>
      </c>
    </row>
    <row r="785" spans="1:10">
      <c r="A785">
        <v>8499</v>
      </c>
      <c r="B785" t="s">
        <v>6056</v>
      </c>
      <c r="C785">
        <v>6.37</v>
      </c>
      <c r="D785">
        <v>69.87</v>
      </c>
      <c r="E785">
        <v>0.09</v>
      </c>
      <c r="F785">
        <v>0</v>
      </c>
      <c r="G785">
        <v>782</v>
      </c>
      <c r="H785">
        <v>23</v>
      </c>
      <c r="I785">
        <v>762</v>
      </c>
      <c r="J785" t="s">
        <v>6289</v>
      </c>
    </row>
    <row r="786" spans="1:10">
      <c r="A786">
        <v>1438</v>
      </c>
      <c r="B786" t="s">
        <v>4841</v>
      </c>
      <c r="C786">
        <v>6.36</v>
      </c>
      <c r="D786">
        <v>0.68</v>
      </c>
      <c r="E786">
        <v>0</v>
      </c>
      <c r="F786">
        <v>0</v>
      </c>
      <c r="G786">
        <v>785</v>
      </c>
      <c r="H786">
        <v>1276</v>
      </c>
      <c r="I786" t="s">
        <v>6289</v>
      </c>
      <c r="J786" t="s">
        <v>6289</v>
      </c>
    </row>
    <row r="787" spans="1:10">
      <c r="A787">
        <v>4737</v>
      </c>
      <c r="B787" t="s">
        <v>5597</v>
      </c>
      <c r="C787">
        <v>6.36</v>
      </c>
      <c r="D787">
        <v>23.05</v>
      </c>
      <c r="E787">
        <v>0.04</v>
      </c>
      <c r="F787">
        <v>0</v>
      </c>
      <c r="G787">
        <v>785</v>
      </c>
      <c r="H787">
        <v>239</v>
      </c>
      <c r="I787">
        <v>936</v>
      </c>
      <c r="J787" t="s">
        <v>6289</v>
      </c>
    </row>
    <row r="788" spans="1:10">
      <c r="A788">
        <v>1308</v>
      </c>
      <c r="B788" t="s">
        <v>4810</v>
      </c>
      <c r="C788">
        <v>6.34</v>
      </c>
      <c r="D788">
        <v>6.64</v>
      </c>
      <c r="E788">
        <v>0.33</v>
      </c>
      <c r="F788">
        <v>2.2200000000000002</v>
      </c>
      <c r="G788">
        <v>787</v>
      </c>
      <c r="H788">
        <v>657</v>
      </c>
      <c r="I788">
        <v>435</v>
      </c>
      <c r="J788">
        <v>120</v>
      </c>
    </row>
    <row r="789" spans="1:10">
      <c r="A789">
        <v>3489</v>
      </c>
      <c r="B789" t="s">
        <v>6315</v>
      </c>
      <c r="C789">
        <v>6.34</v>
      </c>
      <c r="D789">
        <v>0.17</v>
      </c>
      <c r="E789">
        <v>0.13</v>
      </c>
      <c r="F789">
        <v>0</v>
      </c>
      <c r="G789">
        <v>787</v>
      </c>
      <c r="H789">
        <v>1420</v>
      </c>
      <c r="I789">
        <v>667</v>
      </c>
      <c r="J789" t="s">
        <v>6289</v>
      </c>
    </row>
    <row r="790" spans="1:10">
      <c r="A790">
        <v>5907</v>
      </c>
      <c r="B790" t="s">
        <v>5739</v>
      </c>
      <c r="C790">
        <v>6.33</v>
      </c>
      <c r="D790">
        <v>53.23</v>
      </c>
      <c r="E790">
        <v>0.03</v>
      </c>
      <c r="F790">
        <v>0</v>
      </c>
      <c r="G790">
        <v>789</v>
      </c>
      <c r="H790">
        <v>64</v>
      </c>
      <c r="I790">
        <v>978</v>
      </c>
      <c r="J790" t="s">
        <v>6289</v>
      </c>
    </row>
    <row r="791" spans="1:10">
      <c r="A791">
        <v>6523</v>
      </c>
      <c r="B791" t="s">
        <v>5903</v>
      </c>
      <c r="C791">
        <v>6.33</v>
      </c>
      <c r="D791">
        <v>2.75</v>
      </c>
      <c r="E791">
        <v>0.11</v>
      </c>
      <c r="F791">
        <v>0</v>
      </c>
      <c r="G791">
        <v>789</v>
      </c>
      <c r="H791">
        <v>945</v>
      </c>
      <c r="I791">
        <v>708</v>
      </c>
      <c r="J791" t="s">
        <v>6289</v>
      </c>
    </row>
    <row r="792" spans="1:10">
      <c r="A792">
        <v>6651</v>
      </c>
      <c r="B792" t="s">
        <v>5930</v>
      </c>
      <c r="C792">
        <v>6.33</v>
      </c>
      <c r="D792">
        <v>0.6</v>
      </c>
      <c r="E792">
        <v>0</v>
      </c>
      <c r="F792">
        <v>0</v>
      </c>
      <c r="G792">
        <v>789</v>
      </c>
      <c r="H792">
        <v>1295</v>
      </c>
      <c r="I792" t="s">
        <v>6289</v>
      </c>
      <c r="J792" t="s">
        <v>6289</v>
      </c>
    </row>
    <row r="793" spans="1:10">
      <c r="A793">
        <v>8043</v>
      </c>
      <c r="B793" t="s">
        <v>5964</v>
      </c>
      <c r="C793">
        <v>6.29</v>
      </c>
      <c r="D793">
        <v>0.62</v>
      </c>
      <c r="E793">
        <v>0.12</v>
      </c>
      <c r="F793">
        <v>0</v>
      </c>
      <c r="G793">
        <v>792</v>
      </c>
      <c r="H793">
        <v>1291</v>
      </c>
      <c r="I793">
        <v>683</v>
      </c>
      <c r="J793" t="s">
        <v>6289</v>
      </c>
    </row>
    <row r="794" spans="1:10">
      <c r="A794">
        <v>2010</v>
      </c>
      <c r="B794" t="s">
        <v>4982</v>
      </c>
      <c r="C794">
        <v>6.27</v>
      </c>
      <c r="D794">
        <v>5.03</v>
      </c>
      <c r="E794">
        <v>0</v>
      </c>
      <c r="F794">
        <v>0</v>
      </c>
      <c r="G794">
        <v>793</v>
      </c>
      <c r="H794">
        <v>769</v>
      </c>
      <c r="I794" t="s">
        <v>6289</v>
      </c>
      <c r="J794" t="s">
        <v>6289</v>
      </c>
    </row>
    <row r="795" spans="1:10">
      <c r="A795">
        <v>1527</v>
      </c>
      <c r="B795" t="s">
        <v>4880</v>
      </c>
      <c r="C795">
        <v>6.23</v>
      </c>
      <c r="D795">
        <v>7.97</v>
      </c>
      <c r="E795">
        <v>0.65</v>
      </c>
      <c r="F795">
        <v>0</v>
      </c>
      <c r="G795">
        <v>794</v>
      </c>
      <c r="H795">
        <v>581</v>
      </c>
      <c r="I795">
        <v>266</v>
      </c>
      <c r="J795" t="s">
        <v>6289</v>
      </c>
    </row>
    <row r="796" spans="1:10">
      <c r="A796">
        <v>4933</v>
      </c>
      <c r="B796" t="s">
        <v>5619</v>
      </c>
      <c r="C796">
        <v>6.22</v>
      </c>
      <c r="D796">
        <v>2.78</v>
      </c>
      <c r="E796">
        <v>0.06</v>
      </c>
      <c r="F796">
        <v>0</v>
      </c>
      <c r="G796">
        <v>795</v>
      </c>
      <c r="H796">
        <v>940</v>
      </c>
      <c r="I796">
        <v>852</v>
      </c>
      <c r="J796" t="s">
        <v>6289</v>
      </c>
    </row>
    <row r="797" spans="1:10">
      <c r="A797">
        <v>6133</v>
      </c>
      <c r="B797" t="s">
        <v>5762</v>
      </c>
      <c r="C797">
        <v>6.22</v>
      </c>
      <c r="D797">
        <v>1.85</v>
      </c>
      <c r="E797">
        <v>0.11</v>
      </c>
      <c r="F797">
        <v>0</v>
      </c>
      <c r="G797">
        <v>795</v>
      </c>
      <c r="H797">
        <v>1054</v>
      </c>
      <c r="I797">
        <v>708</v>
      </c>
      <c r="J797" t="s">
        <v>6289</v>
      </c>
    </row>
    <row r="798" spans="1:10">
      <c r="A798">
        <v>3515</v>
      </c>
      <c r="B798" t="s">
        <v>5431</v>
      </c>
      <c r="C798">
        <v>6.21</v>
      </c>
      <c r="D798">
        <v>11.46</v>
      </c>
      <c r="E798">
        <v>0.03</v>
      </c>
      <c r="F798">
        <v>1.2</v>
      </c>
      <c r="G798">
        <v>797</v>
      </c>
      <c r="H798">
        <v>441</v>
      </c>
      <c r="I798">
        <v>978</v>
      </c>
      <c r="J798">
        <v>178</v>
      </c>
    </row>
    <row r="799" spans="1:10">
      <c r="A799">
        <v>3543</v>
      </c>
      <c r="B799" t="s">
        <v>5445</v>
      </c>
      <c r="C799">
        <v>6.21</v>
      </c>
      <c r="D799">
        <v>0.32</v>
      </c>
      <c r="E799">
        <v>0.04</v>
      </c>
      <c r="F799">
        <v>0</v>
      </c>
      <c r="G799">
        <v>797</v>
      </c>
      <c r="H799">
        <v>1378</v>
      </c>
      <c r="I799">
        <v>936</v>
      </c>
      <c r="J799" t="s">
        <v>6289</v>
      </c>
    </row>
    <row r="800" spans="1:10">
      <c r="A800">
        <v>8039</v>
      </c>
      <c r="B800" t="s">
        <v>5962</v>
      </c>
      <c r="C800">
        <v>6.19</v>
      </c>
      <c r="D800">
        <v>13.05</v>
      </c>
      <c r="E800">
        <v>1.39</v>
      </c>
      <c r="F800">
        <v>0</v>
      </c>
      <c r="G800">
        <v>799</v>
      </c>
      <c r="H800">
        <v>401</v>
      </c>
      <c r="I800">
        <v>124</v>
      </c>
      <c r="J800" t="s">
        <v>6289</v>
      </c>
    </row>
    <row r="801" spans="1:10">
      <c r="A801">
        <v>2421</v>
      </c>
      <c r="B801" t="s">
        <v>5106</v>
      </c>
      <c r="C801">
        <v>6.18</v>
      </c>
      <c r="D801">
        <v>18.149999999999999</v>
      </c>
      <c r="E801">
        <v>0.15</v>
      </c>
      <c r="F801">
        <v>0</v>
      </c>
      <c r="G801">
        <v>800</v>
      </c>
      <c r="H801">
        <v>305</v>
      </c>
      <c r="I801">
        <v>635</v>
      </c>
      <c r="J801" t="s">
        <v>6289</v>
      </c>
    </row>
    <row r="802" spans="1:10">
      <c r="A802">
        <v>6499</v>
      </c>
      <c r="B802" t="s">
        <v>5893</v>
      </c>
      <c r="C802">
        <v>6.16</v>
      </c>
      <c r="D802">
        <v>12.38</v>
      </c>
      <c r="E802">
        <v>0.08</v>
      </c>
      <c r="F802">
        <v>0.86</v>
      </c>
      <c r="G802">
        <v>801</v>
      </c>
      <c r="H802">
        <v>414</v>
      </c>
      <c r="I802">
        <v>789</v>
      </c>
      <c r="J802">
        <v>205</v>
      </c>
    </row>
    <row r="803" spans="1:10">
      <c r="A803">
        <v>6213</v>
      </c>
      <c r="B803" t="s">
        <v>5815</v>
      </c>
      <c r="C803">
        <v>6.15</v>
      </c>
      <c r="D803">
        <v>9.0500000000000007</v>
      </c>
      <c r="E803">
        <v>0.09</v>
      </c>
      <c r="F803">
        <v>0.06</v>
      </c>
      <c r="G803">
        <v>802</v>
      </c>
      <c r="H803">
        <v>537</v>
      </c>
      <c r="I803">
        <v>762</v>
      </c>
      <c r="J803">
        <v>416</v>
      </c>
    </row>
    <row r="804" spans="1:10">
      <c r="A804">
        <v>6147</v>
      </c>
      <c r="B804" t="s">
        <v>5771</v>
      </c>
      <c r="C804">
        <v>6.12</v>
      </c>
      <c r="D804">
        <v>22.67</v>
      </c>
      <c r="E804">
        <v>0.56999999999999995</v>
      </c>
      <c r="F804">
        <v>2.94</v>
      </c>
      <c r="G804">
        <v>803</v>
      </c>
      <c r="H804">
        <v>242</v>
      </c>
      <c r="I804">
        <v>292</v>
      </c>
      <c r="J804">
        <v>90</v>
      </c>
    </row>
    <row r="805" spans="1:10">
      <c r="A805">
        <v>2489</v>
      </c>
      <c r="B805" t="s">
        <v>5151</v>
      </c>
      <c r="C805">
        <v>6.11</v>
      </c>
      <c r="D805">
        <v>11.11</v>
      </c>
      <c r="E805">
        <v>0.31</v>
      </c>
      <c r="F805">
        <v>0</v>
      </c>
      <c r="G805">
        <v>804</v>
      </c>
      <c r="H805">
        <v>456</v>
      </c>
      <c r="I805">
        <v>459</v>
      </c>
      <c r="J805" t="s">
        <v>6289</v>
      </c>
    </row>
    <row r="806" spans="1:10">
      <c r="A806">
        <v>1444</v>
      </c>
      <c r="B806" t="s">
        <v>4845</v>
      </c>
      <c r="C806">
        <v>6.06</v>
      </c>
      <c r="D806">
        <v>5.49</v>
      </c>
      <c r="E806">
        <v>0.13</v>
      </c>
      <c r="F806">
        <v>0</v>
      </c>
      <c r="G806">
        <v>805</v>
      </c>
      <c r="H806">
        <v>733</v>
      </c>
      <c r="I806">
        <v>667</v>
      </c>
      <c r="J806" t="s">
        <v>6289</v>
      </c>
    </row>
    <row r="807" spans="1:10">
      <c r="A807">
        <v>2241</v>
      </c>
      <c r="B807" t="s">
        <v>5030</v>
      </c>
      <c r="C807">
        <v>6.06</v>
      </c>
      <c r="D807">
        <v>22.72</v>
      </c>
      <c r="E807">
        <v>0.05</v>
      </c>
      <c r="F807">
        <v>0.03</v>
      </c>
      <c r="G807">
        <v>805</v>
      </c>
      <c r="H807">
        <v>241</v>
      </c>
      <c r="I807">
        <v>896</v>
      </c>
      <c r="J807">
        <v>458</v>
      </c>
    </row>
    <row r="808" spans="1:10">
      <c r="A808">
        <v>8383</v>
      </c>
      <c r="B808" t="s">
        <v>6021</v>
      </c>
      <c r="C808">
        <v>6.06</v>
      </c>
      <c r="D808">
        <v>7.38</v>
      </c>
      <c r="E808">
        <v>0.27</v>
      </c>
      <c r="F808">
        <v>0</v>
      </c>
      <c r="G808">
        <v>805</v>
      </c>
      <c r="H808">
        <v>609</v>
      </c>
      <c r="I808">
        <v>492</v>
      </c>
      <c r="J808" t="s">
        <v>6289</v>
      </c>
    </row>
    <row r="809" spans="1:10">
      <c r="A809">
        <v>8150</v>
      </c>
      <c r="B809" t="s">
        <v>5996</v>
      </c>
      <c r="C809">
        <v>6.05</v>
      </c>
      <c r="D809">
        <v>41.07</v>
      </c>
      <c r="E809">
        <v>0.76</v>
      </c>
      <c r="F809">
        <v>0.77</v>
      </c>
      <c r="G809">
        <v>808</v>
      </c>
      <c r="H809">
        <v>114</v>
      </c>
      <c r="I809">
        <v>229</v>
      </c>
      <c r="J809">
        <v>217</v>
      </c>
    </row>
    <row r="810" spans="1:10">
      <c r="A810">
        <v>2915</v>
      </c>
      <c r="B810" t="s">
        <v>5263</v>
      </c>
      <c r="C810">
        <v>6.04</v>
      </c>
      <c r="D810">
        <v>8.9600000000000009</v>
      </c>
      <c r="E810">
        <v>4.9800000000000004</v>
      </c>
      <c r="F810">
        <v>0.04</v>
      </c>
      <c r="G810">
        <v>809</v>
      </c>
      <c r="H810">
        <v>544</v>
      </c>
      <c r="I810">
        <v>25</v>
      </c>
      <c r="J810">
        <v>437</v>
      </c>
    </row>
    <row r="811" spans="1:10">
      <c r="A811">
        <v>6472</v>
      </c>
      <c r="B811" t="s">
        <v>5886</v>
      </c>
      <c r="C811">
        <v>6.04</v>
      </c>
      <c r="D811">
        <v>6.21</v>
      </c>
      <c r="E811">
        <v>0.37</v>
      </c>
      <c r="F811">
        <v>0.88</v>
      </c>
      <c r="G811">
        <v>809</v>
      </c>
      <c r="H811">
        <v>689</v>
      </c>
      <c r="I811">
        <v>395</v>
      </c>
      <c r="J811">
        <v>200</v>
      </c>
    </row>
    <row r="812" spans="1:10">
      <c r="A812">
        <v>3206</v>
      </c>
      <c r="B812" t="s">
        <v>6253</v>
      </c>
      <c r="C812">
        <v>6.02</v>
      </c>
      <c r="D812">
        <v>0.32</v>
      </c>
      <c r="E812">
        <v>0</v>
      </c>
      <c r="F812">
        <v>0</v>
      </c>
      <c r="G812">
        <v>811</v>
      </c>
      <c r="H812">
        <v>1378</v>
      </c>
      <c r="I812" t="s">
        <v>6289</v>
      </c>
      <c r="J812" t="s">
        <v>6289</v>
      </c>
    </row>
    <row r="813" spans="1:10">
      <c r="A813">
        <v>4999</v>
      </c>
      <c r="B813" t="s">
        <v>5643</v>
      </c>
      <c r="C813">
        <v>5.98</v>
      </c>
      <c r="D813">
        <v>3.58</v>
      </c>
      <c r="E813">
        <v>0.02</v>
      </c>
      <c r="F813">
        <v>0.17</v>
      </c>
      <c r="G813">
        <v>812</v>
      </c>
      <c r="H813">
        <v>859</v>
      </c>
      <c r="I813">
        <v>1051</v>
      </c>
      <c r="J813">
        <v>340</v>
      </c>
    </row>
    <row r="814" spans="1:10">
      <c r="A814">
        <v>6108</v>
      </c>
      <c r="B814" t="s">
        <v>5746</v>
      </c>
      <c r="C814">
        <v>5.96</v>
      </c>
      <c r="D814">
        <v>3.67</v>
      </c>
      <c r="E814">
        <v>0.06</v>
      </c>
      <c r="F814">
        <v>0</v>
      </c>
      <c r="G814">
        <v>813</v>
      </c>
      <c r="H814">
        <v>853</v>
      </c>
      <c r="I814">
        <v>852</v>
      </c>
      <c r="J814" t="s">
        <v>6289</v>
      </c>
    </row>
    <row r="815" spans="1:10">
      <c r="A815">
        <v>1714</v>
      </c>
      <c r="B815" t="s">
        <v>4934</v>
      </c>
      <c r="C815">
        <v>5.92</v>
      </c>
      <c r="D815">
        <v>18.87</v>
      </c>
      <c r="E815">
        <v>0.08</v>
      </c>
      <c r="F815">
        <v>0</v>
      </c>
      <c r="G815">
        <v>814</v>
      </c>
      <c r="H815">
        <v>293</v>
      </c>
      <c r="I815">
        <v>789</v>
      </c>
      <c r="J815" t="s">
        <v>6289</v>
      </c>
    </row>
    <row r="816" spans="1:10">
      <c r="A816">
        <v>3032</v>
      </c>
      <c r="B816" t="s">
        <v>5292</v>
      </c>
      <c r="C816">
        <v>5.87</v>
      </c>
      <c r="D816">
        <v>1.4</v>
      </c>
      <c r="E816">
        <v>0.12</v>
      </c>
      <c r="F816">
        <v>0</v>
      </c>
      <c r="G816">
        <v>815</v>
      </c>
      <c r="H816">
        <v>1134</v>
      </c>
      <c r="I816">
        <v>683</v>
      </c>
      <c r="J816" t="s">
        <v>6289</v>
      </c>
    </row>
    <row r="817" spans="1:10">
      <c r="A817">
        <v>2634</v>
      </c>
      <c r="B817" t="s">
        <v>5202</v>
      </c>
      <c r="C817">
        <v>5.86</v>
      </c>
      <c r="D817">
        <v>5.59</v>
      </c>
      <c r="E817">
        <v>0.22</v>
      </c>
      <c r="F817">
        <v>0.68</v>
      </c>
      <c r="G817">
        <v>816</v>
      </c>
      <c r="H817">
        <v>728</v>
      </c>
      <c r="I817">
        <v>537</v>
      </c>
      <c r="J817">
        <v>234</v>
      </c>
    </row>
    <row r="818" spans="1:10">
      <c r="A818">
        <v>6160</v>
      </c>
      <c r="B818" t="s">
        <v>6314</v>
      </c>
      <c r="C818">
        <v>5.85</v>
      </c>
      <c r="D818">
        <v>2.46</v>
      </c>
      <c r="E818">
        <v>0.09</v>
      </c>
      <c r="F818">
        <v>0</v>
      </c>
      <c r="G818">
        <v>817</v>
      </c>
      <c r="H818">
        <v>976</v>
      </c>
      <c r="I818">
        <v>762</v>
      </c>
      <c r="J818" t="s">
        <v>6289</v>
      </c>
    </row>
    <row r="819" spans="1:10">
      <c r="A819">
        <v>2020</v>
      </c>
      <c r="B819" t="s">
        <v>4988</v>
      </c>
      <c r="C819">
        <v>5.84</v>
      </c>
      <c r="D819">
        <v>3</v>
      </c>
      <c r="E819">
        <v>0.61</v>
      </c>
      <c r="F819">
        <v>0</v>
      </c>
      <c r="G819">
        <v>818</v>
      </c>
      <c r="H819">
        <v>921</v>
      </c>
      <c r="I819">
        <v>279</v>
      </c>
      <c r="J819" t="s">
        <v>6289</v>
      </c>
    </row>
    <row r="820" spans="1:10">
      <c r="A820">
        <v>2064</v>
      </c>
      <c r="B820" t="s">
        <v>5003</v>
      </c>
      <c r="C820">
        <v>5.84</v>
      </c>
      <c r="D820">
        <v>0.34</v>
      </c>
      <c r="E820">
        <v>0</v>
      </c>
      <c r="F820">
        <v>0</v>
      </c>
      <c r="G820">
        <v>818</v>
      </c>
      <c r="H820">
        <v>1373</v>
      </c>
      <c r="I820" t="s">
        <v>6289</v>
      </c>
      <c r="J820" t="s">
        <v>6289</v>
      </c>
    </row>
    <row r="821" spans="1:10">
      <c r="A821">
        <v>3532</v>
      </c>
      <c r="B821" t="s">
        <v>5439</v>
      </c>
      <c r="C821">
        <v>5.84</v>
      </c>
      <c r="D821">
        <v>49.31</v>
      </c>
      <c r="E821">
        <v>3.67</v>
      </c>
      <c r="F821">
        <v>2.88</v>
      </c>
      <c r="G821">
        <v>818</v>
      </c>
      <c r="H821">
        <v>79</v>
      </c>
      <c r="I821">
        <v>38</v>
      </c>
      <c r="J821">
        <v>91</v>
      </c>
    </row>
    <row r="822" spans="1:10">
      <c r="A822">
        <v>6449</v>
      </c>
      <c r="B822" t="s">
        <v>5878</v>
      </c>
      <c r="C822">
        <v>5.83</v>
      </c>
      <c r="D822">
        <v>2.58</v>
      </c>
      <c r="E822">
        <v>0.52</v>
      </c>
      <c r="F822">
        <v>0</v>
      </c>
      <c r="G822">
        <v>821</v>
      </c>
      <c r="H822">
        <v>958</v>
      </c>
      <c r="I822">
        <v>312</v>
      </c>
      <c r="J822" t="s">
        <v>6289</v>
      </c>
    </row>
    <row r="823" spans="1:10">
      <c r="A823">
        <v>6166</v>
      </c>
      <c r="B823" t="s">
        <v>5784</v>
      </c>
      <c r="C823">
        <v>5.82</v>
      </c>
      <c r="D823">
        <v>9.83</v>
      </c>
      <c r="E823">
        <v>0.11</v>
      </c>
      <c r="F823">
        <v>0</v>
      </c>
      <c r="G823">
        <v>822</v>
      </c>
      <c r="H823">
        <v>507</v>
      </c>
      <c r="I823">
        <v>708</v>
      </c>
      <c r="J823" t="s">
        <v>6289</v>
      </c>
    </row>
    <row r="824" spans="1:10">
      <c r="A824">
        <v>2464</v>
      </c>
      <c r="B824" t="s">
        <v>5132</v>
      </c>
      <c r="C824">
        <v>5.81</v>
      </c>
      <c r="D824">
        <v>5.31</v>
      </c>
      <c r="E824">
        <v>0.14000000000000001</v>
      </c>
      <c r="F824">
        <v>0</v>
      </c>
      <c r="G824">
        <v>823</v>
      </c>
      <c r="H824">
        <v>750</v>
      </c>
      <c r="I824">
        <v>653</v>
      </c>
      <c r="J824" t="s">
        <v>6289</v>
      </c>
    </row>
    <row r="825" spans="1:10">
      <c r="A825">
        <v>3090</v>
      </c>
      <c r="B825" t="s">
        <v>5321</v>
      </c>
      <c r="C825">
        <v>5.79</v>
      </c>
      <c r="D825">
        <v>8.94</v>
      </c>
      <c r="E825">
        <v>0.15</v>
      </c>
      <c r="F825">
        <v>0</v>
      </c>
      <c r="G825">
        <v>824</v>
      </c>
      <c r="H825">
        <v>546</v>
      </c>
      <c r="I825">
        <v>635</v>
      </c>
      <c r="J825" t="s">
        <v>6289</v>
      </c>
    </row>
    <row r="826" spans="1:10">
      <c r="A826">
        <v>4571</v>
      </c>
      <c r="B826" t="s">
        <v>5581</v>
      </c>
      <c r="C826">
        <v>5.78</v>
      </c>
      <c r="D826">
        <v>66.09</v>
      </c>
      <c r="E826">
        <v>0</v>
      </c>
      <c r="F826">
        <v>0</v>
      </c>
      <c r="G826">
        <v>825</v>
      </c>
      <c r="H826">
        <v>33</v>
      </c>
      <c r="I826" t="s">
        <v>6289</v>
      </c>
      <c r="J826" t="s">
        <v>6289</v>
      </c>
    </row>
    <row r="827" spans="1:10">
      <c r="A827">
        <v>2355</v>
      </c>
      <c r="B827" t="s">
        <v>5063</v>
      </c>
      <c r="C827">
        <v>5.71</v>
      </c>
      <c r="D827">
        <v>13.91</v>
      </c>
      <c r="E827">
        <v>0.06</v>
      </c>
      <c r="F827">
        <v>0</v>
      </c>
      <c r="G827">
        <v>826</v>
      </c>
      <c r="H827">
        <v>381</v>
      </c>
      <c r="I827">
        <v>852</v>
      </c>
      <c r="J827" t="s">
        <v>6289</v>
      </c>
    </row>
    <row r="828" spans="1:10">
      <c r="A828">
        <v>1440</v>
      </c>
      <c r="B828" t="s">
        <v>4843</v>
      </c>
      <c r="C828">
        <v>5.69</v>
      </c>
      <c r="D828">
        <v>5.44</v>
      </c>
      <c r="E828">
        <v>0.16</v>
      </c>
      <c r="F828">
        <v>0.01</v>
      </c>
      <c r="G828">
        <v>827</v>
      </c>
      <c r="H828">
        <v>738</v>
      </c>
      <c r="I828">
        <v>614</v>
      </c>
      <c r="J828">
        <v>491</v>
      </c>
    </row>
    <row r="829" spans="1:10">
      <c r="A829">
        <v>1309</v>
      </c>
      <c r="B829" t="s">
        <v>4811</v>
      </c>
      <c r="C829">
        <v>5.65</v>
      </c>
      <c r="D829">
        <v>2.42</v>
      </c>
      <c r="E829">
        <v>0.44</v>
      </c>
      <c r="F829">
        <v>0.01</v>
      </c>
      <c r="G829">
        <v>828</v>
      </c>
      <c r="H829">
        <v>984</v>
      </c>
      <c r="I829">
        <v>350</v>
      </c>
      <c r="J829">
        <v>491</v>
      </c>
    </row>
    <row r="830" spans="1:10">
      <c r="A830">
        <v>1568</v>
      </c>
      <c r="B830" t="s">
        <v>4896</v>
      </c>
      <c r="C830">
        <v>5.62</v>
      </c>
      <c r="D830">
        <v>1.22</v>
      </c>
      <c r="E830">
        <v>0.08</v>
      </c>
      <c r="F830">
        <v>0</v>
      </c>
      <c r="G830">
        <v>829</v>
      </c>
      <c r="H830">
        <v>1165</v>
      </c>
      <c r="I830">
        <v>789</v>
      </c>
      <c r="J830" t="s">
        <v>6289</v>
      </c>
    </row>
    <row r="831" spans="1:10">
      <c r="A831">
        <v>2348</v>
      </c>
      <c r="B831" t="s">
        <v>5058</v>
      </c>
      <c r="C831">
        <v>5.62</v>
      </c>
      <c r="D831">
        <v>1.27</v>
      </c>
      <c r="E831">
        <v>0.01</v>
      </c>
      <c r="F831">
        <v>0</v>
      </c>
      <c r="G831">
        <v>829</v>
      </c>
      <c r="H831">
        <v>1156</v>
      </c>
      <c r="I831">
        <v>1110</v>
      </c>
      <c r="J831" t="s">
        <v>6289</v>
      </c>
    </row>
    <row r="832" spans="1:10">
      <c r="A832">
        <v>9951</v>
      </c>
      <c r="B832" t="s">
        <v>6103</v>
      </c>
      <c r="C832">
        <v>5.62</v>
      </c>
      <c r="D832">
        <v>8.58</v>
      </c>
      <c r="E832">
        <v>0.19</v>
      </c>
      <c r="F832">
        <v>0</v>
      </c>
      <c r="G832">
        <v>829</v>
      </c>
      <c r="H832">
        <v>564</v>
      </c>
      <c r="I832">
        <v>571</v>
      </c>
      <c r="J832" t="s">
        <v>6289</v>
      </c>
    </row>
    <row r="833" spans="1:10">
      <c r="A833">
        <v>8240</v>
      </c>
      <c r="B833" t="s">
        <v>6008</v>
      </c>
      <c r="C833">
        <v>5.61</v>
      </c>
      <c r="D833">
        <v>6.02</v>
      </c>
      <c r="E833">
        <v>0</v>
      </c>
      <c r="F833">
        <v>0</v>
      </c>
      <c r="G833">
        <v>832</v>
      </c>
      <c r="H833">
        <v>699</v>
      </c>
      <c r="I833" t="s">
        <v>6289</v>
      </c>
      <c r="J833" t="s">
        <v>6289</v>
      </c>
    </row>
    <row r="834" spans="1:10">
      <c r="A834">
        <v>1449</v>
      </c>
      <c r="B834" t="s">
        <v>6180</v>
      </c>
      <c r="C834">
        <v>5.58</v>
      </c>
      <c r="D834">
        <v>0.33</v>
      </c>
      <c r="E834">
        <v>15.34</v>
      </c>
      <c r="F834">
        <v>0</v>
      </c>
      <c r="G834">
        <v>833</v>
      </c>
      <c r="H834">
        <v>1375</v>
      </c>
      <c r="I834">
        <v>1</v>
      </c>
      <c r="J834" t="s">
        <v>6289</v>
      </c>
    </row>
    <row r="835" spans="1:10">
      <c r="A835">
        <v>3015</v>
      </c>
      <c r="B835" t="s">
        <v>5278</v>
      </c>
      <c r="C835">
        <v>5.58</v>
      </c>
      <c r="D835">
        <v>11.29</v>
      </c>
      <c r="E835">
        <v>0.02</v>
      </c>
      <c r="F835">
        <v>0</v>
      </c>
      <c r="G835">
        <v>833</v>
      </c>
      <c r="H835">
        <v>450</v>
      </c>
      <c r="I835">
        <v>1051</v>
      </c>
      <c r="J835" t="s">
        <v>6289</v>
      </c>
    </row>
    <row r="836" spans="1:10">
      <c r="A836">
        <v>6016</v>
      </c>
      <c r="B836" t="s">
        <v>5742</v>
      </c>
      <c r="C836">
        <v>5.57</v>
      </c>
      <c r="D836">
        <v>2.76</v>
      </c>
      <c r="E836">
        <v>0</v>
      </c>
      <c r="F836">
        <v>0</v>
      </c>
      <c r="G836">
        <v>835</v>
      </c>
      <c r="H836">
        <v>944</v>
      </c>
      <c r="I836" t="s">
        <v>6289</v>
      </c>
      <c r="J836" t="s">
        <v>6289</v>
      </c>
    </row>
    <row r="837" spans="1:10">
      <c r="A837">
        <v>4540</v>
      </c>
      <c r="B837" t="s">
        <v>5568</v>
      </c>
      <c r="C837">
        <v>5.53</v>
      </c>
      <c r="D837">
        <v>2.78</v>
      </c>
      <c r="E837">
        <v>0.01</v>
      </c>
      <c r="F837">
        <v>0</v>
      </c>
      <c r="G837">
        <v>836</v>
      </c>
      <c r="H837">
        <v>940</v>
      </c>
      <c r="I837">
        <v>1110</v>
      </c>
      <c r="J837" t="s">
        <v>6289</v>
      </c>
    </row>
    <row r="838" spans="1:10">
      <c r="A838">
        <v>5289</v>
      </c>
      <c r="B838" t="s">
        <v>5673</v>
      </c>
      <c r="C838">
        <v>5.53</v>
      </c>
      <c r="D838">
        <v>37.39</v>
      </c>
      <c r="E838">
        <v>0.34</v>
      </c>
      <c r="F838">
        <v>1.03</v>
      </c>
      <c r="G838">
        <v>836</v>
      </c>
      <c r="H838">
        <v>131</v>
      </c>
      <c r="I838">
        <v>425</v>
      </c>
      <c r="J838">
        <v>192</v>
      </c>
    </row>
    <row r="839" spans="1:10">
      <c r="A839">
        <v>2505</v>
      </c>
      <c r="B839" t="s">
        <v>5161</v>
      </c>
      <c r="C839">
        <v>5.5</v>
      </c>
      <c r="D839">
        <v>5.43</v>
      </c>
      <c r="E839">
        <v>0.57999999999999996</v>
      </c>
      <c r="F839">
        <v>0</v>
      </c>
      <c r="G839">
        <v>838</v>
      </c>
      <c r="H839">
        <v>739</v>
      </c>
      <c r="I839">
        <v>287</v>
      </c>
      <c r="J839" t="s">
        <v>6289</v>
      </c>
    </row>
    <row r="840" spans="1:10">
      <c r="A840">
        <v>5234</v>
      </c>
      <c r="B840" t="s">
        <v>5658</v>
      </c>
      <c r="C840">
        <v>5.5</v>
      </c>
      <c r="D840">
        <v>10.65</v>
      </c>
      <c r="E840">
        <v>0.23</v>
      </c>
      <c r="F840">
        <v>1.1399999999999999</v>
      </c>
      <c r="G840">
        <v>838</v>
      </c>
      <c r="H840">
        <v>476</v>
      </c>
      <c r="I840">
        <v>526</v>
      </c>
      <c r="J840">
        <v>183</v>
      </c>
    </row>
    <row r="841" spans="1:10">
      <c r="A841">
        <v>8367</v>
      </c>
      <c r="B841" t="s">
        <v>6019</v>
      </c>
      <c r="C841">
        <v>5.49</v>
      </c>
      <c r="D841">
        <v>1.75</v>
      </c>
      <c r="E841">
        <v>0</v>
      </c>
      <c r="F841">
        <v>0</v>
      </c>
      <c r="G841">
        <v>840</v>
      </c>
      <c r="H841">
        <v>1071</v>
      </c>
      <c r="I841" t="s">
        <v>6289</v>
      </c>
      <c r="J841" t="s">
        <v>6289</v>
      </c>
    </row>
    <row r="842" spans="1:10">
      <c r="A842">
        <v>3454</v>
      </c>
      <c r="B842" t="s">
        <v>5415</v>
      </c>
      <c r="C842">
        <v>5.48</v>
      </c>
      <c r="D842">
        <v>3.29</v>
      </c>
      <c r="E842">
        <v>0.34</v>
      </c>
      <c r="F842">
        <v>0</v>
      </c>
      <c r="G842">
        <v>841</v>
      </c>
      <c r="H842">
        <v>893</v>
      </c>
      <c r="I842">
        <v>425</v>
      </c>
      <c r="J842" t="s">
        <v>6289</v>
      </c>
    </row>
    <row r="843" spans="1:10">
      <c r="A843">
        <v>2108</v>
      </c>
      <c r="B843" t="s">
        <v>5013</v>
      </c>
      <c r="C843">
        <v>5.47</v>
      </c>
      <c r="D843">
        <v>8.4600000000000009</v>
      </c>
      <c r="E843">
        <v>2.2599999999999998</v>
      </c>
      <c r="F843">
        <v>0.22</v>
      </c>
      <c r="G843">
        <v>842</v>
      </c>
      <c r="H843">
        <v>571</v>
      </c>
      <c r="I843">
        <v>70</v>
      </c>
      <c r="J843">
        <v>319</v>
      </c>
    </row>
    <row r="844" spans="1:10">
      <c r="A844">
        <v>8069</v>
      </c>
      <c r="B844" t="s">
        <v>5972</v>
      </c>
      <c r="C844">
        <v>5.46</v>
      </c>
      <c r="D844">
        <v>36.18</v>
      </c>
      <c r="E844">
        <v>1.1399999999999999</v>
      </c>
      <c r="F844">
        <v>5.09</v>
      </c>
      <c r="G844">
        <v>843</v>
      </c>
      <c r="H844">
        <v>137</v>
      </c>
      <c r="I844">
        <v>152</v>
      </c>
      <c r="J844">
        <v>58</v>
      </c>
    </row>
    <row r="845" spans="1:10">
      <c r="A845">
        <v>3380</v>
      </c>
      <c r="B845" t="s">
        <v>5399</v>
      </c>
      <c r="C845">
        <v>5.45</v>
      </c>
      <c r="D845">
        <v>5.26</v>
      </c>
      <c r="E845">
        <v>0</v>
      </c>
      <c r="F845">
        <v>0</v>
      </c>
      <c r="G845">
        <v>844</v>
      </c>
      <c r="H845">
        <v>755</v>
      </c>
      <c r="I845" t="s">
        <v>6289</v>
      </c>
      <c r="J845" t="s">
        <v>6289</v>
      </c>
    </row>
    <row r="846" spans="1:10">
      <c r="A846">
        <v>3685</v>
      </c>
      <c r="B846" t="s">
        <v>5493</v>
      </c>
      <c r="C846">
        <v>5.36</v>
      </c>
      <c r="D846">
        <v>2.37</v>
      </c>
      <c r="E846">
        <v>0.31</v>
      </c>
      <c r="F846">
        <v>0</v>
      </c>
      <c r="G846">
        <v>845</v>
      </c>
      <c r="H846">
        <v>986</v>
      </c>
      <c r="I846">
        <v>459</v>
      </c>
      <c r="J846" t="s">
        <v>6289</v>
      </c>
    </row>
    <row r="847" spans="1:10">
      <c r="A847">
        <v>4711</v>
      </c>
      <c r="B847" t="s">
        <v>5588</v>
      </c>
      <c r="C847">
        <v>5.33</v>
      </c>
      <c r="D847">
        <v>1.43</v>
      </c>
      <c r="E847">
        <v>1.29</v>
      </c>
      <c r="F847">
        <v>0</v>
      </c>
      <c r="G847">
        <v>846</v>
      </c>
      <c r="H847">
        <v>1124</v>
      </c>
      <c r="I847">
        <v>134</v>
      </c>
      <c r="J847" t="s">
        <v>6289</v>
      </c>
    </row>
    <row r="848" spans="1:10">
      <c r="A848">
        <v>5220</v>
      </c>
      <c r="B848" t="s">
        <v>6192</v>
      </c>
      <c r="C848">
        <v>5.3</v>
      </c>
      <c r="D848">
        <v>0.87</v>
      </c>
      <c r="E848">
        <v>0</v>
      </c>
      <c r="F848">
        <v>1.71</v>
      </c>
      <c r="G848">
        <v>847</v>
      </c>
      <c r="H848">
        <v>1234</v>
      </c>
      <c r="I848" t="s">
        <v>6289</v>
      </c>
      <c r="J848">
        <v>147</v>
      </c>
    </row>
    <row r="849" spans="1:10">
      <c r="A849">
        <v>4942</v>
      </c>
      <c r="B849" t="s">
        <v>5623</v>
      </c>
      <c r="C849">
        <v>5.27</v>
      </c>
      <c r="D849">
        <v>14.26</v>
      </c>
      <c r="E849">
        <v>0.19</v>
      </c>
      <c r="F849">
        <v>0.01</v>
      </c>
      <c r="G849">
        <v>848</v>
      </c>
      <c r="H849">
        <v>372</v>
      </c>
      <c r="I849">
        <v>571</v>
      </c>
      <c r="J849">
        <v>491</v>
      </c>
    </row>
    <row r="850" spans="1:10">
      <c r="A850">
        <v>5490</v>
      </c>
      <c r="B850" t="s">
        <v>6158</v>
      </c>
      <c r="C850">
        <v>5.21</v>
      </c>
      <c r="D850">
        <v>3.55</v>
      </c>
      <c r="E850">
        <v>0.2</v>
      </c>
      <c r="F850">
        <v>0</v>
      </c>
      <c r="G850">
        <v>849</v>
      </c>
      <c r="H850">
        <v>861</v>
      </c>
      <c r="I850">
        <v>558</v>
      </c>
      <c r="J850" t="s">
        <v>6289</v>
      </c>
    </row>
    <row r="851" spans="1:10">
      <c r="A851">
        <v>3105</v>
      </c>
      <c r="B851" t="s">
        <v>5324</v>
      </c>
      <c r="C851">
        <v>5.2</v>
      </c>
      <c r="D851">
        <v>43.25</v>
      </c>
      <c r="E851">
        <v>1.49</v>
      </c>
      <c r="F851">
        <v>1.35</v>
      </c>
      <c r="G851">
        <v>850</v>
      </c>
      <c r="H851">
        <v>100</v>
      </c>
      <c r="I851">
        <v>108</v>
      </c>
      <c r="J851">
        <v>164</v>
      </c>
    </row>
    <row r="852" spans="1:10">
      <c r="A852">
        <v>3268</v>
      </c>
      <c r="B852" t="s">
        <v>5365</v>
      </c>
      <c r="C852">
        <v>5.18</v>
      </c>
      <c r="D852">
        <v>0.4</v>
      </c>
      <c r="E852">
        <v>0</v>
      </c>
      <c r="F852">
        <v>0</v>
      </c>
      <c r="G852">
        <v>851</v>
      </c>
      <c r="H852">
        <v>1360</v>
      </c>
      <c r="I852" t="s">
        <v>6289</v>
      </c>
      <c r="J852" t="s">
        <v>6289</v>
      </c>
    </row>
    <row r="853" spans="1:10">
      <c r="A853">
        <v>1304</v>
      </c>
      <c r="B853" t="s">
        <v>4807</v>
      </c>
      <c r="C853">
        <v>5.15</v>
      </c>
      <c r="D853">
        <v>32.76</v>
      </c>
      <c r="E853">
        <v>0.18</v>
      </c>
      <c r="F853">
        <v>0.01</v>
      </c>
      <c r="G853">
        <v>852</v>
      </c>
      <c r="H853">
        <v>158</v>
      </c>
      <c r="I853">
        <v>586</v>
      </c>
      <c r="J853">
        <v>491</v>
      </c>
    </row>
    <row r="854" spans="1:10">
      <c r="A854">
        <v>1452</v>
      </c>
      <c r="B854" t="s">
        <v>4850</v>
      </c>
      <c r="C854">
        <v>5.15</v>
      </c>
      <c r="D854">
        <v>3.7</v>
      </c>
      <c r="E854">
        <v>0.25</v>
      </c>
      <c r="F854">
        <v>0</v>
      </c>
      <c r="G854">
        <v>852</v>
      </c>
      <c r="H854">
        <v>849</v>
      </c>
      <c r="I854">
        <v>507</v>
      </c>
      <c r="J854" t="s">
        <v>6289</v>
      </c>
    </row>
    <row r="855" spans="1:10">
      <c r="A855">
        <v>2491</v>
      </c>
      <c r="B855" t="s">
        <v>5152</v>
      </c>
      <c r="C855">
        <v>5.15</v>
      </c>
      <c r="D855">
        <v>5.48</v>
      </c>
      <c r="E855">
        <v>0.27</v>
      </c>
      <c r="F855">
        <v>7.0000000000000007E-2</v>
      </c>
      <c r="G855">
        <v>852</v>
      </c>
      <c r="H855">
        <v>734</v>
      </c>
      <c r="I855">
        <v>492</v>
      </c>
      <c r="J855">
        <v>407</v>
      </c>
    </row>
    <row r="856" spans="1:10">
      <c r="A856">
        <v>1587</v>
      </c>
      <c r="B856" t="s">
        <v>4904</v>
      </c>
      <c r="C856">
        <v>5.0999999999999996</v>
      </c>
      <c r="D856">
        <v>21.17</v>
      </c>
      <c r="E856">
        <v>0.01</v>
      </c>
      <c r="F856">
        <v>0</v>
      </c>
      <c r="G856">
        <v>855</v>
      </c>
      <c r="H856">
        <v>268</v>
      </c>
      <c r="I856">
        <v>1110</v>
      </c>
      <c r="J856" t="s">
        <v>6289</v>
      </c>
    </row>
    <row r="857" spans="1:10">
      <c r="A857">
        <v>3031</v>
      </c>
      <c r="B857" t="s">
        <v>5291</v>
      </c>
      <c r="C857">
        <v>5.09</v>
      </c>
      <c r="D857">
        <v>1.52</v>
      </c>
      <c r="E857">
        <v>0.03</v>
      </c>
      <c r="F857">
        <v>0</v>
      </c>
      <c r="G857">
        <v>856</v>
      </c>
      <c r="H857">
        <v>1100</v>
      </c>
      <c r="I857">
        <v>978</v>
      </c>
      <c r="J857" t="s">
        <v>6289</v>
      </c>
    </row>
    <row r="858" spans="1:10">
      <c r="A858">
        <v>4807</v>
      </c>
      <c r="B858" t="s">
        <v>5608</v>
      </c>
      <c r="C858">
        <v>5.09</v>
      </c>
      <c r="D858">
        <v>72.959999999999994</v>
      </c>
      <c r="E858">
        <v>0.13</v>
      </c>
      <c r="F858">
        <v>0</v>
      </c>
      <c r="G858">
        <v>856</v>
      </c>
      <c r="H858">
        <v>18</v>
      </c>
      <c r="I858">
        <v>667</v>
      </c>
      <c r="J858" t="s">
        <v>6289</v>
      </c>
    </row>
    <row r="859" spans="1:10">
      <c r="A859">
        <v>4126</v>
      </c>
      <c r="B859" t="s">
        <v>5523</v>
      </c>
      <c r="C859">
        <v>5.07</v>
      </c>
      <c r="D859">
        <v>9.9</v>
      </c>
      <c r="E859">
        <v>0.19</v>
      </c>
      <c r="F859">
        <v>0</v>
      </c>
      <c r="G859">
        <v>858</v>
      </c>
      <c r="H859">
        <v>504</v>
      </c>
      <c r="I859">
        <v>571</v>
      </c>
      <c r="J859" t="s">
        <v>6289</v>
      </c>
    </row>
    <row r="860" spans="1:10">
      <c r="A860">
        <v>2477</v>
      </c>
      <c r="B860" t="s">
        <v>5141</v>
      </c>
      <c r="C860">
        <v>5.0599999999999996</v>
      </c>
      <c r="D860">
        <v>22.12</v>
      </c>
      <c r="E860">
        <v>0.02</v>
      </c>
      <c r="F860">
        <v>0</v>
      </c>
      <c r="G860">
        <v>859</v>
      </c>
      <c r="H860">
        <v>250</v>
      </c>
      <c r="I860">
        <v>1051</v>
      </c>
      <c r="J860" t="s">
        <v>6289</v>
      </c>
    </row>
    <row r="861" spans="1:10">
      <c r="A861">
        <v>4155</v>
      </c>
      <c r="B861" t="s">
        <v>5533</v>
      </c>
      <c r="C861">
        <v>5.05</v>
      </c>
      <c r="D861">
        <v>1.49</v>
      </c>
      <c r="E861">
        <v>0.12</v>
      </c>
      <c r="F861">
        <v>0</v>
      </c>
      <c r="G861">
        <v>860</v>
      </c>
      <c r="H861">
        <v>1108</v>
      </c>
      <c r="I861">
        <v>683</v>
      </c>
      <c r="J861" t="s">
        <v>6289</v>
      </c>
    </row>
    <row r="862" spans="1:10">
      <c r="A862">
        <v>1712</v>
      </c>
      <c r="B862" t="s">
        <v>4932</v>
      </c>
      <c r="C862">
        <v>5.04</v>
      </c>
      <c r="D862">
        <v>9.39</v>
      </c>
      <c r="E862">
        <v>0.12</v>
      </c>
      <c r="F862">
        <v>0.01</v>
      </c>
      <c r="G862">
        <v>861</v>
      </c>
      <c r="H862">
        <v>525</v>
      </c>
      <c r="I862">
        <v>683</v>
      </c>
      <c r="J862">
        <v>491</v>
      </c>
    </row>
    <row r="863" spans="1:10">
      <c r="A863">
        <v>4707</v>
      </c>
      <c r="B863" t="s">
        <v>5587</v>
      </c>
      <c r="C863">
        <v>5.03</v>
      </c>
      <c r="D863">
        <v>0.56000000000000005</v>
      </c>
      <c r="E863">
        <v>0.03</v>
      </c>
      <c r="F863">
        <v>0</v>
      </c>
      <c r="G863">
        <v>862</v>
      </c>
      <c r="H863">
        <v>1305</v>
      </c>
      <c r="I863">
        <v>978</v>
      </c>
      <c r="J863" t="s">
        <v>6289</v>
      </c>
    </row>
    <row r="864" spans="1:10">
      <c r="A864">
        <v>2239</v>
      </c>
      <c r="B864" t="s">
        <v>5029</v>
      </c>
      <c r="C864">
        <v>5.01</v>
      </c>
      <c r="D864">
        <v>75.58</v>
      </c>
      <c r="E864">
        <v>0.03</v>
      </c>
      <c r="F864">
        <v>0.15</v>
      </c>
      <c r="G864">
        <v>863</v>
      </c>
      <c r="H864">
        <v>15</v>
      </c>
      <c r="I864">
        <v>978</v>
      </c>
      <c r="J864">
        <v>349</v>
      </c>
    </row>
    <row r="865" spans="1:10">
      <c r="A865">
        <v>1603</v>
      </c>
      <c r="B865" t="s">
        <v>4913</v>
      </c>
      <c r="C865">
        <v>4.96</v>
      </c>
      <c r="D865">
        <v>1.58</v>
      </c>
      <c r="E865">
        <v>0.06</v>
      </c>
      <c r="F865">
        <v>0</v>
      </c>
      <c r="G865">
        <v>864</v>
      </c>
      <c r="H865">
        <v>1094</v>
      </c>
      <c r="I865">
        <v>852</v>
      </c>
      <c r="J865" t="s">
        <v>6289</v>
      </c>
    </row>
    <row r="866" spans="1:10">
      <c r="A866">
        <v>6220</v>
      </c>
      <c r="B866" t="s">
        <v>5822</v>
      </c>
      <c r="C866">
        <v>4.96</v>
      </c>
      <c r="D866">
        <v>1.52</v>
      </c>
      <c r="E866">
        <v>0.54</v>
      </c>
      <c r="F866">
        <v>0</v>
      </c>
      <c r="G866">
        <v>864</v>
      </c>
      <c r="H866">
        <v>1100</v>
      </c>
      <c r="I866">
        <v>304</v>
      </c>
      <c r="J866" t="s">
        <v>6289</v>
      </c>
    </row>
    <row r="867" spans="1:10">
      <c r="A867">
        <v>2530</v>
      </c>
      <c r="B867" t="s">
        <v>5171</v>
      </c>
      <c r="C867">
        <v>4.9400000000000004</v>
      </c>
      <c r="D867">
        <v>0.62</v>
      </c>
      <c r="E867">
        <v>0</v>
      </c>
      <c r="F867">
        <v>0</v>
      </c>
      <c r="G867">
        <v>866</v>
      </c>
      <c r="H867">
        <v>1291</v>
      </c>
      <c r="I867" t="s">
        <v>6289</v>
      </c>
      <c r="J867" t="s">
        <v>6289</v>
      </c>
    </row>
    <row r="868" spans="1:10">
      <c r="A868">
        <v>8931</v>
      </c>
      <c r="B868" t="s">
        <v>6065</v>
      </c>
      <c r="C868">
        <v>4.9400000000000004</v>
      </c>
      <c r="D868">
        <v>0.05</v>
      </c>
      <c r="E868">
        <v>0.08</v>
      </c>
      <c r="F868">
        <v>0</v>
      </c>
      <c r="G868">
        <v>866</v>
      </c>
      <c r="H868">
        <v>1457</v>
      </c>
      <c r="I868">
        <v>789</v>
      </c>
      <c r="J868" t="s">
        <v>6289</v>
      </c>
    </row>
    <row r="869" spans="1:10">
      <c r="A869">
        <v>2393</v>
      </c>
      <c r="B869" t="s">
        <v>5089</v>
      </c>
      <c r="C869">
        <v>4.93</v>
      </c>
      <c r="D869">
        <v>30.65</v>
      </c>
      <c r="E869">
        <v>0.87</v>
      </c>
      <c r="F869">
        <v>0.44</v>
      </c>
      <c r="G869">
        <v>868</v>
      </c>
      <c r="H869">
        <v>176</v>
      </c>
      <c r="I869">
        <v>198</v>
      </c>
      <c r="J869">
        <v>268</v>
      </c>
    </row>
    <row r="870" spans="1:10">
      <c r="A870">
        <v>4161</v>
      </c>
      <c r="B870" t="s">
        <v>5535</v>
      </c>
      <c r="C870">
        <v>4.88</v>
      </c>
      <c r="D870">
        <v>0.09</v>
      </c>
      <c r="E870">
        <v>0</v>
      </c>
      <c r="F870">
        <v>0</v>
      </c>
      <c r="G870">
        <v>869</v>
      </c>
      <c r="H870">
        <v>1448</v>
      </c>
      <c r="I870" t="s">
        <v>6289</v>
      </c>
      <c r="J870" t="s">
        <v>6289</v>
      </c>
    </row>
    <row r="871" spans="1:10">
      <c r="A871">
        <v>3529</v>
      </c>
      <c r="B871" t="s">
        <v>5437</v>
      </c>
      <c r="C871">
        <v>4.8600000000000003</v>
      </c>
      <c r="D871">
        <v>57.79</v>
      </c>
      <c r="E871">
        <v>5.63</v>
      </c>
      <c r="F871">
        <v>10.32</v>
      </c>
      <c r="G871">
        <v>870</v>
      </c>
      <c r="H871">
        <v>53</v>
      </c>
      <c r="I871">
        <v>13</v>
      </c>
      <c r="J871">
        <v>12</v>
      </c>
    </row>
    <row r="872" spans="1:10">
      <c r="A872">
        <v>6548</v>
      </c>
      <c r="B872" t="s">
        <v>5909</v>
      </c>
      <c r="C872">
        <v>4.8600000000000003</v>
      </c>
      <c r="D872">
        <v>6.7</v>
      </c>
      <c r="E872">
        <v>0.02</v>
      </c>
      <c r="F872">
        <v>0.35</v>
      </c>
      <c r="G872">
        <v>870</v>
      </c>
      <c r="H872">
        <v>653</v>
      </c>
      <c r="I872">
        <v>1051</v>
      </c>
      <c r="J872">
        <v>284</v>
      </c>
    </row>
    <row r="873" spans="1:10">
      <c r="A873">
        <v>4105</v>
      </c>
      <c r="B873" t="s">
        <v>5512</v>
      </c>
      <c r="C873">
        <v>4.84</v>
      </c>
      <c r="D873">
        <v>14.93</v>
      </c>
      <c r="E873">
        <v>0.22</v>
      </c>
      <c r="F873">
        <v>1.17</v>
      </c>
      <c r="G873">
        <v>872</v>
      </c>
      <c r="H873">
        <v>358</v>
      </c>
      <c r="I873">
        <v>537</v>
      </c>
      <c r="J873">
        <v>180</v>
      </c>
    </row>
    <row r="874" spans="1:10">
      <c r="A874">
        <v>3008</v>
      </c>
      <c r="B874" t="s">
        <v>5274</v>
      </c>
      <c r="C874">
        <v>4.83</v>
      </c>
      <c r="D874">
        <v>35.75</v>
      </c>
      <c r="E874">
        <v>2.44</v>
      </c>
      <c r="F874">
        <v>1.1299999999999999</v>
      </c>
      <c r="G874">
        <v>873</v>
      </c>
      <c r="H874">
        <v>139</v>
      </c>
      <c r="I874">
        <v>60</v>
      </c>
      <c r="J874">
        <v>184</v>
      </c>
    </row>
    <row r="875" spans="1:10">
      <c r="A875">
        <v>4545</v>
      </c>
      <c r="B875" t="s">
        <v>5571</v>
      </c>
      <c r="C875">
        <v>4.83</v>
      </c>
      <c r="D875">
        <v>33.880000000000003</v>
      </c>
      <c r="E875">
        <v>0.08</v>
      </c>
      <c r="F875">
        <v>0.04</v>
      </c>
      <c r="G875">
        <v>873</v>
      </c>
      <c r="H875">
        <v>148</v>
      </c>
      <c r="I875">
        <v>789</v>
      </c>
      <c r="J875">
        <v>437</v>
      </c>
    </row>
    <row r="876" spans="1:10">
      <c r="A876">
        <v>2867</v>
      </c>
      <c r="B876" t="s">
        <v>5238</v>
      </c>
      <c r="C876">
        <v>4.8</v>
      </c>
      <c r="D876">
        <v>5.45</v>
      </c>
      <c r="E876">
        <v>0</v>
      </c>
      <c r="F876">
        <v>0</v>
      </c>
      <c r="G876">
        <v>875</v>
      </c>
      <c r="H876">
        <v>736</v>
      </c>
      <c r="I876" t="s">
        <v>6289</v>
      </c>
      <c r="J876" t="s">
        <v>6289</v>
      </c>
    </row>
    <row r="877" spans="1:10">
      <c r="A877">
        <v>6196</v>
      </c>
      <c r="B877" t="s">
        <v>5805</v>
      </c>
      <c r="C877">
        <v>4.79</v>
      </c>
      <c r="D877">
        <v>7.46</v>
      </c>
      <c r="E877">
        <v>0.16</v>
      </c>
      <c r="F877">
        <v>0.33</v>
      </c>
      <c r="G877">
        <v>876</v>
      </c>
      <c r="H877">
        <v>606</v>
      </c>
      <c r="I877">
        <v>614</v>
      </c>
      <c r="J877">
        <v>293</v>
      </c>
    </row>
    <row r="878" spans="1:10">
      <c r="A878">
        <v>3026</v>
      </c>
      <c r="B878" t="s">
        <v>5286</v>
      </c>
      <c r="C878">
        <v>4.7699999999999996</v>
      </c>
      <c r="D878">
        <v>11.18</v>
      </c>
      <c r="E878">
        <v>1.55</v>
      </c>
      <c r="F878">
        <v>0</v>
      </c>
      <c r="G878">
        <v>877</v>
      </c>
      <c r="H878">
        <v>454</v>
      </c>
      <c r="I878">
        <v>102</v>
      </c>
      <c r="J878" t="s">
        <v>6289</v>
      </c>
    </row>
    <row r="879" spans="1:10">
      <c r="A879">
        <v>6177</v>
      </c>
      <c r="B879" t="s">
        <v>5791</v>
      </c>
      <c r="C879">
        <v>4.7699999999999996</v>
      </c>
      <c r="D879">
        <v>3.59</v>
      </c>
      <c r="E879">
        <v>0.03</v>
      </c>
      <c r="F879">
        <v>0</v>
      </c>
      <c r="G879">
        <v>877</v>
      </c>
      <c r="H879">
        <v>857</v>
      </c>
      <c r="I879">
        <v>978</v>
      </c>
      <c r="J879" t="s">
        <v>6289</v>
      </c>
    </row>
    <row r="880" spans="1:10">
      <c r="A880">
        <v>2723</v>
      </c>
      <c r="B880" t="s">
        <v>5215</v>
      </c>
      <c r="C880">
        <v>4.76</v>
      </c>
      <c r="D880">
        <v>47.92</v>
      </c>
      <c r="E880">
        <v>0.02</v>
      </c>
      <c r="F880">
        <v>0.01</v>
      </c>
      <c r="G880">
        <v>879</v>
      </c>
      <c r="H880">
        <v>81</v>
      </c>
      <c r="I880">
        <v>1051</v>
      </c>
      <c r="J880">
        <v>491</v>
      </c>
    </row>
    <row r="881" spans="1:10">
      <c r="A881">
        <v>8422</v>
      </c>
      <c r="B881" t="s">
        <v>6029</v>
      </c>
      <c r="C881">
        <v>4.75</v>
      </c>
      <c r="D881">
        <v>25.67</v>
      </c>
      <c r="E881">
        <v>0.41</v>
      </c>
      <c r="F881">
        <v>0.37</v>
      </c>
      <c r="G881">
        <v>880</v>
      </c>
      <c r="H881">
        <v>213</v>
      </c>
      <c r="I881">
        <v>370</v>
      </c>
      <c r="J881">
        <v>278</v>
      </c>
    </row>
    <row r="882" spans="1:10">
      <c r="A882">
        <v>4502</v>
      </c>
      <c r="B882" t="s">
        <v>6317</v>
      </c>
      <c r="C882">
        <v>4.74</v>
      </c>
      <c r="D882">
        <v>1.08</v>
      </c>
      <c r="E882">
        <v>0</v>
      </c>
      <c r="F882">
        <v>0</v>
      </c>
      <c r="G882">
        <v>881</v>
      </c>
      <c r="H882">
        <v>1191</v>
      </c>
      <c r="I882" t="s">
        <v>6289</v>
      </c>
      <c r="J882" t="s">
        <v>6289</v>
      </c>
    </row>
    <row r="883" spans="1:10">
      <c r="A883">
        <v>1731</v>
      </c>
      <c r="B883" t="s">
        <v>4944</v>
      </c>
      <c r="C883">
        <v>4.68</v>
      </c>
      <c r="D883">
        <v>1.1000000000000001</v>
      </c>
      <c r="E883">
        <v>0.09</v>
      </c>
      <c r="F883">
        <v>0</v>
      </c>
      <c r="G883">
        <v>882</v>
      </c>
      <c r="H883">
        <v>1188</v>
      </c>
      <c r="I883">
        <v>762</v>
      </c>
      <c r="J883" t="s">
        <v>6289</v>
      </c>
    </row>
    <row r="884" spans="1:10">
      <c r="A884">
        <v>6781</v>
      </c>
      <c r="B884" t="s">
        <v>5953</v>
      </c>
      <c r="C884">
        <v>4.6500000000000004</v>
      </c>
      <c r="D884">
        <v>80.069999999999993</v>
      </c>
      <c r="E884">
        <v>0.03</v>
      </c>
      <c r="F884">
        <v>2.78</v>
      </c>
      <c r="G884">
        <v>883</v>
      </c>
      <c r="H884">
        <v>9</v>
      </c>
      <c r="I884">
        <v>978</v>
      </c>
      <c r="J884">
        <v>96</v>
      </c>
    </row>
    <row r="885" spans="1:10">
      <c r="A885">
        <v>8210</v>
      </c>
      <c r="B885" t="s">
        <v>6003</v>
      </c>
      <c r="C885">
        <v>4.6500000000000004</v>
      </c>
      <c r="D885">
        <v>6.92</v>
      </c>
      <c r="E885">
        <v>0.24</v>
      </c>
      <c r="F885">
        <v>0.06</v>
      </c>
      <c r="G885">
        <v>883</v>
      </c>
      <c r="H885">
        <v>639</v>
      </c>
      <c r="I885">
        <v>514</v>
      </c>
      <c r="J885">
        <v>416</v>
      </c>
    </row>
    <row r="886" spans="1:10">
      <c r="A886">
        <v>1710</v>
      </c>
      <c r="B886" t="s">
        <v>4930</v>
      </c>
      <c r="C886">
        <v>4.63</v>
      </c>
      <c r="D886">
        <v>7.83</v>
      </c>
      <c r="E886">
        <v>0.81</v>
      </c>
      <c r="F886">
        <v>0.04</v>
      </c>
      <c r="G886">
        <v>885</v>
      </c>
      <c r="H886">
        <v>589</v>
      </c>
      <c r="I886">
        <v>215</v>
      </c>
      <c r="J886">
        <v>437</v>
      </c>
    </row>
    <row r="887" spans="1:10">
      <c r="A887">
        <v>5478</v>
      </c>
      <c r="B887" t="s">
        <v>5704</v>
      </c>
      <c r="C887">
        <v>4.62</v>
      </c>
      <c r="D887">
        <v>30.49</v>
      </c>
      <c r="E887">
        <v>0.7</v>
      </c>
      <c r="F887">
        <v>0.04</v>
      </c>
      <c r="G887">
        <v>886</v>
      </c>
      <c r="H887">
        <v>179</v>
      </c>
      <c r="I887">
        <v>253</v>
      </c>
      <c r="J887">
        <v>437</v>
      </c>
    </row>
    <row r="888" spans="1:10">
      <c r="A888">
        <v>2754</v>
      </c>
      <c r="B888" t="s">
        <v>6318</v>
      </c>
      <c r="C888">
        <v>4.6100000000000003</v>
      </c>
      <c r="D888">
        <v>70.33</v>
      </c>
      <c r="E888">
        <v>0</v>
      </c>
      <c r="F888">
        <v>0</v>
      </c>
      <c r="G888">
        <v>887</v>
      </c>
      <c r="H888">
        <v>22</v>
      </c>
      <c r="I888" t="s">
        <v>6289</v>
      </c>
      <c r="J888" t="s">
        <v>6289</v>
      </c>
    </row>
    <row r="889" spans="1:10">
      <c r="A889">
        <v>4555</v>
      </c>
      <c r="B889" t="s">
        <v>5575</v>
      </c>
      <c r="C889">
        <v>4.59</v>
      </c>
      <c r="D889">
        <v>0.28999999999999998</v>
      </c>
      <c r="E889">
        <v>0.06</v>
      </c>
      <c r="F889">
        <v>0</v>
      </c>
      <c r="G889">
        <v>888</v>
      </c>
      <c r="H889">
        <v>1387</v>
      </c>
      <c r="I889">
        <v>852</v>
      </c>
      <c r="J889" t="s">
        <v>6289</v>
      </c>
    </row>
    <row r="890" spans="1:10">
      <c r="A890">
        <v>8401</v>
      </c>
      <c r="B890" t="s">
        <v>6023</v>
      </c>
      <c r="C890">
        <v>4.58</v>
      </c>
      <c r="D890">
        <v>1.3</v>
      </c>
      <c r="E890">
        <v>0.05</v>
      </c>
      <c r="F890">
        <v>0</v>
      </c>
      <c r="G890">
        <v>889</v>
      </c>
      <c r="H890">
        <v>1149</v>
      </c>
      <c r="I890">
        <v>896</v>
      </c>
      <c r="J890" t="s">
        <v>6289</v>
      </c>
    </row>
    <row r="891" spans="1:10">
      <c r="A891">
        <v>1717</v>
      </c>
      <c r="B891" t="s">
        <v>4935</v>
      </c>
      <c r="C891">
        <v>4.57</v>
      </c>
      <c r="D891">
        <v>12.52</v>
      </c>
      <c r="E891">
        <v>0.18</v>
      </c>
      <c r="F891">
        <v>0.05</v>
      </c>
      <c r="G891">
        <v>890</v>
      </c>
      <c r="H891">
        <v>411</v>
      </c>
      <c r="I891">
        <v>586</v>
      </c>
      <c r="J891">
        <v>428</v>
      </c>
    </row>
    <row r="892" spans="1:10">
      <c r="A892">
        <v>3211</v>
      </c>
      <c r="B892" t="s">
        <v>5346</v>
      </c>
      <c r="C892">
        <v>4.57</v>
      </c>
      <c r="D892">
        <v>9.43</v>
      </c>
      <c r="E892">
        <v>0.87</v>
      </c>
      <c r="F892">
        <v>0.16</v>
      </c>
      <c r="G892">
        <v>890</v>
      </c>
      <c r="H892">
        <v>524</v>
      </c>
      <c r="I892">
        <v>198</v>
      </c>
      <c r="J892">
        <v>345</v>
      </c>
    </row>
    <row r="893" spans="1:10">
      <c r="A893">
        <v>4745</v>
      </c>
      <c r="B893" t="s">
        <v>5600</v>
      </c>
      <c r="C893">
        <v>4.57</v>
      </c>
      <c r="D893">
        <v>15.44</v>
      </c>
      <c r="E893">
        <v>0</v>
      </c>
      <c r="F893">
        <v>0</v>
      </c>
      <c r="G893">
        <v>890</v>
      </c>
      <c r="H893">
        <v>345</v>
      </c>
      <c r="I893" t="s">
        <v>6289</v>
      </c>
      <c r="J893" t="s">
        <v>6289</v>
      </c>
    </row>
    <row r="894" spans="1:10">
      <c r="A894">
        <v>6270</v>
      </c>
      <c r="B894" t="s">
        <v>5847</v>
      </c>
      <c r="C894">
        <v>4.5199999999999996</v>
      </c>
      <c r="D894">
        <v>2.54</v>
      </c>
      <c r="E894">
        <v>0.01</v>
      </c>
      <c r="F894">
        <v>0</v>
      </c>
      <c r="G894">
        <v>893</v>
      </c>
      <c r="H894">
        <v>967</v>
      </c>
      <c r="I894">
        <v>1110</v>
      </c>
      <c r="J894" t="s">
        <v>6289</v>
      </c>
    </row>
    <row r="895" spans="1:10">
      <c r="A895">
        <v>8114</v>
      </c>
      <c r="B895" t="s">
        <v>5993</v>
      </c>
      <c r="C895">
        <v>4.5199999999999996</v>
      </c>
      <c r="D895">
        <v>10.42</v>
      </c>
      <c r="E895">
        <v>0.11</v>
      </c>
      <c r="F895">
        <v>2.44</v>
      </c>
      <c r="G895">
        <v>893</v>
      </c>
      <c r="H895">
        <v>484</v>
      </c>
      <c r="I895">
        <v>708</v>
      </c>
      <c r="J895">
        <v>110</v>
      </c>
    </row>
    <row r="896" spans="1:10">
      <c r="A896">
        <v>4433</v>
      </c>
      <c r="B896" t="s">
        <v>5555</v>
      </c>
      <c r="C896">
        <v>4.51</v>
      </c>
      <c r="D896">
        <v>0.25</v>
      </c>
      <c r="E896">
        <v>0.03</v>
      </c>
      <c r="F896">
        <v>0</v>
      </c>
      <c r="G896">
        <v>895</v>
      </c>
      <c r="H896">
        <v>1399</v>
      </c>
      <c r="I896">
        <v>978</v>
      </c>
      <c r="J896" t="s">
        <v>6289</v>
      </c>
    </row>
    <row r="897" spans="1:10">
      <c r="A897">
        <v>1582</v>
      </c>
      <c r="B897" t="s">
        <v>4900</v>
      </c>
      <c r="C897">
        <v>4.5</v>
      </c>
      <c r="D897">
        <v>11.88</v>
      </c>
      <c r="E897">
        <v>0.06</v>
      </c>
      <c r="F897">
        <v>0</v>
      </c>
      <c r="G897">
        <v>896</v>
      </c>
      <c r="H897">
        <v>433</v>
      </c>
      <c r="I897">
        <v>852</v>
      </c>
      <c r="J897" t="s">
        <v>6289</v>
      </c>
    </row>
    <row r="898" spans="1:10">
      <c r="A898">
        <v>2471</v>
      </c>
      <c r="B898" t="s">
        <v>5137</v>
      </c>
      <c r="C898">
        <v>4.49</v>
      </c>
      <c r="D898">
        <v>2.4900000000000002</v>
      </c>
      <c r="E898">
        <v>0.2</v>
      </c>
      <c r="F898">
        <v>0</v>
      </c>
      <c r="G898">
        <v>897</v>
      </c>
      <c r="H898">
        <v>974</v>
      </c>
      <c r="I898">
        <v>558</v>
      </c>
      <c r="J898" t="s">
        <v>6289</v>
      </c>
    </row>
    <row r="899" spans="1:10">
      <c r="A899">
        <v>5281</v>
      </c>
      <c r="B899" t="s">
        <v>6319</v>
      </c>
      <c r="C899">
        <v>4.46</v>
      </c>
      <c r="D899">
        <v>41.47</v>
      </c>
      <c r="E899">
        <v>0.03</v>
      </c>
      <c r="F899">
        <v>0</v>
      </c>
      <c r="G899">
        <v>898</v>
      </c>
      <c r="H899">
        <v>113</v>
      </c>
      <c r="I899">
        <v>978</v>
      </c>
      <c r="J899" t="s">
        <v>6289</v>
      </c>
    </row>
    <row r="900" spans="1:10">
      <c r="A900">
        <v>2596</v>
      </c>
      <c r="B900" t="s">
        <v>5183</v>
      </c>
      <c r="C900">
        <v>4.4400000000000004</v>
      </c>
      <c r="D900">
        <v>0.56000000000000005</v>
      </c>
      <c r="E900">
        <v>0</v>
      </c>
      <c r="F900">
        <v>0</v>
      </c>
      <c r="G900">
        <v>899</v>
      </c>
      <c r="H900">
        <v>1305</v>
      </c>
      <c r="I900" t="s">
        <v>6289</v>
      </c>
      <c r="J900" t="s">
        <v>6289</v>
      </c>
    </row>
    <row r="901" spans="1:10">
      <c r="A901">
        <v>2201</v>
      </c>
      <c r="B901" t="s">
        <v>5017</v>
      </c>
      <c r="C901">
        <v>4.41</v>
      </c>
      <c r="D901">
        <v>7.51</v>
      </c>
      <c r="E901">
        <v>0.89</v>
      </c>
      <c r="F901">
        <v>0.03</v>
      </c>
      <c r="G901">
        <v>900</v>
      </c>
      <c r="H901">
        <v>600</v>
      </c>
      <c r="I901">
        <v>193</v>
      </c>
      <c r="J901">
        <v>458</v>
      </c>
    </row>
    <row r="902" spans="1:10">
      <c r="A902">
        <v>3706</v>
      </c>
      <c r="B902" t="s">
        <v>5504</v>
      </c>
      <c r="C902">
        <v>4.41</v>
      </c>
      <c r="D902">
        <v>12.08</v>
      </c>
      <c r="E902">
        <v>1.07</v>
      </c>
      <c r="F902">
        <v>0.04</v>
      </c>
      <c r="G902">
        <v>900</v>
      </c>
      <c r="H902">
        <v>426</v>
      </c>
      <c r="I902">
        <v>165</v>
      </c>
      <c r="J902">
        <v>437</v>
      </c>
    </row>
    <row r="903" spans="1:10">
      <c r="A903">
        <v>2608</v>
      </c>
      <c r="B903" t="s">
        <v>5190</v>
      </c>
      <c r="C903">
        <v>4.3899999999999997</v>
      </c>
      <c r="D903">
        <v>4.42</v>
      </c>
      <c r="E903">
        <v>0.6</v>
      </c>
      <c r="F903">
        <v>0</v>
      </c>
      <c r="G903">
        <v>902</v>
      </c>
      <c r="H903">
        <v>812</v>
      </c>
      <c r="I903">
        <v>282</v>
      </c>
      <c r="J903" t="s">
        <v>6289</v>
      </c>
    </row>
    <row r="904" spans="1:10">
      <c r="A904">
        <v>6582</v>
      </c>
      <c r="B904" t="s">
        <v>5918</v>
      </c>
      <c r="C904">
        <v>4.38</v>
      </c>
      <c r="D904">
        <v>17.3</v>
      </c>
      <c r="E904">
        <v>0.17</v>
      </c>
      <c r="F904">
        <v>0.01</v>
      </c>
      <c r="G904">
        <v>903</v>
      </c>
      <c r="H904">
        <v>321</v>
      </c>
      <c r="I904">
        <v>598</v>
      </c>
      <c r="J904">
        <v>491</v>
      </c>
    </row>
    <row r="905" spans="1:10">
      <c r="A905">
        <v>6240</v>
      </c>
      <c r="B905" t="s">
        <v>5835</v>
      </c>
      <c r="C905">
        <v>4.37</v>
      </c>
      <c r="D905">
        <v>0.17</v>
      </c>
      <c r="E905">
        <v>0</v>
      </c>
      <c r="F905">
        <v>0</v>
      </c>
      <c r="G905">
        <v>904</v>
      </c>
      <c r="H905">
        <v>1420</v>
      </c>
      <c r="I905" t="s">
        <v>6289</v>
      </c>
      <c r="J905" t="s">
        <v>6289</v>
      </c>
    </row>
    <row r="906" spans="1:10">
      <c r="A906">
        <v>1457</v>
      </c>
      <c r="B906" t="s">
        <v>4855</v>
      </c>
      <c r="C906">
        <v>4.34</v>
      </c>
      <c r="D906">
        <v>2.1800000000000002</v>
      </c>
      <c r="E906">
        <v>0.01</v>
      </c>
      <c r="F906">
        <v>0</v>
      </c>
      <c r="G906">
        <v>905</v>
      </c>
      <c r="H906">
        <v>1002</v>
      </c>
      <c r="I906">
        <v>1110</v>
      </c>
      <c r="J906" t="s">
        <v>6289</v>
      </c>
    </row>
    <row r="907" spans="1:10">
      <c r="A907">
        <v>3218</v>
      </c>
      <c r="B907" t="s">
        <v>5349</v>
      </c>
      <c r="C907">
        <v>4.3</v>
      </c>
      <c r="D907">
        <v>32.01</v>
      </c>
      <c r="E907">
        <v>0.32</v>
      </c>
      <c r="F907">
        <v>0.24</v>
      </c>
      <c r="G907">
        <v>906</v>
      </c>
      <c r="H907">
        <v>160</v>
      </c>
      <c r="I907">
        <v>447</v>
      </c>
      <c r="J907">
        <v>315</v>
      </c>
    </row>
    <row r="908" spans="1:10">
      <c r="A908">
        <v>4426</v>
      </c>
      <c r="B908" t="s">
        <v>5553</v>
      </c>
      <c r="C908">
        <v>4.2699999999999996</v>
      </c>
      <c r="D908">
        <v>5.19</v>
      </c>
      <c r="E908">
        <v>0.01</v>
      </c>
      <c r="F908">
        <v>0</v>
      </c>
      <c r="G908">
        <v>907</v>
      </c>
      <c r="H908">
        <v>759</v>
      </c>
      <c r="I908">
        <v>1110</v>
      </c>
      <c r="J908" t="s">
        <v>6289</v>
      </c>
    </row>
    <row r="909" spans="1:10">
      <c r="A909">
        <v>4510</v>
      </c>
      <c r="B909" t="s">
        <v>5560</v>
      </c>
      <c r="C909">
        <v>4.2699999999999996</v>
      </c>
      <c r="D909">
        <v>2.44</v>
      </c>
      <c r="E909">
        <v>0.02</v>
      </c>
      <c r="F909">
        <v>0</v>
      </c>
      <c r="G909">
        <v>907</v>
      </c>
      <c r="H909">
        <v>978</v>
      </c>
      <c r="I909">
        <v>1051</v>
      </c>
      <c r="J909" t="s">
        <v>6289</v>
      </c>
    </row>
    <row r="910" spans="1:10">
      <c r="A910">
        <v>4958</v>
      </c>
      <c r="B910" t="s">
        <v>5629</v>
      </c>
      <c r="C910">
        <v>4.2699999999999996</v>
      </c>
      <c r="D910">
        <v>62.49</v>
      </c>
      <c r="E910">
        <v>0.33</v>
      </c>
      <c r="F910">
        <v>1.68</v>
      </c>
      <c r="G910">
        <v>907</v>
      </c>
      <c r="H910">
        <v>42</v>
      </c>
      <c r="I910">
        <v>435</v>
      </c>
      <c r="J910">
        <v>149</v>
      </c>
    </row>
    <row r="911" spans="1:10">
      <c r="A911">
        <v>9934</v>
      </c>
      <c r="B911" t="s">
        <v>6091</v>
      </c>
      <c r="C911">
        <v>4.2699999999999996</v>
      </c>
      <c r="D911">
        <v>17.239999999999998</v>
      </c>
      <c r="E911">
        <v>0.05</v>
      </c>
      <c r="F911">
        <v>0</v>
      </c>
      <c r="G911">
        <v>907</v>
      </c>
      <c r="H911">
        <v>322</v>
      </c>
      <c r="I911">
        <v>896</v>
      </c>
      <c r="J911" t="s">
        <v>6289</v>
      </c>
    </row>
    <row r="912" spans="1:10">
      <c r="A912">
        <v>6206</v>
      </c>
      <c r="B912" t="s">
        <v>5811</v>
      </c>
      <c r="C912">
        <v>4.26</v>
      </c>
      <c r="D912">
        <v>12.84</v>
      </c>
      <c r="E912">
        <v>0.24</v>
      </c>
      <c r="F912">
        <v>0.49</v>
      </c>
      <c r="G912">
        <v>911</v>
      </c>
      <c r="H912">
        <v>407</v>
      </c>
      <c r="I912">
        <v>514</v>
      </c>
      <c r="J912">
        <v>253</v>
      </c>
    </row>
    <row r="913" spans="1:10">
      <c r="A913">
        <v>2732</v>
      </c>
      <c r="B913" t="s">
        <v>5219</v>
      </c>
      <c r="C913">
        <v>4.24</v>
      </c>
      <c r="D913">
        <v>6.56</v>
      </c>
      <c r="E913">
        <v>0.57999999999999996</v>
      </c>
      <c r="F913">
        <v>1.35</v>
      </c>
      <c r="G913">
        <v>912</v>
      </c>
      <c r="H913">
        <v>667</v>
      </c>
      <c r="I913">
        <v>287</v>
      </c>
      <c r="J913">
        <v>164</v>
      </c>
    </row>
    <row r="914" spans="1:10">
      <c r="A914">
        <v>1905</v>
      </c>
      <c r="B914" t="s">
        <v>4973</v>
      </c>
      <c r="C914">
        <v>4.2300000000000004</v>
      </c>
      <c r="D914">
        <v>2.74</v>
      </c>
      <c r="E914">
        <v>0.06</v>
      </c>
      <c r="F914">
        <v>0</v>
      </c>
      <c r="G914">
        <v>913</v>
      </c>
      <c r="H914">
        <v>946</v>
      </c>
      <c r="I914">
        <v>852</v>
      </c>
      <c r="J914" t="s">
        <v>6289</v>
      </c>
    </row>
    <row r="915" spans="1:10">
      <c r="A915">
        <v>2243</v>
      </c>
      <c r="B915" t="s">
        <v>5031</v>
      </c>
      <c r="C915">
        <v>4.21</v>
      </c>
      <c r="D915">
        <v>42.74</v>
      </c>
      <c r="E915">
        <v>0.12</v>
      </c>
      <c r="F915">
        <v>0</v>
      </c>
      <c r="G915">
        <v>914</v>
      </c>
      <c r="H915">
        <v>105</v>
      </c>
      <c r="I915">
        <v>683</v>
      </c>
      <c r="J915" t="s">
        <v>6289</v>
      </c>
    </row>
    <row r="916" spans="1:10">
      <c r="A916">
        <v>3653</v>
      </c>
      <c r="B916" t="s">
        <v>5482</v>
      </c>
      <c r="C916">
        <v>4.21</v>
      </c>
      <c r="D916">
        <v>10.88</v>
      </c>
      <c r="E916">
        <v>0.36</v>
      </c>
      <c r="F916">
        <v>16.77</v>
      </c>
      <c r="G916">
        <v>914</v>
      </c>
      <c r="H916">
        <v>469</v>
      </c>
      <c r="I916">
        <v>406</v>
      </c>
      <c r="J916">
        <v>5</v>
      </c>
    </row>
    <row r="917" spans="1:10">
      <c r="A917">
        <v>4147</v>
      </c>
      <c r="B917" t="s">
        <v>5530</v>
      </c>
      <c r="C917">
        <v>4.21</v>
      </c>
      <c r="D917">
        <v>6.68</v>
      </c>
      <c r="E917">
        <v>0.03</v>
      </c>
      <c r="F917">
        <v>0.16</v>
      </c>
      <c r="G917">
        <v>914</v>
      </c>
      <c r="H917">
        <v>655</v>
      </c>
      <c r="I917">
        <v>978</v>
      </c>
      <c r="J917">
        <v>345</v>
      </c>
    </row>
    <row r="918" spans="1:10">
      <c r="A918">
        <v>4966</v>
      </c>
      <c r="B918" t="s">
        <v>5632</v>
      </c>
      <c r="C918">
        <v>4.21</v>
      </c>
      <c r="D918">
        <v>69.819999999999993</v>
      </c>
      <c r="E918">
        <v>0.51</v>
      </c>
      <c r="F918">
        <v>3.58</v>
      </c>
      <c r="G918">
        <v>914</v>
      </c>
      <c r="H918">
        <v>24</v>
      </c>
      <c r="I918">
        <v>316</v>
      </c>
      <c r="J918">
        <v>81</v>
      </c>
    </row>
    <row r="919" spans="1:10">
      <c r="A919">
        <v>2049</v>
      </c>
      <c r="B919" t="s">
        <v>5001</v>
      </c>
      <c r="C919">
        <v>4.1900000000000004</v>
      </c>
      <c r="D919">
        <v>39.9</v>
      </c>
      <c r="E919">
        <v>2.34</v>
      </c>
      <c r="F919">
        <v>0.25</v>
      </c>
      <c r="G919">
        <v>918</v>
      </c>
      <c r="H919">
        <v>120</v>
      </c>
      <c r="I919">
        <v>65</v>
      </c>
      <c r="J919">
        <v>312</v>
      </c>
    </row>
    <row r="920" spans="1:10">
      <c r="A920">
        <v>2474</v>
      </c>
      <c r="B920" t="s">
        <v>5139</v>
      </c>
      <c r="C920">
        <v>4.18</v>
      </c>
      <c r="D920">
        <v>43.74</v>
      </c>
      <c r="E920">
        <v>0.42</v>
      </c>
      <c r="F920">
        <v>0.24</v>
      </c>
      <c r="G920">
        <v>919</v>
      </c>
      <c r="H920">
        <v>96</v>
      </c>
      <c r="I920">
        <v>363</v>
      </c>
      <c r="J920">
        <v>315</v>
      </c>
    </row>
    <row r="921" spans="1:10">
      <c r="A921">
        <v>5533</v>
      </c>
      <c r="B921" t="s">
        <v>5718</v>
      </c>
      <c r="C921">
        <v>4.1399999999999997</v>
      </c>
      <c r="D921">
        <v>3.37</v>
      </c>
      <c r="E921">
        <v>0.01</v>
      </c>
      <c r="F921">
        <v>0</v>
      </c>
      <c r="G921">
        <v>920</v>
      </c>
      <c r="H921">
        <v>884</v>
      </c>
      <c r="I921">
        <v>1110</v>
      </c>
      <c r="J921" t="s">
        <v>6289</v>
      </c>
    </row>
    <row r="922" spans="1:10">
      <c r="A922">
        <v>6486</v>
      </c>
      <c r="B922" t="s">
        <v>5889</v>
      </c>
      <c r="C922">
        <v>4.08</v>
      </c>
      <c r="D922">
        <v>0.89</v>
      </c>
      <c r="E922">
        <v>0</v>
      </c>
      <c r="F922">
        <v>0</v>
      </c>
      <c r="G922">
        <v>921</v>
      </c>
      <c r="H922">
        <v>1229</v>
      </c>
      <c r="I922" t="s">
        <v>6289</v>
      </c>
      <c r="J922" t="s">
        <v>6289</v>
      </c>
    </row>
    <row r="923" spans="1:10">
      <c r="A923">
        <v>2506</v>
      </c>
      <c r="B923" t="s">
        <v>5162</v>
      </c>
      <c r="C923">
        <v>4.0599999999999996</v>
      </c>
      <c r="D923">
        <v>3.11</v>
      </c>
      <c r="E923">
        <v>7.0000000000000007E-2</v>
      </c>
      <c r="F923">
        <v>0</v>
      </c>
      <c r="G923">
        <v>922</v>
      </c>
      <c r="H923">
        <v>908</v>
      </c>
      <c r="I923">
        <v>824</v>
      </c>
      <c r="J923" t="s">
        <v>6289</v>
      </c>
    </row>
    <row r="924" spans="1:10">
      <c r="A924">
        <v>8089</v>
      </c>
      <c r="B924" t="s">
        <v>5981</v>
      </c>
      <c r="C924">
        <v>4.05</v>
      </c>
      <c r="D924">
        <v>4.7300000000000004</v>
      </c>
      <c r="E924">
        <v>0</v>
      </c>
      <c r="F924">
        <v>0</v>
      </c>
      <c r="G924">
        <v>923</v>
      </c>
      <c r="H924">
        <v>791</v>
      </c>
      <c r="I924" t="s">
        <v>6289</v>
      </c>
      <c r="J924" t="s">
        <v>6289</v>
      </c>
    </row>
    <row r="925" spans="1:10">
      <c r="A925">
        <v>4306</v>
      </c>
      <c r="B925" t="s">
        <v>5548</v>
      </c>
      <c r="C925">
        <v>4.01</v>
      </c>
      <c r="D925">
        <v>5.43</v>
      </c>
      <c r="E925">
        <v>7.0000000000000007E-2</v>
      </c>
      <c r="F925">
        <v>0</v>
      </c>
      <c r="G925">
        <v>924</v>
      </c>
      <c r="H925">
        <v>739</v>
      </c>
      <c r="I925">
        <v>824</v>
      </c>
      <c r="J925" t="s">
        <v>6289</v>
      </c>
    </row>
    <row r="926" spans="1:10">
      <c r="A926">
        <v>8349</v>
      </c>
      <c r="B926" t="s">
        <v>6017</v>
      </c>
      <c r="C926">
        <v>4.01</v>
      </c>
      <c r="D926">
        <v>1.48</v>
      </c>
      <c r="E926">
        <v>0.01</v>
      </c>
      <c r="F926">
        <v>0</v>
      </c>
      <c r="G926">
        <v>924</v>
      </c>
      <c r="H926">
        <v>1110</v>
      </c>
      <c r="I926">
        <v>1110</v>
      </c>
      <c r="J926" t="s">
        <v>6289</v>
      </c>
    </row>
    <row r="927" spans="1:10">
      <c r="A927">
        <v>1258</v>
      </c>
      <c r="B927" t="s">
        <v>4803</v>
      </c>
      <c r="C927">
        <v>4</v>
      </c>
      <c r="D927">
        <v>72.19</v>
      </c>
      <c r="E927">
        <v>0.01</v>
      </c>
      <c r="F927">
        <v>0</v>
      </c>
      <c r="G927">
        <v>926</v>
      </c>
      <c r="H927">
        <v>21</v>
      </c>
      <c r="I927">
        <v>1110</v>
      </c>
      <c r="J927" t="s">
        <v>6289</v>
      </c>
    </row>
    <row r="928" spans="1:10">
      <c r="A928">
        <v>2888</v>
      </c>
      <c r="B928" t="s">
        <v>5247</v>
      </c>
      <c r="C928">
        <v>4</v>
      </c>
      <c r="D928">
        <v>21.89</v>
      </c>
      <c r="E928">
        <v>0</v>
      </c>
      <c r="F928">
        <v>0.3</v>
      </c>
      <c r="G928">
        <v>926</v>
      </c>
      <c r="H928">
        <v>255</v>
      </c>
      <c r="I928" t="s">
        <v>6289</v>
      </c>
      <c r="J928">
        <v>299</v>
      </c>
    </row>
    <row r="929" spans="1:10">
      <c r="A929">
        <v>3029</v>
      </c>
      <c r="B929" t="s">
        <v>5289</v>
      </c>
      <c r="C929">
        <v>4</v>
      </c>
      <c r="D929">
        <v>4.3099999999999996</v>
      </c>
      <c r="E929">
        <v>0.44</v>
      </c>
      <c r="F929">
        <v>0</v>
      </c>
      <c r="G929">
        <v>926</v>
      </c>
      <c r="H929">
        <v>816</v>
      </c>
      <c r="I929">
        <v>350</v>
      </c>
      <c r="J929" t="s">
        <v>6289</v>
      </c>
    </row>
    <row r="930" spans="1:10">
      <c r="A930">
        <v>2493</v>
      </c>
      <c r="B930" t="s">
        <v>5154</v>
      </c>
      <c r="C930">
        <v>3.99</v>
      </c>
      <c r="D930">
        <v>5.72</v>
      </c>
      <c r="E930">
        <v>0.27</v>
      </c>
      <c r="F930">
        <v>0</v>
      </c>
      <c r="G930">
        <v>929</v>
      </c>
      <c r="H930">
        <v>719</v>
      </c>
      <c r="I930">
        <v>492</v>
      </c>
      <c r="J930" t="s">
        <v>6289</v>
      </c>
    </row>
    <row r="931" spans="1:10">
      <c r="A931">
        <v>2929</v>
      </c>
      <c r="B931" t="s">
        <v>5266</v>
      </c>
      <c r="C931">
        <v>3.98</v>
      </c>
      <c r="D931">
        <v>20.079999999999998</v>
      </c>
      <c r="E931">
        <v>1.44</v>
      </c>
      <c r="F931">
        <v>0</v>
      </c>
      <c r="G931">
        <v>930</v>
      </c>
      <c r="H931">
        <v>284</v>
      </c>
      <c r="I931">
        <v>116</v>
      </c>
      <c r="J931" t="s">
        <v>6289</v>
      </c>
    </row>
    <row r="932" spans="1:10">
      <c r="A932">
        <v>1903</v>
      </c>
      <c r="B932" t="s">
        <v>4971</v>
      </c>
      <c r="C932">
        <v>3.97</v>
      </c>
      <c r="D932">
        <v>18.66</v>
      </c>
      <c r="E932">
        <v>0</v>
      </c>
      <c r="F932">
        <v>0</v>
      </c>
      <c r="G932">
        <v>931</v>
      </c>
      <c r="H932">
        <v>298</v>
      </c>
      <c r="I932" t="s">
        <v>6289</v>
      </c>
      <c r="J932" t="s">
        <v>6289</v>
      </c>
    </row>
    <row r="933" spans="1:10">
      <c r="A933">
        <v>4164</v>
      </c>
      <c r="B933" t="s">
        <v>5538</v>
      </c>
      <c r="C933">
        <v>3.97</v>
      </c>
      <c r="D933">
        <v>28.94</v>
      </c>
      <c r="E933">
        <v>0.16</v>
      </c>
      <c r="F933">
        <v>0.48</v>
      </c>
      <c r="G933">
        <v>931</v>
      </c>
      <c r="H933">
        <v>190</v>
      </c>
      <c r="I933">
        <v>614</v>
      </c>
      <c r="J933">
        <v>256</v>
      </c>
    </row>
    <row r="934" spans="1:10">
      <c r="A934">
        <v>5460</v>
      </c>
      <c r="B934" t="s">
        <v>6254</v>
      </c>
      <c r="C934">
        <v>3.97</v>
      </c>
      <c r="D934">
        <v>0.38</v>
      </c>
      <c r="E934">
        <v>0</v>
      </c>
      <c r="F934">
        <v>0</v>
      </c>
      <c r="G934">
        <v>931</v>
      </c>
      <c r="H934">
        <v>1364</v>
      </c>
      <c r="I934" t="s">
        <v>6289</v>
      </c>
      <c r="J934" t="s">
        <v>6289</v>
      </c>
    </row>
    <row r="935" spans="1:10">
      <c r="A935">
        <v>2354</v>
      </c>
      <c r="B935" t="s">
        <v>5062</v>
      </c>
      <c r="C935">
        <v>3.95</v>
      </c>
      <c r="D935">
        <v>20.57</v>
      </c>
      <c r="E935">
        <v>0.37</v>
      </c>
      <c r="F935">
        <v>2.25</v>
      </c>
      <c r="G935">
        <v>934</v>
      </c>
      <c r="H935">
        <v>273</v>
      </c>
      <c r="I935">
        <v>395</v>
      </c>
      <c r="J935">
        <v>118</v>
      </c>
    </row>
    <row r="936" spans="1:10">
      <c r="A936">
        <v>3028</v>
      </c>
      <c r="B936" t="s">
        <v>5288</v>
      </c>
      <c r="C936">
        <v>3.93</v>
      </c>
      <c r="D936">
        <v>6.81</v>
      </c>
      <c r="E936">
        <v>0</v>
      </c>
      <c r="F936">
        <v>0</v>
      </c>
      <c r="G936">
        <v>935</v>
      </c>
      <c r="H936">
        <v>644</v>
      </c>
      <c r="I936" t="s">
        <v>6289</v>
      </c>
      <c r="J936" t="s">
        <v>6289</v>
      </c>
    </row>
    <row r="937" spans="1:10">
      <c r="A937">
        <v>5536</v>
      </c>
      <c r="B937" t="s">
        <v>5720</v>
      </c>
      <c r="C937">
        <v>3.93</v>
      </c>
      <c r="D937">
        <v>18.72</v>
      </c>
      <c r="E937">
        <v>1.8</v>
      </c>
      <c r="F937">
        <v>0</v>
      </c>
      <c r="G937">
        <v>935</v>
      </c>
      <c r="H937">
        <v>295</v>
      </c>
      <c r="I937">
        <v>87</v>
      </c>
      <c r="J937" t="s">
        <v>6289</v>
      </c>
    </row>
    <row r="938" spans="1:10">
      <c r="A938">
        <v>4972</v>
      </c>
      <c r="B938" t="s">
        <v>6217</v>
      </c>
      <c r="C938">
        <v>3.92</v>
      </c>
      <c r="D938">
        <v>1</v>
      </c>
      <c r="E938">
        <v>0</v>
      </c>
      <c r="F938">
        <v>0</v>
      </c>
      <c r="G938">
        <v>937</v>
      </c>
      <c r="H938">
        <v>1208</v>
      </c>
      <c r="I938" t="s">
        <v>6289</v>
      </c>
      <c r="J938" t="s">
        <v>6289</v>
      </c>
    </row>
    <row r="939" spans="1:10">
      <c r="A939">
        <v>2404</v>
      </c>
      <c r="B939" t="s">
        <v>5095</v>
      </c>
      <c r="C939">
        <v>3.91</v>
      </c>
      <c r="D939">
        <v>22.52</v>
      </c>
      <c r="E939">
        <v>5.16</v>
      </c>
      <c r="F939">
        <v>1.93</v>
      </c>
      <c r="G939">
        <v>938</v>
      </c>
      <c r="H939">
        <v>245</v>
      </c>
      <c r="I939">
        <v>20</v>
      </c>
      <c r="J939">
        <v>135</v>
      </c>
    </row>
    <row r="940" spans="1:10">
      <c r="A940">
        <v>2467</v>
      </c>
      <c r="B940" t="s">
        <v>5135</v>
      </c>
      <c r="C940">
        <v>3.91</v>
      </c>
      <c r="D940">
        <v>8.16</v>
      </c>
      <c r="E940">
        <v>0.01</v>
      </c>
      <c r="F940">
        <v>0</v>
      </c>
      <c r="G940">
        <v>938</v>
      </c>
      <c r="H940">
        <v>578</v>
      </c>
      <c r="I940">
        <v>1110</v>
      </c>
      <c r="J940" t="s">
        <v>6289</v>
      </c>
    </row>
    <row r="941" spans="1:10">
      <c r="A941">
        <v>8463</v>
      </c>
      <c r="B941" t="s">
        <v>6044</v>
      </c>
      <c r="C941">
        <v>3.91</v>
      </c>
      <c r="D941">
        <v>0.21</v>
      </c>
      <c r="E941">
        <v>0.05</v>
      </c>
      <c r="F941">
        <v>0</v>
      </c>
      <c r="G941">
        <v>938</v>
      </c>
      <c r="H941">
        <v>1406</v>
      </c>
      <c r="I941">
        <v>896</v>
      </c>
      <c r="J941" t="s">
        <v>6289</v>
      </c>
    </row>
    <row r="942" spans="1:10">
      <c r="A942">
        <v>2488</v>
      </c>
      <c r="B942" t="s">
        <v>5150</v>
      </c>
      <c r="C942">
        <v>3.9</v>
      </c>
      <c r="D942">
        <v>2.23</v>
      </c>
      <c r="E942">
        <v>0.05</v>
      </c>
      <c r="F942">
        <v>0</v>
      </c>
      <c r="G942">
        <v>941</v>
      </c>
      <c r="H942">
        <v>999</v>
      </c>
      <c r="I942">
        <v>896</v>
      </c>
      <c r="J942" t="s">
        <v>6289</v>
      </c>
    </row>
    <row r="943" spans="1:10">
      <c r="A943">
        <v>2024</v>
      </c>
      <c r="B943" t="s">
        <v>4990</v>
      </c>
      <c r="C943">
        <v>3.89</v>
      </c>
      <c r="D943">
        <v>0.22</v>
      </c>
      <c r="E943">
        <v>0.05</v>
      </c>
      <c r="F943">
        <v>0</v>
      </c>
      <c r="G943">
        <v>942</v>
      </c>
      <c r="H943">
        <v>1405</v>
      </c>
      <c r="I943">
        <v>896</v>
      </c>
      <c r="J943" t="s">
        <v>6289</v>
      </c>
    </row>
    <row r="944" spans="1:10">
      <c r="A944">
        <v>3209</v>
      </c>
      <c r="B944" t="s">
        <v>5345</v>
      </c>
      <c r="C944">
        <v>3.89</v>
      </c>
      <c r="D944">
        <v>6.64</v>
      </c>
      <c r="E944">
        <v>0.05</v>
      </c>
      <c r="F944">
        <v>0</v>
      </c>
      <c r="G944">
        <v>942</v>
      </c>
      <c r="H944">
        <v>657</v>
      </c>
      <c r="I944">
        <v>896</v>
      </c>
      <c r="J944" t="s">
        <v>6289</v>
      </c>
    </row>
    <row r="945" spans="1:10">
      <c r="A945">
        <v>5269</v>
      </c>
      <c r="B945" t="s">
        <v>5665</v>
      </c>
      <c r="C945">
        <v>3.87</v>
      </c>
      <c r="D945">
        <v>23.2</v>
      </c>
      <c r="E945">
        <v>1.02</v>
      </c>
      <c r="F945">
        <v>1.88</v>
      </c>
      <c r="G945">
        <v>944</v>
      </c>
      <c r="H945">
        <v>237</v>
      </c>
      <c r="I945">
        <v>171</v>
      </c>
      <c r="J945">
        <v>137</v>
      </c>
    </row>
    <row r="946" spans="1:10">
      <c r="A946">
        <v>1310</v>
      </c>
      <c r="B946" t="s">
        <v>4812</v>
      </c>
      <c r="C946">
        <v>3.86</v>
      </c>
      <c r="D946">
        <v>5.83</v>
      </c>
      <c r="E946">
        <v>0.36</v>
      </c>
      <c r="F946">
        <v>0</v>
      </c>
      <c r="G946">
        <v>945</v>
      </c>
      <c r="H946">
        <v>713</v>
      </c>
      <c r="I946">
        <v>406</v>
      </c>
      <c r="J946" t="s">
        <v>6289</v>
      </c>
    </row>
    <row r="947" spans="1:10">
      <c r="A947">
        <v>4119</v>
      </c>
      <c r="B947" t="s">
        <v>5519</v>
      </c>
      <c r="C947">
        <v>3.84</v>
      </c>
      <c r="D947">
        <v>2.15</v>
      </c>
      <c r="E947">
        <v>0.09</v>
      </c>
      <c r="F947">
        <v>0.03</v>
      </c>
      <c r="G947">
        <v>946</v>
      </c>
      <c r="H947">
        <v>1006</v>
      </c>
      <c r="I947">
        <v>762</v>
      </c>
      <c r="J947">
        <v>458</v>
      </c>
    </row>
    <row r="948" spans="1:10">
      <c r="A948">
        <v>1313</v>
      </c>
      <c r="B948" t="s">
        <v>4814</v>
      </c>
      <c r="C948">
        <v>3.83</v>
      </c>
      <c r="D948">
        <v>8.59</v>
      </c>
      <c r="E948">
        <v>0</v>
      </c>
      <c r="F948">
        <v>0</v>
      </c>
      <c r="G948">
        <v>947</v>
      </c>
      <c r="H948">
        <v>563</v>
      </c>
      <c r="I948" t="s">
        <v>6289</v>
      </c>
      <c r="J948" t="s">
        <v>6289</v>
      </c>
    </row>
    <row r="949" spans="1:10">
      <c r="A949">
        <v>6185</v>
      </c>
      <c r="B949" t="s">
        <v>5797</v>
      </c>
      <c r="C949">
        <v>3.82</v>
      </c>
      <c r="D949">
        <v>1.18</v>
      </c>
      <c r="E949">
        <v>0</v>
      </c>
      <c r="F949">
        <v>0</v>
      </c>
      <c r="G949">
        <v>948</v>
      </c>
      <c r="H949">
        <v>1173</v>
      </c>
      <c r="I949" t="s">
        <v>6289</v>
      </c>
      <c r="J949" t="s">
        <v>6289</v>
      </c>
    </row>
    <row r="950" spans="1:10">
      <c r="A950">
        <v>5371</v>
      </c>
      <c r="B950" t="s">
        <v>5684</v>
      </c>
      <c r="C950">
        <v>3.81</v>
      </c>
      <c r="D950">
        <v>25.09</v>
      </c>
      <c r="E950">
        <v>1.36</v>
      </c>
      <c r="F950">
        <v>0</v>
      </c>
      <c r="G950">
        <v>949</v>
      </c>
      <c r="H950">
        <v>220</v>
      </c>
      <c r="I950">
        <v>127</v>
      </c>
      <c r="J950" t="s">
        <v>6289</v>
      </c>
    </row>
    <row r="951" spans="1:10">
      <c r="A951">
        <v>2006</v>
      </c>
      <c r="B951" t="s">
        <v>4978</v>
      </c>
      <c r="C951">
        <v>3.8</v>
      </c>
      <c r="D951">
        <v>12.3</v>
      </c>
      <c r="E951">
        <v>1.2</v>
      </c>
      <c r="F951">
        <v>2.37</v>
      </c>
      <c r="G951">
        <v>950</v>
      </c>
      <c r="H951">
        <v>417</v>
      </c>
      <c r="I951">
        <v>140</v>
      </c>
      <c r="J951">
        <v>111</v>
      </c>
    </row>
    <row r="952" spans="1:10">
      <c r="A952">
        <v>4541</v>
      </c>
      <c r="B952" t="s">
        <v>5569</v>
      </c>
      <c r="C952">
        <v>3.78</v>
      </c>
      <c r="D952">
        <v>3.15</v>
      </c>
      <c r="E952">
        <v>0.03</v>
      </c>
      <c r="F952">
        <v>0</v>
      </c>
      <c r="G952">
        <v>951</v>
      </c>
      <c r="H952">
        <v>903</v>
      </c>
      <c r="I952">
        <v>978</v>
      </c>
      <c r="J952" t="s">
        <v>6289</v>
      </c>
    </row>
    <row r="953" spans="1:10">
      <c r="A953">
        <v>6204</v>
      </c>
      <c r="B953" t="s">
        <v>6162</v>
      </c>
      <c r="C953">
        <v>3.76</v>
      </c>
      <c r="D953">
        <v>0.16</v>
      </c>
      <c r="E953">
        <v>0.06</v>
      </c>
      <c r="F953">
        <v>0</v>
      </c>
      <c r="G953">
        <v>952</v>
      </c>
      <c r="H953">
        <v>1426</v>
      </c>
      <c r="I953">
        <v>852</v>
      </c>
      <c r="J953" t="s">
        <v>6289</v>
      </c>
    </row>
    <row r="954" spans="1:10">
      <c r="A954">
        <v>5438</v>
      </c>
      <c r="B954" t="s">
        <v>5694</v>
      </c>
      <c r="C954">
        <v>3.75</v>
      </c>
      <c r="D954">
        <v>1.39</v>
      </c>
      <c r="E954">
        <v>0</v>
      </c>
      <c r="F954">
        <v>0</v>
      </c>
      <c r="G954">
        <v>953</v>
      </c>
      <c r="H954">
        <v>1136</v>
      </c>
      <c r="I954" t="s">
        <v>6289</v>
      </c>
      <c r="J954" t="s">
        <v>6289</v>
      </c>
    </row>
    <row r="955" spans="1:10">
      <c r="A955">
        <v>1907</v>
      </c>
      <c r="B955" t="s">
        <v>4975</v>
      </c>
      <c r="C955">
        <v>3.74</v>
      </c>
      <c r="D955">
        <v>15.36</v>
      </c>
      <c r="E955">
        <v>0.06</v>
      </c>
      <c r="F955">
        <v>0.01</v>
      </c>
      <c r="G955">
        <v>954</v>
      </c>
      <c r="H955">
        <v>349</v>
      </c>
      <c r="I955">
        <v>852</v>
      </c>
      <c r="J955">
        <v>491</v>
      </c>
    </row>
    <row r="956" spans="1:10">
      <c r="A956">
        <v>2228</v>
      </c>
      <c r="B956" t="s">
        <v>5024</v>
      </c>
      <c r="C956">
        <v>3.74</v>
      </c>
      <c r="D956">
        <v>5.15</v>
      </c>
      <c r="E956">
        <v>0.67</v>
      </c>
      <c r="F956">
        <v>0</v>
      </c>
      <c r="G956">
        <v>954</v>
      </c>
      <c r="H956">
        <v>762</v>
      </c>
      <c r="I956">
        <v>259</v>
      </c>
      <c r="J956" t="s">
        <v>6289</v>
      </c>
    </row>
    <row r="957" spans="1:10">
      <c r="A957">
        <v>2527</v>
      </c>
      <c r="B957" t="s">
        <v>5169</v>
      </c>
      <c r="C957">
        <v>3.71</v>
      </c>
      <c r="D957">
        <v>43.27</v>
      </c>
      <c r="E957">
        <v>0</v>
      </c>
      <c r="F957">
        <v>7.0000000000000007E-2</v>
      </c>
      <c r="G957">
        <v>956</v>
      </c>
      <c r="H957">
        <v>99</v>
      </c>
      <c r="I957" t="s">
        <v>6289</v>
      </c>
      <c r="J957">
        <v>407</v>
      </c>
    </row>
    <row r="958" spans="1:10">
      <c r="A958">
        <v>1786</v>
      </c>
      <c r="B958" t="s">
        <v>4960</v>
      </c>
      <c r="C958">
        <v>3.67</v>
      </c>
      <c r="D958">
        <v>0.38</v>
      </c>
      <c r="E958">
        <v>0.18</v>
      </c>
      <c r="F958">
        <v>0</v>
      </c>
      <c r="G958">
        <v>957</v>
      </c>
      <c r="H958">
        <v>1364</v>
      </c>
      <c r="I958">
        <v>586</v>
      </c>
      <c r="J958" t="s">
        <v>6289</v>
      </c>
    </row>
    <row r="959" spans="1:10">
      <c r="A959">
        <v>2206</v>
      </c>
      <c r="B959" t="s">
        <v>5019</v>
      </c>
      <c r="C959">
        <v>3.67</v>
      </c>
      <c r="D959">
        <v>7.93</v>
      </c>
      <c r="E959">
        <v>0.39</v>
      </c>
      <c r="F959">
        <v>0</v>
      </c>
      <c r="G959">
        <v>957</v>
      </c>
      <c r="H959">
        <v>583</v>
      </c>
      <c r="I959">
        <v>379</v>
      </c>
      <c r="J959" t="s">
        <v>6289</v>
      </c>
    </row>
    <row r="960" spans="1:10">
      <c r="A960">
        <v>5353</v>
      </c>
      <c r="B960" t="s">
        <v>5682</v>
      </c>
      <c r="C960">
        <v>3.67</v>
      </c>
      <c r="D960">
        <v>0.19</v>
      </c>
      <c r="E960">
        <v>0</v>
      </c>
      <c r="F960">
        <v>0</v>
      </c>
      <c r="G960">
        <v>957</v>
      </c>
      <c r="H960">
        <v>1412</v>
      </c>
      <c r="I960" t="s">
        <v>6289</v>
      </c>
      <c r="J960" t="s">
        <v>6289</v>
      </c>
    </row>
    <row r="961" spans="1:10">
      <c r="A961">
        <v>8047</v>
      </c>
      <c r="B961" t="s">
        <v>6316</v>
      </c>
      <c r="C961">
        <v>3.66</v>
      </c>
      <c r="D961">
        <v>0.06</v>
      </c>
      <c r="E961">
        <v>0</v>
      </c>
      <c r="F961">
        <v>0</v>
      </c>
      <c r="G961">
        <v>960</v>
      </c>
      <c r="H961">
        <v>1455</v>
      </c>
      <c r="I961" t="s">
        <v>6289</v>
      </c>
      <c r="J961" t="s">
        <v>6289</v>
      </c>
    </row>
    <row r="962" spans="1:10">
      <c r="A962">
        <v>4561</v>
      </c>
      <c r="B962" t="s">
        <v>546</v>
      </c>
      <c r="C962">
        <v>3.65</v>
      </c>
      <c r="D962">
        <v>0.11</v>
      </c>
      <c r="E962">
        <v>0.05</v>
      </c>
      <c r="F962">
        <v>0</v>
      </c>
      <c r="G962">
        <v>961</v>
      </c>
      <c r="H962">
        <v>1443</v>
      </c>
      <c r="I962">
        <v>896</v>
      </c>
      <c r="J962" t="s">
        <v>6289</v>
      </c>
    </row>
    <row r="963" spans="1:10">
      <c r="A963">
        <v>2392</v>
      </c>
      <c r="B963" t="s">
        <v>5088</v>
      </c>
      <c r="C963">
        <v>3.64</v>
      </c>
      <c r="D963">
        <v>9.7200000000000006</v>
      </c>
      <c r="E963">
        <v>0.49</v>
      </c>
      <c r="F963">
        <v>0.02</v>
      </c>
      <c r="G963">
        <v>962</v>
      </c>
      <c r="H963">
        <v>508</v>
      </c>
      <c r="I963">
        <v>324</v>
      </c>
      <c r="J963">
        <v>473</v>
      </c>
    </row>
    <row r="964" spans="1:10">
      <c r="A964">
        <v>6488</v>
      </c>
      <c r="B964" t="s">
        <v>5890</v>
      </c>
      <c r="C964">
        <v>3.64</v>
      </c>
      <c r="D964">
        <v>27.57</v>
      </c>
      <c r="E964">
        <v>0.56999999999999995</v>
      </c>
      <c r="F964">
        <v>1.55</v>
      </c>
      <c r="G964">
        <v>962</v>
      </c>
      <c r="H964">
        <v>200</v>
      </c>
      <c r="I964">
        <v>292</v>
      </c>
      <c r="J964">
        <v>156</v>
      </c>
    </row>
    <row r="965" spans="1:10">
      <c r="A965">
        <v>4526</v>
      </c>
      <c r="B965" t="s">
        <v>5562</v>
      </c>
      <c r="C965">
        <v>3.62</v>
      </c>
      <c r="D965">
        <v>7.06</v>
      </c>
      <c r="E965">
        <v>0.03</v>
      </c>
      <c r="F965">
        <v>0</v>
      </c>
      <c r="G965">
        <v>964</v>
      </c>
      <c r="H965">
        <v>633</v>
      </c>
      <c r="I965">
        <v>978</v>
      </c>
      <c r="J965" t="s">
        <v>6289</v>
      </c>
    </row>
    <row r="966" spans="1:10">
      <c r="A966">
        <v>1323</v>
      </c>
      <c r="B966" t="s">
        <v>4820</v>
      </c>
      <c r="C966">
        <v>3.61</v>
      </c>
      <c r="D966">
        <v>3.21</v>
      </c>
      <c r="E966">
        <v>0.06</v>
      </c>
      <c r="F966">
        <v>0</v>
      </c>
      <c r="G966">
        <v>965</v>
      </c>
      <c r="H966">
        <v>899</v>
      </c>
      <c r="I966">
        <v>852</v>
      </c>
      <c r="J966" t="s">
        <v>6289</v>
      </c>
    </row>
    <row r="967" spans="1:10">
      <c r="A967">
        <v>1808</v>
      </c>
      <c r="B967" t="s">
        <v>4966</v>
      </c>
      <c r="C967">
        <v>3.6</v>
      </c>
      <c r="D967">
        <v>3.38</v>
      </c>
      <c r="E967">
        <v>0.15</v>
      </c>
      <c r="F967">
        <v>0</v>
      </c>
      <c r="G967">
        <v>966</v>
      </c>
      <c r="H967">
        <v>883</v>
      </c>
      <c r="I967">
        <v>635</v>
      </c>
      <c r="J967" t="s">
        <v>6289</v>
      </c>
    </row>
    <row r="968" spans="1:10">
      <c r="A968">
        <v>8374</v>
      </c>
      <c r="B968" t="s">
        <v>6020</v>
      </c>
      <c r="C968">
        <v>3.6</v>
      </c>
      <c r="D968">
        <v>2.77</v>
      </c>
      <c r="E968">
        <v>0.05</v>
      </c>
      <c r="F968">
        <v>0</v>
      </c>
      <c r="G968">
        <v>966</v>
      </c>
      <c r="H968">
        <v>943</v>
      </c>
      <c r="I968">
        <v>896</v>
      </c>
      <c r="J968" t="s">
        <v>6289</v>
      </c>
    </row>
    <row r="969" spans="1:10">
      <c r="A969">
        <v>8415</v>
      </c>
      <c r="B969" t="s">
        <v>6027</v>
      </c>
      <c r="C969">
        <v>3.57</v>
      </c>
      <c r="D969">
        <v>10.06</v>
      </c>
      <c r="E969">
        <v>0.06</v>
      </c>
      <c r="F969">
        <v>0</v>
      </c>
      <c r="G969">
        <v>968</v>
      </c>
      <c r="H969">
        <v>500</v>
      </c>
      <c r="I969">
        <v>852</v>
      </c>
      <c r="J969" t="s">
        <v>6289</v>
      </c>
    </row>
    <row r="970" spans="1:10">
      <c r="A970">
        <v>1340</v>
      </c>
      <c r="B970" t="s">
        <v>4828</v>
      </c>
      <c r="C970">
        <v>3.56</v>
      </c>
      <c r="D970">
        <v>28.34</v>
      </c>
      <c r="E970">
        <v>0.27</v>
      </c>
      <c r="F970">
        <v>0</v>
      </c>
      <c r="G970">
        <v>969</v>
      </c>
      <c r="H970">
        <v>195</v>
      </c>
      <c r="I970">
        <v>492</v>
      </c>
      <c r="J970" t="s">
        <v>6289</v>
      </c>
    </row>
    <row r="971" spans="1:10">
      <c r="A971">
        <v>1522</v>
      </c>
      <c r="B971" t="s">
        <v>4876</v>
      </c>
      <c r="C971">
        <v>3.56</v>
      </c>
      <c r="D971">
        <v>5.36</v>
      </c>
      <c r="E971">
        <v>0</v>
      </c>
      <c r="F971">
        <v>0</v>
      </c>
      <c r="G971">
        <v>969</v>
      </c>
      <c r="H971">
        <v>746</v>
      </c>
      <c r="I971" t="s">
        <v>6289</v>
      </c>
      <c r="J971" t="s">
        <v>6289</v>
      </c>
    </row>
    <row r="972" spans="1:10">
      <c r="A972">
        <v>4551</v>
      </c>
      <c r="B972" t="s">
        <v>5573</v>
      </c>
      <c r="C972">
        <v>3.56</v>
      </c>
      <c r="D972">
        <v>52.68</v>
      </c>
      <c r="E972">
        <v>0</v>
      </c>
      <c r="F972">
        <v>1.73</v>
      </c>
      <c r="G972">
        <v>969</v>
      </c>
      <c r="H972">
        <v>67</v>
      </c>
      <c r="I972" t="s">
        <v>6289</v>
      </c>
      <c r="J972">
        <v>146</v>
      </c>
    </row>
    <row r="973" spans="1:10">
      <c r="A973">
        <v>9935</v>
      </c>
      <c r="B973" t="s">
        <v>6092</v>
      </c>
      <c r="C973">
        <v>3.56</v>
      </c>
      <c r="D973">
        <v>4.9800000000000004</v>
      </c>
      <c r="E973">
        <v>0.09</v>
      </c>
      <c r="F973">
        <v>0</v>
      </c>
      <c r="G973">
        <v>969</v>
      </c>
      <c r="H973">
        <v>773</v>
      </c>
      <c r="I973">
        <v>762</v>
      </c>
      <c r="J973" t="s">
        <v>6289</v>
      </c>
    </row>
    <row r="974" spans="1:10">
      <c r="A974">
        <v>4562</v>
      </c>
      <c r="B974" t="s">
        <v>5578</v>
      </c>
      <c r="C974">
        <v>3.55</v>
      </c>
      <c r="D974">
        <v>1.28</v>
      </c>
      <c r="E974">
        <v>0</v>
      </c>
      <c r="F974">
        <v>0</v>
      </c>
      <c r="G974">
        <v>973</v>
      </c>
      <c r="H974">
        <v>1153</v>
      </c>
      <c r="I974" t="s">
        <v>6289</v>
      </c>
      <c r="J974" t="s">
        <v>6289</v>
      </c>
    </row>
    <row r="975" spans="1:10">
      <c r="A975">
        <v>1321</v>
      </c>
      <c r="B975" t="s">
        <v>4819</v>
      </c>
      <c r="C975">
        <v>3.54</v>
      </c>
      <c r="D975">
        <v>2.54</v>
      </c>
      <c r="E975">
        <v>0.01</v>
      </c>
      <c r="F975">
        <v>0</v>
      </c>
      <c r="G975">
        <v>974</v>
      </c>
      <c r="H975">
        <v>967</v>
      </c>
      <c r="I975">
        <v>1110</v>
      </c>
      <c r="J975" t="s">
        <v>6289</v>
      </c>
    </row>
    <row r="976" spans="1:10">
      <c r="A976">
        <v>5512</v>
      </c>
      <c r="B976" t="s">
        <v>5710</v>
      </c>
      <c r="C976">
        <v>3.53</v>
      </c>
      <c r="D976">
        <v>6.51</v>
      </c>
      <c r="E976">
        <v>0.02</v>
      </c>
      <c r="F976">
        <v>0</v>
      </c>
      <c r="G976">
        <v>975</v>
      </c>
      <c r="H976">
        <v>672</v>
      </c>
      <c r="I976">
        <v>1051</v>
      </c>
      <c r="J976" t="s">
        <v>6289</v>
      </c>
    </row>
    <row r="977" spans="1:10">
      <c r="A977">
        <v>3164</v>
      </c>
      <c r="B977" t="s">
        <v>5336</v>
      </c>
      <c r="C977">
        <v>3.52</v>
      </c>
      <c r="D977">
        <v>0.86</v>
      </c>
      <c r="E977">
        <v>0.04</v>
      </c>
      <c r="F977">
        <v>0</v>
      </c>
      <c r="G977">
        <v>976</v>
      </c>
      <c r="H977">
        <v>1236</v>
      </c>
      <c r="I977">
        <v>936</v>
      </c>
      <c r="J977" t="s">
        <v>6289</v>
      </c>
    </row>
    <row r="978" spans="1:10">
      <c r="A978">
        <v>4568</v>
      </c>
      <c r="B978" t="s">
        <v>6153</v>
      </c>
      <c r="C978">
        <v>3.52</v>
      </c>
      <c r="D978">
        <v>6.61</v>
      </c>
      <c r="E978">
        <v>0</v>
      </c>
      <c r="F978">
        <v>0</v>
      </c>
      <c r="G978">
        <v>976</v>
      </c>
      <c r="H978">
        <v>661</v>
      </c>
      <c r="I978" t="s">
        <v>6289</v>
      </c>
      <c r="J978" t="s">
        <v>6289</v>
      </c>
    </row>
    <row r="979" spans="1:10">
      <c r="A979">
        <v>8284</v>
      </c>
      <c r="B979" t="s">
        <v>6013</v>
      </c>
      <c r="C979">
        <v>3.52</v>
      </c>
      <c r="D979">
        <v>1.42</v>
      </c>
      <c r="E979">
        <v>0.02</v>
      </c>
      <c r="F979">
        <v>0</v>
      </c>
      <c r="G979">
        <v>976</v>
      </c>
      <c r="H979">
        <v>1129</v>
      </c>
      <c r="I979">
        <v>1051</v>
      </c>
      <c r="J979" t="s">
        <v>6289</v>
      </c>
    </row>
    <row r="980" spans="1:10">
      <c r="A980">
        <v>4439</v>
      </c>
      <c r="B980" t="s">
        <v>5557</v>
      </c>
      <c r="C980">
        <v>3.5</v>
      </c>
      <c r="D980">
        <v>63.64</v>
      </c>
      <c r="E980">
        <v>0.03</v>
      </c>
      <c r="F980">
        <v>0</v>
      </c>
      <c r="G980">
        <v>979</v>
      </c>
      <c r="H980">
        <v>41</v>
      </c>
      <c r="I980">
        <v>978</v>
      </c>
      <c r="J980" t="s">
        <v>6289</v>
      </c>
    </row>
    <row r="981" spans="1:10">
      <c r="A981">
        <v>9942</v>
      </c>
      <c r="B981" t="s">
        <v>6098</v>
      </c>
      <c r="C981">
        <v>3.49</v>
      </c>
      <c r="D981">
        <v>3.09</v>
      </c>
      <c r="E981">
        <v>0</v>
      </c>
      <c r="F981">
        <v>0</v>
      </c>
      <c r="G981">
        <v>980</v>
      </c>
      <c r="H981">
        <v>912</v>
      </c>
      <c r="I981" t="s">
        <v>6289</v>
      </c>
      <c r="J981" t="s">
        <v>6289</v>
      </c>
    </row>
    <row r="982" spans="1:10">
      <c r="A982">
        <v>2911</v>
      </c>
      <c r="B982" t="s">
        <v>5260</v>
      </c>
      <c r="C982">
        <v>3.47</v>
      </c>
      <c r="D982">
        <v>17.809999999999999</v>
      </c>
      <c r="E982">
        <v>0.88</v>
      </c>
      <c r="F982">
        <v>0</v>
      </c>
      <c r="G982">
        <v>981</v>
      </c>
      <c r="H982">
        <v>310</v>
      </c>
      <c r="I982">
        <v>194</v>
      </c>
      <c r="J982" t="s">
        <v>6289</v>
      </c>
    </row>
    <row r="983" spans="1:10">
      <c r="A983">
        <v>8046</v>
      </c>
      <c r="B983" t="s">
        <v>5966</v>
      </c>
      <c r="C983">
        <v>3.47</v>
      </c>
      <c r="D983">
        <v>10.06</v>
      </c>
      <c r="E983">
        <v>0.74</v>
      </c>
      <c r="F983">
        <v>5.69</v>
      </c>
      <c r="G983">
        <v>981</v>
      </c>
      <c r="H983">
        <v>500</v>
      </c>
      <c r="I983">
        <v>233</v>
      </c>
      <c r="J983">
        <v>42</v>
      </c>
    </row>
    <row r="984" spans="1:10">
      <c r="A984">
        <v>2702</v>
      </c>
      <c r="B984" t="s">
        <v>6236</v>
      </c>
      <c r="C984">
        <v>3.44</v>
      </c>
      <c r="D984">
        <v>39.1</v>
      </c>
      <c r="E984">
        <v>0.04</v>
      </c>
      <c r="F984">
        <v>0</v>
      </c>
      <c r="G984">
        <v>983</v>
      </c>
      <c r="H984">
        <v>125</v>
      </c>
      <c r="I984">
        <v>936</v>
      </c>
      <c r="J984" t="s">
        <v>6289</v>
      </c>
    </row>
    <row r="985" spans="1:10">
      <c r="A985">
        <v>2547</v>
      </c>
      <c r="B985" t="s">
        <v>5181</v>
      </c>
      <c r="C985">
        <v>3.43</v>
      </c>
      <c r="D985">
        <v>19.88</v>
      </c>
      <c r="E985">
        <v>0.08</v>
      </c>
      <c r="F985">
        <v>0</v>
      </c>
      <c r="G985">
        <v>984</v>
      </c>
      <c r="H985">
        <v>286</v>
      </c>
      <c r="I985">
        <v>789</v>
      </c>
      <c r="J985" t="s">
        <v>6289</v>
      </c>
    </row>
    <row r="986" spans="1:10">
      <c r="A986">
        <v>3022</v>
      </c>
      <c r="B986" t="s">
        <v>5283</v>
      </c>
      <c r="C986">
        <v>3.42</v>
      </c>
      <c r="D986">
        <v>18.72</v>
      </c>
      <c r="E986">
        <v>0.19</v>
      </c>
      <c r="F986">
        <v>0</v>
      </c>
      <c r="G986">
        <v>985</v>
      </c>
      <c r="H986">
        <v>295</v>
      </c>
      <c r="I986">
        <v>571</v>
      </c>
      <c r="J986" t="s">
        <v>6289</v>
      </c>
    </row>
    <row r="987" spans="1:10">
      <c r="A987">
        <v>2514</v>
      </c>
      <c r="B987" t="s">
        <v>5165</v>
      </c>
      <c r="C987">
        <v>3.4</v>
      </c>
      <c r="D987">
        <v>1.47</v>
      </c>
      <c r="E987">
        <v>1.18</v>
      </c>
      <c r="F987">
        <v>0</v>
      </c>
      <c r="G987">
        <v>986</v>
      </c>
      <c r="H987">
        <v>1113</v>
      </c>
      <c r="I987">
        <v>145</v>
      </c>
      <c r="J987" t="s">
        <v>6289</v>
      </c>
    </row>
    <row r="988" spans="1:10">
      <c r="A988">
        <v>8432</v>
      </c>
      <c r="B988" t="s">
        <v>6320</v>
      </c>
      <c r="C988">
        <v>3.38</v>
      </c>
      <c r="D988">
        <v>0.49</v>
      </c>
      <c r="E988">
        <v>0.09</v>
      </c>
      <c r="F988">
        <v>0</v>
      </c>
      <c r="G988">
        <v>987</v>
      </c>
      <c r="H988">
        <v>1326</v>
      </c>
      <c r="I988">
        <v>762</v>
      </c>
      <c r="J988" t="s">
        <v>6289</v>
      </c>
    </row>
    <row r="989" spans="1:10">
      <c r="A989">
        <v>1342</v>
      </c>
      <c r="B989" t="s">
        <v>4829</v>
      </c>
      <c r="C989">
        <v>3.37</v>
      </c>
      <c r="D989">
        <v>54.24</v>
      </c>
      <c r="E989">
        <v>0.22</v>
      </c>
      <c r="F989">
        <v>0</v>
      </c>
      <c r="G989">
        <v>988</v>
      </c>
      <c r="H989">
        <v>60</v>
      </c>
      <c r="I989">
        <v>537</v>
      </c>
      <c r="J989" t="s">
        <v>6289</v>
      </c>
    </row>
    <row r="990" spans="1:10">
      <c r="A990">
        <v>4113</v>
      </c>
      <c r="B990" t="s">
        <v>5516</v>
      </c>
      <c r="C990">
        <v>3.36</v>
      </c>
      <c r="D990">
        <v>0.28000000000000003</v>
      </c>
      <c r="E990">
        <v>0</v>
      </c>
      <c r="F990">
        <v>0</v>
      </c>
      <c r="G990">
        <v>989</v>
      </c>
      <c r="H990">
        <v>1390</v>
      </c>
      <c r="I990" t="s">
        <v>6289</v>
      </c>
      <c r="J990" t="s">
        <v>6289</v>
      </c>
    </row>
    <row r="991" spans="1:10">
      <c r="A991">
        <v>1110</v>
      </c>
      <c r="B991" t="s">
        <v>4782</v>
      </c>
      <c r="C991">
        <v>3.32</v>
      </c>
      <c r="D991">
        <v>7.2</v>
      </c>
      <c r="E991">
        <v>0.1</v>
      </c>
      <c r="F991">
        <v>0.05</v>
      </c>
      <c r="G991">
        <v>990</v>
      </c>
      <c r="H991">
        <v>623</v>
      </c>
      <c r="I991">
        <v>734</v>
      </c>
      <c r="J991">
        <v>428</v>
      </c>
    </row>
    <row r="992" spans="1:10">
      <c r="A992">
        <v>8426</v>
      </c>
      <c r="B992" t="s">
        <v>6321</v>
      </c>
      <c r="C992">
        <v>3.32</v>
      </c>
      <c r="D992">
        <v>68.59</v>
      </c>
      <c r="E992">
        <v>0</v>
      </c>
      <c r="F992">
        <v>0</v>
      </c>
      <c r="G992">
        <v>990</v>
      </c>
      <c r="H992">
        <v>26</v>
      </c>
      <c r="I992" t="s">
        <v>6289</v>
      </c>
      <c r="J992" t="s">
        <v>6289</v>
      </c>
    </row>
    <row r="993" spans="1:10">
      <c r="A993">
        <v>6506</v>
      </c>
      <c r="B993" t="s">
        <v>5896</v>
      </c>
      <c r="C993">
        <v>3.31</v>
      </c>
      <c r="D993">
        <v>2.16</v>
      </c>
      <c r="E993">
        <v>0.01</v>
      </c>
      <c r="F993">
        <v>0</v>
      </c>
      <c r="G993">
        <v>992</v>
      </c>
      <c r="H993">
        <v>1003</v>
      </c>
      <c r="I993">
        <v>1110</v>
      </c>
      <c r="J993" t="s">
        <v>6289</v>
      </c>
    </row>
    <row r="994" spans="1:10">
      <c r="A994">
        <v>3040</v>
      </c>
      <c r="B994" t="s">
        <v>5299</v>
      </c>
      <c r="C994">
        <v>3.27</v>
      </c>
      <c r="D994">
        <v>14.81</v>
      </c>
      <c r="E994">
        <v>0.16</v>
      </c>
      <c r="F994">
        <v>0</v>
      </c>
      <c r="G994">
        <v>993</v>
      </c>
      <c r="H994">
        <v>360</v>
      </c>
      <c r="I994">
        <v>614</v>
      </c>
      <c r="J994" t="s">
        <v>6289</v>
      </c>
    </row>
    <row r="995" spans="1:10">
      <c r="A995">
        <v>8410</v>
      </c>
      <c r="B995" t="s">
        <v>6198</v>
      </c>
      <c r="C995">
        <v>3.27</v>
      </c>
      <c r="D995">
        <v>0.71</v>
      </c>
      <c r="E995">
        <v>0</v>
      </c>
      <c r="F995">
        <v>0</v>
      </c>
      <c r="G995">
        <v>993</v>
      </c>
      <c r="H995">
        <v>1266</v>
      </c>
      <c r="I995" t="s">
        <v>6289</v>
      </c>
      <c r="J995" t="s">
        <v>6289</v>
      </c>
    </row>
    <row r="996" spans="1:10">
      <c r="A996">
        <v>6491</v>
      </c>
      <c r="B996" t="s">
        <v>5891</v>
      </c>
      <c r="C996">
        <v>3.25</v>
      </c>
      <c r="D996">
        <v>14.17</v>
      </c>
      <c r="E996">
        <v>0.01</v>
      </c>
      <c r="F996">
        <v>3.89</v>
      </c>
      <c r="G996">
        <v>995</v>
      </c>
      <c r="H996">
        <v>373</v>
      </c>
      <c r="I996">
        <v>1110</v>
      </c>
      <c r="J996">
        <v>73</v>
      </c>
    </row>
    <row r="997" spans="1:10">
      <c r="A997">
        <v>5531</v>
      </c>
      <c r="B997" t="s">
        <v>5717</v>
      </c>
      <c r="C997">
        <v>3.23</v>
      </c>
      <c r="D997">
        <v>4.6399999999999997</v>
      </c>
      <c r="E997">
        <v>0.12</v>
      </c>
      <c r="F997">
        <v>0</v>
      </c>
      <c r="G997">
        <v>996</v>
      </c>
      <c r="H997">
        <v>801</v>
      </c>
      <c r="I997">
        <v>683</v>
      </c>
      <c r="J997" t="s">
        <v>6289</v>
      </c>
    </row>
    <row r="998" spans="1:10">
      <c r="A998">
        <v>5519</v>
      </c>
      <c r="B998" t="s">
        <v>5712</v>
      </c>
      <c r="C998">
        <v>3.2</v>
      </c>
      <c r="D998">
        <v>4.17</v>
      </c>
      <c r="E998">
        <v>0.37</v>
      </c>
      <c r="F998">
        <v>0</v>
      </c>
      <c r="G998">
        <v>997</v>
      </c>
      <c r="H998">
        <v>825</v>
      </c>
      <c r="I998">
        <v>395</v>
      </c>
      <c r="J998" t="s">
        <v>6289</v>
      </c>
    </row>
    <row r="999" spans="1:10">
      <c r="A999">
        <v>5015</v>
      </c>
      <c r="B999" t="s">
        <v>5649</v>
      </c>
      <c r="C999">
        <v>3.18</v>
      </c>
      <c r="D999">
        <v>8.24</v>
      </c>
      <c r="E999">
        <v>0</v>
      </c>
      <c r="F999">
        <v>0</v>
      </c>
      <c r="G999">
        <v>998</v>
      </c>
      <c r="H999">
        <v>575</v>
      </c>
      <c r="I999" t="s">
        <v>6289</v>
      </c>
      <c r="J999" t="s">
        <v>6289</v>
      </c>
    </row>
    <row r="1000" spans="1:10">
      <c r="A1000">
        <v>2449</v>
      </c>
      <c r="B1000" t="s">
        <v>5120</v>
      </c>
      <c r="C1000">
        <v>3.17</v>
      </c>
      <c r="D1000">
        <v>33.770000000000003</v>
      </c>
      <c r="E1000">
        <v>6.96</v>
      </c>
      <c r="F1000">
        <v>5.19</v>
      </c>
      <c r="G1000">
        <v>999</v>
      </c>
      <c r="H1000">
        <v>149</v>
      </c>
      <c r="I1000">
        <v>8</v>
      </c>
      <c r="J1000">
        <v>56</v>
      </c>
    </row>
    <row r="1001" spans="1:10">
      <c r="A1001">
        <v>6121</v>
      </c>
      <c r="B1001" t="s">
        <v>5755</v>
      </c>
      <c r="C1001">
        <v>3.16</v>
      </c>
      <c r="D1001">
        <v>47.15</v>
      </c>
      <c r="E1001">
        <v>1.67</v>
      </c>
      <c r="F1001">
        <v>2.2000000000000002</v>
      </c>
      <c r="G1001">
        <v>1000</v>
      </c>
      <c r="H1001">
        <v>84</v>
      </c>
      <c r="I1001">
        <v>95</v>
      </c>
      <c r="J1001">
        <v>121</v>
      </c>
    </row>
    <row r="1002" spans="1:10">
      <c r="A1002">
        <v>4974</v>
      </c>
      <c r="B1002" t="s">
        <v>5637</v>
      </c>
      <c r="C1002">
        <v>3.15</v>
      </c>
      <c r="D1002">
        <v>6.75</v>
      </c>
      <c r="E1002">
        <v>1.19</v>
      </c>
      <c r="F1002">
        <v>0</v>
      </c>
      <c r="G1002">
        <v>1001</v>
      </c>
      <c r="H1002">
        <v>649</v>
      </c>
      <c r="I1002">
        <v>143</v>
      </c>
      <c r="J1002" t="s">
        <v>6289</v>
      </c>
    </row>
    <row r="1003" spans="1:10">
      <c r="A1003">
        <v>1437</v>
      </c>
      <c r="B1003" t="s">
        <v>4840</v>
      </c>
      <c r="C1003">
        <v>3.14</v>
      </c>
      <c r="D1003">
        <v>5.99</v>
      </c>
      <c r="E1003">
        <v>0.01</v>
      </c>
      <c r="F1003">
        <v>0.1</v>
      </c>
      <c r="G1003">
        <v>1002</v>
      </c>
      <c r="H1003">
        <v>701</v>
      </c>
      <c r="I1003">
        <v>1110</v>
      </c>
      <c r="J1003">
        <v>383</v>
      </c>
    </row>
    <row r="1004" spans="1:10">
      <c r="A1004">
        <v>3052</v>
      </c>
      <c r="B1004" t="s">
        <v>5308</v>
      </c>
      <c r="C1004">
        <v>3.13</v>
      </c>
      <c r="D1004">
        <v>1.01</v>
      </c>
      <c r="E1004">
        <v>0.05</v>
      </c>
      <c r="F1004">
        <v>0</v>
      </c>
      <c r="G1004">
        <v>1003</v>
      </c>
      <c r="H1004">
        <v>1205</v>
      </c>
      <c r="I1004">
        <v>896</v>
      </c>
      <c r="J1004" t="s">
        <v>6289</v>
      </c>
    </row>
    <row r="1005" spans="1:10">
      <c r="A1005">
        <v>2504</v>
      </c>
      <c r="B1005" t="s">
        <v>5160</v>
      </c>
      <c r="C1005">
        <v>3.12</v>
      </c>
      <c r="D1005">
        <v>15.39</v>
      </c>
      <c r="E1005">
        <v>2.34</v>
      </c>
      <c r="F1005">
        <v>0.27</v>
      </c>
      <c r="G1005">
        <v>1004</v>
      </c>
      <c r="H1005">
        <v>347</v>
      </c>
      <c r="I1005">
        <v>65</v>
      </c>
      <c r="J1005">
        <v>309</v>
      </c>
    </row>
    <row r="1006" spans="1:10">
      <c r="A1006">
        <v>3652</v>
      </c>
      <c r="B1006" t="s">
        <v>5481</v>
      </c>
      <c r="C1006">
        <v>3.11</v>
      </c>
      <c r="D1006">
        <v>0.86</v>
      </c>
      <c r="E1006">
        <v>0</v>
      </c>
      <c r="F1006">
        <v>0</v>
      </c>
      <c r="G1006">
        <v>1005</v>
      </c>
      <c r="H1006">
        <v>1236</v>
      </c>
      <c r="I1006" t="s">
        <v>6289</v>
      </c>
      <c r="J1006" t="s">
        <v>6289</v>
      </c>
    </row>
    <row r="1007" spans="1:10">
      <c r="A1007">
        <v>2496</v>
      </c>
      <c r="B1007" t="s">
        <v>5156</v>
      </c>
      <c r="C1007">
        <v>3.1</v>
      </c>
      <c r="D1007">
        <v>31.17</v>
      </c>
      <c r="E1007">
        <v>0.03</v>
      </c>
      <c r="F1007">
        <v>0</v>
      </c>
      <c r="G1007">
        <v>1006</v>
      </c>
      <c r="H1007">
        <v>170</v>
      </c>
      <c r="I1007">
        <v>978</v>
      </c>
      <c r="J1007" t="s">
        <v>6289</v>
      </c>
    </row>
    <row r="1008" spans="1:10">
      <c r="A1008">
        <v>2545</v>
      </c>
      <c r="B1008" t="s">
        <v>5179</v>
      </c>
      <c r="C1008">
        <v>3.08</v>
      </c>
      <c r="D1008">
        <v>6.55</v>
      </c>
      <c r="E1008">
        <v>0.17</v>
      </c>
      <c r="F1008">
        <v>7.0000000000000007E-2</v>
      </c>
      <c r="G1008">
        <v>1007</v>
      </c>
      <c r="H1008">
        <v>670</v>
      </c>
      <c r="I1008">
        <v>598</v>
      </c>
      <c r="J1008">
        <v>407</v>
      </c>
    </row>
    <row r="1009" spans="1:10">
      <c r="A1009">
        <v>8462</v>
      </c>
      <c r="B1009" t="s">
        <v>6043</v>
      </c>
      <c r="C1009">
        <v>3.08</v>
      </c>
      <c r="D1009">
        <v>1.29</v>
      </c>
      <c r="E1009">
        <v>0</v>
      </c>
      <c r="F1009">
        <v>0</v>
      </c>
      <c r="G1009">
        <v>1007</v>
      </c>
      <c r="H1009">
        <v>1150</v>
      </c>
      <c r="I1009" t="s">
        <v>6289</v>
      </c>
      <c r="J1009" t="s">
        <v>6289</v>
      </c>
    </row>
    <row r="1010" spans="1:10">
      <c r="A1010">
        <v>6612</v>
      </c>
      <c r="B1010" t="s">
        <v>5925</v>
      </c>
      <c r="C1010">
        <v>3.05</v>
      </c>
      <c r="D1010">
        <v>30.04</v>
      </c>
      <c r="E1010">
        <v>0.26</v>
      </c>
      <c r="F1010">
        <v>0.28000000000000003</v>
      </c>
      <c r="G1010">
        <v>1009</v>
      </c>
      <c r="H1010">
        <v>181</v>
      </c>
      <c r="I1010">
        <v>502</v>
      </c>
      <c r="J1010">
        <v>305</v>
      </c>
    </row>
    <row r="1011" spans="1:10">
      <c r="A1011">
        <v>1776</v>
      </c>
      <c r="B1011" t="s">
        <v>4956</v>
      </c>
      <c r="C1011">
        <v>3.04</v>
      </c>
      <c r="D1011">
        <v>1.01</v>
      </c>
      <c r="E1011">
        <v>0.02</v>
      </c>
      <c r="F1011">
        <v>0</v>
      </c>
      <c r="G1011">
        <v>1010</v>
      </c>
      <c r="H1011">
        <v>1205</v>
      </c>
      <c r="I1011">
        <v>1051</v>
      </c>
      <c r="J1011" t="s">
        <v>6289</v>
      </c>
    </row>
    <row r="1012" spans="1:10">
      <c r="A1012">
        <v>4157</v>
      </c>
      <c r="B1012" t="s">
        <v>5534</v>
      </c>
      <c r="C1012">
        <v>3.04</v>
      </c>
      <c r="D1012">
        <v>3.5</v>
      </c>
      <c r="E1012">
        <v>0.17</v>
      </c>
      <c r="F1012">
        <v>0</v>
      </c>
      <c r="G1012">
        <v>1010</v>
      </c>
      <c r="H1012">
        <v>865</v>
      </c>
      <c r="I1012">
        <v>598</v>
      </c>
      <c r="J1012" t="s">
        <v>6289</v>
      </c>
    </row>
    <row r="1013" spans="1:10">
      <c r="A1013">
        <v>2103</v>
      </c>
      <c r="B1013" t="s">
        <v>5008</v>
      </c>
      <c r="C1013">
        <v>3.02</v>
      </c>
      <c r="D1013">
        <v>29.58</v>
      </c>
      <c r="E1013">
        <v>0.05</v>
      </c>
      <c r="F1013">
        <v>0</v>
      </c>
      <c r="G1013">
        <v>1012</v>
      </c>
      <c r="H1013">
        <v>185</v>
      </c>
      <c r="I1013">
        <v>896</v>
      </c>
      <c r="J1013" t="s">
        <v>6289</v>
      </c>
    </row>
    <row r="1014" spans="1:10">
      <c r="A1014">
        <v>6581</v>
      </c>
      <c r="B1014" t="s">
        <v>5917</v>
      </c>
      <c r="C1014">
        <v>3.02</v>
      </c>
      <c r="D1014">
        <v>1.24</v>
      </c>
      <c r="E1014">
        <v>0.03</v>
      </c>
      <c r="F1014">
        <v>0</v>
      </c>
      <c r="G1014">
        <v>1012</v>
      </c>
      <c r="H1014">
        <v>1160</v>
      </c>
      <c r="I1014">
        <v>978</v>
      </c>
      <c r="J1014" t="s">
        <v>6289</v>
      </c>
    </row>
    <row r="1015" spans="1:10">
      <c r="A1015">
        <v>2520</v>
      </c>
      <c r="B1015" t="s">
        <v>5167</v>
      </c>
      <c r="C1015">
        <v>3.01</v>
      </c>
      <c r="D1015">
        <v>19.309999999999999</v>
      </c>
      <c r="E1015">
        <v>0.23</v>
      </c>
      <c r="F1015">
        <v>0.25</v>
      </c>
      <c r="G1015">
        <v>1014</v>
      </c>
      <c r="H1015">
        <v>289</v>
      </c>
      <c r="I1015">
        <v>526</v>
      </c>
      <c r="J1015">
        <v>312</v>
      </c>
    </row>
    <row r="1016" spans="1:10">
      <c r="A1016">
        <v>3171</v>
      </c>
      <c r="B1016" t="s">
        <v>6323</v>
      </c>
      <c r="C1016">
        <v>3.01</v>
      </c>
      <c r="D1016">
        <v>0.43</v>
      </c>
      <c r="E1016">
        <v>0</v>
      </c>
      <c r="F1016">
        <v>0</v>
      </c>
      <c r="G1016">
        <v>1014</v>
      </c>
      <c r="H1016">
        <v>1344</v>
      </c>
      <c r="I1016" t="s">
        <v>6289</v>
      </c>
      <c r="J1016" t="s">
        <v>6289</v>
      </c>
    </row>
    <row r="1017" spans="1:10">
      <c r="A1017">
        <v>4129</v>
      </c>
      <c r="B1017" t="s">
        <v>5525</v>
      </c>
      <c r="C1017">
        <v>3.01</v>
      </c>
      <c r="D1017">
        <v>8.1300000000000008</v>
      </c>
      <c r="E1017">
        <v>0.06</v>
      </c>
      <c r="F1017">
        <v>0.61</v>
      </c>
      <c r="G1017">
        <v>1014</v>
      </c>
      <c r="H1017">
        <v>580</v>
      </c>
      <c r="I1017">
        <v>852</v>
      </c>
      <c r="J1017">
        <v>241</v>
      </c>
    </row>
    <row r="1018" spans="1:10">
      <c r="A1018">
        <v>1532</v>
      </c>
      <c r="B1018" t="s">
        <v>4885</v>
      </c>
      <c r="C1018">
        <v>2.96</v>
      </c>
      <c r="D1018">
        <v>11.94</v>
      </c>
      <c r="E1018">
        <v>0.12</v>
      </c>
      <c r="F1018">
        <v>0.23</v>
      </c>
      <c r="G1018">
        <v>1017</v>
      </c>
      <c r="H1018">
        <v>431</v>
      </c>
      <c r="I1018">
        <v>683</v>
      </c>
      <c r="J1018">
        <v>318</v>
      </c>
    </row>
    <row r="1019" spans="1:10">
      <c r="A1019">
        <v>4572</v>
      </c>
      <c r="B1019" t="s">
        <v>5582</v>
      </c>
      <c r="C1019">
        <v>2.96</v>
      </c>
      <c r="D1019">
        <v>0.73</v>
      </c>
      <c r="E1019">
        <v>0.06</v>
      </c>
      <c r="F1019">
        <v>0</v>
      </c>
      <c r="G1019">
        <v>1017</v>
      </c>
      <c r="H1019">
        <v>1260</v>
      </c>
      <c r="I1019">
        <v>852</v>
      </c>
      <c r="J1019" t="s">
        <v>6289</v>
      </c>
    </row>
    <row r="1020" spans="1:10">
      <c r="A1020">
        <v>2379</v>
      </c>
      <c r="B1020" t="s">
        <v>5081</v>
      </c>
      <c r="C1020">
        <v>2.95</v>
      </c>
      <c r="D1020">
        <v>51.01</v>
      </c>
      <c r="E1020">
        <v>0.7</v>
      </c>
      <c r="F1020">
        <v>2.96</v>
      </c>
      <c r="G1020">
        <v>1019</v>
      </c>
      <c r="H1020">
        <v>75</v>
      </c>
      <c r="I1020">
        <v>253</v>
      </c>
      <c r="J1020">
        <v>89</v>
      </c>
    </row>
    <row r="1021" spans="1:10">
      <c r="A1021">
        <v>6504</v>
      </c>
      <c r="B1021" t="s">
        <v>5894</v>
      </c>
      <c r="C1021">
        <v>2.94</v>
      </c>
      <c r="D1021">
        <v>4.92</v>
      </c>
      <c r="E1021">
        <v>0.39</v>
      </c>
      <c r="F1021">
        <v>0</v>
      </c>
      <c r="G1021">
        <v>1020</v>
      </c>
      <c r="H1021">
        <v>779</v>
      </c>
      <c r="I1021">
        <v>379</v>
      </c>
      <c r="J1021" t="s">
        <v>6289</v>
      </c>
    </row>
    <row r="1022" spans="1:10">
      <c r="A1022">
        <v>6154</v>
      </c>
      <c r="B1022" t="s">
        <v>5776</v>
      </c>
      <c r="C1022">
        <v>2.92</v>
      </c>
      <c r="D1022">
        <v>1.03</v>
      </c>
      <c r="E1022">
        <v>0</v>
      </c>
      <c r="F1022">
        <v>0</v>
      </c>
      <c r="G1022">
        <v>1021</v>
      </c>
      <c r="H1022">
        <v>1197</v>
      </c>
      <c r="I1022" t="s">
        <v>6289</v>
      </c>
      <c r="J1022" t="s">
        <v>6289</v>
      </c>
    </row>
    <row r="1023" spans="1:10">
      <c r="A1023">
        <v>8234</v>
      </c>
      <c r="B1023" t="s">
        <v>6007</v>
      </c>
      <c r="C1023">
        <v>2.9</v>
      </c>
      <c r="D1023">
        <v>2.79</v>
      </c>
      <c r="E1023">
        <v>0.17</v>
      </c>
      <c r="F1023">
        <v>0</v>
      </c>
      <c r="G1023">
        <v>1022</v>
      </c>
      <c r="H1023">
        <v>937</v>
      </c>
      <c r="I1023">
        <v>598</v>
      </c>
      <c r="J1023" t="s">
        <v>6289</v>
      </c>
    </row>
    <row r="1024" spans="1:10">
      <c r="A1024">
        <v>2707</v>
      </c>
      <c r="B1024" t="s">
        <v>5212</v>
      </c>
      <c r="C1024">
        <v>2.89</v>
      </c>
      <c r="D1024">
        <v>14.79</v>
      </c>
      <c r="E1024">
        <v>0.66</v>
      </c>
      <c r="F1024">
        <v>0.73</v>
      </c>
      <c r="G1024">
        <v>1023</v>
      </c>
      <c r="H1024">
        <v>361</v>
      </c>
      <c r="I1024">
        <v>263</v>
      </c>
      <c r="J1024">
        <v>229</v>
      </c>
    </row>
    <row r="1025" spans="1:10">
      <c r="A1025">
        <v>8042</v>
      </c>
      <c r="B1025" t="s">
        <v>6165</v>
      </c>
      <c r="C1025">
        <v>2.87</v>
      </c>
      <c r="D1025">
        <v>4.6500000000000004</v>
      </c>
      <c r="E1025">
        <v>0.37</v>
      </c>
      <c r="F1025">
        <v>0</v>
      </c>
      <c r="G1025">
        <v>1024</v>
      </c>
      <c r="H1025">
        <v>800</v>
      </c>
      <c r="I1025">
        <v>395</v>
      </c>
      <c r="J1025" t="s">
        <v>6289</v>
      </c>
    </row>
    <row r="1026" spans="1:10">
      <c r="A1026">
        <v>6218</v>
      </c>
      <c r="B1026" t="s">
        <v>5820</v>
      </c>
      <c r="C1026">
        <v>2.86</v>
      </c>
      <c r="D1026">
        <v>0.51</v>
      </c>
      <c r="E1026">
        <v>0</v>
      </c>
      <c r="F1026">
        <v>0</v>
      </c>
      <c r="G1026">
        <v>1025</v>
      </c>
      <c r="H1026">
        <v>1318</v>
      </c>
      <c r="I1026" t="s">
        <v>6289</v>
      </c>
      <c r="J1026" t="s">
        <v>6289</v>
      </c>
    </row>
    <row r="1027" spans="1:10">
      <c r="A1027">
        <v>6123</v>
      </c>
      <c r="B1027" t="s">
        <v>5757</v>
      </c>
      <c r="C1027">
        <v>2.84</v>
      </c>
      <c r="D1027">
        <v>3.49</v>
      </c>
      <c r="E1027">
        <v>0.1</v>
      </c>
      <c r="F1027">
        <v>0</v>
      </c>
      <c r="G1027">
        <v>1026</v>
      </c>
      <c r="H1027">
        <v>866</v>
      </c>
      <c r="I1027">
        <v>734</v>
      </c>
      <c r="J1027" t="s">
        <v>6289</v>
      </c>
    </row>
    <row r="1028" spans="1:10">
      <c r="A1028">
        <v>5523</v>
      </c>
      <c r="B1028" t="s">
        <v>6322</v>
      </c>
      <c r="C1028">
        <v>2.79</v>
      </c>
      <c r="D1028">
        <v>0.08</v>
      </c>
      <c r="E1028">
        <v>0</v>
      </c>
      <c r="F1028">
        <v>0</v>
      </c>
      <c r="G1028">
        <v>1027</v>
      </c>
      <c r="H1028">
        <v>1451</v>
      </c>
      <c r="I1028" t="s">
        <v>6289</v>
      </c>
      <c r="J1028" t="s">
        <v>6289</v>
      </c>
    </row>
    <row r="1029" spans="1:10">
      <c r="A1029">
        <v>6195</v>
      </c>
      <c r="B1029" t="s">
        <v>6161</v>
      </c>
      <c r="C1029">
        <v>2.79</v>
      </c>
      <c r="D1029">
        <v>46.69</v>
      </c>
      <c r="E1029">
        <v>0</v>
      </c>
      <c r="F1029">
        <v>0</v>
      </c>
      <c r="G1029">
        <v>1027</v>
      </c>
      <c r="H1029">
        <v>86</v>
      </c>
      <c r="I1029" t="s">
        <v>6289</v>
      </c>
      <c r="J1029" t="s">
        <v>6289</v>
      </c>
    </row>
    <row r="1030" spans="1:10">
      <c r="A1030">
        <v>4114</v>
      </c>
      <c r="B1030" t="s">
        <v>5517</v>
      </c>
      <c r="C1030">
        <v>2.78</v>
      </c>
      <c r="D1030">
        <v>4.63</v>
      </c>
      <c r="E1030">
        <v>0.05</v>
      </c>
      <c r="F1030">
        <v>0</v>
      </c>
      <c r="G1030">
        <v>1029</v>
      </c>
      <c r="H1030">
        <v>802</v>
      </c>
      <c r="I1030">
        <v>896</v>
      </c>
      <c r="J1030" t="s">
        <v>6289</v>
      </c>
    </row>
    <row r="1031" spans="1:10">
      <c r="A1031">
        <v>8446</v>
      </c>
      <c r="B1031" t="s">
        <v>6040</v>
      </c>
      <c r="C1031">
        <v>2.77</v>
      </c>
      <c r="D1031">
        <v>3.05</v>
      </c>
      <c r="E1031">
        <v>0.01</v>
      </c>
      <c r="F1031">
        <v>0</v>
      </c>
      <c r="G1031">
        <v>1030</v>
      </c>
      <c r="H1031">
        <v>918</v>
      </c>
      <c r="I1031">
        <v>1110</v>
      </c>
      <c r="J1031" t="s">
        <v>6289</v>
      </c>
    </row>
    <row r="1032" spans="1:10">
      <c r="A1032">
        <v>1409</v>
      </c>
      <c r="B1032" t="s">
        <v>4831</v>
      </c>
      <c r="C1032">
        <v>2.76</v>
      </c>
      <c r="D1032">
        <v>13.95</v>
      </c>
      <c r="E1032">
        <v>0.08</v>
      </c>
      <c r="F1032">
        <v>0</v>
      </c>
      <c r="G1032">
        <v>1031</v>
      </c>
      <c r="H1032">
        <v>380</v>
      </c>
      <c r="I1032">
        <v>789</v>
      </c>
      <c r="J1032" t="s">
        <v>6289</v>
      </c>
    </row>
    <row r="1033" spans="1:10">
      <c r="A1033">
        <v>4438</v>
      </c>
      <c r="B1033" t="s">
        <v>5556</v>
      </c>
      <c r="C1033">
        <v>2.76</v>
      </c>
      <c r="D1033">
        <v>1.91</v>
      </c>
      <c r="E1033">
        <v>0</v>
      </c>
      <c r="F1033">
        <v>0.35</v>
      </c>
      <c r="G1033">
        <v>1031</v>
      </c>
      <c r="H1033">
        <v>1047</v>
      </c>
      <c r="I1033" t="s">
        <v>6289</v>
      </c>
      <c r="J1033">
        <v>284</v>
      </c>
    </row>
    <row r="1034" spans="1:10">
      <c r="A1034">
        <v>1736</v>
      </c>
      <c r="B1034" t="s">
        <v>4949</v>
      </c>
      <c r="C1034">
        <v>2.73</v>
      </c>
      <c r="D1034">
        <v>6.99</v>
      </c>
      <c r="E1034">
        <v>0.1</v>
      </c>
      <c r="F1034">
        <v>0</v>
      </c>
      <c r="G1034">
        <v>1033</v>
      </c>
      <c r="H1034">
        <v>636</v>
      </c>
      <c r="I1034">
        <v>734</v>
      </c>
      <c r="J1034" t="s">
        <v>6289</v>
      </c>
    </row>
    <row r="1035" spans="1:10">
      <c r="A1035">
        <v>2353</v>
      </c>
      <c r="B1035" t="s">
        <v>5061</v>
      </c>
      <c r="C1035">
        <v>2.72</v>
      </c>
      <c r="D1035">
        <v>33.130000000000003</v>
      </c>
      <c r="E1035">
        <v>1.1200000000000001</v>
      </c>
      <c r="F1035">
        <v>4.16</v>
      </c>
      <c r="G1035">
        <v>1034</v>
      </c>
      <c r="H1035">
        <v>155</v>
      </c>
      <c r="I1035">
        <v>155</v>
      </c>
      <c r="J1035">
        <v>68</v>
      </c>
    </row>
    <row r="1036" spans="1:10">
      <c r="A1036">
        <v>1445</v>
      </c>
      <c r="B1036" t="s">
        <v>4846</v>
      </c>
      <c r="C1036">
        <v>2.7</v>
      </c>
      <c r="D1036">
        <v>1.78</v>
      </c>
      <c r="E1036">
        <v>0.13</v>
      </c>
      <c r="F1036">
        <v>0.02</v>
      </c>
      <c r="G1036">
        <v>1035</v>
      </c>
      <c r="H1036">
        <v>1067</v>
      </c>
      <c r="I1036">
        <v>667</v>
      </c>
      <c r="J1036">
        <v>473</v>
      </c>
    </row>
    <row r="1037" spans="1:10">
      <c r="A1037">
        <v>3416</v>
      </c>
      <c r="B1037" t="s">
        <v>5405</v>
      </c>
      <c r="C1037">
        <v>2.68</v>
      </c>
      <c r="D1037">
        <v>2.5499999999999998</v>
      </c>
      <c r="E1037">
        <v>0.47</v>
      </c>
      <c r="F1037">
        <v>0.1</v>
      </c>
      <c r="G1037">
        <v>1036</v>
      </c>
      <c r="H1037">
        <v>964</v>
      </c>
      <c r="I1037">
        <v>334</v>
      </c>
      <c r="J1037">
        <v>383</v>
      </c>
    </row>
    <row r="1038" spans="1:10">
      <c r="A1038">
        <v>4722</v>
      </c>
      <c r="B1038" t="s">
        <v>5593</v>
      </c>
      <c r="C1038">
        <v>2.68</v>
      </c>
      <c r="D1038">
        <v>5.12</v>
      </c>
      <c r="E1038">
        <v>0</v>
      </c>
      <c r="F1038">
        <v>0</v>
      </c>
      <c r="G1038">
        <v>1036</v>
      </c>
      <c r="H1038">
        <v>764</v>
      </c>
      <c r="I1038" t="s">
        <v>6289</v>
      </c>
      <c r="J1038" t="s">
        <v>6289</v>
      </c>
    </row>
    <row r="1039" spans="1:10">
      <c r="A1039">
        <v>1558</v>
      </c>
      <c r="B1039" t="s">
        <v>4893</v>
      </c>
      <c r="C1039">
        <v>2.66</v>
      </c>
      <c r="D1039">
        <v>7.62</v>
      </c>
      <c r="E1039">
        <v>0</v>
      </c>
      <c r="F1039">
        <v>0.04</v>
      </c>
      <c r="G1039">
        <v>1038</v>
      </c>
      <c r="H1039">
        <v>597</v>
      </c>
      <c r="I1039" t="s">
        <v>6289</v>
      </c>
      <c r="J1039">
        <v>437</v>
      </c>
    </row>
    <row r="1040" spans="1:10">
      <c r="A1040">
        <v>1324</v>
      </c>
      <c r="B1040" t="s">
        <v>4821</v>
      </c>
      <c r="C1040">
        <v>2.63</v>
      </c>
      <c r="D1040">
        <v>0.71</v>
      </c>
      <c r="E1040">
        <v>0.03</v>
      </c>
      <c r="F1040">
        <v>0</v>
      </c>
      <c r="G1040">
        <v>1039</v>
      </c>
      <c r="H1040">
        <v>1266</v>
      </c>
      <c r="I1040">
        <v>978</v>
      </c>
      <c r="J1040" t="s">
        <v>6289</v>
      </c>
    </row>
    <row r="1041" spans="1:10">
      <c r="A1041">
        <v>1802</v>
      </c>
      <c r="B1041" t="s">
        <v>4964</v>
      </c>
      <c r="C1041">
        <v>2.63</v>
      </c>
      <c r="D1041">
        <v>7.97</v>
      </c>
      <c r="E1041">
        <v>0.11</v>
      </c>
      <c r="F1041">
        <v>0.45</v>
      </c>
      <c r="G1041">
        <v>1039</v>
      </c>
      <c r="H1041">
        <v>581</v>
      </c>
      <c r="I1041">
        <v>708</v>
      </c>
      <c r="J1041">
        <v>262</v>
      </c>
    </row>
    <row r="1042" spans="1:10">
      <c r="A1042">
        <v>2397</v>
      </c>
      <c r="B1042" t="s">
        <v>5091</v>
      </c>
      <c r="C1042">
        <v>2.61</v>
      </c>
      <c r="D1042">
        <v>21.42</v>
      </c>
      <c r="E1042">
        <v>2.42</v>
      </c>
      <c r="F1042">
        <v>0</v>
      </c>
      <c r="G1042">
        <v>1041</v>
      </c>
      <c r="H1042">
        <v>265</v>
      </c>
      <c r="I1042">
        <v>61</v>
      </c>
      <c r="J1042" t="s">
        <v>6289</v>
      </c>
    </row>
    <row r="1043" spans="1:10">
      <c r="A1043">
        <v>8466</v>
      </c>
      <c r="B1043" t="s">
        <v>6046</v>
      </c>
      <c r="C1043">
        <v>2.59</v>
      </c>
      <c r="D1043">
        <v>61.23</v>
      </c>
      <c r="E1043">
        <v>0.03</v>
      </c>
      <c r="F1043">
        <v>0</v>
      </c>
      <c r="G1043">
        <v>1042</v>
      </c>
      <c r="H1043">
        <v>45</v>
      </c>
      <c r="I1043">
        <v>978</v>
      </c>
      <c r="J1043" t="s">
        <v>6289</v>
      </c>
    </row>
    <row r="1044" spans="1:10">
      <c r="A1044">
        <v>2509</v>
      </c>
      <c r="B1044" t="s">
        <v>5163</v>
      </c>
      <c r="C1044">
        <v>2.57</v>
      </c>
      <c r="D1044">
        <v>1.21</v>
      </c>
      <c r="E1044">
        <v>0.03</v>
      </c>
      <c r="F1044">
        <v>0</v>
      </c>
      <c r="G1044">
        <v>1043</v>
      </c>
      <c r="H1044">
        <v>1166</v>
      </c>
      <c r="I1044">
        <v>978</v>
      </c>
      <c r="J1044" t="s">
        <v>6289</v>
      </c>
    </row>
    <row r="1045" spans="1:10">
      <c r="A1045">
        <v>2012</v>
      </c>
      <c r="B1045" t="s">
        <v>4983</v>
      </c>
      <c r="C1045">
        <v>2.56</v>
      </c>
      <c r="D1045">
        <v>1.81</v>
      </c>
      <c r="E1045">
        <v>0.03</v>
      </c>
      <c r="F1045">
        <v>0</v>
      </c>
      <c r="G1045">
        <v>1044</v>
      </c>
      <c r="H1045">
        <v>1059</v>
      </c>
      <c r="I1045">
        <v>978</v>
      </c>
      <c r="J1045" t="s">
        <v>6289</v>
      </c>
    </row>
    <row r="1046" spans="1:10">
      <c r="A1046">
        <v>3036</v>
      </c>
      <c r="B1046" t="s">
        <v>5296</v>
      </c>
      <c r="C1046">
        <v>2.56</v>
      </c>
      <c r="D1046">
        <v>21.17</v>
      </c>
      <c r="E1046">
        <v>0.01</v>
      </c>
      <c r="F1046">
        <v>0.45</v>
      </c>
      <c r="G1046">
        <v>1044</v>
      </c>
      <c r="H1046">
        <v>268</v>
      </c>
      <c r="I1046">
        <v>1110</v>
      </c>
      <c r="J1046">
        <v>262</v>
      </c>
    </row>
    <row r="1047" spans="1:10">
      <c r="A1047">
        <v>8341</v>
      </c>
      <c r="B1047" t="s">
        <v>6016</v>
      </c>
      <c r="C1047">
        <v>2.5499999999999998</v>
      </c>
      <c r="D1047">
        <v>19.7</v>
      </c>
      <c r="E1047">
        <v>0.15</v>
      </c>
      <c r="F1047">
        <v>1.33</v>
      </c>
      <c r="G1047">
        <v>1046</v>
      </c>
      <c r="H1047">
        <v>287</v>
      </c>
      <c r="I1047">
        <v>635</v>
      </c>
      <c r="J1047">
        <v>167</v>
      </c>
    </row>
    <row r="1048" spans="1:10">
      <c r="A1048">
        <v>6625</v>
      </c>
      <c r="B1048" t="s">
        <v>5927</v>
      </c>
      <c r="C1048">
        <v>2.5299999999999998</v>
      </c>
      <c r="D1048">
        <v>1.79</v>
      </c>
      <c r="E1048">
        <v>0.02</v>
      </c>
      <c r="F1048">
        <v>0</v>
      </c>
      <c r="G1048">
        <v>1047</v>
      </c>
      <c r="H1048">
        <v>1063</v>
      </c>
      <c r="I1048">
        <v>1051</v>
      </c>
      <c r="J1048" t="s">
        <v>6289</v>
      </c>
    </row>
    <row r="1049" spans="1:10">
      <c r="A1049">
        <v>1464</v>
      </c>
      <c r="B1049" t="s">
        <v>4858</v>
      </c>
      <c r="C1049">
        <v>2.52</v>
      </c>
      <c r="D1049">
        <v>1.62</v>
      </c>
      <c r="E1049">
        <v>0</v>
      </c>
      <c r="F1049">
        <v>0</v>
      </c>
      <c r="G1049">
        <v>1048</v>
      </c>
      <c r="H1049">
        <v>1089</v>
      </c>
      <c r="I1049" t="s">
        <v>6289</v>
      </c>
      <c r="J1049" t="s">
        <v>6289</v>
      </c>
    </row>
    <row r="1050" spans="1:10">
      <c r="A1050">
        <v>8249</v>
      </c>
      <c r="B1050" t="s">
        <v>6009</v>
      </c>
      <c r="C1050">
        <v>2.52</v>
      </c>
      <c r="D1050">
        <v>4.5199999999999996</v>
      </c>
      <c r="E1050">
        <v>0</v>
      </c>
      <c r="F1050">
        <v>0</v>
      </c>
      <c r="G1050">
        <v>1048</v>
      </c>
      <c r="H1050">
        <v>808</v>
      </c>
      <c r="I1050" t="s">
        <v>6289</v>
      </c>
      <c r="J1050" t="s">
        <v>6289</v>
      </c>
    </row>
    <row r="1051" spans="1:10">
      <c r="A1051">
        <v>1108</v>
      </c>
      <c r="B1051" t="s">
        <v>4780</v>
      </c>
      <c r="C1051">
        <v>2.5099999999999998</v>
      </c>
      <c r="D1051">
        <v>0.96</v>
      </c>
      <c r="E1051">
        <v>0.01</v>
      </c>
      <c r="F1051">
        <v>0</v>
      </c>
      <c r="G1051">
        <v>1050</v>
      </c>
      <c r="H1051">
        <v>1213</v>
      </c>
      <c r="I1051">
        <v>1110</v>
      </c>
      <c r="J1051" t="s">
        <v>6289</v>
      </c>
    </row>
    <row r="1052" spans="1:10">
      <c r="A1052">
        <v>1339</v>
      </c>
      <c r="B1052" t="s">
        <v>4827</v>
      </c>
      <c r="C1052">
        <v>2.48</v>
      </c>
      <c r="D1052">
        <v>0.82</v>
      </c>
      <c r="E1052">
        <v>0.08</v>
      </c>
      <c r="F1052">
        <v>0</v>
      </c>
      <c r="G1052">
        <v>1051</v>
      </c>
      <c r="H1052">
        <v>1241</v>
      </c>
      <c r="I1052">
        <v>789</v>
      </c>
      <c r="J1052" t="s">
        <v>6289</v>
      </c>
    </row>
    <row r="1053" spans="1:10">
      <c r="A1053">
        <v>2511</v>
      </c>
      <c r="B1053" t="s">
        <v>5164</v>
      </c>
      <c r="C1053">
        <v>2.48</v>
      </c>
      <c r="D1053">
        <v>8.83</v>
      </c>
      <c r="E1053">
        <v>0.09</v>
      </c>
      <c r="F1053">
        <v>0.01</v>
      </c>
      <c r="G1053">
        <v>1051</v>
      </c>
      <c r="H1053">
        <v>550</v>
      </c>
      <c r="I1053">
        <v>762</v>
      </c>
      <c r="J1053">
        <v>491</v>
      </c>
    </row>
    <row r="1054" spans="1:10">
      <c r="A1054">
        <v>2362</v>
      </c>
      <c r="B1054" t="s">
        <v>5069</v>
      </c>
      <c r="C1054">
        <v>2.4700000000000002</v>
      </c>
      <c r="D1054">
        <v>10.61</v>
      </c>
      <c r="E1054">
        <v>0.08</v>
      </c>
      <c r="F1054">
        <v>0</v>
      </c>
      <c r="G1054">
        <v>1053</v>
      </c>
      <c r="H1054">
        <v>478</v>
      </c>
      <c r="I1054">
        <v>789</v>
      </c>
      <c r="J1054" t="s">
        <v>6289</v>
      </c>
    </row>
    <row r="1055" spans="1:10">
      <c r="A1055">
        <v>4542</v>
      </c>
      <c r="B1055" t="s">
        <v>6351</v>
      </c>
      <c r="C1055">
        <v>2.4500000000000002</v>
      </c>
      <c r="D1055">
        <v>3.54</v>
      </c>
      <c r="E1055">
        <v>0</v>
      </c>
      <c r="F1055">
        <v>0</v>
      </c>
      <c r="G1055">
        <v>1054</v>
      </c>
      <c r="H1055">
        <v>862</v>
      </c>
      <c r="I1055" t="s">
        <v>6289</v>
      </c>
      <c r="J1055" t="s">
        <v>6289</v>
      </c>
    </row>
    <row r="1056" spans="1:10">
      <c r="A1056">
        <v>5530</v>
      </c>
      <c r="B1056" t="s">
        <v>5716</v>
      </c>
      <c r="C1056">
        <v>2.44</v>
      </c>
      <c r="D1056">
        <v>55.83</v>
      </c>
      <c r="E1056">
        <v>0</v>
      </c>
      <c r="F1056">
        <v>0</v>
      </c>
      <c r="G1056">
        <v>1055</v>
      </c>
      <c r="H1056">
        <v>55</v>
      </c>
      <c r="I1056" t="s">
        <v>6289</v>
      </c>
      <c r="J1056" t="s">
        <v>6289</v>
      </c>
    </row>
    <row r="1057" spans="1:10">
      <c r="A1057">
        <v>9927</v>
      </c>
      <c r="B1057" t="s">
        <v>6087</v>
      </c>
      <c r="C1057">
        <v>2.4300000000000002</v>
      </c>
      <c r="D1057">
        <v>13.44</v>
      </c>
      <c r="E1057">
        <v>0.32</v>
      </c>
      <c r="F1057">
        <v>0.01</v>
      </c>
      <c r="G1057">
        <v>1056</v>
      </c>
      <c r="H1057">
        <v>388</v>
      </c>
      <c r="I1057">
        <v>447</v>
      </c>
      <c r="J1057">
        <v>491</v>
      </c>
    </row>
    <row r="1058" spans="1:10">
      <c r="A1058">
        <v>1720</v>
      </c>
      <c r="B1058" t="s">
        <v>4937</v>
      </c>
      <c r="C1058">
        <v>2.42</v>
      </c>
      <c r="D1058">
        <v>5</v>
      </c>
      <c r="E1058">
        <v>0.02</v>
      </c>
      <c r="F1058">
        <v>0.01</v>
      </c>
      <c r="G1058">
        <v>1057</v>
      </c>
      <c r="H1058">
        <v>772</v>
      </c>
      <c r="I1058">
        <v>1051</v>
      </c>
      <c r="J1058">
        <v>491</v>
      </c>
    </row>
    <row r="1059" spans="1:10">
      <c r="A1059">
        <v>2430</v>
      </c>
      <c r="B1059" t="s">
        <v>5112</v>
      </c>
      <c r="C1059">
        <v>2.41</v>
      </c>
      <c r="D1059">
        <v>6.91</v>
      </c>
      <c r="E1059">
        <v>0.24</v>
      </c>
      <c r="F1059">
        <v>0</v>
      </c>
      <c r="G1059">
        <v>1058</v>
      </c>
      <c r="H1059">
        <v>640</v>
      </c>
      <c r="I1059">
        <v>514</v>
      </c>
      <c r="J1059" t="s">
        <v>6289</v>
      </c>
    </row>
    <row r="1060" spans="1:10">
      <c r="A1060">
        <v>8411</v>
      </c>
      <c r="B1060" t="s">
        <v>6026</v>
      </c>
      <c r="C1060">
        <v>2.4</v>
      </c>
      <c r="D1060">
        <v>62.48</v>
      </c>
      <c r="E1060">
        <v>0.04</v>
      </c>
      <c r="F1060">
        <v>0</v>
      </c>
      <c r="G1060">
        <v>1059</v>
      </c>
      <c r="H1060">
        <v>43</v>
      </c>
      <c r="I1060">
        <v>936</v>
      </c>
      <c r="J1060" t="s">
        <v>6289</v>
      </c>
    </row>
    <row r="1061" spans="1:10">
      <c r="A1061">
        <v>6605</v>
      </c>
      <c r="B1061" t="s">
        <v>5923</v>
      </c>
      <c r="C1061">
        <v>2.38</v>
      </c>
      <c r="D1061">
        <v>11.82</v>
      </c>
      <c r="E1061">
        <v>0</v>
      </c>
      <c r="F1061">
        <v>0</v>
      </c>
      <c r="G1061">
        <v>1060</v>
      </c>
      <c r="H1061">
        <v>434</v>
      </c>
      <c r="I1061" t="s">
        <v>6289</v>
      </c>
      <c r="J1061" t="s">
        <v>6289</v>
      </c>
    </row>
    <row r="1062" spans="1:10">
      <c r="A1062">
        <v>6768</v>
      </c>
      <c r="B1062" t="s">
        <v>5951</v>
      </c>
      <c r="C1062">
        <v>2.38</v>
      </c>
      <c r="D1062">
        <v>76.290000000000006</v>
      </c>
      <c r="E1062">
        <v>0.02</v>
      </c>
      <c r="F1062">
        <v>0</v>
      </c>
      <c r="G1062">
        <v>1060</v>
      </c>
      <c r="H1062">
        <v>12</v>
      </c>
      <c r="I1062">
        <v>1051</v>
      </c>
      <c r="J1062" t="s">
        <v>6289</v>
      </c>
    </row>
    <row r="1063" spans="1:10">
      <c r="A1063">
        <v>8404</v>
      </c>
      <c r="B1063" t="s">
        <v>6025</v>
      </c>
      <c r="C1063">
        <v>2.38</v>
      </c>
      <c r="D1063">
        <v>54.82</v>
      </c>
      <c r="E1063">
        <v>0</v>
      </c>
      <c r="F1063">
        <v>0</v>
      </c>
      <c r="G1063">
        <v>1060</v>
      </c>
      <c r="H1063">
        <v>58</v>
      </c>
      <c r="I1063" t="s">
        <v>6289</v>
      </c>
      <c r="J1063" t="s">
        <v>6289</v>
      </c>
    </row>
    <row r="1064" spans="1:10">
      <c r="A1064">
        <v>1595</v>
      </c>
      <c r="B1064" t="s">
        <v>4909</v>
      </c>
      <c r="C1064">
        <v>2.33</v>
      </c>
      <c r="D1064">
        <v>1.77</v>
      </c>
      <c r="E1064">
        <v>0</v>
      </c>
      <c r="F1064">
        <v>0</v>
      </c>
      <c r="G1064">
        <v>1063</v>
      </c>
      <c r="H1064">
        <v>1069</v>
      </c>
      <c r="I1064" t="s">
        <v>6289</v>
      </c>
      <c r="J1064" t="s">
        <v>6289</v>
      </c>
    </row>
    <row r="1065" spans="1:10">
      <c r="A1065">
        <v>1813</v>
      </c>
      <c r="B1065" t="s">
        <v>6324</v>
      </c>
      <c r="C1065">
        <v>2.3199999999999998</v>
      </c>
      <c r="D1065">
        <v>10.119999999999999</v>
      </c>
      <c r="E1065">
        <v>0</v>
      </c>
      <c r="F1065">
        <v>0</v>
      </c>
      <c r="G1065">
        <v>1064</v>
      </c>
      <c r="H1065">
        <v>497</v>
      </c>
      <c r="I1065" t="s">
        <v>6289</v>
      </c>
      <c r="J1065" t="s">
        <v>6289</v>
      </c>
    </row>
    <row r="1066" spans="1:10">
      <c r="A1066">
        <v>2104</v>
      </c>
      <c r="B1066" t="s">
        <v>5009</v>
      </c>
      <c r="C1066">
        <v>2.31</v>
      </c>
      <c r="D1066">
        <v>11.75</v>
      </c>
      <c r="E1066">
        <v>0.16</v>
      </c>
      <c r="F1066">
        <v>0.04</v>
      </c>
      <c r="G1066">
        <v>1065</v>
      </c>
      <c r="H1066">
        <v>436</v>
      </c>
      <c r="I1066">
        <v>614</v>
      </c>
      <c r="J1066">
        <v>437</v>
      </c>
    </row>
    <row r="1067" spans="1:10">
      <c r="A1067">
        <v>2542</v>
      </c>
      <c r="B1067" t="s">
        <v>6184</v>
      </c>
      <c r="C1067">
        <v>2.2999999999999998</v>
      </c>
      <c r="D1067">
        <v>8.4700000000000006</v>
      </c>
      <c r="E1067">
        <v>0.16</v>
      </c>
      <c r="F1067">
        <v>4.24</v>
      </c>
      <c r="G1067">
        <v>1066</v>
      </c>
      <c r="H1067">
        <v>569</v>
      </c>
      <c r="I1067">
        <v>614</v>
      </c>
      <c r="J1067">
        <v>67</v>
      </c>
    </row>
    <row r="1068" spans="1:10">
      <c r="A1068">
        <v>1463</v>
      </c>
      <c r="B1068" t="s">
        <v>4857</v>
      </c>
      <c r="C1068">
        <v>2.29</v>
      </c>
      <c r="D1068">
        <v>2.34</v>
      </c>
      <c r="E1068">
        <v>0.03</v>
      </c>
      <c r="F1068">
        <v>0</v>
      </c>
      <c r="G1068">
        <v>1067</v>
      </c>
      <c r="H1068">
        <v>988</v>
      </c>
      <c r="I1068">
        <v>978</v>
      </c>
      <c r="J1068" t="s">
        <v>6289</v>
      </c>
    </row>
    <row r="1069" spans="1:10">
      <c r="A1069">
        <v>6788</v>
      </c>
      <c r="B1069" t="s">
        <v>6215</v>
      </c>
      <c r="C1069">
        <v>2.29</v>
      </c>
      <c r="D1069">
        <v>2.5099999999999998</v>
      </c>
      <c r="E1069">
        <v>0.04</v>
      </c>
      <c r="F1069">
        <v>0</v>
      </c>
      <c r="G1069">
        <v>1067</v>
      </c>
      <c r="H1069">
        <v>972</v>
      </c>
      <c r="I1069">
        <v>936</v>
      </c>
      <c r="J1069" t="s">
        <v>6289</v>
      </c>
    </row>
    <row r="1070" spans="1:10">
      <c r="A1070">
        <v>2114</v>
      </c>
      <c r="B1070" t="s">
        <v>5015</v>
      </c>
      <c r="C1070">
        <v>2.2799999999999998</v>
      </c>
      <c r="D1070">
        <v>1.57</v>
      </c>
      <c r="E1070">
        <v>0</v>
      </c>
      <c r="F1070">
        <v>0.01</v>
      </c>
      <c r="G1070">
        <v>1069</v>
      </c>
      <c r="H1070">
        <v>1097</v>
      </c>
      <c r="I1070" t="s">
        <v>6289</v>
      </c>
      <c r="J1070">
        <v>491</v>
      </c>
    </row>
    <row r="1071" spans="1:10">
      <c r="A1071">
        <v>6176</v>
      </c>
      <c r="B1071" t="s">
        <v>5790</v>
      </c>
      <c r="C1071">
        <v>2.2400000000000002</v>
      </c>
      <c r="D1071">
        <v>30.78</v>
      </c>
      <c r="E1071">
        <v>10.14</v>
      </c>
      <c r="F1071">
        <v>6.72</v>
      </c>
      <c r="G1071">
        <v>1070</v>
      </c>
      <c r="H1071">
        <v>175</v>
      </c>
      <c r="I1071">
        <v>4</v>
      </c>
      <c r="J1071">
        <v>32</v>
      </c>
    </row>
    <row r="1072" spans="1:10">
      <c r="A1072">
        <v>8433</v>
      </c>
      <c r="B1072" t="s">
        <v>6032</v>
      </c>
      <c r="C1072">
        <v>2.2400000000000002</v>
      </c>
      <c r="D1072">
        <v>0.49</v>
      </c>
      <c r="E1072">
        <v>0.03</v>
      </c>
      <c r="F1072">
        <v>0.11</v>
      </c>
      <c r="G1072">
        <v>1070</v>
      </c>
      <c r="H1072">
        <v>1326</v>
      </c>
      <c r="I1072">
        <v>978</v>
      </c>
      <c r="J1072">
        <v>374</v>
      </c>
    </row>
    <row r="1073" spans="1:10">
      <c r="A1073">
        <v>9938</v>
      </c>
      <c r="B1073" t="s">
        <v>6094</v>
      </c>
      <c r="C1073">
        <v>2.23</v>
      </c>
      <c r="D1073">
        <v>30.56</v>
      </c>
      <c r="E1073">
        <v>0.33</v>
      </c>
      <c r="F1073">
        <v>0.01</v>
      </c>
      <c r="G1073">
        <v>1072</v>
      </c>
      <c r="H1073">
        <v>177</v>
      </c>
      <c r="I1073">
        <v>435</v>
      </c>
      <c r="J1073">
        <v>491</v>
      </c>
    </row>
    <row r="1074" spans="1:10">
      <c r="A1074">
        <v>2420</v>
      </c>
      <c r="B1074" t="s">
        <v>5105</v>
      </c>
      <c r="C1074">
        <v>2.2200000000000002</v>
      </c>
      <c r="D1074">
        <v>6.58</v>
      </c>
      <c r="E1074">
        <v>0.19</v>
      </c>
      <c r="F1074">
        <v>0</v>
      </c>
      <c r="G1074">
        <v>1073</v>
      </c>
      <c r="H1074">
        <v>665</v>
      </c>
      <c r="I1074">
        <v>571</v>
      </c>
      <c r="J1074" t="s">
        <v>6289</v>
      </c>
    </row>
    <row r="1075" spans="1:10">
      <c r="A1075">
        <v>6124</v>
      </c>
      <c r="B1075" t="s">
        <v>6325</v>
      </c>
      <c r="C1075">
        <v>2.2200000000000002</v>
      </c>
      <c r="D1075">
        <v>42.77</v>
      </c>
      <c r="E1075">
        <v>3.25</v>
      </c>
      <c r="F1075">
        <v>0</v>
      </c>
      <c r="G1075">
        <v>1073</v>
      </c>
      <c r="H1075">
        <v>104</v>
      </c>
      <c r="I1075">
        <v>44</v>
      </c>
      <c r="J1075" t="s">
        <v>6289</v>
      </c>
    </row>
    <row r="1076" spans="1:10">
      <c r="A1076">
        <v>2897</v>
      </c>
      <c r="B1076" t="s">
        <v>5252</v>
      </c>
      <c r="C1076">
        <v>2.21</v>
      </c>
      <c r="D1076">
        <v>5.39</v>
      </c>
      <c r="E1076">
        <v>0.08</v>
      </c>
      <c r="F1076">
        <v>0.09</v>
      </c>
      <c r="G1076">
        <v>1075</v>
      </c>
      <c r="H1076">
        <v>744</v>
      </c>
      <c r="I1076">
        <v>789</v>
      </c>
      <c r="J1076">
        <v>395</v>
      </c>
    </row>
    <row r="1077" spans="1:10">
      <c r="A1077">
        <v>4401</v>
      </c>
      <c r="B1077" t="s">
        <v>5549</v>
      </c>
      <c r="C1077">
        <v>2.21</v>
      </c>
      <c r="D1077">
        <v>5.03</v>
      </c>
      <c r="E1077">
        <v>0.73</v>
      </c>
      <c r="F1077">
        <v>0.01</v>
      </c>
      <c r="G1077">
        <v>1075</v>
      </c>
      <c r="H1077">
        <v>769</v>
      </c>
      <c r="I1077">
        <v>238</v>
      </c>
      <c r="J1077">
        <v>491</v>
      </c>
    </row>
    <row r="1078" spans="1:10">
      <c r="A1078">
        <v>2063</v>
      </c>
      <c r="B1078" t="s">
        <v>6181</v>
      </c>
      <c r="C1078">
        <v>2.2000000000000002</v>
      </c>
      <c r="D1078">
        <v>1.43</v>
      </c>
      <c r="E1078">
        <v>0.05</v>
      </c>
      <c r="F1078">
        <v>0</v>
      </c>
      <c r="G1078">
        <v>1077</v>
      </c>
      <c r="H1078">
        <v>1124</v>
      </c>
      <c r="I1078">
        <v>896</v>
      </c>
      <c r="J1078" t="s">
        <v>6289</v>
      </c>
    </row>
    <row r="1079" spans="1:10">
      <c r="A1079">
        <v>2109</v>
      </c>
      <c r="B1079" t="s">
        <v>5014</v>
      </c>
      <c r="C1079">
        <v>2.2000000000000002</v>
      </c>
      <c r="D1079">
        <v>14.44</v>
      </c>
      <c r="E1079">
        <v>0.01</v>
      </c>
      <c r="F1079">
        <v>0</v>
      </c>
      <c r="G1079">
        <v>1077</v>
      </c>
      <c r="H1079">
        <v>368</v>
      </c>
      <c r="I1079">
        <v>1110</v>
      </c>
      <c r="J1079" t="s">
        <v>6289</v>
      </c>
    </row>
    <row r="1080" spans="1:10">
      <c r="A1080">
        <v>1722</v>
      </c>
      <c r="B1080" t="s">
        <v>4939</v>
      </c>
      <c r="C1080">
        <v>2.19</v>
      </c>
      <c r="D1080">
        <v>14.72</v>
      </c>
      <c r="E1080">
        <v>0.78</v>
      </c>
      <c r="F1080">
        <v>1.19</v>
      </c>
      <c r="G1080">
        <v>1079</v>
      </c>
      <c r="H1080">
        <v>363</v>
      </c>
      <c r="I1080">
        <v>224</v>
      </c>
      <c r="J1080">
        <v>179</v>
      </c>
    </row>
    <row r="1081" spans="1:10">
      <c r="A1081">
        <v>1752</v>
      </c>
      <c r="B1081" t="s">
        <v>4952</v>
      </c>
      <c r="C1081">
        <v>2.1800000000000002</v>
      </c>
      <c r="D1081">
        <v>1.24</v>
      </c>
      <c r="E1081">
        <v>0</v>
      </c>
      <c r="F1081">
        <v>0</v>
      </c>
      <c r="G1081">
        <v>1080</v>
      </c>
      <c r="H1081">
        <v>1160</v>
      </c>
      <c r="I1081" t="s">
        <v>6289</v>
      </c>
      <c r="J1081" t="s">
        <v>6289</v>
      </c>
    </row>
    <row r="1082" spans="1:10">
      <c r="A1082">
        <v>9939</v>
      </c>
      <c r="B1082" t="s">
        <v>6095</v>
      </c>
      <c r="C1082">
        <v>2.1800000000000002</v>
      </c>
      <c r="D1082">
        <v>31.95</v>
      </c>
      <c r="E1082">
        <v>1.1200000000000001</v>
      </c>
      <c r="F1082">
        <v>0.37</v>
      </c>
      <c r="G1082">
        <v>1080</v>
      </c>
      <c r="H1082">
        <v>162</v>
      </c>
      <c r="I1082">
        <v>155</v>
      </c>
      <c r="J1082">
        <v>278</v>
      </c>
    </row>
    <row r="1083" spans="1:10">
      <c r="A1083">
        <v>8941</v>
      </c>
      <c r="B1083" t="s">
        <v>6262</v>
      </c>
      <c r="C1083">
        <v>2.17</v>
      </c>
      <c r="D1083">
        <v>1.58</v>
      </c>
      <c r="E1083">
        <v>0</v>
      </c>
      <c r="F1083">
        <v>0</v>
      </c>
      <c r="G1083">
        <v>1082</v>
      </c>
      <c r="H1083">
        <v>1094</v>
      </c>
      <c r="I1083" t="s">
        <v>6289</v>
      </c>
      <c r="J1083" t="s">
        <v>6289</v>
      </c>
    </row>
    <row r="1084" spans="1:10">
      <c r="A1084">
        <v>1477</v>
      </c>
      <c r="B1084" t="s">
        <v>4866</v>
      </c>
      <c r="C1084">
        <v>2.15</v>
      </c>
      <c r="D1084">
        <v>23.54</v>
      </c>
      <c r="E1084">
        <v>1</v>
      </c>
      <c r="F1084">
        <v>2.48</v>
      </c>
      <c r="G1084">
        <v>1083</v>
      </c>
      <c r="H1084">
        <v>232</v>
      </c>
      <c r="I1084">
        <v>176</v>
      </c>
      <c r="J1084">
        <v>106</v>
      </c>
    </row>
    <row r="1085" spans="1:10">
      <c r="A1085">
        <v>8049</v>
      </c>
      <c r="B1085" t="s">
        <v>5968</v>
      </c>
      <c r="C1085">
        <v>2.15</v>
      </c>
      <c r="D1085">
        <v>4.24</v>
      </c>
      <c r="E1085">
        <v>0.14000000000000001</v>
      </c>
      <c r="F1085">
        <v>0</v>
      </c>
      <c r="G1085">
        <v>1083</v>
      </c>
      <c r="H1085">
        <v>822</v>
      </c>
      <c r="I1085">
        <v>653</v>
      </c>
      <c r="J1085" t="s">
        <v>6289</v>
      </c>
    </row>
    <row r="1086" spans="1:10">
      <c r="A1086">
        <v>5410</v>
      </c>
      <c r="B1086" t="s">
        <v>5689</v>
      </c>
      <c r="C1086">
        <v>2.14</v>
      </c>
      <c r="D1086">
        <v>1.83</v>
      </c>
      <c r="E1086">
        <v>0.01</v>
      </c>
      <c r="F1086">
        <v>0</v>
      </c>
      <c r="G1086">
        <v>1085</v>
      </c>
      <c r="H1086">
        <v>1056</v>
      </c>
      <c r="I1086">
        <v>1110</v>
      </c>
      <c r="J1086" t="s">
        <v>6289</v>
      </c>
    </row>
    <row r="1087" spans="1:10">
      <c r="A1087">
        <v>2377</v>
      </c>
      <c r="B1087" t="s">
        <v>5080</v>
      </c>
      <c r="C1087">
        <v>2.13</v>
      </c>
      <c r="D1087">
        <v>34.590000000000003</v>
      </c>
      <c r="E1087">
        <v>5.16</v>
      </c>
      <c r="F1087">
        <v>5.74</v>
      </c>
      <c r="G1087">
        <v>1086</v>
      </c>
      <c r="H1087">
        <v>142</v>
      </c>
      <c r="I1087">
        <v>20</v>
      </c>
      <c r="J1087">
        <v>40</v>
      </c>
    </row>
    <row r="1088" spans="1:10">
      <c r="A1088">
        <v>5426</v>
      </c>
      <c r="B1088" t="s">
        <v>5691</v>
      </c>
      <c r="C1088">
        <v>2.13</v>
      </c>
      <c r="D1088">
        <v>0.31</v>
      </c>
      <c r="E1088">
        <v>0</v>
      </c>
      <c r="F1088">
        <v>0</v>
      </c>
      <c r="G1088">
        <v>1086</v>
      </c>
      <c r="H1088">
        <v>1382</v>
      </c>
      <c r="I1088" t="s">
        <v>6289</v>
      </c>
      <c r="J1088" t="s">
        <v>6289</v>
      </c>
    </row>
    <row r="1089" spans="1:10">
      <c r="A1089">
        <v>3357</v>
      </c>
      <c r="B1089" t="s">
        <v>5390</v>
      </c>
      <c r="C1089">
        <v>2.11</v>
      </c>
      <c r="D1089">
        <v>10.88</v>
      </c>
      <c r="E1089">
        <v>0</v>
      </c>
      <c r="F1089">
        <v>0</v>
      </c>
      <c r="G1089">
        <v>1088</v>
      </c>
      <c r="H1089">
        <v>469</v>
      </c>
      <c r="I1089" t="s">
        <v>6289</v>
      </c>
      <c r="J1089" t="s">
        <v>6289</v>
      </c>
    </row>
    <row r="1090" spans="1:10">
      <c r="A1090">
        <v>1789</v>
      </c>
      <c r="B1090" t="s">
        <v>4962</v>
      </c>
      <c r="C1090">
        <v>2.1</v>
      </c>
      <c r="D1090">
        <v>3.68</v>
      </c>
      <c r="E1090">
        <v>0.1</v>
      </c>
      <c r="F1090">
        <v>0</v>
      </c>
      <c r="G1090">
        <v>1089</v>
      </c>
      <c r="H1090">
        <v>851</v>
      </c>
      <c r="I1090">
        <v>734</v>
      </c>
      <c r="J1090" t="s">
        <v>6289</v>
      </c>
    </row>
    <row r="1091" spans="1:10">
      <c r="A1091">
        <v>2454</v>
      </c>
      <c r="B1091" t="s">
        <v>5124</v>
      </c>
      <c r="C1091">
        <v>2.08</v>
      </c>
      <c r="D1091">
        <v>63.67</v>
      </c>
      <c r="E1091">
        <v>1.1100000000000001</v>
      </c>
      <c r="F1091">
        <v>2.2799999999999998</v>
      </c>
      <c r="G1091">
        <v>1090</v>
      </c>
      <c r="H1091">
        <v>39</v>
      </c>
      <c r="I1091">
        <v>159</v>
      </c>
      <c r="J1091">
        <v>115</v>
      </c>
    </row>
    <row r="1092" spans="1:10">
      <c r="A1092">
        <v>2834</v>
      </c>
      <c r="B1092" t="s">
        <v>5229</v>
      </c>
      <c r="C1092">
        <v>2.08</v>
      </c>
      <c r="D1092">
        <v>9.44</v>
      </c>
      <c r="E1092">
        <v>0.14000000000000001</v>
      </c>
      <c r="F1092">
        <v>0.45</v>
      </c>
      <c r="G1092">
        <v>1090</v>
      </c>
      <c r="H1092">
        <v>523</v>
      </c>
      <c r="I1092">
        <v>653</v>
      </c>
      <c r="J1092">
        <v>262</v>
      </c>
    </row>
    <row r="1093" spans="1:10">
      <c r="A1093">
        <v>8442</v>
      </c>
      <c r="B1093" t="s">
        <v>6037</v>
      </c>
      <c r="C1093">
        <v>2.0699999999999998</v>
      </c>
      <c r="D1093">
        <v>64</v>
      </c>
      <c r="E1093">
        <v>0.05</v>
      </c>
      <c r="F1093">
        <v>0</v>
      </c>
      <c r="G1093">
        <v>1092</v>
      </c>
      <c r="H1093">
        <v>38</v>
      </c>
      <c r="I1093">
        <v>896</v>
      </c>
      <c r="J1093" t="s">
        <v>6289</v>
      </c>
    </row>
    <row r="1094" spans="1:10">
      <c r="A1094">
        <v>4528</v>
      </c>
      <c r="B1094" t="s">
        <v>6152</v>
      </c>
      <c r="C1094">
        <v>2.0499999999999998</v>
      </c>
      <c r="D1094">
        <v>0.84</v>
      </c>
      <c r="E1094">
        <v>0.28000000000000003</v>
      </c>
      <c r="F1094">
        <v>0</v>
      </c>
      <c r="G1094">
        <v>1093</v>
      </c>
      <c r="H1094">
        <v>1240</v>
      </c>
      <c r="I1094">
        <v>485</v>
      </c>
      <c r="J1094" t="s">
        <v>6289</v>
      </c>
    </row>
    <row r="1095" spans="1:10">
      <c r="A1095">
        <v>2107</v>
      </c>
      <c r="B1095" t="s">
        <v>5012</v>
      </c>
      <c r="C1095">
        <v>2.02</v>
      </c>
      <c r="D1095">
        <v>9</v>
      </c>
      <c r="E1095">
        <v>0.35</v>
      </c>
      <c r="F1095">
        <v>0</v>
      </c>
      <c r="G1095">
        <v>1094</v>
      </c>
      <c r="H1095">
        <v>542</v>
      </c>
      <c r="I1095">
        <v>414</v>
      </c>
      <c r="J1095" t="s">
        <v>6289</v>
      </c>
    </row>
    <row r="1096" spans="1:10">
      <c r="A1096">
        <v>8032</v>
      </c>
      <c r="B1096" t="s">
        <v>6328</v>
      </c>
      <c r="C1096">
        <v>2.02</v>
      </c>
      <c r="D1096">
        <v>0.41</v>
      </c>
      <c r="E1096">
        <v>0</v>
      </c>
      <c r="F1096">
        <v>0</v>
      </c>
      <c r="G1096">
        <v>1094</v>
      </c>
      <c r="H1096">
        <v>1351</v>
      </c>
      <c r="I1096" t="s">
        <v>6289</v>
      </c>
      <c r="J1096" t="s">
        <v>6289</v>
      </c>
    </row>
    <row r="1097" spans="1:10">
      <c r="A1097">
        <v>1615</v>
      </c>
      <c r="B1097" t="s">
        <v>4921</v>
      </c>
      <c r="C1097">
        <v>2.0099999999999998</v>
      </c>
      <c r="D1097">
        <v>0.24</v>
      </c>
      <c r="E1097">
        <v>0</v>
      </c>
      <c r="F1097">
        <v>0</v>
      </c>
      <c r="G1097">
        <v>1096</v>
      </c>
      <c r="H1097">
        <v>1403</v>
      </c>
      <c r="I1097" t="s">
        <v>6289</v>
      </c>
      <c r="J1097" t="s">
        <v>6289</v>
      </c>
    </row>
    <row r="1098" spans="1:10">
      <c r="A1098">
        <v>5236</v>
      </c>
      <c r="B1098" t="s">
        <v>5659</v>
      </c>
      <c r="C1098">
        <v>2.0099999999999998</v>
      </c>
      <c r="D1098">
        <v>2.99</v>
      </c>
      <c r="E1098">
        <v>7.0000000000000007E-2</v>
      </c>
      <c r="F1098">
        <v>0</v>
      </c>
      <c r="G1098">
        <v>1096</v>
      </c>
      <c r="H1098">
        <v>923</v>
      </c>
      <c r="I1098">
        <v>824</v>
      </c>
      <c r="J1098" t="s">
        <v>6289</v>
      </c>
    </row>
    <row r="1099" spans="1:10">
      <c r="A1099">
        <v>4536</v>
      </c>
      <c r="B1099" t="s">
        <v>5567</v>
      </c>
      <c r="C1099">
        <v>2</v>
      </c>
      <c r="D1099">
        <v>15.31</v>
      </c>
      <c r="E1099">
        <v>0.09</v>
      </c>
      <c r="F1099">
        <v>0.75</v>
      </c>
      <c r="G1099">
        <v>1098</v>
      </c>
      <c r="H1099">
        <v>350</v>
      </c>
      <c r="I1099">
        <v>762</v>
      </c>
      <c r="J1099">
        <v>222</v>
      </c>
    </row>
    <row r="1100" spans="1:10">
      <c r="A1100">
        <v>8477</v>
      </c>
      <c r="B1100" t="s">
        <v>6049</v>
      </c>
      <c r="C1100">
        <v>2</v>
      </c>
      <c r="D1100">
        <v>20.66</v>
      </c>
      <c r="E1100">
        <v>0</v>
      </c>
      <c r="F1100">
        <v>0</v>
      </c>
      <c r="G1100">
        <v>1098</v>
      </c>
      <c r="H1100">
        <v>272</v>
      </c>
      <c r="I1100" t="s">
        <v>6289</v>
      </c>
      <c r="J1100" t="s">
        <v>6289</v>
      </c>
    </row>
    <row r="1101" spans="1:10">
      <c r="A1101">
        <v>2701</v>
      </c>
      <c r="B1101" t="s">
        <v>5208</v>
      </c>
      <c r="C1101">
        <v>1.99</v>
      </c>
      <c r="D1101">
        <v>0</v>
      </c>
      <c r="E1101">
        <v>0</v>
      </c>
      <c r="F1101">
        <v>0</v>
      </c>
      <c r="G1101">
        <v>1100</v>
      </c>
      <c r="H1101" t="s">
        <v>6289</v>
      </c>
      <c r="I1101" t="s">
        <v>6289</v>
      </c>
      <c r="J1101" t="s">
        <v>6289</v>
      </c>
    </row>
    <row r="1102" spans="1:10">
      <c r="A1102">
        <v>6151</v>
      </c>
      <c r="B1102" t="s">
        <v>5774</v>
      </c>
      <c r="C1102">
        <v>1.94</v>
      </c>
      <c r="D1102">
        <v>0.42</v>
      </c>
      <c r="E1102">
        <v>0.04</v>
      </c>
      <c r="F1102">
        <v>0</v>
      </c>
      <c r="G1102">
        <v>1101</v>
      </c>
      <c r="H1102">
        <v>1348</v>
      </c>
      <c r="I1102">
        <v>936</v>
      </c>
      <c r="J1102" t="s">
        <v>6289</v>
      </c>
    </row>
    <row r="1103" spans="1:10">
      <c r="A1103">
        <v>2352</v>
      </c>
      <c r="B1103" t="s">
        <v>5060</v>
      </c>
      <c r="C1103">
        <v>1.93</v>
      </c>
      <c r="D1103">
        <v>18.739999999999998</v>
      </c>
      <c r="E1103">
        <v>1.67</v>
      </c>
      <c r="F1103">
        <v>0.21</v>
      </c>
      <c r="G1103">
        <v>1102</v>
      </c>
      <c r="H1103">
        <v>294</v>
      </c>
      <c r="I1103">
        <v>95</v>
      </c>
      <c r="J1103">
        <v>324</v>
      </c>
    </row>
    <row r="1104" spans="1:10">
      <c r="A1104">
        <v>4167</v>
      </c>
      <c r="B1104" t="s">
        <v>5539</v>
      </c>
      <c r="C1104">
        <v>1.93</v>
      </c>
      <c r="D1104">
        <v>10.130000000000001</v>
      </c>
      <c r="E1104">
        <v>0</v>
      </c>
      <c r="F1104">
        <v>0</v>
      </c>
      <c r="G1104">
        <v>1102</v>
      </c>
      <c r="H1104">
        <v>496</v>
      </c>
      <c r="I1104" t="s">
        <v>6289</v>
      </c>
      <c r="J1104" t="s">
        <v>6289</v>
      </c>
    </row>
    <row r="1105" spans="1:10">
      <c r="A1105">
        <v>1109</v>
      </c>
      <c r="B1105" t="s">
        <v>4781</v>
      </c>
      <c r="C1105">
        <v>1.91</v>
      </c>
      <c r="D1105">
        <v>3.7</v>
      </c>
      <c r="E1105">
        <v>0.2</v>
      </c>
      <c r="F1105">
        <v>0</v>
      </c>
      <c r="G1105">
        <v>1104</v>
      </c>
      <c r="H1105">
        <v>849</v>
      </c>
      <c r="I1105">
        <v>558</v>
      </c>
      <c r="J1105" t="s">
        <v>6289</v>
      </c>
    </row>
    <row r="1106" spans="1:10">
      <c r="A1106">
        <v>3118</v>
      </c>
      <c r="B1106" t="s">
        <v>5326</v>
      </c>
      <c r="C1106">
        <v>1.91</v>
      </c>
      <c r="D1106">
        <v>10.44</v>
      </c>
      <c r="E1106">
        <v>0</v>
      </c>
      <c r="F1106">
        <v>0</v>
      </c>
      <c r="G1106">
        <v>1104</v>
      </c>
      <c r="H1106">
        <v>483</v>
      </c>
      <c r="I1106" t="s">
        <v>6289</v>
      </c>
      <c r="J1106" t="s">
        <v>6289</v>
      </c>
    </row>
    <row r="1107" spans="1:10">
      <c r="A1107">
        <v>1531</v>
      </c>
      <c r="B1107" t="s">
        <v>4884</v>
      </c>
      <c r="C1107">
        <v>1.89</v>
      </c>
      <c r="D1107">
        <v>2.12</v>
      </c>
      <c r="E1107">
        <v>0.03</v>
      </c>
      <c r="F1107">
        <v>0</v>
      </c>
      <c r="G1107">
        <v>1106</v>
      </c>
      <c r="H1107">
        <v>1011</v>
      </c>
      <c r="I1107">
        <v>978</v>
      </c>
      <c r="J1107" t="s">
        <v>6289</v>
      </c>
    </row>
    <row r="1108" spans="1:10">
      <c r="A1108">
        <v>2405</v>
      </c>
      <c r="B1108" t="s">
        <v>6182</v>
      </c>
      <c r="C1108">
        <v>1.87</v>
      </c>
      <c r="D1108">
        <v>5.4</v>
      </c>
      <c r="E1108">
        <v>0.2</v>
      </c>
      <c r="F1108">
        <v>0</v>
      </c>
      <c r="G1108">
        <v>1107</v>
      </c>
      <c r="H1108">
        <v>743</v>
      </c>
      <c r="I1108">
        <v>558</v>
      </c>
      <c r="J1108" t="s">
        <v>6289</v>
      </c>
    </row>
    <row r="1109" spans="1:10">
      <c r="A1109">
        <v>2451</v>
      </c>
      <c r="B1109" t="s">
        <v>5122</v>
      </c>
      <c r="C1109">
        <v>1.86</v>
      </c>
      <c r="D1109">
        <v>9.4600000000000009</v>
      </c>
      <c r="E1109">
        <v>4.76</v>
      </c>
      <c r="F1109">
        <v>0.35</v>
      </c>
      <c r="G1109">
        <v>1108</v>
      </c>
      <c r="H1109">
        <v>520</v>
      </c>
      <c r="I1109">
        <v>28</v>
      </c>
      <c r="J1109">
        <v>284</v>
      </c>
    </row>
    <row r="1110" spans="1:10">
      <c r="A1110">
        <v>3703</v>
      </c>
      <c r="B1110" t="s">
        <v>5501</v>
      </c>
      <c r="C1110">
        <v>1.86</v>
      </c>
      <c r="D1110">
        <v>25.07</v>
      </c>
      <c r="E1110">
        <v>0.43</v>
      </c>
      <c r="F1110">
        <v>0.08</v>
      </c>
      <c r="G1110">
        <v>1108</v>
      </c>
      <c r="H1110">
        <v>221</v>
      </c>
      <c r="I1110">
        <v>355</v>
      </c>
      <c r="J1110">
        <v>401</v>
      </c>
    </row>
    <row r="1111" spans="1:10">
      <c r="A1111">
        <v>4764</v>
      </c>
      <c r="B1111" t="s">
        <v>5605</v>
      </c>
      <c r="C1111">
        <v>1.85</v>
      </c>
      <c r="D1111">
        <v>38.29</v>
      </c>
      <c r="E1111">
        <v>0</v>
      </c>
      <c r="F1111">
        <v>0</v>
      </c>
      <c r="G1111">
        <v>1110</v>
      </c>
      <c r="H1111">
        <v>129</v>
      </c>
      <c r="I1111" t="s">
        <v>6289</v>
      </c>
      <c r="J1111" t="s">
        <v>6289</v>
      </c>
    </row>
    <row r="1112" spans="1:10">
      <c r="A1112">
        <v>5906</v>
      </c>
      <c r="B1112" t="s">
        <v>5738</v>
      </c>
      <c r="C1112">
        <v>1.85</v>
      </c>
      <c r="D1112">
        <v>19.350000000000001</v>
      </c>
      <c r="E1112">
        <v>0</v>
      </c>
      <c r="F1112">
        <v>0</v>
      </c>
      <c r="G1112">
        <v>1110</v>
      </c>
      <c r="H1112">
        <v>288</v>
      </c>
      <c r="I1112" t="s">
        <v>6289</v>
      </c>
      <c r="J1112" t="s">
        <v>6289</v>
      </c>
    </row>
    <row r="1113" spans="1:10">
      <c r="A1113">
        <v>1201</v>
      </c>
      <c r="B1113" t="s">
        <v>4783</v>
      </c>
      <c r="C1113">
        <v>1.82</v>
      </c>
      <c r="D1113">
        <v>11.42</v>
      </c>
      <c r="E1113">
        <v>0.3</v>
      </c>
      <c r="F1113">
        <v>0</v>
      </c>
      <c r="G1113">
        <v>1112</v>
      </c>
      <c r="H1113">
        <v>443</v>
      </c>
      <c r="I1113">
        <v>466</v>
      </c>
      <c r="J1113" t="s">
        <v>6289</v>
      </c>
    </row>
    <row r="1114" spans="1:10">
      <c r="A1114">
        <v>1723</v>
      </c>
      <c r="B1114" t="s">
        <v>4940</v>
      </c>
      <c r="C1114">
        <v>1.82</v>
      </c>
      <c r="D1114">
        <v>8.75</v>
      </c>
      <c r="E1114">
        <v>0.43</v>
      </c>
      <c r="F1114">
        <v>0.11</v>
      </c>
      <c r="G1114">
        <v>1112</v>
      </c>
      <c r="H1114">
        <v>557</v>
      </c>
      <c r="I1114">
        <v>355</v>
      </c>
      <c r="J1114">
        <v>374</v>
      </c>
    </row>
    <row r="1115" spans="1:10">
      <c r="A1115">
        <v>3611</v>
      </c>
      <c r="B1115" t="s">
        <v>5470</v>
      </c>
      <c r="C1115">
        <v>1.82</v>
      </c>
      <c r="D1115">
        <v>10.92</v>
      </c>
      <c r="E1115">
        <v>0.35</v>
      </c>
      <c r="F1115">
        <v>0.01</v>
      </c>
      <c r="G1115">
        <v>1112</v>
      </c>
      <c r="H1115">
        <v>467</v>
      </c>
      <c r="I1115">
        <v>414</v>
      </c>
      <c r="J1115">
        <v>491</v>
      </c>
    </row>
    <row r="1116" spans="1:10">
      <c r="A1116">
        <v>4163</v>
      </c>
      <c r="B1116" t="s">
        <v>5537</v>
      </c>
      <c r="C1116">
        <v>1.81</v>
      </c>
      <c r="D1116">
        <v>2.4300000000000002</v>
      </c>
      <c r="E1116">
        <v>0.14000000000000001</v>
      </c>
      <c r="F1116">
        <v>0</v>
      </c>
      <c r="G1116">
        <v>1115</v>
      </c>
      <c r="H1116">
        <v>981</v>
      </c>
      <c r="I1116">
        <v>653</v>
      </c>
      <c r="J1116" t="s">
        <v>6289</v>
      </c>
    </row>
    <row r="1117" spans="1:10">
      <c r="A1117">
        <v>1436</v>
      </c>
      <c r="B1117" t="s">
        <v>4839</v>
      </c>
      <c r="C1117">
        <v>1.8</v>
      </c>
      <c r="D1117">
        <v>0.56000000000000005</v>
      </c>
      <c r="E1117">
        <v>0.01</v>
      </c>
      <c r="F1117">
        <v>0</v>
      </c>
      <c r="G1117">
        <v>1116</v>
      </c>
      <c r="H1117">
        <v>1305</v>
      </c>
      <c r="I1117">
        <v>1110</v>
      </c>
      <c r="J1117" t="s">
        <v>6289</v>
      </c>
    </row>
    <row r="1118" spans="1:10">
      <c r="A1118">
        <v>8923</v>
      </c>
      <c r="B1118" t="s">
        <v>6327</v>
      </c>
      <c r="C1118">
        <v>1.8</v>
      </c>
      <c r="D1118">
        <v>4.1100000000000003</v>
      </c>
      <c r="E1118">
        <v>0</v>
      </c>
      <c r="F1118">
        <v>0</v>
      </c>
      <c r="G1118">
        <v>1116</v>
      </c>
      <c r="H1118">
        <v>827</v>
      </c>
      <c r="I1118" t="s">
        <v>6289</v>
      </c>
      <c r="J1118" t="s">
        <v>6289</v>
      </c>
    </row>
    <row r="1119" spans="1:10">
      <c r="A1119">
        <v>1319</v>
      </c>
      <c r="B1119" t="s">
        <v>4818</v>
      </c>
      <c r="C1119">
        <v>1.79</v>
      </c>
      <c r="D1119">
        <v>13.85</v>
      </c>
      <c r="E1119">
        <v>0.18</v>
      </c>
      <c r="F1119">
        <v>0.03</v>
      </c>
      <c r="G1119">
        <v>1118</v>
      </c>
      <c r="H1119">
        <v>382</v>
      </c>
      <c r="I1119">
        <v>586</v>
      </c>
      <c r="J1119">
        <v>458</v>
      </c>
    </row>
    <row r="1120" spans="1:10">
      <c r="A1120">
        <v>1707</v>
      </c>
      <c r="B1120" t="s">
        <v>4927</v>
      </c>
      <c r="C1120">
        <v>1.79</v>
      </c>
      <c r="D1120">
        <v>10.92</v>
      </c>
      <c r="E1120">
        <v>0.06</v>
      </c>
      <c r="F1120">
        <v>0.01</v>
      </c>
      <c r="G1120">
        <v>1118</v>
      </c>
      <c r="H1120">
        <v>467</v>
      </c>
      <c r="I1120">
        <v>852</v>
      </c>
      <c r="J1120">
        <v>491</v>
      </c>
    </row>
    <row r="1121" spans="1:10">
      <c r="A1121">
        <v>3533</v>
      </c>
      <c r="B1121" t="s">
        <v>5440</v>
      </c>
      <c r="C1121">
        <v>1.77</v>
      </c>
      <c r="D1121">
        <v>34.28</v>
      </c>
      <c r="E1121">
        <v>0.44</v>
      </c>
      <c r="F1121">
        <v>9.65</v>
      </c>
      <c r="G1121">
        <v>1120</v>
      </c>
      <c r="H1121">
        <v>144</v>
      </c>
      <c r="I1121">
        <v>350</v>
      </c>
      <c r="J1121">
        <v>14</v>
      </c>
    </row>
    <row r="1122" spans="1:10">
      <c r="A1122">
        <v>2528</v>
      </c>
      <c r="B1122" t="s">
        <v>5170</v>
      </c>
      <c r="C1122">
        <v>1.76</v>
      </c>
      <c r="D1122">
        <v>0.13</v>
      </c>
      <c r="E1122">
        <v>0.11</v>
      </c>
      <c r="F1122">
        <v>0</v>
      </c>
      <c r="G1122">
        <v>1121</v>
      </c>
      <c r="H1122">
        <v>1438</v>
      </c>
      <c r="I1122">
        <v>708</v>
      </c>
      <c r="J1122" t="s">
        <v>6289</v>
      </c>
    </row>
    <row r="1123" spans="1:10">
      <c r="A1123">
        <v>6171</v>
      </c>
      <c r="B1123" t="s">
        <v>6160</v>
      </c>
      <c r="C1123">
        <v>1.76</v>
      </c>
      <c r="D1123">
        <v>0.74</v>
      </c>
      <c r="E1123">
        <v>0</v>
      </c>
      <c r="F1123">
        <v>0</v>
      </c>
      <c r="G1123">
        <v>1121</v>
      </c>
      <c r="H1123">
        <v>1256</v>
      </c>
      <c r="I1123" t="s">
        <v>6289</v>
      </c>
      <c r="J1123" t="s">
        <v>6289</v>
      </c>
    </row>
    <row r="1124" spans="1:10">
      <c r="A1124">
        <v>9907</v>
      </c>
      <c r="B1124" t="s">
        <v>6075</v>
      </c>
      <c r="C1124">
        <v>1.75</v>
      </c>
      <c r="D1124">
        <v>17.05</v>
      </c>
      <c r="E1124">
        <v>0.04</v>
      </c>
      <c r="F1124">
        <v>0.08</v>
      </c>
      <c r="G1124">
        <v>1123</v>
      </c>
      <c r="H1124">
        <v>327</v>
      </c>
      <c r="I1124">
        <v>936</v>
      </c>
      <c r="J1124">
        <v>401</v>
      </c>
    </row>
    <row r="1125" spans="1:10">
      <c r="A1125">
        <v>9924</v>
      </c>
      <c r="B1125" t="s">
        <v>6084</v>
      </c>
      <c r="C1125">
        <v>1.75</v>
      </c>
      <c r="D1125">
        <v>13.07</v>
      </c>
      <c r="E1125">
        <v>0.28999999999999998</v>
      </c>
      <c r="F1125">
        <v>0.09</v>
      </c>
      <c r="G1125">
        <v>1123</v>
      </c>
      <c r="H1125">
        <v>400</v>
      </c>
      <c r="I1125">
        <v>474</v>
      </c>
      <c r="J1125">
        <v>395</v>
      </c>
    </row>
    <row r="1126" spans="1:10">
      <c r="A1126">
        <v>9945</v>
      </c>
      <c r="B1126" t="s">
        <v>6101</v>
      </c>
      <c r="C1126">
        <v>1.75</v>
      </c>
      <c r="D1126">
        <v>15.14</v>
      </c>
      <c r="E1126">
        <v>7.0000000000000007E-2</v>
      </c>
      <c r="F1126">
        <v>0.02</v>
      </c>
      <c r="G1126">
        <v>1123</v>
      </c>
      <c r="H1126">
        <v>353</v>
      </c>
      <c r="I1126">
        <v>824</v>
      </c>
      <c r="J1126">
        <v>473</v>
      </c>
    </row>
    <row r="1127" spans="1:10">
      <c r="A1127">
        <v>2383</v>
      </c>
      <c r="B1127" t="s">
        <v>5083</v>
      </c>
      <c r="C1127">
        <v>1.74</v>
      </c>
      <c r="D1127">
        <v>42.38</v>
      </c>
      <c r="E1127">
        <v>0</v>
      </c>
      <c r="F1127">
        <v>3.18</v>
      </c>
      <c r="G1127">
        <v>1126</v>
      </c>
      <c r="H1127">
        <v>107</v>
      </c>
      <c r="I1127" t="s">
        <v>6289</v>
      </c>
      <c r="J1127">
        <v>84</v>
      </c>
    </row>
    <row r="1128" spans="1:10">
      <c r="A1128">
        <v>2408</v>
      </c>
      <c r="B1128" t="s">
        <v>5097</v>
      </c>
      <c r="C1128">
        <v>1.73</v>
      </c>
      <c r="D1128">
        <v>17.55</v>
      </c>
      <c r="E1128">
        <v>0.64</v>
      </c>
      <c r="F1128">
        <v>2.37</v>
      </c>
      <c r="G1128">
        <v>1127</v>
      </c>
      <c r="H1128">
        <v>315</v>
      </c>
      <c r="I1128">
        <v>270</v>
      </c>
      <c r="J1128">
        <v>111</v>
      </c>
    </row>
    <row r="1129" spans="1:10">
      <c r="A1129">
        <v>3010</v>
      </c>
      <c r="B1129" t="s">
        <v>5275</v>
      </c>
      <c r="C1129">
        <v>1.72</v>
      </c>
      <c r="D1129">
        <v>12.96</v>
      </c>
      <c r="E1129">
        <v>0</v>
      </c>
      <c r="F1129">
        <v>0.5</v>
      </c>
      <c r="G1129">
        <v>1128</v>
      </c>
      <c r="H1129">
        <v>404</v>
      </c>
      <c r="I1129" t="s">
        <v>6289</v>
      </c>
      <c r="J1129">
        <v>251</v>
      </c>
    </row>
    <row r="1130" spans="1:10">
      <c r="A1130">
        <v>8072</v>
      </c>
      <c r="B1130" t="s">
        <v>5975</v>
      </c>
      <c r="C1130">
        <v>1.69</v>
      </c>
      <c r="D1130">
        <v>1.18</v>
      </c>
      <c r="E1130">
        <v>0.03</v>
      </c>
      <c r="F1130">
        <v>0</v>
      </c>
      <c r="G1130">
        <v>1129</v>
      </c>
      <c r="H1130">
        <v>1173</v>
      </c>
      <c r="I1130">
        <v>978</v>
      </c>
      <c r="J1130" t="s">
        <v>6289</v>
      </c>
    </row>
    <row r="1131" spans="1:10">
      <c r="A1131">
        <v>2070</v>
      </c>
      <c r="B1131" t="s">
        <v>6329</v>
      </c>
      <c r="C1131">
        <v>1.68</v>
      </c>
      <c r="D1131">
        <v>0.77</v>
      </c>
      <c r="E1131">
        <v>0</v>
      </c>
      <c r="F1131">
        <v>0</v>
      </c>
      <c r="G1131">
        <v>1130</v>
      </c>
      <c r="H1131">
        <v>1251</v>
      </c>
      <c r="I1131" t="s">
        <v>6289</v>
      </c>
      <c r="J1131" t="s">
        <v>6289</v>
      </c>
    </row>
    <row r="1132" spans="1:10">
      <c r="A1132">
        <v>4111</v>
      </c>
      <c r="B1132" t="s">
        <v>6149</v>
      </c>
      <c r="C1132">
        <v>1.66</v>
      </c>
      <c r="D1132">
        <v>1.38</v>
      </c>
      <c r="E1132">
        <v>0</v>
      </c>
      <c r="F1132">
        <v>0</v>
      </c>
      <c r="G1132">
        <v>1131</v>
      </c>
      <c r="H1132">
        <v>1137</v>
      </c>
      <c r="I1132" t="s">
        <v>6289</v>
      </c>
      <c r="J1132" t="s">
        <v>6289</v>
      </c>
    </row>
    <row r="1133" spans="1:10">
      <c r="A1133">
        <v>5704</v>
      </c>
      <c r="B1133" t="s">
        <v>6258</v>
      </c>
      <c r="C1133">
        <v>1.63</v>
      </c>
      <c r="D1133">
        <v>0.04</v>
      </c>
      <c r="E1133">
        <v>0</v>
      </c>
      <c r="F1133">
        <v>0</v>
      </c>
      <c r="G1133">
        <v>1132</v>
      </c>
      <c r="H1133">
        <v>1462</v>
      </c>
      <c r="I1133" t="s">
        <v>6289</v>
      </c>
      <c r="J1133" t="s">
        <v>6289</v>
      </c>
    </row>
    <row r="1134" spans="1:10">
      <c r="A1134">
        <v>1451</v>
      </c>
      <c r="B1134" t="s">
        <v>4849</v>
      </c>
      <c r="C1134">
        <v>1.62</v>
      </c>
      <c r="D1134">
        <v>7.08</v>
      </c>
      <c r="E1134">
        <v>0.72</v>
      </c>
      <c r="F1134">
        <v>0</v>
      </c>
      <c r="G1134">
        <v>1133</v>
      </c>
      <c r="H1134">
        <v>632</v>
      </c>
      <c r="I1134">
        <v>243</v>
      </c>
      <c r="J1134" t="s">
        <v>6289</v>
      </c>
    </row>
    <row r="1135" spans="1:10">
      <c r="A1135">
        <v>3322</v>
      </c>
      <c r="B1135" t="s">
        <v>6188</v>
      </c>
      <c r="C1135">
        <v>1.62</v>
      </c>
      <c r="D1135">
        <v>0.68</v>
      </c>
      <c r="E1135">
        <v>0</v>
      </c>
      <c r="F1135">
        <v>0</v>
      </c>
      <c r="G1135">
        <v>1133</v>
      </c>
      <c r="H1135">
        <v>1276</v>
      </c>
      <c r="I1135" t="s">
        <v>6289</v>
      </c>
      <c r="J1135" t="s">
        <v>6289</v>
      </c>
    </row>
    <row r="1136" spans="1:10">
      <c r="A1136">
        <v>6239</v>
      </c>
      <c r="B1136" t="s">
        <v>5834</v>
      </c>
      <c r="C1136">
        <v>1.61</v>
      </c>
      <c r="D1136">
        <v>44.9</v>
      </c>
      <c r="E1136">
        <v>1.82</v>
      </c>
      <c r="F1136">
        <v>2.5299999999999998</v>
      </c>
      <c r="G1136">
        <v>1135</v>
      </c>
      <c r="H1136">
        <v>89</v>
      </c>
      <c r="I1136">
        <v>85</v>
      </c>
      <c r="J1136">
        <v>102</v>
      </c>
    </row>
    <row r="1137" spans="1:10">
      <c r="A1137">
        <v>6641</v>
      </c>
      <c r="B1137" t="s">
        <v>5928</v>
      </c>
      <c r="C1137">
        <v>1.61</v>
      </c>
      <c r="D1137">
        <v>30.83</v>
      </c>
      <c r="E1137">
        <v>0</v>
      </c>
      <c r="F1137">
        <v>0</v>
      </c>
      <c r="G1137">
        <v>1135</v>
      </c>
      <c r="H1137">
        <v>174</v>
      </c>
      <c r="I1137" t="s">
        <v>6289</v>
      </c>
      <c r="J1137" t="s">
        <v>6289</v>
      </c>
    </row>
    <row r="1138" spans="1:10">
      <c r="A1138">
        <v>4550</v>
      </c>
      <c r="B1138" t="s">
        <v>6331</v>
      </c>
      <c r="C1138">
        <v>1.6</v>
      </c>
      <c r="D1138">
        <v>1.02</v>
      </c>
      <c r="E1138">
        <v>0</v>
      </c>
      <c r="F1138">
        <v>0</v>
      </c>
      <c r="G1138">
        <v>1137</v>
      </c>
      <c r="H1138">
        <v>1202</v>
      </c>
      <c r="I1138" t="s">
        <v>6289</v>
      </c>
      <c r="J1138" t="s">
        <v>6289</v>
      </c>
    </row>
    <row r="1139" spans="1:10">
      <c r="A1139">
        <v>1540</v>
      </c>
      <c r="B1139" t="s">
        <v>4891</v>
      </c>
      <c r="C1139">
        <v>1.59</v>
      </c>
      <c r="D1139">
        <v>0.37</v>
      </c>
      <c r="E1139">
        <v>0.04</v>
      </c>
      <c r="F1139">
        <v>0</v>
      </c>
      <c r="G1139">
        <v>1138</v>
      </c>
      <c r="H1139">
        <v>1367</v>
      </c>
      <c r="I1139">
        <v>936</v>
      </c>
      <c r="J1139" t="s">
        <v>6289</v>
      </c>
    </row>
    <row r="1140" spans="1:10">
      <c r="A1140">
        <v>4580</v>
      </c>
      <c r="B1140" t="s">
        <v>5584</v>
      </c>
      <c r="C1140">
        <v>1.59</v>
      </c>
      <c r="D1140">
        <v>0.5</v>
      </c>
      <c r="E1140">
        <v>0.01</v>
      </c>
      <c r="F1140">
        <v>0</v>
      </c>
      <c r="G1140">
        <v>1138</v>
      </c>
      <c r="H1140">
        <v>1322</v>
      </c>
      <c r="I1140">
        <v>1110</v>
      </c>
      <c r="J1140" t="s">
        <v>6289</v>
      </c>
    </row>
    <row r="1141" spans="1:10">
      <c r="A1141">
        <v>9933</v>
      </c>
      <c r="B1141" t="s">
        <v>6090</v>
      </c>
      <c r="C1141">
        <v>1.59</v>
      </c>
      <c r="D1141">
        <v>21.81</v>
      </c>
      <c r="E1141">
        <v>0.63</v>
      </c>
      <c r="F1141">
        <v>0.38</v>
      </c>
      <c r="G1141">
        <v>1138</v>
      </c>
      <c r="H1141">
        <v>256</v>
      </c>
      <c r="I1141">
        <v>276</v>
      </c>
      <c r="J1141">
        <v>277</v>
      </c>
    </row>
    <row r="1142" spans="1:10">
      <c r="A1142">
        <v>5487</v>
      </c>
      <c r="B1142" t="s">
        <v>6332</v>
      </c>
      <c r="C1142">
        <v>1.58</v>
      </c>
      <c r="D1142">
        <v>0.14000000000000001</v>
      </c>
      <c r="E1142">
        <v>0</v>
      </c>
      <c r="F1142">
        <v>0</v>
      </c>
      <c r="G1142">
        <v>1141</v>
      </c>
      <c r="H1142">
        <v>1433</v>
      </c>
      <c r="I1142" t="s">
        <v>6289</v>
      </c>
      <c r="J1142" t="s">
        <v>6289</v>
      </c>
    </row>
    <row r="1143" spans="1:10">
      <c r="A1143">
        <v>1504</v>
      </c>
      <c r="B1143" t="s">
        <v>4868</v>
      </c>
      <c r="C1143">
        <v>1.57</v>
      </c>
      <c r="D1143">
        <v>20.92</v>
      </c>
      <c r="E1143">
        <v>0.2</v>
      </c>
      <c r="F1143">
        <v>0.32</v>
      </c>
      <c r="G1143">
        <v>1142</v>
      </c>
      <c r="H1143">
        <v>271</v>
      </c>
      <c r="I1143">
        <v>558</v>
      </c>
      <c r="J1143">
        <v>295</v>
      </c>
    </row>
    <row r="1144" spans="1:10">
      <c r="A1144">
        <v>4560</v>
      </c>
      <c r="B1144" t="s">
        <v>5577</v>
      </c>
      <c r="C1144">
        <v>1.57</v>
      </c>
      <c r="D1144">
        <v>82.92</v>
      </c>
      <c r="E1144">
        <v>0.1</v>
      </c>
      <c r="F1144">
        <v>0</v>
      </c>
      <c r="G1144">
        <v>1142</v>
      </c>
      <c r="H1144">
        <v>8</v>
      </c>
      <c r="I1144">
        <v>734</v>
      </c>
      <c r="J1144" t="s">
        <v>6289</v>
      </c>
    </row>
    <row r="1145" spans="1:10">
      <c r="A1145">
        <v>2059</v>
      </c>
      <c r="B1145" t="s">
        <v>5002</v>
      </c>
      <c r="C1145">
        <v>1.54</v>
      </c>
      <c r="D1145">
        <v>17.75</v>
      </c>
      <c r="E1145">
        <v>0.52</v>
      </c>
      <c r="F1145">
        <v>0.75</v>
      </c>
      <c r="G1145">
        <v>1144</v>
      </c>
      <c r="H1145">
        <v>311</v>
      </c>
      <c r="I1145">
        <v>312</v>
      </c>
      <c r="J1145">
        <v>222</v>
      </c>
    </row>
    <row r="1146" spans="1:10">
      <c r="A1146">
        <v>3005</v>
      </c>
      <c r="B1146" t="s">
        <v>5272</v>
      </c>
      <c r="C1146">
        <v>1.54</v>
      </c>
      <c r="D1146">
        <v>25.29</v>
      </c>
      <c r="E1146">
        <v>6.87</v>
      </c>
      <c r="F1146">
        <v>0.08</v>
      </c>
      <c r="G1146">
        <v>1144</v>
      </c>
      <c r="H1146">
        <v>219</v>
      </c>
      <c r="I1146">
        <v>9</v>
      </c>
      <c r="J1146">
        <v>401</v>
      </c>
    </row>
    <row r="1147" spans="1:10">
      <c r="A1147">
        <v>4549</v>
      </c>
      <c r="B1147" t="s">
        <v>5572</v>
      </c>
      <c r="C1147">
        <v>1.53</v>
      </c>
      <c r="D1147">
        <v>6.83</v>
      </c>
      <c r="E1147">
        <v>0.04</v>
      </c>
      <c r="F1147">
        <v>0.17</v>
      </c>
      <c r="G1147">
        <v>1146</v>
      </c>
      <c r="H1147">
        <v>643</v>
      </c>
      <c r="I1147">
        <v>936</v>
      </c>
      <c r="J1147">
        <v>340</v>
      </c>
    </row>
    <row r="1148" spans="1:10">
      <c r="A1148">
        <v>5434</v>
      </c>
      <c r="B1148" t="s">
        <v>5693</v>
      </c>
      <c r="C1148">
        <v>1.53</v>
      </c>
      <c r="D1148">
        <v>31.56</v>
      </c>
      <c r="E1148">
        <v>0.33</v>
      </c>
      <c r="F1148">
        <v>1.59</v>
      </c>
      <c r="G1148">
        <v>1146</v>
      </c>
      <c r="H1148">
        <v>166</v>
      </c>
      <c r="I1148">
        <v>435</v>
      </c>
      <c r="J1148">
        <v>152</v>
      </c>
    </row>
    <row r="1149" spans="1:10">
      <c r="A1149">
        <v>3679</v>
      </c>
      <c r="B1149" t="s">
        <v>5491</v>
      </c>
      <c r="C1149">
        <v>1.52</v>
      </c>
      <c r="D1149">
        <v>12.14</v>
      </c>
      <c r="E1149">
        <v>0.22</v>
      </c>
      <c r="F1149">
        <v>0</v>
      </c>
      <c r="G1149">
        <v>1148</v>
      </c>
      <c r="H1149">
        <v>424</v>
      </c>
      <c r="I1149">
        <v>537</v>
      </c>
      <c r="J1149" t="s">
        <v>6289</v>
      </c>
    </row>
    <row r="1150" spans="1:10">
      <c r="A1150">
        <v>6670</v>
      </c>
      <c r="B1150" t="s">
        <v>5938</v>
      </c>
      <c r="C1150">
        <v>1.52</v>
      </c>
      <c r="D1150">
        <v>21.94</v>
      </c>
      <c r="E1150">
        <v>0.23</v>
      </c>
      <c r="F1150">
        <v>0.49</v>
      </c>
      <c r="G1150">
        <v>1148</v>
      </c>
      <c r="H1150">
        <v>254</v>
      </c>
      <c r="I1150">
        <v>526</v>
      </c>
      <c r="J1150">
        <v>253</v>
      </c>
    </row>
    <row r="1151" spans="1:10">
      <c r="A1151">
        <v>6741</v>
      </c>
      <c r="B1151" t="s">
        <v>5947</v>
      </c>
      <c r="C1151">
        <v>1.52</v>
      </c>
      <c r="D1151">
        <v>76.2</v>
      </c>
      <c r="E1151">
        <v>0.02</v>
      </c>
      <c r="F1151">
        <v>0.01</v>
      </c>
      <c r="G1151">
        <v>1148</v>
      </c>
      <c r="H1151">
        <v>14</v>
      </c>
      <c r="I1151">
        <v>1051</v>
      </c>
      <c r="J1151">
        <v>491</v>
      </c>
    </row>
    <row r="1152" spans="1:10">
      <c r="A1152">
        <v>2706</v>
      </c>
      <c r="B1152" t="s">
        <v>5211</v>
      </c>
      <c r="C1152">
        <v>1.51</v>
      </c>
      <c r="D1152">
        <v>2.4900000000000002</v>
      </c>
      <c r="E1152">
        <v>0</v>
      </c>
      <c r="F1152">
        <v>0</v>
      </c>
      <c r="G1152">
        <v>1151</v>
      </c>
      <c r="H1152">
        <v>974</v>
      </c>
      <c r="I1152" t="s">
        <v>6289</v>
      </c>
      <c r="J1152" t="s">
        <v>6289</v>
      </c>
    </row>
    <row r="1153" spans="1:10">
      <c r="A1153">
        <v>2836</v>
      </c>
      <c r="B1153" t="s">
        <v>5230</v>
      </c>
      <c r="C1153">
        <v>1.51</v>
      </c>
      <c r="D1153">
        <v>7.33</v>
      </c>
      <c r="E1153">
        <v>0</v>
      </c>
      <c r="F1153">
        <v>0.04</v>
      </c>
      <c r="G1153">
        <v>1151</v>
      </c>
      <c r="H1153">
        <v>613</v>
      </c>
      <c r="I1153" t="s">
        <v>6289</v>
      </c>
      <c r="J1153">
        <v>437</v>
      </c>
    </row>
    <row r="1154" spans="1:10">
      <c r="A1154">
        <v>6613</v>
      </c>
      <c r="B1154" t="s">
        <v>5926</v>
      </c>
      <c r="C1154">
        <v>1.51</v>
      </c>
      <c r="D1154">
        <v>1.99</v>
      </c>
      <c r="E1154">
        <v>0.28999999999999998</v>
      </c>
      <c r="F1154">
        <v>0.06</v>
      </c>
      <c r="G1154">
        <v>1151</v>
      </c>
      <c r="H1154">
        <v>1030</v>
      </c>
      <c r="I1154">
        <v>474</v>
      </c>
      <c r="J1154">
        <v>416</v>
      </c>
    </row>
    <row r="1155" spans="1:10">
      <c r="A1155">
        <v>5515</v>
      </c>
      <c r="B1155" t="s">
        <v>5711</v>
      </c>
      <c r="C1155">
        <v>1.5</v>
      </c>
      <c r="D1155">
        <v>5.86</v>
      </c>
      <c r="E1155">
        <v>0.03</v>
      </c>
      <c r="F1155">
        <v>0</v>
      </c>
      <c r="G1155">
        <v>1154</v>
      </c>
      <c r="H1155">
        <v>710</v>
      </c>
      <c r="I1155">
        <v>978</v>
      </c>
      <c r="J1155" t="s">
        <v>6289</v>
      </c>
    </row>
    <row r="1156" spans="1:10">
      <c r="A1156">
        <v>1439</v>
      </c>
      <c r="B1156" t="s">
        <v>4842</v>
      </c>
      <c r="C1156">
        <v>1.49</v>
      </c>
      <c r="D1156">
        <v>0.36</v>
      </c>
      <c r="E1156">
        <v>7.0000000000000007E-2</v>
      </c>
      <c r="F1156">
        <v>0</v>
      </c>
      <c r="G1156">
        <v>1155</v>
      </c>
      <c r="H1156">
        <v>1369</v>
      </c>
      <c r="I1156">
        <v>824</v>
      </c>
      <c r="J1156" t="s">
        <v>6289</v>
      </c>
    </row>
    <row r="1157" spans="1:10">
      <c r="A1157">
        <v>4563</v>
      </c>
      <c r="B1157" t="s">
        <v>6190</v>
      </c>
      <c r="C1157">
        <v>1.49</v>
      </c>
      <c r="D1157">
        <v>0</v>
      </c>
      <c r="E1157">
        <v>0</v>
      </c>
      <c r="F1157">
        <v>0</v>
      </c>
      <c r="G1157">
        <v>1155</v>
      </c>
      <c r="H1157" t="s">
        <v>6289</v>
      </c>
      <c r="I1157" t="s">
        <v>6289</v>
      </c>
      <c r="J1157" t="s">
        <v>6289</v>
      </c>
    </row>
    <row r="1158" spans="1:10">
      <c r="A1158">
        <v>1410</v>
      </c>
      <c r="B1158" t="s">
        <v>4832</v>
      </c>
      <c r="C1158">
        <v>1.48</v>
      </c>
      <c r="D1158">
        <v>21.19</v>
      </c>
      <c r="E1158">
        <v>0.03</v>
      </c>
      <c r="F1158">
        <v>0</v>
      </c>
      <c r="G1158">
        <v>1157</v>
      </c>
      <c r="H1158">
        <v>267</v>
      </c>
      <c r="I1158">
        <v>978</v>
      </c>
      <c r="J1158" t="s">
        <v>6289</v>
      </c>
    </row>
    <row r="1159" spans="1:10">
      <c r="A1159">
        <v>4137</v>
      </c>
      <c r="B1159" t="s">
        <v>5528</v>
      </c>
      <c r="C1159">
        <v>1.48</v>
      </c>
      <c r="D1159">
        <v>66.34</v>
      </c>
      <c r="E1159">
        <v>0.72</v>
      </c>
      <c r="F1159">
        <v>0.01</v>
      </c>
      <c r="G1159">
        <v>1157</v>
      </c>
      <c r="H1159">
        <v>31</v>
      </c>
      <c r="I1159">
        <v>243</v>
      </c>
      <c r="J1159">
        <v>491</v>
      </c>
    </row>
    <row r="1160" spans="1:10">
      <c r="A1160">
        <v>2480</v>
      </c>
      <c r="B1160" t="s">
        <v>5143</v>
      </c>
      <c r="C1160">
        <v>1.47</v>
      </c>
      <c r="D1160">
        <v>8.57</v>
      </c>
      <c r="E1160">
        <v>0.88</v>
      </c>
      <c r="F1160">
        <v>0.34</v>
      </c>
      <c r="G1160">
        <v>1159</v>
      </c>
      <c r="H1160">
        <v>565</v>
      </c>
      <c r="I1160">
        <v>194</v>
      </c>
      <c r="J1160">
        <v>289</v>
      </c>
    </row>
    <row r="1161" spans="1:10">
      <c r="A1161">
        <v>2539</v>
      </c>
      <c r="B1161" t="s">
        <v>5177</v>
      </c>
      <c r="C1161">
        <v>1.47</v>
      </c>
      <c r="D1161">
        <v>0.49</v>
      </c>
      <c r="E1161">
        <v>0.01</v>
      </c>
      <c r="F1161">
        <v>0</v>
      </c>
      <c r="G1161">
        <v>1159</v>
      </c>
      <c r="H1161">
        <v>1326</v>
      </c>
      <c r="I1161">
        <v>1110</v>
      </c>
      <c r="J1161" t="s">
        <v>6289</v>
      </c>
    </row>
    <row r="1162" spans="1:10">
      <c r="A1162">
        <v>2008</v>
      </c>
      <c r="B1162" t="s">
        <v>4980</v>
      </c>
      <c r="C1162">
        <v>1.46</v>
      </c>
      <c r="D1162">
        <v>7.41</v>
      </c>
      <c r="E1162">
        <v>0.14000000000000001</v>
      </c>
      <c r="F1162">
        <v>0</v>
      </c>
      <c r="G1162">
        <v>1161</v>
      </c>
      <c r="H1162">
        <v>608</v>
      </c>
      <c r="I1162">
        <v>653</v>
      </c>
      <c r="J1162" t="s">
        <v>6289</v>
      </c>
    </row>
    <row r="1163" spans="1:10">
      <c r="A1163">
        <v>6570</v>
      </c>
      <c r="B1163" t="s">
        <v>5913</v>
      </c>
      <c r="C1163">
        <v>1.45</v>
      </c>
      <c r="D1163">
        <v>0.71</v>
      </c>
      <c r="E1163">
        <v>0</v>
      </c>
      <c r="F1163">
        <v>0</v>
      </c>
      <c r="G1163">
        <v>1162</v>
      </c>
      <c r="H1163">
        <v>1266</v>
      </c>
      <c r="I1163" t="s">
        <v>6289</v>
      </c>
      <c r="J1163" t="s">
        <v>6289</v>
      </c>
    </row>
    <row r="1164" spans="1:10">
      <c r="A1164">
        <v>8942</v>
      </c>
      <c r="B1164" t="s">
        <v>6068</v>
      </c>
      <c r="C1164">
        <v>1.45</v>
      </c>
      <c r="D1164">
        <v>23.6</v>
      </c>
      <c r="E1164">
        <v>0.11</v>
      </c>
      <c r="F1164">
        <v>0.1</v>
      </c>
      <c r="G1164">
        <v>1162</v>
      </c>
      <c r="H1164">
        <v>230</v>
      </c>
      <c r="I1164">
        <v>708</v>
      </c>
      <c r="J1164">
        <v>383</v>
      </c>
    </row>
    <row r="1165" spans="1:10">
      <c r="A1165">
        <v>5274</v>
      </c>
      <c r="B1165" t="s">
        <v>5667</v>
      </c>
      <c r="C1165">
        <v>1.44</v>
      </c>
      <c r="D1165">
        <v>60.28</v>
      </c>
      <c r="E1165">
        <v>0.19</v>
      </c>
      <c r="F1165">
        <v>7.65</v>
      </c>
      <c r="G1165">
        <v>1164</v>
      </c>
      <c r="H1165">
        <v>47</v>
      </c>
      <c r="I1165">
        <v>571</v>
      </c>
      <c r="J1165">
        <v>26</v>
      </c>
    </row>
    <row r="1166" spans="1:10">
      <c r="A1166">
        <v>8443</v>
      </c>
      <c r="B1166" t="s">
        <v>6038</v>
      </c>
      <c r="C1166">
        <v>1.44</v>
      </c>
      <c r="D1166">
        <v>6.57</v>
      </c>
      <c r="E1166">
        <v>0.05</v>
      </c>
      <c r="F1166">
        <v>0</v>
      </c>
      <c r="G1166">
        <v>1164</v>
      </c>
      <c r="H1166">
        <v>666</v>
      </c>
      <c r="I1166">
        <v>896</v>
      </c>
      <c r="J1166" t="s">
        <v>6289</v>
      </c>
    </row>
    <row r="1167" spans="1:10">
      <c r="A1167">
        <v>2236</v>
      </c>
      <c r="B1167" t="s">
        <v>5028</v>
      </c>
      <c r="C1167">
        <v>1.43</v>
      </c>
      <c r="D1167">
        <v>33.68</v>
      </c>
      <c r="E1167">
        <v>0.04</v>
      </c>
      <c r="F1167">
        <v>0.12</v>
      </c>
      <c r="G1167">
        <v>1166</v>
      </c>
      <c r="H1167">
        <v>150</v>
      </c>
      <c r="I1167">
        <v>936</v>
      </c>
      <c r="J1167">
        <v>362</v>
      </c>
    </row>
    <row r="1168" spans="1:10">
      <c r="A1168">
        <v>5016</v>
      </c>
      <c r="B1168" t="s">
        <v>6155</v>
      </c>
      <c r="C1168">
        <v>1.43</v>
      </c>
      <c r="D1168">
        <v>0.56999999999999995</v>
      </c>
      <c r="E1168">
        <v>0</v>
      </c>
      <c r="F1168">
        <v>0</v>
      </c>
      <c r="G1168">
        <v>1166</v>
      </c>
      <c r="H1168">
        <v>1302</v>
      </c>
      <c r="I1168" t="s">
        <v>6289</v>
      </c>
      <c r="J1168" t="s">
        <v>6289</v>
      </c>
    </row>
    <row r="1169" spans="1:10">
      <c r="A1169">
        <v>2705</v>
      </c>
      <c r="B1169" t="s">
        <v>5210</v>
      </c>
      <c r="C1169">
        <v>1.42</v>
      </c>
      <c r="D1169">
        <v>1.61</v>
      </c>
      <c r="E1169">
        <v>0.02</v>
      </c>
      <c r="F1169">
        <v>0</v>
      </c>
      <c r="G1169">
        <v>1168</v>
      </c>
      <c r="H1169">
        <v>1090</v>
      </c>
      <c r="I1169">
        <v>1051</v>
      </c>
      <c r="J1169" t="s">
        <v>6289</v>
      </c>
    </row>
    <row r="1170" spans="1:10">
      <c r="A1170">
        <v>1459</v>
      </c>
      <c r="B1170" t="s">
        <v>4856</v>
      </c>
      <c r="C1170">
        <v>1.41</v>
      </c>
      <c r="D1170">
        <v>1.69</v>
      </c>
      <c r="E1170">
        <v>0.01</v>
      </c>
      <c r="F1170">
        <v>0</v>
      </c>
      <c r="G1170">
        <v>1169</v>
      </c>
      <c r="H1170">
        <v>1079</v>
      </c>
      <c r="I1170">
        <v>1110</v>
      </c>
      <c r="J1170" t="s">
        <v>6289</v>
      </c>
    </row>
    <row r="1171" spans="1:10">
      <c r="A1171">
        <v>6128</v>
      </c>
      <c r="B1171" t="s">
        <v>5761</v>
      </c>
      <c r="C1171">
        <v>1.41</v>
      </c>
      <c r="D1171">
        <v>3.09</v>
      </c>
      <c r="E1171">
        <v>0.05</v>
      </c>
      <c r="F1171">
        <v>0</v>
      </c>
      <c r="G1171">
        <v>1169</v>
      </c>
      <c r="H1171">
        <v>912</v>
      </c>
      <c r="I1171">
        <v>896</v>
      </c>
      <c r="J1171" t="s">
        <v>6289</v>
      </c>
    </row>
    <row r="1172" spans="1:10">
      <c r="A1172">
        <v>2441</v>
      </c>
      <c r="B1172" t="s">
        <v>5118</v>
      </c>
      <c r="C1172">
        <v>1.39</v>
      </c>
      <c r="D1172">
        <v>14.43</v>
      </c>
      <c r="E1172">
        <v>2.8</v>
      </c>
      <c r="F1172">
        <v>5.16</v>
      </c>
      <c r="G1172">
        <v>1171</v>
      </c>
      <c r="H1172">
        <v>369</v>
      </c>
      <c r="I1172">
        <v>51</v>
      </c>
      <c r="J1172">
        <v>57</v>
      </c>
    </row>
    <row r="1173" spans="1:10">
      <c r="A1173">
        <v>2317</v>
      </c>
      <c r="B1173" t="s">
        <v>5042</v>
      </c>
      <c r="C1173">
        <v>1.38</v>
      </c>
      <c r="D1173">
        <v>44.34</v>
      </c>
      <c r="E1173">
        <v>0.46</v>
      </c>
      <c r="F1173">
        <v>1.36</v>
      </c>
      <c r="G1173">
        <v>1172</v>
      </c>
      <c r="H1173">
        <v>93</v>
      </c>
      <c r="I1173">
        <v>337</v>
      </c>
      <c r="J1173">
        <v>163</v>
      </c>
    </row>
    <row r="1174" spans="1:10">
      <c r="A1174">
        <v>2748</v>
      </c>
      <c r="B1174" t="s">
        <v>5222</v>
      </c>
      <c r="C1174">
        <v>1.38</v>
      </c>
      <c r="D1174">
        <v>0.39</v>
      </c>
      <c r="E1174">
        <v>0.01</v>
      </c>
      <c r="F1174">
        <v>0</v>
      </c>
      <c r="G1174">
        <v>1172</v>
      </c>
      <c r="H1174">
        <v>1363</v>
      </c>
      <c r="I1174">
        <v>1110</v>
      </c>
      <c r="J1174" t="s">
        <v>6289</v>
      </c>
    </row>
    <row r="1175" spans="1:10">
      <c r="A1175">
        <v>4552</v>
      </c>
      <c r="B1175" t="s">
        <v>5574</v>
      </c>
      <c r="C1175">
        <v>1.38</v>
      </c>
      <c r="D1175">
        <v>50.73</v>
      </c>
      <c r="E1175">
        <v>0.04</v>
      </c>
      <c r="F1175">
        <v>0</v>
      </c>
      <c r="G1175">
        <v>1172</v>
      </c>
      <c r="H1175">
        <v>76</v>
      </c>
      <c r="I1175">
        <v>936</v>
      </c>
      <c r="J1175" t="s">
        <v>6289</v>
      </c>
    </row>
    <row r="1176" spans="1:10">
      <c r="A1176">
        <v>8418</v>
      </c>
      <c r="B1176" t="s">
        <v>6167</v>
      </c>
      <c r="C1176">
        <v>1.38</v>
      </c>
      <c r="D1176">
        <v>89.78</v>
      </c>
      <c r="E1176">
        <v>0</v>
      </c>
      <c r="F1176">
        <v>0</v>
      </c>
      <c r="G1176">
        <v>1172</v>
      </c>
      <c r="H1176">
        <v>4</v>
      </c>
      <c r="I1176" t="s">
        <v>6289</v>
      </c>
      <c r="J1176" t="s">
        <v>6289</v>
      </c>
    </row>
    <row r="1177" spans="1:10">
      <c r="A1177">
        <v>8929</v>
      </c>
      <c r="B1177" t="s">
        <v>6064</v>
      </c>
      <c r="C1177">
        <v>1.38</v>
      </c>
      <c r="D1177">
        <v>0.19</v>
      </c>
      <c r="E1177">
        <v>0</v>
      </c>
      <c r="F1177">
        <v>0</v>
      </c>
      <c r="G1177">
        <v>1172</v>
      </c>
      <c r="H1177">
        <v>1412</v>
      </c>
      <c r="I1177" t="s">
        <v>6289</v>
      </c>
      <c r="J1177" t="s">
        <v>6289</v>
      </c>
    </row>
    <row r="1178" spans="1:10">
      <c r="A1178">
        <v>3051</v>
      </c>
      <c r="B1178" t="s">
        <v>6186</v>
      </c>
      <c r="C1178">
        <v>1.37</v>
      </c>
      <c r="D1178">
        <v>0.64</v>
      </c>
      <c r="E1178">
        <v>0.09</v>
      </c>
      <c r="F1178">
        <v>0</v>
      </c>
      <c r="G1178">
        <v>1177</v>
      </c>
      <c r="H1178">
        <v>1286</v>
      </c>
      <c r="I1178">
        <v>762</v>
      </c>
      <c r="J1178" t="s">
        <v>6289</v>
      </c>
    </row>
    <row r="1179" spans="1:10">
      <c r="A1179">
        <v>5284</v>
      </c>
      <c r="B1179" t="s">
        <v>5669</v>
      </c>
      <c r="C1179">
        <v>1.37</v>
      </c>
      <c r="D1179">
        <v>61.16</v>
      </c>
      <c r="E1179">
        <v>0.02</v>
      </c>
      <c r="F1179">
        <v>0.17</v>
      </c>
      <c r="G1179">
        <v>1177</v>
      </c>
      <c r="H1179">
        <v>46</v>
      </c>
      <c r="I1179">
        <v>1051</v>
      </c>
      <c r="J1179">
        <v>340</v>
      </c>
    </row>
    <row r="1180" spans="1:10">
      <c r="A1180">
        <v>4120</v>
      </c>
      <c r="B1180" t="s">
        <v>5520</v>
      </c>
      <c r="C1180">
        <v>1.36</v>
      </c>
      <c r="D1180">
        <v>6.42</v>
      </c>
      <c r="E1180">
        <v>7.0000000000000007E-2</v>
      </c>
      <c r="F1180">
        <v>0</v>
      </c>
      <c r="G1180">
        <v>1179</v>
      </c>
      <c r="H1180">
        <v>679</v>
      </c>
      <c r="I1180">
        <v>824</v>
      </c>
      <c r="J1180" t="s">
        <v>6289</v>
      </c>
    </row>
    <row r="1181" spans="1:10">
      <c r="A1181">
        <v>5213</v>
      </c>
      <c r="B1181" t="s">
        <v>5653</v>
      </c>
      <c r="C1181">
        <v>1.36</v>
      </c>
      <c r="D1181">
        <v>1.26</v>
      </c>
      <c r="E1181">
        <v>0</v>
      </c>
      <c r="F1181">
        <v>0</v>
      </c>
      <c r="G1181">
        <v>1179</v>
      </c>
      <c r="H1181">
        <v>1158</v>
      </c>
      <c r="I1181" t="s">
        <v>6289</v>
      </c>
      <c r="J1181" t="s">
        <v>6289</v>
      </c>
    </row>
    <row r="1182" spans="1:10">
      <c r="A1182">
        <v>5347</v>
      </c>
      <c r="B1182" t="s">
        <v>5680</v>
      </c>
      <c r="C1182">
        <v>1.35</v>
      </c>
      <c r="D1182">
        <v>31.08</v>
      </c>
      <c r="E1182">
        <v>0.36</v>
      </c>
      <c r="F1182">
        <v>1.74</v>
      </c>
      <c r="G1182">
        <v>1181</v>
      </c>
      <c r="H1182">
        <v>171</v>
      </c>
      <c r="I1182">
        <v>406</v>
      </c>
      <c r="J1182">
        <v>145</v>
      </c>
    </row>
    <row r="1183" spans="1:10">
      <c r="A1183">
        <v>6666</v>
      </c>
      <c r="B1183" t="s">
        <v>5934</v>
      </c>
      <c r="C1183">
        <v>1.35</v>
      </c>
      <c r="D1183">
        <v>79.47</v>
      </c>
      <c r="E1183">
        <v>0.03</v>
      </c>
      <c r="F1183">
        <v>0</v>
      </c>
      <c r="G1183">
        <v>1181</v>
      </c>
      <c r="H1183">
        <v>10</v>
      </c>
      <c r="I1183">
        <v>978</v>
      </c>
      <c r="J1183" t="s">
        <v>6289</v>
      </c>
    </row>
    <row r="1184" spans="1:10">
      <c r="A1184">
        <v>1904</v>
      </c>
      <c r="B1184" t="s">
        <v>4972</v>
      </c>
      <c r="C1184">
        <v>1.34</v>
      </c>
      <c r="D1184">
        <v>7.81</v>
      </c>
      <c r="E1184">
        <v>7.0000000000000007E-2</v>
      </c>
      <c r="F1184">
        <v>0.4</v>
      </c>
      <c r="G1184">
        <v>1183</v>
      </c>
      <c r="H1184">
        <v>590</v>
      </c>
      <c r="I1184">
        <v>824</v>
      </c>
      <c r="J1184">
        <v>274</v>
      </c>
    </row>
    <row r="1185" spans="1:10">
      <c r="A1185">
        <v>6129</v>
      </c>
      <c r="B1185" t="s">
        <v>6196</v>
      </c>
      <c r="C1185">
        <v>1.34</v>
      </c>
      <c r="D1185">
        <v>0.57999999999999996</v>
      </c>
      <c r="E1185">
        <v>0.31</v>
      </c>
      <c r="F1185">
        <v>0</v>
      </c>
      <c r="G1185">
        <v>1183</v>
      </c>
      <c r="H1185">
        <v>1300</v>
      </c>
      <c r="I1185">
        <v>459</v>
      </c>
      <c r="J1185" t="s">
        <v>6289</v>
      </c>
    </row>
    <row r="1186" spans="1:10">
      <c r="A1186">
        <v>2066</v>
      </c>
      <c r="B1186" t="s">
        <v>6202</v>
      </c>
      <c r="C1186">
        <v>1.33</v>
      </c>
      <c r="D1186">
        <v>10.3</v>
      </c>
      <c r="E1186">
        <v>0.11</v>
      </c>
      <c r="F1186">
        <v>0</v>
      </c>
      <c r="G1186">
        <v>1185</v>
      </c>
      <c r="H1186">
        <v>489</v>
      </c>
      <c r="I1186">
        <v>708</v>
      </c>
      <c r="J1186" t="s">
        <v>6289</v>
      </c>
    </row>
    <row r="1187" spans="1:10">
      <c r="A1187">
        <v>2704</v>
      </c>
      <c r="B1187" t="s">
        <v>5209</v>
      </c>
      <c r="C1187">
        <v>1.33</v>
      </c>
      <c r="D1187">
        <v>10.27</v>
      </c>
      <c r="E1187">
        <v>0.22</v>
      </c>
      <c r="F1187">
        <v>0.05</v>
      </c>
      <c r="G1187">
        <v>1185</v>
      </c>
      <c r="H1187">
        <v>490</v>
      </c>
      <c r="I1187">
        <v>537</v>
      </c>
      <c r="J1187">
        <v>428</v>
      </c>
    </row>
    <row r="1188" spans="1:10">
      <c r="A1188">
        <v>8454</v>
      </c>
      <c r="B1188" t="s">
        <v>6042</v>
      </c>
      <c r="C1188">
        <v>1.33</v>
      </c>
      <c r="D1188">
        <v>27.93</v>
      </c>
      <c r="E1188">
        <v>0.09</v>
      </c>
      <c r="F1188">
        <v>0.27</v>
      </c>
      <c r="G1188">
        <v>1185</v>
      </c>
      <c r="H1188">
        <v>198</v>
      </c>
      <c r="I1188">
        <v>762</v>
      </c>
      <c r="J1188">
        <v>309</v>
      </c>
    </row>
    <row r="1189" spans="1:10">
      <c r="A1189">
        <v>6117</v>
      </c>
      <c r="B1189" t="s">
        <v>5752</v>
      </c>
      <c r="C1189">
        <v>1.31</v>
      </c>
      <c r="D1189">
        <v>2.92</v>
      </c>
      <c r="E1189">
        <v>0.02</v>
      </c>
      <c r="F1189">
        <v>0</v>
      </c>
      <c r="G1189">
        <v>1188</v>
      </c>
      <c r="H1189">
        <v>928</v>
      </c>
      <c r="I1189">
        <v>1051</v>
      </c>
      <c r="J1189" t="s">
        <v>6289</v>
      </c>
    </row>
    <row r="1190" spans="1:10">
      <c r="A1190">
        <v>2916</v>
      </c>
      <c r="B1190" t="s">
        <v>5264</v>
      </c>
      <c r="C1190">
        <v>1.3</v>
      </c>
      <c r="D1190">
        <v>21.55</v>
      </c>
      <c r="E1190">
        <v>0.01</v>
      </c>
      <c r="F1190">
        <v>0</v>
      </c>
      <c r="G1190">
        <v>1189</v>
      </c>
      <c r="H1190">
        <v>261</v>
      </c>
      <c r="I1190">
        <v>1110</v>
      </c>
      <c r="J1190" t="s">
        <v>6289</v>
      </c>
    </row>
    <row r="1191" spans="1:10">
      <c r="A1191">
        <v>3231</v>
      </c>
      <c r="B1191" t="s">
        <v>5355</v>
      </c>
      <c r="C1191">
        <v>1.27</v>
      </c>
      <c r="D1191">
        <v>29.69</v>
      </c>
      <c r="E1191">
        <v>5.04</v>
      </c>
      <c r="F1191">
        <v>5.76</v>
      </c>
      <c r="G1191">
        <v>1190</v>
      </c>
      <c r="H1191">
        <v>184</v>
      </c>
      <c r="I1191">
        <v>24</v>
      </c>
      <c r="J1191">
        <v>39</v>
      </c>
    </row>
    <row r="1192" spans="1:10">
      <c r="A1192">
        <v>3266</v>
      </c>
      <c r="B1192" t="s">
        <v>5364</v>
      </c>
      <c r="C1192">
        <v>1.26</v>
      </c>
      <c r="D1192">
        <v>7.1</v>
      </c>
      <c r="E1192">
        <v>0.01</v>
      </c>
      <c r="F1192">
        <v>0</v>
      </c>
      <c r="G1192">
        <v>1191</v>
      </c>
      <c r="H1192">
        <v>631</v>
      </c>
      <c r="I1192">
        <v>1110</v>
      </c>
      <c r="J1192" t="s">
        <v>6289</v>
      </c>
    </row>
    <row r="1193" spans="1:10">
      <c r="A1193">
        <v>3709</v>
      </c>
      <c r="B1193" t="s">
        <v>6148</v>
      </c>
      <c r="C1193">
        <v>1.26</v>
      </c>
      <c r="D1193">
        <v>2.4300000000000002</v>
      </c>
      <c r="E1193">
        <v>0</v>
      </c>
      <c r="F1193">
        <v>0</v>
      </c>
      <c r="G1193">
        <v>1191</v>
      </c>
      <c r="H1193">
        <v>981</v>
      </c>
      <c r="I1193" t="s">
        <v>6289</v>
      </c>
      <c r="J1193" t="s">
        <v>6289</v>
      </c>
    </row>
    <row r="1194" spans="1:10">
      <c r="A1194">
        <v>3213</v>
      </c>
      <c r="B1194" t="s">
        <v>5347</v>
      </c>
      <c r="C1194">
        <v>1.25</v>
      </c>
      <c r="D1194">
        <v>5.89</v>
      </c>
      <c r="E1194">
        <v>1.3</v>
      </c>
      <c r="F1194">
        <v>0</v>
      </c>
      <c r="G1194">
        <v>1193</v>
      </c>
      <c r="H1194">
        <v>707</v>
      </c>
      <c r="I1194">
        <v>131</v>
      </c>
      <c r="J1194" t="s">
        <v>6289</v>
      </c>
    </row>
    <row r="1195" spans="1:10">
      <c r="A1195">
        <v>6754</v>
      </c>
      <c r="B1195" t="s">
        <v>5949</v>
      </c>
      <c r="C1195">
        <v>1.25</v>
      </c>
      <c r="D1195">
        <v>21.71</v>
      </c>
      <c r="E1195">
        <v>0</v>
      </c>
      <c r="F1195">
        <v>0</v>
      </c>
      <c r="G1195">
        <v>1193</v>
      </c>
      <c r="H1195">
        <v>258</v>
      </c>
      <c r="I1195" t="s">
        <v>6289</v>
      </c>
      <c r="J1195" t="s">
        <v>6289</v>
      </c>
    </row>
    <row r="1196" spans="1:10">
      <c r="A1196">
        <v>9904</v>
      </c>
      <c r="B1196" t="s">
        <v>6072</v>
      </c>
      <c r="C1196">
        <v>1.25</v>
      </c>
      <c r="D1196">
        <v>51.4</v>
      </c>
      <c r="E1196">
        <v>0.74</v>
      </c>
      <c r="F1196">
        <v>0.87</v>
      </c>
      <c r="G1196">
        <v>1193</v>
      </c>
      <c r="H1196">
        <v>73</v>
      </c>
      <c r="I1196">
        <v>233</v>
      </c>
      <c r="J1196">
        <v>201</v>
      </c>
    </row>
    <row r="1197" spans="1:10">
      <c r="A1197">
        <v>2065</v>
      </c>
      <c r="B1197" t="s">
        <v>5004</v>
      </c>
      <c r="C1197">
        <v>1.24</v>
      </c>
      <c r="D1197">
        <v>1.67</v>
      </c>
      <c r="E1197">
        <v>0</v>
      </c>
      <c r="F1197">
        <v>0</v>
      </c>
      <c r="G1197">
        <v>1196</v>
      </c>
      <c r="H1197">
        <v>1082</v>
      </c>
      <c r="I1197" t="s">
        <v>6289</v>
      </c>
      <c r="J1197" t="s">
        <v>6289</v>
      </c>
    </row>
    <row r="1198" spans="1:10">
      <c r="A1198">
        <v>2540</v>
      </c>
      <c r="B1198" t="s">
        <v>5178</v>
      </c>
      <c r="C1198">
        <v>1.24</v>
      </c>
      <c r="D1198">
        <v>0.28999999999999998</v>
      </c>
      <c r="E1198">
        <v>7.0000000000000007E-2</v>
      </c>
      <c r="F1198">
        <v>0</v>
      </c>
      <c r="G1198">
        <v>1196</v>
      </c>
      <c r="H1198">
        <v>1387</v>
      </c>
      <c r="I1198">
        <v>824</v>
      </c>
      <c r="J1198" t="s">
        <v>6289</v>
      </c>
    </row>
    <row r="1199" spans="1:10">
      <c r="A1199">
        <v>1617</v>
      </c>
      <c r="B1199" t="s">
        <v>4922</v>
      </c>
      <c r="C1199">
        <v>1.2</v>
      </c>
      <c r="D1199">
        <v>21.36</v>
      </c>
      <c r="E1199">
        <v>7.0000000000000007E-2</v>
      </c>
      <c r="F1199">
        <v>0</v>
      </c>
      <c r="G1199">
        <v>1198</v>
      </c>
      <c r="H1199">
        <v>266</v>
      </c>
      <c r="I1199">
        <v>824</v>
      </c>
      <c r="J1199" t="s">
        <v>6289</v>
      </c>
    </row>
    <row r="1200" spans="1:10">
      <c r="A1200">
        <v>1702</v>
      </c>
      <c r="B1200" t="s">
        <v>4926</v>
      </c>
      <c r="C1200">
        <v>1.2</v>
      </c>
      <c r="D1200">
        <v>14.53</v>
      </c>
      <c r="E1200">
        <v>0.05</v>
      </c>
      <c r="F1200">
        <v>0.01</v>
      </c>
      <c r="G1200">
        <v>1198</v>
      </c>
      <c r="H1200">
        <v>366</v>
      </c>
      <c r="I1200">
        <v>896</v>
      </c>
      <c r="J1200">
        <v>491</v>
      </c>
    </row>
    <row r="1201" spans="1:10">
      <c r="A1201">
        <v>6712</v>
      </c>
      <c r="B1201" t="s">
        <v>6429</v>
      </c>
      <c r="C1201">
        <v>1.2</v>
      </c>
      <c r="D1201">
        <v>2.15</v>
      </c>
      <c r="E1201">
        <v>0.86</v>
      </c>
      <c r="F1201">
        <v>0.81</v>
      </c>
      <c r="G1201">
        <v>1198</v>
      </c>
      <c r="H1201">
        <v>1006</v>
      </c>
      <c r="I1201">
        <v>200</v>
      </c>
      <c r="J1201">
        <v>211</v>
      </c>
    </row>
    <row r="1202" spans="1:10">
      <c r="A1202">
        <v>2357</v>
      </c>
      <c r="B1202" t="s">
        <v>5065</v>
      </c>
      <c r="C1202">
        <v>1.19</v>
      </c>
      <c r="D1202">
        <v>47.92</v>
      </c>
      <c r="E1202">
        <v>4.13</v>
      </c>
      <c r="F1202">
        <v>5.2</v>
      </c>
      <c r="G1202">
        <v>1201</v>
      </c>
      <c r="H1202">
        <v>81</v>
      </c>
      <c r="I1202">
        <v>36</v>
      </c>
      <c r="J1202">
        <v>55</v>
      </c>
    </row>
    <row r="1203" spans="1:10">
      <c r="A1203">
        <v>2423</v>
      </c>
      <c r="B1203" t="s">
        <v>5107</v>
      </c>
      <c r="C1203">
        <v>1.19</v>
      </c>
      <c r="D1203">
        <v>3.52</v>
      </c>
      <c r="E1203">
        <v>0.28999999999999998</v>
      </c>
      <c r="F1203">
        <v>0</v>
      </c>
      <c r="G1203">
        <v>1201</v>
      </c>
      <c r="H1203">
        <v>864</v>
      </c>
      <c r="I1203">
        <v>474</v>
      </c>
      <c r="J1203" t="s">
        <v>6289</v>
      </c>
    </row>
    <row r="1204" spans="1:10">
      <c r="A1204">
        <v>6415</v>
      </c>
      <c r="B1204" t="s">
        <v>5868</v>
      </c>
      <c r="C1204">
        <v>1.19</v>
      </c>
      <c r="D1204">
        <v>93.01</v>
      </c>
      <c r="E1204">
        <v>0.11</v>
      </c>
      <c r="F1204">
        <v>2.25</v>
      </c>
      <c r="G1204">
        <v>1201</v>
      </c>
      <c r="H1204">
        <v>1</v>
      </c>
      <c r="I1204">
        <v>708</v>
      </c>
      <c r="J1204">
        <v>118</v>
      </c>
    </row>
    <row r="1205" spans="1:10">
      <c r="A1205">
        <v>6542</v>
      </c>
      <c r="B1205" t="s">
        <v>6333</v>
      </c>
      <c r="C1205">
        <v>1.19</v>
      </c>
      <c r="D1205">
        <v>21.51</v>
      </c>
      <c r="E1205">
        <v>0</v>
      </c>
      <c r="F1205">
        <v>0</v>
      </c>
      <c r="G1205">
        <v>1201</v>
      </c>
      <c r="H1205">
        <v>263</v>
      </c>
      <c r="I1205" t="s">
        <v>6289</v>
      </c>
      <c r="J1205" t="s">
        <v>6289</v>
      </c>
    </row>
    <row r="1206" spans="1:10">
      <c r="A1206">
        <v>2002</v>
      </c>
      <c r="B1206" t="s">
        <v>4977</v>
      </c>
      <c r="C1206">
        <v>1.18</v>
      </c>
      <c r="D1206">
        <v>20.309999999999999</v>
      </c>
      <c r="E1206">
        <v>0.73</v>
      </c>
      <c r="F1206">
        <v>2.2000000000000002</v>
      </c>
      <c r="G1206">
        <v>1205</v>
      </c>
      <c r="H1206">
        <v>276</v>
      </c>
      <c r="I1206">
        <v>238</v>
      </c>
      <c r="J1206">
        <v>121</v>
      </c>
    </row>
    <row r="1207" spans="1:10">
      <c r="A1207">
        <v>2597</v>
      </c>
      <c r="B1207" t="s">
        <v>5184</v>
      </c>
      <c r="C1207">
        <v>1.18</v>
      </c>
      <c r="D1207">
        <v>1.21</v>
      </c>
      <c r="E1207">
        <v>0.01</v>
      </c>
      <c r="F1207">
        <v>0.04</v>
      </c>
      <c r="G1207">
        <v>1205</v>
      </c>
      <c r="H1207">
        <v>1166</v>
      </c>
      <c r="I1207">
        <v>1110</v>
      </c>
      <c r="J1207">
        <v>437</v>
      </c>
    </row>
    <row r="1208" spans="1:10">
      <c r="A1208">
        <v>9911</v>
      </c>
      <c r="B1208" t="s">
        <v>6078</v>
      </c>
      <c r="C1208">
        <v>1.18</v>
      </c>
      <c r="D1208">
        <v>20.309999999999999</v>
      </c>
      <c r="E1208">
        <v>0.08</v>
      </c>
      <c r="F1208">
        <v>0.05</v>
      </c>
      <c r="G1208">
        <v>1205</v>
      </c>
      <c r="H1208">
        <v>276</v>
      </c>
      <c r="I1208">
        <v>789</v>
      </c>
      <c r="J1208">
        <v>428</v>
      </c>
    </row>
    <row r="1209" spans="1:10">
      <c r="A1209">
        <v>1473</v>
      </c>
      <c r="B1209" t="s">
        <v>4863</v>
      </c>
      <c r="C1209">
        <v>1.17</v>
      </c>
      <c r="D1209">
        <v>9.1199999999999992</v>
      </c>
      <c r="E1209">
        <v>0.08</v>
      </c>
      <c r="F1209">
        <v>0</v>
      </c>
      <c r="G1209">
        <v>1208</v>
      </c>
      <c r="H1209">
        <v>535</v>
      </c>
      <c r="I1209">
        <v>789</v>
      </c>
      <c r="J1209" t="s">
        <v>6289</v>
      </c>
    </row>
    <row r="1210" spans="1:10">
      <c r="A1210">
        <v>6230</v>
      </c>
      <c r="B1210" t="s">
        <v>5828</v>
      </c>
      <c r="C1210">
        <v>1.1499999999999999</v>
      </c>
      <c r="D1210">
        <v>89.55</v>
      </c>
      <c r="E1210">
        <v>1.01</v>
      </c>
      <c r="F1210">
        <v>0</v>
      </c>
      <c r="G1210">
        <v>1209</v>
      </c>
      <c r="H1210">
        <v>5</v>
      </c>
      <c r="I1210">
        <v>174</v>
      </c>
      <c r="J1210" t="s">
        <v>6289</v>
      </c>
    </row>
    <row r="1211" spans="1:10">
      <c r="A1211">
        <v>6496</v>
      </c>
      <c r="B1211" t="s">
        <v>6255</v>
      </c>
      <c r="C1211">
        <v>1.1399999999999999</v>
      </c>
      <c r="D1211">
        <v>0.63</v>
      </c>
      <c r="E1211">
        <v>0</v>
      </c>
      <c r="F1211">
        <v>0</v>
      </c>
      <c r="G1211">
        <v>1210</v>
      </c>
      <c r="H1211">
        <v>1290</v>
      </c>
      <c r="I1211" t="s">
        <v>6289</v>
      </c>
      <c r="J1211" t="s">
        <v>6289</v>
      </c>
    </row>
    <row r="1212" spans="1:10">
      <c r="A1212">
        <v>1218</v>
      </c>
      <c r="B1212" t="s">
        <v>4789</v>
      </c>
      <c r="C1212">
        <v>1.1299999999999999</v>
      </c>
      <c r="D1212">
        <v>2.2599999999999998</v>
      </c>
      <c r="E1212">
        <v>0</v>
      </c>
      <c r="F1212">
        <v>0</v>
      </c>
      <c r="G1212">
        <v>1211</v>
      </c>
      <c r="H1212">
        <v>996</v>
      </c>
      <c r="I1212" t="s">
        <v>6289</v>
      </c>
      <c r="J1212" t="s">
        <v>6289</v>
      </c>
    </row>
    <row r="1213" spans="1:10">
      <c r="A1213">
        <v>1777</v>
      </c>
      <c r="B1213" t="s">
        <v>6252</v>
      </c>
      <c r="C1213">
        <v>1.1200000000000001</v>
      </c>
      <c r="D1213">
        <v>0.19</v>
      </c>
      <c r="E1213">
        <v>0</v>
      </c>
      <c r="F1213">
        <v>0</v>
      </c>
      <c r="G1213">
        <v>1212</v>
      </c>
      <c r="H1213">
        <v>1412</v>
      </c>
      <c r="I1213" t="s">
        <v>6289</v>
      </c>
      <c r="J1213" t="s">
        <v>6289</v>
      </c>
    </row>
    <row r="1214" spans="1:10">
      <c r="A1214">
        <v>2204</v>
      </c>
      <c r="B1214" t="s">
        <v>5018</v>
      </c>
      <c r="C1214">
        <v>1.1200000000000001</v>
      </c>
      <c r="D1214">
        <v>29.08</v>
      </c>
      <c r="E1214">
        <v>0.41</v>
      </c>
      <c r="F1214">
        <v>0.17</v>
      </c>
      <c r="G1214">
        <v>1212</v>
      </c>
      <c r="H1214">
        <v>188</v>
      </c>
      <c r="I1214">
        <v>370</v>
      </c>
      <c r="J1214">
        <v>340</v>
      </c>
    </row>
    <row r="1215" spans="1:10">
      <c r="A1215">
        <v>3024</v>
      </c>
      <c r="B1215" t="s">
        <v>6185</v>
      </c>
      <c r="C1215">
        <v>1.1200000000000001</v>
      </c>
      <c r="D1215">
        <v>1.03</v>
      </c>
      <c r="E1215">
        <v>0</v>
      </c>
      <c r="F1215">
        <v>0</v>
      </c>
      <c r="G1215">
        <v>1212</v>
      </c>
      <c r="H1215">
        <v>1197</v>
      </c>
      <c r="I1215" t="s">
        <v>6289</v>
      </c>
      <c r="J1215" t="s">
        <v>6289</v>
      </c>
    </row>
    <row r="1216" spans="1:10">
      <c r="A1216">
        <v>1256</v>
      </c>
      <c r="B1216" t="s">
        <v>4802</v>
      </c>
      <c r="C1216">
        <v>1.1100000000000001</v>
      </c>
      <c r="D1216">
        <v>2.85</v>
      </c>
      <c r="E1216">
        <v>0.01</v>
      </c>
      <c r="F1216">
        <v>7.0000000000000007E-2</v>
      </c>
      <c r="G1216">
        <v>1215</v>
      </c>
      <c r="H1216">
        <v>932</v>
      </c>
      <c r="I1216">
        <v>1110</v>
      </c>
      <c r="J1216">
        <v>407</v>
      </c>
    </row>
    <row r="1217" spans="1:10">
      <c r="A1217">
        <v>2345</v>
      </c>
      <c r="B1217" t="s">
        <v>5056</v>
      </c>
      <c r="C1217">
        <v>1.1100000000000001</v>
      </c>
      <c r="D1217">
        <v>67.38</v>
      </c>
      <c r="E1217">
        <v>1.49</v>
      </c>
      <c r="F1217">
        <v>1.34</v>
      </c>
      <c r="G1217">
        <v>1215</v>
      </c>
      <c r="H1217">
        <v>30</v>
      </c>
      <c r="I1217">
        <v>108</v>
      </c>
      <c r="J1217">
        <v>166</v>
      </c>
    </row>
    <row r="1218" spans="1:10">
      <c r="A1218">
        <v>6594</v>
      </c>
      <c r="B1218" t="s">
        <v>6197</v>
      </c>
      <c r="C1218">
        <v>1.1100000000000001</v>
      </c>
      <c r="D1218">
        <v>1.29</v>
      </c>
      <c r="E1218">
        <v>0</v>
      </c>
      <c r="F1218">
        <v>0</v>
      </c>
      <c r="G1218">
        <v>1215</v>
      </c>
      <c r="H1218">
        <v>1150</v>
      </c>
      <c r="I1218" t="s">
        <v>6289</v>
      </c>
      <c r="J1218" t="s">
        <v>6289</v>
      </c>
    </row>
    <row r="1219" spans="1:10">
      <c r="A1219">
        <v>3711</v>
      </c>
      <c r="B1219" t="s">
        <v>5507</v>
      </c>
      <c r="C1219">
        <v>1.08</v>
      </c>
      <c r="D1219">
        <v>74.92</v>
      </c>
      <c r="E1219">
        <v>0.27</v>
      </c>
      <c r="F1219">
        <v>1.58</v>
      </c>
      <c r="G1219">
        <v>1218</v>
      </c>
      <c r="H1219">
        <v>16</v>
      </c>
      <c r="I1219">
        <v>492</v>
      </c>
      <c r="J1219">
        <v>153</v>
      </c>
    </row>
    <row r="1220" spans="1:10">
      <c r="A1220">
        <v>8354</v>
      </c>
      <c r="B1220" t="s">
        <v>6335</v>
      </c>
      <c r="C1220">
        <v>1.08</v>
      </c>
      <c r="D1220">
        <v>0.06</v>
      </c>
      <c r="E1220">
        <v>0</v>
      </c>
      <c r="F1220">
        <v>0</v>
      </c>
      <c r="G1220">
        <v>1218</v>
      </c>
      <c r="H1220">
        <v>1455</v>
      </c>
      <c r="I1220" t="s">
        <v>6289</v>
      </c>
      <c r="J1220" t="s">
        <v>6289</v>
      </c>
    </row>
    <row r="1221" spans="1:10">
      <c r="A1221">
        <v>2926</v>
      </c>
      <c r="B1221" t="s">
        <v>5265</v>
      </c>
      <c r="C1221">
        <v>1.06</v>
      </c>
      <c r="D1221">
        <v>13.28</v>
      </c>
      <c r="E1221">
        <v>0.01</v>
      </c>
      <c r="F1221">
        <v>0</v>
      </c>
      <c r="G1221">
        <v>1220</v>
      </c>
      <c r="H1221">
        <v>393</v>
      </c>
      <c r="I1221">
        <v>1110</v>
      </c>
      <c r="J1221" t="s">
        <v>6289</v>
      </c>
    </row>
    <row r="1222" spans="1:10">
      <c r="A1222">
        <v>5489</v>
      </c>
      <c r="B1222" t="s">
        <v>6338</v>
      </c>
      <c r="C1222">
        <v>1.06</v>
      </c>
      <c r="D1222">
        <v>0.82</v>
      </c>
      <c r="E1222">
        <v>0.09</v>
      </c>
      <c r="F1222">
        <v>0</v>
      </c>
      <c r="G1222">
        <v>1220</v>
      </c>
      <c r="H1222">
        <v>1241</v>
      </c>
      <c r="I1222">
        <v>762</v>
      </c>
      <c r="J1222" t="s">
        <v>6289</v>
      </c>
    </row>
    <row r="1223" spans="1:10">
      <c r="A1223">
        <v>1103</v>
      </c>
      <c r="B1223" t="s">
        <v>4778</v>
      </c>
      <c r="C1223">
        <v>1.05</v>
      </c>
      <c r="D1223">
        <v>5.04</v>
      </c>
      <c r="E1223">
        <v>0.08</v>
      </c>
      <c r="F1223">
        <v>0</v>
      </c>
      <c r="G1223">
        <v>1222</v>
      </c>
      <c r="H1223">
        <v>768</v>
      </c>
      <c r="I1223">
        <v>789</v>
      </c>
      <c r="J1223" t="s">
        <v>6289</v>
      </c>
    </row>
    <row r="1224" spans="1:10">
      <c r="A1224">
        <v>1725</v>
      </c>
      <c r="B1224" t="s">
        <v>765</v>
      </c>
      <c r="C1224">
        <v>1.05</v>
      </c>
      <c r="D1224">
        <v>0.27</v>
      </c>
      <c r="E1224">
        <v>0.02</v>
      </c>
      <c r="F1224">
        <v>0</v>
      </c>
      <c r="G1224">
        <v>1222</v>
      </c>
      <c r="H1224">
        <v>1395</v>
      </c>
      <c r="I1224">
        <v>1051</v>
      </c>
      <c r="J1224" t="s">
        <v>6289</v>
      </c>
    </row>
    <row r="1225" spans="1:10">
      <c r="A1225">
        <v>2106</v>
      </c>
      <c r="B1225" t="s">
        <v>5011</v>
      </c>
      <c r="C1225">
        <v>1.04</v>
      </c>
      <c r="D1225">
        <v>6.46</v>
      </c>
      <c r="E1225">
        <v>7.0000000000000007E-2</v>
      </c>
      <c r="F1225">
        <v>0</v>
      </c>
      <c r="G1225">
        <v>1224</v>
      </c>
      <c r="H1225">
        <v>677</v>
      </c>
      <c r="I1225">
        <v>824</v>
      </c>
      <c r="J1225" t="s">
        <v>6289</v>
      </c>
    </row>
    <row r="1226" spans="1:10">
      <c r="A1226">
        <v>6112</v>
      </c>
      <c r="B1226" t="s">
        <v>5748</v>
      </c>
      <c r="C1226">
        <v>1.04</v>
      </c>
      <c r="D1226">
        <v>2.08</v>
      </c>
      <c r="E1226">
        <v>0.01</v>
      </c>
      <c r="F1226">
        <v>0</v>
      </c>
      <c r="G1226">
        <v>1224</v>
      </c>
      <c r="H1226">
        <v>1020</v>
      </c>
      <c r="I1226">
        <v>1110</v>
      </c>
      <c r="J1226" t="s">
        <v>6289</v>
      </c>
    </row>
    <row r="1227" spans="1:10">
      <c r="A1227">
        <v>2936</v>
      </c>
      <c r="B1227" t="s">
        <v>5267</v>
      </c>
      <c r="C1227">
        <v>1.02</v>
      </c>
      <c r="D1227">
        <v>92.56</v>
      </c>
      <c r="E1227">
        <v>1.07</v>
      </c>
      <c r="F1227">
        <v>0</v>
      </c>
      <c r="G1227">
        <v>1226</v>
      </c>
      <c r="H1227">
        <v>2</v>
      </c>
      <c r="I1227">
        <v>165</v>
      </c>
      <c r="J1227" t="s">
        <v>6289</v>
      </c>
    </row>
    <row r="1228" spans="1:10">
      <c r="A1228">
        <v>3528</v>
      </c>
      <c r="B1228" t="s">
        <v>5436</v>
      </c>
      <c r="C1228">
        <v>1.02</v>
      </c>
      <c r="D1228">
        <v>2.46</v>
      </c>
      <c r="E1228">
        <v>0.03</v>
      </c>
      <c r="F1228">
        <v>0</v>
      </c>
      <c r="G1228">
        <v>1226</v>
      </c>
      <c r="H1228">
        <v>976</v>
      </c>
      <c r="I1228">
        <v>978</v>
      </c>
      <c r="J1228" t="s">
        <v>6289</v>
      </c>
    </row>
    <row r="1229" spans="1:10">
      <c r="A1229">
        <v>1530</v>
      </c>
      <c r="B1229" t="s">
        <v>4883</v>
      </c>
      <c r="C1229">
        <v>1.01</v>
      </c>
      <c r="D1229">
        <v>0.68</v>
      </c>
      <c r="E1229">
        <v>7.0000000000000007E-2</v>
      </c>
      <c r="F1229">
        <v>0</v>
      </c>
      <c r="G1229">
        <v>1228</v>
      </c>
      <c r="H1229">
        <v>1276</v>
      </c>
      <c r="I1229">
        <v>824</v>
      </c>
      <c r="J1229" t="s">
        <v>6289</v>
      </c>
    </row>
    <row r="1230" spans="1:10">
      <c r="A1230">
        <v>6005</v>
      </c>
      <c r="B1230" t="s">
        <v>5740</v>
      </c>
      <c r="C1230">
        <v>1.01</v>
      </c>
      <c r="D1230">
        <v>17.510000000000002</v>
      </c>
      <c r="E1230">
        <v>0</v>
      </c>
      <c r="F1230">
        <v>0.34</v>
      </c>
      <c r="G1230">
        <v>1228</v>
      </c>
      <c r="H1230">
        <v>316</v>
      </c>
      <c r="I1230" t="s">
        <v>6289</v>
      </c>
      <c r="J1230">
        <v>289</v>
      </c>
    </row>
    <row r="1231" spans="1:10">
      <c r="A1231">
        <v>6592</v>
      </c>
      <c r="B1231" t="s">
        <v>5920</v>
      </c>
      <c r="C1231">
        <v>1.01</v>
      </c>
      <c r="D1231">
        <v>28.09</v>
      </c>
      <c r="E1231">
        <v>7.0000000000000007E-2</v>
      </c>
      <c r="F1231">
        <v>0.1</v>
      </c>
      <c r="G1231">
        <v>1228</v>
      </c>
      <c r="H1231">
        <v>197</v>
      </c>
      <c r="I1231">
        <v>824</v>
      </c>
      <c r="J1231">
        <v>383</v>
      </c>
    </row>
    <row r="1232" spans="1:10">
      <c r="A1232">
        <v>1315</v>
      </c>
      <c r="B1232" t="s">
        <v>4816</v>
      </c>
      <c r="C1232">
        <v>1</v>
      </c>
      <c r="D1232">
        <v>1.72</v>
      </c>
      <c r="E1232">
        <v>0.06</v>
      </c>
      <c r="F1232">
        <v>0.02</v>
      </c>
      <c r="G1232">
        <v>1231</v>
      </c>
      <c r="H1232">
        <v>1075</v>
      </c>
      <c r="I1232">
        <v>852</v>
      </c>
      <c r="J1232">
        <v>473</v>
      </c>
    </row>
    <row r="1233" spans="1:10">
      <c r="A1233">
        <v>2883</v>
      </c>
      <c r="B1233" t="s">
        <v>5242</v>
      </c>
      <c r="C1233">
        <v>1</v>
      </c>
      <c r="D1233">
        <v>20.23</v>
      </c>
      <c r="E1233">
        <v>0.64</v>
      </c>
      <c r="F1233">
        <v>2.27</v>
      </c>
      <c r="G1233">
        <v>1231</v>
      </c>
      <c r="H1233">
        <v>279</v>
      </c>
      <c r="I1233">
        <v>270</v>
      </c>
      <c r="J1233">
        <v>116</v>
      </c>
    </row>
    <row r="1234" spans="1:10">
      <c r="A1234">
        <v>3501</v>
      </c>
      <c r="B1234" t="s">
        <v>5427</v>
      </c>
      <c r="C1234">
        <v>1</v>
      </c>
      <c r="D1234">
        <v>4.09</v>
      </c>
      <c r="E1234">
        <v>0.01</v>
      </c>
      <c r="F1234">
        <v>0</v>
      </c>
      <c r="G1234">
        <v>1231</v>
      </c>
      <c r="H1234">
        <v>831</v>
      </c>
      <c r="I1234">
        <v>1110</v>
      </c>
      <c r="J1234" t="s">
        <v>6289</v>
      </c>
    </row>
    <row r="1235" spans="1:10">
      <c r="A1235">
        <v>6561</v>
      </c>
      <c r="B1235" t="s">
        <v>5912</v>
      </c>
      <c r="C1235">
        <v>1</v>
      </c>
      <c r="D1235">
        <v>13.18</v>
      </c>
      <c r="E1235">
        <v>0.03</v>
      </c>
      <c r="F1235">
        <v>0.06</v>
      </c>
      <c r="G1235">
        <v>1231</v>
      </c>
      <c r="H1235">
        <v>397</v>
      </c>
      <c r="I1235">
        <v>978</v>
      </c>
      <c r="J1235">
        <v>416</v>
      </c>
    </row>
    <row r="1236" spans="1:10">
      <c r="A1236">
        <v>4532</v>
      </c>
      <c r="B1236" t="s">
        <v>5564</v>
      </c>
      <c r="C1236">
        <v>0.99</v>
      </c>
      <c r="D1236">
        <v>11.37</v>
      </c>
      <c r="E1236">
        <v>0</v>
      </c>
      <c r="F1236">
        <v>0</v>
      </c>
      <c r="G1236">
        <v>1235</v>
      </c>
      <c r="H1236">
        <v>447</v>
      </c>
      <c r="I1236" t="s">
        <v>6289</v>
      </c>
      <c r="J1236" t="s">
        <v>6289</v>
      </c>
    </row>
    <row r="1237" spans="1:10">
      <c r="A1237">
        <v>4416</v>
      </c>
      <c r="B1237" t="s">
        <v>6216</v>
      </c>
      <c r="C1237">
        <v>0.98</v>
      </c>
      <c r="D1237">
        <v>0.01</v>
      </c>
      <c r="E1237">
        <v>0</v>
      </c>
      <c r="F1237">
        <v>0</v>
      </c>
      <c r="G1237">
        <v>1236</v>
      </c>
      <c r="H1237">
        <v>1470</v>
      </c>
      <c r="I1237" t="s">
        <v>6289</v>
      </c>
      <c r="J1237" t="s">
        <v>6289</v>
      </c>
    </row>
    <row r="1238" spans="1:10">
      <c r="A1238">
        <v>4938</v>
      </c>
      <c r="B1238" t="s">
        <v>5621</v>
      </c>
      <c r="C1238">
        <v>0.97</v>
      </c>
      <c r="D1238">
        <v>32.1</v>
      </c>
      <c r="E1238">
        <v>2.2799999999999998</v>
      </c>
      <c r="F1238">
        <v>3.8</v>
      </c>
      <c r="G1238">
        <v>1237</v>
      </c>
      <c r="H1238">
        <v>159</v>
      </c>
      <c r="I1238">
        <v>69</v>
      </c>
      <c r="J1238">
        <v>75</v>
      </c>
    </row>
    <row r="1239" spans="1:10">
      <c r="A1239">
        <v>5212</v>
      </c>
      <c r="B1239" t="s">
        <v>6336</v>
      </c>
      <c r="C1239">
        <v>0.97</v>
      </c>
      <c r="D1239">
        <v>34.01</v>
      </c>
      <c r="E1239">
        <v>9.1199999999999992</v>
      </c>
      <c r="F1239">
        <v>0</v>
      </c>
      <c r="G1239">
        <v>1237</v>
      </c>
      <c r="H1239">
        <v>147</v>
      </c>
      <c r="I1239">
        <v>5</v>
      </c>
      <c r="J1239" t="s">
        <v>6289</v>
      </c>
    </row>
    <row r="1240" spans="1:10">
      <c r="A1240">
        <v>1460</v>
      </c>
      <c r="B1240" t="s">
        <v>6237</v>
      </c>
      <c r="C1240">
        <v>0.96</v>
      </c>
      <c r="D1240">
        <v>1.47</v>
      </c>
      <c r="E1240">
        <v>0</v>
      </c>
      <c r="F1240">
        <v>0</v>
      </c>
      <c r="G1240">
        <v>1239</v>
      </c>
      <c r="H1240">
        <v>1113</v>
      </c>
      <c r="I1240" t="s">
        <v>6289</v>
      </c>
      <c r="J1240" t="s">
        <v>6289</v>
      </c>
    </row>
    <row r="1241" spans="1:10">
      <c r="A1241">
        <v>4905</v>
      </c>
      <c r="B1241" t="s">
        <v>6326</v>
      </c>
      <c r="C1241">
        <v>0.96</v>
      </c>
      <c r="D1241">
        <v>18.36</v>
      </c>
      <c r="E1241">
        <v>0.09</v>
      </c>
      <c r="F1241">
        <v>0</v>
      </c>
      <c r="G1241">
        <v>1239</v>
      </c>
      <c r="H1241">
        <v>300</v>
      </c>
      <c r="I1241">
        <v>762</v>
      </c>
      <c r="J1241" t="s">
        <v>6289</v>
      </c>
    </row>
    <row r="1242" spans="1:10">
      <c r="A1242">
        <v>4747</v>
      </c>
      <c r="B1242" t="s">
        <v>6334</v>
      </c>
      <c r="C1242">
        <v>0.95</v>
      </c>
      <c r="D1242">
        <v>1.49</v>
      </c>
      <c r="E1242">
        <v>0</v>
      </c>
      <c r="F1242">
        <v>0</v>
      </c>
      <c r="G1242">
        <v>1241</v>
      </c>
      <c r="H1242">
        <v>1108</v>
      </c>
      <c r="I1242" t="s">
        <v>6289</v>
      </c>
      <c r="J1242" t="s">
        <v>6289</v>
      </c>
    </row>
    <row r="1243" spans="1:10">
      <c r="A1243">
        <v>2211</v>
      </c>
      <c r="B1243" t="s">
        <v>5022</v>
      </c>
      <c r="C1243">
        <v>0.94</v>
      </c>
      <c r="D1243">
        <v>2.12</v>
      </c>
      <c r="E1243">
        <v>0</v>
      </c>
      <c r="F1243">
        <v>0</v>
      </c>
      <c r="G1243">
        <v>1242</v>
      </c>
      <c r="H1243">
        <v>1011</v>
      </c>
      <c r="I1243" t="s">
        <v>6289</v>
      </c>
      <c r="J1243" t="s">
        <v>6289</v>
      </c>
    </row>
    <row r="1244" spans="1:10">
      <c r="A1244">
        <v>2385</v>
      </c>
      <c r="B1244" t="s">
        <v>5084</v>
      </c>
      <c r="C1244">
        <v>0.93</v>
      </c>
      <c r="D1244">
        <v>34.17</v>
      </c>
      <c r="E1244">
        <v>6.41</v>
      </c>
      <c r="F1244">
        <v>5.49</v>
      </c>
      <c r="G1244">
        <v>1243</v>
      </c>
      <c r="H1244">
        <v>146</v>
      </c>
      <c r="I1244">
        <v>11</v>
      </c>
      <c r="J1244">
        <v>48</v>
      </c>
    </row>
    <row r="1245" spans="1:10">
      <c r="A1245">
        <v>2851</v>
      </c>
      <c r="B1245" t="s">
        <v>5235</v>
      </c>
      <c r="C1245">
        <v>0.93</v>
      </c>
      <c r="D1245">
        <v>2.0299999999999998</v>
      </c>
      <c r="E1245">
        <v>0.23</v>
      </c>
      <c r="F1245">
        <v>0.05</v>
      </c>
      <c r="G1245">
        <v>1243</v>
      </c>
      <c r="H1245">
        <v>1026</v>
      </c>
      <c r="I1245">
        <v>526</v>
      </c>
      <c r="J1245">
        <v>428</v>
      </c>
    </row>
    <row r="1246" spans="1:10">
      <c r="A1246">
        <v>3520</v>
      </c>
      <c r="B1246" t="s">
        <v>6341</v>
      </c>
      <c r="C1246">
        <v>0.92</v>
      </c>
      <c r="D1246">
        <v>0.16</v>
      </c>
      <c r="E1246">
        <v>0</v>
      </c>
      <c r="F1246">
        <v>0</v>
      </c>
      <c r="G1246">
        <v>1245</v>
      </c>
      <c r="H1246">
        <v>1426</v>
      </c>
      <c r="I1246" t="s">
        <v>6289</v>
      </c>
      <c r="J1246" t="s">
        <v>6289</v>
      </c>
    </row>
    <row r="1247" spans="1:10">
      <c r="A1247">
        <v>5013</v>
      </c>
      <c r="B1247" t="s">
        <v>5647</v>
      </c>
      <c r="C1247">
        <v>0.92</v>
      </c>
      <c r="D1247">
        <v>3.07</v>
      </c>
      <c r="E1247">
        <v>0</v>
      </c>
      <c r="F1247">
        <v>0</v>
      </c>
      <c r="G1247">
        <v>1245</v>
      </c>
      <c r="H1247">
        <v>916</v>
      </c>
      <c r="I1247" t="s">
        <v>6289</v>
      </c>
      <c r="J1247" t="s">
        <v>6289</v>
      </c>
    </row>
    <row r="1248" spans="1:10">
      <c r="A1248">
        <v>5534</v>
      </c>
      <c r="B1248" t="s">
        <v>5719</v>
      </c>
      <c r="C1248">
        <v>0.92</v>
      </c>
      <c r="D1248">
        <v>11.77</v>
      </c>
      <c r="E1248">
        <v>0.06</v>
      </c>
      <c r="F1248">
        <v>0.22</v>
      </c>
      <c r="G1248">
        <v>1245</v>
      </c>
      <c r="H1248">
        <v>435</v>
      </c>
      <c r="I1248">
        <v>852</v>
      </c>
      <c r="J1248">
        <v>319</v>
      </c>
    </row>
    <row r="1249" spans="1:10">
      <c r="A1249">
        <v>2440</v>
      </c>
      <c r="B1249" t="s">
        <v>6183</v>
      </c>
      <c r="C1249">
        <v>0.91</v>
      </c>
      <c r="D1249">
        <v>0.14000000000000001</v>
      </c>
      <c r="E1249">
        <v>0</v>
      </c>
      <c r="F1249">
        <v>0</v>
      </c>
      <c r="G1249">
        <v>1248</v>
      </c>
      <c r="H1249">
        <v>1433</v>
      </c>
      <c r="I1249" t="s">
        <v>6289</v>
      </c>
      <c r="J1249" t="s">
        <v>6289</v>
      </c>
    </row>
    <row r="1250" spans="1:10">
      <c r="A1250">
        <v>1470</v>
      </c>
      <c r="B1250" t="s">
        <v>4862</v>
      </c>
      <c r="C1250">
        <v>0.9</v>
      </c>
      <c r="D1250">
        <v>0.17</v>
      </c>
      <c r="E1250">
        <v>0.13</v>
      </c>
      <c r="F1250">
        <v>0</v>
      </c>
      <c r="G1250">
        <v>1249</v>
      </c>
      <c r="H1250">
        <v>1420</v>
      </c>
      <c r="I1250">
        <v>667</v>
      </c>
      <c r="J1250" t="s">
        <v>6289</v>
      </c>
    </row>
    <row r="1251" spans="1:10">
      <c r="A1251">
        <v>3617</v>
      </c>
      <c r="B1251" t="s">
        <v>5472</v>
      </c>
      <c r="C1251">
        <v>0.89</v>
      </c>
      <c r="D1251">
        <v>3.47</v>
      </c>
      <c r="E1251">
        <v>0.05</v>
      </c>
      <c r="F1251">
        <v>0.21</v>
      </c>
      <c r="G1251">
        <v>1250</v>
      </c>
      <c r="H1251">
        <v>874</v>
      </c>
      <c r="I1251">
        <v>896</v>
      </c>
      <c r="J1251">
        <v>324</v>
      </c>
    </row>
    <row r="1252" spans="1:10">
      <c r="A1252">
        <v>2722</v>
      </c>
      <c r="B1252" t="s">
        <v>5214</v>
      </c>
      <c r="C1252">
        <v>0.88</v>
      </c>
      <c r="D1252">
        <v>0.13</v>
      </c>
      <c r="E1252">
        <v>0.32</v>
      </c>
      <c r="F1252">
        <v>0</v>
      </c>
      <c r="G1252">
        <v>1251</v>
      </c>
      <c r="H1252">
        <v>1438</v>
      </c>
      <c r="I1252">
        <v>447</v>
      </c>
      <c r="J1252" t="s">
        <v>6289</v>
      </c>
    </row>
    <row r="1253" spans="1:10">
      <c r="A1253">
        <v>6210</v>
      </c>
      <c r="B1253" t="s">
        <v>6337</v>
      </c>
      <c r="C1253">
        <v>0.88</v>
      </c>
      <c r="D1253">
        <v>0.14000000000000001</v>
      </c>
      <c r="E1253">
        <v>0</v>
      </c>
      <c r="F1253">
        <v>0</v>
      </c>
      <c r="G1253">
        <v>1251</v>
      </c>
      <c r="H1253">
        <v>1433</v>
      </c>
      <c r="I1253" t="s">
        <v>6289</v>
      </c>
      <c r="J1253" t="s">
        <v>6289</v>
      </c>
    </row>
    <row r="1254" spans="1:10">
      <c r="A1254">
        <v>2450</v>
      </c>
      <c r="B1254" t="s">
        <v>5121</v>
      </c>
      <c r="C1254">
        <v>0.87</v>
      </c>
      <c r="D1254">
        <v>3.4</v>
      </c>
      <c r="E1254">
        <v>0.14000000000000001</v>
      </c>
      <c r="F1254">
        <v>0</v>
      </c>
      <c r="G1254">
        <v>1253</v>
      </c>
      <c r="H1254">
        <v>881</v>
      </c>
      <c r="I1254">
        <v>653</v>
      </c>
      <c r="J1254" t="s">
        <v>6289</v>
      </c>
    </row>
    <row r="1255" spans="1:10">
      <c r="A1255">
        <v>2850</v>
      </c>
      <c r="B1255" t="s">
        <v>5234</v>
      </c>
      <c r="C1255">
        <v>0.87</v>
      </c>
      <c r="D1255">
        <v>7.32</v>
      </c>
      <c r="E1255">
        <v>0.8</v>
      </c>
      <c r="F1255">
        <v>0.01</v>
      </c>
      <c r="G1255">
        <v>1253</v>
      </c>
      <c r="H1255">
        <v>614</v>
      </c>
      <c r="I1255">
        <v>219</v>
      </c>
      <c r="J1255">
        <v>491</v>
      </c>
    </row>
    <row r="1256" spans="1:10">
      <c r="A1256">
        <v>1604</v>
      </c>
      <c r="B1256" t="s">
        <v>4914</v>
      </c>
      <c r="C1256">
        <v>0.86</v>
      </c>
      <c r="D1256">
        <v>10.99</v>
      </c>
      <c r="E1256">
        <v>0.35</v>
      </c>
      <c r="F1256">
        <v>0.12</v>
      </c>
      <c r="G1256">
        <v>1255</v>
      </c>
      <c r="H1256">
        <v>462</v>
      </c>
      <c r="I1256">
        <v>414</v>
      </c>
      <c r="J1256">
        <v>362</v>
      </c>
    </row>
    <row r="1257" spans="1:10">
      <c r="A1257">
        <v>1773</v>
      </c>
      <c r="B1257" t="s">
        <v>4955</v>
      </c>
      <c r="C1257">
        <v>0.85</v>
      </c>
      <c r="D1257">
        <v>6.64</v>
      </c>
      <c r="E1257">
        <v>0</v>
      </c>
      <c r="F1257">
        <v>0.13</v>
      </c>
      <c r="G1257">
        <v>1256</v>
      </c>
      <c r="H1257">
        <v>657</v>
      </c>
      <c r="I1257" t="s">
        <v>6289</v>
      </c>
      <c r="J1257">
        <v>357</v>
      </c>
    </row>
    <row r="1258" spans="1:10">
      <c r="A1258">
        <v>2887</v>
      </c>
      <c r="B1258" t="s">
        <v>5246</v>
      </c>
      <c r="C1258">
        <v>0.85</v>
      </c>
      <c r="D1258">
        <v>27.28</v>
      </c>
      <c r="E1258">
        <v>0.7</v>
      </c>
      <c r="F1258">
        <v>1.1000000000000001</v>
      </c>
      <c r="G1258">
        <v>1256</v>
      </c>
      <c r="H1258">
        <v>201</v>
      </c>
      <c r="I1258">
        <v>253</v>
      </c>
      <c r="J1258">
        <v>186</v>
      </c>
    </row>
    <row r="1259" spans="1:10">
      <c r="A1259">
        <v>4556</v>
      </c>
      <c r="B1259" t="s">
        <v>6340</v>
      </c>
      <c r="C1259">
        <v>0.85</v>
      </c>
      <c r="D1259">
        <v>11.6</v>
      </c>
      <c r="E1259">
        <v>0</v>
      </c>
      <c r="F1259">
        <v>0</v>
      </c>
      <c r="G1259">
        <v>1256</v>
      </c>
      <c r="H1259">
        <v>439</v>
      </c>
      <c r="I1259" t="s">
        <v>6289</v>
      </c>
      <c r="J1259" t="s">
        <v>6289</v>
      </c>
    </row>
    <row r="1260" spans="1:10">
      <c r="A1260">
        <v>8435</v>
      </c>
      <c r="B1260" t="s">
        <v>6033</v>
      </c>
      <c r="C1260">
        <v>0.85</v>
      </c>
      <c r="D1260">
        <v>0.8</v>
      </c>
      <c r="E1260">
        <v>0.02</v>
      </c>
      <c r="F1260">
        <v>0</v>
      </c>
      <c r="G1260">
        <v>1256</v>
      </c>
      <c r="H1260">
        <v>1246</v>
      </c>
      <c r="I1260">
        <v>1051</v>
      </c>
      <c r="J1260" t="s">
        <v>6289</v>
      </c>
    </row>
    <row r="1261" spans="1:10">
      <c r="A1261">
        <v>8916</v>
      </c>
      <c r="B1261" t="s">
        <v>6059</v>
      </c>
      <c r="C1261">
        <v>0.84</v>
      </c>
      <c r="D1261">
        <v>3.31</v>
      </c>
      <c r="E1261">
        <v>0.19</v>
      </c>
      <c r="F1261">
        <v>0</v>
      </c>
      <c r="G1261">
        <v>1260</v>
      </c>
      <c r="H1261">
        <v>891</v>
      </c>
      <c r="I1261">
        <v>571</v>
      </c>
      <c r="J1261" t="s">
        <v>6289</v>
      </c>
    </row>
    <row r="1262" spans="1:10">
      <c r="A1262">
        <v>1210</v>
      </c>
      <c r="B1262" t="s">
        <v>4785</v>
      </c>
      <c r="C1262">
        <v>0.82</v>
      </c>
      <c r="D1262">
        <v>10.99</v>
      </c>
      <c r="E1262">
        <v>0.06</v>
      </c>
      <c r="F1262">
        <v>0.13</v>
      </c>
      <c r="G1262">
        <v>1261</v>
      </c>
      <c r="H1262">
        <v>462</v>
      </c>
      <c r="I1262">
        <v>852</v>
      </c>
      <c r="J1262">
        <v>357</v>
      </c>
    </row>
    <row r="1263" spans="1:10">
      <c r="A1263">
        <v>4107</v>
      </c>
      <c r="B1263" t="s">
        <v>5513</v>
      </c>
      <c r="C1263">
        <v>0.8</v>
      </c>
      <c r="D1263">
        <v>29.76</v>
      </c>
      <c r="E1263">
        <v>0.14000000000000001</v>
      </c>
      <c r="F1263">
        <v>0</v>
      </c>
      <c r="G1263">
        <v>1262</v>
      </c>
      <c r="H1263">
        <v>183</v>
      </c>
      <c r="I1263">
        <v>653</v>
      </c>
      <c r="J1263" t="s">
        <v>6289</v>
      </c>
    </row>
    <row r="1264" spans="1:10">
      <c r="A1264">
        <v>4429</v>
      </c>
      <c r="B1264" t="s">
        <v>6339</v>
      </c>
      <c r="C1264">
        <v>0.8</v>
      </c>
      <c r="D1264">
        <v>0.02</v>
      </c>
      <c r="E1264">
        <v>0</v>
      </c>
      <c r="F1264">
        <v>0</v>
      </c>
      <c r="G1264">
        <v>1262</v>
      </c>
      <c r="H1264">
        <v>1467</v>
      </c>
      <c r="I1264" t="s">
        <v>6289</v>
      </c>
      <c r="J1264" t="s">
        <v>6289</v>
      </c>
    </row>
    <row r="1265" spans="1:10">
      <c r="A1265">
        <v>1541</v>
      </c>
      <c r="B1265" t="s">
        <v>4892</v>
      </c>
      <c r="C1265">
        <v>0.78</v>
      </c>
      <c r="D1265">
        <v>9.64</v>
      </c>
      <c r="E1265">
        <v>0.03</v>
      </c>
      <c r="F1265">
        <v>0</v>
      </c>
      <c r="G1265">
        <v>1264</v>
      </c>
      <c r="H1265">
        <v>512</v>
      </c>
      <c r="I1265">
        <v>978</v>
      </c>
      <c r="J1265" t="s">
        <v>6289</v>
      </c>
    </row>
    <row r="1266" spans="1:10">
      <c r="A1266">
        <v>2832</v>
      </c>
      <c r="B1266" t="s">
        <v>5228</v>
      </c>
      <c r="C1266">
        <v>0.78</v>
      </c>
      <c r="D1266">
        <v>3.3</v>
      </c>
      <c r="E1266">
        <v>0.12</v>
      </c>
      <c r="F1266">
        <v>0</v>
      </c>
      <c r="G1266">
        <v>1264</v>
      </c>
      <c r="H1266">
        <v>892</v>
      </c>
      <c r="I1266">
        <v>683</v>
      </c>
      <c r="J1266" t="s">
        <v>6289</v>
      </c>
    </row>
    <row r="1267" spans="1:10">
      <c r="A1267">
        <v>6674</v>
      </c>
      <c r="B1267" t="s">
        <v>5941</v>
      </c>
      <c r="C1267">
        <v>0.78</v>
      </c>
      <c r="D1267">
        <v>0.45</v>
      </c>
      <c r="E1267">
        <v>0.01</v>
      </c>
      <c r="F1267">
        <v>0</v>
      </c>
      <c r="G1267">
        <v>1264</v>
      </c>
      <c r="H1267">
        <v>1339</v>
      </c>
      <c r="I1267">
        <v>1110</v>
      </c>
      <c r="J1267" t="s">
        <v>6289</v>
      </c>
    </row>
    <row r="1268" spans="1:10">
      <c r="A1268">
        <v>1537</v>
      </c>
      <c r="B1268" t="s">
        <v>4889</v>
      </c>
      <c r="C1268">
        <v>0.77</v>
      </c>
      <c r="D1268">
        <v>17.850000000000001</v>
      </c>
      <c r="E1268">
        <v>0</v>
      </c>
      <c r="F1268">
        <v>0.22</v>
      </c>
      <c r="G1268">
        <v>1267</v>
      </c>
      <c r="H1268">
        <v>309</v>
      </c>
      <c r="I1268" t="s">
        <v>6289</v>
      </c>
      <c r="J1268">
        <v>319</v>
      </c>
    </row>
    <row r="1269" spans="1:10">
      <c r="A1269">
        <v>4430</v>
      </c>
      <c r="B1269" t="s">
        <v>6342</v>
      </c>
      <c r="C1269">
        <v>0.77</v>
      </c>
      <c r="D1269">
        <v>2.27</v>
      </c>
      <c r="E1269">
        <v>0.04</v>
      </c>
      <c r="F1269">
        <v>0</v>
      </c>
      <c r="G1269">
        <v>1267</v>
      </c>
      <c r="H1269">
        <v>994</v>
      </c>
      <c r="I1269">
        <v>936</v>
      </c>
      <c r="J1269" t="s">
        <v>6289</v>
      </c>
    </row>
    <row r="1270" spans="1:10">
      <c r="A1270">
        <v>2905</v>
      </c>
      <c r="B1270" t="s">
        <v>5256</v>
      </c>
      <c r="C1270">
        <v>0.76</v>
      </c>
      <c r="D1270">
        <v>6.11</v>
      </c>
      <c r="E1270">
        <v>0.02</v>
      </c>
      <c r="F1270">
        <v>0</v>
      </c>
      <c r="G1270">
        <v>1269</v>
      </c>
      <c r="H1270">
        <v>693</v>
      </c>
      <c r="I1270">
        <v>1051</v>
      </c>
      <c r="J1270" t="s">
        <v>6289</v>
      </c>
    </row>
    <row r="1271" spans="1:10">
      <c r="A1271">
        <v>1227</v>
      </c>
      <c r="B1271" t="s">
        <v>4793</v>
      </c>
      <c r="C1271">
        <v>0.75</v>
      </c>
      <c r="D1271">
        <v>6.27</v>
      </c>
      <c r="E1271">
        <v>0.16</v>
      </c>
      <c r="F1271">
        <v>0.55000000000000004</v>
      </c>
      <c r="G1271">
        <v>1270</v>
      </c>
      <c r="H1271">
        <v>682</v>
      </c>
      <c r="I1271">
        <v>614</v>
      </c>
      <c r="J1271">
        <v>249</v>
      </c>
    </row>
    <row r="1272" spans="1:10">
      <c r="A1272">
        <v>8131</v>
      </c>
      <c r="B1272" t="s">
        <v>5994</v>
      </c>
      <c r="C1272">
        <v>0.75</v>
      </c>
      <c r="D1272">
        <v>5.07</v>
      </c>
      <c r="E1272">
        <v>0.11</v>
      </c>
      <c r="F1272">
        <v>0.01</v>
      </c>
      <c r="G1272">
        <v>1270</v>
      </c>
      <c r="H1272">
        <v>767</v>
      </c>
      <c r="I1272">
        <v>708</v>
      </c>
      <c r="J1272">
        <v>491</v>
      </c>
    </row>
    <row r="1273" spans="1:10">
      <c r="A1273">
        <v>8488</v>
      </c>
      <c r="B1273" t="s">
        <v>6054</v>
      </c>
      <c r="C1273">
        <v>0.75</v>
      </c>
      <c r="D1273">
        <v>76.209999999999994</v>
      </c>
      <c r="E1273">
        <v>0.02</v>
      </c>
      <c r="F1273">
        <v>0</v>
      </c>
      <c r="G1273">
        <v>1270</v>
      </c>
      <c r="H1273">
        <v>13</v>
      </c>
      <c r="I1273">
        <v>1051</v>
      </c>
      <c r="J1273" t="s">
        <v>6289</v>
      </c>
    </row>
    <row r="1274" spans="1:10">
      <c r="A1274">
        <v>2235</v>
      </c>
      <c r="B1274" t="s">
        <v>6345</v>
      </c>
      <c r="C1274">
        <v>0.74</v>
      </c>
      <c r="D1274">
        <v>0.04</v>
      </c>
      <c r="E1274">
        <v>0</v>
      </c>
      <c r="F1274">
        <v>0</v>
      </c>
      <c r="G1274">
        <v>1273</v>
      </c>
      <c r="H1274">
        <v>1462</v>
      </c>
      <c r="I1274" t="s">
        <v>6289</v>
      </c>
      <c r="J1274" t="s">
        <v>6289</v>
      </c>
    </row>
    <row r="1275" spans="1:10">
      <c r="A1275">
        <v>3066</v>
      </c>
      <c r="B1275" t="s">
        <v>6344</v>
      </c>
      <c r="C1275">
        <v>0.74</v>
      </c>
      <c r="D1275">
        <v>0.1</v>
      </c>
      <c r="E1275">
        <v>0.01</v>
      </c>
      <c r="F1275">
        <v>0</v>
      </c>
      <c r="G1275">
        <v>1273</v>
      </c>
      <c r="H1275">
        <v>1445</v>
      </c>
      <c r="I1275">
        <v>1110</v>
      </c>
      <c r="J1275" t="s">
        <v>6289</v>
      </c>
    </row>
    <row r="1276" spans="1:10">
      <c r="A1276">
        <v>5538</v>
      </c>
      <c r="B1276" t="s">
        <v>5721</v>
      </c>
      <c r="C1276">
        <v>0.74</v>
      </c>
      <c r="D1276">
        <v>64.12</v>
      </c>
      <c r="E1276">
        <v>0.02</v>
      </c>
      <c r="F1276">
        <v>0.01</v>
      </c>
      <c r="G1276">
        <v>1273</v>
      </c>
      <c r="H1276">
        <v>37</v>
      </c>
      <c r="I1276">
        <v>1051</v>
      </c>
      <c r="J1276">
        <v>491</v>
      </c>
    </row>
    <row r="1277" spans="1:10">
      <c r="A1277">
        <v>1104</v>
      </c>
      <c r="B1277" t="s">
        <v>4779</v>
      </c>
      <c r="C1277">
        <v>0.73</v>
      </c>
      <c r="D1277">
        <v>12.27</v>
      </c>
      <c r="E1277">
        <v>0</v>
      </c>
      <c r="F1277">
        <v>0</v>
      </c>
      <c r="G1277">
        <v>1276</v>
      </c>
      <c r="H1277">
        <v>419</v>
      </c>
      <c r="I1277" t="s">
        <v>6289</v>
      </c>
      <c r="J1277" t="s">
        <v>6289</v>
      </c>
    </row>
    <row r="1278" spans="1:10">
      <c r="A1278">
        <v>1590</v>
      </c>
      <c r="B1278" t="s">
        <v>4906</v>
      </c>
      <c r="C1278">
        <v>0.73</v>
      </c>
      <c r="D1278">
        <v>83.35</v>
      </c>
      <c r="E1278">
        <v>0.1</v>
      </c>
      <c r="F1278">
        <v>0.78</v>
      </c>
      <c r="G1278">
        <v>1276</v>
      </c>
      <c r="H1278">
        <v>7</v>
      </c>
      <c r="I1278">
        <v>734</v>
      </c>
      <c r="J1278">
        <v>215</v>
      </c>
    </row>
    <row r="1279" spans="1:10">
      <c r="A1279">
        <v>2105</v>
      </c>
      <c r="B1279" t="s">
        <v>5010</v>
      </c>
      <c r="C1279">
        <v>0.73</v>
      </c>
      <c r="D1279">
        <v>13.84</v>
      </c>
      <c r="E1279">
        <v>0.01</v>
      </c>
      <c r="F1279">
        <v>0.11</v>
      </c>
      <c r="G1279">
        <v>1276</v>
      </c>
      <c r="H1279">
        <v>383</v>
      </c>
      <c r="I1279">
        <v>1110</v>
      </c>
      <c r="J1279">
        <v>374</v>
      </c>
    </row>
    <row r="1280" spans="1:10">
      <c r="A1280">
        <v>8473</v>
      </c>
      <c r="B1280" t="s">
        <v>6048</v>
      </c>
      <c r="C1280">
        <v>0.73</v>
      </c>
      <c r="D1280">
        <v>0.66</v>
      </c>
      <c r="E1280">
        <v>0.01</v>
      </c>
      <c r="F1280">
        <v>0</v>
      </c>
      <c r="G1280">
        <v>1276</v>
      </c>
      <c r="H1280">
        <v>1284</v>
      </c>
      <c r="I1280">
        <v>1110</v>
      </c>
      <c r="J1280" t="s">
        <v>6289</v>
      </c>
    </row>
    <row r="1281" spans="1:10">
      <c r="A1281">
        <v>4581</v>
      </c>
      <c r="B1281" t="s">
        <v>5585</v>
      </c>
      <c r="C1281">
        <v>0.7</v>
      </c>
      <c r="D1281">
        <v>26.09</v>
      </c>
      <c r="E1281">
        <v>0.02</v>
      </c>
      <c r="F1281">
        <v>0</v>
      </c>
      <c r="G1281">
        <v>1280</v>
      </c>
      <c r="H1281">
        <v>207</v>
      </c>
      <c r="I1281">
        <v>1051</v>
      </c>
      <c r="J1281" t="s">
        <v>6289</v>
      </c>
    </row>
    <row r="1282" spans="1:10">
      <c r="A1282">
        <v>1476</v>
      </c>
      <c r="B1282" t="s">
        <v>4865</v>
      </c>
      <c r="C1282">
        <v>0.69</v>
      </c>
      <c r="D1282">
        <v>38.840000000000003</v>
      </c>
      <c r="E1282">
        <v>1.7</v>
      </c>
      <c r="F1282">
        <v>1.43</v>
      </c>
      <c r="G1282">
        <v>1281</v>
      </c>
      <c r="H1282">
        <v>127</v>
      </c>
      <c r="I1282">
        <v>94</v>
      </c>
      <c r="J1282">
        <v>159</v>
      </c>
    </row>
    <row r="1283" spans="1:10">
      <c r="A1283">
        <v>2035</v>
      </c>
      <c r="B1283" t="s">
        <v>4999</v>
      </c>
      <c r="C1283">
        <v>0.69</v>
      </c>
      <c r="D1283">
        <v>0.05</v>
      </c>
      <c r="E1283">
        <v>0.01</v>
      </c>
      <c r="F1283">
        <v>0</v>
      </c>
      <c r="G1283">
        <v>1281</v>
      </c>
      <c r="H1283">
        <v>1457</v>
      </c>
      <c r="I1283">
        <v>1110</v>
      </c>
      <c r="J1283" t="s">
        <v>6289</v>
      </c>
    </row>
    <row r="1284" spans="1:10">
      <c r="A1284">
        <v>2855</v>
      </c>
      <c r="B1284" t="s">
        <v>5237</v>
      </c>
      <c r="C1284">
        <v>0.69</v>
      </c>
      <c r="D1284">
        <v>8.4700000000000006</v>
      </c>
      <c r="E1284">
        <v>0.02</v>
      </c>
      <c r="F1284">
        <v>0.06</v>
      </c>
      <c r="G1284">
        <v>1281</v>
      </c>
      <c r="H1284">
        <v>569</v>
      </c>
      <c r="I1284">
        <v>1051</v>
      </c>
      <c r="J1284">
        <v>416</v>
      </c>
    </row>
    <row r="1285" spans="1:10">
      <c r="A1285">
        <v>6214</v>
      </c>
      <c r="B1285" t="s">
        <v>5816</v>
      </c>
      <c r="C1285">
        <v>0.69</v>
      </c>
      <c r="D1285">
        <v>11.93</v>
      </c>
      <c r="E1285">
        <v>0.13</v>
      </c>
      <c r="F1285">
        <v>0</v>
      </c>
      <c r="G1285">
        <v>1281</v>
      </c>
      <c r="H1285">
        <v>432</v>
      </c>
      <c r="I1285">
        <v>667</v>
      </c>
      <c r="J1285" t="s">
        <v>6289</v>
      </c>
    </row>
    <row r="1286" spans="1:10">
      <c r="A1286">
        <v>5904</v>
      </c>
      <c r="B1286" t="s">
        <v>5736</v>
      </c>
      <c r="C1286">
        <v>0.68</v>
      </c>
      <c r="D1286">
        <v>31.77</v>
      </c>
      <c r="E1286">
        <v>0.04</v>
      </c>
      <c r="F1286">
        <v>0.3</v>
      </c>
      <c r="G1286">
        <v>1285</v>
      </c>
      <c r="H1286">
        <v>165</v>
      </c>
      <c r="I1286">
        <v>936</v>
      </c>
      <c r="J1286">
        <v>299</v>
      </c>
    </row>
    <row r="1287" spans="1:10">
      <c r="A1287">
        <v>8085</v>
      </c>
      <c r="B1287" t="s">
        <v>6234</v>
      </c>
      <c r="C1287">
        <v>0.68</v>
      </c>
      <c r="D1287">
        <v>0.15</v>
      </c>
      <c r="E1287">
        <v>0</v>
      </c>
      <c r="F1287">
        <v>0</v>
      </c>
      <c r="G1287">
        <v>1285</v>
      </c>
      <c r="H1287">
        <v>1430</v>
      </c>
      <c r="I1287" t="s">
        <v>6289</v>
      </c>
      <c r="J1287" t="s">
        <v>6289</v>
      </c>
    </row>
    <row r="1288" spans="1:10">
      <c r="A1288">
        <v>8482</v>
      </c>
      <c r="B1288" t="s">
        <v>6053</v>
      </c>
      <c r="C1288">
        <v>0.67</v>
      </c>
      <c r="D1288">
        <v>90.18</v>
      </c>
      <c r="E1288">
        <v>0</v>
      </c>
      <c r="F1288">
        <v>0</v>
      </c>
      <c r="G1288">
        <v>1287</v>
      </c>
      <c r="H1288">
        <v>3</v>
      </c>
      <c r="I1288" t="s">
        <v>6289</v>
      </c>
      <c r="J1288" t="s">
        <v>6289</v>
      </c>
    </row>
    <row r="1289" spans="1:10">
      <c r="A1289">
        <v>3226</v>
      </c>
      <c r="B1289" t="s">
        <v>6343</v>
      </c>
      <c r="C1289">
        <v>0.65</v>
      </c>
      <c r="D1289">
        <v>0.01</v>
      </c>
      <c r="E1289">
        <v>0</v>
      </c>
      <c r="F1289">
        <v>0</v>
      </c>
      <c r="G1289">
        <v>1288</v>
      </c>
      <c r="H1289">
        <v>1470</v>
      </c>
      <c r="I1289" t="s">
        <v>6289</v>
      </c>
      <c r="J1289" t="s">
        <v>6289</v>
      </c>
    </row>
    <row r="1290" spans="1:10">
      <c r="A1290">
        <v>3388</v>
      </c>
      <c r="B1290" t="s">
        <v>5400</v>
      </c>
      <c r="C1290">
        <v>0.65</v>
      </c>
      <c r="D1290">
        <v>6.6</v>
      </c>
      <c r="E1290">
        <v>0.84</v>
      </c>
      <c r="F1290">
        <v>0</v>
      </c>
      <c r="G1290">
        <v>1288</v>
      </c>
      <c r="H1290">
        <v>663</v>
      </c>
      <c r="I1290">
        <v>211</v>
      </c>
      <c r="J1290" t="s">
        <v>6289</v>
      </c>
    </row>
    <row r="1291" spans="1:10">
      <c r="A1291">
        <v>4417</v>
      </c>
      <c r="B1291" t="s">
        <v>5552</v>
      </c>
      <c r="C1291">
        <v>0.64</v>
      </c>
      <c r="D1291">
        <v>3.47</v>
      </c>
      <c r="E1291">
        <v>0.01</v>
      </c>
      <c r="F1291">
        <v>0</v>
      </c>
      <c r="G1291">
        <v>1290</v>
      </c>
      <c r="H1291">
        <v>874</v>
      </c>
      <c r="I1291">
        <v>1110</v>
      </c>
      <c r="J1291" t="s">
        <v>6289</v>
      </c>
    </row>
    <row r="1292" spans="1:10">
      <c r="A1292">
        <v>8437</v>
      </c>
      <c r="B1292" t="s">
        <v>6035</v>
      </c>
      <c r="C1292">
        <v>0.64</v>
      </c>
      <c r="D1292">
        <v>39.94</v>
      </c>
      <c r="E1292">
        <v>0</v>
      </c>
      <c r="F1292">
        <v>0</v>
      </c>
      <c r="G1292">
        <v>1290</v>
      </c>
      <c r="H1292">
        <v>119</v>
      </c>
      <c r="I1292" t="s">
        <v>6289</v>
      </c>
      <c r="J1292" t="s">
        <v>6289</v>
      </c>
    </row>
    <row r="1293" spans="1:10">
      <c r="A1293">
        <v>1443</v>
      </c>
      <c r="B1293" t="s">
        <v>6366</v>
      </c>
      <c r="C1293">
        <v>0.62</v>
      </c>
      <c r="D1293">
        <v>0.19</v>
      </c>
      <c r="E1293">
        <v>0</v>
      </c>
      <c r="F1293">
        <v>0</v>
      </c>
      <c r="G1293">
        <v>1292</v>
      </c>
      <c r="H1293">
        <v>1412</v>
      </c>
      <c r="I1293" t="s">
        <v>6289</v>
      </c>
      <c r="J1293" t="s">
        <v>6289</v>
      </c>
    </row>
    <row r="1294" spans="1:10">
      <c r="A1294">
        <v>2881</v>
      </c>
      <c r="B1294" t="s">
        <v>5240</v>
      </c>
      <c r="C1294">
        <v>0.62</v>
      </c>
      <c r="D1294">
        <v>20.28</v>
      </c>
      <c r="E1294">
        <v>0.28000000000000003</v>
      </c>
      <c r="F1294">
        <v>1.1299999999999999</v>
      </c>
      <c r="G1294">
        <v>1292</v>
      </c>
      <c r="H1294">
        <v>278</v>
      </c>
      <c r="I1294">
        <v>485</v>
      </c>
      <c r="J1294">
        <v>184</v>
      </c>
    </row>
    <row r="1295" spans="1:10">
      <c r="A1295">
        <v>1521</v>
      </c>
      <c r="B1295" t="s">
        <v>4875</v>
      </c>
      <c r="C1295">
        <v>0.61</v>
      </c>
      <c r="D1295">
        <v>33.299999999999997</v>
      </c>
      <c r="E1295">
        <v>0.02</v>
      </c>
      <c r="F1295">
        <v>0</v>
      </c>
      <c r="G1295">
        <v>1294</v>
      </c>
      <c r="H1295">
        <v>153</v>
      </c>
      <c r="I1295">
        <v>1051</v>
      </c>
      <c r="J1295" t="s">
        <v>6289</v>
      </c>
    </row>
    <row r="1296" spans="1:10">
      <c r="A1296">
        <v>2633</v>
      </c>
      <c r="B1296" t="s">
        <v>5201</v>
      </c>
      <c r="C1296">
        <v>0.61</v>
      </c>
      <c r="D1296">
        <v>10.1</v>
      </c>
      <c r="E1296">
        <v>0.2</v>
      </c>
      <c r="F1296">
        <v>0.24</v>
      </c>
      <c r="G1296">
        <v>1294</v>
      </c>
      <c r="H1296">
        <v>498</v>
      </c>
      <c r="I1296">
        <v>558</v>
      </c>
      <c r="J1296">
        <v>315</v>
      </c>
    </row>
    <row r="1297" spans="1:10">
      <c r="A1297">
        <v>4104</v>
      </c>
      <c r="B1297" t="s">
        <v>5511</v>
      </c>
      <c r="C1297">
        <v>0.6</v>
      </c>
      <c r="D1297">
        <v>8.51</v>
      </c>
      <c r="E1297">
        <v>0.22</v>
      </c>
      <c r="F1297">
        <v>0</v>
      </c>
      <c r="G1297">
        <v>1296</v>
      </c>
      <c r="H1297">
        <v>568</v>
      </c>
      <c r="I1297">
        <v>537</v>
      </c>
      <c r="J1297" t="s">
        <v>6289</v>
      </c>
    </row>
    <row r="1298" spans="1:10">
      <c r="A1298">
        <v>6596</v>
      </c>
      <c r="B1298" t="s">
        <v>6256</v>
      </c>
      <c r="C1298">
        <v>0.6</v>
      </c>
      <c r="D1298">
        <v>0.14000000000000001</v>
      </c>
      <c r="E1298">
        <v>0</v>
      </c>
      <c r="F1298">
        <v>0</v>
      </c>
      <c r="G1298">
        <v>1296</v>
      </c>
      <c r="H1298">
        <v>1433</v>
      </c>
      <c r="I1298" t="s">
        <v>6289</v>
      </c>
      <c r="J1298" t="s">
        <v>6289</v>
      </c>
    </row>
    <row r="1299" spans="1:10">
      <c r="A1299">
        <v>1737</v>
      </c>
      <c r="B1299" t="s">
        <v>4950</v>
      </c>
      <c r="C1299">
        <v>0.59</v>
      </c>
      <c r="D1299">
        <v>9.3800000000000008</v>
      </c>
      <c r="E1299">
        <v>2.09</v>
      </c>
      <c r="F1299">
        <v>0</v>
      </c>
      <c r="G1299">
        <v>1298</v>
      </c>
      <c r="H1299">
        <v>527</v>
      </c>
      <c r="I1299">
        <v>75</v>
      </c>
      <c r="J1299" t="s">
        <v>6289</v>
      </c>
    </row>
    <row r="1300" spans="1:10">
      <c r="A1300">
        <v>2816</v>
      </c>
      <c r="B1300" t="s">
        <v>5226</v>
      </c>
      <c r="C1300">
        <v>0.59</v>
      </c>
      <c r="D1300">
        <v>1.41</v>
      </c>
      <c r="E1300">
        <v>0</v>
      </c>
      <c r="F1300">
        <v>0</v>
      </c>
      <c r="G1300">
        <v>1298</v>
      </c>
      <c r="H1300">
        <v>1131</v>
      </c>
      <c r="I1300" t="s">
        <v>6289</v>
      </c>
      <c r="J1300" t="s">
        <v>6289</v>
      </c>
    </row>
    <row r="1301" spans="1:10">
      <c r="A1301">
        <v>3705</v>
      </c>
      <c r="B1301" t="s">
        <v>5503</v>
      </c>
      <c r="C1301">
        <v>0.59</v>
      </c>
      <c r="D1301">
        <v>11.42</v>
      </c>
      <c r="E1301">
        <v>0.39</v>
      </c>
      <c r="F1301">
        <v>0</v>
      </c>
      <c r="G1301">
        <v>1298</v>
      </c>
      <c r="H1301">
        <v>443</v>
      </c>
      <c r="I1301">
        <v>379</v>
      </c>
      <c r="J1301" t="s">
        <v>6289</v>
      </c>
    </row>
    <row r="1302" spans="1:10">
      <c r="A1302">
        <v>6263</v>
      </c>
      <c r="B1302" t="s">
        <v>5843</v>
      </c>
      <c r="C1302">
        <v>0.59</v>
      </c>
      <c r="D1302">
        <v>2.44</v>
      </c>
      <c r="E1302">
        <v>0.16</v>
      </c>
      <c r="F1302">
        <v>0</v>
      </c>
      <c r="G1302">
        <v>1298</v>
      </c>
      <c r="H1302">
        <v>978</v>
      </c>
      <c r="I1302">
        <v>614</v>
      </c>
      <c r="J1302" t="s">
        <v>6289</v>
      </c>
    </row>
    <row r="1303" spans="1:10">
      <c r="A1303">
        <v>3702</v>
      </c>
      <c r="B1303" t="s">
        <v>5500</v>
      </c>
      <c r="C1303">
        <v>0.57999999999999996</v>
      </c>
      <c r="D1303">
        <v>28.25</v>
      </c>
      <c r="E1303">
        <v>5.87</v>
      </c>
      <c r="F1303">
        <v>5.66</v>
      </c>
      <c r="G1303">
        <v>1302</v>
      </c>
      <c r="H1303">
        <v>196</v>
      </c>
      <c r="I1303">
        <v>12</v>
      </c>
      <c r="J1303">
        <v>45</v>
      </c>
    </row>
    <row r="1304" spans="1:10">
      <c r="A1304">
        <v>6412</v>
      </c>
      <c r="B1304" t="s">
        <v>5866</v>
      </c>
      <c r="C1304">
        <v>0.57999999999999996</v>
      </c>
      <c r="D1304">
        <v>13.76</v>
      </c>
      <c r="E1304">
        <v>0.04</v>
      </c>
      <c r="F1304">
        <v>0.46</v>
      </c>
      <c r="G1304">
        <v>1302</v>
      </c>
      <c r="H1304">
        <v>385</v>
      </c>
      <c r="I1304">
        <v>936</v>
      </c>
      <c r="J1304">
        <v>259</v>
      </c>
    </row>
    <row r="1305" spans="1:10">
      <c r="A1305">
        <v>5306</v>
      </c>
      <c r="B1305" t="s">
        <v>5675</v>
      </c>
      <c r="C1305">
        <v>0.56999999999999995</v>
      </c>
      <c r="D1305">
        <v>23.51</v>
      </c>
      <c r="E1305">
        <v>0.1</v>
      </c>
      <c r="F1305">
        <v>0.02</v>
      </c>
      <c r="G1305">
        <v>1304</v>
      </c>
      <c r="H1305">
        <v>234</v>
      </c>
      <c r="I1305">
        <v>734</v>
      </c>
      <c r="J1305">
        <v>473</v>
      </c>
    </row>
    <row r="1306" spans="1:10">
      <c r="A1306">
        <v>2324</v>
      </c>
      <c r="B1306" t="s">
        <v>5044</v>
      </c>
      <c r="C1306">
        <v>0.56000000000000005</v>
      </c>
      <c r="D1306">
        <v>41.98</v>
      </c>
      <c r="E1306">
        <v>4.8499999999999996</v>
      </c>
      <c r="F1306">
        <v>9.2200000000000006</v>
      </c>
      <c r="G1306">
        <v>1305</v>
      </c>
      <c r="H1306">
        <v>111</v>
      </c>
      <c r="I1306">
        <v>26</v>
      </c>
      <c r="J1306">
        <v>15</v>
      </c>
    </row>
    <row r="1307" spans="1:10">
      <c r="A1307">
        <v>1215</v>
      </c>
      <c r="B1307" t="s">
        <v>4786</v>
      </c>
      <c r="C1307">
        <v>0.55000000000000004</v>
      </c>
      <c r="D1307">
        <v>39.43</v>
      </c>
      <c r="E1307">
        <v>0.24</v>
      </c>
      <c r="F1307">
        <v>0.86</v>
      </c>
      <c r="G1307">
        <v>1306</v>
      </c>
      <c r="H1307">
        <v>123</v>
      </c>
      <c r="I1307">
        <v>514</v>
      </c>
      <c r="J1307">
        <v>205</v>
      </c>
    </row>
    <row r="1308" spans="1:10">
      <c r="A1308">
        <v>2535</v>
      </c>
      <c r="B1308" t="s">
        <v>5173</v>
      </c>
      <c r="C1308">
        <v>0.54</v>
      </c>
      <c r="D1308">
        <v>9.6</v>
      </c>
      <c r="E1308">
        <v>6.58</v>
      </c>
      <c r="F1308">
        <v>0.12</v>
      </c>
      <c r="G1308">
        <v>1307</v>
      </c>
      <c r="H1308">
        <v>515</v>
      </c>
      <c r="I1308">
        <v>10</v>
      </c>
      <c r="J1308">
        <v>362</v>
      </c>
    </row>
    <row r="1309" spans="1:10">
      <c r="A1309">
        <v>6669</v>
      </c>
      <c r="B1309" t="s">
        <v>5937</v>
      </c>
      <c r="C1309">
        <v>0.54</v>
      </c>
      <c r="D1309">
        <v>34.31</v>
      </c>
      <c r="E1309">
        <v>7.0000000000000007E-2</v>
      </c>
      <c r="F1309">
        <v>1.97</v>
      </c>
      <c r="G1309">
        <v>1307</v>
      </c>
      <c r="H1309">
        <v>143</v>
      </c>
      <c r="I1309">
        <v>824</v>
      </c>
      <c r="J1309">
        <v>132</v>
      </c>
    </row>
    <row r="1310" spans="1:10">
      <c r="A1310">
        <v>1307</v>
      </c>
      <c r="B1310" t="s">
        <v>4809</v>
      </c>
      <c r="C1310">
        <v>0.53</v>
      </c>
      <c r="D1310">
        <v>11.08</v>
      </c>
      <c r="E1310">
        <v>0.1</v>
      </c>
      <c r="F1310">
        <v>0</v>
      </c>
      <c r="G1310">
        <v>1309</v>
      </c>
      <c r="H1310">
        <v>459</v>
      </c>
      <c r="I1310">
        <v>734</v>
      </c>
      <c r="J1310" t="s">
        <v>6289</v>
      </c>
    </row>
    <row r="1311" spans="1:10">
      <c r="A1311">
        <v>2330</v>
      </c>
      <c r="B1311" t="s">
        <v>5048</v>
      </c>
      <c r="C1311">
        <v>0.52</v>
      </c>
      <c r="D1311">
        <v>72.56</v>
      </c>
      <c r="E1311">
        <v>0.64</v>
      </c>
      <c r="F1311">
        <v>1.29</v>
      </c>
      <c r="G1311">
        <v>1310</v>
      </c>
      <c r="H1311">
        <v>20</v>
      </c>
      <c r="I1311">
        <v>270</v>
      </c>
      <c r="J1311">
        <v>169</v>
      </c>
    </row>
    <row r="1312" spans="1:10">
      <c r="A1312">
        <v>2459</v>
      </c>
      <c r="B1312" t="s">
        <v>5128</v>
      </c>
      <c r="C1312">
        <v>0.52</v>
      </c>
      <c r="D1312">
        <v>17.670000000000002</v>
      </c>
      <c r="E1312">
        <v>0.37</v>
      </c>
      <c r="F1312">
        <v>0.01</v>
      </c>
      <c r="G1312">
        <v>1310</v>
      </c>
      <c r="H1312">
        <v>312</v>
      </c>
      <c r="I1312">
        <v>395</v>
      </c>
      <c r="J1312">
        <v>491</v>
      </c>
    </row>
    <row r="1313" spans="1:10">
      <c r="A1313">
        <v>2882</v>
      </c>
      <c r="B1313" t="s">
        <v>5241</v>
      </c>
      <c r="C1313">
        <v>0.52</v>
      </c>
      <c r="D1313">
        <v>24.73</v>
      </c>
      <c r="E1313">
        <v>0.43</v>
      </c>
      <c r="F1313">
        <v>1.29</v>
      </c>
      <c r="G1313">
        <v>1310</v>
      </c>
      <c r="H1313">
        <v>225</v>
      </c>
      <c r="I1313">
        <v>355</v>
      </c>
      <c r="J1313">
        <v>169</v>
      </c>
    </row>
    <row r="1314" spans="1:10">
      <c r="A1314">
        <v>5312</v>
      </c>
      <c r="B1314" t="s">
        <v>5676</v>
      </c>
      <c r="C1314">
        <v>0.51</v>
      </c>
      <c r="D1314">
        <v>11.4</v>
      </c>
      <c r="E1314">
        <v>0</v>
      </c>
      <c r="F1314">
        <v>0</v>
      </c>
      <c r="G1314">
        <v>1313</v>
      </c>
      <c r="H1314">
        <v>445</v>
      </c>
      <c r="I1314" t="s">
        <v>6289</v>
      </c>
      <c r="J1314" t="s">
        <v>6289</v>
      </c>
    </row>
    <row r="1315" spans="1:10">
      <c r="A1315">
        <v>3044</v>
      </c>
      <c r="B1315" t="s">
        <v>5302</v>
      </c>
      <c r="C1315">
        <v>0.5</v>
      </c>
      <c r="D1315">
        <v>42.08</v>
      </c>
      <c r="E1315">
        <v>3.35</v>
      </c>
      <c r="F1315">
        <v>6.44</v>
      </c>
      <c r="G1315">
        <v>1314</v>
      </c>
      <c r="H1315">
        <v>110</v>
      </c>
      <c r="I1315">
        <v>42</v>
      </c>
      <c r="J1315">
        <v>34</v>
      </c>
    </row>
    <row r="1316" spans="1:10">
      <c r="A1316">
        <v>5007</v>
      </c>
      <c r="B1316" t="s">
        <v>5644</v>
      </c>
      <c r="C1316">
        <v>0.5</v>
      </c>
      <c r="D1316">
        <v>3.24</v>
      </c>
      <c r="E1316">
        <v>0.01</v>
      </c>
      <c r="F1316">
        <v>0</v>
      </c>
      <c r="G1316">
        <v>1314</v>
      </c>
      <c r="H1316">
        <v>896</v>
      </c>
      <c r="I1316">
        <v>1110</v>
      </c>
      <c r="J1316" t="s">
        <v>6289</v>
      </c>
    </row>
    <row r="1317" spans="1:10">
      <c r="A1317">
        <v>2360</v>
      </c>
      <c r="B1317" t="s">
        <v>5068</v>
      </c>
      <c r="C1317">
        <v>0.48</v>
      </c>
      <c r="D1317">
        <v>67.569999999999993</v>
      </c>
      <c r="E1317">
        <v>0.1</v>
      </c>
      <c r="F1317">
        <v>0.66</v>
      </c>
      <c r="G1317">
        <v>1316</v>
      </c>
      <c r="H1317">
        <v>29</v>
      </c>
      <c r="I1317">
        <v>734</v>
      </c>
      <c r="J1317">
        <v>237</v>
      </c>
    </row>
    <row r="1318" spans="1:10">
      <c r="A1318">
        <v>8467</v>
      </c>
      <c r="B1318" t="s">
        <v>6047</v>
      </c>
      <c r="C1318">
        <v>0.48</v>
      </c>
      <c r="D1318">
        <v>44.35</v>
      </c>
      <c r="E1318">
        <v>0.02</v>
      </c>
      <c r="F1318">
        <v>0.01</v>
      </c>
      <c r="G1318">
        <v>1316</v>
      </c>
      <c r="H1318">
        <v>92</v>
      </c>
      <c r="I1318">
        <v>1051</v>
      </c>
      <c r="J1318">
        <v>491</v>
      </c>
    </row>
    <row r="1319" spans="1:10">
      <c r="A1319">
        <v>9941</v>
      </c>
      <c r="B1319" t="s">
        <v>6097</v>
      </c>
      <c r="C1319">
        <v>0.48</v>
      </c>
      <c r="D1319">
        <v>6.9</v>
      </c>
      <c r="E1319">
        <v>0.04</v>
      </c>
      <c r="F1319">
        <v>0.18</v>
      </c>
      <c r="G1319">
        <v>1316</v>
      </c>
      <c r="H1319">
        <v>641</v>
      </c>
      <c r="I1319">
        <v>936</v>
      </c>
      <c r="J1319">
        <v>334</v>
      </c>
    </row>
    <row r="1320" spans="1:10">
      <c r="A1320">
        <v>1419</v>
      </c>
      <c r="B1320" t="s">
        <v>4836</v>
      </c>
      <c r="C1320">
        <v>0.47</v>
      </c>
      <c r="D1320">
        <v>2.0699999999999998</v>
      </c>
      <c r="E1320">
        <v>0</v>
      </c>
      <c r="F1320">
        <v>0</v>
      </c>
      <c r="G1320">
        <v>1319</v>
      </c>
      <c r="H1320">
        <v>1022</v>
      </c>
      <c r="I1320" t="s">
        <v>6289</v>
      </c>
      <c r="J1320" t="s">
        <v>6289</v>
      </c>
    </row>
    <row r="1321" spans="1:10">
      <c r="A1321">
        <v>5871</v>
      </c>
      <c r="B1321" t="s">
        <v>5731</v>
      </c>
      <c r="C1321">
        <v>0.47</v>
      </c>
      <c r="D1321">
        <v>76.36</v>
      </c>
      <c r="E1321">
        <v>0.13</v>
      </c>
      <c r="F1321">
        <v>1.17</v>
      </c>
      <c r="G1321">
        <v>1319</v>
      </c>
      <c r="H1321">
        <v>11</v>
      </c>
      <c r="I1321">
        <v>667</v>
      </c>
      <c r="J1321">
        <v>180</v>
      </c>
    </row>
    <row r="1322" spans="1:10">
      <c r="A1322">
        <v>8342</v>
      </c>
      <c r="B1322" t="s">
        <v>6239</v>
      </c>
      <c r="C1322">
        <v>0.47</v>
      </c>
      <c r="D1322">
        <v>0.18</v>
      </c>
      <c r="E1322">
        <v>0.17</v>
      </c>
      <c r="F1322">
        <v>0</v>
      </c>
      <c r="G1322">
        <v>1319</v>
      </c>
      <c r="H1322">
        <v>1417</v>
      </c>
      <c r="I1322">
        <v>598</v>
      </c>
      <c r="J1322" t="s">
        <v>6289</v>
      </c>
    </row>
    <row r="1323" spans="1:10">
      <c r="A1323">
        <v>8481</v>
      </c>
      <c r="B1323" t="s">
        <v>6052</v>
      </c>
      <c r="C1323">
        <v>0.47</v>
      </c>
      <c r="D1323">
        <v>0.33</v>
      </c>
      <c r="E1323">
        <v>0.02</v>
      </c>
      <c r="F1323">
        <v>0</v>
      </c>
      <c r="G1323">
        <v>1319</v>
      </c>
      <c r="H1323">
        <v>1375</v>
      </c>
      <c r="I1323">
        <v>1051</v>
      </c>
      <c r="J1323" t="s">
        <v>6289</v>
      </c>
    </row>
    <row r="1324" spans="1:10">
      <c r="A1324">
        <v>2308</v>
      </c>
      <c r="B1324" t="s">
        <v>5038</v>
      </c>
      <c r="C1324">
        <v>0.46</v>
      </c>
      <c r="D1324">
        <v>66.040000000000006</v>
      </c>
      <c r="E1324">
        <v>0.3</v>
      </c>
      <c r="F1324">
        <v>1.82</v>
      </c>
      <c r="G1324">
        <v>1323</v>
      </c>
      <c r="H1324">
        <v>34</v>
      </c>
      <c r="I1324">
        <v>466</v>
      </c>
      <c r="J1324">
        <v>142</v>
      </c>
    </row>
    <row r="1325" spans="1:10">
      <c r="A1325">
        <v>2414</v>
      </c>
      <c r="B1325" t="s">
        <v>5101</v>
      </c>
      <c r="C1325">
        <v>0.45</v>
      </c>
      <c r="D1325">
        <v>7.36</v>
      </c>
      <c r="E1325">
        <v>0.02</v>
      </c>
      <c r="F1325">
        <v>0</v>
      </c>
      <c r="G1325">
        <v>1324</v>
      </c>
      <c r="H1325">
        <v>612</v>
      </c>
      <c r="I1325">
        <v>1051</v>
      </c>
      <c r="J1325" t="s">
        <v>6289</v>
      </c>
    </row>
    <row r="1326" spans="1:10">
      <c r="A1326">
        <v>6277</v>
      </c>
      <c r="B1326" t="s">
        <v>5852</v>
      </c>
      <c r="C1326">
        <v>0.45</v>
      </c>
      <c r="D1326">
        <v>12.98</v>
      </c>
      <c r="E1326">
        <v>0.43</v>
      </c>
      <c r="F1326">
        <v>0.01</v>
      </c>
      <c r="G1326">
        <v>1324</v>
      </c>
      <c r="H1326">
        <v>403</v>
      </c>
      <c r="I1326">
        <v>355</v>
      </c>
      <c r="J1326">
        <v>491</v>
      </c>
    </row>
    <row r="1327" spans="1:10">
      <c r="A1327">
        <v>1614</v>
      </c>
      <c r="B1327" t="s">
        <v>4920</v>
      </c>
      <c r="C1327">
        <v>0.44</v>
      </c>
      <c r="D1327">
        <v>2.08</v>
      </c>
      <c r="E1327">
        <v>0.01</v>
      </c>
      <c r="F1327">
        <v>0</v>
      </c>
      <c r="G1327">
        <v>1326</v>
      </c>
      <c r="H1327">
        <v>1020</v>
      </c>
      <c r="I1327">
        <v>1110</v>
      </c>
      <c r="J1327" t="s">
        <v>6289</v>
      </c>
    </row>
    <row r="1328" spans="1:10">
      <c r="A1328">
        <v>6671</v>
      </c>
      <c r="B1328" t="s">
        <v>5939</v>
      </c>
      <c r="C1328">
        <v>0.44</v>
      </c>
      <c r="D1328">
        <v>54.61</v>
      </c>
      <c r="E1328">
        <v>0.03</v>
      </c>
      <c r="F1328">
        <v>0</v>
      </c>
      <c r="G1328">
        <v>1326</v>
      </c>
      <c r="H1328">
        <v>59</v>
      </c>
      <c r="I1328">
        <v>978</v>
      </c>
      <c r="J1328" t="s">
        <v>6289</v>
      </c>
    </row>
    <row r="1329" spans="1:10">
      <c r="A1329">
        <v>3023</v>
      </c>
      <c r="B1329" t="s">
        <v>5284</v>
      </c>
      <c r="C1329">
        <v>0.43</v>
      </c>
      <c r="D1329">
        <v>60</v>
      </c>
      <c r="E1329">
        <v>0</v>
      </c>
      <c r="F1329">
        <v>1.05</v>
      </c>
      <c r="G1329">
        <v>1328</v>
      </c>
      <c r="H1329">
        <v>48</v>
      </c>
      <c r="I1329" t="s">
        <v>6289</v>
      </c>
      <c r="J1329">
        <v>191</v>
      </c>
    </row>
    <row r="1330" spans="1:10">
      <c r="A1330">
        <v>4138</v>
      </c>
      <c r="B1330" t="s">
        <v>6218</v>
      </c>
      <c r="C1330">
        <v>0.43</v>
      </c>
      <c r="D1330">
        <v>1.1599999999999999</v>
      </c>
      <c r="E1330">
        <v>0</v>
      </c>
      <c r="F1330">
        <v>0</v>
      </c>
      <c r="G1330">
        <v>1328</v>
      </c>
      <c r="H1330">
        <v>1180</v>
      </c>
      <c r="I1330" t="s">
        <v>6289</v>
      </c>
      <c r="J1330" t="s">
        <v>6289</v>
      </c>
    </row>
    <row r="1331" spans="1:10">
      <c r="A1331">
        <v>4706</v>
      </c>
      <c r="B1331" t="s">
        <v>6347</v>
      </c>
      <c r="C1331">
        <v>0.43</v>
      </c>
      <c r="D1331">
        <v>31.05</v>
      </c>
      <c r="E1331">
        <v>0.01</v>
      </c>
      <c r="F1331">
        <v>0</v>
      </c>
      <c r="G1331">
        <v>1328</v>
      </c>
      <c r="H1331">
        <v>172</v>
      </c>
      <c r="I1331">
        <v>1110</v>
      </c>
      <c r="J1331" t="s">
        <v>6289</v>
      </c>
    </row>
    <row r="1332" spans="1:10">
      <c r="A1332">
        <v>9914</v>
      </c>
      <c r="B1332" t="s">
        <v>6079</v>
      </c>
      <c r="C1332">
        <v>0.43</v>
      </c>
      <c r="D1332">
        <v>41.51</v>
      </c>
      <c r="E1332">
        <v>0.25</v>
      </c>
      <c r="F1332">
        <v>2.06</v>
      </c>
      <c r="G1332">
        <v>1328</v>
      </c>
      <c r="H1332">
        <v>112</v>
      </c>
      <c r="I1332">
        <v>507</v>
      </c>
      <c r="J1332">
        <v>128</v>
      </c>
    </row>
    <row r="1333" spans="1:10">
      <c r="A1333">
        <v>8083</v>
      </c>
      <c r="B1333" t="s">
        <v>6346</v>
      </c>
      <c r="C1333">
        <v>0.42</v>
      </c>
      <c r="D1333">
        <v>0.79</v>
      </c>
      <c r="E1333">
        <v>0.22</v>
      </c>
      <c r="F1333">
        <v>0</v>
      </c>
      <c r="G1333">
        <v>1332</v>
      </c>
      <c r="H1333">
        <v>1248</v>
      </c>
      <c r="I1333">
        <v>537</v>
      </c>
      <c r="J1333" t="s">
        <v>6289</v>
      </c>
    </row>
    <row r="1334" spans="1:10">
      <c r="A1334">
        <v>1730</v>
      </c>
      <c r="B1334" t="s">
        <v>4943</v>
      </c>
      <c r="C1334">
        <v>0.41</v>
      </c>
      <c r="D1334">
        <v>7.06</v>
      </c>
      <c r="E1334">
        <v>0.2</v>
      </c>
      <c r="F1334">
        <v>0</v>
      </c>
      <c r="G1334">
        <v>1333</v>
      </c>
      <c r="H1334">
        <v>633</v>
      </c>
      <c r="I1334">
        <v>558</v>
      </c>
      <c r="J1334" t="s">
        <v>6289</v>
      </c>
    </row>
    <row r="1335" spans="1:10">
      <c r="A1335">
        <v>2548</v>
      </c>
      <c r="B1335" t="s">
        <v>5182</v>
      </c>
      <c r="C1335">
        <v>0.41</v>
      </c>
      <c r="D1335">
        <v>19.260000000000002</v>
      </c>
      <c r="E1335">
        <v>2.4500000000000002</v>
      </c>
      <c r="F1335">
        <v>0.32</v>
      </c>
      <c r="G1335">
        <v>1333</v>
      </c>
      <c r="H1335">
        <v>290</v>
      </c>
      <c r="I1335">
        <v>59</v>
      </c>
      <c r="J1335">
        <v>295</v>
      </c>
    </row>
    <row r="1336" spans="1:10">
      <c r="A1336">
        <v>2809</v>
      </c>
      <c r="B1336" t="s">
        <v>5224</v>
      </c>
      <c r="C1336">
        <v>0.41</v>
      </c>
      <c r="D1336">
        <v>15.49</v>
      </c>
      <c r="E1336">
        <v>2.79</v>
      </c>
      <c r="F1336">
        <v>1.07</v>
      </c>
      <c r="G1336">
        <v>1333</v>
      </c>
      <c r="H1336">
        <v>343</v>
      </c>
      <c r="I1336">
        <v>52</v>
      </c>
      <c r="J1336">
        <v>190</v>
      </c>
    </row>
    <row r="1337" spans="1:10">
      <c r="A1337">
        <v>4766</v>
      </c>
      <c r="B1337" t="s">
        <v>5606</v>
      </c>
      <c r="C1337">
        <v>0.41</v>
      </c>
      <c r="D1337">
        <v>15.37</v>
      </c>
      <c r="E1337">
        <v>0.03</v>
      </c>
      <c r="F1337">
        <v>0</v>
      </c>
      <c r="G1337">
        <v>1333</v>
      </c>
      <c r="H1337">
        <v>348</v>
      </c>
      <c r="I1337">
        <v>978</v>
      </c>
      <c r="J1337" t="s">
        <v>6289</v>
      </c>
    </row>
    <row r="1338" spans="1:10">
      <c r="A1338">
        <v>4907</v>
      </c>
      <c r="B1338" t="s">
        <v>6348</v>
      </c>
      <c r="C1338">
        <v>0.41</v>
      </c>
      <c r="D1338">
        <v>7.0000000000000007E-2</v>
      </c>
      <c r="E1338">
        <v>0</v>
      </c>
      <c r="F1338">
        <v>0</v>
      </c>
      <c r="G1338">
        <v>1333</v>
      </c>
      <c r="H1338">
        <v>1453</v>
      </c>
      <c r="I1338" t="s">
        <v>6289</v>
      </c>
      <c r="J1338" t="s">
        <v>6289</v>
      </c>
    </row>
    <row r="1339" spans="1:10">
      <c r="A1339">
        <v>8926</v>
      </c>
      <c r="B1339" t="s">
        <v>6061</v>
      </c>
      <c r="C1339">
        <v>0.41</v>
      </c>
      <c r="D1339">
        <v>7.31</v>
      </c>
      <c r="E1339">
        <v>0.42</v>
      </c>
      <c r="F1339">
        <v>0.11</v>
      </c>
      <c r="G1339">
        <v>1333</v>
      </c>
      <c r="H1339">
        <v>615</v>
      </c>
      <c r="I1339">
        <v>363</v>
      </c>
      <c r="J1339">
        <v>374</v>
      </c>
    </row>
    <row r="1340" spans="1:10">
      <c r="A1340">
        <v>2501</v>
      </c>
      <c r="B1340" t="s">
        <v>5159</v>
      </c>
      <c r="C1340">
        <v>0.4</v>
      </c>
      <c r="D1340">
        <v>7.57</v>
      </c>
      <c r="E1340">
        <v>0.11</v>
      </c>
      <c r="F1340">
        <v>0</v>
      </c>
      <c r="G1340">
        <v>1339</v>
      </c>
      <c r="H1340">
        <v>599</v>
      </c>
      <c r="I1340">
        <v>708</v>
      </c>
      <c r="J1340" t="s">
        <v>6289</v>
      </c>
    </row>
    <row r="1341" spans="1:10">
      <c r="A1341">
        <v>2889</v>
      </c>
      <c r="B1341" t="s">
        <v>5248</v>
      </c>
      <c r="C1341">
        <v>0.4</v>
      </c>
      <c r="D1341">
        <v>10.85</v>
      </c>
      <c r="E1341">
        <v>0.1</v>
      </c>
      <c r="F1341">
        <v>7.0000000000000007E-2</v>
      </c>
      <c r="G1341">
        <v>1339</v>
      </c>
      <c r="H1341">
        <v>473</v>
      </c>
      <c r="I1341">
        <v>734</v>
      </c>
      <c r="J1341">
        <v>407</v>
      </c>
    </row>
    <row r="1342" spans="1:10">
      <c r="A1342">
        <v>9921</v>
      </c>
      <c r="B1342" t="s">
        <v>6083</v>
      </c>
      <c r="C1342">
        <v>0.39</v>
      </c>
      <c r="D1342">
        <v>52.12</v>
      </c>
      <c r="E1342">
        <v>0.06</v>
      </c>
      <c r="F1342">
        <v>0.11</v>
      </c>
      <c r="G1342">
        <v>1341</v>
      </c>
      <c r="H1342">
        <v>70</v>
      </c>
      <c r="I1342">
        <v>852</v>
      </c>
      <c r="J1342">
        <v>374</v>
      </c>
    </row>
    <row r="1343" spans="1:10">
      <c r="A1343">
        <v>1101</v>
      </c>
      <c r="B1343" t="s">
        <v>4776</v>
      </c>
      <c r="C1343">
        <v>0.38</v>
      </c>
      <c r="D1343">
        <v>21.5</v>
      </c>
      <c r="E1343">
        <v>1.95</v>
      </c>
      <c r="F1343">
        <v>3.6</v>
      </c>
      <c r="G1343">
        <v>1342</v>
      </c>
      <c r="H1343">
        <v>264</v>
      </c>
      <c r="I1343">
        <v>80</v>
      </c>
      <c r="J1343">
        <v>80</v>
      </c>
    </row>
    <row r="1344" spans="1:10">
      <c r="A1344">
        <v>1735</v>
      </c>
      <c r="B1344" t="s">
        <v>4948</v>
      </c>
      <c r="C1344">
        <v>0.38</v>
      </c>
      <c r="D1344">
        <v>50.26</v>
      </c>
      <c r="E1344">
        <v>0.02</v>
      </c>
      <c r="F1344">
        <v>0.12</v>
      </c>
      <c r="G1344">
        <v>1342</v>
      </c>
      <c r="H1344">
        <v>78</v>
      </c>
      <c r="I1344">
        <v>1051</v>
      </c>
      <c r="J1344">
        <v>362</v>
      </c>
    </row>
    <row r="1345" spans="1:10">
      <c r="A1345">
        <v>5525</v>
      </c>
      <c r="B1345" t="s">
        <v>5715</v>
      </c>
      <c r="C1345">
        <v>0.38</v>
      </c>
      <c r="D1345">
        <v>1.41</v>
      </c>
      <c r="E1345">
        <v>0</v>
      </c>
      <c r="F1345">
        <v>0</v>
      </c>
      <c r="G1345">
        <v>1342</v>
      </c>
      <c r="H1345">
        <v>1131</v>
      </c>
      <c r="I1345" t="s">
        <v>6289</v>
      </c>
      <c r="J1345" t="s">
        <v>6289</v>
      </c>
    </row>
    <row r="1346" spans="1:10">
      <c r="A1346">
        <v>6292</v>
      </c>
      <c r="B1346" t="s">
        <v>5862</v>
      </c>
      <c r="C1346">
        <v>0.38</v>
      </c>
      <c r="D1346">
        <v>1.28</v>
      </c>
      <c r="E1346">
        <v>0</v>
      </c>
      <c r="F1346">
        <v>0</v>
      </c>
      <c r="G1346">
        <v>1342</v>
      </c>
      <c r="H1346">
        <v>1153</v>
      </c>
      <c r="I1346" t="s">
        <v>6289</v>
      </c>
      <c r="J1346" t="s">
        <v>6289</v>
      </c>
    </row>
    <row r="1347" spans="1:10">
      <c r="A1347">
        <v>9943</v>
      </c>
      <c r="B1347" t="s">
        <v>6099</v>
      </c>
      <c r="C1347">
        <v>0.38</v>
      </c>
      <c r="D1347">
        <v>1.43</v>
      </c>
      <c r="E1347">
        <v>0.01</v>
      </c>
      <c r="F1347">
        <v>0</v>
      </c>
      <c r="G1347">
        <v>1342</v>
      </c>
      <c r="H1347">
        <v>1124</v>
      </c>
      <c r="I1347">
        <v>1110</v>
      </c>
      <c r="J1347" t="s">
        <v>6289</v>
      </c>
    </row>
    <row r="1348" spans="1:10">
      <c r="A1348">
        <v>5283</v>
      </c>
      <c r="B1348" t="s">
        <v>5668</v>
      </c>
      <c r="C1348">
        <v>0.37</v>
      </c>
      <c r="D1348">
        <v>1.35</v>
      </c>
      <c r="E1348">
        <v>0.28000000000000003</v>
      </c>
      <c r="F1348">
        <v>0</v>
      </c>
      <c r="G1348">
        <v>1347</v>
      </c>
      <c r="H1348">
        <v>1141</v>
      </c>
      <c r="I1348">
        <v>485</v>
      </c>
      <c r="J1348" t="s">
        <v>6289</v>
      </c>
    </row>
    <row r="1349" spans="1:10">
      <c r="A1349">
        <v>6294</v>
      </c>
      <c r="B1349" t="s">
        <v>6163</v>
      </c>
      <c r="C1349">
        <v>0.36</v>
      </c>
      <c r="D1349">
        <v>8.9499999999999993</v>
      </c>
      <c r="E1349">
        <v>1.49</v>
      </c>
      <c r="F1349">
        <v>0</v>
      </c>
      <c r="G1349">
        <v>1348</v>
      </c>
      <c r="H1349">
        <v>545</v>
      </c>
      <c r="I1349">
        <v>108</v>
      </c>
      <c r="J1349" t="s">
        <v>6289</v>
      </c>
    </row>
    <row r="1350" spans="1:10">
      <c r="A1350">
        <v>6465</v>
      </c>
      <c r="B1350" t="s">
        <v>6349</v>
      </c>
      <c r="C1350">
        <v>0.36</v>
      </c>
      <c r="D1350">
        <v>0.05</v>
      </c>
      <c r="E1350">
        <v>0</v>
      </c>
      <c r="F1350">
        <v>0</v>
      </c>
      <c r="G1350">
        <v>1348</v>
      </c>
      <c r="H1350">
        <v>1457</v>
      </c>
      <c r="I1350" t="s">
        <v>6289</v>
      </c>
      <c r="J1350" t="s">
        <v>6289</v>
      </c>
    </row>
    <row r="1351" spans="1:10">
      <c r="A1351">
        <v>2347</v>
      </c>
      <c r="B1351" t="s">
        <v>5057</v>
      </c>
      <c r="C1351">
        <v>0.35</v>
      </c>
      <c r="D1351">
        <v>33.119999999999997</v>
      </c>
      <c r="E1351">
        <v>3.8</v>
      </c>
      <c r="F1351">
        <v>8.41</v>
      </c>
      <c r="G1351">
        <v>1350</v>
      </c>
      <c r="H1351">
        <v>156</v>
      </c>
      <c r="I1351">
        <v>37</v>
      </c>
      <c r="J1351">
        <v>21</v>
      </c>
    </row>
    <row r="1352" spans="1:10">
      <c r="A1352">
        <v>9946</v>
      </c>
      <c r="B1352" t="s">
        <v>6102</v>
      </c>
      <c r="C1352">
        <v>0.35</v>
      </c>
      <c r="D1352">
        <v>2.65</v>
      </c>
      <c r="E1352">
        <v>0</v>
      </c>
      <c r="F1352">
        <v>0</v>
      </c>
      <c r="G1352">
        <v>1350</v>
      </c>
      <c r="H1352">
        <v>954</v>
      </c>
      <c r="I1352" t="s">
        <v>6289</v>
      </c>
      <c r="J1352" t="s">
        <v>6289</v>
      </c>
    </row>
    <row r="1353" spans="1:10">
      <c r="A1353">
        <v>1434</v>
      </c>
      <c r="B1353" t="s">
        <v>4838</v>
      </c>
      <c r="C1353">
        <v>0.34</v>
      </c>
      <c r="D1353">
        <v>9.32</v>
      </c>
      <c r="E1353">
        <v>2.68</v>
      </c>
      <c r="F1353">
        <v>0.05</v>
      </c>
      <c r="G1353">
        <v>1352</v>
      </c>
      <c r="H1353">
        <v>529</v>
      </c>
      <c r="I1353">
        <v>56</v>
      </c>
      <c r="J1353">
        <v>428</v>
      </c>
    </row>
    <row r="1354" spans="1:10">
      <c r="A1354">
        <v>2115</v>
      </c>
      <c r="B1354" t="s">
        <v>5016</v>
      </c>
      <c r="C1354">
        <v>0.34</v>
      </c>
      <c r="D1354">
        <v>44.36</v>
      </c>
      <c r="E1354">
        <v>0.06</v>
      </c>
      <c r="F1354">
        <v>0</v>
      </c>
      <c r="G1354">
        <v>1352</v>
      </c>
      <c r="H1354">
        <v>91</v>
      </c>
      <c r="I1354">
        <v>852</v>
      </c>
      <c r="J1354" t="s">
        <v>6289</v>
      </c>
    </row>
    <row r="1355" spans="1:10">
      <c r="A1355">
        <v>2812</v>
      </c>
      <c r="B1355" t="s">
        <v>5225</v>
      </c>
      <c r="C1355">
        <v>0.34</v>
      </c>
      <c r="D1355">
        <v>11.31</v>
      </c>
      <c r="E1355">
        <v>0.01</v>
      </c>
      <c r="F1355">
        <v>0.3</v>
      </c>
      <c r="G1355">
        <v>1352</v>
      </c>
      <c r="H1355">
        <v>449</v>
      </c>
      <c r="I1355">
        <v>1110</v>
      </c>
      <c r="J1355">
        <v>299</v>
      </c>
    </row>
    <row r="1356" spans="1:10">
      <c r="A1356">
        <v>3555</v>
      </c>
      <c r="B1356" t="s">
        <v>6189</v>
      </c>
      <c r="C1356">
        <v>0.34</v>
      </c>
      <c r="D1356">
        <v>3.49</v>
      </c>
      <c r="E1356">
        <v>0.01</v>
      </c>
      <c r="F1356">
        <v>0</v>
      </c>
      <c r="G1356">
        <v>1352</v>
      </c>
      <c r="H1356">
        <v>866</v>
      </c>
      <c r="I1356">
        <v>1110</v>
      </c>
      <c r="J1356" t="s">
        <v>6289</v>
      </c>
    </row>
    <row r="1357" spans="1:10">
      <c r="A1357">
        <v>1402</v>
      </c>
      <c r="B1357" t="s">
        <v>4830</v>
      </c>
      <c r="C1357">
        <v>0.33</v>
      </c>
      <c r="D1357">
        <v>16.84</v>
      </c>
      <c r="E1357">
        <v>0.5</v>
      </c>
      <c r="F1357">
        <v>1.58</v>
      </c>
      <c r="G1357">
        <v>1356</v>
      </c>
      <c r="H1357">
        <v>330</v>
      </c>
      <c r="I1357">
        <v>321</v>
      </c>
      <c r="J1357">
        <v>153</v>
      </c>
    </row>
    <row r="1358" spans="1:10">
      <c r="A1358">
        <v>2845</v>
      </c>
      <c r="B1358" t="s">
        <v>5232</v>
      </c>
      <c r="C1358">
        <v>0.33</v>
      </c>
      <c r="D1358">
        <v>12.04</v>
      </c>
      <c r="E1358">
        <v>0.2</v>
      </c>
      <c r="F1358">
        <v>0.04</v>
      </c>
      <c r="G1358">
        <v>1356</v>
      </c>
      <c r="H1358">
        <v>428</v>
      </c>
      <c r="I1358">
        <v>558</v>
      </c>
      <c r="J1358">
        <v>437</v>
      </c>
    </row>
    <row r="1359" spans="1:10">
      <c r="A1359">
        <v>6183</v>
      </c>
      <c r="B1359" t="s">
        <v>5795</v>
      </c>
      <c r="C1359">
        <v>0.33</v>
      </c>
      <c r="D1359">
        <v>0.98</v>
      </c>
      <c r="E1359">
        <v>0.05</v>
      </c>
      <c r="F1359">
        <v>0</v>
      </c>
      <c r="G1359">
        <v>1356</v>
      </c>
      <c r="H1359">
        <v>1210</v>
      </c>
      <c r="I1359">
        <v>896</v>
      </c>
      <c r="J1359" t="s">
        <v>6289</v>
      </c>
    </row>
    <row r="1360" spans="1:10">
      <c r="A1360">
        <v>6192</v>
      </c>
      <c r="B1360" t="s">
        <v>5804</v>
      </c>
      <c r="C1360">
        <v>0.33</v>
      </c>
      <c r="D1360">
        <v>22.73</v>
      </c>
      <c r="E1360">
        <v>1.18</v>
      </c>
      <c r="F1360">
        <v>0.01</v>
      </c>
      <c r="G1360">
        <v>1356</v>
      </c>
      <c r="H1360">
        <v>240</v>
      </c>
      <c r="I1360">
        <v>145</v>
      </c>
      <c r="J1360">
        <v>491</v>
      </c>
    </row>
    <row r="1361" spans="1:10">
      <c r="A1361">
        <v>2801</v>
      </c>
      <c r="B1361" t="s">
        <v>5223</v>
      </c>
      <c r="C1361">
        <v>0.31</v>
      </c>
      <c r="D1361">
        <v>12.2</v>
      </c>
      <c r="E1361">
        <v>0.18</v>
      </c>
      <c r="F1361">
        <v>0.64</v>
      </c>
      <c r="G1361">
        <v>1360</v>
      </c>
      <c r="H1361">
        <v>422</v>
      </c>
      <c r="I1361">
        <v>586</v>
      </c>
      <c r="J1361">
        <v>239</v>
      </c>
    </row>
    <row r="1362" spans="1:10">
      <c r="A1362">
        <v>4557</v>
      </c>
      <c r="B1362" t="s">
        <v>5576</v>
      </c>
      <c r="C1362">
        <v>0.31</v>
      </c>
      <c r="D1362">
        <v>39.79</v>
      </c>
      <c r="E1362">
        <v>0.1</v>
      </c>
      <c r="F1362">
        <v>0</v>
      </c>
      <c r="G1362">
        <v>1360</v>
      </c>
      <c r="H1362">
        <v>121</v>
      </c>
      <c r="I1362">
        <v>734</v>
      </c>
      <c r="J1362" t="s">
        <v>6289</v>
      </c>
    </row>
    <row r="1363" spans="1:10">
      <c r="A1363">
        <v>5604</v>
      </c>
      <c r="B1363" t="s">
        <v>6350</v>
      </c>
      <c r="C1363">
        <v>0.31</v>
      </c>
      <c r="D1363">
        <v>10.96</v>
      </c>
      <c r="E1363">
        <v>0.04</v>
      </c>
      <c r="F1363">
        <v>0</v>
      </c>
      <c r="G1363">
        <v>1360</v>
      </c>
      <c r="H1363">
        <v>464</v>
      </c>
      <c r="I1363">
        <v>936</v>
      </c>
      <c r="J1363" t="s">
        <v>6289</v>
      </c>
    </row>
    <row r="1364" spans="1:10">
      <c r="A1364">
        <v>1229</v>
      </c>
      <c r="B1364" t="s">
        <v>4794</v>
      </c>
      <c r="C1364">
        <v>0.3</v>
      </c>
      <c r="D1364">
        <v>11.01</v>
      </c>
      <c r="E1364">
        <v>0.08</v>
      </c>
      <c r="F1364">
        <v>0.06</v>
      </c>
      <c r="G1364">
        <v>1363</v>
      </c>
      <c r="H1364">
        <v>460</v>
      </c>
      <c r="I1364">
        <v>789</v>
      </c>
      <c r="J1364">
        <v>416</v>
      </c>
    </row>
    <row r="1365" spans="1:10">
      <c r="A1365">
        <v>2382</v>
      </c>
      <c r="B1365" t="s">
        <v>5082</v>
      </c>
      <c r="C1365">
        <v>0.3</v>
      </c>
      <c r="D1365">
        <v>25.94</v>
      </c>
      <c r="E1365">
        <v>2.5</v>
      </c>
      <c r="F1365">
        <v>3.83</v>
      </c>
      <c r="G1365">
        <v>1363</v>
      </c>
      <c r="H1365">
        <v>209</v>
      </c>
      <c r="I1365">
        <v>58</v>
      </c>
      <c r="J1365">
        <v>74</v>
      </c>
    </row>
    <row r="1366" spans="1:10">
      <c r="A1366">
        <v>6201</v>
      </c>
      <c r="B1366" t="s">
        <v>5807</v>
      </c>
      <c r="C1366">
        <v>0.3</v>
      </c>
      <c r="D1366">
        <v>0.4</v>
      </c>
      <c r="E1366">
        <v>0.03</v>
      </c>
      <c r="F1366">
        <v>0</v>
      </c>
      <c r="G1366">
        <v>1363</v>
      </c>
      <c r="H1366">
        <v>1360</v>
      </c>
      <c r="I1366">
        <v>978</v>
      </c>
      <c r="J1366" t="s">
        <v>6289</v>
      </c>
    </row>
    <row r="1367" spans="1:10">
      <c r="A1367">
        <v>8109</v>
      </c>
      <c r="B1367" t="s">
        <v>6166</v>
      </c>
      <c r="C1367">
        <v>0.3</v>
      </c>
      <c r="D1367">
        <v>1.2</v>
      </c>
      <c r="E1367">
        <v>0</v>
      </c>
      <c r="F1367">
        <v>0.47</v>
      </c>
      <c r="G1367">
        <v>1363</v>
      </c>
      <c r="H1367">
        <v>1170</v>
      </c>
      <c r="I1367" t="s">
        <v>6289</v>
      </c>
      <c r="J1367">
        <v>257</v>
      </c>
    </row>
    <row r="1368" spans="1:10">
      <c r="A1368">
        <v>2356</v>
      </c>
      <c r="B1368" t="s">
        <v>5064</v>
      </c>
      <c r="C1368">
        <v>0.28999999999999998</v>
      </c>
      <c r="D1368">
        <v>24.59</v>
      </c>
      <c r="E1368">
        <v>4.45</v>
      </c>
      <c r="F1368">
        <v>8.32</v>
      </c>
      <c r="G1368">
        <v>1367</v>
      </c>
      <c r="H1368">
        <v>226</v>
      </c>
      <c r="I1368">
        <v>32</v>
      </c>
      <c r="J1368">
        <v>23</v>
      </c>
    </row>
    <row r="1369" spans="1:10">
      <c r="A1369">
        <v>2536</v>
      </c>
      <c r="B1369" t="s">
        <v>5174</v>
      </c>
      <c r="C1369">
        <v>0.28999999999999998</v>
      </c>
      <c r="D1369">
        <v>9.86</v>
      </c>
      <c r="E1369">
        <v>0.37</v>
      </c>
      <c r="F1369">
        <v>0.03</v>
      </c>
      <c r="G1369">
        <v>1367</v>
      </c>
      <c r="H1369">
        <v>505</v>
      </c>
      <c r="I1369">
        <v>395</v>
      </c>
      <c r="J1369">
        <v>458</v>
      </c>
    </row>
    <row r="1370" spans="1:10">
      <c r="A1370">
        <v>6579</v>
      </c>
      <c r="B1370" t="s">
        <v>5916</v>
      </c>
      <c r="C1370">
        <v>0.28999999999999998</v>
      </c>
      <c r="D1370">
        <v>3.08</v>
      </c>
      <c r="E1370">
        <v>0.03</v>
      </c>
      <c r="F1370">
        <v>0</v>
      </c>
      <c r="G1370">
        <v>1367</v>
      </c>
      <c r="H1370">
        <v>914</v>
      </c>
      <c r="I1370">
        <v>978</v>
      </c>
      <c r="J1370" t="s">
        <v>6289</v>
      </c>
    </row>
    <row r="1371" spans="1:10">
      <c r="A1371">
        <v>6655</v>
      </c>
      <c r="B1371" t="s">
        <v>5932</v>
      </c>
      <c r="C1371">
        <v>0.28999999999999998</v>
      </c>
      <c r="D1371">
        <v>0.35</v>
      </c>
      <c r="E1371">
        <v>0.03</v>
      </c>
      <c r="F1371">
        <v>0</v>
      </c>
      <c r="G1371">
        <v>1367</v>
      </c>
      <c r="H1371">
        <v>1372</v>
      </c>
      <c r="I1371">
        <v>978</v>
      </c>
      <c r="J1371" t="s">
        <v>6289</v>
      </c>
    </row>
    <row r="1372" spans="1:10">
      <c r="A1372">
        <v>9940</v>
      </c>
      <c r="B1372" t="s">
        <v>6096</v>
      </c>
      <c r="C1372">
        <v>0.28999999999999998</v>
      </c>
      <c r="D1372">
        <v>5.84</v>
      </c>
      <c r="E1372">
        <v>7.0000000000000007E-2</v>
      </c>
      <c r="F1372">
        <v>0.37</v>
      </c>
      <c r="G1372">
        <v>1367</v>
      </c>
      <c r="H1372">
        <v>712</v>
      </c>
      <c r="I1372">
        <v>824</v>
      </c>
      <c r="J1372">
        <v>278</v>
      </c>
    </row>
    <row r="1373" spans="1:10">
      <c r="A1373">
        <v>6146</v>
      </c>
      <c r="B1373" t="s">
        <v>5770</v>
      </c>
      <c r="C1373">
        <v>0.28000000000000003</v>
      </c>
      <c r="D1373">
        <v>51.92</v>
      </c>
      <c r="E1373">
        <v>0.01</v>
      </c>
      <c r="F1373">
        <v>0.2</v>
      </c>
      <c r="G1373">
        <v>1372</v>
      </c>
      <c r="H1373">
        <v>71</v>
      </c>
      <c r="I1373">
        <v>1110</v>
      </c>
      <c r="J1373">
        <v>329</v>
      </c>
    </row>
    <row r="1374" spans="1:10">
      <c r="A1374">
        <v>6776</v>
      </c>
      <c r="B1374" t="s">
        <v>5952</v>
      </c>
      <c r="C1374">
        <v>0.27</v>
      </c>
      <c r="D1374">
        <v>0.52</v>
      </c>
      <c r="E1374">
        <v>0.01</v>
      </c>
      <c r="F1374">
        <v>0</v>
      </c>
      <c r="G1374">
        <v>1373</v>
      </c>
      <c r="H1374">
        <v>1314</v>
      </c>
      <c r="I1374">
        <v>1110</v>
      </c>
      <c r="J1374" t="s">
        <v>6289</v>
      </c>
    </row>
    <row r="1375" spans="1:10">
      <c r="A1375">
        <v>2412</v>
      </c>
      <c r="B1375" t="s">
        <v>5099</v>
      </c>
      <c r="C1375">
        <v>0.26</v>
      </c>
      <c r="D1375">
        <v>17.22</v>
      </c>
      <c r="E1375">
        <v>0.71</v>
      </c>
      <c r="F1375">
        <v>0.91</v>
      </c>
      <c r="G1375">
        <v>1374</v>
      </c>
      <c r="H1375">
        <v>323</v>
      </c>
      <c r="I1375">
        <v>251</v>
      </c>
      <c r="J1375">
        <v>197</v>
      </c>
    </row>
    <row r="1376" spans="1:10">
      <c r="A1376">
        <v>6189</v>
      </c>
      <c r="B1376" t="s">
        <v>5801</v>
      </c>
      <c r="C1376">
        <v>0.26</v>
      </c>
      <c r="D1376">
        <v>7.23</v>
      </c>
      <c r="E1376">
        <v>0</v>
      </c>
      <c r="F1376">
        <v>0</v>
      </c>
      <c r="G1376">
        <v>1374</v>
      </c>
      <c r="H1376">
        <v>621</v>
      </c>
      <c r="I1376" t="s">
        <v>6289</v>
      </c>
      <c r="J1376" t="s">
        <v>6289</v>
      </c>
    </row>
    <row r="1377" spans="1:10">
      <c r="A1377">
        <v>6577</v>
      </c>
      <c r="B1377" t="s">
        <v>6352</v>
      </c>
      <c r="C1377">
        <v>0.26</v>
      </c>
      <c r="D1377">
        <v>1.01</v>
      </c>
      <c r="E1377">
        <v>0</v>
      </c>
      <c r="F1377">
        <v>0.05</v>
      </c>
      <c r="G1377">
        <v>1374</v>
      </c>
      <c r="H1377">
        <v>1205</v>
      </c>
      <c r="I1377" t="s">
        <v>6289</v>
      </c>
      <c r="J1377">
        <v>428</v>
      </c>
    </row>
    <row r="1378" spans="1:10">
      <c r="A1378">
        <v>2838</v>
      </c>
      <c r="B1378" t="s">
        <v>5231</v>
      </c>
      <c r="C1378">
        <v>0.25</v>
      </c>
      <c r="D1378">
        <v>3.42</v>
      </c>
      <c r="E1378">
        <v>0.06</v>
      </c>
      <c r="F1378">
        <v>0.17</v>
      </c>
      <c r="G1378">
        <v>1377</v>
      </c>
      <c r="H1378">
        <v>879</v>
      </c>
      <c r="I1378">
        <v>852</v>
      </c>
      <c r="J1378">
        <v>340</v>
      </c>
    </row>
    <row r="1379" spans="1:10">
      <c r="A1379">
        <v>2852</v>
      </c>
      <c r="B1379" t="s">
        <v>5236</v>
      </c>
      <c r="C1379">
        <v>0.25</v>
      </c>
      <c r="D1379">
        <v>4.0199999999999996</v>
      </c>
      <c r="E1379">
        <v>0</v>
      </c>
      <c r="F1379">
        <v>0</v>
      </c>
      <c r="G1379">
        <v>1377</v>
      </c>
      <c r="H1379">
        <v>834</v>
      </c>
      <c r="I1379" t="s">
        <v>6289</v>
      </c>
      <c r="J1379" t="s">
        <v>6289</v>
      </c>
    </row>
    <row r="1380" spans="1:10">
      <c r="A1380">
        <v>2891</v>
      </c>
      <c r="B1380" t="s">
        <v>5250</v>
      </c>
      <c r="C1380">
        <v>0.25</v>
      </c>
      <c r="D1380">
        <v>42.78</v>
      </c>
      <c r="E1380">
        <v>0.16</v>
      </c>
      <c r="F1380">
        <v>1.96</v>
      </c>
      <c r="G1380">
        <v>1377</v>
      </c>
      <c r="H1380">
        <v>103</v>
      </c>
      <c r="I1380">
        <v>614</v>
      </c>
      <c r="J1380">
        <v>133</v>
      </c>
    </row>
    <row r="1381" spans="1:10">
      <c r="A1381">
        <v>6023</v>
      </c>
      <c r="B1381" t="s">
        <v>6195</v>
      </c>
      <c r="C1381">
        <v>0.25</v>
      </c>
      <c r="D1381">
        <v>0.59</v>
      </c>
      <c r="E1381">
        <v>0</v>
      </c>
      <c r="F1381">
        <v>0</v>
      </c>
      <c r="G1381">
        <v>1377</v>
      </c>
      <c r="H1381">
        <v>1298</v>
      </c>
      <c r="I1381" t="s">
        <v>6289</v>
      </c>
      <c r="J1381" t="s">
        <v>6289</v>
      </c>
    </row>
    <row r="1382" spans="1:10">
      <c r="A1382">
        <v>2903</v>
      </c>
      <c r="B1382" t="s">
        <v>5254</v>
      </c>
      <c r="C1382">
        <v>0.24</v>
      </c>
      <c r="D1382">
        <v>10.32</v>
      </c>
      <c r="E1382">
        <v>0.32</v>
      </c>
      <c r="F1382">
        <v>0</v>
      </c>
      <c r="G1382">
        <v>1381</v>
      </c>
      <c r="H1382">
        <v>488</v>
      </c>
      <c r="I1382">
        <v>447</v>
      </c>
      <c r="J1382" t="s">
        <v>6289</v>
      </c>
    </row>
    <row r="1383" spans="1:10">
      <c r="A1383">
        <v>8424</v>
      </c>
      <c r="B1383" t="s">
        <v>6219</v>
      </c>
      <c r="C1383">
        <v>0.24</v>
      </c>
      <c r="D1383">
        <v>0.5</v>
      </c>
      <c r="E1383">
        <v>0</v>
      </c>
      <c r="F1383">
        <v>0.16</v>
      </c>
      <c r="G1383">
        <v>1381</v>
      </c>
      <c r="H1383">
        <v>1322</v>
      </c>
      <c r="I1383" t="s">
        <v>6289</v>
      </c>
      <c r="J1383">
        <v>345</v>
      </c>
    </row>
    <row r="1384" spans="1:10">
      <c r="A1384">
        <v>1231</v>
      </c>
      <c r="B1384" t="s">
        <v>4795</v>
      </c>
      <c r="C1384">
        <v>0.23</v>
      </c>
      <c r="D1384">
        <v>3.46</v>
      </c>
      <c r="E1384">
        <v>0.04</v>
      </c>
      <c r="F1384">
        <v>0.01</v>
      </c>
      <c r="G1384">
        <v>1383</v>
      </c>
      <c r="H1384">
        <v>877</v>
      </c>
      <c r="I1384">
        <v>936</v>
      </c>
      <c r="J1384">
        <v>491</v>
      </c>
    </row>
    <row r="1385" spans="1:10">
      <c r="A1385">
        <v>1268</v>
      </c>
      <c r="B1385" t="s">
        <v>6353</v>
      </c>
      <c r="C1385">
        <v>0.23</v>
      </c>
      <c r="D1385">
        <v>0.1</v>
      </c>
      <c r="E1385">
        <v>0</v>
      </c>
      <c r="F1385">
        <v>0</v>
      </c>
      <c r="G1385">
        <v>1383</v>
      </c>
      <c r="H1385">
        <v>1445</v>
      </c>
      <c r="I1385" t="s">
        <v>6289</v>
      </c>
      <c r="J1385" t="s">
        <v>6289</v>
      </c>
    </row>
    <row r="1386" spans="1:10">
      <c r="A1386">
        <v>2373</v>
      </c>
      <c r="B1386" t="s">
        <v>5076</v>
      </c>
      <c r="C1386">
        <v>0.23</v>
      </c>
      <c r="D1386">
        <v>1.8</v>
      </c>
      <c r="E1386">
        <v>0.05</v>
      </c>
      <c r="F1386">
        <v>0</v>
      </c>
      <c r="G1386">
        <v>1383</v>
      </c>
      <c r="H1386">
        <v>1062</v>
      </c>
      <c r="I1386">
        <v>896</v>
      </c>
      <c r="J1386" t="s">
        <v>6289</v>
      </c>
    </row>
    <row r="1387" spans="1:10">
      <c r="A1387">
        <v>2546</v>
      </c>
      <c r="B1387" t="s">
        <v>5180</v>
      </c>
      <c r="C1387">
        <v>0.23</v>
      </c>
      <c r="D1387">
        <v>4.28</v>
      </c>
      <c r="E1387">
        <v>0.74</v>
      </c>
      <c r="F1387">
        <v>0</v>
      </c>
      <c r="G1387">
        <v>1383</v>
      </c>
      <c r="H1387">
        <v>819</v>
      </c>
      <c r="I1387">
        <v>233</v>
      </c>
      <c r="J1387" t="s">
        <v>6289</v>
      </c>
    </row>
    <row r="1388" spans="1:10">
      <c r="A1388">
        <v>6024</v>
      </c>
      <c r="B1388" t="s">
        <v>5743</v>
      </c>
      <c r="C1388">
        <v>0.23</v>
      </c>
      <c r="D1388">
        <v>1.73</v>
      </c>
      <c r="E1388">
        <v>0</v>
      </c>
      <c r="F1388">
        <v>0</v>
      </c>
      <c r="G1388">
        <v>1383</v>
      </c>
      <c r="H1388">
        <v>1073</v>
      </c>
      <c r="I1388" t="s">
        <v>6289</v>
      </c>
      <c r="J1388" t="s">
        <v>6289</v>
      </c>
    </row>
    <row r="1389" spans="1:10">
      <c r="A1389">
        <v>2061</v>
      </c>
      <c r="B1389" t="s">
        <v>6356</v>
      </c>
      <c r="C1389">
        <v>0.22</v>
      </c>
      <c r="D1389">
        <v>0.02</v>
      </c>
      <c r="E1389">
        <v>0</v>
      </c>
      <c r="F1389">
        <v>0</v>
      </c>
      <c r="G1389">
        <v>1388</v>
      </c>
      <c r="H1389">
        <v>1467</v>
      </c>
      <c r="I1389" t="s">
        <v>6289</v>
      </c>
      <c r="J1389" t="s">
        <v>6289</v>
      </c>
    </row>
    <row r="1390" spans="1:10">
      <c r="A1390">
        <v>2712</v>
      </c>
      <c r="B1390" t="s">
        <v>5213</v>
      </c>
      <c r="C1390">
        <v>0.22</v>
      </c>
      <c r="D1390">
        <v>0.13</v>
      </c>
      <c r="E1390">
        <v>0</v>
      </c>
      <c r="F1390">
        <v>0</v>
      </c>
      <c r="G1390">
        <v>1388</v>
      </c>
      <c r="H1390">
        <v>1438</v>
      </c>
      <c r="I1390" t="s">
        <v>6289</v>
      </c>
      <c r="J1390" t="s">
        <v>6289</v>
      </c>
    </row>
    <row r="1391" spans="1:10">
      <c r="A1391">
        <v>5287</v>
      </c>
      <c r="B1391" t="s">
        <v>5671</v>
      </c>
      <c r="C1391">
        <v>0.22</v>
      </c>
      <c r="D1391">
        <v>31.45</v>
      </c>
      <c r="E1391">
        <v>0.06</v>
      </c>
      <c r="F1391">
        <v>0</v>
      </c>
      <c r="G1391">
        <v>1388</v>
      </c>
      <c r="H1391">
        <v>168</v>
      </c>
      <c r="I1391">
        <v>852</v>
      </c>
      <c r="J1391" t="s">
        <v>6289</v>
      </c>
    </row>
    <row r="1392" spans="1:10">
      <c r="A1392">
        <v>9937</v>
      </c>
      <c r="B1392" t="s">
        <v>6093</v>
      </c>
      <c r="C1392">
        <v>0.22</v>
      </c>
      <c r="D1392">
        <v>2.7</v>
      </c>
      <c r="E1392">
        <v>0</v>
      </c>
      <c r="F1392">
        <v>0</v>
      </c>
      <c r="G1392">
        <v>1388</v>
      </c>
      <c r="H1392">
        <v>951</v>
      </c>
      <c r="I1392" t="s">
        <v>6289</v>
      </c>
      <c r="J1392" t="s">
        <v>6289</v>
      </c>
    </row>
    <row r="1393" spans="1:10">
      <c r="A1393">
        <v>1203</v>
      </c>
      <c r="B1393" t="s">
        <v>4784</v>
      </c>
      <c r="C1393">
        <v>0.2</v>
      </c>
      <c r="D1393">
        <v>1.89</v>
      </c>
      <c r="E1393">
        <v>0.01</v>
      </c>
      <c r="F1393">
        <v>0</v>
      </c>
      <c r="G1393">
        <v>1392</v>
      </c>
      <c r="H1393">
        <v>1049</v>
      </c>
      <c r="I1393">
        <v>1110</v>
      </c>
      <c r="J1393" t="s">
        <v>6289</v>
      </c>
    </row>
    <row r="1394" spans="1:10">
      <c r="A1394">
        <v>5403</v>
      </c>
      <c r="B1394" t="s">
        <v>5688</v>
      </c>
      <c r="C1394">
        <v>0.2</v>
      </c>
      <c r="D1394">
        <v>6.44</v>
      </c>
      <c r="E1394">
        <v>0</v>
      </c>
      <c r="F1394">
        <v>0</v>
      </c>
      <c r="G1394">
        <v>1392</v>
      </c>
      <c r="H1394">
        <v>678</v>
      </c>
      <c r="I1394" t="s">
        <v>6289</v>
      </c>
      <c r="J1394" t="s">
        <v>6289</v>
      </c>
    </row>
    <row r="1395" spans="1:10">
      <c r="A1395">
        <v>2884</v>
      </c>
      <c r="B1395" t="s">
        <v>5243</v>
      </c>
      <c r="C1395">
        <v>0.19</v>
      </c>
      <c r="D1395">
        <v>38.33</v>
      </c>
      <c r="E1395">
        <v>0.14000000000000001</v>
      </c>
      <c r="F1395">
        <v>1.27</v>
      </c>
      <c r="G1395">
        <v>1394</v>
      </c>
      <c r="H1395">
        <v>128</v>
      </c>
      <c r="I1395">
        <v>653</v>
      </c>
      <c r="J1395">
        <v>175</v>
      </c>
    </row>
    <row r="1396" spans="1:10">
      <c r="A1396">
        <v>2885</v>
      </c>
      <c r="B1396" t="s">
        <v>5244</v>
      </c>
      <c r="C1396">
        <v>0.19</v>
      </c>
      <c r="D1396">
        <v>29.03</v>
      </c>
      <c r="E1396">
        <v>0.37</v>
      </c>
      <c r="F1396">
        <v>2.0499999999999998</v>
      </c>
      <c r="G1396">
        <v>1394</v>
      </c>
      <c r="H1396">
        <v>189</v>
      </c>
      <c r="I1396">
        <v>395</v>
      </c>
      <c r="J1396">
        <v>129</v>
      </c>
    </row>
    <row r="1397" spans="1:10">
      <c r="A1397">
        <v>4741</v>
      </c>
      <c r="B1397" t="s">
        <v>6354</v>
      </c>
      <c r="C1397">
        <v>0.19</v>
      </c>
      <c r="D1397">
        <v>0.41</v>
      </c>
      <c r="E1397">
        <v>0.06</v>
      </c>
      <c r="F1397">
        <v>0</v>
      </c>
      <c r="G1397">
        <v>1394</v>
      </c>
      <c r="H1397">
        <v>1351</v>
      </c>
      <c r="I1397">
        <v>852</v>
      </c>
      <c r="J1397" t="s">
        <v>6289</v>
      </c>
    </row>
    <row r="1398" spans="1:10">
      <c r="A1398">
        <v>5206</v>
      </c>
      <c r="B1398" t="s">
        <v>5651</v>
      </c>
      <c r="C1398">
        <v>0.19</v>
      </c>
      <c r="D1398">
        <v>5.88</v>
      </c>
      <c r="E1398">
        <v>0</v>
      </c>
      <c r="F1398">
        <v>0</v>
      </c>
      <c r="G1398">
        <v>1394</v>
      </c>
      <c r="H1398">
        <v>708</v>
      </c>
      <c r="I1398" t="s">
        <v>6289</v>
      </c>
      <c r="J1398" t="s">
        <v>6289</v>
      </c>
    </row>
    <row r="1399" spans="1:10">
      <c r="A1399">
        <v>8480</v>
      </c>
      <c r="B1399" t="s">
        <v>6051</v>
      </c>
      <c r="C1399">
        <v>0.19</v>
      </c>
      <c r="D1399">
        <v>86.08</v>
      </c>
      <c r="E1399">
        <v>0.05</v>
      </c>
      <c r="F1399">
        <v>0</v>
      </c>
      <c r="G1399">
        <v>1394</v>
      </c>
      <c r="H1399">
        <v>6</v>
      </c>
      <c r="I1399">
        <v>896</v>
      </c>
      <c r="J1399" t="s">
        <v>6289</v>
      </c>
    </row>
    <row r="1400" spans="1:10">
      <c r="A1400">
        <v>1503</v>
      </c>
      <c r="B1400" t="s">
        <v>4867</v>
      </c>
      <c r="C1400">
        <v>0.18</v>
      </c>
      <c r="D1400">
        <v>31.88</v>
      </c>
      <c r="E1400">
        <v>0.1</v>
      </c>
      <c r="F1400">
        <v>0</v>
      </c>
      <c r="G1400">
        <v>1399</v>
      </c>
      <c r="H1400">
        <v>163</v>
      </c>
      <c r="I1400">
        <v>734</v>
      </c>
      <c r="J1400" t="s">
        <v>6289</v>
      </c>
    </row>
    <row r="1401" spans="1:10">
      <c r="A1401">
        <v>6409</v>
      </c>
      <c r="B1401" t="s">
        <v>5864</v>
      </c>
      <c r="C1401">
        <v>0.18</v>
      </c>
      <c r="D1401">
        <v>67.91</v>
      </c>
      <c r="E1401">
        <v>0.05</v>
      </c>
      <c r="F1401">
        <v>0.37</v>
      </c>
      <c r="G1401">
        <v>1399</v>
      </c>
      <c r="H1401">
        <v>28</v>
      </c>
      <c r="I1401">
        <v>896</v>
      </c>
      <c r="J1401">
        <v>278</v>
      </c>
    </row>
    <row r="1402" spans="1:10">
      <c r="A1402">
        <v>2247</v>
      </c>
      <c r="B1402" t="s">
        <v>5032</v>
      </c>
      <c r="C1402">
        <v>0.17</v>
      </c>
      <c r="D1402">
        <v>0.64</v>
      </c>
      <c r="E1402">
        <v>0</v>
      </c>
      <c r="F1402">
        <v>0</v>
      </c>
      <c r="G1402">
        <v>1401</v>
      </c>
      <c r="H1402">
        <v>1286</v>
      </c>
      <c r="I1402" t="s">
        <v>6289</v>
      </c>
      <c r="J1402" t="s">
        <v>6289</v>
      </c>
    </row>
    <row r="1403" spans="1:10">
      <c r="A1403">
        <v>2433</v>
      </c>
      <c r="B1403" t="s">
        <v>5114</v>
      </c>
      <c r="C1403">
        <v>0.17</v>
      </c>
      <c r="D1403">
        <v>0.8</v>
      </c>
      <c r="E1403">
        <v>0.05</v>
      </c>
      <c r="F1403">
        <v>0</v>
      </c>
      <c r="G1403">
        <v>1401</v>
      </c>
      <c r="H1403">
        <v>1246</v>
      </c>
      <c r="I1403">
        <v>896</v>
      </c>
      <c r="J1403" t="s">
        <v>6289</v>
      </c>
    </row>
    <row r="1404" spans="1:10">
      <c r="A1404">
        <v>2890</v>
      </c>
      <c r="B1404" t="s">
        <v>5249</v>
      </c>
      <c r="C1404">
        <v>0.17</v>
      </c>
      <c r="D1404">
        <v>28.69</v>
      </c>
      <c r="E1404">
        <v>0.22</v>
      </c>
      <c r="F1404">
        <v>1.87</v>
      </c>
      <c r="G1404">
        <v>1401</v>
      </c>
      <c r="H1404">
        <v>193</v>
      </c>
      <c r="I1404">
        <v>537</v>
      </c>
      <c r="J1404">
        <v>138</v>
      </c>
    </row>
    <row r="1405" spans="1:10">
      <c r="A1405">
        <v>3531</v>
      </c>
      <c r="B1405" t="s">
        <v>6355</v>
      </c>
      <c r="C1405">
        <v>0.16</v>
      </c>
      <c r="D1405">
        <v>19.989999999999998</v>
      </c>
      <c r="E1405">
        <v>0</v>
      </c>
      <c r="F1405">
        <v>0</v>
      </c>
      <c r="G1405">
        <v>1404</v>
      </c>
      <c r="H1405">
        <v>285</v>
      </c>
      <c r="I1405" t="s">
        <v>6289</v>
      </c>
      <c r="J1405" t="s">
        <v>6289</v>
      </c>
    </row>
    <row r="1406" spans="1:10">
      <c r="A1406">
        <v>1788</v>
      </c>
      <c r="B1406" t="s">
        <v>4961</v>
      </c>
      <c r="C1406">
        <v>0.15</v>
      </c>
      <c r="D1406">
        <v>11.09</v>
      </c>
      <c r="E1406">
        <v>0</v>
      </c>
      <c r="F1406">
        <v>0</v>
      </c>
      <c r="G1406">
        <v>1405</v>
      </c>
      <c r="H1406">
        <v>458</v>
      </c>
      <c r="I1406" t="s">
        <v>6289</v>
      </c>
      <c r="J1406" t="s">
        <v>6289</v>
      </c>
    </row>
    <row r="1407" spans="1:10">
      <c r="A1407">
        <v>1259</v>
      </c>
      <c r="B1407" t="s">
        <v>6260</v>
      </c>
      <c r="C1407">
        <v>0.14000000000000001</v>
      </c>
      <c r="D1407">
        <v>26.27</v>
      </c>
      <c r="E1407">
        <v>0</v>
      </c>
      <c r="F1407">
        <v>0</v>
      </c>
      <c r="G1407">
        <v>1406</v>
      </c>
      <c r="H1407">
        <v>205</v>
      </c>
      <c r="I1407" t="s">
        <v>6289</v>
      </c>
      <c r="J1407" t="s">
        <v>6289</v>
      </c>
    </row>
    <row r="1408" spans="1:10">
      <c r="A1408">
        <v>2301</v>
      </c>
      <c r="B1408" t="s">
        <v>5034</v>
      </c>
      <c r="C1408">
        <v>0.14000000000000001</v>
      </c>
      <c r="D1408">
        <v>46.4</v>
      </c>
      <c r="E1408">
        <v>4.17</v>
      </c>
      <c r="F1408">
        <v>6.53</v>
      </c>
      <c r="G1408">
        <v>1406</v>
      </c>
      <c r="H1408">
        <v>87</v>
      </c>
      <c r="I1408">
        <v>35</v>
      </c>
      <c r="J1408">
        <v>33</v>
      </c>
    </row>
    <row r="1409" spans="1:10">
      <c r="A1409">
        <v>4527</v>
      </c>
      <c r="B1409" t="s">
        <v>6151</v>
      </c>
      <c r="C1409">
        <v>0.14000000000000001</v>
      </c>
      <c r="D1409">
        <v>2.02</v>
      </c>
      <c r="E1409">
        <v>0.06</v>
      </c>
      <c r="F1409">
        <v>0</v>
      </c>
      <c r="G1409">
        <v>1406</v>
      </c>
      <c r="H1409">
        <v>1028</v>
      </c>
      <c r="I1409">
        <v>852</v>
      </c>
      <c r="J1409" t="s">
        <v>6289</v>
      </c>
    </row>
    <row r="1410" spans="1:10">
      <c r="A1410">
        <v>4538</v>
      </c>
      <c r="B1410" t="s">
        <v>6261</v>
      </c>
      <c r="C1410">
        <v>0.14000000000000001</v>
      </c>
      <c r="D1410">
        <v>0.14000000000000001</v>
      </c>
      <c r="E1410">
        <v>0</v>
      </c>
      <c r="F1410">
        <v>0</v>
      </c>
      <c r="G1410">
        <v>1406</v>
      </c>
      <c r="H1410">
        <v>1433</v>
      </c>
      <c r="I1410" t="s">
        <v>6289</v>
      </c>
      <c r="J1410" t="s">
        <v>6289</v>
      </c>
    </row>
    <row r="1411" spans="1:10">
      <c r="A1411">
        <v>1232</v>
      </c>
      <c r="B1411" t="s">
        <v>4796</v>
      </c>
      <c r="C1411">
        <v>0.13</v>
      </c>
      <c r="D1411">
        <v>1.26</v>
      </c>
      <c r="E1411">
        <v>0.05</v>
      </c>
      <c r="F1411">
        <v>0</v>
      </c>
      <c r="G1411">
        <v>1410</v>
      </c>
      <c r="H1411">
        <v>1158</v>
      </c>
      <c r="I1411">
        <v>896</v>
      </c>
      <c r="J1411" t="s">
        <v>6289</v>
      </c>
    </row>
    <row r="1412" spans="1:10">
      <c r="A1412">
        <v>1583</v>
      </c>
      <c r="B1412" t="s">
        <v>4901</v>
      </c>
      <c r="C1412">
        <v>0.13</v>
      </c>
      <c r="D1412">
        <v>0.16</v>
      </c>
      <c r="E1412">
        <v>0.01</v>
      </c>
      <c r="F1412">
        <v>0.04</v>
      </c>
      <c r="G1412">
        <v>1410</v>
      </c>
      <c r="H1412">
        <v>1426</v>
      </c>
      <c r="I1412">
        <v>1110</v>
      </c>
      <c r="J1412">
        <v>437</v>
      </c>
    </row>
    <row r="1413" spans="1:10">
      <c r="A1413">
        <v>5102</v>
      </c>
      <c r="B1413" t="s">
        <v>6358</v>
      </c>
      <c r="C1413">
        <v>0.13</v>
      </c>
      <c r="D1413">
        <v>0.02</v>
      </c>
      <c r="E1413">
        <v>0</v>
      </c>
      <c r="F1413">
        <v>0</v>
      </c>
      <c r="G1413">
        <v>1410</v>
      </c>
      <c r="H1413">
        <v>1467</v>
      </c>
      <c r="I1413" t="s">
        <v>6289</v>
      </c>
      <c r="J1413" t="s">
        <v>6289</v>
      </c>
    </row>
    <row r="1414" spans="1:10">
      <c r="A1414">
        <v>5522</v>
      </c>
      <c r="B1414" t="s">
        <v>5714</v>
      </c>
      <c r="C1414">
        <v>0.13</v>
      </c>
      <c r="D1414">
        <v>8.6999999999999993</v>
      </c>
      <c r="E1414">
        <v>2.87</v>
      </c>
      <c r="F1414">
        <v>4.42</v>
      </c>
      <c r="G1414">
        <v>1410</v>
      </c>
      <c r="H1414">
        <v>558</v>
      </c>
      <c r="I1414">
        <v>49</v>
      </c>
      <c r="J1414">
        <v>63</v>
      </c>
    </row>
    <row r="1415" spans="1:10">
      <c r="A1415">
        <v>6020</v>
      </c>
      <c r="B1415" t="s">
        <v>6194</v>
      </c>
      <c r="C1415">
        <v>0.13</v>
      </c>
      <c r="D1415">
        <v>0.05</v>
      </c>
      <c r="E1415">
        <v>0</v>
      </c>
      <c r="F1415">
        <v>0</v>
      </c>
      <c r="G1415">
        <v>1410</v>
      </c>
      <c r="H1415">
        <v>1457</v>
      </c>
      <c r="I1415" t="s">
        <v>6289</v>
      </c>
      <c r="J1415" t="s">
        <v>6289</v>
      </c>
    </row>
    <row r="1416" spans="1:10">
      <c r="A1416">
        <v>6212</v>
      </c>
      <c r="B1416" t="s">
        <v>6359</v>
      </c>
      <c r="C1416">
        <v>0.13</v>
      </c>
      <c r="D1416">
        <v>25.71</v>
      </c>
      <c r="E1416">
        <v>0</v>
      </c>
      <c r="F1416">
        <v>0</v>
      </c>
      <c r="G1416">
        <v>1410</v>
      </c>
      <c r="H1416">
        <v>212</v>
      </c>
      <c r="I1416" t="s">
        <v>6289</v>
      </c>
      <c r="J1416" t="s">
        <v>6289</v>
      </c>
    </row>
    <row r="1417" spans="1:10">
      <c r="A1417">
        <v>1234</v>
      </c>
      <c r="B1417" t="s">
        <v>4798</v>
      </c>
      <c r="C1417">
        <v>0.12</v>
      </c>
      <c r="D1417">
        <v>5.22</v>
      </c>
      <c r="E1417">
        <v>0.04</v>
      </c>
      <c r="F1417">
        <v>0</v>
      </c>
      <c r="G1417">
        <v>1416</v>
      </c>
      <c r="H1417">
        <v>758</v>
      </c>
      <c r="I1417">
        <v>936</v>
      </c>
      <c r="J1417" t="s">
        <v>6289</v>
      </c>
    </row>
    <row r="1418" spans="1:10">
      <c r="A1418">
        <v>2880</v>
      </c>
      <c r="B1418" t="s">
        <v>5239</v>
      </c>
      <c r="C1418">
        <v>0.12</v>
      </c>
      <c r="D1418">
        <v>17.420000000000002</v>
      </c>
      <c r="E1418">
        <v>0.13</v>
      </c>
      <c r="F1418">
        <v>0.81</v>
      </c>
      <c r="G1418">
        <v>1416</v>
      </c>
      <c r="H1418">
        <v>318</v>
      </c>
      <c r="I1418">
        <v>667</v>
      </c>
      <c r="J1418">
        <v>211</v>
      </c>
    </row>
    <row r="1419" spans="1:10">
      <c r="A1419">
        <v>2904</v>
      </c>
      <c r="B1419" t="s">
        <v>5255</v>
      </c>
      <c r="C1419">
        <v>0.12</v>
      </c>
      <c r="D1419">
        <v>0.48</v>
      </c>
      <c r="E1419">
        <v>0.03</v>
      </c>
      <c r="F1419">
        <v>0</v>
      </c>
      <c r="G1419">
        <v>1416</v>
      </c>
      <c r="H1419">
        <v>1331</v>
      </c>
      <c r="I1419">
        <v>978</v>
      </c>
      <c r="J1419" t="s">
        <v>6289</v>
      </c>
    </row>
    <row r="1420" spans="1:10">
      <c r="A1420">
        <v>5514</v>
      </c>
      <c r="B1420" t="s">
        <v>6360</v>
      </c>
      <c r="C1420">
        <v>0.12</v>
      </c>
      <c r="D1420">
        <v>0.01</v>
      </c>
      <c r="E1420">
        <v>0</v>
      </c>
      <c r="F1420">
        <v>0</v>
      </c>
      <c r="G1420">
        <v>1416</v>
      </c>
      <c r="H1420">
        <v>1470</v>
      </c>
      <c r="I1420" t="s">
        <v>6289</v>
      </c>
      <c r="J1420" t="s">
        <v>6289</v>
      </c>
    </row>
    <row r="1421" spans="1:10">
      <c r="A1421">
        <v>1102</v>
      </c>
      <c r="B1421" t="s">
        <v>4777</v>
      </c>
      <c r="C1421">
        <v>0.11</v>
      </c>
      <c r="D1421">
        <v>17.670000000000002</v>
      </c>
      <c r="E1421">
        <v>2.78</v>
      </c>
      <c r="F1421">
        <v>4.1100000000000003</v>
      </c>
      <c r="G1421">
        <v>1420</v>
      </c>
      <c r="H1421">
        <v>312</v>
      </c>
      <c r="I1421">
        <v>53</v>
      </c>
      <c r="J1421">
        <v>71</v>
      </c>
    </row>
    <row r="1422" spans="1:10">
      <c r="A1422">
        <v>1301</v>
      </c>
      <c r="B1422" t="s">
        <v>4805</v>
      </c>
      <c r="C1422">
        <v>0.11</v>
      </c>
      <c r="D1422">
        <v>36.409999999999997</v>
      </c>
      <c r="E1422">
        <v>0.71</v>
      </c>
      <c r="F1422">
        <v>1.42</v>
      </c>
      <c r="G1422">
        <v>1420</v>
      </c>
      <c r="H1422">
        <v>135</v>
      </c>
      <c r="I1422">
        <v>251</v>
      </c>
      <c r="J1422">
        <v>161</v>
      </c>
    </row>
    <row r="1423" spans="1:10">
      <c r="A1423">
        <v>5520</v>
      </c>
      <c r="B1423" t="s">
        <v>6361</v>
      </c>
      <c r="C1423">
        <v>0.11</v>
      </c>
      <c r="D1423">
        <v>0.03</v>
      </c>
      <c r="E1423">
        <v>0</v>
      </c>
      <c r="F1423">
        <v>0</v>
      </c>
      <c r="G1423">
        <v>1420</v>
      </c>
      <c r="H1423">
        <v>1466</v>
      </c>
      <c r="I1423" t="s">
        <v>6289</v>
      </c>
      <c r="J1423" t="s">
        <v>6289</v>
      </c>
    </row>
    <row r="1424" spans="1:10">
      <c r="A1424">
        <v>5876</v>
      </c>
      <c r="B1424" t="s">
        <v>5732</v>
      </c>
      <c r="C1424">
        <v>0.11</v>
      </c>
      <c r="D1424">
        <v>57.8</v>
      </c>
      <c r="E1424">
        <v>0.15</v>
      </c>
      <c r="F1424">
        <v>0.76</v>
      </c>
      <c r="G1424">
        <v>1420</v>
      </c>
      <c r="H1424">
        <v>52</v>
      </c>
      <c r="I1424">
        <v>635</v>
      </c>
      <c r="J1424">
        <v>220</v>
      </c>
    </row>
    <row r="1425" spans="1:10">
      <c r="A1425">
        <v>2616</v>
      </c>
      <c r="B1425" t="s">
        <v>5198</v>
      </c>
      <c r="C1425">
        <v>0.1</v>
      </c>
      <c r="D1425">
        <v>3.34</v>
      </c>
      <c r="E1425">
        <v>0.04</v>
      </c>
      <c r="F1425">
        <v>0</v>
      </c>
      <c r="G1425">
        <v>1424</v>
      </c>
      <c r="H1425">
        <v>887</v>
      </c>
      <c r="I1425">
        <v>936</v>
      </c>
      <c r="J1425" t="s">
        <v>6289</v>
      </c>
    </row>
    <row r="1426" spans="1:10">
      <c r="A1426">
        <v>2849</v>
      </c>
      <c r="B1426" t="s">
        <v>5233</v>
      </c>
      <c r="C1426">
        <v>0.1</v>
      </c>
      <c r="D1426">
        <v>58.91</v>
      </c>
      <c r="E1426">
        <v>0.23</v>
      </c>
      <c r="F1426">
        <v>0</v>
      </c>
      <c r="G1426">
        <v>1424</v>
      </c>
      <c r="H1426">
        <v>49</v>
      </c>
      <c r="I1426">
        <v>526</v>
      </c>
      <c r="J1426" t="s">
        <v>6289</v>
      </c>
    </row>
    <row r="1427" spans="1:10">
      <c r="A1427">
        <v>2886</v>
      </c>
      <c r="B1427" t="s">
        <v>5245</v>
      </c>
      <c r="C1427">
        <v>0.1</v>
      </c>
      <c r="D1427">
        <v>22.52</v>
      </c>
      <c r="E1427">
        <v>0.93</v>
      </c>
      <c r="F1427">
        <v>2.5</v>
      </c>
      <c r="G1427">
        <v>1424</v>
      </c>
      <c r="H1427">
        <v>245</v>
      </c>
      <c r="I1427">
        <v>187</v>
      </c>
      <c r="J1427">
        <v>104</v>
      </c>
    </row>
    <row r="1428" spans="1:10">
      <c r="A1428">
        <v>9910</v>
      </c>
      <c r="B1428" t="s">
        <v>6077</v>
      </c>
      <c r="C1428">
        <v>0.1</v>
      </c>
      <c r="D1428">
        <v>18.13</v>
      </c>
      <c r="E1428">
        <v>0.09</v>
      </c>
      <c r="F1428">
        <v>0.87</v>
      </c>
      <c r="G1428">
        <v>1424</v>
      </c>
      <c r="H1428">
        <v>306</v>
      </c>
      <c r="I1428">
        <v>762</v>
      </c>
      <c r="J1428">
        <v>201</v>
      </c>
    </row>
    <row r="1429" spans="1:10">
      <c r="A1429">
        <v>1216</v>
      </c>
      <c r="B1429" t="s">
        <v>4787</v>
      </c>
      <c r="C1429">
        <v>0.09</v>
      </c>
      <c r="D1429">
        <v>40.96</v>
      </c>
      <c r="E1429">
        <v>0.39</v>
      </c>
      <c r="F1429">
        <v>1.66</v>
      </c>
      <c r="G1429">
        <v>1428</v>
      </c>
      <c r="H1429">
        <v>115</v>
      </c>
      <c r="I1429">
        <v>379</v>
      </c>
      <c r="J1429">
        <v>150</v>
      </c>
    </row>
    <row r="1430" spans="1:10">
      <c r="A1430">
        <v>1264</v>
      </c>
      <c r="B1430" t="s">
        <v>4804</v>
      </c>
      <c r="C1430">
        <v>0.09</v>
      </c>
      <c r="D1430">
        <v>5.48</v>
      </c>
      <c r="E1430">
        <v>1.78</v>
      </c>
      <c r="F1430">
        <v>0</v>
      </c>
      <c r="G1430">
        <v>1428</v>
      </c>
      <c r="H1430">
        <v>734</v>
      </c>
      <c r="I1430">
        <v>88</v>
      </c>
      <c r="J1430" t="s">
        <v>6289</v>
      </c>
    </row>
    <row r="1431" spans="1:10">
      <c r="A1431">
        <v>1303</v>
      </c>
      <c r="B1431" t="s">
        <v>4806</v>
      </c>
      <c r="C1431">
        <v>0.09</v>
      </c>
      <c r="D1431">
        <v>31.85</v>
      </c>
      <c r="E1431">
        <v>0.56000000000000005</v>
      </c>
      <c r="F1431">
        <v>1.37</v>
      </c>
      <c r="G1431">
        <v>1428</v>
      </c>
      <c r="H1431">
        <v>164</v>
      </c>
      <c r="I1431">
        <v>296</v>
      </c>
      <c r="J1431">
        <v>162</v>
      </c>
    </row>
    <row r="1432" spans="1:10">
      <c r="A1432">
        <v>1326</v>
      </c>
      <c r="B1432" t="s">
        <v>4823</v>
      </c>
      <c r="C1432">
        <v>0.08</v>
      </c>
      <c r="D1432">
        <v>34.21</v>
      </c>
      <c r="E1432">
        <v>0.61</v>
      </c>
      <c r="F1432">
        <v>0.92</v>
      </c>
      <c r="G1432">
        <v>1431</v>
      </c>
      <c r="H1432">
        <v>145</v>
      </c>
      <c r="I1432">
        <v>279</v>
      </c>
      <c r="J1432">
        <v>196</v>
      </c>
    </row>
    <row r="1433" spans="1:10">
      <c r="A1433">
        <v>2892</v>
      </c>
      <c r="B1433" t="s">
        <v>5251</v>
      </c>
      <c r="C1433">
        <v>0.08</v>
      </c>
      <c r="D1433">
        <v>24.25</v>
      </c>
      <c r="E1433">
        <v>0.13</v>
      </c>
      <c r="F1433">
        <v>1.85</v>
      </c>
      <c r="G1433">
        <v>1431</v>
      </c>
      <c r="H1433">
        <v>227</v>
      </c>
      <c r="I1433">
        <v>667</v>
      </c>
      <c r="J1433">
        <v>140</v>
      </c>
    </row>
    <row r="1434" spans="1:10">
      <c r="A1434">
        <v>5601</v>
      </c>
      <c r="B1434" t="s">
        <v>6357</v>
      </c>
      <c r="C1434">
        <v>0.08</v>
      </c>
      <c r="D1434">
        <v>1.45</v>
      </c>
      <c r="E1434">
        <v>0</v>
      </c>
      <c r="F1434">
        <v>0</v>
      </c>
      <c r="G1434">
        <v>1431</v>
      </c>
      <c r="H1434">
        <v>1120</v>
      </c>
      <c r="I1434" t="s">
        <v>6289</v>
      </c>
      <c r="J1434" t="s">
        <v>6289</v>
      </c>
    </row>
    <row r="1435" spans="1:10">
      <c r="A1435">
        <v>2015</v>
      </c>
      <c r="B1435" t="s">
        <v>4986</v>
      </c>
      <c r="C1435">
        <v>7.0000000000000007E-2</v>
      </c>
      <c r="D1435">
        <v>12.41</v>
      </c>
      <c r="E1435">
        <v>0.19</v>
      </c>
      <c r="F1435">
        <v>0.21</v>
      </c>
      <c r="G1435">
        <v>1434</v>
      </c>
      <c r="H1435">
        <v>413</v>
      </c>
      <c r="I1435">
        <v>571</v>
      </c>
      <c r="J1435">
        <v>324</v>
      </c>
    </row>
    <row r="1436" spans="1:10">
      <c r="A1436">
        <v>2395</v>
      </c>
      <c r="B1436" t="s">
        <v>5090</v>
      </c>
      <c r="C1436">
        <v>7.0000000000000007E-2</v>
      </c>
      <c r="D1436">
        <v>42.24</v>
      </c>
      <c r="E1436">
        <v>0.15</v>
      </c>
      <c r="F1436">
        <v>0.75</v>
      </c>
      <c r="G1436">
        <v>1434</v>
      </c>
      <c r="H1436">
        <v>108</v>
      </c>
      <c r="I1436">
        <v>635</v>
      </c>
      <c r="J1436">
        <v>222</v>
      </c>
    </row>
    <row r="1437" spans="1:10">
      <c r="A1437">
        <v>6115</v>
      </c>
      <c r="B1437" t="s">
        <v>5750</v>
      </c>
      <c r="C1437">
        <v>7.0000000000000007E-2</v>
      </c>
      <c r="D1437">
        <v>6.71</v>
      </c>
      <c r="E1437">
        <v>0.06</v>
      </c>
      <c r="F1437">
        <v>0</v>
      </c>
      <c r="G1437">
        <v>1434</v>
      </c>
      <c r="H1437">
        <v>651</v>
      </c>
      <c r="I1437">
        <v>852</v>
      </c>
      <c r="J1437" t="s">
        <v>6289</v>
      </c>
    </row>
    <row r="1438" spans="1:10">
      <c r="A1438">
        <v>8908</v>
      </c>
      <c r="B1438" t="s">
        <v>6058</v>
      </c>
      <c r="C1438">
        <v>7.0000000000000007E-2</v>
      </c>
      <c r="D1438">
        <v>0.13</v>
      </c>
      <c r="E1438">
        <v>0</v>
      </c>
      <c r="F1438">
        <v>0</v>
      </c>
      <c r="G1438">
        <v>1434</v>
      </c>
      <c r="H1438">
        <v>1438</v>
      </c>
      <c r="I1438" t="s">
        <v>6289</v>
      </c>
      <c r="J1438" t="s">
        <v>6289</v>
      </c>
    </row>
    <row r="1439" spans="1:10">
      <c r="A1439">
        <v>9930</v>
      </c>
      <c r="B1439" t="s">
        <v>6088</v>
      </c>
      <c r="C1439">
        <v>7.0000000000000007E-2</v>
      </c>
      <c r="D1439">
        <v>1.9</v>
      </c>
      <c r="E1439">
        <v>0.08</v>
      </c>
      <c r="F1439">
        <v>0</v>
      </c>
      <c r="G1439">
        <v>1434</v>
      </c>
      <c r="H1439">
        <v>1048</v>
      </c>
      <c r="I1439">
        <v>789</v>
      </c>
      <c r="J1439" t="s">
        <v>6289</v>
      </c>
    </row>
    <row r="1440" spans="1:10">
      <c r="A1440">
        <v>1535</v>
      </c>
      <c r="B1440" t="s">
        <v>4887</v>
      </c>
      <c r="C1440">
        <v>0.06</v>
      </c>
      <c r="D1440">
        <v>0.98</v>
      </c>
      <c r="E1440">
        <v>0.01</v>
      </c>
      <c r="F1440">
        <v>0</v>
      </c>
      <c r="G1440">
        <v>1439</v>
      </c>
      <c r="H1440">
        <v>1210</v>
      </c>
      <c r="I1440">
        <v>1110</v>
      </c>
      <c r="J1440" t="s">
        <v>6289</v>
      </c>
    </row>
    <row r="1441" spans="1:10">
      <c r="A1441">
        <v>2820</v>
      </c>
      <c r="B1441" t="s">
        <v>5227</v>
      </c>
      <c r="C1441">
        <v>0.06</v>
      </c>
      <c r="D1441">
        <v>6.8</v>
      </c>
      <c r="E1441">
        <v>0.86</v>
      </c>
      <c r="F1441">
        <v>0.04</v>
      </c>
      <c r="G1441">
        <v>1439</v>
      </c>
      <c r="H1441">
        <v>646</v>
      </c>
      <c r="I1441">
        <v>200</v>
      </c>
      <c r="J1441">
        <v>437</v>
      </c>
    </row>
    <row r="1442" spans="1:10">
      <c r="A1442">
        <v>2912</v>
      </c>
      <c r="B1442" t="s">
        <v>5261</v>
      </c>
      <c r="C1442">
        <v>0.06</v>
      </c>
      <c r="D1442">
        <v>29.8</v>
      </c>
      <c r="E1442">
        <v>0.3</v>
      </c>
      <c r="F1442">
        <v>1.55</v>
      </c>
      <c r="G1442">
        <v>1439</v>
      </c>
      <c r="H1442">
        <v>182</v>
      </c>
      <c r="I1442">
        <v>466</v>
      </c>
      <c r="J1442">
        <v>156</v>
      </c>
    </row>
    <row r="1443" spans="1:10">
      <c r="A1443">
        <v>4904</v>
      </c>
      <c r="B1443" t="s">
        <v>5609</v>
      </c>
      <c r="C1443">
        <v>0.06</v>
      </c>
      <c r="D1443">
        <v>23.52</v>
      </c>
      <c r="E1443">
        <v>0.51</v>
      </c>
      <c r="F1443">
        <v>2.33</v>
      </c>
      <c r="G1443">
        <v>1439</v>
      </c>
      <c r="H1443">
        <v>233</v>
      </c>
      <c r="I1443">
        <v>316</v>
      </c>
      <c r="J1443">
        <v>113</v>
      </c>
    </row>
    <row r="1444" spans="1:10">
      <c r="A1444">
        <v>5880</v>
      </c>
      <c r="B1444" t="s">
        <v>5733</v>
      </c>
      <c r="C1444">
        <v>0.06</v>
      </c>
      <c r="D1444">
        <v>18.170000000000002</v>
      </c>
      <c r="E1444">
        <v>0.15</v>
      </c>
      <c r="F1444">
        <v>0.79</v>
      </c>
      <c r="G1444">
        <v>1439</v>
      </c>
      <c r="H1444">
        <v>304</v>
      </c>
      <c r="I1444">
        <v>635</v>
      </c>
      <c r="J1444">
        <v>214</v>
      </c>
    </row>
    <row r="1445" spans="1:10">
      <c r="A1445">
        <v>6021</v>
      </c>
      <c r="B1445" t="s">
        <v>6257</v>
      </c>
      <c r="C1445">
        <v>0.06</v>
      </c>
      <c r="D1445">
        <v>8.7899999999999991</v>
      </c>
      <c r="E1445">
        <v>0</v>
      </c>
      <c r="F1445">
        <v>0</v>
      </c>
      <c r="G1445">
        <v>1439</v>
      </c>
      <c r="H1445">
        <v>553</v>
      </c>
      <c r="I1445" t="s">
        <v>6289</v>
      </c>
      <c r="J1445" t="s">
        <v>6289</v>
      </c>
    </row>
    <row r="1446" spans="1:10">
      <c r="A1446">
        <v>6464</v>
      </c>
      <c r="B1446" t="s">
        <v>5884</v>
      </c>
      <c r="C1446">
        <v>0.06</v>
      </c>
      <c r="D1446">
        <v>0.59</v>
      </c>
      <c r="E1446">
        <v>0.01</v>
      </c>
      <c r="F1446">
        <v>0</v>
      </c>
      <c r="G1446">
        <v>1439</v>
      </c>
      <c r="H1446">
        <v>1298</v>
      </c>
      <c r="I1446">
        <v>1110</v>
      </c>
      <c r="J1446" t="s">
        <v>6289</v>
      </c>
    </row>
    <row r="1447" spans="1:10">
      <c r="A1447">
        <v>6505</v>
      </c>
      <c r="B1447" t="s">
        <v>5895</v>
      </c>
      <c r="C1447">
        <v>0.06</v>
      </c>
      <c r="D1447">
        <v>7.03</v>
      </c>
      <c r="E1447">
        <v>0.04</v>
      </c>
      <c r="F1447">
        <v>0.18</v>
      </c>
      <c r="G1447">
        <v>1439</v>
      </c>
      <c r="H1447">
        <v>635</v>
      </c>
      <c r="I1447">
        <v>936</v>
      </c>
      <c r="J1447">
        <v>334</v>
      </c>
    </row>
    <row r="1448" spans="1:10">
      <c r="A1448">
        <v>9918</v>
      </c>
      <c r="B1448" t="s">
        <v>6081</v>
      </c>
      <c r="C1448">
        <v>0.06</v>
      </c>
      <c r="D1448">
        <v>2.16</v>
      </c>
      <c r="E1448">
        <v>0.03</v>
      </c>
      <c r="F1448">
        <v>0</v>
      </c>
      <c r="G1448">
        <v>1439</v>
      </c>
      <c r="H1448">
        <v>1003</v>
      </c>
      <c r="I1448">
        <v>978</v>
      </c>
      <c r="J1448" t="s">
        <v>6289</v>
      </c>
    </row>
    <row r="1449" spans="1:10">
      <c r="A1449">
        <v>1796</v>
      </c>
      <c r="B1449" t="s">
        <v>6362</v>
      </c>
      <c r="C1449">
        <v>0.05</v>
      </c>
      <c r="D1449">
        <v>0.51</v>
      </c>
      <c r="E1449">
        <v>0.01</v>
      </c>
      <c r="F1449">
        <v>0</v>
      </c>
      <c r="G1449">
        <v>1448</v>
      </c>
      <c r="H1449">
        <v>1318</v>
      </c>
      <c r="I1449">
        <v>1110</v>
      </c>
      <c r="J1449" t="s">
        <v>6289</v>
      </c>
    </row>
    <row r="1450" spans="1:10">
      <c r="A1450">
        <v>2207</v>
      </c>
      <c r="B1450" t="s">
        <v>5020</v>
      </c>
      <c r="C1450">
        <v>0.05</v>
      </c>
      <c r="D1450">
        <v>23.45</v>
      </c>
      <c r="E1450">
        <v>0.1</v>
      </c>
      <c r="F1450">
        <v>0.53</v>
      </c>
      <c r="G1450">
        <v>1448</v>
      </c>
      <c r="H1450">
        <v>235</v>
      </c>
      <c r="I1450">
        <v>734</v>
      </c>
      <c r="J1450">
        <v>250</v>
      </c>
    </row>
    <row r="1451" spans="1:10">
      <c r="A1451">
        <v>4506</v>
      </c>
      <c r="B1451" t="s">
        <v>5559</v>
      </c>
      <c r="C1451">
        <v>0.05</v>
      </c>
      <c r="D1451">
        <v>4.9000000000000004</v>
      </c>
      <c r="E1451">
        <v>0</v>
      </c>
      <c r="F1451">
        <v>0.74</v>
      </c>
      <c r="G1451">
        <v>1448</v>
      </c>
      <c r="H1451">
        <v>781</v>
      </c>
      <c r="I1451" t="s">
        <v>6289</v>
      </c>
      <c r="J1451">
        <v>227</v>
      </c>
    </row>
    <row r="1452" spans="1:10">
      <c r="A1452">
        <v>5222</v>
      </c>
      <c r="B1452" t="s">
        <v>6571</v>
      </c>
      <c r="C1452">
        <v>0.05</v>
      </c>
      <c r="D1452">
        <v>3.2</v>
      </c>
      <c r="E1452">
        <v>2.33</v>
      </c>
      <c r="F1452">
        <v>0.04</v>
      </c>
      <c r="G1452">
        <v>1448</v>
      </c>
      <c r="H1452">
        <v>901</v>
      </c>
      <c r="I1452">
        <v>67</v>
      </c>
      <c r="J1452">
        <v>437</v>
      </c>
    </row>
    <row r="1453" spans="1:10">
      <c r="A1453">
        <v>5511</v>
      </c>
      <c r="B1453" t="s">
        <v>6159</v>
      </c>
      <c r="C1453">
        <v>0.05</v>
      </c>
      <c r="D1453">
        <v>1.97</v>
      </c>
      <c r="E1453">
        <v>0</v>
      </c>
      <c r="F1453">
        <v>0</v>
      </c>
      <c r="G1453">
        <v>1448</v>
      </c>
      <c r="H1453">
        <v>1035</v>
      </c>
      <c r="I1453" t="s">
        <v>6289</v>
      </c>
      <c r="J1453" t="s">
        <v>6289</v>
      </c>
    </row>
    <row r="1454" spans="1:10">
      <c r="A1454">
        <v>9905</v>
      </c>
      <c r="B1454" t="s">
        <v>6073</v>
      </c>
      <c r="C1454">
        <v>0.05</v>
      </c>
      <c r="D1454">
        <v>2.86</v>
      </c>
      <c r="E1454">
        <v>0.01</v>
      </c>
      <c r="F1454">
        <v>0.06</v>
      </c>
      <c r="G1454">
        <v>1448</v>
      </c>
      <c r="H1454">
        <v>931</v>
      </c>
      <c r="I1454">
        <v>1110</v>
      </c>
      <c r="J1454">
        <v>416</v>
      </c>
    </row>
    <row r="1455" spans="1:10">
      <c r="A1455">
        <v>3045</v>
      </c>
      <c r="B1455" t="s">
        <v>5303</v>
      </c>
      <c r="C1455">
        <v>0.04</v>
      </c>
      <c r="D1455">
        <v>15.72</v>
      </c>
      <c r="E1455">
        <v>0.64</v>
      </c>
      <c r="F1455">
        <v>1.7</v>
      </c>
      <c r="G1455">
        <v>1454</v>
      </c>
      <c r="H1455">
        <v>340</v>
      </c>
      <c r="I1455">
        <v>270</v>
      </c>
      <c r="J1455">
        <v>148</v>
      </c>
    </row>
    <row r="1456" spans="1:10">
      <c r="A1456">
        <v>5903</v>
      </c>
      <c r="B1456" t="s">
        <v>5735</v>
      </c>
      <c r="C1456">
        <v>0.04</v>
      </c>
      <c r="D1456">
        <v>52.87</v>
      </c>
      <c r="E1456">
        <v>0</v>
      </c>
      <c r="F1456">
        <v>0</v>
      </c>
      <c r="G1456">
        <v>1454</v>
      </c>
      <c r="H1456">
        <v>66</v>
      </c>
      <c r="I1456" t="s">
        <v>6289</v>
      </c>
      <c r="J1456" t="s">
        <v>6289</v>
      </c>
    </row>
    <row r="1457" spans="1:10">
      <c r="A1457">
        <v>6184</v>
      </c>
      <c r="B1457" t="s">
        <v>5796</v>
      </c>
      <c r="C1457">
        <v>0.04</v>
      </c>
      <c r="D1457">
        <v>2.57</v>
      </c>
      <c r="E1457">
        <v>0.03</v>
      </c>
      <c r="F1457">
        <v>0</v>
      </c>
      <c r="G1457">
        <v>1454</v>
      </c>
      <c r="H1457">
        <v>960</v>
      </c>
      <c r="I1457">
        <v>978</v>
      </c>
      <c r="J1457" t="s">
        <v>6289</v>
      </c>
    </row>
    <row r="1458" spans="1:10">
      <c r="A1458">
        <v>9908</v>
      </c>
      <c r="B1458" t="s">
        <v>6076</v>
      </c>
      <c r="C1458">
        <v>0.04</v>
      </c>
      <c r="D1458">
        <v>2.06</v>
      </c>
      <c r="E1458">
        <v>0</v>
      </c>
      <c r="F1458">
        <v>0</v>
      </c>
      <c r="G1458">
        <v>1454</v>
      </c>
      <c r="H1458">
        <v>1024</v>
      </c>
      <c r="I1458" t="s">
        <v>6289</v>
      </c>
      <c r="J1458" t="s">
        <v>6289</v>
      </c>
    </row>
    <row r="1459" spans="1:10">
      <c r="A1459">
        <v>6803</v>
      </c>
      <c r="B1459" t="s">
        <v>5954</v>
      </c>
      <c r="C1459">
        <v>0.03</v>
      </c>
      <c r="D1459">
        <v>1.98</v>
      </c>
      <c r="E1459">
        <v>0.63</v>
      </c>
      <c r="F1459">
        <v>0.16</v>
      </c>
      <c r="G1459">
        <v>1458</v>
      </c>
      <c r="H1459">
        <v>1032</v>
      </c>
      <c r="I1459">
        <v>276</v>
      </c>
      <c r="J1459">
        <v>345</v>
      </c>
    </row>
    <row r="1460" spans="1:10">
      <c r="A1460">
        <v>9931</v>
      </c>
      <c r="B1460" t="s">
        <v>6089</v>
      </c>
      <c r="C1460">
        <v>0.03</v>
      </c>
      <c r="D1460">
        <v>0.56999999999999995</v>
      </c>
      <c r="E1460">
        <v>0</v>
      </c>
      <c r="F1460">
        <v>0</v>
      </c>
      <c r="G1460">
        <v>1458</v>
      </c>
      <c r="H1460">
        <v>1302</v>
      </c>
      <c r="I1460" t="s">
        <v>6289</v>
      </c>
      <c r="J1460" t="s">
        <v>6289</v>
      </c>
    </row>
    <row r="1461" spans="1:10">
      <c r="A1461">
        <v>2910</v>
      </c>
      <c r="B1461" t="s">
        <v>5259</v>
      </c>
      <c r="C1461">
        <v>0.02</v>
      </c>
      <c r="D1461">
        <v>0.17</v>
      </c>
      <c r="E1461">
        <v>0</v>
      </c>
      <c r="F1461">
        <v>0</v>
      </c>
      <c r="G1461">
        <v>1460</v>
      </c>
      <c r="H1461">
        <v>1420</v>
      </c>
      <c r="I1461" t="s">
        <v>6289</v>
      </c>
      <c r="J1461" t="s">
        <v>6289</v>
      </c>
    </row>
    <row r="1462" spans="1:10">
      <c r="A1462">
        <v>3130</v>
      </c>
      <c r="B1462" t="s">
        <v>5329</v>
      </c>
      <c r="C1462">
        <v>0.02</v>
      </c>
      <c r="D1462">
        <v>39.47</v>
      </c>
      <c r="E1462">
        <v>1.42</v>
      </c>
      <c r="F1462">
        <v>0</v>
      </c>
      <c r="G1462">
        <v>1460</v>
      </c>
      <c r="H1462">
        <v>122</v>
      </c>
      <c r="I1462">
        <v>117</v>
      </c>
      <c r="J1462" t="s">
        <v>6289</v>
      </c>
    </row>
    <row r="1463" spans="1:10">
      <c r="A1463">
        <v>4440</v>
      </c>
      <c r="B1463" t="s">
        <v>6548</v>
      </c>
      <c r="C1463">
        <v>0.02</v>
      </c>
      <c r="D1463">
        <v>1.04</v>
      </c>
      <c r="E1463">
        <v>0</v>
      </c>
      <c r="F1463">
        <v>0</v>
      </c>
      <c r="G1463">
        <v>1460</v>
      </c>
      <c r="H1463">
        <v>1195</v>
      </c>
      <c r="I1463" t="s">
        <v>6289</v>
      </c>
      <c r="J1463" t="s">
        <v>6289</v>
      </c>
    </row>
    <row r="1464" spans="1:10">
      <c r="A1464">
        <v>5820</v>
      </c>
      <c r="B1464" t="s">
        <v>5729</v>
      </c>
      <c r="C1464">
        <v>0.02</v>
      </c>
      <c r="D1464">
        <v>25.89</v>
      </c>
      <c r="E1464">
        <v>0.02</v>
      </c>
      <c r="F1464">
        <v>0</v>
      </c>
      <c r="G1464">
        <v>1460</v>
      </c>
      <c r="H1464">
        <v>210</v>
      </c>
      <c r="I1464">
        <v>1051</v>
      </c>
      <c r="J1464" t="s">
        <v>6289</v>
      </c>
    </row>
    <row r="1465" spans="1:10">
      <c r="A1465">
        <v>6281</v>
      </c>
      <c r="B1465" t="s">
        <v>5855</v>
      </c>
      <c r="C1465">
        <v>0.02</v>
      </c>
      <c r="D1465">
        <v>1.92</v>
      </c>
      <c r="E1465">
        <v>0.53</v>
      </c>
      <c r="F1465">
        <v>0</v>
      </c>
      <c r="G1465">
        <v>1460</v>
      </c>
      <c r="H1465">
        <v>1044</v>
      </c>
      <c r="I1465">
        <v>308</v>
      </c>
      <c r="J1465" t="s">
        <v>6289</v>
      </c>
    </row>
    <row r="1466" spans="1:10">
      <c r="A1466">
        <v>9926</v>
      </c>
      <c r="B1466" t="s">
        <v>6086</v>
      </c>
      <c r="C1466">
        <v>0.02</v>
      </c>
      <c r="D1466">
        <v>0.28000000000000003</v>
      </c>
      <c r="E1466">
        <v>0</v>
      </c>
      <c r="F1466">
        <v>0</v>
      </c>
      <c r="G1466">
        <v>1460</v>
      </c>
      <c r="H1466">
        <v>1390</v>
      </c>
      <c r="I1466" t="s">
        <v>6289</v>
      </c>
      <c r="J1466" t="s">
        <v>6289</v>
      </c>
    </row>
    <row r="1467" spans="1:10">
      <c r="A1467">
        <v>1726</v>
      </c>
      <c r="B1467" t="s">
        <v>4941</v>
      </c>
      <c r="C1467">
        <v>0.01</v>
      </c>
      <c r="D1467">
        <v>13.27</v>
      </c>
      <c r="E1467">
        <v>0</v>
      </c>
      <c r="F1467">
        <v>0</v>
      </c>
      <c r="G1467">
        <v>1466</v>
      </c>
      <c r="H1467">
        <v>394</v>
      </c>
      <c r="I1467" t="s">
        <v>6289</v>
      </c>
      <c r="J1467" t="s">
        <v>6289</v>
      </c>
    </row>
    <row r="1468" spans="1:10">
      <c r="A1468">
        <v>3332</v>
      </c>
      <c r="B1468" t="s">
        <v>6367</v>
      </c>
      <c r="C1468">
        <v>0.01</v>
      </c>
      <c r="D1468">
        <v>0.2</v>
      </c>
      <c r="E1468">
        <v>0</v>
      </c>
      <c r="F1468">
        <v>0</v>
      </c>
      <c r="G1468">
        <v>1466</v>
      </c>
      <c r="H1468">
        <v>1409</v>
      </c>
      <c r="I1468" t="s">
        <v>6289</v>
      </c>
      <c r="J1468" t="s">
        <v>6289</v>
      </c>
    </row>
    <row r="1469" spans="1:10">
      <c r="A1469">
        <v>4205</v>
      </c>
      <c r="B1469" t="s">
        <v>6150</v>
      </c>
      <c r="C1469">
        <v>0.01</v>
      </c>
      <c r="D1469">
        <v>0.47</v>
      </c>
      <c r="E1469">
        <v>0</v>
      </c>
      <c r="F1469">
        <v>0</v>
      </c>
      <c r="G1469">
        <v>1466</v>
      </c>
      <c r="H1469">
        <v>1336</v>
      </c>
      <c r="I1469" t="s">
        <v>6289</v>
      </c>
      <c r="J1469" t="s">
        <v>6289</v>
      </c>
    </row>
    <row r="1470" spans="1:10">
      <c r="A1470">
        <v>4305</v>
      </c>
      <c r="B1470" t="s">
        <v>6363</v>
      </c>
      <c r="C1470">
        <v>0.01</v>
      </c>
      <c r="D1470">
        <v>0.04</v>
      </c>
      <c r="E1470">
        <v>0</v>
      </c>
      <c r="F1470">
        <v>0</v>
      </c>
      <c r="G1470">
        <v>1466</v>
      </c>
      <c r="H1470">
        <v>1462</v>
      </c>
      <c r="I1470" t="s">
        <v>6289</v>
      </c>
      <c r="J1470" t="s">
        <v>6289</v>
      </c>
    </row>
    <row r="1471" spans="1:10">
      <c r="A1471">
        <v>4535</v>
      </c>
      <c r="B1471" t="s">
        <v>6364</v>
      </c>
      <c r="C1471">
        <v>0.01</v>
      </c>
      <c r="D1471">
        <v>0.05</v>
      </c>
      <c r="E1471">
        <v>0</v>
      </c>
      <c r="F1471">
        <v>0</v>
      </c>
      <c r="G1471">
        <v>1466</v>
      </c>
      <c r="H1471">
        <v>1457</v>
      </c>
      <c r="I1471" t="s">
        <v>6289</v>
      </c>
      <c r="J1471" t="s">
        <v>6289</v>
      </c>
    </row>
    <row r="1472" spans="1:10">
      <c r="A1472">
        <v>6790</v>
      </c>
      <c r="B1472" t="s">
        <v>6235</v>
      </c>
      <c r="C1472">
        <v>0.01</v>
      </c>
      <c r="D1472">
        <v>3.22</v>
      </c>
      <c r="E1472">
        <v>0.3</v>
      </c>
      <c r="F1472">
        <v>0</v>
      </c>
      <c r="G1472">
        <v>1466</v>
      </c>
      <c r="H1472">
        <v>898</v>
      </c>
      <c r="I1472">
        <v>466</v>
      </c>
      <c r="J1472" t="s">
        <v>6289</v>
      </c>
    </row>
    <row r="1473" spans="1:10">
      <c r="A1473">
        <v>8917</v>
      </c>
      <c r="B1473" t="s">
        <v>6365</v>
      </c>
      <c r="C1473">
        <v>0.01</v>
      </c>
      <c r="D1473">
        <v>1.29</v>
      </c>
      <c r="E1473">
        <v>0</v>
      </c>
      <c r="F1473">
        <v>0</v>
      </c>
      <c r="G1473">
        <v>1466</v>
      </c>
      <c r="H1473">
        <v>1150</v>
      </c>
      <c r="I1473" t="s">
        <v>6289</v>
      </c>
      <c r="J1473" t="s">
        <v>6289</v>
      </c>
    </row>
    <row r="1474" spans="1:10">
      <c r="A1474">
        <v>9917</v>
      </c>
      <c r="B1474" t="s">
        <v>6080</v>
      </c>
      <c r="C1474">
        <v>0.01</v>
      </c>
      <c r="D1474">
        <v>40.479999999999997</v>
      </c>
      <c r="E1474">
        <v>0.17</v>
      </c>
      <c r="F1474">
        <v>0.45</v>
      </c>
      <c r="G1474">
        <v>1466</v>
      </c>
      <c r="H1474">
        <v>116</v>
      </c>
      <c r="I1474">
        <v>598</v>
      </c>
      <c r="J1474">
        <v>262</v>
      </c>
    </row>
    <row r="1475" spans="1:10">
      <c r="A1475">
        <v>1233</v>
      </c>
      <c r="B1475" t="s">
        <v>4797</v>
      </c>
      <c r="C1475">
        <v>0</v>
      </c>
      <c r="D1475">
        <v>5.25</v>
      </c>
      <c r="E1475">
        <v>0.01</v>
      </c>
      <c r="F1475">
        <v>0</v>
      </c>
      <c r="G1475" t="s">
        <v>6289</v>
      </c>
      <c r="H1475">
        <v>757</v>
      </c>
      <c r="I1475">
        <v>1110</v>
      </c>
      <c r="J1475" t="s">
        <v>6289</v>
      </c>
    </row>
    <row r="1476" spans="1:10">
      <c r="A1476">
        <v>9925</v>
      </c>
      <c r="B1476" t="s">
        <v>6085</v>
      </c>
      <c r="C1476">
        <v>0</v>
      </c>
      <c r="D1476">
        <v>17.18</v>
      </c>
      <c r="E1476">
        <v>0.01</v>
      </c>
      <c r="F1476">
        <v>0</v>
      </c>
      <c r="G1476" t="s">
        <v>6289</v>
      </c>
      <c r="H1476">
        <v>325</v>
      </c>
      <c r="I1476">
        <v>1110</v>
      </c>
      <c r="J1476" t="s">
        <v>6289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融外自投每日總結">
                <anchor moveWithCells="1" sizeWithCells="1">
                  <from>
                    <xdr:col>11</xdr:col>
                    <xdr:colOff>15240</xdr:colOff>
                    <xdr:row>2</xdr:row>
                    <xdr:rowOff>7620</xdr:rowOff>
                  </from>
                  <to>
                    <xdr:col>14</xdr:col>
                    <xdr:colOff>15240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7">
    <tabColor rgb="FF7030A0"/>
  </sheetPr>
  <dimension ref="A1:AJ604"/>
  <sheetViews>
    <sheetView workbookViewId="0">
      <selection activeCell="U14" sqref="U14"/>
    </sheetView>
  </sheetViews>
  <sheetFormatPr defaultRowHeight="15"/>
  <cols>
    <col min="1" max="2" width="6.625" customWidth="1"/>
    <col min="3" max="32" width="4.625" customWidth="1"/>
  </cols>
  <sheetData>
    <row r="1" spans="1:36" s="245" customFormat="1">
      <c r="A1" s="245" t="s">
        <v>6107</v>
      </c>
      <c r="B1" s="245" t="s">
        <v>6108</v>
      </c>
      <c r="C1" s="245" t="s">
        <v>6206</v>
      </c>
      <c r="D1" s="245" t="s">
        <v>6207</v>
      </c>
      <c r="E1" s="245" t="s">
        <v>6390</v>
      </c>
      <c r="F1" s="245" t="s">
        <v>6391</v>
      </c>
      <c r="G1" s="245" t="s">
        <v>6392</v>
      </c>
      <c r="H1" s="245" t="s">
        <v>6393</v>
      </c>
      <c r="I1" s="245" t="s">
        <v>6394</v>
      </c>
      <c r="J1" s="245" t="s">
        <v>6732</v>
      </c>
      <c r="K1" s="245" t="s">
        <v>6395</v>
      </c>
      <c r="L1" s="245" t="s">
        <v>6396</v>
      </c>
      <c r="M1" s="245" t="s">
        <v>6397</v>
      </c>
      <c r="N1" s="245" t="s">
        <v>6398</v>
      </c>
      <c r="O1" s="245" t="s">
        <v>6399</v>
      </c>
      <c r="P1" s="245" t="s">
        <v>6733</v>
      </c>
      <c r="Q1" s="245" t="s">
        <v>6400</v>
      </c>
      <c r="R1" s="245" t="s">
        <v>6401</v>
      </c>
      <c r="S1" s="245" t="s">
        <v>6402</v>
      </c>
      <c r="T1" s="245" t="s">
        <v>6403</v>
      </c>
      <c r="U1" s="245" t="s">
        <v>6404</v>
      </c>
      <c r="V1" s="245" t="s">
        <v>6405</v>
      </c>
      <c r="W1" s="245" t="s">
        <v>6406</v>
      </c>
      <c r="X1" s="245" t="s">
        <v>6407</v>
      </c>
      <c r="Y1" s="245" t="s">
        <v>6734</v>
      </c>
      <c r="Z1" s="245" t="s">
        <v>6408</v>
      </c>
      <c r="AA1" s="245" t="s">
        <v>6409</v>
      </c>
      <c r="AB1" s="245" t="s">
        <v>6410</v>
      </c>
      <c r="AC1" s="245" t="s">
        <v>6411</v>
      </c>
      <c r="AD1" s="245" t="s">
        <v>6412</v>
      </c>
      <c r="AE1" s="245" t="s">
        <v>6413</v>
      </c>
      <c r="AF1" s="245" t="s">
        <v>6735</v>
      </c>
      <c r="AG1" s="245" t="s">
        <v>6415</v>
      </c>
      <c r="AH1" s="245" t="s">
        <v>6416</v>
      </c>
      <c r="AI1" s="245" t="s">
        <v>6221</v>
      </c>
      <c r="AJ1" s="245" t="s">
        <v>6222</v>
      </c>
    </row>
    <row r="2" spans="1:36">
      <c r="A2">
        <v>1218</v>
      </c>
      <c r="B2" t="s">
        <v>4789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9</v>
      </c>
      <c r="P2">
        <v>0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 t="s">
        <v>6713</v>
      </c>
      <c r="Z2" t="s">
        <v>4720</v>
      </c>
      <c r="AA2">
        <v>0</v>
      </c>
      <c r="AB2">
        <v>0</v>
      </c>
      <c r="AC2">
        <v>0</v>
      </c>
      <c r="AD2" t="s">
        <v>4732</v>
      </c>
      <c r="AE2">
        <v>0</v>
      </c>
      <c r="AF2">
        <v>0</v>
      </c>
      <c r="AG2">
        <v>1</v>
      </c>
      <c r="AH2">
        <v>3</v>
      </c>
      <c r="AI2" t="s">
        <v>6713</v>
      </c>
      <c r="AJ2" t="s">
        <v>6736</v>
      </c>
    </row>
    <row r="3" spans="1:36">
      <c r="A3">
        <v>1336</v>
      </c>
      <c r="B3" t="s">
        <v>4824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9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1</v>
      </c>
      <c r="AH3">
        <v>0</v>
      </c>
      <c r="AI3">
        <v>9</v>
      </c>
    </row>
    <row r="4" spans="1:36">
      <c r="A4">
        <v>1470</v>
      </c>
      <c r="B4" t="s">
        <v>4862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9</v>
      </c>
      <c r="P4">
        <v>0</v>
      </c>
      <c r="Q4">
        <v>1</v>
      </c>
      <c r="R4">
        <v>0</v>
      </c>
      <c r="S4">
        <v>0</v>
      </c>
      <c r="T4">
        <v>0</v>
      </c>
      <c r="U4" t="s">
        <v>3544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1</v>
      </c>
      <c r="AH4">
        <v>1</v>
      </c>
      <c r="AI4" t="s">
        <v>3544</v>
      </c>
      <c r="AJ4">
        <v>9</v>
      </c>
    </row>
    <row r="5" spans="1:36">
      <c r="A5">
        <v>1477</v>
      </c>
      <c r="B5" t="s">
        <v>4866</v>
      </c>
      <c r="C5">
        <v>1</v>
      </c>
      <c r="D5">
        <v>1</v>
      </c>
      <c r="E5">
        <v>0</v>
      </c>
      <c r="F5">
        <v>4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6</v>
      </c>
      <c r="O5">
        <v>0</v>
      </c>
      <c r="P5">
        <v>0</v>
      </c>
      <c r="Q5">
        <v>0</v>
      </c>
      <c r="R5">
        <v>1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1</v>
      </c>
      <c r="AH5">
        <v>2</v>
      </c>
      <c r="AI5">
        <v>4</v>
      </c>
      <c r="AJ5">
        <v>6</v>
      </c>
    </row>
    <row r="6" spans="1:36">
      <c r="A6">
        <v>1516</v>
      </c>
      <c r="B6" t="s">
        <v>4872</v>
      </c>
      <c r="C6">
        <v>0</v>
      </c>
      <c r="D6">
        <v>1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5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 t="s">
        <v>4720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2</v>
      </c>
      <c r="AJ6" t="s">
        <v>6737</v>
      </c>
    </row>
    <row r="7" spans="1:36">
      <c r="A7">
        <v>1524</v>
      </c>
      <c r="B7" t="s">
        <v>4877</v>
      </c>
      <c r="C7">
        <v>2</v>
      </c>
      <c r="D7">
        <v>0</v>
      </c>
      <c r="E7">
        <v>3</v>
      </c>
      <c r="F7">
        <v>0</v>
      </c>
      <c r="G7">
        <v>0</v>
      </c>
      <c r="H7">
        <v>0</v>
      </c>
      <c r="I7">
        <v>0</v>
      </c>
      <c r="J7">
        <v>2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1</v>
      </c>
      <c r="S7" t="s">
        <v>4720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3</v>
      </c>
      <c r="AH7">
        <v>1</v>
      </c>
      <c r="AI7" t="s">
        <v>6738</v>
      </c>
    </row>
    <row r="8" spans="1:36">
      <c r="A8">
        <v>1560</v>
      </c>
      <c r="B8" t="s">
        <v>4894</v>
      </c>
      <c r="C8">
        <v>2</v>
      </c>
      <c r="D8">
        <v>0</v>
      </c>
      <c r="E8">
        <v>0</v>
      </c>
      <c r="F8">
        <v>0</v>
      </c>
      <c r="G8">
        <v>5</v>
      </c>
      <c r="H8">
        <v>0</v>
      </c>
      <c r="I8">
        <v>0</v>
      </c>
      <c r="J8">
        <v>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2</v>
      </c>
      <c r="AH8">
        <v>0</v>
      </c>
      <c r="AI8">
        <v>52</v>
      </c>
    </row>
    <row r="9" spans="1:36">
      <c r="A9">
        <v>1584</v>
      </c>
      <c r="B9" t="s">
        <v>4902</v>
      </c>
      <c r="C9">
        <v>1</v>
      </c>
      <c r="D9">
        <v>1</v>
      </c>
      <c r="E9">
        <v>0</v>
      </c>
      <c r="F9">
        <v>4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2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1</v>
      </c>
      <c r="AH9">
        <v>1</v>
      </c>
      <c r="AI9">
        <v>4</v>
      </c>
      <c r="AJ9">
        <v>2</v>
      </c>
    </row>
    <row r="10" spans="1:36">
      <c r="A10">
        <v>1591</v>
      </c>
      <c r="B10" t="s">
        <v>4907</v>
      </c>
      <c r="C10">
        <v>1</v>
      </c>
      <c r="D10">
        <v>0</v>
      </c>
      <c r="E10">
        <v>0</v>
      </c>
      <c r="F10">
        <v>4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1</v>
      </c>
      <c r="AH10">
        <v>0</v>
      </c>
      <c r="AI10">
        <v>4</v>
      </c>
    </row>
    <row r="11" spans="1:36">
      <c r="A11">
        <v>1603</v>
      </c>
      <c r="B11" t="s">
        <v>4913</v>
      </c>
      <c r="C11">
        <v>0</v>
      </c>
      <c r="D11">
        <v>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1</v>
      </c>
      <c r="AJ11">
        <v>9</v>
      </c>
    </row>
    <row r="12" spans="1:36">
      <c r="A12">
        <v>1612</v>
      </c>
      <c r="B12" t="s">
        <v>4919</v>
      </c>
      <c r="C12">
        <v>0</v>
      </c>
      <c r="D12">
        <v>2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4</v>
      </c>
      <c r="M12">
        <v>0</v>
      </c>
      <c r="N12">
        <v>0</v>
      </c>
      <c r="O12">
        <v>0</v>
      </c>
      <c r="P12">
        <v>2</v>
      </c>
      <c r="Q12">
        <v>0</v>
      </c>
      <c r="R12">
        <v>1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3</v>
      </c>
      <c r="AJ12">
        <v>42</v>
      </c>
    </row>
    <row r="13" spans="1:36">
      <c r="A13">
        <v>1708</v>
      </c>
      <c r="B13" t="s">
        <v>4928</v>
      </c>
      <c r="C13">
        <v>0</v>
      </c>
      <c r="D13">
        <v>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6</v>
      </c>
      <c r="O13">
        <v>0</v>
      </c>
      <c r="P13">
        <v>2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3</v>
      </c>
      <c r="AJ13">
        <v>62</v>
      </c>
    </row>
    <row r="14" spans="1:36">
      <c r="A14">
        <v>1723</v>
      </c>
      <c r="B14" t="s">
        <v>4940</v>
      </c>
      <c r="C14">
        <v>1</v>
      </c>
      <c r="D14">
        <v>0</v>
      </c>
      <c r="E14">
        <v>0</v>
      </c>
      <c r="F14">
        <v>4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2</v>
      </c>
      <c r="R14">
        <v>0</v>
      </c>
      <c r="S14" t="s">
        <v>4720</v>
      </c>
      <c r="T14">
        <v>0</v>
      </c>
      <c r="U14">
        <v>0</v>
      </c>
      <c r="V14">
        <v>0</v>
      </c>
      <c r="W14">
        <v>0</v>
      </c>
      <c r="X14">
        <v>0</v>
      </c>
      <c r="Y14" t="s">
        <v>6713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3</v>
      </c>
      <c r="AH14">
        <v>0</v>
      </c>
      <c r="AI14" t="s">
        <v>6739</v>
      </c>
    </row>
    <row r="15" spans="1:36">
      <c r="A15">
        <v>1725</v>
      </c>
      <c r="B15" t="s">
        <v>765</v>
      </c>
      <c r="C15">
        <v>0</v>
      </c>
      <c r="D15">
        <v>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1</v>
      </c>
      <c r="AJ15">
        <v>9</v>
      </c>
    </row>
    <row r="16" spans="1:36">
      <c r="A16">
        <v>1732</v>
      </c>
      <c r="B16" t="s">
        <v>4945</v>
      </c>
      <c r="C16">
        <v>2</v>
      </c>
      <c r="D16">
        <v>0</v>
      </c>
      <c r="E16">
        <v>0</v>
      </c>
      <c r="F16">
        <v>4</v>
      </c>
      <c r="G16">
        <v>0</v>
      </c>
      <c r="H16">
        <v>0</v>
      </c>
      <c r="I16">
        <v>0</v>
      </c>
      <c r="J16">
        <v>2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2</v>
      </c>
      <c r="AH16">
        <v>0</v>
      </c>
      <c r="AI16">
        <v>42</v>
      </c>
    </row>
    <row r="17" spans="1:36">
      <c r="A17">
        <v>1733</v>
      </c>
      <c r="B17" t="s">
        <v>4946</v>
      </c>
      <c r="C17">
        <v>0</v>
      </c>
      <c r="D17">
        <v>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4</v>
      </c>
      <c r="M17">
        <v>0</v>
      </c>
      <c r="N17">
        <v>0</v>
      </c>
      <c r="O17">
        <v>9</v>
      </c>
      <c r="P17">
        <v>2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t="s">
        <v>3543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4</v>
      </c>
      <c r="AJ17" t="s">
        <v>6740</v>
      </c>
    </row>
    <row r="18" spans="1:36">
      <c r="A18">
        <v>1760</v>
      </c>
      <c r="B18" t="s">
        <v>4953</v>
      </c>
      <c r="C18">
        <v>0</v>
      </c>
      <c r="D18">
        <v>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</v>
      </c>
      <c r="L18">
        <v>4</v>
      </c>
      <c r="M18">
        <v>0</v>
      </c>
      <c r="N18">
        <v>0</v>
      </c>
      <c r="O18">
        <v>9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4</v>
      </c>
      <c r="AJ18">
        <v>3492</v>
      </c>
    </row>
    <row r="19" spans="1:36">
      <c r="A19">
        <v>2014</v>
      </c>
      <c r="B19" t="s">
        <v>4985</v>
      </c>
      <c r="C19">
        <v>0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6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 t="s">
        <v>4732</v>
      </c>
      <c r="AE19">
        <v>0</v>
      </c>
      <c r="AF19">
        <v>0</v>
      </c>
      <c r="AG19">
        <v>0</v>
      </c>
      <c r="AH19">
        <v>2</v>
      </c>
      <c r="AJ19" t="s">
        <v>6718</v>
      </c>
    </row>
    <row r="20" spans="1:36">
      <c r="A20">
        <v>2031</v>
      </c>
      <c r="B20" t="s">
        <v>4995</v>
      </c>
      <c r="C20">
        <v>0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6</v>
      </c>
      <c r="O20">
        <v>0</v>
      </c>
      <c r="P20">
        <v>0</v>
      </c>
      <c r="Q20">
        <v>0</v>
      </c>
      <c r="R20">
        <v>2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 t="s">
        <v>3545</v>
      </c>
      <c r="AD20">
        <v>0</v>
      </c>
      <c r="AE20">
        <v>0</v>
      </c>
      <c r="AF20">
        <v>0</v>
      </c>
      <c r="AG20">
        <v>0</v>
      </c>
      <c r="AH20">
        <v>3</v>
      </c>
      <c r="AJ20" t="s">
        <v>6717</v>
      </c>
    </row>
    <row r="21" spans="1:36">
      <c r="A21">
        <v>2032</v>
      </c>
      <c r="B21" t="s">
        <v>4996</v>
      </c>
      <c r="C21">
        <v>1</v>
      </c>
      <c r="D21">
        <v>0</v>
      </c>
      <c r="E21">
        <v>0</v>
      </c>
      <c r="F21">
        <v>4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 t="s">
        <v>4720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1</v>
      </c>
      <c r="AH21">
        <v>1</v>
      </c>
      <c r="AI21">
        <v>4</v>
      </c>
      <c r="AJ21" t="s">
        <v>4720</v>
      </c>
    </row>
    <row r="22" spans="1:36">
      <c r="A22">
        <v>2034</v>
      </c>
      <c r="B22" t="s">
        <v>4998</v>
      </c>
      <c r="C22">
        <v>0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6</v>
      </c>
      <c r="O22">
        <v>0</v>
      </c>
      <c r="P22">
        <v>0</v>
      </c>
      <c r="Q22">
        <v>0</v>
      </c>
      <c r="R22">
        <v>2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 t="s">
        <v>4732</v>
      </c>
      <c r="AE22">
        <v>0</v>
      </c>
      <c r="AF22">
        <v>0</v>
      </c>
      <c r="AG22">
        <v>0</v>
      </c>
      <c r="AH22">
        <v>3</v>
      </c>
      <c r="AJ22" t="s">
        <v>6718</v>
      </c>
    </row>
    <row r="23" spans="1:36">
      <c r="A23">
        <v>2208</v>
      </c>
      <c r="B23" t="s">
        <v>5021</v>
      </c>
      <c r="C23">
        <v>0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9</v>
      </c>
      <c r="P23">
        <v>0</v>
      </c>
      <c r="Q23">
        <v>0</v>
      </c>
      <c r="R23">
        <v>1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2</v>
      </c>
      <c r="AJ23">
        <v>9</v>
      </c>
    </row>
    <row r="24" spans="1:36">
      <c r="A24">
        <v>2338</v>
      </c>
      <c r="B24" t="s">
        <v>5052</v>
      </c>
      <c r="C24">
        <v>1</v>
      </c>
      <c r="D24">
        <v>0</v>
      </c>
      <c r="E24">
        <v>0</v>
      </c>
      <c r="F24">
        <v>0</v>
      </c>
      <c r="G24">
        <v>0</v>
      </c>
      <c r="H24">
        <v>6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 t="s">
        <v>4732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2</v>
      </c>
      <c r="AH24">
        <v>0</v>
      </c>
      <c r="AI24" t="s">
        <v>6718</v>
      </c>
    </row>
    <row r="25" spans="1:36">
      <c r="A25">
        <v>2358</v>
      </c>
      <c r="B25" t="s">
        <v>5066</v>
      </c>
      <c r="C25">
        <v>1</v>
      </c>
      <c r="D25">
        <v>0</v>
      </c>
      <c r="E25">
        <v>0</v>
      </c>
      <c r="F25">
        <v>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1</v>
      </c>
      <c r="AH25">
        <v>0</v>
      </c>
      <c r="AI25">
        <v>4</v>
      </c>
    </row>
    <row r="26" spans="1:36">
      <c r="A26">
        <v>2359</v>
      </c>
      <c r="B26" t="s">
        <v>5067</v>
      </c>
      <c r="C26">
        <v>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2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1</v>
      </c>
      <c r="AH26">
        <v>0</v>
      </c>
      <c r="AI26">
        <v>2</v>
      </c>
    </row>
    <row r="27" spans="1:36">
      <c r="A27">
        <v>2368</v>
      </c>
      <c r="B27" t="s">
        <v>5073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2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1</v>
      </c>
      <c r="AJ27">
        <v>2</v>
      </c>
    </row>
    <row r="28" spans="1:36">
      <c r="A28">
        <v>2476</v>
      </c>
      <c r="B28" t="s">
        <v>5140</v>
      </c>
      <c r="C28">
        <v>0</v>
      </c>
      <c r="D28">
        <v>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1</v>
      </c>
      <c r="AJ28">
        <v>9</v>
      </c>
    </row>
    <row r="29" spans="1:36">
      <c r="A29">
        <v>2481</v>
      </c>
      <c r="B29" t="s">
        <v>5144</v>
      </c>
      <c r="C29">
        <v>0</v>
      </c>
      <c r="D29">
        <v>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4</v>
      </c>
      <c r="M29">
        <v>0</v>
      </c>
      <c r="N29">
        <v>0</v>
      </c>
      <c r="O29">
        <v>0</v>
      </c>
      <c r="P29">
        <v>2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2</v>
      </c>
      <c r="AJ29">
        <v>42</v>
      </c>
    </row>
    <row r="30" spans="1:36">
      <c r="A30">
        <v>2484</v>
      </c>
      <c r="B30" t="s">
        <v>5147</v>
      </c>
      <c r="C30">
        <v>2</v>
      </c>
      <c r="D30">
        <v>1</v>
      </c>
      <c r="E30">
        <v>0</v>
      </c>
      <c r="F30">
        <v>4</v>
      </c>
      <c r="G30">
        <v>0</v>
      </c>
      <c r="H30">
        <v>0</v>
      </c>
      <c r="I30">
        <v>0</v>
      </c>
      <c r="J30">
        <v>2</v>
      </c>
      <c r="K30">
        <v>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2</v>
      </c>
      <c r="AH30">
        <v>1</v>
      </c>
      <c r="AI30">
        <v>42</v>
      </c>
      <c r="AJ30">
        <v>3</v>
      </c>
    </row>
    <row r="31" spans="1:36">
      <c r="A31">
        <v>2497</v>
      </c>
      <c r="B31" t="s">
        <v>5157</v>
      </c>
      <c r="C31">
        <v>2</v>
      </c>
      <c r="D31">
        <v>0</v>
      </c>
      <c r="E31">
        <v>0</v>
      </c>
      <c r="F31">
        <v>4</v>
      </c>
      <c r="G31">
        <v>0</v>
      </c>
      <c r="H31">
        <v>0</v>
      </c>
      <c r="I31">
        <v>0</v>
      </c>
      <c r="J31">
        <v>2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2</v>
      </c>
      <c r="AH31">
        <v>0</v>
      </c>
      <c r="AI31">
        <v>42</v>
      </c>
    </row>
    <row r="32" spans="1:36">
      <c r="A32">
        <v>2504</v>
      </c>
      <c r="B32" t="s">
        <v>5160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9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1</v>
      </c>
      <c r="AH32">
        <v>0</v>
      </c>
      <c r="AI32">
        <v>9</v>
      </c>
    </row>
    <row r="33" spans="1:36">
      <c r="A33">
        <v>2634</v>
      </c>
      <c r="B33" t="s">
        <v>5202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9</v>
      </c>
      <c r="P33">
        <v>0</v>
      </c>
      <c r="Q33">
        <v>1</v>
      </c>
      <c r="R33">
        <v>0</v>
      </c>
      <c r="S33">
        <v>0</v>
      </c>
      <c r="T33" t="s">
        <v>3543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</v>
      </c>
      <c r="AH33">
        <v>1</v>
      </c>
      <c r="AI33" t="s">
        <v>3543</v>
      </c>
      <c r="AJ33">
        <v>9</v>
      </c>
    </row>
    <row r="34" spans="1:36">
      <c r="A34">
        <v>2637</v>
      </c>
      <c r="B34" t="s">
        <v>5204</v>
      </c>
      <c r="C34">
        <v>0</v>
      </c>
      <c r="D34">
        <v>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4</v>
      </c>
      <c r="M34">
        <v>0</v>
      </c>
      <c r="N34">
        <v>0</v>
      </c>
      <c r="O34">
        <v>0</v>
      </c>
      <c r="P34">
        <v>0</v>
      </c>
      <c r="Q34">
        <v>1</v>
      </c>
      <c r="R34">
        <v>0</v>
      </c>
      <c r="S34">
        <v>0</v>
      </c>
      <c r="T34">
        <v>0</v>
      </c>
      <c r="U34">
        <v>0</v>
      </c>
      <c r="V34" t="s">
        <v>3545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1</v>
      </c>
      <c r="AH34">
        <v>1</v>
      </c>
      <c r="AI34" t="s">
        <v>3545</v>
      </c>
      <c r="AJ34">
        <v>4</v>
      </c>
    </row>
    <row r="35" spans="1:36">
      <c r="A35">
        <v>2743</v>
      </c>
      <c r="B35" t="s">
        <v>5221</v>
      </c>
      <c r="C35">
        <v>0</v>
      </c>
      <c r="D35">
        <v>3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4</v>
      </c>
      <c r="M35">
        <v>0</v>
      </c>
      <c r="N35">
        <v>0</v>
      </c>
      <c r="O35">
        <v>0</v>
      </c>
      <c r="P35">
        <v>2</v>
      </c>
      <c r="Q35">
        <v>0</v>
      </c>
      <c r="R35">
        <v>1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4</v>
      </c>
      <c r="AJ35">
        <v>342</v>
      </c>
    </row>
    <row r="36" spans="1:36">
      <c r="A36">
        <v>2906</v>
      </c>
      <c r="B36" t="s">
        <v>5257</v>
      </c>
      <c r="C36">
        <v>2</v>
      </c>
      <c r="D36">
        <v>0</v>
      </c>
      <c r="E36">
        <v>0</v>
      </c>
      <c r="F36">
        <v>4</v>
      </c>
      <c r="G36">
        <v>0</v>
      </c>
      <c r="H36">
        <v>0</v>
      </c>
      <c r="I36">
        <v>0</v>
      </c>
      <c r="J36">
        <v>2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 t="s">
        <v>4732</v>
      </c>
      <c r="AE36">
        <v>0</v>
      </c>
      <c r="AF36">
        <v>0</v>
      </c>
      <c r="AG36">
        <v>2</v>
      </c>
      <c r="AH36">
        <v>1</v>
      </c>
      <c r="AI36">
        <v>42</v>
      </c>
      <c r="AJ36" t="s">
        <v>4732</v>
      </c>
    </row>
    <row r="37" spans="1:36">
      <c r="A37">
        <v>2915</v>
      </c>
      <c r="B37" t="s">
        <v>5263</v>
      </c>
      <c r="C37">
        <v>0</v>
      </c>
      <c r="D37">
        <v>1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2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</v>
      </c>
      <c r="AJ37">
        <v>2</v>
      </c>
    </row>
    <row r="38" spans="1:36">
      <c r="A38">
        <v>3003</v>
      </c>
      <c r="B38" t="s">
        <v>5270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9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1</v>
      </c>
      <c r="AH38">
        <v>0</v>
      </c>
      <c r="AI38">
        <v>9</v>
      </c>
    </row>
    <row r="39" spans="1:36">
      <c r="A39">
        <v>3006</v>
      </c>
      <c r="B39" t="s">
        <v>5273</v>
      </c>
      <c r="C39">
        <v>1</v>
      </c>
      <c r="D39">
        <v>0</v>
      </c>
      <c r="E39">
        <v>0</v>
      </c>
      <c r="F39">
        <v>4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1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 t="s">
        <v>4732</v>
      </c>
      <c r="AE39">
        <v>0</v>
      </c>
      <c r="AF39">
        <v>0</v>
      </c>
      <c r="AG39">
        <v>1</v>
      </c>
      <c r="AH39">
        <v>1</v>
      </c>
      <c r="AI39">
        <v>4</v>
      </c>
      <c r="AJ39" t="s">
        <v>4732</v>
      </c>
    </row>
    <row r="40" spans="1:36">
      <c r="A40">
        <v>3017</v>
      </c>
      <c r="B40" t="s">
        <v>5280</v>
      </c>
      <c r="C40">
        <v>2</v>
      </c>
      <c r="D40">
        <v>0</v>
      </c>
      <c r="E40">
        <v>0</v>
      </c>
      <c r="F40">
        <v>4</v>
      </c>
      <c r="G40">
        <v>0</v>
      </c>
      <c r="H40">
        <v>0</v>
      </c>
      <c r="I40">
        <v>0</v>
      </c>
      <c r="J40">
        <v>2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2</v>
      </c>
      <c r="AH40">
        <v>0</v>
      </c>
      <c r="AI40">
        <v>42</v>
      </c>
    </row>
    <row r="41" spans="1:36">
      <c r="A41">
        <v>3122</v>
      </c>
      <c r="B41" t="s">
        <v>5327</v>
      </c>
      <c r="C41">
        <v>0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2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1</v>
      </c>
      <c r="AJ41">
        <v>2</v>
      </c>
    </row>
    <row r="42" spans="1:36">
      <c r="A42">
        <v>3141</v>
      </c>
      <c r="B42" t="s">
        <v>5331</v>
      </c>
      <c r="C42">
        <v>3</v>
      </c>
      <c r="D42">
        <v>1</v>
      </c>
      <c r="E42">
        <v>0</v>
      </c>
      <c r="F42">
        <v>4</v>
      </c>
      <c r="G42">
        <v>5</v>
      </c>
      <c r="H42">
        <v>0</v>
      </c>
      <c r="I42">
        <v>0</v>
      </c>
      <c r="J42">
        <v>2</v>
      </c>
      <c r="K42">
        <v>3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 t="s">
        <v>4720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3</v>
      </c>
      <c r="AH42">
        <v>2</v>
      </c>
      <c r="AI42">
        <v>452</v>
      </c>
      <c r="AJ42" t="s">
        <v>6741</v>
      </c>
    </row>
    <row r="43" spans="1:36">
      <c r="A43">
        <v>3163</v>
      </c>
      <c r="B43" t="s">
        <v>5335</v>
      </c>
      <c r="C43">
        <v>1</v>
      </c>
      <c r="D43">
        <v>0</v>
      </c>
      <c r="E43">
        <v>0</v>
      </c>
      <c r="F43">
        <v>4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 t="s">
        <v>6713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2</v>
      </c>
      <c r="AH43">
        <v>0</v>
      </c>
      <c r="AI43" t="s">
        <v>6742</v>
      </c>
    </row>
    <row r="44" spans="1:36">
      <c r="A44">
        <v>3169</v>
      </c>
      <c r="B44" t="s">
        <v>5338</v>
      </c>
      <c r="C44">
        <v>3</v>
      </c>
      <c r="D44">
        <v>0</v>
      </c>
      <c r="E44">
        <v>0</v>
      </c>
      <c r="F44">
        <v>0</v>
      </c>
      <c r="G44">
        <v>0</v>
      </c>
      <c r="H44">
        <v>6</v>
      </c>
      <c r="I44">
        <v>0</v>
      </c>
      <c r="J44">
        <v>2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3</v>
      </c>
      <c r="AH44">
        <v>0</v>
      </c>
      <c r="AI44">
        <v>62</v>
      </c>
    </row>
    <row r="45" spans="1:36">
      <c r="A45">
        <v>3207</v>
      </c>
      <c r="B45" t="s">
        <v>5344</v>
      </c>
      <c r="C45">
        <v>0</v>
      </c>
      <c r="D45">
        <v>3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4</v>
      </c>
      <c r="M45">
        <v>0</v>
      </c>
      <c r="N45">
        <v>0</v>
      </c>
      <c r="O45">
        <v>9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3</v>
      </c>
      <c r="AJ45">
        <v>492</v>
      </c>
    </row>
    <row r="46" spans="1:36">
      <c r="A46">
        <v>3221</v>
      </c>
      <c r="B46" t="s">
        <v>5351</v>
      </c>
      <c r="C46">
        <v>0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2</v>
      </c>
      <c r="Q46">
        <v>0</v>
      </c>
      <c r="R46">
        <v>1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 t="s">
        <v>4732</v>
      </c>
      <c r="AE46">
        <v>0</v>
      </c>
      <c r="AF46">
        <v>0</v>
      </c>
      <c r="AG46">
        <v>0</v>
      </c>
      <c r="AH46">
        <v>2</v>
      </c>
      <c r="AJ46" t="s">
        <v>6743</v>
      </c>
    </row>
    <row r="47" spans="1:36">
      <c r="A47">
        <v>3232</v>
      </c>
      <c r="B47" t="s">
        <v>5356</v>
      </c>
      <c r="C47">
        <v>1</v>
      </c>
      <c r="D47">
        <v>0</v>
      </c>
      <c r="E47">
        <v>0</v>
      </c>
      <c r="F47">
        <v>4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0</v>
      </c>
      <c r="AI47">
        <v>4</v>
      </c>
    </row>
    <row r="48" spans="1:36">
      <c r="A48">
        <v>3357</v>
      </c>
      <c r="B48" t="s">
        <v>5390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9</v>
      </c>
      <c r="P48">
        <v>0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2</v>
      </c>
      <c r="AJ48">
        <v>9</v>
      </c>
    </row>
    <row r="49" spans="1:36">
      <c r="A49">
        <v>3491</v>
      </c>
      <c r="B49" t="s">
        <v>5423</v>
      </c>
      <c r="C49">
        <v>0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</v>
      </c>
      <c r="O49">
        <v>0</v>
      </c>
      <c r="P49">
        <v>0</v>
      </c>
      <c r="Q49">
        <v>0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 t="s">
        <v>3545</v>
      </c>
      <c r="AD49">
        <v>0</v>
      </c>
      <c r="AE49">
        <v>0</v>
      </c>
      <c r="AF49">
        <v>0</v>
      </c>
      <c r="AG49">
        <v>0</v>
      </c>
      <c r="AH49">
        <v>2</v>
      </c>
      <c r="AJ49" t="s">
        <v>6717</v>
      </c>
    </row>
    <row r="50" spans="1:36">
      <c r="A50">
        <v>3508</v>
      </c>
      <c r="B50" t="s">
        <v>5429</v>
      </c>
      <c r="C50">
        <v>1</v>
      </c>
      <c r="D50">
        <v>0</v>
      </c>
      <c r="E50">
        <v>0</v>
      </c>
      <c r="F50">
        <v>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1</v>
      </c>
      <c r="AH50">
        <v>0</v>
      </c>
      <c r="AI50">
        <v>4</v>
      </c>
    </row>
    <row r="51" spans="1:36">
      <c r="A51">
        <v>3529</v>
      </c>
      <c r="B51" t="s">
        <v>5437</v>
      </c>
      <c r="C51">
        <v>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1</v>
      </c>
      <c r="AJ51">
        <v>9</v>
      </c>
    </row>
    <row r="52" spans="1:36">
      <c r="A52">
        <v>3535</v>
      </c>
      <c r="B52" t="s">
        <v>5441</v>
      </c>
      <c r="C52">
        <v>1</v>
      </c>
      <c r="D52">
        <v>2</v>
      </c>
      <c r="E52">
        <v>3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4</v>
      </c>
      <c r="M52">
        <v>5</v>
      </c>
      <c r="N52">
        <v>0</v>
      </c>
      <c r="O52">
        <v>0</v>
      </c>
      <c r="P52">
        <v>0</v>
      </c>
      <c r="Q52">
        <v>0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 t="s">
        <v>3543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1</v>
      </c>
      <c r="AH52">
        <v>4</v>
      </c>
      <c r="AI52">
        <v>3</v>
      </c>
      <c r="AJ52" t="s">
        <v>6744</v>
      </c>
    </row>
    <row r="53" spans="1:36">
      <c r="A53">
        <v>3537</v>
      </c>
      <c r="B53" t="s">
        <v>5442</v>
      </c>
      <c r="C53">
        <v>0</v>
      </c>
      <c r="D53">
        <v>2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</v>
      </c>
      <c r="M53">
        <v>0</v>
      </c>
      <c r="N53">
        <v>0</v>
      </c>
      <c r="O53">
        <v>0</v>
      </c>
      <c r="P53">
        <v>2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 t="s">
        <v>3543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3</v>
      </c>
      <c r="AJ53" t="s">
        <v>6745</v>
      </c>
    </row>
    <row r="54" spans="1:36">
      <c r="A54">
        <v>3545</v>
      </c>
      <c r="B54" t="s">
        <v>5446</v>
      </c>
      <c r="C54">
        <v>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2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1</v>
      </c>
      <c r="AH54">
        <v>0</v>
      </c>
      <c r="AI54">
        <v>2</v>
      </c>
    </row>
    <row r="55" spans="1:36">
      <c r="A55">
        <v>3557</v>
      </c>
      <c r="B55" t="s">
        <v>5453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9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1</v>
      </c>
      <c r="R55">
        <v>0</v>
      </c>
      <c r="S55">
        <v>0</v>
      </c>
      <c r="T55" t="s">
        <v>3543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2</v>
      </c>
      <c r="AH55">
        <v>0</v>
      </c>
      <c r="AI55" t="s">
        <v>6716</v>
      </c>
    </row>
    <row r="56" spans="1:36">
      <c r="A56">
        <v>3558</v>
      </c>
      <c r="B56" t="s">
        <v>5454</v>
      </c>
      <c r="C56">
        <v>4</v>
      </c>
      <c r="D56">
        <v>0</v>
      </c>
      <c r="E56">
        <v>3</v>
      </c>
      <c r="F56">
        <v>4</v>
      </c>
      <c r="G56">
        <v>0</v>
      </c>
      <c r="H56">
        <v>6</v>
      </c>
      <c r="I56">
        <v>0</v>
      </c>
      <c r="J56">
        <v>2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4</v>
      </c>
      <c r="AH56">
        <v>0</v>
      </c>
      <c r="AI56">
        <v>3462</v>
      </c>
    </row>
    <row r="57" spans="1:36">
      <c r="A57">
        <v>3583</v>
      </c>
      <c r="B57" t="s">
        <v>5460</v>
      </c>
      <c r="C57">
        <v>0</v>
      </c>
      <c r="D57">
        <v>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9</v>
      </c>
      <c r="P57">
        <v>0</v>
      </c>
      <c r="Q57">
        <v>2</v>
      </c>
      <c r="R57">
        <v>0</v>
      </c>
      <c r="S57">
        <v>0</v>
      </c>
      <c r="T57" t="s">
        <v>3543</v>
      </c>
      <c r="U57">
        <v>0</v>
      </c>
      <c r="V57">
        <v>0</v>
      </c>
      <c r="W57">
        <v>0</v>
      </c>
      <c r="X57">
        <v>0</v>
      </c>
      <c r="Y57" t="s">
        <v>6713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2</v>
      </c>
      <c r="AH57">
        <v>1</v>
      </c>
      <c r="AI57" t="s">
        <v>6746</v>
      </c>
      <c r="AJ57">
        <v>9</v>
      </c>
    </row>
    <row r="58" spans="1:36">
      <c r="A58">
        <v>3596</v>
      </c>
      <c r="B58" t="s">
        <v>5465</v>
      </c>
      <c r="C58">
        <v>1</v>
      </c>
      <c r="D58">
        <v>0</v>
      </c>
      <c r="E58">
        <v>0</v>
      </c>
      <c r="F58">
        <v>0</v>
      </c>
      <c r="G58">
        <v>0</v>
      </c>
      <c r="H58">
        <v>6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3544</v>
      </c>
      <c r="AC58">
        <v>0</v>
      </c>
      <c r="AD58">
        <v>0</v>
      </c>
      <c r="AE58">
        <v>0</v>
      </c>
      <c r="AF58">
        <v>0</v>
      </c>
      <c r="AG58">
        <v>1</v>
      </c>
      <c r="AH58">
        <v>1</v>
      </c>
      <c r="AI58">
        <v>6</v>
      </c>
      <c r="AJ58" t="s">
        <v>3544</v>
      </c>
    </row>
    <row r="59" spans="1:36">
      <c r="A59">
        <v>3624</v>
      </c>
      <c r="B59" t="s">
        <v>5475</v>
      </c>
      <c r="C59">
        <v>2</v>
      </c>
      <c r="D59">
        <v>0</v>
      </c>
      <c r="E59">
        <v>0</v>
      </c>
      <c r="F59">
        <v>0</v>
      </c>
      <c r="G59">
        <v>0</v>
      </c>
      <c r="H59">
        <v>6</v>
      </c>
      <c r="I59">
        <v>0</v>
      </c>
      <c r="J59">
        <v>2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 t="s">
        <v>4732</v>
      </c>
      <c r="AE59">
        <v>0</v>
      </c>
      <c r="AF59">
        <v>0</v>
      </c>
      <c r="AG59">
        <v>2</v>
      </c>
      <c r="AH59">
        <v>1</v>
      </c>
      <c r="AI59">
        <v>62</v>
      </c>
      <c r="AJ59" t="s">
        <v>4732</v>
      </c>
    </row>
    <row r="60" spans="1:36">
      <c r="A60">
        <v>3645</v>
      </c>
      <c r="B60" t="s">
        <v>5479</v>
      </c>
      <c r="C60">
        <v>1</v>
      </c>
      <c r="D60">
        <v>1</v>
      </c>
      <c r="E60">
        <v>0</v>
      </c>
      <c r="F60">
        <v>0</v>
      </c>
      <c r="G60">
        <v>5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6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1</v>
      </c>
      <c r="AH60">
        <v>1</v>
      </c>
      <c r="AI60">
        <v>5</v>
      </c>
      <c r="AJ60">
        <v>6</v>
      </c>
    </row>
    <row r="61" spans="1:36">
      <c r="A61">
        <v>3672</v>
      </c>
      <c r="B61" t="s">
        <v>5488</v>
      </c>
      <c r="C61">
        <v>0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9</v>
      </c>
      <c r="P61">
        <v>0</v>
      </c>
      <c r="Q61">
        <v>0</v>
      </c>
      <c r="R61">
        <v>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 t="s">
        <v>4732</v>
      </c>
      <c r="AE61">
        <v>0</v>
      </c>
      <c r="AF61">
        <v>0</v>
      </c>
      <c r="AG61">
        <v>0</v>
      </c>
      <c r="AH61">
        <v>2</v>
      </c>
      <c r="AJ61" t="s">
        <v>6710</v>
      </c>
    </row>
    <row r="62" spans="1:36">
      <c r="A62">
        <v>3701</v>
      </c>
      <c r="B62" t="s">
        <v>5499</v>
      </c>
      <c r="C62">
        <v>0</v>
      </c>
      <c r="D62">
        <v>1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9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3544</v>
      </c>
      <c r="AC62">
        <v>0</v>
      </c>
      <c r="AD62" t="s">
        <v>4732</v>
      </c>
      <c r="AE62">
        <v>0</v>
      </c>
      <c r="AF62">
        <v>0</v>
      </c>
      <c r="AG62">
        <v>0</v>
      </c>
      <c r="AH62">
        <v>3</v>
      </c>
      <c r="AJ62" t="s">
        <v>6747</v>
      </c>
    </row>
    <row r="63" spans="1:36">
      <c r="A63">
        <v>3707</v>
      </c>
      <c r="B63" t="s">
        <v>5505</v>
      </c>
      <c r="C63">
        <v>1</v>
      </c>
      <c r="D63">
        <v>0</v>
      </c>
      <c r="E63">
        <v>0</v>
      </c>
      <c r="F63">
        <v>4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</v>
      </c>
      <c r="AH63">
        <v>0</v>
      </c>
      <c r="AI63">
        <v>4</v>
      </c>
    </row>
    <row r="64" spans="1:36">
      <c r="A64">
        <v>3708</v>
      </c>
      <c r="B64" t="s">
        <v>5506</v>
      </c>
      <c r="C64">
        <v>0</v>
      </c>
      <c r="D64">
        <v>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4</v>
      </c>
      <c r="M64">
        <v>0</v>
      </c>
      <c r="N64">
        <v>0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2</v>
      </c>
      <c r="AJ64">
        <v>42</v>
      </c>
    </row>
    <row r="65" spans="1:36">
      <c r="A65">
        <v>4106</v>
      </c>
      <c r="B65" t="s">
        <v>630</v>
      </c>
      <c r="C65">
        <v>1</v>
      </c>
      <c r="D65">
        <v>1</v>
      </c>
      <c r="E65">
        <v>0</v>
      </c>
      <c r="F65">
        <v>4</v>
      </c>
      <c r="G65">
        <v>0</v>
      </c>
      <c r="H65">
        <v>0</v>
      </c>
      <c r="I65">
        <v>0</v>
      </c>
      <c r="J65">
        <v>0</v>
      </c>
      <c r="K65">
        <v>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1</v>
      </c>
      <c r="AH65">
        <v>1</v>
      </c>
      <c r="AI65">
        <v>4</v>
      </c>
      <c r="AJ65">
        <v>3</v>
      </c>
    </row>
    <row r="66" spans="1:36">
      <c r="A66">
        <v>4121</v>
      </c>
      <c r="B66" t="s">
        <v>5521</v>
      </c>
      <c r="C66">
        <v>3</v>
      </c>
      <c r="D66">
        <v>1</v>
      </c>
      <c r="E66">
        <v>0</v>
      </c>
      <c r="F66">
        <v>4</v>
      </c>
      <c r="G66">
        <v>5</v>
      </c>
      <c r="H66">
        <v>0</v>
      </c>
      <c r="I66">
        <v>0</v>
      </c>
      <c r="J66">
        <v>2</v>
      </c>
      <c r="K66">
        <v>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3</v>
      </c>
      <c r="AH66">
        <v>1</v>
      </c>
      <c r="AI66">
        <v>452</v>
      </c>
      <c r="AJ66">
        <v>3</v>
      </c>
    </row>
    <row r="67" spans="1:36">
      <c r="A67">
        <v>4133</v>
      </c>
      <c r="B67" t="s">
        <v>5527</v>
      </c>
      <c r="C67">
        <v>1</v>
      </c>
      <c r="D67">
        <v>2</v>
      </c>
      <c r="E67">
        <v>3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5</v>
      </c>
      <c r="N67">
        <v>0</v>
      </c>
      <c r="O67">
        <v>0</v>
      </c>
      <c r="P67">
        <v>2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3544</v>
      </c>
      <c r="AC67">
        <v>0</v>
      </c>
      <c r="AD67">
        <v>0</v>
      </c>
      <c r="AE67">
        <v>0</v>
      </c>
      <c r="AF67">
        <v>0</v>
      </c>
      <c r="AG67">
        <v>1</v>
      </c>
      <c r="AH67">
        <v>3</v>
      </c>
      <c r="AI67">
        <v>3</v>
      </c>
      <c r="AJ67" t="s">
        <v>6748</v>
      </c>
    </row>
    <row r="68" spans="1:36">
      <c r="A68">
        <v>4148</v>
      </c>
      <c r="B68" t="s">
        <v>5531</v>
      </c>
      <c r="C68">
        <v>1</v>
      </c>
      <c r="D68">
        <v>0</v>
      </c>
      <c r="E68">
        <v>0</v>
      </c>
      <c r="F68">
        <v>4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1</v>
      </c>
      <c r="AH68">
        <v>0</v>
      </c>
      <c r="AI68">
        <v>4</v>
      </c>
    </row>
    <row r="69" spans="1:36">
      <c r="A69">
        <v>4153</v>
      </c>
      <c r="B69" t="s">
        <v>5532</v>
      </c>
      <c r="C69">
        <v>0</v>
      </c>
      <c r="D69">
        <v>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9</v>
      </c>
      <c r="P69">
        <v>2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2</v>
      </c>
      <c r="AJ69">
        <v>92</v>
      </c>
    </row>
    <row r="70" spans="1:36">
      <c r="A70">
        <v>4157</v>
      </c>
      <c r="B70" t="s">
        <v>5534</v>
      </c>
      <c r="C70">
        <v>1</v>
      </c>
      <c r="D70">
        <v>3</v>
      </c>
      <c r="E70">
        <v>0</v>
      </c>
      <c r="F70">
        <v>4</v>
      </c>
      <c r="G70">
        <v>0</v>
      </c>
      <c r="H70">
        <v>0</v>
      </c>
      <c r="I70">
        <v>0</v>
      </c>
      <c r="J70">
        <v>0</v>
      </c>
      <c r="K70">
        <v>3</v>
      </c>
      <c r="L70">
        <v>0</v>
      </c>
      <c r="M70">
        <v>5</v>
      </c>
      <c r="N70">
        <v>0</v>
      </c>
      <c r="O70">
        <v>0</v>
      </c>
      <c r="P70">
        <v>2</v>
      </c>
      <c r="Q70">
        <v>0</v>
      </c>
      <c r="R70">
        <v>2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3544</v>
      </c>
      <c r="AC70">
        <v>0</v>
      </c>
      <c r="AD70">
        <v>0</v>
      </c>
      <c r="AE70">
        <v>0</v>
      </c>
      <c r="AF70">
        <v>0</v>
      </c>
      <c r="AG70">
        <v>1</v>
      </c>
      <c r="AH70">
        <v>5</v>
      </c>
      <c r="AI70">
        <v>4</v>
      </c>
      <c r="AJ70" t="s">
        <v>6749</v>
      </c>
    </row>
    <row r="71" spans="1:36">
      <c r="A71">
        <v>4168</v>
      </c>
      <c r="B71" t="s">
        <v>5540</v>
      </c>
      <c r="C71">
        <v>0</v>
      </c>
      <c r="D71">
        <v>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9</v>
      </c>
      <c r="P71">
        <v>0</v>
      </c>
      <c r="Q71">
        <v>0</v>
      </c>
      <c r="R71">
        <v>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2</v>
      </c>
      <c r="AJ71">
        <v>9</v>
      </c>
    </row>
    <row r="72" spans="1:36">
      <c r="A72">
        <v>4171</v>
      </c>
      <c r="B72" t="s">
        <v>5541</v>
      </c>
      <c r="C72">
        <v>1</v>
      </c>
      <c r="D72">
        <v>1</v>
      </c>
      <c r="E72">
        <v>0</v>
      </c>
      <c r="F72">
        <v>4</v>
      </c>
      <c r="G72">
        <v>0</v>
      </c>
      <c r="H72">
        <v>0</v>
      </c>
      <c r="I72">
        <v>0</v>
      </c>
      <c r="J72">
        <v>0</v>
      </c>
      <c r="K72">
        <v>3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 t="s">
        <v>6372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2</v>
      </c>
      <c r="AH72">
        <v>1</v>
      </c>
      <c r="AI72" t="s">
        <v>6715</v>
      </c>
      <c r="AJ72">
        <v>3</v>
      </c>
    </row>
    <row r="73" spans="1:36">
      <c r="A73">
        <v>4303</v>
      </c>
      <c r="B73" t="s">
        <v>5547</v>
      </c>
      <c r="C73">
        <v>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2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 t="s">
        <v>6713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2</v>
      </c>
      <c r="AH73">
        <v>0</v>
      </c>
      <c r="AI73" t="s">
        <v>6750</v>
      </c>
    </row>
    <row r="74" spans="1:36">
      <c r="A74">
        <v>4433</v>
      </c>
      <c r="B74" t="s">
        <v>5555</v>
      </c>
      <c r="C74">
        <v>0</v>
      </c>
      <c r="D74">
        <v>1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2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J74">
        <v>2</v>
      </c>
    </row>
    <row r="75" spans="1:36">
      <c r="A75">
        <v>4503</v>
      </c>
      <c r="B75" t="s">
        <v>5558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2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1</v>
      </c>
      <c r="AJ75">
        <v>2</v>
      </c>
    </row>
    <row r="76" spans="1:36">
      <c r="A76">
        <v>4736</v>
      </c>
      <c r="B76" t="s">
        <v>5596</v>
      </c>
      <c r="C76">
        <v>0</v>
      </c>
      <c r="D76">
        <v>5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3</v>
      </c>
      <c r="L76">
        <v>4</v>
      </c>
      <c r="M76">
        <v>5</v>
      </c>
      <c r="N76">
        <v>0</v>
      </c>
      <c r="O76">
        <v>0</v>
      </c>
      <c r="P76">
        <v>2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5</v>
      </c>
      <c r="AJ76">
        <v>3452</v>
      </c>
    </row>
    <row r="77" spans="1:36">
      <c r="A77">
        <v>4804</v>
      </c>
      <c r="B77" t="s">
        <v>5607</v>
      </c>
      <c r="C77">
        <v>2</v>
      </c>
      <c r="D77">
        <v>0</v>
      </c>
      <c r="E77">
        <v>0</v>
      </c>
      <c r="F77">
        <v>4</v>
      </c>
      <c r="G77">
        <v>0</v>
      </c>
      <c r="H77">
        <v>0</v>
      </c>
      <c r="I77">
        <v>0</v>
      </c>
      <c r="J77">
        <v>2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2</v>
      </c>
      <c r="AH77">
        <v>0</v>
      </c>
      <c r="AI77">
        <v>42</v>
      </c>
    </row>
    <row r="78" spans="1:36">
      <c r="A78">
        <v>4919</v>
      </c>
      <c r="B78" t="s">
        <v>5616</v>
      </c>
      <c r="C78">
        <v>1</v>
      </c>
      <c r="D78">
        <v>0</v>
      </c>
      <c r="E78">
        <v>0</v>
      </c>
      <c r="F78">
        <v>0</v>
      </c>
      <c r="G78">
        <v>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 t="s">
        <v>4732</v>
      </c>
      <c r="AE78">
        <v>0</v>
      </c>
      <c r="AF78">
        <v>0</v>
      </c>
      <c r="AG78">
        <v>1</v>
      </c>
      <c r="AH78">
        <v>1</v>
      </c>
      <c r="AI78">
        <v>5</v>
      </c>
      <c r="AJ78" t="s">
        <v>4732</v>
      </c>
    </row>
    <row r="79" spans="1:36">
      <c r="A79">
        <v>4931</v>
      </c>
      <c r="B79" t="s">
        <v>5618</v>
      </c>
      <c r="C79">
        <v>2</v>
      </c>
      <c r="D79">
        <v>3</v>
      </c>
      <c r="E79">
        <v>0</v>
      </c>
      <c r="F79">
        <v>4</v>
      </c>
      <c r="G79">
        <v>0</v>
      </c>
      <c r="H79">
        <v>0</v>
      </c>
      <c r="I79">
        <v>9</v>
      </c>
      <c r="J79">
        <v>0</v>
      </c>
      <c r="K79">
        <v>0</v>
      </c>
      <c r="L79">
        <v>0</v>
      </c>
      <c r="M79">
        <v>5</v>
      </c>
      <c r="N79">
        <v>6</v>
      </c>
      <c r="O79">
        <v>0</v>
      </c>
      <c r="P79">
        <v>2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2</v>
      </c>
      <c r="AH79">
        <v>3</v>
      </c>
      <c r="AI79">
        <v>49</v>
      </c>
      <c r="AJ79">
        <v>562</v>
      </c>
    </row>
    <row r="80" spans="1:36">
      <c r="A80">
        <v>4952</v>
      </c>
      <c r="B80" t="s">
        <v>5626</v>
      </c>
      <c r="C80">
        <v>2</v>
      </c>
      <c r="D80">
        <v>0</v>
      </c>
      <c r="E80">
        <v>0</v>
      </c>
      <c r="F80">
        <v>4</v>
      </c>
      <c r="G80">
        <v>0</v>
      </c>
      <c r="H80">
        <v>0</v>
      </c>
      <c r="I80">
        <v>0</v>
      </c>
      <c r="J80">
        <v>2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2</v>
      </c>
      <c r="AH80">
        <v>1</v>
      </c>
      <c r="AI80">
        <v>42</v>
      </c>
    </row>
    <row r="81" spans="1:36">
      <c r="A81">
        <v>5009</v>
      </c>
      <c r="B81" t="s">
        <v>5645</v>
      </c>
      <c r="C81">
        <v>3</v>
      </c>
      <c r="D81">
        <v>1</v>
      </c>
      <c r="E81">
        <v>0</v>
      </c>
      <c r="F81">
        <v>4</v>
      </c>
      <c r="G81">
        <v>0</v>
      </c>
      <c r="H81">
        <v>6</v>
      </c>
      <c r="I81">
        <v>0</v>
      </c>
      <c r="J81">
        <v>2</v>
      </c>
      <c r="K81">
        <v>3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3</v>
      </c>
      <c r="AH81">
        <v>1</v>
      </c>
      <c r="AI81">
        <v>462</v>
      </c>
      <c r="AJ81">
        <v>3</v>
      </c>
    </row>
    <row r="82" spans="1:36">
      <c r="A82">
        <v>5258</v>
      </c>
      <c r="B82" t="s">
        <v>5663</v>
      </c>
      <c r="C82">
        <v>0</v>
      </c>
      <c r="D82">
        <v>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9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1</v>
      </c>
      <c r="AJ82">
        <v>9</v>
      </c>
    </row>
    <row r="83" spans="1:36">
      <c r="A83">
        <v>5351</v>
      </c>
      <c r="B83" t="s">
        <v>5681</v>
      </c>
      <c r="C83">
        <v>0</v>
      </c>
      <c r="D83">
        <v>1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2</v>
      </c>
      <c r="Q83">
        <v>1</v>
      </c>
      <c r="R83">
        <v>1</v>
      </c>
      <c r="S83" t="s">
        <v>4720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 t="s">
        <v>4732</v>
      </c>
      <c r="AE83">
        <v>0</v>
      </c>
      <c r="AF83">
        <v>0</v>
      </c>
      <c r="AG83">
        <v>1</v>
      </c>
      <c r="AH83">
        <v>2</v>
      </c>
      <c r="AI83" t="s">
        <v>4720</v>
      </c>
      <c r="AJ83" t="s">
        <v>6743</v>
      </c>
    </row>
    <row r="84" spans="1:36">
      <c r="A84">
        <v>5388</v>
      </c>
      <c r="B84" t="s">
        <v>5686</v>
      </c>
      <c r="C84">
        <v>1</v>
      </c>
      <c r="D84">
        <v>1</v>
      </c>
      <c r="E84">
        <v>0</v>
      </c>
      <c r="F84">
        <v>4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6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 t="s">
        <v>6372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2</v>
      </c>
      <c r="AH84">
        <v>1</v>
      </c>
      <c r="AI84" t="s">
        <v>6715</v>
      </c>
      <c r="AJ84">
        <v>6</v>
      </c>
    </row>
    <row r="85" spans="1:36">
      <c r="A85">
        <v>5425</v>
      </c>
      <c r="B85" t="s">
        <v>5690</v>
      </c>
      <c r="C85">
        <v>4</v>
      </c>
      <c r="D85">
        <v>0</v>
      </c>
      <c r="E85">
        <v>0</v>
      </c>
      <c r="F85">
        <v>0</v>
      </c>
      <c r="G85">
        <v>5</v>
      </c>
      <c r="H85">
        <v>6</v>
      </c>
      <c r="I85">
        <v>0</v>
      </c>
      <c r="J85">
        <v>2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4</v>
      </c>
      <c r="AH85">
        <v>0</v>
      </c>
      <c r="AI85">
        <v>562</v>
      </c>
    </row>
    <row r="86" spans="1:36">
      <c r="A86">
        <v>5530</v>
      </c>
      <c r="B86" t="s">
        <v>5716</v>
      </c>
      <c r="C86">
        <v>0</v>
      </c>
      <c r="D86">
        <v>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9</v>
      </c>
      <c r="P86">
        <v>0</v>
      </c>
      <c r="Q86">
        <v>1</v>
      </c>
      <c r="R86">
        <v>0</v>
      </c>
      <c r="S86" t="s">
        <v>4720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1</v>
      </c>
      <c r="AH86">
        <v>1</v>
      </c>
      <c r="AI86" t="s">
        <v>4720</v>
      </c>
      <c r="AJ86">
        <v>9</v>
      </c>
    </row>
    <row r="87" spans="1:36">
      <c r="A87">
        <v>6104</v>
      </c>
      <c r="B87" t="s">
        <v>5745</v>
      </c>
      <c r="C87">
        <v>4</v>
      </c>
      <c r="D87">
        <v>0</v>
      </c>
      <c r="E87">
        <v>3</v>
      </c>
      <c r="F87">
        <v>4</v>
      </c>
      <c r="G87">
        <v>5</v>
      </c>
      <c r="H87">
        <v>0</v>
      </c>
      <c r="I87">
        <v>0</v>
      </c>
      <c r="J87">
        <v>2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3545</v>
      </c>
      <c r="AD87">
        <v>0</v>
      </c>
      <c r="AE87">
        <v>0</v>
      </c>
      <c r="AF87">
        <v>0</v>
      </c>
      <c r="AG87">
        <v>4</v>
      </c>
      <c r="AH87">
        <v>1</v>
      </c>
      <c r="AI87">
        <v>3452</v>
      </c>
      <c r="AJ87" t="s">
        <v>3545</v>
      </c>
    </row>
    <row r="88" spans="1:36">
      <c r="A88">
        <v>6138</v>
      </c>
      <c r="B88" t="s">
        <v>5765</v>
      </c>
      <c r="C88">
        <v>0</v>
      </c>
      <c r="D88">
        <v>2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4</v>
      </c>
      <c r="M88">
        <v>0</v>
      </c>
      <c r="N88">
        <v>6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2</v>
      </c>
      <c r="AJ88">
        <v>46</v>
      </c>
    </row>
    <row r="89" spans="1:36">
      <c r="A89">
        <v>6150</v>
      </c>
      <c r="B89" t="s">
        <v>5773</v>
      </c>
      <c r="C89">
        <v>2</v>
      </c>
      <c r="D89">
        <v>0</v>
      </c>
      <c r="E89">
        <v>0</v>
      </c>
      <c r="F89">
        <v>4</v>
      </c>
      <c r="G89">
        <v>0</v>
      </c>
      <c r="H89">
        <v>0</v>
      </c>
      <c r="I89">
        <v>0</v>
      </c>
      <c r="J89">
        <v>2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2</v>
      </c>
      <c r="AH89">
        <v>0</v>
      </c>
      <c r="AI89">
        <v>42</v>
      </c>
    </row>
    <row r="90" spans="1:36">
      <c r="A90">
        <v>6187</v>
      </c>
      <c r="B90" t="s">
        <v>5799</v>
      </c>
      <c r="C90">
        <v>0</v>
      </c>
      <c r="D90">
        <v>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6</v>
      </c>
      <c r="O90">
        <v>0</v>
      </c>
      <c r="P90">
        <v>0</v>
      </c>
      <c r="Q90">
        <v>0</v>
      </c>
      <c r="R90">
        <v>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J90">
        <v>6</v>
      </c>
    </row>
    <row r="91" spans="1:36">
      <c r="A91">
        <v>6205</v>
      </c>
      <c r="B91" t="s">
        <v>5810</v>
      </c>
      <c r="C91">
        <v>1</v>
      </c>
      <c r="D91">
        <v>0</v>
      </c>
      <c r="E91">
        <v>0</v>
      </c>
      <c r="F91">
        <v>4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1</v>
      </c>
      <c r="AH91">
        <v>0</v>
      </c>
      <c r="AI91">
        <v>4</v>
      </c>
    </row>
    <row r="92" spans="1:36">
      <c r="A92">
        <v>6216</v>
      </c>
      <c r="B92" t="s">
        <v>5818</v>
      </c>
      <c r="C92">
        <v>2</v>
      </c>
      <c r="D92">
        <v>0</v>
      </c>
      <c r="E92">
        <v>0</v>
      </c>
      <c r="F92">
        <v>4</v>
      </c>
      <c r="G92">
        <v>0</v>
      </c>
      <c r="H92">
        <v>0</v>
      </c>
      <c r="I92">
        <v>0</v>
      </c>
      <c r="J92">
        <v>2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</v>
      </c>
      <c r="AH92">
        <v>0</v>
      </c>
      <c r="AI92">
        <v>42</v>
      </c>
    </row>
    <row r="93" spans="1:36">
      <c r="A93">
        <v>6235</v>
      </c>
      <c r="B93" t="s">
        <v>5832</v>
      </c>
      <c r="C93">
        <v>0</v>
      </c>
      <c r="D93">
        <v>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4</v>
      </c>
      <c r="M93">
        <v>0</v>
      </c>
      <c r="N93">
        <v>0</v>
      </c>
      <c r="O93">
        <v>9</v>
      </c>
      <c r="P93">
        <v>2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3</v>
      </c>
      <c r="AJ93">
        <v>492</v>
      </c>
    </row>
    <row r="94" spans="1:36">
      <c r="A94">
        <v>6237</v>
      </c>
      <c r="B94" t="s">
        <v>5833</v>
      </c>
      <c r="C94">
        <v>1</v>
      </c>
      <c r="D94">
        <v>0</v>
      </c>
      <c r="E94">
        <v>0</v>
      </c>
      <c r="F94">
        <v>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1</v>
      </c>
      <c r="AH94">
        <v>0</v>
      </c>
      <c r="AI94">
        <v>4</v>
      </c>
    </row>
    <row r="95" spans="1:36">
      <c r="A95">
        <v>6245</v>
      </c>
      <c r="B95" t="s">
        <v>5837</v>
      </c>
      <c r="C95">
        <v>0</v>
      </c>
      <c r="D95">
        <v>1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6</v>
      </c>
      <c r="O95">
        <v>0</v>
      </c>
      <c r="P95">
        <v>0</v>
      </c>
      <c r="Q95">
        <v>0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2</v>
      </c>
      <c r="AJ95">
        <v>6</v>
      </c>
    </row>
    <row r="96" spans="1:36">
      <c r="A96">
        <v>6285</v>
      </c>
      <c r="B96" t="s">
        <v>5859</v>
      </c>
      <c r="C96">
        <v>0</v>
      </c>
      <c r="D96">
        <v>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6</v>
      </c>
      <c r="O96">
        <v>0</v>
      </c>
      <c r="P96">
        <v>0</v>
      </c>
      <c r="Q96">
        <v>0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3544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4</v>
      </c>
      <c r="AJ96" t="s">
        <v>6430</v>
      </c>
    </row>
    <row r="97" spans="1:36">
      <c r="A97">
        <v>6411</v>
      </c>
      <c r="B97" t="s">
        <v>5865</v>
      </c>
      <c r="C97">
        <v>2</v>
      </c>
      <c r="D97">
        <v>0</v>
      </c>
      <c r="E97">
        <v>0</v>
      </c>
      <c r="F97">
        <v>4</v>
      </c>
      <c r="G97">
        <v>0</v>
      </c>
      <c r="H97">
        <v>0</v>
      </c>
      <c r="I97">
        <v>0</v>
      </c>
      <c r="J97">
        <v>2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>
        <v>0</v>
      </c>
      <c r="T97">
        <v>0</v>
      </c>
      <c r="U97">
        <v>0</v>
      </c>
      <c r="V97">
        <v>0</v>
      </c>
      <c r="W97" t="s">
        <v>4732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3</v>
      </c>
      <c r="AH97">
        <v>0</v>
      </c>
      <c r="AI97" t="s">
        <v>6751</v>
      </c>
    </row>
    <row r="98" spans="1:36">
      <c r="A98">
        <v>6435</v>
      </c>
      <c r="B98" t="s">
        <v>5873</v>
      </c>
      <c r="C98">
        <v>1</v>
      </c>
      <c r="D98">
        <v>0</v>
      </c>
      <c r="E98">
        <v>0</v>
      </c>
      <c r="F98">
        <v>0</v>
      </c>
      <c r="G98">
        <v>5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1</v>
      </c>
      <c r="AH98">
        <v>0</v>
      </c>
      <c r="AI98">
        <v>5</v>
      </c>
    </row>
    <row r="99" spans="1:36">
      <c r="A99">
        <v>6443</v>
      </c>
      <c r="B99" t="s">
        <v>5877</v>
      </c>
      <c r="C99">
        <v>0</v>
      </c>
      <c r="D99">
        <v>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4</v>
      </c>
      <c r="M99">
        <v>0</v>
      </c>
      <c r="N99">
        <v>6</v>
      </c>
      <c r="O99">
        <v>0</v>
      </c>
      <c r="P99">
        <v>2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3</v>
      </c>
      <c r="AJ99">
        <v>462</v>
      </c>
    </row>
    <row r="100" spans="1:36">
      <c r="A100">
        <v>6461</v>
      </c>
      <c r="B100" t="s">
        <v>5882</v>
      </c>
      <c r="C100">
        <v>0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9</v>
      </c>
      <c r="P100">
        <v>0</v>
      </c>
      <c r="Q100">
        <v>0</v>
      </c>
      <c r="R100">
        <v>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 t="s">
        <v>4732</v>
      </c>
      <c r="AE100">
        <v>0</v>
      </c>
      <c r="AF100">
        <v>0</v>
      </c>
      <c r="AG100">
        <v>0</v>
      </c>
      <c r="AH100">
        <v>2</v>
      </c>
      <c r="AJ100" t="s">
        <v>6710</v>
      </c>
    </row>
    <row r="101" spans="1:36">
      <c r="A101">
        <v>6470</v>
      </c>
      <c r="B101" t="s">
        <v>6164</v>
      </c>
      <c r="C101">
        <v>0</v>
      </c>
      <c r="D101">
        <v>1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</v>
      </c>
      <c r="AJ101">
        <v>9</v>
      </c>
    </row>
    <row r="102" spans="1:36">
      <c r="A102">
        <v>6508</v>
      </c>
      <c r="B102" t="s">
        <v>5897</v>
      </c>
      <c r="C102">
        <v>0</v>
      </c>
      <c r="D102">
        <v>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3</v>
      </c>
      <c r="L102">
        <v>0</v>
      </c>
      <c r="M102">
        <v>0</v>
      </c>
      <c r="N102">
        <v>0</v>
      </c>
      <c r="O102">
        <v>0</v>
      </c>
      <c r="P102">
        <v>2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2</v>
      </c>
      <c r="AJ102">
        <v>32</v>
      </c>
    </row>
    <row r="103" spans="1:36">
      <c r="A103">
        <v>6538</v>
      </c>
      <c r="B103" t="s">
        <v>5908</v>
      </c>
      <c r="C103">
        <v>1</v>
      </c>
      <c r="D103">
        <v>0</v>
      </c>
      <c r="E103">
        <v>0</v>
      </c>
      <c r="F103">
        <v>0</v>
      </c>
      <c r="G103">
        <v>0</v>
      </c>
      <c r="H103">
        <v>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1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1</v>
      </c>
      <c r="AH103">
        <v>1</v>
      </c>
      <c r="AI103">
        <v>6</v>
      </c>
    </row>
    <row r="104" spans="1:36">
      <c r="A104">
        <v>6578</v>
      </c>
      <c r="B104" t="s">
        <v>5915</v>
      </c>
      <c r="C104">
        <v>0</v>
      </c>
      <c r="D104">
        <v>2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3</v>
      </c>
      <c r="L104">
        <v>0</v>
      </c>
      <c r="M104">
        <v>0</v>
      </c>
      <c r="N104">
        <v>0</v>
      </c>
      <c r="O104">
        <v>0</v>
      </c>
      <c r="P104">
        <v>2</v>
      </c>
      <c r="Q104">
        <v>0</v>
      </c>
      <c r="R104">
        <v>1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3</v>
      </c>
      <c r="AJ104">
        <v>32</v>
      </c>
    </row>
    <row r="105" spans="1:36">
      <c r="A105">
        <v>6591</v>
      </c>
      <c r="B105" t="s">
        <v>5919</v>
      </c>
      <c r="C105">
        <v>1</v>
      </c>
      <c r="D105">
        <v>0</v>
      </c>
      <c r="E105">
        <v>0</v>
      </c>
      <c r="F105">
        <v>0</v>
      </c>
      <c r="G105">
        <v>0</v>
      </c>
      <c r="H105">
        <v>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1</v>
      </c>
      <c r="AH105">
        <v>0</v>
      </c>
      <c r="AI105">
        <v>6</v>
      </c>
    </row>
    <row r="106" spans="1:36">
      <c r="A106">
        <v>6598</v>
      </c>
      <c r="B106" t="s">
        <v>5921</v>
      </c>
      <c r="C106">
        <v>2</v>
      </c>
      <c r="D106">
        <v>0</v>
      </c>
      <c r="E106">
        <v>0</v>
      </c>
      <c r="F106">
        <v>0</v>
      </c>
      <c r="G106">
        <v>5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2</v>
      </c>
      <c r="AH106">
        <v>0</v>
      </c>
      <c r="AI106">
        <v>52</v>
      </c>
    </row>
    <row r="107" spans="1:36">
      <c r="A107">
        <v>6679</v>
      </c>
      <c r="B107" t="s">
        <v>5942</v>
      </c>
      <c r="C107">
        <v>0</v>
      </c>
      <c r="D107">
        <v>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6</v>
      </c>
      <c r="O107">
        <v>0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t="s">
        <v>3545</v>
      </c>
      <c r="AD107">
        <v>0</v>
      </c>
      <c r="AE107">
        <v>0</v>
      </c>
      <c r="AF107">
        <v>0</v>
      </c>
      <c r="AG107">
        <v>0</v>
      </c>
      <c r="AH107">
        <v>2</v>
      </c>
      <c r="AJ107" t="s">
        <v>6717</v>
      </c>
    </row>
    <row r="108" spans="1:36">
      <c r="A108">
        <v>6732</v>
      </c>
      <c r="B108" t="s">
        <v>5946</v>
      </c>
      <c r="C108">
        <v>0</v>
      </c>
      <c r="D108">
        <v>1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6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1</v>
      </c>
      <c r="AJ108">
        <v>6</v>
      </c>
    </row>
    <row r="109" spans="1:36">
      <c r="A109">
        <v>6756</v>
      </c>
      <c r="B109" t="s">
        <v>5950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6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</v>
      </c>
      <c r="AJ109">
        <v>6</v>
      </c>
    </row>
    <row r="110" spans="1:36">
      <c r="A110">
        <v>8071</v>
      </c>
      <c r="B110" t="s">
        <v>5974</v>
      </c>
      <c r="C110">
        <v>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2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 t="s">
        <v>4732</v>
      </c>
      <c r="AE110">
        <v>0</v>
      </c>
      <c r="AF110">
        <v>0</v>
      </c>
      <c r="AG110">
        <v>1</v>
      </c>
      <c r="AH110">
        <v>1</v>
      </c>
      <c r="AI110">
        <v>2</v>
      </c>
      <c r="AJ110" t="s">
        <v>4732</v>
      </c>
    </row>
    <row r="111" spans="1:36">
      <c r="A111">
        <v>8104</v>
      </c>
      <c r="B111" t="s">
        <v>5987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9</v>
      </c>
      <c r="P111">
        <v>0</v>
      </c>
      <c r="Q111">
        <v>0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 t="s">
        <v>4720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2</v>
      </c>
      <c r="AJ111" t="s">
        <v>6752</v>
      </c>
    </row>
    <row r="112" spans="1:36">
      <c r="A112">
        <v>8155</v>
      </c>
      <c r="B112" t="s">
        <v>5997</v>
      </c>
      <c r="C112">
        <v>3</v>
      </c>
      <c r="D112">
        <v>0</v>
      </c>
      <c r="E112">
        <v>0</v>
      </c>
      <c r="F112">
        <v>0</v>
      </c>
      <c r="G112">
        <v>0</v>
      </c>
      <c r="H112">
        <v>6</v>
      </c>
      <c r="I112">
        <v>9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3</v>
      </c>
      <c r="AH112">
        <v>0</v>
      </c>
      <c r="AI112">
        <v>69</v>
      </c>
    </row>
    <row r="113" spans="1:36">
      <c r="A113">
        <v>8183</v>
      </c>
      <c r="B113" t="s">
        <v>6001</v>
      </c>
      <c r="C113">
        <v>1</v>
      </c>
      <c r="D113">
        <v>0</v>
      </c>
      <c r="E113">
        <v>0</v>
      </c>
      <c r="F113">
        <v>4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1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 t="s">
        <v>6372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2</v>
      </c>
      <c r="AH113">
        <v>0</v>
      </c>
      <c r="AI113" t="s">
        <v>6715</v>
      </c>
    </row>
    <row r="114" spans="1:36">
      <c r="A114">
        <v>8255</v>
      </c>
      <c r="B114" t="s">
        <v>6010</v>
      </c>
      <c r="C114">
        <v>0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6</v>
      </c>
      <c r="O114">
        <v>0</v>
      </c>
      <c r="P114">
        <v>0</v>
      </c>
      <c r="Q114">
        <v>0</v>
      </c>
      <c r="R114">
        <v>1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2</v>
      </c>
      <c r="AJ114">
        <v>6</v>
      </c>
    </row>
    <row r="115" spans="1:36">
      <c r="A115">
        <v>8261</v>
      </c>
      <c r="B115" t="s">
        <v>6011</v>
      </c>
      <c r="C115">
        <v>1</v>
      </c>
      <c r="D115">
        <v>0</v>
      </c>
      <c r="E115">
        <v>0</v>
      </c>
      <c r="F115">
        <v>4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1</v>
      </c>
      <c r="AH115">
        <v>0</v>
      </c>
      <c r="AI115">
        <v>4</v>
      </c>
    </row>
    <row r="116" spans="1:36">
      <c r="A116">
        <v>8358</v>
      </c>
      <c r="B116" t="s">
        <v>6018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6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1</v>
      </c>
      <c r="AJ116">
        <v>6</v>
      </c>
    </row>
    <row r="117" spans="1:36">
      <c r="A117">
        <v>8440</v>
      </c>
      <c r="B117" t="s">
        <v>6036</v>
      </c>
      <c r="C117">
        <v>0</v>
      </c>
      <c r="D117">
        <v>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4</v>
      </c>
      <c r="M117">
        <v>0</v>
      </c>
      <c r="N117">
        <v>0</v>
      </c>
      <c r="O117">
        <v>0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2</v>
      </c>
      <c r="AJ117">
        <v>42</v>
      </c>
    </row>
    <row r="118" spans="1:36">
      <c r="A118">
        <v>8476</v>
      </c>
      <c r="B118" t="s">
        <v>6251</v>
      </c>
      <c r="C118">
        <v>0</v>
      </c>
      <c r="D118">
        <v>1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1</v>
      </c>
      <c r="AJ118">
        <v>9</v>
      </c>
    </row>
    <row r="119" spans="1:36">
      <c r="A119">
        <v>8478</v>
      </c>
      <c r="B119" t="s">
        <v>6050</v>
      </c>
      <c r="C119">
        <v>1</v>
      </c>
      <c r="D119">
        <v>0</v>
      </c>
      <c r="E119">
        <v>0</v>
      </c>
      <c r="F119">
        <v>4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1</v>
      </c>
      <c r="AH119">
        <v>0</v>
      </c>
      <c r="AI119">
        <v>4</v>
      </c>
    </row>
    <row r="120" spans="1:36">
      <c r="A120">
        <v>8928</v>
      </c>
      <c r="B120" t="s">
        <v>6063</v>
      </c>
      <c r="C120">
        <v>3</v>
      </c>
      <c r="D120">
        <v>0</v>
      </c>
      <c r="E120">
        <v>3</v>
      </c>
      <c r="F120">
        <v>4</v>
      </c>
      <c r="G120">
        <v>0</v>
      </c>
      <c r="H120">
        <v>0</v>
      </c>
      <c r="I120">
        <v>0</v>
      </c>
      <c r="J120">
        <v>2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 t="s">
        <v>6713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4</v>
      </c>
      <c r="AH120">
        <v>0</v>
      </c>
      <c r="AI120" t="s">
        <v>6753</v>
      </c>
    </row>
    <row r="121" spans="1:36">
      <c r="A121">
        <v>9962</v>
      </c>
      <c r="B121" t="s">
        <v>6106</v>
      </c>
      <c r="C121">
        <v>1</v>
      </c>
      <c r="D121">
        <v>0</v>
      </c>
      <c r="E121">
        <v>0</v>
      </c>
      <c r="F121">
        <v>4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1</v>
      </c>
      <c r="AH121">
        <v>0</v>
      </c>
      <c r="AI121">
        <v>4</v>
      </c>
    </row>
    <row r="122" spans="1:36">
      <c r="A122">
        <v>1101</v>
      </c>
      <c r="B122" t="s">
        <v>4776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 t="s">
        <v>3545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1</v>
      </c>
      <c r="AH122">
        <v>1</v>
      </c>
      <c r="AI122" t="s">
        <v>3545</v>
      </c>
    </row>
    <row r="123" spans="1:36">
      <c r="A123">
        <v>1102</v>
      </c>
      <c r="B123" t="s">
        <v>4777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2</v>
      </c>
      <c r="R123">
        <v>1</v>
      </c>
      <c r="S123">
        <v>0</v>
      </c>
      <c r="T123">
        <v>0</v>
      </c>
      <c r="U123" t="s">
        <v>3544</v>
      </c>
      <c r="V123">
        <v>0</v>
      </c>
      <c r="W123" t="s">
        <v>4732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2</v>
      </c>
      <c r="AH123">
        <v>1</v>
      </c>
      <c r="AI123" t="s">
        <v>6371</v>
      </c>
    </row>
    <row r="124" spans="1:36">
      <c r="A124">
        <v>1103</v>
      </c>
      <c r="B124" t="s">
        <v>4778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1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 t="s">
        <v>3543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1</v>
      </c>
      <c r="AJ124" t="s">
        <v>3543</v>
      </c>
    </row>
    <row r="125" spans="1:36">
      <c r="A125">
        <v>1104</v>
      </c>
      <c r="B125" t="s">
        <v>4779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1</v>
      </c>
    </row>
    <row r="126" spans="1:36">
      <c r="A126">
        <v>1109</v>
      </c>
      <c r="B126" t="s">
        <v>4781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1</v>
      </c>
    </row>
    <row r="127" spans="1:36">
      <c r="A127">
        <v>1110</v>
      </c>
      <c r="B127" t="s">
        <v>4782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 t="s">
        <v>4720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1</v>
      </c>
      <c r="AJ127" t="s">
        <v>4720</v>
      </c>
    </row>
    <row r="128" spans="1:36">
      <c r="A128">
        <v>1201</v>
      </c>
      <c r="B128" t="s">
        <v>4783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1</v>
      </c>
      <c r="R128">
        <v>0</v>
      </c>
      <c r="S128">
        <v>0</v>
      </c>
      <c r="T128" t="s">
        <v>3543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1</v>
      </c>
      <c r="AH128">
        <v>0</v>
      </c>
      <c r="AI128" t="s">
        <v>3543</v>
      </c>
    </row>
    <row r="129" spans="1:36">
      <c r="A129">
        <v>1215</v>
      </c>
      <c r="B129" t="s">
        <v>4786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1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 t="s">
        <v>3543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1</v>
      </c>
      <c r="AJ129" t="s">
        <v>3543</v>
      </c>
    </row>
    <row r="130" spans="1:36">
      <c r="A130">
        <v>1216</v>
      </c>
      <c r="B130" t="s">
        <v>4787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1</v>
      </c>
      <c r="S130">
        <v>0</v>
      </c>
      <c r="T130">
        <v>0</v>
      </c>
      <c r="U130">
        <v>0</v>
      </c>
      <c r="V130" t="s">
        <v>3545</v>
      </c>
      <c r="W130">
        <v>0</v>
      </c>
      <c r="X130">
        <v>0</v>
      </c>
      <c r="Y130">
        <v>0</v>
      </c>
      <c r="Z130">
        <v>0</v>
      </c>
      <c r="AA130">
        <v>0</v>
      </c>
      <c r="AB130" t="s">
        <v>3544</v>
      </c>
      <c r="AC130">
        <v>0</v>
      </c>
      <c r="AD130">
        <v>0</v>
      </c>
      <c r="AE130">
        <v>0</v>
      </c>
      <c r="AF130">
        <v>0</v>
      </c>
      <c r="AG130">
        <v>1</v>
      </c>
      <c r="AH130">
        <v>1</v>
      </c>
      <c r="AI130" t="s">
        <v>3545</v>
      </c>
      <c r="AJ130" t="s">
        <v>3544</v>
      </c>
    </row>
    <row r="131" spans="1:36">
      <c r="A131">
        <v>1217</v>
      </c>
      <c r="B131" t="s">
        <v>4788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 t="s">
        <v>6372</v>
      </c>
      <c r="Y131">
        <v>0</v>
      </c>
      <c r="Z131">
        <v>0</v>
      </c>
      <c r="AA131">
        <v>0</v>
      </c>
      <c r="AB131">
        <v>0</v>
      </c>
      <c r="AC131">
        <v>0</v>
      </c>
      <c r="AD131" t="s">
        <v>4732</v>
      </c>
      <c r="AE131">
        <v>0</v>
      </c>
      <c r="AF131">
        <v>0</v>
      </c>
      <c r="AG131">
        <v>1</v>
      </c>
      <c r="AH131">
        <v>1</v>
      </c>
      <c r="AI131" t="s">
        <v>6372</v>
      </c>
      <c r="AJ131" t="s">
        <v>4732</v>
      </c>
    </row>
    <row r="132" spans="1:36">
      <c r="A132">
        <v>1227</v>
      </c>
      <c r="B132" t="s">
        <v>4793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1</v>
      </c>
      <c r="S132">
        <v>0</v>
      </c>
      <c r="T132">
        <v>0</v>
      </c>
      <c r="U132">
        <v>0</v>
      </c>
      <c r="V132">
        <v>0</v>
      </c>
      <c r="W132" t="s">
        <v>4732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1</v>
      </c>
      <c r="AH132">
        <v>1</v>
      </c>
      <c r="AI132" t="s">
        <v>4732</v>
      </c>
    </row>
    <row r="133" spans="1:36">
      <c r="A133">
        <v>1231</v>
      </c>
      <c r="B133" t="s">
        <v>4795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</row>
    <row r="134" spans="1:36">
      <c r="A134">
        <v>1232</v>
      </c>
      <c r="B134" t="s">
        <v>4796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1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1</v>
      </c>
    </row>
    <row r="135" spans="1:36">
      <c r="A135">
        <v>1301</v>
      </c>
      <c r="B135" t="s">
        <v>4805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 t="s">
        <v>3545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1</v>
      </c>
      <c r="AH135">
        <v>0</v>
      </c>
      <c r="AI135" t="s">
        <v>3545</v>
      </c>
    </row>
    <row r="136" spans="1:36">
      <c r="A136">
        <v>1303</v>
      </c>
      <c r="B136" t="s">
        <v>4806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2</v>
      </c>
      <c r="R136">
        <v>1</v>
      </c>
      <c r="S136">
        <v>0</v>
      </c>
      <c r="T136">
        <v>0</v>
      </c>
      <c r="U136">
        <v>0</v>
      </c>
      <c r="V136" t="s">
        <v>3545</v>
      </c>
      <c r="W136" t="s">
        <v>4732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2</v>
      </c>
      <c r="AH136">
        <v>1</v>
      </c>
      <c r="AI136" t="s">
        <v>6370</v>
      </c>
    </row>
    <row r="137" spans="1:36">
      <c r="A137">
        <v>1305</v>
      </c>
      <c r="B137" t="s">
        <v>4808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>
        <v>0</v>
      </c>
      <c r="T137">
        <v>0</v>
      </c>
      <c r="U137">
        <v>0</v>
      </c>
      <c r="V137">
        <v>0</v>
      </c>
      <c r="W137" t="s">
        <v>4732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I137" t="s">
        <v>4732</v>
      </c>
    </row>
    <row r="138" spans="1:36">
      <c r="A138">
        <v>1308</v>
      </c>
      <c r="B138" t="s">
        <v>4810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1</v>
      </c>
    </row>
    <row r="139" spans="1:36">
      <c r="A139">
        <v>1309</v>
      </c>
      <c r="B139" t="s">
        <v>4811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1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1</v>
      </c>
    </row>
    <row r="140" spans="1:36">
      <c r="A140">
        <v>1313</v>
      </c>
      <c r="B140" t="s">
        <v>4814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 t="s">
        <v>6372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1</v>
      </c>
      <c r="AH140">
        <v>0</v>
      </c>
      <c r="AI140" t="s">
        <v>6372</v>
      </c>
    </row>
    <row r="141" spans="1:36">
      <c r="A141">
        <v>1314</v>
      </c>
      <c r="B141" t="s">
        <v>4815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 t="s">
        <v>4720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1</v>
      </c>
      <c r="AJ141" t="s">
        <v>4720</v>
      </c>
    </row>
    <row r="142" spans="1:36">
      <c r="A142">
        <v>1316</v>
      </c>
      <c r="B142" t="s">
        <v>4817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1</v>
      </c>
      <c r="R142">
        <v>0</v>
      </c>
      <c r="S142" t="s">
        <v>4720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1</v>
      </c>
      <c r="AH142">
        <v>0</v>
      </c>
      <c r="AI142" t="s">
        <v>4720</v>
      </c>
    </row>
    <row r="143" spans="1:36">
      <c r="A143">
        <v>1321</v>
      </c>
      <c r="B143" t="s">
        <v>4819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1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 t="s">
        <v>3543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1</v>
      </c>
      <c r="AJ143" t="s">
        <v>3543</v>
      </c>
    </row>
    <row r="144" spans="1:36">
      <c r="A144">
        <v>1323</v>
      </c>
      <c r="B144" t="s">
        <v>4820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2</v>
      </c>
      <c r="R144">
        <v>0</v>
      </c>
      <c r="S144" t="s">
        <v>4720</v>
      </c>
      <c r="T144" t="s">
        <v>3543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2</v>
      </c>
      <c r="AH144">
        <v>0</v>
      </c>
      <c r="AI144" t="s">
        <v>6417</v>
      </c>
    </row>
    <row r="145" spans="1:36">
      <c r="A145">
        <v>1337</v>
      </c>
      <c r="B145" t="s">
        <v>4825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1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</row>
    <row r="146" spans="1:36">
      <c r="A146">
        <v>1338</v>
      </c>
      <c r="B146" t="s">
        <v>4826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1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 t="s">
        <v>4720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1</v>
      </c>
      <c r="AJ146" t="s">
        <v>4720</v>
      </c>
    </row>
    <row r="147" spans="1:36">
      <c r="A147">
        <v>1402</v>
      </c>
      <c r="B147" t="s">
        <v>4830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>
        <v>0</v>
      </c>
      <c r="T147">
        <v>0</v>
      </c>
      <c r="U147">
        <v>0</v>
      </c>
      <c r="V147" t="s">
        <v>3545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1</v>
      </c>
      <c r="AH147">
        <v>0</v>
      </c>
      <c r="AI147" t="s">
        <v>3545</v>
      </c>
    </row>
    <row r="148" spans="1:36">
      <c r="A148">
        <v>1409</v>
      </c>
      <c r="B148" t="s">
        <v>4831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1</v>
      </c>
    </row>
    <row r="149" spans="1:36">
      <c r="A149">
        <v>1423</v>
      </c>
      <c r="B149" t="s">
        <v>4837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1</v>
      </c>
      <c r="R149">
        <v>0</v>
      </c>
      <c r="S149" t="s">
        <v>4720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0</v>
      </c>
      <c r="AI149" t="s">
        <v>4720</v>
      </c>
    </row>
    <row r="150" spans="1:36">
      <c r="A150">
        <v>1437</v>
      </c>
      <c r="B150" t="s">
        <v>4840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1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 t="s">
        <v>3543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1</v>
      </c>
      <c r="AJ150" t="s">
        <v>3543</v>
      </c>
    </row>
    <row r="151" spans="1:36">
      <c r="A151">
        <v>1438</v>
      </c>
      <c r="B151" t="s">
        <v>4841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1</v>
      </c>
      <c r="R151">
        <v>0</v>
      </c>
      <c r="S151" t="s">
        <v>4720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0</v>
      </c>
      <c r="AI151" t="s">
        <v>4720</v>
      </c>
    </row>
    <row r="152" spans="1:36">
      <c r="A152">
        <v>1440</v>
      </c>
      <c r="B152" t="s">
        <v>4843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 t="s">
        <v>4732</v>
      </c>
      <c r="AE152">
        <v>0</v>
      </c>
      <c r="AF152">
        <v>0</v>
      </c>
      <c r="AG152">
        <v>0</v>
      </c>
      <c r="AH152">
        <v>1</v>
      </c>
      <c r="AJ152" t="s">
        <v>4732</v>
      </c>
    </row>
    <row r="153" spans="1:36">
      <c r="A153">
        <v>1442</v>
      </c>
      <c r="B153" t="s">
        <v>4844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1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 t="s">
        <v>3543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1</v>
      </c>
      <c r="AJ153" t="s">
        <v>3543</v>
      </c>
    </row>
    <row r="154" spans="1:36">
      <c r="A154">
        <v>1444</v>
      </c>
      <c r="B154" t="s">
        <v>4845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1</v>
      </c>
      <c r="R154">
        <v>2</v>
      </c>
      <c r="S154">
        <v>0</v>
      </c>
      <c r="T154">
        <v>0</v>
      </c>
      <c r="U154">
        <v>0</v>
      </c>
      <c r="V154">
        <v>0</v>
      </c>
      <c r="W154">
        <v>0</v>
      </c>
      <c r="X154" t="s">
        <v>6372</v>
      </c>
      <c r="Y154">
        <v>0</v>
      </c>
      <c r="Z154">
        <v>0</v>
      </c>
      <c r="AA154" t="s">
        <v>3543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1</v>
      </c>
      <c r="AH154">
        <v>2</v>
      </c>
      <c r="AI154" t="s">
        <v>6372</v>
      </c>
      <c r="AJ154" t="s">
        <v>3543</v>
      </c>
    </row>
    <row r="155" spans="1:36">
      <c r="A155">
        <v>1445</v>
      </c>
      <c r="B155" t="s">
        <v>4846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 t="s">
        <v>3543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1</v>
      </c>
      <c r="AJ155" t="s">
        <v>3543</v>
      </c>
    </row>
    <row r="156" spans="1:36">
      <c r="A156">
        <v>1446</v>
      </c>
      <c r="B156" t="s">
        <v>4847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 t="s">
        <v>4720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1</v>
      </c>
      <c r="AH156">
        <v>0</v>
      </c>
      <c r="AI156" t="s">
        <v>4720</v>
      </c>
    </row>
    <row r="157" spans="1:36">
      <c r="A157">
        <v>1449</v>
      </c>
      <c r="B157" t="s">
        <v>6180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>
        <v>0</v>
      </c>
      <c r="T157" t="s">
        <v>3543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1</v>
      </c>
      <c r="AH157">
        <v>0</v>
      </c>
      <c r="AI157" t="s">
        <v>3543</v>
      </c>
    </row>
    <row r="158" spans="1:36">
      <c r="A158">
        <v>1452</v>
      </c>
      <c r="B158" t="s">
        <v>4850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1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 t="s">
        <v>3543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J158" t="s">
        <v>3543</v>
      </c>
    </row>
    <row r="159" spans="1:36">
      <c r="A159">
        <v>1453</v>
      </c>
      <c r="B159" t="s">
        <v>4851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 t="s">
        <v>6713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1</v>
      </c>
      <c r="AH159">
        <v>0</v>
      </c>
      <c r="AI159" t="s">
        <v>6713</v>
      </c>
    </row>
    <row r="160" spans="1:36">
      <c r="A160">
        <v>1454</v>
      </c>
      <c r="B160" t="s">
        <v>4852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 t="s">
        <v>3543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1</v>
      </c>
      <c r="AJ160" t="s">
        <v>3543</v>
      </c>
    </row>
    <row r="161" spans="1:36">
      <c r="A161">
        <v>1455</v>
      </c>
      <c r="B161" t="s">
        <v>4853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1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 t="s">
        <v>4732</v>
      </c>
      <c r="AE161">
        <v>0</v>
      </c>
      <c r="AF161">
        <v>0</v>
      </c>
      <c r="AG161">
        <v>0</v>
      </c>
      <c r="AH161">
        <v>1</v>
      </c>
      <c r="AJ161" t="s">
        <v>4732</v>
      </c>
    </row>
    <row r="162" spans="1:36">
      <c r="A162">
        <v>1460</v>
      </c>
      <c r="B162" t="s">
        <v>6237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1</v>
      </c>
      <c r="S162" t="s">
        <v>4720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 t="s">
        <v>4732</v>
      </c>
      <c r="AE162">
        <v>0</v>
      </c>
      <c r="AF162">
        <v>0</v>
      </c>
      <c r="AG162">
        <v>1</v>
      </c>
      <c r="AH162">
        <v>1</v>
      </c>
      <c r="AI162" t="s">
        <v>4720</v>
      </c>
      <c r="AJ162" t="s">
        <v>4732</v>
      </c>
    </row>
    <row r="163" spans="1:36">
      <c r="A163">
        <v>1464</v>
      </c>
      <c r="B163" t="s">
        <v>4858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1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1</v>
      </c>
    </row>
    <row r="164" spans="1:36">
      <c r="A164">
        <v>1465</v>
      </c>
      <c r="B164" t="s">
        <v>4859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1</v>
      </c>
    </row>
    <row r="165" spans="1:36">
      <c r="A165">
        <v>1466</v>
      </c>
      <c r="B165" t="s">
        <v>4860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2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 t="s">
        <v>4720</v>
      </c>
      <c r="AA165" t="s">
        <v>3543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2</v>
      </c>
      <c r="AJ165" t="s">
        <v>6417</v>
      </c>
    </row>
    <row r="166" spans="1:36">
      <c r="A166">
        <v>1467</v>
      </c>
      <c r="B166" t="s">
        <v>4861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 t="s">
        <v>6713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1</v>
      </c>
      <c r="AH166">
        <v>0</v>
      </c>
      <c r="AI166" t="s">
        <v>6713</v>
      </c>
    </row>
    <row r="167" spans="1:36">
      <c r="A167">
        <v>1473</v>
      </c>
      <c r="B167" t="s">
        <v>4863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2</v>
      </c>
      <c r="R167">
        <v>0</v>
      </c>
      <c r="S167" t="s">
        <v>4720</v>
      </c>
      <c r="T167">
        <v>0</v>
      </c>
      <c r="U167">
        <v>0</v>
      </c>
      <c r="V167">
        <v>0</v>
      </c>
      <c r="W167">
        <v>0</v>
      </c>
      <c r="X167">
        <v>0</v>
      </c>
      <c r="Y167" t="s">
        <v>6713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2</v>
      </c>
      <c r="AH167">
        <v>0</v>
      </c>
      <c r="AI167" t="s">
        <v>6754</v>
      </c>
    </row>
    <row r="168" spans="1:36">
      <c r="A168">
        <v>1504</v>
      </c>
      <c r="B168" t="s">
        <v>4868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1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 t="s">
        <v>3543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1</v>
      </c>
      <c r="AJ168" t="s">
        <v>3543</v>
      </c>
    </row>
    <row r="169" spans="1:36">
      <c r="A169">
        <v>1513</v>
      </c>
      <c r="B169" t="s">
        <v>4869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2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 t="s">
        <v>4720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2</v>
      </c>
      <c r="AJ169" t="s">
        <v>4720</v>
      </c>
    </row>
    <row r="170" spans="1:36">
      <c r="A170">
        <v>1514</v>
      </c>
      <c r="B170" t="s">
        <v>4870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1</v>
      </c>
      <c r="R170">
        <v>1</v>
      </c>
      <c r="S170">
        <v>0</v>
      </c>
      <c r="T170" t="s">
        <v>3543</v>
      </c>
      <c r="U170">
        <v>0</v>
      </c>
      <c r="V170">
        <v>0</v>
      </c>
      <c r="W170">
        <v>0</v>
      </c>
      <c r="X170">
        <v>0</v>
      </c>
      <c r="Y170">
        <v>0</v>
      </c>
      <c r="Z170" t="s">
        <v>4720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1</v>
      </c>
      <c r="AH170">
        <v>1</v>
      </c>
      <c r="AI170" t="s">
        <v>3543</v>
      </c>
      <c r="AJ170" t="s">
        <v>4720</v>
      </c>
    </row>
    <row r="171" spans="1:36">
      <c r="A171">
        <v>1519</v>
      </c>
      <c r="B171" t="s">
        <v>4874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2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3544</v>
      </c>
      <c r="AC171">
        <v>0</v>
      </c>
      <c r="AD171" t="s">
        <v>4732</v>
      </c>
      <c r="AE171">
        <v>0</v>
      </c>
      <c r="AF171">
        <v>0</v>
      </c>
      <c r="AG171">
        <v>0</v>
      </c>
      <c r="AH171">
        <v>2</v>
      </c>
      <c r="AJ171" t="s">
        <v>6371</v>
      </c>
    </row>
    <row r="172" spans="1:36">
      <c r="A172">
        <v>1522</v>
      </c>
      <c r="B172" t="s">
        <v>4876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2</v>
      </c>
      <c r="R172">
        <v>0</v>
      </c>
      <c r="S172" t="s">
        <v>4720</v>
      </c>
      <c r="T172">
        <v>0</v>
      </c>
      <c r="U172">
        <v>0</v>
      </c>
      <c r="V172">
        <v>0</v>
      </c>
      <c r="W172">
        <v>0</v>
      </c>
      <c r="X172">
        <v>0</v>
      </c>
      <c r="Y172" t="s">
        <v>6713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2</v>
      </c>
      <c r="AH172">
        <v>0</v>
      </c>
      <c r="AI172" t="s">
        <v>6754</v>
      </c>
    </row>
    <row r="173" spans="1:36">
      <c r="A173">
        <v>1526</v>
      </c>
      <c r="B173" t="s">
        <v>4879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1</v>
      </c>
      <c r="R173">
        <v>0</v>
      </c>
      <c r="S173" t="s">
        <v>4720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1</v>
      </c>
      <c r="AH173">
        <v>0</v>
      </c>
      <c r="AI173" t="s">
        <v>4720</v>
      </c>
    </row>
    <row r="174" spans="1:36">
      <c r="A174">
        <v>1528</v>
      </c>
      <c r="B174" t="s">
        <v>4881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1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1</v>
      </c>
    </row>
    <row r="175" spans="1:36">
      <c r="A175">
        <v>1529</v>
      </c>
      <c r="B175" t="s">
        <v>4882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1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 t="s">
        <v>4720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1</v>
      </c>
      <c r="AJ175" t="s">
        <v>4720</v>
      </c>
    </row>
    <row r="176" spans="1:36">
      <c r="A176">
        <v>1532</v>
      </c>
      <c r="B176" t="s">
        <v>4885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1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</row>
    <row r="177" spans="1:36">
      <c r="A177">
        <v>1536</v>
      </c>
      <c r="B177" t="s">
        <v>4888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1</v>
      </c>
      <c r="R177">
        <v>0</v>
      </c>
      <c r="S177">
        <v>0</v>
      </c>
      <c r="T177" t="s">
        <v>3543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1</v>
      </c>
      <c r="AH177">
        <v>0</v>
      </c>
      <c r="AI177" t="s">
        <v>3543</v>
      </c>
    </row>
    <row r="178" spans="1:36">
      <c r="A178">
        <v>1537</v>
      </c>
      <c r="B178" t="s">
        <v>4889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1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</row>
    <row r="179" spans="1:36">
      <c r="A179">
        <v>1565</v>
      </c>
      <c r="B179" t="s">
        <v>4895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1</v>
      </c>
    </row>
    <row r="180" spans="1:36">
      <c r="A180">
        <v>1570</v>
      </c>
      <c r="B180" t="s">
        <v>4898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1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 t="s">
        <v>3543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1</v>
      </c>
      <c r="AJ180" t="s">
        <v>3543</v>
      </c>
    </row>
    <row r="181" spans="1:36">
      <c r="A181">
        <v>1580</v>
      </c>
      <c r="B181" t="s">
        <v>4899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1</v>
      </c>
    </row>
    <row r="182" spans="1:36">
      <c r="A182">
        <v>1586</v>
      </c>
      <c r="B182" t="s">
        <v>4903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2</v>
      </c>
      <c r="R182">
        <v>0</v>
      </c>
      <c r="S182" t="s">
        <v>4720</v>
      </c>
      <c r="T182">
        <v>0</v>
      </c>
      <c r="U182">
        <v>0</v>
      </c>
      <c r="V182">
        <v>0</v>
      </c>
      <c r="W182">
        <v>0</v>
      </c>
      <c r="X182">
        <v>0</v>
      </c>
      <c r="Y182" t="s">
        <v>6713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2</v>
      </c>
      <c r="AH182">
        <v>0</v>
      </c>
      <c r="AI182" t="s">
        <v>6754</v>
      </c>
    </row>
    <row r="183" spans="1:36">
      <c r="A183">
        <v>1590</v>
      </c>
      <c r="B183" t="s">
        <v>4906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1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 t="s">
        <v>4732</v>
      </c>
      <c r="AE183">
        <v>0</v>
      </c>
      <c r="AF183">
        <v>0</v>
      </c>
      <c r="AG183">
        <v>0</v>
      </c>
      <c r="AH183">
        <v>1</v>
      </c>
      <c r="AJ183" t="s">
        <v>4732</v>
      </c>
    </row>
    <row r="184" spans="1:36">
      <c r="A184">
        <v>1595</v>
      </c>
      <c r="B184" t="s">
        <v>4909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1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 t="s">
        <v>3543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1</v>
      </c>
      <c r="AJ184" t="s">
        <v>3543</v>
      </c>
    </row>
    <row r="185" spans="1:36">
      <c r="A185">
        <v>1599</v>
      </c>
      <c r="B185" t="s">
        <v>4912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1</v>
      </c>
    </row>
    <row r="186" spans="1:36">
      <c r="A186">
        <v>1604</v>
      </c>
      <c r="B186" t="s">
        <v>4914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1</v>
      </c>
    </row>
    <row r="187" spans="1:36">
      <c r="A187">
        <v>1605</v>
      </c>
      <c r="B187" t="s">
        <v>4915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1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 t="s">
        <v>3543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1</v>
      </c>
      <c r="AJ187" t="s">
        <v>3543</v>
      </c>
    </row>
    <row r="188" spans="1:36">
      <c r="A188">
        <v>1608</v>
      </c>
      <c r="B188" t="s">
        <v>4916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1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 t="s">
        <v>4732</v>
      </c>
      <c r="AE188">
        <v>0</v>
      </c>
      <c r="AF188">
        <v>0</v>
      </c>
      <c r="AG188">
        <v>0</v>
      </c>
      <c r="AH188">
        <v>1</v>
      </c>
      <c r="AJ188" t="s">
        <v>4732</v>
      </c>
    </row>
    <row r="189" spans="1:36">
      <c r="A189">
        <v>1609</v>
      </c>
      <c r="B189" t="s">
        <v>4917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1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1</v>
      </c>
    </row>
    <row r="190" spans="1:36">
      <c r="A190">
        <v>1611</v>
      </c>
      <c r="B190" t="s">
        <v>4918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1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 t="s">
        <v>4732</v>
      </c>
      <c r="AE190">
        <v>0</v>
      </c>
      <c r="AF190">
        <v>0</v>
      </c>
      <c r="AG190">
        <v>0</v>
      </c>
      <c r="AH190">
        <v>1</v>
      </c>
      <c r="AJ190" t="s">
        <v>4732</v>
      </c>
    </row>
    <row r="191" spans="1:36">
      <c r="A191">
        <v>1618</v>
      </c>
      <c r="B191" t="s">
        <v>4923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1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 t="s">
        <v>3543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1</v>
      </c>
      <c r="AJ191" t="s">
        <v>3543</v>
      </c>
    </row>
    <row r="192" spans="1:36">
      <c r="A192">
        <v>1626</v>
      </c>
      <c r="B192" t="s">
        <v>4924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1</v>
      </c>
      <c r="R192">
        <v>0</v>
      </c>
      <c r="S192" t="s">
        <v>4720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1</v>
      </c>
      <c r="AH192">
        <v>0</v>
      </c>
      <c r="AI192" t="s">
        <v>4720</v>
      </c>
    </row>
    <row r="193" spans="1:36">
      <c r="A193">
        <v>1702</v>
      </c>
      <c r="B193" t="s">
        <v>4926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1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 t="s">
        <v>3543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1</v>
      </c>
      <c r="AJ193" t="s">
        <v>3543</v>
      </c>
    </row>
    <row r="194" spans="1:36">
      <c r="A194">
        <v>1709</v>
      </c>
      <c r="B194" t="s">
        <v>4929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 t="s">
        <v>4720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1</v>
      </c>
      <c r="AJ194" t="s">
        <v>4720</v>
      </c>
    </row>
    <row r="195" spans="1:36">
      <c r="A195">
        <v>1712</v>
      </c>
      <c r="B195" t="s">
        <v>4932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 t="s">
        <v>4732</v>
      </c>
      <c r="AE195">
        <v>0</v>
      </c>
      <c r="AF195">
        <v>0</v>
      </c>
      <c r="AG195">
        <v>0</v>
      </c>
      <c r="AH195">
        <v>1</v>
      </c>
      <c r="AJ195" t="s">
        <v>4732</v>
      </c>
    </row>
    <row r="196" spans="1:36">
      <c r="A196">
        <v>1714</v>
      </c>
      <c r="B196" t="s">
        <v>4934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1</v>
      </c>
      <c r="S196" t="s">
        <v>4720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 t="s">
        <v>3543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1</v>
      </c>
      <c r="AH196">
        <v>1</v>
      </c>
      <c r="AI196" t="s">
        <v>4720</v>
      </c>
      <c r="AJ196" t="s">
        <v>3543</v>
      </c>
    </row>
    <row r="197" spans="1:36">
      <c r="A197">
        <v>1717</v>
      </c>
      <c r="B197" t="s">
        <v>4935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2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 t="s">
        <v>4720</v>
      </c>
      <c r="AA197" t="s">
        <v>3543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2</v>
      </c>
      <c r="AJ197" t="s">
        <v>6417</v>
      </c>
    </row>
    <row r="198" spans="1:36">
      <c r="A198">
        <v>1718</v>
      </c>
      <c r="B198" t="s">
        <v>4936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1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 t="s">
        <v>4720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1</v>
      </c>
      <c r="AJ198" t="s">
        <v>4720</v>
      </c>
    </row>
    <row r="199" spans="1:36">
      <c r="A199">
        <v>1727</v>
      </c>
      <c r="B199" t="s">
        <v>4942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1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 t="s">
        <v>6372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1</v>
      </c>
      <c r="AH199">
        <v>0</v>
      </c>
      <c r="AI199" t="s">
        <v>6372</v>
      </c>
    </row>
    <row r="200" spans="1:36">
      <c r="A200">
        <v>1731</v>
      </c>
      <c r="B200" t="s">
        <v>4944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1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 t="s">
        <v>4720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1</v>
      </c>
      <c r="AJ200" t="s">
        <v>4720</v>
      </c>
    </row>
    <row r="201" spans="1:36">
      <c r="A201">
        <v>1734</v>
      </c>
      <c r="B201" t="s">
        <v>4947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1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 t="s">
        <v>4720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1</v>
      </c>
      <c r="AJ201" t="s">
        <v>4720</v>
      </c>
    </row>
    <row r="202" spans="1:36">
      <c r="A202">
        <v>1737</v>
      </c>
      <c r="B202" t="s">
        <v>4950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1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1</v>
      </c>
    </row>
    <row r="203" spans="1:36">
      <c r="A203">
        <v>1776</v>
      </c>
      <c r="B203" t="s">
        <v>4956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1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 t="s">
        <v>3543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1</v>
      </c>
      <c r="AJ203" t="s">
        <v>3543</v>
      </c>
    </row>
    <row r="204" spans="1:36">
      <c r="A204">
        <v>1786</v>
      </c>
      <c r="B204" t="s">
        <v>4960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1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 t="s">
        <v>4720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1</v>
      </c>
      <c r="AJ204" t="s">
        <v>4720</v>
      </c>
    </row>
    <row r="205" spans="1:36">
      <c r="A205">
        <v>1789</v>
      </c>
      <c r="B205" t="s">
        <v>4962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2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 t="s">
        <v>4720</v>
      </c>
      <c r="AA205">
        <v>0</v>
      </c>
      <c r="AB205">
        <v>0</v>
      </c>
      <c r="AC205">
        <v>0</v>
      </c>
      <c r="AD205" t="s">
        <v>4732</v>
      </c>
      <c r="AE205">
        <v>0</v>
      </c>
      <c r="AF205">
        <v>0</v>
      </c>
      <c r="AG205">
        <v>0</v>
      </c>
      <c r="AH205">
        <v>2</v>
      </c>
      <c r="AJ205" t="s">
        <v>6268</v>
      </c>
    </row>
    <row r="206" spans="1:36">
      <c r="A206">
        <v>1808</v>
      </c>
      <c r="B206" t="s">
        <v>4966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 t="s">
        <v>6713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1</v>
      </c>
      <c r="AH206">
        <v>0</v>
      </c>
      <c r="AI206" t="s">
        <v>6713</v>
      </c>
    </row>
    <row r="207" spans="1:36">
      <c r="A207">
        <v>1810</v>
      </c>
      <c r="B207" t="s">
        <v>4968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1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 t="s">
        <v>4732</v>
      </c>
      <c r="AE207">
        <v>0</v>
      </c>
      <c r="AF207">
        <v>0</v>
      </c>
      <c r="AG207">
        <v>0</v>
      </c>
      <c r="AH207">
        <v>1</v>
      </c>
      <c r="AJ207" t="s">
        <v>4732</v>
      </c>
    </row>
    <row r="208" spans="1:36">
      <c r="A208">
        <v>1903</v>
      </c>
      <c r="B208" t="s">
        <v>4971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2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 t="s">
        <v>4732</v>
      </c>
      <c r="AE208">
        <v>0</v>
      </c>
      <c r="AF208">
        <v>0</v>
      </c>
      <c r="AG208">
        <v>0</v>
      </c>
      <c r="AH208">
        <v>2</v>
      </c>
      <c r="AJ208" t="s">
        <v>4732</v>
      </c>
    </row>
    <row r="209" spans="1:36">
      <c r="A209">
        <v>1904</v>
      </c>
      <c r="B209" t="s">
        <v>4972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2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 t="s">
        <v>4732</v>
      </c>
      <c r="AE209">
        <v>0</v>
      </c>
      <c r="AF209">
        <v>0</v>
      </c>
      <c r="AG209">
        <v>0</v>
      </c>
      <c r="AH209">
        <v>2</v>
      </c>
      <c r="AJ209" t="s">
        <v>4732</v>
      </c>
    </row>
    <row r="210" spans="1:36">
      <c r="A210">
        <v>1905</v>
      </c>
      <c r="B210" t="s">
        <v>4973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 t="s">
        <v>4732</v>
      </c>
      <c r="AE210">
        <v>0</v>
      </c>
      <c r="AF210">
        <v>0</v>
      </c>
      <c r="AG210">
        <v>0</v>
      </c>
      <c r="AH210">
        <v>1</v>
      </c>
      <c r="AJ210" t="s">
        <v>4732</v>
      </c>
    </row>
    <row r="211" spans="1:36">
      <c r="A211">
        <v>1907</v>
      </c>
      <c r="B211" t="s">
        <v>4975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3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 t="s">
        <v>4720</v>
      </c>
      <c r="AA211" t="s">
        <v>3543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3</v>
      </c>
      <c r="AJ211" t="s">
        <v>6417</v>
      </c>
    </row>
    <row r="212" spans="1:36">
      <c r="A212">
        <v>1909</v>
      </c>
      <c r="B212" t="s">
        <v>4976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1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1</v>
      </c>
    </row>
    <row r="213" spans="1:36">
      <c r="A213">
        <v>2002</v>
      </c>
      <c r="B213" t="s">
        <v>4977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1</v>
      </c>
      <c r="R213">
        <v>1</v>
      </c>
      <c r="S213">
        <v>0</v>
      </c>
      <c r="T213">
        <v>0</v>
      </c>
      <c r="U213">
        <v>0</v>
      </c>
      <c r="V213">
        <v>0</v>
      </c>
      <c r="W213" t="s">
        <v>4732</v>
      </c>
      <c r="X213">
        <v>0</v>
      </c>
      <c r="Y213">
        <v>0</v>
      </c>
      <c r="Z213">
        <v>0</v>
      </c>
      <c r="AA213" t="s">
        <v>3543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1</v>
      </c>
      <c r="AH213">
        <v>1</v>
      </c>
      <c r="AI213" t="s">
        <v>4732</v>
      </c>
      <c r="AJ213" t="s">
        <v>3543</v>
      </c>
    </row>
    <row r="214" spans="1:36">
      <c r="A214">
        <v>2007</v>
      </c>
      <c r="B214" t="s">
        <v>4979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2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3544</v>
      </c>
      <c r="AC214">
        <v>0</v>
      </c>
      <c r="AD214" t="s">
        <v>4732</v>
      </c>
      <c r="AE214">
        <v>0</v>
      </c>
      <c r="AF214">
        <v>0</v>
      </c>
      <c r="AG214">
        <v>0</v>
      </c>
      <c r="AH214">
        <v>2</v>
      </c>
      <c r="AJ214" t="s">
        <v>6371</v>
      </c>
    </row>
    <row r="215" spans="1:36">
      <c r="A215">
        <v>2012</v>
      </c>
      <c r="B215" t="s">
        <v>4983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1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 t="s">
        <v>3543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1</v>
      </c>
      <c r="AJ215" t="s">
        <v>3543</v>
      </c>
    </row>
    <row r="216" spans="1:36">
      <c r="A216">
        <v>2013</v>
      </c>
      <c r="B216" t="s">
        <v>4984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2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 t="s">
        <v>4720</v>
      </c>
      <c r="AA216">
        <v>0</v>
      </c>
      <c r="AB216">
        <v>0</v>
      </c>
      <c r="AC216">
        <v>0</v>
      </c>
      <c r="AD216" t="s">
        <v>4732</v>
      </c>
      <c r="AE216">
        <v>0</v>
      </c>
      <c r="AF216">
        <v>0</v>
      </c>
      <c r="AG216">
        <v>0</v>
      </c>
      <c r="AH216">
        <v>2</v>
      </c>
      <c r="AJ216" t="s">
        <v>6268</v>
      </c>
    </row>
    <row r="217" spans="1:36">
      <c r="A217">
        <v>2017</v>
      </c>
      <c r="B217" t="s">
        <v>4987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 t="s">
        <v>4732</v>
      </c>
      <c r="AE217">
        <v>0</v>
      </c>
      <c r="AF217">
        <v>0</v>
      </c>
      <c r="AG217">
        <v>0</v>
      </c>
      <c r="AH217">
        <v>1</v>
      </c>
      <c r="AJ217" t="s">
        <v>4732</v>
      </c>
    </row>
    <row r="218" spans="1:36">
      <c r="A218">
        <v>2023</v>
      </c>
      <c r="B218" t="s">
        <v>4989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1</v>
      </c>
    </row>
    <row r="219" spans="1:36">
      <c r="A219">
        <v>2024</v>
      </c>
      <c r="B219" t="s">
        <v>4990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</v>
      </c>
      <c r="R219">
        <v>2</v>
      </c>
      <c r="S219">
        <v>0</v>
      </c>
      <c r="T219">
        <v>0</v>
      </c>
      <c r="U219">
        <v>0</v>
      </c>
      <c r="V219">
        <v>0</v>
      </c>
      <c r="W219">
        <v>0</v>
      </c>
      <c r="X219" t="s">
        <v>6372</v>
      </c>
      <c r="Y219">
        <v>0</v>
      </c>
      <c r="Z219" t="s">
        <v>4720</v>
      </c>
      <c r="AA219">
        <v>0</v>
      </c>
      <c r="AB219">
        <v>0</v>
      </c>
      <c r="AC219">
        <v>0</v>
      </c>
      <c r="AD219" t="s">
        <v>4732</v>
      </c>
      <c r="AE219">
        <v>0</v>
      </c>
      <c r="AF219">
        <v>0</v>
      </c>
      <c r="AG219">
        <v>1</v>
      </c>
      <c r="AH219">
        <v>2</v>
      </c>
      <c r="AI219" t="s">
        <v>6372</v>
      </c>
      <c r="AJ219" t="s">
        <v>6268</v>
      </c>
    </row>
    <row r="220" spans="1:36">
      <c r="A220">
        <v>2027</v>
      </c>
      <c r="B220" t="s">
        <v>4991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1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 t="s">
        <v>4732</v>
      </c>
      <c r="AE220">
        <v>0</v>
      </c>
      <c r="AF220">
        <v>0</v>
      </c>
      <c r="AG220">
        <v>0</v>
      </c>
      <c r="AH220">
        <v>1</v>
      </c>
      <c r="AJ220" t="s">
        <v>4732</v>
      </c>
    </row>
    <row r="221" spans="1:36">
      <c r="A221">
        <v>2028</v>
      </c>
      <c r="B221" t="s">
        <v>4992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1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1</v>
      </c>
    </row>
    <row r="222" spans="1:36">
      <c r="A222">
        <v>2030</v>
      </c>
      <c r="B222" t="s">
        <v>4994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1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1</v>
      </c>
    </row>
    <row r="223" spans="1:36">
      <c r="A223">
        <v>2062</v>
      </c>
      <c r="B223" t="s">
        <v>673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 t="s">
        <v>3543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1</v>
      </c>
      <c r="AJ223" t="s">
        <v>3543</v>
      </c>
    </row>
    <row r="224" spans="1:36">
      <c r="A224">
        <v>2063</v>
      </c>
      <c r="B224" t="s">
        <v>6181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1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 t="s">
        <v>4720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1</v>
      </c>
      <c r="AJ224" t="s">
        <v>4720</v>
      </c>
    </row>
    <row r="225" spans="1:36">
      <c r="A225">
        <v>2064</v>
      </c>
      <c r="B225" t="s">
        <v>5003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1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 t="s">
        <v>6713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1</v>
      </c>
      <c r="AH225">
        <v>0</v>
      </c>
      <c r="AI225" t="s">
        <v>6713</v>
      </c>
    </row>
    <row r="226" spans="1:36">
      <c r="A226">
        <v>2065</v>
      </c>
      <c r="B226" t="s">
        <v>5004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1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">
        <v>3544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1</v>
      </c>
      <c r="AJ226" t="s">
        <v>3544</v>
      </c>
    </row>
    <row r="227" spans="1:36">
      <c r="A227">
        <v>2102</v>
      </c>
      <c r="B227" t="s">
        <v>5007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1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1</v>
      </c>
    </row>
    <row r="228" spans="1:36">
      <c r="A228">
        <v>2106</v>
      </c>
      <c r="B228" t="s">
        <v>5011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1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1</v>
      </c>
    </row>
    <row r="229" spans="1:36">
      <c r="A229">
        <v>2107</v>
      </c>
      <c r="B229" t="s">
        <v>5012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1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 t="s">
        <v>3543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1</v>
      </c>
      <c r="AJ229" t="s">
        <v>3543</v>
      </c>
    </row>
    <row r="230" spans="1:36">
      <c r="A230">
        <v>2108</v>
      </c>
      <c r="B230" t="s">
        <v>5013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 t="s">
        <v>4732</v>
      </c>
      <c r="AE230">
        <v>0</v>
      </c>
      <c r="AF230">
        <v>0</v>
      </c>
      <c r="AG230">
        <v>0</v>
      </c>
      <c r="AH230">
        <v>1</v>
      </c>
      <c r="AJ230" t="s">
        <v>4732</v>
      </c>
    </row>
    <row r="231" spans="1:36">
      <c r="A231">
        <v>2115</v>
      </c>
      <c r="B231" t="s">
        <v>5016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>
        <v>0</v>
      </c>
      <c r="T231" t="s">
        <v>3543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1</v>
      </c>
      <c r="AH231">
        <v>0</v>
      </c>
      <c r="AI231" t="s">
        <v>3543</v>
      </c>
    </row>
    <row r="232" spans="1:36">
      <c r="A232">
        <v>2204</v>
      </c>
      <c r="B232" t="s">
        <v>5018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1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1</v>
      </c>
    </row>
    <row r="233" spans="1:36">
      <c r="A233">
        <v>2221</v>
      </c>
      <c r="B233" t="s">
        <v>5023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1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1</v>
      </c>
    </row>
    <row r="234" spans="1:36">
      <c r="A234">
        <v>2230</v>
      </c>
      <c r="B234" t="s">
        <v>5025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2</v>
      </c>
      <c r="R234">
        <v>0</v>
      </c>
      <c r="S234">
        <v>0</v>
      </c>
      <c r="T234" t="s">
        <v>3543</v>
      </c>
      <c r="U234">
        <v>0</v>
      </c>
      <c r="V234">
        <v>0</v>
      </c>
      <c r="W234">
        <v>0</v>
      </c>
      <c r="X234">
        <v>0</v>
      </c>
      <c r="Y234" t="s">
        <v>6713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2</v>
      </c>
      <c r="AH234">
        <v>0</v>
      </c>
      <c r="AI234" t="s">
        <v>6746</v>
      </c>
    </row>
    <row r="235" spans="1:36">
      <c r="A235">
        <v>2236</v>
      </c>
      <c r="B235" t="s">
        <v>5028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 t="s">
        <v>3545</v>
      </c>
      <c r="AD235">
        <v>0</v>
      </c>
      <c r="AE235">
        <v>0</v>
      </c>
      <c r="AF235">
        <v>0</v>
      </c>
      <c r="AG235">
        <v>0</v>
      </c>
      <c r="AH235">
        <v>1</v>
      </c>
      <c r="AJ235" t="s">
        <v>3545</v>
      </c>
    </row>
    <row r="236" spans="1:36">
      <c r="A236">
        <v>2301</v>
      </c>
      <c r="B236" t="s">
        <v>5034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2</v>
      </c>
      <c r="R236">
        <v>1</v>
      </c>
      <c r="S236">
        <v>0</v>
      </c>
      <c r="T236">
        <v>0</v>
      </c>
      <c r="U236" t="s">
        <v>3544</v>
      </c>
      <c r="V236" t="s">
        <v>3545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 t="s">
        <v>4732</v>
      </c>
      <c r="AE236">
        <v>0</v>
      </c>
      <c r="AF236">
        <v>0</v>
      </c>
      <c r="AG236">
        <v>2</v>
      </c>
      <c r="AH236">
        <v>1</v>
      </c>
      <c r="AI236" t="s">
        <v>6176</v>
      </c>
      <c r="AJ236" t="s">
        <v>4732</v>
      </c>
    </row>
    <row r="237" spans="1:36">
      <c r="A237">
        <v>2302</v>
      </c>
      <c r="B237" t="s">
        <v>5035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1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 t="s">
        <v>4732</v>
      </c>
      <c r="AE237">
        <v>0</v>
      </c>
      <c r="AF237">
        <v>0</v>
      </c>
      <c r="AG237">
        <v>0</v>
      </c>
      <c r="AH237">
        <v>1</v>
      </c>
      <c r="AJ237" t="s">
        <v>4732</v>
      </c>
    </row>
    <row r="238" spans="1:36">
      <c r="A238">
        <v>2303</v>
      </c>
      <c r="B238" t="s">
        <v>5036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1</v>
      </c>
      <c r="S238">
        <v>0</v>
      </c>
      <c r="T238" t="s">
        <v>3543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 t="s">
        <v>4732</v>
      </c>
      <c r="AE238">
        <v>0</v>
      </c>
      <c r="AF238">
        <v>0</v>
      </c>
      <c r="AG238">
        <v>1</v>
      </c>
      <c r="AH238">
        <v>1</v>
      </c>
      <c r="AI238" t="s">
        <v>3543</v>
      </c>
      <c r="AJ238" t="s">
        <v>4732</v>
      </c>
    </row>
    <row r="239" spans="1:36">
      <c r="A239">
        <v>2305</v>
      </c>
      <c r="B239" t="s">
        <v>5037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2</v>
      </c>
      <c r="R239">
        <v>0</v>
      </c>
      <c r="S239" t="s">
        <v>4720</v>
      </c>
      <c r="T239">
        <v>0</v>
      </c>
      <c r="U239">
        <v>0</v>
      </c>
      <c r="V239">
        <v>0</v>
      </c>
      <c r="W239">
        <v>0</v>
      </c>
      <c r="X239">
        <v>0</v>
      </c>
      <c r="Y239" t="s">
        <v>6713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2</v>
      </c>
      <c r="AH239">
        <v>0</v>
      </c>
      <c r="AI239" t="s">
        <v>6754</v>
      </c>
    </row>
    <row r="240" spans="1:36">
      <c r="A240">
        <v>2308</v>
      </c>
      <c r="B240" t="s">
        <v>5038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2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 t="s">
        <v>3543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2</v>
      </c>
      <c r="AJ240" t="s">
        <v>3543</v>
      </c>
    </row>
    <row r="241" spans="1:36">
      <c r="A241">
        <v>2312</v>
      </c>
      <c r="B241" t="s">
        <v>5039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1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1</v>
      </c>
    </row>
    <row r="242" spans="1:36">
      <c r="A242">
        <v>2317</v>
      </c>
      <c r="B242" t="s">
        <v>5042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3</v>
      </c>
      <c r="R242">
        <v>0</v>
      </c>
      <c r="S242">
        <v>0</v>
      </c>
      <c r="T242" t="s">
        <v>3543</v>
      </c>
      <c r="U242">
        <v>0</v>
      </c>
      <c r="V242" t="s">
        <v>3545</v>
      </c>
      <c r="W242">
        <v>0</v>
      </c>
      <c r="X242">
        <v>0</v>
      </c>
      <c r="Y242" t="s">
        <v>6713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3</v>
      </c>
      <c r="AH242">
        <v>0</v>
      </c>
      <c r="AI242" t="s">
        <v>6755</v>
      </c>
    </row>
    <row r="243" spans="1:36">
      <c r="A243">
        <v>2324</v>
      </c>
      <c r="B243" t="s">
        <v>5044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1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 t="s">
        <v>4720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1</v>
      </c>
      <c r="AJ243" t="s">
        <v>4720</v>
      </c>
    </row>
    <row r="244" spans="1:36">
      <c r="A244">
        <v>2327</v>
      </c>
      <c r="B244" t="s">
        <v>5045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2</v>
      </c>
      <c r="R244">
        <v>0</v>
      </c>
      <c r="S244">
        <v>0</v>
      </c>
      <c r="T244">
        <v>0</v>
      </c>
      <c r="U244">
        <v>0</v>
      </c>
      <c r="V244" t="s">
        <v>3545</v>
      </c>
      <c r="W244" t="s">
        <v>4732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2</v>
      </c>
      <c r="AH244">
        <v>0</v>
      </c>
      <c r="AI244" t="s">
        <v>6370</v>
      </c>
    </row>
    <row r="245" spans="1:36">
      <c r="A245">
        <v>2328</v>
      </c>
      <c r="B245" t="s">
        <v>5046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1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 t="s">
        <v>4732</v>
      </c>
      <c r="AE245">
        <v>0</v>
      </c>
      <c r="AF245">
        <v>0</v>
      </c>
      <c r="AG245">
        <v>0</v>
      </c>
      <c r="AH245">
        <v>1</v>
      </c>
      <c r="AJ245" t="s">
        <v>4732</v>
      </c>
    </row>
    <row r="246" spans="1:36">
      <c r="A246">
        <v>2345</v>
      </c>
      <c r="B246" t="s">
        <v>5056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3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 t="s">
        <v>3543</v>
      </c>
      <c r="AB246">
        <v>0</v>
      </c>
      <c r="AC246">
        <v>0</v>
      </c>
      <c r="AD246" t="s">
        <v>4732</v>
      </c>
      <c r="AE246">
        <v>0</v>
      </c>
      <c r="AF246">
        <v>0</v>
      </c>
      <c r="AG246">
        <v>0</v>
      </c>
      <c r="AH246">
        <v>3</v>
      </c>
      <c r="AJ246" t="s">
        <v>6212</v>
      </c>
    </row>
    <row r="247" spans="1:36">
      <c r="A247">
        <v>2347</v>
      </c>
      <c r="B247" t="s">
        <v>5057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2</v>
      </c>
      <c r="R247">
        <v>0</v>
      </c>
      <c r="S247">
        <v>0</v>
      </c>
      <c r="T247">
        <v>0</v>
      </c>
      <c r="U247">
        <v>0</v>
      </c>
      <c r="V247" t="s">
        <v>3545</v>
      </c>
      <c r="W247">
        <v>0</v>
      </c>
      <c r="X247">
        <v>0</v>
      </c>
      <c r="Y247" t="s">
        <v>6713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2</v>
      </c>
      <c r="AH247">
        <v>0</v>
      </c>
      <c r="AI247" t="s">
        <v>6756</v>
      </c>
    </row>
    <row r="248" spans="1:36">
      <c r="A248">
        <v>2353</v>
      </c>
      <c r="B248" t="s">
        <v>5061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1</v>
      </c>
      <c r="S248">
        <v>0</v>
      </c>
      <c r="T248">
        <v>0</v>
      </c>
      <c r="U248">
        <v>0</v>
      </c>
      <c r="V248" t="s">
        <v>3545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1</v>
      </c>
      <c r="AH248">
        <v>1</v>
      </c>
      <c r="AI248" t="s">
        <v>3545</v>
      </c>
    </row>
    <row r="249" spans="1:36">
      <c r="A249">
        <v>2354</v>
      </c>
      <c r="B249" t="s">
        <v>5062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3</v>
      </c>
      <c r="R249">
        <v>1</v>
      </c>
      <c r="S249">
        <v>0</v>
      </c>
      <c r="T249" t="s">
        <v>3543</v>
      </c>
      <c r="U249">
        <v>0</v>
      </c>
      <c r="V249" t="s">
        <v>3545</v>
      </c>
      <c r="W249">
        <v>0</v>
      </c>
      <c r="X249">
        <v>0</v>
      </c>
      <c r="Y249" t="s">
        <v>6713</v>
      </c>
      <c r="Z249">
        <v>0</v>
      </c>
      <c r="AA249">
        <v>0</v>
      </c>
      <c r="AB249" t="s">
        <v>3544</v>
      </c>
      <c r="AC249">
        <v>0</v>
      </c>
      <c r="AD249">
        <v>0</v>
      </c>
      <c r="AE249">
        <v>0</v>
      </c>
      <c r="AF249">
        <v>0</v>
      </c>
      <c r="AG249">
        <v>3</v>
      </c>
      <c r="AH249">
        <v>1</v>
      </c>
      <c r="AI249" t="s">
        <v>6755</v>
      </c>
      <c r="AJ249" t="s">
        <v>3544</v>
      </c>
    </row>
    <row r="250" spans="1:36">
      <c r="A250">
        <v>2355</v>
      </c>
      <c r="B250" t="s">
        <v>5063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2</v>
      </c>
      <c r="R250">
        <v>0</v>
      </c>
      <c r="S250">
        <v>0</v>
      </c>
      <c r="T250" t="s">
        <v>3543</v>
      </c>
      <c r="U250">
        <v>0</v>
      </c>
      <c r="V250">
        <v>0</v>
      </c>
      <c r="W250">
        <v>0</v>
      </c>
      <c r="X250">
        <v>0</v>
      </c>
      <c r="Y250" t="s">
        <v>6713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2</v>
      </c>
      <c r="AH250">
        <v>0</v>
      </c>
      <c r="AI250" t="s">
        <v>6746</v>
      </c>
    </row>
    <row r="251" spans="1:36">
      <c r="A251">
        <v>2356</v>
      </c>
      <c r="B251" t="s">
        <v>5064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3</v>
      </c>
      <c r="R251">
        <v>0</v>
      </c>
      <c r="S251">
        <v>0</v>
      </c>
      <c r="T251">
        <v>0</v>
      </c>
      <c r="U251" t="s">
        <v>3544</v>
      </c>
      <c r="V251" t="s">
        <v>3545</v>
      </c>
      <c r="W251">
        <v>0</v>
      </c>
      <c r="X251">
        <v>0</v>
      </c>
      <c r="Y251" t="s">
        <v>6713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3</v>
      </c>
      <c r="AH251">
        <v>0</v>
      </c>
      <c r="AI251" t="s">
        <v>6757</v>
      </c>
    </row>
    <row r="252" spans="1:36">
      <c r="A252">
        <v>2357</v>
      </c>
      <c r="B252" t="s">
        <v>5065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2</v>
      </c>
      <c r="R252">
        <v>0</v>
      </c>
      <c r="S252">
        <v>0</v>
      </c>
      <c r="T252">
        <v>0</v>
      </c>
      <c r="U252" t="s">
        <v>3544</v>
      </c>
      <c r="V252" t="s">
        <v>3545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2</v>
      </c>
      <c r="AH252">
        <v>0</v>
      </c>
      <c r="AI252" t="s">
        <v>6176</v>
      </c>
    </row>
    <row r="253" spans="1:36">
      <c r="A253">
        <v>2362</v>
      </c>
      <c r="B253" t="s">
        <v>5069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2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 t="s">
        <v>4720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2</v>
      </c>
      <c r="AJ253" t="s">
        <v>4720</v>
      </c>
    </row>
    <row r="254" spans="1:36">
      <c r="A254">
        <v>2369</v>
      </c>
      <c r="B254" t="s">
        <v>5074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1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1</v>
      </c>
    </row>
    <row r="255" spans="1:36">
      <c r="A255">
        <v>2377</v>
      </c>
      <c r="B255" t="s">
        <v>5080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1</v>
      </c>
      <c r="R255">
        <v>1</v>
      </c>
      <c r="S255">
        <v>0</v>
      </c>
      <c r="T255">
        <v>0</v>
      </c>
      <c r="U255">
        <v>0</v>
      </c>
      <c r="V255" t="s">
        <v>3545</v>
      </c>
      <c r="W255">
        <v>0</v>
      </c>
      <c r="X255">
        <v>0</v>
      </c>
      <c r="Y255">
        <v>0</v>
      </c>
      <c r="Z255" t="s">
        <v>4720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 t="s">
        <v>3545</v>
      </c>
      <c r="AJ255" t="s">
        <v>4720</v>
      </c>
    </row>
    <row r="256" spans="1:36">
      <c r="A256">
        <v>2379</v>
      </c>
      <c r="B256" t="s">
        <v>5081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1</v>
      </c>
      <c r="S256">
        <v>0</v>
      </c>
      <c r="T256">
        <v>0</v>
      </c>
      <c r="U256">
        <v>0</v>
      </c>
      <c r="V256" t="s">
        <v>3545</v>
      </c>
      <c r="W256">
        <v>0</v>
      </c>
      <c r="X256">
        <v>0</v>
      </c>
      <c r="Y256">
        <v>0</v>
      </c>
      <c r="Z256">
        <v>0</v>
      </c>
      <c r="AA256" t="s">
        <v>3543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1</v>
      </c>
      <c r="AH256">
        <v>1</v>
      </c>
      <c r="AI256" t="s">
        <v>3545</v>
      </c>
      <c r="AJ256" t="s">
        <v>3543</v>
      </c>
    </row>
    <row r="257" spans="1:36">
      <c r="A257">
        <v>2382</v>
      </c>
      <c r="B257" t="s">
        <v>5082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2</v>
      </c>
      <c r="R257">
        <v>2</v>
      </c>
      <c r="S257">
        <v>0</v>
      </c>
      <c r="T257">
        <v>0</v>
      </c>
      <c r="U257" t="s">
        <v>3544</v>
      </c>
      <c r="V257" t="s">
        <v>3545</v>
      </c>
      <c r="W257">
        <v>0</v>
      </c>
      <c r="X257">
        <v>0</v>
      </c>
      <c r="Y257">
        <v>0</v>
      </c>
      <c r="Z257" t="s">
        <v>4720</v>
      </c>
      <c r="AA257" t="s">
        <v>3543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2</v>
      </c>
      <c r="AH257">
        <v>2</v>
      </c>
      <c r="AI257" t="s">
        <v>6176</v>
      </c>
      <c r="AJ257" t="s">
        <v>6417</v>
      </c>
    </row>
    <row r="258" spans="1:36">
      <c r="A258">
        <v>2385</v>
      </c>
      <c r="B258" t="s">
        <v>5084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2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 t="s">
        <v>3543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2</v>
      </c>
      <c r="AJ258" t="s">
        <v>3543</v>
      </c>
    </row>
    <row r="259" spans="1:36">
      <c r="A259">
        <v>2388</v>
      </c>
      <c r="B259" t="s">
        <v>5086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 t="s">
        <v>4720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1</v>
      </c>
      <c r="AJ259" t="s">
        <v>4720</v>
      </c>
    </row>
    <row r="260" spans="1:36">
      <c r="A260">
        <v>2390</v>
      </c>
      <c r="B260" t="s">
        <v>5087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3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 t="s">
        <v>4720</v>
      </c>
      <c r="AA260" t="s">
        <v>3543</v>
      </c>
      <c r="AB260">
        <v>0</v>
      </c>
      <c r="AC260">
        <v>0</v>
      </c>
      <c r="AD260" t="s">
        <v>4732</v>
      </c>
      <c r="AE260">
        <v>0</v>
      </c>
      <c r="AF260">
        <v>0</v>
      </c>
      <c r="AG260">
        <v>0</v>
      </c>
      <c r="AH260">
        <v>3</v>
      </c>
      <c r="AJ260" t="s">
        <v>6758</v>
      </c>
    </row>
    <row r="261" spans="1:36">
      <c r="A261">
        <v>2392</v>
      </c>
      <c r="B261" t="s">
        <v>5088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 t="s">
        <v>4720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1</v>
      </c>
      <c r="AJ261" t="s">
        <v>4720</v>
      </c>
    </row>
    <row r="262" spans="1:36">
      <c r="A262">
        <v>2395</v>
      </c>
      <c r="B262" t="s">
        <v>5090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 t="s">
        <v>4732</v>
      </c>
      <c r="AE262">
        <v>0</v>
      </c>
      <c r="AF262">
        <v>0</v>
      </c>
      <c r="AG262">
        <v>0</v>
      </c>
      <c r="AH262">
        <v>1</v>
      </c>
      <c r="AJ262" t="s">
        <v>4732</v>
      </c>
    </row>
    <row r="263" spans="1:36">
      <c r="A263">
        <v>2402</v>
      </c>
      <c r="B263" t="s">
        <v>5094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1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1</v>
      </c>
    </row>
    <row r="264" spans="1:36">
      <c r="A264">
        <v>2406</v>
      </c>
      <c r="B264" t="s">
        <v>5096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1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 t="s">
        <v>4732</v>
      </c>
      <c r="AE264">
        <v>0</v>
      </c>
      <c r="AF264">
        <v>0</v>
      </c>
      <c r="AG264">
        <v>0</v>
      </c>
      <c r="AH264">
        <v>1</v>
      </c>
      <c r="AJ264" t="s">
        <v>4732</v>
      </c>
    </row>
    <row r="265" spans="1:36">
      <c r="A265">
        <v>2408</v>
      </c>
      <c r="B265" t="s">
        <v>5097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1</v>
      </c>
      <c r="R265">
        <v>0</v>
      </c>
      <c r="S265">
        <v>0</v>
      </c>
      <c r="T265">
        <v>0</v>
      </c>
      <c r="U265">
        <v>0</v>
      </c>
      <c r="V265" t="s">
        <v>3545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1</v>
      </c>
      <c r="AH265">
        <v>0</v>
      </c>
      <c r="AI265" t="s">
        <v>3545</v>
      </c>
    </row>
    <row r="266" spans="1:36">
      <c r="A266">
        <v>2409</v>
      </c>
      <c r="B266" t="s">
        <v>5098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1</v>
      </c>
      <c r="R266">
        <v>1</v>
      </c>
      <c r="S266">
        <v>0</v>
      </c>
      <c r="T266" t="s">
        <v>3543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1</v>
      </c>
      <c r="AH266">
        <v>1</v>
      </c>
      <c r="AI266" t="s">
        <v>3543</v>
      </c>
    </row>
    <row r="267" spans="1:36">
      <c r="A267">
        <v>2414</v>
      </c>
      <c r="B267" t="s">
        <v>5101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2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 t="s">
        <v>3543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2</v>
      </c>
      <c r="AJ267" t="s">
        <v>3543</v>
      </c>
    </row>
    <row r="268" spans="1:36">
      <c r="A268">
        <v>2417</v>
      </c>
      <c r="B268" t="s">
        <v>5103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2</v>
      </c>
      <c r="R268">
        <v>1</v>
      </c>
      <c r="S268">
        <v>0</v>
      </c>
      <c r="T268">
        <v>0</v>
      </c>
      <c r="U268">
        <v>0</v>
      </c>
      <c r="V268">
        <v>0</v>
      </c>
      <c r="W268">
        <v>0</v>
      </c>
      <c r="X268" t="s">
        <v>6372</v>
      </c>
      <c r="Y268" t="s">
        <v>6713</v>
      </c>
      <c r="Z268" t="s">
        <v>4720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2</v>
      </c>
      <c r="AH268">
        <v>1</v>
      </c>
      <c r="AI268" t="s">
        <v>6759</v>
      </c>
      <c r="AJ268" t="s">
        <v>4720</v>
      </c>
    </row>
    <row r="269" spans="1:36">
      <c r="A269">
        <v>2419</v>
      </c>
      <c r="B269" t="s">
        <v>5104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1</v>
      </c>
      <c r="R269">
        <v>2</v>
      </c>
      <c r="S269">
        <v>0</v>
      </c>
      <c r="T269">
        <v>0</v>
      </c>
      <c r="U269">
        <v>0</v>
      </c>
      <c r="V269">
        <v>0</v>
      </c>
      <c r="W269">
        <v>0</v>
      </c>
      <c r="X269" t="s">
        <v>6372</v>
      </c>
      <c r="Y269">
        <v>0</v>
      </c>
      <c r="Z269" t="s">
        <v>4720</v>
      </c>
      <c r="AA269">
        <v>0</v>
      </c>
      <c r="AB269">
        <v>0</v>
      </c>
      <c r="AC269">
        <v>0</v>
      </c>
      <c r="AD269" t="s">
        <v>4732</v>
      </c>
      <c r="AE269">
        <v>0</v>
      </c>
      <c r="AF269">
        <v>0</v>
      </c>
      <c r="AG269">
        <v>1</v>
      </c>
      <c r="AH269">
        <v>2</v>
      </c>
      <c r="AI269" t="s">
        <v>6372</v>
      </c>
      <c r="AJ269" t="s">
        <v>6268</v>
      </c>
    </row>
    <row r="270" spans="1:36">
      <c r="A270">
        <v>2425</v>
      </c>
      <c r="B270" t="s">
        <v>5108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2</v>
      </c>
      <c r="R270">
        <v>0</v>
      </c>
      <c r="S270">
        <v>0</v>
      </c>
      <c r="T270" t="s">
        <v>3543</v>
      </c>
      <c r="U270">
        <v>0</v>
      </c>
      <c r="V270">
        <v>0</v>
      </c>
      <c r="W270">
        <v>0</v>
      </c>
      <c r="X270">
        <v>0</v>
      </c>
      <c r="Y270" t="s">
        <v>6713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2</v>
      </c>
      <c r="AH270">
        <v>0</v>
      </c>
      <c r="AI270" t="s">
        <v>6746</v>
      </c>
    </row>
    <row r="271" spans="1:36">
      <c r="A271">
        <v>2426</v>
      </c>
      <c r="B271" t="s">
        <v>5109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1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 t="s">
        <v>4720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1</v>
      </c>
      <c r="AJ271" t="s">
        <v>4720</v>
      </c>
    </row>
    <row r="272" spans="1:36">
      <c r="A272">
        <v>2428</v>
      </c>
      <c r="B272" t="s">
        <v>5111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1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1</v>
      </c>
    </row>
    <row r="273" spans="1:36">
      <c r="A273">
        <v>2436</v>
      </c>
      <c r="B273" t="s">
        <v>5116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1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6372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1</v>
      </c>
      <c r="AH273">
        <v>0</v>
      </c>
      <c r="AI273" t="s">
        <v>6372</v>
      </c>
    </row>
    <row r="274" spans="1:36">
      <c r="A274">
        <v>2440</v>
      </c>
      <c r="B274" t="s">
        <v>6183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1</v>
      </c>
    </row>
    <row r="275" spans="1:36">
      <c r="A275">
        <v>2441</v>
      </c>
      <c r="B275" t="s">
        <v>5118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1</v>
      </c>
      <c r="S275">
        <v>0</v>
      </c>
      <c r="T275">
        <v>0</v>
      </c>
      <c r="U275" t="s">
        <v>3544</v>
      </c>
      <c r="V275">
        <v>0</v>
      </c>
      <c r="W275">
        <v>0</v>
      </c>
      <c r="X275">
        <v>0</v>
      </c>
      <c r="Y275">
        <v>0</v>
      </c>
      <c r="Z275" t="s">
        <v>4720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1</v>
      </c>
      <c r="AH275">
        <v>1</v>
      </c>
      <c r="AI275" t="s">
        <v>3544</v>
      </c>
      <c r="AJ275" t="s">
        <v>4720</v>
      </c>
    </row>
    <row r="276" spans="1:36">
      <c r="A276">
        <v>2450</v>
      </c>
      <c r="B276" t="s">
        <v>5121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1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 t="s">
        <v>4720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1</v>
      </c>
      <c r="AJ276" t="s">
        <v>4720</v>
      </c>
    </row>
    <row r="277" spans="1:36">
      <c r="A277">
        <v>2459</v>
      </c>
      <c r="B277" t="s">
        <v>5128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1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3543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1</v>
      </c>
      <c r="AJ277" t="s">
        <v>3543</v>
      </c>
    </row>
    <row r="278" spans="1:36">
      <c r="A278">
        <v>2464</v>
      </c>
      <c r="B278" t="s">
        <v>5132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 t="s">
        <v>4720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2</v>
      </c>
      <c r="AJ278" t="s">
        <v>4720</v>
      </c>
    </row>
    <row r="279" spans="1:36">
      <c r="A279">
        <v>2471</v>
      </c>
      <c r="B279" t="s">
        <v>5137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1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1</v>
      </c>
    </row>
    <row r="280" spans="1:36">
      <c r="A280">
        <v>2472</v>
      </c>
      <c r="B280" t="s">
        <v>5138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1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1</v>
      </c>
    </row>
    <row r="281" spans="1:36">
      <c r="A281">
        <v>2474</v>
      </c>
      <c r="B281" t="s">
        <v>5139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1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 t="s">
        <v>6713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1</v>
      </c>
      <c r="AH281">
        <v>0</v>
      </c>
      <c r="AI281" t="s">
        <v>6713</v>
      </c>
    </row>
    <row r="282" spans="1:36">
      <c r="A282">
        <v>2480</v>
      </c>
      <c r="B282" t="s">
        <v>5143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2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 t="s">
        <v>3543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2</v>
      </c>
      <c r="AJ282" t="s">
        <v>3543</v>
      </c>
    </row>
    <row r="283" spans="1:36">
      <c r="A283">
        <v>2482</v>
      </c>
      <c r="B283" t="s">
        <v>5145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1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 t="s">
        <v>3543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1</v>
      </c>
      <c r="AJ283" t="s">
        <v>3543</v>
      </c>
    </row>
    <row r="284" spans="1:36">
      <c r="A284">
        <v>2485</v>
      </c>
      <c r="B284" t="s">
        <v>5148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1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 t="s">
        <v>4720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1</v>
      </c>
      <c r="AJ284" t="s">
        <v>4720</v>
      </c>
    </row>
    <row r="285" spans="1:36">
      <c r="A285">
        <v>2489</v>
      </c>
      <c r="B285" t="s">
        <v>5151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1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 t="s">
        <v>4732</v>
      </c>
      <c r="AE285">
        <v>0</v>
      </c>
      <c r="AF285">
        <v>0</v>
      </c>
      <c r="AG285">
        <v>0</v>
      </c>
      <c r="AH285">
        <v>1</v>
      </c>
      <c r="AJ285" t="s">
        <v>4732</v>
      </c>
    </row>
    <row r="286" spans="1:36">
      <c r="A286">
        <v>2491</v>
      </c>
      <c r="B286" t="s">
        <v>5152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1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1</v>
      </c>
    </row>
    <row r="287" spans="1:36">
      <c r="A287">
        <v>2505</v>
      </c>
      <c r="B287" t="s">
        <v>5161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1</v>
      </c>
      <c r="R287">
        <v>0</v>
      </c>
      <c r="S287">
        <v>0</v>
      </c>
      <c r="T287" t="s">
        <v>3543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1</v>
      </c>
      <c r="AH287">
        <v>0</v>
      </c>
      <c r="AI287" t="s">
        <v>3543</v>
      </c>
    </row>
    <row r="288" spans="1:36">
      <c r="A288">
        <v>2509</v>
      </c>
      <c r="B288" t="s">
        <v>5163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1</v>
      </c>
    </row>
    <row r="289" spans="1:36">
      <c r="A289">
        <v>2511</v>
      </c>
      <c r="B289" t="s">
        <v>5164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3543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2</v>
      </c>
      <c r="AJ289" t="s">
        <v>3543</v>
      </c>
    </row>
    <row r="290" spans="1:36">
      <c r="A290">
        <v>2527</v>
      </c>
      <c r="B290" t="s">
        <v>5169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1</v>
      </c>
    </row>
    <row r="291" spans="1:36">
      <c r="A291">
        <v>2530</v>
      </c>
      <c r="B291" t="s">
        <v>5171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 t="s">
        <v>3543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1</v>
      </c>
      <c r="AJ291" t="s">
        <v>3543</v>
      </c>
    </row>
    <row r="292" spans="1:36">
      <c r="A292">
        <v>2536</v>
      </c>
      <c r="B292" t="s">
        <v>5174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1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3543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1</v>
      </c>
      <c r="AJ292" t="s">
        <v>3543</v>
      </c>
    </row>
    <row r="293" spans="1:36">
      <c r="A293">
        <v>2537</v>
      </c>
      <c r="B293" t="s">
        <v>5175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1</v>
      </c>
    </row>
    <row r="294" spans="1:36">
      <c r="A294">
        <v>2539</v>
      </c>
      <c r="B294" t="s">
        <v>5177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1</v>
      </c>
    </row>
    <row r="295" spans="1:36">
      <c r="A295">
        <v>2542</v>
      </c>
      <c r="B295" t="s">
        <v>6184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1</v>
      </c>
    </row>
    <row r="296" spans="1:36">
      <c r="A296">
        <v>2546</v>
      </c>
      <c r="B296" t="s">
        <v>5180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1</v>
      </c>
    </row>
    <row r="297" spans="1:36">
      <c r="A297">
        <v>2547</v>
      </c>
      <c r="B297" t="s">
        <v>5181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2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3543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2</v>
      </c>
      <c r="AJ297" t="s">
        <v>3543</v>
      </c>
    </row>
    <row r="298" spans="1:36">
      <c r="A298">
        <v>2596</v>
      </c>
      <c r="B298" t="s">
        <v>5183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 t="s">
        <v>3543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2</v>
      </c>
      <c r="AJ298" t="s">
        <v>3543</v>
      </c>
    </row>
    <row r="299" spans="1:36">
      <c r="A299">
        <v>2603</v>
      </c>
      <c r="B299" t="s">
        <v>5186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 t="s">
        <v>3545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1</v>
      </c>
      <c r="AH299">
        <v>0</v>
      </c>
      <c r="AI299" t="s">
        <v>3545</v>
      </c>
    </row>
    <row r="300" spans="1:36">
      <c r="A300">
        <v>2612</v>
      </c>
      <c r="B300" t="s">
        <v>5194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1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 t="s">
        <v>4732</v>
      </c>
      <c r="AE300">
        <v>0</v>
      </c>
      <c r="AF300">
        <v>0</v>
      </c>
      <c r="AG300">
        <v>0</v>
      </c>
      <c r="AH300">
        <v>1</v>
      </c>
      <c r="AJ300" t="s">
        <v>4732</v>
      </c>
    </row>
    <row r="301" spans="1:36">
      <c r="A301">
        <v>2614</v>
      </c>
      <c r="B301" t="s">
        <v>5196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">
        <v>3544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1</v>
      </c>
      <c r="AJ301" t="s">
        <v>3544</v>
      </c>
    </row>
    <row r="302" spans="1:36">
      <c r="A302">
        <v>2616</v>
      </c>
      <c r="B302" t="s">
        <v>5198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2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 t="s">
        <v>3543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2</v>
      </c>
      <c r="AJ302" t="s">
        <v>3543</v>
      </c>
    </row>
    <row r="303" spans="1:36">
      <c r="A303">
        <v>2618</v>
      </c>
      <c r="B303" t="s">
        <v>5200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 t="s">
        <v>3545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1</v>
      </c>
      <c r="AH303">
        <v>0</v>
      </c>
      <c r="AI303" t="s">
        <v>3545</v>
      </c>
    </row>
    <row r="304" spans="1:36">
      <c r="A304">
        <v>2633</v>
      </c>
      <c r="B304" t="s">
        <v>5201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1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1</v>
      </c>
    </row>
    <row r="305" spans="1:36">
      <c r="A305">
        <v>2641</v>
      </c>
      <c r="B305" t="s">
        <v>5205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1</v>
      </c>
    </row>
    <row r="306" spans="1:36">
      <c r="A306">
        <v>2702</v>
      </c>
      <c r="B306" t="s">
        <v>6236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1</v>
      </c>
    </row>
    <row r="307" spans="1:36">
      <c r="A307">
        <v>2705</v>
      </c>
      <c r="B307" t="s">
        <v>5210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 t="s">
        <v>3543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1</v>
      </c>
      <c r="AJ307" t="s">
        <v>3543</v>
      </c>
    </row>
    <row r="308" spans="1:36">
      <c r="A308">
        <v>2706</v>
      </c>
      <c r="B308" t="s">
        <v>5211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2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3543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2</v>
      </c>
      <c r="AJ308" t="s">
        <v>3543</v>
      </c>
    </row>
    <row r="309" spans="1:36">
      <c r="A309">
        <v>2707</v>
      </c>
      <c r="B309" t="s">
        <v>5212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1</v>
      </c>
    </row>
    <row r="310" spans="1:36">
      <c r="A310">
        <v>2727</v>
      </c>
      <c r="B310" t="s">
        <v>5217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 t="s">
        <v>3543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1</v>
      </c>
      <c r="AJ310" t="s">
        <v>3543</v>
      </c>
    </row>
    <row r="311" spans="1:36">
      <c r="A311">
        <v>2731</v>
      </c>
      <c r="B311" t="s">
        <v>5218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1</v>
      </c>
    </row>
    <row r="312" spans="1:36">
      <c r="A312">
        <v>2753</v>
      </c>
      <c r="B312" t="s">
        <v>6146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</v>
      </c>
      <c r="R312">
        <v>1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 t="s">
        <v>6713</v>
      </c>
      <c r="Z312">
        <v>0</v>
      </c>
      <c r="AA312">
        <v>0</v>
      </c>
      <c r="AB312">
        <v>0</v>
      </c>
      <c r="AC312">
        <v>0</v>
      </c>
      <c r="AD312" t="s">
        <v>4732</v>
      </c>
      <c r="AE312">
        <v>0</v>
      </c>
      <c r="AF312">
        <v>0</v>
      </c>
      <c r="AG312">
        <v>1</v>
      </c>
      <c r="AH312">
        <v>1</v>
      </c>
      <c r="AI312" t="s">
        <v>6713</v>
      </c>
      <c r="AJ312" t="s">
        <v>4732</v>
      </c>
    </row>
    <row r="313" spans="1:36">
      <c r="A313">
        <v>2809</v>
      </c>
      <c r="B313" t="s">
        <v>5224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2</v>
      </c>
      <c r="S313">
        <v>0</v>
      </c>
      <c r="T313">
        <v>0</v>
      </c>
      <c r="U313" t="s">
        <v>3544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3543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1</v>
      </c>
      <c r="AH313">
        <v>2</v>
      </c>
      <c r="AI313" t="s">
        <v>3544</v>
      </c>
      <c r="AJ313" t="s">
        <v>3543</v>
      </c>
    </row>
    <row r="314" spans="1:36">
      <c r="A314">
        <v>2812</v>
      </c>
      <c r="B314" t="s">
        <v>5225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1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 t="s">
        <v>4720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1</v>
      </c>
      <c r="AJ314" t="s">
        <v>4720</v>
      </c>
    </row>
    <row r="315" spans="1:36">
      <c r="A315">
        <v>2832</v>
      </c>
      <c r="B315" t="s">
        <v>5228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2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 t="s">
        <v>3543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2</v>
      </c>
      <c r="AJ315" t="s">
        <v>3543</v>
      </c>
    </row>
    <row r="316" spans="1:36">
      <c r="A316">
        <v>2836</v>
      </c>
      <c r="B316" t="s">
        <v>5230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1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 t="s">
        <v>4732</v>
      </c>
      <c r="AE316">
        <v>0</v>
      </c>
      <c r="AF316">
        <v>0</v>
      </c>
      <c r="AG316">
        <v>0</v>
      </c>
      <c r="AH316">
        <v>1</v>
      </c>
      <c r="AJ316" t="s">
        <v>4732</v>
      </c>
    </row>
    <row r="317" spans="1:36">
      <c r="A317">
        <v>2851</v>
      </c>
      <c r="B317" t="s">
        <v>5235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1</v>
      </c>
      <c r="R317">
        <v>2</v>
      </c>
      <c r="S317">
        <v>0</v>
      </c>
      <c r="T317">
        <v>0</v>
      </c>
      <c r="U317">
        <v>0</v>
      </c>
      <c r="V317">
        <v>0</v>
      </c>
      <c r="W317" t="s">
        <v>4732</v>
      </c>
      <c r="X317">
        <v>0</v>
      </c>
      <c r="Y317">
        <v>0</v>
      </c>
      <c r="Z317">
        <v>0</v>
      </c>
      <c r="AA317" t="s">
        <v>3543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1</v>
      </c>
      <c r="AH317">
        <v>2</v>
      </c>
      <c r="AI317" t="s">
        <v>4732</v>
      </c>
      <c r="AJ317" t="s">
        <v>3543</v>
      </c>
    </row>
    <row r="318" spans="1:36">
      <c r="A318">
        <v>2852</v>
      </c>
      <c r="B318" t="s">
        <v>5236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1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1</v>
      </c>
    </row>
    <row r="319" spans="1:36">
      <c r="A319">
        <v>2855</v>
      </c>
      <c r="B319" t="s">
        <v>5237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1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1</v>
      </c>
    </row>
    <row r="320" spans="1:36">
      <c r="A320">
        <v>2867</v>
      </c>
      <c r="B320" t="s">
        <v>5238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1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 t="s">
        <v>4732</v>
      </c>
      <c r="AE320">
        <v>0</v>
      </c>
      <c r="AF320">
        <v>0</v>
      </c>
      <c r="AG320">
        <v>0</v>
      </c>
      <c r="AH320">
        <v>1</v>
      </c>
      <c r="AJ320" t="s">
        <v>4732</v>
      </c>
    </row>
    <row r="321" spans="1:36">
      <c r="A321">
        <v>2881</v>
      </c>
      <c r="B321" t="s">
        <v>5240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 t="s">
        <v>3545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1</v>
      </c>
      <c r="AH321">
        <v>0</v>
      </c>
      <c r="AI321" t="s">
        <v>3545</v>
      </c>
    </row>
    <row r="322" spans="1:36">
      <c r="A322">
        <v>2882</v>
      </c>
      <c r="B322" t="s">
        <v>5241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1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 t="s">
        <v>4732</v>
      </c>
      <c r="AE322">
        <v>0</v>
      </c>
      <c r="AF322">
        <v>0</v>
      </c>
      <c r="AG322">
        <v>0</v>
      </c>
      <c r="AH322">
        <v>1</v>
      </c>
      <c r="AJ322" t="s">
        <v>4732</v>
      </c>
    </row>
    <row r="323" spans="1:36">
      <c r="A323">
        <v>2883</v>
      </c>
      <c r="B323" t="s">
        <v>5242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 t="s">
        <v>3545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1</v>
      </c>
      <c r="AH323">
        <v>0</v>
      </c>
      <c r="AI323" t="s">
        <v>3545</v>
      </c>
    </row>
    <row r="324" spans="1:36">
      <c r="A324">
        <v>2885</v>
      </c>
      <c r="B324" t="s">
        <v>5244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2</v>
      </c>
      <c r="S324">
        <v>0</v>
      </c>
      <c r="T324">
        <v>0</v>
      </c>
      <c r="U324">
        <v>0</v>
      </c>
      <c r="V324" t="s">
        <v>3545</v>
      </c>
      <c r="W324">
        <v>0</v>
      </c>
      <c r="X324">
        <v>0</v>
      </c>
      <c r="Y324">
        <v>0</v>
      </c>
      <c r="Z324">
        <v>0</v>
      </c>
      <c r="AA324" t="s">
        <v>3543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1</v>
      </c>
      <c r="AH324">
        <v>2</v>
      </c>
      <c r="AI324" t="s">
        <v>3545</v>
      </c>
      <c r="AJ324" t="s">
        <v>3543</v>
      </c>
    </row>
    <row r="325" spans="1:36">
      <c r="A325">
        <v>2887</v>
      </c>
      <c r="B325" t="s">
        <v>5246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1</v>
      </c>
    </row>
    <row r="326" spans="1:36">
      <c r="A326">
        <v>2888</v>
      </c>
      <c r="B326" t="s">
        <v>5247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2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 t="s">
        <v>3543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2</v>
      </c>
      <c r="AJ326" t="s">
        <v>3543</v>
      </c>
    </row>
    <row r="327" spans="1:36">
      <c r="A327">
        <v>2889</v>
      </c>
      <c r="B327" t="s">
        <v>5248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2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 t="s">
        <v>3543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2</v>
      </c>
      <c r="AJ327" t="s">
        <v>3543</v>
      </c>
    </row>
    <row r="328" spans="1:36">
      <c r="A328">
        <v>2890</v>
      </c>
      <c r="B328" t="s">
        <v>5249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>
        <v>0</v>
      </c>
      <c r="T328">
        <v>0</v>
      </c>
      <c r="U328" t="s">
        <v>3544</v>
      </c>
      <c r="V328" t="s">
        <v>3545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2</v>
      </c>
      <c r="AH328">
        <v>0</v>
      </c>
      <c r="AI328" t="s">
        <v>6176</v>
      </c>
    </row>
    <row r="329" spans="1:36">
      <c r="A329">
        <v>2892</v>
      </c>
      <c r="B329" t="s">
        <v>5251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1</v>
      </c>
      <c r="R329">
        <v>0</v>
      </c>
      <c r="S329">
        <v>0</v>
      </c>
      <c r="T329">
        <v>0</v>
      </c>
      <c r="U329">
        <v>0</v>
      </c>
      <c r="V329" t="s">
        <v>3545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1</v>
      </c>
      <c r="AH329">
        <v>0</v>
      </c>
      <c r="AI329" t="s">
        <v>3545</v>
      </c>
    </row>
    <row r="330" spans="1:36">
      <c r="A330">
        <v>2901</v>
      </c>
      <c r="B330" t="s">
        <v>5253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1</v>
      </c>
    </row>
    <row r="331" spans="1:36">
      <c r="A331">
        <v>2908</v>
      </c>
      <c r="B331" t="s">
        <v>5258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1</v>
      </c>
      <c r="R331">
        <v>0</v>
      </c>
      <c r="S331" t="s">
        <v>4720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1</v>
      </c>
      <c r="AH331">
        <v>0</v>
      </c>
      <c r="AI331" t="s">
        <v>4720</v>
      </c>
    </row>
    <row r="332" spans="1:36">
      <c r="A332">
        <v>2911</v>
      </c>
      <c r="B332" t="s">
        <v>5260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2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3543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2</v>
      </c>
      <c r="AJ332" t="s">
        <v>3543</v>
      </c>
    </row>
    <row r="333" spans="1:36">
      <c r="A333">
        <v>2912</v>
      </c>
      <c r="B333" t="s">
        <v>5261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1</v>
      </c>
      <c r="R333">
        <v>1</v>
      </c>
      <c r="S333">
        <v>0</v>
      </c>
      <c r="T333">
        <v>0</v>
      </c>
      <c r="U333">
        <v>0</v>
      </c>
      <c r="V333">
        <v>0</v>
      </c>
      <c r="W333" t="s">
        <v>4732</v>
      </c>
      <c r="X333">
        <v>0</v>
      </c>
      <c r="Y333">
        <v>0</v>
      </c>
      <c r="Z333">
        <v>0</v>
      </c>
      <c r="AA333">
        <v>0</v>
      </c>
      <c r="AB333" t="s">
        <v>3544</v>
      </c>
      <c r="AC333">
        <v>0</v>
      </c>
      <c r="AD333">
        <v>0</v>
      </c>
      <c r="AE333">
        <v>0</v>
      </c>
      <c r="AF333">
        <v>0</v>
      </c>
      <c r="AG333">
        <v>1</v>
      </c>
      <c r="AH333">
        <v>1</v>
      </c>
      <c r="AI333" t="s">
        <v>4732</v>
      </c>
      <c r="AJ333" t="s">
        <v>3544</v>
      </c>
    </row>
    <row r="334" spans="1:36">
      <c r="A334">
        <v>2913</v>
      </c>
      <c r="B334" t="s">
        <v>5262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1</v>
      </c>
    </row>
    <row r="335" spans="1:36">
      <c r="A335">
        <v>3004</v>
      </c>
      <c r="B335" t="s">
        <v>5271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1</v>
      </c>
    </row>
    <row r="336" spans="1:36">
      <c r="A336">
        <v>3005</v>
      </c>
      <c r="B336" t="s">
        <v>5272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2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3543</v>
      </c>
      <c r="AB336">
        <v>0</v>
      </c>
      <c r="AC336">
        <v>0</v>
      </c>
      <c r="AD336" t="s">
        <v>4732</v>
      </c>
      <c r="AE336">
        <v>0</v>
      </c>
      <c r="AF336">
        <v>0</v>
      </c>
      <c r="AG336">
        <v>0</v>
      </c>
      <c r="AH336">
        <v>2</v>
      </c>
      <c r="AJ336" t="s">
        <v>6212</v>
      </c>
    </row>
    <row r="337" spans="1:36">
      <c r="A337">
        <v>3014</v>
      </c>
      <c r="B337" t="s">
        <v>5277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1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 t="s">
        <v>4720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1</v>
      </c>
      <c r="AJ337" t="s">
        <v>4720</v>
      </c>
    </row>
    <row r="338" spans="1:36">
      <c r="A338">
        <v>3019</v>
      </c>
      <c r="B338" t="s">
        <v>5281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 t="s">
        <v>4720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1</v>
      </c>
      <c r="AJ338" t="s">
        <v>4720</v>
      </c>
    </row>
    <row r="339" spans="1:36">
      <c r="A339">
        <v>3021</v>
      </c>
      <c r="B339" t="s">
        <v>5282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1</v>
      </c>
      <c r="R339">
        <v>0</v>
      </c>
      <c r="S339" t="s">
        <v>4720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1</v>
      </c>
      <c r="AH339">
        <v>0</v>
      </c>
      <c r="AI339" t="s">
        <v>4720</v>
      </c>
    </row>
    <row r="340" spans="1:36">
      <c r="A340">
        <v>3023</v>
      </c>
      <c r="B340" t="s">
        <v>5284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3</v>
      </c>
      <c r="R340">
        <v>1</v>
      </c>
      <c r="S340" t="s">
        <v>4720</v>
      </c>
      <c r="T340" t="s">
        <v>3543</v>
      </c>
      <c r="U340">
        <v>0</v>
      </c>
      <c r="V340">
        <v>0</v>
      </c>
      <c r="W340" t="s">
        <v>4732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3</v>
      </c>
      <c r="AH340">
        <v>1</v>
      </c>
      <c r="AI340" t="s">
        <v>6758</v>
      </c>
    </row>
    <row r="341" spans="1:36">
      <c r="A341">
        <v>3024</v>
      </c>
      <c r="B341" t="s">
        <v>6185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1</v>
      </c>
    </row>
    <row r="342" spans="1:36">
      <c r="A342">
        <v>3025</v>
      </c>
      <c r="B342" t="s">
        <v>5285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 t="s">
        <v>4720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1</v>
      </c>
      <c r="AJ342" t="s">
        <v>4720</v>
      </c>
    </row>
    <row r="343" spans="1:36">
      <c r="A343">
        <v>3026</v>
      </c>
      <c r="B343" t="s">
        <v>5286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 t="s">
        <v>4720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2</v>
      </c>
      <c r="AJ343" t="s">
        <v>4720</v>
      </c>
    </row>
    <row r="344" spans="1:36">
      <c r="A344">
        <v>3027</v>
      </c>
      <c r="B344" t="s">
        <v>5287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 t="s">
        <v>4720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1</v>
      </c>
      <c r="AJ344" t="s">
        <v>4720</v>
      </c>
    </row>
    <row r="345" spans="1:36">
      <c r="A345">
        <v>3028</v>
      </c>
      <c r="B345" t="s">
        <v>5288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1</v>
      </c>
    </row>
    <row r="346" spans="1:36">
      <c r="A346">
        <v>3036</v>
      </c>
      <c r="B346" t="s">
        <v>5296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2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 t="s">
        <v>3543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2</v>
      </c>
      <c r="AJ346" t="s">
        <v>3543</v>
      </c>
    </row>
    <row r="347" spans="1:36">
      <c r="A347">
        <v>3038</v>
      </c>
      <c r="B347" t="s">
        <v>5298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1</v>
      </c>
    </row>
    <row r="348" spans="1:36">
      <c r="A348">
        <v>3041</v>
      </c>
      <c r="B348" t="s">
        <v>5300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1</v>
      </c>
      <c r="R348">
        <v>1</v>
      </c>
      <c r="S348">
        <v>0</v>
      </c>
      <c r="T348" t="s">
        <v>3543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1</v>
      </c>
      <c r="AH348">
        <v>1</v>
      </c>
      <c r="AI348" t="s">
        <v>3543</v>
      </c>
    </row>
    <row r="349" spans="1:36">
      <c r="A349">
        <v>3042</v>
      </c>
      <c r="B349" t="s">
        <v>5301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 t="s">
        <v>6372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1</v>
      </c>
      <c r="AH349">
        <v>0</v>
      </c>
      <c r="AI349" t="s">
        <v>6372</v>
      </c>
    </row>
    <row r="350" spans="1:36">
      <c r="A350">
        <v>3044</v>
      </c>
      <c r="B350" t="s">
        <v>5302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2</v>
      </c>
      <c r="R350">
        <v>0</v>
      </c>
      <c r="S350">
        <v>0</v>
      </c>
      <c r="T350">
        <v>0</v>
      </c>
      <c r="U350" t="s">
        <v>3544</v>
      </c>
      <c r="V350" t="s">
        <v>3545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2</v>
      </c>
      <c r="AH350">
        <v>0</v>
      </c>
      <c r="AI350" t="s">
        <v>6176</v>
      </c>
    </row>
    <row r="351" spans="1:36">
      <c r="A351">
        <v>3045</v>
      </c>
      <c r="B351" t="s">
        <v>5303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1</v>
      </c>
      <c r="R351">
        <v>1</v>
      </c>
      <c r="S351">
        <v>0</v>
      </c>
      <c r="T351">
        <v>0</v>
      </c>
      <c r="U351">
        <v>0</v>
      </c>
      <c r="V351" t="s">
        <v>3545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3544</v>
      </c>
      <c r="AC351">
        <v>0</v>
      </c>
      <c r="AD351">
        <v>0</v>
      </c>
      <c r="AE351">
        <v>0</v>
      </c>
      <c r="AF351">
        <v>0</v>
      </c>
      <c r="AG351">
        <v>1</v>
      </c>
      <c r="AH351">
        <v>1</v>
      </c>
      <c r="AI351" t="s">
        <v>3545</v>
      </c>
      <c r="AJ351" t="s">
        <v>3544</v>
      </c>
    </row>
    <row r="352" spans="1:36">
      <c r="A352">
        <v>3048</v>
      </c>
      <c r="B352" t="s">
        <v>5305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2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 t="s">
        <v>4720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2</v>
      </c>
      <c r="AJ352" t="s">
        <v>4720</v>
      </c>
    </row>
    <row r="353" spans="1:36">
      <c r="A353">
        <v>3051</v>
      </c>
      <c r="B353" t="s">
        <v>6186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 t="s">
        <v>4732</v>
      </c>
      <c r="AE353">
        <v>0</v>
      </c>
      <c r="AF353">
        <v>0</v>
      </c>
      <c r="AG353">
        <v>0</v>
      </c>
      <c r="AH353">
        <v>1</v>
      </c>
      <c r="AJ353" t="s">
        <v>4732</v>
      </c>
    </row>
    <row r="354" spans="1:36">
      <c r="A354">
        <v>3052</v>
      </c>
      <c r="B354" t="s">
        <v>5308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1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 t="s">
        <v>6713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1</v>
      </c>
      <c r="AH354">
        <v>0</v>
      </c>
      <c r="AI354" t="s">
        <v>6713</v>
      </c>
    </row>
    <row r="355" spans="1:36">
      <c r="A355">
        <v>3059</v>
      </c>
      <c r="B355" t="s">
        <v>5312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1</v>
      </c>
    </row>
    <row r="356" spans="1:36">
      <c r="A356">
        <v>3062</v>
      </c>
      <c r="B356" t="s">
        <v>5314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 t="s">
        <v>4732</v>
      </c>
      <c r="AE356">
        <v>0</v>
      </c>
      <c r="AF356">
        <v>0</v>
      </c>
      <c r="AG356">
        <v>0</v>
      </c>
      <c r="AH356">
        <v>1</v>
      </c>
      <c r="AJ356" t="s">
        <v>4732</v>
      </c>
    </row>
    <row r="357" spans="1:36">
      <c r="A357">
        <v>3071</v>
      </c>
      <c r="B357" t="s">
        <v>5315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1</v>
      </c>
      <c r="R357">
        <v>0</v>
      </c>
      <c r="S357" t="s">
        <v>4720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1</v>
      </c>
      <c r="AH357">
        <v>0</v>
      </c>
      <c r="AI357" t="s">
        <v>4720</v>
      </c>
    </row>
    <row r="358" spans="1:36">
      <c r="A358">
        <v>3083</v>
      </c>
      <c r="B358" t="s">
        <v>5318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 t="s">
        <v>4732</v>
      </c>
      <c r="AE358">
        <v>0</v>
      </c>
      <c r="AF358">
        <v>0</v>
      </c>
      <c r="AG358">
        <v>0</v>
      </c>
      <c r="AH358">
        <v>1</v>
      </c>
      <c r="AJ358" t="s">
        <v>4732</v>
      </c>
    </row>
    <row r="359" spans="1:36">
      <c r="A359">
        <v>3086</v>
      </c>
      <c r="B359" t="s">
        <v>5319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1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1</v>
      </c>
    </row>
    <row r="360" spans="1:36">
      <c r="A360">
        <v>3088</v>
      </c>
      <c r="B360" t="s">
        <v>5320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1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 t="s">
        <v>4720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1</v>
      </c>
      <c r="AJ360" t="s">
        <v>4720</v>
      </c>
    </row>
    <row r="361" spans="1:36">
      <c r="A361">
        <v>3090</v>
      </c>
      <c r="B361" t="s">
        <v>5321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 t="s">
        <v>6713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1</v>
      </c>
      <c r="AH361">
        <v>0</v>
      </c>
      <c r="AI361" t="s">
        <v>6713</v>
      </c>
    </row>
    <row r="362" spans="1:36">
      <c r="A362">
        <v>3105</v>
      </c>
      <c r="B362" t="s">
        <v>5324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1</v>
      </c>
      <c r="R362">
        <v>0</v>
      </c>
      <c r="S362">
        <v>0</v>
      </c>
      <c r="T362" t="s">
        <v>3543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1</v>
      </c>
      <c r="AH362">
        <v>0</v>
      </c>
      <c r="AI362" t="s">
        <v>3543</v>
      </c>
    </row>
    <row r="363" spans="1:36">
      <c r="A363">
        <v>3118</v>
      </c>
      <c r="B363" t="s">
        <v>5326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 t="s">
        <v>4720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1</v>
      </c>
      <c r="AJ363" t="s">
        <v>4720</v>
      </c>
    </row>
    <row r="364" spans="1:36">
      <c r="A364">
        <v>3128</v>
      </c>
      <c r="B364" t="s">
        <v>5328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1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1</v>
      </c>
    </row>
    <row r="365" spans="1:36">
      <c r="A365">
        <v>3130</v>
      </c>
      <c r="B365" t="s">
        <v>5329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1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3543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1</v>
      </c>
      <c r="AJ365" t="s">
        <v>3543</v>
      </c>
    </row>
    <row r="366" spans="1:36">
      <c r="A366">
        <v>3164</v>
      </c>
      <c r="B366" t="s">
        <v>5336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1</v>
      </c>
      <c r="R366">
        <v>0</v>
      </c>
      <c r="S366" t="s">
        <v>4720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1</v>
      </c>
      <c r="AH366">
        <v>0</v>
      </c>
      <c r="AI366" t="s">
        <v>4720</v>
      </c>
    </row>
    <row r="367" spans="1:36">
      <c r="A367">
        <v>3171</v>
      </c>
      <c r="B367" t="s">
        <v>6323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1</v>
      </c>
      <c r="R367">
        <v>0</v>
      </c>
      <c r="S367" t="s">
        <v>4720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1</v>
      </c>
      <c r="AH367">
        <v>0</v>
      </c>
      <c r="AI367" t="s">
        <v>4720</v>
      </c>
    </row>
    <row r="368" spans="1:36">
      <c r="A368">
        <v>3209</v>
      </c>
      <c r="B368" t="s">
        <v>5345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2</v>
      </c>
      <c r="R368">
        <v>0</v>
      </c>
      <c r="S368">
        <v>0</v>
      </c>
      <c r="T368" t="s">
        <v>3543</v>
      </c>
      <c r="U368">
        <v>0</v>
      </c>
      <c r="V368">
        <v>0</v>
      </c>
      <c r="W368">
        <v>0</v>
      </c>
      <c r="X368">
        <v>0</v>
      </c>
      <c r="Y368" t="s">
        <v>6713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2</v>
      </c>
      <c r="AH368">
        <v>0</v>
      </c>
      <c r="AI368" t="s">
        <v>6746</v>
      </c>
    </row>
    <row r="369" spans="1:36">
      <c r="A369">
        <v>3224</v>
      </c>
      <c r="B369" t="s">
        <v>5352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1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1</v>
      </c>
    </row>
    <row r="370" spans="1:36">
      <c r="A370">
        <v>3230</v>
      </c>
      <c r="B370" t="s">
        <v>5354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1</v>
      </c>
      <c r="R370">
        <v>0</v>
      </c>
      <c r="S370" t="s">
        <v>4720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1</v>
      </c>
      <c r="AH370">
        <v>0</v>
      </c>
      <c r="AI370" t="s">
        <v>4720</v>
      </c>
    </row>
    <row r="371" spans="1:36">
      <c r="A371">
        <v>3257</v>
      </c>
      <c r="B371" t="s">
        <v>5360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1</v>
      </c>
      <c r="R371">
        <v>0</v>
      </c>
      <c r="S371">
        <v>0</v>
      </c>
      <c r="T371" t="s">
        <v>3543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1</v>
      </c>
      <c r="AH371">
        <v>0</v>
      </c>
      <c r="AI371" t="s">
        <v>3543</v>
      </c>
    </row>
    <row r="372" spans="1:36">
      <c r="A372">
        <v>3260</v>
      </c>
      <c r="B372" t="s">
        <v>5361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1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 t="s">
        <v>6372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1</v>
      </c>
      <c r="AH372">
        <v>0</v>
      </c>
      <c r="AI372" t="s">
        <v>6372</v>
      </c>
    </row>
    <row r="373" spans="1:36">
      <c r="A373">
        <v>3265</v>
      </c>
      <c r="B373" t="s">
        <v>5363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1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 t="s">
        <v>4732</v>
      </c>
      <c r="AE373">
        <v>0</v>
      </c>
      <c r="AF373">
        <v>0</v>
      </c>
      <c r="AG373">
        <v>0</v>
      </c>
      <c r="AH373">
        <v>1</v>
      </c>
      <c r="AJ373" t="s">
        <v>4732</v>
      </c>
    </row>
    <row r="374" spans="1:36">
      <c r="A374">
        <v>3266</v>
      </c>
      <c r="B374" t="s">
        <v>5364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 t="s">
        <v>4720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1</v>
      </c>
      <c r="AJ374" t="s">
        <v>4720</v>
      </c>
    </row>
    <row r="375" spans="1:36">
      <c r="A375">
        <v>3303</v>
      </c>
      <c r="B375" t="s">
        <v>5375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1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 t="s">
        <v>3543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1</v>
      </c>
      <c r="AJ375" t="s">
        <v>3543</v>
      </c>
    </row>
    <row r="376" spans="1:36">
      <c r="A376">
        <v>3305</v>
      </c>
      <c r="B376" t="s">
        <v>5376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1</v>
      </c>
      <c r="R376">
        <v>1</v>
      </c>
      <c r="S376" t="s">
        <v>4720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1</v>
      </c>
      <c r="AH376">
        <v>1</v>
      </c>
      <c r="AI376" t="s">
        <v>4720</v>
      </c>
    </row>
    <row r="377" spans="1:36">
      <c r="A377">
        <v>3312</v>
      </c>
      <c r="B377" t="s">
        <v>5380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 t="s">
        <v>6713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1</v>
      </c>
      <c r="AH377">
        <v>0</v>
      </c>
      <c r="AI377" t="s">
        <v>6713</v>
      </c>
    </row>
    <row r="378" spans="1:36">
      <c r="A378">
        <v>3317</v>
      </c>
      <c r="B378" t="s">
        <v>5381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1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1</v>
      </c>
    </row>
    <row r="379" spans="1:36">
      <c r="A379">
        <v>3356</v>
      </c>
      <c r="B379" t="s">
        <v>5389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 t="s">
        <v>4732</v>
      </c>
      <c r="AE379">
        <v>0</v>
      </c>
      <c r="AF379">
        <v>0</v>
      </c>
      <c r="AG379">
        <v>0</v>
      </c>
      <c r="AH379">
        <v>1</v>
      </c>
      <c r="AJ379" t="s">
        <v>4732</v>
      </c>
    </row>
    <row r="380" spans="1:36">
      <c r="A380">
        <v>3360</v>
      </c>
      <c r="B380" t="s">
        <v>5391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1</v>
      </c>
    </row>
    <row r="381" spans="1:36">
      <c r="A381">
        <v>3380</v>
      </c>
      <c r="B381" t="s">
        <v>5399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1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">
        <v>3544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1</v>
      </c>
      <c r="AJ381" t="s">
        <v>3544</v>
      </c>
    </row>
    <row r="382" spans="1:36">
      <c r="A382">
        <v>3406</v>
      </c>
      <c r="B382" t="s">
        <v>5403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3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 t="s">
        <v>3543</v>
      </c>
      <c r="AB382">
        <v>0</v>
      </c>
      <c r="AC382" t="s">
        <v>3545</v>
      </c>
      <c r="AD382">
        <v>0</v>
      </c>
      <c r="AE382">
        <v>0</v>
      </c>
      <c r="AF382">
        <v>0</v>
      </c>
      <c r="AG382">
        <v>0</v>
      </c>
      <c r="AH382">
        <v>3</v>
      </c>
      <c r="AJ382" t="s">
        <v>6211</v>
      </c>
    </row>
    <row r="383" spans="1:36">
      <c r="A383">
        <v>3413</v>
      </c>
      <c r="B383" t="s">
        <v>5404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 t="s">
        <v>6372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1</v>
      </c>
      <c r="AH383">
        <v>0</v>
      </c>
      <c r="AI383" t="s">
        <v>6372</v>
      </c>
    </row>
    <row r="384" spans="1:36">
      <c r="A384">
        <v>3419</v>
      </c>
      <c r="B384" t="s">
        <v>5406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1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 t="s">
        <v>4720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1</v>
      </c>
      <c r="AJ384" t="s">
        <v>4720</v>
      </c>
    </row>
    <row r="385" spans="1:36">
      <c r="A385">
        <v>3434</v>
      </c>
      <c r="B385" t="s">
        <v>5408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1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1</v>
      </c>
    </row>
    <row r="386" spans="1:36">
      <c r="A386">
        <v>3443</v>
      </c>
      <c r="B386" t="s">
        <v>5412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1</v>
      </c>
      <c r="R386">
        <v>0</v>
      </c>
      <c r="S386">
        <v>0</v>
      </c>
      <c r="T386">
        <v>0</v>
      </c>
      <c r="U386">
        <v>0</v>
      </c>
      <c r="V386" t="s">
        <v>3545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1</v>
      </c>
      <c r="AH386">
        <v>0</v>
      </c>
      <c r="AI386" t="s">
        <v>3545</v>
      </c>
    </row>
    <row r="387" spans="1:36">
      <c r="A387">
        <v>3444</v>
      </c>
      <c r="B387" t="s">
        <v>5413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 t="s">
        <v>6713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1</v>
      </c>
      <c r="AH387">
        <v>0</v>
      </c>
      <c r="AI387" t="s">
        <v>6713</v>
      </c>
    </row>
    <row r="388" spans="1:36">
      <c r="A388">
        <v>3450</v>
      </c>
      <c r="B388" t="s">
        <v>5414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2</v>
      </c>
      <c r="R388">
        <v>1</v>
      </c>
      <c r="S388">
        <v>0</v>
      </c>
      <c r="T388" t="s">
        <v>3543</v>
      </c>
      <c r="U388">
        <v>0</v>
      </c>
      <c r="V388">
        <v>0</v>
      </c>
      <c r="W388" t="s">
        <v>4732</v>
      </c>
      <c r="X388">
        <v>0</v>
      </c>
      <c r="Y388">
        <v>0</v>
      </c>
      <c r="Z388" t="s">
        <v>4720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2</v>
      </c>
      <c r="AH388">
        <v>1</v>
      </c>
      <c r="AI388" t="s">
        <v>6212</v>
      </c>
      <c r="AJ388" t="s">
        <v>4720</v>
      </c>
    </row>
    <row r="389" spans="1:36">
      <c r="A389">
        <v>3481</v>
      </c>
      <c r="B389" t="s">
        <v>5419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1</v>
      </c>
      <c r="R389">
        <v>0</v>
      </c>
      <c r="S389">
        <v>0</v>
      </c>
      <c r="T389" t="s">
        <v>3543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1</v>
      </c>
      <c r="AH389">
        <v>0</v>
      </c>
      <c r="AI389" t="s">
        <v>3543</v>
      </c>
    </row>
    <row r="390" spans="1:36">
      <c r="A390">
        <v>3501</v>
      </c>
      <c r="B390" t="s">
        <v>5427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1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1</v>
      </c>
    </row>
    <row r="391" spans="1:36">
      <c r="A391">
        <v>3526</v>
      </c>
      <c r="B391" t="s">
        <v>5434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2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 t="s">
        <v>4720</v>
      </c>
      <c r="AA391">
        <v>0</v>
      </c>
      <c r="AB391" t="s">
        <v>3544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2</v>
      </c>
      <c r="AJ391" t="s">
        <v>6175</v>
      </c>
    </row>
    <row r="392" spans="1:36">
      <c r="A392">
        <v>3527</v>
      </c>
      <c r="B392" t="s">
        <v>5435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 t="s">
        <v>4732</v>
      </c>
      <c r="AE392">
        <v>0</v>
      </c>
      <c r="AF392">
        <v>0</v>
      </c>
      <c r="AG392">
        <v>0</v>
      </c>
      <c r="AH392">
        <v>1</v>
      </c>
      <c r="AJ392" t="s">
        <v>4732</v>
      </c>
    </row>
    <row r="393" spans="1:36">
      <c r="A393">
        <v>3530</v>
      </c>
      <c r="B393" t="s">
        <v>5438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2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 t="s">
        <v>6372</v>
      </c>
      <c r="Y393" t="s">
        <v>6713</v>
      </c>
      <c r="Z393">
        <v>0</v>
      </c>
      <c r="AA393" t="s">
        <v>3543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2</v>
      </c>
      <c r="AH393">
        <v>1</v>
      </c>
      <c r="AI393" t="s">
        <v>6759</v>
      </c>
      <c r="AJ393" t="s">
        <v>3543</v>
      </c>
    </row>
    <row r="394" spans="1:36">
      <c r="A394">
        <v>3532</v>
      </c>
      <c r="B394" t="s">
        <v>5439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2</v>
      </c>
      <c r="R394">
        <v>0</v>
      </c>
      <c r="S394">
        <v>0</v>
      </c>
      <c r="T394">
        <v>0</v>
      </c>
      <c r="U394">
        <v>0</v>
      </c>
      <c r="V394" t="s">
        <v>3545</v>
      </c>
      <c r="W394" t="s">
        <v>4732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2</v>
      </c>
      <c r="AH394">
        <v>0</v>
      </c>
      <c r="AI394" t="s">
        <v>6370</v>
      </c>
    </row>
    <row r="395" spans="1:36">
      <c r="A395">
        <v>3540</v>
      </c>
      <c r="B395" t="s">
        <v>5443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1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1</v>
      </c>
    </row>
    <row r="396" spans="1:36">
      <c r="A396">
        <v>3550</v>
      </c>
      <c r="B396" t="s">
        <v>5449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1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1</v>
      </c>
    </row>
    <row r="397" spans="1:36">
      <c r="A397">
        <v>3551</v>
      </c>
      <c r="B397" t="s">
        <v>5450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1</v>
      </c>
      <c r="R397">
        <v>0</v>
      </c>
      <c r="S397">
        <v>0</v>
      </c>
      <c r="T397" t="s">
        <v>3543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0</v>
      </c>
      <c r="AI397" t="s">
        <v>3543</v>
      </c>
    </row>
    <row r="398" spans="1:36">
      <c r="A398">
        <v>3552</v>
      </c>
      <c r="B398" t="s">
        <v>5451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2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 t="s">
        <v>4732</v>
      </c>
      <c r="AE398">
        <v>0</v>
      </c>
      <c r="AF398">
        <v>0</v>
      </c>
      <c r="AG398">
        <v>0</v>
      </c>
      <c r="AH398">
        <v>2</v>
      </c>
      <c r="AJ398" t="s">
        <v>4732</v>
      </c>
    </row>
    <row r="399" spans="1:36">
      <c r="A399">
        <v>3563</v>
      </c>
      <c r="B399" t="s">
        <v>5455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1</v>
      </c>
      <c r="S399" t="s">
        <v>4720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1</v>
      </c>
      <c r="AH399">
        <v>1</v>
      </c>
      <c r="AI399" t="s">
        <v>4720</v>
      </c>
    </row>
    <row r="400" spans="1:36">
      <c r="A400">
        <v>3567</v>
      </c>
      <c r="B400" t="s">
        <v>5456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3543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1</v>
      </c>
      <c r="AJ400" t="s">
        <v>3543</v>
      </c>
    </row>
    <row r="401" spans="1:36">
      <c r="A401">
        <v>3580</v>
      </c>
      <c r="B401" t="s">
        <v>5458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1</v>
      </c>
      <c r="R401">
        <v>0</v>
      </c>
      <c r="S401" t="s">
        <v>4720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1</v>
      </c>
      <c r="AH401">
        <v>0</v>
      </c>
      <c r="AI401" t="s">
        <v>4720</v>
      </c>
    </row>
    <row r="402" spans="1:36">
      <c r="A402">
        <v>3661</v>
      </c>
      <c r="B402" t="s">
        <v>5483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1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 t="s">
        <v>3543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1</v>
      </c>
      <c r="AJ402" t="s">
        <v>3543</v>
      </c>
    </row>
    <row r="403" spans="1:36">
      <c r="A403">
        <v>3669</v>
      </c>
      <c r="B403" t="s">
        <v>5487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1</v>
      </c>
      <c r="R403">
        <v>2</v>
      </c>
      <c r="S403">
        <v>0</v>
      </c>
      <c r="T403">
        <v>0</v>
      </c>
      <c r="U403">
        <v>0</v>
      </c>
      <c r="V403">
        <v>0</v>
      </c>
      <c r="W403">
        <v>0</v>
      </c>
      <c r="X403" t="s">
        <v>6372</v>
      </c>
      <c r="Y403">
        <v>0</v>
      </c>
      <c r="Z403" t="s">
        <v>4720</v>
      </c>
      <c r="AA403">
        <v>0</v>
      </c>
      <c r="AB403">
        <v>0</v>
      </c>
      <c r="AC403">
        <v>0</v>
      </c>
      <c r="AD403" t="s">
        <v>4732</v>
      </c>
      <c r="AE403">
        <v>0</v>
      </c>
      <c r="AF403">
        <v>0</v>
      </c>
      <c r="AG403">
        <v>1</v>
      </c>
      <c r="AH403">
        <v>2</v>
      </c>
      <c r="AI403" t="s">
        <v>6372</v>
      </c>
      <c r="AJ403" t="s">
        <v>6268</v>
      </c>
    </row>
    <row r="404" spans="1:36">
      <c r="A404">
        <v>3689</v>
      </c>
      <c r="B404" t="s">
        <v>5495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2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3543</v>
      </c>
      <c r="AB404" t="s">
        <v>3544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2</v>
      </c>
      <c r="AJ404" t="s">
        <v>6233</v>
      </c>
    </row>
    <row r="405" spans="1:36">
      <c r="A405">
        <v>3693</v>
      </c>
      <c r="B405" t="s">
        <v>5497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1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3543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1</v>
      </c>
      <c r="AJ405" t="s">
        <v>3543</v>
      </c>
    </row>
    <row r="406" spans="1:36">
      <c r="A406">
        <v>3702</v>
      </c>
      <c r="B406" t="s">
        <v>5500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2</v>
      </c>
      <c r="R406">
        <v>0</v>
      </c>
      <c r="S406">
        <v>0</v>
      </c>
      <c r="T406">
        <v>0</v>
      </c>
      <c r="U406" t="s">
        <v>3544</v>
      </c>
      <c r="V406" t="s">
        <v>3545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2</v>
      </c>
      <c r="AH406">
        <v>0</v>
      </c>
      <c r="AI406" t="s">
        <v>6176</v>
      </c>
    </row>
    <row r="407" spans="1:36">
      <c r="A407">
        <v>3703</v>
      </c>
      <c r="B407" t="s">
        <v>5501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2</v>
      </c>
      <c r="R407">
        <v>0</v>
      </c>
      <c r="S407">
        <v>0</v>
      </c>
      <c r="T407" t="s">
        <v>3543</v>
      </c>
      <c r="U407">
        <v>0</v>
      </c>
      <c r="V407">
        <v>0</v>
      </c>
      <c r="W407">
        <v>0</v>
      </c>
      <c r="X407">
        <v>0</v>
      </c>
      <c r="Y407" t="s">
        <v>6713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2</v>
      </c>
      <c r="AH407">
        <v>0</v>
      </c>
      <c r="AI407" t="s">
        <v>6746</v>
      </c>
    </row>
    <row r="408" spans="1:36">
      <c r="A408">
        <v>3709</v>
      </c>
      <c r="B408" t="s">
        <v>6148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3543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1</v>
      </c>
      <c r="AJ408" t="s">
        <v>3543</v>
      </c>
    </row>
    <row r="409" spans="1:36">
      <c r="A409">
        <v>3712</v>
      </c>
      <c r="B409" t="s">
        <v>5508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1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1</v>
      </c>
    </row>
    <row r="410" spans="1:36">
      <c r="A410">
        <v>4104</v>
      </c>
      <c r="B410" t="s">
        <v>5511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2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 t="s">
        <v>4720</v>
      </c>
      <c r="AA410">
        <v>0</v>
      </c>
      <c r="AB410">
        <v>0</v>
      </c>
      <c r="AC410">
        <v>0</v>
      </c>
      <c r="AD410" t="s">
        <v>4732</v>
      </c>
      <c r="AE410">
        <v>0</v>
      </c>
      <c r="AF410">
        <v>0</v>
      </c>
      <c r="AG410">
        <v>0</v>
      </c>
      <c r="AH410">
        <v>2</v>
      </c>
      <c r="AJ410" t="s">
        <v>6268</v>
      </c>
    </row>
    <row r="411" spans="1:36">
      <c r="A411">
        <v>4105</v>
      </c>
      <c r="B411" t="s">
        <v>5512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3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 t="s">
        <v>4720</v>
      </c>
      <c r="AA411" t="s">
        <v>3543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3</v>
      </c>
      <c r="AJ411" t="s">
        <v>6417</v>
      </c>
    </row>
    <row r="412" spans="1:36">
      <c r="A412">
        <v>4109</v>
      </c>
      <c r="B412" t="s">
        <v>5515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1</v>
      </c>
    </row>
    <row r="413" spans="1:36">
      <c r="A413">
        <v>4113</v>
      </c>
      <c r="B413" t="s">
        <v>5516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1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 t="s">
        <v>3543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1</v>
      </c>
      <c r="AJ413" t="s">
        <v>3543</v>
      </c>
    </row>
    <row r="414" spans="1:36">
      <c r="A414">
        <v>4114</v>
      </c>
      <c r="B414" t="s">
        <v>5517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 t="s">
        <v>3543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1</v>
      </c>
      <c r="AJ414" t="s">
        <v>3543</v>
      </c>
    </row>
    <row r="415" spans="1:36">
      <c r="A415">
        <v>4120</v>
      </c>
      <c r="B415" t="s">
        <v>5520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1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 t="s">
        <v>4720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1</v>
      </c>
      <c r="AJ415" t="s">
        <v>4720</v>
      </c>
    </row>
    <row r="416" spans="1:36">
      <c r="A416">
        <v>4126</v>
      </c>
      <c r="B416" t="s">
        <v>5523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 t="s">
        <v>4732</v>
      </c>
      <c r="AE416">
        <v>0</v>
      </c>
      <c r="AF416">
        <v>0</v>
      </c>
      <c r="AG416">
        <v>0</v>
      </c>
      <c r="AH416">
        <v>1</v>
      </c>
      <c r="AJ416" t="s">
        <v>4732</v>
      </c>
    </row>
    <row r="417" spans="1:36">
      <c r="A417">
        <v>4128</v>
      </c>
      <c r="B417" t="s">
        <v>5524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">
        <v>3544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1</v>
      </c>
      <c r="AJ417" t="s">
        <v>3544</v>
      </c>
    </row>
    <row r="418" spans="1:36">
      <c r="A418">
        <v>4129</v>
      </c>
      <c r="B418" t="s">
        <v>5525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 t="s">
        <v>6713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1</v>
      </c>
      <c r="AH418">
        <v>0</v>
      </c>
      <c r="AI418" t="s">
        <v>6713</v>
      </c>
    </row>
    <row r="419" spans="1:36">
      <c r="A419">
        <v>4130</v>
      </c>
      <c r="B419" t="s">
        <v>5526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1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 t="s">
        <v>4720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1</v>
      </c>
      <c r="AJ419" t="s">
        <v>4720</v>
      </c>
    </row>
    <row r="420" spans="1:36">
      <c r="A420">
        <v>4155</v>
      </c>
      <c r="B420" t="s">
        <v>5533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1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 t="s">
        <v>4720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1</v>
      </c>
      <c r="AJ420" t="s">
        <v>4720</v>
      </c>
    </row>
    <row r="421" spans="1:36">
      <c r="A421">
        <v>4164</v>
      </c>
      <c r="B421" t="s">
        <v>5538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2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 t="s">
        <v>3543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2</v>
      </c>
      <c r="AJ421" t="s">
        <v>3543</v>
      </c>
    </row>
    <row r="422" spans="1:36">
      <c r="A422">
        <v>4167</v>
      </c>
      <c r="B422" t="s">
        <v>5539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1</v>
      </c>
    </row>
    <row r="423" spans="1:36">
      <c r="A423">
        <v>4174</v>
      </c>
      <c r="B423" t="s">
        <v>5543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1</v>
      </c>
      <c r="R423">
        <v>0</v>
      </c>
      <c r="S423" t="s">
        <v>4720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1</v>
      </c>
      <c r="AH423">
        <v>0</v>
      </c>
      <c r="AI423" t="s">
        <v>4720</v>
      </c>
    </row>
    <row r="424" spans="1:36">
      <c r="A424">
        <v>4175</v>
      </c>
      <c r="B424" t="s">
        <v>5544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1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 t="s">
        <v>4732</v>
      </c>
      <c r="AE424">
        <v>0</v>
      </c>
      <c r="AF424">
        <v>0</v>
      </c>
      <c r="AG424">
        <v>0</v>
      </c>
      <c r="AH424">
        <v>1</v>
      </c>
      <c r="AJ424" t="s">
        <v>4732</v>
      </c>
    </row>
    <row r="425" spans="1:36">
      <c r="A425">
        <v>4205</v>
      </c>
      <c r="B425" t="s">
        <v>6150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1</v>
      </c>
    </row>
    <row r="426" spans="1:36">
      <c r="A426">
        <v>4207</v>
      </c>
      <c r="B426" t="s">
        <v>5546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 t="s">
        <v>4732</v>
      </c>
      <c r="AE426">
        <v>0</v>
      </c>
      <c r="AF426">
        <v>0</v>
      </c>
      <c r="AG426">
        <v>0</v>
      </c>
      <c r="AH426">
        <v>1</v>
      </c>
      <c r="AJ426" t="s">
        <v>4732</v>
      </c>
    </row>
    <row r="427" spans="1:36">
      <c r="A427">
        <v>4414</v>
      </c>
      <c r="B427" t="s">
        <v>5551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1</v>
      </c>
      <c r="R427">
        <v>2</v>
      </c>
      <c r="S427">
        <v>0</v>
      </c>
      <c r="T427">
        <v>0</v>
      </c>
      <c r="U427">
        <v>0</v>
      </c>
      <c r="V427">
        <v>0</v>
      </c>
      <c r="W427" t="s">
        <v>4732</v>
      </c>
      <c r="X427">
        <v>0</v>
      </c>
      <c r="Y427">
        <v>0</v>
      </c>
      <c r="Z427" t="s">
        <v>4720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1</v>
      </c>
      <c r="AH427">
        <v>2</v>
      </c>
      <c r="AI427" t="s">
        <v>4732</v>
      </c>
      <c r="AJ427" t="s">
        <v>4720</v>
      </c>
    </row>
    <row r="428" spans="1:36">
      <c r="A428">
        <v>4426</v>
      </c>
      <c r="B428" t="s">
        <v>5553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1</v>
      </c>
    </row>
    <row r="429" spans="1:36">
      <c r="A429">
        <v>4526</v>
      </c>
      <c r="B429" t="s">
        <v>5562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1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1</v>
      </c>
    </row>
    <row r="430" spans="1:36">
      <c r="A430">
        <v>4534</v>
      </c>
      <c r="B430" t="s">
        <v>5566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1</v>
      </c>
      <c r="R430">
        <v>0</v>
      </c>
      <c r="S430">
        <v>0</v>
      </c>
      <c r="T430" t="s">
        <v>3543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1</v>
      </c>
      <c r="AH430">
        <v>0</v>
      </c>
      <c r="AI430" t="s">
        <v>3543</v>
      </c>
    </row>
    <row r="431" spans="1:36">
      <c r="A431">
        <v>4536</v>
      </c>
      <c r="B431" t="s">
        <v>5567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1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 t="s">
        <v>3545</v>
      </c>
      <c r="AD431">
        <v>0</v>
      </c>
      <c r="AE431">
        <v>0</v>
      </c>
      <c r="AF431">
        <v>0</v>
      </c>
      <c r="AG431">
        <v>0</v>
      </c>
      <c r="AH431">
        <v>1</v>
      </c>
      <c r="AJ431" t="s">
        <v>3545</v>
      </c>
    </row>
    <row r="432" spans="1:36">
      <c r="A432">
        <v>4540</v>
      </c>
      <c r="B432" t="s">
        <v>5568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1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3543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1</v>
      </c>
      <c r="AJ432" t="s">
        <v>3543</v>
      </c>
    </row>
    <row r="433" spans="1:36">
      <c r="A433">
        <v>4552</v>
      </c>
      <c r="B433" t="s">
        <v>5574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1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 t="s">
        <v>3543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1</v>
      </c>
      <c r="AJ433" t="s">
        <v>3543</v>
      </c>
    </row>
    <row r="434" spans="1:36">
      <c r="A434">
        <v>4561</v>
      </c>
      <c r="B434" t="s">
        <v>546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 t="s">
        <v>3543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1</v>
      </c>
      <c r="AJ434" t="s">
        <v>3543</v>
      </c>
    </row>
    <row r="435" spans="1:36">
      <c r="A435">
        <v>4562</v>
      </c>
      <c r="B435" t="s">
        <v>5578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 t="s">
        <v>4720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1</v>
      </c>
      <c r="AJ435" t="s">
        <v>4720</v>
      </c>
    </row>
    <row r="436" spans="1:36">
      <c r="A436">
        <v>4707</v>
      </c>
      <c r="B436" t="s">
        <v>5587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1</v>
      </c>
      <c r="R436">
        <v>0</v>
      </c>
      <c r="S436">
        <v>0</v>
      </c>
      <c r="T436">
        <v>0</v>
      </c>
      <c r="U436" t="s">
        <v>3544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1</v>
      </c>
      <c r="AH436">
        <v>0</v>
      </c>
      <c r="AI436" t="s">
        <v>3544</v>
      </c>
    </row>
    <row r="437" spans="1:36">
      <c r="A437">
        <v>4716</v>
      </c>
      <c r="B437" t="s">
        <v>5590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 t="s">
        <v>4732</v>
      </c>
      <c r="AE437">
        <v>0</v>
      </c>
      <c r="AF437">
        <v>0</v>
      </c>
      <c r="AG437">
        <v>0</v>
      </c>
      <c r="AH437">
        <v>1</v>
      </c>
      <c r="AJ437" t="s">
        <v>4732</v>
      </c>
    </row>
    <row r="438" spans="1:36">
      <c r="A438">
        <v>4720</v>
      </c>
      <c r="B438" t="s">
        <v>5591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1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 t="s">
        <v>4720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1</v>
      </c>
      <c r="AJ438" t="s">
        <v>4720</v>
      </c>
    </row>
    <row r="439" spans="1:36">
      <c r="A439">
        <v>4735</v>
      </c>
      <c r="B439" t="s">
        <v>5595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1</v>
      </c>
    </row>
    <row r="440" spans="1:36">
      <c r="A440">
        <v>4744</v>
      </c>
      <c r="B440" t="s">
        <v>5599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 t="s">
        <v>4732</v>
      </c>
      <c r="AE440">
        <v>0</v>
      </c>
      <c r="AF440">
        <v>0</v>
      </c>
      <c r="AG440">
        <v>0</v>
      </c>
      <c r="AH440">
        <v>1</v>
      </c>
      <c r="AJ440" t="s">
        <v>4732</v>
      </c>
    </row>
    <row r="441" spans="1:36">
      <c r="A441">
        <v>4755</v>
      </c>
      <c r="B441" t="s">
        <v>5602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 t="s">
        <v>4732</v>
      </c>
      <c r="AE441">
        <v>0</v>
      </c>
      <c r="AF441">
        <v>0</v>
      </c>
      <c r="AG441">
        <v>0</v>
      </c>
      <c r="AH441">
        <v>1</v>
      </c>
      <c r="AJ441" t="s">
        <v>4732</v>
      </c>
    </row>
    <row r="442" spans="1:36">
      <c r="A442">
        <v>4760</v>
      </c>
      <c r="B442" t="s">
        <v>5603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 t="s">
        <v>4720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1</v>
      </c>
      <c r="AJ442" t="s">
        <v>4720</v>
      </c>
    </row>
    <row r="443" spans="1:36">
      <c r="A443">
        <v>4766</v>
      </c>
      <c r="B443" t="s">
        <v>5606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1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3543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1</v>
      </c>
      <c r="AJ443" t="s">
        <v>3543</v>
      </c>
    </row>
    <row r="444" spans="1:36">
      <c r="A444">
        <v>4904</v>
      </c>
      <c r="B444" t="s">
        <v>5609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2</v>
      </c>
      <c r="R444">
        <v>1</v>
      </c>
      <c r="S444">
        <v>0</v>
      </c>
      <c r="T444" t="s">
        <v>3543</v>
      </c>
      <c r="U444">
        <v>0</v>
      </c>
      <c r="V444">
        <v>0</v>
      </c>
      <c r="W444">
        <v>0</v>
      </c>
      <c r="X444">
        <v>0</v>
      </c>
      <c r="Y444" t="s">
        <v>6713</v>
      </c>
      <c r="Z444">
        <v>0</v>
      </c>
      <c r="AA444">
        <v>0</v>
      </c>
      <c r="AB444" t="s">
        <v>3544</v>
      </c>
      <c r="AC444">
        <v>0</v>
      </c>
      <c r="AD444">
        <v>0</v>
      </c>
      <c r="AE444">
        <v>0</v>
      </c>
      <c r="AF444">
        <v>0</v>
      </c>
      <c r="AG444">
        <v>2</v>
      </c>
      <c r="AH444">
        <v>1</v>
      </c>
      <c r="AI444" t="s">
        <v>6746</v>
      </c>
      <c r="AJ444" t="s">
        <v>3544</v>
      </c>
    </row>
    <row r="445" spans="1:36">
      <c r="A445">
        <v>4927</v>
      </c>
      <c r="B445" t="s">
        <v>5617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1</v>
      </c>
      <c r="R445">
        <v>0</v>
      </c>
      <c r="S445" t="s">
        <v>4720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1</v>
      </c>
      <c r="AH445">
        <v>0</v>
      </c>
      <c r="AI445" t="s">
        <v>4720</v>
      </c>
    </row>
    <row r="446" spans="1:36">
      <c r="A446">
        <v>4938</v>
      </c>
      <c r="B446" t="s">
        <v>5621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1</v>
      </c>
      <c r="R446">
        <v>1</v>
      </c>
      <c r="S446">
        <v>0</v>
      </c>
      <c r="T446">
        <v>0</v>
      </c>
      <c r="U446" t="s">
        <v>3544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1</v>
      </c>
      <c r="AH446">
        <v>1</v>
      </c>
      <c r="AI446" t="s">
        <v>3544</v>
      </c>
    </row>
    <row r="447" spans="1:36">
      <c r="A447">
        <v>4943</v>
      </c>
      <c r="B447" t="s">
        <v>5624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1</v>
      </c>
      <c r="R447">
        <v>0</v>
      </c>
      <c r="S447">
        <v>0</v>
      </c>
      <c r="T447">
        <v>0</v>
      </c>
      <c r="U447">
        <v>0</v>
      </c>
      <c r="V447">
        <v>0</v>
      </c>
      <c r="W447" t="s">
        <v>4732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1</v>
      </c>
      <c r="AH447">
        <v>0</v>
      </c>
      <c r="AI447" t="s">
        <v>4732</v>
      </c>
    </row>
    <row r="448" spans="1:36">
      <c r="A448">
        <v>4953</v>
      </c>
      <c r="B448" t="s">
        <v>5627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1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 t="s">
        <v>4732</v>
      </c>
      <c r="AE448">
        <v>0</v>
      </c>
      <c r="AF448">
        <v>0</v>
      </c>
      <c r="AG448">
        <v>0</v>
      </c>
      <c r="AH448">
        <v>1</v>
      </c>
      <c r="AJ448" t="s">
        <v>4732</v>
      </c>
    </row>
    <row r="449" spans="1:36">
      <c r="A449">
        <v>4971</v>
      </c>
      <c r="B449" t="s">
        <v>5635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1</v>
      </c>
      <c r="R449">
        <v>0</v>
      </c>
      <c r="S449">
        <v>0</v>
      </c>
      <c r="T449" t="s">
        <v>3543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1</v>
      </c>
      <c r="AH449">
        <v>0</v>
      </c>
      <c r="AI449" t="s">
        <v>3543</v>
      </c>
    </row>
    <row r="450" spans="1:36">
      <c r="A450">
        <v>4974</v>
      </c>
      <c r="B450" t="s">
        <v>5637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2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 t="s">
        <v>3543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2</v>
      </c>
      <c r="AJ450" t="s">
        <v>3543</v>
      </c>
    </row>
    <row r="451" spans="1:36">
      <c r="A451">
        <v>4991</v>
      </c>
      <c r="B451" t="s">
        <v>6154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1</v>
      </c>
      <c r="R451">
        <v>0</v>
      </c>
      <c r="S451" t="s">
        <v>4720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1</v>
      </c>
      <c r="AH451">
        <v>0</v>
      </c>
      <c r="AI451" t="s">
        <v>4720</v>
      </c>
    </row>
    <row r="452" spans="1:36">
      <c r="A452">
        <v>5011</v>
      </c>
      <c r="B452" t="s">
        <v>5646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2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 t="s">
        <v>4732</v>
      </c>
      <c r="AE452">
        <v>0</v>
      </c>
      <c r="AF452">
        <v>0</v>
      </c>
      <c r="AG452">
        <v>0</v>
      </c>
      <c r="AH452">
        <v>2</v>
      </c>
      <c r="AJ452" t="s">
        <v>4732</v>
      </c>
    </row>
    <row r="453" spans="1:36">
      <c r="A453">
        <v>5015</v>
      </c>
      <c r="B453" t="s">
        <v>5649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1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6713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1</v>
      </c>
      <c r="AH453">
        <v>0</v>
      </c>
      <c r="AI453" t="s">
        <v>6713</v>
      </c>
    </row>
    <row r="454" spans="1:36">
      <c r="A454">
        <v>5203</v>
      </c>
      <c r="B454" t="s">
        <v>5650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1</v>
      </c>
      <c r="R454">
        <v>2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6713</v>
      </c>
      <c r="Z454" t="s">
        <v>4720</v>
      </c>
      <c r="AA454" t="s">
        <v>3543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1</v>
      </c>
      <c r="AH454">
        <v>2</v>
      </c>
      <c r="AI454" t="s">
        <v>6713</v>
      </c>
      <c r="AJ454" t="s">
        <v>6417</v>
      </c>
    </row>
    <row r="455" spans="1:36">
      <c r="A455">
        <v>5213</v>
      </c>
      <c r="B455" t="s">
        <v>5653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3543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1</v>
      </c>
      <c r="AJ455" t="s">
        <v>3543</v>
      </c>
    </row>
    <row r="456" spans="1:36">
      <c r="A456">
        <v>5234</v>
      </c>
      <c r="B456" t="s">
        <v>5658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1</v>
      </c>
    </row>
    <row r="457" spans="1:36">
      <c r="A457">
        <v>5263</v>
      </c>
      <c r="B457" t="s">
        <v>5664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1</v>
      </c>
      <c r="R457">
        <v>0</v>
      </c>
      <c r="S457">
        <v>0</v>
      </c>
      <c r="T457" t="s">
        <v>3543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1</v>
      </c>
      <c r="AH457">
        <v>0</v>
      </c>
      <c r="AI457" t="s">
        <v>3543</v>
      </c>
    </row>
    <row r="458" spans="1:36">
      <c r="A458">
        <v>5269</v>
      </c>
      <c r="B458" t="s">
        <v>5665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 t="s">
        <v>3545</v>
      </c>
      <c r="AD458">
        <v>0</v>
      </c>
      <c r="AE458">
        <v>0</v>
      </c>
      <c r="AF458">
        <v>0</v>
      </c>
      <c r="AG458">
        <v>0</v>
      </c>
      <c r="AH458">
        <v>1</v>
      </c>
      <c r="AJ458" t="s">
        <v>3545</v>
      </c>
    </row>
    <row r="459" spans="1:36">
      <c r="A459">
        <v>5274</v>
      </c>
      <c r="B459" t="s">
        <v>5667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1</v>
      </c>
      <c r="R459">
        <v>2</v>
      </c>
      <c r="S459" t="s">
        <v>4720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3543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1</v>
      </c>
      <c r="AH459">
        <v>2</v>
      </c>
      <c r="AI459" t="s">
        <v>4720</v>
      </c>
      <c r="AJ459" t="s">
        <v>3543</v>
      </c>
    </row>
    <row r="460" spans="1:36">
      <c r="A460">
        <v>5284</v>
      </c>
      <c r="B460" t="s">
        <v>5669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 t="s">
        <v>3545</v>
      </c>
      <c r="AD460">
        <v>0</v>
      </c>
      <c r="AE460">
        <v>0</v>
      </c>
      <c r="AF460">
        <v>0</v>
      </c>
      <c r="AG460">
        <v>0</v>
      </c>
      <c r="AH460">
        <v>1</v>
      </c>
      <c r="AJ460" t="s">
        <v>3545</v>
      </c>
    </row>
    <row r="461" spans="1:36">
      <c r="A461">
        <v>5287</v>
      </c>
      <c r="B461" t="s">
        <v>5671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1</v>
      </c>
    </row>
    <row r="462" spans="1:36">
      <c r="A462">
        <v>5289</v>
      </c>
      <c r="B462" t="s">
        <v>5673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2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 t="s">
        <v>3543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2</v>
      </c>
      <c r="AJ462" t="s">
        <v>3543</v>
      </c>
    </row>
    <row r="463" spans="1:36">
      <c r="A463">
        <v>5291</v>
      </c>
      <c r="B463" t="s">
        <v>5674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2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3543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2</v>
      </c>
      <c r="AJ463" t="s">
        <v>3543</v>
      </c>
    </row>
    <row r="464" spans="1:36">
      <c r="A464">
        <v>5315</v>
      </c>
      <c r="B464" t="s">
        <v>5677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1</v>
      </c>
      <c r="R464">
        <v>1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 t="s">
        <v>6713</v>
      </c>
      <c r="Z464">
        <v>0</v>
      </c>
      <c r="AA464" t="s">
        <v>3543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1</v>
      </c>
      <c r="AH464">
        <v>1</v>
      </c>
      <c r="AI464" t="s">
        <v>6713</v>
      </c>
      <c r="AJ464" t="s">
        <v>3543</v>
      </c>
    </row>
    <row r="465" spans="1:36">
      <c r="A465">
        <v>5371</v>
      </c>
      <c r="B465" t="s">
        <v>5684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2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 t="s">
        <v>3543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2</v>
      </c>
      <c r="AJ465" t="s">
        <v>3543</v>
      </c>
    </row>
    <row r="466" spans="1:36">
      <c r="A466">
        <v>5392</v>
      </c>
      <c r="B466" t="s">
        <v>5687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1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1</v>
      </c>
    </row>
    <row r="467" spans="1:36">
      <c r="A467">
        <v>5410</v>
      </c>
      <c r="B467" t="s">
        <v>5689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3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 t="s">
        <v>4720</v>
      </c>
      <c r="AA467">
        <v>0</v>
      </c>
      <c r="AB467">
        <v>0</v>
      </c>
      <c r="AC467">
        <v>0</v>
      </c>
      <c r="AD467" t="s">
        <v>4732</v>
      </c>
      <c r="AE467">
        <v>0</v>
      </c>
      <c r="AF467">
        <v>0</v>
      </c>
      <c r="AG467">
        <v>0</v>
      </c>
      <c r="AH467">
        <v>3</v>
      </c>
      <c r="AJ467" t="s">
        <v>6268</v>
      </c>
    </row>
    <row r="468" spans="1:36">
      <c r="A468">
        <v>5426</v>
      </c>
      <c r="B468" t="s">
        <v>5691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1</v>
      </c>
      <c r="R468">
        <v>1</v>
      </c>
      <c r="S468">
        <v>0</v>
      </c>
      <c r="T468" t="s">
        <v>3543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1</v>
      </c>
      <c r="AH468">
        <v>1</v>
      </c>
      <c r="AI468" t="s">
        <v>3543</v>
      </c>
    </row>
    <row r="469" spans="1:36">
      <c r="A469">
        <v>5434</v>
      </c>
      <c r="B469" t="s">
        <v>5693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1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 t="s">
        <v>3543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1</v>
      </c>
      <c r="AJ469" t="s">
        <v>3543</v>
      </c>
    </row>
    <row r="470" spans="1:36">
      <c r="A470">
        <v>5439</v>
      </c>
      <c r="B470" t="s">
        <v>5695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2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 t="s">
        <v>3545</v>
      </c>
      <c r="AD470">
        <v>0</v>
      </c>
      <c r="AE470">
        <v>0</v>
      </c>
      <c r="AF470">
        <v>0</v>
      </c>
      <c r="AG470">
        <v>0</v>
      </c>
      <c r="AH470">
        <v>2</v>
      </c>
      <c r="AJ470" t="s">
        <v>3545</v>
      </c>
    </row>
    <row r="471" spans="1:36">
      <c r="A471">
        <v>5443</v>
      </c>
      <c r="B471" t="s">
        <v>5696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1</v>
      </c>
      <c r="R471">
        <v>0</v>
      </c>
      <c r="S471">
        <v>0</v>
      </c>
      <c r="T471" t="s">
        <v>3543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1</v>
      </c>
      <c r="AH471">
        <v>0</v>
      </c>
      <c r="AI471" t="s">
        <v>3543</v>
      </c>
    </row>
    <row r="472" spans="1:36">
      <c r="A472">
        <v>5474</v>
      </c>
      <c r="B472" t="s">
        <v>5703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1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 t="s">
        <v>4720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1</v>
      </c>
      <c r="AJ472" t="s">
        <v>4720</v>
      </c>
    </row>
    <row r="473" spans="1:36">
      <c r="A473">
        <v>5490</v>
      </c>
      <c r="B473" t="s">
        <v>6158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1</v>
      </c>
    </row>
    <row r="474" spans="1:36">
      <c r="A474">
        <v>5498</v>
      </c>
      <c r="B474" t="s">
        <v>5708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1</v>
      </c>
      <c r="R474">
        <v>0</v>
      </c>
      <c r="S474">
        <v>0</v>
      </c>
      <c r="T474" t="s">
        <v>3543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1</v>
      </c>
      <c r="AH474">
        <v>0</v>
      </c>
      <c r="AI474" t="s">
        <v>3543</v>
      </c>
    </row>
    <row r="475" spans="1:36">
      <c r="A475">
        <v>5508</v>
      </c>
      <c r="B475" t="s">
        <v>5709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1</v>
      </c>
      <c r="R475">
        <v>1</v>
      </c>
      <c r="S475" t="s">
        <v>4720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 t="s">
        <v>4732</v>
      </c>
      <c r="AE475">
        <v>0</v>
      </c>
      <c r="AF475">
        <v>0</v>
      </c>
      <c r="AG475">
        <v>1</v>
      </c>
      <c r="AH475">
        <v>1</v>
      </c>
      <c r="AI475" t="s">
        <v>4720</v>
      </c>
      <c r="AJ475" t="s">
        <v>4732</v>
      </c>
    </row>
    <row r="476" spans="1:36">
      <c r="A476">
        <v>5512</v>
      </c>
      <c r="B476" t="s">
        <v>5710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1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1</v>
      </c>
    </row>
    <row r="477" spans="1:36">
      <c r="A477">
        <v>5515</v>
      </c>
      <c r="B477" t="s">
        <v>5711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1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 t="s">
        <v>3543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1</v>
      </c>
      <c r="AJ477" t="s">
        <v>3543</v>
      </c>
    </row>
    <row r="478" spans="1:36">
      <c r="A478">
        <v>5516</v>
      </c>
      <c r="B478" t="s">
        <v>6193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 t="s">
        <v>4720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1</v>
      </c>
      <c r="AJ478" t="s">
        <v>4720</v>
      </c>
    </row>
    <row r="479" spans="1:36">
      <c r="A479">
        <v>5519</v>
      </c>
      <c r="B479" t="s">
        <v>5712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2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3543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2</v>
      </c>
      <c r="AJ479" t="s">
        <v>3543</v>
      </c>
    </row>
    <row r="480" spans="1:36">
      <c r="A480">
        <v>5521</v>
      </c>
      <c r="B480" t="s">
        <v>5713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1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 t="s">
        <v>4720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1</v>
      </c>
      <c r="AJ480" t="s">
        <v>4720</v>
      </c>
    </row>
    <row r="481" spans="1:36">
      <c r="A481">
        <v>5522</v>
      </c>
      <c r="B481" t="s">
        <v>5714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 t="s">
        <v>3543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1</v>
      </c>
      <c r="AJ481" t="s">
        <v>3543</v>
      </c>
    </row>
    <row r="482" spans="1:36">
      <c r="A482">
        <v>5533</v>
      </c>
      <c r="B482" t="s">
        <v>5718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1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 t="s">
        <v>3543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1</v>
      </c>
      <c r="AJ482" t="s">
        <v>3543</v>
      </c>
    </row>
    <row r="483" spans="1:36">
      <c r="A483">
        <v>5538</v>
      </c>
      <c r="B483" t="s">
        <v>5721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1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">
        <v>3544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1</v>
      </c>
      <c r="AJ483" t="s">
        <v>3544</v>
      </c>
    </row>
    <row r="484" spans="1:36">
      <c r="A484">
        <v>5609</v>
      </c>
      <c r="B484" t="s">
        <v>5727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2</v>
      </c>
      <c r="R484">
        <v>0</v>
      </c>
      <c r="S484">
        <v>0</v>
      </c>
      <c r="T484" t="s">
        <v>3543</v>
      </c>
      <c r="U484">
        <v>0</v>
      </c>
      <c r="V484">
        <v>0</v>
      </c>
      <c r="W484">
        <v>0</v>
      </c>
      <c r="X484">
        <v>0</v>
      </c>
      <c r="Y484" t="s">
        <v>6713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2</v>
      </c>
      <c r="AH484">
        <v>0</v>
      </c>
      <c r="AI484" t="s">
        <v>6746</v>
      </c>
    </row>
    <row r="485" spans="1:36">
      <c r="A485">
        <v>5706</v>
      </c>
      <c r="B485" t="s">
        <v>5728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2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 t="s">
        <v>4732</v>
      </c>
      <c r="AE485">
        <v>0</v>
      </c>
      <c r="AF485">
        <v>0</v>
      </c>
      <c r="AG485">
        <v>0</v>
      </c>
      <c r="AH485">
        <v>2</v>
      </c>
      <c r="AJ485" t="s">
        <v>4732</v>
      </c>
    </row>
    <row r="486" spans="1:36">
      <c r="A486">
        <v>5820</v>
      </c>
      <c r="B486" t="s">
        <v>5729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 t="s">
        <v>6713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1</v>
      </c>
      <c r="AH486">
        <v>0</v>
      </c>
      <c r="AI486" t="s">
        <v>6713</v>
      </c>
    </row>
    <row r="487" spans="1:36">
      <c r="A487">
        <v>5903</v>
      </c>
      <c r="B487" t="s">
        <v>5735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2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3543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2</v>
      </c>
      <c r="AJ487" t="s">
        <v>3543</v>
      </c>
    </row>
    <row r="488" spans="1:36">
      <c r="A488">
        <v>6005</v>
      </c>
      <c r="B488" t="s">
        <v>5740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1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1</v>
      </c>
    </row>
    <row r="489" spans="1:36">
      <c r="A489">
        <v>6016</v>
      </c>
      <c r="B489" t="s">
        <v>5742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2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 t="s">
        <v>3543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2</v>
      </c>
      <c r="AJ489" t="s">
        <v>3543</v>
      </c>
    </row>
    <row r="490" spans="1:36">
      <c r="A490">
        <v>6024</v>
      </c>
      <c r="B490" t="s">
        <v>5743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2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 t="s">
        <v>3543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2</v>
      </c>
      <c r="AJ490" t="s">
        <v>3543</v>
      </c>
    </row>
    <row r="491" spans="1:36">
      <c r="A491">
        <v>6026</v>
      </c>
      <c r="B491" t="s">
        <v>5744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3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 t="s">
        <v>4720</v>
      </c>
      <c r="AA491">
        <v>0</v>
      </c>
      <c r="AB491">
        <v>0</v>
      </c>
      <c r="AC491">
        <v>0</v>
      </c>
      <c r="AD491" t="s">
        <v>4732</v>
      </c>
      <c r="AE491">
        <v>0</v>
      </c>
      <c r="AF491">
        <v>0</v>
      </c>
      <c r="AG491">
        <v>0</v>
      </c>
      <c r="AH491">
        <v>3</v>
      </c>
      <c r="AJ491" t="s">
        <v>6268</v>
      </c>
    </row>
    <row r="492" spans="1:36">
      <c r="A492">
        <v>6108</v>
      </c>
      <c r="B492" t="s">
        <v>5746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1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1</v>
      </c>
    </row>
    <row r="493" spans="1:36">
      <c r="A493">
        <v>6111</v>
      </c>
      <c r="B493" t="s">
        <v>5747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2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 t="s">
        <v>4720</v>
      </c>
      <c r="AA493">
        <v>0</v>
      </c>
      <c r="AB493">
        <v>0</v>
      </c>
      <c r="AC493">
        <v>0</v>
      </c>
      <c r="AD493" t="s">
        <v>4732</v>
      </c>
      <c r="AE493">
        <v>0</v>
      </c>
      <c r="AF493">
        <v>0</v>
      </c>
      <c r="AG493">
        <v>0</v>
      </c>
      <c r="AH493">
        <v>2</v>
      </c>
      <c r="AJ493" t="s">
        <v>6268</v>
      </c>
    </row>
    <row r="494" spans="1:36">
      <c r="A494">
        <v>6112</v>
      </c>
      <c r="B494" t="s">
        <v>5748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1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1</v>
      </c>
    </row>
    <row r="495" spans="1:36">
      <c r="A495">
        <v>6120</v>
      </c>
      <c r="B495" t="s">
        <v>5754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1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 t="s">
        <v>4732</v>
      </c>
      <c r="AE495">
        <v>0</v>
      </c>
      <c r="AF495">
        <v>0</v>
      </c>
      <c r="AG495">
        <v>0</v>
      </c>
      <c r="AH495">
        <v>1</v>
      </c>
      <c r="AJ495" t="s">
        <v>4732</v>
      </c>
    </row>
    <row r="496" spans="1:36">
      <c r="A496">
        <v>6121</v>
      </c>
      <c r="B496" t="s">
        <v>5755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1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3543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1</v>
      </c>
      <c r="AJ496" t="s">
        <v>3543</v>
      </c>
    </row>
    <row r="497" spans="1:36">
      <c r="A497">
        <v>6122</v>
      </c>
      <c r="B497" t="s">
        <v>5756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1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 t="s">
        <v>4720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1</v>
      </c>
      <c r="AJ497" t="s">
        <v>4720</v>
      </c>
    </row>
    <row r="498" spans="1:36">
      <c r="A498">
        <v>6129</v>
      </c>
      <c r="B498" t="s">
        <v>6196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1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 t="s">
        <v>4732</v>
      </c>
      <c r="AE498">
        <v>0</v>
      </c>
      <c r="AF498">
        <v>0</v>
      </c>
      <c r="AG498">
        <v>0</v>
      </c>
      <c r="AH498">
        <v>1</v>
      </c>
      <c r="AJ498" t="s">
        <v>4732</v>
      </c>
    </row>
    <row r="499" spans="1:36">
      <c r="A499">
        <v>6139</v>
      </c>
      <c r="B499" t="s">
        <v>5766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1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3543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1</v>
      </c>
      <c r="AJ499" t="s">
        <v>3543</v>
      </c>
    </row>
    <row r="500" spans="1:36">
      <c r="A500">
        <v>6140</v>
      </c>
      <c r="B500" t="s">
        <v>5767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1</v>
      </c>
      <c r="R500">
        <v>0</v>
      </c>
      <c r="S500" t="s">
        <v>4720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1</v>
      </c>
      <c r="AH500">
        <v>0</v>
      </c>
      <c r="AI500" t="s">
        <v>4720</v>
      </c>
    </row>
    <row r="501" spans="1:36">
      <c r="A501">
        <v>6143</v>
      </c>
      <c r="B501" t="s">
        <v>5769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1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 t="s">
        <v>6713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1</v>
      </c>
      <c r="AH501">
        <v>0</v>
      </c>
      <c r="AI501" t="s">
        <v>6713</v>
      </c>
    </row>
    <row r="502" spans="1:36">
      <c r="A502">
        <v>6148</v>
      </c>
      <c r="B502" t="s">
        <v>5772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2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 t="s">
        <v>4720</v>
      </c>
      <c r="AA502" t="s">
        <v>3543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2</v>
      </c>
      <c r="AJ502" t="s">
        <v>6417</v>
      </c>
    </row>
    <row r="503" spans="1:36">
      <c r="A503">
        <v>6161</v>
      </c>
      <c r="B503" t="s">
        <v>5780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1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1</v>
      </c>
    </row>
    <row r="504" spans="1:36">
      <c r="A504">
        <v>6168</v>
      </c>
      <c r="B504" t="s">
        <v>5785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2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 t="s">
        <v>4720</v>
      </c>
      <c r="AA504">
        <v>0</v>
      </c>
      <c r="AB504">
        <v>0</v>
      </c>
      <c r="AC504">
        <v>0</v>
      </c>
      <c r="AD504" t="s">
        <v>4732</v>
      </c>
      <c r="AE504">
        <v>0</v>
      </c>
      <c r="AF504">
        <v>0</v>
      </c>
      <c r="AG504">
        <v>0</v>
      </c>
      <c r="AH504">
        <v>2</v>
      </c>
      <c r="AJ504" t="s">
        <v>6268</v>
      </c>
    </row>
    <row r="505" spans="1:36">
      <c r="A505">
        <v>6171</v>
      </c>
      <c r="B505" t="s">
        <v>6160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1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 t="s">
        <v>3543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1</v>
      </c>
      <c r="AJ505" t="s">
        <v>3543</v>
      </c>
    </row>
    <row r="506" spans="1:36">
      <c r="A506">
        <v>6176</v>
      </c>
      <c r="B506" t="s">
        <v>5790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1</v>
      </c>
      <c r="R506">
        <v>0</v>
      </c>
      <c r="S506">
        <v>0</v>
      </c>
      <c r="T506">
        <v>0</v>
      </c>
      <c r="U506" t="s">
        <v>3544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1</v>
      </c>
      <c r="AH506">
        <v>0</v>
      </c>
      <c r="AI506" t="s">
        <v>3544</v>
      </c>
    </row>
    <row r="507" spans="1:36">
      <c r="A507">
        <v>6177</v>
      </c>
      <c r="B507" t="s">
        <v>5791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2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3543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2</v>
      </c>
      <c r="AJ507" t="s">
        <v>3543</v>
      </c>
    </row>
    <row r="508" spans="1:36">
      <c r="A508">
        <v>6180</v>
      </c>
      <c r="B508" t="s">
        <v>5793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1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 t="s">
        <v>6372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1</v>
      </c>
      <c r="AH508">
        <v>0</v>
      </c>
      <c r="AI508" t="s">
        <v>6372</v>
      </c>
    </row>
    <row r="509" spans="1:36">
      <c r="A509">
        <v>6183</v>
      </c>
      <c r="B509" t="s">
        <v>5795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1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 t="s">
        <v>3543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1</v>
      </c>
      <c r="AJ509" t="s">
        <v>3543</v>
      </c>
    </row>
    <row r="510" spans="1:36">
      <c r="A510">
        <v>6186</v>
      </c>
      <c r="B510" t="s">
        <v>5798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2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 t="s">
        <v>3543</v>
      </c>
      <c r="AB510">
        <v>0</v>
      </c>
      <c r="AC510">
        <v>0</v>
      </c>
      <c r="AD510" t="s">
        <v>4732</v>
      </c>
      <c r="AE510">
        <v>0</v>
      </c>
      <c r="AF510">
        <v>0</v>
      </c>
      <c r="AG510">
        <v>0</v>
      </c>
      <c r="AH510">
        <v>2</v>
      </c>
      <c r="AJ510" t="s">
        <v>6212</v>
      </c>
    </row>
    <row r="511" spans="1:36">
      <c r="A511">
        <v>6188</v>
      </c>
      <c r="B511" t="s">
        <v>5800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3543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1</v>
      </c>
      <c r="AJ511" t="s">
        <v>3543</v>
      </c>
    </row>
    <row r="512" spans="1:36">
      <c r="A512">
        <v>6189</v>
      </c>
      <c r="B512" t="s">
        <v>5801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2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3543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2</v>
      </c>
      <c r="AJ512" t="s">
        <v>3543</v>
      </c>
    </row>
    <row r="513" spans="1:36">
      <c r="A513">
        <v>6192</v>
      </c>
      <c r="B513" t="s">
        <v>5804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 t="s">
        <v>3543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1</v>
      </c>
      <c r="AJ513" t="s">
        <v>3543</v>
      </c>
    </row>
    <row r="514" spans="1:36">
      <c r="A514">
        <v>6197</v>
      </c>
      <c r="B514" t="s">
        <v>5806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2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 t="s">
        <v>3543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2</v>
      </c>
      <c r="AJ514" t="s">
        <v>3543</v>
      </c>
    </row>
    <row r="515" spans="1:36">
      <c r="A515">
        <v>6209</v>
      </c>
      <c r="B515" t="s">
        <v>5814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1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 t="s">
        <v>4720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1</v>
      </c>
      <c r="AJ515" t="s">
        <v>4720</v>
      </c>
    </row>
    <row r="516" spans="1:36">
      <c r="A516">
        <v>6214</v>
      </c>
      <c r="B516" t="s">
        <v>5816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2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3543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2</v>
      </c>
      <c r="AJ516" t="s">
        <v>3543</v>
      </c>
    </row>
    <row r="517" spans="1:36">
      <c r="A517">
        <v>6220</v>
      </c>
      <c r="B517" t="s">
        <v>5822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1</v>
      </c>
      <c r="R517">
        <v>1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 t="s">
        <v>6713</v>
      </c>
      <c r="Z517" t="s">
        <v>4720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1</v>
      </c>
      <c r="AH517">
        <v>1</v>
      </c>
      <c r="AI517" t="s">
        <v>6713</v>
      </c>
      <c r="AJ517" t="s">
        <v>4720</v>
      </c>
    </row>
    <row r="518" spans="1:36">
      <c r="A518">
        <v>6226</v>
      </c>
      <c r="B518" t="s">
        <v>5825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 t="s">
        <v>4720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1</v>
      </c>
      <c r="AJ518" t="s">
        <v>4720</v>
      </c>
    </row>
    <row r="519" spans="1:36">
      <c r="A519">
        <v>6227</v>
      </c>
      <c r="B519" t="s">
        <v>5826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3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 t="s">
        <v>4720</v>
      </c>
      <c r="AA519" t="s">
        <v>3543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3</v>
      </c>
      <c r="AJ519" t="s">
        <v>6417</v>
      </c>
    </row>
    <row r="520" spans="1:36">
      <c r="A520">
        <v>6229</v>
      </c>
      <c r="B520" t="s">
        <v>5827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1</v>
      </c>
      <c r="R520">
        <v>0</v>
      </c>
      <c r="S520" t="s">
        <v>4720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1</v>
      </c>
      <c r="AH520">
        <v>0</v>
      </c>
      <c r="AI520" t="s">
        <v>4720</v>
      </c>
    </row>
    <row r="521" spans="1:36">
      <c r="A521">
        <v>6233</v>
      </c>
      <c r="B521" t="s">
        <v>5830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1</v>
      </c>
      <c r="R521">
        <v>1</v>
      </c>
      <c r="S521">
        <v>0</v>
      </c>
      <c r="T521" t="s">
        <v>3543</v>
      </c>
      <c r="U521">
        <v>0</v>
      </c>
      <c r="V521">
        <v>0</v>
      </c>
      <c r="W521">
        <v>0</v>
      </c>
      <c r="X521">
        <v>0</v>
      </c>
      <c r="Y521">
        <v>0</v>
      </c>
      <c r="Z521" t="s">
        <v>4720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1</v>
      </c>
      <c r="AH521">
        <v>1</v>
      </c>
      <c r="AI521" t="s">
        <v>3543</v>
      </c>
      <c r="AJ521" t="s">
        <v>4720</v>
      </c>
    </row>
    <row r="522" spans="1:36">
      <c r="A522">
        <v>6243</v>
      </c>
      <c r="B522" t="s">
        <v>5836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1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 t="s">
        <v>4720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1</v>
      </c>
      <c r="AJ522" t="s">
        <v>4720</v>
      </c>
    </row>
    <row r="523" spans="1:36">
      <c r="A523">
        <v>6248</v>
      </c>
      <c r="B523" t="s">
        <v>5839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1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 t="s">
        <v>4720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1</v>
      </c>
      <c r="AJ523" t="s">
        <v>4720</v>
      </c>
    </row>
    <row r="524" spans="1:36">
      <c r="A524">
        <v>6251</v>
      </c>
      <c r="B524" t="s">
        <v>5840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2</v>
      </c>
      <c r="R524">
        <v>0</v>
      </c>
      <c r="S524" t="s">
        <v>4720</v>
      </c>
      <c r="T524">
        <v>0</v>
      </c>
      <c r="U524">
        <v>0</v>
      </c>
      <c r="V524">
        <v>0</v>
      </c>
      <c r="W524" t="s">
        <v>4732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2</v>
      </c>
      <c r="AH524">
        <v>0</v>
      </c>
      <c r="AI524" t="s">
        <v>6268</v>
      </c>
    </row>
    <row r="525" spans="1:36">
      <c r="A525">
        <v>6257</v>
      </c>
      <c r="B525" t="s">
        <v>5841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2</v>
      </c>
      <c r="R525">
        <v>2</v>
      </c>
      <c r="S525">
        <v>0</v>
      </c>
      <c r="T525" t="s">
        <v>3543</v>
      </c>
      <c r="U525">
        <v>0</v>
      </c>
      <c r="V525">
        <v>0</v>
      </c>
      <c r="W525">
        <v>0</v>
      </c>
      <c r="X525">
        <v>0</v>
      </c>
      <c r="Y525" t="s">
        <v>6713</v>
      </c>
      <c r="Z525" t="s">
        <v>4720</v>
      </c>
      <c r="AA525">
        <v>0</v>
      </c>
      <c r="AB525" t="s">
        <v>3544</v>
      </c>
      <c r="AC525">
        <v>0</v>
      </c>
      <c r="AD525">
        <v>0</v>
      </c>
      <c r="AE525">
        <v>0</v>
      </c>
      <c r="AF525">
        <v>0</v>
      </c>
      <c r="AG525">
        <v>2</v>
      </c>
      <c r="AH525">
        <v>2</v>
      </c>
      <c r="AI525" t="s">
        <v>6746</v>
      </c>
      <c r="AJ525" t="s">
        <v>6175</v>
      </c>
    </row>
    <row r="526" spans="1:36">
      <c r="A526">
        <v>6266</v>
      </c>
      <c r="B526" t="s">
        <v>5845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1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 t="s">
        <v>4720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1</v>
      </c>
      <c r="AJ526" t="s">
        <v>4720</v>
      </c>
    </row>
    <row r="527" spans="1:36">
      <c r="A527">
        <v>6282</v>
      </c>
      <c r="B527" t="s">
        <v>5856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">
        <v>3544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1</v>
      </c>
      <c r="AJ527" t="s">
        <v>3544</v>
      </c>
    </row>
    <row r="528" spans="1:36">
      <c r="A528">
        <v>6283</v>
      </c>
      <c r="B528" t="s">
        <v>5857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1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 t="s">
        <v>4720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1</v>
      </c>
      <c r="AJ528" t="s">
        <v>4720</v>
      </c>
    </row>
    <row r="529" spans="1:36">
      <c r="A529">
        <v>6284</v>
      </c>
      <c r="B529" t="s">
        <v>5858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1</v>
      </c>
      <c r="R529">
        <v>0</v>
      </c>
      <c r="S529" t="s">
        <v>4720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1</v>
      </c>
      <c r="AH529">
        <v>0</v>
      </c>
      <c r="AI529" t="s">
        <v>4720</v>
      </c>
    </row>
    <row r="530" spans="1:36">
      <c r="A530">
        <v>6405</v>
      </c>
      <c r="B530" t="s">
        <v>5863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1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1</v>
      </c>
    </row>
    <row r="531" spans="1:36">
      <c r="A531">
        <v>6412</v>
      </c>
      <c r="B531" t="s">
        <v>5866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1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1</v>
      </c>
    </row>
    <row r="532" spans="1:36">
      <c r="A532">
        <v>6415</v>
      </c>
      <c r="B532" t="s">
        <v>5868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2</v>
      </c>
      <c r="R532">
        <v>0</v>
      </c>
      <c r="S532" t="s">
        <v>4720</v>
      </c>
      <c r="T532">
        <v>0</v>
      </c>
      <c r="U532">
        <v>0</v>
      </c>
      <c r="V532">
        <v>0</v>
      </c>
      <c r="W532" t="s">
        <v>4732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2</v>
      </c>
      <c r="AH532">
        <v>0</v>
      </c>
      <c r="AI532" t="s">
        <v>6268</v>
      </c>
    </row>
    <row r="533" spans="1:36">
      <c r="A533">
        <v>6416</v>
      </c>
      <c r="B533" t="s">
        <v>5869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1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 t="s">
        <v>4720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1</v>
      </c>
      <c r="AJ533" t="s">
        <v>4720</v>
      </c>
    </row>
    <row r="534" spans="1:36">
      <c r="A534">
        <v>6456</v>
      </c>
      <c r="B534" t="s">
        <v>5880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1</v>
      </c>
    </row>
    <row r="535" spans="1:36">
      <c r="A535">
        <v>6462</v>
      </c>
      <c r="B535" t="s">
        <v>5883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1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 t="s">
        <v>6713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1</v>
      </c>
      <c r="AH535">
        <v>0</v>
      </c>
      <c r="AI535" t="s">
        <v>6713</v>
      </c>
    </row>
    <row r="536" spans="1:36">
      <c r="A536">
        <v>6469</v>
      </c>
      <c r="B536" t="s">
        <v>5885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 t="s">
        <v>4732</v>
      </c>
      <c r="AE536">
        <v>0</v>
      </c>
      <c r="AF536">
        <v>0</v>
      </c>
      <c r="AG536">
        <v>0</v>
      </c>
      <c r="AH536">
        <v>1</v>
      </c>
      <c r="AJ536" t="s">
        <v>4732</v>
      </c>
    </row>
    <row r="537" spans="1:36">
      <c r="A537">
        <v>6486</v>
      </c>
      <c r="B537" t="s">
        <v>5889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1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 t="s">
        <v>3543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1</v>
      </c>
      <c r="AJ537" t="s">
        <v>3543</v>
      </c>
    </row>
    <row r="538" spans="1:36">
      <c r="A538">
        <v>6509</v>
      </c>
      <c r="B538" t="s">
        <v>5898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1</v>
      </c>
    </row>
    <row r="539" spans="1:36">
      <c r="A539">
        <v>6510</v>
      </c>
      <c r="B539" t="s">
        <v>5899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1</v>
      </c>
      <c r="R539">
        <v>0</v>
      </c>
      <c r="S539">
        <v>0</v>
      </c>
      <c r="T539" t="s">
        <v>3543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1</v>
      </c>
      <c r="AH539">
        <v>0</v>
      </c>
      <c r="AI539" t="s">
        <v>3543</v>
      </c>
    </row>
    <row r="540" spans="1:36">
      <c r="A540">
        <v>6514</v>
      </c>
      <c r="B540" t="s">
        <v>5900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1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 t="s">
        <v>4720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1</v>
      </c>
      <c r="AJ540" t="s">
        <v>4720</v>
      </c>
    </row>
    <row r="541" spans="1:36">
      <c r="A541">
        <v>6515</v>
      </c>
      <c r="B541" t="s">
        <v>5901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1</v>
      </c>
      <c r="R541">
        <v>1</v>
      </c>
      <c r="S541">
        <v>0</v>
      </c>
      <c r="T541">
        <v>0</v>
      </c>
      <c r="U541">
        <v>0</v>
      </c>
      <c r="V541">
        <v>0</v>
      </c>
      <c r="W541" t="s">
        <v>4732</v>
      </c>
      <c r="X541">
        <v>0</v>
      </c>
      <c r="Y541">
        <v>0</v>
      </c>
      <c r="Z541">
        <v>0</v>
      </c>
      <c r="AA541" t="s">
        <v>3543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1</v>
      </c>
      <c r="AH541">
        <v>1</v>
      </c>
      <c r="AI541" t="s">
        <v>4732</v>
      </c>
      <c r="AJ541" t="s">
        <v>3543</v>
      </c>
    </row>
    <row r="542" spans="1:36">
      <c r="A542">
        <v>6523</v>
      </c>
      <c r="B542" t="s">
        <v>5903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1</v>
      </c>
    </row>
    <row r="543" spans="1:36">
      <c r="A543">
        <v>6531</v>
      </c>
      <c r="B543" t="s">
        <v>5905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1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 t="s">
        <v>6372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1</v>
      </c>
      <c r="AH543">
        <v>0</v>
      </c>
      <c r="AI543" t="s">
        <v>6372</v>
      </c>
    </row>
    <row r="544" spans="1:36">
      <c r="A544">
        <v>6582</v>
      </c>
      <c r="B544" t="s">
        <v>5918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1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1</v>
      </c>
    </row>
    <row r="545" spans="1:36">
      <c r="A545">
        <v>6603</v>
      </c>
      <c r="B545" t="s">
        <v>5922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1</v>
      </c>
      <c r="R545">
        <v>0</v>
      </c>
      <c r="S545" t="s">
        <v>4720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1</v>
      </c>
      <c r="AH545">
        <v>0</v>
      </c>
      <c r="AI545" t="s">
        <v>4720</v>
      </c>
    </row>
    <row r="546" spans="1:36">
      <c r="A546">
        <v>6605</v>
      </c>
      <c r="B546" t="s">
        <v>5923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 t="s">
        <v>3543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1</v>
      </c>
      <c r="AJ546" t="s">
        <v>3543</v>
      </c>
    </row>
    <row r="547" spans="1:36">
      <c r="A547">
        <v>6609</v>
      </c>
      <c r="B547" t="s">
        <v>5924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1</v>
      </c>
      <c r="R547">
        <v>0</v>
      </c>
      <c r="S547" t="s">
        <v>4720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1</v>
      </c>
      <c r="AH547">
        <v>0</v>
      </c>
      <c r="AI547" t="s">
        <v>4720</v>
      </c>
    </row>
    <row r="548" spans="1:36">
      <c r="A548">
        <v>6612</v>
      </c>
      <c r="B548" t="s">
        <v>5925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1</v>
      </c>
    </row>
    <row r="549" spans="1:36">
      <c r="A549">
        <v>6706</v>
      </c>
      <c r="B549" t="s">
        <v>5944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1</v>
      </c>
    </row>
    <row r="550" spans="1:36">
      <c r="A550">
        <v>6743</v>
      </c>
      <c r="B550" t="s">
        <v>5948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 t="s">
        <v>4732</v>
      </c>
      <c r="AE550">
        <v>0</v>
      </c>
      <c r="AF550">
        <v>0</v>
      </c>
      <c r="AG550">
        <v>0</v>
      </c>
      <c r="AH550">
        <v>1</v>
      </c>
      <c r="AJ550" t="s">
        <v>4732</v>
      </c>
    </row>
    <row r="551" spans="1:36">
      <c r="A551">
        <v>6790</v>
      </c>
      <c r="B551" t="s">
        <v>6235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1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1</v>
      </c>
    </row>
    <row r="552" spans="1:36">
      <c r="A552">
        <v>6803</v>
      </c>
      <c r="B552" t="s">
        <v>5954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1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1</v>
      </c>
    </row>
    <row r="553" spans="1:36">
      <c r="A553">
        <v>8011</v>
      </c>
      <c r="B553" t="s">
        <v>5955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1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 t="s">
        <v>4720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1</v>
      </c>
      <c r="AJ553" t="s">
        <v>4720</v>
      </c>
    </row>
    <row r="554" spans="1:36">
      <c r="A554">
        <v>8024</v>
      </c>
      <c r="B554" t="s">
        <v>5958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 t="s">
        <v>6713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1</v>
      </c>
      <c r="AH554">
        <v>0</v>
      </c>
      <c r="AI554" t="s">
        <v>6713</v>
      </c>
    </row>
    <row r="555" spans="1:36">
      <c r="A555">
        <v>8039</v>
      </c>
      <c r="B555" t="s">
        <v>5962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1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 t="s">
        <v>4720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1</v>
      </c>
      <c r="AJ555" t="s">
        <v>4720</v>
      </c>
    </row>
    <row r="556" spans="1:36">
      <c r="A556">
        <v>8046</v>
      </c>
      <c r="B556" t="s">
        <v>5966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1</v>
      </c>
      <c r="R556">
        <v>0</v>
      </c>
      <c r="S556">
        <v>0</v>
      </c>
      <c r="T556">
        <v>0</v>
      </c>
      <c r="U556" t="s">
        <v>3544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1</v>
      </c>
      <c r="AH556">
        <v>0</v>
      </c>
      <c r="AI556" t="s">
        <v>3544</v>
      </c>
    </row>
    <row r="557" spans="1:36">
      <c r="A557">
        <v>8049</v>
      </c>
      <c r="B557" t="s">
        <v>5968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1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1</v>
      </c>
    </row>
    <row r="558" spans="1:36">
      <c r="A558">
        <v>8076</v>
      </c>
      <c r="B558" t="s">
        <v>5977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1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1</v>
      </c>
    </row>
    <row r="559" spans="1:36">
      <c r="A559">
        <v>8088</v>
      </c>
      <c r="B559" t="s">
        <v>5980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1</v>
      </c>
      <c r="R559">
        <v>0</v>
      </c>
      <c r="S559">
        <v>0</v>
      </c>
      <c r="T559" t="s">
        <v>3543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1</v>
      </c>
      <c r="AH559">
        <v>0</v>
      </c>
      <c r="AI559" t="s">
        <v>3543</v>
      </c>
    </row>
    <row r="560" spans="1:36">
      <c r="A560">
        <v>8091</v>
      </c>
      <c r="B560" t="s">
        <v>5982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1</v>
      </c>
      <c r="R560">
        <v>1</v>
      </c>
      <c r="S560">
        <v>0</v>
      </c>
      <c r="T560" t="s">
        <v>3543</v>
      </c>
      <c r="U560">
        <v>0</v>
      </c>
      <c r="V560">
        <v>0</v>
      </c>
      <c r="W560">
        <v>0</v>
      </c>
      <c r="X560">
        <v>0</v>
      </c>
      <c r="Y560">
        <v>0</v>
      </c>
      <c r="Z560" t="s">
        <v>4720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1</v>
      </c>
      <c r="AH560">
        <v>1</v>
      </c>
      <c r="AI560" t="s">
        <v>3543</v>
      </c>
      <c r="AJ560" t="s">
        <v>4720</v>
      </c>
    </row>
    <row r="561" spans="1:36">
      <c r="A561">
        <v>8097</v>
      </c>
      <c r="B561" t="s">
        <v>5984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1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1</v>
      </c>
    </row>
    <row r="562" spans="1:36">
      <c r="A562">
        <v>8099</v>
      </c>
      <c r="B562" t="s">
        <v>5985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0</v>
      </c>
      <c r="S562">
        <v>0</v>
      </c>
      <c r="T562" t="s">
        <v>3543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1</v>
      </c>
      <c r="AH562">
        <v>0</v>
      </c>
      <c r="AI562" t="s">
        <v>3543</v>
      </c>
    </row>
    <row r="563" spans="1:36">
      <c r="A563">
        <v>8111</v>
      </c>
      <c r="B563" t="s">
        <v>5991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1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 t="s">
        <v>4720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1</v>
      </c>
      <c r="AJ563" t="s">
        <v>4720</v>
      </c>
    </row>
    <row r="564" spans="1:36">
      <c r="A564">
        <v>8163</v>
      </c>
      <c r="B564" t="s">
        <v>5998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2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3543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2</v>
      </c>
      <c r="AJ564" t="s">
        <v>3543</v>
      </c>
    </row>
    <row r="565" spans="1:36">
      <c r="A565">
        <v>8171</v>
      </c>
      <c r="B565" t="s">
        <v>5999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1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1</v>
      </c>
    </row>
    <row r="566" spans="1:36">
      <c r="A566">
        <v>8213</v>
      </c>
      <c r="B566" t="s">
        <v>6004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1</v>
      </c>
      <c r="R566">
        <v>0</v>
      </c>
      <c r="S566">
        <v>0</v>
      </c>
      <c r="T566" t="s">
        <v>3543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1</v>
      </c>
      <c r="AH566">
        <v>0</v>
      </c>
      <c r="AI566" t="s">
        <v>3543</v>
      </c>
    </row>
    <row r="567" spans="1:36">
      <c r="A567">
        <v>8222</v>
      </c>
      <c r="B567" t="s">
        <v>6006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1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 t="s">
        <v>4720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1</v>
      </c>
      <c r="AJ567" t="s">
        <v>4720</v>
      </c>
    </row>
    <row r="568" spans="1:36">
      <c r="A568">
        <v>8390</v>
      </c>
      <c r="B568" t="s">
        <v>6022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2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 t="s">
        <v>4720</v>
      </c>
      <c r="AA568">
        <v>0</v>
      </c>
      <c r="AB568">
        <v>0</v>
      </c>
      <c r="AC568">
        <v>0</v>
      </c>
      <c r="AD568" t="s">
        <v>4732</v>
      </c>
      <c r="AE568">
        <v>0</v>
      </c>
      <c r="AF568">
        <v>0</v>
      </c>
      <c r="AG568">
        <v>0</v>
      </c>
      <c r="AH568">
        <v>2</v>
      </c>
      <c r="AJ568" t="s">
        <v>6268</v>
      </c>
    </row>
    <row r="569" spans="1:36">
      <c r="A569">
        <v>8415</v>
      </c>
      <c r="B569" t="s">
        <v>6027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 t="s">
        <v>3543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1</v>
      </c>
      <c r="AJ569" t="s">
        <v>3543</v>
      </c>
    </row>
    <row r="570" spans="1:36">
      <c r="A570">
        <v>8422</v>
      </c>
      <c r="B570" t="s">
        <v>6029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1</v>
      </c>
      <c r="R570">
        <v>3</v>
      </c>
      <c r="S570">
        <v>0</v>
      </c>
      <c r="T570">
        <v>0</v>
      </c>
      <c r="U570">
        <v>0</v>
      </c>
      <c r="V570">
        <v>0</v>
      </c>
      <c r="W570" t="s">
        <v>4732</v>
      </c>
      <c r="X570">
        <v>0</v>
      </c>
      <c r="Y570">
        <v>0</v>
      </c>
      <c r="Z570" t="s">
        <v>4720</v>
      </c>
      <c r="AA570" t="s">
        <v>3543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1</v>
      </c>
      <c r="AH570">
        <v>3</v>
      </c>
      <c r="AI570" t="s">
        <v>4732</v>
      </c>
      <c r="AJ570" t="s">
        <v>6417</v>
      </c>
    </row>
    <row r="571" spans="1:36">
      <c r="A571">
        <v>8433</v>
      </c>
      <c r="B571" t="s">
        <v>6032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1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 t="s">
        <v>3545</v>
      </c>
      <c r="AD571">
        <v>0</v>
      </c>
      <c r="AE571">
        <v>0</v>
      </c>
      <c r="AF571">
        <v>0</v>
      </c>
      <c r="AG571">
        <v>0</v>
      </c>
      <c r="AH571">
        <v>1</v>
      </c>
      <c r="AJ571" t="s">
        <v>3545</v>
      </c>
    </row>
    <row r="572" spans="1:36">
      <c r="A572">
        <v>8437</v>
      </c>
      <c r="B572" t="s">
        <v>6035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2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 t="s">
        <v>3543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2</v>
      </c>
      <c r="AJ572" t="s">
        <v>3543</v>
      </c>
    </row>
    <row r="573" spans="1:36">
      <c r="A573">
        <v>8442</v>
      </c>
      <c r="B573" t="s">
        <v>6037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1</v>
      </c>
      <c r="R573">
        <v>0</v>
      </c>
      <c r="S573" t="s">
        <v>4720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1</v>
      </c>
      <c r="AH573">
        <v>0</v>
      </c>
      <c r="AI573" t="s">
        <v>4720</v>
      </c>
    </row>
    <row r="574" spans="1:36">
      <c r="A574">
        <v>8463</v>
      </c>
      <c r="B574" t="s">
        <v>6044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1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 t="s">
        <v>4732</v>
      </c>
      <c r="AE574">
        <v>0</v>
      </c>
      <c r="AF574">
        <v>0</v>
      </c>
      <c r="AG574">
        <v>0</v>
      </c>
      <c r="AH574">
        <v>1</v>
      </c>
      <c r="AJ574" t="s">
        <v>4732</v>
      </c>
    </row>
    <row r="575" spans="1:36">
      <c r="A575">
        <v>8464</v>
      </c>
      <c r="B575" t="s">
        <v>6045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1</v>
      </c>
      <c r="R575">
        <v>0</v>
      </c>
      <c r="S575">
        <v>0</v>
      </c>
      <c r="T575">
        <v>0</v>
      </c>
      <c r="U575">
        <v>0</v>
      </c>
      <c r="V575">
        <v>0</v>
      </c>
      <c r="W575" t="s">
        <v>4732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1</v>
      </c>
      <c r="AH575">
        <v>0</v>
      </c>
      <c r="AI575" t="s">
        <v>4732</v>
      </c>
    </row>
    <row r="576" spans="1:36">
      <c r="A576">
        <v>8473</v>
      </c>
      <c r="B576" t="s">
        <v>6048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2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 t="s">
        <v>3543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2</v>
      </c>
      <c r="AJ576" t="s">
        <v>3543</v>
      </c>
    </row>
    <row r="577" spans="1:36">
      <c r="A577">
        <v>8489</v>
      </c>
      <c r="B577" t="s">
        <v>6055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1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 t="s">
        <v>4732</v>
      </c>
      <c r="AE577">
        <v>0</v>
      </c>
      <c r="AF577">
        <v>0</v>
      </c>
      <c r="AG577">
        <v>0</v>
      </c>
      <c r="AH577">
        <v>1</v>
      </c>
      <c r="AJ577" t="s">
        <v>4732</v>
      </c>
    </row>
    <row r="578" spans="1:36">
      <c r="A578">
        <v>8905</v>
      </c>
      <c r="B578" t="s">
        <v>6057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1</v>
      </c>
      <c r="R578">
        <v>1</v>
      </c>
      <c r="S578">
        <v>0</v>
      </c>
      <c r="T578">
        <v>0</v>
      </c>
      <c r="U578">
        <v>0</v>
      </c>
      <c r="V578">
        <v>0</v>
      </c>
      <c r="W578">
        <v>0</v>
      </c>
      <c r="X578" t="s">
        <v>6372</v>
      </c>
      <c r="Y578">
        <v>0</v>
      </c>
      <c r="Z578" t="s">
        <v>4720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1</v>
      </c>
      <c r="AH578">
        <v>1</v>
      </c>
      <c r="AI578" t="s">
        <v>6372</v>
      </c>
      <c r="AJ578" t="s">
        <v>4720</v>
      </c>
    </row>
    <row r="579" spans="1:36">
      <c r="A579">
        <v>8916</v>
      </c>
      <c r="B579" t="s">
        <v>6059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1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1</v>
      </c>
    </row>
    <row r="580" spans="1:36">
      <c r="A580">
        <v>8926</v>
      </c>
      <c r="B580" t="s">
        <v>6061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1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1</v>
      </c>
    </row>
    <row r="581" spans="1:36">
      <c r="A581">
        <v>8927</v>
      </c>
      <c r="B581" t="s">
        <v>6062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1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 t="s">
        <v>4720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1</v>
      </c>
      <c r="AJ581" t="s">
        <v>4720</v>
      </c>
    </row>
    <row r="582" spans="1:36">
      <c r="A582">
        <v>8929</v>
      </c>
      <c r="B582" t="s">
        <v>6064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1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1</v>
      </c>
    </row>
    <row r="583" spans="1:36">
      <c r="A583">
        <v>8930</v>
      </c>
      <c r="B583" t="s">
        <v>6168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1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 t="s">
        <v>4720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1</v>
      </c>
      <c r="AJ583" t="s">
        <v>4720</v>
      </c>
    </row>
    <row r="584" spans="1:36">
      <c r="A584">
        <v>8933</v>
      </c>
      <c r="B584" t="s">
        <v>6694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1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 t="s">
        <v>3543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1</v>
      </c>
      <c r="AJ584" t="s">
        <v>3543</v>
      </c>
    </row>
    <row r="585" spans="1:36">
      <c r="A585">
        <v>8936</v>
      </c>
      <c r="B585" t="s">
        <v>6066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1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1</v>
      </c>
    </row>
    <row r="586" spans="1:36">
      <c r="A586">
        <v>8942</v>
      </c>
      <c r="B586" t="s">
        <v>6068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1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 t="s">
        <v>3543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1</v>
      </c>
      <c r="AJ586" t="s">
        <v>3543</v>
      </c>
    </row>
    <row r="587" spans="1:36">
      <c r="A587">
        <v>8996</v>
      </c>
      <c r="B587" t="s">
        <v>6069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1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 t="s">
        <v>4732</v>
      </c>
      <c r="AE587">
        <v>0</v>
      </c>
      <c r="AF587">
        <v>0</v>
      </c>
      <c r="AG587">
        <v>0</v>
      </c>
      <c r="AH587">
        <v>1</v>
      </c>
      <c r="AJ587" t="s">
        <v>4732</v>
      </c>
    </row>
    <row r="588" spans="1:36">
      <c r="A588">
        <v>9902</v>
      </c>
      <c r="B588" t="s">
        <v>6071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2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 t="s">
        <v>3543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2</v>
      </c>
      <c r="AJ588" t="s">
        <v>3543</v>
      </c>
    </row>
    <row r="589" spans="1:36">
      <c r="A589">
        <v>9904</v>
      </c>
      <c r="B589" t="s">
        <v>6072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2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 t="s">
        <v>4720</v>
      </c>
      <c r="AA589">
        <v>0</v>
      </c>
      <c r="AB589" t="s">
        <v>3544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2</v>
      </c>
      <c r="AJ589" t="s">
        <v>6175</v>
      </c>
    </row>
    <row r="590" spans="1:36">
      <c r="A590">
        <v>9905</v>
      </c>
      <c r="B590" t="s">
        <v>6073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1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 t="s">
        <v>3543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1</v>
      </c>
      <c r="AJ590" t="s">
        <v>3543</v>
      </c>
    </row>
    <row r="591" spans="1:36">
      <c r="A591">
        <v>9907</v>
      </c>
      <c r="B591" t="s">
        <v>6075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1</v>
      </c>
      <c r="R591">
        <v>1</v>
      </c>
      <c r="S591">
        <v>0</v>
      </c>
      <c r="T591">
        <v>0</v>
      </c>
      <c r="U591">
        <v>0</v>
      </c>
      <c r="V591">
        <v>0</v>
      </c>
      <c r="W591" t="s">
        <v>4732</v>
      </c>
      <c r="X591">
        <v>0</v>
      </c>
      <c r="Y591">
        <v>0</v>
      </c>
      <c r="Z591">
        <v>0</v>
      </c>
      <c r="AA591" t="s">
        <v>3543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1</v>
      </c>
      <c r="AH591">
        <v>1</v>
      </c>
      <c r="AI591" t="s">
        <v>4732</v>
      </c>
      <c r="AJ591" t="s">
        <v>3543</v>
      </c>
    </row>
    <row r="592" spans="1:36">
      <c r="A592">
        <v>9908</v>
      </c>
      <c r="B592" t="s">
        <v>6076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1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1</v>
      </c>
    </row>
    <row r="593" spans="1:36">
      <c r="A593">
        <v>9919</v>
      </c>
      <c r="B593" t="s">
        <v>6082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1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 t="s">
        <v>6713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1</v>
      </c>
      <c r="AH593">
        <v>0</v>
      </c>
      <c r="AI593" t="s">
        <v>6713</v>
      </c>
    </row>
    <row r="594" spans="1:36">
      <c r="A594">
        <v>9925</v>
      </c>
      <c r="B594" t="s">
        <v>6085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1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1</v>
      </c>
    </row>
    <row r="595" spans="1:36">
      <c r="A595">
        <v>9930</v>
      </c>
      <c r="B595" t="s">
        <v>6088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1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 t="s">
        <v>3543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1</v>
      </c>
      <c r="AJ595" t="s">
        <v>3543</v>
      </c>
    </row>
    <row r="596" spans="1:36">
      <c r="A596">
        <v>9934</v>
      </c>
      <c r="B596" t="s">
        <v>6091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1</v>
      </c>
      <c r="R596">
        <v>0</v>
      </c>
      <c r="S596" t="s">
        <v>4720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1</v>
      </c>
      <c r="AH596">
        <v>0</v>
      </c>
      <c r="AI596" t="s">
        <v>4720</v>
      </c>
    </row>
    <row r="597" spans="1:36">
      <c r="A597">
        <v>9938</v>
      </c>
      <c r="B597" t="s">
        <v>6094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1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1</v>
      </c>
    </row>
    <row r="598" spans="1:36">
      <c r="A598">
        <v>9940</v>
      </c>
      <c r="B598" t="s">
        <v>6096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1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1</v>
      </c>
    </row>
    <row r="599" spans="1:36">
      <c r="A599">
        <v>9941</v>
      </c>
      <c r="B599" t="s">
        <v>6097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1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1</v>
      </c>
    </row>
    <row r="600" spans="1:36">
      <c r="A600">
        <v>9942</v>
      </c>
      <c r="B600" t="s">
        <v>6098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1</v>
      </c>
      <c r="R600">
        <v>0</v>
      </c>
      <c r="S600">
        <v>0</v>
      </c>
      <c r="T600" t="s">
        <v>3543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1</v>
      </c>
      <c r="AH600">
        <v>0</v>
      </c>
      <c r="AI600" t="s">
        <v>3543</v>
      </c>
    </row>
    <row r="601" spans="1:36">
      <c r="A601">
        <v>9943</v>
      </c>
      <c r="B601" t="s">
        <v>6099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1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1</v>
      </c>
    </row>
    <row r="602" spans="1:36">
      <c r="A602">
        <v>9944</v>
      </c>
      <c r="B602" t="s">
        <v>6100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2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 t="s">
        <v>3543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2</v>
      </c>
      <c r="AJ602" t="s">
        <v>3543</v>
      </c>
    </row>
    <row r="603" spans="1:36">
      <c r="A603">
        <v>9946</v>
      </c>
      <c r="B603" t="s">
        <v>6102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1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1</v>
      </c>
    </row>
    <row r="604" spans="1:36">
      <c r="A604">
        <v>9958</v>
      </c>
      <c r="B604" t="s">
        <v>6105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2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 t="s">
        <v>4732</v>
      </c>
      <c r="AE604">
        <v>0</v>
      </c>
      <c r="AF604">
        <v>0</v>
      </c>
      <c r="AG604">
        <v>0</v>
      </c>
      <c r="AH604">
        <v>2</v>
      </c>
      <c r="AJ604" t="s">
        <v>4732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今日總結">
                <anchor moveWithCells="1" sizeWithCells="1">
                  <from>
                    <xdr:col>38</xdr:col>
                    <xdr:colOff>7620</xdr:colOff>
                    <xdr:row>1</xdr:row>
                    <xdr:rowOff>15240</xdr:rowOff>
                  </from>
                  <to>
                    <xdr:col>40</xdr:col>
                    <xdr:colOff>434340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8">
    <tabColor rgb="FF00B0F0"/>
  </sheetPr>
  <dimension ref="A1:M1739"/>
  <sheetViews>
    <sheetView workbookViewId="0">
      <selection activeCell="AB27" sqref="AB27"/>
    </sheetView>
  </sheetViews>
  <sheetFormatPr defaultColWidth="9" defaultRowHeight="15"/>
  <cols>
    <col min="1" max="1" width="6.25" style="245" bestFit="1" customWidth="1"/>
    <col min="2" max="2" width="9.625" style="245" customWidth="1"/>
    <col min="3" max="3" width="7.625" style="245" customWidth="1"/>
    <col min="4" max="5" width="9.625" style="245" customWidth="1"/>
    <col min="6" max="7" width="9.375" style="245" customWidth="1"/>
    <col min="8" max="8" width="7.25" style="245" customWidth="1"/>
    <col min="9" max="9" width="10.75" style="245" customWidth="1"/>
    <col min="10" max="10" width="8" style="245" customWidth="1"/>
    <col min="11" max="16384" width="9" style="245"/>
  </cols>
  <sheetData>
    <row r="1" spans="1:13">
      <c r="A1" s="245" t="s">
        <v>6107</v>
      </c>
      <c r="B1" s="245" t="s">
        <v>6108</v>
      </c>
      <c r="C1" s="245" t="s">
        <v>6703</v>
      </c>
      <c r="D1" s="245" t="s">
        <v>6704</v>
      </c>
      <c r="E1" s="245" t="s">
        <v>6705</v>
      </c>
      <c r="F1" s="245" t="s">
        <v>6707</v>
      </c>
      <c r="G1" s="245" t="s">
        <v>6706</v>
      </c>
      <c r="H1" s="245" t="s">
        <v>1060</v>
      </c>
      <c r="I1" s="245" t="s">
        <v>6708</v>
      </c>
      <c r="J1" s="245" t="s">
        <v>6709</v>
      </c>
      <c r="K1" s="245" t="s">
        <v>6174</v>
      </c>
      <c r="L1" s="245" t="s">
        <v>6711</v>
      </c>
      <c r="M1" s="245" t="s">
        <v>6730</v>
      </c>
    </row>
    <row r="2" spans="1:13">
      <c r="A2">
        <v>1101</v>
      </c>
      <c r="B2" t="s">
        <v>4776</v>
      </c>
      <c r="C2">
        <v>612</v>
      </c>
      <c r="D2">
        <v>-24</v>
      </c>
      <c r="E2">
        <v>-36</v>
      </c>
      <c r="F2">
        <v>82</v>
      </c>
      <c r="G2">
        <v>1</v>
      </c>
      <c r="H2">
        <v>18.48</v>
      </c>
      <c r="I2">
        <v>2</v>
      </c>
      <c r="J2">
        <v>3.3</v>
      </c>
      <c r="K2" s="245">
        <v>-18.809999999999999</v>
      </c>
      <c r="L2" s="245">
        <v>14.66</v>
      </c>
      <c r="M2" s="245">
        <v>3.34</v>
      </c>
    </row>
    <row r="3" spans="1:13">
      <c r="A3">
        <v>1102</v>
      </c>
      <c r="B3" t="s">
        <v>4777</v>
      </c>
      <c r="C3">
        <v>354</v>
      </c>
      <c r="D3">
        <v>-6</v>
      </c>
      <c r="E3">
        <v>-10</v>
      </c>
      <c r="F3">
        <v>99</v>
      </c>
      <c r="G3">
        <v>16</v>
      </c>
      <c r="H3">
        <v>18.940000000000001</v>
      </c>
      <c r="I3">
        <v>3.4</v>
      </c>
      <c r="J3">
        <v>4.7</v>
      </c>
      <c r="K3" s="245">
        <v>-13.62</v>
      </c>
      <c r="L3" s="245">
        <v>48.96</v>
      </c>
      <c r="M3" s="245">
        <v>2.67</v>
      </c>
    </row>
    <row r="4" spans="1:13">
      <c r="A4">
        <v>1103</v>
      </c>
      <c r="B4" t="s">
        <v>4778</v>
      </c>
      <c r="C4">
        <v>77.47</v>
      </c>
      <c r="D4">
        <v>-59</v>
      </c>
      <c r="E4">
        <v>-163</v>
      </c>
      <c r="F4">
        <v>64</v>
      </c>
      <c r="G4">
        <v>8</v>
      </c>
      <c r="H4">
        <v>-23.67</v>
      </c>
      <c r="I4">
        <v>0.65</v>
      </c>
      <c r="J4">
        <v>1.02</v>
      </c>
      <c r="K4" s="245">
        <v>-20.83</v>
      </c>
      <c r="L4" s="245">
        <v>14.86</v>
      </c>
      <c r="M4" s="245">
        <v>3.62</v>
      </c>
    </row>
    <row r="5" spans="1:13">
      <c r="A5">
        <v>1104</v>
      </c>
      <c r="B5" t="s">
        <v>4779</v>
      </c>
      <c r="C5">
        <v>65.36</v>
      </c>
      <c r="D5">
        <v>-11</v>
      </c>
      <c r="E5">
        <v>44</v>
      </c>
      <c r="F5">
        <v>69</v>
      </c>
      <c r="G5">
        <v>2</v>
      </c>
      <c r="H5">
        <v>11.68</v>
      </c>
      <c r="I5">
        <v>1</v>
      </c>
      <c r="J5">
        <v>1.66</v>
      </c>
      <c r="K5" s="245">
        <v>-17.71</v>
      </c>
      <c r="L5" s="245">
        <v>14.75</v>
      </c>
      <c r="M5" s="245">
        <v>4.51</v>
      </c>
    </row>
    <row r="6" spans="1:13">
      <c r="A6">
        <v>1108</v>
      </c>
      <c r="B6" t="s">
        <v>4780</v>
      </c>
      <c r="C6">
        <v>40.47</v>
      </c>
      <c r="D6">
        <v>-33</v>
      </c>
      <c r="E6">
        <v>-24</v>
      </c>
      <c r="F6">
        <v>-2</v>
      </c>
      <c r="G6">
        <v>-2</v>
      </c>
      <c r="H6">
        <v>8.98</v>
      </c>
      <c r="I6">
        <v>0.6</v>
      </c>
      <c r="J6">
        <v>0.65</v>
      </c>
      <c r="K6" s="245">
        <v>-22.15</v>
      </c>
      <c r="L6" s="245">
        <v>46.23</v>
      </c>
      <c r="M6" s="245">
        <v>7.69</v>
      </c>
    </row>
    <row r="7" spans="1:13">
      <c r="A7">
        <v>1109</v>
      </c>
      <c r="B7" t="s">
        <v>4781</v>
      </c>
      <c r="C7">
        <v>34.19</v>
      </c>
      <c r="D7">
        <v>-16</v>
      </c>
      <c r="E7">
        <v>-16</v>
      </c>
      <c r="F7">
        <v>170</v>
      </c>
      <c r="G7">
        <v>-44</v>
      </c>
      <c r="H7">
        <v>23.82</v>
      </c>
      <c r="I7">
        <v>1.5</v>
      </c>
      <c r="J7">
        <v>2.52</v>
      </c>
      <c r="K7" s="245">
        <v>-28.24</v>
      </c>
      <c r="L7" s="245">
        <v>31.68</v>
      </c>
      <c r="M7" s="245">
        <v>3.28</v>
      </c>
    </row>
    <row r="8" spans="1:13">
      <c r="A8">
        <v>1110</v>
      </c>
      <c r="B8" t="s">
        <v>4782</v>
      </c>
      <c r="C8">
        <v>57.2</v>
      </c>
      <c r="D8">
        <v>689</v>
      </c>
      <c r="E8">
        <v>139</v>
      </c>
      <c r="F8">
        <v>83</v>
      </c>
      <c r="G8">
        <v>22</v>
      </c>
      <c r="H8">
        <v>0.65</v>
      </c>
      <c r="I8">
        <v>0.2</v>
      </c>
      <c r="J8">
        <v>0.25</v>
      </c>
      <c r="K8" s="245">
        <v>-16.100000000000001</v>
      </c>
      <c r="L8" s="245">
        <v>31.96</v>
      </c>
      <c r="M8" s="245">
        <v>0.91</v>
      </c>
    </row>
    <row r="9" spans="1:13">
      <c r="A9">
        <v>1201</v>
      </c>
      <c r="B9" t="s">
        <v>4783</v>
      </c>
      <c r="C9">
        <v>50.6</v>
      </c>
      <c r="D9">
        <v>-5</v>
      </c>
      <c r="E9">
        <v>8</v>
      </c>
      <c r="F9">
        <v>23</v>
      </c>
      <c r="G9">
        <v>5</v>
      </c>
      <c r="H9">
        <v>3.25</v>
      </c>
      <c r="I9">
        <v>0.5</v>
      </c>
      <c r="J9">
        <v>1</v>
      </c>
      <c r="K9" s="245">
        <v>-10.37</v>
      </c>
      <c r="L9" s="245">
        <v>43.29</v>
      </c>
      <c r="M9" s="245">
        <v>3.17</v>
      </c>
    </row>
    <row r="10" spans="1:13">
      <c r="A10">
        <v>1203</v>
      </c>
      <c r="B10" t="s">
        <v>4784</v>
      </c>
      <c r="C10">
        <v>24</v>
      </c>
      <c r="D10">
        <v>0</v>
      </c>
      <c r="E10">
        <v>-11</v>
      </c>
      <c r="F10">
        <v>13</v>
      </c>
      <c r="G10">
        <v>3</v>
      </c>
      <c r="H10">
        <v>14.86</v>
      </c>
      <c r="I10">
        <v>1.1000000000000001</v>
      </c>
      <c r="J10">
        <v>1.88</v>
      </c>
      <c r="K10" s="245">
        <v>-8.43</v>
      </c>
      <c r="L10" s="245">
        <v>44.37</v>
      </c>
      <c r="M10" s="245">
        <v>0.5</v>
      </c>
    </row>
    <row r="11" spans="1:13">
      <c r="A11">
        <v>1210</v>
      </c>
      <c r="B11" t="s">
        <v>4785</v>
      </c>
      <c r="C11">
        <v>85.21</v>
      </c>
      <c r="D11">
        <v>-44</v>
      </c>
      <c r="E11">
        <v>-44</v>
      </c>
      <c r="F11">
        <v>13</v>
      </c>
      <c r="G11">
        <v>6</v>
      </c>
      <c r="H11">
        <v>2.31</v>
      </c>
      <c r="I11">
        <v>2</v>
      </c>
      <c r="J11">
        <v>2.3199999999999998</v>
      </c>
      <c r="K11" s="245">
        <v>-18.45</v>
      </c>
      <c r="L11" s="245">
        <v>18.02</v>
      </c>
      <c r="M11" s="245">
        <v>1.54</v>
      </c>
    </row>
    <row r="12" spans="1:13">
      <c r="A12">
        <v>1213</v>
      </c>
      <c r="B12" t="s">
        <v>6444</v>
      </c>
      <c r="C12">
        <v>5.66</v>
      </c>
      <c r="D12">
        <v>-246</v>
      </c>
      <c r="E12">
        <v>-24</v>
      </c>
      <c r="F12">
        <v>24</v>
      </c>
      <c r="G12">
        <v>1</v>
      </c>
      <c r="H12">
        <v>-15.29</v>
      </c>
      <c r="I12">
        <v>0</v>
      </c>
      <c r="J12">
        <v>-1.67</v>
      </c>
      <c r="K12" s="245">
        <v>-18.09</v>
      </c>
      <c r="L12" s="245">
        <v>41.65</v>
      </c>
      <c r="M12" s="245">
        <v>0.24</v>
      </c>
    </row>
    <row r="13" spans="1:13">
      <c r="A13">
        <v>1215</v>
      </c>
      <c r="B13" t="s">
        <v>4786</v>
      </c>
      <c r="C13">
        <v>26.79</v>
      </c>
      <c r="D13">
        <v>-19</v>
      </c>
      <c r="E13">
        <v>-16</v>
      </c>
      <c r="F13">
        <v>20</v>
      </c>
      <c r="G13">
        <v>22</v>
      </c>
      <c r="H13">
        <v>6.41</v>
      </c>
      <c r="I13">
        <v>0</v>
      </c>
      <c r="J13">
        <v>5.0599999999999996</v>
      </c>
      <c r="K13" s="245">
        <v>-8.64</v>
      </c>
      <c r="L13" s="245">
        <v>19.8</v>
      </c>
      <c r="M13" s="245">
        <v>2.0699999999999998</v>
      </c>
    </row>
    <row r="14" spans="1:13">
      <c r="A14">
        <v>1216</v>
      </c>
      <c r="B14" t="s">
        <v>4787</v>
      </c>
      <c r="C14">
        <v>568</v>
      </c>
      <c r="D14">
        <v>-6</v>
      </c>
      <c r="E14">
        <v>-4</v>
      </c>
      <c r="F14">
        <v>23</v>
      </c>
      <c r="G14">
        <v>9</v>
      </c>
      <c r="H14">
        <v>6</v>
      </c>
      <c r="I14">
        <v>2.7</v>
      </c>
      <c r="J14">
        <v>3.5</v>
      </c>
      <c r="K14" s="245">
        <v>-12.5</v>
      </c>
      <c r="L14" s="245">
        <v>59.75</v>
      </c>
      <c r="M14" s="245">
        <v>0.4</v>
      </c>
    </row>
    <row r="15" spans="1:13">
      <c r="A15">
        <v>1217</v>
      </c>
      <c r="B15" t="s">
        <v>4788</v>
      </c>
      <c r="C15">
        <v>49.45</v>
      </c>
      <c r="D15">
        <v>-12</v>
      </c>
      <c r="E15">
        <v>-20</v>
      </c>
      <c r="F15">
        <v>23</v>
      </c>
      <c r="G15">
        <v>5</v>
      </c>
      <c r="H15">
        <v>3.64</v>
      </c>
      <c r="I15">
        <v>0.3</v>
      </c>
      <c r="J15">
        <v>0.41</v>
      </c>
      <c r="K15" s="245">
        <v>-20.96</v>
      </c>
      <c r="L15" s="245">
        <v>36.299999999999997</v>
      </c>
      <c r="M15" s="245">
        <v>19.39</v>
      </c>
    </row>
    <row r="16" spans="1:13">
      <c r="A16">
        <v>1218</v>
      </c>
      <c r="B16" t="s">
        <v>4789</v>
      </c>
      <c r="C16">
        <v>49.99</v>
      </c>
      <c r="D16">
        <v>-30</v>
      </c>
      <c r="E16">
        <v>-33</v>
      </c>
      <c r="F16">
        <v>24</v>
      </c>
      <c r="G16">
        <v>16</v>
      </c>
      <c r="H16">
        <v>2.11</v>
      </c>
      <c r="I16">
        <v>1</v>
      </c>
      <c r="J16">
        <v>1.22</v>
      </c>
      <c r="K16" s="245">
        <v>-11.69</v>
      </c>
      <c r="L16" s="245">
        <v>56.92</v>
      </c>
      <c r="M16" s="245">
        <v>4.3499999999999996</v>
      </c>
    </row>
    <row r="17" spans="1:13">
      <c r="A17">
        <v>1219</v>
      </c>
      <c r="B17" t="s">
        <v>4790</v>
      </c>
      <c r="C17">
        <v>32.200000000000003</v>
      </c>
      <c r="D17">
        <v>-50</v>
      </c>
      <c r="E17">
        <v>-8</v>
      </c>
      <c r="F17">
        <v>46</v>
      </c>
      <c r="G17">
        <v>31</v>
      </c>
      <c r="H17">
        <v>2.0499999999999998</v>
      </c>
      <c r="I17">
        <v>1.1000000000000001</v>
      </c>
      <c r="J17">
        <v>1</v>
      </c>
      <c r="K17" s="245">
        <v>-15.57</v>
      </c>
      <c r="L17" s="245">
        <v>60.38</v>
      </c>
      <c r="M17" s="245">
        <v>18.489999999999998</v>
      </c>
    </row>
    <row r="18" spans="1:13">
      <c r="A18">
        <v>1220</v>
      </c>
      <c r="B18" t="s">
        <v>4791</v>
      </c>
      <c r="C18">
        <v>17.7</v>
      </c>
      <c r="D18">
        <v>9</v>
      </c>
      <c r="E18">
        <v>3</v>
      </c>
      <c r="F18">
        <v>37</v>
      </c>
      <c r="G18">
        <v>5</v>
      </c>
      <c r="H18">
        <v>7.01</v>
      </c>
      <c r="I18">
        <v>1</v>
      </c>
      <c r="J18">
        <v>1</v>
      </c>
      <c r="K18" s="245">
        <v>-20.78</v>
      </c>
      <c r="L18" s="245">
        <v>57.94</v>
      </c>
      <c r="M18" s="245">
        <v>24.6</v>
      </c>
    </row>
    <row r="19" spans="1:13">
      <c r="A19">
        <v>1225</v>
      </c>
      <c r="B19" t="s">
        <v>4792</v>
      </c>
      <c r="C19">
        <v>21.87</v>
      </c>
      <c r="D19">
        <v>16</v>
      </c>
      <c r="E19">
        <v>4</v>
      </c>
      <c r="F19">
        <v>-4</v>
      </c>
      <c r="G19">
        <v>19</v>
      </c>
      <c r="H19">
        <v>4.05</v>
      </c>
      <c r="I19">
        <v>1.6</v>
      </c>
      <c r="J19">
        <v>2.0699999999999998</v>
      </c>
      <c r="K19" s="245">
        <v>-13.64</v>
      </c>
      <c r="L19" s="245">
        <v>26.2</v>
      </c>
      <c r="M19" s="245">
        <v>3.98</v>
      </c>
    </row>
    <row r="20" spans="1:13">
      <c r="A20">
        <v>1227</v>
      </c>
      <c r="B20" t="s">
        <v>4793</v>
      </c>
      <c r="C20">
        <v>91.5</v>
      </c>
      <c r="D20">
        <v>-23</v>
      </c>
      <c r="E20">
        <v>-26</v>
      </c>
      <c r="F20">
        <v>71</v>
      </c>
      <c r="G20">
        <v>16</v>
      </c>
      <c r="H20">
        <v>8.69</v>
      </c>
      <c r="I20">
        <v>1.9</v>
      </c>
      <c r="J20">
        <v>2.7</v>
      </c>
      <c r="K20" s="245">
        <v>-13.45</v>
      </c>
      <c r="L20" s="245">
        <v>33.17</v>
      </c>
      <c r="M20" s="245">
        <v>0.82</v>
      </c>
    </row>
    <row r="21" spans="1:13">
      <c r="A21">
        <v>1229</v>
      </c>
      <c r="B21" t="s">
        <v>4794</v>
      </c>
      <c r="C21">
        <v>140</v>
      </c>
      <c r="D21">
        <v>35</v>
      </c>
      <c r="E21">
        <v>37</v>
      </c>
      <c r="F21">
        <v>68</v>
      </c>
      <c r="G21">
        <v>25</v>
      </c>
      <c r="H21">
        <v>12.75</v>
      </c>
      <c r="I21">
        <v>2.2999999999999998</v>
      </c>
      <c r="J21">
        <v>2.92</v>
      </c>
      <c r="K21" s="245">
        <v>-27.97</v>
      </c>
      <c r="L21" s="245">
        <v>9.19</v>
      </c>
      <c r="M21" s="245">
        <v>1.07</v>
      </c>
    </row>
    <row r="22" spans="1:13">
      <c r="A22">
        <v>1231</v>
      </c>
      <c r="B22" t="s">
        <v>4795</v>
      </c>
      <c r="C22">
        <v>20.170000000000002</v>
      </c>
      <c r="D22">
        <v>18</v>
      </c>
      <c r="E22">
        <v>28</v>
      </c>
      <c r="F22">
        <v>0</v>
      </c>
      <c r="G22">
        <v>16</v>
      </c>
      <c r="H22">
        <v>9.94</v>
      </c>
      <c r="I22">
        <v>2.6</v>
      </c>
      <c r="J22">
        <v>4.03</v>
      </c>
      <c r="K22" s="245">
        <v>-11.34</v>
      </c>
      <c r="L22" s="245">
        <v>66.180000000000007</v>
      </c>
      <c r="M22" s="245">
        <v>3.92</v>
      </c>
    </row>
    <row r="23" spans="1:13">
      <c r="A23">
        <v>1232</v>
      </c>
      <c r="B23" t="s">
        <v>4796</v>
      </c>
      <c r="C23">
        <v>15.99</v>
      </c>
      <c r="D23">
        <v>-3</v>
      </c>
      <c r="E23">
        <v>-5</v>
      </c>
      <c r="F23">
        <v>47</v>
      </c>
      <c r="G23">
        <v>20</v>
      </c>
      <c r="H23">
        <v>7.48</v>
      </c>
      <c r="I23">
        <v>6</v>
      </c>
      <c r="J23">
        <v>7.76</v>
      </c>
      <c r="K23" s="245">
        <v>-13.92</v>
      </c>
      <c r="L23" s="245">
        <v>25.44</v>
      </c>
      <c r="M23" s="245">
        <v>1.36</v>
      </c>
    </row>
    <row r="24" spans="1:13">
      <c r="A24">
        <v>1233</v>
      </c>
      <c r="B24" t="s">
        <v>4797</v>
      </c>
      <c r="C24">
        <v>9.0500000000000007</v>
      </c>
      <c r="D24">
        <v>-24</v>
      </c>
      <c r="E24">
        <v>-77</v>
      </c>
      <c r="F24">
        <v>-7</v>
      </c>
      <c r="G24">
        <v>-9</v>
      </c>
      <c r="H24">
        <v>0.84</v>
      </c>
      <c r="I24">
        <v>0.8</v>
      </c>
      <c r="J24">
        <v>0.48</v>
      </c>
      <c r="K24" s="245">
        <v>-7.37</v>
      </c>
      <c r="L24" s="245">
        <v>33.69</v>
      </c>
      <c r="M24" s="245">
        <v>1.45</v>
      </c>
    </row>
    <row r="25" spans="1:13">
      <c r="A25">
        <v>1234</v>
      </c>
      <c r="B25" t="s">
        <v>4798</v>
      </c>
      <c r="C25">
        <v>40.18</v>
      </c>
      <c r="D25">
        <v>-10</v>
      </c>
      <c r="E25">
        <v>-1</v>
      </c>
      <c r="F25">
        <v>37</v>
      </c>
      <c r="G25">
        <v>-13</v>
      </c>
      <c r="H25">
        <v>6.57</v>
      </c>
      <c r="I25">
        <v>1.7</v>
      </c>
      <c r="J25">
        <v>1.98</v>
      </c>
      <c r="K25" s="245">
        <v>-8.1199999999999992</v>
      </c>
      <c r="L25" s="245">
        <v>22.7</v>
      </c>
      <c r="M25" s="245">
        <v>0.25</v>
      </c>
    </row>
    <row r="26" spans="1:13">
      <c r="A26">
        <v>1235</v>
      </c>
      <c r="B26" t="s">
        <v>4799</v>
      </c>
      <c r="C26">
        <v>10.43</v>
      </c>
      <c r="D26">
        <v>25</v>
      </c>
      <c r="E26">
        <v>-126</v>
      </c>
      <c r="F26">
        <v>-14</v>
      </c>
      <c r="G26">
        <v>17</v>
      </c>
      <c r="H26">
        <v>-12.57</v>
      </c>
      <c r="I26">
        <v>3.8</v>
      </c>
      <c r="J26">
        <v>0.81</v>
      </c>
      <c r="K26" s="245">
        <v>-11.86</v>
      </c>
      <c r="L26" s="245">
        <v>56.34</v>
      </c>
      <c r="M26" s="245">
        <v>0.78</v>
      </c>
    </row>
    <row r="27" spans="1:13">
      <c r="A27">
        <v>1236</v>
      </c>
      <c r="B27" t="s">
        <v>4800</v>
      </c>
      <c r="C27">
        <v>10.83</v>
      </c>
      <c r="D27">
        <v>-15298</v>
      </c>
      <c r="E27">
        <v>-322</v>
      </c>
      <c r="F27">
        <v>69</v>
      </c>
      <c r="G27">
        <v>42</v>
      </c>
      <c r="H27">
        <v>-2.77</v>
      </c>
      <c r="I27">
        <v>0.5</v>
      </c>
      <c r="J27">
        <v>-0.25</v>
      </c>
      <c r="K27" s="245">
        <v>-25.96</v>
      </c>
      <c r="L27" s="245">
        <v>34.54</v>
      </c>
      <c r="M27" s="245">
        <v>12.55</v>
      </c>
    </row>
    <row r="28" spans="1:13">
      <c r="A28">
        <v>1240</v>
      </c>
      <c r="B28" t="s">
        <v>4801</v>
      </c>
      <c r="C28">
        <v>3.67</v>
      </c>
      <c r="D28">
        <v>-25</v>
      </c>
      <c r="E28">
        <v>-34</v>
      </c>
      <c r="F28">
        <v>29</v>
      </c>
      <c r="G28">
        <v>16</v>
      </c>
      <c r="H28">
        <v>2.93</v>
      </c>
      <c r="I28">
        <v>2.5</v>
      </c>
      <c r="J28">
        <v>3.57</v>
      </c>
      <c r="K28" s="245">
        <v>-28.83</v>
      </c>
      <c r="L28" s="245">
        <v>38.6</v>
      </c>
      <c r="M28" s="245">
        <v>21.69</v>
      </c>
    </row>
    <row r="29" spans="1:13">
      <c r="A29">
        <v>1256</v>
      </c>
      <c r="B29" t="s">
        <v>4802</v>
      </c>
      <c r="C29">
        <v>3.38</v>
      </c>
      <c r="D29">
        <v>-9</v>
      </c>
      <c r="E29">
        <v>0</v>
      </c>
      <c r="F29">
        <v>-41</v>
      </c>
      <c r="G29">
        <v>-52</v>
      </c>
      <c r="H29">
        <v>21.63</v>
      </c>
      <c r="I29">
        <v>13</v>
      </c>
      <c r="J29">
        <v>20.94</v>
      </c>
      <c r="K29" s="245">
        <v>-43.29</v>
      </c>
      <c r="L29" s="245">
        <v>38.450000000000003</v>
      </c>
      <c r="M29" s="245">
        <v>2.5</v>
      </c>
    </row>
    <row r="30" spans="1:13">
      <c r="A30">
        <v>1258</v>
      </c>
      <c r="B30" t="s">
        <v>4803</v>
      </c>
      <c r="C30">
        <v>3.68</v>
      </c>
      <c r="D30">
        <v>321</v>
      </c>
      <c r="E30">
        <v>522</v>
      </c>
      <c r="F30">
        <v>20</v>
      </c>
      <c r="G30">
        <v>7</v>
      </c>
      <c r="H30">
        <v>4.95</v>
      </c>
      <c r="I30">
        <v>0</v>
      </c>
      <c r="J30">
        <v>2</v>
      </c>
      <c r="K30" s="245">
        <v>-15.25</v>
      </c>
      <c r="L30" s="245">
        <v>65.989999999999995</v>
      </c>
      <c r="M30" s="245">
        <v>5.35</v>
      </c>
    </row>
    <row r="31" spans="1:13">
      <c r="A31">
        <v>1259</v>
      </c>
      <c r="B31" t="s">
        <v>6260</v>
      </c>
      <c r="C31">
        <v>3.23</v>
      </c>
      <c r="D31">
        <v>-40</v>
      </c>
      <c r="E31">
        <v>-106</v>
      </c>
      <c r="F31">
        <v>-3</v>
      </c>
      <c r="G31">
        <v>5</v>
      </c>
      <c r="H31">
        <v>-0.15</v>
      </c>
      <c r="I31">
        <v>2.2999999999999998</v>
      </c>
      <c r="J31">
        <v>3.07</v>
      </c>
      <c r="K31" s="245">
        <v>-5.59</v>
      </c>
      <c r="L31" s="245">
        <v>44.73</v>
      </c>
      <c r="M31" s="245">
        <v>0.42</v>
      </c>
    </row>
    <row r="32" spans="1:13">
      <c r="A32">
        <v>1264</v>
      </c>
      <c r="B32" t="s">
        <v>4804</v>
      </c>
      <c r="C32">
        <v>3.7</v>
      </c>
      <c r="D32">
        <v>13</v>
      </c>
      <c r="E32">
        <v>17</v>
      </c>
      <c r="F32">
        <v>5</v>
      </c>
      <c r="G32">
        <v>9</v>
      </c>
      <c r="H32">
        <v>19.170000000000002</v>
      </c>
      <c r="I32">
        <v>12</v>
      </c>
      <c r="J32">
        <v>16.190000000000001</v>
      </c>
      <c r="K32" s="245">
        <v>-21.44</v>
      </c>
      <c r="L32" s="245">
        <v>19.25</v>
      </c>
      <c r="M32" s="245">
        <v>0.43</v>
      </c>
    </row>
    <row r="33" spans="1:13">
      <c r="A33">
        <v>1268</v>
      </c>
      <c r="B33" t="s">
        <v>6353</v>
      </c>
      <c r="C33">
        <v>4.2699999999999996</v>
      </c>
      <c r="D33">
        <v>-73</v>
      </c>
      <c r="E33">
        <v>-140</v>
      </c>
      <c r="F33">
        <v>0</v>
      </c>
      <c r="G33">
        <v>8</v>
      </c>
      <c r="H33">
        <v>-2.2599999999999998</v>
      </c>
      <c r="I33">
        <v>3</v>
      </c>
      <c r="J33">
        <v>2.0099999999999998</v>
      </c>
      <c r="K33" s="245">
        <v>-25.36</v>
      </c>
      <c r="L33" s="245">
        <v>15.25</v>
      </c>
      <c r="M33" s="245">
        <v>0.65</v>
      </c>
    </row>
    <row r="34" spans="1:13">
      <c r="A34">
        <v>1301</v>
      </c>
      <c r="B34" t="s">
        <v>4805</v>
      </c>
      <c r="C34">
        <v>636</v>
      </c>
      <c r="D34">
        <v>256</v>
      </c>
      <c r="E34">
        <v>251</v>
      </c>
      <c r="F34">
        <v>-5</v>
      </c>
      <c r="G34">
        <v>3</v>
      </c>
      <c r="H34">
        <v>21.99</v>
      </c>
      <c r="I34">
        <v>8.1999999999999993</v>
      </c>
      <c r="J34">
        <v>11.21</v>
      </c>
      <c r="K34" s="245">
        <v>-14.46</v>
      </c>
      <c r="L34" s="245">
        <v>30.6</v>
      </c>
      <c r="M34" s="245">
        <v>0.7</v>
      </c>
    </row>
    <row r="35" spans="1:13">
      <c r="A35">
        <v>1303</v>
      </c>
      <c r="B35" t="s">
        <v>4806</v>
      </c>
      <c r="C35">
        <v>793</v>
      </c>
      <c r="D35">
        <v>215</v>
      </c>
      <c r="E35">
        <v>281</v>
      </c>
      <c r="F35">
        <v>-19</v>
      </c>
      <c r="G35">
        <v>-14</v>
      </c>
      <c r="H35">
        <v>19.68</v>
      </c>
      <c r="I35">
        <v>7.5</v>
      </c>
      <c r="J35">
        <v>10.25</v>
      </c>
      <c r="K35" s="245">
        <v>-9.89</v>
      </c>
      <c r="L35" s="245">
        <v>23.56</v>
      </c>
      <c r="M35" s="245">
        <v>0.32</v>
      </c>
    </row>
    <row r="36" spans="1:13">
      <c r="A36">
        <v>1304</v>
      </c>
      <c r="B36" t="s">
        <v>4807</v>
      </c>
      <c r="C36">
        <v>118</v>
      </c>
      <c r="D36">
        <v>77</v>
      </c>
      <c r="E36">
        <v>87</v>
      </c>
      <c r="F36">
        <v>0</v>
      </c>
      <c r="G36">
        <v>-5</v>
      </c>
      <c r="H36">
        <v>17.95</v>
      </c>
      <c r="I36">
        <v>2.2000000000000002</v>
      </c>
      <c r="J36">
        <v>4.84</v>
      </c>
      <c r="K36" s="245">
        <v>-45.26</v>
      </c>
      <c r="L36" s="245">
        <v>19.350000000000001</v>
      </c>
      <c r="M36" s="245">
        <v>18.579999999999998</v>
      </c>
    </row>
    <row r="37" spans="1:13">
      <c r="A37">
        <v>1305</v>
      </c>
      <c r="B37" t="s">
        <v>4808</v>
      </c>
      <c r="C37">
        <v>58.1</v>
      </c>
      <c r="D37">
        <v>46</v>
      </c>
      <c r="E37">
        <v>54</v>
      </c>
      <c r="F37">
        <v>-7</v>
      </c>
      <c r="G37">
        <v>14</v>
      </c>
      <c r="H37">
        <v>16.399999999999999</v>
      </c>
      <c r="I37">
        <v>2.5</v>
      </c>
      <c r="J37">
        <v>4.25</v>
      </c>
      <c r="K37" s="245">
        <v>-34.1</v>
      </c>
      <c r="L37" s="245">
        <v>17.36</v>
      </c>
      <c r="M37" s="245">
        <v>25.74</v>
      </c>
    </row>
    <row r="38" spans="1:13">
      <c r="A38">
        <v>1307</v>
      </c>
      <c r="B38" t="s">
        <v>4809</v>
      </c>
      <c r="C38">
        <v>39.78</v>
      </c>
      <c r="D38">
        <v>-46</v>
      </c>
      <c r="E38">
        <v>-51</v>
      </c>
      <c r="F38">
        <v>34</v>
      </c>
      <c r="G38">
        <v>9</v>
      </c>
      <c r="H38">
        <v>2.87</v>
      </c>
      <c r="I38">
        <v>0.5</v>
      </c>
      <c r="J38">
        <v>0.28999999999999998</v>
      </c>
      <c r="K38" s="245">
        <v>-29.11</v>
      </c>
      <c r="L38" s="245">
        <v>13.42</v>
      </c>
      <c r="M38" s="245">
        <v>2.97</v>
      </c>
    </row>
    <row r="39" spans="1:13">
      <c r="A39">
        <v>1308</v>
      </c>
      <c r="B39" t="s">
        <v>4810</v>
      </c>
      <c r="C39">
        <v>59.37</v>
      </c>
      <c r="D39">
        <v>181</v>
      </c>
      <c r="E39">
        <v>259</v>
      </c>
      <c r="F39">
        <v>-18</v>
      </c>
      <c r="G39">
        <v>-27</v>
      </c>
      <c r="H39">
        <v>34.700000000000003</v>
      </c>
      <c r="I39">
        <v>3</v>
      </c>
      <c r="J39">
        <v>5.22</v>
      </c>
      <c r="K39" s="245">
        <v>-43.92</v>
      </c>
      <c r="L39" s="245">
        <v>17.559999999999999</v>
      </c>
      <c r="M39" s="245">
        <v>30.92</v>
      </c>
    </row>
    <row r="40" spans="1:13">
      <c r="A40">
        <v>1309</v>
      </c>
      <c r="B40" t="s">
        <v>4811</v>
      </c>
      <c r="C40">
        <v>37.86</v>
      </c>
      <c r="D40">
        <v>-3</v>
      </c>
      <c r="E40">
        <v>-7</v>
      </c>
      <c r="F40">
        <v>0</v>
      </c>
      <c r="G40">
        <v>-12</v>
      </c>
      <c r="H40">
        <v>10.82</v>
      </c>
      <c r="I40">
        <v>2.5</v>
      </c>
      <c r="J40">
        <v>4.8899999999999997</v>
      </c>
      <c r="K40" s="245">
        <v>-45.54</v>
      </c>
      <c r="L40" s="245">
        <v>18.190000000000001</v>
      </c>
      <c r="M40" s="245">
        <v>28</v>
      </c>
    </row>
    <row r="41" spans="1:13">
      <c r="A41">
        <v>1310</v>
      </c>
      <c r="B41" t="s">
        <v>4812</v>
      </c>
      <c r="C41">
        <v>52.78</v>
      </c>
      <c r="D41">
        <v>-63</v>
      </c>
      <c r="E41">
        <v>-194</v>
      </c>
      <c r="F41">
        <v>0</v>
      </c>
      <c r="G41">
        <v>15</v>
      </c>
      <c r="H41">
        <v>-0.73</v>
      </c>
      <c r="I41">
        <v>0.15</v>
      </c>
      <c r="J41">
        <v>0.2</v>
      </c>
      <c r="K41" s="245">
        <v>-37.07</v>
      </c>
      <c r="L41" s="245">
        <v>10.199999999999999</v>
      </c>
      <c r="M41" s="245">
        <v>18.89</v>
      </c>
    </row>
    <row r="42" spans="1:13">
      <c r="A42">
        <v>1312</v>
      </c>
      <c r="B42" t="s">
        <v>4813</v>
      </c>
      <c r="C42">
        <v>90.66</v>
      </c>
      <c r="D42">
        <v>40</v>
      </c>
      <c r="E42">
        <v>65</v>
      </c>
      <c r="F42">
        <v>44</v>
      </c>
      <c r="G42">
        <v>-6</v>
      </c>
      <c r="H42">
        <v>12.92</v>
      </c>
      <c r="I42">
        <v>2</v>
      </c>
      <c r="J42">
        <v>6.47</v>
      </c>
      <c r="K42" s="245">
        <v>-31.95</v>
      </c>
      <c r="L42" s="245">
        <v>13.65</v>
      </c>
      <c r="M42" s="245">
        <v>24.97</v>
      </c>
    </row>
    <row r="43" spans="1:13">
      <c r="A43">
        <v>1313</v>
      </c>
      <c r="B43" t="s">
        <v>4814</v>
      </c>
      <c r="C43">
        <v>135</v>
      </c>
      <c r="D43">
        <v>0</v>
      </c>
      <c r="E43">
        <v>7</v>
      </c>
      <c r="F43">
        <v>-20</v>
      </c>
      <c r="G43">
        <v>-14</v>
      </c>
      <c r="H43">
        <v>2.99</v>
      </c>
      <c r="I43">
        <v>1</v>
      </c>
      <c r="J43">
        <v>1.66</v>
      </c>
      <c r="K43" s="245">
        <v>-49.07</v>
      </c>
      <c r="L43" s="245">
        <v>11.58</v>
      </c>
      <c r="M43" s="245">
        <v>13.76</v>
      </c>
    </row>
    <row r="44" spans="1:13">
      <c r="A44">
        <v>1314</v>
      </c>
      <c r="B44" t="s">
        <v>4815</v>
      </c>
      <c r="C44">
        <v>378</v>
      </c>
      <c r="D44">
        <v>433</v>
      </c>
      <c r="E44">
        <v>238</v>
      </c>
      <c r="F44">
        <v>16</v>
      </c>
      <c r="G44">
        <v>-10</v>
      </c>
      <c r="H44">
        <v>7.15</v>
      </c>
      <c r="I44">
        <v>0.4</v>
      </c>
      <c r="J44">
        <v>1.0900000000000001</v>
      </c>
      <c r="K44" s="245">
        <v>-32.21</v>
      </c>
      <c r="L44" s="245">
        <v>11.41</v>
      </c>
      <c r="M44" s="245">
        <v>18.670000000000002</v>
      </c>
    </row>
    <row r="45" spans="1:13">
      <c r="A45">
        <v>1315</v>
      </c>
      <c r="B45" t="s">
        <v>4816</v>
      </c>
      <c r="C45">
        <v>9.9</v>
      </c>
      <c r="D45">
        <v>-99</v>
      </c>
      <c r="E45">
        <v>-80</v>
      </c>
      <c r="F45">
        <v>88</v>
      </c>
      <c r="G45">
        <v>37</v>
      </c>
      <c r="H45">
        <v>0.3</v>
      </c>
      <c r="I45">
        <v>4.5</v>
      </c>
      <c r="J45">
        <v>0.04</v>
      </c>
      <c r="K45" s="245">
        <v>-12.07</v>
      </c>
      <c r="L45" s="245">
        <v>20.91</v>
      </c>
      <c r="M45" s="245">
        <v>1.01</v>
      </c>
    </row>
    <row r="46" spans="1:13">
      <c r="A46">
        <v>1316</v>
      </c>
      <c r="B46" t="s">
        <v>4817</v>
      </c>
      <c r="C46">
        <v>23.97</v>
      </c>
      <c r="D46">
        <v>-143</v>
      </c>
      <c r="E46">
        <v>-210</v>
      </c>
      <c r="F46">
        <v>72</v>
      </c>
      <c r="G46">
        <v>138</v>
      </c>
      <c r="H46">
        <v>-9.58</v>
      </c>
      <c r="I46">
        <v>0</v>
      </c>
      <c r="J46">
        <v>-0.5</v>
      </c>
      <c r="K46" s="245">
        <v>-30.99</v>
      </c>
      <c r="L46" s="245">
        <v>39.020000000000003</v>
      </c>
      <c r="M46" s="245">
        <v>49.5</v>
      </c>
    </row>
    <row r="47" spans="1:13">
      <c r="A47">
        <v>1319</v>
      </c>
      <c r="B47" t="s">
        <v>4818</v>
      </c>
      <c r="C47">
        <v>59.14</v>
      </c>
      <c r="D47">
        <v>-14</v>
      </c>
      <c r="E47">
        <v>0</v>
      </c>
      <c r="F47">
        <v>-5</v>
      </c>
      <c r="G47">
        <v>22</v>
      </c>
      <c r="H47">
        <v>2.95</v>
      </c>
      <c r="I47">
        <v>0.85</v>
      </c>
      <c r="J47">
        <v>1.1599999999999999</v>
      </c>
      <c r="K47" s="245">
        <v>-18.73</v>
      </c>
      <c r="L47" s="245">
        <v>51.36</v>
      </c>
      <c r="M47" s="245">
        <v>1.86</v>
      </c>
    </row>
    <row r="48" spans="1:13">
      <c r="A48">
        <v>1321</v>
      </c>
      <c r="B48" t="s">
        <v>4819</v>
      </c>
      <c r="C48">
        <v>22.72</v>
      </c>
      <c r="D48">
        <v>-55</v>
      </c>
      <c r="E48">
        <v>-113</v>
      </c>
      <c r="F48">
        <v>34</v>
      </c>
      <c r="G48">
        <v>6</v>
      </c>
      <c r="H48">
        <v>-0.5</v>
      </c>
      <c r="I48">
        <v>0.7</v>
      </c>
      <c r="J48">
        <v>1.45</v>
      </c>
      <c r="K48" s="245">
        <v>-16.46</v>
      </c>
      <c r="L48" s="245">
        <v>26.66</v>
      </c>
      <c r="M48" s="245">
        <v>1.88</v>
      </c>
    </row>
    <row r="49" spans="1:13">
      <c r="A49">
        <v>1323</v>
      </c>
      <c r="B49" t="s">
        <v>4820</v>
      </c>
      <c r="C49">
        <v>9.1199999999999992</v>
      </c>
      <c r="D49">
        <v>-2</v>
      </c>
      <c r="E49">
        <v>-4</v>
      </c>
      <c r="F49">
        <v>45</v>
      </c>
      <c r="G49">
        <v>21</v>
      </c>
      <c r="H49">
        <v>11.6</v>
      </c>
      <c r="I49">
        <v>1.6</v>
      </c>
      <c r="J49">
        <v>3.04</v>
      </c>
      <c r="K49" s="245">
        <v>-9.73</v>
      </c>
      <c r="L49" s="245">
        <v>37.18</v>
      </c>
      <c r="M49" s="245">
        <v>1.4</v>
      </c>
    </row>
    <row r="50" spans="1:13">
      <c r="A50">
        <v>1324</v>
      </c>
      <c r="B50" t="s">
        <v>4821</v>
      </c>
      <c r="C50">
        <v>7.51</v>
      </c>
      <c r="D50">
        <v>-96</v>
      </c>
      <c r="E50">
        <v>-37</v>
      </c>
      <c r="F50">
        <v>45</v>
      </c>
      <c r="G50">
        <v>-10</v>
      </c>
      <c r="H50">
        <v>0.94</v>
      </c>
      <c r="I50">
        <v>0.2</v>
      </c>
      <c r="J50">
        <v>0.01</v>
      </c>
      <c r="K50" s="245">
        <v>-24.82</v>
      </c>
      <c r="L50" s="245">
        <v>12.39</v>
      </c>
      <c r="M50" s="245">
        <v>4.5599999999999996</v>
      </c>
    </row>
    <row r="51" spans="1:13">
      <c r="A51">
        <v>1325</v>
      </c>
      <c r="B51" t="s">
        <v>4822</v>
      </c>
      <c r="C51">
        <v>8.52</v>
      </c>
      <c r="D51">
        <v>-86</v>
      </c>
      <c r="E51">
        <v>-85</v>
      </c>
      <c r="F51">
        <v>4</v>
      </c>
      <c r="G51">
        <v>-69</v>
      </c>
      <c r="H51">
        <v>31.07</v>
      </c>
      <c r="I51">
        <v>2</v>
      </c>
      <c r="J51">
        <v>3.26</v>
      </c>
      <c r="K51" s="245">
        <v>-63.63</v>
      </c>
      <c r="L51" s="245">
        <v>15.51</v>
      </c>
      <c r="M51" s="245">
        <v>54.39</v>
      </c>
    </row>
    <row r="52" spans="1:13">
      <c r="A52">
        <v>1326</v>
      </c>
      <c r="B52" t="s">
        <v>4823</v>
      </c>
      <c r="C52">
        <v>586</v>
      </c>
      <c r="D52">
        <v>98</v>
      </c>
      <c r="E52">
        <v>124</v>
      </c>
      <c r="F52">
        <v>0</v>
      </c>
      <c r="G52">
        <v>10</v>
      </c>
      <c r="H52">
        <v>9.41</v>
      </c>
      <c r="I52">
        <v>4.8</v>
      </c>
      <c r="J52">
        <v>6.56</v>
      </c>
      <c r="K52" s="245">
        <v>-10.99</v>
      </c>
      <c r="L52" s="245">
        <v>30.98</v>
      </c>
      <c r="M52" s="245">
        <v>0.32</v>
      </c>
    </row>
    <row r="53" spans="1:13">
      <c r="A53">
        <v>1336</v>
      </c>
      <c r="B53" t="s">
        <v>4824</v>
      </c>
      <c r="C53">
        <v>7.7</v>
      </c>
      <c r="D53">
        <v>-60</v>
      </c>
      <c r="E53">
        <v>102</v>
      </c>
      <c r="F53">
        <v>2</v>
      </c>
      <c r="G53">
        <v>7</v>
      </c>
      <c r="H53">
        <v>6.75</v>
      </c>
      <c r="I53">
        <v>0.4</v>
      </c>
      <c r="J53">
        <v>1</v>
      </c>
      <c r="K53" s="245">
        <v>-24.3</v>
      </c>
      <c r="L53" s="245">
        <v>36.020000000000003</v>
      </c>
      <c r="M53" s="245">
        <v>4.72</v>
      </c>
    </row>
    <row r="54" spans="1:13">
      <c r="A54">
        <v>1337</v>
      </c>
      <c r="B54" t="s">
        <v>4825</v>
      </c>
      <c r="C54">
        <v>26.89</v>
      </c>
      <c r="D54">
        <v>64</v>
      </c>
      <c r="E54">
        <v>60</v>
      </c>
      <c r="F54">
        <v>-36</v>
      </c>
      <c r="G54">
        <v>-70</v>
      </c>
      <c r="H54">
        <v>-47.84</v>
      </c>
      <c r="I54">
        <v>0</v>
      </c>
      <c r="J54">
        <v>-1.71</v>
      </c>
      <c r="K54" s="245">
        <v>-31.47</v>
      </c>
      <c r="L54" s="245">
        <v>10.63</v>
      </c>
      <c r="M54" s="245">
        <v>4.99</v>
      </c>
    </row>
    <row r="55" spans="1:13">
      <c r="A55">
        <v>1338</v>
      </c>
      <c r="B55" t="s">
        <v>4826</v>
      </c>
      <c r="C55">
        <v>8.3800000000000008</v>
      </c>
      <c r="D55">
        <v>22</v>
      </c>
      <c r="E55">
        <v>0</v>
      </c>
      <c r="F55">
        <v>-42</v>
      </c>
      <c r="G55">
        <v>-25</v>
      </c>
      <c r="H55">
        <v>3.47</v>
      </c>
      <c r="I55">
        <v>2.5</v>
      </c>
      <c r="J55">
        <v>4.04</v>
      </c>
      <c r="K55" s="245">
        <v>-29.26</v>
      </c>
      <c r="L55" s="245">
        <v>20.22</v>
      </c>
      <c r="M55" s="245">
        <v>2.5</v>
      </c>
    </row>
    <row r="56" spans="1:13">
      <c r="A56">
        <v>1339</v>
      </c>
      <c r="B56" t="s">
        <v>4827</v>
      </c>
      <c r="C56">
        <v>7.41</v>
      </c>
      <c r="D56">
        <v>6</v>
      </c>
      <c r="E56">
        <v>-50</v>
      </c>
      <c r="F56">
        <v>31</v>
      </c>
      <c r="G56">
        <v>-5</v>
      </c>
      <c r="H56">
        <v>9.1</v>
      </c>
      <c r="I56">
        <v>2</v>
      </c>
      <c r="J56">
        <v>1.83</v>
      </c>
      <c r="K56" s="245">
        <v>-13.94</v>
      </c>
      <c r="L56" s="245">
        <v>63.91</v>
      </c>
      <c r="M56" s="245">
        <v>0.84</v>
      </c>
    </row>
    <row r="57" spans="1:13">
      <c r="A57">
        <v>1340</v>
      </c>
      <c r="B57" t="s">
        <v>4828</v>
      </c>
      <c r="C57">
        <v>15.29</v>
      </c>
      <c r="D57">
        <v>-31</v>
      </c>
      <c r="E57">
        <v>-30</v>
      </c>
      <c r="F57">
        <v>-42</v>
      </c>
      <c r="G57">
        <v>-52</v>
      </c>
      <c r="H57">
        <v>-80.489999999999995</v>
      </c>
      <c r="I57">
        <v>0</v>
      </c>
      <c r="J57">
        <v>-3.35</v>
      </c>
      <c r="K57" s="245">
        <v>-20.16</v>
      </c>
      <c r="L57" s="245">
        <v>19.45</v>
      </c>
      <c r="M57" s="245">
        <v>2.8</v>
      </c>
    </row>
    <row r="58" spans="1:13">
      <c r="A58">
        <v>1341</v>
      </c>
      <c r="B58" t="s">
        <v>6445</v>
      </c>
      <c r="C58">
        <v>5.04</v>
      </c>
      <c r="D58">
        <v>-4</v>
      </c>
      <c r="E58">
        <v>-9</v>
      </c>
      <c r="F58">
        <v>-23</v>
      </c>
      <c r="G58">
        <v>28</v>
      </c>
      <c r="H58">
        <v>12.82</v>
      </c>
      <c r="I58">
        <v>6</v>
      </c>
      <c r="J58">
        <v>5.99</v>
      </c>
      <c r="K58" s="245">
        <v>-14.96</v>
      </c>
      <c r="L58" s="245">
        <v>86.98</v>
      </c>
      <c r="M58" s="245">
        <v>0.51</v>
      </c>
    </row>
    <row r="59" spans="1:13">
      <c r="A59">
        <v>1342</v>
      </c>
      <c r="B59" t="s">
        <v>4829</v>
      </c>
      <c r="C59">
        <v>6.78</v>
      </c>
      <c r="D59">
        <v>35</v>
      </c>
      <c r="E59">
        <v>26</v>
      </c>
      <c r="F59">
        <v>0</v>
      </c>
      <c r="G59">
        <v>58</v>
      </c>
      <c r="H59">
        <v>15.28</v>
      </c>
      <c r="I59">
        <v>3</v>
      </c>
      <c r="J59">
        <v>3.92</v>
      </c>
      <c r="K59" s="245">
        <v>-7.88</v>
      </c>
      <c r="L59" s="245">
        <v>68.319999999999993</v>
      </c>
      <c r="M59" s="245">
        <v>1.59</v>
      </c>
    </row>
    <row r="60" spans="1:13">
      <c r="A60">
        <v>1402</v>
      </c>
      <c r="B60" t="s">
        <v>4830</v>
      </c>
      <c r="C60">
        <v>535</v>
      </c>
      <c r="D60">
        <v>14</v>
      </c>
      <c r="E60">
        <v>17</v>
      </c>
      <c r="F60">
        <v>20</v>
      </c>
      <c r="G60">
        <v>18</v>
      </c>
      <c r="H60">
        <v>4.9000000000000004</v>
      </c>
      <c r="I60">
        <v>1.5</v>
      </c>
      <c r="J60">
        <v>1.94</v>
      </c>
      <c r="K60" s="245">
        <v>-11.7</v>
      </c>
      <c r="L60" s="245">
        <v>45.43</v>
      </c>
      <c r="M60" s="245">
        <v>0.89</v>
      </c>
    </row>
    <row r="61" spans="1:13">
      <c r="A61">
        <v>1409</v>
      </c>
      <c r="B61" t="s">
        <v>4831</v>
      </c>
      <c r="C61">
        <v>161</v>
      </c>
      <c r="D61">
        <v>32</v>
      </c>
      <c r="E61">
        <v>97</v>
      </c>
      <c r="F61">
        <v>25</v>
      </c>
      <c r="G61">
        <v>9</v>
      </c>
      <c r="H61">
        <v>14.5</v>
      </c>
      <c r="I61">
        <v>1.4</v>
      </c>
      <c r="J61">
        <v>2.41</v>
      </c>
      <c r="K61" s="245">
        <v>-19.16</v>
      </c>
      <c r="L61" s="245">
        <v>22.25</v>
      </c>
      <c r="M61" s="245">
        <v>7.44</v>
      </c>
    </row>
    <row r="62" spans="1:13">
      <c r="A62">
        <v>1410</v>
      </c>
      <c r="B62" t="s">
        <v>4832</v>
      </c>
      <c r="C62">
        <v>6.3</v>
      </c>
      <c r="D62">
        <v>39</v>
      </c>
      <c r="E62">
        <v>24</v>
      </c>
      <c r="F62">
        <v>59</v>
      </c>
      <c r="G62">
        <v>-5</v>
      </c>
      <c r="H62">
        <v>22.85</v>
      </c>
      <c r="I62">
        <v>1.3</v>
      </c>
      <c r="J62">
        <v>1.29</v>
      </c>
      <c r="K62" s="245">
        <v>-7.28</v>
      </c>
      <c r="L62" s="245">
        <v>46.77</v>
      </c>
      <c r="M62" s="245">
        <v>2.5099999999999998</v>
      </c>
    </row>
    <row r="63" spans="1:13">
      <c r="A63">
        <v>1413</v>
      </c>
      <c r="B63" t="s">
        <v>6446</v>
      </c>
      <c r="C63">
        <v>13.21</v>
      </c>
      <c r="D63">
        <v>165</v>
      </c>
      <c r="E63">
        <v>160</v>
      </c>
      <c r="F63">
        <v>-4</v>
      </c>
      <c r="G63">
        <v>29</v>
      </c>
      <c r="H63">
        <v>3.35</v>
      </c>
      <c r="I63">
        <v>0</v>
      </c>
      <c r="J63">
        <v>0.8</v>
      </c>
      <c r="K63" s="245">
        <v>-23.86</v>
      </c>
      <c r="L63" s="245">
        <v>32.51</v>
      </c>
      <c r="M63" s="245">
        <v>6.73</v>
      </c>
    </row>
    <row r="64" spans="1:13">
      <c r="A64">
        <v>1414</v>
      </c>
      <c r="B64" t="s">
        <v>4833</v>
      </c>
      <c r="C64">
        <v>22</v>
      </c>
      <c r="D64">
        <v>143</v>
      </c>
      <c r="E64">
        <v>945</v>
      </c>
      <c r="F64">
        <v>2</v>
      </c>
      <c r="G64">
        <v>-9</v>
      </c>
      <c r="H64">
        <v>12.63</v>
      </c>
      <c r="I64">
        <v>0.54</v>
      </c>
      <c r="J64">
        <v>0.65</v>
      </c>
      <c r="K64" s="245">
        <v>-21.92</v>
      </c>
      <c r="L64" s="245">
        <v>42.2</v>
      </c>
      <c r="M64" s="245">
        <v>22.31</v>
      </c>
    </row>
    <row r="65" spans="1:13">
      <c r="A65">
        <v>1416</v>
      </c>
      <c r="B65" t="s">
        <v>4834</v>
      </c>
      <c r="C65">
        <v>18.53</v>
      </c>
      <c r="D65">
        <v>123</v>
      </c>
      <c r="E65">
        <v>68</v>
      </c>
      <c r="F65">
        <v>-2</v>
      </c>
      <c r="G65">
        <v>-34</v>
      </c>
      <c r="H65">
        <v>-23.06</v>
      </c>
      <c r="I65">
        <v>0.5</v>
      </c>
      <c r="J65">
        <v>0.44</v>
      </c>
      <c r="K65" s="245">
        <v>-10.199999999999999</v>
      </c>
      <c r="L65" s="245">
        <v>22.44</v>
      </c>
      <c r="M65" s="245">
        <v>3.32</v>
      </c>
    </row>
    <row r="66" spans="1:13">
      <c r="A66">
        <v>1417</v>
      </c>
      <c r="B66" t="s">
        <v>4835</v>
      </c>
      <c r="C66">
        <v>18.989999999999998</v>
      </c>
      <c r="D66">
        <v>127</v>
      </c>
      <c r="E66">
        <v>109</v>
      </c>
      <c r="F66">
        <v>-24</v>
      </c>
      <c r="G66">
        <v>-1</v>
      </c>
      <c r="H66">
        <v>2.66</v>
      </c>
      <c r="I66">
        <v>0.35</v>
      </c>
      <c r="J66">
        <v>0.51</v>
      </c>
      <c r="K66" s="245">
        <v>-37.74</v>
      </c>
      <c r="L66" s="245">
        <v>6.35</v>
      </c>
      <c r="M66" s="245">
        <v>15.11</v>
      </c>
    </row>
    <row r="67" spans="1:13">
      <c r="A67">
        <v>1418</v>
      </c>
      <c r="B67" t="s">
        <v>6447</v>
      </c>
      <c r="C67">
        <v>5.68</v>
      </c>
      <c r="D67">
        <v>26</v>
      </c>
      <c r="E67">
        <v>10</v>
      </c>
      <c r="F67">
        <v>1205</v>
      </c>
      <c r="G67">
        <v>-12</v>
      </c>
      <c r="H67">
        <v>-625.14</v>
      </c>
      <c r="I67">
        <v>0</v>
      </c>
      <c r="J67">
        <v>-3.1</v>
      </c>
      <c r="K67" s="245">
        <v>-6.59</v>
      </c>
      <c r="L67" s="245">
        <v>77.709999999999994</v>
      </c>
      <c r="M67" s="245">
        <v>0.43</v>
      </c>
    </row>
    <row r="68" spans="1:13">
      <c r="A68">
        <v>1419</v>
      </c>
      <c r="B68" t="s">
        <v>4836</v>
      </c>
      <c r="C68">
        <v>30</v>
      </c>
      <c r="D68">
        <v>23</v>
      </c>
      <c r="E68">
        <v>22</v>
      </c>
      <c r="F68">
        <v>51</v>
      </c>
      <c r="G68">
        <v>37</v>
      </c>
      <c r="H68">
        <v>7.28</v>
      </c>
      <c r="I68">
        <v>1</v>
      </c>
      <c r="J68">
        <v>1.51</v>
      </c>
      <c r="K68" s="245">
        <v>-9.2799999999999994</v>
      </c>
      <c r="L68" s="245">
        <v>19.77</v>
      </c>
      <c r="M68" s="245">
        <v>0.21</v>
      </c>
    </row>
    <row r="69" spans="1:13">
      <c r="A69">
        <v>1423</v>
      </c>
      <c r="B69" t="s">
        <v>4837</v>
      </c>
      <c r="C69">
        <v>13.84</v>
      </c>
      <c r="D69">
        <v>-56</v>
      </c>
      <c r="E69">
        <v>66</v>
      </c>
      <c r="F69">
        <v>-43</v>
      </c>
      <c r="G69">
        <v>-6</v>
      </c>
      <c r="H69">
        <v>-34.82</v>
      </c>
      <c r="I69">
        <v>0.75</v>
      </c>
      <c r="J69">
        <v>1.1100000000000001</v>
      </c>
      <c r="K69" s="245">
        <v>-13.5</v>
      </c>
      <c r="L69" s="245">
        <v>40.36</v>
      </c>
      <c r="M69" s="245">
        <v>4.32</v>
      </c>
    </row>
    <row r="70" spans="1:13">
      <c r="A70">
        <v>1432</v>
      </c>
      <c r="B70" t="s">
        <v>6448</v>
      </c>
      <c r="C70">
        <v>9</v>
      </c>
      <c r="D70">
        <v>-1083</v>
      </c>
      <c r="E70">
        <v>-221</v>
      </c>
      <c r="F70">
        <v>-8</v>
      </c>
      <c r="G70">
        <v>19</v>
      </c>
      <c r="H70">
        <v>-18.34</v>
      </c>
      <c r="I70">
        <v>0</v>
      </c>
      <c r="J70">
        <v>-2.0499999999999998</v>
      </c>
      <c r="K70" s="245">
        <v>-52.1</v>
      </c>
      <c r="L70" s="245">
        <v>8.09</v>
      </c>
      <c r="M70" s="245">
        <v>8.06</v>
      </c>
    </row>
    <row r="71" spans="1:13">
      <c r="A71">
        <v>1434</v>
      </c>
      <c r="B71" t="s">
        <v>4838</v>
      </c>
      <c r="C71">
        <v>168</v>
      </c>
      <c r="D71">
        <v>2</v>
      </c>
      <c r="E71">
        <v>168</v>
      </c>
      <c r="F71">
        <v>-1</v>
      </c>
      <c r="G71">
        <v>6</v>
      </c>
      <c r="H71">
        <v>4.7300000000000004</v>
      </c>
      <c r="I71">
        <v>1</v>
      </c>
      <c r="J71">
        <v>1.27</v>
      </c>
      <c r="K71" s="245">
        <v>-21.36</v>
      </c>
      <c r="L71" s="245">
        <v>9.86</v>
      </c>
      <c r="M71" s="245">
        <v>1.31</v>
      </c>
    </row>
    <row r="72" spans="1:13">
      <c r="A72">
        <v>1435</v>
      </c>
      <c r="B72" t="s">
        <v>6449</v>
      </c>
      <c r="C72">
        <v>13.97</v>
      </c>
      <c r="D72">
        <v>131</v>
      </c>
      <c r="E72">
        <v>-65</v>
      </c>
      <c r="F72">
        <v>-4</v>
      </c>
      <c r="G72">
        <v>-16</v>
      </c>
      <c r="H72">
        <v>-238.38</v>
      </c>
      <c r="I72">
        <v>0</v>
      </c>
      <c r="J72">
        <v>0.05</v>
      </c>
      <c r="K72" s="245">
        <v>-30.08</v>
      </c>
      <c r="L72" s="245">
        <v>42.76</v>
      </c>
      <c r="M72" s="245">
        <v>0.95</v>
      </c>
    </row>
    <row r="73" spans="1:13">
      <c r="A73">
        <v>1436</v>
      </c>
      <c r="B73" t="s">
        <v>4839</v>
      </c>
      <c r="C73">
        <v>9.61</v>
      </c>
      <c r="D73">
        <v>170</v>
      </c>
      <c r="E73">
        <v>96</v>
      </c>
      <c r="F73">
        <v>64</v>
      </c>
      <c r="G73">
        <v>-99</v>
      </c>
      <c r="H73">
        <v>20.82</v>
      </c>
      <c r="I73">
        <v>4.16</v>
      </c>
      <c r="J73">
        <v>5.08</v>
      </c>
      <c r="K73" s="245">
        <v>-6.34</v>
      </c>
      <c r="L73" s="245">
        <v>72.650000000000006</v>
      </c>
      <c r="M73" s="245">
        <v>3.73</v>
      </c>
    </row>
    <row r="74" spans="1:13">
      <c r="A74">
        <v>1437</v>
      </c>
      <c r="B74" t="s">
        <v>4840</v>
      </c>
      <c r="C74">
        <v>20.329999999999998</v>
      </c>
      <c r="D74">
        <v>28</v>
      </c>
      <c r="E74">
        <v>1</v>
      </c>
      <c r="F74">
        <v>0</v>
      </c>
      <c r="G74">
        <v>22</v>
      </c>
      <c r="H74">
        <v>52.71</v>
      </c>
      <c r="I74">
        <v>0.9</v>
      </c>
      <c r="J74">
        <v>2.25</v>
      </c>
      <c r="K74" s="245">
        <v>-17.07</v>
      </c>
      <c r="L74" s="245">
        <v>22.81</v>
      </c>
      <c r="M74" s="245">
        <v>5.26</v>
      </c>
    </row>
    <row r="75" spans="1:13">
      <c r="A75">
        <v>1438</v>
      </c>
      <c r="B75" t="s">
        <v>4841</v>
      </c>
      <c r="C75">
        <v>7.12</v>
      </c>
      <c r="D75">
        <v>-34</v>
      </c>
      <c r="E75">
        <v>-120</v>
      </c>
      <c r="F75">
        <v>-100</v>
      </c>
      <c r="G75">
        <v>-100</v>
      </c>
      <c r="H75">
        <v>-77.83</v>
      </c>
      <c r="I75">
        <v>0</v>
      </c>
      <c r="J75">
        <v>0.56999999999999995</v>
      </c>
      <c r="K75" s="245">
        <v>-17.97</v>
      </c>
      <c r="L75" s="245">
        <v>59.37</v>
      </c>
      <c r="M75" s="245">
        <v>1.78</v>
      </c>
    </row>
    <row r="76" spans="1:13">
      <c r="A76">
        <v>1439</v>
      </c>
      <c r="B76" t="s">
        <v>4842</v>
      </c>
      <c r="C76">
        <v>9.1999999999999993</v>
      </c>
      <c r="D76">
        <v>152</v>
      </c>
      <c r="E76">
        <v>6</v>
      </c>
      <c r="F76">
        <v>1240</v>
      </c>
      <c r="G76">
        <v>-65</v>
      </c>
      <c r="H76">
        <v>-35.69</v>
      </c>
      <c r="I76">
        <v>0.2</v>
      </c>
      <c r="J76">
        <v>1.39</v>
      </c>
      <c r="K76" s="245">
        <v>-17.739999999999998</v>
      </c>
      <c r="L76" s="245">
        <v>31.1</v>
      </c>
      <c r="M76" s="245">
        <v>2.5</v>
      </c>
    </row>
    <row r="77" spans="1:13">
      <c r="A77">
        <v>1440</v>
      </c>
      <c r="B77" t="s">
        <v>4843</v>
      </c>
      <c r="C77">
        <v>165</v>
      </c>
      <c r="D77">
        <v>205</v>
      </c>
      <c r="E77">
        <v>745</v>
      </c>
      <c r="F77">
        <v>-14</v>
      </c>
      <c r="G77">
        <v>-6</v>
      </c>
      <c r="H77">
        <v>6.03</v>
      </c>
      <c r="I77">
        <v>0.8</v>
      </c>
      <c r="J77">
        <v>1.77</v>
      </c>
      <c r="K77" s="245">
        <v>-38.630000000000003</v>
      </c>
      <c r="L77" s="245">
        <v>8.48</v>
      </c>
      <c r="M77" s="245">
        <v>11.88</v>
      </c>
    </row>
    <row r="78" spans="1:13">
      <c r="A78">
        <v>1441</v>
      </c>
      <c r="B78" t="s">
        <v>6450</v>
      </c>
      <c r="C78">
        <v>10.08</v>
      </c>
      <c r="D78">
        <v>44</v>
      </c>
      <c r="E78">
        <v>54</v>
      </c>
      <c r="F78">
        <v>-23</v>
      </c>
      <c r="G78">
        <v>23</v>
      </c>
      <c r="H78">
        <v>-7.4</v>
      </c>
      <c r="I78">
        <v>0</v>
      </c>
      <c r="J78">
        <v>-0.75</v>
      </c>
      <c r="K78" s="245">
        <v>-38.51</v>
      </c>
      <c r="L78" s="245">
        <v>14.86</v>
      </c>
      <c r="M78" s="245">
        <v>12.55</v>
      </c>
    </row>
    <row r="79" spans="1:13">
      <c r="A79">
        <v>1442</v>
      </c>
      <c r="B79" t="s">
        <v>4844</v>
      </c>
      <c r="C79">
        <v>36.619999999999997</v>
      </c>
      <c r="D79">
        <v>570</v>
      </c>
      <c r="E79">
        <v>365</v>
      </c>
      <c r="F79">
        <v>288</v>
      </c>
      <c r="G79">
        <v>2</v>
      </c>
      <c r="H79">
        <v>14.8</v>
      </c>
      <c r="I79">
        <v>1.2</v>
      </c>
      <c r="J79">
        <v>1.41</v>
      </c>
      <c r="K79" s="245">
        <v>-18.579999999999998</v>
      </c>
      <c r="L79" s="245">
        <v>36.47</v>
      </c>
      <c r="M79" s="245">
        <v>3.09</v>
      </c>
    </row>
    <row r="80" spans="1:13">
      <c r="A80">
        <v>1443</v>
      </c>
      <c r="B80" t="s">
        <v>6366</v>
      </c>
      <c r="C80">
        <v>13.53</v>
      </c>
      <c r="D80">
        <v>447</v>
      </c>
      <c r="E80">
        <v>100</v>
      </c>
      <c r="F80">
        <v>-22</v>
      </c>
      <c r="G80">
        <v>-2</v>
      </c>
      <c r="H80">
        <v>21.01</v>
      </c>
      <c r="I80">
        <v>0</v>
      </c>
      <c r="J80">
        <v>1.65</v>
      </c>
      <c r="K80" s="245">
        <v>-1.36</v>
      </c>
      <c r="L80" s="245">
        <v>75.17</v>
      </c>
      <c r="M80" s="245">
        <v>1.41</v>
      </c>
    </row>
    <row r="81" spans="1:13">
      <c r="A81">
        <v>1444</v>
      </c>
      <c r="B81" t="s">
        <v>4845</v>
      </c>
      <c r="C81">
        <v>95.73</v>
      </c>
      <c r="D81">
        <v>253</v>
      </c>
      <c r="E81">
        <v>183</v>
      </c>
      <c r="F81">
        <v>27</v>
      </c>
      <c r="G81">
        <v>27</v>
      </c>
      <c r="H81">
        <v>1.93</v>
      </c>
      <c r="I81">
        <v>0.3</v>
      </c>
      <c r="J81">
        <v>0.68</v>
      </c>
      <c r="K81" s="245">
        <v>-30.34</v>
      </c>
      <c r="L81" s="245">
        <v>34.6</v>
      </c>
      <c r="M81" s="245">
        <v>10.02</v>
      </c>
    </row>
    <row r="82" spans="1:13">
      <c r="A82">
        <v>1445</v>
      </c>
      <c r="B82" t="s">
        <v>4846</v>
      </c>
      <c r="C82">
        <v>13.06</v>
      </c>
      <c r="D82">
        <v>56</v>
      </c>
      <c r="E82">
        <v>60</v>
      </c>
      <c r="F82">
        <v>5</v>
      </c>
      <c r="G82">
        <v>38</v>
      </c>
      <c r="H82">
        <v>-3.81</v>
      </c>
      <c r="I82">
        <v>0</v>
      </c>
      <c r="J82">
        <v>-0.19</v>
      </c>
      <c r="K82" s="245">
        <v>-14.33</v>
      </c>
      <c r="L82" s="245">
        <v>13.88</v>
      </c>
      <c r="M82" s="245">
        <v>2.72</v>
      </c>
    </row>
    <row r="83" spans="1:13">
      <c r="A83">
        <v>1446</v>
      </c>
      <c r="B83" t="s">
        <v>4847</v>
      </c>
      <c r="C83">
        <v>13.77</v>
      </c>
      <c r="D83">
        <v>-130</v>
      </c>
      <c r="E83">
        <v>-552</v>
      </c>
      <c r="F83">
        <v>94</v>
      </c>
      <c r="G83">
        <v>-47</v>
      </c>
      <c r="H83">
        <v>-6.28</v>
      </c>
      <c r="I83">
        <v>0.3</v>
      </c>
      <c r="J83">
        <v>-0.12</v>
      </c>
      <c r="K83" s="245">
        <v>-12.33</v>
      </c>
      <c r="L83" s="245">
        <v>56.71</v>
      </c>
      <c r="M83" s="245">
        <v>2.0699999999999998</v>
      </c>
    </row>
    <row r="84" spans="1:13">
      <c r="A84">
        <v>1447</v>
      </c>
      <c r="B84" t="s">
        <v>4848</v>
      </c>
      <c r="C84">
        <v>91.44</v>
      </c>
      <c r="D84">
        <v>166</v>
      </c>
      <c r="E84">
        <v>199</v>
      </c>
      <c r="F84">
        <v>64</v>
      </c>
      <c r="G84">
        <v>29</v>
      </c>
      <c r="H84">
        <v>1.46</v>
      </c>
      <c r="I84">
        <v>0</v>
      </c>
      <c r="J84">
        <v>0.31</v>
      </c>
      <c r="K84" s="245">
        <v>-46.25</v>
      </c>
      <c r="L84" s="245">
        <v>9.52</v>
      </c>
      <c r="M84" s="245">
        <v>12.68</v>
      </c>
    </row>
    <row r="85" spans="1:13">
      <c r="A85">
        <v>1449</v>
      </c>
      <c r="B85" t="s">
        <v>6180</v>
      </c>
      <c r="C85">
        <v>11.34</v>
      </c>
      <c r="D85">
        <v>158</v>
      </c>
      <c r="E85">
        <v>35</v>
      </c>
      <c r="F85">
        <v>-12</v>
      </c>
      <c r="G85">
        <v>-8</v>
      </c>
      <c r="H85">
        <v>-6.18</v>
      </c>
      <c r="I85">
        <v>0</v>
      </c>
      <c r="J85">
        <v>0.83</v>
      </c>
      <c r="K85" s="245">
        <v>-27.95</v>
      </c>
      <c r="L85" s="245">
        <v>48.04</v>
      </c>
      <c r="M85" s="245">
        <v>1.49</v>
      </c>
    </row>
    <row r="86" spans="1:13">
      <c r="A86">
        <v>1451</v>
      </c>
      <c r="B86" t="s">
        <v>4849</v>
      </c>
      <c r="C86">
        <v>20.72</v>
      </c>
      <c r="D86">
        <v>157</v>
      </c>
      <c r="E86">
        <v>182</v>
      </c>
      <c r="F86">
        <v>18</v>
      </c>
      <c r="G86">
        <v>36</v>
      </c>
      <c r="H86">
        <v>3.09</v>
      </c>
      <c r="I86">
        <v>1</v>
      </c>
      <c r="J86">
        <v>1.23</v>
      </c>
      <c r="K86" s="245">
        <v>-11.09</v>
      </c>
      <c r="L86" s="245">
        <v>76.41</v>
      </c>
      <c r="M86" s="245">
        <v>5.95</v>
      </c>
    </row>
    <row r="87" spans="1:13">
      <c r="A87">
        <v>1452</v>
      </c>
      <c r="B87" t="s">
        <v>4850</v>
      </c>
      <c r="C87">
        <v>13.26</v>
      </c>
      <c r="D87">
        <v>260</v>
      </c>
      <c r="E87">
        <v>465</v>
      </c>
      <c r="F87">
        <v>-14</v>
      </c>
      <c r="G87">
        <v>1</v>
      </c>
      <c r="H87">
        <v>11.18</v>
      </c>
      <c r="I87">
        <v>2</v>
      </c>
      <c r="J87">
        <v>2.65</v>
      </c>
      <c r="K87" s="245">
        <v>-29.48</v>
      </c>
      <c r="L87" s="245">
        <v>27.51</v>
      </c>
      <c r="M87" s="245">
        <v>35.409999999999997</v>
      </c>
    </row>
    <row r="88" spans="1:13">
      <c r="A88">
        <v>1453</v>
      </c>
      <c r="B88" t="s">
        <v>4851</v>
      </c>
      <c r="C88">
        <v>10.06</v>
      </c>
      <c r="D88">
        <v>592</v>
      </c>
      <c r="E88">
        <v>-190</v>
      </c>
      <c r="F88">
        <v>-27</v>
      </c>
      <c r="G88">
        <v>139455</v>
      </c>
      <c r="H88">
        <v>-21.74</v>
      </c>
      <c r="I88">
        <v>0.3</v>
      </c>
      <c r="J88">
        <v>1.05</v>
      </c>
      <c r="K88" s="245">
        <v>-16.309999999999999</v>
      </c>
      <c r="L88" s="245">
        <v>81.19</v>
      </c>
      <c r="M88" s="245">
        <v>18.75</v>
      </c>
    </row>
    <row r="89" spans="1:13">
      <c r="A89">
        <v>1454</v>
      </c>
      <c r="B89" t="s">
        <v>4852</v>
      </c>
      <c r="C89">
        <v>12.98</v>
      </c>
      <c r="D89">
        <v>113</v>
      </c>
      <c r="E89">
        <v>88</v>
      </c>
      <c r="F89">
        <v>-4</v>
      </c>
      <c r="G89">
        <v>31</v>
      </c>
      <c r="H89">
        <v>-0.73</v>
      </c>
      <c r="I89">
        <v>0.5</v>
      </c>
      <c r="J89">
        <v>0.04</v>
      </c>
      <c r="K89" s="245">
        <v>-8.57</v>
      </c>
      <c r="L89" s="245">
        <v>42.31</v>
      </c>
      <c r="M89" s="245">
        <v>5.01</v>
      </c>
    </row>
    <row r="90" spans="1:13">
      <c r="A90">
        <v>1455</v>
      </c>
      <c r="B90" t="s">
        <v>4853</v>
      </c>
      <c r="C90">
        <v>53.16</v>
      </c>
      <c r="D90">
        <v>2393</v>
      </c>
      <c r="E90">
        <v>331</v>
      </c>
      <c r="F90">
        <v>-19</v>
      </c>
      <c r="G90">
        <v>3</v>
      </c>
      <c r="H90">
        <v>5.78</v>
      </c>
      <c r="I90">
        <v>0.8</v>
      </c>
      <c r="J90">
        <v>1.73</v>
      </c>
      <c r="K90" s="245">
        <v>-53.37</v>
      </c>
      <c r="L90" s="245">
        <v>14.6</v>
      </c>
      <c r="M90" s="245">
        <v>40.28</v>
      </c>
    </row>
    <row r="91" spans="1:13">
      <c r="A91">
        <v>1456</v>
      </c>
      <c r="B91" t="s">
        <v>4854</v>
      </c>
      <c r="C91">
        <v>9.3699999999999992</v>
      </c>
      <c r="D91">
        <v>567</v>
      </c>
      <c r="E91">
        <v>287</v>
      </c>
      <c r="F91">
        <v>2</v>
      </c>
      <c r="G91">
        <v>-26</v>
      </c>
      <c r="H91">
        <v>24.73</v>
      </c>
      <c r="I91">
        <v>1.5</v>
      </c>
      <c r="J91">
        <v>4.8499999999999996</v>
      </c>
      <c r="K91" s="245">
        <v>-39.119999999999997</v>
      </c>
      <c r="L91" s="245">
        <v>26.75</v>
      </c>
      <c r="M91" s="245">
        <v>10.119999999999999</v>
      </c>
    </row>
    <row r="92" spans="1:13">
      <c r="A92">
        <v>1457</v>
      </c>
      <c r="B92" t="s">
        <v>4855</v>
      </c>
      <c r="C92">
        <v>30.16</v>
      </c>
      <c r="D92">
        <v>-34</v>
      </c>
      <c r="E92">
        <v>-63</v>
      </c>
      <c r="F92">
        <v>-7</v>
      </c>
      <c r="G92">
        <v>12</v>
      </c>
      <c r="H92">
        <v>7.96</v>
      </c>
      <c r="I92">
        <v>1</v>
      </c>
      <c r="J92">
        <v>0.9</v>
      </c>
      <c r="K92" s="245">
        <v>-16.170000000000002</v>
      </c>
      <c r="L92" s="245">
        <v>32.76</v>
      </c>
      <c r="M92" s="245">
        <v>17.059999999999999</v>
      </c>
    </row>
    <row r="93" spans="1:13">
      <c r="A93">
        <v>1459</v>
      </c>
      <c r="B93" t="s">
        <v>4856</v>
      </c>
      <c r="C93">
        <v>35.86</v>
      </c>
      <c r="D93">
        <v>514</v>
      </c>
      <c r="E93">
        <v>71</v>
      </c>
      <c r="F93">
        <v>-8</v>
      </c>
      <c r="G93">
        <v>-1</v>
      </c>
      <c r="H93">
        <v>-2.57</v>
      </c>
      <c r="I93">
        <v>0.2</v>
      </c>
      <c r="J93">
        <v>2.0099999999999998</v>
      </c>
      <c r="K93" s="245">
        <v>-40.6</v>
      </c>
      <c r="L93" s="245">
        <v>13.25</v>
      </c>
      <c r="M93" s="245">
        <v>4.8899999999999997</v>
      </c>
    </row>
    <row r="94" spans="1:13">
      <c r="A94">
        <v>1460</v>
      </c>
      <c r="B94" t="s">
        <v>6237</v>
      </c>
      <c r="C94">
        <v>69.459999999999994</v>
      </c>
      <c r="D94">
        <v>119</v>
      </c>
      <c r="E94">
        <v>142</v>
      </c>
      <c r="F94">
        <v>18</v>
      </c>
      <c r="G94">
        <v>30</v>
      </c>
      <c r="H94">
        <v>3.64</v>
      </c>
      <c r="I94">
        <v>0</v>
      </c>
      <c r="J94">
        <v>0.39</v>
      </c>
      <c r="K94" s="245">
        <v>-45.59</v>
      </c>
      <c r="L94" s="245">
        <v>34.479999999999997</v>
      </c>
      <c r="M94" s="245">
        <v>5.92</v>
      </c>
    </row>
    <row r="95" spans="1:13">
      <c r="A95">
        <v>1463</v>
      </c>
      <c r="B95" t="s">
        <v>4857</v>
      </c>
      <c r="C95">
        <v>17.32</v>
      </c>
      <c r="D95">
        <v>34</v>
      </c>
      <c r="E95">
        <v>-113</v>
      </c>
      <c r="F95">
        <v>-8</v>
      </c>
      <c r="G95">
        <v>5</v>
      </c>
      <c r="H95">
        <v>-0.25</v>
      </c>
      <c r="I95">
        <v>0.4</v>
      </c>
      <c r="J95">
        <v>0.49</v>
      </c>
      <c r="K95" s="245">
        <v>-28.46</v>
      </c>
      <c r="L95" s="245">
        <v>53.52</v>
      </c>
      <c r="M95" s="245">
        <v>10.98</v>
      </c>
    </row>
    <row r="96" spans="1:13">
      <c r="A96">
        <v>1464</v>
      </c>
      <c r="B96" t="s">
        <v>4858</v>
      </c>
      <c r="C96">
        <v>38.450000000000003</v>
      </c>
      <c r="D96">
        <v>194</v>
      </c>
      <c r="E96">
        <v>11661</v>
      </c>
      <c r="F96">
        <v>-11</v>
      </c>
      <c r="G96">
        <v>18</v>
      </c>
      <c r="H96">
        <v>3.54</v>
      </c>
      <c r="I96">
        <v>0.25</v>
      </c>
      <c r="J96">
        <v>0.48</v>
      </c>
      <c r="K96" s="245">
        <v>-25.27</v>
      </c>
      <c r="L96" s="245">
        <v>17.7</v>
      </c>
      <c r="M96" s="245">
        <v>2.4500000000000002</v>
      </c>
    </row>
    <row r="97" spans="1:13">
      <c r="A97">
        <v>1465</v>
      </c>
      <c r="B97" t="s">
        <v>4859</v>
      </c>
      <c r="C97">
        <v>10.36</v>
      </c>
      <c r="D97">
        <v>-282</v>
      </c>
      <c r="E97">
        <v>-83</v>
      </c>
      <c r="F97">
        <v>-63</v>
      </c>
      <c r="G97">
        <v>23</v>
      </c>
      <c r="H97">
        <v>-7</v>
      </c>
      <c r="I97">
        <v>0.3</v>
      </c>
      <c r="J97">
        <v>-0.93</v>
      </c>
      <c r="K97" s="245">
        <v>-8.42</v>
      </c>
      <c r="L97" s="245">
        <v>58.18</v>
      </c>
      <c r="M97" s="245">
        <v>0.67</v>
      </c>
    </row>
    <row r="98" spans="1:13">
      <c r="A98">
        <v>1466</v>
      </c>
      <c r="B98" t="s">
        <v>4860</v>
      </c>
      <c r="C98">
        <v>11.11</v>
      </c>
      <c r="D98">
        <v>340</v>
      </c>
      <c r="E98">
        <v>1512</v>
      </c>
      <c r="F98">
        <v>51</v>
      </c>
      <c r="G98">
        <v>1</v>
      </c>
      <c r="H98">
        <v>6.66</v>
      </c>
      <c r="I98">
        <v>1</v>
      </c>
      <c r="J98">
        <v>1.6</v>
      </c>
      <c r="K98" s="245">
        <v>-35.35</v>
      </c>
      <c r="L98" s="245">
        <v>30.43</v>
      </c>
      <c r="M98" s="245">
        <v>25.17</v>
      </c>
    </row>
    <row r="99" spans="1:13">
      <c r="A99">
        <v>1467</v>
      </c>
      <c r="B99" t="s">
        <v>4861</v>
      </c>
      <c r="C99">
        <v>23.36</v>
      </c>
      <c r="D99">
        <v>-125</v>
      </c>
      <c r="E99">
        <v>-78</v>
      </c>
      <c r="F99">
        <v>30</v>
      </c>
      <c r="G99">
        <v>18</v>
      </c>
      <c r="H99">
        <v>1.42</v>
      </c>
      <c r="I99">
        <v>0</v>
      </c>
      <c r="J99">
        <v>-0.13</v>
      </c>
      <c r="K99" s="245">
        <v>-23.82</v>
      </c>
      <c r="L99" s="245">
        <v>23</v>
      </c>
      <c r="M99" s="245">
        <v>6.85</v>
      </c>
    </row>
    <row r="100" spans="1:13">
      <c r="A100">
        <v>1468</v>
      </c>
      <c r="B100" t="s">
        <v>6451</v>
      </c>
      <c r="C100">
        <v>16.04</v>
      </c>
      <c r="D100">
        <v>-68</v>
      </c>
      <c r="E100">
        <v>10</v>
      </c>
      <c r="F100">
        <v>-2</v>
      </c>
      <c r="G100">
        <v>-8</v>
      </c>
      <c r="H100">
        <v>-0.18</v>
      </c>
      <c r="I100">
        <v>0</v>
      </c>
      <c r="J100">
        <v>0.06</v>
      </c>
      <c r="K100" s="245">
        <v>-16.43</v>
      </c>
      <c r="L100" s="245">
        <v>51.65</v>
      </c>
      <c r="M100" s="245">
        <v>0.25</v>
      </c>
    </row>
    <row r="101" spans="1:13">
      <c r="A101">
        <v>1470</v>
      </c>
      <c r="B101" t="s">
        <v>4862</v>
      </c>
      <c r="C101">
        <v>8.57</v>
      </c>
      <c r="D101">
        <v>84</v>
      </c>
      <c r="E101">
        <v>318</v>
      </c>
      <c r="F101">
        <v>-44</v>
      </c>
      <c r="G101">
        <v>-5</v>
      </c>
      <c r="H101">
        <v>8.9</v>
      </c>
      <c r="I101">
        <v>0.8</v>
      </c>
      <c r="J101">
        <v>0.76</v>
      </c>
      <c r="K101" s="245">
        <v>-16.190000000000001</v>
      </c>
      <c r="L101" s="245">
        <v>60.96</v>
      </c>
      <c r="M101" s="245">
        <v>1.61</v>
      </c>
    </row>
    <row r="102" spans="1:13">
      <c r="A102">
        <v>1471</v>
      </c>
      <c r="B102" t="s">
        <v>6452</v>
      </c>
      <c r="C102">
        <v>15.04</v>
      </c>
      <c r="D102">
        <v>-104</v>
      </c>
      <c r="E102">
        <v>-34</v>
      </c>
      <c r="F102">
        <v>70</v>
      </c>
      <c r="G102">
        <v>-60</v>
      </c>
      <c r="H102">
        <v>-39.67</v>
      </c>
      <c r="I102">
        <v>0</v>
      </c>
      <c r="J102">
        <v>-0.12</v>
      </c>
      <c r="K102" s="245">
        <v>-47.98</v>
      </c>
      <c r="L102" s="245">
        <v>15.1</v>
      </c>
      <c r="M102" s="245">
        <v>10.3</v>
      </c>
    </row>
    <row r="103" spans="1:13">
      <c r="A103">
        <v>1472</v>
      </c>
      <c r="B103" t="s">
        <v>6453</v>
      </c>
      <c r="C103">
        <v>2.4900000000000002</v>
      </c>
      <c r="D103">
        <v>92</v>
      </c>
      <c r="E103">
        <v>105</v>
      </c>
      <c r="F103">
        <v>105</v>
      </c>
      <c r="G103">
        <v>268</v>
      </c>
      <c r="H103">
        <v>1.71</v>
      </c>
      <c r="I103">
        <v>0</v>
      </c>
      <c r="J103">
        <v>-1.22</v>
      </c>
      <c r="K103" s="245">
        <v>-42.97</v>
      </c>
      <c r="L103" s="245">
        <v>7.5</v>
      </c>
      <c r="M103" s="245">
        <v>2.64</v>
      </c>
    </row>
    <row r="104" spans="1:13">
      <c r="A104">
        <v>1473</v>
      </c>
      <c r="B104" t="s">
        <v>4863</v>
      </c>
      <c r="C104">
        <v>14.71</v>
      </c>
      <c r="D104">
        <v>61</v>
      </c>
      <c r="E104">
        <v>52</v>
      </c>
      <c r="F104">
        <v>1</v>
      </c>
      <c r="G104">
        <v>26</v>
      </c>
      <c r="H104">
        <v>-2.72</v>
      </c>
      <c r="I104">
        <v>0.1</v>
      </c>
      <c r="J104">
        <v>-0.92</v>
      </c>
      <c r="K104" s="245">
        <v>-5.13</v>
      </c>
      <c r="L104" s="245">
        <v>39.090000000000003</v>
      </c>
      <c r="M104" s="245">
        <v>0.57999999999999996</v>
      </c>
    </row>
    <row r="105" spans="1:13">
      <c r="A105">
        <v>1474</v>
      </c>
      <c r="B105" t="s">
        <v>4864</v>
      </c>
      <c r="C105">
        <v>12.98</v>
      </c>
      <c r="D105">
        <v>39</v>
      </c>
      <c r="E105">
        <v>105</v>
      </c>
      <c r="F105">
        <v>-12</v>
      </c>
      <c r="G105">
        <v>15</v>
      </c>
      <c r="H105">
        <v>4.0199999999999996</v>
      </c>
      <c r="I105">
        <v>0.5</v>
      </c>
      <c r="J105">
        <v>1.1100000000000001</v>
      </c>
      <c r="K105" s="245">
        <v>-27.82</v>
      </c>
      <c r="L105" s="245">
        <v>10.93</v>
      </c>
      <c r="M105" s="245">
        <v>26.36</v>
      </c>
    </row>
    <row r="106" spans="1:13">
      <c r="A106">
        <v>1475</v>
      </c>
      <c r="B106" t="s">
        <v>6310</v>
      </c>
      <c r="C106">
        <v>2.6</v>
      </c>
      <c r="D106">
        <v>2005</v>
      </c>
      <c r="E106">
        <v>469</v>
      </c>
      <c r="F106">
        <v>-9</v>
      </c>
      <c r="G106">
        <v>758</v>
      </c>
      <c r="H106">
        <v>17.03</v>
      </c>
      <c r="I106">
        <v>0</v>
      </c>
      <c r="J106">
        <v>3.66</v>
      </c>
      <c r="K106" s="245">
        <v>-14.82</v>
      </c>
      <c r="L106" s="245">
        <v>48.95</v>
      </c>
      <c r="M106" s="245">
        <v>3.24</v>
      </c>
    </row>
    <row r="107" spans="1:13">
      <c r="A107">
        <v>1476</v>
      </c>
      <c r="B107" t="s">
        <v>4865</v>
      </c>
      <c r="C107">
        <v>27.43</v>
      </c>
      <c r="D107">
        <v>21</v>
      </c>
      <c r="E107">
        <v>16</v>
      </c>
      <c r="F107">
        <v>0</v>
      </c>
      <c r="G107">
        <v>17</v>
      </c>
      <c r="H107">
        <v>17.809999999999999</v>
      </c>
      <c r="I107">
        <v>12</v>
      </c>
      <c r="J107">
        <v>18.77</v>
      </c>
      <c r="K107" s="245">
        <v>-30.44</v>
      </c>
      <c r="L107" s="245">
        <v>46.22</v>
      </c>
      <c r="M107" s="245">
        <v>1.79</v>
      </c>
    </row>
    <row r="108" spans="1:13">
      <c r="A108">
        <v>1477</v>
      </c>
      <c r="B108" t="s">
        <v>4866</v>
      </c>
      <c r="C108">
        <v>24.18</v>
      </c>
      <c r="D108">
        <v>28</v>
      </c>
      <c r="E108">
        <v>26</v>
      </c>
      <c r="F108">
        <v>-9</v>
      </c>
      <c r="G108">
        <v>-1</v>
      </c>
      <c r="H108">
        <v>11.69</v>
      </c>
      <c r="I108">
        <v>9.5</v>
      </c>
      <c r="J108">
        <v>11.2</v>
      </c>
      <c r="K108" s="245">
        <v>-42.73</v>
      </c>
      <c r="L108" s="245">
        <v>11.59</v>
      </c>
      <c r="M108" s="245">
        <v>3.53</v>
      </c>
    </row>
    <row r="109" spans="1:13">
      <c r="A109">
        <v>1503</v>
      </c>
      <c r="B109" t="s">
        <v>4867</v>
      </c>
      <c r="C109">
        <v>52.09</v>
      </c>
      <c r="D109">
        <v>19</v>
      </c>
      <c r="E109">
        <v>2</v>
      </c>
      <c r="F109">
        <v>36</v>
      </c>
      <c r="G109">
        <v>9</v>
      </c>
      <c r="H109">
        <v>7.22</v>
      </c>
      <c r="I109">
        <v>1.8</v>
      </c>
      <c r="J109">
        <v>3.46</v>
      </c>
      <c r="K109" s="245">
        <v>-3.41</v>
      </c>
      <c r="L109" s="245">
        <v>63.36</v>
      </c>
      <c r="M109" s="245">
        <v>0.42</v>
      </c>
    </row>
    <row r="110" spans="1:13">
      <c r="A110">
        <v>1504</v>
      </c>
      <c r="B110" t="s">
        <v>4868</v>
      </c>
      <c r="C110">
        <v>213</v>
      </c>
      <c r="D110">
        <v>44</v>
      </c>
      <c r="E110">
        <v>43</v>
      </c>
      <c r="F110">
        <v>31</v>
      </c>
      <c r="G110">
        <v>15</v>
      </c>
      <c r="H110">
        <v>9.65</v>
      </c>
      <c r="I110">
        <v>1.35</v>
      </c>
      <c r="J110">
        <v>2.38</v>
      </c>
      <c r="K110" s="245">
        <v>-14.86</v>
      </c>
      <c r="L110" s="245">
        <v>40.130000000000003</v>
      </c>
      <c r="M110" s="245">
        <v>0.98</v>
      </c>
    </row>
    <row r="111" spans="1:13">
      <c r="A111">
        <v>1506</v>
      </c>
      <c r="B111" t="s">
        <v>6454</v>
      </c>
      <c r="C111">
        <v>26.32</v>
      </c>
      <c r="D111">
        <v>113</v>
      </c>
      <c r="E111">
        <v>85</v>
      </c>
      <c r="F111">
        <v>5</v>
      </c>
      <c r="G111">
        <v>51</v>
      </c>
      <c r="H111">
        <v>-2.88</v>
      </c>
      <c r="I111">
        <v>0</v>
      </c>
      <c r="J111">
        <v>0.26</v>
      </c>
      <c r="K111" s="245">
        <v>-19.16</v>
      </c>
      <c r="L111" s="245">
        <v>55.81</v>
      </c>
      <c r="M111" s="245">
        <v>2.93</v>
      </c>
    </row>
    <row r="112" spans="1:13">
      <c r="A112">
        <v>1512</v>
      </c>
      <c r="B112" t="s">
        <v>6455</v>
      </c>
      <c r="C112">
        <v>25.33</v>
      </c>
      <c r="D112">
        <v>-20</v>
      </c>
      <c r="E112">
        <v>-16</v>
      </c>
      <c r="F112">
        <v>68</v>
      </c>
      <c r="G112">
        <v>-15</v>
      </c>
      <c r="H112">
        <v>-16.27</v>
      </c>
      <c r="I112">
        <v>0</v>
      </c>
      <c r="J112">
        <v>-0.65</v>
      </c>
      <c r="K112" s="245">
        <v>-41.81</v>
      </c>
      <c r="L112" s="245">
        <v>4.6100000000000003</v>
      </c>
      <c r="M112" s="245">
        <v>0.93</v>
      </c>
    </row>
    <row r="113" spans="1:13">
      <c r="A113">
        <v>1513</v>
      </c>
      <c r="B113" t="s">
        <v>4869</v>
      </c>
      <c r="C113">
        <v>47.61</v>
      </c>
      <c r="D113">
        <v>27</v>
      </c>
      <c r="E113">
        <v>55</v>
      </c>
      <c r="F113">
        <v>37</v>
      </c>
      <c r="G113">
        <v>-10</v>
      </c>
      <c r="H113">
        <v>14.86</v>
      </c>
      <c r="I113">
        <v>2.8</v>
      </c>
      <c r="J113">
        <v>4.1900000000000004</v>
      </c>
      <c r="K113" s="245">
        <v>-15.11</v>
      </c>
      <c r="L113" s="245">
        <v>58.91</v>
      </c>
      <c r="M113" s="245">
        <v>13.78</v>
      </c>
    </row>
    <row r="114" spans="1:13">
      <c r="A114">
        <v>1514</v>
      </c>
      <c r="B114" t="s">
        <v>4870</v>
      </c>
      <c r="C114">
        <v>22.83</v>
      </c>
      <c r="D114">
        <v>15</v>
      </c>
      <c r="E114">
        <v>7</v>
      </c>
      <c r="F114">
        <v>1</v>
      </c>
      <c r="G114">
        <v>55</v>
      </c>
      <c r="H114">
        <v>6.62</v>
      </c>
      <c r="I114">
        <v>1.25</v>
      </c>
      <c r="J114">
        <v>1.6</v>
      </c>
      <c r="K114" s="245">
        <v>-13.83</v>
      </c>
      <c r="L114" s="245">
        <v>41</v>
      </c>
      <c r="M114" s="245">
        <v>12.54</v>
      </c>
    </row>
    <row r="115" spans="1:13">
      <c r="A115">
        <v>1515</v>
      </c>
      <c r="B115" t="s">
        <v>4871</v>
      </c>
      <c r="C115">
        <v>18.14</v>
      </c>
      <c r="D115">
        <v>28</v>
      </c>
      <c r="E115">
        <v>23</v>
      </c>
      <c r="F115">
        <v>-8</v>
      </c>
      <c r="G115">
        <v>-76</v>
      </c>
      <c r="H115">
        <v>7.76</v>
      </c>
      <c r="I115">
        <v>3</v>
      </c>
      <c r="J115">
        <v>5.8</v>
      </c>
      <c r="K115" s="245">
        <v>-56.96</v>
      </c>
      <c r="L115" s="245">
        <v>13.65</v>
      </c>
      <c r="M115" s="245">
        <v>7.7</v>
      </c>
    </row>
    <row r="116" spans="1:13">
      <c r="A116">
        <v>1516</v>
      </c>
      <c r="B116" t="s">
        <v>4872</v>
      </c>
      <c r="C116">
        <v>3.56</v>
      </c>
      <c r="D116">
        <v>114</v>
      </c>
      <c r="E116">
        <v>55</v>
      </c>
      <c r="F116">
        <v>-99</v>
      </c>
      <c r="G116">
        <v>-99</v>
      </c>
      <c r="H116">
        <v>3.71</v>
      </c>
      <c r="I116">
        <v>1.55</v>
      </c>
      <c r="J116">
        <v>1.72</v>
      </c>
      <c r="K116" s="245">
        <v>-31.07</v>
      </c>
      <c r="L116" s="245">
        <v>20.23</v>
      </c>
      <c r="M116" s="245">
        <v>31.16</v>
      </c>
    </row>
    <row r="117" spans="1:13">
      <c r="A117">
        <v>1517</v>
      </c>
      <c r="B117" t="s">
        <v>4873</v>
      </c>
      <c r="C117">
        <v>22.56</v>
      </c>
      <c r="D117">
        <v>144</v>
      </c>
      <c r="E117">
        <v>232</v>
      </c>
      <c r="F117">
        <v>70</v>
      </c>
      <c r="G117">
        <v>26</v>
      </c>
      <c r="H117">
        <v>9.33</v>
      </c>
      <c r="I117">
        <v>0.8</v>
      </c>
      <c r="J117">
        <v>2</v>
      </c>
      <c r="K117" s="245">
        <v>-37.94</v>
      </c>
      <c r="L117" s="245">
        <v>13.34</v>
      </c>
      <c r="M117" s="245">
        <v>14.49</v>
      </c>
    </row>
    <row r="118" spans="1:13">
      <c r="A118">
        <v>1519</v>
      </c>
      <c r="B118" t="s">
        <v>4874</v>
      </c>
      <c r="C118">
        <v>26.1</v>
      </c>
      <c r="D118">
        <v>-37</v>
      </c>
      <c r="E118">
        <v>-17</v>
      </c>
      <c r="F118">
        <v>8</v>
      </c>
      <c r="G118">
        <v>-19</v>
      </c>
      <c r="H118">
        <v>4.3499999999999996</v>
      </c>
      <c r="I118">
        <v>1</v>
      </c>
      <c r="J118">
        <v>1.1100000000000001</v>
      </c>
      <c r="K118" s="245">
        <v>-26.93</v>
      </c>
      <c r="L118" s="245">
        <v>26.23</v>
      </c>
      <c r="M118" s="245">
        <v>7.78</v>
      </c>
    </row>
    <row r="119" spans="1:13">
      <c r="A119">
        <v>1521</v>
      </c>
      <c r="B119" t="s">
        <v>4875</v>
      </c>
      <c r="C119">
        <v>7.62</v>
      </c>
      <c r="D119">
        <v>-48</v>
      </c>
      <c r="E119">
        <v>-31</v>
      </c>
      <c r="F119">
        <v>26</v>
      </c>
      <c r="G119">
        <v>-10</v>
      </c>
      <c r="H119">
        <v>2.5499999999999998</v>
      </c>
      <c r="I119">
        <v>0.6</v>
      </c>
      <c r="J119">
        <v>1.08</v>
      </c>
      <c r="K119" s="245">
        <v>-27.23</v>
      </c>
      <c r="L119" s="245">
        <v>8.92</v>
      </c>
      <c r="M119" s="245">
        <v>0.83</v>
      </c>
    </row>
    <row r="120" spans="1:13">
      <c r="A120">
        <v>1522</v>
      </c>
      <c r="B120" t="s">
        <v>4876</v>
      </c>
      <c r="C120">
        <v>31.28</v>
      </c>
      <c r="D120">
        <v>-17</v>
      </c>
      <c r="E120">
        <v>60</v>
      </c>
      <c r="F120">
        <v>27</v>
      </c>
      <c r="G120">
        <v>21</v>
      </c>
      <c r="H120">
        <v>2.59</v>
      </c>
      <c r="I120">
        <v>0.5</v>
      </c>
      <c r="J120">
        <v>0.62</v>
      </c>
      <c r="K120" s="245">
        <v>-15.79</v>
      </c>
      <c r="L120" s="245">
        <v>78.69</v>
      </c>
      <c r="M120" s="245">
        <v>2.17</v>
      </c>
    </row>
    <row r="121" spans="1:13">
      <c r="A121">
        <v>1524</v>
      </c>
      <c r="B121" t="s">
        <v>4877</v>
      </c>
      <c r="C121">
        <v>16.53</v>
      </c>
      <c r="D121">
        <v>69</v>
      </c>
      <c r="E121">
        <v>51</v>
      </c>
      <c r="F121">
        <v>92</v>
      </c>
      <c r="G121">
        <v>29</v>
      </c>
      <c r="H121">
        <v>4.26</v>
      </c>
      <c r="I121">
        <v>0.3</v>
      </c>
      <c r="J121">
        <v>0.38</v>
      </c>
      <c r="K121" s="245">
        <v>-6.67</v>
      </c>
      <c r="L121" s="245">
        <v>76.53</v>
      </c>
      <c r="M121" s="245">
        <v>29.62</v>
      </c>
    </row>
    <row r="122" spans="1:13">
      <c r="A122">
        <v>1525</v>
      </c>
      <c r="B122" t="s">
        <v>4878</v>
      </c>
      <c r="C122">
        <v>7.34</v>
      </c>
      <c r="D122">
        <v>-5</v>
      </c>
      <c r="E122">
        <v>130</v>
      </c>
      <c r="F122">
        <v>31</v>
      </c>
      <c r="G122">
        <v>4</v>
      </c>
      <c r="H122">
        <v>1.1399999999999999</v>
      </c>
      <c r="I122">
        <v>2.1</v>
      </c>
      <c r="J122">
        <v>4.18</v>
      </c>
      <c r="K122" s="245">
        <v>-26.27</v>
      </c>
      <c r="L122" s="245">
        <v>25.41</v>
      </c>
      <c r="M122" s="245">
        <v>0.95</v>
      </c>
    </row>
    <row r="123" spans="1:13">
      <c r="A123">
        <v>1526</v>
      </c>
      <c r="B123" t="s">
        <v>4879</v>
      </c>
      <c r="C123">
        <v>6</v>
      </c>
      <c r="D123">
        <v>47</v>
      </c>
      <c r="E123">
        <v>156</v>
      </c>
      <c r="F123">
        <v>-8</v>
      </c>
      <c r="G123">
        <v>24</v>
      </c>
      <c r="H123">
        <v>18</v>
      </c>
      <c r="I123">
        <v>2.6</v>
      </c>
      <c r="J123">
        <v>4.38</v>
      </c>
      <c r="K123" s="245">
        <v>-26.9</v>
      </c>
      <c r="L123" s="245">
        <v>41.08</v>
      </c>
      <c r="M123" s="245">
        <v>17.11</v>
      </c>
    </row>
    <row r="124" spans="1:13">
      <c r="A124">
        <v>1527</v>
      </c>
      <c r="B124" t="s">
        <v>4880</v>
      </c>
      <c r="C124">
        <v>13.85</v>
      </c>
      <c r="D124">
        <v>14</v>
      </c>
      <c r="E124">
        <v>8</v>
      </c>
      <c r="F124">
        <v>80</v>
      </c>
      <c r="G124">
        <v>9</v>
      </c>
      <c r="H124">
        <v>13.36</v>
      </c>
      <c r="I124">
        <v>2.4</v>
      </c>
      <c r="J124">
        <v>3.37</v>
      </c>
      <c r="K124" s="245">
        <v>-21.79</v>
      </c>
      <c r="L124" s="245">
        <v>56.73</v>
      </c>
      <c r="M124" s="245">
        <v>10.47</v>
      </c>
    </row>
    <row r="125" spans="1:13">
      <c r="A125">
        <v>1528</v>
      </c>
      <c r="B125" t="s">
        <v>4881</v>
      </c>
      <c r="C125">
        <v>19.93</v>
      </c>
      <c r="D125">
        <v>285</v>
      </c>
      <c r="E125">
        <v>153</v>
      </c>
      <c r="F125">
        <v>81</v>
      </c>
      <c r="G125">
        <v>5</v>
      </c>
      <c r="H125">
        <v>1.98</v>
      </c>
      <c r="I125">
        <v>0.1</v>
      </c>
      <c r="J125">
        <v>1.1399999999999999</v>
      </c>
      <c r="K125" s="245">
        <v>-30.31</v>
      </c>
      <c r="L125" s="245">
        <v>9.57</v>
      </c>
      <c r="M125" s="245">
        <v>10.1</v>
      </c>
    </row>
    <row r="126" spans="1:13">
      <c r="A126">
        <v>1529</v>
      </c>
      <c r="B126" t="s">
        <v>4882</v>
      </c>
      <c r="C126">
        <v>13.59</v>
      </c>
      <c r="D126">
        <v>81</v>
      </c>
      <c r="E126">
        <v>65</v>
      </c>
      <c r="F126">
        <v>421</v>
      </c>
      <c r="G126">
        <v>270</v>
      </c>
      <c r="H126">
        <v>32.799999999999997</v>
      </c>
      <c r="I126">
        <v>0.9</v>
      </c>
      <c r="J126">
        <v>1.03</v>
      </c>
      <c r="K126" s="245">
        <v>-45.92</v>
      </c>
      <c r="L126" s="245">
        <v>7.15</v>
      </c>
      <c r="M126" s="245">
        <v>29.89</v>
      </c>
    </row>
    <row r="127" spans="1:13">
      <c r="A127">
        <v>1530</v>
      </c>
      <c r="B127" t="s">
        <v>4883</v>
      </c>
      <c r="C127">
        <v>9.65</v>
      </c>
      <c r="D127">
        <v>-79</v>
      </c>
      <c r="E127">
        <v>601</v>
      </c>
      <c r="F127">
        <v>-6</v>
      </c>
      <c r="G127">
        <v>-57</v>
      </c>
      <c r="H127">
        <v>7.33</v>
      </c>
      <c r="I127">
        <v>1.5</v>
      </c>
      <c r="J127">
        <v>1.35</v>
      </c>
      <c r="K127" s="245">
        <v>-29.56</v>
      </c>
      <c r="L127" s="245">
        <v>17.03</v>
      </c>
      <c r="M127" s="245">
        <v>1.03</v>
      </c>
    </row>
    <row r="128" spans="1:13">
      <c r="A128">
        <v>1531</v>
      </c>
      <c r="B128" t="s">
        <v>4884</v>
      </c>
      <c r="C128">
        <v>18.36</v>
      </c>
      <c r="D128">
        <v>411</v>
      </c>
      <c r="E128">
        <v>369</v>
      </c>
      <c r="F128">
        <v>-32</v>
      </c>
      <c r="G128">
        <v>-20</v>
      </c>
      <c r="H128">
        <v>7.33</v>
      </c>
      <c r="I128">
        <v>0.7</v>
      </c>
      <c r="J128">
        <v>0.94</v>
      </c>
      <c r="K128" s="245">
        <v>-10.33</v>
      </c>
      <c r="L128" s="245">
        <v>32.07</v>
      </c>
      <c r="M128" s="245">
        <v>0.77</v>
      </c>
    </row>
    <row r="129" spans="1:13">
      <c r="A129">
        <v>1532</v>
      </c>
      <c r="B129" t="s">
        <v>4885</v>
      </c>
      <c r="C129">
        <v>37.61</v>
      </c>
      <c r="D129">
        <v>112</v>
      </c>
      <c r="E129">
        <v>43</v>
      </c>
      <c r="F129">
        <v>49</v>
      </c>
      <c r="G129">
        <v>9</v>
      </c>
      <c r="H129">
        <v>9.8699999999999992</v>
      </c>
      <c r="I129">
        <v>2.11</v>
      </c>
      <c r="J129">
        <v>3.22</v>
      </c>
      <c r="K129" s="245">
        <v>-14</v>
      </c>
      <c r="L129" s="245">
        <v>13.03</v>
      </c>
      <c r="M129" s="245">
        <v>1.41</v>
      </c>
    </row>
    <row r="130" spans="1:13">
      <c r="A130">
        <v>1533</v>
      </c>
      <c r="B130" t="s">
        <v>4886</v>
      </c>
      <c r="C130">
        <v>9.85</v>
      </c>
      <c r="D130">
        <v>357</v>
      </c>
      <c r="E130">
        <v>-54</v>
      </c>
      <c r="F130">
        <v>-7</v>
      </c>
      <c r="G130">
        <v>-7</v>
      </c>
      <c r="H130">
        <v>0.99</v>
      </c>
      <c r="I130">
        <v>0.3</v>
      </c>
      <c r="J130">
        <v>0.88</v>
      </c>
      <c r="K130" s="245">
        <v>-23.99</v>
      </c>
      <c r="L130" s="245">
        <v>39.6</v>
      </c>
      <c r="M130" s="245">
        <v>34.85</v>
      </c>
    </row>
    <row r="131" spans="1:13">
      <c r="A131">
        <v>1535</v>
      </c>
      <c r="B131" t="s">
        <v>4887</v>
      </c>
      <c r="C131">
        <v>12.37</v>
      </c>
      <c r="D131">
        <v>104</v>
      </c>
      <c r="E131">
        <v>274</v>
      </c>
      <c r="F131">
        <v>-13</v>
      </c>
      <c r="G131">
        <v>-5</v>
      </c>
      <c r="H131">
        <v>2.86</v>
      </c>
      <c r="I131">
        <v>2.6</v>
      </c>
      <c r="J131">
        <v>3.26</v>
      </c>
      <c r="K131" s="245">
        <v>-5.84</v>
      </c>
      <c r="L131" s="245">
        <v>44.22</v>
      </c>
      <c r="M131" s="245">
        <v>0.76</v>
      </c>
    </row>
    <row r="132" spans="1:13">
      <c r="A132">
        <v>1536</v>
      </c>
      <c r="B132" t="s">
        <v>4888</v>
      </c>
      <c r="C132">
        <v>27.95</v>
      </c>
      <c r="D132">
        <v>19</v>
      </c>
      <c r="E132">
        <v>13</v>
      </c>
      <c r="F132">
        <v>1</v>
      </c>
      <c r="G132">
        <v>13</v>
      </c>
      <c r="H132">
        <v>6.75</v>
      </c>
      <c r="I132">
        <v>1.36</v>
      </c>
      <c r="J132">
        <v>1.23</v>
      </c>
      <c r="K132" s="245">
        <v>-36.090000000000003</v>
      </c>
      <c r="L132" s="245">
        <v>28.31</v>
      </c>
      <c r="M132" s="245">
        <v>2.97</v>
      </c>
    </row>
    <row r="133" spans="1:13">
      <c r="A133">
        <v>1537</v>
      </c>
      <c r="B133" t="s">
        <v>4889</v>
      </c>
      <c r="C133">
        <v>8.1999999999999993</v>
      </c>
      <c r="D133">
        <v>-29</v>
      </c>
      <c r="E133">
        <v>-33</v>
      </c>
      <c r="F133">
        <v>5</v>
      </c>
      <c r="G133">
        <v>6</v>
      </c>
      <c r="H133">
        <v>13.71</v>
      </c>
      <c r="I133">
        <v>7</v>
      </c>
      <c r="J133">
        <v>7.58</v>
      </c>
      <c r="K133" s="245">
        <v>-14.33</v>
      </c>
      <c r="L133" s="245">
        <v>28.36</v>
      </c>
      <c r="M133" s="245">
        <v>1.32</v>
      </c>
    </row>
    <row r="134" spans="1:13">
      <c r="A134">
        <v>1538</v>
      </c>
      <c r="B134" t="s">
        <v>6456</v>
      </c>
      <c r="C134">
        <v>2.64</v>
      </c>
      <c r="D134">
        <v>-1002</v>
      </c>
      <c r="E134">
        <v>15</v>
      </c>
      <c r="F134">
        <v>-43</v>
      </c>
      <c r="G134">
        <v>-38</v>
      </c>
      <c r="H134">
        <v>-26.7</v>
      </c>
      <c r="I134">
        <v>0</v>
      </c>
      <c r="J134">
        <v>-5.13</v>
      </c>
      <c r="K134" s="245">
        <v>-54.82</v>
      </c>
      <c r="L134" s="245">
        <v>8.1999999999999993</v>
      </c>
      <c r="M134" s="245">
        <v>1.1399999999999999</v>
      </c>
    </row>
    <row r="135" spans="1:13">
      <c r="A135">
        <v>1539</v>
      </c>
      <c r="B135" t="s">
        <v>4890</v>
      </c>
      <c r="C135">
        <v>6.53</v>
      </c>
      <c r="D135">
        <v>575</v>
      </c>
      <c r="E135">
        <v>88</v>
      </c>
      <c r="F135">
        <v>27</v>
      </c>
      <c r="G135">
        <v>28</v>
      </c>
      <c r="H135">
        <v>7.4</v>
      </c>
      <c r="I135">
        <v>0.8</v>
      </c>
      <c r="J135">
        <v>1.35</v>
      </c>
      <c r="K135" s="245">
        <v>-13.25</v>
      </c>
      <c r="L135" s="245">
        <v>72.2</v>
      </c>
      <c r="M135" s="245">
        <v>5.72</v>
      </c>
    </row>
    <row r="136" spans="1:13">
      <c r="A136">
        <v>1540</v>
      </c>
      <c r="B136" t="s">
        <v>4891</v>
      </c>
      <c r="C136">
        <v>8.5399999999999991</v>
      </c>
      <c r="D136">
        <v>82</v>
      </c>
      <c r="E136">
        <v>119</v>
      </c>
      <c r="F136">
        <v>408</v>
      </c>
      <c r="G136">
        <v>102</v>
      </c>
      <c r="H136">
        <v>0.4</v>
      </c>
      <c r="I136">
        <v>0.3</v>
      </c>
      <c r="J136">
        <v>-0.04</v>
      </c>
      <c r="K136" s="245">
        <v>-13.74</v>
      </c>
      <c r="L136" s="245">
        <v>52.23</v>
      </c>
      <c r="M136" s="245">
        <v>0.93</v>
      </c>
    </row>
    <row r="137" spans="1:13">
      <c r="A137">
        <v>1541</v>
      </c>
      <c r="B137" t="s">
        <v>4892</v>
      </c>
      <c r="C137">
        <v>7.88</v>
      </c>
      <c r="D137">
        <v>-34</v>
      </c>
      <c r="E137">
        <v>-42</v>
      </c>
      <c r="F137">
        <v>50</v>
      </c>
      <c r="G137">
        <v>20</v>
      </c>
      <c r="H137">
        <v>6.37</v>
      </c>
      <c r="I137">
        <v>2.5</v>
      </c>
      <c r="J137">
        <v>3.8</v>
      </c>
      <c r="K137" s="245">
        <v>-16.86</v>
      </c>
      <c r="L137" s="245">
        <v>34.24</v>
      </c>
      <c r="M137" s="245">
        <v>2.52</v>
      </c>
    </row>
    <row r="138" spans="1:13">
      <c r="A138">
        <v>1558</v>
      </c>
      <c r="B138" t="s">
        <v>4893</v>
      </c>
      <c r="C138">
        <v>6.05</v>
      </c>
      <c r="D138">
        <v>-37</v>
      </c>
      <c r="E138">
        <v>-40</v>
      </c>
      <c r="F138">
        <v>-38</v>
      </c>
      <c r="G138">
        <v>-38</v>
      </c>
      <c r="H138">
        <v>9.23</v>
      </c>
      <c r="I138">
        <v>8.5</v>
      </c>
      <c r="J138">
        <v>8.67</v>
      </c>
      <c r="K138" s="245">
        <v>-19.47</v>
      </c>
      <c r="L138" s="245">
        <v>14.02</v>
      </c>
      <c r="M138" s="245">
        <v>2.38</v>
      </c>
    </row>
    <row r="139" spans="1:13">
      <c r="A139">
        <v>1560</v>
      </c>
      <c r="B139" t="s">
        <v>4894</v>
      </c>
      <c r="C139">
        <v>14.29</v>
      </c>
      <c r="D139">
        <v>33</v>
      </c>
      <c r="E139">
        <v>32</v>
      </c>
      <c r="F139">
        <v>1</v>
      </c>
      <c r="G139">
        <v>22</v>
      </c>
      <c r="H139">
        <v>15.49</v>
      </c>
      <c r="I139">
        <v>2.8</v>
      </c>
      <c r="J139">
        <v>4.78</v>
      </c>
      <c r="K139" s="245">
        <v>-11.87</v>
      </c>
      <c r="L139" s="245">
        <v>57.76</v>
      </c>
      <c r="M139" s="245">
        <v>52.44</v>
      </c>
    </row>
    <row r="140" spans="1:13">
      <c r="A140">
        <v>1565</v>
      </c>
      <c r="B140" t="s">
        <v>4895</v>
      </c>
      <c r="C140">
        <v>5.04</v>
      </c>
      <c r="D140">
        <v>27</v>
      </c>
      <c r="E140">
        <v>23</v>
      </c>
      <c r="F140">
        <v>-26</v>
      </c>
      <c r="G140">
        <v>-7</v>
      </c>
      <c r="H140">
        <v>22.79</v>
      </c>
      <c r="I140">
        <v>15</v>
      </c>
      <c r="J140">
        <v>18.8</v>
      </c>
      <c r="K140" s="245">
        <v>-36.020000000000003</v>
      </c>
      <c r="L140" s="245">
        <v>21.44</v>
      </c>
      <c r="M140" s="245">
        <v>9.67</v>
      </c>
    </row>
    <row r="141" spans="1:13">
      <c r="A141">
        <v>1568</v>
      </c>
      <c r="B141" t="s">
        <v>4896</v>
      </c>
      <c r="C141">
        <v>10.3</v>
      </c>
      <c r="D141">
        <v>187</v>
      </c>
      <c r="E141">
        <v>259</v>
      </c>
      <c r="F141">
        <v>-27</v>
      </c>
      <c r="G141">
        <v>-16</v>
      </c>
      <c r="H141">
        <v>1.8</v>
      </c>
      <c r="I141">
        <v>0.3</v>
      </c>
      <c r="J141">
        <v>0.28999999999999998</v>
      </c>
      <c r="K141" s="245">
        <v>-38.51</v>
      </c>
      <c r="L141" s="245">
        <v>15.28</v>
      </c>
      <c r="M141" s="245">
        <v>5.56</v>
      </c>
    </row>
    <row r="142" spans="1:13">
      <c r="A142">
        <v>1569</v>
      </c>
      <c r="B142" t="s">
        <v>4897</v>
      </c>
      <c r="C142">
        <v>12.14</v>
      </c>
      <c r="D142">
        <v>-18</v>
      </c>
      <c r="E142">
        <v>-31</v>
      </c>
      <c r="F142">
        <v>-30</v>
      </c>
      <c r="G142">
        <v>56</v>
      </c>
      <c r="H142">
        <v>8.56</v>
      </c>
      <c r="I142">
        <v>1.6</v>
      </c>
      <c r="J142">
        <v>2.62</v>
      </c>
      <c r="K142" s="245">
        <v>-21.93</v>
      </c>
      <c r="L142" s="245">
        <v>51.29</v>
      </c>
      <c r="M142" s="245">
        <v>20.29</v>
      </c>
    </row>
    <row r="143" spans="1:13">
      <c r="A143">
        <v>1570</v>
      </c>
      <c r="B143" t="s">
        <v>4898</v>
      </c>
      <c r="C143">
        <v>5.15</v>
      </c>
      <c r="D143">
        <v>181</v>
      </c>
      <c r="E143">
        <v>63</v>
      </c>
      <c r="F143">
        <v>141</v>
      </c>
      <c r="G143">
        <v>6</v>
      </c>
      <c r="H143">
        <v>15.31</v>
      </c>
      <c r="I143">
        <v>1</v>
      </c>
      <c r="J143">
        <v>2.61</v>
      </c>
      <c r="K143" s="245">
        <v>-37.43</v>
      </c>
      <c r="L143" s="245">
        <v>22.23</v>
      </c>
      <c r="M143" s="245">
        <v>33.06</v>
      </c>
    </row>
    <row r="144" spans="1:13">
      <c r="A144">
        <v>1580</v>
      </c>
      <c r="B144" t="s">
        <v>4899</v>
      </c>
      <c r="C144">
        <v>5.0199999999999996</v>
      </c>
      <c r="D144">
        <v>46</v>
      </c>
      <c r="E144">
        <v>41</v>
      </c>
      <c r="F144">
        <v>45</v>
      </c>
      <c r="G144">
        <v>0</v>
      </c>
      <c r="H144">
        <v>16.12</v>
      </c>
      <c r="I144">
        <v>7</v>
      </c>
      <c r="J144">
        <v>10.16</v>
      </c>
      <c r="K144" s="245">
        <v>-10.27</v>
      </c>
      <c r="L144" s="245">
        <v>26.39</v>
      </c>
      <c r="M144" s="245">
        <v>1.55</v>
      </c>
    </row>
    <row r="145" spans="1:13">
      <c r="A145">
        <v>1582</v>
      </c>
      <c r="B145" t="s">
        <v>4900</v>
      </c>
      <c r="C145">
        <v>12.37</v>
      </c>
      <c r="D145">
        <v>-75</v>
      </c>
      <c r="E145">
        <v>-74</v>
      </c>
      <c r="F145">
        <v>-29</v>
      </c>
      <c r="G145">
        <v>-12</v>
      </c>
      <c r="H145">
        <v>3.87</v>
      </c>
      <c r="I145">
        <v>5.3</v>
      </c>
      <c r="J145">
        <v>2.0299999999999998</v>
      </c>
      <c r="K145" s="245">
        <v>-17.88</v>
      </c>
      <c r="L145" s="245">
        <v>51.13</v>
      </c>
      <c r="M145" s="245">
        <v>2.89</v>
      </c>
    </row>
    <row r="146" spans="1:13">
      <c r="A146">
        <v>1583</v>
      </c>
      <c r="B146" t="s">
        <v>4901</v>
      </c>
      <c r="C146">
        <v>11.04</v>
      </c>
      <c r="D146">
        <v>-36</v>
      </c>
      <c r="E146">
        <v>934</v>
      </c>
      <c r="F146">
        <v>14</v>
      </c>
      <c r="G146">
        <v>-37</v>
      </c>
      <c r="H146">
        <v>9</v>
      </c>
      <c r="I146">
        <v>2.5</v>
      </c>
      <c r="J146">
        <v>3.29</v>
      </c>
      <c r="K146" s="245">
        <v>-26.62</v>
      </c>
      <c r="L146" s="245">
        <v>35.75</v>
      </c>
      <c r="M146" s="245">
        <v>0.97</v>
      </c>
    </row>
    <row r="147" spans="1:13">
      <c r="A147">
        <v>1584</v>
      </c>
      <c r="B147" t="s">
        <v>4902</v>
      </c>
      <c r="C147">
        <v>12.24</v>
      </c>
      <c r="D147">
        <v>62</v>
      </c>
      <c r="E147">
        <v>230</v>
      </c>
      <c r="F147">
        <v>65</v>
      </c>
      <c r="G147">
        <v>85</v>
      </c>
      <c r="H147">
        <v>1.26</v>
      </c>
      <c r="I147">
        <v>0.2</v>
      </c>
      <c r="J147">
        <v>0.46</v>
      </c>
      <c r="K147" s="245">
        <v>-8.93</v>
      </c>
      <c r="L147" s="245">
        <v>73.099999999999994</v>
      </c>
      <c r="M147" s="245">
        <v>40.42</v>
      </c>
    </row>
    <row r="148" spans="1:13">
      <c r="A148">
        <v>1586</v>
      </c>
      <c r="B148" t="s">
        <v>4903</v>
      </c>
      <c r="C148">
        <v>8.58</v>
      </c>
      <c r="D148">
        <v>-21</v>
      </c>
      <c r="E148">
        <v>-19</v>
      </c>
      <c r="F148">
        <v>-33</v>
      </c>
      <c r="G148">
        <v>-16</v>
      </c>
      <c r="H148">
        <v>7.02</v>
      </c>
      <c r="I148">
        <v>0.65</v>
      </c>
      <c r="J148">
        <v>1.29</v>
      </c>
      <c r="K148" s="245">
        <v>-15.11</v>
      </c>
      <c r="L148" s="245">
        <v>21.97</v>
      </c>
      <c r="M148" s="245">
        <v>3.88</v>
      </c>
    </row>
    <row r="149" spans="1:13">
      <c r="A149">
        <v>1587</v>
      </c>
      <c r="B149" t="s">
        <v>4904</v>
      </c>
      <c r="C149">
        <v>6.86</v>
      </c>
      <c r="D149">
        <v>-40</v>
      </c>
      <c r="E149">
        <v>19</v>
      </c>
      <c r="F149">
        <v>-3</v>
      </c>
      <c r="G149">
        <v>1</v>
      </c>
      <c r="H149">
        <v>6.66</v>
      </c>
      <c r="I149">
        <v>1</v>
      </c>
      <c r="J149">
        <v>1.49</v>
      </c>
      <c r="K149" s="245">
        <v>-24.36</v>
      </c>
      <c r="L149" s="245">
        <v>23.02</v>
      </c>
      <c r="M149" s="245">
        <v>4.46</v>
      </c>
    </row>
    <row r="150" spans="1:13">
      <c r="A150">
        <v>1589</v>
      </c>
      <c r="B150" t="s">
        <v>4905</v>
      </c>
      <c r="C150">
        <v>11.06</v>
      </c>
      <c r="D150">
        <v>-58</v>
      </c>
      <c r="E150">
        <v>-41</v>
      </c>
      <c r="F150">
        <v>1</v>
      </c>
      <c r="G150">
        <v>-11</v>
      </c>
      <c r="H150">
        <v>3.53</v>
      </c>
      <c r="I150">
        <v>0.6</v>
      </c>
      <c r="J150">
        <v>1.95</v>
      </c>
      <c r="K150" s="245">
        <v>-24.48</v>
      </c>
      <c r="L150" s="245">
        <v>24.38</v>
      </c>
      <c r="M150" s="245">
        <v>19.100000000000001</v>
      </c>
    </row>
    <row r="151" spans="1:13">
      <c r="A151">
        <v>1590</v>
      </c>
      <c r="B151" t="s">
        <v>4906</v>
      </c>
      <c r="C151">
        <v>20</v>
      </c>
      <c r="D151">
        <v>32</v>
      </c>
      <c r="E151">
        <v>37</v>
      </c>
      <c r="F151">
        <v>-20</v>
      </c>
      <c r="G151">
        <v>-6</v>
      </c>
      <c r="H151">
        <v>32.35</v>
      </c>
      <c r="I151">
        <v>13.31</v>
      </c>
      <c r="J151">
        <v>33.67</v>
      </c>
      <c r="K151" s="245">
        <v>-30.93</v>
      </c>
      <c r="L151" s="245">
        <v>22.63</v>
      </c>
      <c r="M151" s="245">
        <v>1.63</v>
      </c>
    </row>
    <row r="152" spans="1:13">
      <c r="A152">
        <v>1591</v>
      </c>
      <c r="B152" t="s">
        <v>4907</v>
      </c>
      <c r="C152">
        <v>3.31</v>
      </c>
      <c r="D152">
        <v>-5</v>
      </c>
      <c r="E152">
        <v>371</v>
      </c>
      <c r="F152">
        <v>9</v>
      </c>
      <c r="G152">
        <v>-6</v>
      </c>
      <c r="H152">
        <v>10.68</v>
      </c>
      <c r="I152">
        <v>1</v>
      </c>
      <c r="J152">
        <v>1.52</v>
      </c>
      <c r="K152" s="245">
        <v>-8.0299999999999994</v>
      </c>
      <c r="L152" s="245">
        <v>74.900000000000006</v>
      </c>
      <c r="M152" s="245">
        <v>26.16</v>
      </c>
    </row>
    <row r="153" spans="1:13">
      <c r="A153">
        <v>1593</v>
      </c>
      <c r="B153" t="s">
        <v>4908</v>
      </c>
      <c r="C153">
        <v>3.52</v>
      </c>
      <c r="D153">
        <v>19</v>
      </c>
      <c r="E153">
        <v>48</v>
      </c>
      <c r="F153">
        <v>7</v>
      </c>
      <c r="G153">
        <v>-56</v>
      </c>
      <c r="H153">
        <v>14.77</v>
      </c>
      <c r="I153">
        <v>3.8</v>
      </c>
      <c r="J153">
        <v>4.9000000000000004</v>
      </c>
      <c r="K153" s="245">
        <v>-40.94</v>
      </c>
      <c r="L153" s="245">
        <v>39.47</v>
      </c>
      <c r="M153" s="245">
        <v>6.74</v>
      </c>
    </row>
    <row r="154" spans="1:13">
      <c r="A154">
        <v>1595</v>
      </c>
      <c r="B154" t="s">
        <v>4909</v>
      </c>
      <c r="C154">
        <v>4.6900000000000004</v>
      </c>
      <c r="D154">
        <v>2014</v>
      </c>
      <c r="E154">
        <v>235</v>
      </c>
      <c r="F154">
        <v>3</v>
      </c>
      <c r="G154">
        <v>-12</v>
      </c>
      <c r="H154">
        <v>10.37</v>
      </c>
      <c r="I154">
        <v>2</v>
      </c>
      <c r="J154">
        <v>3.93</v>
      </c>
      <c r="K154" s="245">
        <v>-29.55</v>
      </c>
      <c r="L154" s="245">
        <v>23.11</v>
      </c>
      <c r="M154" s="245">
        <v>6.45</v>
      </c>
    </row>
    <row r="155" spans="1:13">
      <c r="A155">
        <v>1597</v>
      </c>
      <c r="B155" t="s">
        <v>4910</v>
      </c>
      <c r="C155">
        <v>8.11</v>
      </c>
      <c r="D155">
        <v>52</v>
      </c>
      <c r="E155">
        <v>74</v>
      </c>
      <c r="F155">
        <v>22</v>
      </c>
      <c r="G155">
        <v>-5</v>
      </c>
      <c r="H155">
        <v>26.03</v>
      </c>
      <c r="I155">
        <v>2.5</v>
      </c>
      <c r="J155">
        <v>3.82</v>
      </c>
      <c r="K155" s="245">
        <v>-40.86</v>
      </c>
      <c r="L155" s="245">
        <v>17.510000000000002</v>
      </c>
      <c r="M155" s="245">
        <v>9.83</v>
      </c>
    </row>
    <row r="156" spans="1:13">
      <c r="A156">
        <v>1598</v>
      </c>
      <c r="B156" t="s">
        <v>4911</v>
      </c>
      <c r="C156">
        <v>13.41</v>
      </c>
      <c r="D156">
        <v>-66</v>
      </c>
      <c r="E156">
        <v>-57</v>
      </c>
      <c r="F156">
        <v>15</v>
      </c>
      <c r="G156">
        <v>-35</v>
      </c>
      <c r="H156">
        <v>6.69</v>
      </c>
      <c r="I156">
        <v>2.5</v>
      </c>
      <c r="J156">
        <v>3.48</v>
      </c>
      <c r="K156" s="245">
        <v>-63.56</v>
      </c>
      <c r="L156" s="245">
        <v>14.56</v>
      </c>
      <c r="M156" s="245">
        <v>3.85</v>
      </c>
    </row>
    <row r="157" spans="1:13">
      <c r="A157">
        <v>1599</v>
      </c>
      <c r="B157" t="s">
        <v>4912</v>
      </c>
      <c r="C157">
        <v>7.45</v>
      </c>
      <c r="D157">
        <v>47</v>
      </c>
      <c r="E157">
        <v>66</v>
      </c>
      <c r="F157">
        <v>113</v>
      </c>
      <c r="G157">
        <v>36</v>
      </c>
      <c r="H157">
        <v>11</v>
      </c>
      <c r="I157">
        <v>3</v>
      </c>
      <c r="J157">
        <v>4.72</v>
      </c>
      <c r="K157" s="245">
        <v>-20.32</v>
      </c>
      <c r="L157" s="245">
        <v>26.47</v>
      </c>
      <c r="M157" s="245">
        <v>8.84</v>
      </c>
    </row>
    <row r="158" spans="1:13">
      <c r="A158">
        <v>1603</v>
      </c>
      <c r="B158" t="s">
        <v>4913</v>
      </c>
      <c r="C158">
        <v>19.16</v>
      </c>
      <c r="D158">
        <v>-13</v>
      </c>
      <c r="E158">
        <v>91</v>
      </c>
      <c r="F158">
        <v>-15</v>
      </c>
      <c r="G158">
        <v>80</v>
      </c>
      <c r="H158">
        <v>10.72</v>
      </c>
      <c r="I158">
        <v>0.5</v>
      </c>
      <c r="J158">
        <v>1.78</v>
      </c>
      <c r="K158" s="245">
        <v>-15.46</v>
      </c>
      <c r="L158" s="245">
        <v>48.41</v>
      </c>
      <c r="M158" s="245">
        <v>4.92</v>
      </c>
    </row>
    <row r="159" spans="1:13">
      <c r="A159">
        <v>1604</v>
      </c>
      <c r="B159" t="s">
        <v>4914</v>
      </c>
      <c r="C159">
        <v>38.72</v>
      </c>
      <c r="D159">
        <v>-5</v>
      </c>
      <c r="E159">
        <v>12</v>
      </c>
      <c r="F159">
        <v>3</v>
      </c>
      <c r="G159">
        <v>13</v>
      </c>
      <c r="H159">
        <v>6.68</v>
      </c>
      <c r="I159">
        <v>2.7</v>
      </c>
      <c r="J159">
        <v>4.5199999999999996</v>
      </c>
      <c r="K159" s="245">
        <v>-7.62</v>
      </c>
      <c r="L159" s="245">
        <v>26.67</v>
      </c>
      <c r="M159" s="245">
        <v>2.0499999999999998</v>
      </c>
    </row>
    <row r="160" spans="1:13">
      <c r="A160">
        <v>1605</v>
      </c>
      <c r="B160" t="s">
        <v>4915</v>
      </c>
      <c r="C160">
        <v>343</v>
      </c>
      <c r="D160">
        <v>117</v>
      </c>
      <c r="E160">
        <v>80</v>
      </c>
      <c r="F160">
        <v>7</v>
      </c>
      <c r="G160">
        <v>40</v>
      </c>
      <c r="H160">
        <v>8.52</v>
      </c>
      <c r="I160">
        <v>1.6</v>
      </c>
      <c r="J160">
        <v>4.2699999999999996</v>
      </c>
      <c r="K160" s="245">
        <v>-19.420000000000002</v>
      </c>
      <c r="L160" s="245">
        <v>69</v>
      </c>
      <c r="M160" s="245">
        <v>9.58</v>
      </c>
    </row>
    <row r="161" spans="1:13">
      <c r="A161">
        <v>1608</v>
      </c>
      <c r="B161" t="s">
        <v>4916</v>
      </c>
      <c r="C161">
        <v>63.27</v>
      </c>
      <c r="D161">
        <v>344</v>
      </c>
      <c r="E161">
        <v>356</v>
      </c>
      <c r="F161">
        <v>-18</v>
      </c>
      <c r="G161">
        <v>5</v>
      </c>
      <c r="H161">
        <v>7.49</v>
      </c>
      <c r="I161">
        <v>1.5</v>
      </c>
      <c r="J161">
        <v>3.27</v>
      </c>
      <c r="K161" s="245">
        <v>-40.98</v>
      </c>
      <c r="L161" s="245">
        <v>31.53</v>
      </c>
      <c r="M161" s="245">
        <v>14.55</v>
      </c>
    </row>
    <row r="162" spans="1:13">
      <c r="A162">
        <v>1609</v>
      </c>
      <c r="B162" t="s">
        <v>4917</v>
      </c>
      <c r="C162">
        <v>64.58</v>
      </c>
      <c r="D162">
        <v>60</v>
      </c>
      <c r="E162">
        <v>251</v>
      </c>
      <c r="F162">
        <v>47</v>
      </c>
      <c r="G162">
        <v>9</v>
      </c>
      <c r="H162">
        <v>5.49</v>
      </c>
      <c r="I162">
        <v>0.95</v>
      </c>
      <c r="J162">
        <v>2.2999999999999998</v>
      </c>
      <c r="K162" s="245">
        <v>-19.22</v>
      </c>
      <c r="L162" s="245">
        <v>53.78</v>
      </c>
      <c r="M162" s="245">
        <v>23.23</v>
      </c>
    </row>
    <row r="163" spans="1:13">
      <c r="A163">
        <v>1611</v>
      </c>
      <c r="B163" t="s">
        <v>4918</v>
      </c>
      <c r="C163">
        <v>32.270000000000003</v>
      </c>
      <c r="D163">
        <v>254</v>
      </c>
      <c r="E163">
        <v>-93</v>
      </c>
      <c r="F163">
        <v>-7</v>
      </c>
      <c r="G163">
        <v>-7</v>
      </c>
      <c r="H163">
        <v>0.34</v>
      </c>
      <c r="I163">
        <v>0.8</v>
      </c>
      <c r="J163">
        <v>0.86</v>
      </c>
      <c r="K163" s="245">
        <v>-19.16</v>
      </c>
      <c r="L163" s="245">
        <v>42.4</v>
      </c>
      <c r="M163" s="245">
        <v>16.809999999999999</v>
      </c>
    </row>
    <row r="164" spans="1:13">
      <c r="A164">
        <v>1612</v>
      </c>
      <c r="B164" t="s">
        <v>4919</v>
      </c>
      <c r="C164">
        <v>31.6</v>
      </c>
      <c r="D164">
        <v>421</v>
      </c>
      <c r="E164">
        <v>25</v>
      </c>
      <c r="F164">
        <v>-17</v>
      </c>
      <c r="G164">
        <v>-3</v>
      </c>
      <c r="H164">
        <v>6.14</v>
      </c>
      <c r="I164">
        <v>0</v>
      </c>
      <c r="J164">
        <v>8.5399999999999991</v>
      </c>
      <c r="K164" s="245">
        <v>-20.059999999999999</v>
      </c>
      <c r="L164" s="245">
        <v>40.82</v>
      </c>
      <c r="M164" s="245">
        <v>10.01</v>
      </c>
    </row>
    <row r="165" spans="1:13">
      <c r="A165">
        <v>1614</v>
      </c>
      <c r="B165" t="s">
        <v>4920</v>
      </c>
      <c r="C165">
        <v>26.91</v>
      </c>
      <c r="D165">
        <v>4</v>
      </c>
      <c r="E165">
        <v>8</v>
      </c>
      <c r="F165">
        <v>16</v>
      </c>
      <c r="G165">
        <v>18</v>
      </c>
      <c r="H165">
        <v>7.69</v>
      </c>
      <c r="I165">
        <v>1.23</v>
      </c>
      <c r="J165">
        <v>1.42</v>
      </c>
      <c r="K165" s="245">
        <v>-7.61</v>
      </c>
      <c r="L165" s="245">
        <v>31.16</v>
      </c>
      <c r="M165" s="245">
        <v>0.83</v>
      </c>
    </row>
    <row r="166" spans="1:13">
      <c r="A166">
        <v>1615</v>
      </c>
      <c r="B166" t="s">
        <v>4921</v>
      </c>
      <c r="C166">
        <v>13.78</v>
      </c>
      <c r="D166">
        <v>37</v>
      </c>
      <c r="E166">
        <v>23</v>
      </c>
      <c r="F166">
        <v>-23</v>
      </c>
      <c r="G166">
        <v>-58</v>
      </c>
      <c r="H166">
        <v>11.02</v>
      </c>
      <c r="I166">
        <v>0</v>
      </c>
      <c r="J166">
        <v>3.27</v>
      </c>
      <c r="K166" s="245">
        <v>-21.51</v>
      </c>
      <c r="L166" s="245">
        <v>46.63</v>
      </c>
      <c r="M166" s="245">
        <v>6.73</v>
      </c>
    </row>
    <row r="167" spans="1:13">
      <c r="A167">
        <v>1616</v>
      </c>
      <c r="B167" t="s">
        <v>6457</v>
      </c>
      <c r="C167">
        <v>19.41</v>
      </c>
      <c r="D167">
        <v>5452</v>
      </c>
      <c r="E167">
        <v>502</v>
      </c>
      <c r="F167">
        <v>47</v>
      </c>
      <c r="G167">
        <v>40</v>
      </c>
      <c r="H167">
        <v>3.79</v>
      </c>
      <c r="I167">
        <v>0</v>
      </c>
      <c r="J167">
        <v>0.5</v>
      </c>
      <c r="K167" s="245">
        <v>-31.39</v>
      </c>
      <c r="L167" s="245">
        <v>17.63</v>
      </c>
      <c r="M167" s="245">
        <v>8.4</v>
      </c>
    </row>
    <row r="168" spans="1:13">
      <c r="A168">
        <v>1617</v>
      </c>
      <c r="B168" t="s">
        <v>4922</v>
      </c>
      <c r="C168">
        <v>15.77</v>
      </c>
      <c r="D168">
        <v>40</v>
      </c>
      <c r="E168">
        <v>39</v>
      </c>
      <c r="F168">
        <v>55</v>
      </c>
      <c r="G168">
        <v>-9</v>
      </c>
      <c r="H168">
        <v>5.83</v>
      </c>
      <c r="I168">
        <v>0.9</v>
      </c>
      <c r="J168">
        <v>1.45</v>
      </c>
      <c r="K168" s="245">
        <v>-21.96</v>
      </c>
      <c r="L168" s="245">
        <v>24.53</v>
      </c>
      <c r="M168" s="245">
        <v>4.97</v>
      </c>
    </row>
    <row r="169" spans="1:13">
      <c r="A169">
        <v>1618</v>
      </c>
      <c r="B169" t="s">
        <v>4923</v>
      </c>
      <c r="C169">
        <v>19.260000000000002</v>
      </c>
      <c r="D169">
        <v>-3</v>
      </c>
      <c r="E169">
        <v>4</v>
      </c>
      <c r="F169">
        <v>-63</v>
      </c>
      <c r="G169">
        <v>-30</v>
      </c>
      <c r="H169">
        <v>8.9499999999999993</v>
      </c>
      <c r="I169">
        <v>0</v>
      </c>
      <c r="J169">
        <v>1.04</v>
      </c>
      <c r="K169" s="245">
        <v>-32.11</v>
      </c>
      <c r="L169" s="245">
        <v>32.53</v>
      </c>
      <c r="M169" s="245">
        <v>14.96</v>
      </c>
    </row>
    <row r="170" spans="1:13">
      <c r="A170">
        <v>1626</v>
      </c>
      <c r="B170" t="s">
        <v>4924</v>
      </c>
      <c r="C170">
        <v>14.55</v>
      </c>
      <c r="D170">
        <v>-296</v>
      </c>
      <c r="E170">
        <v>-265</v>
      </c>
      <c r="F170">
        <v>219</v>
      </c>
      <c r="G170">
        <v>-25</v>
      </c>
      <c r="H170">
        <v>-3.6</v>
      </c>
      <c r="I170">
        <v>0</v>
      </c>
      <c r="J170">
        <v>-2.11</v>
      </c>
      <c r="K170" s="245">
        <v>-29.29</v>
      </c>
      <c r="L170" s="245">
        <v>35.090000000000003</v>
      </c>
      <c r="M170" s="245">
        <v>1.19</v>
      </c>
    </row>
    <row r="171" spans="1:13">
      <c r="A171">
        <v>1701</v>
      </c>
      <c r="B171" t="s">
        <v>4925</v>
      </c>
      <c r="C171">
        <v>29.8</v>
      </c>
      <c r="D171">
        <v>-7</v>
      </c>
      <c r="E171">
        <v>0</v>
      </c>
      <c r="F171">
        <v>27</v>
      </c>
      <c r="G171">
        <v>9</v>
      </c>
      <c r="H171">
        <v>5.33</v>
      </c>
      <c r="I171">
        <v>0.9</v>
      </c>
      <c r="J171">
        <v>1.74</v>
      </c>
      <c r="K171" s="245">
        <v>-21.78</v>
      </c>
      <c r="L171" s="245">
        <v>37.17</v>
      </c>
      <c r="M171" s="245">
        <v>23.48</v>
      </c>
    </row>
    <row r="172" spans="1:13">
      <c r="A172">
        <v>1702</v>
      </c>
      <c r="B172" t="s">
        <v>4926</v>
      </c>
      <c r="C172">
        <v>29.41</v>
      </c>
      <c r="D172">
        <v>24</v>
      </c>
      <c r="E172">
        <v>6</v>
      </c>
      <c r="F172">
        <v>33</v>
      </c>
      <c r="G172">
        <v>-1</v>
      </c>
      <c r="H172">
        <v>9</v>
      </c>
      <c r="I172">
        <v>2.2000000000000002</v>
      </c>
      <c r="J172">
        <v>4.32</v>
      </c>
      <c r="K172" s="245">
        <v>-15.49</v>
      </c>
      <c r="L172" s="245">
        <v>22.17</v>
      </c>
      <c r="M172" s="245">
        <v>2.6</v>
      </c>
    </row>
    <row r="173" spans="1:13">
      <c r="A173">
        <v>1707</v>
      </c>
      <c r="B173" t="s">
        <v>4927</v>
      </c>
      <c r="C173">
        <v>14.81</v>
      </c>
      <c r="D173">
        <v>2</v>
      </c>
      <c r="E173">
        <v>0</v>
      </c>
      <c r="F173">
        <v>-4</v>
      </c>
      <c r="G173">
        <v>8</v>
      </c>
      <c r="H173">
        <v>23.59</v>
      </c>
      <c r="I173">
        <v>6.1</v>
      </c>
      <c r="J173">
        <v>8.81</v>
      </c>
      <c r="K173" s="245">
        <v>-19.03</v>
      </c>
      <c r="L173" s="245">
        <v>37.68</v>
      </c>
      <c r="M173" s="245">
        <v>0.92</v>
      </c>
    </row>
    <row r="174" spans="1:13">
      <c r="A174">
        <v>1708</v>
      </c>
      <c r="B174" t="s">
        <v>4928</v>
      </c>
      <c r="C174">
        <v>24.9</v>
      </c>
      <c r="D174">
        <v>285</v>
      </c>
      <c r="E174">
        <v>220</v>
      </c>
      <c r="F174">
        <v>-4</v>
      </c>
      <c r="G174">
        <v>49</v>
      </c>
      <c r="H174">
        <v>16.97</v>
      </c>
      <c r="I174">
        <v>2</v>
      </c>
      <c r="J174">
        <v>2.69</v>
      </c>
      <c r="K174" s="245">
        <v>-17.920000000000002</v>
      </c>
      <c r="L174" s="245">
        <v>66.06</v>
      </c>
      <c r="M174" s="245">
        <v>91.32</v>
      </c>
    </row>
    <row r="175" spans="1:13">
      <c r="A175">
        <v>1709</v>
      </c>
      <c r="B175" t="s">
        <v>4929</v>
      </c>
      <c r="C175">
        <v>47.7</v>
      </c>
      <c r="D175">
        <v>70</v>
      </c>
      <c r="E175">
        <v>71</v>
      </c>
      <c r="F175">
        <v>33</v>
      </c>
      <c r="G175">
        <v>17</v>
      </c>
      <c r="H175">
        <v>13.25</v>
      </c>
      <c r="I175">
        <v>1.7</v>
      </c>
      <c r="J175">
        <v>1.99</v>
      </c>
      <c r="K175" s="245">
        <v>-19.809999999999999</v>
      </c>
      <c r="L175" s="245">
        <v>24.69</v>
      </c>
      <c r="M175" s="245">
        <v>19.72</v>
      </c>
    </row>
    <row r="176" spans="1:13">
      <c r="A176">
        <v>1710</v>
      </c>
      <c r="B176" t="s">
        <v>4930</v>
      </c>
      <c r="C176">
        <v>88.57</v>
      </c>
      <c r="D176">
        <v>180</v>
      </c>
      <c r="E176">
        <v>411</v>
      </c>
      <c r="F176">
        <v>-6</v>
      </c>
      <c r="G176">
        <v>-19</v>
      </c>
      <c r="H176">
        <v>5.17</v>
      </c>
      <c r="I176">
        <v>0.7</v>
      </c>
      <c r="J176">
        <v>1.03</v>
      </c>
      <c r="K176" s="245">
        <v>-32.14</v>
      </c>
      <c r="L176" s="245">
        <v>15.68</v>
      </c>
      <c r="M176" s="245">
        <v>13.11</v>
      </c>
    </row>
    <row r="177" spans="1:13">
      <c r="A177">
        <v>1711</v>
      </c>
      <c r="B177" t="s">
        <v>4931</v>
      </c>
      <c r="C177">
        <v>54.77</v>
      </c>
      <c r="D177">
        <v>135</v>
      </c>
      <c r="E177">
        <v>170</v>
      </c>
      <c r="F177">
        <v>-16</v>
      </c>
      <c r="G177">
        <v>-3</v>
      </c>
      <c r="H177">
        <v>6.01</v>
      </c>
      <c r="I177">
        <v>0.5</v>
      </c>
      <c r="J177">
        <v>0.86</v>
      </c>
      <c r="K177" s="245">
        <v>-30.35</v>
      </c>
      <c r="L177" s="245">
        <v>24.16</v>
      </c>
      <c r="M177" s="245">
        <v>67.09</v>
      </c>
    </row>
    <row r="178" spans="1:13">
      <c r="A178">
        <v>1712</v>
      </c>
      <c r="B178" t="s">
        <v>4932</v>
      </c>
      <c r="C178">
        <v>42.04</v>
      </c>
      <c r="D178">
        <v>28</v>
      </c>
      <c r="E178">
        <v>17</v>
      </c>
      <c r="F178">
        <v>40</v>
      </c>
      <c r="G178">
        <v>20</v>
      </c>
      <c r="H178">
        <v>6.14</v>
      </c>
      <c r="I178">
        <v>1.8</v>
      </c>
      <c r="J178">
        <v>2.19</v>
      </c>
      <c r="K178" s="245">
        <v>-16.96</v>
      </c>
      <c r="L178" s="245">
        <v>29.59</v>
      </c>
      <c r="M178" s="245">
        <v>13.06</v>
      </c>
    </row>
    <row r="179" spans="1:13">
      <c r="A179">
        <v>1713</v>
      </c>
      <c r="B179" t="s">
        <v>4933</v>
      </c>
      <c r="C179">
        <v>15.09</v>
      </c>
      <c r="D179">
        <v>72</v>
      </c>
      <c r="E179">
        <v>49</v>
      </c>
      <c r="F179">
        <v>-6</v>
      </c>
      <c r="G179">
        <v>9</v>
      </c>
      <c r="H179">
        <v>4.16</v>
      </c>
      <c r="I179">
        <v>0.85</v>
      </c>
      <c r="J179">
        <v>1.04</v>
      </c>
      <c r="K179" s="245">
        <v>-14.1</v>
      </c>
      <c r="L179" s="245">
        <v>22.83</v>
      </c>
      <c r="M179" s="245">
        <v>2.62</v>
      </c>
    </row>
    <row r="180" spans="1:13">
      <c r="A180">
        <v>1714</v>
      </c>
      <c r="B180" t="s">
        <v>4934</v>
      </c>
      <c r="C180">
        <v>101</v>
      </c>
      <c r="D180">
        <v>-39</v>
      </c>
      <c r="E180">
        <v>-50</v>
      </c>
      <c r="F180">
        <v>0</v>
      </c>
      <c r="G180">
        <v>12</v>
      </c>
      <c r="H180">
        <v>8.82</v>
      </c>
      <c r="I180">
        <v>0.42</v>
      </c>
      <c r="J180">
        <v>0.72</v>
      </c>
      <c r="K180" s="245">
        <v>-27.11</v>
      </c>
      <c r="L180" s="245">
        <v>20.02</v>
      </c>
      <c r="M180" s="245">
        <v>9.6199999999999992</v>
      </c>
    </row>
    <row r="181" spans="1:13">
      <c r="A181">
        <v>1717</v>
      </c>
      <c r="B181" t="s">
        <v>4935</v>
      </c>
      <c r="C181">
        <v>124</v>
      </c>
      <c r="D181">
        <v>39</v>
      </c>
      <c r="E181">
        <v>30</v>
      </c>
      <c r="F181">
        <v>-10</v>
      </c>
      <c r="G181">
        <v>-4</v>
      </c>
      <c r="H181">
        <v>8.11</v>
      </c>
      <c r="I181">
        <v>1.5</v>
      </c>
      <c r="J181">
        <v>2.86</v>
      </c>
      <c r="K181" s="245">
        <v>-18.52</v>
      </c>
      <c r="L181" s="245">
        <v>32.159999999999997</v>
      </c>
      <c r="M181" s="245">
        <v>9.81</v>
      </c>
    </row>
    <row r="182" spans="1:13">
      <c r="A182">
        <v>1718</v>
      </c>
      <c r="B182" t="s">
        <v>4936</v>
      </c>
      <c r="C182">
        <v>168</v>
      </c>
      <c r="D182">
        <v>-4</v>
      </c>
      <c r="E182">
        <v>71</v>
      </c>
      <c r="F182">
        <v>0</v>
      </c>
      <c r="G182">
        <v>5</v>
      </c>
      <c r="H182">
        <v>13.22</v>
      </c>
      <c r="I182">
        <v>0</v>
      </c>
      <c r="J182">
        <v>0</v>
      </c>
      <c r="K182" s="245">
        <v>-36.020000000000003</v>
      </c>
      <c r="L182" s="245">
        <v>9.5500000000000007</v>
      </c>
      <c r="M182" s="245">
        <v>11.39</v>
      </c>
    </row>
    <row r="183" spans="1:13">
      <c r="A183">
        <v>1720</v>
      </c>
      <c r="B183" t="s">
        <v>4937</v>
      </c>
      <c r="C183">
        <v>17.86</v>
      </c>
      <c r="D183">
        <v>33</v>
      </c>
      <c r="E183">
        <v>24</v>
      </c>
      <c r="F183">
        <v>0</v>
      </c>
      <c r="G183">
        <v>10</v>
      </c>
      <c r="H183">
        <v>19.04</v>
      </c>
      <c r="I183">
        <v>2.5</v>
      </c>
      <c r="J183">
        <v>3.95</v>
      </c>
      <c r="K183" s="245">
        <v>-10.73</v>
      </c>
      <c r="L183" s="245">
        <v>41.71</v>
      </c>
      <c r="M183" s="245">
        <v>4.43</v>
      </c>
    </row>
    <row r="184" spans="1:13">
      <c r="A184">
        <v>1721</v>
      </c>
      <c r="B184" t="s">
        <v>4938</v>
      </c>
      <c r="C184">
        <v>18.48</v>
      </c>
      <c r="D184">
        <v>-113</v>
      </c>
      <c r="E184">
        <v>60</v>
      </c>
      <c r="F184">
        <v>-6</v>
      </c>
      <c r="G184">
        <v>51</v>
      </c>
      <c r="H184">
        <v>-3.37</v>
      </c>
      <c r="I184">
        <v>0</v>
      </c>
      <c r="J184">
        <v>-0.38</v>
      </c>
      <c r="K184" s="245">
        <v>-44.25</v>
      </c>
      <c r="L184" s="245">
        <v>17.46</v>
      </c>
      <c r="M184" s="245">
        <v>69.510000000000005</v>
      </c>
    </row>
    <row r="185" spans="1:13">
      <c r="A185">
        <v>1722</v>
      </c>
      <c r="B185" t="s">
        <v>4939</v>
      </c>
      <c r="C185">
        <v>98</v>
      </c>
      <c r="D185">
        <v>23</v>
      </c>
      <c r="E185">
        <v>-59</v>
      </c>
      <c r="F185">
        <v>-5</v>
      </c>
      <c r="G185">
        <v>62</v>
      </c>
      <c r="H185">
        <v>3.71</v>
      </c>
      <c r="I185">
        <v>2.8</v>
      </c>
      <c r="J185">
        <v>3.1</v>
      </c>
      <c r="K185" s="245">
        <v>-15.76</v>
      </c>
      <c r="L185" s="245">
        <v>38.090000000000003</v>
      </c>
      <c r="M185" s="245">
        <v>6.71</v>
      </c>
    </row>
    <row r="186" spans="1:13">
      <c r="A186">
        <v>1723</v>
      </c>
      <c r="B186" t="s">
        <v>4940</v>
      </c>
      <c r="C186">
        <v>23.69</v>
      </c>
      <c r="D186">
        <v>54</v>
      </c>
      <c r="E186">
        <v>55</v>
      </c>
      <c r="F186">
        <v>42</v>
      </c>
      <c r="G186">
        <v>93</v>
      </c>
      <c r="H186">
        <v>14.94</v>
      </c>
      <c r="I186">
        <v>4</v>
      </c>
      <c r="J186">
        <v>4.7300000000000004</v>
      </c>
      <c r="K186" s="245">
        <v>-8.81</v>
      </c>
      <c r="L186" s="245">
        <v>51.06</v>
      </c>
      <c r="M186" s="245">
        <v>5.76</v>
      </c>
    </row>
    <row r="187" spans="1:13">
      <c r="A187">
        <v>1725</v>
      </c>
      <c r="B187" t="s">
        <v>765</v>
      </c>
      <c r="C187">
        <v>18.18</v>
      </c>
      <c r="D187">
        <v>28</v>
      </c>
      <c r="E187">
        <v>61</v>
      </c>
      <c r="F187">
        <v>-14</v>
      </c>
      <c r="G187">
        <v>-6</v>
      </c>
      <c r="H187">
        <v>2.2999999999999998</v>
      </c>
      <c r="I187">
        <v>1.23</v>
      </c>
      <c r="J187">
        <v>1.76</v>
      </c>
      <c r="K187" s="245">
        <v>-49.21</v>
      </c>
      <c r="L187" s="245">
        <v>14.82</v>
      </c>
      <c r="M187" s="245">
        <v>4.4000000000000004</v>
      </c>
    </row>
    <row r="188" spans="1:13">
      <c r="A188">
        <v>1726</v>
      </c>
      <c r="B188" t="s">
        <v>4941</v>
      </c>
      <c r="C188">
        <v>16.2</v>
      </c>
      <c r="D188">
        <v>6</v>
      </c>
      <c r="E188">
        <v>2</v>
      </c>
      <c r="F188">
        <v>59</v>
      </c>
      <c r="G188">
        <v>26</v>
      </c>
      <c r="H188">
        <v>11.31</v>
      </c>
      <c r="I188">
        <v>3.5</v>
      </c>
      <c r="J188">
        <v>5.45</v>
      </c>
      <c r="K188" s="245">
        <v>-7.1</v>
      </c>
      <c r="L188" s="245">
        <v>17.13</v>
      </c>
      <c r="M188" s="245">
        <v>0.14000000000000001</v>
      </c>
    </row>
    <row r="189" spans="1:13">
      <c r="A189">
        <v>1727</v>
      </c>
      <c r="B189" t="s">
        <v>4942</v>
      </c>
      <c r="C189">
        <v>10.82</v>
      </c>
      <c r="D189">
        <v>235</v>
      </c>
      <c r="E189">
        <v>1317</v>
      </c>
      <c r="F189">
        <v>22</v>
      </c>
      <c r="G189">
        <v>43</v>
      </c>
      <c r="H189">
        <v>7.92</v>
      </c>
      <c r="I189">
        <v>0.52</v>
      </c>
      <c r="J189">
        <v>1.86</v>
      </c>
      <c r="K189" s="245">
        <v>-37.01</v>
      </c>
      <c r="L189" s="245">
        <v>32.159999999999997</v>
      </c>
      <c r="M189" s="245">
        <v>138.87</v>
      </c>
    </row>
    <row r="190" spans="1:13">
      <c r="A190">
        <v>1730</v>
      </c>
      <c r="B190" t="s">
        <v>4943</v>
      </c>
      <c r="C190">
        <v>6.32</v>
      </c>
      <c r="D190">
        <v>-24</v>
      </c>
      <c r="E190">
        <v>6</v>
      </c>
      <c r="F190">
        <v>15</v>
      </c>
      <c r="G190">
        <v>-11</v>
      </c>
      <c r="H190">
        <v>10.72</v>
      </c>
      <c r="I190">
        <v>3</v>
      </c>
      <c r="J190">
        <v>4.1399999999999997</v>
      </c>
      <c r="K190" s="245">
        <v>-15.63</v>
      </c>
      <c r="L190" s="245">
        <v>7.9</v>
      </c>
      <c r="M190" s="245">
        <v>5.53</v>
      </c>
    </row>
    <row r="191" spans="1:13">
      <c r="A191">
        <v>1731</v>
      </c>
      <c r="B191" t="s">
        <v>4944</v>
      </c>
      <c r="C191">
        <v>13.29</v>
      </c>
      <c r="D191">
        <v>-3</v>
      </c>
      <c r="E191">
        <v>17</v>
      </c>
      <c r="F191">
        <v>-5</v>
      </c>
      <c r="G191">
        <v>-20</v>
      </c>
      <c r="H191">
        <v>15.49</v>
      </c>
      <c r="I191">
        <v>1.17</v>
      </c>
      <c r="J191">
        <v>1.24</v>
      </c>
      <c r="K191" s="245">
        <v>-20.45</v>
      </c>
      <c r="L191" s="245">
        <v>31.83</v>
      </c>
      <c r="M191" s="245">
        <v>14.45</v>
      </c>
    </row>
    <row r="192" spans="1:13">
      <c r="A192">
        <v>1732</v>
      </c>
      <c r="B192" t="s">
        <v>4945</v>
      </c>
      <c r="C192">
        <v>4.24</v>
      </c>
      <c r="D192">
        <v>-49</v>
      </c>
      <c r="E192">
        <v>-63</v>
      </c>
      <c r="F192">
        <v>18</v>
      </c>
      <c r="G192">
        <v>-6</v>
      </c>
      <c r="H192">
        <v>2.78</v>
      </c>
      <c r="I192">
        <v>0.35</v>
      </c>
      <c r="J192">
        <v>0.46</v>
      </c>
      <c r="K192" s="245">
        <v>-29.65</v>
      </c>
      <c r="L192" s="245">
        <v>45.11</v>
      </c>
      <c r="M192" s="245">
        <v>172.15</v>
      </c>
    </row>
    <row r="193" spans="1:13">
      <c r="A193">
        <v>1733</v>
      </c>
      <c r="B193" t="s">
        <v>4946</v>
      </c>
      <c r="C193">
        <v>9.99</v>
      </c>
      <c r="D193">
        <v>113</v>
      </c>
      <c r="E193">
        <v>98</v>
      </c>
      <c r="F193">
        <v>18</v>
      </c>
      <c r="G193">
        <v>32</v>
      </c>
      <c r="H193">
        <v>9.61</v>
      </c>
      <c r="I193">
        <v>1.3</v>
      </c>
      <c r="J193">
        <v>2.0299999999999998</v>
      </c>
      <c r="K193" s="245">
        <v>-5.28</v>
      </c>
      <c r="L193" s="245">
        <v>54.06</v>
      </c>
      <c r="M193" s="245">
        <v>5.76</v>
      </c>
    </row>
    <row r="194" spans="1:13">
      <c r="A194">
        <v>1734</v>
      </c>
      <c r="B194" t="s">
        <v>4947</v>
      </c>
      <c r="C194">
        <v>16.77</v>
      </c>
      <c r="D194">
        <v>-18</v>
      </c>
      <c r="E194">
        <v>-49</v>
      </c>
      <c r="F194">
        <v>-17</v>
      </c>
      <c r="G194">
        <v>7</v>
      </c>
      <c r="H194">
        <v>-7.51</v>
      </c>
      <c r="I194">
        <v>0.2</v>
      </c>
      <c r="J194">
        <v>-0.23</v>
      </c>
      <c r="K194" s="245">
        <v>-39.36</v>
      </c>
      <c r="L194" s="245">
        <v>26.2</v>
      </c>
      <c r="M194" s="245">
        <v>38.76</v>
      </c>
    </row>
    <row r="195" spans="1:13">
      <c r="A195">
        <v>1735</v>
      </c>
      <c r="B195" t="s">
        <v>4948</v>
      </c>
      <c r="C195">
        <v>9.93</v>
      </c>
      <c r="D195">
        <v>-86</v>
      </c>
      <c r="E195">
        <v>-77</v>
      </c>
      <c r="F195">
        <v>-23</v>
      </c>
      <c r="G195">
        <v>-10</v>
      </c>
      <c r="H195">
        <v>0.98</v>
      </c>
      <c r="I195">
        <v>0</v>
      </c>
      <c r="J195">
        <v>0.1</v>
      </c>
      <c r="K195" s="245">
        <v>-13.57</v>
      </c>
      <c r="L195" s="245">
        <v>22.01</v>
      </c>
      <c r="M195" s="245">
        <v>0.45</v>
      </c>
    </row>
    <row r="196" spans="1:13">
      <c r="A196">
        <v>1736</v>
      </c>
      <c r="B196" t="s">
        <v>4949</v>
      </c>
      <c r="C196">
        <v>30.36</v>
      </c>
      <c r="D196">
        <v>-86</v>
      </c>
      <c r="E196">
        <v>-83</v>
      </c>
      <c r="F196">
        <v>8</v>
      </c>
      <c r="G196">
        <v>0</v>
      </c>
      <c r="H196">
        <v>0.5</v>
      </c>
      <c r="I196">
        <v>0</v>
      </c>
      <c r="J196">
        <v>0.13</v>
      </c>
      <c r="K196" s="245">
        <v>-38.9</v>
      </c>
      <c r="L196" s="245">
        <v>54.84</v>
      </c>
      <c r="M196" s="245">
        <v>2.06</v>
      </c>
    </row>
    <row r="197" spans="1:13">
      <c r="A197">
        <v>1737</v>
      </c>
      <c r="B197" t="s">
        <v>4950</v>
      </c>
      <c r="C197">
        <v>20</v>
      </c>
      <c r="D197">
        <v>10</v>
      </c>
      <c r="E197">
        <v>14</v>
      </c>
      <c r="F197">
        <v>-19</v>
      </c>
      <c r="G197">
        <v>-3</v>
      </c>
      <c r="H197">
        <v>12.92</v>
      </c>
      <c r="I197">
        <v>1.5</v>
      </c>
      <c r="J197">
        <v>1.97</v>
      </c>
      <c r="K197" s="245">
        <v>-4.6500000000000004</v>
      </c>
      <c r="L197" s="245">
        <v>43.05</v>
      </c>
      <c r="M197" s="245">
        <v>2.04</v>
      </c>
    </row>
    <row r="198" spans="1:13">
      <c r="A198">
        <v>1742</v>
      </c>
      <c r="B198" t="s">
        <v>4951</v>
      </c>
      <c r="C198">
        <v>8.15</v>
      </c>
      <c r="D198">
        <v>5772</v>
      </c>
      <c r="E198">
        <v>-34</v>
      </c>
      <c r="F198">
        <v>140</v>
      </c>
      <c r="G198">
        <v>54</v>
      </c>
      <c r="H198">
        <v>2.91</v>
      </c>
      <c r="I198">
        <v>1.7</v>
      </c>
      <c r="J198">
        <v>5.16</v>
      </c>
      <c r="K198" s="245">
        <v>-15.99</v>
      </c>
      <c r="L198" s="245">
        <v>22.46</v>
      </c>
      <c r="M198" s="245">
        <v>6.49</v>
      </c>
    </row>
    <row r="199" spans="1:13">
      <c r="A199">
        <v>1752</v>
      </c>
      <c r="B199" t="s">
        <v>4952</v>
      </c>
      <c r="C199">
        <v>10.09</v>
      </c>
      <c r="D199">
        <v>6</v>
      </c>
      <c r="E199">
        <v>17</v>
      </c>
      <c r="F199">
        <v>3</v>
      </c>
      <c r="G199">
        <v>4</v>
      </c>
      <c r="H199">
        <v>14.66</v>
      </c>
      <c r="I199">
        <v>1.8</v>
      </c>
      <c r="J199">
        <v>1.94</v>
      </c>
      <c r="K199" s="245">
        <v>-13.33</v>
      </c>
      <c r="L199" s="245">
        <v>17.79</v>
      </c>
      <c r="M199" s="245">
        <v>4.88</v>
      </c>
    </row>
    <row r="200" spans="1:13">
      <c r="A200">
        <v>1760</v>
      </c>
      <c r="B200" t="s">
        <v>4953</v>
      </c>
      <c r="C200">
        <v>8.57</v>
      </c>
      <c r="D200">
        <v>274</v>
      </c>
      <c r="E200">
        <v>58</v>
      </c>
      <c r="F200">
        <v>-27</v>
      </c>
      <c r="G200">
        <v>26</v>
      </c>
      <c r="H200">
        <v>8.6999999999999993</v>
      </c>
      <c r="I200">
        <v>1.5</v>
      </c>
      <c r="J200">
        <v>1.32</v>
      </c>
      <c r="K200" s="245">
        <v>-25</v>
      </c>
      <c r="L200" s="245">
        <v>53.97</v>
      </c>
      <c r="M200" s="245">
        <v>110.83</v>
      </c>
    </row>
    <row r="201" spans="1:13">
      <c r="A201">
        <v>1762</v>
      </c>
      <c r="B201" t="s">
        <v>4954</v>
      </c>
      <c r="C201">
        <v>7.75</v>
      </c>
      <c r="D201">
        <v>-24</v>
      </c>
      <c r="E201">
        <v>63</v>
      </c>
      <c r="F201">
        <v>129</v>
      </c>
      <c r="G201">
        <v>97</v>
      </c>
      <c r="H201">
        <v>22.66</v>
      </c>
      <c r="I201">
        <v>1.3</v>
      </c>
      <c r="J201">
        <v>5.17</v>
      </c>
      <c r="K201" s="245">
        <v>-37.44</v>
      </c>
      <c r="L201" s="245">
        <v>35.15</v>
      </c>
      <c r="M201" s="245">
        <v>24.26</v>
      </c>
    </row>
    <row r="202" spans="1:13">
      <c r="A202">
        <v>1773</v>
      </c>
      <c r="B202" t="s">
        <v>4955</v>
      </c>
      <c r="C202">
        <v>20</v>
      </c>
      <c r="D202">
        <v>37</v>
      </c>
      <c r="E202">
        <v>38</v>
      </c>
      <c r="F202">
        <v>-9</v>
      </c>
      <c r="G202">
        <v>15</v>
      </c>
      <c r="H202">
        <v>17.12</v>
      </c>
      <c r="I202">
        <v>5.5</v>
      </c>
      <c r="J202">
        <v>8.08</v>
      </c>
      <c r="K202" s="245">
        <v>-15.78</v>
      </c>
      <c r="L202" s="245">
        <v>39.81</v>
      </c>
      <c r="M202" s="245">
        <v>5.54</v>
      </c>
    </row>
    <row r="203" spans="1:13">
      <c r="A203">
        <v>1776</v>
      </c>
      <c r="B203" t="s">
        <v>4956</v>
      </c>
      <c r="C203">
        <v>7.03</v>
      </c>
      <c r="D203">
        <v>181</v>
      </c>
      <c r="E203">
        <v>3</v>
      </c>
      <c r="F203">
        <v>-18</v>
      </c>
      <c r="G203">
        <v>10</v>
      </c>
      <c r="H203">
        <v>6.13</v>
      </c>
      <c r="I203">
        <v>1.5</v>
      </c>
      <c r="J203">
        <v>2.0499999999999998</v>
      </c>
      <c r="K203" s="245">
        <v>-32.78</v>
      </c>
      <c r="L203" s="245">
        <v>27.47</v>
      </c>
      <c r="M203" s="245">
        <v>13.72</v>
      </c>
    </row>
    <row r="204" spans="1:13">
      <c r="A204">
        <v>1777</v>
      </c>
      <c r="B204" t="s">
        <v>6252</v>
      </c>
      <c r="C204">
        <v>4</v>
      </c>
      <c r="D204">
        <v>-44</v>
      </c>
      <c r="E204">
        <v>-44</v>
      </c>
      <c r="F204">
        <v>2</v>
      </c>
      <c r="G204">
        <v>-20</v>
      </c>
      <c r="H204">
        <v>19.62</v>
      </c>
      <c r="I204">
        <v>2.15</v>
      </c>
      <c r="J204">
        <v>3.38</v>
      </c>
      <c r="K204" s="245">
        <v>-21.08</v>
      </c>
      <c r="L204" s="245">
        <v>22.53</v>
      </c>
      <c r="M204" s="245">
        <v>2.92</v>
      </c>
    </row>
    <row r="205" spans="1:13">
      <c r="A205">
        <v>1781</v>
      </c>
      <c r="B205" t="s">
        <v>6458</v>
      </c>
      <c r="C205">
        <v>4.74</v>
      </c>
      <c r="D205">
        <v>-130</v>
      </c>
      <c r="E205">
        <v>-477</v>
      </c>
      <c r="F205">
        <v>-14</v>
      </c>
      <c r="G205">
        <v>-45</v>
      </c>
      <c r="H205">
        <v>-11.93</v>
      </c>
      <c r="I205">
        <v>0</v>
      </c>
      <c r="J205">
        <v>-1.31</v>
      </c>
      <c r="K205" s="245">
        <v>-39.18</v>
      </c>
      <c r="L205" s="245">
        <v>44.98</v>
      </c>
      <c r="M205" s="245">
        <v>8.5299999999999994</v>
      </c>
    </row>
    <row r="206" spans="1:13">
      <c r="A206">
        <v>1783</v>
      </c>
      <c r="B206" t="s">
        <v>4957</v>
      </c>
      <c r="C206">
        <v>7.69</v>
      </c>
      <c r="D206">
        <v>38</v>
      </c>
      <c r="E206">
        <v>47</v>
      </c>
      <c r="F206">
        <v>-14</v>
      </c>
      <c r="G206">
        <v>31</v>
      </c>
      <c r="H206">
        <v>17.57</v>
      </c>
      <c r="I206">
        <v>1</v>
      </c>
      <c r="J206">
        <v>1.21</v>
      </c>
      <c r="K206" s="245">
        <v>-54.83</v>
      </c>
      <c r="L206" s="245">
        <v>18.260000000000002</v>
      </c>
      <c r="M206" s="245">
        <v>14.07</v>
      </c>
    </row>
    <row r="207" spans="1:13">
      <c r="A207">
        <v>1784</v>
      </c>
      <c r="B207" t="s">
        <v>4958</v>
      </c>
      <c r="C207">
        <v>4.96</v>
      </c>
      <c r="D207">
        <v>2521</v>
      </c>
      <c r="E207">
        <v>918</v>
      </c>
      <c r="F207">
        <v>38</v>
      </c>
      <c r="G207">
        <v>7</v>
      </c>
      <c r="H207">
        <v>3.39</v>
      </c>
      <c r="I207">
        <v>0.48</v>
      </c>
      <c r="J207">
        <v>0.56000000000000005</v>
      </c>
      <c r="K207" s="245">
        <v>-24.57</v>
      </c>
      <c r="L207" s="245">
        <v>54.82</v>
      </c>
      <c r="M207" s="245">
        <v>14.69</v>
      </c>
    </row>
    <row r="208" spans="1:13">
      <c r="A208">
        <v>1785</v>
      </c>
      <c r="B208" t="s">
        <v>4959</v>
      </c>
      <c r="C208">
        <v>59.36</v>
      </c>
      <c r="D208">
        <v>48</v>
      </c>
      <c r="E208">
        <v>1</v>
      </c>
      <c r="F208">
        <v>69</v>
      </c>
      <c r="G208">
        <v>22</v>
      </c>
      <c r="H208">
        <v>5.16</v>
      </c>
      <c r="I208">
        <v>1.5</v>
      </c>
      <c r="J208">
        <v>2.15</v>
      </c>
      <c r="K208" s="245">
        <v>-18</v>
      </c>
      <c r="L208" s="245">
        <v>29.08</v>
      </c>
      <c r="M208" s="245">
        <v>11.97</v>
      </c>
    </row>
    <row r="209" spans="1:13">
      <c r="A209">
        <v>1786</v>
      </c>
      <c r="B209" t="s">
        <v>4960</v>
      </c>
      <c r="C209">
        <v>6.61</v>
      </c>
      <c r="D209">
        <v>-20</v>
      </c>
      <c r="E209">
        <v>-16</v>
      </c>
      <c r="F209">
        <v>-43</v>
      </c>
      <c r="G209">
        <v>4</v>
      </c>
      <c r="H209">
        <v>24.12</v>
      </c>
      <c r="I209">
        <v>1.42</v>
      </c>
      <c r="J209">
        <v>1.54</v>
      </c>
      <c r="K209" s="245">
        <v>-29.5</v>
      </c>
      <c r="L209" s="245">
        <v>36.840000000000003</v>
      </c>
      <c r="M209" s="245">
        <v>0.64</v>
      </c>
    </row>
    <row r="210" spans="1:13">
      <c r="A210">
        <v>1788</v>
      </c>
      <c r="B210" t="s">
        <v>4961</v>
      </c>
      <c r="C210">
        <v>4.05</v>
      </c>
      <c r="D210">
        <v>9</v>
      </c>
      <c r="E210">
        <v>10</v>
      </c>
      <c r="F210">
        <v>-7</v>
      </c>
      <c r="G210">
        <v>6</v>
      </c>
      <c r="H210">
        <v>11.17</v>
      </c>
      <c r="I210">
        <v>7</v>
      </c>
      <c r="J210">
        <v>8.99</v>
      </c>
      <c r="K210" s="245">
        <v>-2.16</v>
      </c>
      <c r="L210" s="245">
        <v>80.5</v>
      </c>
      <c r="M210" s="245">
        <v>0.54</v>
      </c>
    </row>
    <row r="211" spans="1:13">
      <c r="A211">
        <v>1789</v>
      </c>
      <c r="B211" t="s">
        <v>4962</v>
      </c>
      <c r="C211">
        <v>79.069999999999993</v>
      </c>
      <c r="D211">
        <v>-13</v>
      </c>
      <c r="E211">
        <v>-23</v>
      </c>
      <c r="F211">
        <v>-46</v>
      </c>
      <c r="G211">
        <v>-30</v>
      </c>
      <c r="H211">
        <v>10.45</v>
      </c>
      <c r="I211">
        <v>0.48</v>
      </c>
      <c r="J211">
        <v>0.31</v>
      </c>
      <c r="K211" s="245">
        <v>-17.52</v>
      </c>
      <c r="L211" s="245">
        <v>32.68</v>
      </c>
      <c r="M211" s="245">
        <v>1.99</v>
      </c>
    </row>
    <row r="212" spans="1:13">
      <c r="A212">
        <v>1795</v>
      </c>
      <c r="B212" t="s">
        <v>4963</v>
      </c>
      <c r="C212">
        <v>26.27</v>
      </c>
      <c r="D212">
        <v>36</v>
      </c>
      <c r="E212">
        <v>42</v>
      </c>
      <c r="F212">
        <v>15</v>
      </c>
      <c r="G212">
        <v>7</v>
      </c>
      <c r="H212">
        <v>18.149999999999999</v>
      </c>
      <c r="I212">
        <v>1.93</v>
      </c>
      <c r="J212">
        <v>5.5</v>
      </c>
      <c r="K212" s="245">
        <v>-25.71</v>
      </c>
      <c r="L212" s="245">
        <v>56.39</v>
      </c>
      <c r="M212" s="245">
        <v>15.82</v>
      </c>
    </row>
    <row r="213" spans="1:13">
      <c r="A213">
        <v>1796</v>
      </c>
      <c r="B213" t="s">
        <v>6362</v>
      </c>
      <c r="C213">
        <v>4.1399999999999997</v>
      </c>
      <c r="D213">
        <v>1167</v>
      </c>
      <c r="E213">
        <v>360</v>
      </c>
      <c r="F213">
        <v>-2</v>
      </c>
      <c r="G213">
        <v>21</v>
      </c>
      <c r="H213">
        <v>15.09</v>
      </c>
      <c r="I213">
        <v>1</v>
      </c>
      <c r="J213">
        <v>1.45</v>
      </c>
      <c r="K213" s="245">
        <v>-9.44</v>
      </c>
      <c r="L213" s="245">
        <v>34.770000000000003</v>
      </c>
      <c r="M213" s="245">
        <v>1.45</v>
      </c>
    </row>
    <row r="214" spans="1:13">
      <c r="A214">
        <v>1799</v>
      </c>
      <c r="B214" t="s">
        <v>6459</v>
      </c>
      <c r="C214">
        <v>16.329999999999998</v>
      </c>
      <c r="D214">
        <v>7</v>
      </c>
      <c r="E214">
        <v>-33</v>
      </c>
      <c r="F214">
        <v>118</v>
      </c>
      <c r="G214">
        <v>-61</v>
      </c>
      <c r="H214">
        <v>-107.39</v>
      </c>
      <c r="I214">
        <v>0</v>
      </c>
      <c r="J214">
        <v>-0.99</v>
      </c>
      <c r="K214" s="245">
        <v>-17.43</v>
      </c>
      <c r="L214" s="245">
        <v>40.840000000000003</v>
      </c>
      <c r="M214" s="245">
        <v>2.12</v>
      </c>
    </row>
    <row r="215" spans="1:13">
      <c r="A215">
        <v>1802</v>
      </c>
      <c r="B215" t="s">
        <v>4964</v>
      </c>
      <c r="C215">
        <v>290</v>
      </c>
      <c r="D215">
        <v>397</v>
      </c>
      <c r="E215">
        <v>359</v>
      </c>
      <c r="F215">
        <v>3</v>
      </c>
      <c r="G215">
        <v>-20</v>
      </c>
      <c r="H215">
        <v>20.62</v>
      </c>
      <c r="I215">
        <v>1.82</v>
      </c>
      <c r="J215">
        <v>3.95</v>
      </c>
      <c r="K215" s="245">
        <v>-55.11</v>
      </c>
      <c r="L215" s="245">
        <v>21.82</v>
      </c>
      <c r="M215" s="245">
        <v>8.27</v>
      </c>
    </row>
    <row r="216" spans="1:13">
      <c r="A216">
        <v>1805</v>
      </c>
      <c r="B216" t="s">
        <v>6460</v>
      </c>
      <c r="C216">
        <v>10.02</v>
      </c>
      <c r="D216">
        <v>45</v>
      </c>
      <c r="E216">
        <v>36</v>
      </c>
      <c r="F216">
        <v>207</v>
      </c>
      <c r="G216">
        <v>3785</v>
      </c>
      <c r="H216">
        <v>-18.28</v>
      </c>
      <c r="I216">
        <v>0</v>
      </c>
      <c r="J216">
        <v>-0.34</v>
      </c>
      <c r="K216" s="245">
        <v>-18.829999999999998</v>
      </c>
      <c r="L216" s="245">
        <v>19.82</v>
      </c>
      <c r="M216" s="245">
        <v>4.21</v>
      </c>
    </row>
    <row r="217" spans="1:13">
      <c r="A217">
        <v>1806</v>
      </c>
      <c r="B217" t="s">
        <v>4965</v>
      </c>
      <c r="C217">
        <v>43.37</v>
      </c>
      <c r="D217">
        <v>346</v>
      </c>
      <c r="E217">
        <v>106</v>
      </c>
      <c r="F217">
        <v>96</v>
      </c>
      <c r="G217">
        <v>33</v>
      </c>
      <c r="H217">
        <v>0.67</v>
      </c>
      <c r="I217">
        <v>1</v>
      </c>
      <c r="J217">
        <v>2.29</v>
      </c>
      <c r="K217" s="245">
        <v>-22.6</v>
      </c>
      <c r="L217" s="245">
        <v>39.19</v>
      </c>
      <c r="M217" s="245">
        <v>11.97</v>
      </c>
    </row>
    <row r="218" spans="1:13">
      <c r="A218">
        <v>1808</v>
      </c>
      <c r="B218" t="s">
        <v>4966</v>
      </c>
      <c r="C218">
        <v>39.21</v>
      </c>
      <c r="D218">
        <v>1325</v>
      </c>
      <c r="E218">
        <v>416</v>
      </c>
      <c r="F218">
        <v>166</v>
      </c>
      <c r="G218">
        <v>-86</v>
      </c>
      <c r="H218">
        <v>19.940000000000001</v>
      </c>
      <c r="I218">
        <v>3.5</v>
      </c>
      <c r="J218">
        <v>4.26</v>
      </c>
      <c r="K218" s="245">
        <v>-1.39</v>
      </c>
      <c r="L218" s="245">
        <v>78.489999999999995</v>
      </c>
      <c r="M218" s="245">
        <v>2.36</v>
      </c>
    </row>
    <row r="219" spans="1:13">
      <c r="A219">
        <v>1809</v>
      </c>
      <c r="B219" t="s">
        <v>4967</v>
      </c>
      <c r="C219">
        <v>16.7</v>
      </c>
      <c r="D219">
        <v>130</v>
      </c>
      <c r="E219">
        <v>86</v>
      </c>
      <c r="F219">
        <v>87</v>
      </c>
      <c r="G219">
        <v>30</v>
      </c>
      <c r="H219">
        <v>-0.63</v>
      </c>
      <c r="I219">
        <v>0.25</v>
      </c>
      <c r="J219">
        <v>0.25</v>
      </c>
      <c r="K219" s="245">
        <v>-28.29</v>
      </c>
      <c r="L219" s="245">
        <v>8.23</v>
      </c>
      <c r="M219" s="245">
        <v>20.99</v>
      </c>
    </row>
    <row r="220" spans="1:13">
      <c r="A220">
        <v>1810</v>
      </c>
      <c r="B220" t="s">
        <v>4968</v>
      </c>
      <c r="C220">
        <v>36.979999999999997</v>
      </c>
      <c r="D220">
        <v>2098</v>
      </c>
      <c r="E220">
        <v>35940</v>
      </c>
      <c r="F220">
        <v>8</v>
      </c>
      <c r="G220">
        <v>3</v>
      </c>
      <c r="H220">
        <v>1.25</v>
      </c>
      <c r="I220">
        <v>0</v>
      </c>
      <c r="J220">
        <v>3.33</v>
      </c>
      <c r="K220" s="245">
        <v>-25.96</v>
      </c>
      <c r="L220" s="245">
        <v>14.75</v>
      </c>
      <c r="M220" s="245">
        <v>11.38</v>
      </c>
    </row>
    <row r="221" spans="1:13">
      <c r="A221">
        <v>1813</v>
      </c>
      <c r="B221" t="s">
        <v>6324</v>
      </c>
      <c r="C221">
        <v>4.66</v>
      </c>
      <c r="D221">
        <v>-6360</v>
      </c>
      <c r="E221">
        <v>-45</v>
      </c>
      <c r="F221">
        <v>1</v>
      </c>
      <c r="G221">
        <v>-37</v>
      </c>
      <c r="H221">
        <v>-13.12</v>
      </c>
      <c r="I221">
        <v>0.5</v>
      </c>
      <c r="J221">
        <v>-0.28000000000000003</v>
      </c>
      <c r="K221" s="245">
        <v>-4.5</v>
      </c>
      <c r="L221" s="245">
        <v>54.16</v>
      </c>
      <c r="M221" s="245">
        <v>1.0900000000000001</v>
      </c>
    </row>
    <row r="222" spans="1:13">
      <c r="A222">
        <v>1815</v>
      </c>
      <c r="B222" t="s">
        <v>4969</v>
      </c>
      <c r="C222">
        <v>42.84</v>
      </c>
      <c r="D222">
        <v>225</v>
      </c>
      <c r="E222">
        <v>214</v>
      </c>
      <c r="F222">
        <v>56</v>
      </c>
      <c r="G222">
        <v>14</v>
      </c>
      <c r="H222">
        <v>13.4</v>
      </c>
      <c r="I222">
        <v>0</v>
      </c>
      <c r="J222">
        <v>1.43</v>
      </c>
      <c r="K222" s="245">
        <v>-44.3</v>
      </c>
      <c r="L222" s="245">
        <v>16.559999999999999</v>
      </c>
      <c r="M222" s="245">
        <v>26.04</v>
      </c>
    </row>
    <row r="223" spans="1:13">
      <c r="A223">
        <v>1817</v>
      </c>
      <c r="B223" t="s">
        <v>4970</v>
      </c>
      <c r="C223">
        <v>7.26</v>
      </c>
      <c r="D223">
        <v>2</v>
      </c>
      <c r="E223">
        <v>-1</v>
      </c>
      <c r="F223">
        <v>-11</v>
      </c>
      <c r="G223">
        <v>16</v>
      </c>
      <c r="H223">
        <v>12.01</v>
      </c>
      <c r="I223">
        <v>2</v>
      </c>
      <c r="J223">
        <v>3.07</v>
      </c>
      <c r="K223" s="245">
        <v>-17.12</v>
      </c>
      <c r="L223" s="245">
        <v>11.29</v>
      </c>
      <c r="M223" s="245">
        <v>2.56</v>
      </c>
    </row>
    <row r="224" spans="1:13">
      <c r="A224">
        <v>1903</v>
      </c>
      <c r="B224" t="s">
        <v>4971</v>
      </c>
      <c r="C224">
        <v>26</v>
      </c>
      <c r="D224">
        <v>162</v>
      </c>
      <c r="E224">
        <v>82</v>
      </c>
      <c r="F224">
        <v>-30</v>
      </c>
      <c r="G224">
        <v>-15</v>
      </c>
      <c r="H224">
        <v>-8.15</v>
      </c>
      <c r="I224">
        <v>0</v>
      </c>
      <c r="J224">
        <v>0.32</v>
      </c>
      <c r="K224" s="245">
        <v>-29.44</v>
      </c>
      <c r="L224" s="245">
        <v>10.34</v>
      </c>
      <c r="M224" s="245">
        <v>7.09</v>
      </c>
    </row>
    <row r="225" spans="1:13">
      <c r="A225">
        <v>1904</v>
      </c>
      <c r="B225" t="s">
        <v>4972</v>
      </c>
      <c r="C225">
        <v>110</v>
      </c>
      <c r="D225">
        <v>7</v>
      </c>
      <c r="E225">
        <v>-8</v>
      </c>
      <c r="F225">
        <v>-5</v>
      </c>
      <c r="G225">
        <v>3</v>
      </c>
      <c r="H225">
        <v>10.17</v>
      </c>
      <c r="I225">
        <v>1.9</v>
      </c>
      <c r="J225">
        <v>3.58</v>
      </c>
      <c r="K225" s="245">
        <v>-36.409999999999997</v>
      </c>
      <c r="L225" s="245">
        <v>17.14</v>
      </c>
      <c r="M225" s="245">
        <v>5.54</v>
      </c>
    </row>
    <row r="226" spans="1:13">
      <c r="A226">
        <v>1905</v>
      </c>
      <c r="B226" t="s">
        <v>4973</v>
      </c>
      <c r="C226">
        <v>110</v>
      </c>
      <c r="D226">
        <v>248</v>
      </c>
      <c r="E226">
        <v>169</v>
      </c>
      <c r="F226">
        <v>42</v>
      </c>
      <c r="G226">
        <v>6</v>
      </c>
      <c r="H226">
        <v>1.24</v>
      </c>
      <c r="I226">
        <v>0.4</v>
      </c>
      <c r="J226">
        <v>0.45</v>
      </c>
      <c r="K226" s="245">
        <v>-37.5</v>
      </c>
      <c r="L226" s="245">
        <v>36.5</v>
      </c>
      <c r="M226" s="245">
        <v>18.350000000000001</v>
      </c>
    </row>
    <row r="227" spans="1:13">
      <c r="A227">
        <v>1906</v>
      </c>
      <c r="B227" t="s">
        <v>4974</v>
      </c>
      <c r="C227">
        <v>15.1</v>
      </c>
      <c r="D227">
        <v>97</v>
      </c>
      <c r="E227">
        <v>-80</v>
      </c>
      <c r="F227">
        <v>3</v>
      </c>
      <c r="G227">
        <v>3734</v>
      </c>
      <c r="H227">
        <v>0.1</v>
      </c>
      <c r="I227">
        <v>0.6</v>
      </c>
      <c r="J227">
        <v>1.22</v>
      </c>
      <c r="K227" s="245">
        <v>-18.43</v>
      </c>
      <c r="L227" s="245">
        <v>39.950000000000003</v>
      </c>
      <c r="M227" s="245">
        <v>6.56</v>
      </c>
    </row>
    <row r="228" spans="1:13">
      <c r="A228">
        <v>1907</v>
      </c>
      <c r="B228" t="s">
        <v>4975</v>
      </c>
      <c r="C228">
        <v>166</v>
      </c>
      <c r="D228">
        <v>17</v>
      </c>
      <c r="E228">
        <v>42</v>
      </c>
      <c r="F228">
        <v>36</v>
      </c>
      <c r="G228">
        <v>-4</v>
      </c>
      <c r="H228">
        <v>9.39</v>
      </c>
      <c r="I228">
        <v>1.5</v>
      </c>
      <c r="J228">
        <v>3.13</v>
      </c>
      <c r="K228" s="245">
        <v>-41.02</v>
      </c>
      <c r="L228" s="245">
        <v>11.66</v>
      </c>
      <c r="M228" s="245">
        <v>6.15</v>
      </c>
    </row>
    <row r="229" spans="1:13">
      <c r="A229">
        <v>1909</v>
      </c>
      <c r="B229" t="s">
        <v>4976</v>
      </c>
      <c r="C229">
        <v>127</v>
      </c>
      <c r="D229">
        <v>153</v>
      </c>
      <c r="E229">
        <v>80</v>
      </c>
      <c r="F229">
        <v>-19</v>
      </c>
      <c r="G229">
        <v>14</v>
      </c>
      <c r="H229">
        <v>7.34</v>
      </c>
      <c r="I229">
        <v>1.2</v>
      </c>
      <c r="J229">
        <v>1.84</v>
      </c>
      <c r="K229" s="245">
        <v>-41.82</v>
      </c>
      <c r="L229" s="245">
        <v>27.68</v>
      </c>
      <c r="M229" s="245">
        <v>11.06</v>
      </c>
    </row>
    <row r="230" spans="1:13">
      <c r="A230">
        <v>2002</v>
      </c>
      <c r="B230" t="s">
        <v>4977</v>
      </c>
      <c r="C230">
        <v>1573</v>
      </c>
      <c r="D230">
        <v>2951</v>
      </c>
      <c r="E230">
        <v>3373</v>
      </c>
      <c r="F230">
        <v>24</v>
      </c>
      <c r="G230">
        <v>12</v>
      </c>
      <c r="H230">
        <v>17.03</v>
      </c>
      <c r="I230">
        <v>3.1</v>
      </c>
      <c r="J230">
        <v>4.0199999999999996</v>
      </c>
      <c r="K230" s="245">
        <v>-15.36</v>
      </c>
      <c r="L230" s="245">
        <v>26.54</v>
      </c>
      <c r="M230" s="245">
        <v>5.14</v>
      </c>
    </row>
    <row r="231" spans="1:13">
      <c r="A231">
        <v>2006</v>
      </c>
      <c r="B231" t="s">
        <v>4978</v>
      </c>
      <c r="C231">
        <v>73.02</v>
      </c>
      <c r="D231">
        <v>66</v>
      </c>
      <c r="E231">
        <v>59</v>
      </c>
      <c r="F231">
        <v>49</v>
      </c>
      <c r="G231">
        <v>22</v>
      </c>
      <c r="H231">
        <v>12.01</v>
      </c>
      <c r="I231">
        <v>6.4</v>
      </c>
      <c r="J231">
        <v>5.95</v>
      </c>
      <c r="K231" s="245">
        <v>-29.16</v>
      </c>
      <c r="L231" s="245">
        <v>8.98</v>
      </c>
      <c r="M231" s="245">
        <v>10.19</v>
      </c>
    </row>
    <row r="232" spans="1:13">
      <c r="A232">
        <v>2007</v>
      </c>
      <c r="B232" t="s">
        <v>4979</v>
      </c>
      <c r="C232">
        <v>53.06</v>
      </c>
      <c r="D232">
        <v>102</v>
      </c>
      <c r="E232">
        <v>207</v>
      </c>
      <c r="F232">
        <v>8</v>
      </c>
      <c r="G232">
        <v>48</v>
      </c>
      <c r="H232">
        <v>5.42</v>
      </c>
      <c r="I232">
        <v>0</v>
      </c>
      <c r="J232">
        <v>0.02</v>
      </c>
      <c r="K232" s="245">
        <v>-57.45</v>
      </c>
      <c r="L232" s="245">
        <v>14.09</v>
      </c>
      <c r="M232" s="245">
        <v>18.43</v>
      </c>
    </row>
    <row r="233" spans="1:13">
      <c r="A233">
        <v>2008</v>
      </c>
      <c r="B233" t="s">
        <v>4980</v>
      </c>
      <c r="C233">
        <v>20.079999999999998</v>
      </c>
      <c r="D233">
        <v>228</v>
      </c>
      <c r="E233">
        <v>241</v>
      </c>
      <c r="F233">
        <v>83</v>
      </c>
      <c r="G233">
        <v>86</v>
      </c>
      <c r="H233">
        <v>6.25</v>
      </c>
      <c r="I233">
        <v>0</v>
      </c>
      <c r="J233">
        <v>0.21</v>
      </c>
      <c r="K233" s="245">
        <v>-45.36</v>
      </c>
      <c r="L233" s="245">
        <v>10.76</v>
      </c>
      <c r="M233" s="245">
        <v>8.92</v>
      </c>
    </row>
    <row r="234" spans="1:13">
      <c r="A234">
        <v>2009</v>
      </c>
      <c r="B234" t="s">
        <v>4981</v>
      </c>
      <c r="C234">
        <v>35.96</v>
      </c>
      <c r="D234">
        <v>433</v>
      </c>
      <c r="E234">
        <v>437</v>
      </c>
      <c r="F234">
        <v>-6</v>
      </c>
      <c r="G234">
        <v>8</v>
      </c>
      <c r="H234">
        <v>7.97</v>
      </c>
      <c r="I234">
        <v>1</v>
      </c>
      <c r="J234">
        <v>1.18</v>
      </c>
      <c r="K234" s="245">
        <v>-51.73</v>
      </c>
      <c r="L234" s="245">
        <v>7.75</v>
      </c>
      <c r="M234" s="245">
        <v>39.65</v>
      </c>
    </row>
    <row r="235" spans="1:13">
      <c r="A235">
        <v>2010</v>
      </c>
      <c r="B235" t="s">
        <v>4982</v>
      </c>
      <c r="C235">
        <v>64.760000000000005</v>
      </c>
      <c r="D235">
        <v>138</v>
      </c>
      <c r="E235">
        <v>151</v>
      </c>
      <c r="F235">
        <v>33</v>
      </c>
      <c r="G235">
        <v>17</v>
      </c>
      <c r="H235">
        <v>5.18</v>
      </c>
      <c r="I235">
        <v>1.3</v>
      </c>
      <c r="J235">
        <v>1.88</v>
      </c>
      <c r="K235" s="245">
        <v>-47.67</v>
      </c>
      <c r="L235" s="245">
        <v>17.34</v>
      </c>
      <c r="M235" s="245">
        <v>18.89</v>
      </c>
    </row>
    <row r="236" spans="1:13">
      <c r="A236">
        <v>2012</v>
      </c>
      <c r="B236" t="s">
        <v>4983</v>
      </c>
      <c r="C236">
        <v>28.77</v>
      </c>
      <c r="D236">
        <v>232</v>
      </c>
      <c r="E236">
        <v>214</v>
      </c>
      <c r="F236">
        <v>64</v>
      </c>
      <c r="G236">
        <v>44</v>
      </c>
      <c r="H236">
        <v>9.33</v>
      </c>
      <c r="I236">
        <v>2</v>
      </c>
      <c r="J236">
        <v>2.81</v>
      </c>
      <c r="K236" s="245">
        <v>-32.35</v>
      </c>
      <c r="L236" s="245">
        <v>25.2</v>
      </c>
      <c r="M236" s="245">
        <v>15.34</v>
      </c>
    </row>
    <row r="237" spans="1:13">
      <c r="A237">
        <v>2013</v>
      </c>
      <c r="B237" t="s">
        <v>4984</v>
      </c>
      <c r="C237">
        <v>20</v>
      </c>
      <c r="D237">
        <v>-21</v>
      </c>
      <c r="E237">
        <v>70</v>
      </c>
      <c r="F237">
        <v>-5</v>
      </c>
      <c r="G237">
        <v>42</v>
      </c>
      <c r="H237">
        <v>2.96</v>
      </c>
      <c r="I237">
        <v>2</v>
      </c>
      <c r="J237">
        <v>2.4900000000000002</v>
      </c>
      <c r="K237" s="245">
        <v>-34.520000000000003</v>
      </c>
      <c r="L237" s="245">
        <v>27.16</v>
      </c>
      <c r="M237" s="245">
        <v>18.77</v>
      </c>
    </row>
    <row r="238" spans="1:13">
      <c r="A238">
        <v>2014</v>
      </c>
      <c r="B238" t="s">
        <v>4985</v>
      </c>
      <c r="C238">
        <v>143</v>
      </c>
      <c r="D238">
        <v>1102</v>
      </c>
      <c r="E238">
        <v>1828</v>
      </c>
      <c r="F238">
        <v>20</v>
      </c>
      <c r="G238">
        <v>46</v>
      </c>
      <c r="H238">
        <v>12.14</v>
      </c>
      <c r="I238">
        <v>2.8</v>
      </c>
      <c r="J238">
        <v>4.42</v>
      </c>
      <c r="K238" s="245">
        <v>-47.99</v>
      </c>
      <c r="L238" s="245">
        <v>22.09</v>
      </c>
      <c r="M238" s="245">
        <v>35.64</v>
      </c>
    </row>
    <row r="239" spans="1:13">
      <c r="A239">
        <v>2015</v>
      </c>
      <c r="B239" t="s">
        <v>4986</v>
      </c>
      <c r="C239">
        <v>58.15</v>
      </c>
      <c r="D239">
        <v>54</v>
      </c>
      <c r="E239">
        <v>52</v>
      </c>
      <c r="F239">
        <v>-9</v>
      </c>
      <c r="G239">
        <v>23</v>
      </c>
      <c r="H239">
        <v>12.31</v>
      </c>
      <c r="I239">
        <v>5</v>
      </c>
      <c r="J239">
        <v>6.94</v>
      </c>
      <c r="K239" s="245">
        <v>-22.12</v>
      </c>
      <c r="L239" s="245">
        <v>15.99</v>
      </c>
      <c r="M239" s="245">
        <v>1.94</v>
      </c>
    </row>
    <row r="240" spans="1:13">
      <c r="A240">
        <v>2017</v>
      </c>
      <c r="B240" t="s">
        <v>4987</v>
      </c>
      <c r="C240">
        <v>34.18</v>
      </c>
      <c r="D240">
        <v>853</v>
      </c>
      <c r="E240">
        <v>4096</v>
      </c>
      <c r="F240">
        <v>63</v>
      </c>
      <c r="G240">
        <v>10</v>
      </c>
      <c r="H240">
        <v>13.53</v>
      </c>
      <c r="I240">
        <v>1.2</v>
      </c>
      <c r="J240">
        <v>1.98</v>
      </c>
      <c r="K240" s="245">
        <v>-58.02</v>
      </c>
      <c r="L240" s="245">
        <v>20.25</v>
      </c>
      <c r="M240" s="245">
        <v>21.87</v>
      </c>
    </row>
    <row r="241" spans="1:13">
      <c r="A241">
        <v>2020</v>
      </c>
      <c r="B241" t="s">
        <v>4988</v>
      </c>
      <c r="C241">
        <v>22.25</v>
      </c>
      <c r="D241">
        <v>98</v>
      </c>
      <c r="E241">
        <v>95</v>
      </c>
      <c r="F241">
        <v>43</v>
      </c>
      <c r="G241">
        <v>22</v>
      </c>
      <c r="H241">
        <v>7.97</v>
      </c>
      <c r="I241">
        <v>3</v>
      </c>
      <c r="J241">
        <v>3.52</v>
      </c>
      <c r="K241" s="245">
        <v>-27.8</v>
      </c>
      <c r="L241" s="245">
        <v>39.979999999999997</v>
      </c>
      <c r="M241" s="245">
        <v>24.28</v>
      </c>
    </row>
    <row r="242" spans="1:13">
      <c r="A242">
        <v>2022</v>
      </c>
      <c r="B242" t="s">
        <v>6461</v>
      </c>
      <c r="C242">
        <v>47.97</v>
      </c>
      <c r="D242">
        <v>315</v>
      </c>
      <c r="E242">
        <v>681</v>
      </c>
      <c r="F242">
        <v>6</v>
      </c>
      <c r="G242">
        <v>-29</v>
      </c>
      <c r="H242">
        <v>8.59</v>
      </c>
      <c r="I242">
        <v>0</v>
      </c>
      <c r="J242">
        <v>0.89</v>
      </c>
      <c r="K242" s="245">
        <v>-63.04</v>
      </c>
      <c r="L242" s="245">
        <v>9</v>
      </c>
      <c r="M242" s="245">
        <v>18.329999999999998</v>
      </c>
    </row>
    <row r="243" spans="1:13">
      <c r="A243">
        <v>2023</v>
      </c>
      <c r="B243" t="s">
        <v>4989</v>
      </c>
      <c r="C243">
        <v>189</v>
      </c>
      <c r="D243">
        <v>908</v>
      </c>
      <c r="E243">
        <v>344</v>
      </c>
      <c r="F243">
        <v>3</v>
      </c>
      <c r="G243">
        <v>17</v>
      </c>
      <c r="H243">
        <v>5.59</v>
      </c>
      <c r="I243">
        <v>1</v>
      </c>
      <c r="J243">
        <v>2.75</v>
      </c>
      <c r="K243" s="245">
        <v>-52.76</v>
      </c>
      <c r="L243" s="245">
        <v>17.14</v>
      </c>
      <c r="M243" s="245">
        <v>18.260000000000002</v>
      </c>
    </row>
    <row r="244" spans="1:13">
      <c r="A244">
        <v>2024</v>
      </c>
      <c r="B244" t="s">
        <v>4990</v>
      </c>
      <c r="C244">
        <v>9.75</v>
      </c>
      <c r="D244">
        <v>434</v>
      </c>
      <c r="E244">
        <v>402</v>
      </c>
      <c r="F244">
        <v>57</v>
      </c>
      <c r="G244">
        <v>10</v>
      </c>
      <c r="H244">
        <v>11.95</v>
      </c>
      <c r="I244">
        <v>1.2</v>
      </c>
      <c r="J244">
        <v>1.47</v>
      </c>
      <c r="K244" s="245">
        <v>-35.6</v>
      </c>
      <c r="L244" s="245">
        <v>23.77</v>
      </c>
      <c r="M244" s="245">
        <v>17.78</v>
      </c>
    </row>
    <row r="245" spans="1:13">
      <c r="A245">
        <v>2025</v>
      </c>
      <c r="B245" t="s">
        <v>6462</v>
      </c>
      <c r="C245">
        <v>28.11</v>
      </c>
      <c r="D245">
        <v>231</v>
      </c>
      <c r="E245">
        <v>219</v>
      </c>
      <c r="F245">
        <v>25</v>
      </c>
      <c r="G245">
        <v>6</v>
      </c>
      <c r="H245">
        <v>10.75</v>
      </c>
      <c r="I245">
        <v>0</v>
      </c>
      <c r="J245">
        <v>0.98</v>
      </c>
      <c r="K245" s="245">
        <v>-39.76</v>
      </c>
      <c r="L245" s="245">
        <v>16.79</v>
      </c>
      <c r="M245" s="245">
        <v>6.58</v>
      </c>
    </row>
    <row r="246" spans="1:13">
      <c r="A246">
        <v>2027</v>
      </c>
      <c r="B246" t="s">
        <v>4991</v>
      </c>
      <c r="C246">
        <v>200</v>
      </c>
      <c r="D246">
        <v>11496</v>
      </c>
      <c r="E246">
        <v>938</v>
      </c>
      <c r="F246">
        <v>-6</v>
      </c>
      <c r="G246">
        <v>33</v>
      </c>
      <c r="H246">
        <v>19.55</v>
      </c>
      <c r="I246">
        <v>1.9</v>
      </c>
      <c r="J246">
        <v>5.76</v>
      </c>
      <c r="K246" s="245">
        <v>-31.4</v>
      </c>
      <c r="L246" s="245">
        <v>18.36</v>
      </c>
      <c r="M246" s="245">
        <v>22.9</v>
      </c>
    </row>
    <row r="247" spans="1:13">
      <c r="A247">
        <v>2028</v>
      </c>
      <c r="B247" t="s">
        <v>4992</v>
      </c>
      <c r="C247">
        <v>32.57</v>
      </c>
      <c r="D247">
        <v>176</v>
      </c>
      <c r="E247">
        <v>228</v>
      </c>
      <c r="F247">
        <v>-13</v>
      </c>
      <c r="G247">
        <v>33</v>
      </c>
      <c r="H247">
        <v>14.46</v>
      </c>
      <c r="I247">
        <v>2.5</v>
      </c>
      <c r="J247">
        <v>5.1100000000000003</v>
      </c>
      <c r="K247" s="245">
        <v>-49.78</v>
      </c>
      <c r="L247" s="245">
        <v>18.07</v>
      </c>
      <c r="M247" s="245">
        <v>18.09</v>
      </c>
    </row>
    <row r="248" spans="1:13">
      <c r="A248">
        <v>2029</v>
      </c>
      <c r="B248" t="s">
        <v>4993</v>
      </c>
      <c r="C248">
        <v>32.11</v>
      </c>
      <c r="D248">
        <v>405</v>
      </c>
      <c r="E248">
        <v>312</v>
      </c>
      <c r="F248">
        <v>34</v>
      </c>
      <c r="G248">
        <v>54</v>
      </c>
      <c r="H248">
        <v>10.86</v>
      </c>
      <c r="I248">
        <v>2.5499999999999998</v>
      </c>
      <c r="J248">
        <v>3.94</v>
      </c>
      <c r="K248" s="245">
        <v>-45.34</v>
      </c>
      <c r="L248" s="245">
        <v>31.03</v>
      </c>
      <c r="M248" s="245">
        <v>22.37</v>
      </c>
    </row>
    <row r="249" spans="1:13">
      <c r="A249">
        <v>2030</v>
      </c>
      <c r="B249" t="s">
        <v>4994</v>
      </c>
      <c r="C249">
        <v>28.05</v>
      </c>
      <c r="D249">
        <v>1011</v>
      </c>
      <c r="E249">
        <v>635</v>
      </c>
      <c r="F249">
        <v>-22</v>
      </c>
      <c r="G249">
        <v>32</v>
      </c>
      <c r="H249">
        <v>11.33</v>
      </c>
      <c r="I249">
        <v>2</v>
      </c>
      <c r="J249">
        <v>4.29</v>
      </c>
      <c r="K249" s="245">
        <v>-43.37</v>
      </c>
      <c r="L249" s="245">
        <v>23.2</v>
      </c>
      <c r="M249" s="245">
        <v>60.94</v>
      </c>
    </row>
    <row r="250" spans="1:13">
      <c r="A250">
        <v>2031</v>
      </c>
      <c r="B250" t="s">
        <v>4995</v>
      </c>
      <c r="C250">
        <v>32.11</v>
      </c>
      <c r="D250">
        <v>227</v>
      </c>
      <c r="E250">
        <v>461</v>
      </c>
      <c r="F250">
        <v>-25</v>
      </c>
      <c r="G250">
        <v>29</v>
      </c>
      <c r="H250">
        <v>18.7</v>
      </c>
      <c r="I250">
        <v>4</v>
      </c>
      <c r="J250">
        <v>8.6199999999999992</v>
      </c>
      <c r="K250" s="245">
        <v>-38.69</v>
      </c>
      <c r="L250" s="245">
        <v>28.75</v>
      </c>
      <c r="M250" s="245">
        <v>28.97</v>
      </c>
    </row>
    <row r="251" spans="1:13">
      <c r="A251">
        <v>2032</v>
      </c>
      <c r="B251" t="s">
        <v>4996</v>
      </c>
      <c r="C251">
        <v>13.05</v>
      </c>
      <c r="D251">
        <v>119</v>
      </c>
      <c r="E251">
        <v>114</v>
      </c>
      <c r="F251">
        <v>-28</v>
      </c>
      <c r="G251">
        <v>7</v>
      </c>
      <c r="H251">
        <v>5.45</v>
      </c>
      <c r="I251">
        <v>1.18</v>
      </c>
      <c r="J251">
        <v>1.28</v>
      </c>
      <c r="K251" s="245">
        <v>-42.37</v>
      </c>
      <c r="L251" s="245">
        <v>23.21</v>
      </c>
      <c r="M251" s="245">
        <v>42.25</v>
      </c>
    </row>
    <row r="252" spans="1:13">
      <c r="A252">
        <v>2033</v>
      </c>
      <c r="B252" t="s">
        <v>4997</v>
      </c>
      <c r="C252">
        <v>8.06</v>
      </c>
      <c r="D252">
        <v>-25</v>
      </c>
      <c r="E252">
        <v>-32</v>
      </c>
      <c r="F252">
        <v>-30</v>
      </c>
      <c r="G252">
        <v>4</v>
      </c>
      <c r="H252">
        <v>1.7</v>
      </c>
      <c r="I252">
        <v>0.2</v>
      </c>
      <c r="J252">
        <v>0.18</v>
      </c>
      <c r="K252" s="245">
        <v>-37.58</v>
      </c>
      <c r="L252" s="245">
        <v>29.81</v>
      </c>
      <c r="M252" s="245">
        <v>48.24</v>
      </c>
    </row>
    <row r="253" spans="1:13">
      <c r="A253">
        <v>2034</v>
      </c>
      <c r="B253" t="s">
        <v>4998</v>
      </c>
      <c r="C253">
        <v>44.53</v>
      </c>
      <c r="D253">
        <v>197</v>
      </c>
      <c r="E253">
        <v>199</v>
      </c>
      <c r="F253">
        <v>19</v>
      </c>
      <c r="G253">
        <v>33</v>
      </c>
      <c r="H253">
        <v>7.81</v>
      </c>
      <c r="I253">
        <v>1.5</v>
      </c>
      <c r="J253">
        <v>2.86</v>
      </c>
      <c r="K253" s="245">
        <v>-35.409999999999997</v>
      </c>
      <c r="L253" s="245">
        <v>23.37</v>
      </c>
      <c r="M253" s="245">
        <v>31.91</v>
      </c>
    </row>
    <row r="254" spans="1:13">
      <c r="A254">
        <v>2035</v>
      </c>
      <c r="B254" t="s">
        <v>4999</v>
      </c>
      <c r="C254">
        <v>35</v>
      </c>
      <c r="D254">
        <v>338</v>
      </c>
      <c r="E254">
        <v>307</v>
      </c>
      <c r="F254">
        <v>-9</v>
      </c>
      <c r="G254">
        <v>22</v>
      </c>
      <c r="H254">
        <v>9.58</v>
      </c>
      <c r="I254">
        <v>0</v>
      </c>
      <c r="J254">
        <v>4.53</v>
      </c>
      <c r="K254" s="245">
        <v>-33.99</v>
      </c>
      <c r="L254" s="245">
        <v>13.13</v>
      </c>
      <c r="M254" s="245">
        <v>1.22</v>
      </c>
    </row>
    <row r="255" spans="1:13">
      <c r="A255">
        <v>2038</v>
      </c>
      <c r="B255" t="s">
        <v>5000</v>
      </c>
      <c r="C255">
        <v>18.12</v>
      </c>
      <c r="D255">
        <v>196</v>
      </c>
      <c r="E255">
        <v>190</v>
      </c>
      <c r="F255">
        <v>38</v>
      </c>
      <c r="G255">
        <v>10</v>
      </c>
      <c r="H255">
        <v>5.09</v>
      </c>
      <c r="I255">
        <v>1.5</v>
      </c>
      <c r="J255">
        <v>2.54</v>
      </c>
      <c r="K255" s="245">
        <v>-61.62</v>
      </c>
      <c r="L255" s="245">
        <v>19.45</v>
      </c>
      <c r="M255" s="245">
        <v>66</v>
      </c>
    </row>
    <row r="256" spans="1:13">
      <c r="A256">
        <v>2049</v>
      </c>
      <c r="B256" t="s">
        <v>5001</v>
      </c>
      <c r="C256">
        <v>34.07</v>
      </c>
      <c r="D256">
        <v>85</v>
      </c>
      <c r="E256">
        <v>195</v>
      </c>
      <c r="F256">
        <v>1</v>
      </c>
      <c r="G256">
        <v>22</v>
      </c>
      <c r="H256">
        <v>18.760000000000002</v>
      </c>
      <c r="I256">
        <v>4.5</v>
      </c>
      <c r="J256">
        <v>10.36</v>
      </c>
      <c r="K256" s="245">
        <v>-43.55</v>
      </c>
      <c r="L256" s="245">
        <v>30.35</v>
      </c>
      <c r="M256" s="245">
        <v>2.14</v>
      </c>
    </row>
    <row r="257" spans="1:13">
      <c r="A257">
        <v>2059</v>
      </c>
      <c r="B257" t="s">
        <v>5002</v>
      </c>
      <c r="C257">
        <v>9.52</v>
      </c>
      <c r="D257">
        <v>77</v>
      </c>
      <c r="E257">
        <v>38</v>
      </c>
      <c r="F257">
        <v>-5</v>
      </c>
      <c r="G257">
        <v>21</v>
      </c>
      <c r="H257">
        <v>42.88</v>
      </c>
      <c r="I257">
        <v>10.88</v>
      </c>
      <c r="J257">
        <v>21.75</v>
      </c>
      <c r="K257" s="245">
        <v>-23.01</v>
      </c>
      <c r="L257" s="245">
        <v>39.01</v>
      </c>
      <c r="M257" s="245">
        <v>1.04</v>
      </c>
    </row>
    <row r="258" spans="1:13">
      <c r="A258">
        <v>2061</v>
      </c>
      <c r="B258" t="s">
        <v>6356</v>
      </c>
      <c r="C258">
        <v>4.6900000000000004</v>
      </c>
      <c r="D258">
        <v>1877</v>
      </c>
      <c r="E258">
        <v>325</v>
      </c>
      <c r="F258">
        <v>0</v>
      </c>
      <c r="G258">
        <v>-10</v>
      </c>
      <c r="H258">
        <v>2.59</v>
      </c>
      <c r="I258">
        <v>1</v>
      </c>
      <c r="J258">
        <v>2.37</v>
      </c>
      <c r="K258" s="245">
        <v>-27.74</v>
      </c>
      <c r="L258" s="245">
        <v>30.96</v>
      </c>
      <c r="M258" s="245">
        <v>3.89</v>
      </c>
    </row>
    <row r="259" spans="1:13">
      <c r="A259">
        <v>2062</v>
      </c>
      <c r="B259" t="s">
        <v>673</v>
      </c>
      <c r="C259">
        <v>19.989999999999998</v>
      </c>
      <c r="D259">
        <v>662</v>
      </c>
      <c r="E259">
        <v>5365</v>
      </c>
      <c r="F259">
        <v>-13</v>
      </c>
      <c r="G259">
        <v>3</v>
      </c>
      <c r="H259">
        <v>5.81</v>
      </c>
      <c r="I259">
        <v>0.5</v>
      </c>
      <c r="J259">
        <v>2.48</v>
      </c>
      <c r="K259" s="245">
        <v>-28.57</v>
      </c>
      <c r="L259" s="245">
        <v>21.75</v>
      </c>
      <c r="M259" s="245">
        <v>2.83</v>
      </c>
    </row>
    <row r="260" spans="1:13">
      <c r="A260">
        <v>2063</v>
      </c>
      <c r="B260" t="s">
        <v>6181</v>
      </c>
      <c r="C260">
        <v>4.5</v>
      </c>
      <c r="D260">
        <v>39</v>
      </c>
      <c r="E260">
        <v>41</v>
      </c>
      <c r="F260">
        <v>14</v>
      </c>
      <c r="G260">
        <v>37</v>
      </c>
      <c r="H260">
        <v>14.07</v>
      </c>
      <c r="I260">
        <v>3</v>
      </c>
      <c r="J260">
        <v>3.31</v>
      </c>
      <c r="K260" s="245">
        <v>-12.13</v>
      </c>
      <c r="L260" s="245">
        <v>20.05</v>
      </c>
      <c r="M260" s="245">
        <v>2.98</v>
      </c>
    </row>
    <row r="261" spans="1:13">
      <c r="A261">
        <v>2064</v>
      </c>
      <c r="B261" t="s">
        <v>5003</v>
      </c>
      <c r="C261">
        <v>6.96</v>
      </c>
      <c r="D261">
        <v>221</v>
      </c>
      <c r="E261">
        <v>291</v>
      </c>
      <c r="F261">
        <v>81</v>
      </c>
      <c r="G261">
        <v>18</v>
      </c>
      <c r="H261">
        <v>5.48</v>
      </c>
      <c r="I261">
        <v>1</v>
      </c>
      <c r="J261">
        <v>1.81</v>
      </c>
      <c r="K261" s="245">
        <v>-33.090000000000003</v>
      </c>
      <c r="L261" s="245">
        <v>33.44</v>
      </c>
      <c r="M261" s="245">
        <v>23.68</v>
      </c>
    </row>
    <row r="262" spans="1:13">
      <c r="A262">
        <v>2065</v>
      </c>
      <c r="B262" t="s">
        <v>5004</v>
      </c>
      <c r="C262">
        <v>5.43</v>
      </c>
      <c r="D262">
        <v>81</v>
      </c>
      <c r="E262">
        <v>72</v>
      </c>
      <c r="F262">
        <v>-3</v>
      </c>
      <c r="G262">
        <v>-9</v>
      </c>
      <c r="H262">
        <v>12.2</v>
      </c>
      <c r="I262">
        <v>5.14</v>
      </c>
      <c r="J262">
        <v>5.42</v>
      </c>
      <c r="K262" s="245">
        <v>-16.399999999999999</v>
      </c>
      <c r="L262" s="245">
        <v>19.39</v>
      </c>
      <c r="M262" s="245">
        <v>7.05</v>
      </c>
    </row>
    <row r="263" spans="1:13">
      <c r="A263">
        <v>2066</v>
      </c>
      <c r="B263" t="s">
        <v>6202</v>
      </c>
      <c r="C263">
        <v>3.65</v>
      </c>
      <c r="D263">
        <v>37</v>
      </c>
      <c r="E263">
        <v>128</v>
      </c>
      <c r="F263">
        <v>9</v>
      </c>
      <c r="G263">
        <v>3</v>
      </c>
      <c r="H263">
        <v>8.43</v>
      </c>
      <c r="I263">
        <v>0</v>
      </c>
      <c r="J263">
        <v>4</v>
      </c>
      <c r="K263" s="245">
        <v>-12.02</v>
      </c>
      <c r="L263" s="245">
        <v>52.07</v>
      </c>
      <c r="M263" s="245">
        <v>1.41</v>
      </c>
    </row>
    <row r="264" spans="1:13">
      <c r="A264">
        <v>2067</v>
      </c>
      <c r="B264" t="s">
        <v>6463</v>
      </c>
      <c r="C264">
        <v>4.51</v>
      </c>
      <c r="D264">
        <v>66</v>
      </c>
      <c r="E264">
        <v>50</v>
      </c>
      <c r="F264">
        <v>31</v>
      </c>
      <c r="G264">
        <v>-7</v>
      </c>
      <c r="H264">
        <v>-2.62</v>
      </c>
      <c r="I264">
        <v>0</v>
      </c>
      <c r="J264">
        <v>-0.24</v>
      </c>
      <c r="K264" s="245">
        <v>-18.21</v>
      </c>
      <c r="L264" s="245">
        <v>25.87</v>
      </c>
      <c r="M264" s="245">
        <v>6.58</v>
      </c>
    </row>
    <row r="265" spans="1:13">
      <c r="A265">
        <v>2069</v>
      </c>
      <c r="B265" t="s">
        <v>5005</v>
      </c>
      <c r="C265">
        <v>16.63</v>
      </c>
      <c r="D265">
        <v>1744</v>
      </c>
      <c r="E265">
        <v>762</v>
      </c>
      <c r="F265">
        <v>7</v>
      </c>
      <c r="G265">
        <v>40</v>
      </c>
      <c r="H265">
        <v>6.72</v>
      </c>
      <c r="I265">
        <v>2.2000000000000002</v>
      </c>
      <c r="J265">
        <v>4.7300000000000004</v>
      </c>
      <c r="K265" s="245">
        <v>-45.08</v>
      </c>
      <c r="L265" s="245">
        <v>18.93</v>
      </c>
      <c r="M265" s="245">
        <v>46.09</v>
      </c>
    </row>
    <row r="266" spans="1:13">
      <c r="A266">
        <v>2070</v>
      </c>
      <c r="B266" t="s">
        <v>6329</v>
      </c>
      <c r="C266">
        <v>3.57</v>
      </c>
      <c r="D266">
        <v>283</v>
      </c>
      <c r="E266">
        <v>452</v>
      </c>
      <c r="F266">
        <v>-4</v>
      </c>
      <c r="G266">
        <v>-24</v>
      </c>
      <c r="H266">
        <v>19.670000000000002</v>
      </c>
      <c r="I266">
        <v>1.5</v>
      </c>
      <c r="J266">
        <v>2.66</v>
      </c>
      <c r="K266" s="245">
        <v>-21.43</v>
      </c>
      <c r="L266" s="245">
        <v>33.01</v>
      </c>
      <c r="M266" s="245">
        <v>8.7100000000000009</v>
      </c>
    </row>
    <row r="267" spans="1:13">
      <c r="A267">
        <v>2101</v>
      </c>
      <c r="B267" t="s">
        <v>5006</v>
      </c>
      <c r="C267">
        <v>83.39</v>
      </c>
      <c r="D267">
        <v>-128</v>
      </c>
      <c r="E267">
        <v>-180</v>
      </c>
      <c r="F267">
        <v>13</v>
      </c>
      <c r="G267">
        <v>20</v>
      </c>
      <c r="H267">
        <v>-10.29</v>
      </c>
      <c r="I267">
        <v>0</v>
      </c>
      <c r="J267">
        <v>-0.28999999999999998</v>
      </c>
      <c r="K267" s="245">
        <v>-21.5</v>
      </c>
      <c r="L267" s="245">
        <v>17.36</v>
      </c>
      <c r="M267" s="245">
        <v>8.01</v>
      </c>
    </row>
    <row r="268" spans="1:13">
      <c r="A268">
        <v>2102</v>
      </c>
      <c r="B268" t="s">
        <v>5007</v>
      </c>
      <c r="C268">
        <v>47.33</v>
      </c>
      <c r="D268">
        <v>-2208</v>
      </c>
      <c r="E268">
        <v>-847</v>
      </c>
      <c r="F268">
        <v>-7</v>
      </c>
      <c r="G268">
        <v>11</v>
      </c>
      <c r="H268">
        <v>-118.38</v>
      </c>
      <c r="I268">
        <v>0</v>
      </c>
      <c r="J268">
        <v>-5.1100000000000003</v>
      </c>
      <c r="K268" s="245">
        <v>-39.46</v>
      </c>
      <c r="L268" s="245">
        <v>9.56</v>
      </c>
      <c r="M268" s="245">
        <v>7.36</v>
      </c>
    </row>
    <row r="269" spans="1:13">
      <c r="A269">
        <v>2103</v>
      </c>
      <c r="B269" t="s">
        <v>5008</v>
      </c>
      <c r="C269">
        <v>82.57</v>
      </c>
      <c r="D269">
        <v>1973</v>
      </c>
      <c r="E269">
        <v>377</v>
      </c>
      <c r="F269">
        <v>-2</v>
      </c>
      <c r="G269">
        <v>0</v>
      </c>
      <c r="H269">
        <v>12.07</v>
      </c>
      <c r="I269">
        <v>2.4</v>
      </c>
      <c r="J269">
        <v>4.76</v>
      </c>
      <c r="K269" s="245">
        <v>-32.46</v>
      </c>
      <c r="L269" s="245">
        <v>11.72</v>
      </c>
      <c r="M269" s="245">
        <v>13.35</v>
      </c>
    </row>
    <row r="270" spans="1:13">
      <c r="A270">
        <v>2104</v>
      </c>
      <c r="B270" t="s">
        <v>5009</v>
      </c>
      <c r="C270">
        <v>98.47</v>
      </c>
      <c r="D270">
        <v>407</v>
      </c>
      <c r="E270">
        <v>268</v>
      </c>
      <c r="F270">
        <v>17</v>
      </c>
      <c r="G270">
        <v>-3</v>
      </c>
      <c r="H270">
        <v>21.03</v>
      </c>
      <c r="I270">
        <v>0.2</v>
      </c>
      <c r="J270">
        <v>3.5</v>
      </c>
      <c r="K270" s="245">
        <v>-24.58</v>
      </c>
      <c r="L270" s="245">
        <v>12.43</v>
      </c>
      <c r="M270" s="245">
        <v>4.75</v>
      </c>
    </row>
    <row r="271" spans="1:13">
      <c r="A271">
        <v>2105</v>
      </c>
      <c r="B271" t="s">
        <v>5010</v>
      </c>
      <c r="C271">
        <v>324</v>
      </c>
      <c r="D271">
        <v>-11</v>
      </c>
      <c r="E271">
        <v>-10</v>
      </c>
      <c r="F271">
        <v>-25</v>
      </c>
      <c r="G271">
        <v>-16</v>
      </c>
      <c r="H271">
        <v>7.54</v>
      </c>
      <c r="I271">
        <v>1.2</v>
      </c>
      <c r="J271">
        <v>1.63</v>
      </c>
      <c r="K271" s="245">
        <v>-30.31</v>
      </c>
      <c r="L271" s="245">
        <v>21.32</v>
      </c>
      <c r="M271" s="245">
        <v>1.77</v>
      </c>
    </row>
    <row r="272" spans="1:13">
      <c r="A272">
        <v>2106</v>
      </c>
      <c r="B272" t="s">
        <v>5011</v>
      </c>
      <c r="C272">
        <v>90.94</v>
      </c>
      <c r="D272">
        <v>-5</v>
      </c>
      <c r="E272">
        <v>13</v>
      </c>
      <c r="F272">
        <v>40</v>
      </c>
      <c r="G272">
        <v>15</v>
      </c>
      <c r="H272">
        <v>4.99</v>
      </c>
      <c r="I272">
        <v>1</v>
      </c>
      <c r="J272">
        <v>1.01</v>
      </c>
      <c r="K272" s="245">
        <v>-26.35</v>
      </c>
      <c r="L272" s="245">
        <v>42.06</v>
      </c>
      <c r="M272" s="245">
        <v>2.2400000000000002</v>
      </c>
    </row>
    <row r="273" spans="1:13">
      <c r="A273">
        <v>2107</v>
      </c>
      <c r="B273" t="s">
        <v>5012</v>
      </c>
      <c r="C273">
        <v>34.229999999999997</v>
      </c>
      <c r="D273">
        <v>-13</v>
      </c>
      <c r="E273">
        <v>-22</v>
      </c>
      <c r="F273">
        <v>25</v>
      </c>
      <c r="G273">
        <v>-2</v>
      </c>
      <c r="H273">
        <v>22.44</v>
      </c>
      <c r="I273">
        <v>1.2</v>
      </c>
      <c r="J273">
        <v>2.27</v>
      </c>
      <c r="K273" s="245">
        <v>-14.98</v>
      </c>
      <c r="L273" s="245">
        <v>60.1</v>
      </c>
      <c r="M273" s="245">
        <v>3.59</v>
      </c>
    </row>
    <row r="274" spans="1:13">
      <c r="A274">
        <v>2108</v>
      </c>
      <c r="B274" t="s">
        <v>5013</v>
      </c>
      <c r="C274">
        <v>49.24</v>
      </c>
      <c r="D274">
        <v>107</v>
      </c>
      <c r="E274">
        <v>105</v>
      </c>
      <c r="F274">
        <v>-6</v>
      </c>
      <c r="G274">
        <v>-52</v>
      </c>
      <c r="H274">
        <v>42.15</v>
      </c>
      <c r="I274">
        <v>7</v>
      </c>
      <c r="J274">
        <v>14.92</v>
      </c>
      <c r="K274" s="245">
        <v>-71.62</v>
      </c>
      <c r="L274" s="245">
        <v>4.6399999999999997</v>
      </c>
      <c r="M274" s="245">
        <v>10.42</v>
      </c>
    </row>
    <row r="275" spans="1:13">
      <c r="A275">
        <v>2109</v>
      </c>
      <c r="B275" t="s">
        <v>5014</v>
      </c>
      <c r="C275">
        <v>27.93</v>
      </c>
      <c r="D275">
        <v>0</v>
      </c>
      <c r="E275">
        <v>15</v>
      </c>
      <c r="F275">
        <v>-15</v>
      </c>
      <c r="G275">
        <v>-1</v>
      </c>
      <c r="H275">
        <v>12.63</v>
      </c>
      <c r="I275">
        <v>1</v>
      </c>
      <c r="J275">
        <v>1.3</v>
      </c>
      <c r="K275" s="245">
        <v>-33.1</v>
      </c>
      <c r="L275" s="245">
        <v>13.82</v>
      </c>
      <c r="M275" s="245">
        <v>5.09</v>
      </c>
    </row>
    <row r="276" spans="1:13">
      <c r="A276">
        <v>2114</v>
      </c>
      <c r="B276" t="s">
        <v>5015</v>
      </c>
      <c r="C276">
        <v>7.79</v>
      </c>
      <c r="D276">
        <v>84</v>
      </c>
      <c r="E276">
        <v>2</v>
      </c>
      <c r="F276">
        <v>0</v>
      </c>
      <c r="G276">
        <v>2</v>
      </c>
      <c r="H276">
        <v>26.97</v>
      </c>
      <c r="I276">
        <v>0</v>
      </c>
      <c r="J276">
        <v>12.42</v>
      </c>
      <c r="K276" s="245">
        <v>-26.69</v>
      </c>
      <c r="L276" s="245">
        <v>16.13</v>
      </c>
      <c r="M276" s="245">
        <v>1.19</v>
      </c>
    </row>
    <row r="277" spans="1:13">
      <c r="A277">
        <v>2115</v>
      </c>
      <c r="B277" t="s">
        <v>5016</v>
      </c>
      <c r="C277">
        <v>9.94</v>
      </c>
      <c r="D277">
        <v>-32</v>
      </c>
      <c r="E277">
        <v>43</v>
      </c>
      <c r="F277">
        <v>-1</v>
      </c>
      <c r="G277">
        <v>-5</v>
      </c>
      <c r="H277">
        <v>13.88</v>
      </c>
      <c r="I277">
        <v>1.6</v>
      </c>
      <c r="J277">
        <v>4.0199999999999996</v>
      </c>
      <c r="K277" s="245">
        <v>-31.47</v>
      </c>
      <c r="L277" s="245">
        <v>5.03</v>
      </c>
      <c r="M277" s="245">
        <v>0.95</v>
      </c>
    </row>
    <row r="278" spans="1:13">
      <c r="A278">
        <v>2201</v>
      </c>
      <c r="B278" t="s">
        <v>5017</v>
      </c>
      <c r="C278">
        <v>100</v>
      </c>
      <c r="D278">
        <v>59</v>
      </c>
      <c r="E278">
        <v>685</v>
      </c>
      <c r="F278">
        <v>27</v>
      </c>
      <c r="G278">
        <v>-11</v>
      </c>
      <c r="H278">
        <v>9.14</v>
      </c>
      <c r="I278">
        <v>1.5</v>
      </c>
      <c r="J278">
        <v>4.82</v>
      </c>
      <c r="K278" s="245">
        <v>-14.66</v>
      </c>
      <c r="L278" s="245">
        <v>25.27</v>
      </c>
      <c r="M278" s="245">
        <v>4.82</v>
      </c>
    </row>
    <row r="279" spans="1:13">
      <c r="A279">
        <v>2204</v>
      </c>
      <c r="B279" t="s">
        <v>5018</v>
      </c>
      <c r="C279">
        <v>55.36</v>
      </c>
      <c r="D279">
        <v>24</v>
      </c>
      <c r="E279">
        <v>14</v>
      </c>
      <c r="F279">
        <v>31</v>
      </c>
      <c r="G279">
        <v>-7</v>
      </c>
      <c r="H279">
        <v>6.55</v>
      </c>
      <c r="I279">
        <v>5.5</v>
      </c>
      <c r="J279">
        <v>7.67</v>
      </c>
      <c r="K279" s="245">
        <v>-26.58</v>
      </c>
      <c r="L279" s="245">
        <v>13.88</v>
      </c>
      <c r="M279" s="245">
        <v>3.29</v>
      </c>
    </row>
    <row r="280" spans="1:13">
      <c r="A280">
        <v>2206</v>
      </c>
      <c r="B280" t="s">
        <v>5019</v>
      </c>
      <c r="C280">
        <v>79.760000000000005</v>
      </c>
      <c r="D280">
        <v>-4</v>
      </c>
      <c r="E280">
        <v>13</v>
      </c>
      <c r="F280">
        <v>48</v>
      </c>
      <c r="G280">
        <v>13</v>
      </c>
      <c r="H280">
        <v>5.34</v>
      </c>
      <c r="I280">
        <v>1.3</v>
      </c>
      <c r="J280">
        <v>2.2999999999999998</v>
      </c>
      <c r="K280" s="245">
        <v>-12.82</v>
      </c>
      <c r="L280" s="245">
        <v>28.02</v>
      </c>
      <c r="M280" s="245">
        <v>1.1299999999999999</v>
      </c>
    </row>
    <row r="281" spans="1:13">
      <c r="A281">
        <v>2207</v>
      </c>
      <c r="B281" t="s">
        <v>5020</v>
      </c>
      <c r="C281">
        <v>54.61</v>
      </c>
      <c r="D281">
        <v>18</v>
      </c>
      <c r="E281">
        <v>15</v>
      </c>
      <c r="F281">
        <v>27</v>
      </c>
      <c r="G281">
        <v>-5</v>
      </c>
      <c r="H281">
        <v>10.81</v>
      </c>
      <c r="I281">
        <v>20</v>
      </c>
      <c r="J281">
        <v>29.68</v>
      </c>
      <c r="K281" s="245">
        <v>-17.34</v>
      </c>
      <c r="L281" s="245">
        <v>14.65</v>
      </c>
      <c r="M281" s="245">
        <v>0.23</v>
      </c>
    </row>
    <row r="282" spans="1:13">
      <c r="A282">
        <v>2208</v>
      </c>
      <c r="B282" t="s">
        <v>5021</v>
      </c>
      <c r="C282">
        <v>93.17</v>
      </c>
      <c r="D282">
        <v>100</v>
      </c>
      <c r="E282">
        <v>99</v>
      </c>
      <c r="F282">
        <v>-9</v>
      </c>
      <c r="G282">
        <v>11</v>
      </c>
      <c r="H282">
        <v>-0.02</v>
      </c>
      <c r="I282">
        <v>0</v>
      </c>
      <c r="J282">
        <v>0.02</v>
      </c>
      <c r="K282" s="245">
        <v>-40.68</v>
      </c>
      <c r="L282" s="245">
        <v>23.37</v>
      </c>
      <c r="M282" s="245">
        <v>27.01</v>
      </c>
    </row>
    <row r="283" spans="1:13">
      <c r="A283">
        <v>2211</v>
      </c>
      <c r="B283" t="s">
        <v>5022</v>
      </c>
      <c r="C283">
        <v>41.99</v>
      </c>
      <c r="D283">
        <v>14</v>
      </c>
      <c r="E283">
        <v>14</v>
      </c>
      <c r="F283">
        <v>22</v>
      </c>
      <c r="G283">
        <v>-5</v>
      </c>
      <c r="H283">
        <v>12.89</v>
      </c>
      <c r="I283">
        <v>3</v>
      </c>
      <c r="J283">
        <v>3.11</v>
      </c>
      <c r="K283" s="245">
        <v>-20.190000000000001</v>
      </c>
      <c r="L283" s="245">
        <v>17.48</v>
      </c>
      <c r="M283" s="245">
        <v>4.2</v>
      </c>
    </row>
    <row r="284" spans="1:13">
      <c r="A284">
        <v>2221</v>
      </c>
      <c r="B284" t="s">
        <v>5023</v>
      </c>
      <c r="C284">
        <v>4.2300000000000004</v>
      </c>
      <c r="D284">
        <v>172</v>
      </c>
      <c r="E284">
        <v>162</v>
      </c>
      <c r="F284">
        <v>25</v>
      </c>
      <c r="G284">
        <v>36</v>
      </c>
      <c r="H284">
        <v>15.11</v>
      </c>
      <c r="I284">
        <v>3</v>
      </c>
      <c r="J284">
        <v>4.2699999999999996</v>
      </c>
      <c r="K284" s="245">
        <v>-24.55</v>
      </c>
      <c r="L284" s="245">
        <v>49.41</v>
      </c>
      <c r="M284" s="245">
        <v>38.67</v>
      </c>
    </row>
    <row r="285" spans="1:13">
      <c r="A285">
        <v>2227</v>
      </c>
      <c r="B285" t="s">
        <v>6464</v>
      </c>
      <c r="C285">
        <v>30</v>
      </c>
      <c r="D285">
        <v>-53</v>
      </c>
      <c r="E285">
        <v>-58</v>
      </c>
      <c r="F285">
        <v>40</v>
      </c>
      <c r="G285">
        <v>-3</v>
      </c>
      <c r="H285">
        <v>0.5</v>
      </c>
      <c r="I285">
        <v>0</v>
      </c>
      <c r="J285">
        <v>10.09</v>
      </c>
      <c r="K285" s="245">
        <v>-14.31</v>
      </c>
      <c r="L285" s="245">
        <v>41.23</v>
      </c>
      <c r="M285" s="245">
        <v>0.22</v>
      </c>
    </row>
    <row r="286" spans="1:13">
      <c r="A286">
        <v>2228</v>
      </c>
      <c r="B286" t="s">
        <v>5024</v>
      </c>
      <c r="C286">
        <v>7.57</v>
      </c>
      <c r="D286">
        <v>141</v>
      </c>
      <c r="E286">
        <v>8</v>
      </c>
      <c r="F286">
        <v>44</v>
      </c>
      <c r="G286">
        <v>8</v>
      </c>
      <c r="H286">
        <v>4.08</v>
      </c>
      <c r="I286">
        <v>2</v>
      </c>
      <c r="J286">
        <v>3.15</v>
      </c>
      <c r="K286" s="245">
        <v>-21.92</v>
      </c>
      <c r="L286" s="245">
        <v>10.56</v>
      </c>
      <c r="M286" s="245">
        <v>3.04</v>
      </c>
    </row>
    <row r="287" spans="1:13">
      <c r="A287">
        <v>2230</v>
      </c>
      <c r="B287" t="s">
        <v>5025</v>
      </c>
      <c r="C287">
        <v>3.99</v>
      </c>
      <c r="D287">
        <v>56</v>
      </c>
      <c r="E287">
        <v>98</v>
      </c>
      <c r="F287">
        <v>-5</v>
      </c>
      <c r="G287">
        <v>-18</v>
      </c>
      <c r="H287">
        <v>-0.06</v>
      </c>
      <c r="I287">
        <v>0</v>
      </c>
      <c r="J287">
        <v>-0.08</v>
      </c>
      <c r="K287" s="245">
        <v>-11.9</v>
      </c>
      <c r="L287" s="245">
        <v>50.24</v>
      </c>
      <c r="M287" s="245">
        <v>15.08</v>
      </c>
    </row>
    <row r="288" spans="1:13">
      <c r="A288">
        <v>2231</v>
      </c>
      <c r="B288" t="s">
        <v>5026</v>
      </c>
      <c r="C288">
        <v>12.19</v>
      </c>
      <c r="D288">
        <v>94</v>
      </c>
      <c r="E288">
        <v>53</v>
      </c>
      <c r="F288">
        <v>-26</v>
      </c>
      <c r="G288">
        <v>-36</v>
      </c>
      <c r="H288">
        <v>14.52</v>
      </c>
      <c r="I288">
        <v>2</v>
      </c>
      <c r="J288">
        <v>4.2300000000000004</v>
      </c>
      <c r="K288" s="245">
        <v>-38.9</v>
      </c>
      <c r="L288" s="245">
        <v>24.44</v>
      </c>
      <c r="M288" s="245">
        <v>9.41</v>
      </c>
    </row>
    <row r="289" spans="1:13">
      <c r="A289">
        <v>2233</v>
      </c>
      <c r="B289" t="s">
        <v>5027</v>
      </c>
      <c r="C289">
        <v>6.02</v>
      </c>
      <c r="D289">
        <v>47</v>
      </c>
      <c r="E289">
        <v>60</v>
      </c>
      <c r="F289">
        <v>-16</v>
      </c>
      <c r="G289">
        <v>-11</v>
      </c>
      <c r="H289">
        <v>20.079999999999998</v>
      </c>
      <c r="I289">
        <v>5.4</v>
      </c>
      <c r="J289">
        <v>9.01</v>
      </c>
      <c r="K289" s="245">
        <v>-27.27</v>
      </c>
      <c r="L289" s="245">
        <v>30.43</v>
      </c>
      <c r="M289" s="245">
        <v>9.5299999999999994</v>
      </c>
    </row>
    <row r="290" spans="1:13">
      <c r="A290">
        <v>2235</v>
      </c>
      <c r="B290" t="s">
        <v>6345</v>
      </c>
      <c r="C290">
        <v>3.58</v>
      </c>
      <c r="D290">
        <v>-29</v>
      </c>
      <c r="E290">
        <v>-5</v>
      </c>
      <c r="F290">
        <v>95</v>
      </c>
      <c r="G290">
        <v>74</v>
      </c>
      <c r="H290">
        <v>10.130000000000001</v>
      </c>
      <c r="I290">
        <v>1.5</v>
      </c>
      <c r="J290">
        <v>1.42</v>
      </c>
      <c r="K290" s="245">
        <v>-22.26</v>
      </c>
      <c r="L290" s="245">
        <v>20.04</v>
      </c>
      <c r="M290" s="245">
        <v>0.64</v>
      </c>
    </row>
    <row r="291" spans="1:13">
      <c r="A291">
        <v>2236</v>
      </c>
      <c r="B291" t="s">
        <v>5028</v>
      </c>
      <c r="C291">
        <v>4.57</v>
      </c>
      <c r="D291">
        <v>158</v>
      </c>
      <c r="E291">
        <v>64</v>
      </c>
      <c r="F291">
        <v>10</v>
      </c>
      <c r="G291">
        <v>-2</v>
      </c>
      <c r="H291">
        <v>6.56</v>
      </c>
      <c r="I291">
        <v>4.5</v>
      </c>
      <c r="J291">
        <v>1.47</v>
      </c>
      <c r="K291" s="245">
        <v>-21.49</v>
      </c>
      <c r="L291" s="245">
        <v>23.72</v>
      </c>
      <c r="M291" s="245">
        <v>4.1500000000000004</v>
      </c>
    </row>
    <row r="292" spans="1:13">
      <c r="A292">
        <v>2239</v>
      </c>
      <c r="B292" t="s">
        <v>5029</v>
      </c>
      <c r="C292">
        <v>11.81</v>
      </c>
      <c r="D292">
        <v>18</v>
      </c>
      <c r="E292">
        <v>-46</v>
      </c>
      <c r="F292">
        <v>-9</v>
      </c>
      <c r="G292">
        <v>-5</v>
      </c>
      <c r="H292">
        <v>3.33</v>
      </c>
      <c r="I292">
        <v>2.5</v>
      </c>
      <c r="J292">
        <v>5.64</v>
      </c>
      <c r="K292" s="245">
        <v>-27.97</v>
      </c>
      <c r="L292" s="245">
        <v>28.01</v>
      </c>
      <c r="M292" s="245">
        <v>2.69</v>
      </c>
    </row>
    <row r="293" spans="1:13">
      <c r="A293">
        <v>2241</v>
      </c>
      <c r="B293" t="s">
        <v>5030</v>
      </c>
      <c r="C293">
        <v>8.9600000000000009</v>
      </c>
      <c r="D293">
        <v>-1776</v>
      </c>
      <c r="E293">
        <v>-265</v>
      </c>
      <c r="F293">
        <v>-14</v>
      </c>
      <c r="G293">
        <v>-17</v>
      </c>
      <c r="H293">
        <v>-6.3</v>
      </c>
      <c r="I293">
        <v>0</v>
      </c>
      <c r="J293">
        <v>-1.23</v>
      </c>
      <c r="K293" s="245">
        <v>-50</v>
      </c>
      <c r="L293" s="245">
        <v>19.59</v>
      </c>
      <c r="M293" s="245">
        <v>11.87</v>
      </c>
    </row>
    <row r="294" spans="1:13">
      <c r="A294">
        <v>2243</v>
      </c>
      <c r="B294" t="s">
        <v>5031</v>
      </c>
      <c r="C294">
        <v>4.59</v>
      </c>
      <c r="D294">
        <v>72</v>
      </c>
      <c r="E294">
        <v>97</v>
      </c>
      <c r="F294">
        <v>7145</v>
      </c>
      <c r="G294">
        <v>71</v>
      </c>
      <c r="H294">
        <v>-0.69</v>
      </c>
      <c r="I294">
        <v>0</v>
      </c>
      <c r="J294">
        <v>-1.81</v>
      </c>
      <c r="K294" s="245">
        <v>-36.47</v>
      </c>
      <c r="L294" s="245">
        <v>39.770000000000003</v>
      </c>
      <c r="M294" s="245">
        <v>36.47</v>
      </c>
    </row>
    <row r="295" spans="1:13">
      <c r="A295">
        <v>2247</v>
      </c>
      <c r="B295" t="s">
        <v>5032</v>
      </c>
      <c r="C295">
        <v>8.07</v>
      </c>
      <c r="D295">
        <v>15</v>
      </c>
      <c r="E295">
        <v>20</v>
      </c>
      <c r="F295">
        <v>118</v>
      </c>
      <c r="G295">
        <v>-10</v>
      </c>
      <c r="H295">
        <v>3.69</v>
      </c>
      <c r="I295">
        <v>12</v>
      </c>
      <c r="J295">
        <v>15.36</v>
      </c>
      <c r="K295" s="245">
        <v>-12.02</v>
      </c>
      <c r="L295" s="245">
        <v>26.9</v>
      </c>
      <c r="M295" s="245">
        <v>8.08</v>
      </c>
    </row>
    <row r="296" spans="1:13">
      <c r="A296">
        <v>2301</v>
      </c>
      <c r="B296" t="s">
        <v>5034</v>
      </c>
      <c r="C296">
        <v>235</v>
      </c>
      <c r="D296">
        <v>41</v>
      </c>
      <c r="E296">
        <v>27</v>
      </c>
      <c r="F296">
        <v>-9</v>
      </c>
      <c r="G296">
        <v>0</v>
      </c>
      <c r="H296">
        <v>7.91</v>
      </c>
      <c r="I296">
        <v>4.5</v>
      </c>
      <c r="J296">
        <v>6.01</v>
      </c>
      <c r="K296" s="245">
        <v>-10.52</v>
      </c>
      <c r="L296" s="245">
        <v>23.97</v>
      </c>
      <c r="M296" s="245">
        <v>1.3</v>
      </c>
    </row>
    <row r="297" spans="1:13">
      <c r="A297">
        <v>2302</v>
      </c>
      <c r="B297" t="s">
        <v>5035</v>
      </c>
      <c r="C297">
        <v>16.63</v>
      </c>
      <c r="D297">
        <v>-19</v>
      </c>
      <c r="E297">
        <v>-41</v>
      </c>
      <c r="F297">
        <v>7</v>
      </c>
      <c r="G297">
        <v>11</v>
      </c>
      <c r="H297">
        <v>10.98</v>
      </c>
      <c r="I297">
        <v>0.6</v>
      </c>
      <c r="J297">
        <v>0.51</v>
      </c>
      <c r="K297" s="245">
        <v>-30.95</v>
      </c>
      <c r="L297" s="245">
        <v>53.1</v>
      </c>
      <c r="M297" s="245">
        <v>8.9</v>
      </c>
    </row>
    <row r="298" spans="1:13">
      <c r="A298">
        <v>2303</v>
      </c>
      <c r="B298" t="s">
        <v>5036</v>
      </c>
      <c r="C298">
        <v>1248</v>
      </c>
      <c r="D298">
        <v>102</v>
      </c>
      <c r="E298">
        <v>134</v>
      </c>
      <c r="F298">
        <v>2</v>
      </c>
      <c r="G298">
        <v>39</v>
      </c>
      <c r="H298">
        <v>24.26</v>
      </c>
      <c r="I298">
        <v>3</v>
      </c>
      <c r="J298">
        <v>4.57</v>
      </c>
      <c r="K298" s="245">
        <v>-33.47</v>
      </c>
      <c r="L298" s="245">
        <v>33.08</v>
      </c>
      <c r="M298" s="245">
        <v>5.53</v>
      </c>
    </row>
    <row r="299" spans="1:13">
      <c r="A299">
        <v>2305</v>
      </c>
      <c r="B299" t="s">
        <v>5037</v>
      </c>
      <c r="C299">
        <v>20.56</v>
      </c>
      <c r="D299">
        <v>-7</v>
      </c>
      <c r="E299">
        <v>7</v>
      </c>
      <c r="F299">
        <v>-47</v>
      </c>
      <c r="G299">
        <v>-53</v>
      </c>
      <c r="H299">
        <v>-10.06</v>
      </c>
      <c r="I299">
        <v>0</v>
      </c>
      <c r="J299">
        <v>0.06</v>
      </c>
      <c r="K299" s="245">
        <v>-20.56</v>
      </c>
      <c r="L299" s="245">
        <v>53</v>
      </c>
      <c r="M299" s="245">
        <v>34.340000000000003</v>
      </c>
    </row>
    <row r="300" spans="1:13">
      <c r="A300">
        <v>2308</v>
      </c>
      <c r="B300" t="s">
        <v>5038</v>
      </c>
      <c r="C300">
        <v>259</v>
      </c>
      <c r="D300">
        <v>4</v>
      </c>
      <c r="E300">
        <v>0</v>
      </c>
      <c r="F300">
        <v>-11</v>
      </c>
      <c r="G300">
        <v>3</v>
      </c>
      <c r="H300">
        <v>9.9700000000000006</v>
      </c>
      <c r="I300">
        <v>5.5</v>
      </c>
      <c r="J300">
        <v>10.32</v>
      </c>
      <c r="K300" s="245">
        <v>-31.34</v>
      </c>
      <c r="L300" s="245">
        <v>23.51</v>
      </c>
      <c r="M300" s="245">
        <v>0.91</v>
      </c>
    </row>
    <row r="301" spans="1:13">
      <c r="A301">
        <v>2312</v>
      </c>
      <c r="B301" t="s">
        <v>5039</v>
      </c>
      <c r="C301">
        <v>149</v>
      </c>
      <c r="D301">
        <v>-7</v>
      </c>
      <c r="E301">
        <v>68</v>
      </c>
      <c r="F301">
        <v>-5</v>
      </c>
      <c r="G301">
        <v>12</v>
      </c>
      <c r="H301">
        <v>0.88</v>
      </c>
      <c r="I301">
        <v>0.2</v>
      </c>
      <c r="J301">
        <v>0.01</v>
      </c>
      <c r="K301" s="245">
        <v>-25.7</v>
      </c>
      <c r="L301" s="245">
        <v>25.99</v>
      </c>
      <c r="M301" s="245">
        <v>13.23</v>
      </c>
    </row>
    <row r="302" spans="1:13">
      <c r="A302">
        <v>2313</v>
      </c>
      <c r="B302" t="s">
        <v>5040</v>
      </c>
      <c r="C302">
        <v>119</v>
      </c>
      <c r="D302">
        <v>10</v>
      </c>
      <c r="E302">
        <v>2</v>
      </c>
      <c r="F302">
        <v>-14</v>
      </c>
      <c r="G302">
        <v>15</v>
      </c>
      <c r="H302">
        <v>10.81</v>
      </c>
      <c r="I302">
        <v>1.8</v>
      </c>
      <c r="J302">
        <v>4.3099999999999996</v>
      </c>
      <c r="K302" s="245">
        <v>-22.06</v>
      </c>
      <c r="L302" s="245">
        <v>19.45</v>
      </c>
      <c r="M302" s="245">
        <v>12.86</v>
      </c>
    </row>
    <row r="303" spans="1:13">
      <c r="A303">
        <v>2314</v>
      </c>
      <c r="B303" t="s">
        <v>6465</v>
      </c>
      <c r="C303">
        <v>23.8</v>
      </c>
      <c r="D303">
        <v>-371</v>
      </c>
      <c r="E303">
        <v>-246</v>
      </c>
      <c r="F303">
        <v>-13</v>
      </c>
      <c r="G303">
        <v>8</v>
      </c>
      <c r="H303">
        <v>-12.09</v>
      </c>
      <c r="I303">
        <v>0</v>
      </c>
      <c r="J303">
        <v>-1.97</v>
      </c>
      <c r="K303" s="245">
        <v>-42.38</v>
      </c>
      <c r="L303" s="245">
        <v>30.36</v>
      </c>
      <c r="M303" s="245">
        <v>27.16</v>
      </c>
    </row>
    <row r="304" spans="1:13">
      <c r="A304">
        <v>2316</v>
      </c>
      <c r="B304" t="s">
        <v>5041</v>
      </c>
      <c r="C304">
        <v>18.27</v>
      </c>
      <c r="D304">
        <v>28</v>
      </c>
      <c r="E304">
        <v>104</v>
      </c>
      <c r="F304">
        <v>45</v>
      </c>
      <c r="G304">
        <v>22</v>
      </c>
      <c r="H304">
        <v>0.18</v>
      </c>
      <c r="I304">
        <v>1</v>
      </c>
      <c r="J304">
        <v>2.94</v>
      </c>
      <c r="K304" s="245">
        <v>-29.07</v>
      </c>
      <c r="L304" s="245">
        <v>10.07</v>
      </c>
      <c r="M304" s="245">
        <v>19.59</v>
      </c>
    </row>
    <row r="305" spans="1:13">
      <c r="A305">
        <v>2317</v>
      </c>
      <c r="B305" t="s">
        <v>5042</v>
      </c>
      <c r="C305">
        <v>1386</v>
      </c>
      <c r="D305">
        <v>34</v>
      </c>
      <c r="E305">
        <v>34</v>
      </c>
      <c r="F305">
        <v>-4</v>
      </c>
      <c r="G305">
        <v>-2</v>
      </c>
      <c r="H305">
        <v>2.4900000000000002</v>
      </c>
      <c r="I305">
        <v>5.2</v>
      </c>
      <c r="J305">
        <v>10.050000000000001</v>
      </c>
      <c r="K305" s="245">
        <v>-13.33</v>
      </c>
      <c r="L305" s="245">
        <v>46.27</v>
      </c>
      <c r="M305" s="245">
        <v>1.0900000000000001</v>
      </c>
    </row>
    <row r="306" spans="1:13">
      <c r="A306">
        <v>2321</v>
      </c>
      <c r="B306" t="s">
        <v>6466</v>
      </c>
      <c r="C306">
        <v>4.45</v>
      </c>
      <c r="D306">
        <v>151</v>
      </c>
      <c r="E306">
        <v>113</v>
      </c>
      <c r="F306">
        <v>17</v>
      </c>
      <c r="G306">
        <v>0</v>
      </c>
      <c r="H306">
        <v>0.68</v>
      </c>
      <c r="I306">
        <v>0</v>
      </c>
      <c r="J306">
        <v>0.12</v>
      </c>
      <c r="K306" s="245">
        <v>-28.54</v>
      </c>
      <c r="L306" s="245">
        <v>13.11</v>
      </c>
      <c r="M306" s="245">
        <v>1.17</v>
      </c>
    </row>
    <row r="307" spans="1:13">
      <c r="A307">
        <v>2323</v>
      </c>
      <c r="B307" t="s">
        <v>5043</v>
      </c>
      <c r="C307">
        <v>115</v>
      </c>
      <c r="D307">
        <v>5</v>
      </c>
      <c r="E307">
        <v>44</v>
      </c>
      <c r="F307">
        <v>6</v>
      </c>
      <c r="G307">
        <v>-12</v>
      </c>
      <c r="H307">
        <v>-1.49</v>
      </c>
      <c r="I307">
        <v>0.1</v>
      </c>
      <c r="J307">
        <v>0.14000000000000001</v>
      </c>
      <c r="K307" s="245">
        <v>-36.090000000000003</v>
      </c>
      <c r="L307" s="245">
        <v>9.6999999999999993</v>
      </c>
      <c r="M307" s="245">
        <v>51.43</v>
      </c>
    </row>
    <row r="308" spans="1:13">
      <c r="A308">
        <v>2324</v>
      </c>
      <c r="B308" t="s">
        <v>5044</v>
      </c>
      <c r="C308">
        <v>440</v>
      </c>
      <c r="D308">
        <v>32</v>
      </c>
      <c r="E308">
        <v>16</v>
      </c>
      <c r="F308">
        <v>-47</v>
      </c>
      <c r="G308">
        <v>-39</v>
      </c>
      <c r="H308">
        <v>1.08</v>
      </c>
      <c r="I308">
        <v>2</v>
      </c>
      <c r="J308">
        <v>2.9</v>
      </c>
      <c r="K308" s="245">
        <v>-16.73</v>
      </c>
      <c r="L308" s="245">
        <v>22.07</v>
      </c>
      <c r="M308" s="245">
        <v>2.4</v>
      </c>
    </row>
    <row r="309" spans="1:13">
      <c r="A309">
        <v>2327</v>
      </c>
      <c r="B309" t="s">
        <v>5045</v>
      </c>
      <c r="C309">
        <v>54.4</v>
      </c>
      <c r="D309">
        <v>90</v>
      </c>
      <c r="E309">
        <v>79</v>
      </c>
      <c r="F309">
        <v>-4</v>
      </c>
      <c r="G309">
        <v>12</v>
      </c>
      <c r="H309">
        <v>27.29</v>
      </c>
      <c r="I309">
        <v>10</v>
      </c>
      <c r="J309">
        <v>46.46</v>
      </c>
      <c r="K309" s="245">
        <v>-35.200000000000003</v>
      </c>
      <c r="L309" s="245">
        <v>23.02</v>
      </c>
      <c r="M309" s="245">
        <v>4.0999999999999996</v>
      </c>
    </row>
    <row r="310" spans="1:13">
      <c r="A310">
        <v>2328</v>
      </c>
      <c r="B310" t="s">
        <v>5046</v>
      </c>
      <c r="C310">
        <v>51.83</v>
      </c>
      <c r="D310">
        <v>47</v>
      </c>
      <c r="E310">
        <v>49</v>
      </c>
      <c r="F310">
        <v>-8</v>
      </c>
      <c r="G310">
        <v>15</v>
      </c>
      <c r="H310">
        <v>5.71</v>
      </c>
      <c r="I310">
        <v>1</v>
      </c>
      <c r="J310">
        <v>1.87</v>
      </c>
      <c r="K310" s="245">
        <v>-26.67</v>
      </c>
      <c r="L310" s="245">
        <v>22.64</v>
      </c>
      <c r="M310" s="245">
        <v>16.71</v>
      </c>
    </row>
    <row r="311" spans="1:13">
      <c r="A311">
        <v>2329</v>
      </c>
      <c r="B311" t="s">
        <v>5047</v>
      </c>
      <c r="C311">
        <v>55.54</v>
      </c>
      <c r="D311">
        <v>675</v>
      </c>
      <c r="E311">
        <v>1108</v>
      </c>
      <c r="F311">
        <v>34</v>
      </c>
      <c r="G311">
        <v>4</v>
      </c>
      <c r="H311">
        <v>11.76</v>
      </c>
      <c r="I311">
        <v>1</v>
      </c>
      <c r="J311">
        <v>2.2400000000000002</v>
      </c>
      <c r="K311" s="245">
        <v>-42.04</v>
      </c>
      <c r="L311" s="245">
        <v>25.87</v>
      </c>
      <c r="M311" s="245">
        <v>29.29</v>
      </c>
    </row>
    <row r="312" spans="1:13">
      <c r="A312">
        <v>2330</v>
      </c>
      <c r="B312" t="s">
        <v>5048</v>
      </c>
      <c r="C312">
        <v>2593</v>
      </c>
      <c r="D312">
        <v>15</v>
      </c>
      <c r="E312">
        <v>14</v>
      </c>
      <c r="F312">
        <v>17</v>
      </c>
      <c r="G312">
        <v>33</v>
      </c>
      <c r="H312">
        <v>40.950000000000003</v>
      </c>
      <c r="I312">
        <v>11</v>
      </c>
      <c r="J312">
        <v>23.01</v>
      </c>
      <c r="K312" s="245">
        <v>-24.42</v>
      </c>
      <c r="L312" s="245">
        <v>8.3800000000000008</v>
      </c>
      <c r="M312" s="245">
        <v>0.53</v>
      </c>
    </row>
    <row r="313" spans="1:13">
      <c r="A313">
        <v>2331</v>
      </c>
      <c r="B313" t="s">
        <v>5049</v>
      </c>
      <c r="C313">
        <v>55.74</v>
      </c>
      <c r="D313">
        <v>41</v>
      </c>
      <c r="E313">
        <v>-739</v>
      </c>
      <c r="F313">
        <v>7</v>
      </c>
      <c r="G313">
        <v>33</v>
      </c>
      <c r="H313">
        <v>-0.81</v>
      </c>
      <c r="I313">
        <v>0</v>
      </c>
      <c r="J313">
        <v>0.13</v>
      </c>
      <c r="K313" s="245">
        <v>-28.38</v>
      </c>
      <c r="L313" s="245">
        <v>27.31</v>
      </c>
      <c r="M313" s="245">
        <v>11.4</v>
      </c>
    </row>
    <row r="314" spans="1:13">
      <c r="A314">
        <v>2332</v>
      </c>
      <c r="B314" t="s">
        <v>5050</v>
      </c>
      <c r="C314">
        <v>59.98</v>
      </c>
      <c r="D314">
        <v>-75</v>
      </c>
      <c r="E314">
        <v>111</v>
      </c>
      <c r="F314">
        <v>20</v>
      </c>
      <c r="G314">
        <v>12</v>
      </c>
      <c r="H314">
        <v>1.0900000000000001</v>
      </c>
      <c r="I314">
        <v>0.3</v>
      </c>
      <c r="J314">
        <v>0.38</v>
      </c>
      <c r="K314" s="245">
        <v>-30.79</v>
      </c>
      <c r="L314" s="245">
        <v>36.67</v>
      </c>
      <c r="M314" s="245">
        <v>5.95</v>
      </c>
    </row>
    <row r="315" spans="1:13">
      <c r="A315">
        <v>2337</v>
      </c>
      <c r="B315" t="s">
        <v>5051</v>
      </c>
      <c r="C315">
        <v>185</v>
      </c>
      <c r="D315">
        <v>124</v>
      </c>
      <c r="E315">
        <v>88</v>
      </c>
      <c r="F315">
        <v>-8</v>
      </c>
      <c r="G315">
        <v>1</v>
      </c>
      <c r="H315">
        <v>21.88</v>
      </c>
      <c r="I315">
        <v>1.8</v>
      </c>
      <c r="J315">
        <v>6.48</v>
      </c>
      <c r="K315" s="245">
        <v>-21.67</v>
      </c>
      <c r="L315" s="245">
        <v>17.690000000000001</v>
      </c>
      <c r="M315" s="245">
        <v>13.08</v>
      </c>
    </row>
    <row r="316" spans="1:13">
      <c r="A316">
        <v>2338</v>
      </c>
      <c r="B316" t="s">
        <v>5052</v>
      </c>
      <c r="C316">
        <v>25.56</v>
      </c>
      <c r="D316">
        <v>82</v>
      </c>
      <c r="E316">
        <v>26</v>
      </c>
      <c r="F316">
        <v>14</v>
      </c>
      <c r="G316">
        <v>45</v>
      </c>
      <c r="H316">
        <v>7.14</v>
      </c>
      <c r="I316">
        <v>2</v>
      </c>
      <c r="J316">
        <v>5.65</v>
      </c>
      <c r="K316" s="245">
        <v>-36.58</v>
      </c>
      <c r="L316" s="245">
        <v>18.8</v>
      </c>
      <c r="M316" s="245">
        <v>30.58</v>
      </c>
    </row>
    <row r="317" spans="1:13">
      <c r="A317">
        <v>2340</v>
      </c>
      <c r="B317" t="s">
        <v>5053</v>
      </c>
      <c r="C317">
        <v>43.86</v>
      </c>
      <c r="D317">
        <v>44</v>
      </c>
      <c r="E317">
        <v>46</v>
      </c>
      <c r="F317">
        <v>48</v>
      </c>
      <c r="G317">
        <v>-13</v>
      </c>
      <c r="H317">
        <v>16.45</v>
      </c>
      <c r="I317">
        <v>0</v>
      </c>
      <c r="J317">
        <v>2.11</v>
      </c>
      <c r="K317" s="245">
        <v>-49.32</v>
      </c>
      <c r="L317" s="245">
        <v>8.77</v>
      </c>
      <c r="M317" s="245">
        <v>50.7</v>
      </c>
    </row>
    <row r="318" spans="1:13">
      <c r="A318">
        <v>2342</v>
      </c>
      <c r="B318" t="s">
        <v>5054</v>
      </c>
      <c r="C318">
        <v>15.61</v>
      </c>
      <c r="D318">
        <v>12</v>
      </c>
      <c r="E318">
        <v>19</v>
      </c>
      <c r="F318">
        <v>5</v>
      </c>
      <c r="G318">
        <v>22</v>
      </c>
      <c r="H318">
        <v>13.38</v>
      </c>
      <c r="I318">
        <v>0.5</v>
      </c>
      <c r="J318">
        <v>1.58</v>
      </c>
      <c r="K318" s="245">
        <v>-36.93</v>
      </c>
      <c r="L318" s="245">
        <v>23.13</v>
      </c>
      <c r="M318" s="245">
        <v>39.97</v>
      </c>
    </row>
    <row r="319" spans="1:13">
      <c r="A319">
        <v>2344</v>
      </c>
      <c r="B319" t="s">
        <v>5055</v>
      </c>
      <c r="C319">
        <v>398</v>
      </c>
      <c r="D319">
        <v>887</v>
      </c>
      <c r="E319">
        <v>1032</v>
      </c>
      <c r="F319">
        <v>7</v>
      </c>
      <c r="G319">
        <v>15</v>
      </c>
      <c r="H319">
        <v>18.510000000000002</v>
      </c>
      <c r="I319">
        <v>1</v>
      </c>
      <c r="J319">
        <v>3.42</v>
      </c>
      <c r="K319" s="245">
        <v>-29.35</v>
      </c>
      <c r="L319" s="245">
        <v>18.07</v>
      </c>
      <c r="M319" s="245">
        <v>12.91</v>
      </c>
    </row>
    <row r="320" spans="1:13">
      <c r="A320">
        <v>2345</v>
      </c>
      <c r="B320" t="s">
        <v>5056</v>
      </c>
      <c r="C320">
        <v>56</v>
      </c>
      <c r="D320">
        <v>-6</v>
      </c>
      <c r="E320">
        <v>-15</v>
      </c>
      <c r="F320">
        <v>-16</v>
      </c>
      <c r="G320">
        <v>21</v>
      </c>
      <c r="H320">
        <v>9.1300000000000008</v>
      </c>
      <c r="I320">
        <v>6</v>
      </c>
      <c r="J320">
        <v>8.44</v>
      </c>
      <c r="K320" s="245">
        <v>-38.28</v>
      </c>
      <c r="L320" s="245">
        <v>45.92</v>
      </c>
      <c r="M320" s="245">
        <v>1.66</v>
      </c>
    </row>
    <row r="321" spans="1:13">
      <c r="A321">
        <v>2347</v>
      </c>
      <c r="B321" t="s">
        <v>5057</v>
      </c>
      <c r="C321">
        <v>166</v>
      </c>
      <c r="D321">
        <v>108</v>
      </c>
      <c r="E321">
        <v>29</v>
      </c>
      <c r="F321">
        <v>-26</v>
      </c>
      <c r="G321">
        <v>-6</v>
      </c>
      <c r="H321">
        <v>2.2799999999999998</v>
      </c>
      <c r="I321">
        <v>5</v>
      </c>
      <c r="J321">
        <v>10.35</v>
      </c>
      <c r="K321" s="245">
        <v>-5.89</v>
      </c>
      <c r="L321" s="245">
        <v>76.760000000000005</v>
      </c>
      <c r="M321" s="245">
        <v>2.2400000000000002</v>
      </c>
    </row>
    <row r="322" spans="1:13">
      <c r="A322">
        <v>2348</v>
      </c>
      <c r="B322" t="s">
        <v>5058</v>
      </c>
      <c r="C322">
        <v>10.64</v>
      </c>
      <c r="D322">
        <v>22</v>
      </c>
      <c r="E322">
        <v>47</v>
      </c>
      <c r="F322">
        <v>1</v>
      </c>
      <c r="G322">
        <v>16</v>
      </c>
      <c r="H322">
        <v>38.020000000000003</v>
      </c>
      <c r="I322">
        <v>8</v>
      </c>
      <c r="J322">
        <v>15.58</v>
      </c>
      <c r="K322" s="245">
        <v>-21.34</v>
      </c>
      <c r="L322" s="245">
        <v>9.01</v>
      </c>
      <c r="M322" s="245">
        <v>1.87</v>
      </c>
    </row>
    <row r="323" spans="1:13">
      <c r="A323">
        <v>2349</v>
      </c>
      <c r="B323" t="s">
        <v>6467</v>
      </c>
      <c r="C323">
        <v>69.36</v>
      </c>
      <c r="D323">
        <v>84</v>
      </c>
      <c r="E323">
        <v>46</v>
      </c>
      <c r="F323">
        <v>35</v>
      </c>
      <c r="G323">
        <v>-4</v>
      </c>
      <c r="H323">
        <v>-3.46</v>
      </c>
      <c r="I323">
        <v>0</v>
      </c>
      <c r="J323">
        <v>-0.49</v>
      </c>
      <c r="K323" s="245">
        <v>-28.94</v>
      </c>
      <c r="L323" s="245">
        <v>26.35</v>
      </c>
      <c r="M323" s="245">
        <v>6.65</v>
      </c>
    </row>
    <row r="324" spans="1:13">
      <c r="A324">
        <v>2351</v>
      </c>
      <c r="B324" t="s">
        <v>5059</v>
      </c>
      <c r="C324">
        <v>18.21</v>
      </c>
      <c r="D324">
        <v>126</v>
      </c>
      <c r="E324">
        <v>103</v>
      </c>
      <c r="F324">
        <v>4</v>
      </c>
      <c r="G324">
        <v>11</v>
      </c>
      <c r="H324">
        <v>10.99</v>
      </c>
      <c r="I324">
        <v>3</v>
      </c>
      <c r="J324">
        <v>4.68</v>
      </c>
      <c r="K324" s="245">
        <v>-33.5</v>
      </c>
      <c r="L324" s="245">
        <v>26.57</v>
      </c>
      <c r="M324" s="245">
        <v>16.02</v>
      </c>
    </row>
    <row r="325" spans="1:13">
      <c r="A325">
        <v>2352</v>
      </c>
      <c r="B325" t="s">
        <v>5060</v>
      </c>
      <c r="C325">
        <v>196</v>
      </c>
      <c r="D325">
        <v>64</v>
      </c>
      <c r="E325">
        <v>11</v>
      </c>
      <c r="F325">
        <v>-12</v>
      </c>
      <c r="G325">
        <v>12</v>
      </c>
      <c r="H325">
        <v>3.26</v>
      </c>
      <c r="I325">
        <v>2.5</v>
      </c>
      <c r="J325">
        <v>4.22</v>
      </c>
      <c r="K325" s="245">
        <v>-16.23</v>
      </c>
      <c r="L325" s="245">
        <v>33.99</v>
      </c>
      <c r="M325" s="245">
        <v>1.9</v>
      </c>
    </row>
    <row r="326" spans="1:13">
      <c r="A326">
        <v>2353</v>
      </c>
      <c r="B326" t="s">
        <v>5061</v>
      </c>
      <c r="C326">
        <v>304</v>
      </c>
      <c r="D326">
        <v>83</v>
      </c>
      <c r="E326">
        <v>58</v>
      </c>
      <c r="F326">
        <v>32</v>
      </c>
      <c r="G326">
        <v>9</v>
      </c>
      <c r="H326">
        <v>4.4400000000000004</v>
      </c>
      <c r="I326">
        <v>2.2799999999999998</v>
      </c>
      <c r="J326">
        <v>3.63</v>
      </c>
      <c r="K326" s="245">
        <v>-15.28</v>
      </c>
      <c r="L326" s="245">
        <v>32.32</v>
      </c>
      <c r="M326" s="245">
        <v>3.45</v>
      </c>
    </row>
    <row r="327" spans="1:13">
      <c r="A327">
        <v>2354</v>
      </c>
      <c r="B327" t="s">
        <v>5062</v>
      </c>
      <c r="C327">
        <v>141</v>
      </c>
      <c r="D327">
        <v>-5</v>
      </c>
      <c r="E327">
        <v>37</v>
      </c>
      <c r="F327">
        <v>-30</v>
      </c>
      <c r="G327">
        <v>-11</v>
      </c>
      <c r="H327">
        <v>3.45</v>
      </c>
      <c r="I327">
        <v>1.7</v>
      </c>
      <c r="J327">
        <v>3.17</v>
      </c>
      <c r="K327" s="245">
        <v>-15.74</v>
      </c>
      <c r="L327" s="245">
        <v>37.43</v>
      </c>
      <c r="M327" s="245">
        <v>2.71</v>
      </c>
    </row>
    <row r="328" spans="1:13">
      <c r="A328">
        <v>2355</v>
      </c>
      <c r="B328" t="s">
        <v>5063</v>
      </c>
      <c r="C328">
        <v>39.74</v>
      </c>
      <c r="D328">
        <v>638</v>
      </c>
      <c r="E328">
        <v>-50</v>
      </c>
      <c r="F328">
        <v>20</v>
      </c>
      <c r="G328">
        <v>-6</v>
      </c>
      <c r="H328">
        <v>-1.02</v>
      </c>
      <c r="I328">
        <v>0.5</v>
      </c>
      <c r="J328">
        <v>0.85</v>
      </c>
      <c r="K328" s="245">
        <v>-32.43</v>
      </c>
      <c r="L328" s="245">
        <v>19.32</v>
      </c>
      <c r="M328" s="245">
        <v>21.28</v>
      </c>
    </row>
    <row r="329" spans="1:13">
      <c r="A329">
        <v>2356</v>
      </c>
      <c r="B329" t="s">
        <v>5064</v>
      </c>
      <c r="C329">
        <v>358</v>
      </c>
      <c r="D329">
        <v>-9</v>
      </c>
      <c r="E329">
        <v>6</v>
      </c>
      <c r="F329">
        <v>-17</v>
      </c>
      <c r="G329">
        <v>15</v>
      </c>
      <c r="H329">
        <v>0.91</v>
      </c>
      <c r="I329">
        <v>1.4</v>
      </c>
      <c r="J329">
        <v>1.82</v>
      </c>
      <c r="K329" s="245">
        <v>-6.34</v>
      </c>
      <c r="L329" s="245">
        <v>72.489999999999995</v>
      </c>
      <c r="M329" s="245">
        <v>2.39</v>
      </c>
    </row>
    <row r="330" spans="1:13">
      <c r="A330">
        <v>2357</v>
      </c>
      <c r="B330" t="s">
        <v>5065</v>
      </c>
      <c r="C330">
        <v>74.27</v>
      </c>
      <c r="D330">
        <v>64</v>
      </c>
      <c r="E330">
        <v>97</v>
      </c>
      <c r="F330">
        <v>-39</v>
      </c>
      <c r="G330">
        <v>-14</v>
      </c>
      <c r="H330">
        <v>9.2200000000000006</v>
      </c>
      <c r="I330">
        <v>42</v>
      </c>
      <c r="J330">
        <v>59.98</v>
      </c>
      <c r="K330" s="245">
        <v>-8.7100000000000009</v>
      </c>
      <c r="L330" s="245">
        <v>29</v>
      </c>
      <c r="M330" s="245">
        <v>2.2599999999999998</v>
      </c>
    </row>
    <row r="331" spans="1:13">
      <c r="A331">
        <v>2358</v>
      </c>
      <c r="B331" t="s">
        <v>5066</v>
      </c>
      <c r="C331">
        <v>12.46</v>
      </c>
      <c r="D331">
        <v>1282</v>
      </c>
      <c r="E331">
        <v>255</v>
      </c>
      <c r="F331">
        <v>96</v>
      </c>
      <c r="G331">
        <v>32</v>
      </c>
      <c r="H331">
        <v>8.4</v>
      </c>
      <c r="I331">
        <v>0.3</v>
      </c>
      <c r="J331">
        <v>1.29</v>
      </c>
      <c r="K331" s="245">
        <v>-39.200000000000003</v>
      </c>
      <c r="L331" s="245">
        <v>6.78</v>
      </c>
      <c r="M331" s="245">
        <v>72.02</v>
      </c>
    </row>
    <row r="332" spans="1:13">
      <c r="A332">
        <v>2359</v>
      </c>
      <c r="B332" t="s">
        <v>5067</v>
      </c>
      <c r="C332">
        <v>17.14</v>
      </c>
      <c r="D332">
        <v>611</v>
      </c>
      <c r="E332">
        <v>5</v>
      </c>
      <c r="F332">
        <v>30</v>
      </c>
      <c r="G332">
        <v>64</v>
      </c>
      <c r="H332">
        <v>1.26</v>
      </c>
      <c r="I332">
        <v>0.9</v>
      </c>
      <c r="J332">
        <v>1.1599999999999999</v>
      </c>
      <c r="K332" s="245">
        <v>-27.13</v>
      </c>
      <c r="L332" s="245">
        <v>28.91</v>
      </c>
      <c r="M332" s="245">
        <v>34.770000000000003</v>
      </c>
    </row>
    <row r="333" spans="1:13">
      <c r="A333">
        <v>2360</v>
      </c>
      <c r="B333" t="s">
        <v>5068</v>
      </c>
      <c r="C333">
        <v>42.24</v>
      </c>
      <c r="D333">
        <v>80</v>
      </c>
      <c r="E333">
        <v>9</v>
      </c>
      <c r="F333">
        <v>-29</v>
      </c>
      <c r="G333">
        <v>-9</v>
      </c>
      <c r="H333">
        <v>17.489999999999998</v>
      </c>
      <c r="I333">
        <v>7</v>
      </c>
      <c r="J333">
        <v>9.9600000000000009</v>
      </c>
      <c r="K333" s="245">
        <v>-31.93</v>
      </c>
      <c r="L333" s="245">
        <v>24.19</v>
      </c>
      <c r="M333" s="245">
        <v>1.81</v>
      </c>
    </row>
    <row r="334" spans="1:13">
      <c r="A334">
        <v>2362</v>
      </c>
      <c r="B334" t="s">
        <v>5069</v>
      </c>
      <c r="C334">
        <v>64.22</v>
      </c>
      <c r="D334">
        <v>169</v>
      </c>
      <c r="E334">
        <v>41</v>
      </c>
      <c r="F334">
        <v>5</v>
      </c>
      <c r="G334">
        <v>17</v>
      </c>
      <c r="H334">
        <v>7.74</v>
      </c>
      <c r="I334">
        <v>2.1</v>
      </c>
      <c r="J334">
        <v>3.03</v>
      </c>
      <c r="K334" s="245">
        <v>-9.67</v>
      </c>
      <c r="L334" s="245">
        <v>61.19</v>
      </c>
      <c r="M334" s="245">
        <v>1.07</v>
      </c>
    </row>
    <row r="335" spans="1:13">
      <c r="A335">
        <v>2363</v>
      </c>
      <c r="B335" t="s">
        <v>5070</v>
      </c>
      <c r="C335">
        <v>68.14</v>
      </c>
      <c r="D335">
        <v>161</v>
      </c>
      <c r="E335">
        <v>20</v>
      </c>
      <c r="F335">
        <v>186</v>
      </c>
      <c r="G335">
        <v>-1</v>
      </c>
      <c r="H335">
        <v>-140.97</v>
      </c>
      <c r="I335">
        <v>1.8</v>
      </c>
      <c r="J335">
        <v>0.28999999999999998</v>
      </c>
      <c r="K335" s="245">
        <v>-30.03</v>
      </c>
      <c r="L335" s="245">
        <v>46.23</v>
      </c>
      <c r="M335" s="245">
        <v>33</v>
      </c>
    </row>
    <row r="336" spans="1:13">
      <c r="A336">
        <v>2364</v>
      </c>
      <c r="B336" t="s">
        <v>6468</v>
      </c>
      <c r="C336">
        <v>2.4700000000000002</v>
      </c>
      <c r="D336">
        <v>67</v>
      </c>
      <c r="E336">
        <v>316</v>
      </c>
      <c r="F336">
        <v>-3</v>
      </c>
      <c r="G336">
        <v>-21</v>
      </c>
      <c r="H336">
        <v>1.07</v>
      </c>
      <c r="I336">
        <v>1</v>
      </c>
      <c r="J336">
        <v>1.1399999999999999</v>
      </c>
      <c r="K336" s="245">
        <v>-18.43</v>
      </c>
      <c r="L336" s="245">
        <v>32.82</v>
      </c>
      <c r="M336" s="245">
        <v>18.5</v>
      </c>
    </row>
    <row r="337" spans="1:13">
      <c r="A337">
        <v>2365</v>
      </c>
      <c r="B337" t="s">
        <v>5071</v>
      </c>
      <c r="C337">
        <v>22.15</v>
      </c>
      <c r="D337">
        <v>-65</v>
      </c>
      <c r="E337">
        <v>-68</v>
      </c>
      <c r="F337">
        <v>39</v>
      </c>
      <c r="G337">
        <v>45</v>
      </c>
      <c r="H337">
        <v>3.73</v>
      </c>
      <c r="I337">
        <v>0.2</v>
      </c>
      <c r="J337">
        <v>0.23</v>
      </c>
      <c r="K337" s="245">
        <v>-26.67</v>
      </c>
      <c r="L337" s="245">
        <v>12.6</v>
      </c>
      <c r="M337" s="245">
        <v>14.67</v>
      </c>
    </row>
    <row r="338" spans="1:13">
      <c r="A338">
        <v>2367</v>
      </c>
      <c r="B338" t="s">
        <v>5072</v>
      </c>
      <c r="C338">
        <v>61.94</v>
      </c>
      <c r="D338">
        <v>83</v>
      </c>
      <c r="E338">
        <v>13</v>
      </c>
      <c r="F338">
        <v>-9</v>
      </c>
      <c r="G338">
        <v>26</v>
      </c>
      <c r="H338">
        <v>-14.79</v>
      </c>
      <c r="I338">
        <v>0</v>
      </c>
      <c r="J338">
        <v>-0.39</v>
      </c>
      <c r="K338" s="245">
        <v>-35.15</v>
      </c>
      <c r="L338" s="245">
        <v>18.809999999999999</v>
      </c>
      <c r="M338" s="245">
        <v>11.79</v>
      </c>
    </row>
    <row r="339" spans="1:13">
      <c r="A339">
        <v>2368</v>
      </c>
      <c r="B339" t="s">
        <v>5073</v>
      </c>
      <c r="C339">
        <v>54.64</v>
      </c>
      <c r="D339">
        <v>41</v>
      </c>
      <c r="E339">
        <v>34</v>
      </c>
      <c r="F339">
        <v>-3</v>
      </c>
      <c r="G339">
        <v>19</v>
      </c>
      <c r="H339">
        <v>15.49</v>
      </c>
      <c r="I339">
        <v>2.2000000000000002</v>
      </c>
      <c r="J339">
        <v>5.41</v>
      </c>
      <c r="K339" s="245">
        <v>-8.34</v>
      </c>
      <c r="L339" s="245">
        <v>58.59</v>
      </c>
      <c r="M339" s="245">
        <v>19.7</v>
      </c>
    </row>
    <row r="340" spans="1:13">
      <c r="A340">
        <v>2369</v>
      </c>
      <c r="B340" t="s">
        <v>5074</v>
      </c>
      <c r="C340">
        <v>38.01</v>
      </c>
      <c r="D340">
        <v>671</v>
      </c>
      <c r="E340">
        <v>643</v>
      </c>
      <c r="F340">
        <v>-9</v>
      </c>
      <c r="G340">
        <v>-10</v>
      </c>
      <c r="H340">
        <v>11.5</v>
      </c>
      <c r="I340">
        <v>1.29</v>
      </c>
      <c r="J340">
        <v>2.35</v>
      </c>
      <c r="K340" s="245">
        <v>-35.6</v>
      </c>
      <c r="L340" s="245">
        <v>21.1</v>
      </c>
      <c r="M340" s="245">
        <v>42.92</v>
      </c>
    </row>
    <row r="341" spans="1:13">
      <c r="A341">
        <v>2371</v>
      </c>
      <c r="B341" t="s">
        <v>5075</v>
      </c>
      <c r="C341">
        <v>233</v>
      </c>
      <c r="D341">
        <v>151</v>
      </c>
      <c r="E341">
        <v>161</v>
      </c>
      <c r="F341">
        <v>41</v>
      </c>
      <c r="G341">
        <v>26</v>
      </c>
      <c r="H341">
        <v>2.72</v>
      </c>
      <c r="I341">
        <v>0</v>
      </c>
      <c r="J341">
        <v>1.57</v>
      </c>
      <c r="K341" s="245">
        <v>-17.29</v>
      </c>
      <c r="L341" s="245">
        <v>45.05</v>
      </c>
      <c r="M341" s="245">
        <v>18.12</v>
      </c>
    </row>
    <row r="342" spans="1:13">
      <c r="A342">
        <v>2373</v>
      </c>
      <c r="B342" t="s">
        <v>5076</v>
      </c>
      <c r="C342">
        <v>23.62</v>
      </c>
      <c r="D342">
        <v>-2</v>
      </c>
      <c r="E342">
        <v>-3</v>
      </c>
      <c r="F342">
        <v>11</v>
      </c>
      <c r="G342">
        <v>-13</v>
      </c>
      <c r="H342">
        <v>10.82</v>
      </c>
      <c r="I342">
        <v>6</v>
      </c>
      <c r="J342">
        <v>6.19</v>
      </c>
      <c r="K342" s="245">
        <v>-5.53</v>
      </c>
      <c r="L342" s="245">
        <v>26.26</v>
      </c>
      <c r="M342" s="245">
        <v>0.12</v>
      </c>
    </row>
    <row r="343" spans="1:13">
      <c r="A343">
        <v>2374</v>
      </c>
      <c r="B343" t="s">
        <v>5077</v>
      </c>
      <c r="C343">
        <v>28.77</v>
      </c>
      <c r="D343">
        <v>261</v>
      </c>
      <c r="E343">
        <v>46</v>
      </c>
      <c r="F343">
        <v>5</v>
      </c>
      <c r="G343">
        <v>69</v>
      </c>
      <c r="H343">
        <v>-9.27</v>
      </c>
      <c r="I343">
        <v>1</v>
      </c>
      <c r="J343">
        <v>2.42</v>
      </c>
      <c r="K343" s="245">
        <v>-33.97</v>
      </c>
      <c r="L343" s="245">
        <v>8.17</v>
      </c>
      <c r="M343" s="245">
        <v>41.29</v>
      </c>
    </row>
    <row r="344" spans="1:13">
      <c r="A344">
        <v>2375</v>
      </c>
      <c r="B344" t="s">
        <v>5078</v>
      </c>
      <c r="C344">
        <v>13.58</v>
      </c>
      <c r="D344">
        <v>36</v>
      </c>
      <c r="E344">
        <v>29</v>
      </c>
      <c r="F344">
        <v>-16</v>
      </c>
      <c r="G344">
        <v>-32</v>
      </c>
      <c r="H344">
        <v>12.2</v>
      </c>
      <c r="I344">
        <v>2</v>
      </c>
      <c r="J344">
        <v>8.6199999999999992</v>
      </c>
      <c r="K344" s="245">
        <v>-50.36</v>
      </c>
      <c r="L344" s="245">
        <v>9.9700000000000006</v>
      </c>
      <c r="M344" s="245">
        <v>34.21</v>
      </c>
    </row>
    <row r="345" spans="1:13">
      <c r="A345">
        <v>2376</v>
      </c>
      <c r="B345" t="s">
        <v>5079</v>
      </c>
      <c r="C345">
        <v>63.56</v>
      </c>
      <c r="D345">
        <v>207</v>
      </c>
      <c r="E345">
        <v>243</v>
      </c>
      <c r="F345">
        <v>-19</v>
      </c>
      <c r="G345">
        <v>-30</v>
      </c>
      <c r="H345">
        <v>11.88</v>
      </c>
      <c r="I345">
        <v>12</v>
      </c>
      <c r="J345">
        <v>21.01</v>
      </c>
      <c r="K345" s="245">
        <v>-33.33</v>
      </c>
      <c r="L345" s="245">
        <v>12.92</v>
      </c>
      <c r="M345" s="245">
        <v>11.69</v>
      </c>
    </row>
    <row r="346" spans="1:13">
      <c r="A346">
        <v>2377</v>
      </c>
      <c r="B346" t="s">
        <v>5080</v>
      </c>
      <c r="C346">
        <v>84.48</v>
      </c>
      <c r="D346">
        <v>112</v>
      </c>
      <c r="E346">
        <v>117</v>
      </c>
      <c r="F346">
        <v>-12</v>
      </c>
      <c r="G346">
        <v>3</v>
      </c>
      <c r="H346">
        <v>9.9</v>
      </c>
      <c r="I346">
        <v>10.5</v>
      </c>
      <c r="J346">
        <v>20.03</v>
      </c>
      <c r="K346" s="245">
        <v>-30.91</v>
      </c>
      <c r="L346" s="245">
        <v>20.83</v>
      </c>
      <c r="M346" s="245">
        <v>3.19</v>
      </c>
    </row>
    <row r="347" spans="1:13">
      <c r="A347">
        <v>2379</v>
      </c>
      <c r="B347" t="s">
        <v>5081</v>
      </c>
      <c r="C347">
        <v>51.28</v>
      </c>
      <c r="D347">
        <v>91</v>
      </c>
      <c r="E347">
        <v>100</v>
      </c>
      <c r="F347">
        <v>0</v>
      </c>
      <c r="G347">
        <v>33</v>
      </c>
      <c r="H347">
        <v>16.420000000000002</v>
      </c>
      <c r="I347">
        <v>27</v>
      </c>
      <c r="J347">
        <v>33</v>
      </c>
      <c r="K347" s="245">
        <v>-34.299999999999997</v>
      </c>
      <c r="L347" s="245">
        <v>27.41</v>
      </c>
      <c r="M347" s="245">
        <v>1.59</v>
      </c>
    </row>
    <row r="348" spans="1:13">
      <c r="A348">
        <v>2380</v>
      </c>
      <c r="B348" t="s">
        <v>6469</v>
      </c>
      <c r="C348">
        <v>18.940000000000001</v>
      </c>
      <c r="D348">
        <v>69</v>
      </c>
      <c r="E348">
        <v>65</v>
      </c>
      <c r="F348">
        <v>-54</v>
      </c>
      <c r="G348">
        <v>-52</v>
      </c>
      <c r="H348">
        <v>-4.4800000000000004</v>
      </c>
      <c r="I348">
        <v>0</v>
      </c>
      <c r="J348">
        <v>-0.69</v>
      </c>
      <c r="K348" s="245">
        <v>-45.36</v>
      </c>
      <c r="L348" s="245">
        <v>7.07</v>
      </c>
      <c r="M348" s="245">
        <v>9.7899999999999991</v>
      </c>
    </row>
    <row r="349" spans="1:13">
      <c r="A349">
        <v>2382</v>
      </c>
      <c r="B349" t="s">
        <v>5082</v>
      </c>
      <c r="C349">
        <v>386</v>
      </c>
      <c r="D349">
        <v>35</v>
      </c>
      <c r="E349">
        <v>14</v>
      </c>
      <c r="F349">
        <v>-39</v>
      </c>
      <c r="G349">
        <v>-21</v>
      </c>
      <c r="H349">
        <v>3.3</v>
      </c>
      <c r="I349">
        <v>6.6</v>
      </c>
      <c r="J349">
        <v>8.73</v>
      </c>
      <c r="K349" s="245">
        <v>-11.56</v>
      </c>
      <c r="L349" s="245">
        <v>21.39</v>
      </c>
      <c r="M349" s="245">
        <v>0.98</v>
      </c>
    </row>
    <row r="350" spans="1:13">
      <c r="A350">
        <v>2383</v>
      </c>
      <c r="B350" t="s">
        <v>5083</v>
      </c>
      <c r="C350">
        <v>33.29</v>
      </c>
      <c r="D350">
        <v>48</v>
      </c>
      <c r="E350">
        <v>47</v>
      </c>
      <c r="F350">
        <v>-10</v>
      </c>
      <c r="G350">
        <v>4</v>
      </c>
      <c r="H350">
        <v>17.98</v>
      </c>
      <c r="I350">
        <v>10</v>
      </c>
      <c r="J350">
        <v>16.5</v>
      </c>
      <c r="K350" s="245">
        <v>-29.36</v>
      </c>
      <c r="L350" s="245">
        <v>10.93</v>
      </c>
      <c r="M350" s="245">
        <v>10.39</v>
      </c>
    </row>
    <row r="351" spans="1:13">
      <c r="A351">
        <v>2385</v>
      </c>
      <c r="B351" t="s">
        <v>5084</v>
      </c>
      <c r="C351">
        <v>75.180000000000007</v>
      </c>
      <c r="D351">
        <v>15</v>
      </c>
      <c r="E351">
        <v>12</v>
      </c>
      <c r="F351">
        <v>-23</v>
      </c>
      <c r="G351">
        <v>0</v>
      </c>
      <c r="H351">
        <v>8.01</v>
      </c>
      <c r="I351">
        <v>6.1</v>
      </c>
      <c r="J351">
        <v>8.7100000000000009</v>
      </c>
      <c r="K351" s="245">
        <v>-11.06</v>
      </c>
      <c r="L351" s="245">
        <v>10.69</v>
      </c>
      <c r="M351" s="245">
        <v>10.26</v>
      </c>
    </row>
    <row r="352" spans="1:13">
      <c r="A352">
        <v>2387</v>
      </c>
      <c r="B352" t="s">
        <v>5085</v>
      </c>
      <c r="C352">
        <v>19.52</v>
      </c>
      <c r="D352">
        <v>-19</v>
      </c>
      <c r="E352">
        <v>-22</v>
      </c>
      <c r="F352">
        <v>-46</v>
      </c>
      <c r="G352">
        <v>-42</v>
      </c>
      <c r="H352">
        <v>6.43</v>
      </c>
      <c r="I352">
        <v>3</v>
      </c>
      <c r="J352">
        <v>5.31</v>
      </c>
      <c r="K352" s="245">
        <v>-41.82</v>
      </c>
      <c r="L352" s="245">
        <v>15.34</v>
      </c>
      <c r="M352" s="245">
        <v>6.5</v>
      </c>
    </row>
    <row r="353" spans="1:13">
      <c r="A353">
        <v>2388</v>
      </c>
      <c r="B353" t="s">
        <v>5086</v>
      </c>
      <c r="C353">
        <v>49.67</v>
      </c>
      <c r="D353">
        <v>-10</v>
      </c>
      <c r="E353">
        <v>-85</v>
      </c>
      <c r="F353">
        <v>81</v>
      </c>
      <c r="G353">
        <v>71</v>
      </c>
      <c r="H353">
        <v>-20.6</v>
      </c>
      <c r="I353">
        <v>1</v>
      </c>
      <c r="J353">
        <v>8.01</v>
      </c>
      <c r="K353" s="245">
        <v>-54.54</v>
      </c>
      <c r="L353" s="245">
        <v>7.94</v>
      </c>
      <c r="M353" s="245">
        <v>47.63</v>
      </c>
    </row>
    <row r="354" spans="1:13">
      <c r="A354">
        <v>2390</v>
      </c>
      <c r="B354" t="s">
        <v>5087</v>
      </c>
      <c r="C354">
        <v>21.4</v>
      </c>
      <c r="D354">
        <v>630</v>
      </c>
      <c r="E354">
        <v>-39</v>
      </c>
      <c r="F354">
        <v>-10</v>
      </c>
      <c r="G354">
        <v>-29</v>
      </c>
      <c r="H354">
        <v>-28.92</v>
      </c>
      <c r="I354">
        <v>1</v>
      </c>
      <c r="J354">
        <v>6.67</v>
      </c>
      <c r="K354" s="245">
        <v>-40.68</v>
      </c>
      <c r="L354" s="245">
        <v>39.82</v>
      </c>
      <c r="M354" s="245">
        <v>83.8</v>
      </c>
    </row>
    <row r="355" spans="1:13">
      <c r="A355">
        <v>2392</v>
      </c>
      <c r="B355" t="s">
        <v>5088</v>
      </c>
      <c r="C355">
        <v>51.23</v>
      </c>
      <c r="D355">
        <v>-28</v>
      </c>
      <c r="E355">
        <v>-20</v>
      </c>
      <c r="F355">
        <v>28</v>
      </c>
      <c r="G355">
        <v>9</v>
      </c>
      <c r="H355">
        <v>2.2000000000000002</v>
      </c>
      <c r="I355">
        <v>1.5</v>
      </c>
      <c r="J355">
        <v>1.9</v>
      </c>
      <c r="K355" s="245">
        <v>-30.66</v>
      </c>
      <c r="L355" s="245">
        <v>7.6</v>
      </c>
      <c r="M355" s="245">
        <v>5.0999999999999996</v>
      </c>
    </row>
    <row r="356" spans="1:13">
      <c r="A356">
        <v>2393</v>
      </c>
      <c r="B356" t="s">
        <v>5089</v>
      </c>
      <c r="C356">
        <v>44.34</v>
      </c>
      <c r="D356">
        <v>59</v>
      </c>
      <c r="E356">
        <v>78</v>
      </c>
      <c r="F356">
        <v>-33</v>
      </c>
      <c r="G356">
        <v>-34</v>
      </c>
      <c r="H356">
        <v>9.65</v>
      </c>
      <c r="I356">
        <v>3.5</v>
      </c>
      <c r="J356">
        <v>4.37</v>
      </c>
      <c r="K356" s="245">
        <v>-39.33</v>
      </c>
      <c r="L356" s="245">
        <v>6.52</v>
      </c>
      <c r="M356" s="245">
        <v>11</v>
      </c>
    </row>
    <row r="357" spans="1:13">
      <c r="A357">
        <v>2395</v>
      </c>
      <c r="B357" t="s">
        <v>5090</v>
      </c>
      <c r="C357">
        <v>77.58</v>
      </c>
      <c r="D357">
        <v>13</v>
      </c>
      <c r="E357">
        <v>8</v>
      </c>
      <c r="F357">
        <v>-21</v>
      </c>
      <c r="G357">
        <v>2</v>
      </c>
      <c r="H357">
        <v>16.72</v>
      </c>
      <c r="I357">
        <v>8</v>
      </c>
      <c r="J357">
        <v>10.67</v>
      </c>
      <c r="K357" s="245">
        <v>-16.73</v>
      </c>
      <c r="L357" s="245">
        <v>33.979999999999997</v>
      </c>
      <c r="M357" s="245">
        <v>1.08</v>
      </c>
    </row>
    <row r="358" spans="1:13">
      <c r="A358">
        <v>2397</v>
      </c>
      <c r="B358" t="s">
        <v>5091</v>
      </c>
      <c r="C358">
        <v>11.44</v>
      </c>
      <c r="D358">
        <v>63</v>
      </c>
      <c r="E358">
        <v>-18</v>
      </c>
      <c r="F358">
        <v>-7</v>
      </c>
      <c r="G358">
        <v>96</v>
      </c>
      <c r="H358">
        <v>3.98</v>
      </c>
      <c r="I358">
        <v>3.6</v>
      </c>
      <c r="J358">
        <v>5.38</v>
      </c>
      <c r="K358" s="245">
        <v>-13.86</v>
      </c>
      <c r="L358" s="245">
        <v>37.18</v>
      </c>
      <c r="M358" s="245">
        <v>0.57999999999999996</v>
      </c>
    </row>
    <row r="359" spans="1:13">
      <c r="A359">
        <v>2399</v>
      </c>
      <c r="B359" t="s">
        <v>5092</v>
      </c>
      <c r="C359">
        <v>17.809999999999999</v>
      </c>
      <c r="D359">
        <v>148</v>
      </c>
      <c r="E359">
        <v>905</v>
      </c>
      <c r="F359">
        <v>0</v>
      </c>
      <c r="G359">
        <v>-14</v>
      </c>
      <c r="H359">
        <v>7.81</v>
      </c>
      <c r="I359">
        <v>0</v>
      </c>
      <c r="J359">
        <v>2.0299999999999998</v>
      </c>
      <c r="K359" s="245">
        <v>-42.93</v>
      </c>
      <c r="L359" s="245">
        <v>13.07</v>
      </c>
      <c r="M359" s="245">
        <v>47.71</v>
      </c>
    </row>
    <row r="360" spans="1:13">
      <c r="A360">
        <v>2401</v>
      </c>
      <c r="B360" t="s">
        <v>5093</v>
      </c>
      <c r="C360">
        <v>59.19</v>
      </c>
      <c r="D360">
        <v>183</v>
      </c>
      <c r="E360">
        <v>78</v>
      </c>
      <c r="F360">
        <v>12</v>
      </c>
      <c r="G360">
        <v>18</v>
      </c>
      <c r="H360">
        <v>11.6</v>
      </c>
      <c r="I360">
        <v>2</v>
      </c>
      <c r="J360">
        <v>2.0099999999999998</v>
      </c>
      <c r="K360" s="245">
        <v>-29.55</v>
      </c>
      <c r="L360" s="245">
        <v>41.23</v>
      </c>
      <c r="M360" s="245">
        <v>32.340000000000003</v>
      </c>
    </row>
    <row r="361" spans="1:13">
      <c r="A361">
        <v>2402</v>
      </c>
      <c r="B361" t="s">
        <v>5094</v>
      </c>
      <c r="C361">
        <v>30.75</v>
      </c>
      <c r="D361">
        <v>85</v>
      </c>
      <c r="E361">
        <v>6</v>
      </c>
      <c r="F361">
        <v>-13</v>
      </c>
      <c r="G361">
        <v>1</v>
      </c>
      <c r="H361">
        <v>3.21</v>
      </c>
      <c r="I361">
        <v>0.5</v>
      </c>
      <c r="J361">
        <v>0.75</v>
      </c>
      <c r="K361" s="245">
        <v>-28.37</v>
      </c>
      <c r="L361" s="245">
        <v>16.350000000000001</v>
      </c>
      <c r="M361" s="245">
        <v>7.74</v>
      </c>
    </row>
    <row r="362" spans="1:13">
      <c r="A362">
        <v>2404</v>
      </c>
      <c r="B362" t="s">
        <v>5095</v>
      </c>
      <c r="C362">
        <v>19.05</v>
      </c>
      <c r="D362">
        <v>-31</v>
      </c>
      <c r="E362">
        <v>-32</v>
      </c>
      <c r="F362">
        <v>10</v>
      </c>
      <c r="G362">
        <v>-20</v>
      </c>
      <c r="H362">
        <v>12.26</v>
      </c>
      <c r="I362">
        <v>13</v>
      </c>
      <c r="J362">
        <v>14.53</v>
      </c>
      <c r="K362" s="245">
        <v>-27.31</v>
      </c>
      <c r="L362" s="245">
        <v>29.47</v>
      </c>
      <c r="M362" s="245">
        <v>2.31</v>
      </c>
    </row>
    <row r="363" spans="1:13">
      <c r="A363">
        <v>2405</v>
      </c>
      <c r="B363" t="s">
        <v>6182</v>
      </c>
      <c r="C363">
        <v>34.340000000000003</v>
      </c>
      <c r="D363">
        <v>215</v>
      </c>
      <c r="E363">
        <v>-96</v>
      </c>
      <c r="F363">
        <v>32</v>
      </c>
      <c r="G363">
        <v>26</v>
      </c>
      <c r="H363">
        <v>0.12</v>
      </c>
      <c r="I363">
        <v>0</v>
      </c>
      <c r="J363">
        <v>0.57999999999999996</v>
      </c>
      <c r="K363" s="245">
        <v>-45.58</v>
      </c>
      <c r="L363" s="245">
        <v>12.4</v>
      </c>
      <c r="M363" s="245">
        <v>17.43</v>
      </c>
    </row>
    <row r="364" spans="1:13">
      <c r="A364">
        <v>2406</v>
      </c>
      <c r="B364" t="s">
        <v>5096</v>
      </c>
      <c r="C364">
        <v>35.090000000000003</v>
      </c>
      <c r="D364">
        <v>51</v>
      </c>
      <c r="E364">
        <v>57</v>
      </c>
      <c r="F364">
        <v>-1</v>
      </c>
      <c r="G364">
        <v>-23</v>
      </c>
      <c r="H364">
        <v>-1.23</v>
      </c>
      <c r="I364">
        <v>0</v>
      </c>
      <c r="J364">
        <v>0.09</v>
      </c>
      <c r="K364" s="245">
        <v>-46.82</v>
      </c>
      <c r="L364" s="245">
        <v>11.87</v>
      </c>
      <c r="M364" s="245">
        <v>43.07</v>
      </c>
    </row>
    <row r="365" spans="1:13">
      <c r="A365">
        <v>2408</v>
      </c>
      <c r="B365" t="s">
        <v>5097</v>
      </c>
      <c r="C365">
        <v>309</v>
      </c>
      <c r="D365">
        <v>197</v>
      </c>
      <c r="E365">
        <v>222</v>
      </c>
      <c r="F365">
        <v>-2</v>
      </c>
      <c r="G365">
        <v>-10</v>
      </c>
      <c r="H365">
        <v>31.76</v>
      </c>
      <c r="I365">
        <v>3.7</v>
      </c>
      <c r="J365">
        <v>7.4</v>
      </c>
      <c r="K365" s="245">
        <v>-22.68</v>
      </c>
      <c r="L365" s="245">
        <v>21.49</v>
      </c>
      <c r="M365" s="245">
        <v>1.97</v>
      </c>
    </row>
    <row r="366" spans="1:13">
      <c r="A366">
        <v>2409</v>
      </c>
      <c r="B366" t="s">
        <v>5098</v>
      </c>
      <c r="C366">
        <v>962</v>
      </c>
      <c r="D366">
        <v>2082</v>
      </c>
      <c r="E366">
        <v>2928</v>
      </c>
      <c r="F366">
        <v>9</v>
      </c>
      <c r="G366">
        <v>-8</v>
      </c>
      <c r="H366">
        <v>17.02</v>
      </c>
      <c r="I366">
        <v>1</v>
      </c>
      <c r="J366">
        <v>6.44</v>
      </c>
      <c r="K366" s="245">
        <v>-33.46</v>
      </c>
      <c r="L366" s="245">
        <v>21.3</v>
      </c>
      <c r="M366" s="245">
        <v>7.68</v>
      </c>
    </row>
    <row r="367" spans="1:13">
      <c r="A367">
        <v>2412</v>
      </c>
      <c r="B367" t="s">
        <v>5099</v>
      </c>
      <c r="C367">
        <v>775</v>
      </c>
      <c r="D367">
        <v>7</v>
      </c>
      <c r="E367">
        <v>6</v>
      </c>
      <c r="F367">
        <v>4</v>
      </c>
      <c r="G367">
        <v>6</v>
      </c>
      <c r="H367">
        <v>21.35</v>
      </c>
      <c r="I367">
        <v>4.6100000000000003</v>
      </c>
      <c r="J367">
        <v>4.6100000000000003</v>
      </c>
      <c r="K367" s="245">
        <v>-5.66</v>
      </c>
      <c r="L367" s="245">
        <v>62.57</v>
      </c>
      <c r="M367" s="245">
        <v>0.49</v>
      </c>
    </row>
    <row r="368" spans="1:13">
      <c r="A368">
        <v>2413</v>
      </c>
      <c r="B368" t="s">
        <v>5100</v>
      </c>
      <c r="C368">
        <v>12.73</v>
      </c>
      <c r="D368">
        <v>419</v>
      </c>
      <c r="E368">
        <v>254</v>
      </c>
      <c r="F368">
        <v>84</v>
      </c>
      <c r="G368">
        <v>-4</v>
      </c>
      <c r="H368">
        <v>1.41</v>
      </c>
      <c r="I368">
        <v>0</v>
      </c>
      <c r="J368">
        <v>0.35</v>
      </c>
      <c r="K368" s="245">
        <v>-25.94</v>
      </c>
      <c r="L368" s="245">
        <v>26.51</v>
      </c>
      <c r="M368" s="245">
        <v>10.17</v>
      </c>
    </row>
    <row r="369" spans="1:13">
      <c r="A369">
        <v>2414</v>
      </c>
      <c r="B369" t="s">
        <v>5101</v>
      </c>
      <c r="C369">
        <v>16.170000000000002</v>
      </c>
      <c r="D369">
        <v>54</v>
      </c>
      <c r="E369">
        <v>58</v>
      </c>
      <c r="F369">
        <v>43</v>
      </c>
      <c r="G369">
        <v>11</v>
      </c>
      <c r="H369">
        <v>3.08</v>
      </c>
      <c r="I369">
        <v>2.8</v>
      </c>
      <c r="J369">
        <v>3.44</v>
      </c>
      <c r="K369" s="245">
        <v>-18.46</v>
      </c>
      <c r="L369" s="245">
        <v>22.07</v>
      </c>
      <c r="M369" s="245">
        <v>6.35</v>
      </c>
    </row>
    <row r="370" spans="1:13">
      <c r="A370">
        <v>2415</v>
      </c>
      <c r="B370" t="s">
        <v>5102</v>
      </c>
      <c r="C370">
        <v>8</v>
      </c>
      <c r="D370">
        <v>253</v>
      </c>
      <c r="E370">
        <v>89</v>
      </c>
      <c r="F370">
        <v>-18</v>
      </c>
      <c r="G370">
        <v>-9</v>
      </c>
      <c r="H370">
        <v>17.8</v>
      </c>
      <c r="I370">
        <v>2.1</v>
      </c>
      <c r="J370">
        <v>2.73</v>
      </c>
      <c r="K370" s="245">
        <v>-43.99</v>
      </c>
      <c r="L370" s="245">
        <v>23.07</v>
      </c>
      <c r="M370" s="245">
        <v>32.68</v>
      </c>
    </row>
    <row r="371" spans="1:13">
      <c r="A371">
        <v>2417</v>
      </c>
      <c r="B371" t="s">
        <v>5103</v>
      </c>
      <c r="C371">
        <v>15.84</v>
      </c>
      <c r="D371">
        <v>-77</v>
      </c>
      <c r="E371">
        <v>-71</v>
      </c>
      <c r="F371">
        <v>-2</v>
      </c>
      <c r="G371">
        <v>-32</v>
      </c>
      <c r="H371">
        <v>11.38</v>
      </c>
      <c r="I371">
        <v>0.15</v>
      </c>
      <c r="J371">
        <v>0.27</v>
      </c>
      <c r="K371" s="245">
        <v>-38.380000000000003</v>
      </c>
      <c r="L371" s="245">
        <v>37.54</v>
      </c>
      <c r="M371" s="245">
        <v>29.95</v>
      </c>
    </row>
    <row r="372" spans="1:13">
      <c r="A372">
        <v>2419</v>
      </c>
      <c r="B372" t="s">
        <v>5104</v>
      </c>
      <c r="C372">
        <v>32.130000000000003</v>
      </c>
      <c r="D372">
        <v>-45</v>
      </c>
      <c r="E372">
        <v>-33</v>
      </c>
      <c r="F372">
        <v>-14</v>
      </c>
      <c r="G372">
        <v>3</v>
      </c>
      <c r="H372">
        <v>3.06</v>
      </c>
      <c r="I372">
        <v>0.5</v>
      </c>
      <c r="J372">
        <v>0.22</v>
      </c>
      <c r="K372" s="245">
        <v>-31.64</v>
      </c>
      <c r="L372" s="245">
        <v>26.89</v>
      </c>
      <c r="M372" s="245">
        <v>9.23</v>
      </c>
    </row>
    <row r="373" spans="1:13">
      <c r="A373">
        <v>2420</v>
      </c>
      <c r="B373" t="s">
        <v>5105</v>
      </c>
      <c r="C373">
        <v>15.26</v>
      </c>
      <c r="D373">
        <v>31</v>
      </c>
      <c r="E373">
        <v>22</v>
      </c>
      <c r="F373">
        <v>52</v>
      </c>
      <c r="G373">
        <v>29</v>
      </c>
      <c r="H373">
        <v>23.65</v>
      </c>
      <c r="I373">
        <v>3</v>
      </c>
      <c r="J373">
        <v>3.82</v>
      </c>
      <c r="K373" s="245">
        <v>-13.05</v>
      </c>
      <c r="L373" s="245">
        <v>39.5</v>
      </c>
      <c r="M373" s="245">
        <v>2.93</v>
      </c>
    </row>
    <row r="374" spans="1:13">
      <c r="A374">
        <v>2421</v>
      </c>
      <c r="B374" t="s">
        <v>5106</v>
      </c>
      <c r="C374">
        <v>25.09</v>
      </c>
      <c r="D374">
        <v>-49</v>
      </c>
      <c r="E374">
        <v>-58</v>
      </c>
      <c r="F374">
        <v>-18</v>
      </c>
      <c r="G374">
        <v>-21</v>
      </c>
      <c r="H374">
        <v>3.42</v>
      </c>
      <c r="I374">
        <v>1.2</v>
      </c>
      <c r="J374">
        <v>1.71</v>
      </c>
      <c r="K374" s="245">
        <v>-27.68</v>
      </c>
      <c r="L374" s="245">
        <v>10.35</v>
      </c>
      <c r="M374" s="245">
        <v>8.09</v>
      </c>
    </row>
    <row r="375" spans="1:13">
      <c r="A375">
        <v>2423</v>
      </c>
      <c r="B375" t="s">
        <v>5107</v>
      </c>
      <c r="C375">
        <v>14.5</v>
      </c>
      <c r="D375">
        <v>45</v>
      </c>
      <c r="E375">
        <v>52</v>
      </c>
      <c r="F375">
        <v>-16</v>
      </c>
      <c r="G375">
        <v>-1</v>
      </c>
      <c r="H375">
        <v>14.56</v>
      </c>
      <c r="I375">
        <v>1.5</v>
      </c>
      <c r="J375">
        <v>2</v>
      </c>
      <c r="K375" s="245">
        <v>-15.37</v>
      </c>
      <c r="L375" s="245">
        <v>58.34</v>
      </c>
      <c r="M375" s="245">
        <v>5.0999999999999996</v>
      </c>
    </row>
    <row r="376" spans="1:13">
      <c r="A376">
        <v>2424</v>
      </c>
      <c r="B376" t="s">
        <v>6470</v>
      </c>
      <c r="C376">
        <v>3.4</v>
      </c>
      <c r="D376">
        <v>-58</v>
      </c>
      <c r="E376">
        <v>-22</v>
      </c>
      <c r="F376">
        <v>835</v>
      </c>
      <c r="G376">
        <v>477</v>
      </c>
      <c r="H376">
        <v>-1701.75</v>
      </c>
      <c r="I376">
        <v>0</v>
      </c>
      <c r="J376">
        <v>-8.57</v>
      </c>
      <c r="K376" s="245">
        <v>-22.82</v>
      </c>
      <c r="L376" s="245">
        <v>74.38</v>
      </c>
      <c r="M376" s="245">
        <v>0.27</v>
      </c>
    </row>
    <row r="377" spans="1:13">
      <c r="A377">
        <v>2425</v>
      </c>
      <c r="B377" t="s">
        <v>5108</v>
      </c>
      <c r="C377">
        <v>10.14</v>
      </c>
      <c r="D377">
        <v>-11</v>
      </c>
      <c r="E377">
        <v>57</v>
      </c>
      <c r="F377">
        <v>39</v>
      </c>
      <c r="G377">
        <v>27</v>
      </c>
      <c r="H377">
        <v>5.45</v>
      </c>
      <c r="I377">
        <v>0.6</v>
      </c>
      <c r="J377">
        <v>1.27</v>
      </c>
      <c r="K377" s="245">
        <v>-4.78</v>
      </c>
      <c r="L377" s="245">
        <v>75.349999999999994</v>
      </c>
      <c r="M377" s="245">
        <v>4.66</v>
      </c>
    </row>
    <row r="378" spans="1:13">
      <c r="A378">
        <v>2426</v>
      </c>
      <c r="B378" t="s">
        <v>5109</v>
      </c>
      <c r="C378">
        <v>30.06</v>
      </c>
      <c r="D378">
        <v>135</v>
      </c>
      <c r="E378">
        <v>3628</v>
      </c>
      <c r="F378">
        <v>-5</v>
      </c>
      <c r="G378">
        <v>-20</v>
      </c>
      <c r="H378">
        <v>9.82</v>
      </c>
      <c r="I378">
        <v>1</v>
      </c>
      <c r="J378">
        <v>2.41</v>
      </c>
      <c r="K378" s="245">
        <v>-35.51</v>
      </c>
      <c r="L378" s="245">
        <v>16.739999999999998</v>
      </c>
      <c r="M378" s="245">
        <v>25.4</v>
      </c>
    </row>
    <row r="379" spans="1:13">
      <c r="A379">
        <v>2427</v>
      </c>
      <c r="B379" t="s">
        <v>5110</v>
      </c>
      <c r="C379">
        <v>18.43</v>
      </c>
      <c r="D379">
        <v>29</v>
      </c>
      <c r="E379">
        <v>34</v>
      </c>
      <c r="F379">
        <v>-27</v>
      </c>
      <c r="G379">
        <v>-11</v>
      </c>
      <c r="H379">
        <v>4.3499999999999996</v>
      </c>
      <c r="I379">
        <v>0.35</v>
      </c>
      <c r="J379">
        <v>0.81</v>
      </c>
      <c r="K379" s="245">
        <v>-12.89</v>
      </c>
      <c r="L379" s="245">
        <v>47.58</v>
      </c>
      <c r="M379" s="245">
        <v>5.28</v>
      </c>
    </row>
    <row r="380" spans="1:13">
      <c r="A380">
        <v>2428</v>
      </c>
      <c r="B380" t="s">
        <v>5111</v>
      </c>
      <c r="C380">
        <v>12.81</v>
      </c>
      <c r="D380">
        <v>15</v>
      </c>
      <c r="E380">
        <v>15</v>
      </c>
      <c r="F380">
        <v>11</v>
      </c>
      <c r="G380">
        <v>1</v>
      </c>
      <c r="H380">
        <v>28.33</v>
      </c>
      <c r="I380">
        <v>6.3</v>
      </c>
      <c r="J380">
        <v>12.31</v>
      </c>
      <c r="K380" s="245">
        <v>-52.53</v>
      </c>
      <c r="L380" s="245">
        <v>23.09</v>
      </c>
      <c r="M380" s="245">
        <v>3.42</v>
      </c>
    </row>
    <row r="381" spans="1:13">
      <c r="A381">
        <v>2429</v>
      </c>
      <c r="B381" t="s">
        <v>6471</v>
      </c>
      <c r="C381">
        <v>3.97</v>
      </c>
      <c r="D381">
        <v>86</v>
      </c>
      <c r="E381">
        <v>86</v>
      </c>
      <c r="F381">
        <v>-18</v>
      </c>
      <c r="G381">
        <v>-51</v>
      </c>
      <c r="H381">
        <v>-0.83</v>
      </c>
      <c r="I381">
        <v>0</v>
      </c>
      <c r="J381">
        <v>0.05</v>
      </c>
      <c r="K381" s="245">
        <v>-40.75</v>
      </c>
      <c r="L381" s="245">
        <v>33.200000000000003</v>
      </c>
      <c r="M381" s="245">
        <v>2.56</v>
      </c>
    </row>
    <row r="382" spans="1:13">
      <c r="A382">
        <v>2430</v>
      </c>
      <c r="B382" t="s">
        <v>5112</v>
      </c>
      <c r="C382">
        <v>16.64</v>
      </c>
      <c r="D382">
        <v>111</v>
      </c>
      <c r="E382">
        <v>91</v>
      </c>
      <c r="F382">
        <v>22</v>
      </c>
      <c r="G382">
        <v>24</v>
      </c>
      <c r="H382">
        <v>3.58</v>
      </c>
      <c r="I382">
        <v>3.54</v>
      </c>
      <c r="J382">
        <v>3.93</v>
      </c>
      <c r="K382" s="245">
        <v>-30.1</v>
      </c>
      <c r="L382" s="245">
        <v>14.4</v>
      </c>
      <c r="M382" s="245">
        <v>7.72</v>
      </c>
    </row>
    <row r="383" spans="1:13">
      <c r="A383">
        <v>2431</v>
      </c>
      <c r="B383" t="s">
        <v>5113</v>
      </c>
      <c r="C383">
        <v>11.09</v>
      </c>
      <c r="D383">
        <v>145</v>
      </c>
      <c r="E383">
        <v>-406</v>
      </c>
      <c r="F383">
        <v>35</v>
      </c>
      <c r="G383">
        <v>-34</v>
      </c>
      <c r="H383">
        <v>-6.72</v>
      </c>
      <c r="I383">
        <v>0.45</v>
      </c>
      <c r="J383">
        <v>1.03</v>
      </c>
      <c r="K383" s="245">
        <v>-31.11</v>
      </c>
      <c r="L383" s="245">
        <v>23.02</v>
      </c>
      <c r="M383" s="245">
        <v>27.59</v>
      </c>
    </row>
    <row r="384" spans="1:13">
      <c r="A384">
        <v>2433</v>
      </c>
      <c r="B384" t="s">
        <v>5114</v>
      </c>
      <c r="C384">
        <v>14.44</v>
      </c>
      <c r="D384">
        <v>-4</v>
      </c>
      <c r="E384">
        <v>-11</v>
      </c>
      <c r="F384">
        <v>4</v>
      </c>
      <c r="G384">
        <v>-17</v>
      </c>
      <c r="H384">
        <v>11.55</v>
      </c>
      <c r="I384">
        <v>3.5</v>
      </c>
      <c r="J384">
        <v>3.8</v>
      </c>
      <c r="K384" s="245">
        <v>-7.27</v>
      </c>
      <c r="L384" s="245">
        <v>41.82</v>
      </c>
      <c r="M384" s="245">
        <v>0.3</v>
      </c>
    </row>
    <row r="385" spans="1:13">
      <c r="A385">
        <v>2434</v>
      </c>
      <c r="B385" t="s">
        <v>5115</v>
      </c>
      <c r="C385">
        <v>3.7</v>
      </c>
      <c r="D385">
        <v>-200</v>
      </c>
      <c r="E385">
        <v>62</v>
      </c>
      <c r="F385">
        <v>48</v>
      </c>
      <c r="G385">
        <v>-37</v>
      </c>
      <c r="H385">
        <v>-18.95</v>
      </c>
      <c r="I385">
        <v>0</v>
      </c>
      <c r="J385">
        <v>-0.54</v>
      </c>
      <c r="K385" s="245">
        <v>-36.26</v>
      </c>
      <c r="L385" s="245">
        <v>22.05</v>
      </c>
      <c r="M385" s="245">
        <v>2.21</v>
      </c>
    </row>
    <row r="386" spans="1:13">
      <c r="A386">
        <v>2436</v>
      </c>
      <c r="B386" t="s">
        <v>5116</v>
      </c>
      <c r="C386">
        <v>17.8</v>
      </c>
      <c r="D386">
        <v>120</v>
      </c>
      <c r="E386">
        <v>264</v>
      </c>
      <c r="F386">
        <v>-28</v>
      </c>
      <c r="G386">
        <v>-13</v>
      </c>
      <c r="H386">
        <v>12.77</v>
      </c>
      <c r="I386">
        <v>3</v>
      </c>
      <c r="J386">
        <v>4.25</v>
      </c>
      <c r="K386" s="245">
        <v>-43.29</v>
      </c>
      <c r="L386" s="245">
        <v>10.73</v>
      </c>
      <c r="M386" s="245">
        <v>59</v>
      </c>
    </row>
    <row r="387" spans="1:13">
      <c r="A387">
        <v>2438</v>
      </c>
      <c r="B387" t="s">
        <v>6472</v>
      </c>
      <c r="C387">
        <v>6.01</v>
      </c>
      <c r="D387">
        <v>-17</v>
      </c>
      <c r="E387">
        <v>373</v>
      </c>
      <c r="F387">
        <v>49</v>
      </c>
      <c r="G387">
        <v>-30</v>
      </c>
      <c r="H387">
        <v>6.76</v>
      </c>
      <c r="I387">
        <v>0</v>
      </c>
      <c r="J387">
        <v>-7.0000000000000007E-2</v>
      </c>
      <c r="K387" s="245">
        <v>-31.59</v>
      </c>
      <c r="L387" s="245">
        <v>7.5</v>
      </c>
      <c r="M387" s="245">
        <v>2.79</v>
      </c>
    </row>
    <row r="388" spans="1:13">
      <c r="A388">
        <v>2439</v>
      </c>
      <c r="B388" t="s">
        <v>5117</v>
      </c>
      <c r="C388">
        <v>21.64</v>
      </c>
      <c r="D388">
        <v>-2</v>
      </c>
      <c r="E388">
        <v>-3</v>
      </c>
      <c r="F388">
        <v>-3</v>
      </c>
      <c r="G388">
        <v>-25</v>
      </c>
      <c r="H388">
        <v>3.04</v>
      </c>
      <c r="I388">
        <v>4</v>
      </c>
      <c r="J388">
        <v>5.4</v>
      </c>
      <c r="K388" s="245">
        <v>-33.25</v>
      </c>
      <c r="L388" s="245">
        <v>33.200000000000003</v>
      </c>
      <c r="M388" s="245">
        <v>5.28</v>
      </c>
    </row>
    <row r="389" spans="1:13">
      <c r="A389">
        <v>2440</v>
      </c>
      <c r="B389" t="s">
        <v>6183</v>
      </c>
      <c r="C389">
        <v>13.91</v>
      </c>
      <c r="D389">
        <v>-52</v>
      </c>
      <c r="E389">
        <v>24</v>
      </c>
      <c r="F389">
        <v>7</v>
      </c>
      <c r="G389">
        <v>-17</v>
      </c>
      <c r="H389">
        <v>3.75</v>
      </c>
      <c r="I389">
        <v>0</v>
      </c>
      <c r="J389">
        <v>0.75</v>
      </c>
      <c r="K389" s="245">
        <v>-49.43</v>
      </c>
      <c r="L389" s="245">
        <v>9.6300000000000008</v>
      </c>
      <c r="M389" s="245">
        <v>6.74</v>
      </c>
    </row>
    <row r="390" spans="1:13">
      <c r="A390">
        <v>2441</v>
      </c>
      <c r="B390" t="s">
        <v>5118</v>
      </c>
      <c r="C390">
        <v>56.88</v>
      </c>
      <c r="D390">
        <v>72</v>
      </c>
      <c r="E390">
        <v>73</v>
      </c>
      <c r="F390">
        <v>2</v>
      </c>
      <c r="G390">
        <v>7</v>
      </c>
      <c r="H390">
        <v>29.02</v>
      </c>
      <c r="I390">
        <v>5</v>
      </c>
      <c r="J390">
        <v>8.09</v>
      </c>
      <c r="K390" s="245">
        <v>-30.25</v>
      </c>
      <c r="L390" s="245">
        <v>28.85</v>
      </c>
      <c r="M390" s="245">
        <v>5.31</v>
      </c>
    </row>
    <row r="391" spans="1:13">
      <c r="A391">
        <v>2442</v>
      </c>
      <c r="B391" t="s">
        <v>5119</v>
      </c>
      <c r="C391">
        <v>24.13</v>
      </c>
      <c r="D391">
        <v>291</v>
      </c>
      <c r="E391">
        <v>588</v>
      </c>
      <c r="F391">
        <v>-10</v>
      </c>
      <c r="G391">
        <v>12</v>
      </c>
      <c r="H391">
        <v>21.92</v>
      </c>
      <c r="I391">
        <v>0.7</v>
      </c>
      <c r="J391">
        <v>1.99</v>
      </c>
      <c r="K391" s="245">
        <v>-6.83</v>
      </c>
      <c r="L391" s="245">
        <v>58.8</v>
      </c>
      <c r="M391" s="245">
        <v>28.09</v>
      </c>
    </row>
    <row r="392" spans="1:13">
      <c r="A392">
        <v>2443</v>
      </c>
      <c r="B392" t="s">
        <v>6473</v>
      </c>
      <c r="C392">
        <v>14.56</v>
      </c>
      <c r="D392">
        <v>75</v>
      </c>
      <c r="E392">
        <v>70</v>
      </c>
      <c r="F392">
        <v>336</v>
      </c>
      <c r="G392">
        <v>-96</v>
      </c>
      <c r="H392">
        <v>-61.07</v>
      </c>
      <c r="I392">
        <v>0</v>
      </c>
      <c r="J392">
        <v>-0.73</v>
      </c>
      <c r="K392" s="245">
        <v>-30.52</v>
      </c>
      <c r="L392" s="245">
        <v>42.79</v>
      </c>
      <c r="M392" s="245">
        <v>2.8</v>
      </c>
    </row>
    <row r="393" spans="1:13">
      <c r="A393">
        <v>2444</v>
      </c>
      <c r="B393" t="s">
        <v>6474</v>
      </c>
      <c r="C393">
        <v>10.55</v>
      </c>
      <c r="D393">
        <v>112</v>
      </c>
      <c r="E393">
        <v>132</v>
      </c>
      <c r="F393">
        <v>-14</v>
      </c>
      <c r="G393">
        <v>52</v>
      </c>
      <c r="H393">
        <v>1.45</v>
      </c>
      <c r="I393">
        <v>0</v>
      </c>
      <c r="J393">
        <v>0.12</v>
      </c>
      <c r="K393" s="245">
        <v>-29.52</v>
      </c>
      <c r="L393" s="245">
        <v>22.33</v>
      </c>
      <c r="M393" s="245">
        <v>4.4000000000000004</v>
      </c>
    </row>
    <row r="394" spans="1:13">
      <c r="A394">
        <v>2449</v>
      </c>
      <c r="B394" t="s">
        <v>5120</v>
      </c>
      <c r="C394">
        <v>122</v>
      </c>
      <c r="D394">
        <v>43</v>
      </c>
      <c r="E394">
        <v>42</v>
      </c>
      <c r="F394">
        <v>2</v>
      </c>
      <c r="G394">
        <v>22</v>
      </c>
      <c r="H394">
        <v>19.57</v>
      </c>
      <c r="I394">
        <v>3</v>
      </c>
      <c r="J394">
        <v>4.2300000000000004</v>
      </c>
      <c r="K394" s="245">
        <v>-16.54</v>
      </c>
      <c r="L394" s="245">
        <v>48.96</v>
      </c>
      <c r="M394" s="245">
        <v>4.53</v>
      </c>
    </row>
    <row r="395" spans="1:13">
      <c r="A395">
        <v>2450</v>
      </c>
      <c r="B395" t="s">
        <v>5121</v>
      </c>
      <c r="C395">
        <v>25.82</v>
      </c>
      <c r="D395">
        <v>36</v>
      </c>
      <c r="E395">
        <v>56</v>
      </c>
      <c r="F395">
        <v>-16</v>
      </c>
      <c r="G395">
        <v>9</v>
      </c>
      <c r="H395">
        <v>1.56</v>
      </c>
      <c r="I395">
        <v>2</v>
      </c>
      <c r="J395">
        <v>2.31</v>
      </c>
      <c r="K395" s="245">
        <v>-7.33</v>
      </c>
      <c r="L395" s="245">
        <v>35.61</v>
      </c>
      <c r="M395" s="245">
        <v>0.32</v>
      </c>
    </row>
    <row r="396" spans="1:13">
      <c r="A396">
        <v>2451</v>
      </c>
      <c r="B396" t="s">
        <v>5122</v>
      </c>
      <c r="C396">
        <v>42.9</v>
      </c>
      <c r="D396">
        <v>111</v>
      </c>
      <c r="E396">
        <v>138</v>
      </c>
      <c r="F396">
        <v>-25</v>
      </c>
      <c r="G396">
        <v>-29</v>
      </c>
      <c r="H396">
        <v>20.2</v>
      </c>
      <c r="I396">
        <v>6</v>
      </c>
      <c r="J396">
        <v>5.9</v>
      </c>
      <c r="K396" s="245">
        <v>-9.75</v>
      </c>
      <c r="L396" s="245">
        <v>27.51</v>
      </c>
      <c r="M396" s="245">
        <v>4.66</v>
      </c>
    </row>
    <row r="397" spans="1:13">
      <c r="A397">
        <v>2453</v>
      </c>
      <c r="B397" t="s">
        <v>5123</v>
      </c>
      <c r="C397">
        <v>10</v>
      </c>
      <c r="D397">
        <v>28</v>
      </c>
      <c r="E397">
        <v>56</v>
      </c>
      <c r="F397">
        <v>2</v>
      </c>
      <c r="G397">
        <v>0</v>
      </c>
      <c r="H397">
        <v>4.34</v>
      </c>
      <c r="I397">
        <v>1.9</v>
      </c>
      <c r="J397">
        <v>2.16</v>
      </c>
      <c r="K397" s="245">
        <v>-17.77</v>
      </c>
      <c r="L397" s="245">
        <v>54.59</v>
      </c>
      <c r="M397" s="245">
        <v>14.68</v>
      </c>
    </row>
    <row r="398" spans="1:13">
      <c r="A398">
        <v>2454</v>
      </c>
      <c r="B398" t="s">
        <v>5124</v>
      </c>
      <c r="C398">
        <v>159</v>
      </c>
      <c r="D398">
        <v>169</v>
      </c>
      <c r="E398">
        <v>149</v>
      </c>
      <c r="F398">
        <v>47</v>
      </c>
      <c r="G398">
        <v>47</v>
      </c>
      <c r="H398">
        <v>21.9</v>
      </c>
      <c r="I398">
        <v>73</v>
      </c>
      <c r="J398">
        <v>70.56</v>
      </c>
      <c r="K398" s="245">
        <v>-33.090000000000003</v>
      </c>
      <c r="L398" s="245">
        <v>10.6</v>
      </c>
      <c r="M398" s="245">
        <v>1.99</v>
      </c>
    </row>
    <row r="399" spans="1:13">
      <c r="A399">
        <v>2455</v>
      </c>
      <c r="B399" t="s">
        <v>5125</v>
      </c>
      <c r="C399">
        <v>18.489999999999998</v>
      </c>
      <c r="D399">
        <v>60</v>
      </c>
      <c r="E399">
        <v>53</v>
      </c>
      <c r="F399">
        <v>-10</v>
      </c>
      <c r="G399">
        <v>-11</v>
      </c>
      <c r="H399">
        <v>29.28</v>
      </c>
      <c r="I399">
        <v>4</v>
      </c>
      <c r="J399">
        <v>4.62</v>
      </c>
      <c r="K399" s="245">
        <v>-46.34</v>
      </c>
      <c r="L399" s="245">
        <v>12.94</v>
      </c>
      <c r="M399" s="245">
        <v>10.119999999999999</v>
      </c>
    </row>
    <row r="400" spans="1:13">
      <c r="A400">
        <v>2457</v>
      </c>
      <c r="B400" t="s">
        <v>5126</v>
      </c>
      <c r="C400">
        <v>37.520000000000003</v>
      </c>
      <c r="D400">
        <v>-102</v>
      </c>
      <c r="E400">
        <v>8</v>
      </c>
      <c r="F400">
        <v>-11</v>
      </c>
      <c r="G400">
        <v>0</v>
      </c>
      <c r="H400">
        <v>-2.76</v>
      </c>
      <c r="I400">
        <v>0</v>
      </c>
      <c r="J400">
        <v>-0.92</v>
      </c>
      <c r="K400" s="245">
        <v>-27.31</v>
      </c>
      <c r="L400" s="245">
        <v>23.05</v>
      </c>
      <c r="M400" s="245">
        <v>55.92</v>
      </c>
    </row>
    <row r="401" spans="1:13">
      <c r="A401">
        <v>2458</v>
      </c>
      <c r="B401" t="s">
        <v>5127</v>
      </c>
      <c r="C401">
        <v>30.38</v>
      </c>
      <c r="D401">
        <v>57</v>
      </c>
      <c r="E401">
        <v>34</v>
      </c>
      <c r="F401">
        <v>-23</v>
      </c>
      <c r="G401">
        <v>-26</v>
      </c>
      <c r="H401">
        <v>30.91</v>
      </c>
      <c r="I401">
        <v>13.5</v>
      </c>
      <c r="J401">
        <v>17.64</v>
      </c>
      <c r="K401" s="245">
        <v>-33.799999999999997</v>
      </c>
      <c r="L401" s="245">
        <v>11.46</v>
      </c>
      <c r="M401" s="245">
        <v>4.5999999999999996</v>
      </c>
    </row>
    <row r="402" spans="1:13">
      <c r="A402">
        <v>2459</v>
      </c>
      <c r="B402" t="s">
        <v>5128</v>
      </c>
      <c r="C402">
        <v>10.55</v>
      </c>
      <c r="D402">
        <v>18</v>
      </c>
      <c r="E402">
        <v>12</v>
      </c>
      <c r="F402">
        <v>-8</v>
      </c>
      <c r="G402">
        <v>-13</v>
      </c>
      <c r="H402">
        <v>10.72</v>
      </c>
      <c r="I402">
        <v>3.5</v>
      </c>
      <c r="J402">
        <v>5.01</v>
      </c>
      <c r="K402" s="245">
        <v>-17.05</v>
      </c>
      <c r="L402" s="245">
        <v>9.8000000000000007</v>
      </c>
      <c r="M402" s="245">
        <v>0.84</v>
      </c>
    </row>
    <row r="403" spans="1:13">
      <c r="A403">
        <v>2460</v>
      </c>
      <c r="B403" t="s">
        <v>5129</v>
      </c>
      <c r="C403">
        <v>16.920000000000002</v>
      </c>
      <c r="D403">
        <v>672</v>
      </c>
      <c r="E403">
        <v>1217</v>
      </c>
      <c r="F403">
        <v>-19</v>
      </c>
      <c r="G403">
        <v>-32</v>
      </c>
      <c r="H403">
        <v>10.29</v>
      </c>
      <c r="I403">
        <v>0.3</v>
      </c>
      <c r="J403">
        <v>1.47</v>
      </c>
      <c r="K403" s="245">
        <v>-41.99</v>
      </c>
      <c r="L403" s="245">
        <v>22.41</v>
      </c>
      <c r="M403" s="245">
        <v>6.11</v>
      </c>
    </row>
    <row r="404" spans="1:13">
      <c r="A404">
        <v>2461</v>
      </c>
      <c r="B404" t="s">
        <v>5130</v>
      </c>
      <c r="C404">
        <v>16.38</v>
      </c>
      <c r="D404">
        <v>78</v>
      </c>
      <c r="E404">
        <v>-5</v>
      </c>
      <c r="F404">
        <v>33</v>
      </c>
      <c r="G404">
        <v>-3</v>
      </c>
      <c r="H404">
        <v>3.52</v>
      </c>
      <c r="I404">
        <v>1.74</v>
      </c>
      <c r="J404">
        <v>2.42</v>
      </c>
      <c r="K404" s="245">
        <v>-24.15</v>
      </c>
      <c r="L404" s="245">
        <v>8.7100000000000009</v>
      </c>
      <c r="M404" s="245">
        <v>24.33</v>
      </c>
    </row>
    <row r="405" spans="1:13">
      <c r="A405">
        <v>2462</v>
      </c>
      <c r="B405" t="s">
        <v>5131</v>
      </c>
      <c r="C405">
        <v>14.19</v>
      </c>
      <c r="D405">
        <v>-5</v>
      </c>
      <c r="E405">
        <v>-229</v>
      </c>
      <c r="F405">
        <v>44</v>
      </c>
      <c r="G405">
        <v>16</v>
      </c>
      <c r="H405">
        <v>-2.95</v>
      </c>
      <c r="I405">
        <v>0.6</v>
      </c>
      <c r="J405">
        <v>0.83</v>
      </c>
      <c r="K405" s="245">
        <v>-33.96</v>
      </c>
      <c r="L405" s="245">
        <v>10.69</v>
      </c>
      <c r="M405" s="245">
        <v>28.13</v>
      </c>
    </row>
    <row r="406" spans="1:13">
      <c r="A406">
        <v>2464</v>
      </c>
      <c r="B406" t="s">
        <v>5132</v>
      </c>
      <c r="C406">
        <v>19.55</v>
      </c>
      <c r="D406">
        <v>3</v>
      </c>
      <c r="E406">
        <v>3</v>
      </c>
      <c r="F406">
        <v>-3</v>
      </c>
      <c r="G406">
        <v>11</v>
      </c>
      <c r="H406">
        <v>7.01</v>
      </c>
      <c r="I406">
        <v>2.2000000000000002</v>
      </c>
      <c r="J406">
        <v>2.7</v>
      </c>
      <c r="K406" s="245">
        <v>-15.17</v>
      </c>
      <c r="L406" s="245">
        <v>19.940000000000001</v>
      </c>
      <c r="M406" s="245">
        <v>7.25</v>
      </c>
    </row>
    <row r="407" spans="1:13">
      <c r="A407">
        <v>2465</v>
      </c>
      <c r="B407" t="s">
        <v>5133</v>
      </c>
      <c r="C407">
        <v>5.35</v>
      </c>
      <c r="D407">
        <v>1653</v>
      </c>
      <c r="E407">
        <v>972</v>
      </c>
      <c r="F407">
        <v>-20</v>
      </c>
      <c r="G407">
        <v>-68</v>
      </c>
      <c r="H407">
        <v>6.27</v>
      </c>
      <c r="I407">
        <v>2</v>
      </c>
      <c r="J407">
        <v>8.1199999999999992</v>
      </c>
      <c r="K407" s="245">
        <v>-50.2</v>
      </c>
      <c r="L407" s="245">
        <v>9.0399999999999991</v>
      </c>
      <c r="M407" s="245">
        <v>85.01</v>
      </c>
    </row>
    <row r="408" spans="1:13">
      <c r="A408">
        <v>2466</v>
      </c>
      <c r="B408" t="s">
        <v>5134</v>
      </c>
      <c r="C408">
        <v>16.16</v>
      </c>
      <c r="D408">
        <v>762</v>
      </c>
      <c r="E408">
        <v>100</v>
      </c>
      <c r="F408">
        <v>-6</v>
      </c>
      <c r="G408">
        <v>-27</v>
      </c>
      <c r="H408">
        <v>0.05</v>
      </c>
      <c r="I408">
        <v>0</v>
      </c>
      <c r="J408">
        <v>0.35</v>
      </c>
      <c r="K408" s="245">
        <v>-32.130000000000003</v>
      </c>
      <c r="L408" s="245">
        <v>21.73</v>
      </c>
      <c r="M408" s="245">
        <v>0.14000000000000001</v>
      </c>
    </row>
    <row r="409" spans="1:13">
      <c r="A409">
        <v>2467</v>
      </c>
      <c r="B409" t="s">
        <v>5135</v>
      </c>
      <c r="C409">
        <v>15.21</v>
      </c>
      <c r="D409">
        <v>50</v>
      </c>
      <c r="E409">
        <v>39</v>
      </c>
      <c r="F409">
        <v>-4</v>
      </c>
      <c r="G409">
        <v>-31</v>
      </c>
      <c r="H409">
        <v>12.93</v>
      </c>
      <c r="I409">
        <v>3.32</v>
      </c>
      <c r="J409">
        <v>4.3499999999999996</v>
      </c>
      <c r="K409" s="245">
        <v>-34.979999999999997</v>
      </c>
      <c r="L409" s="245">
        <v>10.28</v>
      </c>
      <c r="M409" s="245">
        <v>3.18</v>
      </c>
    </row>
    <row r="410" spans="1:13">
      <c r="A410">
        <v>2468</v>
      </c>
      <c r="B410" t="s">
        <v>5136</v>
      </c>
      <c r="C410">
        <v>6.99</v>
      </c>
      <c r="D410">
        <v>15</v>
      </c>
      <c r="E410">
        <v>12</v>
      </c>
      <c r="F410">
        <v>54</v>
      </c>
      <c r="G410">
        <v>-1</v>
      </c>
      <c r="H410">
        <v>2.4700000000000002</v>
      </c>
      <c r="I410">
        <v>0.4</v>
      </c>
      <c r="J410">
        <v>0.64</v>
      </c>
      <c r="K410" s="245">
        <v>-13.38</v>
      </c>
      <c r="L410" s="245">
        <v>29.96</v>
      </c>
      <c r="M410" s="245">
        <v>10.28</v>
      </c>
    </row>
    <row r="411" spans="1:13">
      <c r="A411">
        <v>2471</v>
      </c>
      <c r="B411" t="s">
        <v>5137</v>
      </c>
      <c r="C411">
        <v>4.72</v>
      </c>
      <c r="D411">
        <v>17</v>
      </c>
      <c r="E411">
        <v>49</v>
      </c>
      <c r="F411">
        <v>23</v>
      </c>
      <c r="G411">
        <v>32</v>
      </c>
      <c r="H411">
        <v>15.42</v>
      </c>
      <c r="I411">
        <v>2.2400000000000002</v>
      </c>
      <c r="J411">
        <v>2.42</v>
      </c>
      <c r="K411" s="245">
        <v>-7.72</v>
      </c>
      <c r="L411" s="245">
        <v>62.78</v>
      </c>
      <c r="M411" s="245">
        <v>3.31</v>
      </c>
    </row>
    <row r="412" spans="1:13">
      <c r="A412">
        <v>2472</v>
      </c>
      <c r="B412" t="s">
        <v>5138</v>
      </c>
      <c r="C412">
        <v>16.34</v>
      </c>
      <c r="D412">
        <v>51</v>
      </c>
      <c r="E412">
        <v>39</v>
      </c>
      <c r="F412">
        <v>0</v>
      </c>
      <c r="G412">
        <v>17</v>
      </c>
      <c r="H412">
        <v>18.03</v>
      </c>
      <c r="I412">
        <v>3.2</v>
      </c>
      <c r="J412">
        <v>6.12</v>
      </c>
      <c r="K412" s="245">
        <v>-28.5</v>
      </c>
      <c r="L412" s="245">
        <v>16.829999999999998</v>
      </c>
      <c r="M412" s="245">
        <v>9.58</v>
      </c>
    </row>
    <row r="413" spans="1:13">
      <c r="A413">
        <v>2474</v>
      </c>
      <c r="B413" t="s">
        <v>5139</v>
      </c>
      <c r="C413">
        <v>72.97</v>
      </c>
      <c r="D413">
        <v>-59</v>
      </c>
      <c r="E413">
        <v>-41</v>
      </c>
      <c r="F413">
        <v>57</v>
      </c>
      <c r="G413">
        <v>-41</v>
      </c>
      <c r="H413">
        <v>21.32</v>
      </c>
      <c r="I413">
        <v>10</v>
      </c>
      <c r="J413">
        <v>11.31</v>
      </c>
      <c r="K413" s="245">
        <v>-21.88</v>
      </c>
      <c r="L413" s="245">
        <v>65.44</v>
      </c>
      <c r="M413" s="245">
        <v>1.8</v>
      </c>
    </row>
    <row r="414" spans="1:13">
      <c r="A414">
        <v>2476</v>
      </c>
      <c r="B414" t="s">
        <v>5140</v>
      </c>
      <c r="C414">
        <v>18.97</v>
      </c>
      <c r="D414">
        <v>110</v>
      </c>
      <c r="E414">
        <v>86</v>
      </c>
      <c r="F414">
        <v>-8</v>
      </c>
      <c r="G414">
        <v>-10</v>
      </c>
      <c r="H414">
        <v>15.62</v>
      </c>
      <c r="I414">
        <v>2.1</v>
      </c>
      <c r="J414">
        <v>3.49</v>
      </c>
      <c r="K414" s="245">
        <v>-44.68</v>
      </c>
      <c r="L414" s="245">
        <v>12.63</v>
      </c>
      <c r="M414" s="245">
        <v>32.07</v>
      </c>
    </row>
    <row r="415" spans="1:13">
      <c r="A415">
        <v>2477</v>
      </c>
      <c r="B415" t="s">
        <v>5141</v>
      </c>
      <c r="C415">
        <v>19.82</v>
      </c>
      <c r="D415">
        <v>823</v>
      </c>
      <c r="E415">
        <v>-119</v>
      </c>
      <c r="F415">
        <v>31</v>
      </c>
      <c r="G415">
        <v>21</v>
      </c>
      <c r="H415">
        <v>-0.73</v>
      </c>
      <c r="I415">
        <v>1</v>
      </c>
      <c r="J415">
        <v>8.27</v>
      </c>
      <c r="K415" s="245">
        <v>-36.24</v>
      </c>
      <c r="L415" s="245">
        <v>8.07</v>
      </c>
      <c r="M415" s="245">
        <v>8</v>
      </c>
    </row>
    <row r="416" spans="1:13">
      <c r="A416">
        <v>2478</v>
      </c>
      <c r="B416" t="s">
        <v>5142</v>
      </c>
      <c r="C416">
        <v>14.47</v>
      </c>
      <c r="D416">
        <v>42</v>
      </c>
      <c r="E416">
        <v>53</v>
      </c>
      <c r="F416">
        <v>22</v>
      </c>
      <c r="G416">
        <v>-13</v>
      </c>
      <c r="H416">
        <v>18.66</v>
      </c>
      <c r="I416">
        <v>4</v>
      </c>
      <c r="J416">
        <v>6.6</v>
      </c>
      <c r="K416" s="245">
        <v>-33.25</v>
      </c>
      <c r="L416" s="245">
        <v>19</v>
      </c>
      <c r="M416" s="245">
        <v>6.78</v>
      </c>
    </row>
    <row r="417" spans="1:13">
      <c r="A417">
        <v>2480</v>
      </c>
      <c r="B417" t="s">
        <v>5143</v>
      </c>
      <c r="C417">
        <v>10.63</v>
      </c>
      <c r="D417">
        <v>28</v>
      </c>
      <c r="E417">
        <v>39</v>
      </c>
      <c r="F417">
        <v>16</v>
      </c>
      <c r="G417">
        <v>3</v>
      </c>
      <c r="H417">
        <v>11.56</v>
      </c>
      <c r="I417">
        <v>5.62</v>
      </c>
      <c r="J417">
        <v>6</v>
      </c>
      <c r="K417" s="245">
        <v>-11.13</v>
      </c>
      <c r="L417" s="245">
        <v>23.41</v>
      </c>
      <c r="M417" s="245">
        <v>2.64</v>
      </c>
    </row>
    <row r="418" spans="1:13">
      <c r="A418">
        <v>2481</v>
      </c>
      <c r="B418" t="s">
        <v>5144</v>
      </c>
      <c r="C418">
        <v>38.28</v>
      </c>
      <c r="D418">
        <v>119</v>
      </c>
      <c r="E418">
        <v>130</v>
      </c>
      <c r="F418">
        <v>-12</v>
      </c>
      <c r="G418">
        <v>-1</v>
      </c>
      <c r="H418">
        <v>16.52</v>
      </c>
      <c r="I418">
        <v>3</v>
      </c>
      <c r="J418">
        <v>5.66</v>
      </c>
      <c r="K418" s="245">
        <v>-38.32</v>
      </c>
      <c r="L418" s="245">
        <v>19.38</v>
      </c>
      <c r="M418" s="245">
        <v>25.27</v>
      </c>
    </row>
    <row r="419" spans="1:13">
      <c r="A419">
        <v>2482</v>
      </c>
      <c r="B419" t="s">
        <v>5145</v>
      </c>
      <c r="C419">
        <v>6.96</v>
      </c>
      <c r="D419">
        <v>121</v>
      </c>
      <c r="E419">
        <v>99</v>
      </c>
      <c r="F419">
        <v>126</v>
      </c>
      <c r="G419">
        <v>93</v>
      </c>
      <c r="H419">
        <v>-0.03</v>
      </c>
      <c r="I419">
        <v>0</v>
      </c>
      <c r="J419">
        <v>0.11</v>
      </c>
      <c r="K419" s="245">
        <v>-41.9</v>
      </c>
      <c r="L419" s="245">
        <v>6.49</v>
      </c>
      <c r="M419" s="245">
        <v>45.33</v>
      </c>
    </row>
    <row r="420" spans="1:13">
      <c r="A420">
        <v>2483</v>
      </c>
      <c r="B420" t="s">
        <v>5146</v>
      </c>
      <c r="C420">
        <v>10.9</v>
      </c>
      <c r="D420">
        <v>83</v>
      </c>
      <c r="E420">
        <v>-49</v>
      </c>
      <c r="F420">
        <v>8</v>
      </c>
      <c r="G420">
        <v>29</v>
      </c>
      <c r="H420">
        <v>0.54</v>
      </c>
      <c r="I420">
        <v>1</v>
      </c>
      <c r="J420">
        <v>1.4</v>
      </c>
      <c r="K420" s="245">
        <v>-26.39</v>
      </c>
      <c r="L420" s="245">
        <v>39.69</v>
      </c>
      <c r="M420" s="245">
        <v>10.039999999999999</v>
      </c>
    </row>
    <row r="421" spans="1:13">
      <c r="A421">
        <v>2484</v>
      </c>
      <c r="B421" t="s">
        <v>5147</v>
      </c>
      <c r="C421">
        <v>15.94</v>
      </c>
      <c r="D421">
        <v>150</v>
      </c>
      <c r="E421">
        <v>155</v>
      </c>
      <c r="F421">
        <v>5</v>
      </c>
      <c r="G421">
        <v>16</v>
      </c>
      <c r="H421">
        <v>15.95</v>
      </c>
      <c r="I421">
        <v>1.5</v>
      </c>
      <c r="J421">
        <v>2.54</v>
      </c>
      <c r="K421" s="245">
        <v>-24.51</v>
      </c>
      <c r="L421" s="245">
        <v>77.27</v>
      </c>
      <c r="M421" s="245">
        <v>27.08</v>
      </c>
    </row>
    <row r="422" spans="1:13">
      <c r="A422">
        <v>2485</v>
      </c>
      <c r="B422" t="s">
        <v>5148</v>
      </c>
      <c r="C422">
        <v>31.76</v>
      </c>
      <c r="D422">
        <v>-137</v>
      </c>
      <c r="E422">
        <v>-90</v>
      </c>
      <c r="F422">
        <v>-22</v>
      </c>
      <c r="G422">
        <v>-21</v>
      </c>
      <c r="H422">
        <v>-7.85</v>
      </c>
      <c r="I422">
        <v>0</v>
      </c>
      <c r="J422">
        <v>-1.1100000000000001</v>
      </c>
      <c r="K422" s="245">
        <v>-31.63</v>
      </c>
      <c r="L422" s="245">
        <v>13.08</v>
      </c>
      <c r="M422" s="245">
        <v>13.74</v>
      </c>
    </row>
    <row r="423" spans="1:13">
      <c r="A423">
        <v>2486</v>
      </c>
      <c r="B423" t="s">
        <v>5149</v>
      </c>
      <c r="C423">
        <v>22.19</v>
      </c>
      <c r="D423">
        <v>344</v>
      </c>
      <c r="E423">
        <v>1235</v>
      </c>
      <c r="F423">
        <v>-2</v>
      </c>
      <c r="G423">
        <v>-1</v>
      </c>
      <c r="H423">
        <v>8.92</v>
      </c>
      <c r="I423">
        <v>0.5</v>
      </c>
      <c r="J423">
        <v>1.79</v>
      </c>
      <c r="K423" s="245">
        <v>-48.37</v>
      </c>
      <c r="L423" s="245">
        <v>14.43</v>
      </c>
      <c r="M423" s="245">
        <v>43.75</v>
      </c>
    </row>
    <row r="424" spans="1:13">
      <c r="A424">
        <v>2488</v>
      </c>
      <c r="B424" t="s">
        <v>5150</v>
      </c>
      <c r="C424">
        <v>7.99</v>
      </c>
      <c r="D424">
        <v>-22</v>
      </c>
      <c r="E424">
        <v>-10</v>
      </c>
      <c r="F424">
        <v>29</v>
      </c>
      <c r="G424">
        <v>2</v>
      </c>
      <c r="H424">
        <v>6.34</v>
      </c>
      <c r="I424">
        <v>1.2</v>
      </c>
      <c r="J424">
        <v>1.79</v>
      </c>
      <c r="K424" s="245">
        <v>-18.79</v>
      </c>
      <c r="L424" s="245">
        <v>14.43</v>
      </c>
      <c r="M424" s="245">
        <v>1.31</v>
      </c>
    </row>
    <row r="425" spans="1:13">
      <c r="A425">
        <v>2489</v>
      </c>
      <c r="B425" t="s">
        <v>5151</v>
      </c>
      <c r="C425">
        <v>76</v>
      </c>
      <c r="D425">
        <v>781</v>
      </c>
      <c r="E425">
        <v>40</v>
      </c>
      <c r="F425">
        <v>-37</v>
      </c>
      <c r="G425">
        <v>-29</v>
      </c>
      <c r="H425">
        <v>-1.48</v>
      </c>
      <c r="I425">
        <v>1.25</v>
      </c>
      <c r="J425">
        <v>6.3</v>
      </c>
      <c r="K425" s="245">
        <v>-38.86</v>
      </c>
      <c r="L425" s="245">
        <v>20.329999999999998</v>
      </c>
      <c r="M425" s="245">
        <v>19.02</v>
      </c>
    </row>
    <row r="426" spans="1:13">
      <c r="A426">
        <v>2491</v>
      </c>
      <c r="B426" t="s">
        <v>5152</v>
      </c>
      <c r="C426">
        <v>8.1999999999999993</v>
      </c>
      <c r="D426">
        <v>-41</v>
      </c>
      <c r="E426">
        <v>-14</v>
      </c>
      <c r="F426">
        <v>-121</v>
      </c>
      <c r="G426">
        <v>-586</v>
      </c>
      <c r="H426">
        <v>34.479999999999997</v>
      </c>
      <c r="I426">
        <v>0.1</v>
      </c>
      <c r="J426">
        <v>0.63</v>
      </c>
      <c r="K426" s="245">
        <v>-63.88</v>
      </c>
      <c r="L426" s="245">
        <v>7.91</v>
      </c>
      <c r="M426" s="245">
        <v>18.36</v>
      </c>
    </row>
    <row r="427" spans="1:13">
      <c r="A427">
        <v>2492</v>
      </c>
      <c r="B427" t="s">
        <v>5153</v>
      </c>
      <c r="C427">
        <v>48.58</v>
      </c>
      <c r="D427">
        <v>24</v>
      </c>
      <c r="E427">
        <v>6</v>
      </c>
      <c r="F427">
        <v>23</v>
      </c>
      <c r="G427">
        <v>-6</v>
      </c>
      <c r="H427">
        <v>19.95</v>
      </c>
      <c r="I427">
        <v>4.5</v>
      </c>
      <c r="J427">
        <v>16.350000000000001</v>
      </c>
      <c r="K427" s="245">
        <v>-52.31</v>
      </c>
      <c r="L427" s="245">
        <v>7.11</v>
      </c>
      <c r="M427" s="245">
        <v>6.81</v>
      </c>
    </row>
    <row r="428" spans="1:13">
      <c r="A428">
        <v>2493</v>
      </c>
      <c r="B428" t="s">
        <v>5154</v>
      </c>
      <c r="C428">
        <v>11.44</v>
      </c>
      <c r="D428">
        <v>11</v>
      </c>
      <c r="E428">
        <v>14</v>
      </c>
      <c r="F428">
        <v>7</v>
      </c>
      <c r="G428">
        <v>19</v>
      </c>
      <c r="H428">
        <v>15.43</v>
      </c>
      <c r="I428">
        <v>2.75</v>
      </c>
      <c r="J428">
        <v>3</v>
      </c>
      <c r="K428" s="245">
        <v>-5.39</v>
      </c>
      <c r="L428" s="245">
        <v>51.05</v>
      </c>
      <c r="M428" s="245">
        <v>4.6100000000000003</v>
      </c>
    </row>
    <row r="429" spans="1:13">
      <c r="A429">
        <v>2495</v>
      </c>
      <c r="B429" t="s">
        <v>5155</v>
      </c>
      <c r="C429">
        <v>27.35</v>
      </c>
      <c r="D429">
        <v>323</v>
      </c>
      <c r="E429">
        <v>186</v>
      </c>
      <c r="F429">
        <v>67</v>
      </c>
      <c r="G429">
        <v>7</v>
      </c>
      <c r="H429">
        <v>2.19</v>
      </c>
      <c r="I429">
        <v>0.4</v>
      </c>
      <c r="J429">
        <v>0.53</v>
      </c>
      <c r="K429" s="245">
        <v>-33.71</v>
      </c>
      <c r="L429" s="245">
        <v>24.39</v>
      </c>
      <c r="M429" s="245">
        <v>17.46</v>
      </c>
    </row>
    <row r="430" spans="1:13">
      <c r="A430">
        <v>2496</v>
      </c>
      <c r="B430" t="s">
        <v>5156</v>
      </c>
      <c r="C430">
        <v>1.91</v>
      </c>
      <c r="D430">
        <v>-10</v>
      </c>
      <c r="E430">
        <v>7</v>
      </c>
      <c r="F430">
        <v>-1</v>
      </c>
      <c r="G430">
        <v>0</v>
      </c>
      <c r="H430">
        <v>11.66</v>
      </c>
      <c r="I430">
        <v>3</v>
      </c>
      <c r="J430">
        <v>3.02</v>
      </c>
      <c r="K430" s="245">
        <v>-20.29</v>
      </c>
      <c r="L430" s="245">
        <v>11.4</v>
      </c>
      <c r="M430" s="245">
        <v>0.86</v>
      </c>
    </row>
    <row r="431" spans="1:13">
      <c r="A431">
        <v>2497</v>
      </c>
      <c r="B431" t="s">
        <v>5157</v>
      </c>
      <c r="C431">
        <v>11.87</v>
      </c>
      <c r="D431">
        <v>217</v>
      </c>
      <c r="E431">
        <v>294</v>
      </c>
      <c r="F431">
        <v>-29</v>
      </c>
      <c r="G431">
        <v>3</v>
      </c>
      <c r="H431">
        <v>6.92</v>
      </c>
      <c r="I431">
        <v>0</v>
      </c>
      <c r="J431">
        <v>0.81</v>
      </c>
      <c r="K431" s="245">
        <v>-39.229999999999997</v>
      </c>
      <c r="L431" s="245">
        <v>14.04</v>
      </c>
      <c r="M431" s="245">
        <v>42.57</v>
      </c>
    </row>
    <row r="432" spans="1:13">
      <c r="A432">
        <v>2498</v>
      </c>
      <c r="B432" t="s">
        <v>5158</v>
      </c>
      <c r="C432">
        <v>82.49</v>
      </c>
      <c r="D432">
        <v>48</v>
      </c>
      <c r="E432">
        <v>35</v>
      </c>
      <c r="F432">
        <v>-50</v>
      </c>
      <c r="G432">
        <v>-44</v>
      </c>
      <c r="H432">
        <v>-78.36</v>
      </c>
      <c r="I432">
        <v>0</v>
      </c>
      <c r="J432">
        <v>-3.75</v>
      </c>
      <c r="K432" s="245">
        <v>-53.08</v>
      </c>
      <c r="L432" s="245">
        <v>7.5</v>
      </c>
      <c r="M432" s="245">
        <v>30.76</v>
      </c>
    </row>
    <row r="433" spans="1:13">
      <c r="A433">
        <v>2501</v>
      </c>
      <c r="B433" t="s">
        <v>5159</v>
      </c>
      <c r="C433">
        <v>115</v>
      </c>
      <c r="D433">
        <v>-44</v>
      </c>
      <c r="E433">
        <v>-43</v>
      </c>
      <c r="F433">
        <v>-8</v>
      </c>
      <c r="G433">
        <v>-50</v>
      </c>
      <c r="H433">
        <v>7.02</v>
      </c>
      <c r="I433">
        <v>0.6</v>
      </c>
      <c r="J433">
        <v>0.73</v>
      </c>
      <c r="K433" s="245">
        <v>-14.45</v>
      </c>
      <c r="L433" s="245">
        <v>16.329999999999998</v>
      </c>
      <c r="M433" s="245">
        <v>0.76</v>
      </c>
    </row>
    <row r="434" spans="1:13">
      <c r="A434">
        <v>2504</v>
      </c>
      <c r="B434" t="s">
        <v>5160</v>
      </c>
      <c r="C434">
        <v>118</v>
      </c>
      <c r="D434">
        <v>14</v>
      </c>
      <c r="E434">
        <v>39</v>
      </c>
      <c r="F434">
        <v>-3</v>
      </c>
      <c r="G434">
        <v>-7</v>
      </c>
      <c r="H434">
        <v>14.88</v>
      </c>
      <c r="I434">
        <v>1.8</v>
      </c>
      <c r="J434">
        <v>2.42</v>
      </c>
      <c r="K434" s="245">
        <v>-17.559999999999999</v>
      </c>
      <c r="L434" s="245">
        <v>42.74</v>
      </c>
      <c r="M434" s="245">
        <v>3.4</v>
      </c>
    </row>
    <row r="435" spans="1:13">
      <c r="A435">
        <v>2505</v>
      </c>
      <c r="B435" t="s">
        <v>5161</v>
      </c>
      <c r="C435">
        <v>38</v>
      </c>
      <c r="D435">
        <v>-80</v>
      </c>
      <c r="E435">
        <v>-81</v>
      </c>
      <c r="F435">
        <v>-84</v>
      </c>
      <c r="G435">
        <v>-82</v>
      </c>
      <c r="H435">
        <v>18.350000000000001</v>
      </c>
      <c r="I435">
        <v>0</v>
      </c>
      <c r="J435">
        <v>2.58</v>
      </c>
      <c r="K435" s="245">
        <v>-37.89</v>
      </c>
      <c r="L435" s="245">
        <v>8.6199999999999992</v>
      </c>
      <c r="M435" s="245">
        <v>1.53</v>
      </c>
    </row>
    <row r="436" spans="1:13">
      <c r="A436">
        <v>2506</v>
      </c>
      <c r="B436" t="s">
        <v>5162</v>
      </c>
      <c r="C436">
        <v>38.700000000000003</v>
      </c>
      <c r="D436">
        <v>213</v>
      </c>
      <c r="E436">
        <v>563</v>
      </c>
      <c r="F436">
        <v>63</v>
      </c>
      <c r="G436">
        <v>-26</v>
      </c>
      <c r="H436">
        <v>6.54</v>
      </c>
      <c r="I436">
        <v>0.1</v>
      </c>
      <c r="J436">
        <v>0.13</v>
      </c>
      <c r="K436" s="245">
        <v>-12.48</v>
      </c>
      <c r="L436" s="245">
        <v>45.52</v>
      </c>
      <c r="M436" s="245">
        <v>2.69</v>
      </c>
    </row>
    <row r="437" spans="1:13">
      <c r="A437">
        <v>2509</v>
      </c>
      <c r="B437" t="s">
        <v>5163</v>
      </c>
      <c r="C437">
        <v>22.45</v>
      </c>
      <c r="D437">
        <v>-81</v>
      </c>
      <c r="E437">
        <v>-74</v>
      </c>
      <c r="F437">
        <v>0</v>
      </c>
      <c r="G437">
        <v>-83</v>
      </c>
      <c r="H437">
        <v>10.8</v>
      </c>
      <c r="I437">
        <v>0</v>
      </c>
      <c r="J437">
        <v>0.2</v>
      </c>
      <c r="K437" s="245">
        <v>-29.61</v>
      </c>
      <c r="L437" s="245">
        <v>6.32</v>
      </c>
      <c r="M437" s="245">
        <v>6.37</v>
      </c>
    </row>
    <row r="438" spans="1:13">
      <c r="A438">
        <v>2511</v>
      </c>
      <c r="B438" t="s">
        <v>5164</v>
      </c>
      <c r="C438">
        <v>162</v>
      </c>
      <c r="D438">
        <v>100</v>
      </c>
      <c r="E438">
        <v>485</v>
      </c>
      <c r="F438">
        <v>-17</v>
      </c>
      <c r="G438">
        <v>29</v>
      </c>
      <c r="H438">
        <v>8.0399999999999991</v>
      </c>
      <c r="I438">
        <v>0.5</v>
      </c>
      <c r="J438">
        <v>0.95</v>
      </c>
      <c r="K438" s="245">
        <v>-17.809999999999999</v>
      </c>
      <c r="L438" s="245">
        <v>10.47</v>
      </c>
      <c r="M438" s="245">
        <v>1.48</v>
      </c>
    </row>
    <row r="439" spans="1:13">
      <c r="A439">
        <v>2514</v>
      </c>
      <c r="B439" t="s">
        <v>5165</v>
      </c>
      <c r="C439">
        <v>39.47</v>
      </c>
      <c r="D439">
        <v>-19</v>
      </c>
      <c r="E439">
        <v>-3</v>
      </c>
      <c r="F439">
        <v>4</v>
      </c>
      <c r="G439">
        <v>-23</v>
      </c>
      <c r="H439">
        <v>2.85</v>
      </c>
      <c r="I439">
        <v>0</v>
      </c>
      <c r="J439">
        <v>2.4500000000000002</v>
      </c>
      <c r="K439" s="245">
        <v>-12.6</v>
      </c>
      <c r="L439" s="245">
        <v>28.76</v>
      </c>
      <c r="M439" s="245">
        <v>2.77</v>
      </c>
    </row>
    <row r="440" spans="1:13">
      <c r="A440">
        <v>2515</v>
      </c>
      <c r="B440" t="s">
        <v>5166</v>
      </c>
      <c r="C440">
        <v>153</v>
      </c>
      <c r="D440">
        <v>344</v>
      </c>
      <c r="E440">
        <v>-195</v>
      </c>
      <c r="F440">
        <v>-12</v>
      </c>
      <c r="G440">
        <v>-29</v>
      </c>
      <c r="H440">
        <v>-2.09</v>
      </c>
      <c r="I440">
        <v>0.53</v>
      </c>
      <c r="J440">
        <v>1.75</v>
      </c>
      <c r="K440" s="245">
        <v>-14.81</v>
      </c>
      <c r="L440" s="245">
        <v>39.58</v>
      </c>
      <c r="M440" s="245">
        <v>12.47</v>
      </c>
    </row>
    <row r="441" spans="1:13">
      <c r="A441">
        <v>2516</v>
      </c>
      <c r="B441" t="s">
        <v>6475</v>
      </c>
      <c r="C441">
        <v>22.62</v>
      </c>
      <c r="D441">
        <v>114</v>
      </c>
      <c r="E441">
        <v>106</v>
      </c>
      <c r="F441">
        <v>-3</v>
      </c>
      <c r="G441">
        <v>2</v>
      </c>
      <c r="H441">
        <v>0.72</v>
      </c>
      <c r="I441">
        <v>0</v>
      </c>
      <c r="J441">
        <v>0.47</v>
      </c>
      <c r="K441" s="245">
        <v>-23.28</v>
      </c>
      <c r="L441" s="245">
        <v>11.85</v>
      </c>
      <c r="M441" s="245">
        <v>4.26</v>
      </c>
    </row>
    <row r="442" spans="1:13">
      <c r="A442">
        <v>2520</v>
      </c>
      <c r="B442" t="s">
        <v>5167</v>
      </c>
      <c r="C442">
        <v>55.41</v>
      </c>
      <c r="D442">
        <v>4</v>
      </c>
      <c r="E442">
        <v>0</v>
      </c>
      <c r="F442">
        <v>31</v>
      </c>
      <c r="G442">
        <v>-12</v>
      </c>
      <c r="H442">
        <v>20.5</v>
      </c>
      <c r="I442">
        <v>2.5</v>
      </c>
      <c r="J442">
        <v>6.47</v>
      </c>
      <c r="K442" s="245">
        <v>-23.56</v>
      </c>
      <c r="L442" s="245">
        <v>12.25</v>
      </c>
      <c r="M442" s="245">
        <v>1.9</v>
      </c>
    </row>
    <row r="443" spans="1:13">
      <c r="A443">
        <v>2524</v>
      </c>
      <c r="B443" t="s">
        <v>5168</v>
      </c>
      <c r="C443">
        <v>37.17</v>
      </c>
      <c r="D443">
        <v>0</v>
      </c>
      <c r="E443">
        <v>-4</v>
      </c>
      <c r="F443">
        <v>-30</v>
      </c>
      <c r="G443">
        <v>-55</v>
      </c>
      <c r="H443">
        <v>31.15</v>
      </c>
      <c r="I443">
        <v>0</v>
      </c>
      <c r="J443">
        <v>4.54</v>
      </c>
      <c r="K443" s="245">
        <v>-36.51</v>
      </c>
      <c r="L443" s="245">
        <v>22.59</v>
      </c>
      <c r="M443" s="245">
        <v>1.33</v>
      </c>
    </row>
    <row r="444" spans="1:13">
      <c r="A444">
        <v>2527</v>
      </c>
      <c r="B444" t="s">
        <v>5169</v>
      </c>
      <c r="C444">
        <v>27.03</v>
      </c>
      <c r="D444">
        <v>329</v>
      </c>
      <c r="E444">
        <v>236</v>
      </c>
      <c r="F444">
        <v>49</v>
      </c>
      <c r="G444">
        <v>-50</v>
      </c>
      <c r="H444">
        <v>25.06</v>
      </c>
      <c r="I444">
        <v>3</v>
      </c>
      <c r="J444">
        <v>6.19</v>
      </c>
      <c r="K444" s="245">
        <v>-22.27</v>
      </c>
      <c r="L444" s="245">
        <v>10.62</v>
      </c>
      <c r="M444" s="245">
        <v>5.65</v>
      </c>
    </row>
    <row r="445" spans="1:13">
      <c r="A445">
        <v>2528</v>
      </c>
      <c r="B445" t="s">
        <v>5170</v>
      </c>
      <c r="C445">
        <v>37.99</v>
      </c>
      <c r="D445">
        <v>332</v>
      </c>
      <c r="E445">
        <v>374</v>
      </c>
      <c r="F445">
        <v>-43</v>
      </c>
      <c r="G445">
        <v>130</v>
      </c>
      <c r="H445">
        <v>17.77</v>
      </c>
      <c r="I445">
        <v>0.47</v>
      </c>
      <c r="J445">
        <v>1.49</v>
      </c>
      <c r="K445" s="245">
        <v>-15.43</v>
      </c>
      <c r="L445" s="245">
        <v>15.72</v>
      </c>
      <c r="M445" s="245">
        <v>3.52</v>
      </c>
    </row>
    <row r="446" spans="1:13">
      <c r="A446">
        <v>2530</v>
      </c>
      <c r="B446" t="s">
        <v>5171</v>
      </c>
      <c r="C446">
        <v>83.99</v>
      </c>
      <c r="D446">
        <v>-26</v>
      </c>
      <c r="E446">
        <v>-36</v>
      </c>
      <c r="F446">
        <v>-38</v>
      </c>
      <c r="G446">
        <v>18740</v>
      </c>
      <c r="H446">
        <v>-997.9</v>
      </c>
      <c r="I446">
        <v>0</v>
      </c>
      <c r="J446">
        <v>-0.2</v>
      </c>
      <c r="K446" s="245">
        <v>-9.52</v>
      </c>
      <c r="L446" s="245">
        <v>17.82</v>
      </c>
      <c r="M446" s="245">
        <v>0.93</v>
      </c>
    </row>
    <row r="447" spans="1:13">
      <c r="A447">
        <v>2534</v>
      </c>
      <c r="B447" t="s">
        <v>5172</v>
      </c>
      <c r="C447">
        <v>47.42</v>
      </c>
      <c r="D447">
        <v>38</v>
      </c>
      <c r="E447">
        <v>41</v>
      </c>
      <c r="F447">
        <v>84</v>
      </c>
      <c r="G447">
        <v>57</v>
      </c>
      <c r="H447">
        <v>26.69</v>
      </c>
      <c r="I447">
        <v>1.2</v>
      </c>
      <c r="J447">
        <v>1.78</v>
      </c>
      <c r="K447" s="245">
        <v>-3.52</v>
      </c>
      <c r="L447" s="245">
        <v>69.06</v>
      </c>
      <c r="M447" s="245">
        <v>1.65</v>
      </c>
    </row>
    <row r="448" spans="1:13">
      <c r="A448">
        <v>2535</v>
      </c>
      <c r="B448" t="s">
        <v>5173</v>
      </c>
      <c r="C448">
        <v>33.840000000000003</v>
      </c>
      <c r="D448">
        <v>7</v>
      </c>
      <c r="E448">
        <v>14</v>
      </c>
      <c r="F448">
        <v>-18</v>
      </c>
      <c r="G448">
        <v>-2</v>
      </c>
      <c r="H448">
        <v>9.89</v>
      </c>
      <c r="I448">
        <v>2.5</v>
      </c>
      <c r="J448">
        <v>3.78</v>
      </c>
      <c r="K448" s="245">
        <v>-14.13</v>
      </c>
      <c r="L448" s="245">
        <v>17.559999999999999</v>
      </c>
      <c r="M448" s="245">
        <v>2.5299999999999998</v>
      </c>
    </row>
    <row r="449" spans="1:13">
      <c r="A449">
        <v>2536</v>
      </c>
      <c r="B449" t="s">
        <v>5174</v>
      </c>
      <c r="C449">
        <v>33.28</v>
      </c>
      <c r="D449">
        <v>-105</v>
      </c>
      <c r="E449">
        <v>-92</v>
      </c>
      <c r="F449">
        <v>0</v>
      </c>
      <c r="G449">
        <v>-43</v>
      </c>
      <c r="H449">
        <v>20.18</v>
      </c>
      <c r="I449">
        <v>0</v>
      </c>
      <c r="J449">
        <v>-0.1</v>
      </c>
      <c r="K449" s="245">
        <v>-11.91</v>
      </c>
      <c r="L449" s="245">
        <v>11.26</v>
      </c>
      <c r="M449" s="245">
        <v>1.2</v>
      </c>
    </row>
    <row r="450" spans="1:13">
      <c r="A450">
        <v>2537</v>
      </c>
      <c r="B450" t="s">
        <v>5175</v>
      </c>
      <c r="C450">
        <v>30.05</v>
      </c>
      <c r="D450">
        <v>135</v>
      </c>
      <c r="E450">
        <v>146</v>
      </c>
      <c r="F450">
        <v>-79</v>
      </c>
      <c r="G450">
        <v>131564</v>
      </c>
      <c r="H450">
        <v>22.32</v>
      </c>
      <c r="I450">
        <v>0.9</v>
      </c>
      <c r="J450">
        <v>1.38</v>
      </c>
      <c r="K450" s="245">
        <v>-12.07</v>
      </c>
      <c r="L450" s="245">
        <v>46.7</v>
      </c>
      <c r="M450" s="245">
        <v>4.57</v>
      </c>
    </row>
    <row r="451" spans="1:13">
      <c r="A451">
        <v>2538</v>
      </c>
      <c r="B451" t="s">
        <v>5176</v>
      </c>
      <c r="C451">
        <v>43.84</v>
      </c>
      <c r="D451">
        <v>2</v>
      </c>
      <c r="E451">
        <v>-15</v>
      </c>
      <c r="F451">
        <v>40</v>
      </c>
      <c r="G451">
        <v>98</v>
      </c>
      <c r="H451">
        <v>-11.7</v>
      </c>
      <c r="I451">
        <v>0.5</v>
      </c>
      <c r="J451">
        <v>-0.31</v>
      </c>
      <c r="K451" s="245">
        <v>-23.42</v>
      </c>
      <c r="L451" s="245">
        <v>25.73</v>
      </c>
      <c r="M451" s="245">
        <v>7.59</v>
      </c>
    </row>
    <row r="452" spans="1:13">
      <c r="A452">
        <v>2539</v>
      </c>
      <c r="B452" t="s">
        <v>5177</v>
      </c>
      <c r="C452">
        <v>64.47</v>
      </c>
      <c r="D452">
        <v>-8</v>
      </c>
      <c r="E452">
        <v>-6</v>
      </c>
      <c r="F452">
        <v>-100</v>
      </c>
      <c r="G452">
        <v>-100</v>
      </c>
      <c r="H452">
        <v>23.03</v>
      </c>
      <c r="I452">
        <v>1.6</v>
      </c>
      <c r="J452">
        <v>1.18</v>
      </c>
      <c r="K452" s="245">
        <v>-9.26</v>
      </c>
      <c r="L452" s="245">
        <v>59.41</v>
      </c>
      <c r="M452" s="245">
        <v>0.27</v>
      </c>
    </row>
    <row r="453" spans="1:13">
      <c r="A453">
        <v>2540</v>
      </c>
      <c r="B453" t="s">
        <v>5178</v>
      </c>
      <c r="C453">
        <v>16.12</v>
      </c>
      <c r="D453">
        <v>24</v>
      </c>
      <c r="E453">
        <v>26</v>
      </c>
      <c r="F453">
        <v>11</v>
      </c>
      <c r="G453">
        <v>11</v>
      </c>
      <c r="H453">
        <v>29.96</v>
      </c>
      <c r="I453">
        <v>10</v>
      </c>
      <c r="J453">
        <v>7.02</v>
      </c>
      <c r="K453" s="245">
        <v>-20.21</v>
      </c>
      <c r="L453" s="245">
        <v>56.83</v>
      </c>
      <c r="M453" s="245">
        <v>1.1599999999999999</v>
      </c>
    </row>
    <row r="454" spans="1:13">
      <c r="A454">
        <v>2542</v>
      </c>
      <c r="B454" t="s">
        <v>6184</v>
      </c>
      <c r="C454">
        <v>155</v>
      </c>
      <c r="D454">
        <v>239</v>
      </c>
      <c r="E454">
        <v>142</v>
      </c>
      <c r="F454">
        <v>90</v>
      </c>
      <c r="G454">
        <v>-59</v>
      </c>
      <c r="H454">
        <v>22.62</v>
      </c>
      <c r="I454">
        <v>5.2</v>
      </c>
      <c r="J454">
        <v>6.45</v>
      </c>
      <c r="K454" s="245">
        <v>-8.64</v>
      </c>
      <c r="L454" s="245">
        <v>32.229999999999997</v>
      </c>
      <c r="M454" s="245">
        <v>4.71</v>
      </c>
    </row>
    <row r="455" spans="1:13">
      <c r="A455">
        <v>2543</v>
      </c>
      <c r="B455" t="s">
        <v>6476</v>
      </c>
      <c r="C455">
        <v>23.74</v>
      </c>
      <c r="D455">
        <v>678</v>
      </c>
      <c r="E455">
        <v>-228</v>
      </c>
      <c r="F455">
        <v>80</v>
      </c>
      <c r="G455">
        <v>29</v>
      </c>
      <c r="H455">
        <v>-1.29</v>
      </c>
      <c r="I455">
        <v>0</v>
      </c>
      <c r="J455">
        <v>1.56</v>
      </c>
      <c r="K455" s="245">
        <v>-31.85</v>
      </c>
      <c r="L455" s="245">
        <v>24.01</v>
      </c>
      <c r="M455" s="245">
        <v>2.14</v>
      </c>
    </row>
    <row r="456" spans="1:13">
      <c r="A456">
        <v>2545</v>
      </c>
      <c r="B456" t="s">
        <v>5179</v>
      </c>
      <c r="C456">
        <v>32.770000000000003</v>
      </c>
      <c r="D456">
        <v>40</v>
      </c>
      <c r="E456">
        <v>37</v>
      </c>
      <c r="F456">
        <v>-16</v>
      </c>
      <c r="G456">
        <v>-36</v>
      </c>
      <c r="H456">
        <v>36.29</v>
      </c>
      <c r="I456">
        <v>6.3</v>
      </c>
      <c r="J456">
        <v>7.46</v>
      </c>
      <c r="K456" s="245">
        <v>-11.06</v>
      </c>
      <c r="L456" s="245">
        <v>76.25</v>
      </c>
      <c r="M456" s="245">
        <v>3.72</v>
      </c>
    </row>
    <row r="457" spans="1:13">
      <c r="A457">
        <v>2546</v>
      </c>
      <c r="B457" t="s">
        <v>5180</v>
      </c>
      <c r="C457">
        <v>10.6</v>
      </c>
      <c r="D457">
        <v>18</v>
      </c>
      <c r="E457">
        <v>13</v>
      </c>
      <c r="F457">
        <v>46</v>
      </c>
      <c r="G457">
        <v>-5</v>
      </c>
      <c r="H457">
        <v>8.1300000000000008</v>
      </c>
      <c r="I457">
        <v>3.6</v>
      </c>
      <c r="J457">
        <v>6.98</v>
      </c>
      <c r="K457" s="245">
        <v>-12.17</v>
      </c>
      <c r="L457" s="245">
        <v>45.12</v>
      </c>
      <c r="M457" s="245">
        <v>0.73</v>
      </c>
    </row>
    <row r="458" spans="1:13">
      <c r="A458">
        <v>2547</v>
      </c>
      <c r="B458" t="s">
        <v>5181</v>
      </c>
      <c r="C458">
        <v>88</v>
      </c>
      <c r="D458">
        <v>-90</v>
      </c>
      <c r="E458">
        <v>-52</v>
      </c>
      <c r="F458">
        <v>-9</v>
      </c>
      <c r="G458">
        <v>-2</v>
      </c>
      <c r="H458">
        <v>3.44</v>
      </c>
      <c r="I458">
        <v>0.2</v>
      </c>
      <c r="J458">
        <v>7.0000000000000007E-2</v>
      </c>
      <c r="K458" s="245">
        <v>-17.45</v>
      </c>
      <c r="L458" s="245">
        <v>10.47</v>
      </c>
      <c r="M458" s="245">
        <v>2.17</v>
      </c>
    </row>
    <row r="459" spans="1:13">
      <c r="A459">
        <v>2548</v>
      </c>
      <c r="B459" t="s">
        <v>5182</v>
      </c>
      <c r="C459">
        <v>27.68</v>
      </c>
      <c r="D459">
        <v>5</v>
      </c>
      <c r="E459">
        <v>13</v>
      </c>
      <c r="F459">
        <v>102</v>
      </c>
      <c r="G459">
        <v>84</v>
      </c>
      <c r="H459">
        <v>26.08</v>
      </c>
      <c r="I459">
        <v>7.5</v>
      </c>
      <c r="J459">
        <v>10.56</v>
      </c>
      <c r="K459" s="245">
        <v>-3.07</v>
      </c>
      <c r="L459" s="245">
        <v>50.72</v>
      </c>
      <c r="M459" s="245">
        <v>1.68</v>
      </c>
    </row>
    <row r="460" spans="1:13">
      <c r="A460">
        <v>2596</v>
      </c>
      <c r="B460" t="s">
        <v>5183</v>
      </c>
      <c r="C460">
        <v>10</v>
      </c>
      <c r="D460">
        <v>60</v>
      </c>
      <c r="E460">
        <v>44</v>
      </c>
      <c r="F460">
        <v>27626</v>
      </c>
      <c r="G460">
        <v>-65</v>
      </c>
      <c r="H460">
        <v>23.62</v>
      </c>
      <c r="I460">
        <v>1.5</v>
      </c>
      <c r="J460">
        <v>3.05</v>
      </c>
      <c r="K460" s="245">
        <v>-21.9</v>
      </c>
      <c r="L460" s="245">
        <v>18.27</v>
      </c>
      <c r="M460" s="245">
        <v>0.91</v>
      </c>
    </row>
    <row r="461" spans="1:13">
      <c r="A461">
        <v>2597</v>
      </c>
      <c r="B461" t="s">
        <v>5184</v>
      </c>
      <c r="C461">
        <v>18.489999999999998</v>
      </c>
      <c r="D461">
        <v>63</v>
      </c>
      <c r="E461">
        <v>100</v>
      </c>
      <c r="F461">
        <v>53</v>
      </c>
      <c r="G461">
        <v>29</v>
      </c>
      <c r="H461">
        <v>10.84</v>
      </c>
      <c r="I461">
        <v>9</v>
      </c>
      <c r="J461">
        <v>9.9600000000000009</v>
      </c>
      <c r="K461" s="245">
        <v>-34.229999999999997</v>
      </c>
      <c r="L461" s="245">
        <v>14.85</v>
      </c>
      <c r="M461" s="245">
        <v>1.18</v>
      </c>
    </row>
    <row r="462" spans="1:13">
      <c r="A462">
        <v>2601</v>
      </c>
      <c r="B462" t="s">
        <v>5185</v>
      </c>
      <c r="C462">
        <v>83.47</v>
      </c>
      <c r="D462">
        <v>131</v>
      </c>
      <c r="E462">
        <v>177</v>
      </c>
      <c r="F462">
        <v>7</v>
      </c>
      <c r="G462">
        <v>-10</v>
      </c>
      <c r="H462">
        <v>12.67</v>
      </c>
      <c r="I462">
        <v>0</v>
      </c>
      <c r="J462">
        <v>0.2</v>
      </c>
      <c r="K462" s="245">
        <v>-59.25</v>
      </c>
      <c r="L462" s="245">
        <v>25.85</v>
      </c>
      <c r="M462" s="245">
        <v>43.28</v>
      </c>
    </row>
    <row r="463" spans="1:13">
      <c r="A463">
        <v>2603</v>
      </c>
      <c r="B463" t="s">
        <v>5186</v>
      </c>
      <c r="C463">
        <v>529</v>
      </c>
      <c r="D463">
        <v>814</v>
      </c>
      <c r="E463">
        <v>721</v>
      </c>
      <c r="F463">
        <v>-4</v>
      </c>
      <c r="G463">
        <v>102</v>
      </c>
      <c r="H463">
        <v>58.21</v>
      </c>
      <c r="I463">
        <v>18</v>
      </c>
      <c r="J463">
        <v>45.57</v>
      </c>
      <c r="K463" s="245">
        <v>-36.909999999999997</v>
      </c>
      <c r="L463" s="245">
        <v>50.8</v>
      </c>
      <c r="M463" s="245">
        <v>19.21</v>
      </c>
    </row>
    <row r="464" spans="1:13">
      <c r="A464">
        <v>2605</v>
      </c>
      <c r="B464" t="s">
        <v>5187</v>
      </c>
      <c r="C464">
        <v>58.53</v>
      </c>
      <c r="D464">
        <v>236</v>
      </c>
      <c r="E464">
        <v>37</v>
      </c>
      <c r="F464">
        <v>37</v>
      </c>
      <c r="G464">
        <v>10</v>
      </c>
      <c r="H464">
        <v>24.77</v>
      </c>
      <c r="I464">
        <v>1</v>
      </c>
      <c r="J464">
        <v>1.2</v>
      </c>
      <c r="K464" s="245">
        <v>-50.34</v>
      </c>
      <c r="L464" s="245">
        <v>54.91</v>
      </c>
      <c r="M464" s="245">
        <v>24.5</v>
      </c>
    </row>
    <row r="465" spans="1:13">
      <c r="A465">
        <v>2606</v>
      </c>
      <c r="B465" t="s">
        <v>5188</v>
      </c>
      <c r="C465">
        <v>84.5</v>
      </c>
      <c r="D465">
        <v>456</v>
      </c>
      <c r="E465">
        <v>649</v>
      </c>
      <c r="F465">
        <v>51</v>
      </c>
      <c r="G465">
        <v>24</v>
      </c>
      <c r="H465">
        <v>27.18</v>
      </c>
      <c r="I465">
        <v>3</v>
      </c>
      <c r="J465">
        <v>5.79</v>
      </c>
      <c r="K465" s="245">
        <v>-34.54</v>
      </c>
      <c r="L465" s="245">
        <v>56.54</v>
      </c>
      <c r="M465" s="245">
        <v>28.42</v>
      </c>
    </row>
    <row r="466" spans="1:13">
      <c r="A466">
        <v>2607</v>
      </c>
      <c r="B466" t="s">
        <v>5189</v>
      </c>
      <c r="C466">
        <v>106</v>
      </c>
      <c r="D466">
        <v>58</v>
      </c>
      <c r="E466">
        <v>28</v>
      </c>
      <c r="F466">
        <v>13</v>
      </c>
      <c r="G466">
        <v>142</v>
      </c>
      <c r="H466">
        <v>10.8</v>
      </c>
      <c r="I466">
        <v>0.4</v>
      </c>
      <c r="J466">
        <v>1</v>
      </c>
      <c r="K466" s="245">
        <v>-30.67</v>
      </c>
      <c r="L466" s="245">
        <v>39.89</v>
      </c>
      <c r="M466" s="245">
        <v>25.17</v>
      </c>
    </row>
    <row r="467" spans="1:13">
      <c r="A467">
        <v>2608</v>
      </c>
      <c r="B467" t="s">
        <v>5190</v>
      </c>
      <c r="C467">
        <v>46.7</v>
      </c>
      <c r="D467">
        <v>-5</v>
      </c>
      <c r="E467">
        <v>-7</v>
      </c>
      <c r="F467">
        <v>41</v>
      </c>
      <c r="G467">
        <v>5</v>
      </c>
      <c r="H467">
        <v>13.9</v>
      </c>
      <c r="I467">
        <v>1.65</v>
      </c>
      <c r="J467">
        <v>2.99</v>
      </c>
      <c r="K467" s="245">
        <v>-46.7</v>
      </c>
      <c r="L467" s="245">
        <v>31.18</v>
      </c>
      <c r="M467" s="245">
        <v>16.7</v>
      </c>
    </row>
    <row r="468" spans="1:13">
      <c r="A468">
        <v>2609</v>
      </c>
      <c r="B468" t="s">
        <v>5191</v>
      </c>
      <c r="C468">
        <v>349</v>
      </c>
      <c r="D468">
        <v>1258</v>
      </c>
      <c r="E468">
        <v>945</v>
      </c>
      <c r="F468">
        <v>-2</v>
      </c>
      <c r="G468">
        <v>69</v>
      </c>
      <c r="H468">
        <v>60.95</v>
      </c>
      <c r="I468">
        <v>20</v>
      </c>
      <c r="J468">
        <v>48.73</v>
      </c>
      <c r="K468" s="245">
        <v>-46.27</v>
      </c>
      <c r="L468" s="245">
        <v>56.48</v>
      </c>
      <c r="M468" s="245">
        <v>22.84</v>
      </c>
    </row>
    <row r="469" spans="1:13">
      <c r="A469">
        <v>2610</v>
      </c>
      <c r="B469" t="s">
        <v>5192</v>
      </c>
      <c r="C469">
        <v>599</v>
      </c>
      <c r="D469">
        <v>3300</v>
      </c>
      <c r="E469">
        <v>585</v>
      </c>
      <c r="F469">
        <v>15</v>
      </c>
      <c r="G469">
        <v>18</v>
      </c>
      <c r="H469">
        <v>10.78</v>
      </c>
      <c r="I469">
        <v>0.84</v>
      </c>
      <c r="J469">
        <v>1.67</v>
      </c>
      <c r="K469" s="245">
        <v>-12.68</v>
      </c>
      <c r="L469" s="245">
        <v>61.47</v>
      </c>
      <c r="M469" s="245">
        <v>21.39</v>
      </c>
    </row>
    <row r="470" spans="1:13">
      <c r="A470">
        <v>2611</v>
      </c>
      <c r="B470" t="s">
        <v>5193</v>
      </c>
      <c r="C470">
        <v>17.18</v>
      </c>
      <c r="D470">
        <v>617</v>
      </c>
      <c r="E470">
        <v>78</v>
      </c>
      <c r="F470">
        <v>5</v>
      </c>
      <c r="G470">
        <v>26</v>
      </c>
      <c r="H470">
        <v>-4.0199999999999996</v>
      </c>
      <c r="I470">
        <v>2</v>
      </c>
      <c r="J470">
        <v>1.69</v>
      </c>
      <c r="K470" s="245">
        <v>-48.91</v>
      </c>
      <c r="L470" s="245">
        <v>44.68</v>
      </c>
      <c r="M470" s="245">
        <v>40.76</v>
      </c>
    </row>
    <row r="471" spans="1:13">
      <c r="A471">
        <v>2612</v>
      </c>
      <c r="B471" t="s">
        <v>5194</v>
      </c>
      <c r="C471">
        <v>19.739999999999998</v>
      </c>
      <c r="D471">
        <v>221</v>
      </c>
      <c r="E471">
        <v>123</v>
      </c>
      <c r="F471">
        <v>22</v>
      </c>
      <c r="G471">
        <v>32</v>
      </c>
      <c r="H471">
        <v>9.9600000000000009</v>
      </c>
      <c r="I471">
        <v>2.68</v>
      </c>
      <c r="J471">
        <v>5.27</v>
      </c>
      <c r="K471" s="245">
        <v>-44.88</v>
      </c>
      <c r="L471" s="245">
        <v>31.41</v>
      </c>
      <c r="M471" s="245">
        <v>37.24</v>
      </c>
    </row>
    <row r="472" spans="1:13">
      <c r="A472">
        <v>2613</v>
      </c>
      <c r="B472" t="s">
        <v>5195</v>
      </c>
      <c r="C472">
        <v>14.84</v>
      </c>
      <c r="D472">
        <v>620</v>
      </c>
      <c r="E472">
        <v>97</v>
      </c>
      <c r="F472">
        <v>23</v>
      </c>
      <c r="G472">
        <v>9</v>
      </c>
      <c r="H472">
        <v>11.41</v>
      </c>
      <c r="I472">
        <v>1.65</v>
      </c>
      <c r="J472">
        <v>1.63</v>
      </c>
      <c r="K472" s="245">
        <v>-29.2</v>
      </c>
      <c r="L472" s="245">
        <v>54.26</v>
      </c>
      <c r="M472" s="245">
        <v>25.32</v>
      </c>
    </row>
    <row r="473" spans="1:13">
      <c r="A473">
        <v>2614</v>
      </c>
      <c r="B473" t="s">
        <v>5196</v>
      </c>
      <c r="C473">
        <v>52.89</v>
      </c>
      <c r="D473">
        <v>51</v>
      </c>
      <c r="E473">
        <v>1647</v>
      </c>
      <c r="F473">
        <v>34</v>
      </c>
      <c r="G473">
        <v>22</v>
      </c>
      <c r="H473">
        <v>2.85</v>
      </c>
      <c r="I473">
        <v>1</v>
      </c>
      <c r="J473">
        <v>1.37</v>
      </c>
      <c r="K473" s="245">
        <v>-63.53</v>
      </c>
      <c r="L473" s="245">
        <v>13.21</v>
      </c>
      <c r="M473" s="245">
        <v>44.93</v>
      </c>
    </row>
    <row r="474" spans="1:13">
      <c r="A474">
        <v>2615</v>
      </c>
      <c r="B474" t="s">
        <v>5197</v>
      </c>
      <c r="C474">
        <v>244</v>
      </c>
      <c r="D474">
        <v>810</v>
      </c>
      <c r="E474">
        <v>898</v>
      </c>
      <c r="F474">
        <v>2</v>
      </c>
      <c r="G474">
        <v>89</v>
      </c>
      <c r="H474">
        <v>56</v>
      </c>
      <c r="I474">
        <v>12</v>
      </c>
      <c r="J474">
        <v>42.35</v>
      </c>
      <c r="K474" s="245">
        <v>-58.07</v>
      </c>
      <c r="L474" s="245">
        <v>19.03</v>
      </c>
      <c r="M474" s="245">
        <v>12.27</v>
      </c>
    </row>
    <row r="475" spans="1:13">
      <c r="A475">
        <v>2616</v>
      </c>
      <c r="B475" t="s">
        <v>5198</v>
      </c>
      <c r="C475">
        <v>13.72</v>
      </c>
      <c r="D475">
        <v>11</v>
      </c>
      <c r="E475">
        <v>-2</v>
      </c>
      <c r="F475">
        <v>36</v>
      </c>
      <c r="G475">
        <v>16</v>
      </c>
      <c r="H475">
        <v>2</v>
      </c>
      <c r="I475">
        <v>2.5</v>
      </c>
      <c r="J475">
        <v>3.06</v>
      </c>
      <c r="K475" s="245">
        <v>-6.3</v>
      </c>
      <c r="L475" s="245">
        <v>34.42</v>
      </c>
      <c r="M475" s="245">
        <v>1.41</v>
      </c>
    </row>
    <row r="476" spans="1:13">
      <c r="A476">
        <v>2617</v>
      </c>
      <c r="B476" t="s">
        <v>5199</v>
      </c>
      <c r="C476">
        <v>41.72</v>
      </c>
      <c r="D476">
        <v>154</v>
      </c>
      <c r="E476">
        <v>141</v>
      </c>
      <c r="F476">
        <v>6</v>
      </c>
      <c r="G476">
        <v>19</v>
      </c>
      <c r="H476">
        <v>34.46</v>
      </c>
      <c r="I476">
        <v>2</v>
      </c>
      <c r="J476">
        <v>3.16</v>
      </c>
      <c r="K476" s="245">
        <v>-53.33</v>
      </c>
      <c r="L476" s="245">
        <v>57.1</v>
      </c>
      <c r="M476" s="245">
        <v>33.17</v>
      </c>
    </row>
    <row r="477" spans="1:13">
      <c r="A477">
        <v>2618</v>
      </c>
      <c r="B477" t="s">
        <v>5200</v>
      </c>
      <c r="C477">
        <v>528</v>
      </c>
      <c r="D477">
        <v>303</v>
      </c>
      <c r="E477">
        <v>1352</v>
      </c>
      <c r="F477">
        <v>23</v>
      </c>
      <c r="G477">
        <v>49</v>
      </c>
      <c r="H477">
        <v>9.9700000000000006</v>
      </c>
      <c r="I477">
        <v>0.6</v>
      </c>
      <c r="J477">
        <v>1.31</v>
      </c>
      <c r="K477" s="245">
        <v>-6.91</v>
      </c>
      <c r="L477" s="245">
        <v>77.67</v>
      </c>
      <c r="M477" s="245">
        <v>13.36</v>
      </c>
    </row>
    <row r="478" spans="1:13">
      <c r="A478">
        <v>2630</v>
      </c>
      <c r="B478" t="s">
        <v>6477</v>
      </c>
      <c r="C478">
        <v>15.05</v>
      </c>
      <c r="D478">
        <v>81</v>
      </c>
      <c r="E478">
        <v>117</v>
      </c>
      <c r="F478">
        <v>-23</v>
      </c>
      <c r="G478">
        <v>-11</v>
      </c>
      <c r="H478">
        <v>0.18</v>
      </c>
      <c r="I478">
        <v>1</v>
      </c>
      <c r="J478">
        <v>0.53</v>
      </c>
      <c r="K478" s="245">
        <v>-35.64</v>
      </c>
      <c r="L478" s="245">
        <v>29.81</v>
      </c>
      <c r="M478" s="245">
        <v>9.82</v>
      </c>
    </row>
    <row r="479" spans="1:13">
      <c r="A479">
        <v>2633</v>
      </c>
      <c r="B479" t="s">
        <v>5201</v>
      </c>
      <c r="C479">
        <v>562</v>
      </c>
      <c r="D479">
        <v>-38</v>
      </c>
      <c r="E479">
        <v>-71</v>
      </c>
      <c r="F479">
        <v>-14</v>
      </c>
      <c r="G479">
        <v>-27</v>
      </c>
      <c r="H479">
        <v>10.98</v>
      </c>
      <c r="I479">
        <v>0.76</v>
      </c>
      <c r="J479">
        <v>0.64</v>
      </c>
      <c r="K479" s="245">
        <v>-12.38</v>
      </c>
      <c r="L479" s="245">
        <v>11.22</v>
      </c>
      <c r="M479" s="245">
        <v>0.36</v>
      </c>
    </row>
    <row r="480" spans="1:13">
      <c r="A480">
        <v>2634</v>
      </c>
      <c r="B480" t="s">
        <v>5202</v>
      </c>
      <c r="C480">
        <v>94.18</v>
      </c>
      <c r="D480">
        <v>40</v>
      </c>
      <c r="E480">
        <v>173</v>
      </c>
      <c r="F480">
        <v>-9</v>
      </c>
      <c r="G480">
        <v>8</v>
      </c>
      <c r="H480">
        <v>2.0699999999999998</v>
      </c>
      <c r="I480">
        <v>0.35</v>
      </c>
      <c r="J480">
        <v>0.59</v>
      </c>
      <c r="K480" s="245">
        <v>-7.79</v>
      </c>
      <c r="L480" s="245">
        <v>62.85</v>
      </c>
      <c r="M480" s="245">
        <v>3.57</v>
      </c>
    </row>
    <row r="481" spans="1:13">
      <c r="A481">
        <v>2636</v>
      </c>
      <c r="B481" t="s">
        <v>5203</v>
      </c>
      <c r="C481">
        <v>14.33</v>
      </c>
      <c r="D481">
        <v>603</v>
      </c>
      <c r="E481">
        <v>521</v>
      </c>
      <c r="F481">
        <v>-18</v>
      </c>
      <c r="G481">
        <v>30</v>
      </c>
      <c r="H481">
        <v>12</v>
      </c>
      <c r="I481">
        <v>13</v>
      </c>
      <c r="J481">
        <v>30.03</v>
      </c>
      <c r="K481" s="245">
        <v>-62.62</v>
      </c>
      <c r="L481" s="245">
        <v>23.48</v>
      </c>
      <c r="M481" s="245">
        <v>50.16</v>
      </c>
    </row>
    <row r="482" spans="1:13">
      <c r="A482">
        <v>2637</v>
      </c>
      <c r="B482" t="s">
        <v>5204</v>
      </c>
      <c r="C482">
        <v>76.36</v>
      </c>
      <c r="D482">
        <v>7300</v>
      </c>
      <c r="E482">
        <v>451</v>
      </c>
      <c r="F482">
        <v>9</v>
      </c>
      <c r="G482">
        <v>73</v>
      </c>
      <c r="H482">
        <v>43.08</v>
      </c>
      <c r="I482">
        <v>5.5</v>
      </c>
      <c r="J482">
        <v>11.05</v>
      </c>
      <c r="K482" s="245">
        <v>-16.940000000000001</v>
      </c>
      <c r="L482" s="245">
        <v>69.900000000000006</v>
      </c>
      <c r="M482" s="245">
        <v>26.83</v>
      </c>
    </row>
    <row r="483" spans="1:13">
      <c r="A483">
        <v>2640</v>
      </c>
      <c r="B483" t="s">
        <v>6308</v>
      </c>
      <c r="C483">
        <v>5.92</v>
      </c>
      <c r="D483">
        <v>-19</v>
      </c>
      <c r="E483">
        <v>-21</v>
      </c>
      <c r="F483">
        <v>-7</v>
      </c>
      <c r="G483">
        <v>6</v>
      </c>
      <c r="H483">
        <v>15.76</v>
      </c>
      <c r="I483">
        <v>3.5</v>
      </c>
      <c r="J483">
        <v>4.1100000000000003</v>
      </c>
      <c r="K483" s="245">
        <v>-11.37</v>
      </c>
      <c r="L483" s="245">
        <v>19.63</v>
      </c>
      <c r="M483" s="245">
        <v>1.88</v>
      </c>
    </row>
    <row r="484" spans="1:13">
      <c r="A484">
        <v>2641</v>
      </c>
      <c r="B484" t="s">
        <v>5205</v>
      </c>
      <c r="C484">
        <v>19.010000000000002</v>
      </c>
      <c r="D484">
        <v>294</v>
      </c>
      <c r="E484">
        <v>169</v>
      </c>
      <c r="F484">
        <v>20</v>
      </c>
      <c r="G484">
        <v>90</v>
      </c>
      <c r="H484">
        <v>30.87</v>
      </c>
      <c r="I484">
        <v>0.8</v>
      </c>
      <c r="J484">
        <v>2.2400000000000002</v>
      </c>
      <c r="K484" s="245">
        <v>-37.29</v>
      </c>
      <c r="L484" s="245">
        <v>59.7</v>
      </c>
      <c r="M484" s="245">
        <v>49.87</v>
      </c>
    </row>
    <row r="485" spans="1:13">
      <c r="A485">
        <v>2642</v>
      </c>
      <c r="B485" t="s">
        <v>5206</v>
      </c>
      <c r="C485">
        <v>9.5399999999999991</v>
      </c>
      <c r="D485">
        <v>15</v>
      </c>
      <c r="E485">
        <v>16</v>
      </c>
      <c r="F485">
        <v>8</v>
      </c>
      <c r="G485">
        <v>5</v>
      </c>
      <c r="H485">
        <v>6.37</v>
      </c>
      <c r="I485">
        <v>2.1</v>
      </c>
      <c r="J485">
        <v>2.52</v>
      </c>
      <c r="K485" s="245">
        <v>-50.49</v>
      </c>
      <c r="L485" s="245">
        <v>38.08</v>
      </c>
      <c r="M485" s="245">
        <v>56.06</v>
      </c>
    </row>
    <row r="486" spans="1:13">
      <c r="A486">
        <v>2643</v>
      </c>
      <c r="B486" t="s">
        <v>5207</v>
      </c>
      <c r="C486">
        <v>3</v>
      </c>
      <c r="D486">
        <v>36</v>
      </c>
      <c r="E486">
        <v>56</v>
      </c>
      <c r="F486">
        <v>17</v>
      </c>
      <c r="G486">
        <v>38</v>
      </c>
      <c r="H486">
        <v>7.23</v>
      </c>
      <c r="I486">
        <v>5</v>
      </c>
      <c r="J486">
        <v>9.7200000000000006</v>
      </c>
      <c r="K486" s="245">
        <v>-45.3</v>
      </c>
      <c r="L486" s="245">
        <v>29.12</v>
      </c>
      <c r="M486" s="245">
        <v>35.450000000000003</v>
      </c>
    </row>
    <row r="487" spans="1:13">
      <c r="A487">
        <v>2701</v>
      </c>
      <c r="B487" t="s">
        <v>5208</v>
      </c>
      <c r="C487">
        <v>44.99</v>
      </c>
      <c r="D487">
        <v>-51</v>
      </c>
      <c r="E487">
        <v>-14</v>
      </c>
      <c r="F487">
        <v>4</v>
      </c>
      <c r="G487">
        <v>-5</v>
      </c>
      <c r="H487">
        <v>49.44</v>
      </c>
      <c r="I487">
        <v>0.17</v>
      </c>
      <c r="J487">
        <v>0.19</v>
      </c>
      <c r="K487" s="245">
        <v>-13.38</v>
      </c>
      <c r="L487" s="245">
        <v>15.8</v>
      </c>
      <c r="M487" s="245">
        <v>2.29</v>
      </c>
    </row>
    <row r="488" spans="1:13">
      <c r="A488">
        <v>2702</v>
      </c>
      <c r="B488" t="s">
        <v>6236</v>
      </c>
      <c r="C488">
        <v>11.04</v>
      </c>
      <c r="D488">
        <v>775</v>
      </c>
      <c r="E488">
        <v>47</v>
      </c>
      <c r="F488">
        <v>-1</v>
      </c>
      <c r="G488">
        <v>76</v>
      </c>
      <c r="H488">
        <v>-12.83</v>
      </c>
      <c r="I488">
        <v>4.5</v>
      </c>
      <c r="J488">
        <v>16.53</v>
      </c>
      <c r="K488" s="245">
        <v>-18.559999999999999</v>
      </c>
      <c r="L488" s="245">
        <v>46.07</v>
      </c>
      <c r="M488" s="245">
        <v>5.47</v>
      </c>
    </row>
    <row r="489" spans="1:13">
      <c r="A489">
        <v>2704</v>
      </c>
      <c r="B489" t="s">
        <v>5209</v>
      </c>
      <c r="C489">
        <v>36.69</v>
      </c>
      <c r="D489">
        <v>-2809</v>
      </c>
      <c r="E489">
        <v>-35</v>
      </c>
      <c r="F489">
        <v>0</v>
      </c>
      <c r="G489">
        <v>-16</v>
      </c>
      <c r="H489">
        <v>-24.55</v>
      </c>
      <c r="I489">
        <v>0</v>
      </c>
      <c r="J489">
        <v>-0.24</v>
      </c>
      <c r="K489" s="245">
        <v>-10.6</v>
      </c>
      <c r="L489" s="245">
        <v>30.8</v>
      </c>
      <c r="M489" s="245">
        <v>0.66</v>
      </c>
    </row>
    <row r="490" spans="1:13">
      <c r="A490">
        <v>2705</v>
      </c>
      <c r="B490" t="s">
        <v>5210</v>
      </c>
      <c r="C490">
        <v>19.13</v>
      </c>
      <c r="D490">
        <v>10</v>
      </c>
      <c r="E490">
        <v>-31</v>
      </c>
      <c r="F490">
        <v>-8</v>
      </c>
      <c r="G490">
        <v>1</v>
      </c>
      <c r="H490">
        <v>-38.5</v>
      </c>
      <c r="I490">
        <v>0</v>
      </c>
      <c r="J490">
        <v>-1.46</v>
      </c>
      <c r="K490" s="245">
        <v>-20.57</v>
      </c>
      <c r="L490" s="245">
        <v>7.26</v>
      </c>
      <c r="M490" s="245">
        <v>1.53</v>
      </c>
    </row>
    <row r="491" spans="1:13">
      <c r="A491">
        <v>2706</v>
      </c>
      <c r="B491" t="s">
        <v>5211</v>
      </c>
      <c r="C491">
        <v>49.99</v>
      </c>
      <c r="D491">
        <v>-51</v>
      </c>
      <c r="E491">
        <v>1</v>
      </c>
      <c r="F491">
        <v>0</v>
      </c>
      <c r="G491">
        <v>2</v>
      </c>
      <c r="H491">
        <v>66.5</v>
      </c>
      <c r="I491">
        <v>0.14000000000000001</v>
      </c>
      <c r="J491">
        <v>0.16</v>
      </c>
      <c r="K491" s="245">
        <v>-20.18</v>
      </c>
      <c r="L491" s="245">
        <v>13.36</v>
      </c>
      <c r="M491" s="245">
        <v>3.38</v>
      </c>
    </row>
    <row r="492" spans="1:13">
      <c r="A492">
        <v>2707</v>
      </c>
      <c r="B492" t="s">
        <v>5212</v>
      </c>
      <c r="C492">
        <v>12.74</v>
      </c>
      <c r="D492">
        <v>205</v>
      </c>
      <c r="E492">
        <v>-26</v>
      </c>
      <c r="F492">
        <v>-12</v>
      </c>
      <c r="G492">
        <v>-15</v>
      </c>
      <c r="H492">
        <v>10.92</v>
      </c>
      <c r="I492">
        <v>12.39</v>
      </c>
      <c r="J492">
        <v>17.09</v>
      </c>
      <c r="K492" s="245">
        <v>-14.36</v>
      </c>
      <c r="L492" s="245">
        <v>47.32</v>
      </c>
      <c r="M492" s="245">
        <v>6.02</v>
      </c>
    </row>
    <row r="493" spans="1:13">
      <c r="A493">
        <v>2712</v>
      </c>
      <c r="B493" t="s">
        <v>5213</v>
      </c>
      <c r="C493">
        <v>10.5</v>
      </c>
      <c r="D493">
        <v>-121</v>
      </c>
      <c r="E493">
        <v>-138</v>
      </c>
      <c r="F493">
        <v>-49</v>
      </c>
      <c r="G493">
        <v>-33</v>
      </c>
      <c r="H493">
        <v>-10.91</v>
      </c>
      <c r="I493">
        <v>0</v>
      </c>
      <c r="J493">
        <v>-0.2</v>
      </c>
      <c r="K493" s="245">
        <v>-25.99</v>
      </c>
      <c r="L493" s="245">
        <v>31.5</v>
      </c>
      <c r="M493" s="245">
        <v>0.69</v>
      </c>
    </row>
    <row r="494" spans="1:13">
      <c r="A494">
        <v>2718</v>
      </c>
      <c r="B494" t="s">
        <v>6478</v>
      </c>
      <c r="C494">
        <v>8.4499999999999993</v>
      </c>
      <c r="D494">
        <v>68</v>
      </c>
      <c r="E494">
        <v>-3</v>
      </c>
      <c r="F494">
        <v>26</v>
      </c>
      <c r="G494">
        <v>89</v>
      </c>
      <c r="H494">
        <v>-55.66</v>
      </c>
      <c r="I494">
        <v>0</v>
      </c>
      <c r="J494">
        <v>-0.55000000000000004</v>
      </c>
      <c r="K494" s="245">
        <v>-14.65</v>
      </c>
      <c r="L494" s="245">
        <v>32.46</v>
      </c>
      <c r="M494" s="245">
        <v>0.61</v>
      </c>
    </row>
    <row r="495" spans="1:13">
      <c r="A495">
        <v>2719</v>
      </c>
      <c r="B495" t="s">
        <v>6479</v>
      </c>
      <c r="C495">
        <v>3.4</v>
      </c>
      <c r="D495">
        <v>51</v>
      </c>
      <c r="E495">
        <v>42</v>
      </c>
      <c r="F495">
        <v>-38</v>
      </c>
      <c r="G495">
        <v>-19</v>
      </c>
      <c r="H495">
        <v>-180.11</v>
      </c>
      <c r="I495">
        <v>0</v>
      </c>
      <c r="J495">
        <v>-1.29</v>
      </c>
      <c r="K495" s="245">
        <v>-15</v>
      </c>
      <c r="L495" s="245">
        <v>64.45</v>
      </c>
      <c r="M495" s="245">
        <v>0.33</v>
      </c>
    </row>
    <row r="496" spans="1:13">
      <c r="A496">
        <v>2722</v>
      </c>
      <c r="B496" t="s">
        <v>5214</v>
      </c>
      <c r="C496">
        <v>11.15</v>
      </c>
      <c r="D496">
        <v>-81</v>
      </c>
      <c r="E496">
        <v>-102</v>
      </c>
      <c r="F496">
        <v>7</v>
      </c>
      <c r="G496">
        <v>-5</v>
      </c>
      <c r="H496">
        <v>-0.39</v>
      </c>
      <c r="I496">
        <v>0.2</v>
      </c>
      <c r="J496">
        <v>0.18</v>
      </c>
      <c r="K496" s="245">
        <v>-25.06</v>
      </c>
      <c r="L496" s="245">
        <v>16.170000000000002</v>
      </c>
      <c r="M496" s="245">
        <v>1.86</v>
      </c>
    </row>
    <row r="497" spans="1:13">
      <c r="A497">
        <v>2723</v>
      </c>
      <c r="B497" t="s">
        <v>5215</v>
      </c>
      <c r="C497">
        <v>18</v>
      </c>
      <c r="D497">
        <v>7</v>
      </c>
      <c r="E497">
        <v>-11</v>
      </c>
      <c r="F497">
        <v>3</v>
      </c>
      <c r="G497">
        <v>-4</v>
      </c>
      <c r="H497">
        <v>7.13</v>
      </c>
      <c r="I497">
        <v>5</v>
      </c>
      <c r="J497">
        <v>6.07</v>
      </c>
      <c r="K497" s="245">
        <v>-51.46</v>
      </c>
      <c r="L497" s="245">
        <v>22.96</v>
      </c>
      <c r="M497" s="245">
        <v>3</v>
      </c>
    </row>
    <row r="498" spans="1:13">
      <c r="A498">
        <v>2724</v>
      </c>
      <c r="B498" t="s">
        <v>6480</v>
      </c>
      <c r="C498">
        <v>5.96</v>
      </c>
      <c r="D498">
        <v>70</v>
      </c>
      <c r="E498">
        <v>68</v>
      </c>
      <c r="F498">
        <v>0</v>
      </c>
      <c r="G498">
        <v>-45</v>
      </c>
      <c r="H498">
        <v>-41.24</v>
      </c>
      <c r="I498">
        <v>0</v>
      </c>
      <c r="J498">
        <v>-1.0900000000000001</v>
      </c>
      <c r="K498" s="245">
        <v>-22.68</v>
      </c>
      <c r="L498" s="245">
        <v>45.59</v>
      </c>
      <c r="M498" s="245">
        <v>0.98</v>
      </c>
    </row>
    <row r="499" spans="1:13">
      <c r="A499">
        <v>2726</v>
      </c>
      <c r="B499" t="s">
        <v>5216</v>
      </c>
      <c r="C499">
        <v>3.57</v>
      </c>
      <c r="D499">
        <v>-392</v>
      </c>
      <c r="E499">
        <v>-609</v>
      </c>
      <c r="F499">
        <v>-21</v>
      </c>
      <c r="G499">
        <v>-57</v>
      </c>
      <c r="H499">
        <v>-7.77</v>
      </c>
      <c r="I499">
        <v>0</v>
      </c>
      <c r="J499">
        <v>-2.65</v>
      </c>
      <c r="K499" s="245">
        <v>-65.47</v>
      </c>
      <c r="L499" s="245">
        <v>23.3</v>
      </c>
      <c r="M499" s="245">
        <v>4.6900000000000004</v>
      </c>
    </row>
    <row r="500" spans="1:13">
      <c r="A500">
        <v>2727</v>
      </c>
      <c r="B500" t="s">
        <v>5217</v>
      </c>
      <c r="C500">
        <v>7.69</v>
      </c>
      <c r="D500">
        <v>-167</v>
      </c>
      <c r="E500">
        <v>-103</v>
      </c>
      <c r="F500">
        <v>-18</v>
      </c>
      <c r="G500">
        <v>-9</v>
      </c>
      <c r="H500">
        <v>-0.12</v>
      </c>
      <c r="I500">
        <v>0</v>
      </c>
      <c r="J500">
        <v>-1.4</v>
      </c>
      <c r="K500" s="245">
        <v>-40.06</v>
      </c>
      <c r="L500" s="245">
        <v>14.23</v>
      </c>
      <c r="M500" s="245">
        <v>14.96</v>
      </c>
    </row>
    <row r="501" spans="1:13">
      <c r="A501">
        <v>2729</v>
      </c>
      <c r="B501" t="s">
        <v>6481</v>
      </c>
      <c r="C501">
        <v>2.3199999999999998</v>
      </c>
      <c r="D501">
        <v>-55</v>
      </c>
      <c r="E501">
        <v>-68</v>
      </c>
      <c r="F501">
        <v>-20</v>
      </c>
      <c r="G501">
        <v>-3</v>
      </c>
      <c r="H501">
        <v>3.62</v>
      </c>
      <c r="I501">
        <v>7.15</v>
      </c>
      <c r="J501">
        <v>7.04</v>
      </c>
      <c r="K501" s="245">
        <v>-15.5</v>
      </c>
      <c r="L501" s="245">
        <v>50.4</v>
      </c>
      <c r="M501" s="245">
        <v>1.74</v>
      </c>
    </row>
    <row r="502" spans="1:13">
      <c r="A502">
        <v>2731</v>
      </c>
      <c r="B502" t="s">
        <v>5218</v>
      </c>
      <c r="C502">
        <v>7.63</v>
      </c>
      <c r="D502">
        <v>-17</v>
      </c>
      <c r="E502">
        <v>0</v>
      </c>
      <c r="F502">
        <v>-17</v>
      </c>
      <c r="G502">
        <v>-34</v>
      </c>
      <c r="H502">
        <v>-54.53</v>
      </c>
      <c r="I502">
        <v>0</v>
      </c>
      <c r="J502">
        <v>-6.43</v>
      </c>
      <c r="K502" s="245">
        <v>-12.16</v>
      </c>
      <c r="L502" s="245">
        <v>30.44</v>
      </c>
      <c r="M502" s="245">
        <v>31.23</v>
      </c>
    </row>
    <row r="503" spans="1:13">
      <c r="A503">
        <v>2732</v>
      </c>
      <c r="B503" t="s">
        <v>5219</v>
      </c>
      <c r="C503">
        <v>4.59</v>
      </c>
      <c r="D503">
        <v>-19</v>
      </c>
      <c r="E503">
        <v>-19</v>
      </c>
      <c r="F503">
        <v>12</v>
      </c>
      <c r="G503">
        <v>-9</v>
      </c>
      <c r="H503">
        <v>4.62</v>
      </c>
      <c r="I503">
        <v>2.34</v>
      </c>
      <c r="J503">
        <v>3.08</v>
      </c>
      <c r="K503" s="245">
        <v>-22.31</v>
      </c>
      <c r="L503" s="245">
        <v>22.46</v>
      </c>
      <c r="M503" s="245">
        <v>2.88</v>
      </c>
    </row>
    <row r="504" spans="1:13">
      <c r="A504">
        <v>2734</v>
      </c>
      <c r="B504" t="s">
        <v>6482</v>
      </c>
      <c r="C504">
        <v>3.72</v>
      </c>
      <c r="D504">
        <v>1</v>
      </c>
      <c r="E504">
        <v>15</v>
      </c>
      <c r="F504">
        <v>54</v>
      </c>
      <c r="G504">
        <v>-47</v>
      </c>
      <c r="H504">
        <v>-45.5</v>
      </c>
      <c r="I504">
        <v>0</v>
      </c>
      <c r="J504">
        <v>-2.29</v>
      </c>
      <c r="K504" s="245">
        <v>-8.1199999999999992</v>
      </c>
      <c r="L504" s="245">
        <v>64.569999999999993</v>
      </c>
      <c r="M504" s="245">
        <v>12.15</v>
      </c>
    </row>
    <row r="505" spans="1:13">
      <c r="A505">
        <v>2736</v>
      </c>
      <c r="B505" t="s">
        <v>5220</v>
      </c>
      <c r="C505">
        <v>4.8899999999999997</v>
      </c>
      <c r="D505">
        <v>-489</v>
      </c>
      <c r="E505">
        <v>-205</v>
      </c>
      <c r="F505">
        <v>-24</v>
      </c>
      <c r="G505">
        <v>-26</v>
      </c>
      <c r="H505">
        <v>-6.14</v>
      </c>
      <c r="I505">
        <v>0</v>
      </c>
      <c r="J505">
        <v>-0.69</v>
      </c>
      <c r="K505" s="245">
        <v>-18.78</v>
      </c>
      <c r="L505" s="245">
        <v>50.35</v>
      </c>
      <c r="M505" s="245">
        <v>7.99</v>
      </c>
    </row>
    <row r="506" spans="1:13">
      <c r="A506">
        <v>2739</v>
      </c>
      <c r="B506" t="s">
        <v>6483</v>
      </c>
      <c r="C506">
        <v>11.15</v>
      </c>
      <c r="D506">
        <v>-104</v>
      </c>
      <c r="E506">
        <v>-92</v>
      </c>
      <c r="F506">
        <v>-25</v>
      </c>
      <c r="G506">
        <v>-14</v>
      </c>
      <c r="H506">
        <v>-34.35</v>
      </c>
      <c r="I506">
        <v>0</v>
      </c>
      <c r="J506">
        <v>-6.45</v>
      </c>
      <c r="K506" s="245">
        <v>-17.96</v>
      </c>
      <c r="L506" s="245">
        <v>42.66</v>
      </c>
      <c r="M506" s="245">
        <v>0.97</v>
      </c>
    </row>
    <row r="507" spans="1:13">
      <c r="A507">
        <v>2740</v>
      </c>
      <c r="B507" t="s">
        <v>6484</v>
      </c>
      <c r="C507">
        <v>1.31</v>
      </c>
      <c r="D507">
        <v>13</v>
      </c>
      <c r="E507">
        <v>10</v>
      </c>
      <c r="F507">
        <v>-17</v>
      </c>
      <c r="G507">
        <v>-43</v>
      </c>
      <c r="H507">
        <v>-39.36</v>
      </c>
      <c r="I507">
        <v>0</v>
      </c>
      <c r="J507">
        <v>-2.65</v>
      </c>
      <c r="K507" s="245">
        <v>-21.7</v>
      </c>
      <c r="L507" s="245">
        <v>48.2</v>
      </c>
      <c r="M507" s="245">
        <v>1.6</v>
      </c>
    </row>
    <row r="508" spans="1:13">
      <c r="A508">
        <v>2743</v>
      </c>
      <c r="B508" t="s">
        <v>5221</v>
      </c>
      <c r="C508">
        <v>3.2</v>
      </c>
      <c r="D508">
        <v>-34</v>
      </c>
      <c r="E508">
        <v>0</v>
      </c>
      <c r="F508">
        <v>-37</v>
      </c>
      <c r="G508">
        <v>7</v>
      </c>
      <c r="H508">
        <v>-44.6</v>
      </c>
      <c r="I508">
        <v>0</v>
      </c>
      <c r="J508">
        <v>-1.64</v>
      </c>
      <c r="K508" s="245">
        <v>-4.97</v>
      </c>
      <c r="L508" s="245">
        <v>90.87</v>
      </c>
      <c r="M508" s="245">
        <v>82.78</v>
      </c>
    </row>
    <row r="509" spans="1:13">
      <c r="A509">
        <v>2745</v>
      </c>
      <c r="B509" t="s">
        <v>6485</v>
      </c>
      <c r="C509">
        <v>2.93</v>
      </c>
      <c r="D509">
        <v>-52</v>
      </c>
      <c r="E509">
        <v>19</v>
      </c>
      <c r="F509">
        <v>31</v>
      </c>
      <c r="G509">
        <v>-38</v>
      </c>
      <c r="H509">
        <v>-133.61000000000001</v>
      </c>
      <c r="I509">
        <v>0</v>
      </c>
      <c r="J509">
        <v>-4.41</v>
      </c>
      <c r="K509" s="245">
        <v>0</v>
      </c>
      <c r="L509" s="245">
        <v>76.930000000000007</v>
      </c>
      <c r="M509" s="245">
        <v>6.08</v>
      </c>
    </row>
    <row r="510" spans="1:13">
      <c r="A510">
        <v>2748</v>
      </c>
      <c r="B510" t="s">
        <v>5222</v>
      </c>
      <c r="C510">
        <v>9.0399999999999991</v>
      </c>
      <c r="D510">
        <v>-126</v>
      </c>
      <c r="E510">
        <v>-160</v>
      </c>
      <c r="F510">
        <v>5</v>
      </c>
      <c r="G510">
        <v>20</v>
      </c>
      <c r="H510">
        <v>-3.78</v>
      </c>
      <c r="I510">
        <v>0.5</v>
      </c>
      <c r="J510">
        <v>-0.38</v>
      </c>
      <c r="K510" s="245">
        <v>-16.28</v>
      </c>
      <c r="L510" s="245">
        <v>27.3</v>
      </c>
      <c r="M510" s="245">
        <v>1.32</v>
      </c>
    </row>
    <row r="511" spans="1:13">
      <c r="A511">
        <v>2752</v>
      </c>
      <c r="B511" t="s">
        <v>6486</v>
      </c>
      <c r="C511">
        <v>2.2999999999999998</v>
      </c>
      <c r="D511">
        <v>-34</v>
      </c>
      <c r="E511">
        <v>-36</v>
      </c>
      <c r="F511">
        <v>-6</v>
      </c>
      <c r="G511">
        <v>16</v>
      </c>
      <c r="H511">
        <v>8.8000000000000007</v>
      </c>
      <c r="I511">
        <v>5.7</v>
      </c>
      <c r="J511">
        <v>6.68</v>
      </c>
      <c r="K511" s="245">
        <v>-10.78</v>
      </c>
      <c r="L511" s="245">
        <v>32.36</v>
      </c>
      <c r="M511" s="245">
        <v>2.98</v>
      </c>
    </row>
    <row r="512" spans="1:13">
      <c r="A512">
        <v>2753</v>
      </c>
      <c r="B512" t="s">
        <v>6146</v>
      </c>
      <c r="C512">
        <v>6.6</v>
      </c>
      <c r="D512">
        <v>-17</v>
      </c>
      <c r="E512">
        <v>-14</v>
      </c>
      <c r="F512">
        <v>16</v>
      </c>
      <c r="G512">
        <v>9</v>
      </c>
      <c r="H512">
        <v>10.97</v>
      </c>
      <c r="I512">
        <v>6.5</v>
      </c>
      <c r="J512">
        <v>8.74</v>
      </c>
      <c r="K512" s="245" t="s">
        <v>6712</v>
      </c>
      <c r="L512" s="245" t="s">
        <v>6712</v>
      </c>
      <c r="M512" s="245" t="s">
        <v>6712</v>
      </c>
    </row>
    <row r="513" spans="1:13">
      <c r="A513">
        <v>2754</v>
      </c>
      <c r="B513" t="s">
        <v>6318</v>
      </c>
      <c r="C513">
        <v>4.62</v>
      </c>
      <c r="D513">
        <v>-29</v>
      </c>
      <c r="E513">
        <v>-35</v>
      </c>
      <c r="F513">
        <v>-2</v>
      </c>
      <c r="G513">
        <v>24</v>
      </c>
      <c r="H513">
        <v>1.29</v>
      </c>
      <c r="I513">
        <v>0</v>
      </c>
      <c r="J513">
        <v>0.49</v>
      </c>
      <c r="K513" s="245">
        <v>-14.04</v>
      </c>
      <c r="L513" s="245">
        <v>19.850000000000001</v>
      </c>
      <c r="M513" s="245">
        <v>2.29</v>
      </c>
    </row>
    <row r="514" spans="1:13">
      <c r="A514">
        <v>2755</v>
      </c>
      <c r="B514" t="s">
        <v>6487</v>
      </c>
      <c r="C514">
        <v>2</v>
      </c>
      <c r="D514">
        <v>3</v>
      </c>
      <c r="E514">
        <v>8</v>
      </c>
      <c r="F514">
        <v>29</v>
      </c>
      <c r="G514">
        <v>16</v>
      </c>
      <c r="H514">
        <v>6.31</v>
      </c>
      <c r="I514">
        <v>3</v>
      </c>
      <c r="J514">
        <v>3.65</v>
      </c>
      <c r="K514" s="245">
        <v>-2.2599999999999998</v>
      </c>
      <c r="L514" s="245">
        <v>82.9</v>
      </c>
      <c r="M514" s="245">
        <v>0.42</v>
      </c>
    </row>
    <row r="515" spans="1:13">
      <c r="A515">
        <v>2801</v>
      </c>
      <c r="B515" t="s">
        <v>5223</v>
      </c>
      <c r="C515">
        <v>1048</v>
      </c>
      <c r="D515">
        <v>25</v>
      </c>
      <c r="E515">
        <v>0</v>
      </c>
      <c r="F515">
        <v>3</v>
      </c>
      <c r="G515">
        <v>38</v>
      </c>
      <c r="H515">
        <v>0</v>
      </c>
      <c r="I515">
        <v>0.6</v>
      </c>
      <c r="J515">
        <v>0.84</v>
      </c>
      <c r="K515" s="245">
        <v>-11.28</v>
      </c>
      <c r="L515" s="245">
        <v>38.729999999999997</v>
      </c>
      <c r="M515" s="245">
        <v>2.04</v>
      </c>
    </row>
    <row r="516" spans="1:13">
      <c r="A516">
        <v>2809</v>
      </c>
      <c r="B516" t="s">
        <v>5224</v>
      </c>
      <c r="C516">
        <v>112</v>
      </c>
      <c r="D516">
        <v>2</v>
      </c>
      <c r="E516">
        <v>0</v>
      </c>
      <c r="F516">
        <v>134</v>
      </c>
      <c r="G516">
        <v>-86</v>
      </c>
      <c r="H516">
        <v>0</v>
      </c>
      <c r="I516">
        <v>2.1</v>
      </c>
      <c r="J516">
        <v>5.0199999999999996</v>
      </c>
      <c r="K516" s="245">
        <v>-15.7</v>
      </c>
      <c r="L516" s="245">
        <v>21.41</v>
      </c>
      <c r="M516" s="245">
        <v>1.23</v>
      </c>
    </row>
    <row r="517" spans="1:13">
      <c r="A517">
        <v>2812</v>
      </c>
      <c r="B517" t="s">
        <v>5225</v>
      </c>
      <c r="C517">
        <v>453</v>
      </c>
      <c r="D517">
        <v>19</v>
      </c>
      <c r="E517">
        <v>0</v>
      </c>
      <c r="F517">
        <v>16</v>
      </c>
      <c r="G517">
        <v>9</v>
      </c>
      <c r="H517">
        <v>0</v>
      </c>
      <c r="I517">
        <v>0.75</v>
      </c>
      <c r="J517">
        <v>1.1000000000000001</v>
      </c>
      <c r="K517" s="245">
        <v>-15.12</v>
      </c>
      <c r="L517" s="245">
        <v>40.200000000000003</v>
      </c>
      <c r="M517" s="245">
        <v>1.71</v>
      </c>
    </row>
    <row r="518" spans="1:13">
      <c r="A518">
        <v>2816</v>
      </c>
      <c r="B518" t="s">
        <v>5226</v>
      </c>
      <c r="C518">
        <v>22.36</v>
      </c>
      <c r="D518">
        <v>0</v>
      </c>
      <c r="E518">
        <v>17</v>
      </c>
      <c r="F518">
        <v>-23</v>
      </c>
      <c r="G518">
        <v>-36</v>
      </c>
      <c r="H518">
        <v>9.01</v>
      </c>
      <c r="I518">
        <v>1</v>
      </c>
      <c r="J518">
        <v>3.12</v>
      </c>
      <c r="K518" s="245">
        <v>-14.72</v>
      </c>
      <c r="L518" s="245">
        <v>30.12</v>
      </c>
      <c r="M518" s="245">
        <v>1.1299999999999999</v>
      </c>
    </row>
    <row r="519" spans="1:13">
      <c r="A519">
        <v>2820</v>
      </c>
      <c r="B519" t="s">
        <v>5227</v>
      </c>
      <c r="C519">
        <v>134</v>
      </c>
      <c r="D519">
        <v>17</v>
      </c>
      <c r="E519">
        <v>0</v>
      </c>
      <c r="F519">
        <v>-51</v>
      </c>
      <c r="G519">
        <v>-71</v>
      </c>
      <c r="H519">
        <v>0</v>
      </c>
      <c r="I519">
        <v>0.9</v>
      </c>
      <c r="J519">
        <v>1.38</v>
      </c>
      <c r="K519" s="245">
        <v>-6.93</v>
      </c>
      <c r="L519" s="245">
        <v>47.74</v>
      </c>
      <c r="M519" s="245">
        <v>0.6</v>
      </c>
    </row>
    <row r="520" spans="1:13">
      <c r="A520">
        <v>2832</v>
      </c>
      <c r="B520" t="s">
        <v>5228</v>
      </c>
      <c r="C520">
        <v>36.22</v>
      </c>
      <c r="D520">
        <v>-45</v>
      </c>
      <c r="E520">
        <v>-47</v>
      </c>
      <c r="F520">
        <v>-3</v>
      </c>
      <c r="G520">
        <v>-19</v>
      </c>
      <c r="H520">
        <v>5.43</v>
      </c>
      <c r="I520">
        <v>0.75</v>
      </c>
      <c r="J520">
        <v>1.03</v>
      </c>
      <c r="K520" s="245">
        <v>-11.19</v>
      </c>
      <c r="L520" s="245">
        <v>16.899999999999999</v>
      </c>
      <c r="M520" s="245">
        <v>0.89</v>
      </c>
    </row>
    <row r="521" spans="1:13">
      <c r="A521">
        <v>2834</v>
      </c>
      <c r="B521" t="s">
        <v>5229</v>
      </c>
      <c r="C521">
        <v>774</v>
      </c>
      <c r="D521">
        <v>8</v>
      </c>
      <c r="E521">
        <v>0</v>
      </c>
      <c r="F521">
        <v>1</v>
      </c>
      <c r="G521">
        <v>11</v>
      </c>
      <c r="H521">
        <v>0</v>
      </c>
      <c r="I521">
        <v>0.47</v>
      </c>
      <c r="J521">
        <v>0.66</v>
      </c>
      <c r="K521" s="245">
        <v>-19.38</v>
      </c>
      <c r="L521" s="245">
        <v>44.41</v>
      </c>
      <c r="M521" s="245">
        <v>7.96</v>
      </c>
    </row>
    <row r="522" spans="1:13">
      <c r="A522">
        <v>2836</v>
      </c>
      <c r="B522" t="s">
        <v>5230</v>
      </c>
      <c r="C522">
        <v>116</v>
      </c>
      <c r="D522">
        <v>19</v>
      </c>
      <c r="E522">
        <v>0</v>
      </c>
      <c r="F522">
        <v>-8</v>
      </c>
      <c r="G522">
        <v>-2</v>
      </c>
      <c r="H522">
        <v>0</v>
      </c>
      <c r="I522">
        <v>0.7</v>
      </c>
      <c r="J522">
        <v>0.78</v>
      </c>
      <c r="K522" s="245">
        <v>-20.18</v>
      </c>
      <c r="L522" s="245">
        <v>28.25</v>
      </c>
      <c r="M522" s="245">
        <v>1.87</v>
      </c>
    </row>
    <row r="523" spans="1:13">
      <c r="A523">
        <v>2838</v>
      </c>
      <c r="B523" t="s">
        <v>5231</v>
      </c>
      <c r="C523">
        <v>329</v>
      </c>
      <c r="D523">
        <v>29</v>
      </c>
      <c r="E523">
        <v>0</v>
      </c>
      <c r="F523">
        <v>-27</v>
      </c>
      <c r="G523">
        <v>-29</v>
      </c>
      <c r="H523">
        <v>0</v>
      </c>
      <c r="I523">
        <v>1.03</v>
      </c>
      <c r="J523">
        <v>1.21</v>
      </c>
      <c r="K523" s="245">
        <v>-17.27</v>
      </c>
      <c r="L523" s="245">
        <v>48.8</v>
      </c>
      <c r="M523" s="245">
        <v>1.26</v>
      </c>
    </row>
    <row r="524" spans="1:13">
      <c r="A524">
        <v>2845</v>
      </c>
      <c r="B524" t="s">
        <v>5232</v>
      </c>
      <c r="C524">
        <v>351</v>
      </c>
      <c r="D524">
        <v>16</v>
      </c>
      <c r="E524">
        <v>0</v>
      </c>
      <c r="F524">
        <v>18</v>
      </c>
      <c r="G524">
        <v>12</v>
      </c>
      <c r="H524">
        <v>0</v>
      </c>
      <c r="I524">
        <v>0.59</v>
      </c>
      <c r="J524">
        <v>0.84</v>
      </c>
      <c r="K524" s="245">
        <v>-13.31</v>
      </c>
      <c r="L524" s="245">
        <v>42.85</v>
      </c>
      <c r="M524" s="245">
        <v>0.83</v>
      </c>
    </row>
    <row r="525" spans="1:13">
      <c r="A525">
        <v>2849</v>
      </c>
      <c r="B525" t="s">
        <v>5233</v>
      </c>
      <c r="C525">
        <v>195</v>
      </c>
      <c r="D525">
        <v>7</v>
      </c>
      <c r="E525">
        <v>0</v>
      </c>
      <c r="F525">
        <v>-7</v>
      </c>
      <c r="G525">
        <v>1</v>
      </c>
      <c r="H525">
        <v>0</v>
      </c>
      <c r="I525">
        <v>0</v>
      </c>
      <c r="J525">
        <v>1.19</v>
      </c>
      <c r="K525" s="245">
        <v>-12.68</v>
      </c>
      <c r="L525" s="245">
        <v>29.67</v>
      </c>
      <c r="M525" s="245">
        <v>0.19</v>
      </c>
    </row>
    <row r="526" spans="1:13">
      <c r="A526">
        <v>2850</v>
      </c>
      <c r="B526" t="s">
        <v>5234</v>
      </c>
      <c r="C526">
        <v>31.59</v>
      </c>
      <c r="D526">
        <v>38</v>
      </c>
      <c r="E526">
        <v>39</v>
      </c>
      <c r="F526">
        <v>1</v>
      </c>
      <c r="G526">
        <v>4</v>
      </c>
      <c r="H526">
        <v>14.43</v>
      </c>
      <c r="I526">
        <v>3.2</v>
      </c>
      <c r="J526">
        <v>7.13</v>
      </c>
      <c r="K526" s="245">
        <v>-11.46</v>
      </c>
      <c r="L526" s="245">
        <v>56.25</v>
      </c>
      <c r="M526" s="245">
        <v>0.37</v>
      </c>
    </row>
    <row r="527" spans="1:13">
      <c r="A527">
        <v>2851</v>
      </c>
      <c r="B527" t="s">
        <v>5235</v>
      </c>
      <c r="C527">
        <v>59.03</v>
      </c>
      <c r="D527">
        <v>36</v>
      </c>
      <c r="E527">
        <v>38</v>
      </c>
      <c r="F527">
        <v>-15</v>
      </c>
      <c r="G527">
        <v>-2</v>
      </c>
      <c r="H527">
        <v>12.09</v>
      </c>
      <c r="I527">
        <v>1.8</v>
      </c>
      <c r="J527">
        <v>3.5</v>
      </c>
      <c r="K527" s="245">
        <v>-32.49</v>
      </c>
      <c r="L527" s="245">
        <v>34.35</v>
      </c>
      <c r="M527" s="245">
        <v>5.4</v>
      </c>
    </row>
    <row r="528" spans="1:13">
      <c r="A528">
        <v>2852</v>
      </c>
      <c r="B528" t="s">
        <v>5236</v>
      </c>
      <c r="C528">
        <v>30.11</v>
      </c>
      <c r="D528">
        <v>261</v>
      </c>
      <c r="E528">
        <v>210</v>
      </c>
      <c r="F528">
        <v>5</v>
      </c>
      <c r="G528">
        <v>5</v>
      </c>
      <c r="H528">
        <v>9.8800000000000008</v>
      </c>
      <c r="I528">
        <v>1.21</v>
      </c>
      <c r="J528">
        <v>1.84</v>
      </c>
      <c r="K528" s="245">
        <v>-9.06</v>
      </c>
      <c r="L528" s="245">
        <v>58.48</v>
      </c>
      <c r="M528" s="245">
        <v>1.72</v>
      </c>
    </row>
    <row r="529" spans="1:13">
      <c r="A529">
        <v>2855</v>
      </c>
      <c r="B529" t="s">
        <v>5237</v>
      </c>
      <c r="C529">
        <v>145</v>
      </c>
      <c r="D529">
        <v>10</v>
      </c>
      <c r="E529">
        <v>18</v>
      </c>
      <c r="F529">
        <v>4</v>
      </c>
      <c r="G529">
        <v>-53</v>
      </c>
      <c r="H529">
        <v>36.72</v>
      </c>
      <c r="I529">
        <v>1.89</v>
      </c>
      <c r="J529">
        <v>2.75</v>
      </c>
      <c r="K529" s="245">
        <v>-29.1</v>
      </c>
      <c r="L529" s="245">
        <v>25.18</v>
      </c>
      <c r="M529" s="245">
        <v>1.58</v>
      </c>
    </row>
    <row r="530" spans="1:13">
      <c r="A530">
        <v>2867</v>
      </c>
      <c r="B530" t="s">
        <v>5238</v>
      </c>
      <c r="C530">
        <v>309</v>
      </c>
      <c r="D530">
        <v>-24</v>
      </c>
      <c r="E530">
        <v>-175</v>
      </c>
      <c r="F530">
        <v>32</v>
      </c>
      <c r="G530">
        <v>-28</v>
      </c>
      <c r="H530">
        <v>-0.83</v>
      </c>
      <c r="I530">
        <v>0</v>
      </c>
      <c r="J530">
        <v>0.42</v>
      </c>
      <c r="K530" s="245">
        <v>-30.78</v>
      </c>
      <c r="L530" s="245">
        <v>8.3000000000000007</v>
      </c>
      <c r="M530" s="245">
        <v>2.02</v>
      </c>
    </row>
    <row r="531" spans="1:13">
      <c r="A531">
        <v>2880</v>
      </c>
      <c r="B531" t="s">
        <v>5239</v>
      </c>
      <c r="C531">
        <v>1319</v>
      </c>
      <c r="D531">
        <v>98</v>
      </c>
      <c r="E531">
        <v>0</v>
      </c>
      <c r="F531">
        <v>-7</v>
      </c>
      <c r="G531">
        <v>9</v>
      </c>
      <c r="H531">
        <v>0</v>
      </c>
      <c r="I531">
        <v>1.1200000000000001</v>
      </c>
      <c r="J531">
        <v>1.3</v>
      </c>
      <c r="K531" s="245">
        <v>-13.62</v>
      </c>
      <c r="L531" s="245">
        <v>35.44</v>
      </c>
      <c r="M531" s="245">
        <v>0.38</v>
      </c>
    </row>
    <row r="532" spans="1:13">
      <c r="A532">
        <v>2881</v>
      </c>
      <c r="B532" t="s">
        <v>5240</v>
      </c>
      <c r="C532">
        <v>1180</v>
      </c>
      <c r="D532">
        <v>61</v>
      </c>
      <c r="E532">
        <v>0</v>
      </c>
      <c r="F532">
        <v>14</v>
      </c>
      <c r="G532">
        <v>-16</v>
      </c>
      <c r="H532">
        <v>0</v>
      </c>
      <c r="I532">
        <v>4</v>
      </c>
      <c r="J532">
        <v>12.49</v>
      </c>
      <c r="K532" s="245">
        <v>-20.89</v>
      </c>
      <c r="L532" s="245">
        <v>32.39</v>
      </c>
      <c r="M532" s="245">
        <v>1.2</v>
      </c>
    </row>
    <row r="533" spans="1:13">
      <c r="A533">
        <v>2882</v>
      </c>
      <c r="B533" t="s">
        <v>5241</v>
      </c>
      <c r="C533">
        <v>1316</v>
      </c>
      <c r="D533">
        <v>85</v>
      </c>
      <c r="E533">
        <v>0</v>
      </c>
      <c r="F533">
        <v>42</v>
      </c>
      <c r="G533">
        <v>-36</v>
      </c>
      <c r="H533">
        <v>0</v>
      </c>
      <c r="I533">
        <v>3.5</v>
      </c>
      <c r="J533">
        <v>10.34</v>
      </c>
      <c r="K533" s="245">
        <v>-14.18</v>
      </c>
      <c r="L533" s="245">
        <v>40.450000000000003</v>
      </c>
      <c r="M533" s="245">
        <v>1.08</v>
      </c>
    </row>
    <row r="534" spans="1:13">
      <c r="A534">
        <v>2883</v>
      </c>
      <c r="B534" t="s">
        <v>5242</v>
      </c>
      <c r="C534">
        <v>1719</v>
      </c>
      <c r="D534">
        <v>127</v>
      </c>
      <c r="E534">
        <v>0</v>
      </c>
      <c r="F534">
        <v>30</v>
      </c>
      <c r="G534">
        <v>-28</v>
      </c>
      <c r="H534">
        <v>0</v>
      </c>
      <c r="I534">
        <v>1</v>
      </c>
      <c r="J534">
        <v>2.34</v>
      </c>
      <c r="K534" s="245">
        <v>-16.170000000000002</v>
      </c>
      <c r="L534" s="245">
        <v>31.34</v>
      </c>
      <c r="M534" s="245">
        <v>2.5299999999999998</v>
      </c>
    </row>
    <row r="535" spans="1:13">
      <c r="A535">
        <v>2884</v>
      </c>
      <c r="B535" t="s">
        <v>5243</v>
      </c>
      <c r="C535">
        <v>1335</v>
      </c>
      <c r="D535">
        <v>14</v>
      </c>
      <c r="E535">
        <v>0</v>
      </c>
      <c r="F535">
        <v>-15</v>
      </c>
      <c r="G535">
        <v>-21</v>
      </c>
      <c r="H535">
        <v>0</v>
      </c>
      <c r="I535">
        <v>1.34</v>
      </c>
      <c r="J535">
        <v>1.54</v>
      </c>
      <c r="K535" s="245">
        <v>-14.01</v>
      </c>
      <c r="L535" s="245">
        <v>48.76</v>
      </c>
      <c r="M535" s="245">
        <v>0.8</v>
      </c>
    </row>
    <row r="536" spans="1:13">
      <c r="A536">
        <v>2885</v>
      </c>
      <c r="B536" t="s">
        <v>5244</v>
      </c>
      <c r="C536">
        <v>1213</v>
      </c>
      <c r="D536">
        <v>43</v>
      </c>
      <c r="E536">
        <v>0</v>
      </c>
      <c r="F536">
        <v>18</v>
      </c>
      <c r="G536">
        <v>-26</v>
      </c>
      <c r="H536">
        <v>0</v>
      </c>
      <c r="I536">
        <v>1.8</v>
      </c>
      <c r="J536">
        <v>2.87</v>
      </c>
      <c r="K536" s="245">
        <v>-10.07</v>
      </c>
      <c r="L536" s="245">
        <v>50.5</v>
      </c>
      <c r="M536" s="245">
        <v>1.65</v>
      </c>
    </row>
    <row r="537" spans="1:13">
      <c r="A537">
        <v>2886</v>
      </c>
      <c r="B537" t="s">
        <v>5245</v>
      </c>
      <c r="C537">
        <v>1359</v>
      </c>
      <c r="D537">
        <v>2</v>
      </c>
      <c r="E537">
        <v>0</v>
      </c>
      <c r="F537">
        <v>-21</v>
      </c>
      <c r="G537">
        <v>-25</v>
      </c>
      <c r="H537">
        <v>0</v>
      </c>
      <c r="I537">
        <v>1.65</v>
      </c>
      <c r="J537">
        <v>1.89</v>
      </c>
      <c r="K537" s="245">
        <v>-16.3</v>
      </c>
      <c r="L537" s="245">
        <v>35.96</v>
      </c>
      <c r="M537" s="245">
        <v>0.75</v>
      </c>
    </row>
    <row r="538" spans="1:13">
      <c r="A538">
        <v>2887</v>
      </c>
      <c r="B538" t="s">
        <v>5246</v>
      </c>
      <c r="C538">
        <v>1140</v>
      </c>
      <c r="D538">
        <v>40</v>
      </c>
      <c r="E538">
        <v>0</v>
      </c>
      <c r="F538">
        <v>-17</v>
      </c>
      <c r="G538">
        <v>12</v>
      </c>
      <c r="H538">
        <v>0</v>
      </c>
      <c r="I538">
        <v>1.1000000000000001</v>
      </c>
      <c r="J538">
        <v>1.63</v>
      </c>
      <c r="K538" s="245">
        <v>-15.8</v>
      </c>
      <c r="L538" s="245">
        <v>25.8</v>
      </c>
      <c r="M538" s="245">
        <v>1.05</v>
      </c>
    </row>
    <row r="539" spans="1:13">
      <c r="A539">
        <v>2888</v>
      </c>
      <c r="B539" t="s">
        <v>5247</v>
      </c>
      <c r="C539">
        <v>1548</v>
      </c>
      <c r="D539">
        <v>57</v>
      </c>
      <c r="E539">
        <v>0</v>
      </c>
      <c r="F539">
        <v>50</v>
      </c>
      <c r="G539">
        <v>1</v>
      </c>
      <c r="H539">
        <v>0</v>
      </c>
      <c r="I539">
        <v>0.43</v>
      </c>
      <c r="J539">
        <v>1.67</v>
      </c>
      <c r="K539" s="245">
        <v>-25.19</v>
      </c>
      <c r="L539" s="245">
        <v>12.46</v>
      </c>
      <c r="M539" s="245">
        <v>3.75</v>
      </c>
    </row>
    <row r="540" spans="1:13">
      <c r="A540">
        <v>2889</v>
      </c>
      <c r="B540" t="s">
        <v>5248</v>
      </c>
      <c r="C540">
        <v>299</v>
      </c>
      <c r="D540">
        <v>23</v>
      </c>
      <c r="E540">
        <v>0</v>
      </c>
      <c r="F540">
        <v>-8</v>
      </c>
      <c r="G540">
        <v>-44</v>
      </c>
      <c r="H540">
        <v>0</v>
      </c>
      <c r="I540">
        <v>1.1499999999999999</v>
      </c>
      <c r="J540">
        <v>1.3</v>
      </c>
      <c r="K540" s="245">
        <v>-11.86</v>
      </c>
      <c r="L540" s="245">
        <v>46.51</v>
      </c>
      <c r="M540" s="245">
        <v>1.41</v>
      </c>
    </row>
    <row r="541" spans="1:13">
      <c r="A541">
        <v>2890</v>
      </c>
      <c r="B541" t="s">
        <v>5249</v>
      </c>
      <c r="C541">
        <v>1127</v>
      </c>
      <c r="D541">
        <v>32</v>
      </c>
      <c r="E541">
        <v>0</v>
      </c>
      <c r="F541">
        <v>-13</v>
      </c>
      <c r="G541">
        <v>7</v>
      </c>
      <c r="H541">
        <v>0</v>
      </c>
      <c r="I541">
        <v>0.9</v>
      </c>
      <c r="J541">
        <v>1.44</v>
      </c>
      <c r="K541" s="245">
        <v>-11.11</v>
      </c>
      <c r="L541" s="245">
        <v>48.2</v>
      </c>
      <c r="M541" s="245">
        <v>0.98</v>
      </c>
    </row>
    <row r="542" spans="1:13">
      <c r="A542">
        <v>2891</v>
      </c>
      <c r="B542" t="s">
        <v>5250</v>
      </c>
      <c r="C542">
        <v>1949</v>
      </c>
      <c r="D542">
        <v>26</v>
      </c>
      <c r="E542">
        <v>0</v>
      </c>
      <c r="F542">
        <v>-4</v>
      </c>
      <c r="G542">
        <v>28</v>
      </c>
      <c r="H542">
        <v>0</v>
      </c>
      <c r="I542">
        <v>1.25</v>
      </c>
      <c r="J542">
        <v>2.73</v>
      </c>
      <c r="K542" s="245">
        <v>-11.79</v>
      </c>
      <c r="L542" s="245">
        <v>48.84</v>
      </c>
      <c r="M542" s="245">
        <v>0.87</v>
      </c>
    </row>
    <row r="543" spans="1:13">
      <c r="A543">
        <v>2892</v>
      </c>
      <c r="B543" t="s">
        <v>5251</v>
      </c>
      <c r="C543">
        <v>1296</v>
      </c>
      <c r="D543">
        <v>17</v>
      </c>
      <c r="E543">
        <v>0</v>
      </c>
      <c r="F543">
        <v>32</v>
      </c>
      <c r="G543">
        <v>-5</v>
      </c>
      <c r="H543">
        <v>0</v>
      </c>
      <c r="I543">
        <v>1.2</v>
      </c>
      <c r="J543">
        <v>1.52</v>
      </c>
      <c r="K543" s="245">
        <v>-13</v>
      </c>
      <c r="L543" s="245">
        <v>43.69</v>
      </c>
      <c r="M543" s="245">
        <v>0.5</v>
      </c>
    </row>
    <row r="544" spans="1:13">
      <c r="A544">
        <v>2897</v>
      </c>
      <c r="B544" t="s">
        <v>5252</v>
      </c>
      <c r="C544">
        <v>273</v>
      </c>
      <c r="D544">
        <v>39</v>
      </c>
      <c r="E544">
        <v>0</v>
      </c>
      <c r="F544">
        <v>-8</v>
      </c>
      <c r="G544">
        <v>-14</v>
      </c>
      <c r="H544">
        <v>0</v>
      </c>
      <c r="I544">
        <v>0.3</v>
      </c>
      <c r="J544">
        <v>0.63</v>
      </c>
      <c r="K544" s="245">
        <v>-23.27</v>
      </c>
      <c r="L544" s="245">
        <v>29.6</v>
      </c>
      <c r="M544" s="245">
        <v>5.05</v>
      </c>
    </row>
    <row r="545" spans="1:13">
      <c r="A545">
        <v>2901</v>
      </c>
      <c r="B545" t="s">
        <v>5253</v>
      </c>
      <c r="C545">
        <v>7.3</v>
      </c>
      <c r="D545">
        <v>-65</v>
      </c>
      <c r="E545">
        <v>-164</v>
      </c>
      <c r="F545">
        <v>-1</v>
      </c>
      <c r="G545">
        <v>14</v>
      </c>
      <c r="H545">
        <v>-5.89</v>
      </c>
      <c r="I545">
        <v>7.0000000000000007E-2</v>
      </c>
      <c r="J545">
        <v>7.0000000000000007E-2</v>
      </c>
      <c r="K545" s="245">
        <v>-29.01</v>
      </c>
      <c r="L545" s="245">
        <v>21.76</v>
      </c>
      <c r="M545" s="245">
        <v>0.89</v>
      </c>
    </row>
    <row r="546" spans="1:13">
      <c r="A546">
        <v>2903</v>
      </c>
      <c r="B546" t="s">
        <v>5254</v>
      </c>
      <c r="C546">
        <v>141</v>
      </c>
      <c r="D546">
        <v>-25</v>
      </c>
      <c r="E546">
        <v>-11</v>
      </c>
      <c r="F546">
        <v>20</v>
      </c>
      <c r="G546">
        <v>-6</v>
      </c>
      <c r="H546">
        <v>10.29</v>
      </c>
      <c r="I546">
        <v>0.9</v>
      </c>
      <c r="J546">
        <v>0.86</v>
      </c>
      <c r="K546" s="245">
        <v>-14.81</v>
      </c>
      <c r="L546" s="245">
        <v>20.51</v>
      </c>
      <c r="M546" s="245">
        <v>0.23</v>
      </c>
    </row>
    <row r="547" spans="1:13">
      <c r="A547">
        <v>2904</v>
      </c>
      <c r="B547" t="s">
        <v>5255</v>
      </c>
      <c r="C547">
        <v>6.9</v>
      </c>
      <c r="D547">
        <v>-55</v>
      </c>
      <c r="E547">
        <v>-51</v>
      </c>
      <c r="F547">
        <v>5</v>
      </c>
      <c r="G547">
        <v>2</v>
      </c>
      <c r="H547">
        <v>18.98</v>
      </c>
      <c r="I547">
        <v>0.8</v>
      </c>
      <c r="J547">
        <v>1.03</v>
      </c>
      <c r="K547" s="245">
        <v>-27.17</v>
      </c>
      <c r="L547" s="245">
        <v>8.27</v>
      </c>
      <c r="M547" s="245">
        <v>1.8</v>
      </c>
    </row>
    <row r="548" spans="1:13">
      <c r="A548">
        <v>2905</v>
      </c>
      <c r="B548" t="s">
        <v>5256</v>
      </c>
      <c r="C548">
        <v>91.33</v>
      </c>
      <c r="D548">
        <v>3</v>
      </c>
      <c r="E548">
        <v>-45</v>
      </c>
      <c r="F548">
        <v>60</v>
      </c>
      <c r="G548">
        <v>53</v>
      </c>
      <c r="H548">
        <v>6.78</v>
      </c>
      <c r="I548">
        <v>1.1000000000000001</v>
      </c>
      <c r="J548">
        <v>2.19</v>
      </c>
      <c r="K548" s="245">
        <v>-23.75</v>
      </c>
      <c r="L548" s="245">
        <v>21.73</v>
      </c>
      <c r="M548" s="245">
        <v>0.76</v>
      </c>
    </row>
    <row r="549" spans="1:13">
      <c r="A549">
        <v>2906</v>
      </c>
      <c r="B549" t="s">
        <v>5257</v>
      </c>
      <c r="C549">
        <v>20.91</v>
      </c>
      <c r="D549">
        <v>44</v>
      </c>
      <c r="E549">
        <v>29</v>
      </c>
      <c r="F549">
        <v>34</v>
      </c>
      <c r="G549">
        <v>5</v>
      </c>
      <c r="H549">
        <v>4.0599999999999996</v>
      </c>
      <c r="I549">
        <v>0.4</v>
      </c>
      <c r="J549">
        <v>0.43</v>
      </c>
      <c r="K549" s="245">
        <v>-44.56</v>
      </c>
      <c r="L549" s="245">
        <v>13.28</v>
      </c>
      <c r="M549" s="245">
        <v>57.54</v>
      </c>
    </row>
    <row r="550" spans="1:13">
      <c r="A550">
        <v>2908</v>
      </c>
      <c r="B550" t="s">
        <v>5258</v>
      </c>
      <c r="C550">
        <v>50.98</v>
      </c>
      <c r="D550">
        <v>1</v>
      </c>
      <c r="E550">
        <v>-33</v>
      </c>
      <c r="F550">
        <v>-9</v>
      </c>
      <c r="G550">
        <v>-15</v>
      </c>
      <c r="H550">
        <v>1.74</v>
      </c>
      <c r="I550">
        <v>1.28</v>
      </c>
      <c r="J550">
        <v>1.58</v>
      </c>
      <c r="K550" s="245">
        <v>-20.77</v>
      </c>
      <c r="L550" s="245">
        <v>75.319999999999993</v>
      </c>
      <c r="M550" s="245">
        <v>1.27</v>
      </c>
    </row>
    <row r="551" spans="1:13">
      <c r="A551">
        <v>2910</v>
      </c>
      <c r="B551" t="s">
        <v>5259</v>
      </c>
      <c r="C551">
        <v>20.87</v>
      </c>
      <c r="D551">
        <v>23</v>
      </c>
      <c r="E551">
        <v>-18</v>
      </c>
      <c r="F551">
        <v>-72</v>
      </c>
      <c r="G551">
        <v>-70</v>
      </c>
      <c r="H551">
        <v>24.86</v>
      </c>
      <c r="I551">
        <v>0.5</v>
      </c>
      <c r="J551">
        <v>0.8</v>
      </c>
      <c r="K551" s="245">
        <v>-20.9</v>
      </c>
      <c r="L551" s="245">
        <v>73.37</v>
      </c>
      <c r="M551" s="245">
        <v>0.04</v>
      </c>
    </row>
    <row r="552" spans="1:13">
      <c r="A552">
        <v>2911</v>
      </c>
      <c r="B552" t="s">
        <v>5260</v>
      </c>
      <c r="C552">
        <v>18.46</v>
      </c>
      <c r="D552">
        <v>22</v>
      </c>
      <c r="E552">
        <v>-60</v>
      </c>
      <c r="F552">
        <v>12</v>
      </c>
      <c r="G552">
        <v>-7</v>
      </c>
      <c r="H552">
        <v>-14.09</v>
      </c>
      <c r="I552">
        <v>0</v>
      </c>
      <c r="J552">
        <v>-1.32</v>
      </c>
      <c r="K552" s="245">
        <v>-27.22</v>
      </c>
      <c r="L552" s="245">
        <v>9.0299999999999994</v>
      </c>
      <c r="M552" s="245">
        <v>13.42</v>
      </c>
    </row>
    <row r="553" spans="1:13">
      <c r="A553">
        <v>2912</v>
      </c>
      <c r="B553" t="s">
        <v>5261</v>
      </c>
      <c r="C553">
        <v>103</v>
      </c>
      <c r="D553">
        <v>-11</v>
      </c>
      <c r="E553">
        <v>-12</v>
      </c>
      <c r="F553">
        <v>11</v>
      </c>
      <c r="G553">
        <v>4</v>
      </c>
      <c r="H553">
        <v>4.0599999999999996</v>
      </c>
      <c r="I553">
        <v>9</v>
      </c>
      <c r="J553">
        <v>8.52</v>
      </c>
      <c r="K553" s="245">
        <v>-9.18</v>
      </c>
      <c r="L553" s="245">
        <v>62.32</v>
      </c>
      <c r="M553" s="245">
        <v>0.91</v>
      </c>
    </row>
    <row r="554" spans="1:13">
      <c r="A554">
        <v>2913</v>
      </c>
      <c r="B554" t="s">
        <v>5262</v>
      </c>
      <c r="C554">
        <v>79</v>
      </c>
      <c r="D554">
        <v>-6368</v>
      </c>
      <c r="E554">
        <v>-23</v>
      </c>
      <c r="F554">
        <v>-6</v>
      </c>
      <c r="G554">
        <v>-6</v>
      </c>
      <c r="H554">
        <v>-49.45</v>
      </c>
      <c r="I554">
        <v>0</v>
      </c>
      <c r="J554">
        <v>-1.42</v>
      </c>
      <c r="K554" s="245">
        <v>-22.37</v>
      </c>
      <c r="L554" s="245">
        <v>14.4</v>
      </c>
      <c r="M554" s="245">
        <v>8.7200000000000006</v>
      </c>
    </row>
    <row r="555" spans="1:13">
      <c r="A555">
        <v>2915</v>
      </c>
      <c r="B555" t="s">
        <v>5263</v>
      </c>
      <c r="C555">
        <v>73.430000000000007</v>
      </c>
      <c r="D555">
        <v>93</v>
      </c>
      <c r="E555">
        <v>-26</v>
      </c>
      <c r="F555">
        <v>25</v>
      </c>
      <c r="G555">
        <v>9</v>
      </c>
      <c r="H555">
        <v>1.42</v>
      </c>
      <c r="I555">
        <v>5</v>
      </c>
      <c r="J555">
        <v>22.49</v>
      </c>
      <c r="K555" s="245">
        <v>-38.31</v>
      </c>
      <c r="L555" s="245">
        <v>26.36</v>
      </c>
      <c r="M555" s="245">
        <v>5.6</v>
      </c>
    </row>
    <row r="556" spans="1:13">
      <c r="A556">
        <v>2916</v>
      </c>
      <c r="B556" t="s">
        <v>5264</v>
      </c>
      <c r="C556">
        <v>5.46</v>
      </c>
      <c r="D556">
        <v>56</v>
      </c>
      <c r="E556">
        <v>28</v>
      </c>
      <c r="F556">
        <v>-15</v>
      </c>
      <c r="G556">
        <v>-21</v>
      </c>
      <c r="H556">
        <v>9.11</v>
      </c>
      <c r="I556">
        <v>2.2000000000000002</v>
      </c>
      <c r="J556">
        <v>2.52</v>
      </c>
      <c r="K556" s="245">
        <v>-7.84</v>
      </c>
      <c r="L556" s="245">
        <v>50.87</v>
      </c>
      <c r="M556" s="245">
        <v>1.29</v>
      </c>
    </row>
    <row r="557" spans="1:13">
      <c r="A557">
        <v>2923</v>
      </c>
      <c r="B557" t="s">
        <v>6488</v>
      </c>
      <c r="C557">
        <v>174</v>
      </c>
      <c r="D557">
        <v>0</v>
      </c>
      <c r="E557">
        <v>-44</v>
      </c>
      <c r="F557">
        <v>-4</v>
      </c>
      <c r="G557">
        <v>362</v>
      </c>
      <c r="H557">
        <v>38</v>
      </c>
      <c r="I557">
        <v>1.2</v>
      </c>
      <c r="J557">
        <v>0.67</v>
      </c>
      <c r="K557" s="245">
        <v>-22.42</v>
      </c>
      <c r="L557" s="245">
        <v>27.02</v>
      </c>
      <c r="M557" s="245">
        <v>0.05</v>
      </c>
    </row>
    <row r="558" spans="1:13">
      <c r="A558">
        <v>2924</v>
      </c>
      <c r="B558" t="s">
        <v>6489</v>
      </c>
      <c r="C558">
        <v>3.28</v>
      </c>
      <c r="D558">
        <v>54</v>
      </c>
      <c r="E558">
        <v>-142</v>
      </c>
      <c r="F558">
        <v>-43</v>
      </c>
      <c r="G558">
        <v>-68</v>
      </c>
      <c r="H558">
        <v>-60.52</v>
      </c>
      <c r="I558">
        <v>0</v>
      </c>
      <c r="J558">
        <v>-1.72</v>
      </c>
      <c r="K558" s="245">
        <v>-35.21</v>
      </c>
      <c r="L558" s="245">
        <v>18.38</v>
      </c>
      <c r="M558" s="245">
        <v>0.48</v>
      </c>
    </row>
    <row r="559" spans="1:13">
      <c r="A559">
        <v>2926</v>
      </c>
      <c r="B559" t="s">
        <v>5265</v>
      </c>
      <c r="C559">
        <v>4.7300000000000004</v>
      </c>
      <c r="D559">
        <v>-568</v>
      </c>
      <c r="E559">
        <v>-610</v>
      </c>
      <c r="F559">
        <v>2</v>
      </c>
      <c r="G559">
        <v>5</v>
      </c>
      <c r="H559">
        <v>-9.5500000000000007</v>
      </c>
      <c r="I559">
        <v>0</v>
      </c>
      <c r="J559">
        <v>-4.82</v>
      </c>
      <c r="K559" s="245">
        <v>-19.38</v>
      </c>
      <c r="L559" s="245">
        <v>6.53</v>
      </c>
      <c r="M559" s="245">
        <v>0.8</v>
      </c>
    </row>
    <row r="560" spans="1:13">
      <c r="A560">
        <v>2929</v>
      </c>
      <c r="B560" t="s">
        <v>5266</v>
      </c>
      <c r="C560">
        <v>10.94</v>
      </c>
      <c r="D560">
        <v>68</v>
      </c>
      <c r="E560">
        <v>69</v>
      </c>
      <c r="F560">
        <v>-35</v>
      </c>
      <c r="G560">
        <v>-16</v>
      </c>
      <c r="H560">
        <v>-24.78</v>
      </c>
      <c r="I560">
        <v>0</v>
      </c>
      <c r="J560">
        <v>-6.43</v>
      </c>
      <c r="K560" s="245">
        <v>-56.81</v>
      </c>
      <c r="L560" s="245">
        <v>9.8000000000000007</v>
      </c>
      <c r="M560" s="245">
        <v>11.55</v>
      </c>
    </row>
    <row r="561" spans="1:13">
      <c r="A561">
        <v>2936</v>
      </c>
      <c r="B561" t="s">
        <v>5267</v>
      </c>
      <c r="C561">
        <v>7.6</v>
      </c>
      <c r="D561">
        <v>24</v>
      </c>
      <c r="E561">
        <v>49</v>
      </c>
      <c r="F561">
        <v>-16</v>
      </c>
      <c r="G561">
        <v>-33</v>
      </c>
      <c r="H561">
        <v>5.67</v>
      </c>
      <c r="I561">
        <v>0</v>
      </c>
      <c r="J561">
        <v>4.0199999999999996</v>
      </c>
      <c r="K561" s="245">
        <v>-1.01</v>
      </c>
      <c r="L561" s="245">
        <v>83.92</v>
      </c>
      <c r="M561" s="245">
        <v>1.9</v>
      </c>
    </row>
    <row r="562" spans="1:13">
      <c r="A562">
        <v>2937</v>
      </c>
      <c r="B562" t="s">
        <v>6490</v>
      </c>
      <c r="C562">
        <v>4.04</v>
      </c>
      <c r="D562">
        <v>13</v>
      </c>
      <c r="E562">
        <v>17</v>
      </c>
      <c r="F562">
        <v>0</v>
      </c>
      <c r="G562">
        <v>20</v>
      </c>
      <c r="H562">
        <v>4.62</v>
      </c>
      <c r="I562">
        <v>2.25</v>
      </c>
      <c r="J562">
        <v>3.2</v>
      </c>
      <c r="K562" s="245">
        <v>-14.99</v>
      </c>
      <c r="L562" s="245">
        <v>49.24</v>
      </c>
      <c r="M562" s="245">
        <v>0.53</v>
      </c>
    </row>
    <row r="563" spans="1:13">
      <c r="A563">
        <v>2939</v>
      </c>
      <c r="B563" t="s">
        <v>5268</v>
      </c>
      <c r="C563">
        <v>4.55</v>
      </c>
      <c r="D563">
        <v>-1854</v>
      </c>
      <c r="E563">
        <v>-139</v>
      </c>
      <c r="F563">
        <v>228</v>
      </c>
      <c r="G563">
        <v>17</v>
      </c>
      <c r="H563">
        <v>-3.14</v>
      </c>
      <c r="I563">
        <v>0</v>
      </c>
      <c r="J563">
        <v>-1.06</v>
      </c>
      <c r="K563" s="245">
        <v>-46.88</v>
      </c>
      <c r="L563" s="245">
        <v>42.67</v>
      </c>
      <c r="M563" s="245">
        <v>4.88</v>
      </c>
    </row>
    <row r="564" spans="1:13">
      <c r="A564">
        <v>2945</v>
      </c>
      <c r="B564" t="s">
        <v>6491</v>
      </c>
      <c r="C564">
        <v>6.75</v>
      </c>
      <c r="D564">
        <v>6</v>
      </c>
      <c r="E564">
        <v>-2</v>
      </c>
      <c r="F564">
        <v>13</v>
      </c>
      <c r="G564">
        <v>-1</v>
      </c>
      <c r="H564">
        <v>1.76</v>
      </c>
      <c r="I564">
        <v>2.59</v>
      </c>
      <c r="J564">
        <v>3.21</v>
      </c>
      <c r="K564" s="245" t="s">
        <v>6712</v>
      </c>
      <c r="L564" s="245" t="s">
        <v>6712</v>
      </c>
      <c r="M564" s="245" t="s">
        <v>6712</v>
      </c>
    </row>
    <row r="565" spans="1:13">
      <c r="A565">
        <v>2947</v>
      </c>
      <c r="B565" t="s">
        <v>6492</v>
      </c>
      <c r="C565">
        <v>1.92</v>
      </c>
      <c r="D565">
        <v>9</v>
      </c>
      <c r="E565">
        <v>5</v>
      </c>
      <c r="F565">
        <v>0</v>
      </c>
      <c r="G565">
        <v>9</v>
      </c>
      <c r="H565">
        <v>8.56</v>
      </c>
      <c r="I565">
        <v>3.8</v>
      </c>
      <c r="J565">
        <v>6.26</v>
      </c>
      <c r="K565" s="245" t="s">
        <v>6712</v>
      </c>
      <c r="L565" s="245" t="s">
        <v>6712</v>
      </c>
      <c r="M565" s="245" t="s">
        <v>6712</v>
      </c>
    </row>
    <row r="566" spans="1:13">
      <c r="A566">
        <v>3002</v>
      </c>
      <c r="B566" t="s">
        <v>5269</v>
      </c>
      <c r="C566">
        <v>10.199999999999999</v>
      </c>
      <c r="D566">
        <v>-88</v>
      </c>
      <c r="E566">
        <v>-514</v>
      </c>
      <c r="F566">
        <v>-20</v>
      </c>
      <c r="G566">
        <v>20</v>
      </c>
      <c r="H566">
        <v>-4.83</v>
      </c>
      <c r="I566">
        <v>0</v>
      </c>
      <c r="J566">
        <v>-0.02</v>
      </c>
      <c r="K566" s="245">
        <v>-20.62</v>
      </c>
      <c r="L566" s="245">
        <v>40.56</v>
      </c>
      <c r="M566" s="245">
        <v>22.62</v>
      </c>
    </row>
    <row r="567" spans="1:13">
      <c r="A567">
        <v>3003</v>
      </c>
      <c r="B567" t="s">
        <v>5270</v>
      </c>
      <c r="C567">
        <v>15.56</v>
      </c>
      <c r="D567">
        <v>113</v>
      </c>
      <c r="E567">
        <v>88</v>
      </c>
      <c r="F567">
        <v>-2</v>
      </c>
      <c r="G567">
        <v>0</v>
      </c>
      <c r="H567">
        <v>23.39</v>
      </c>
      <c r="I567">
        <v>2</v>
      </c>
      <c r="J567">
        <v>4.9800000000000004</v>
      </c>
      <c r="K567" s="245">
        <v>-37.159999999999997</v>
      </c>
      <c r="L567" s="245">
        <v>11.37</v>
      </c>
      <c r="M567" s="245">
        <v>17.38</v>
      </c>
    </row>
    <row r="568" spans="1:13">
      <c r="A568">
        <v>3004</v>
      </c>
      <c r="B568" t="s">
        <v>5271</v>
      </c>
      <c r="C568">
        <v>5.26</v>
      </c>
      <c r="D568">
        <v>-261</v>
      </c>
      <c r="E568">
        <v>-448</v>
      </c>
      <c r="F568">
        <v>-17</v>
      </c>
      <c r="G568">
        <v>35</v>
      </c>
      <c r="H568">
        <v>-8.2200000000000006</v>
      </c>
      <c r="I568">
        <v>0</v>
      </c>
      <c r="J568">
        <v>-1.84</v>
      </c>
      <c r="K568" s="245">
        <v>-18.86</v>
      </c>
      <c r="L568" s="245">
        <v>19.72</v>
      </c>
      <c r="M568" s="245">
        <v>6.79</v>
      </c>
    </row>
    <row r="569" spans="1:13">
      <c r="A569">
        <v>3005</v>
      </c>
      <c r="B569" t="s">
        <v>5272</v>
      </c>
      <c r="C569">
        <v>60</v>
      </c>
      <c r="D569">
        <v>59</v>
      </c>
      <c r="E569">
        <v>-16</v>
      </c>
      <c r="F569">
        <v>-49</v>
      </c>
      <c r="G569">
        <v>-55</v>
      </c>
      <c r="H569">
        <v>8.68</v>
      </c>
      <c r="I569">
        <v>3.59</v>
      </c>
      <c r="J569">
        <v>7.2</v>
      </c>
      <c r="K569" s="245">
        <v>-23.33</v>
      </c>
      <c r="L569" s="245">
        <v>9.41</v>
      </c>
      <c r="M569" s="245">
        <v>1.88</v>
      </c>
    </row>
    <row r="570" spans="1:13">
      <c r="A570">
        <v>3006</v>
      </c>
      <c r="B570" t="s">
        <v>5273</v>
      </c>
      <c r="C570">
        <v>28.61</v>
      </c>
      <c r="D570">
        <v>364</v>
      </c>
      <c r="E570">
        <v>408</v>
      </c>
      <c r="F570">
        <v>-4</v>
      </c>
      <c r="G570">
        <v>-13</v>
      </c>
      <c r="H570">
        <v>24.64</v>
      </c>
      <c r="I570">
        <v>8</v>
      </c>
      <c r="J570">
        <v>17.760000000000002</v>
      </c>
      <c r="K570" s="245">
        <v>-45.54</v>
      </c>
      <c r="L570" s="245">
        <v>14.51</v>
      </c>
      <c r="M570" s="245">
        <v>38.299999999999997</v>
      </c>
    </row>
    <row r="571" spans="1:13">
      <c r="A571">
        <v>3008</v>
      </c>
      <c r="B571" t="s">
        <v>5274</v>
      </c>
      <c r="C571">
        <v>13.34</v>
      </c>
      <c r="D571">
        <v>-23</v>
      </c>
      <c r="E571">
        <v>-27</v>
      </c>
      <c r="F571">
        <v>-16</v>
      </c>
      <c r="G571">
        <v>-7</v>
      </c>
      <c r="H571">
        <v>49.29</v>
      </c>
      <c r="I571">
        <v>70.16</v>
      </c>
      <c r="J571">
        <v>139.28</v>
      </c>
      <c r="K571" s="245">
        <v>-51.55</v>
      </c>
      <c r="L571" s="245">
        <v>6.65</v>
      </c>
      <c r="M571" s="245">
        <v>2.58</v>
      </c>
    </row>
    <row r="572" spans="1:13">
      <c r="A572">
        <v>3010</v>
      </c>
      <c r="B572" t="s">
        <v>5275</v>
      </c>
      <c r="C572">
        <v>23.6</v>
      </c>
      <c r="D572">
        <v>51</v>
      </c>
      <c r="E572">
        <v>45</v>
      </c>
      <c r="F572">
        <v>35</v>
      </c>
      <c r="G572">
        <v>19</v>
      </c>
      <c r="H572">
        <v>4.3600000000000003</v>
      </c>
      <c r="I572">
        <v>6.8</v>
      </c>
      <c r="J572">
        <v>12.05</v>
      </c>
      <c r="K572" s="245">
        <v>-12.12</v>
      </c>
      <c r="L572" s="245">
        <v>25.4</v>
      </c>
      <c r="M572" s="245">
        <v>4.37</v>
      </c>
    </row>
    <row r="573" spans="1:13">
      <c r="A573">
        <v>3011</v>
      </c>
      <c r="B573" t="s">
        <v>6493</v>
      </c>
      <c r="C573">
        <v>11.27</v>
      </c>
      <c r="D573">
        <v>174</v>
      </c>
      <c r="E573">
        <v>6</v>
      </c>
      <c r="F573">
        <v>-6</v>
      </c>
      <c r="G573">
        <v>-5</v>
      </c>
      <c r="H573">
        <v>-5.65</v>
      </c>
      <c r="I573">
        <v>0</v>
      </c>
      <c r="J573">
        <v>0.59</v>
      </c>
      <c r="K573" s="245">
        <v>-27.57</v>
      </c>
      <c r="L573" s="245">
        <v>65.27</v>
      </c>
      <c r="M573" s="245">
        <v>13.95</v>
      </c>
    </row>
    <row r="574" spans="1:13">
      <c r="A574">
        <v>3013</v>
      </c>
      <c r="B574" t="s">
        <v>5276</v>
      </c>
      <c r="C574">
        <v>19.59</v>
      </c>
      <c r="D574">
        <v>-243</v>
      </c>
      <c r="E574">
        <v>-163</v>
      </c>
      <c r="F574">
        <v>8</v>
      </c>
      <c r="G574">
        <v>45</v>
      </c>
      <c r="H574">
        <v>-2.3199999999999998</v>
      </c>
      <c r="I574">
        <v>0</v>
      </c>
      <c r="J574">
        <v>-0.74</v>
      </c>
      <c r="K574" s="245">
        <v>-20</v>
      </c>
      <c r="L574" s="245">
        <v>50.21</v>
      </c>
      <c r="M574" s="245">
        <v>8.82</v>
      </c>
    </row>
    <row r="575" spans="1:13">
      <c r="A575">
        <v>3014</v>
      </c>
      <c r="B575" t="s">
        <v>5277</v>
      </c>
      <c r="C575">
        <v>16.100000000000001</v>
      </c>
      <c r="D575">
        <v>93</v>
      </c>
      <c r="E575">
        <v>88</v>
      </c>
      <c r="F575">
        <v>-6</v>
      </c>
      <c r="G575">
        <v>-10</v>
      </c>
      <c r="H575">
        <v>29.18</v>
      </c>
      <c r="I575">
        <v>9</v>
      </c>
      <c r="J575">
        <v>11.21</v>
      </c>
      <c r="K575" s="245">
        <v>-33.94</v>
      </c>
      <c r="L575" s="245">
        <v>17.989999999999998</v>
      </c>
      <c r="M575" s="245">
        <v>38.229999999999997</v>
      </c>
    </row>
    <row r="576" spans="1:13">
      <c r="A576">
        <v>3015</v>
      </c>
      <c r="B576" t="s">
        <v>5278</v>
      </c>
      <c r="C576">
        <v>18.72</v>
      </c>
      <c r="D576">
        <v>15</v>
      </c>
      <c r="E576">
        <v>45</v>
      </c>
      <c r="F576">
        <v>4</v>
      </c>
      <c r="G576">
        <v>-9</v>
      </c>
      <c r="H576">
        <v>4.04</v>
      </c>
      <c r="I576">
        <v>3.3</v>
      </c>
      <c r="J576">
        <v>4.03</v>
      </c>
      <c r="K576" s="245">
        <v>-17.39</v>
      </c>
      <c r="L576" s="245">
        <v>18.27</v>
      </c>
      <c r="M576" s="245">
        <v>3.67</v>
      </c>
    </row>
    <row r="577" spans="1:13">
      <c r="A577">
        <v>3016</v>
      </c>
      <c r="B577" t="s">
        <v>5279</v>
      </c>
      <c r="C577">
        <v>28.8</v>
      </c>
      <c r="D577">
        <v>1381</v>
      </c>
      <c r="E577">
        <v>3939</v>
      </c>
      <c r="F577">
        <v>0</v>
      </c>
      <c r="G577">
        <v>28</v>
      </c>
      <c r="H577">
        <v>9.1999999999999993</v>
      </c>
      <c r="I577">
        <v>1.2</v>
      </c>
      <c r="J577">
        <v>1.35</v>
      </c>
      <c r="K577" s="245">
        <v>-42.98</v>
      </c>
      <c r="L577" s="245">
        <v>12.07</v>
      </c>
      <c r="M577" s="245">
        <v>28.61</v>
      </c>
    </row>
    <row r="578" spans="1:13">
      <c r="A578">
        <v>3017</v>
      </c>
      <c r="B578" t="s">
        <v>5280</v>
      </c>
      <c r="C578">
        <v>35.33</v>
      </c>
      <c r="D578">
        <v>60</v>
      </c>
      <c r="E578">
        <v>47</v>
      </c>
      <c r="F578">
        <v>7</v>
      </c>
      <c r="G578">
        <v>0</v>
      </c>
      <c r="H578">
        <v>10.199999999999999</v>
      </c>
      <c r="I578">
        <v>4.3</v>
      </c>
      <c r="J578">
        <v>8.2100000000000009</v>
      </c>
      <c r="K578" s="245">
        <v>-20.78</v>
      </c>
      <c r="L578" s="245">
        <v>22.97</v>
      </c>
      <c r="M578" s="245">
        <v>20.69</v>
      </c>
    </row>
    <row r="579" spans="1:13">
      <c r="A579">
        <v>3018</v>
      </c>
      <c r="B579" t="s">
        <v>6494</v>
      </c>
      <c r="C579">
        <v>7.81</v>
      </c>
      <c r="D579">
        <v>-359</v>
      </c>
      <c r="E579">
        <v>-84</v>
      </c>
      <c r="F579">
        <v>35</v>
      </c>
      <c r="G579">
        <v>23</v>
      </c>
      <c r="H579">
        <v>-6.88</v>
      </c>
      <c r="I579">
        <v>0</v>
      </c>
      <c r="J579">
        <v>-4.18</v>
      </c>
      <c r="K579" s="245">
        <v>-25.33</v>
      </c>
      <c r="L579" s="245">
        <v>42.65</v>
      </c>
      <c r="M579" s="245">
        <v>5.12</v>
      </c>
    </row>
    <row r="580" spans="1:13">
      <c r="A580">
        <v>3019</v>
      </c>
      <c r="B580" t="s">
        <v>5281</v>
      </c>
      <c r="C580">
        <v>28.1</v>
      </c>
      <c r="D580">
        <v>208</v>
      </c>
      <c r="E580">
        <v>128</v>
      </c>
      <c r="F580">
        <v>-13</v>
      </c>
      <c r="G580">
        <v>-7</v>
      </c>
      <c r="H580">
        <v>9.75</v>
      </c>
      <c r="I580">
        <v>3.7</v>
      </c>
      <c r="J580">
        <v>5.34</v>
      </c>
      <c r="K580" s="245">
        <v>-38.26</v>
      </c>
      <c r="L580" s="245">
        <v>11.26</v>
      </c>
      <c r="M580" s="245">
        <v>16.899999999999999</v>
      </c>
    </row>
    <row r="581" spans="1:13">
      <c r="A581">
        <v>3021</v>
      </c>
      <c r="B581" t="s">
        <v>5282</v>
      </c>
      <c r="C581">
        <v>9.3000000000000007</v>
      </c>
      <c r="D581">
        <v>36</v>
      </c>
      <c r="E581">
        <v>38</v>
      </c>
      <c r="F581">
        <v>25</v>
      </c>
      <c r="G581">
        <v>28</v>
      </c>
      <c r="H581">
        <v>7</v>
      </c>
      <c r="I581">
        <v>0.6</v>
      </c>
      <c r="J581">
        <v>1.41</v>
      </c>
      <c r="K581" s="245">
        <v>-28.01</v>
      </c>
      <c r="L581" s="245">
        <v>15.5</v>
      </c>
      <c r="M581" s="245">
        <v>17.66</v>
      </c>
    </row>
    <row r="582" spans="1:13">
      <c r="A582">
        <v>3022</v>
      </c>
      <c r="B582" t="s">
        <v>5283</v>
      </c>
      <c r="C582">
        <v>17.649999999999999</v>
      </c>
      <c r="D582">
        <v>-13</v>
      </c>
      <c r="E582">
        <v>-19</v>
      </c>
      <c r="F582">
        <v>-2</v>
      </c>
      <c r="G582">
        <v>-11</v>
      </c>
      <c r="H582">
        <v>11.55</v>
      </c>
      <c r="I582">
        <v>3</v>
      </c>
      <c r="J582">
        <v>4.9000000000000004</v>
      </c>
      <c r="K582" s="245">
        <v>-20.309999999999999</v>
      </c>
      <c r="L582" s="245">
        <v>19.16</v>
      </c>
      <c r="M582" s="245">
        <v>4.1100000000000003</v>
      </c>
    </row>
    <row r="583" spans="1:13">
      <c r="A583">
        <v>3023</v>
      </c>
      <c r="B583" t="s">
        <v>5284</v>
      </c>
      <c r="C583">
        <v>23.52</v>
      </c>
      <c r="D583">
        <v>13</v>
      </c>
      <c r="E583">
        <v>5</v>
      </c>
      <c r="F583">
        <v>0</v>
      </c>
      <c r="G583">
        <v>14</v>
      </c>
      <c r="H583">
        <v>10.92</v>
      </c>
      <c r="I583">
        <v>7</v>
      </c>
      <c r="J583">
        <v>10</v>
      </c>
      <c r="K583" s="245">
        <v>-17.579999999999998</v>
      </c>
      <c r="L583" s="245">
        <v>42.75</v>
      </c>
      <c r="M583" s="245">
        <v>1.38</v>
      </c>
    </row>
    <row r="584" spans="1:13">
      <c r="A584">
        <v>3024</v>
      </c>
      <c r="B584" t="s">
        <v>6185</v>
      </c>
      <c r="C584">
        <v>27.71</v>
      </c>
      <c r="D584">
        <v>381</v>
      </c>
      <c r="E584">
        <v>-65</v>
      </c>
      <c r="F584">
        <v>79</v>
      </c>
      <c r="G584">
        <v>26</v>
      </c>
      <c r="H584">
        <v>1</v>
      </c>
      <c r="I584">
        <v>0.3</v>
      </c>
      <c r="J584">
        <v>0.75</v>
      </c>
      <c r="K584" s="245">
        <v>-22.22</v>
      </c>
      <c r="L584" s="245">
        <v>24.41</v>
      </c>
      <c r="M584" s="245">
        <v>7.99</v>
      </c>
    </row>
    <row r="585" spans="1:13">
      <c r="A585">
        <v>3025</v>
      </c>
      <c r="B585" t="s">
        <v>5285</v>
      </c>
      <c r="C585">
        <v>7.09</v>
      </c>
      <c r="D585">
        <v>-58</v>
      </c>
      <c r="E585">
        <v>-57</v>
      </c>
      <c r="F585">
        <v>18</v>
      </c>
      <c r="G585">
        <v>49</v>
      </c>
      <c r="H585">
        <v>7.76</v>
      </c>
      <c r="I585">
        <v>0.4</v>
      </c>
      <c r="J585">
        <v>0.47</v>
      </c>
      <c r="K585" s="245">
        <v>-33.97</v>
      </c>
      <c r="L585" s="245">
        <v>33.82</v>
      </c>
      <c r="M585" s="245">
        <v>16.41</v>
      </c>
    </row>
    <row r="586" spans="1:13">
      <c r="A586">
        <v>3026</v>
      </c>
      <c r="B586" t="s">
        <v>5286</v>
      </c>
      <c r="C586">
        <v>15.79</v>
      </c>
      <c r="D586">
        <v>49</v>
      </c>
      <c r="E586">
        <v>33</v>
      </c>
      <c r="F586">
        <v>-14</v>
      </c>
      <c r="G586">
        <v>-11</v>
      </c>
      <c r="H586">
        <v>12.12</v>
      </c>
      <c r="I586">
        <v>9</v>
      </c>
      <c r="J586">
        <v>12.36</v>
      </c>
      <c r="K586" s="245">
        <v>-25.74</v>
      </c>
      <c r="L586" s="245">
        <v>26.77</v>
      </c>
      <c r="M586" s="245">
        <v>10.199999999999999</v>
      </c>
    </row>
    <row r="587" spans="1:13">
      <c r="A587">
        <v>3027</v>
      </c>
      <c r="B587" t="s">
        <v>5287</v>
      </c>
      <c r="C587">
        <v>9.8800000000000008</v>
      </c>
      <c r="D587">
        <v>1</v>
      </c>
      <c r="E587">
        <v>-85</v>
      </c>
      <c r="F587">
        <v>0</v>
      </c>
      <c r="G587">
        <v>-5</v>
      </c>
      <c r="H587">
        <v>0.53</v>
      </c>
      <c r="I587">
        <v>0</v>
      </c>
      <c r="J587">
        <v>0.28000000000000003</v>
      </c>
      <c r="K587" s="245">
        <v>-38.82</v>
      </c>
      <c r="L587" s="245">
        <v>6.2</v>
      </c>
      <c r="M587" s="245">
        <v>11.27</v>
      </c>
    </row>
    <row r="588" spans="1:13">
      <c r="A588">
        <v>3028</v>
      </c>
      <c r="B588" t="s">
        <v>5288</v>
      </c>
      <c r="C588">
        <v>21.58</v>
      </c>
      <c r="D588">
        <v>85</v>
      </c>
      <c r="E588">
        <v>149</v>
      </c>
      <c r="F588">
        <v>31</v>
      </c>
      <c r="G588">
        <v>17</v>
      </c>
      <c r="H588">
        <v>2.5299999999999998</v>
      </c>
      <c r="I588">
        <v>3.5</v>
      </c>
      <c r="J588">
        <v>4.0999999999999996</v>
      </c>
      <c r="K588" s="245">
        <v>-9.2799999999999994</v>
      </c>
      <c r="L588" s="245">
        <v>46.61</v>
      </c>
      <c r="M588" s="245">
        <v>6.02</v>
      </c>
    </row>
    <row r="589" spans="1:13">
      <c r="A589">
        <v>3029</v>
      </c>
      <c r="B589" t="s">
        <v>5289</v>
      </c>
      <c r="C589">
        <v>15.24</v>
      </c>
      <c r="D589">
        <v>21</v>
      </c>
      <c r="E589">
        <v>24</v>
      </c>
      <c r="F589">
        <v>-16</v>
      </c>
      <c r="G589">
        <v>0</v>
      </c>
      <c r="H589">
        <v>4.8600000000000003</v>
      </c>
      <c r="I589">
        <v>3.6</v>
      </c>
      <c r="J589">
        <v>4.24</v>
      </c>
      <c r="K589" s="245">
        <v>-17.03</v>
      </c>
      <c r="L589" s="245">
        <v>11.68</v>
      </c>
      <c r="M589" s="245">
        <v>6.68</v>
      </c>
    </row>
    <row r="590" spans="1:13">
      <c r="A590">
        <v>3030</v>
      </c>
      <c r="B590" t="s">
        <v>5290</v>
      </c>
      <c r="C590">
        <v>23.62</v>
      </c>
      <c r="D590">
        <v>8</v>
      </c>
      <c r="E590">
        <v>8</v>
      </c>
      <c r="F590">
        <v>-23</v>
      </c>
      <c r="G590">
        <v>-4</v>
      </c>
      <c r="H590">
        <v>27.79</v>
      </c>
      <c r="I590">
        <v>3.3</v>
      </c>
      <c r="J590">
        <v>5.0199999999999996</v>
      </c>
      <c r="K590" s="245">
        <v>-16.91</v>
      </c>
      <c r="L590" s="245">
        <v>36.1</v>
      </c>
      <c r="M590" s="245">
        <v>6.46</v>
      </c>
    </row>
    <row r="591" spans="1:13">
      <c r="A591">
        <v>3031</v>
      </c>
      <c r="B591" t="s">
        <v>5291</v>
      </c>
      <c r="C591">
        <v>18.16</v>
      </c>
      <c r="D591">
        <v>89</v>
      </c>
      <c r="E591">
        <v>47</v>
      </c>
      <c r="F591">
        <v>23</v>
      </c>
      <c r="G591">
        <v>-2</v>
      </c>
      <c r="H591">
        <v>10.35</v>
      </c>
      <c r="I591">
        <v>1</v>
      </c>
      <c r="J591">
        <v>1.45</v>
      </c>
      <c r="K591" s="245">
        <v>-41.44</v>
      </c>
      <c r="L591" s="245">
        <v>16.239999999999998</v>
      </c>
      <c r="M591" s="245">
        <v>18.68</v>
      </c>
    </row>
    <row r="592" spans="1:13">
      <c r="A592">
        <v>3032</v>
      </c>
      <c r="B592" t="s">
        <v>5292</v>
      </c>
      <c r="C592">
        <v>11.32</v>
      </c>
      <c r="D592">
        <v>-31</v>
      </c>
      <c r="E592">
        <v>-25</v>
      </c>
      <c r="F592">
        <v>27</v>
      </c>
      <c r="G592">
        <v>-36</v>
      </c>
      <c r="H592">
        <v>5.42</v>
      </c>
      <c r="I592">
        <v>2</v>
      </c>
      <c r="J592">
        <v>2.63</v>
      </c>
      <c r="K592" s="245">
        <v>-34.020000000000003</v>
      </c>
      <c r="L592" s="245">
        <v>12.39</v>
      </c>
      <c r="M592" s="245">
        <v>1.72</v>
      </c>
    </row>
    <row r="593" spans="1:13">
      <c r="A593">
        <v>3033</v>
      </c>
      <c r="B593" t="s">
        <v>5293</v>
      </c>
      <c r="C593">
        <v>42.05</v>
      </c>
      <c r="D593">
        <v>146</v>
      </c>
      <c r="E593">
        <v>158</v>
      </c>
      <c r="F593">
        <v>-18</v>
      </c>
      <c r="G593">
        <v>-16</v>
      </c>
      <c r="H593">
        <v>3.49</v>
      </c>
      <c r="I593">
        <v>3.02</v>
      </c>
      <c r="J593">
        <v>4.54</v>
      </c>
      <c r="K593" s="245">
        <v>-12.66</v>
      </c>
      <c r="L593" s="245">
        <v>26.58</v>
      </c>
      <c r="M593" s="245">
        <v>25.7</v>
      </c>
    </row>
    <row r="594" spans="1:13">
      <c r="A594">
        <v>3034</v>
      </c>
      <c r="B594" t="s">
        <v>5294</v>
      </c>
      <c r="C594">
        <v>60.85</v>
      </c>
      <c r="D594">
        <v>228</v>
      </c>
      <c r="E594">
        <v>223</v>
      </c>
      <c r="F594">
        <v>-1</v>
      </c>
      <c r="G594">
        <v>11</v>
      </c>
      <c r="H594">
        <v>35.29</v>
      </c>
      <c r="I594">
        <v>51.5</v>
      </c>
      <c r="J594">
        <v>63.87</v>
      </c>
      <c r="K594" s="245">
        <v>-35.049999999999997</v>
      </c>
      <c r="L594" s="245">
        <v>23.08</v>
      </c>
      <c r="M594" s="245">
        <v>5.3</v>
      </c>
    </row>
    <row r="595" spans="1:13">
      <c r="A595">
        <v>3035</v>
      </c>
      <c r="B595" t="s">
        <v>5295</v>
      </c>
      <c r="C595">
        <v>24.85</v>
      </c>
      <c r="D595">
        <v>403</v>
      </c>
      <c r="E595">
        <v>840</v>
      </c>
      <c r="F595">
        <v>1</v>
      </c>
      <c r="G595">
        <v>100</v>
      </c>
      <c r="H595">
        <v>17.34</v>
      </c>
      <c r="I595">
        <v>3.3</v>
      </c>
      <c r="J595">
        <v>4.6500000000000004</v>
      </c>
      <c r="K595" s="245">
        <v>-25.64</v>
      </c>
      <c r="L595" s="245">
        <v>36.04</v>
      </c>
      <c r="M595" s="245">
        <v>45.71</v>
      </c>
    </row>
    <row r="596" spans="1:13">
      <c r="A596">
        <v>3036</v>
      </c>
      <c r="B596" t="s">
        <v>5296</v>
      </c>
      <c r="C596">
        <v>88.36</v>
      </c>
      <c r="D596">
        <v>107</v>
      </c>
      <c r="E596">
        <v>98</v>
      </c>
      <c r="F596">
        <v>-6</v>
      </c>
      <c r="G596">
        <v>23</v>
      </c>
      <c r="H596">
        <v>2.36</v>
      </c>
      <c r="I596">
        <v>5.5</v>
      </c>
      <c r="J596">
        <v>9.9600000000000009</v>
      </c>
      <c r="K596" s="245">
        <v>-33.47</v>
      </c>
      <c r="L596" s="245">
        <v>7.14</v>
      </c>
      <c r="M596" s="245">
        <v>3.31</v>
      </c>
    </row>
    <row r="597" spans="1:13">
      <c r="A597">
        <v>3037</v>
      </c>
      <c r="B597" t="s">
        <v>5297</v>
      </c>
      <c r="C597">
        <v>147</v>
      </c>
      <c r="D597">
        <v>154</v>
      </c>
      <c r="E597">
        <v>227</v>
      </c>
      <c r="F597">
        <v>4</v>
      </c>
      <c r="G597">
        <v>41</v>
      </c>
      <c r="H597">
        <v>12.6</v>
      </c>
      <c r="I597">
        <v>3.4</v>
      </c>
      <c r="J597">
        <v>8.98</v>
      </c>
      <c r="K597" s="245">
        <v>-19.16</v>
      </c>
      <c r="L597" s="245">
        <v>31.15</v>
      </c>
      <c r="M597" s="245">
        <v>9.07</v>
      </c>
    </row>
    <row r="598" spans="1:13">
      <c r="A598">
        <v>3038</v>
      </c>
      <c r="B598" t="s">
        <v>5298</v>
      </c>
      <c r="C598">
        <v>15.74</v>
      </c>
      <c r="D598">
        <v>1</v>
      </c>
      <c r="E598">
        <v>-20</v>
      </c>
      <c r="F598">
        <v>18</v>
      </c>
      <c r="G598">
        <v>-4</v>
      </c>
      <c r="H598">
        <v>6.38</v>
      </c>
      <c r="I598">
        <v>1.2</v>
      </c>
      <c r="J598">
        <v>1.6</v>
      </c>
      <c r="K598" s="245">
        <v>-26.76</v>
      </c>
      <c r="L598" s="245">
        <v>16.66</v>
      </c>
      <c r="M598" s="245">
        <v>28.65</v>
      </c>
    </row>
    <row r="599" spans="1:13">
      <c r="A599">
        <v>3040</v>
      </c>
      <c r="B599" t="s">
        <v>5299</v>
      </c>
      <c r="C599">
        <v>6.3</v>
      </c>
      <c r="D599">
        <v>-68</v>
      </c>
      <c r="E599">
        <v>72</v>
      </c>
      <c r="F599">
        <v>-10</v>
      </c>
      <c r="G599">
        <v>-9</v>
      </c>
      <c r="H599">
        <v>39.6</v>
      </c>
      <c r="I599">
        <v>2</v>
      </c>
      <c r="J599">
        <v>1.97</v>
      </c>
      <c r="K599" s="245">
        <v>-35.700000000000003</v>
      </c>
      <c r="L599" s="245">
        <v>10.67</v>
      </c>
      <c r="M599" s="245">
        <v>2.5099999999999998</v>
      </c>
    </row>
    <row r="600" spans="1:13">
      <c r="A600">
        <v>3041</v>
      </c>
      <c r="B600" t="s">
        <v>5300</v>
      </c>
      <c r="C600">
        <v>19.34</v>
      </c>
      <c r="D600">
        <v>62</v>
      </c>
      <c r="E600">
        <v>73</v>
      </c>
      <c r="F600">
        <v>4</v>
      </c>
      <c r="G600">
        <v>23</v>
      </c>
      <c r="H600">
        <v>-3.31</v>
      </c>
      <c r="I600">
        <v>0</v>
      </c>
      <c r="J600">
        <v>-0.47</v>
      </c>
      <c r="K600" s="245">
        <v>-39.28</v>
      </c>
      <c r="L600" s="245">
        <v>22.57</v>
      </c>
      <c r="M600" s="245">
        <v>53.6</v>
      </c>
    </row>
    <row r="601" spans="1:13">
      <c r="A601">
        <v>3042</v>
      </c>
      <c r="B601" t="s">
        <v>5301</v>
      </c>
      <c r="C601">
        <v>30.97</v>
      </c>
      <c r="D601">
        <v>118</v>
      </c>
      <c r="E601">
        <v>114</v>
      </c>
      <c r="F601">
        <v>1</v>
      </c>
      <c r="G601">
        <v>-27</v>
      </c>
      <c r="H601">
        <v>22.79</v>
      </c>
      <c r="I601">
        <v>7.5</v>
      </c>
      <c r="J601">
        <v>10.06</v>
      </c>
      <c r="K601" s="245">
        <v>-37.72</v>
      </c>
      <c r="L601" s="245">
        <v>25.29</v>
      </c>
      <c r="M601" s="245">
        <v>13.56</v>
      </c>
    </row>
    <row r="602" spans="1:13">
      <c r="A602">
        <v>3043</v>
      </c>
      <c r="B602" t="s">
        <v>6495</v>
      </c>
      <c r="C602">
        <v>19.48</v>
      </c>
      <c r="D602">
        <v>148</v>
      </c>
      <c r="E602">
        <v>-144</v>
      </c>
      <c r="F602">
        <v>24</v>
      </c>
      <c r="G602">
        <v>9</v>
      </c>
      <c r="H602">
        <v>-6.35</v>
      </c>
      <c r="I602">
        <v>0</v>
      </c>
      <c r="J602">
        <v>0.12</v>
      </c>
      <c r="K602" s="245">
        <v>-24.73</v>
      </c>
      <c r="L602" s="245">
        <v>28.29</v>
      </c>
      <c r="M602" s="245">
        <v>2.6</v>
      </c>
    </row>
    <row r="603" spans="1:13">
      <c r="A603">
        <v>3044</v>
      </c>
      <c r="B603" t="s">
        <v>5302</v>
      </c>
      <c r="C603">
        <v>52.56</v>
      </c>
      <c r="D603">
        <v>-4</v>
      </c>
      <c r="E603">
        <v>0</v>
      </c>
      <c r="F603">
        <v>5</v>
      </c>
      <c r="G603">
        <v>9</v>
      </c>
      <c r="H603">
        <v>10.5</v>
      </c>
      <c r="I603">
        <v>0</v>
      </c>
      <c r="J603">
        <v>11.15</v>
      </c>
      <c r="K603" s="245">
        <v>-12.23</v>
      </c>
      <c r="L603" s="245">
        <v>21.11</v>
      </c>
      <c r="M603" s="245">
        <v>1.74</v>
      </c>
    </row>
    <row r="604" spans="1:13">
      <c r="A604">
        <v>3045</v>
      </c>
      <c r="B604" t="s">
        <v>5303</v>
      </c>
      <c r="C604">
        <v>351</v>
      </c>
      <c r="D604">
        <v>3</v>
      </c>
      <c r="E604">
        <v>0</v>
      </c>
      <c r="F604">
        <v>8</v>
      </c>
      <c r="G604">
        <v>14</v>
      </c>
      <c r="H604">
        <v>10.28</v>
      </c>
      <c r="I604">
        <v>0</v>
      </c>
      <c r="J604">
        <v>3.9</v>
      </c>
      <c r="K604" s="245">
        <v>-3.65</v>
      </c>
      <c r="L604" s="245">
        <v>56.5</v>
      </c>
      <c r="M604" s="245">
        <v>0.52</v>
      </c>
    </row>
    <row r="605" spans="1:13">
      <c r="A605">
        <v>3046</v>
      </c>
      <c r="B605" t="s">
        <v>6496</v>
      </c>
      <c r="C605">
        <v>7.14</v>
      </c>
      <c r="D605">
        <v>308</v>
      </c>
      <c r="E605">
        <v>216</v>
      </c>
      <c r="F605">
        <v>-63</v>
      </c>
      <c r="G605">
        <v>-32</v>
      </c>
      <c r="H605">
        <v>2.93</v>
      </c>
      <c r="I605">
        <v>0</v>
      </c>
      <c r="J605">
        <v>1.82</v>
      </c>
      <c r="K605" s="245">
        <v>-46.17</v>
      </c>
      <c r="L605" s="245">
        <v>24.36</v>
      </c>
      <c r="M605" s="245">
        <v>8.5</v>
      </c>
    </row>
    <row r="606" spans="1:13">
      <c r="A606">
        <v>3047</v>
      </c>
      <c r="B606" t="s">
        <v>5304</v>
      </c>
      <c r="C606">
        <v>19.07</v>
      </c>
      <c r="D606">
        <v>-131</v>
      </c>
      <c r="E606">
        <v>-110</v>
      </c>
      <c r="F606">
        <v>-5</v>
      </c>
      <c r="G606">
        <v>10</v>
      </c>
      <c r="H606">
        <v>-0.72</v>
      </c>
      <c r="I606">
        <v>0</v>
      </c>
      <c r="J606">
        <v>-0.28999999999999998</v>
      </c>
      <c r="K606" s="245">
        <v>-29.53</v>
      </c>
      <c r="L606" s="245">
        <v>14.88</v>
      </c>
      <c r="M606" s="245">
        <v>27.13</v>
      </c>
    </row>
    <row r="607" spans="1:13">
      <c r="A607">
        <v>3048</v>
      </c>
      <c r="B607" t="s">
        <v>5305</v>
      </c>
      <c r="C607">
        <v>26.98</v>
      </c>
      <c r="D607">
        <v>62</v>
      </c>
      <c r="E607">
        <v>24</v>
      </c>
      <c r="F607">
        <v>45</v>
      </c>
      <c r="G607">
        <v>21</v>
      </c>
      <c r="H607">
        <v>1.49</v>
      </c>
      <c r="I607">
        <v>3.4</v>
      </c>
      <c r="J607">
        <v>4.63</v>
      </c>
      <c r="K607" s="245">
        <v>-13.48</v>
      </c>
      <c r="L607" s="245">
        <v>29.16</v>
      </c>
      <c r="M607" s="245">
        <v>15.11</v>
      </c>
    </row>
    <row r="608" spans="1:13">
      <c r="A608">
        <v>3049</v>
      </c>
      <c r="B608" t="s">
        <v>5306</v>
      </c>
      <c r="C608">
        <v>80.69</v>
      </c>
      <c r="D608">
        <v>191</v>
      </c>
      <c r="E608">
        <v>139</v>
      </c>
      <c r="F608">
        <v>-21</v>
      </c>
      <c r="G608">
        <v>-24</v>
      </c>
      <c r="H608">
        <v>26.57</v>
      </c>
      <c r="I608">
        <v>0.35</v>
      </c>
      <c r="J608">
        <v>1.24</v>
      </c>
      <c r="K608" s="245">
        <v>-42.71</v>
      </c>
      <c r="L608" s="245">
        <v>11.94</v>
      </c>
      <c r="M608" s="245">
        <v>21.46</v>
      </c>
    </row>
    <row r="609" spans="1:13">
      <c r="A609">
        <v>3050</v>
      </c>
      <c r="B609" t="s">
        <v>5307</v>
      </c>
      <c r="C609">
        <v>14.59</v>
      </c>
      <c r="D609">
        <v>10</v>
      </c>
      <c r="E609">
        <v>-38</v>
      </c>
      <c r="F609">
        <v>24</v>
      </c>
      <c r="G609">
        <v>18</v>
      </c>
      <c r="H609">
        <v>11.12</v>
      </c>
      <c r="I609">
        <v>0.6</v>
      </c>
      <c r="J609">
        <v>0.9</v>
      </c>
      <c r="K609" s="245">
        <v>-6.57</v>
      </c>
      <c r="L609" s="245">
        <v>57.26</v>
      </c>
      <c r="M609" s="245">
        <v>11.54</v>
      </c>
    </row>
    <row r="610" spans="1:13">
      <c r="A610">
        <v>3051</v>
      </c>
      <c r="B610" t="s">
        <v>6186</v>
      </c>
      <c r="C610">
        <v>17</v>
      </c>
      <c r="D610">
        <v>4819</v>
      </c>
      <c r="E610">
        <v>167</v>
      </c>
      <c r="F610">
        <v>12</v>
      </c>
      <c r="G610">
        <v>-4</v>
      </c>
      <c r="H610">
        <v>9.93</v>
      </c>
      <c r="I610">
        <v>0</v>
      </c>
      <c r="J610">
        <v>4.76</v>
      </c>
      <c r="K610" s="245">
        <v>-56.27</v>
      </c>
      <c r="L610" s="245">
        <v>12.71</v>
      </c>
      <c r="M610" s="245">
        <v>27.34</v>
      </c>
    </row>
    <row r="611" spans="1:13">
      <c r="A611">
        <v>3052</v>
      </c>
      <c r="B611" t="s">
        <v>5308</v>
      </c>
      <c r="C611">
        <v>22.87</v>
      </c>
      <c r="D611">
        <v>-67</v>
      </c>
      <c r="E611">
        <v>-76</v>
      </c>
      <c r="F611">
        <v>40</v>
      </c>
      <c r="G611">
        <v>-25</v>
      </c>
      <c r="H611">
        <v>1.88</v>
      </c>
      <c r="I611">
        <v>0.25</v>
      </c>
      <c r="J611">
        <v>0.52</v>
      </c>
      <c r="K611" s="245">
        <v>-22.39</v>
      </c>
      <c r="L611" s="245">
        <v>30.01</v>
      </c>
      <c r="M611" s="245">
        <v>1.98</v>
      </c>
    </row>
    <row r="612" spans="1:13">
      <c r="A612">
        <v>3054</v>
      </c>
      <c r="B612" t="s">
        <v>5309</v>
      </c>
      <c r="C612">
        <v>8.34</v>
      </c>
      <c r="D612">
        <v>434</v>
      </c>
      <c r="E612">
        <v>52</v>
      </c>
      <c r="F612">
        <v>-30</v>
      </c>
      <c r="G612">
        <v>-35</v>
      </c>
      <c r="H612">
        <v>-101.73</v>
      </c>
      <c r="I612">
        <v>0</v>
      </c>
      <c r="J612">
        <v>0.55000000000000004</v>
      </c>
      <c r="K612" s="245">
        <v>-45.71</v>
      </c>
      <c r="L612" s="245">
        <v>9.44</v>
      </c>
      <c r="M612" s="245">
        <v>7.94</v>
      </c>
    </row>
    <row r="613" spans="1:13">
      <c r="A613">
        <v>3055</v>
      </c>
      <c r="B613" t="s">
        <v>5310</v>
      </c>
      <c r="C613">
        <v>11.87</v>
      </c>
      <c r="D613">
        <v>-910</v>
      </c>
      <c r="E613">
        <v>-207</v>
      </c>
      <c r="F613">
        <v>105</v>
      </c>
      <c r="G613">
        <v>-41</v>
      </c>
      <c r="H613">
        <v>-13.37</v>
      </c>
      <c r="I613">
        <v>0.2</v>
      </c>
      <c r="J613">
        <v>-3.7</v>
      </c>
      <c r="K613" s="245">
        <v>-25.85</v>
      </c>
      <c r="L613" s="245">
        <v>25.28</v>
      </c>
      <c r="M613" s="245">
        <v>3.7</v>
      </c>
    </row>
    <row r="614" spans="1:13">
      <c r="A614">
        <v>3056</v>
      </c>
      <c r="B614" t="s">
        <v>5311</v>
      </c>
      <c r="C614">
        <v>21.17</v>
      </c>
      <c r="D614">
        <v>-37</v>
      </c>
      <c r="E614">
        <v>-37</v>
      </c>
      <c r="F614">
        <v>-29</v>
      </c>
      <c r="G614">
        <v>-61</v>
      </c>
      <c r="H614">
        <v>21.73</v>
      </c>
      <c r="I614">
        <v>1.5</v>
      </c>
      <c r="J614">
        <v>3.01</v>
      </c>
      <c r="K614" s="245">
        <v>-24.25</v>
      </c>
      <c r="L614" s="245">
        <v>14.11</v>
      </c>
      <c r="M614" s="245">
        <v>4.47</v>
      </c>
    </row>
    <row r="615" spans="1:13">
      <c r="A615">
        <v>3057</v>
      </c>
      <c r="B615" t="s">
        <v>6497</v>
      </c>
      <c r="C615">
        <v>9.26</v>
      </c>
      <c r="D615">
        <v>100</v>
      </c>
      <c r="E615">
        <v>96</v>
      </c>
      <c r="F615">
        <v>52</v>
      </c>
      <c r="G615">
        <v>30</v>
      </c>
      <c r="H615">
        <v>-0.51</v>
      </c>
      <c r="I615">
        <v>0</v>
      </c>
      <c r="J615">
        <v>0.01</v>
      </c>
      <c r="K615" s="245">
        <v>-24.24</v>
      </c>
      <c r="L615" s="245">
        <v>13</v>
      </c>
      <c r="M615" s="245">
        <v>8.73</v>
      </c>
    </row>
    <row r="616" spans="1:13">
      <c r="A616">
        <v>3058</v>
      </c>
      <c r="B616" t="s">
        <v>6498</v>
      </c>
      <c r="C616">
        <v>15.85</v>
      </c>
      <c r="D616">
        <v>-165</v>
      </c>
      <c r="E616">
        <v>-117</v>
      </c>
      <c r="F616">
        <v>0</v>
      </c>
      <c r="G616">
        <v>-13</v>
      </c>
      <c r="H616">
        <v>-6.69</v>
      </c>
      <c r="I616">
        <v>0</v>
      </c>
      <c r="J616">
        <v>-2.06</v>
      </c>
      <c r="K616" s="245">
        <v>-48.64</v>
      </c>
      <c r="L616" s="245">
        <v>9.43</v>
      </c>
      <c r="M616" s="245">
        <v>18.22</v>
      </c>
    </row>
    <row r="617" spans="1:13">
      <c r="A617">
        <v>3059</v>
      </c>
      <c r="B617" t="s">
        <v>5312</v>
      </c>
      <c r="C617">
        <v>27.89</v>
      </c>
      <c r="D617">
        <v>73</v>
      </c>
      <c r="E617">
        <v>172</v>
      </c>
      <c r="F617">
        <v>25</v>
      </c>
      <c r="G617">
        <v>58</v>
      </c>
      <c r="H617">
        <v>2.56</v>
      </c>
      <c r="I617">
        <v>0.7</v>
      </c>
      <c r="J617">
        <v>0.85</v>
      </c>
      <c r="K617" s="245">
        <v>-33.4</v>
      </c>
      <c r="L617" s="245">
        <v>12.16</v>
      </c>
      <c r="M617" s="245">
        <v>26.92</v>
      </c>
    </row>
    <row r="618" spans="1:13">
      <c r="A618">
        <v>3060</v>
      </c>
      <c r="B618" t="s">
        <v>5313</v>
      </c>
      <c r="C618">
        <v>13.75</v>
      </c>
      <c r="D618">
        <v>164</v>
      </c>
      <c r="E618">
        <v>165</v>
      </c>
      <c r="F618">
        <v>-14</v>
      </c>
      <c r="G618">
        <v>18</v>
      </c>
      <c r="H618">
        <v>4.3899999999999997</v>
      </c>
      <c r="I618">
        <v>1</v>
      </c>
      <c r="J618">
        <v>1.36</v>
      </c>
      <c r="K618" s="245">
        <v>-39.479999999999997</v>
      </c>
      <c r="L618" s="245">
        <v>20.81</v>
      </c>
      <c r="M618" s="245">
        <v>23.45</v>
      </c>
    </row>
    <row r="619" spans="1:13">
      <c r="A619">
        <v>3062</v>
      </c>
      <c r="B619" t="s">
        <v>5314</v>
      </c>
      <c r="C619">
        <v>32.86</v>
      </c>
      <c r="D619">
        <v>3</v>
      </c>
      <c r="E619">
        <v>-1000</v>
      </c>
      <c r="F619">
        <v>10</v>
      </c>
      <c r="G619">
        <v>-29</v>
      </c>
      <c r="H619">
        <v>-7.11</v>
      </c>
      <c r="I619">
        <v>0</v>
      </c>
      <c r="J619">
        <v>7.0000000000000007E-2</v>
      </c>
      <c r="K619" s="245">
        <v>-42.76</v>
      </c>
      <c r="L619" s="245">
        <v>16.96</v>
      </c>
      <c r="M619" s="245">
        <v>37.99</v>
      </c>
    </row>
    <row r="620" spans="1:13">
      <c r="A620">
        <v>3064</v>
      </c>
      <c r="B620" t="s">
        <v>6499</v>
      </c>
      <c r="C620">
        <v>2.67</v>
      </c>
      <c r="D620">
        <v>61</v>
      </c>
      <c r="E620">
        <v>83</v>
      </c>
      <c r="F620">
        <v>-21</v>
      </c>
      <c r="G620">
        <v>-86</v>
      </c>
      <c r="H620">
        <v>-3.56</v>
      </c>
      <c r="I620">
        <v>0</v>
      </c>
      <c r="J620">
        <v>-0.75</v>
      </c>
      <c r="K620" s="245">
        <v>-56.1</v>
      </c>
      <c r="L620" s="245">
        <v>16.760000000000002</v>
      </c>
      <c r="M620" s="245">
        <v>0.65</v>
      </c>
    </row>
    <row r="621" spans="1:13">
      <c r="A621">
        <v>3066</v>
      </c>
      <c r="B621" t="s">
        <v>6344</v>
      </c>
      <c r="C621">
        <v>8.3000000000000007</v>
      </c>
      <c r="D621">
        <v>343</v>
      </c>
      <c r="E621">
        <v>156</v>
      </c>
      <c r="F621">
        <v>-28</v>
      </c>
      <c r="G621">
        <v>-44</v>
      </c>
      <c r="H621">
        <v>4.62</v>
      </c>
      <c r="I621">
        <v>0</v>
      </c>
      <c r="J621">
        <v>2.08</v>
      </c>
      <c r="K621" s="245">
        <v>-39.520000000000003</v>
      </c>
      <c r="L621" s="245">
        <v>21.3</v>
      </c>
      <c r="M621" s="245">
        <v>3.44</v>
      </c>
    </row>
    <row r="622" spans="1:13">
      <c r="A622">
        <v>3067</v>
      </c>
      <c r="B622" t="s">
        <v>6500</v>
      </c>
      <c r="C622">
        <v>2</v>
      </c>
      <c r="D622">
        <v>504</v>
      </c>
      <c r="E622">
        <v>7</v>
      </c>
      <c r="F622">
        <v>-75</v>
      </c>
      <c r="G622">
        <v>-88</v>
      </c>
      <c r="H622">
        <v>-43.96</v>
      </c>
      <c r="I622">
        <v>0</v>
      </c>
      <c r="J622">
        <v>4.71</v>
      </c>
      <c r="K622" s="245">
        <v>-4.6500000000000004</v>
      </c>
      <c r="L622" s="245">
        <v>41.62</v>
      </c>
      <c r="M622" s="245">
        <v>0.56000000000000005</v>
      </c>
    </row>
    <row r="623" spans="1:13">
      <c r="A623">
        <v>3071</v>
      </c>
      <c r="B623" t="s">
        <v>5315</v>
      </c>
      <c r="C623">
        <v>11</v>
      </c>
      <c r="D623">
        <v>0</v>
      </c>
      <c r="E623">
        <v>16</v>
      </c>
      <c r="F623">
        <v>13</v>
      </c>
      <c r="G623">
        <v>15</v>
      </c>
      <c r="H623">
        <v>8.9</v>
      </c>
      <c r="I623">
        <v>1.6</v>
      </c>
      <c r="J623">
        <v>1.86</v>
      </c>
      <c r="K623" s="245">
        <v>-20.76</v>
      </c>
      <c r="L623" s="245">
        <v>34.79</v>
      </c>
      <c r="M623" s="245">
        <v>10.26</v>
      </c>
    </row>
    <row r="624" spans="1:13">
      <c r="A624">
        <v>3073</v>
      </c>
      <c r="B624" t="s">
        <v>6501</v>
      </c>
      <c r="C624">
        <v>2.7</v>
      </c>
      <c r="D624">
        <v>-696</v>
      </c>
      <c r="E624">
        <v>-1291</v>
      </c>
      <c r="F624">
        <v>-21</v>
      </c>
      <c r="G624">
        <v>-2</v>
      </c>
      <c r="H624">
        <v>-41.15</v>
      </c>
      <c r="I624">
        <v>0</v>
      </c>
      <c r="J624">
        <v>-3.16</v>
      </c>
      <c r="K624" s="245">
        <v>-25.81</v>
      </c>
      <c r="L624" s="245">
        <v>27.84</v>
      </c>
      <c r="M624" s="245">
        <v>0.24</v>
      </c>
    </row>
    <row r="625" spans="1:13">
      <c r="A625">
        <v>3078</v>
      </c>
      <c r="B625" t="s">
        <v>5316</v>
      </c>
      <c r="C625">
        <v>22.73</v>
      </c>
      <c r="D625">
        <v>-5</v>
      </c>
      <c r="E625">
        <v>-2</v>
      </c>
      <c r="F625">
        <v>16</v>
      </c>
      <c r="G625">
        <v>-32</v>
      </c>
      <c r="H625">
        <v>12.13</v>
      </c>
      <c r="I625">
        <v>3.25</v>
      </c>
      <c r="J625">
        <v>4.3</v>
      </c>
      <c r="K625" s="245">
        <v>-38.159999999999997</v>
      </c>
      <c r="L625" s="245">
        <v>26.87</v>
      </c>
      <c r="M625" s="245">
        <v>24.22</v>
      </c>
    </row>
    <row r="626" spans="1:13">
      <c r="A626">
        <v>3081</v>
      </c>
      <c r="B626" t="s">
        <v>5317</v>
      </c>
      <c r="C626">
        <v>9.1300000000000008</v>
      </c>
      <c r="D626">
        <v>-42</v>
      </c>
      <c r="E626">
        <v>-41</v>
      </c>
      <c r="F626">
        <v>8</v>
      </c>
      <c r="G626">
        <v>-7</v>
      </c>
      <c r="H626">
        <v>22</v>
      </c>
      <c r="I626">
        <v>3.5</v>
      </c>
      <c r="J626">
        <v>3.71</v>
      </c>
      <c r="K626" s="245">
        <v>-52.43</v>
      </c>
      <c r="L626" s="245">
        <v>10.96</v>
      </c>
      <c r="M626" s="245">
        <v>5.0199999999999996</v>
      </c>
    </row>
    <row r="627" spans="1:13">
      <c r="A627">
        <v>3083</v>
      </c>
      <c r="B627" t="s">
        <v>5318</v>
      </c>
      <c r="C627">
        <v>8.6199999999999992</v>
      </c>
      <c r="D627">
        <v>-384</v>
      </c>
      <c r="E627">
        <v>-532</v>
      </c>
      <c r="F627">
        <v>4</v>
      </c>
      <c r="G627">
        <v>10</v>
      </c>
      <c r="H627">
        <v>-18.45</v>
      </c>
      <c r="I627">
        <v>0</v>
      </c>
      <c r="J627">
        <v>-0.46</v>
      </c>
      <c r="K627" s="245">
        <v>-34.380000000000003</v>
      </c>
      <c r="L627" s="245">
        <v>25.41</v>
      </c>
      <c r="M627" s="245">
        <v>30.8</v>
      </c>
    </row>
    <row r="628" spans="1:13">
      <c r="A628">
        <v>3085</v>
      </c>
      <c r="B628" t="s">
        <v>6502</v>
      </c>
      <c r="C628">
        <v>5.8</v>
      </c>
      <c r="D628">
        <v>119</v>
      </c>
      <c r="E628">
        <v>58</v>
      </c>
      <c r="F628">
        <v>86</v>
      </c>
      <c r="G628">
        <v>488</v>
      </c>
      <c r="H628">
        <v>-61</v>
      </c>
      <c r="I628">
        <v>0</v>
      </c>
      <c r="J628">
        <v>0.37</v>
      </c>
      <c r="K628" s="245">
        <v>-39.07</v>
      </c>
      <c r="L628" s="245">
        <v>30.44</v>
      </c>
      <c r="M628" s="245">
        <v>1.08</v>
      </c>
    </row>
    <row r="629" spans="1:13">
      <c r="A629">
        <v>3086</v>
      </c>
      <c r="B629" t="s">
        <v>5319</v>
      </c>
      <c r="C629">
        <v>1.93</v>
      </c>
      <c r="D629">
        <v>16379</v>
      </c>
      <c r="E629">
        <v>5265</v>
      </c>
      <c r="F629">
        <v>-9</v>
      </c>
      <c r="G629">
        <v>-37</v>
      </c>
      <c r="H629">
        <v>38.619999999999997</v>
      </c>
      <c r="I629">
        <v>3.5</v>
      </c>
      <c r="J629">
        <v>4.8</v>
      </c>
      <c r="K629" s="245">
        <v>-37.57</v>
      </c>
      <c r="L629" s="245">
        <v>12.18</v>
      </c>
      <c r="M629" s="245">
        <v>65.17</v>
      </c>
    </row>
    <row r="630" spans="1:13">
      <c r="A630">
        <v>3088</v>
      </c>
      <c r="B630" t="s">
        <v>5320</v>
      </c>
      <c r="C630">
        <v>9.02</v>
      </c>
      <c r="D630">
        <v>27</v>
      </c>
      <c r="E630">
        <v>3</v>
      </c>
      <c r="F630">
        <v>-17</v>
      </c>
      <c r="G630">
        <v>40</v>
      </c>
      <c r="H630">
        <v>8.23</v>
      </c>
      <c r="I630">
        <v>3.05</v>
      </c>
      <c r="J630">
        <v>4.57</v>
      </c>
      <c r="K630" s="245">
        <v>-19.72</v>
      </c>
      <c r="L630" s="245">
        <v>24.43</v>
      </c>
      <c r="M630" s="245">
        <v>12.89</v>
      </c>
    </row>
    <row r="631" spans="1:13">
      <c r="A631">
        <v>3089</v>
      </c>
      <c r="B631" t="s">
        <v>6503</v>
      </c>
      <c r="C631">
        <v>6.51</v>
      </c>
      <c r="D631">
        <v>252</v>
      </c>
      <c r="E631">
        <v>238</v>
      </c>
      <c r="F631">
        <v>-2</v>
      </c>
      <c r="G631">
        <v>-58</v>
      </c>
      <c r="H631">
        <v>8.07</v>
      </c>
      <c r="I631">
        <v>0</v>
      </c>
      <c r="J631">
        <v>0.69</v>
      </c>
      <c r="K631" s="245">
        <v>-36.71</v>
      </c>
      <c r="L631" s="245">
        <v>30.91</v>
      </c>
      <c r="M631" s="245">
        <v>1.44</v>
      </c>
    </row>
    <row r="632" spans="1:13">
      <c r="A632">
        <v>3090</v>
      </c>
      <c r="B632" t="s">
        <v>5321</v>
      </c>
      <c r="C632">
        <v>17.86</v>
      </c>
      <c r="D632">
        <v>39</v>
      </c>
      <c r="E632">
        <v>29</v>
      </c>
      <c r="F632">
        <v>-3</v>
      </c>
      <c r="G632">
        <v>4</v>
      </c>
      <c r="H632">
        <v>10.56</v>
      </c>
      <c r="I632">
        <v>4</v>
      </c>
      <c r="J632">
        <v>4.59</v>
      </c>
      <c r="K632" s="245">
        <v>-12.54</v>
      </c>
      <c r="L632" s="245">
        <v>45.3</v>
      </c>
      <c r="M632" s="245">
        <v>6.11</v>
      </c>
    </row>
    <row r="633" spans="1:13">
      <c r="A633">
        <v>3092</v>
      </c>
      <c r="B633" t="s">
        <v>5322</v>
      </c>
      <c r="C633">
        <v>9.26</v>
      </c>
      <c r="D633">
        <v>-82</v>
      </c>
      <c r="E633">
        <v>-83</v>
      </c>
      <c r="F633">
        <v>-11</v>
      </c>
      <c r="G633">
        <v>51</v>
      </c>
      <c r="H633">
        <v>0.89</v>
      </c>
      <c r="I633">
        <v>0</v>
      </c>
      <c r="J633">
        <v>0.25</v>
      </c>
      <c r="K633" s="245">
        <v>-24.74</v>
      </c>
      <c r="L633" s="245">
        <v>32.39</v>
      </c>
      <c r="M633" s="245">
        <v>14.59</v>
      </c>
    </row>
    <row r="634" spans="1:13">
      <c r="A634">
        <v>3093</v>
      </c>
      <c r="B634" t="s">
        <v>6299</v>
      </c>
      <c r="C634">
        <v>3.62</v>
      </c>
      <c r="D634">
        <v>52</v>
      </c>
      <c r="E634">
        <v>74</v>
      </c>
      <c r="F634">
        <v>52</v>
      </c>
      <c r="G634">
        <v>47</v>
      </c>
      <c r="H634">
        <v>17.5</v>
      </c>
      <c r="I634">
        <v>6.3</v>
      </c>
      <c r="J634">
        <v>7.41</v>
      </c>
      <c r="K634" s="245">
        <v>-10.49</v>
      </c>
      <c r="L634" s="245">
        <v>32.54</v>
      </c>
      <c r="M634" s="245">
        <v>4.32</v>
      </c>
    </row>
    <row r="635" spans="1:13">
      <c r="A635">
        <v>3094</v>
      </c>
      <c r="B635" t="s">
        <v>5323</v>
      </c>
      <c r="C635">
        <v>8.31</v>
      </c>
      <c r="D635">
        <v>108</v>
      </c>
      <c r="E635">
        <v>179</v>
      </c>
      <c r="F635">
        <v>0</v>
      </c>
      <c r="G635">
        <v>-4</v>
      </c>
      <c r="H635">
        <v>19.940000000000001</v>
      </c>
      <c r="I635">
        <v>1</v>
      </c>
      <c r="J635">
        <v>0.85</v>
      </c>
      <c r="K635" s="245">
        <v>-44.5</v>
      </c>
      <c r="L635" s="245">
        <v>17.46</v>
      </c>
      <c r="M635" s="245">
        <v>85.8</v>
      </c>
    </row>
    <row r="636" spans="1:13">
      <c r="A636">
        <v>3095</v>
      </c>
      <c r="B636" t="s">
        <v>6504</v>
      </c>
      <c r="C636">
        <v>10.92</v>
      </c>
      <c r="D636">
        <v>52</v>
      </c>
      <c r="E636">
        <v>44</v>
      </c>
      <c r="F636">
        <v>-11</v>
      </c>
      <c r="G636">
        <v>-2</v>
      </c>
      <c r="H636">
        <v>-5.98</v>
      </c>
      <c r="I636">
        <v>0</v>
      </c>
      <c r="J636">
        <v>-0.28000000000000003</v>
      </c>
      <c r="K636" s="245">
        <v>-42.71</v>
      </c>
      <c r="L636" s="245">
        <v>3.5</v>
      </c>
      <c r="M636" s="245">
        <v>3.1</v>
      </c>
    </row>
    <row r="637" spans="1:13">
      <c r="A637">
        <v>3105</v>
      </c>
      <c r="B637" t="s">
        <v>5324</v>
      </c>
      <c r="C637">
        <v>42.39</v>
      </c>
      <c r="D637">
        <v>-19</v>
      </c>
      <c r="E637">
        <v>-17</v>
      </c>
      <c r="F637">
        <v>-2</v>
      </c>
      <c r="G637">
        <v>-11</v>
      </c>
      <c r="H637">
        <v>24.53</v>
      </c>
      <c r="I637">
        <v>8</v>
      </c>
      <c r="J637">
        <v>12.9</v>
      </c>
      <c r="K637" s="245">
        <v>-51.87</v>
      </c>
      <c r="L637" s="245">
        <v>3.94</v>
      </c>
      <c r="M637" s="245">
        <v>5.35</v>
      </c>
    </row>
    <row r="638" spans="1:13">
      <c r="A638">
        <v>3114</v>
      </c>
      <c r="B638" t="s">
        <v>5325</v>
      </c>
      <c r="C638">
        <v>5.9</v>
      </c>
      <c r="D638">
        <v>37</v>
      </c>
      <c r="E638">
        <v>28</v>
      </c>
      <c r="F638">
        <v>58</v>
      </c>
      <c r="G638">
        <v>44</v>
      </c>
      <c r="H638">
        <v>4.5599999999999996</v>
      </c>
      <c r="I638">
        <v>1.5</v>
      </c>
      <c r="J638">
        <v>2.42</v>
      </c>
      <c r="K638" s="245">
        <v>-39.770000000000003</v>
      </c>
      <c r="L638" s="245">
        <v>43.8</v>
      </c>
      <c r="M638" s="245">
        <v>32.57</v>
      </c>
    </row>
    <row r="639" spans="1:13">
      <c r="A639">
        <v>3115</v>
      </c>
      <c r="B639" t="s">
        <v>6505</v>
      </c>
      <c r="C639">
        <v>4.3600000000000003</v>
      </c>
      <c r="D639">
        <v>67</v>
      </c>
      <c r="E639">
        <v>33</v>
      </c>
      <c r="F639">
        <v>-22</v>
      </c>
      <c r="G639">
        <v>-48</v>
      </c>
      <c r="H639">
        <v>-2.4900000000000002</v>
      </c>
      <c r="I639">
        <v>0</v>
      </c>
      <c r="J639">
        <v>-0.33</v>
      </c>
      <c r="K639" s="245">
        <v>-31.34</v>
      </c>
      <c r="L639" s="245">
        <v>14.9</v>
      </c>
      <c r="M639" s="245">
        <v>5.59</v>
      </c>
    </row>
    <row r="640" spans="1:13">
      <c r="A640">
        <v>3118</v>
      </c>
      <c r="B640" t="s">
        <v>5326</v>
      </c>
      <c r="C640">
        <v>3.24</v>
      </c>
      <c r="D640">
        <v>17</v>
      </c>
      <c r="E640">
        <v>19</v>
      </c>
      <c r="F640">
        <v>-16</v>
      </c>
      <c r="G640">
        <v>-14</v>
      </c>
      <c r="H640">
        <v>11.66</v>
      </c>
      <c r="I640">
        <v>1.9</v>
      </c>
      <c r="J640">
        <v>2.1</v>
      </c>
      <c r="K640" s="245">
        <v>-15.25</v>
      </c>
      <c r="L640" s="245">
        <v>26.57</v>
      </c>
      <c r="M640" s="245">
        <v>5.46</v>
      </c>
    </row>
    <row r="641" spans="1:13">
      <c r="A641">
        <v>3122</v>
      </c>
      <c r="B641" t="s">
        <v>5327</v>
      </c>
      <c r="C641">
        <v>3.9</v>
      </c>
      <c r="D641">
        <v>1262</v>
      </c>
      <c r="E641">
        <v>1058</v>
      </c>
      <c r="F641">
        <v>-19</v>
      </c>
      <c r="G641">
        <v>-14</v>
      </c>
      <c r="H641">
        <v>17.05</v>
      </c>
      <c r="I641">
        <v>2.2000000000000002</v>
      </c>
      <c r="J641">
        <v>3.38</v>
      </c>
      <c r="K641" s="245">
        <v>-31.04</v>
      </c>
      <c r="L641" s="245">
        <v>23.19</v>
      </c>
      <c r="M641" s="245">
        <v>89.48</v>
      </c>
    </row>
    <row r="642" spans="1:13">
      <c r="A642">
        <v>3128</v>
      </c>
      <c r="B642" t="s">
        <v>5328</v>
      </c>
      <c r="C642">
        <v>4.2</v>
      </c>
      <c r="D642">
        <v>29</v>
      </c>
      <c r="E642">
        <v>10</v>
      </c>
      <c r="F642">
        <v>50</v>
      </c>
      <c r="G642">
        <v>53</v>
      </c>
      <c r="H642">
        <v>4.04</v>
      </c>
      <c r="I642">
        <v>0</v>
      </c>
      <c r="J642">
        <v>0.8</v>
      </c>
      <c r="K642" s="245">
        <v>-38.409999999999997</v>
      </c>
      <c r="L642" s="245">
        <v>21.7</v>
      </c>
      <c r="M642" s="245">
        <v>29.33</v>
      </c>
    </row>
    <row r="643" spans="1:13">
      <c r="A643">
        <v>3130</v>
      </c>
      <c r="B643" t="s">
        <v>5329</v>
      </c>
      <c r="C643">
        <v>3.31</v>
      </c>
      <c r="D643">
        <v>43</v>
      </c>
      <c r="E643">
        <v>37</v>
      </c>
      <c r="F643">
        <v>36</v>
      </c>
      <c r="G643">
        <v>19</v>
      </c>
      <c r="H643">
        <v>21.34</v>
      </c>
      <c r="I643">
        <v>11.16</v>
      </c>
      <c r="J643">
        <v>11.16</v>
      </c>
      <c r="K643" s="245">
        <v>-2.7</v>
      </c>
      <c r="L643" s="245">
        <v>59.95</v>
      </c>
      <c r="M643" s="245">
        <v>0.24</v>
      </c>
    </row>
    <row r="644" spans="1:13">
      <c r="A644">
        <v>3131</v>
      </c>
      <c r="B644" t="s">
        <v>6506</v>
      </c>
      <c r="C644">
        <v>2.92</v>
      </c>
      <c r="D644">
        <v>68</v>
      </c>
      <c r="E644">
        <v>54</v>
      </c>
      <c r="F644">
        <v>-5</v>
      </c>
      <c r="G644">
        <v>1</v>
      </c>
      <c r="H644">
        <v>22.53</v>
      </c>
      <c r="I644">
        <v>17</v>
      </c>
      <c r="J644">
        <v>23.47</v>
      </c>
      <c r="K644" s="245">
        <v>-35.89</v>
      </c>
      <c r="L644" s="245">
        <v>24.09</v>
      </c>
      <c r="M644" s="245">
        <v>8.01</v>
      </c>
    </row>
    <row r="645" spans="1:13">
      <c r="A645">
        <v>3138</v>
      </c>
      <c r="B645" t="s">
        <v>5330</v>
      </c>
      <c r="C645">
        <v>4.87</v>
      </c>
      <c r="D645">
        <v>155</v>
      </c>
      <c r="E645">
        <v>55</v>
      </c>
      <c r="F645">
        <v>29</v>
      </c>
      <c r="G645">
        <v>0</v>
      </c>
      <c r="H645">
        <v>10.83</v>
      </c>
      <c r="I645">
        <v>3</v>
      </c>
      <c r="J645">
        <v>5.96</v>
      </c>
      <c r="K645" s="245">
        <v>-47</v>
      </c>
      <c r="L645" s="245">
        <v>14.28</v>
      </c>
      <c r="M645" s="245">
        <v>14</v>
      </c>
    </row>
    <row r="646" spans="1:13">
      <c r="A646">
        <v>3141</v>
      </c>
      <c r="B646" t="s">
        <v>5331</v>
      </c>
      <c r="C646">
        <v>7.47</v>
      </c>
      <c r="D646">
        <v>445</v>
      </c>
      <c r="E646">
        <v>461</v>
      </c>
      <c r="F646">
        <v>0</v>
      </c>
      <c r="G646">
        <v>34</v>
      </c>
      <c r="H646">
        <v>29.97</v>
      </c>
      <c r="I646">
        <v>4</v>
      </c>
      <c r="J646">
        <v>9.8000000000000007</v>
      </c>
      <c r="K646" s="245">
        <v>-52.82</v>
      </c>
      <c r="L646" s="245">
        <v>22.85</v>
      </c>
      <c r="M646" s="245">
        <v>66.53</v>
      </c>
    </row>
    <row r="647" spans="1:13">
      <c r="A647">
        <v>3147</v>
      </c>
      <c r="B647" t="s">
        <v>5332</v>
      </c>
      <c r="C647">
        <v>3.9</v>
      </c>
      <c r="D647">
        <v>54</v>
      </c>
      <c r="E647">
        <v>93</v>
      </c>
      <c r="F647">
        <v>22</v>
      </c>
      <c r="G647">
        <v>-11</v>
      </c>
      <c r="H647">
        <v>5.26</v>
      </c>
      <c r="I647">
        <v>4</v>
      </c>
      <c r="J647">
        <v>4.9400000000000004</v>
      </c>
      <c r="K647" s="245">
        <v>-33.130000000000003</v>
      </c>
      <c r="L647" s="245">
        <v>26.38</v>
      </c>
      <c r="M647" s="245">
        <v>9.3800000000000008</v>
      </c>
    </row>
    <row r="648" spans="1:13">
      <c r="A648">
        <v>3149</v>
      </c>
      <c r="B648" t="s">
        <v>6507</v>
      </c>
      <c r="C648">
        <v>22.33</v>
      </c>
      <c r="D648">
        <v>58</v>
      </c>
      <c r="E648">
        <v>54</v>
      </c>
      <c r="F648">
        <v>37</v>
      </c>
      <c r="G648">
        <v>13</v>
      </c>
      <c r="H648">
        <v>-7.59</v>
      </c>
      <c r="I648">
        <v>0</v>
      </c>
      <c r="J648">
        <v>-0.59</v>
      </c>
      <c r="K648" s="245">
        <v>-52.71</v>
      </c>
      <c r="L648" s="245">
        <v>34.619999999999997</v>
      </c>
      <c r="M648" s="245">
        <v>9.39</v>
      </c>
    </row>
    <row r="649" spans="1:13">
      <c r="A649">
        <v>3152</v>
      </c>
      <c r="B649" t="s">
        <v>5333</v>
      </c>
      <c r="C649">
        <v>6.9</v>
      </c>
      <c r="D649">
        <v>23</v>
      </c>
      <c r="E649">
        <v>24</v>
      </c>
      <c r="F649">
        <v>-4</v>
      </c>
      <c r="G649">
        <v>-52</v>
      </c>
      <c r="H649">
        <v>45.67</v>
      </c>
      <c r="I649">
        <v>8</v>
      </c>
      <c r="J649">
        <v>14.88</v>
      </c>
      <c r="K649" s="245">
        <v>-58.99</v>
      </c>
      <c r="L649" s="245">
        <v>14.01</v>
      </c>
      <c r="M649" s="245">
        <v>3.71</v>
      </c>
    </row>
    <row r="650" spans="1:13">
      <c r="A650">
        <v>3162</v>
      </c>
      <c r="B650" t="s">
        <v>5334</v>
      </c>
      <c r="C650">
        <v>10.95</v>
      </c>
      <c r="D650">
        <v>734</v>
      </c>
      <c r="E650">
        <v>429</v>
      </c>
      <c r="F650">
        <v>74</v>
      </c>
      <c r="G650">
        <v>23</v>
      </c>
      <c r="H650">
        <v>5.7</v>
      </c>
      <c r="I650">
        <v>0</v>
      </c>
      <c r="J650">
        <v>0.82</v>
      </c>
      <c r="K650" s="245">
        <v>-40.409999999999997</v>
      </c>
      <c r="L650" s="245">
        <v>8.6199999999999992</v>
      </c>
      <c r="M650" s="245">
        <v>6.96</v>
      </c>
    </row>
    <row r="651" spans="1:13">
      <c r="A651">
        <v>3163</v>
      </c>
      <c r="B651" t="s">
        <v>5335</v>
      </c>
      <c r="C651">
        <v>7.52</v>
      </c>
      <c r="D651">
        <v>-64</v>
      </c>
      <c r="E651">
        <v>-75</v>
      </c>
      <c r="F651">
        <v>8</v>
      </c>
      <c r="G651">
        <v>56</v>
      </c>
      <c r="H651">
        <v>4.6900000000000004</v>
      </c>
      <c r="I651">
        <v>1</v>
      </c>
      <c r="J651">
        <v>1.0900000000000001</v>
      </c>
      <c r="K651" s="245">
        <v>-6.53</v>
      </c>
      <c r="L651" s="245">
        <v>66.180000000000007</v>
      </c>
      <c r="M651" s="245">
        <v>6.48</v>
      </c>
    </row>
    <row r="652" spans="1:13">
      <c r="A652">
        <v>3164</v>
      </c>
      <c r="B652" t="s">
        <v>5336</v>
      </c>
      <c r="C652">
        <v>8.6300000000000008</v>
      </c>
      <c r="D652">
        <v>82</v>
      </c>
      <c r="E652">
        <v>76</v>
      </c>
      <c r="F652">
        <v>94</v>
      </c>
      <c r="G652">
        <v>-17</v>
      </c>
      <c r="H652">
        <v>29.22</v>
      </c>
      <c r="I652">
        <v>1.1000000000000001</v>
      </c>
      <c r="J652">
        <v>1.31</v>
      </c>
      <c r="K652" s="245">
        <v>-6.54</v>
      </c>
      <c r="L652" s="245">
        <v>67.92</v>
      </c>
      <c r="M652" s="245">
        <v>6.6</v>
      </c>
    </row>
    <row r="653" spans="1:13">
      <c r="A653">
        <v>3167</v>
      </c>
      <c r="B653" t="s">
        <v>5337</v>
      </c>
      <c r="C653">
        <v>8.01</v>
      </c>
      <c r="D653">
        <v>5</v>
      </c>
      <c r="E653">
        <v>171</v>
      </c>
      <c r="F653">
        <v>-14</v>
      </c>
      <c r="G653">
        <v>-44</v>
      </c>
      <c r="H653">
        <v>12.4</v>
      </c>
      <c r="I653">
        <v>4</v>
      </c>
      <c r="J653">
        <v>5.51</v>
      </c>
      <c r="K653" s="245">
        <v>-50.04</v>
      </c>
      <c r="L653" s="245">
        <v>10.31</v>
      </c>
      <c r="M653" s="245">
        <v>15.87</v>
      </c>
    </row>
    <row r="654" spans="1:13">
      <c r="A654">
        <v>3169</v>
      </c>
      <c r="B654" t="s">
        <v>5338</v>
      </c>
      <c r="C654">
        <v>6.21</v>
      </c>
      <c r="D654">
        <v>141</v>
      </c>
      <c r="E654">
        <v>145</v>
      </c>
      <c r="F654">
        <v>0</v>
      </c>
      <c r="G654">
        <v>52</v>
      </c>
      <c r="H654">
        <v>34.74</v>
      </c>
      <c r="I654">
        <v>5</v>
      </c>
      <c r="J654">
        <v>6.34</v>
      </c>
      <c r="K654" s="245">
        <v>-51.25</v>
      </c>
      <c r="L654" s="245">
        <v>14.85</v>
      </c>
      <c r="M654" s="245">
        <v>70.58</v>
      </c>
    </row>
    <row r="655" spans="1:13">
      <c r="A655">
        <v>3171</v>
      </c>
      <c r="B655" t="s">
        <v>6323</v>
      </c>
      <c r="C655">
        <v>6.67</v>
      </c>
      <c r="D655">
        <v>-16</v>
      </c>
      <c r="E655">
        <v>-21</v>
      </c>
      <c r="F655">
        <v>27</v>
      </c>
      <c r="G655">
        <v>0</v>
      </c>
      <c r="H655">
        <v>5.64</v>
      </c>
      <c r="I655">
        <v>1.57</v>
      </c>
      <c r="J655">
        <v>1.64</v>
      </c>
      <c r="K655" s="245">
        <v>-28.82</v>
      </c>
      <c r="L655" s="245">
        <v>31.47</v>
      </c>
      <c r="M655" s="245">
        <v>1.55</v>
      </c>
    </row>
    <row r="656" spans="1:13">
      <c r="A656">
        <v>3176</v>
      </c>
      <c r="B656" t="s">
        <v>6508</v>
      </c>
      <c r="C656">
        <v>13.94</v>
      </c>
      <c r="D656">
        <v>226</v>
      </c>
      <c r="E656">
        <v>186</v>
      </c>
      <c r="F656">
        <v>245</v>
      </c>
      <c r="G656">
        <v>119</v>
      </c>
      <c r="H656">
        <v>20.12</v>
      </c>
      <c r="I656">
        <v>0</v>
      </c>
      <c r="J656">
        <v>-0.38</v>
      </c>
      <c r="K656" s="245">
        <v>-44.89</v>
      </c>
      <c r="L656" s="245">
        <v>28.58</v>
      </c>
      <c r="M656" s="245">
        <v>11.3</v>
      </c>
    </row>
    <row r="657" spans="1:13">
      <c r="A657">
        <v>3178</v>
      </c>
      <c r="B657" t="s">
        <v>5339</v>
      </c>
      <c r="C657">
        <v>4.5</v>
      </c>
      <c r="D657">
        <v>-12</v>
      </c>
      <c r="E657">
        <v>-21</v>
      </c>
      <c r="F657">
        <v>-2</v>
      </c>
      <c r="G657">
        <v>0</v>
      </c>
      <c r="H657">
        <v>8.89</v>
      </c>
      <c r="I657">
        <v>1</v>
      </c>
      <c r="J657">
        <v>2</v>
      </c>
      <c r="K657" s="245">
        <v>-36.36</v>
      </c>
      <c r="L657" s="245">
        <v>10.72</v>
      </c>
      <c r="M657" s="245">
        <v>18.760000000000002</v>
      </c>
    </row>
    <row r="658" spans="1:13">
      <c r="A658">
        <v>3188</v>
      </c>
      <c r="B658" t="s">
        <v>5340</v>
      </c>
      <c r="C658">
        <v>12.02</v>
      </c>
      <c r="D658">
        <v>266</v>
      </c>
      <c r="E658">
        <v>239</v>
      </c>
      <c r="F658">
        <v>-2</v>
      </c>
      <c r="G658">
        <v>-91</v>
      </c>
      <c r="H658">
        <v>18.12</v>
      </c>
      <c r="I658">
        <v>1</v>
      </c>
      <c r="J658">
        <v>1.78</v>
      </c>
      <c r="K658" s="245">
        <v>-16.88</v>
      </c>
      <c r="L658" s="245">
        <v>40.64</v>
      </c>
      <c r="M658" s="245">
        <v>2.85</v>
      </c>
    </row>
    <row r="659" spans="1:13">
      <c r="A659">
        <v>3189</v>
      </c>
      <c r="B659" t="s">
        <v>5341</v>
      </c>
      <c r="C659">
        <v>45.08</v>
      </c>
      <c r="D659">
        <v>383</v>
      </c>
      <c r="E659">
        <v>273</v>
      </c>
      <c r="F659">
        <v>0</v>
      </c>
      <c r="G659">
        <v>37</v>
      </c>
      <c r="H659">
        <v>14.03</v>
      </c>
      <c r="I659">
        <v>4.5</v>
      </c>
      <c r="J659">
        <v>8.56</v>
      </c>
      <c r="K659" s="245">
        <v>-35.340000000000003</v>
      </c>
      <c r="L659" s="245">
        <v>21.87</v>
      </c>
      <c r="M659" s="245">
        <v>13.89</v>
      </c>
    </row>
    <row r="660" spans="1:13">
      <c r="A660">
        <v>3191</v>
      </c>
      <c r="B660" t="s">
        <v>6509</v>
      </c>
      <c r="C660">
        <v>8.7100000000000009</v>
      </c>
      <c r="D660">
        <v>81</v>
      </c>
      <c r="E660">
        <v>79</v>
      </c>
      <c r="F660">
        <v>92</v>
      </c>
      <c r="G660">
        <v>-1</v>
      </c>
      <c r="H660">
        <v>-6.13</v>
      </c>
      <c r="I660">
        <v>0</v>
      </c>
      <c r="J660">
        <v>-0.59</v>
      </c>
      <c r="K660" s="245">
        <v>-23.52</v>
      </c>
      <c r="L660" s="245">
        <v>28.67</v>
      </c>
      <c r="M660" s="245">
        <v>1.86</v>
      </c>
    </row>
    <row r="661" spans="1:13">
      <c r="A661">
        <v>3202</v>
      </c>
      <c r="B661" t="s">
        <v>5342</v>
      </c>
      <c r="C661">
        <v>11.71</v>
      </c>
      <c r="D661">
        <v>690</v>
      </c>
      <c r="E661">
        <v>-52</v>
      </c>
      <c r="F661">
        <v>74</v>
      </c>
      <c r="G661">
        <v>17</v>
      </c>
      <c r="H661">
        <v>1.21</v>
      </c>
      <c r="I661">
        <v>0</v>
      </c>
      <c r="J661">
        <v>0.31</v>
      </c>
      <c r="K661" s="245">
        <v>-35.75</v>
      </c>
      <c r="L661" s="245">
        <v>11.12</v>
      </c>
      <c r="M661" s="245">
        <v>7.84</v>
      </c>
    </row>
    <row r="662" spans="1:13">
      <c r="A662">
        <v>3205</v>
      </c>
      <c r="B662" t="s">
        <v>5343</v>
      </c>
      <c r="C662">
        <v>3.27</v>
      </c>
      <c r="D662">
        <v>-17</v>
      </c>
      <c r="E662">
        <v>-25</v>
      </c>
      <c r="F662">
        <v>0</v>
      </c>
      <c r="G662">
        <v>-15</v>
      </c>
      <c r="H662">
        <v>-15.32</v>
      </c>
      <c r="I662">
        <v>0</v>
      </c>
      <c r="J662">
        <v>-2.66</v>
      </c>
      <c r="K662" s="245">
        <v>-25.68</v>
      </c>
      <c r="L662" s="245">
        <v>27.91</v>
      </c>
      <c r="M662" s="245">
        <v>11.81</v>
      </c>
    </row>
    <row r="663" spans="1:13">
      <c r="A663">
        <v>3206</v>
      </c>
      <c r="B663" t="s">
        <v>6253</v>
      </c>
      <c r="C663">
        <v>5.89</v>
      </c>
      <c r="D663">
        <v>-16</v>
      </c>
      <c r="E663">
        <v>-31</v>
      </c>
      <c r="F663">
        <v>1</v>
      </c>
      <c r="G663">
        <v>-18</v>
      </c>
      <c r="H663">
        <v>3.34</v>
      </c>
      <c r="I663">
        <v>1.8</v>
      </c>
      <c r="J663">
        <v>2.39</v>
      </c>
      <c r="K663" s="245">
        <v>-20.6</v>
      </c>
      <c r="L663" s="245">
        <v>20.63</v>
      </c>
      <c r="M663" s="245">
        <v>1.27</v>
      </c>
    </row>
    <row r="664" spans="1:13">
      <c r="A664">
        <v>3207</v>
      </c>
      <c r="B664" t="s">
        <v>5344</v>
      </c>
      <c r="C664">
        <v>4.37</v>
      </c>
      <c r="D664">
        <v>247</v>
      </c>
      <c r="E664">
        <v>117</v>
      </c>
      <c r="F664">
        <v>36</v>
      </c>
      <c r="G664">
        <v>29</v>
      </c>
      <c r="H664">
        <v>0.37</v>
      </c>
      <c r="I664">
        <v>0</v>
      </c>
      <c r="J664">
        <v>0.74</v>
      </c>
      <c r="K664" s="245">
        <v>-2.97</v>
      </c>
      <c r="L664" s="245">
        <v>84.13</v>
      </c>
      <c r="M664" s="245">
        <v>89.68</v>
      </c>
    </row>
    <row r="665" spans="1:13">
      <c r="A665">
        <v>3209</v>
      </c>
      <c r="B665" t="s">
        <v>5345</v>
      </c>
      <c r="C665">
        <v>20.05</v>
      </c>
      <c r="D665">
        <v>74</v>
      </c>
      <c r="E665">
        <v>90</v>
      </c>
      <c r="F665">
        <v>15</v>
      </c>
      <c r="G665">
        <v>20</v>
      </c>
      <c r="H665">
        <v>2.3199999999999998</v>
      </c>
      <c r="I665">
        <v>3.2</v>
      </c>
      <c r="J665">
        <v>4.05</v>
      </c>
      <c r="K665" s="245">
        <v>-5.92</v>
      </c>
      <c r="L665" s="245">
        <v>69.47</v>
      </c>
      <c r="M665" s="245">
        <v>7.93</v>
      </c>
    </row>
    <row r="666" spans="1:13">
      <c r="A666">
        <v>3211</v>
      </c>
      <c r="B666" t="s">
        <v>5346</v>
      </c>
      <c r="C666">
        <v>14.96</v>
      </c>
      <c r="D666">
        <v>219</v>
      </c>
      <c r="E666">
        <v>-36</v>
      </c>
      <c r="F666">
        <v>-40</v>
      </c>
      <c r="G666">
        <v>-43</v>
      </c>
      <c r="H666">
        <v>4.08</v>
      </c>
      <c r="I666">
        <v>15.03</v>
      </c>
      <c r="J666">
        <v>22.42</v>
      </c>
      <c r="K666" s="245">
        <v>-36.729999999999997</v>
      </c>
      <c r="L666" s="245">
        <v>7.14</v>
      </c>
      <c r="M666" s="245">
        <v>10.09</v>
      </c>
    </row>
    <row r="667" spans="1:13">
      <c r="A667">
        <v>3213</v>
      </c>
      <c r="B667" t="s">
        <v>5347</v>
      </c>
      <c r="C667">
        <v>5.86</v>
      </c>
      <c r="D667">
        <v>95</v>
      </c>
      <c r="E667">
        <v>-12</v>
      </c>
      <c r="F667">
        <v>22</v>
      </c>
      <c r="G667">
        <v>-8</v>
      </c>
      <c r="H667">
        <v>11.56</v>
      </c>
      <c r="I667">
        <v>3.7</v>
      </c>
      <c r="J667">
        <v>10.87</v>
      </c>
      <c r="K667" s="245">
        <v>-23.48</v>
      </c>
      <c r="L667" s="245">
        <v>5.53</v>
      </c>
      <c r="M667" s="245">
        <v>22.01</v>
      </c>
    </row>
    <row r="668" spans="1:13">
      <c r="A668">
        <v>3217</v>
      </c>
      <c r="B668" t="s">
        <v>5348</v>
      </c>
      <c r="C668">
        <v>9.01</v>
      </c>
      <c r="D668">
        <v>4</v>
      </c>
      <c r="E668">
        <v>0</v>
      </c>
      <c r="F668">
        <v>-37</v>
      </c>
      <c r="G668">
        <v>-29</v>
      </c>
      <c r="H668">
        <v>26.02</v>
      </c>
      <c r="I668">
        <v>5.6</v>
      </c>
      <c r="J668">
        <v>7.11</v>
      </c>
      <c r="K668" s="245">
        <v>-38.869999999999997</v>
      </c>
      <c r="L668" s="245">
        <v>11.48</v>
      </c>
      <c r="M668" s="245">
        <v>28.12</v>
      </c>
    </row>
    <row r="669" spans="1:13">
      <c r="A669">
        <v>3218</v>
      </c>
      <c r="B669" t="s">
        <v>5349</v>
      </c>
      <c r="C669">
        <v>7.61</v>
      </c>
      <c r="D669">
        <v>26</v>
      </c>
      <c r="E669">
        <v>28</v>
      </c>
      <c r="F669">
        <v>10</v>
      </c>
      <c r="G669">
        <v>34</v>
      </c>
      <c r="H669">
        <v>29.2</v>
      </c>
      <c r="I669">
        <v>5.5</v>
      </c>
      <c r="J669">
        <v>7.82</v>
      </c>
      <c r="K669" s="245">
        <v>-48.67</v>
      </c>
      <c r="L669" s="245">
        <v>18.61</v>
      </c>
      <c r="M669" s="245">
        <v>7.26</v>
      </c>
    </row>
    <row r="670" spans="1:13">
      <c r="A670">
        <v>3219</v>
      </c>
      <c r="B670" t="s">
        <v>5350</v>
      </c>
      <c r="C670">
        <v>7.02</v>
      </c>
      <c r="D670">
        <v>1606</v>
      </c>
      <c r="E670">
        <v>799</v>
      </c>
      <c r="F670">
        <v>-38</v>
      </c>
      <c r="G670">
        <v>1758</v>
      </c>
      <c r="H670">
        <v>21.4</v>
      </c>
      <c r="I670">
        <v>2.5</v>
      </c>
      <c r="J670">
        <v>6.33</v>
      </c>
      <c r="K670" s="245">
        <v>-53.83</v>
      </c>
      <c r="L670" s="245">
        <v>11.21</v>
      </c>
      <c r="M670" s="245">
        <v>3.77</v>
      </c>
    </row>
    <row r="671" spans="1:13">
      <c r="A671">
        <v>3221</v>
      </c>
      <c r="B671" t="s">
        <v>5351</v>
      </c>
      <c r="C671">
        <v>10.28</v>
      </c>
      <c r="D671">
        <v>851</v>
      </c>
      <c r="E671">
        <v>1692</v>
      </c>
      <c r="F671">
        <v>2</v>
      </c>
      <c r="G671">
        <v>11</v>
      </c>
      <c r="H671">
        <v>7.82</v>
      </c>
      <c r="I671">
        <v>2.1</v>
      </c>
      <c r="J671">
        <v>5.28</v>
      </c>
      <c r="K671" s="245">
        <v>-24.16</v>
      </c>
      <c r="L671" s="245">
        <v>60.58</v>
      </c>
      <c r="M671" s="245">
        <v>40.51</v>
      </c>
    </row>
    <row r="672" spans="1:13">
      <c r="A672">
        <v>3224</v>
      </c>
      <c r="B672" t="s">
        <v>5352</v>
      </c>
      <c r="C672">
        <v>6.81</v>
      </c>
      <c r="D672">
        <v>35</v>
      </c>
      <c r="E672">
        <v>55</v>
      </c>
      <c r="F672">
        <v>-24</v>
      </c>
      <c r="G672">
        <v>36</v>
      </c>
      <c r="H672">
        <v>-1.79</v>
      </c>
      <c r="I672">
        <v>0</v>
      </c>
      <c r="J672">
        <v>-0.4</v>
      </c>
      <c r="K672" s="245">
        <v>-24.6</v>
      </c>
      <c r="L672" s="245">
        <v>50.48</v>
      </c>
      <c r="M672" s="245">
        <v>7.89</v>
      </c>
    </row>
    <row r="673" spans="1:13">
      <c r="A673">
        <v>3226</v>
      </c>
      <c r="B673" t="s">
        <v>6343</v>
      </c>
      <c r="C673">
        <v>6.44</v>
      </c>
      <c r="D673">
        <v>-28</v>
      </c>
      <c r="E673">
        <v>14</v>
      </c>
      <c r="F673">
        <v>4</v>
      </c>
      <c r="G673">
        <v>0</v>
      </c>
      <c r="H673">
        <v>17.52</v>
      </c>
      <c r="I673">
        <v>2.5</v>
      </c>
      <c r="J673">
        <v>3.58</v>
      </c>
      <c r="K673" s="245">
        <v>-11.89</v>
      </c>
      <c r="L673" s="245">
        <v>62.49</v>
      </c>
      <c r="M673" s="245">
        <v>1.86</v>
      </c>
    </row>
    <row r="674" spans="1:13">
      <c r="A674">
        <v>3227</v>
      </c>
      <c r="B674" t="s">
        <v>5353</v>
      </c>
      <c r="C674">
        <v>14.45</v>
      </c>
      <c r="D674">
        <v>9</v>
      </c>
      <c r="E674">
        <v>0</v>
      </c>
      <c r="F674">
        <v>11</v>
      </c>
      <c r="G674">
        <v>-35</v>
      </c>
      <c r="H674">
        <v>20.82</v>
      </c>
      <c r="I674">
        <v>9.14</v>
      </c>
      <c r="J674">
        <v>11.32</v>
      </c>
      <c r="K674" s="245">
        <v>-49.66</v>
      </c>
      <c r="L674" s="245">
        <v>12.52</v>
      </c>
      <c r="M674" s="245">
        <v>12.96</v>
      </c>
    </row>
    <row r="675" spans="1:13">
      <c r="A675">
        <v>3228</v>
      </c>
      <c r="B675" t="s">
        <v>6428</v>
      </c>
      <c r="C675">
        <v>6.77</v>
      </c>
      <c r="D675">
        <v>185</v>
      </c>
      <c r="E675">
        <v>193</v>
      </c>
      <c r="F675">
        <v>-16</v>
      </c>
      <c r="G675">
        <v>-68</v>
      </c>
      <c r="H675">
        <v>35.03</v>
      </c>
      <c r="I675">
        <v>0</v>
      </c>
      <c r="J675">
        <v>2.92</v>
      </c>
      <c r="K675" s="245">
        <v>-32.409999999999997</v>
      </c>
      <c r="L675" s="245">
        <v>41.92</v>
      </c>
      <c r="M675" s="245">
        <v>12.8</v>
      </c>
    </row>
    <row r="676" spans="1:13">
      <c r="A676">
        <v>3229</v>
      </c>
      <c r="B676" t="s">
        <v>6510</v>
      </c>
      <c r="C676">
        <v>6.42</v>
      </c>
      <c r="D676">
        <v>71</v>
      </c>
      <c r="E676">
        <v>65</v>
      </c>
      <c r="F676">
        <v>52</v>
      </c>
      <c r="G676">
        <v>-9</v>
      </c>
      <c r="H676">
        <v>-13.64</v>
      </c>
      <c r="I676">
        <v>0</v>
      </c>
      <c r="J676">
        <v>-1.72</v>
      </c>
      <c r="K676" s="245">
        <v>-13.48</v>
      </c>
      <c r="L676" s="245">
        <v>63.94</v>
      </c>
      <c r="M676" s="245">
        <v>1.87</v>
      </c>
    </row>
    <row r="677" spans="1:13">
      <c r="A677">
        <v>3230</v>
      </c>
      <c r="B677" t="s">
        <v>5354</v>
      </c>
      <c r="C677">
        <v>7.1</v>
      </c>
      <c r="D677">
        <v>-362</v>
      </c>
      <c r="E677">
        <v>-80</v>
      </c>
      <c r="F677">
        <v>-15</v>
      </c>
      <c r="G677">
        <v>-41</v>
      </c>
      <c r="H677">
        <v>0.74</v>
      </c>
      <c r="I677">
        <v>0</v>
      </c>
      <c r="J677">
        <v>-0.51</v>
      </c>
      <c r="K677" s="245">
        <v>-25.48</v>
      </c>
      <c r="L677" s="245">
        <v>59.15</v>
      </c>
      <c r="M677" s="245">
        <v>9.51</v>
      </c>
    </row>
    <row r="678" spans="1:13">
      <c r="A678">
        <v>3231</v>
      </c>
      <c r="B678" t="s">
        <v>5355</v>
      </c>
      <c r="C678">
        <v>290</v>
      </c>
      <c r="D678">
        <v>14</v>
      </c>
      <c r="E678">
        <v>13</v>
      </c>
      <c r="F678">
        <v>-27</v>
      </c>
      <c r="G678">
        <v>0</v>
      </c>
      <c r="H678">
        <v>1.9</v>
      </c>
      <c r="I678">
        <v>2.2000000000000002</v>
      </c>
      <c r="J678">
        <v>3.76</v>
      </c>
      <c r="K678" s="245">
        <v>-16.440000000000001</v>
      </c>
      <c r="L678" s="245">
        <v>22.21</v>
      </c>
      <c r="M678" s="245">
        <v>10.49</v>
      </c>
    </row>
    <row r="679" spans="1:13">
      <c r="A679">
        <v>3232</v>
      </c>
      <c r="B679" t="s">
        <v>5356</v>
      </c>
      <c r="C679">
        <v>3.65</v>
      </c>
      <c r="D679">
        <v>104</v>
      </c>
      <c r="E679">
        <v>657</v>
      </c>
      <c r="F679">
        <v>-10</v>
      </c>
      <c r="G679">
        <v>23</v>
      </c>
      <c r="H679">
        <v>3.78</v>
      </c>
      <c r="I679">
        <v>0.5</v>
      </c>
      <c r="J679">
        <v>0.84</v>
      </c>
      <c r="K679" s="245">
        <v>-25.67</v>
      </c>
      <c r="L679" s="245">
        <v>79.540000000000006</v>
      </c>
      <c r="M679" s="245">
        <v>41.65</v>
      </c>
    </row>
    <row r="680" spans="1:13">
      <c r="A680">
        <v>3234</v>
      </c>
      <c r="B680" t="s">
        <v>5357</v>
      </c>
      <c r="C680">
        <v>7.64</v>
      </c>
      <c r="D680">
        <v>-8612</v>
      </c>
      <c r="E680">
        <v>-385</v>
      </c>
      <c r="F680">
        <v>-9</v>
      </c>
      <c r="G680">
        <v>-25</v>
      </c>
      <c r="H680">
        <v>-9.18</v>
      </c>
      <c r="I680">
        <v>0</v>
      </c>
      <c r="J680">
        <v>-1.74</v>
      </c>
      <c r="K680" s="245">
        <v>-44.59</v>
      </c>
      <c r="L680" s="245">
        <v>9.84</v>
      </c>
      <c r="M680" s="245">
        <v>24.89</v>
      </c>
    </row>
    <row r="681" spans="1:13">
      <c r="A681">
        <v>3236</v>
      </c>
      <c r="B681" t="s">
        <v>5358</v>
      </c>
      <c r="C681">
        <v>9.2899999999999991</v>
      </c>
      <c r="D681">
        <v>28</v>
      </c>
      <c r="E681">
        <v>46</v>
      </c>
      <c r="F681">
        <v>52</v>
      </c>
      <c r="G681">
        <v>32</v>
      </c>
      <c r="H681">
        <v>5.99</v>
      </c>
      <c r="I681">
        <v>0.6</v>
      </c>
      <c r="J681">
        <v>1.02</v>
      </c>
      <c r="K681" s="245">
        <v>-33.39</v>
      </c>
      <c r="L681" s="245">
        <v>20.72</v>
      </c>
      <c r="M681" s="245">
        <v>9.98</v>
      </c>
    </row>
    <row r="682" spans="1:13">
      <c r="A682">
        <v>3252</v>
      </c>
      <c r="B682" t="s">
        <v>5359</v>
      </c>
      <c r="C682">
        <v>5.01</v>
      </c>
      <c r="D682">
        <v>135</v>
      </c>
      <c r="E682">
        <v>105</v>
      </c>
      <c r="F682">
        <v>-16</v>
      </c>
      <c r="G682">
        <v>34</v>
      </c>
      <c r="H682">
        <v>0.99</v>
      </c>
      <c r="I682">
        <v>0</v>
      </c>
      <c r="J682">
        <v>0.71</v>
      </c>
      <c r="K682" s="245">
        <v>-18.78</v>
      </c>
      <c r="L682" s="245">
        <v>24.48</v>
      </c>
      <c r="M682" s="245">
        <v>3.93</v>
      </c>
    </row>
    <row r="683" spans="1:13">
      <c r="A683">
        <v>3257</v>
      </c>
      <c r="B683" t="s">
        <v>5360</v>
      </c>
      <c r="C683">
        <v>7.99</v>
      </c>
      <c r="D683">
        <v>67</v>
      </c>
      <c r="E683">
        <v>70</v>
      </c>
      <c r="F683">
        <v>-6</v>
      </c>
      <c r="G683">
        <v>-34</v>
      </c>
      <c r="H683">
        <v>35.94</v>
      </c>
      <c r="I683">
        <v>5</v>
      </c>
      <c r="J683">
        <v>5.03</v>
      </c>
      <c r="K683" s="245">
        <v>-23.51</v>
      </c>
      <c r="L683" s="245">
        <v>41.07</v>
      </c>
      <c r="M683" s="245">
        <v>18.41</v>
      </c>
    </row>
    <row r="684" spans="1:13">
      <c r="A684">
        <v>3259</v>
      </c>
      <c r="B684" t="s">
        <v>6511</v>
      </c>
      <c r="C684">
        <v>7.46</v>
      </c>
      <c r="D684">
        <v>101</v>
      </c>
      <c r="E684">
        <v>97</v>
      </c>
      <c r="F684">
        <v>-18</v>
      </c>
      <c r="G684">
        <v>-38</v>
      </c>
      <c r="H684">
        <v>-0.5</v>
      </c>
      <c r="I684">
        <v>0</v>
      </c>
      <c r="J684">
        <v>0.02</v>
      </c>
      <c r="K684" s="245">
        <v>-63.47</v>
      </c>
      <c r="L684" s="245">
        <v>5.26</v>
      </c>
      <c r="M684" s="245">
        <v>1.91</v>
      </c>
    </row>
    <row r="685" spans="1:13">
      <c r="A685">
        <v>3260</v>
      </c>
      <c r="B685" t="s">
        <v>5361</v>
      </c>
      <c r="C685">
        <v>26.67</v>
      </c>
      <c r="D685">
        <v>73</v>
      </c>
      <c r="E685">
        <v>22</v>
      </c>
      <c r="F685">
        <v>-10</v>
      </c>
      <c r="G685">
        <v>-19</v>
      </c>
      <c r="H685">
        <v>5.85</v>
      </c>
      <c r="I685">
        <v>5.5</v>
      </c>
      <c r="J685">
        <v>9.14</v>
      </c>
      <c r="K685" s="245">
        <v>-47.05</v>
      </c>
      <c r="L685" s="245">
        <v>10.95</v>
      </c>
      <c r="M685" s="245">
        <v>34.14</v>
      </c>
    </row>
    <row r="686" spans="1:13">
      <c r="A686">
        <v>3264</v>
      </c>
      <c r="B686" t="s">
        <v>5362</v>
      </c>
      <c r="C686">
        <v>49.01</v>
      </c>
      <c r="D686">
        <v>44</v>
      </c>
      <c r="E686">
        <v>37</v>
      </c>
      <c r="F686">
        <v>1</v>
      </c>
      <c r="G686">
        <v>18</v>
      </c>
      <c r="H686">
        <v>25.7</v>
      </c>
      <c r="I686">
        <v>2.8</v>
      </c>
      <c r="J686">
        <v>5.46</v>
      </c>
      <c r="K686" s="245">
        <v>-37.83</v>
      </c>
      <c r="L686" s="245">
        <v>25.24</v>
      </c>
      <c r="M686" s="245">
        <v>21.69</v>
      </c>
    </row>
    <row r="687" spans="1:13">
      <c r="A687">
        <v>3265</v>
      </c>
      <c r="B687" t="s">
        <v>5363</v>
      </c>
      <c r="C687">
        <v>13.62</v>
      </c>
      <c r="D687">
        <v>88</v>
      </c>
      <c r="E687">
        <v>111</v>
      </c>
      <c r="F687">
        <v>-4</v>
      </c>
      <c r="G687">
        <v>46</v>
      </c>
      <c r="H687">
        <v>15.56</v>
      </c>
      <c r="I687">
        <v>2.2999999999999998</v>
      </c>
      <c r="J687">
        <v>2.89</v>
      </c>
      <c r="K687" s="245">
        <v>-9.18</v>
      </c>
      <c r="L687" s="245">
        <v>85.36</v>
      </c>
      <c r="M687" s="245">
        <v>13.35</v>
      </c>
    </row>
    <row r="688" spans="1:13">
      <c r="A688">
        <v>3266</v>
      </c>
      <c r="B688" t="s">
        <v>5364</v>
      </c>
      <c r="C688">
        <v>35.229999999999997</v>
      </c>
      <c r="D688">
        <v>-71</v>
      </c>
      <c r="E688">
        <v>-83</v>
      </c>
      <c r="F688">
        <v>-84</v>
      </c>
      <c r="G688">
        <v>322</v>
      </c>
      <c r="H688">
        <v>2.64</v>
      </c>
      <c r="I688">
        <v>0</v>
      </c>
      <c r="J688">
        <v>0.25</v>
      </c>
      <c r="K688" s="245">
        <v>-22.51</v>
      </c>
      <c r="L688" s="245">
        <v>22.38</v>
      </c>
      <c r="M688" s="245">
        <v>2.72</v>
      </c>
    </row>
    <row r="689" spans="1:13">
      <c r="A689">
        <v>3268</v>
      </c>
      <c r="B689" t="s">
        <v>5365</v>
      </c>
      <c r="C689">
        <v>3.34</v>
      </c>
      <c r="D689">
        <v>5</v>
      </c>
      <c r="E689">
        <v>269</v>
      </c>
      <c r="F689">
        <v>-20</v>
      </c>
      <c r="G689">
        <v>20</v>
      </c>
      <c r="H689">
        <v>2.52</v>
      </c>
      <c r="I689">
        <v>0.6</v>
      </c>
      <c r="J689">
        <v>0.95</v>
      </c>
      <c r="K689" s="245">
        <v>-53.22</v>
      </c>
      <c r="L689" s="245">
        <v>28.38</v>
      </c>
      <c r="M689" s="245">
        <v>13.7</v>
      </c>
    </row>
    <row r="690" spans="1:13">
      <c r="A690">
        <v>3272</v>
      </c>
      <c r="B690" t="s">
        <v>5366</v>
      </c>
      <c r="C690">
        <v>5.46</v>
      </c>
      <c r="D690">
        <v>-82</v>
      </c>
      <c r="E690">
        <v>-97</v>
      </c>
      <c r="F690">
        <v>-58</v>
      </c>
      <c r="G690">
        <v>-39</v>
      </c>
      <c r="H690">
        <v>0.11</v>
      </c>
      <c r="I690">
        <v>1</v>
      </c>
      <c r="J690">
        <v>0.57999999999999996</v>
      </c>
      <c r="K690" s="245">
        <v>-44.14</v>
      </c>
      <c r="L690" s="245">
        <v>8</v>
      </c>
      <c r="M690" s="245">
        <v>5.21</v>
      </c>
    </row>
    <row r="691" spans="1:13">
      <c r="A691">
        <v>3276</v>
      </c>
      <c r="B691" t="s">
        <v>5367</v>
      </c>
      <c r="C691">
        <v>6.97</v>
      </c>
      <c r="D691">
        <v>419</v>
      </c>
      <c r="E691">
        <v>111</v>
      </c>
      <c r="F691">
        <v>21</v>
      </c>
      <c r="G691">
        <v>48</v>
      </c>
      <c r="H691">
        <v>0.82</v>
      </c>
      <c r="I691">
        <v>0.4</v>
      </c>
      <c r="J691">
        <v>1.18</v>
      </c>
      <c r="K691" s="245">
        <v>-27.5</v>
      </c>
      <c r="L691" s="245">
        <v>22.03</v>
      </c>
      <c r="M691" s="245">
        <v>7.82</v>
      </c>
    </row>
    <row r="692" spans="1:13">
      <c r="A692">
        <v>3284</v>
      </c>
      <c r="B692" t="s">
        <v>5368</v>
      </c>
      <c r="C692">
        <v>6.89</v>
      </c>
      <c r="D692">
        <v>34</v>
      </c>
      <c r="E692">
        <v>-80</v>
      </c>
      <c r="F692">
        <v>8</v>
      </c>
      <c r="G692">
        <v>6</v>
      </c>
      <c r="H692">
        <v>-9.23</v>
      </c>
      <c r="I692">
        <v>0</v>
      </c>
      <c r="J692">
        <v>-0.86</v>
      </c>
      <c r="K692" s="245">
        <v>-13.59</v>
      </c>
      <c r="L692" s="245">
        <v>22.57</v>
      </c>
      <c r="M692" s="245">
        <v>2.0299999999999998</v>
      </c>
    </row>
    <row r="693" spans="1:13">
      <c r="A693">
        <v>3285</v>
      </c>
      <c r="B693" t="s">
        <v>6302</v>
      </c>
      <c r="C693">
        <v>4.2699999999999996</v>
      </c>
      <c r="D693">
        <v>-77</v>
      </c>
      <c r="E693">
        <v>-81</v>
      </c>
      <c r="F693">
        <v>55</v>
      </c>
      <c r="G693">
        <v>-14</v>
      </c>
      <c r="H693">
        <v>1.04</v>
      </c>
      <c r="I693">
        <v>0</v>
      </c>
      <c r="J693">
        <v>-0.02</v>
      </c>
      <c r="K693" s="245">
        <v>-22.63</v>
      </c>
      <c r="L693" s="245">
        <v>18.559999999999999</v>
      </c>
      <c r="M693" s="245">
        <v>3.47</v>
      </c>
    </row>
    <row r="694" spans="1:13">
      <c r="A694">
        <v>3287</v>
      </c>
      <c r="B694" t="s">
        <v>6187</v>
      </c>
      <c r="C694">
        <v>4.3899999999999997</v>
      </c>
      <c r="D694">
        <v>-24</v>
      </c>
      <c r="E694">
        <v>-8</v>
      </c>
      <c r="F694">
        <v>43</v>
      </c>
      <c r="G694">
        <v>-27</v>
      </c>
      <c r="H694">
        <v>10.220000000000001</v>
      </c>
      <c r="I694">
        <v>0</v>
      </c>
      <c r="J694">
        <v>1.1399999999999999</v>
      </c>
      <c r="K694" s="245">
        <v>-36.729999999999997</v>
      </c>
      <c r="L694" s="245">
        <v>20.89</v>
      </c>
      <c r="M694" s="245">
        <v>11.38</v>
      </c>
    </row>
    <row r="695" spans="1:13">
      <c r="A695">
        <v>3288</v>
      </c>
      <c r="B695" t="s">
        <v>6512</v>
      </c>
      <c r="C695">
        <v>2.2599999999999998</v>
      </c>
      <c r="D695">
        <v>-317</v>
      </c>
      <c r="E695">
        <v>-49</v>
      </c>
      <c r="F695">
        <v>110</v>
      </c>
      <c r="G695">
        <v>-35</v>
      </c>
      <c r="H695">
        <v>-29.41</v>
      </c>
      <c r="I695">
        <v>0</v>
      </c>
      <c r="J695">
        <v>-1.48</v>
      </c>
      <c r="K695" s="245">
        <v>-35.880000000000003</v>
      </c>
      <c r="L695" s="245">
        <v>27.62</v>
      </c>
      <c r="M695" s="245">
        <v>5.22</v>
      </c>
    </row>
    <row r="696" spans="1:13">
      <c r="A696">
        <v>3289</v>
      </c>
      <c r="B696" t="s">
        <v>5369</v>
      </c>
      <c r="C696">
        <v>7.47</v>
      </c>
      <c r="D696">
        <v>-46</v>
      </c>
      <c r="E696">
        <v>-16</v>
      </c>
      <c r="F696">
        <v>7</v>
      </c>
      <c r="G696">
        <v>5</v>
      </c>
      <c r="H696">
        <v>5.87</v>
      </c>
      <c r="I696">
        <v>0</v>
      </c>
      <c r="J696">
        <v>2.02</v>
      </c>
      <c r="K696" s="245">
        <v>-19.329999999999998</v>
      </c>
      <c r="L696" s="245">
        <v>39.07</v>
      </c>
      <c r="M696" s="245">
        <v>6.37</v>
      </c>
    </row>
    <row r="697" spans="1:13">
      <c r="A697">
        <v>3290</v>
      </c>
      <c r="B697" t="s">
        <v>5370</v>
      </c>
      <c r="C697">
        <v>9.9499999999999993</v>
      </c>
      <c r="D697">
        <v>25</v>
      </c>
      <c r="E697">
        <v>-31</v>
      </c>
      <c r="F697">
        <v>20</v>
      </c>
      <c r="G697">
        <v>6</v>
      </c>
      <c r="H697">
        <v>3.94</v>
      </c>
      <c r="I697">
        <v>0.5</v>
      </c>
      <c r="J697">
        <v>0.77</v>
      </c>
      <c r="K697" s="245">
        <v>-31.69</v>
      </c>
      <c r="L697" s="245">
        <v>33.53</v>
      </c>
      <c r="M697" s="245">
        <v>26.31</v>
      </c>
    </row>
    <row r="698" spans="1:13">
      <c r="A698">
        <v>3293</v>
      </c>
      <c r="B698" t="s">
        <v>5371</v>
      </c>
      <c r="C698">
        <v>7.04</v>
      </c>
      <c r="D698">
        <v>38</v>
      </c>
      <c r="E698">
        <v>37</v>
      </c>
      <c r="F698">
        <v>-3</v>
      </c>
      <c r="G698">
        <v>5</v>
      </c>
      <c r="H698">
        <v>51.51</v>
      </c>
      <c r="I698">
        <v>60</v>
      </c>
      <c r="J698">
        <v>67.209999999999994</v>
      </c>
      <c r="K698" s="245">
        <v>-25.26</v>
      </c>
      <c r="L698" s="245">
        <v>40.1</v>
      </c>
      <c r="M698" s="245">
        <v>6.84</v>
      </c>
    </row>
    <row r="699" spans="1:13">
      <c r="A699">
        <v>3294</v>
      </c>
      <c r="B699" t="s">
        <v>5372</v>
      </c>
      <c r="C699">
        <v>13.2</v>
      </c>
      <c r="D699">
        <v>-72</v>
      </c>
      <c r="E699">
        <v>-79</v>
      </c>
      <c r="F699">
        <v>65</v>
      </c>
      <c r="G699">
        <v>18</v>
      </c>
      <c r="H699">
        <v>0.85</v>
      </c>
      <c r="I699">
        <v>0.25</v>
      </c>
      <c r="J699">
        <v>0.18</v>
      </c>
      <c r="K699" s="245">
        <v>-49.19</v>
      </c>
      <c r="L699" s="245">
        <v>31.09</v>
      </c>
      <c r="M699" s="245">
        <v>26.51</v>
      </c>
    </row>
    <row r="700" spans="1:13">
      <c r="A700">
        <v>3296</v>
      </c>
      <c r="B700" t="s">
        <v>5373</v>
      </c>
      <c r="C700">
        <v>9.67</v>
      </c>
      <c r="D700">
        <v>-804</v>
      </c>
      <c r="E700">
        <v>-493</v>
      </c>
      <c r="F700">
        <v>55</v>
      </c>
      <c r="G700">
        <v>-34</v>
      </c>
      <c r="H700">
        <v>-5.01</v>
      </c>
      <c r="I700">
        <v>0</v>
      </c>
      <c r="J700">
        <v>-1.64</v>
      </c>
      <c r="K700" s="245">
        <v>-39.39</v>
      </c>
      <c r="L700" s="245">
        <v>26.56</v>
      </c>
      <c r="M700" s="245">
        <v>5.2</v>
      </c>
    </row>
    <row r="701" spans="1:13">
      <c r="A701">
        <v>3297</v>
      </c>
      <c r="B701" t="s">
        <v>5374</v>
      </c>
      <c r="C701">
        <v>3.6</v>
      </c>
      <c r="D701">
        <v>77</v>
      </c>
      <c r="E701">
        <v>103</v>
      </c>
      <c r="F701">
        <v>16</v>
      </c>
      <c r="G701">
        <v>22</v>
      </c>
      <c r="H701">
        <v>0.63</v>
      </c>
      <c r="I701">
        <v>0</v>
      </c>
      <c r="J701">
        <v>-0.42</v>
      </c>
      <c r="K701" s="245">
        <v>-38.96</v>
      </c>
      <c r="L701" s="245">
        <v>28.45</v>
      </c>
      <c r="M701" s="245">
        <v>78.099999999999994</v>
      </c>
    </row>
    <row r="702" spans="1:13">
      <c r="A702">
        <v>3303</v>
      </c>
      <c r="B702" t="s">
        <v>5375</v>
      </c>
      <c r="C702">
        <v>9.4</v>
      </c>
      <c r="D702">
        <v>4</v>
      </c>
      <c r="E702">
        <v>30</v>
      </c>
      <c r="F702">
        <v>-17</v>
      </c>
      <c r="G702">
        <v>5</v>
      </c>
      <c r="H702">
        <v>13.33</v>
      </c>
      <c r="I702">
        <v>1.45</v>
      </c>
      <c r="J702">
        <v>1.61</v>
      </c>
      <c r="K702" s="245">
        <v>-12.12</v>
      </c>
      <c r="L702" s="245">
        <v>53.24</v>
      </c>
      <c r="M702" s="245">
        <v>3.73</v>
      </c>
    </row>
    <row r="703" spans="1:13">
      <c r="A703">
        <v>3305</v>
      </c>
      <c r="B703" t="s">
        <v>5376</v>
      </c>
      <c r="C703">
        <v>13.42</v>
      </c>
      <c r="D703">
        <v>244</v>
      </c>
      <c r="E703">
        <v>212</v>
      </c>
      <c r="F703">
        <v>0</v>
      </c>
      <c r="G703">
        <v>65</v>
      </c>
      <c r="H703">
        <v>10.57</v>
      </c>
      <c r="I703">
        <v>2.5</v>
      </c>
      <c r="J703">
        <v>4.92</v>
      </c>
      <c r="K703" s="245">
        <v>-27.27</v>
      </c>
      <c r="L703" s="245">
        <v>27.41</v>
      </c>
      <c r="M703" s="245">
        <v>24.1</v>
      </c>
    </row>
    <row r="704" spans="1:13">
      <c r="A704">
        <v>3306</v>
      </c>
      <c r="B704" t="s">
        <v>5377</v>
      </c>
      <c r="C704">
        <v>5.0599999999999996</v>
      </c>
      <c r="D704">
        <v>197</v>
      </c>
      <c r="E704">
        <v>115</v>
      </c>
      <c r="F704">
        <v>-50</v>
      </c>
      <c r="G704">
        <v>-48</v>
      </c>
      <c r="H704">
        <v>0.28000000000000003</v>
      </c>
      <c r="I704">
        <v>0.8</v>
      </c>
      <c r="J704">
        <v>1.05</v>
      </c>
      <c r="K704" s="245">
        <v>-48.3</v>
      </c>
      <c r="L704" s="245">
        <v>12.24</v>
      </c>
      <c r="M704" s="245">
        <v>35.549999999999997</v>
      </c>
    </row>
    <row r="705" spans="1:13">
      <c r="A705">
        <v>3308</v>
      </c>
      <c r="B705" t="s">
        <v>6513</v>
      </c>
      <c r="C705">
        <v>7.06</v>
      </c>
      <c r="D705">
        <v>69</v>
      </c>
      <c r="E705">
        <v>-3</v>
      </c>
      <c r="F705">
        <v>-13</v>
      </c>
      <c r="G705">
        <v>-21</v>
      </c>
      <c r="H705">
        <v>-16.63</v>
      </c>
      <c r="I705">
        <v>0</v>
      </c>
      <c r="J705">
        <v>-0.37</v>
      </c>
      <c r="K705" s="245">
        <v>-20.5</v>
      </c>
      <c r="L705" s="245">
        <v>61.34</v>
      </c>
      <c r="M705" s="245">
        <v>5.42</v>
      </c>
    </row>
    <row r="706" spans="1:13">
      <c r="A706">
        <v>3310</v>
      </c>
      <c r="B706" t="s">
        <v>5378</v>
      </c>
      <c r="C706">
        <v>5.25</v>
      </c>
      <c r="D706">
        <v>70</v>
      </c>
      <c r="E706">
        <v>-22</v>
      </c>
      <c r="F706">
        <v>22</v>
      </c>
      <c r="G706">
        <v>28</v>
      </c>
      <c r="H706">
        <v>5.42</v>
      </c>
      <c r="I706">
        <v>2.2000000000000002</v>
      </c>
      <c r="J706">
        <v>1.33</v>
      </c>
      <c r="K706" s="245">
        <v>-12.98</v>
      </c>
      <c r="L706" s="245">
        <v>29.08</v>
      </c>
      <c r="M706" s="245">
        <v>3.6</v>
      </c>
    </row>
    <row r="707" spans="1:13">
      <c r="A707">
        <v>3311</v>
      </c>
      <c r="B707" t="s">
        <v>5379</v>
      </c>
      <c r="C707">
        <v>6.8</v>
      </c>
      <c r="D707">
        <v>116</v>
      </c>
      <c r="E707">
        <v>131</v>
      </c>
      <c r="F707">
        <v>4</v>
      </c>
      <c r="G707">
        <v>18</v>
      </c>
      <c r="H707">
        <v>3.16</v>
      </c>
      <c r="I707">
        <v>0.47</v>
      </c>
      <c r="J707">
        <v>0.94</v>
      </c>
      <c r="K707" s="245">
        <v>-19.579999999999998</v>
      </c>
      <c r="L707" s="245">
        <v>36.74</v>
      </c>
      <c r="M707" s="245">
        <v>2.91</v>
      </c>
    </row>
    <row r="708" spans="1:13">
      <c r="A708">
        <v>3312</v>
      </c>
      <c r="B708" t="s">
        <v>5380</v>
      </c>
      <c r="C708">
        <v>13.76</v>
      </c>
      <c r="D708">
        <v>125</v>
      </c>
      <c r="E708">
        <v>98</v>
      </c>
      <c r="F708">
        <v>-19</v>
      </c>
      <c r="G708">
        <v>8</v>
      </c>
      <c r="H708">
        <v>2.9</v>
      </c>
      <c r="I708">
        <v>0</v>
      </c>
      <c r="J708">
        <v>3.24</v>
      </c>
      <c r="K708" s="245">
        <v>-18.07</v>
      </c>
      <c r="L708" s="245">
        <v>22.87</v>
      </c>
      <c r="M708" s="245">
        <v>20.79</v>
      </c>
    </row>
    <row r="709" spans="1:13">
      <c r="A709">
        <v>3313</v>
      </c>
      <c r="B709" t="s">
        <v>6514</v>
      </c>
      <c r="C709">
        <v>11.87</v>
      </c>
      <c r="D709">
        <v>248</v>
      </c>
      <c r="E709">
        <v>-30</v>
      </c>
      <c r="F709">
        <v>60</v>
      </c>
      <c r="G709">
        <v>66300</v>
      </c>
      <c r="H709">
        <v>-38.72</v>
      </c>
      <c r="I709">
        <v>0</v>
      </c>
      <c r="J709">
        <v>0.42</v>
      </c>
      <c r="K709" s="245">
        <v>-4.59</v>
      </c>
      <c r="L709" s="245">
        <v>69.02</v>
      </c>
      <c r="M709" s="245">
        <v>4.9800000000000004</v>
      </c>
    </row>
    <row r="710" spans="1:13">
      <c r="A710">
        <v>3317</v>
      </c>
      <c r="B710" t="s">
        <v>5381</v>
      </c>
      <c r="C710">
        <v>6.12</v>
      </c>
      <c r="D710">
        <v>90</v>
      </c>
      <c r="E710">
        <v>75</v>
      </c>
      <c r="F710">
        <v>1</v>
      </c>
      <c r="G710">
        <v>4</v>
      </c>
      <c r="H710">
        <v>15.71</v>
      </c>
      <c r="I710">
        <v>1.2</v>
      </c>
      <c r="J710">
        <v>5.78</v>
      </c>
      <c r="K710" s="245">
        <v>-36.869999999999997</v>
      </c>
      <c r="L710" s="245">
        <v>34.15</v>
      </c>
      <c r="M710" s="245">
        <v>52.56</v>
      </c>
    </row>
    <row r="711" spans="1:13">
      <c r="A711">
        <v>3321</v>
      </c>
      <c r="B711" t="s">
        <v>6515</v>
      </c>
      <c r="C711">
        <v>15.61</v>
      </c>
      <c r="D711">
        <v>68</v>
      </c>
      <c r="E711">
        <v>75</v>
      </c>
      <c r="F711">
        <v>-3</v>
      </c>
      <c r="G711">
        <v>-5</v>
      </c>
      <c r="H711">
        <v>-2.4300000000000002</v>
      </c>
      <c r="I711">
        <v>0</v>
      </c>
      <c r="J711">
        <v>-0.54</v>
      </c>
      <c r="K711" s="245">
        <v>-28.25</v>
      </c>
      <c r="L711" s="245">
        <v>8.2799999999999994</v>
      </c>
      <c r="M711" s="245">
        <v>3.33</v>
      </c>
    </row>
    <row r="712" spans="1:13">
      <c r="A712">
        <v>3322</v>
      </c>
      <c r="B712" t="s">
        <v>6188</v>
      </c>
      <c r="C712">
        <v>10.74</v>
      </c>
      <c r="D712">
        <v>2114</v>
      </c>
      <c r="E712">
        <v>236</v>
      </c>
      <c r="F712">
        <v>40</v>
      </c>
      <c r="G712">
        <v>-20</v>
      </c>
      <c r="H712">
        <v>4.3099999999999996</v>
      </c>
      <c r="I712">
        <v>0.6</v>
      </c>
      <c r="J712">
        <v>1.85</v>
      </c>
      <c r="K712" s="245">
        <v>-39.94</v>
      </c>
      <c r="L712" s="245">
        <v>13</v>
      </c>
      <c r="M712" s="245">
        <v>53.34</v>
      </c>
    </row>
    <row r="713" spans="1:13">
      <c r="A713">
        <v>3323</v>
      </c>
      <c r="B713" t="s">
        <v>5382</v>
      </c>
      <c r="C713">
        <v>8.0299999999999994</v>
      </c>
      <c r="D713">
        <v>-24</v>
      </c>
      <c r="E713">
        <v>-21</v>
      </c>
      <c r="F713">
        <v>-57</v>
      </c>
      <c r="G713">
        <v>-49</v>
      </c>
      <c r="H713">
        <v>2.48</v>
      </c>
      <c r="I713">
        <v>2</v>
      </c>
      <c r="J713">
        <v>3.16</v>
      </c>
      <c r="K713" s="245">
        <v>-45.41</v>
      </c>
      <c r="L713" s="245">
        <v>15.14</v>
      </c>
      <c r="M713" s="245">
        <v>26.65</v>
      </c>
    </row>
    <row r="714" spans="1:13">
      <c r="A714">
        <v>3324</v>
      </c>
      <c r="B714" t="s">
        <v>5383</v>
      </c>
      <c r="C714">
        <v>8.83</v>
      </c>
      <c r="D714">
        <v>2</v>
      </c>
      <c r="E714">
        <v>-11</v>
      </c>
      <c r="F714">
        <v>-27</v>
      </c>
      <c r="G714">
        <v>-6</v>
      </c>
      <c r="H714">
        <v>9.67</v>
      </c>
      <c r="I714">
        <v>6</v>
      </c>
      <c r="J714">
        <v>13.12</v>
      </c>
      <c r="K714" s="245">
        <v>-39.06</v>
      </c>
      <c r="L714" s="245">
        <v>10.63</v>
      </c>
      <c r="M714" s="245">
        <v>14.27</v>
      </c>
    </row>
    <row r="715" spans="1:13">
      <c r="A715">
        <v>3325</v>
      </c>
      <c r="B715" t="s">
        <v>5384</v>
      </c>
      <c r="C715">
        <v>8.4600000000000009</v>
      </c>
      <c r="D715">
        <v>-138</v>
      </c>
      <c r="E715">
        <v>-123</v>
      </c>
      <c r="F715">
        <v>-35</v>
      </c>
      <c r="G715">
        <v>-66</v>
      </c>
      <c r="H715">
        <v>-4.2</v>
      </c>
      <c r="I715">
        <v>0</v>
      </c>
      <c r="J715">
        <v>-0.7</v>
      </c>
      <c r="K715" s="245">
        <v>-47.59</v>
      </c>
      <c r="L715" s="245">
        <v>8.83</v>
      </c>
      <c r="M715" s="245">
        <v>19.739999999999998</v>
      </c>
    </row>
    <row r="716" spans="1:13">
      <c r="A716">
        <v>3332</v>
      </c>
      <c r="B716" t="s">
        <v>6367</v>
      </c>
      <c r="C716">
        <v>4.8099999999999996</v>
      </c>
      <c r="D716">
        <v>-13</v>
      </c>
      <c r="E716">
        <v>-1</v>
      </c>
      <c r="F716">
        <v>14</v>
      </c>
      <c r="G716">
        <v>54</v>
      </c>
      <c r="H716">
        <v>8.1999999999999993</v>
      </c>
      <c r="I716">
        <v>1</v>
      </c>
      <c r="J716">
        <v>2.2000000000000002</v>
      </c>
      <c r="K716" s="245">
        <v>-5.76</v>
      </c>
      <c r="L716" s="245">
        <v>34.869999999999997</v>
      </c>
      <c r="M716" s="245">
        <v>0.23</v>
      </c>
    </row>
    <row r="717" spans="1:13">
      <c r="A717">
        <v>3338</v>
      </c>
      <c r="B717" t="s">
        <v>5385</v>
      </c>
      <c r="C717">
        <v>8.7899999999999991</v>
      </c>
      <c r="D717">
        <v>-16</v>
      </c>
      <c r="E717">
        <v>-22</v>
      </c>
      <c r="F717">
        <v>71</v>
      </c>
      <c r="G717">
        <v>6</v>
      </c>
      <c r="H717">
        <v>5.68</v>
      </c>
      <c r="I717">
        <v>1.5</v>
      </c>
      <c r="J717">
        <v>2.13</v>
      </c>
      <c r="K717" s="245">
        <v>-35.200000000000003</v>
      </c>
      <c r="L717" s="245">
        <v>6.61</v>
      </c>
      <c r="M717" s="245">
        <v>26.26</v>
      </c>
    </row>
    <row r="718" spans="1:13">
      <c r="A718">
        <v>3339</v>
      </c>
      <c r="B718" t="s">
        <v>5386</v>
      </c>
      <c r="C718">
        <v>5.16</v>
      </c>
      <c r="D718">
        <v>251</v>
      </c>
      <c r="E718">
        <v>82</v>
      </c>
      <c r="F718">
        <v>-12</v>
      </c>
      <c r="G718">
        <v>-31</v>
      </c>
      <c r="H718">
        <v>-1.1100000000000001</v>
      </c>
      <c r="I718">
        <v>0</v>
      </c>
      <c r="J718">
        <v>1.77</v>
      </c>
      <c r="K718" s="245">
        <v>-53.7</v>
      </c>
      <c r="L718" s="245">
        <v>9.34</v>
      </c>
      <c r="M718" s="245">
        <v>34.42</v>
      </c>
    </row>
    <row r="719" spans="1:13">
      <c r="A719">
        <v>3346</v>
      </c>
      <c r="B719" t="s">
        <v>5387</v>
      </c>
      <c r="C719">
        <v>10.66</v>
      </c>
      <c r="D719">
        <v>680</v>
      </c>
      <c r="E719">
        <v>1465</v>
      </c>
      <c r="F719">
        <v>-35</v>
      </c>
      <c r="G719">
        <v>-13</v>
      </c>
      <c r="H719">
        <v>1.62</v>
      </c>
      <c r="I719">
        <v>0.62</v>
      </c>
      <c r="J719">
        <v>1.03</v>
      </c>
      <c r="K719" s="245">
        <v>-47.21</v>
      </c>
      <c r="L719" s="245">
        <v>5.04</v>
      </c>
      <c r="M719" s="245">
        <v>18.93</v>
      </c>
    </row>
    <row r="720" spans="1:13">
      <c r="A720">
        <v>3354</v>
      </c>
      <c r="B720" t="s">
        <v>5388</v>
      </c>
      <c r="C720">
        <v>7.01</v>
      </c>
      <c r="D720">
        <v>0</v>
      </c>
      <c r="E720">
        <v>-98</v>
      </c>
      <c r="F720">
        <v>76</v>
      </c>
      <c r="G720">
        <v>26</v>
      </c>
      <c r="H720">
        <v>-40.71</v>
      </c>
      <c r="I720">
        <v>0.3</v>
      </c>
      <c r="J720">
        <v>-0.74</v>
      </c>
      <c r="K720" s="245">
        <v>-30.33</v>
      </c>
      <c r="L720" s="245">
        <v>48.44</v>
      </c>
      <c r="M720" s="245">
        <v>27.16</v>
      </c>
    </row>
    <row r="721" spans="1:13">
      <c r="A721">
        <v>3356</v>
      </c>
      <c r="B721" t="s">
        <v>5389</v>
      </c>
      <c r="C721">
        <v>8.98</v>
      </c>
      <c r="D721">
        <v>11</v>
      </c>
      <c r="E721">
        <v>261</v>
      </c>
      <c r="F721">
        <v>41</v>
      </c>
      <c r="G721">
        <v>5</v>
      </c>
      <c r="H721">
        <v>12.35</v>
      </c>
      <c r="I721">
        <v>1.2</v>
      </c>
      <c r="J721">
        <v>1.97</v>
      </c>
      <c r="K721" s="245">
        <v>-28.67</v>
      </c>
      <c r="L721" s="245">
        <v>64.38</v>
      </c>
      <c r="M721" s="245">
        <v>7.26</v>
      </c>
    </row>
    <row r="722" spans="1:13">
      <c r="A722">
        <v>3357</v>
      </c>
      <c r="B722" t="s">
        <v>5390</v>
      </c>
      <c r="C722">
        <v>10.31</v>
      </c>
      <c r="D722">
        <v>62</v>
      </c>
      <c r="E722">
        <v>49</v>
      </c>
      <c r="F722">
        <v>-18</v>
      </c>
      <c r="G722">
        <v>-13</v>
      </c>
      <c r="H722">
        <v>21.58</v>
      </c>
      <c r="I722">
        <v>7</v>
      </c>
      <c r="J722">
        <v>12.08</v>
      </c>
      <c r="K722" s="245" t="s">
        <v>6712</v>
      </c>
      <c r="L722" s="245" t="s">
        <v>6712</v>
      </c>
      <c r="M722" s="245" t="s">
        <v>6712</v>
      </c>
    </row>
    <row r="723" spans="1:13">
      <c r="A723">
        <v>3360</v>
      </c>
      <c r="B723" t="s">
        <v>5391</v>
      </c>
      <c r="C723">
        <v>6.87</v>
      </c>
      <c r="D723">
        <v>44</v>
      </c>
      <c r="E723">
        <v>-11</v>
      </c>
      <c r="F723">
        <v>-30</v>
      </c>
      <c r="G723">
        <v>-10</v>
      </c>
      <c r="H723">
        <v>1.45</v>
      </c>
      <c r="I723">
        <v>1.25</v>
      </c>
      <c r="J723">
        <v>1.45</v>
      </c>
      <c r="K723" s="245">
        <v>-11.26</v>
      </c>
      <c r="L723" s="245">
        <v>54.75</v>
      </c>
      <c r="M723" s="245">
        <v>10.58</v>
      </c>
    </row>
    <row r="724" spans="1:13">
      <c r="A724">
        <v>3362</v>
      </c>
      <c r="B724" t="s">
        <v>5392</v>
      </c>
      <c r="C724">
        <v>14.15</v>
      </c>
      <c r="D724">
        <v>99</v>
      </c>
      <c r="E724">
        <v>369</v>
      </c>
      <c r="F724">
        <v>0</v>
      </c>
      <c r="G724">
        <v>5</v>
      </c>
      <c r="H724">
        <v>1.19</v>
      </c>
      <c r="I724">
        <v>0</v>
      </c>
      <c r="J724">
        <v>0.03</v>
      </c>
      <c r="K724" s="245">
        <v>-45.97</v>
      </c>
      <c r="L724" s="245">
        <v>24.25</v>
      </c>
      <c r="M724" s="245">
        <v>18.27</v>
      </c>
    </row>
    <row r="725" spans="1:13">
      <c r="A725">
        <v>3363</v>
      </c>
      <c r="B725" t="s">
        <v>5393</v>
      </c>
      <c r="C725">
        <v>8.83</v>
      </c>
      <c r="D725">
        <v>112</v>
      </c>
      <c r="E725">
        <v>189</v>
      </c>
      <c r="F725">
        <v>33</v>
      </c>
      <c r="G725">
        <v>13</v>
      </c>
      <c r="H725">
        <v>12.13</v>
      </c>
      <c r="I725">
        <v>1.6</v>
      </c>
      <c r="J725">
        <v>2.31</v>
      </c>
      <c r="K725" s="245">
        <v>-35.01</v>
      </c>
      <c r="L725" s="245">
        <v>15.11</v>
      </c>
      <c r="M725" s="245">
        <v>24.8</v>
      </c>
    </row>
    <row r="726" spans="1:13">
      <c r="A726">
        <v>3372</v>
      </c>
      <c r="B726" t="s">
        <v>5394</v>
      </c>
      <c r="C726">
        <v>17.559999999999999</v>
      </c>
      <c r="D726">
        <v>3828</v>
      </c>
      <c r="E726">
        <v>4959</v>
      </c>
      <c r="F726">
        <v>0</v>
      </c>
      <c r="G726">
        <v>-15</v>
      </c>
      <c r="H726">
        <v>21.31</v>
      </c>
      <c r="I726">
        <v>1</v>
      </c>
      <c r="J726">
        <v>2.39</v>
      </c>
      <c r="K726" s="245">
        <v>-53.03</v>
      </c>
      <c r="L726" s="245">
        <v>12.6</v>
      </c>
      <c r="M726" s="245">
        <v>18.940000000000001</v>
      </c>
    </row>
    <row r="727" spans="1:13">
      <c r="A727">
        <v>3373</v>
      </c>
      <c r="B727" t="s">
        <v>5395</v>
      </c>
      <c r="C727">
        <v>4.32</v>
      </c>
      <c r="D727">
        <v>-84</v>
      </c>
      <c r="E727">
        <v>-84</v>
      </c>
      <c r="F727">
        <v>21</v>
      </c>
      <c r="G727">
        <v>-51</v>
      </c>
      <c r="H727">
        <v>15.17</v>
      </c>
      <c r="I727">
        <v>1.5</v>
      </c>
      <c r="J727">
        <v>2.6</v>
      </c>
      <c r="K727" s="245">
        <v>-59.77</v>
      </c>
      <c r="L727" s="245">
        <v>21.53</v>
      </c>
      <c r="M727" s="245">
        <v>20.5</v>
      </c>
    </row>
    <row r="728" spans="1:13">
      <c r="A728">
        <v>3374</v>
      </c>
      <c r="B728" t="s">
        <v>5396</v>
      </c>
      <c r="C728">
        <v>27.13</v>
      </c>
      <c r="D728">
        <v>8</v>
      </c>
      <c r="E728">
        <v>25</v>
      </c>
      <c r="F728">
        <v>33</v>
      </c>
      <c r="G728">
        <v>6</v>
      </c>
      <c r="H728">
        <v>28.8</v>
      </c>
      <c r="I728">
        <v>3</v>
      </c>
      <c r="J728">
        <v>6.92</v>
      </c>
      <c r="K728" s="245">
        <v>-30.91</v>
      </c>
      <c r="L728" s="245">
        <v>60.86</v>
      </c>
      <c r="M728" s="245">
        <v>8.73</v>
      </c>
    </row>
    <row r="729" spans="1:13">
      <c r="A729">
        <v>3376</v>
      </c>
      <c r="B729" t="s">
        <v>5397</v>
      </c>
      <c r="C729">
        <v>19.239999999999998</v>
      </c>
      <c r="D729">
        <v>-30</v>
      </c>
      <c r="E729">
        <v>-41</v>
      </c>
      <c r="F729">
        <v>-17</v>
      </c>
      <c r="G729">
        <v>-20</v>
      </c>
      <c r="H729">
        <v>12.99</v>
      </c>
      <c r="I729">
        <v>5</v>
      </c>
      <c r="J729">
        <v>6.08</v>
      </c>
      <c r="K729" s="245">
        <v>-35.79</v>
      </c>
      <c r="L729" s="245">
        <v>46.07</v>
      </c>
      <c r="M729" s="245">
        <v>1.72</v>
      </c>
    </row>
    <row r="730" spans="1:13">
      <c r="A730">
        <v>3379</v>
      </c>
      <c r="B730" t="s">
        <v>5398</v>
      </c>
      <c r="C730">
        <v>3.8</v>
      </c>
      <c r="D730">
        <v>-42</v>
      </c>
      <c r="E730">
        <v>101</v>
      </c>
      <c r="F730">
        <v>-49</v>
      </c>
      <c r="G730">
        <v>-87</v>
      </c>
      <c r="H730">
        <v>0.22</v>
      </c>
      <c r="I730">
        <v>0.25</v>
      </c>
      <c r="J730">
        <v>0.27</v>
      </c>
      <c r="K730" s="245">
        <v>-21.75</v>
      </c>
      <c r="L730" s="245">
        <v>34.700000000000003</v>
      </c>
      <c r="M730" s="245">
        <v>18.829999999999998</v>
      </c>
    </row>
    <row r="731" spans="1:13">
      <c r="A731">
        <v>3380</v>
      </c>
      <c r="B731" t="s">
        <v>5399</v>
      </c>
      <c r="C731">
        <v>54.17</v>
      </c>
      <c r="D731">
        <v>-25</v>
      </c>
      <c r="E731">
        <v>-20</v>
      </c>
      <c r="F731">
        <v>-27</v>
      </c>
      <c r="G731">
        <v>-2</v>
      </c>
      <c r="H731">
        <v>2.5499999999999998</v>
      </c>
      <c r="I731">
        <v>0.8</v>
      </c>
      <c r="J731">
        <v>0.8</v>
      </c>
      <c r="K731" s="245">
        <v>-27</v>
      </c>
      <c r="L731" s="245">
        <v>18.22</v>
      </c>
      <c r="M731" s="245">
        <v>7.36</v>
      </c>
    </row>
    <row r="732" spans="1:13">
      <c r="A732">
        <v>3383</v>
      </c>
      <c r="B732" t="s">
        <v>6516</v>
      </c>
      <c r="C732">
        <v>7.5</v>
      </c>
      <c r="D732">
        <v>63</v>
      </c>
      <c r="E732">
        <v>12</v>
      </c>
      <c r="F732">
        <v>11</v>
      </c>
      <c r="G732">
        <v>-25</v>
      </c>
      <c r="H732">
        <v>-41.11</v>
      </c>
      <c r="I732">
        <v>0</v>
      </c>
      <c r="J732">
        <v>-1.48</v>
      </c>
      <c r="K732" s="245">
        <v>-47.87</v>
      </c>
      <c r="L732" s="245">
        <v>16.05</v>
      </c>
      <c r="M732" s="245">
        <v>3.85</v>
      </c>
    </row>
    <row r="733" spans="1:13">
      <c r="A733">
        <v>3388</v>
      </c>
      <c r="B733" t="s">
        <v>5400</v>
      </c>
      <c r="C733">
        <v>7.4</v>
      </c>
      <c r="D733">
        <v>49</v>
      </c>
      <c r="E733">
        <v>53</v>
      </c>
      <c r="F733">
        <v>50</v>
      </c>
      <c r="G733">
        <v>6</v>
      </c>
      <c r="H733">
        <v>8.1300000000000008</v>
      </c>
      <c r="I733">
        <v>6</v>
      </c>
      <c r="J733">
        <v>8.0399999999999991</v>
      </c>
      <c r="K733" s="245">
        <v>-3.78</v>
      </c>
      <c r="L733" s="245">
        <v>48.03</v>
      </c>
      <c r="M733" s="245">
        <v>0.68</v>
      </c>
    </row>
    <row r="734" spans="1:13">
      <c r="A734">
        <v>3390</v>
      </c>
      <c r="B734" t="s">
        <v>5401</v>
      </c>
      <c r="C734">
        <v>6.75</v>
      </c>
      <c r="D734">
        <v>126</v>
      </c>
      <c r="E734">
        <v>143</v>
      </c>
      <c r="F734">
        <v>14</v>
      </c>
      <c r="G734">
        <v>50</v>
      </c>
      <c r="H734">
        <v>5.93</v>
      </c>
      <c r="I734">
        <v>0.38</v>
      </c>
      <c r="J734">
        <v>0.48</v>
      </c>
      <c r="K734" s="245">
        <v>-42.05</v>
      </c>
      <c r="L734" s="245">
        <v>30.4</v>
      </c>
      <c r="M734" s="245">
        <v>21.03</v>
      </c>
    </row>
    <row r="735" spans="1:13">
      <c r="A735">
        <v>3402</v>
      </c>
      <c r="B735" t="s">
        <v>5402</v>
      </c>
      <c r="C735">
        <v>7.3</v>
      </c>
      <c r="D735">
        <v>32</v>
      </c>
      <c r="E735">
        <v>29</v>
      </c>
      <c r="F735">
        <v>8</v>
      </c>
      <c r="G735">
        <v>34</v>
      </c>
      <c r="H735">
        <v>10.65</v>
      </c>
      <c r="I735">
        <v>3</v>
      </c>
      <c r="J735">
        <v>3.93</v>
      </c>
      <c r="K735" s="245">
        <v>-14.99</v>
      </c>
      <c r="L735" s="245">
        <v>27.85</v>
      </c>
      <c r="M735" s="245">
        <v>9.4700000000000006</v>
      </c>
    </row>
    <row r="736" spans="1:13">
      <c r="A736">
        <v>3406</v>
      </c>
      <c r="B736" t="s">
        <v>5403</v>
      </c>
      <c r="C736">
        <v>11.26</v>
      </c>
      <c r="D736">
        <v>-24</v>
      </c>
      <c r="E736">
        <v>-33</v>
      </c>
      <c r="F736">
        <v>-26</v>
      </c>
      <c r="G736">
        <v>35</v>
      </c>
      <c r="H736">
        <v>18.02</v>
      </c>
      <c r="I736">
        <v>8</v>
      </c>
      <c r="J736">
        <v>20.52</v>
      </c>
      <c r="K736" s="245">
        <v>-45.07</v>
      </c>
      <c r="L736" s="245">
        <v>7.15</v>
      </c>
      <c r="M736" s="245">
        <v>12.23</v>
      </c>
    </row>
    <row r="737" spans="1:13">
      <c r="A737">
        <v>3413</v>
      </c>
      <c r="B737" t="s">
        <v>5404</v>
      </c>
      <c r="C737">
        <v>9.67</v>
      </c>
      <c r="D737">
        <v>22</v>
      </c>
      <c r="E737">
        <v>21</v>
      </c>
      <c r="F737">
        <v>4</v>
      </c>
      <c r="G737">
        <v>24</v>
      </c>
      <c r="H737">
        <v>16.239999999999998</v>
      </c>
      <c r="I737">
        <v>9.5</v>
      </c>
      <c r="J737">
        <v>17.010000000000002</v>
      </c>
      <c r="K737" s="245">
        <v>-23.13</v>
      </c>
      <c r="L737" s="245">
        <v>33.92</v>
      </c>
      <c r="M737" s="245">
        <v>10.63</v>
      </c>
    </row>
    <row r="738" spans="1:13">
      <c r="A738">
        <v>3416</v>
      </c>
      <c r="B738" t="s">
        <v>5405</v>
      </c>
      <c r="C738">
        <v>7.26</v>
      </c>
      <c r="D738">
        <v>42</v>
      </c>
      <c r="E738">
        <v>50</v>
      </c>
      <c r="F738">
        <v>-31</v>
      </c>
      <c r="G738">
        <v>12</v>
      </c>
      <c r="H738">
        <v>17.48</v>
      </c>
      <c r="I738">
        <v>4.5</v>
      </c>
      <c r="J738">
        <v>5.03</v>
      </c>
      <c r="K738" s="245">
        <v>-11.23</v>
      </c>
      <c r="L738" s="245">
        <v>38.4</v>
      </c>
      <c r="M738" s="245">
        <v>1.27</v>
      </c>
    </row>
    <row r="739" spans="1:13">
      <c r="A739">
        <v>3419</v>
      </c>
      <c r="B739" t="s">
        <v>5406</v>
      </c>
      <c r="C739">
        <v>12.04</v>
      </c>
      <c r="D739">
        <v>-155</v>
      </c>
      <c r="E739">
        <v>-15</v>
      </c>
      <c r="F739">
        <v>54</v>
      </c>
      <c r="G739">
        <v>10</v>
      </c>
      <c r="H739">
        <v>-3.45</v>
      </c>
      <c r="I739">
        <v>0</v>
      </c>
      <c r="J739">
        <v>-0.33</v>
      </c>
      <c r="K739" s="245">
        <v>-48.15</v>
      </c>
      <c r="L739" s="245">
        <v>14.95</v>
      </c>
      <c r="M739" s="245">
        <v>41.97</v>
      </c>
    </row>
    <row r="740" spans="1:13">
      <c r="A740">
        <v>3426</v>
      </c>
      <c r="B740" t="s">
        <v>6517</v>
      </c>
      <c r="C740">
        <v>2.64</v>
      </c>
      <c r="D740">
        <v>14</v>
      </c>
      <c r="E740">
        <v>2</v>
      </c>
      <c r="F740">
        <v>-2</v>
      </c>
      <c r="G740">
        <v>13</v>
      </c>
      <c r="H740">
        <v>10.52</v>
      </c>
      <c r="I740">
        <v>2</v>
      </c>
      <c r="J740">
        <v>2.48</v>
      </c>
      <c r="K740" s="245">
        <v>-8.98</v>
      </c>
      <c r="L740" s="245">
        <v>31.7</v>
      </c>
      <c r="M740" s="245">
        <v>0.3</v>
      </c>
    </row>
    <row r="741" spans="1:13">
      <c r="A741">
        <v>3432</v>
      </c>
      <c r="B741" t="s">
        <v>5407</v>
      </c>
      <c r="C741">
        <v>6.65</v>
      </c>
      <c r="D741">
        <v>75</v>
      </c>
      <c r="E741">
        <v>10</v>
      </c>
      <c r="F741">
        <v>81</v>
      </c>
      <c r="G741">
        <v>-54</v>
      </c>
      <c r="H741">
        <v>-54.85</v>
      </c>
      <c r="I741">
        <v>0.5</v>
      </c>
      <c r="J741">
        <v>0.86</v>
      </c>
      <c r="K741" s="245">
        <v>-22.38</v>
      </c>
      <c r="L741" s="245">
        <v>27.31</v>
      </c>
      <c r="M741" s="245">
        <v>37.520000000000003</v>
      </c>
    </row>
    <row r="742" spans="1:13">
      <c r="A742">
        <v>3434</v>
      </c>
      <c r="B742" t="s">
        <v>5408</v>
      </c>
      <c r="C742">
        <v>2.27</v>
      </c>
      <c r="D742">
        <v>283</v>
      </c>
      <c r="E742">
        <v>323</v>
      </c>
      <c r="F742">
        <v>135</v>
      </c>
      <c r="G742">
        <v>66</v>
      </c>
      <c r="H742">
        <v>3.4</v>
      </c>
      <c r="I742">
        <v>0.8</v>
      </c>
      <c r="J742">
        <v>0.82</v>
      </c>
      <c r="K742" s="245">
        <v>-18.190000000000001</v>
      </c>
      <c r="L742" s="245">
        <v>77.72</v>
      </c>
      <c r="M742" s="245">
        <v>37.090000000000003</v>
      </c>
    </row>
    <row r="743" spans="1:13">
      <c r="A743">
        <v>3437</v>
      </c>
      <c r="B743" t="s">
        <v>5409</v>
      </c>
      <c r="C743">
        <v>14.45</v>
      </c>
      <c r="D743">
        <v>179</v>
      </c>
      <c r="E743">
        <v>157</v>
      </c>
      <c r="F743">
        <v>-24</v>
      </c>
      <c r="G743">
        <v>-30</v>
      </c>
      <c r="H743">
        <v>1.39</v>
      </c>
      <c r="I743">
        <v>0</v>
      </c>
      <c r="J743">
        <v>0.61</v>
      </c>
      <c r="K743" s="245">
        <v>-40.630000000000003</v>
      </c>
      <c r="L743" s="245">
        <v>15.59</v>
      </c>
      <c r="M743" s="245">
        <v>27.03</v>
      </c>
    </row>
    <row r="744" spans="1:13">
      <c r="A744">
        <v>3438</v>
      </c>
      <c r="B744" t="s">
        <v>5410</v>
      </c>
      <c r="C744">
        <v>4.71</v>
      </c>
      <c r="D744">
        <v>121</v>
      </c>
      <c r="E744">
        <v>135</v>
      </c>
      <c r="F744">
        <v>28</v>
      </c>
      <c r="G744">
        <v>5</v>
      </c>
      <c r="H744">
        <v>19.690000000000001</v>
      </c>
      <c r="I744">
        <v>3.6</v>
      </c>
      <c r="J744">
        <v>5.14</v>
      </c>
      <c r="K744" s="245">
        <v>-45.52</v>
      </c>
      <c r="L744" s="245">
        <v>22.52</v>
      </c>
      <c r="M744" s="245">
        <v>19.059999999999999</v>
      </c>
    </row>
    <row r="745" spans="1:13">
      <c r="A745">
        <v>3441</v>
      </c>
      <c r="B745" t="s">
        <v>5411</v>
      </c>
      <c r="C745">
        <v>4</v>
      </c>
      <c r="D745">
        <v>273</v>
      </c>
      <c r="E745">
        <v>324</v>
      </c>
      <c r="F745">
        <v>65</v>
      </c>
      <c r="G745">
        <v>49</v>
      </c>
      <c r="H745">
        <v>7.08</v>
      </c>
      <c r="I745">
        <v>0.5</v>
      </c>
      <c r="J745">
        <v>0.63</v>
      </c>
      <c r="K745" s="245">
        <v>-38.96</v>
      </c>
      <c r="L745" s="245">
        <v>13.84</v>
      </c>
      <c r="M745" s="245">
        <v>16.84</v>
      </c>
    </row>
    <row r="746" spans="1:13">
      <c r="A746">
        <v>3443</v>
      </c>
      <c r="B746" t="s">
        <v>5412</v>
      </c>
      <c r="C746">
        <v>13.4</v>
      </c>
      <c r="D746">
        <v>71</v>
      </c>
      <c r="E746">
        <v>73</v>
      </c>
      <c r="F746">
        <v>17</v>
      </c>
      <c r="G746">
        <v>75</v>
      </c>
      <c r="H746">
        <v>11.08</v>
      </c>
      <c r="I746">
        <v>7</v>
      </c>
      <c r="J746">
        <v>10.9</v>
      </c>
      <c r="K746" s="245">
        <v>-29.5</v>
      </c>
      <c r="L746" s="245">
        <v>50.53</v>
      </c>
      <c r="M746" s="245">
        <v>6.21</v>
      </c>
    </row>
    <row r="747" spans="1:13">
      <c r="A747">
        <v>3444</v>
      </c>
      <c r="B747" t="s">
        <v>5413</v>
      </c>
      <c r="C747">
        <v>3.91</v>
      </c>
      <c r="D747">
        <v>26</v>
      </c>
      <c r="E747">
        <v>26</v>
      </c>
      <c r="F747">
        <v>36</v>
      </c>
      <c r="G747">
        <v>8</v>
      </c>
      <c r="H747">
        <v>12.35</v>
      </c>
      <c r="I747">
        <v>2.2999999999999998</v>
      </c>
      <c r="J747">
        <v>3.44</v>
      </c>
      <c r="K747" s="245">
        <v>-27.02</v>
      </c>
      <c r="L747" s="245">
        <v>68.900000000000006</v>
      </c>
      <c r="M747" s="245">
        <v>27.89</v>
      </c>
    </row>
    <row r="748" spans="1:13">
      <c r="A748">
        <v>3450</v>
      </c>
      <c r="B748" t="s">
        <v>5414</v>
      </c>
      <c r="C748">
        <v>14.56</v>
      </c>
      <c r="D748">
        <v>38</v>
      </c>
      <c r="E748">
        <v>25</v>
      </c>
      <c r="F748">
        <v>-2</v>
      </c>
      <c r="G748">
        <v>-13</v>
      </c>
      <c r="H748">
        <v>15.47</v>
      </c>
      <c r="I748">
        <v>1.8</v>
      </c>
      <c r="J748">
        <v>2.5499999999999998</v>
      </c>
      <c r="K748" s="245">
        <v>-33.93</v>
      </c>
      <c r="L748" s="245">
        <v>13.52</v>
      </c>
      <c r="M748" s="245">
        <v>3.22</v>
      </c>
    </row>
    <row r="749" spans="1:13">
      <c r="A749">
        <v>3454</v>
      </c>
      <c r="B749" t="s">
        <v>5415</v>
      </c>
      <c r="C749">
        <v>8.65</v>
      </c>
      <c r="D749">
        <v>-7</v>
      </c>
      <c r="E749">
        <v>-65</v>
      </c>
      <c r="F749">
        <v>0</v>
      </c>
      <c r="G749">
        <v>51</v>
      </c>
      <c r="H749">
        <v>1.67</v>
      </c>
      <c r="I749">
        <v>1.4</v>
      </c>
      <c r="J749">
        <v>2.17</v>
      </c>
      <c r="K749" s="245">
        <v>-4.5</v>
      </c>
      <c r="L749" s="245">
        <v>75.17</v>
      </c>
      <c r="M749" s="245">
        <v>1.68</v>
      </c>
    </row>
    <row r="750" spans="1:13">
      <c r="A750">
        <v>3455</v>
      </c>
      <c r="B750" t="s">
        <v>5416</v>
      </c>
      <c r="C750">
        <v>5.98</v>
      </c>
      <c r="D750">
        <v>86</v>
      </c>
      <c r="E750">
        <v>66</v>
      </c>
      <c r="F750">
        <v>4</v>
      </c>
      <c r="G750">
        <v>-14</v>
      </c>
      <c r="H750">
        <v>19.93</v>
      </c>
      <c r="I750">
        <v>5.5</v>
      </c>
      <c r="J750">
        <v>7.5</v>
      </c>
      <c r="K750" s="245">
        <v>-32.17</v>
      </c>
      <c r="L750" s="245">
        <v>12.08</v>
      </c>
      <c r="M750" s="245">
        <v>54.47</v>
      </c>
    </row>
    <row r="751" spans="1:13">
      <c r="A751">
        <v>3465</v>
      </c>
      <c r="B751" t="s">
        <v>6518</v>
      </c>
      <c r="C751">
        <v>3.23</v>
      </c>
      <c r="D751">
        <v>1102</v>
      </c>
      <c r="E751">
        <v>1203</v>
      </c>
      <c r="F751">
        <v>73</v>
      </c>
      <c r="G751">
        <v>-42</v>
      </c>
      <c r="H751">
        <v>20.239999999999998</v>
      </c>
      <c r="I751">
        <v>8.5</v>
      </c>
      <c r="J751">
        <v>16.36</v>
      </c>
      <c r="K751" s="245">
        <v>-63.7</v>
      </c>
      <c r="L751" s="245">
        <v>2.75</v>
      </c>
      <c r="M751" s="245">
        <v>3.09</v>
      </c>
    </row>
    <row r="752" spans="1:13">
      <c r="A752">
        <v>3466</v>
      </c>
      <c r="B752" t="s">
        <v>5417</v>
      </c>
      <c r="C752">
        <v>6.08</v>
      </c>
      <c r="D752">
        <v>47</v>
      </c>
      <c r="E752">
        <v>-32</v>
      </c>
      <c r="F752">
        <v>99</v>
      </c>
      <c r="G752">
        <v>-81</v>
      </c>
      <c r="H752">
        <v>-7.77</v>
      </c>
      <c r="I752">
        <v>0</v>
      </c>
      <c r="J752">
        <v>-1.31</v>
      </c>
      <c r="K752" s="245">
        <v>-21.87</v>
      </c>
      <c r="L752" s="245">
        <v>67.06</v>
      </c>
      <c r="M752" s="245">
        <v>51.37</v>
      </c>
    </row>
    <row r="753" spans="1:13">
      <c r="A753">
        <v>3479</v>
      </c>
      <c r="B753" t="s">
        <v>5418</v>
      </c>
      <c r="C753">
        <v>7.1</v>
      </c>
      <c r="D753">
        <v>-4</v>
      </c>
      <c r="E753">
        <v>-3</v>
      </c>
      <c r="F753">
        <v>90</v>
      </c>
      <c r="G753">
        <v>61</v>
      </c>
      <c r="H753">
        <v>5.23</v>
      </c>
      <c r="I753">
        <v>2.6</v>
      </c>
      <c r="J753">
        <v>2.94</v>
      </c>
      <c r="K753" s="245">
        <v>-9.85</v>
      </c>
      <c r="L753" s="245">
        <v>71.12</v>
      </c>
      <c r="M753" s="245">
        <v>2.72</v>
      </c>
    </row>
    <row r="754" spans="1:13">
      <c r="A754">
        <v>3481</v>
      </c>
      <c r="B754" t="s">
        <v>5419</v>
      </c>
      <c r="C754">
        <v>1055</v>
      </c>
      <c r="D754">
        <v>3409</v>
      </c>
      <c r="E754">
        <v>3361</v>
      </c>
      <c r="F754">
        <v>-13</v>
      </c>
      <c r="G754">
        <v>-32</v>
      </c>
      <c r="H754">
        <v>17.91</v>
      </c>
      <c r="I754">
        <v>0</v>
      </c>
      <c r="J754">
        <v>5.53</v>
      </c>
      <c r="K754" s="245">
        <v>-43.94</v>
      </c>
      <c r="L754" s="245">
        <v>17.32</v>
      </c>
      <c r="M754" s="245">
        <v>9.69</v>
      </c>
    </row>
    <row r="755" spans="1:13">
      <c r="A755">
        <v>3483</v>
      </c>
      <c r="B755" t="s">
        <v>5420</v>
      </c>
      <c r="C755">
        <v>7.79</v>
      </c>
      <c r="D755">
        <v>35</v>
      </c>
      <c r="E755">
        <v>-16</v>
      </c>
      <c r="F755">
        <v>61</v>
      </c>
      <c r="G755">
        <v>35</v>
      </c>
      <c r="H755">
        <v>5.23</v>
      </c>
      <c r="I755">
        <v>3</v>
      </c>
      <c r="J755">
        <v>5.34</v>
      </c>
      <c r="K755" s="245">
        <v>-38.17</v>
      </c>
      <c r="L755" s="245">
        <v>18.72</v>
      </c>
      <c r="M755" s="245">
        <v>36.32</v>
      </c>
    </row>
    <row r="756" spans="1:13">
      <c r="A756">
        <v>3484</v>
      </c>
      <c r="B756" t="s">
        <v>5421</v>
      </c>
      <c r="C756">
        <v>6.97</v>
      </c>
      <c r="D756">
        <v>56</v>
      </c>
      <c r="E756">
        <v>51</v>
      </c>
      <c r="F756">
        <v>-15</v>
      </c>
      <c r="G756">
        <v>-7</v>
      </c>
      <c r="H756">
        <v>9.5</v>
      </c>
      <c r="I756">
        <v>4.0999999999999996</v>
      </c>
      <c r="J756">
        <v>8.16</v>
      </c>
      <c r="K756" s="245">
        <v>-35.1</v>
      </c>
      <c r="L756" s="245">
        <v>12.28</v>
      </c>
      <c r="M756" s="245">
        <v>26.37</v>
      </c>
    </row>
    <row r="757" spans="1:13">
      <c r="A757">
        <v>3489</v>
      </c>
      <c r="B757" t="s">
        <v>6315</v>
      </c>
      <c r="C757">
        <v>8.31</v>
      </c>
      <c r="D757">
        <v>79</v>
      </c>
      <c r="E757">
        <v>110</v>
      </c>
      <c r="F757">
        <v>-37</v>
      </c>
      <c r="G757">
        <v>-78</v>
      </c>
      <c r="H757">
        <v>3.51</v>
      </c>
      <c r="I757">
        <v>0.5</v>
      </c>
      <c r="J757">
        <v>0.56999999999999995</v>
      </c>
      <c r="K757" s="245">
        <v>-30.72</v>
      </c>
      <c r="L757" s="245">
        <v>49.98</v>
      </c>
      <c r="M757" s="245">
        <v>7.54</v>
      </c>
    </row>
    <row r="758" spans="1:13">
      <c r="A758">
        <v>3490</v>
      </c>
      <c r="B758" t="s">
        <v>5422</v>
      </c>
      <c r="C758">
        <v>5.7</v>
      </c>
      <c r="D758">
        <v>119</v>
      </c>
      <c r="E758">
        <v>259</v>
      </c>
      <c r="F758">
        <v>-41</v>
      </c>
      <c r="G758">
        <v>-19</v>
      </c>
      <c r="H758">
        <v>20.98</v>
      </c>
      <c r="I758">
        <v>1.2</v>
      </c>
      <c r="J758">
        <v>2.19</v>
      </c>
      <c r="K758" s="245">
        <v>-25.4</v>
      </c>
      <c r="L758" s="245">
        <v>22.18</v>
      </c>
      <c r="M758" s="245">
        <v>20.68</v>
      </c>
    </row>
    <row r="759" spans="1:13">
      <c r="A759">
        <v>3491</v>
      </c>
      <c r="B759" t="s">
        <v>5423</v>
      </c>
      <c r="C759">
        <v>6.21</v>
      </c>
      <c r="D759">
        <v>80</v>
      </c>
      <c r="E759">
        <v>24</v>
      </c>
      <c r="F759">
        <v>-48</v>
      </c>
      <c r="G759">
        <v>-29</v>
      </c>
      <c r="H759">
        <v>12.59</v>
      </c>
      <c r="I759">
        <v>4</v>
      </c>
      <c r="J759">
        <v>3.81</v>
      </c>
      <c r="K759" s="245">
        <v>-40.61</v>
      </c>
      <c r="L759" s="245">
        <v>22.5</v>
      </c>
      <c r="M759" s="245">
        <v>37.909999999999997</v>
      </c>
    </row>
    <row r="760" spans="1:13">
      <c r="A760">
        <v>3492</v>
      </c>
      <c r="B760" t="s">
        <v>5424</v>
      </c>
      <c r="C760">
        <v>3.55</v>
      </c>
      <c r="D760">
        <v>18</v>
      </c>
      <c r="E760">
        <v>35</v>
      </c>
      <c r="F760">
        <v>17</v>
      </c>
      <c r="G760">
        <v>-5</v>
      </c>
      <c r="H760">
        <v>3.75</v>
      </c>
      <c r="I760">
        <v>0</v>
      </c>
      <c r="J760">
        <v>0.5</v>
      </c>
      <c r="K760" s="245">
        <v>-32.33</v>
      </c>
      <c r="L760" s="245">
        <v>29.22</v>
      </c>
      <c r="M760" s="245">
        <v>16.16</v>
      </c>
    </row>
    <row r="761" spans="1:13">
      <c r="A761">
        <v>3494</v>
      </c>
      <c r="B761" t="s">
        <v>6519</v>
      </c>
      <c r="C761">
        <v>12</v>
      </c>
      <c r="D761">
        <v>67</v>
      </c>
      <c r="E761">
        <v>51</v>
      </c>
      <c r="F761">
        <v>18</v>
      </c>
      <c r="G761">
        <v>28</v>
      </c>
      <c r="H761">
        <v>-53.7</v>
      </c>
      <c r="I761">
        <v>0</v>
      </c>
      <c r="J761">
        <v>-1.57</v>
      </c>
      <c r="K761" s="245">
        <v>-9.09</v>
      </c>
      <c r="L761" s="245">
        <v>78.16</v>
      </c>
      <c r="M761" s="245">
        <v>1.88</v>
      </c>
    </row>
    <row r="762" spans="1:13">
      <c r="A762">
        <v>3498</v>
      </c>
      <c r="B762" t="s">
        <v>5425</v>
      </c>
      <c r="C762">
        <v>6.28</v>
      </c>
      <c r="D762">
        <v>143</v>
      </c>
      <c r="E762">
        <v>159</v>
      </c>
      <c r="F762">
        <v>-49</v>
      </c>
      <c r="G762">
        <v>-73</v>
      </c>
      <c r="H762">
        <v>1.98</v>
      </c>
      <c r="I762">
        <v>0</v>
      </c>
      <c r="J762">
        <v>0.27</v>
      </c>
      <c r="K762" s="245">
        <v>-40.270000000000003</v>
      </c>
      <c r="L762" s="245">
        <v>8.8000000000000007</v>
      </c>
      <c r="M762" s="245">
        <v>4.76</v>
      </c>
    </row>
    <row r="763" spans="1:13">
      <c r="A763">
        <v>3499</v>
      </c>
      <c r="B763" t="s">
        <v>5426</v>
      </c>
      <c r="C763">
        <v>5.49</v>
      </c>
      <c r="D763">
        <v>62</v>
      </c>
      <c r="E763">
        <v>16</v>
      </c>
      <c r="F763">
        <v>69</v>
      </c>
      <c r="G763">
        <v>-11</v>
      </c>
      <c r="H763">
        <v>-10.9</v>
      </c>
      <c r="I763">
        <v>0</v>
      </c>
      <c r="J763">
        <v>-0.18</v>
      </c>
      <c r="K763" s="245">
        <v>-44.5</v>
      </c>
      <c r="L763" s="245">
        <v>18.05</v>
      </c>
      <c r="M763" s="245">
        <v>69.86</v>
      </c>
    </row>
    <row r="764" spans="1:13">
      <c r="A764">
        <v>3501</v>
      </c>
      <c r="B764" t="s">
        <v>5427</v>
      </c>
      <c r="C764">
        <v>11.82</v>
      </c>
      <c r="D764">
        <v>-18</v>
      </c>
      <c r="E764">
        <v>-18</v>
      </c>
      <c r="F764">
        <v>52</v>
      </c>
      <c r="G764">
        <v>25</v>
      </c>
      <c r="H764">
        <v>7.95</v>
      </c>
      <c r="I764">
        <v>2</v>
      </c>
      <c r="J764">
        <v>2.92</v>
      </c>
      <c r="K764" s="245">
        <v>-19.47</v>
      </c>
      <c r="L764" s="245">
        <v>4.83</v>
      </c>
      <c r="M764" s="245">
        <v>0.64</v>
      </c>
    </row>
    <row r="765" spans="1:13">
      <c r="A765">
        <v>3504</v>
      </c>
      <c r="B765" t="s">
        <v>5428</v>
      </c>
      <c r="C765">
        <v>11.4</v>
      </c>
      <c r="D765">
        <v>111</v>
      </c>
      <c r="E765">
        <v>111</v>
      </c>
      <c r="F765">
        <v>43</v>
      </c>
      <c r="G765">
        <v>-1</v>
      </c>
      <c r="H765">
        <v>0.6</v>
      </c>
      <c r="I765">
        <v>0</v>
      </c>
      <c r="J765">
        <v>0.23</v>
      </c>
      <c r="K765" s="245">
        <v>-60.58</v>
      </c>
      <c r="L765" s="245">
        <v>3.78</v>
      </c>
      <c r="M765" s="245">
        <v>32.409999999999997</v>
      </c>
    </row>
    <row r="766" spans="1:13">
      <c r="A766">
        <v>3508</v>
      </c>
      <c r="B766" t="s">
        <v>5429</v>
      </c>
      <c r="C766">
        <v>10.210000000000001</v>
      </c>
      <c r="D766">
        <v>43</v>
      </c>
      <c r="E766">
        <v>55</v>
      </c>
      <c r="F766">
        <v>62</v>
      </c>
      <c r="G766">
        <v>24</v>
      </c>
      <c r="H766">
        <v>-11.85</v>
      </c>
      <c r="I766">
        <v>0</v>
      </c>
      <c r="J766">
        <v>-0.92</v>
      </c>
      <c r="K766" s="245">
        <v>-57.09</v>
      </c>
      <c r="L766" s="245">
        <v>9.8000000000000007</v>
      </c>
      <c r="M766" s="245">
        <v>128.04</v>
      </c>
    </row>
    <row r="767" spans="1:13">
      <c r="A767">
        <v>3511</v>
      </c>
      <c r="B767" t="s">
        <v>5430</v>
      </c>
      <c r="C767">
        <v>7.99</v>
      </c>
      <c r="D767">
        <v>65</v>
      </c>
      <c r="E767">
        <v>69</v>
      </c>
      <c r="F767">
        <v>-8</v>
      </c>
      <c r="G767">
        <v>17</v>
      </c>
      <c r="H767">
        <v>6.1</v>
      </c>
      <c r="I767">
        <v>1</v>
      </c>
      <c r="J767">
        <v>1.39</v>
      </c>
      <c r="K767" s="245">
        <v>-39.67</v>
      </c>
      <c r="L767" s="245">
        <v>39.67</v>
      </c>
      <c r="M767" s="245">
        <v>33.9</v>
      </c>
    </row>
    <row r="768" spans="1:13">
      <c r="A768">
        <v>3512</v>
      </c>
      <c r="B768" t="s">
        <v>6147</v>
      </c>
      <c r="C768">
        <v>8.4</v>
      </c>
      <c r="D768">
        <v>56</v>
      </c>
      <c r="E768">
        <v>76</v>
      </c>
      <c r="F768">
        <v>-26</v>
      </c>
      <c r="G768">
        <v>46</v>
      </c>
      <c r="H768">
        <v>16.18</v>
      </c>
      <c r="I768">
        <v>3</v>
      </c>
      <c r="J768">
        <v>3.79</v>
      </c>
      <c r="K768" s="245">
        <v>-10.01</v>
      </c>
      <c r="L768" s="245">
        <v>37.1</v>
      </c>
      <c r="M768" s="245">
        <v>1.24</v>
      </c>
    </row>
    <row r="769" spans="1:13">
      <c r="A769">
        <v>3515</v>
      </c>
      <c r="B769" t="s">
        <v>5431</v>
      </c>
      <c r="C769">
        <v>12.29</v>
      </c>
      <c r="D769">
        <v>63</v>
      </c>
      <c r="E769">
        <v>64</v>
      </c>
      <c r="F769">
        <v>23</v>
      </c>
      <c r="G769">
        <v>-12</v>
      </c>
      <c r="H769">
        <v>15.47</v>
      </c>
      <c r="I769">
        <v>13</v>
      </c>
      <c r="J769">
        <v>19.670000000000002</v>
      </c>
      <c r="K769" s="245">
        <v>-48.11</v>
      </c>
      <c r="L769" s="245">
        <v>5.18</v>
      </c>
      <c r="M769" s="245">
        <v>12.06</v>
      </c>
    </row>
    <row r="770" spans="1:13">
      <c r="A770">
        <v>3516</v>
      </c>
      <c r="B770" t="s">
        <v>6238</v>
      </c>
      <c r="C770">
        <v>5.05</v>
      </c>
      <c r="D770">
        <v>143</v>
      </c>
      <c r="E770">
        <v>128</v>
      </c>
      <c r="F770">
        <v>0</v>
      </c>
      <c r="G770">
        <v>52</v>
      </c>
      <c r="H770">
        <v>0.35</v>
      </c>
      <c r="I770">
        <v>0.2</v>
      </c>
      <c r="J770">
        <v>0.86</v>
      </c>
      <c r="K770" s="245">
        <v>-18.23</v>
      </c>
      <c r="L770" s="245">
        <v>45.41</v>
      </c>
      <c r="M770" s="245">
        <v>4.13</v>
      </c>
    </row>
    <row r="771" spans="1:13">
      <c r="A771">
        <v>3518</v>
      </c>
      <c r="B771" t="s">
        <v>5432</v>
      </c>
      <c r="C771">
        <v>8.07</v>
      </c>
      <c r="D771">
        <v>173</v>
      </c>
      <c r="E771">
        <v>488</v>
      </c>
      <c r="F771">
        <v>-39</v>
      </c>
      <c r="G771">
        <v>-48</v>
      </c>
      <c r="H771">
        <v>7.58</v>
      </c>
      <c r="I771">
        <v>1</v>
      </c>
      <c r="J771">
        <v>0.52</v>
      </c>
      <c r="K771" s="245">
        <v>-33.93</v>
      </c>
      <c r="L771" s="245">
        <v>14.48</v>
      </c>
      <c r="M771" s="245">
        <v>4.47</v>
      </c>
    </row>
    <row r="772" spans="1:13">
      <c r="A772">
        <v>3520</v>
      </c>
      <c r="B772" t="s">
        <v>6341</v>
      </c>
      <c r="C772">
        <v>6.88</v>
      </c>
      <c r="D772">
        <v>-27</v>
      </c>
      <c r="E772">
        <v>-15</v>
      </c>
      <c r="F772">
        <v>14</v>
      </c>
      <c r="G772">
        <v>30</v>
      </c>
      <c r="H772">
        <v>2.0699999999999998</v>
      </c>
      <c r="I772">
        <v>0</v>
      </c>
      <c r="J772">
        <v>0.13</v>
      </c>
      <c r="K772" s="245">
        <v>-25.42</v>
      </c>
      <c r="L772" s="245">
        <v>13.16</v>
      </c>
      <c r="M772" s="245">
        <v>3.14</v>
      </c>
    </row>
    <row r="773" spans="1:13">
      <c r="A773">
        <v>3521</v>
      </c>
      <c r="B773" t="s">
        <v>5433</v>
      </c>
      <c r="C773">
        <v>4.72</v>
      </c>
      <c r="D773">
        <v>-93</v>
      </c>
      <c r="E773">
        <v>-11</v>
      </c>
      <c r="F773">
        <v>10</v>
      </c>
      <c r="G773">
        <v>-22</v>
      </c>
      <c r="H773">
        <v>-14.21</v>
      </c>
      <c r="I773">
        <v>0</v>
      </c>
      <c r="J773">
        <v>-1.68</v>
      </c>
      <c r="K773" s="245">
        <v>-11.18</v>
      </c>
      <c r="L773" s="245">
        <v>45.85</v>
      </c>
      <c r="M773" s="245">
        <v>10.58</v>
      </c>
    </row>
    <row r="774" spans="1:13">
      <c r="A774">
        <v>3522</v>
      </c>
      <c r="B774" t="s">
        <v>6520</v>
      </c>
      <c r="C774">
        <v>7.1</v>
      </c>
      <c r="D774">
        <v>-7</v>
      </c>
      <c r="E774">
        <v>-23</v>
      </c>
      <c r="F774">
        <v>107</v>
      </c>
      <c r="G774">
        <v>-7</v>
      </c>
      <c r="H774">
        <v>-52.84</v>
      </c>
      <c r="I774">
        <v>0</v>
      </c>
      <c r="J774">
        <v>-6.64</v>
      </c>
      <c r="K774" s="245">
        <v>-27.62</v>
      </c>
      <c r="L774" s="245">
        <v>65.27</v>
      </c>
      <c r="M774" s="245">
        <v>6.8</v>
      </c>
    </row>
    <row r="775" spans="1:13">
      <c r="A775">
        <v>3523</v>
      </c>
      <c r="B775" t="s">
        <v>6521</v>
      </c>
      <c r="C775">
        <v>6.18</v>
      </c>
      <c r="D775">
        <v>-38</v>
      </c>
      <c r="E775">
        <v>-44</v>
      </c>
      <c r="F775">
        <v>-49</v>
      </c>
      <c r="G775">
        <v>-64</v>
      </c>
      <c r="H775">
        <v>-40.11</v>
      </c>
      <c r="I775">
        <v>0</v>
      </c>
      <c r="J775">
        <v>-1.95</v>
      </c>
      <c r="K775" s="245">
        <v>-18.22</v>
      </c>
      <c r="L775" s="245">
        <v>66.099999999999994</v>
      </c>
      <c r="M775" s="245">
        <v>2.5</v>
      </c>
    </row>
    <row r="776" spans="1:13">
      <c r="A776">
        <v>3526</v>
      </c>
      <c r="B776" t="s">
        <v>5434</v>
      </c>
      <c r="C776">
        <v>5.85</v>
      </c>
      <c r="D776">
        <v>23</v>
      </c>
      <c r="E776">
        <v>17</v>
      </c>
      <c r="F776">
        <v>-48</v>
      </c>
      <c r="G776">
        <v>-56</v>
      </c>
      <c r="H776">
        <v>27.21</v>
      </c>
      <c r="I776">
        <v>11.16</v>
      </c>
      <c r="J776">
        <v>11.19</v>
      </c>
      <c r="K776" s="245">
        <v>-29.52</v>
      </c>
      <c r="L776" s="245">
        <v>20.420000000000002</v>
      </c>
      <c r="M776" s="245">
        <v>16.829999999999998</v>
      </c>
    </row>
    <row r="777" spans="1:13">
      <c r="A777">
        <v>3527</v>
      </c>
      <c r="B777" t="s">
        <v>5435</v>
      </c>
      <c r="C777">
        <v>4.4400000000000004</v>
      </c>
      <c r="D777">
        <v>730</v>
      </c>
      <c r="E777">
        <v>2520</v>
      </c>
      <c r="F777">
        <v>16</v>
      </c>
      <c r="G777">
        <v>29</v>
      </c>
      <c r="H777">
        <v>18.47</v>
      </c>
      <c r="I777">
        <v>8</v>
      </c>
      <c r="J777">
        <v>12.69</v>
      </c>
      <c r="K777" s="245">
        <v>-46.77</v>
      </c>
      <c r="L777" s="245">
        <v>38.07</v>
      </c>
      <c r="M777" s="245">
        <v>42.73</v>
      </c>
    </row>
    <row r="778" spans="1:13">
      <c r="A778">
        <v>3528</v>
      </c>
      <c r="B778" t="s">
        <v>5436</v>
      </c>
      <c r="C778">
        <v>6.61</v>
      </c>
      <c r="D778">
        <v>43</v>
      </c>
      <c r="E778">
        <v>63</v>
      </c>
      <c r="F778">
        <v>36</v>
      </c>
      <c r="G778">
        <v>3</v>
      </c>
      <c r="H778">
        <v>5.45</v>
      </c>
      <c r="I778">
        <v>3.8</v>
      </c>
      <c r="J778">
        <v>4.57</v>
      </c>
      <c r="K778" s="245">
        <v>-14.14</v>
      </c>
      <c r="L778" s="245">
        <v>46.43</v>
      </c>
      <c r="M778" s="245">
        <v>3.23</v>
      </c>
    </row>
    <row r="779" spans="1:13">
      <c r="A779">
        <v>3529</v>
      </c>
      <c r="B779" t="s">
        <v>5437</v>
      </c>
      <c r="C779">
        <v>7.61</v>
      </c>
      <c r="D779">
        <v>54</v>
      </c>
      <c r="E779">
        <v>54</v>
      </c>
      <c r="F779">
        <v>729</v>
      </c>
      <c r="G779">
        <v>45</v>
      </c>
      <c r="H779">
        <v>53.68</v>
      </c>
      <c r="I779">
        <v>14</v>
      </c>
      <c r="J779">
        <v>14.78</v>
      </c>
      <c r="K779" s="245">
        <v>-52.58</v>
      </c>
      <c r="L779" s="245">
        <v>19.91</v>
      </c>
      <c r="M779" s="245">
        <v>8.49</v>
      </c>
    </row>
    <row r="780" spans="1:13">
      <c r="A780">
        <v>3530</v>
      </c>
      <c r="B780" t="s">
        <v>5438</v>
      </c>
      <c r="C780">
        <v>7.81</v>
      </c>
      <c r="D780">
        <v>163</v>
      </c>
      <c r="E780">
        <v>174</v>
      </c>
      <c r="F780">
        <v>-11</v>
      </c>
      <c r="G780">
        <v>-18</v>
      </c>
      <c r="H780">
        <v>22.12</v>
      </c>
      <c r="I780">
        <v>3.5</v>
      </c>
      <c r="J780">
        <v>9.61</v>
      </c>
      <c r="K780" s="245">
        <v>-49.48</v>
      </c>
      <c r="L780" s="245">
        <v>76.31</v>
      </c>
      <c r="M780" s="245">
        <v>41.86</v>
      </c>
    </row>
    <row r="781" spans="1:13">
      <c r="A781">
        <v>3531</v>
      </c>
      <c r="B781" t="s">
        <v>6355</v>
      </c>
      <c r="C781">
        <v>6.11</v>
      </c>
      <c r="D781">
        <v>83</v>
      </c>
      <c r="E781">
        <v>9</v>
      </c>
      <c r="F781">
        <v>44</v>
      </c>
      <c r="G781">
        <v>32</v>
      </c>
      <c r="H781">
        <v>4.17</v>
      </c>
      <c r="I781">
        <v>1.2</v>
      </c>
      <c r="J781">
        <v>1.38</v>
      </c>
      <c r="K781" s="245">
        <v>-8.42</v>
      </c>
      <c r="L781" s="245">
        <v>59.96</v>
      </c>
      <c r="M781" s="245">
        <v>1.59</v>
      </c>
    </row>
    <row r="782" spans="1:13">
      <c r="A782">
        <v>3532</v>
      </c>
      <c r="B782" t="s">
        <v>5439</v>
      </c>
      <c r="C782">
        <v>38.78</v>
      </c>
      <c r="D782">
        <v>7</v>
      </c>
      <c r="E782">
        <v>-1</v>
      </c>
      <c r="F782">
        <v>2</v>
      </c>
      <c r="G782">
        <v>39</v>
      </c>
      <c r="H782">
        <v>14.93</v>
      </c>
      <c r="I782">
        <v>2.2200000000000002</v>
      </c>
      <c r="J782">
        <v>3.64</v>
      </c>
      <c r="K782" s="245">
        <v>-46.28</v>
      </c>
      <c r="L782" s="245">
        <v>12.44</v>
      </c>
      <c r="M782" s="245">
        <v>4.71</v>
      </c>
    </row>
    <row r="783" spans="1:13">
      <c r="A783">
        <v>3533</v>
      </c>
      <c r="B783" t="s">
        <v>5440</v>
      </c>
      <c r="C783">
        <v>10.61</v>
      </c>
      <c r="D783">
        <v>24</v>
      </c>
      <c r="E783">
        <v>17</v>
      </c>
      <c r="F783">
        <v>-9</v>
      </c>
      <c r="G783">
        <v>23</v>
      </c>
      <c r="H783">
        <v>20.38</v>
      </c>
      <c r="I783">
        <v>16</v>
      </c>
      <c r="J783">
        <v>33.32</v>
      </c>
      <c r="K783" s="245">
        <v>-3.49</v>
      </c>
      <c r="L783" s="245">
        <v>75.09</v>
      </c>
      <c r="M783" s="245">
        <v>2.38</v>
      </c>
    </row>
    <row r="784" spans="1:13">
      <c r="A784">
        <v>3535</v>
      </c>
      <c r="B784" t="s">
        <v>5441</v>
      </c>
      <c r="C784">
        <v>7.9</v>
      </c>
      <c r="D784">
        <v>195</v>
      </c>
      <c r="E784">
        <v>455</v>
      </c>
      <c r="F784">
        <v>-16</v>
      </c>
      <c r="G784">
        <v>132</v>
      </c>
      <c r="H784">
        <v>9.0299999999999994</v>
      </c>
      <c r="I784">
        <v>0.5</v>
      </c>
      <c r="J784">
        <v>1.22</v>
      </c>
      <c r="K784" s="245">
        <v>-18.559999999999999</v>
      </c>
      <c r="L784" s="245">
        <v>32.9</v>
      </c>
      <c r="M784" s="245">
        <v>16.489999999999998</v>
      </c>
    </row>
    <row r="785" spans="1:13">
      <c r="A785">
        <v>3536</v>
      </c>
      <c r="B785" t="s">
        <v>6522</v>
      </c>
      <c r="C785">
        <v>10.68</v>
      </c>
      <c r="D785">
        <v>21</v>
      </c>
      <c r="E785">
        <v>10</v>
      </c>
      <c r="F785">
        <v>72</v>
      </c>
      <c r="G785">
        <v>-18</v>
      </c>
      <c r="H785">
        <v>-16.04</v>
      </c>
      <c r="I785">
        <v>0</v>
      </c>
      <c r="J785">
        <v>-0.88</v>
      </c>
      <c r="K785" s="245">
        <v>-46.7</v>
      </c>
      <c r="L785" s="245">
        <v>21.58</v>
      </c>
      <c r="M785" s="245">
        <v>2.61</v>
      </c>
    </row>
    <row r="786" spans="1:13">
      <c r="A786">
        <v>3537</v>
      </c>
      <c r="B786" t="s">
        <v>5442</v>
      </c>
      <c r="C786">
        <v>5.35</v>
      </c>
      <c r="D786">
        <v>41</v>
      </c>
      <c r="E786">
        <v>26</v>
      </c>
      <c r="F786">
        <v>-52</v>
      </c>
      <c r="G786">
        <v>-49</v>
      </c>
      <c r="H786">
        <v>9.3000000000000007</v>
      </c>
      <c r="I786">
        <v>3.5</v>
      </c>
      <c r="J786">
        <v>3.97</v>
      </c>
      <c r="K786" s="245">
        <v>-7.13</v>
      </c>
      <c r="L786" s="245">
        <v>63.78</v>
      </c>
      <c r="M786" s="245">
        <v>12.61</v>
      </c>
    </row>
    <row r="787" spans="1:13">
      <c r="A787">
        <v>3540</v>
      </c>
      <c r="B787" t="s">
        <v>5443</v>
      </c>
      <c r="C787">
        <v>7.3</v>
      </c>
      <c r="D787">
        <v>-56</v>
      </c>
      <c r="E787">
        <v>-46</v>
      </c>
      <c r="F787">
        <v>17</v>
      </c>
      <c r="G787">
        <v>-47</v>
      </c>
      <c r="H787">
        <v>7.89</v>
      </c>
      <c r="I787">
        <v>1.6</v>
      </c>
      <c r="J787">
        <v>3.06</v>
      </c>
      <c r="K787" s="245">
        <v>-60.47</v>
      </c>
      <c r="L787" s="245">
        <v>10.27</v>
      </c>
      <c r="M787" s="245">
        <v>5.52</v>
      </c>
    </row>
    <row r="788" spans="1:13">
      <c r="A788">
        <v>3541</v>
      </c>
      <c r="B788" t="s">
        <v>5444</v>
      </c>
      <c r="C788">
        <v>5.67</v>
      </c>
      <c r="D788">
        <v>57</v>
      </c>
      <c r="E788">
        <v>35</v>
      </c>
      <c r="F788">
        <v>-9</v>
      </c>
      <c r="G788">
        <v>36</v>
      </c>
      <c r="H788">
        <v>14.96</v>
      </c>
      <c r="I788">
        <v>3</v>
      </c>
      <c r="J788">
        <v>3.38</v>
      </c>
      <c r="K788" s="245">
        <v>-7.97</v>
      </c>
      <c r="L788" s="245">
        <v>73.5</v>
      </c>
      <c r="M788" s="245">
        <v>17.829999999999998</v>
      </c>
    </row>
    <row r="789" spans="1:13">
      <c r="A789">
        <v>3543</v>
      </c>
      <c r="B789" t="s">
        <v>5445</v>
      </c>
      <c r="C789">
        <v>8.92</v>
      </c>
      <c r="D789">
        <v>145</v>
      </c>
      <c r="E789">
        <v>-92</v>
      </c>
      <c r="F789">
        <v>37</v>
      </c>
      <c r="G789">
        <v>1</v>
      </c>
      <c r="H789">
        <v>7.0000000000000007E-2</v>
      </c>
      <c r="I789">
        <v>1.2</v>
      </c>
      <c r="J789">
        <v>1.99</v>
      </c>
      <c r="K789" s="245">
        <v>-24.14</v>
      </c>
      <c r="L789" s="245">
        <v>31.53</v>
      </c>
      <c r="M789" s="245">
        <v>3.41</v>
      </c>
    </row>
    <row r="790" spans="1:13">
      <c r="A790">
        <v>3545</v>
      </c>
      <c r="B790" t="s">
        <v>5446</v>
      </c>
      <c r="C790">
        <v>21.65</v>
      </c>
      <c r="D790">
        <v>519</v>
      </c>
      <c r="E790">
        <v>591</v>
      </c>
      <c r="F790">
        <v>-10</v>
      </c>
      <c r="G790">
        <v>-40</v>
      </c>
      <c r="H790">
        <v>32.42</v>
      </c>
      <c r="I790">
        <v>15.71</v>
      </c>
      <c r="J790">
        <v>30.23</v>
      </c>
      <c r="K790" s="245">
        <v>-62.08</v>
      </c>
      <c r="L790" s="245">
        <v>7.89</v>
      </c>
      <c r="M790" s="245">
        <v>44.75</v>
      </c>
    </row>
    <row r="791" spans="1:13">
      <c r="A791">
        <v>3546</v>
      </c>
      <c r="B791" t="s">
        <v>5447</v>
      </c>
      <c r="C791">
        <v>4.8099999999999996</v>
      </c>
      <c r="D791">
        <v>2</v>
      </c>
      <c r="E791">
        <v>3</v>
      </c>
      <c r="F791">
        <v>-5</v>
      </c>
      <c r="G791">
        <v>-1</v>
      </c>
      <c r="H791">
        <v>20.38</v>
      </c>
      <c r="I791">
        <v>5</v>
      </c>
      <c r="J791">
        <v>6.01</v>
      </c>
      <c r="K791" s="245">
        <v>-25.93</v>
      </c>
      <c r="L791" s="245">
        <v>16.809999999999999</v>
      </c>
      <c r="M791" s="245">
        <v>21.3</v>
      </c>
    </row>
    <row r="792" spans="1:13">
      <c r="A792">
        <v>3548</v>
      </c>
      <c r="B792" t="s">
        <v>5448</v>
      </c>
      <c r="C792">
        <v>6.01</v>
      </c>
      <c r="D792">
        <v>-18</v>
      </c>
      <c r="E792">
        <v>-25</v>
      </c>
      <c r="F792">
        <v>-43</v>
      </c>
      <c r="G792">
        <v>-29</v>
      </c>
      <c r="H792">
        <v>3.09</v>
      </c>
      <c r="I792">
        <v>0</v>
      </c>
      <c r="J792">
        <v>4.12</v>
      </c>
      <c r="K792" s="245">
        <v>-24.85</v>
      </c>
      <c r="L792" s="245">
        <v>21.47</v>
      </c>
      <c r="M792" s="245">
        <v>13.14</v>
      </c>
    </row>
    <row r="793" spans="1:13">
      <c r="A793">
        <v>3550</v>
      </c>
      <c r="B793" t="s">
        <v>5449</v>
      </c>
      <c r="C793">
        <v>8.5</v>
      </c>
      <c r="D793">
        <v>0</v>
      </c>
      <c r="E793">
        <v>4</v>
      </c>
      <c r="F793">
        <v>-17</v>
      </c>
      <c r="G793">
        <v>-19</v>
      </c>
      <c r="H793">
        <v>2.63</v>
      </c>
      <c r="I793">
        <v>0.6</v>
      </c>
      <c r="J793">
        <v>0.96</v>
      </c>
      <c r="K793" s="245">
        <v>-37.69</v>
      </c>
      <c r="L793" s="245">
        <v>10.18</v>
      </c>
      <c r="M793" s="245">
        <v>19.38</v>
      </c>
    </row>
    <row r="794" spans="1:13">
      <c r="A794">
        <v>3551</v>
      </c>
      <c r="B794" t="s">
        <v>5450</v>
      </c>
      <c r="C794">
        <v>5.67</v>
      </c>
      <c r="D794">
        <v>61</v>
      </c>
      <c r="E794">
        <v>24</v>
      </c>
      <c r="F794">
        <v>2</v>
      </c>
      <c r="G794">
        <v>8</v>
      </c>
      <c r="H794">
        <v>19.510000000000002</v>
      </c>
      <c r="I794">
        <v>3.5</v>
      </c>
      <c r="J794">
        <v>7.16</v>
      </c>
      <c r="K794" s="245">
        <v>-22.24</v>
      </c>
      <c r="L794" s="245">
        <v>10.78</v>
      </c>
      <c r="M794" s="245">
        <v>17.96</v>
      </c>
    </row>
    <row r="795" spans="1:13">
      <c r="A795">
        <v>3552</v>
      </c>
      <c r="B795" t="s">
        <v>5451</v>
      </c>
      <c r="C795">
        <v>8.5500000000000007</v>
      </c>
      <c r="D795">
        <v>66</v>
      </c>
      <c r="E795">
        <v>232</v>
      </c>
      <c r="F795">
        <v>32</v>
      </c>
      <c r="G795">
        <v>15</v>
      </c>
      <c r="H795">
        <v>5.97</v>
      </c>
      <c r="I795">
        <v>2.5</v>
      </c>
      <c r="J795">
        <v>5.44</v>
      </c>
      <c r="K795" s="245">
        <v>-47.88</v>
      </c>
      <c r="L795" s="245">
        <v>53.97</v>
      </c>
      <c r="M795" s="245">
        <v>26.2</v>
      </c>
    </row>
    <row r="796" spans="1:13">
      <c r="A796">
        <v>3555</v>
      </c>
      <c r="B796" t="s">
        <v>6189</v>
      </c>
      <c r="C796">
        <v>2.57</v>
      </c>
      <c r="D796">
        <v>137</v>
      </c>
      <c r="E796">
        <v>-20</v>
      </c>
      <c r="F796">
        <v>-65</v>
      </c>
      <c r="G796">
        <v>104</v>
      </c>
      <c r="H796">
        <v>-200.52</v>
      </c>
      <c r="I796">
        <v>0.2</v>
      </c>
      <c r="J796">
        <v>0.93</v>
      </c>
      <c r="K796" s="245">
        <v>-36.119999999999997</v>
      </c>
      <c r="L796" s="245">
        <v>12.12</v>
      </c>
      <c r="M796" s="245">
        <v>3.12</v>
      </c>
    </row>
    <row r="797" spans="1:13">
      <c r="A797">
        <v>3556</v>
      </c>
      <c r="B797" t="s">
        <v>5452</v>
      </c>
      <c r="C797">
        <v>6.12</v>
      </c>
      <c r="D797">
        <v>60</v>
      </c>
      <c r="E797">
        <v>61</v>
      </c>
      <c r="F797">
        <v>-19</v>
      </c>
      <c r="G797">
        <v>8</v>
      </c>
      <c r="H797">
        <v>26.95</v>
      </c>
      <c r="I797">
        <v>5.4</v>
      </c>
      <c r="J797">
        <v>6.08</v>
      </c>
      <c r="K797" s="245">
        <v>-36.42</v>
      </c>
      <c r="L797" s="245">
        <v>33.28</v>
      </c>
      <c r="M797" s="245">
        <v>29.1</v>
      </c>
    </row>
    <row r="798" spans="1:13">
      <c r="A798">
        <v>3557</v>
      </c>
      <c r="B798" t="s">
        <v>5453</v>
      </c>
      <c r="C798">
        <v>8.0299999999999994</v>
      </c>
      <c r="D798">
        <v>-19</v>
      </c>
      <c r="E798">
        <v>-19</v>
      </c>
      <c r="F798">
        <v>-6</v>
      </c>
      <c r="G798">
        <v>17</v>
      </c>
      <c r="H798">
        <v>11.85</v>
      </c>
      <c r="I798">
        <v>6</v>
      </c>
      <c r="J798">
        <v>7.74</v>
      </c>
      <c r="K798" s="245">
        <v>-19.059999999999999</v>
      </c>
      <c r="L798" s="245">
        <v>27.97</v>
      </c>
      <c r="M798" s="245">
        <v>2.84</v>
      </c>
    </row>
    <row r="799" spans="1:13">
      <c r="A799">
        <v>3558</v>
      </c>
      <c r="B799" t="s">
        <v>5454</v>
      </c>
      <c r="C799">
        <v>4.9000000000000004</v>
      </c>
      <c r="D799">
        <v>18</v>
      </c>
      <c r="E799">
        <v>-5</v>
      </c>
      <c r="F799">
        <v>-24</v>
      </c>
      <c r="G799">
        <v>25</v>
      </c>
      <c r="H799">
        <v>5.71</v>
      </c>
      <c r="I799">
        <v>0</v>
      </c>
      <c r="J799">
        <v>9.16</v>
      </c>
      <c r="K799" s="245">
        <v>-24.94</v>
      </c>
      <c r="L799" s="245">
        <v>67.790000000000006</v>
      </c>
      <c r="M799" s="245">
        <v>49.41</v>
      </c>
    </row>
    <row r="800" spans="1:13">
      <c r="A800">
        <v>3563</v>
      </c>
      <c r="B800" t="s">
        <v>5455</v>
      </c>
      <c r="C800">
        <v>4.47</v>
      </c>
      <c r="D800">
        <v>26</v>
      </c>
      <c r="E800">
        <v>22</v>
      </c>
      <c r="F800">
        <v>-6</v>
      </c>
      <c r="G800">
        <v>-17</v>
      </c>
      <c r="H800">
        <v>38.86</v>
      </c>
      <c r="I800">
        <v>12</v>
      </c>
      <c r="J800">
        <v>18.510000000000002</v>
      </c>
      <c r="K800" s="245">
        <v>-39.590000000000003</v>
      </c>
      <c r="L800" s="245">
        <v>5.19</v>
      </c>
      <c r="M800" s="245">
        <v>6.01</v>
      </c>
    </row>
    <row r="801" spans="1:13">
      <c r="A801">
        <v>3564</v>
      </c>
      <c r="B801" t="s">
        <v>6523</v>
      </c>
      <c r="C801">
        <v>5.91</v>
      </c>
      <c r="D801">
        <v>-16</v>
      </c>
      <c r="E801">
        <v>-2</v>
      </c>
      <c r="F801">
        <v>32</v>
      </c>
      <c r="G801">
        <v>109</v>
      </c>
      <c r="H801">
        <v>3.94</v>
      </c>
      <c r="I801">
        <v>0.6</v>
      </c>
      <c r="J801">
        <v>0.75</v>
      </c>
      <c r="K801" s="245">
        <v>-25.77</v>
      </c>
      <c r="L801" s="245">
        <v>44.58</v>
      </c>
      <c r="M801" s="245">
        <v>4.34</v>
      </c>
    </row>
    <row r="802" spans="1:13">
      <c r="A802">
        <v>3567</v>
      </c>
      <c r="B802" t="s">
        <v>5456</v>
      </c>
      <c r="C802">
        <v>3.41</v>
      </c>
      <c r="D802">
        <v>31</v>
      </c>
      <c r="E802">
        <v>22</v>
      </c>
      <c r="F802">
        <v>10</v>
      </c>
      <c r="G802">
        <v>8</v>
      </c>
      <c r="H802">
        <v>28.01</v>
      </c>
      <c r="I802">
        <v>2.6</v>
      </c>
      <c r="J802">
        <v>3.09</v>
      </c>
      <c r="K802" s="245">
        <v>-16.27</v>
      </c>
      <c r="L802" s="245">
        <v>36.26</v>
      </c>
      <c r="M802" s="245">
        <v>12</v>
      </c>
    </row>
    <row r="803" spans="1:13">
      <c r="A803">
        <v>3570</v>
      </c>
      <c r="B803" t="s">
        <v>6524</v>
      </c>
      <c r="C803">
        <v>1.7</v>
      </c>
      <c r="D803">
        <v>6</v>
      </c>
      <c r="E803">
        <v>9</v>
      </c>
      <c r="F803">
        <v>96</v>
      </c>
      <c r="G803">
        <v>35</v>
      </c>
      <c r="H803">
        <v>13.63</v>
      </c>
      <c r="I803">
        <v>6</v>
      </c>
      <c r="J803">
        <v>8.5</v>
      </c>
      <c r="K803" s="245">
        <v>-4.7300000000000004</v>
      </c>
      <c r="L803" s="245">
        <v>63.2</v>
      </c>
      <c r="M803" s="245">
        <v>1.8</v>
      </c>
    </row>
    <row r="804" spans="1:13">
      <c r="A804">
        <v>3576</v>
      </c>
      <c r="B804" t="s">
        <v>6525</v>
      </c>
      <c r="C804">
        <v>162</v>
      </c>
      <c r="D804">
        <v>78</v>
      </c>
      <c r="E804">
        <v>82</v>
      </c>
      <c r="F804">
        <v>-35</v>
      </c>
      <c r="G804">
        <v>5</v>
      </c>
      <c r="H804">
        <v>-5.74</v>
      </c>
      <c r="I804">
        <v>0</v>
      </c>
      <c r="J804">
        <v>-0.84</v>
      </c>
      <c r="K804" s="245">
        <v>-24.57</v>
      </c>
      <c r="L804" s="245">
        <v>26.77</v>
      </c>
      <c r="M804" s="245">
        <v>9.7100000000000009</v>
      </c>
    </row>
    <row r="805" spans="1:13">
      <c r="A805">
        <v>3577</v>
      </c>
      <c r="B805" t="s">
        <v>5457</v>
      </c>
      <c r="C805">
        <v>5.28</v>
      </c>
      <c r="D805">
        <v>326</v>
      </c>
      <c r="E805">
        <v>338</v>
      </c>
      <c r="F805">
        <v>24</v>
      </c>
      <c r="G805">
        <v>17</v>
      </c>
      <c r="H805">
        <v>19.850000000000001</v>
      </c>
      <c r="I805">
        <v>2.5</v>
      </c>
      <c r="J805">
        <v>3.23</v>
      </c>
      <c r="K805" s="245">
        <v>-13.95</v>
      </c>
      <c r="L805" s="245">
        <v>51.34</v>
      </c>
      <c r="M805" s="245">
        <v>2.62</v>
      </c>
    </row>
    <row r="806" spans="1:13">
      <c r="A806">
        <v>3580</v>
      </c>
      <c r="B806" t="s">
        <v>5458</v>
      </c>
      <c r="C806">
        <v>3.94</v>
      </c>
      <c r="D806">
        <v>64</v>
      </c>
      <c r="E806">
        <v>168</v>
      </c>
      <c r="F806">
        <v>-20</v>
      </c>
      <c r="G806">
        <v>-16</v>
      </c>
      <c r="H806">
        <v>17.600000000000001</v>
      </c>
      <c r="I806">
        <v>2.1</v>
      </c>
      <c r="J806">
        <v>3.02</v>
      </c>
      <c r="K806" s="245">
        <v>-10.029999999999999</v>
      </c>
      <c r="L806" s="245">
        <v>57.43</v>
      </c>
      <c r="M806" s="245">
        <v>6.58</v>
      </c>
    </row>
    <row r="807" spans="1:13">
      <c r="A807">
        <v>3581</v>
      </c>
      <c r="B807" t="s">
        <v>5459</v>
      </c>
      <c r="C807">
        <v>5.0999999999999996</v>
      </c>
      <c r="D807">
        <v>9</v>
      </c>
      <c r="E807">
        <v>19</v>
      </c>
      <c r="F807">
        <v>8</v>
      </c>
      <c r="G807">
        <v>31</v>
      </c>
      <c r="H807">
        <v>11.37</v>
      </c>
      <c r="I807">
        <v>1</v>
      </c>
      <c r="J807">
        <v>2.11</v>
      </c>
      <c r="K807" s="245">
        <v>-27.85</v>
      </c>
      <c r="L807" s="245">
        <v>14.75</v>
      </c>
      <c r="M807" s="245">
        <v>9.34</v>
      </c>
    </row>
    <row r="808" spans="1:13">
      <c r="A808">
        <v>3583</v>
      </c>
      <c r="B808" t="s">
        <v>5460</v>
      </c>
      <c r="C808">
        <v>8.11</v>
      </c>
      <c r="D808">
        <v>37</v>
      </c>
      <c r="E808">
        <v>19</v>
      </c>
      <c r="F808">
        <v>19</v>
      </c>
      <c r="G808">
        <v>14</v>
      </c>
      <c r="H808">
        <v>11.85</v>
      </c>
      <c r="I808">
        <v>2.5</v>
      </c>
      <c r="J808">
        <v>5.23</v>
      </c>
      <c r="K808" s="245">
        <v>-32.43</v>
      </c>
      <c r="L808" s="245">
        <v>25.64</v>
      </c>
      <c r="M808" s="245">
        <v>56.41</v>
      </c>
    </row>
    <row r="809" spans="1:13">
      <c r="A809">
        <v>3587</v>
      </c>
      <c r="B809" t="s">
        <v>5461</v>
      </c>
      <c r="C809">
        <v>6.23</v>
      </c>
      <c r="D809">
        <v>52</v>
      </c>
      <c r="E809">
        <v>51</v>
      </c>
      <c r="F809">
        <v>-11</v>
      </c>
      <c r="G809">
        <v>13</v>
      </c>
      <c r="H809">
        <v>19.93</v>
      </c>
      <c r="I809">
        <v>5</v>
      </c>
      <c r="J809">
        <v>9.48</v>
      </c>
      <c r="K809" s="245">
        <v>-29.17</v>
      </c>
      <c r="L809" s="245">
        <v>10.71</v>
      </c>
      <c r="M809" s="245">
        <v>14.7</v>
      </c>
    </row>
    <row r="810" spans="1:13">
      <c r="A810">
        <v>3588</v>
      </c>
      <c r="B810" t="s">
        <v>5462</v>
      </c>
      <c r="C810">
        <v>5.28</v>
      </c>
      <c r="D810">
        <v>443</v>
      </c>
      <c r="E810">
        <v>369</v>
      </c>
      <c r="F810">
        <v>-5</v>
      </c>
      <c r="G810">
        <v>4</v>
      </c>
      <c r="H810">
        <v>17.22</v>
      </c>
      <c r="I810">
        <v>4</v>
      </c>
      <c r="J810">
        <v>6.37</v>
      </c>
      <c r="K810" s="245">
        <v>-42.41</v>
      </c>
      <c r="L810" s="245">
        <v>14.54</v>
      </c>
      <c r="M810" s="245">
        <v>56.38</v>
      </c>
    </row>
    <row r="811" spans="1:13">
      <c r="A811">
        <v>3591</v>
      </c>
      <c r="B811" t="s">
        <v>5463</v>
      </c>
      <c r="C811">
        <v>12.88</v>
      </c>
      <c r="D811">
        <v>289</v>
      </c>
      <c r="E811">
        <v>3804</v>
      </c>
      <c r="F811">
        <v>-5</v>
      </c>
      <c r="G811">
        <v>-24</v>
      </c>
      <c r="H811">
        <v>7.13</v>
      </c>
      <c r="I811">
        <v>0.79</v>
      </c>
      <c r="J811">
        <v>1</v>
      </c>
      <c r="K811" s="245">
        <v>-50.48</v>
      </c>
      <c r="L811" s="245">
        <v>5.24</v>
      </c>
      <c r="M811" s="245">
        <v>19.829999999999998</v>
      </c>
    </row>
    <row r="812" spans="1:13">
      <c r="A812">
        <v>3593</v>
      </c>
      <c r="B812" t="s">
        <v>6526</v>
      </c>
      <c r="C812">
        <v>9.3000000000000007</v>
      </c>
      <c r="D812">
        <v>-171</v>
      </c>
      <c r="E812">
        <v>-173</v>
      </c>
      <c r="F812">
        <v>-48</v>
      </c>
      <c r="G812">
        <v>-63</v>
      </c>
      <c r="H812">
        <v>-1.64</v>
      </c>
      <c r="I812">
        <v>0</v>
      </c>
      <c r="J812">
        <v>0.02</v>
      </c>
      <c r="K812" s="245">
        <v>-20.05</v>
      </c>
      <c r="L812" s="245">
        <v>37.200000000000003</v>
      </c>
      <c r="M812" s="245">
        <v>1.25</v>
      </c>
    </row>
    <row r="813" spans="1:13">
      <c r="A813">
        <v>3594</v>
      </c>
      <c r="B813" t="s">
        <v>5464</v>
      </c>
      <c r="C813">
        <v>9.06</v>
      </c>
      <c r="D813">
        <v>154</v>
      </c>
      <c r="E813">
        <v>-12</v>
      </c>
      <c r="F813">
        <v>29</v>
      </c>
      <c r="G813">
        <v>0</v>
      </c>
      <c r="H813">
        <v>2.1</v>
      </c>
      <c r="I813">
        <v>0.1</v>
      </c>
      <c r="J813">
        <v>0.3</v>
      </c>
      <c r="K813" s="245">
        <v>-18.95</v>
      </c>
      <c r="L813" s="245">
        <v>29.06</v>
      </c>
      <c r="M813" s="245">
        <v>7.32</v>
      </c>
    </row>
    <row r="814" spans="1:13">
      <c r="A814">
        <v>3596</v>
      </c>
      <c r="B814" t="s">
        <v>5465</v>
      </c>
      <c r="C814">
        <v>22.79</v>
      </c>
      <c r="D814">
        <v>4</v>
      </c>
      <c r="E814">
        <v>-3</v>
      </c>
      <c r="F814">
        <v>-26</v>
      </c>
      <c r="G814">
        <v>-18</v>
      </c>
      <c r="H814">
        <v>5.75</v>
      </c>
      <c r="I814">
        <v>6.71</v>
      </c>
      <c r="J814">
        <v>8.6</v>
      </c>
      <c r="K814" s="245">
        <v>-21.58</v>
      </c>
      <c r="L814" s="245">
        <v>35.25</v>
      </c>
      <c r="M814" s="245">
        <v>18.53</v>
      </c>
    </row>
    <row r="815" spans="1:13">
      <c r="A815">
        <v>3597</v>
      </c>
      <c r="B815" t="s">
        <v>5466</v>
      </c>
      <c r="C815">
        <v>3.91</v>
      </c>
      <c r="D815">
        <v>76</v>
      </c>
      <c r="E815">
        <v>47</v>
      </c>
      <c r="F815">
        <v>-28</v>
      </c>
      <c r="G815">
        <v>-28</v>
      </c>
      <c r="H815">
        <v>10.4</v>
      </c>
      <c r="I815">
        <v>1.7</v>
      </c>
      <c r="J815">
        <v>2.1</v>
      </c>
      <c r="K815" s="245">
        <v>-29.42</v>
      </c>
      <c r="L815" s="245">
        <v>17.27</v>
      </c>
      <c r="M815" s="245">
        <v>10.96</v>
      </c>
    </row>
    <row r="816" spans="1:13">
      <c r="A816">
        <v>3605</v>
      </c>
      <c r="B816" t="s">
        <v>5467</v>
      </c>
      <c r="C816">
        <v>13.43</v>
      </c>
      <c r="D816">
        <v>95</v>
      </c>
      <c r="E816">
        <v>47</v>
      </c>
      <c r="F816">
        <v>44</v>
      </c>
      <c r="G816">
        <v>26</v>
      </c>
      <c r="H816">
        <v>4.8600000000000003</v>
      </c>
      <c r="I816">
        <v>1.5</v>
      </c>
      <c r="J816">
        <v>4.16</v>
      </c>
      <c r="K816" s="245">
        <v>-39.36</v>
      </c>
      <c r="L816" s="245">
        <v>8.7200000000000006</v>
      </c>
      <c r="M816" s="245">
        <v>17.46</v>
      </c>
    </row>
    <row r="817" spans="1:13">
      <c r="A817">
        <v>3607</v>
      </c>
      <c r="B817" t="s">
        <v>5468</v>
      </c>
      <c r="C817">
        <v>12.16</v>
      </c>
      <c r="D817">
        <v>30</v>
      </c>
      <c r="E817">
        <v>-1</v>
      </c>
      <c r="F817">
        <v>58</v>
      </c>
      <c r="G817">
        <v>-1</v>
      </c>
      <c r="H817">
        <v>-12.13</v>
      </c>
      <c r="I817">
        <v>1</v>
      </c>
      <c r="J817">
        <v>-2.2200000000000002</v>
      </c>
      <c r="K817" s="245">
        <v>-35.380000000000003</v>
      </c>
      <c r="L817" s="245">
        <v>36.1</v>
      </c>
      <c r="M817" s="245">
        <v>26.94</v>
      </c>
    </row>
    <row r="818" spans="1:13">
      <c r="A818">
        <v>3609</v>
      </c>
      <c r="B818" t="s">
        <v>5469</v>
      </c>
      <c r="C818">
        <v>3.06</v>
      </c>
      <c r="D818">
        <v>102</v>
      </c>
      <c r="E818">
        <v>143</v>
      </c>
      <c r="F818">
        <v>27</v>
      </c>
      <c r="G818">
        <v>105</v>
      </c>
      <c r="H818">
        <v>1.1100000000000001</v>
      </c>
      <c r="I818">
        <v>0</v>
      </c>
      <c r="J818">
        <v>0.01</v>
      </c>
      <c r="K818" s="245">
        <v>-16.010000000000002</v>
      </c>
      <c r="L818" s="245">
        <v>27.36</v>
      </c>
      <c r="M818" s="245">
        <v>6.15</v>
      </c>
    </row>
    <row r="819" spans="1:13">
      <c r="A819">
        <v>3611</v>
      </c>
      <c r="B819" t="s">
        <v>5470</v>
      </c>
      <c r="C819">
        <v>4.24</v>
      </c>
      <c r="D819">
        <v>9</v>
      </c>
      <c r="E819">
        <v>14</v>
      </c>
      <c r="F819">
        <v>-4</v>
      </c>
      <c r="G819">
        <v>7</v>
      </c>
      <c r="H819">
        <v>15.33</v>
      </c>
      <c r="I819">
        <v>11</v>
      </c>
      <c r="J819">
        <v>18.47</v>
      </c>
      <c r="K819" s="245">
        <v>-23.89</v>
      </c>
      <c r="L819" s="245">
        <v>10.48</v>
      </c>
      <c r="M819" s="245">
        <v>1.02</v>
      </c>
    </row>
    <row r="820" spans="1:13">
      <c r="A820">
        <v>3615</v>
      </c>
      <c r="B820" t="s">
        <v>5471</v>
      </c>
      <c r="C820">
        <v>6.84</v>
      </c>
      <c r="D820">
        <v>373</v>
      </c>
      <c r="E820">
        <v>398</v>
      </c>
      <c r="F820">
        <v>79</v>
      </c>
      <c r="G820">
        <v>19</v>
      </c>
      <c r="H820">
        <v>8.2100000000000009</v>
      </c>
      <c r="I820">
        <v>0.37</v>
      </c>
      <c r="J820">
        <v>1.43</v>
      </c>
      <c r="K820" s="245">
        <v>-37</v>
      </c>
      <c r="L820" s="245">
        <v>16.18</v>
      </c>
      <c r="M820" s="245">
        <v>40.89</v>
      </c>
    </row>
    <row r="821" spans="1:13">
      <c r="A821">
        <v>3617</v>
      </c>
      <c r="B821" t="s">
        <v>5472</v>
      </c>
      <c r="C821">
        <v>8.09</v>
      </c>
      <c r="D821">
        <v>-111</v>
      </c>
      <c r="E821">
        <v>-87</v>
      </c>
      <c r="F821">
        <v>36</v>
      </c>
      <c r="G821">
        <v>53</v>
      </c>
      <c r="H821">
        <v>1.06</v>
      </c>
      <c r="I821">
        <v>1</v>
      </c>
      <c r="J821">
        <v>-0.89</v>
      </c>
      <c r="K821" s="245">
        <v>-32.69</v>
      </c>
      <c r="L821" s="245">
        <v>6.35</v>
      </c>
      <c r="M821" s="245">
        <v>0.51</v>
      </c>
    </row>
    <row r="822" spans="1:13">
      <c r="A822">
        <v>3622</v>
      </c>
      <c r="B822" t="s">
        <v>5473</v>
      </c>
      <c r="C822">
        <v>15.13</v>
      </c>
      <c r="D822">
        <v>47</v>
      </c>
      <c r="E822">
        <v>622</v>
      </c>
      <c r="F822">
        <v>-15</v>
      </c>
      <c r="G822">
        <v>32</v>
      </c>
      <c r="H822">
        <v>3.73</v>
      </c>
      <c r="I822">
        <v>0</v>
      </c>
      <c r="J822">
        <v>1.85</v>
      </c>
      <c r="K822" s="245">
        <v>-7.46</v>
      </c>
      <c r="L822" s="245">
        <v>77.25</v>
      </c>
      <c r="M822" s="245">
        <v>4.01</v>
      </c>
    </row>
    <row r="823" spans="1:13">
      <c r="A823">
        <v>3623</v>
      </c>
      <c r="B823" t="s">
        <v>5474</v>
      </c>
      <c r="C823">
        <v>2.91</v>
      </c>
      <c r="D823">
        <v>-11</v>
      </c>
      <c r="E823">
        <v>9</v>
      </c>
      <c r="F823">
        <v>1</v>
      </c>
      <c r="G823">
        <v>45</v>
      </c>
      <c r="H823">
        <v>-10.84</v>
      </c>
      <c r="I823">
        <v>0</v>
      </c>
      <c r="J823">
        <v>-1.24</v>
      </c>
      <c r="K823" s="245">
        <v>-23.25</v>
      </c>
      <c r="L823" s="245">
        <v>34.56</v>
      </c>
      <c r="M823" s="245">
        <v>21.03</v>
      </c>
    </row>
    <row r="824" spans="1:13">
      <c r="A824">
        <v>3624</v>
      </c>
      <c r="B824" t="s">
        <v>5475</v>
      </c>
      <c r="C824">
        <v>11.73</v>
      </c>
      <c r="D824">
        <v>179</v>
      </c>
      <c r="E824">
        <v>203</v>
      </c>
      <c r="F824">
        <v>-14</v>
      </c>
      <c r="G824">
        <v>3</v>
      </c>
      <c r="H824">
        <v>19.670000000000002</v>
      </c>
      <c r="I824">
        <v>2.2000000000000002</v>
      </c>
      <c r="J824">
        <v>4.04</v>
      </c>
      <c r="K824" s="245">
        <v>-23.9</v>
      </c>
      <c r="L824" s="245">
        <v>32.69</v>
      </c>
      <c r="M824" s="245">
        <v>48.24</v>
      </c>
    </row>
    <row r="825" spans="1:13">
      <c r="A825">
        <v>3625</v>
      </c>
      <c r="B825" t="s">
        <v>5476</v>
      </c>
      <c r="C825">
        <v>11.41</v>
      </c>
      <c r="D825">
        <v>-2</v>
      </c>
      <c r="E825">
        <v>-4</v>
      </c>
      <c r="F825">
        <v>-4</v>
      </c>
      <c r="G825">
        <v>0</v>
      </c>
      <c r="H825">
        <v>-5.2</v>
      </c>
      <c r="I825">
        <v>0</v>
      </c>
      <c r="J825">
        <v>-1.92</v>
      </c>
      <c r="K825" s="245">
        <v>-46.12</v>
      </c>
      <c r="L825" s="245">
        <v>8.36</v>
      </c>
      <c r="M825" s="245">
        <v>17.440000000000001</v>
      </c>
    </row>
    <row r="826" spans="1:13">
      <c r="A826">
        <v>3628</v>
      </c>
      <c r="B826" t="s">
        <v>5477</v>
      </c>
      <c r="C826">
        <v>4.5</v>
      </c>
      <c r="D826">
        <v>70</v>
      </c>
      <c r="E826">
        <v>47</v>
      </c>
      <c r="F826">
        <v>9</v>
      </c>
      <c r="G826">
        <v>-8</v>
      </c>
      <c r="H826">
        <v>2.61</v>
      </c>
      <c r="I826">
        <v>1.25</v>
      </c>
      <c r="J826">
        <v>1.6</v>
      </c>
      <c r="K826" s="245">
        <v>-28.87</v>
      </c>
      <c r="L826" s="245">
        <v>24.58</v>
      </c>
      <c r="M826" s="245">
        <v>22.44</v>
      </c>
    </row>
    <row r="827" spans="1:13">
      <c r="A827">
        <v>3629</v>
      </c>
      <c r="B827" t="s">
        <v>6527</v>
      </c>
      <c r="C827">
        <v>3.37</v>
      </c>
      <c r="D827">
        <v>-780</v>
      </c>
      <c r="E827">
        <v>-237</v>
      </c>
      <c r="F827">
        <v>42</v>
      </c>
      <c r="G827">
        <v>-39</v>
      </c>
      <c r="H827">
        <v>-31.41</v>
      </c>
      <c r="I827">
        <v>0</v>
      </c>
      <c r="J827">
        <v>-4.76</v>
      </c>
      <c r="K827" s="245">
        <v>-37.5</v>
      </c>
      <c r="L827" s="245">
        <v>14.19</v>
      </c>
      <c r="M827" s="245">
        <v>0.78</v>
      </c>
    </row>
    <row r="828" spans="1:13">
      <c r="A828">
        <v>3630</v>
      </c>
      <c r="B828" t="s">
        <v>5478</v>
      </c>
      <c r="C828">
        <v>18.41</v>
      </c>
      <c r="D828">
        <v>-128</v>
      </c>
      <c r="E828">
        <v>-88</v>
      </c>
      <c r="F828">
        <v>-11</v>
      </c>
      <c r="G828">
        <v>-23</v>
      </c>
      <c r="H828">
        <v>-27.46</v>
      </c>
      <c r="I828">
        <v>0</v>
      </c>
      <c r="J828">
        <v>-3.43</v>
      </c>
      <c r="K828" s="245">
        <v>-49.15</v>
      </c>
      <c r="L828" s="245">
        <v>11.22</v>
      </c>
      <c r="M828" s="245">
        <v>3.84</v>
      </c>
    </row>
    <row r="829" spans="1:13">
      <c r="A829">
        <v>3631</v>
      </c>
      <c r="B829" t="s">
        <v>6298</v>
      </c>
      <c r="C829">
        <v>8.18</v>
      </c>
      <c r="D829">
        <v>-80</v>
      </c>
      <c r="E829">
        <v>-50</v>
      </c>
      <c r="F829">
        <v>81</v>
      </c>
      <c r="G829">
        <v>-3</v>
      </c>
      <c r="H829">
        <v>-24.03</v>
      </c>
      <c r="I829">
        <v>0.5</v>
      </c>
      <c r="J829">
        <v>-0.16</v>
      </c>
      <c r="K829" s="245">
        <v>-31.99</v>
      </c>
      <c r="L829" s="245">
        <v>19.32</v>
      </c>
      <c r="M829" s="245">
        <v>0.94</v>
      </c>
    </row>
    <row r="830" spans="1:13">
      <c r="A830">
        <v>3632</v>
      </c>
      <c r="B830" t="s">
        <v>6528</v>
      </c>
      <c r="C830">
        <v>4.08</v>
      </c>
      <c r="D830">
        <v>80</v>
      </c>
      <c r="E830">
        <v>-8</v>
      </c>
      <c r="F830">
        <v>5</v>
      </c>
      <c r="G830">
        <v>-39</v>
      </c>
      <c r="H830">
        <v>-43.29</v>
      </c>
      <c r="I830">
        <v>0</v>
      </c>
      <c r="J830">
        <v>-0.71</v>
      </c>
      <c r="K830" s="245">
        <v>-16.5</v>
      </c>
      <c r="L830" s="245">
        <v>19.62</v>
      </c>
      <c r="M830" s="245">
        <v>0.63</v>
      </c>
    </row>
    <row r="831" spans="1:13">
      <c r="A831">
        <v>3642</v>
      </c>
      <c r="B831" t="s">
        <v>6529</v>
      </c>
      <c r="C831">
        <v>4.33</v>
      </c>
      <c r="D831">
        <v>37</v>
      </c>
      <c r="E831">
        <v>0</v>
      </c>
      <c r="F831">
        <v>-74</v>
      </c>
      <c r="G831">
        <v>-73</v>
      </c>
      <c r="H831">
        <v>-26.99</v>
      </c>
      <c r="I831">
        <v>0</v>
      </c>
      <c r="J831">
        <v>-2.3199999999999998</v>
      </c>
      <c r="K831" s="245">
        <v>-38.700000000000003</v>
      </c>
      <c r="L831" s="245">
        <v>63.03</v>
      </c>
      <c r="M831" s="245">
        <v>2.08</v>
      </c>
    </row>
    <row r="832" spans="1:13">
      <c r="A832">
        <v>3645</v>
      </c>
      <c r="B832" t="s">
        <v>5479</v>
      </c>
      <c r="C832">
        <v>13.12</v>
      </c>
      <c r="D832">
        <v>-15</v>
      </c>
      <c r="E832">
        <v>-6</v>
      </c>
      <c r="F832">
        <v>-9</v>
      </c>
      <c r="G832">
        <v>7</v>
      </c>
      <c r="H832">
        <v>16.329999999999998</v>
      </c>
      <c r="I832">
        <v>1.2</v>
      </c>
      <c r="J832">
        <v>2.3199999999999998</v>
      </c>
      <c r="K832" s="245">
        <v>-15.63</v>
      </c>
      <c r="L832" s="245">
        <v>67.27</v>
      </c>
      <c r="M832" s="245">
        <v>9.77</v>
      </c>
    </row>
    <row r="833" spans="1:13">
      <c r="A833">
        <v>3646</v>
      </c>
      <c r="B833" t="s">
        <v>5480</v>
      </c>
      <c r="C833">
        <v>3.92</v>
      </c>
      <c r="D833">
        <v>87</v>
      </c>
      <c r="E833">
        <v>84</v>
      </c>
      <c r="F833">
        <v>16</v>
      </c>
      <c r="G833">
        <v>2</v>
      </c>
      <c r="H833">
        <v>12.82</v>
      </c>
      <c r="I833">
        <v>1.68</v>
      </c>
      <c r="J833">
        <v>2.17</v>
      </c>
      <c r="K833" s="245">
        <v>-23.98</v>
      </c>
      <c r="L833" s="245">
        <v>20.49</v>
      </c>
      <c r="M833" s="245">
        <v>9.73</v>
      </c>
    </row>
    <row r="834" spans="1:13">
      <c r="A834">
        <v>3652</v>
      </c>
      <c r="B834" t="s">
        <v>5481</v>
      </c>
      <c r="C834">
        <v>7.5</v>
      </c>
      <c r="D834">
        <v>204</v>
      </c>
      <c r="E834">
        <v>342</v>
      </c>
      <c r="F834">
        <v>55</v>
      </c>
      <c r="G834">
        <v>0</v>
      </c>
      <c r="H834">
        <v>3.57</v>
      </c>
      <c r="I834">
        <v>0.41</v>
      </c>
      <c r="J834">
        <v>1.03</v>
      </c>
      <c r="K834" s="245">
        <v>-38.33</v>
      </c>
      <c r="L834" s="245">
        <v>34.590000000000003</v>
      </c>
      <c r="M834" s="245">
        <v>10.16</v>
      </c>
    </row>
    <row r="835" spans="1:13">
      <c r="A835">
        <v>3653</v>
      </c>
      <c r="B835" t="s">
        <v>5482</v>
      </c>
      <c r="C835">
        <v>12.22</v>
      </c>
      <c r="D835">
        <v>26</v>
      </c>
      <c r="E835">
        <v>52</v>
      </c>
      <c r="F835">
        <v>-9</v>
      </c>
      <c r="G835">
        <v>23</v>
      </c>
      <c r="H835">
        <v>19.43</v>
      </c>
      <c r="I835">
        <v>7</v>
      </c>
      <c r="J835">
        <v>9.8800000000000008</v>
      </c>
      <c r="K835" s="245">
        <v>-19.96</v>
      </c>
      <c r="L835" s="245">
        <v>59.23</v>
      </c>
      <c r="M835" s="245">
        <v>7.42</v>
      </c>
    </row>
    <row r="836" spans="1:13">
      <c r="A836">
        <v>3661</v>
      </c>
      <c r="B836" t="s">
        <v>5483</v>
      </c>
      <c r="C836">
        <v>7.12</v>
      </c>
      <c r="D836">
        <v>78</v>
      </c>
      <c r="E836">
        <v>85</v>
      </c>
      <c r="F836">
        <v>-3</v>
      </c>
      <c r="G836">
        <v>-17</v>
      </c>
      <c r="H836">
        <v>17.53</v>
      </c>
      <c r="I836">
        <v>10.59</v>
      </c>
      <c r="J836">
        <v>21.34</v>
      </c>
      <c r="K836" s="245">
        <v>-34.64</v>
      </c>
      <c r="L836" s="245">
        <v>27.41</v>
      </c>
      <c r="M836" s="245">
        <v>17.170000000000002</v>
      </c>
    </row>
    <row r="837" spans="1:13">
      <c r="A837">
        <v>3663</v>
      </c>
      <c r="B837" t="s">
        <v>5484</v>
      </c>
      <c r="C837">
        <v>7.34</v>
      </c>
      <c r="D837">
        <v>48</v>
      </c>
      <c r="E837">
        <v>32</v>
      </c>
      <c r="F837">
        <v>-10</v>
      </c>
      <c r="G837">
        <v>-9</v>
      </c>
      <c r="H837">
        <v>3.09</v>
      </c>
      <c r="I837">
        <v>0.9</v>
      </c>
      <c r="J837">
        <v>0.96</v>
      </c>
      <c r="K837" s="245">
        <v>-52.35</v>
      </c>
      <c r="L837" s="245">
        <v>12.14</v>
      </c>
      <c r="M837" s="245">
        <v>55.5</v>
      </c>
    </row>
    <row r="838" spans="1:13">
      <c r="A838">
        <v>3664</v>
      </c>
      <c r="B838" t="s">
        <v>6530</v>
      </c>
      <c r="C838">
        <v>5.1100000000000003</v>
      </c>
      <c r="D838">
        <v>7</v>
      </c>
      <c r="E838">
        <v>-41</v>
      </c>
      <c r="F838">
        <v>-11</v>
      </c>
      <c r="G838">
        <v>-3</v>
      </c>
      <c r="H838">
        <v>-24.69</v>
      </c>
      <c r="I838">
        <v>0</v>
      </c>
      <c r="J838">
        <v>-1.94</v>
      </c>
      <c r="K838" s="245">
        <v>-33.770000000000003</v>
      </c>
      <c r="L838" s="245">
        <v>33.75</v>
      </c>
      <c r="M838" s="245">
        <v>2.87</v>
      </c>
    </row>
    <row r="839" spans="1:13">
      <c r="A839">
        <v>3665</v>
      </c>
      <c r="B839" t="s">
        <v>5485</v>
      </c>
      <c r="C839">
        <v>15.27</v>
      </c>
      <c r="D839">
        <v>11</v>
      </c>
      <c r="E839">
        <v>8</v>
      </c>
      <c r="F839">
        <v>-1</v>
      </c>
      <c r="G839">
        <v>86</v>
      </c>
      <c r="H839">
        <v>9.31</v>
      </c>
      <c r="I839">
        <v>9.1300000000000008</v>
      </c>
      <c r="J839">
        <v>15.22</v>
      </c>
      <c r="K839" s="245">
        <v>-2.62</v>
      </c>
      <c r="L839" s="245">
        <v>73</v>
      </c>
      <c r="M839" s="245">
        <v>7.82</v>
      </c>
    </row>
    <row r="840" spans="1:13">
      <c r="A840">
        <v>3666</v>
      </c>
      <c r="B840" t="s">
        <v>5486</v>
      </c>
      <c r="C840">
        <v>5.86</v>
      </c>
      <c r="D840">
        <v>-124</v>
      </c>
      <c r="E840">
        <v>-148</v>
      </c>
      <c r="F840">
        <v>-27</v>
      </c>
      <c r="G840">
        <v>-46</v>
      </c>
      <c r="H840">
        <v>-3.38</v>
      </c>
      <c r="I840">
        <v>0</v>
      </c>
      <c r="J840">
        <v>-0.55000000000000004</v>
      </c>
      <c r="K840" s="245">
        <v>-49.47</v>
      </c>
      <c r="L840" s="245">
        <v>20.7</v>
      </c>
      <c r="M840" s="245">
        <v>11.87</v>
      </c>
    </row>
    <row r="841" spans="1:13">
      <c r="A841">
        <v>3669</v>
      </c>
      <c r="B841" t="s">
        <v>5487</v>
      </c>
      <c r="C841">
        <v>9.2899999999999991</v>
      </c>
      <c r="D841">
        <v>-17</v>
      </c>
      <c r="E841">
        <v>-22</v>
      </c>
      <c r="F841">
        <v>0</v>
      </c>
      <c r="G841">
        <v>-32</v>
      </c>
      <c r="H841">
        <v>20.09</v>
      </c>
      <c r="I841">
        <v>3.8</v>
      </c>
      <c r="J841">
        <v>7.02</v>
      </c>
      <c r="K841" s="245">
        <v>-41.64</v>
      </c>
      <c r="L841" s="245">
        <v>27.04</v>
      </c>
      <c r="M841" s="245">
        <v>20.48</v>
      </c>
    </row>
    <row r="842" spans="1:13">
      <c r="A842">
        <v>3672</v>
      </c>
      <c r="B842" t="s">
        <v>5488</v>
      </c>
      <c r="C842">
        <v>3.17</v>
      </c>
      <c r="D842">
        <v>-63</v>
      </c>
      <c r="E842">
        <v>9</v>
      </c>
      <c r="F842">
        <v>94</v>
      </c>
      <c r="G842">
        <v>43</v>
      </c>
      <c r="H842">
        <v>3.35</v>
      </c>
      <c r="I842">
        <v>0.1</v>
      </c>
      <c r="J842">
        <v>0.24</v>
      </c>
      <c r="K842" s="245">
        <v>-34.99</v>
      </c>
      <c r="L842" s="245">
        <v>33.130000000000003</v>
      </c>
      <c r="M842" s="245">
        <v>29.48</v>
      </c>
    </row>
    <row r="843" spans="1:13">
      <c r="A843">
        <v>3673</v>
      </c>
      <c r="B843" t="s">
        <v>5489</v>
      </c>
      <c r="C843">
        <v>40.659999999999997</v>
      </c>
      <c r="D843">
        <v>6</v>
      </c>
      <c r="E843">
        <v>-66</v>
      </c>
      <c r="F843">
        <v>-35</v>
      </c>
      <c r="G843">
        <v>-25</v>
      </c>
      <c r="H843">
        <v>0.3</v>
      </c>
      <c r="I843">
        <v>0</v>
      </c>
      <c r="J843">
        <v>2.63</v>
      </c>
      <c r="K843" s="245">
        <v>-34.799999999999997</v>
      </c>
      <c r="L843" s="245">
        <v>8.9499999999999993</v>
      </c>
      <c r="M843" s="245">
        <v>8.6300000000000008</v>
      </c>
    </row>
    <row r="844" spans="1:13">
      <c r="A844">
        <v>3675</v>
      </c>
      <c r="B844" t="s">
        <v>5490</v>
      </c>
      <c r="C844">
        <v>4.4400000000000004</v>
      </c>
      <c r="D844">
        <v>249</v>
      </c>
      <c r="E844">
        <v>154</v>
      </c>
      <c r="F844">
        <v>0</v>
      </c>
      <c r="G844">
        <v>10</v>
      </c>
      <c r="H844">
        <v>16.510000000000002</v>
      </c>
      <c r="I844">
        <v>5</v>
      </c>
      <c r="J844">
        <v>7.36</v>
      </c>
      <c r="K844" s="245">
        <v>-19.48</v>
      </c>
      <c r="L844" s="245">
        <v>46.52</v>
      </c>
      <c r="M844" s="245">
        <v>49.61</v>
      </c>
    </row>
    <row r="845" spans="1:13">
      <c r="A845">
        <v>3679</v>
      </c>
      <c r="B845" t="s">
        <v>5491</v>
      </c>
      <c r="C845">
        <v>6.26</v>
      </c>
      <c r="D845">
        <v>-15</v>
      </c>
      <c r="E845">
        <v>-16</v>
      </c>
      <c r="F845">
        <v>-57</v>
      </c>
      <c r="G845">
        <v>-64</v>
      </c>
      <c r="H845">
        <v>18.420000000000002</v>
      </c>
      <c r="I845">
        <v>9</v>
      </c>
      <c r="J845">
        <v>9.6999999999999993</v>
      </c>
      <c r="K845" s="245">
        <v>-40.75</v>
      </c>
      <c r="L845" s="245">
        <v>42.05</v>
      </c>
      <c r="M845" s="245">
        <v>2.17</v>
      </c>
    </row>
    <row r="846" spans="1:13">
      <c r="A846">
        <v>3680</v>
      </c>
      <c r="B846" t="s">
        <v>5492</v>
      </c>
      <c r="C846">
        <v>8.4</v>
      </c>
      <c r="D846">
        <v>-24</v>
      </c>
      <c r="E846">
        <v>369</v>
      </c>
      <c r="F846">
        <v>47</v>
      </c>
      <c r="G846">
        <v>73</v>
      </c>
      <c r="H846">
        <v>14.74</v>
      </c>
      <c r="I846">
        <v>2.8</v>
      </c>
      <c r="J846">
        <v>4.03</v>
      </c>
      <c r="K846" s="245">
        <v>-37.880000000000003</v>
      </c>
      <c r="L846" s="245">
        <v>22.99</v>
      </c>
      <c r="M846" s="245">
        <v>7.44</v>
      </c>
    </row>
    <row r="847" spans="1:13">
      <c r="A847">
        <v>3682</v>
      </c>
      <c r="B847" t="s">
        <v>6531</v>
      </c>
      <c r="C847">
        <v>431</v>
      </c>
      <c r="D847">
        <v>7</v>
      </c>
      <c r="E847">
        <v>9</v>
      </c>
      <c r="F847">
        <v>8</v>
      </c>
      <c r="G847">
        <v>11</v>
      </c>
      <c r="H847">
        <v>-39.479999999999997</v>
      </c>
      <c r="I847">
        <v>0</v>
      </c>
      <c r="J847">
        <v>-1.35</v>
      </c>
      <c r="K847" s="245">
        <v>-25.29</v>
      </c>
      <c r="L847" s="245">
        <v>54.53</v>
      </c>
      <c r="M847" s="245">
        <v>1.07</v>
      </c>
    </row>
    <row r="848" spans="1:13">
      <c r="A848">
        <v>3684</v>
      </c>
      <c r="B848" t="s">
        <v>6532</v>
      </c>
      <c r="C848">
        <v>2.4500000000000002</v>
      </c>
      <c r="D848">
        <v>75</v>
      </c>
      <c r="E848">
        <v>55</v>
      </c>
      <c r="F848">
        <v>7</v>
      </c>
      <c r="G848">
        <v>48</v>
      </c>
      <c r="H848">
        <v>12.32</v>
      </c>
      <c r="I848">
        <v>3</v>
      </c>
      <c r="J848">
        <v>3.5</v>
      </c>
      <c r="K848" s="245">
        <v>-30.36</v>
      </c>
      <c r="L848" s="245">
        <v>21.73</v>
      </c>
      <c r="M848" s="245">
        <v>4.84</v>
      </c>
    </row>
    <row r="849" spans="1:13">
      <c r="A849">
        <v>3685</v>
      </c>
      <c r="B849" t="s">
        <v>5493</v>
      </c>
      <c r="C849">
        <v>7.95</v>
      </c>
      <c r="D849">
        <v>-54</v>
      </c>
      <c r="E849">
        <v>56</v>
      </c>
      <c r="F849">
        <v>-44</v>
      </c>
      <c r="G849">
        <v>-25</v>
      </c>
      <c r="H849">
        <v>-0.45</v>
      </c>
      <c r="I849">
        <v>0</v>
      </c>
      <c r="J849">
        <v>0.05</v>
      </c>
      <c r="K849" s="245">
        <v>-45.26</v>
      </c>
      <c r="L849" s="245">
        <v>19.309999999999999</v>
      </c>
      <c r="M849" s="245">
        <v>6.73</v>
      </c>
    </row>
    <row r="850" spans="1:13">
      <c r="A850">
        <v>3686</v>
      </c>
      <c r="B850" t="s">
        <v>6533</v>
      </c>
      <c r="C850">
        <v>11.35</v>
      </c>
      <c r="D850">
        <v>86</v>
      </c>
      <c r="E850">
        <v>239</v>
      </c>
      <c r="F850">
        <v>-2</v>
      </c>
      <c r="G850">
        <v>-91</v>
      </c>
      <c r="H850">
        <v>36.21</v>
      </c>
      <c r="I850">
        <v>0</v>
      </c>
      <c r="J850">
        <v>-0.18</v>
      </c>
      <c r="K850" s="245">
        <v>-43.71</v>
      </c>
      <c r="L850" s="245">
        <v>26.28</v>
      </c>
      <c r="M850" s="245">
        <v>18.62</v>
      </c>
    </row>
    <row r="851" spans="1:13">
      <c r="A851">
        <v>3687</v>
      </c>
      <c r="B851" t="s">
        <v>5494</v>
      </c>
      <c r="C851">
        <v>3</v>
      </c>
      <c r="D851">
        <v>73</v>
      </c>
      <c r="E851">
        <v>92</v>
      </c>
      <c r="F851">
        <v>-10</v>
      </c>
      <c r="G851">
        <v>15</v>
      </c>
      <c r="H851">
        <v>21.7</v>
      </c>
      <c r="I851">
        <v>1.2</v>
      </c>
      <c r="J851">
        <v>2.42</v>
      </c>
      <c r="K851" s="245">
        <v>-42.25</v>
      </c>
      <c r="L851" s="245">
        <v>10.02</v>
      </c>
      <c r="M851" s="245">
        <v>81.290000000000006</v>
      </c>
    </row>
    <row r="852" spans="1:13">
      <c r="A852">
        <v>3689</v>
      </c>
      <c r="B852" t="s">
        <v>5495</v>
      </c>
      <c r="C852">
        <v>7.71</v>
      </c>
      <c r="D852">
        <v>177</v>
      </c>
      <c r="E852">
        <v>254</v>
      </c>
      <c r="F852">
        <v>-9</v>
      </c>
      <c r="G852">
        <v>7</v>
      </c>
      <c r="H852">
        <v>3.95</v>
      </c>
      <c r="I852">
        <v>2.2999999999999998</v>
      </c>
      <c r="J852">
        <v>3.28</v>
      </c>
      <c r="K852" s="245">
        <v>-26.08</v>
      </c>
      <c r="L852" s="245">
        <v>21.23</v>
      </c>
      <c r="M852" s="245">
        <v>70.03</v>
      </c>
    </row>
    <row r="853" spans="1:13">
      <c r="A853">
        <v>3691</v>
      </c>
      <c r="B853" t="s">
        <v>5496</v>
      </c>
      <c r="C853">
        <v>7.58</v>
      </c>
      <c r="D853">
        <v>-754</v>
      </c>
      <c r="E853">
        <v>-215</v>
      </c>
      <c r="F853">
        <v>1</v>
      </c>
      <c r="G853">
        <v>-24</v>
      </c>
      <c r="H853">
        <v>-3.44</v>
      </c>
      <c r="I853">
        <v>0</v>
      </c>
      <c r="J853">
        <v>-5.34</v>
      </c>
      <c r="K853" s="245">
        <v>-46.67</v>
      </c>
      <c r="L853" s="245">
        <v>9.49</v>
      </c>
      <c r="M853" s="245">
        <v>16.25</v>
      </c>
    </row>
    <row r="854" spans="1:13">
      <c r="A854">
        <v>3693</v>
      </c>
      <c r="B854" t="s">
        <v>5497</v>
      </c>
      <c r="C854">
        <v>3.84</v>
      </c>
      <c r="D854">
        <v>43</v>
      </c>
      <c r="E854">
        <v>2</v>
      </c>
      <c r="F854">
        <v>-7</v>
      </c>
      <c r="G854">
        <v>10</v>
      </c>
      <c r="H854">
        <v>4.24</v>
      </c>
      <c r="I854">
        <v>1.5</v>
      </c>
      <c r="J854">
        <v>3.08</v>
      </c>
      <c r="K854" s="245">
        <v>-26.95</v>
      </c>
      <c r="L854" s="245">
        <v>31.35</v>
      </c>
      <c r="M854" s="245">
        <v>10.55</v>
      </c>
    </row>
    <row r="855" spans="1:13">
      <c r="A855">
        <v>3694</v>
      </c>
      <c r="B855" t="s">
        <v>5498</v>
      </c>
      <c r="C855">
        <v>15.33</v>
      </c>
      <c r="D855">
        <v>1</v>
      </c>
      <c r="E855">
        <v>-17</v>
      </c>
      <c r="F855">
        <v>37</v>
      </c>
      <c r="G855">
        <v>-11</v>
      </c>
      <c r="H855">
        <v>2.31</v>
      </c>
      <c r="I855">
        <v>0</v>
      </c>
      <c r="J855">
        <v>2.0499999999999998</v>
      </c>
      <c r="K855" s="245">
        <v>-33.67</v>
      </c>
      <c r="L855" s="245">
        <v>26.37</v>
      </c>
      <c r="M855" s="245">
        <v>17.46</v>
      </c>
    </row>
    <row r="856" spans="1:13">
      <c r="A856">
        <v>3701</v>
      </c>
      <c r="B856" t="s">
        <v>5499</v>
      </c>
      <c r="C856">
        <v>21.36</v>
      </c>
      <c r="D856">
        <v>3314</v>
      </c>
      <c r="E856">
        <v>372</v>
      </c>
      <c r="F856">
        <v>14</v>
      </c>
      <c r="G856">
        <v>15</v>
      </c>
      <c r="H856">
        <v>1.6</v>
      </c>
      <c r="I856">
        <v>0</v>
      </c>
      <c r="J856">
        <v>1.32</v>
      </c>
      <c r="K856" s="245">
        <v>-52.96</v>
      </c>
      <c r="L856" s="245">
        <v>11.4</v>
      </c>
      <c r="M856" s="245">
        <v>18.2</v>
      </c>
    </row>
    <row r="857" spans="1:13">
      <c r="A857">
        <v>3702</v>
      </c>
      <c r="B857" t="s">
        <v>5500</v>
      </c>
      <c r="C857">
        <v>167</v>
      </c>
      <c r="D857">
        <v>42</v>
      </c>
      <c r="E857">
        <v>37</v>
      </c>
      <c r="F857">
        <v>30</v>
      </c>
      <c r="G857">
        <v>17</v>
      </c>
      <c r="H857">
        <v>1.77</v>
      </c>
      <c r="I857">
        <v>3.5</v>
      </c>
      <c r="J857">
        <v>6.61</v>
      </c>
      <c r="K857" s="245">
        <v>-13.11</v>
      </c>
      <c r="L857" s="245">
        <v>23.83</v>
      </c>
      <c r="M857" s="245">
        <v>2.89</v>
      </c>
    </row>
    <row r="858" spans="1:13">
      <c r="A858">
        <v>3703</v>
      </c>
      <c r="B858" t="s">
        <v>5501</v>
      </c>
      <c r="C858">
        <v>82.32</v>
      </c>
      <c r="D858">
        <v>14</v>
      </c>
      <c r="E858">
        <v>30</v>
      </c>
      <c r="F858">
        <v>25</v>
      </c>
      <c r="G858">
        <v>73</v>
      </c>
      <c r="H858">
        <v>8.58</v>
      </c>
      <c r="I858">
        <v>1.68</v>
      </c>
      <c r="J858">
        <v>2.2200000000000002</v>
      </c>
      <c r="K858" s="245">
        <v>-4.58</v>
      </c>
      <c r="L858" s="245">
        <v>87.14</v>
      </c>
      <c r="M858" s="245">
        <v>3.7</v>
      </c>
    </row>
    <row r="859" spans="1:13">
      <c r="A859">
        <v>3704</v>
      </c>
      <c r="B859" t="s">
        <v>5502</v>
      </c>
      <c r="C859">
        <v>44.23</v>
      </c>
      <c r="D859">
        <v>31</v>
      </c>
      <c r="E859">
        <v>10</v>
      </c>
      <c r="F859">
        <v>27</v>
      </c>
      <c r="G859">
        <v>1</v>
      </c>
      <c r="H859">
        <v>5.55</v>
      </c>
      <c r="I859">
        <v>0.5</v>
      </c>
      <c r="J859">
        <v>2.4900000000000002</v>
      </c>
      <c r="K859" s="245">
        <v>-25.03</v>
      </c>
      <c r="L859" s="245">
        <v>37.409999999999997</v>
      </c>
      <c r="M859" s="245">
        <v>11.74</v>
      </c>
    </row>
    <row r="860" spans="1:13">
      <c r="A860">
        <v>3705</v>
      </c>
      <c r="B860" t="s">
        <v>5503</v>
      </c>
      <c r="C860">
        <v>26.64</v>
      </c>
      <c r="D860">
        <v>-3</v>
      </c>
      <c r="E860">
        <v>0</v>
      </c>
      <c r="F860">
        <v>59</v>
      </c>
      <c r="G860">
        <v>18</v>
      </c>
      <c r="H860">
        <v>12.27</v>
      </c>
      <c r="I860">
        <v>1.7</v>
      </c>
      <c r="J860">
        <v>2.77</v>
      </c>
      <c r="K860" s="245">
        <v>-6.16</v>
      </c>
      <c r="L860" s="245">
        <v>27.63</v>
      </c>
      <c r="M860" s="245">
        <v>0.77</v>
      </c>
    </row>
    <row r="861" spans="1:13">
      <c r="A861">
        <v>3706</v>
      </c>
      <c r="B861" t="s">
        <v>5504</v>
      </c>
      <c r="C861">
        <v>120</v>
      </c>
      <c r="D861">
        <v>319</v>
      </c>
      <c r="E861">
        <v>-43</v>
      </c>
      <c r="F861">
        <v>-28</v>
      </c>
      <c r="G861">
        <v>-26</v>
      </c>
      <c r="H861">
        <v>0.1</v>
      </c>
      <c r="I861">
        <v>2</v>
      </c>
      <c r="J861">
        <v>10.01</v>
      </c>
      <c r="K861" s="245">
        <v>-22.54</v>
      </c>
      <c r="L861" s="245">
        <v>6.86</v>
      </c>
      <c r="M861" s="245">
        <v>7.67</v>
      </c>
    </row>
    <row r="862" spans="1:13">
      <c r="A862">
        <v>3707</v>
      </c>
      <c r="B862" t="s">
        <v>5505</v>
      </c>
      <c r="C862">
        <v>33.31</v>
      </c>
      <c r="D862">
        <v>179</v>
      </c>
      <c r="E862">
        <v>202</v>
      </c>
      <c r="F862">
        <v>0</v>
      </c>
      <c r="G862">
        <v>29</v>
      </c>
      <c r="H862">
        <v>6.68</v>
      </c>
      <c r="I862">
        <v>0.35</v>
      </c>
      <c r="J862">
        <v>0.73</v>
      </c>
      <c r="K862" s="245">
        <v>-37.46</v>
      </c>
      <c r="L862" s="245">
        <v>32.520000000000003</v>
      </c>
      <c r="M862" s="245">
        <v>41.37</v>
      </c>
    </row>
    <row r="863" spans="1:13">
      <c r="A863">
        <v>3708</v>
      </c>
      <c r="B863" t="s">
        <v>5506</v>
      </c>
      <c r="C863">
        <v>9.35</v>
      </c>
      <c r="D863">
        <v>-69</v>
      </c>
      <c r="E863">
        <v>-80</v>
      </c>
      <c r="F863">
        <v>-7</v>
      </c>
      <c r="G863">
        <v>-28</v>
      </c>
      <c r="H863">
        <v>1.39</v>
      </c>
      <c r="I863">
        <v>1.5</v>
      </c>
      <c r="J863">
        <v>2.0099999999999998</v>
      </c>
      <c r="K863" s="245">
        <v>-16.489999999999998</v>
      </c>
      <c r="L863" s="245">
        <v>69.59</v>
      </c>
      <c r="M863" s="245">
        <v>38.1</v>
      </c>
    </row>
    <row r="864" spans="1:13">
      <c r="A864">
        <v>3709</v>
      </c>
      <c r="B864" t="s">
        <v>6148</v>
      </c>
      <c r="C864">
        <v>10.050000000000001</v>
      </c>
      <c r="D864">
        <v>88</v>
      </c>
      <c r="E864">
        <v>44</v>
      </c>
      <c r="F864">
        <v>-24</v>
      </c>
      <c r="G864">
        <v>-12</v>
      </c>
      <c r="H864">
        <v>2.46</v>
      </c>
      <c r="I864">
        <v>1.6</v>
      </c>
      <c r="J864">
        <v>4.55</v>
      </c>
      <c r="K864" s="245">
        <v>-33.33</v>
      </c>
      <c r="L864" s="245">
        <v>28.35</v>
      </c>
      <c r="M864" s="245">
        <v>7.21</v>
      </c>
    </row>
    <row r="865" spans="1:13">
      <c r="A865">
        <v>3710</v>
      </c>
      <c r="B865" t="s">
        <v>6534</v>
      </c>
      <c r="C865">
        <v>23.28</v>
      </c>
      <c r="D865">
        <v>-221</v>
      </c>
      <c r="E865">
        <v>-999</v>
      </c>
      <c r="F865">
        <v>47</v>
      </c>
      <c r="G865">
        <v>-7</v>
      </c>
      <c r="H865">
        <v>-3.95</v>
      </c>
      <c r="I865">
        <v>0</v>
      </c>
      <c r="J865">
        <v>-2.5</v>
      </c>
      <c r="K865" s="245">
        <v>-33.520000000000003</v>
      </c>
      <c r="L865" s="245">
        <v>29.16</v>
      </c>
      <c r="M865" s="245">
        <v>15.11</v>
      </c>
    </row>
    <row r="866" spans="1:13">
      <c r="A866">
        <v>3711</v>
      </c>
      <c r="B866" t="s">
        <v>5507</v>
      </c>
      <c r="C866">
        <v>435</v>
      </c>
      <c r="D866">
        <v>125</v>
      </c>
      <c r="E866">
        <v>78</v>
      </c>
      <c r="F866">
        <v>18</v>
      </c>
      <c r="G866">
        <v>23</v>
      </c>
      <c r="H866">
        <v>10.9</v>
      </c>
      <c r="I866">
        <v>7</v>
      </c>
      <c r="J866">
        <v>14.84</v>
      </c>
      <c r="K866" s="245">
        <v>-29.51</v>
      </c>
      <c r="L866" s="245">
        <v>31.58</v>
      </c>
      <c r="M866" s="245">
        <v>1.1000000000000001</v>
      </c>
    </row>
    <row r="867" spans="1:13">
      <c r="A867">
        <v>3712</v>
      </c>
      <c r="B867" t="s">
        <v>5508</v>
      </c>
      <c r="C867">
        <v>24.62</v>
      </c>
      <c r="D867">
        <v>248</v>
      </c>
      <c r="E867">
        <v>384</v>
      </c>
      <c r="F867">
        <v>21</v>
      </c>
      <c r="G867">
        <v>140</v>
      </c>
      <c r="H867">
        <v>5.58</v>
      </c>
      <c r="I867">
        <v>1.5</v>
      </c>
      <c r="J867">
        <v>1.76</v>
      </c>
      <c r="K867" s="245">
        <v>-29.95</v>
      </c>
      <c r="L867" s="245">
        <v>33.840000000000003</v>
      </c>
      <c r="M867" s="245">
        <v>7.35</v>
      </c>
    </row>
    <row r="868" spans="1:13">
      <c r="A868">
        <v>3713</v>
      </c>
      <c r="B868" t="s">
        <v>6535</v>
      </c>
      <c r="C868">
        <v>7.8</v>
      </c>
      <c r="D868">
        <v>771</v>
      </c>
      <c r="E868">
        <v>1228</v>
      </c>
      <c r="F868">
        <v>-38</v>
      </c>
      <c r="G868">
        <v>62</v>
      </c>
      <c r="H868">
        <v>6.41</v>
      </c>
      <c r="I868">
        <v>0</v>
      </c>
      <c r="J868">
        <v>0.43</v>
      </c>
      <c r="K868" s="245">
        <v>-31.51</v>
      </c>
      <c r="L868" s="245">
        <v>22.64</v>
      </c>
      <c r="M868" s="245">
        <v>2.37</v>
      </c>
    </row>
    <row r="869" spans="1:13">
      <c r="A869">
        <v>3714</v>
      </c>
      <c r="B869" t="s">
        <v>5509</v>
      </c>
      <c r="C869">
        <v>68.47</v>
      </c>
      <c r="D869">
        <v>122</v>
      </c>
      <c r="E869">
        <v>147</v>
      </c>
      <c r="F869">
        <v>0</v>
      </c>
      <c r="G869">
        <v>1</v>
      </c>
      <c r="H869">
        <v>5.79</v>
      </c>
      <c r="I869">
        <v>2</v>
      </c>
      <c r="J869">
        <v>3.21</v>
      </c>
      <c r="K869" s="245">
        <v>-45.1</v>
      </c>
      <c r="L869" s="245">
        <v>10.029999999999999</v>
      </c>
      <c r="M869" s="245">
        <v>13.8</v>
      </c>
    </row>
    <row r="870" spans="1:13">
      <c r="A870">
        <v>4102</v>
      </c>
      <c r="B870" t="s">
        <v>5510</v>
      </c>
      <c r="C870">
        <v>4.2300000000000004</v>
      </c>
      <c r="D870">
        <v>-73</v>
      </c>
      <c r="E870">
        <v>-75</v>
      </c>
      <c r="F870">
        <v>46</v>
      </c>
      <c r="G870">
        <v>2</v>
      </c>
      <c r="H870">
        <v>1.51</v>
      </c>
      <c r="I870">
        <v>0.1</v>
      </c>
      <c r="J870">
        <v>0.14000000000000001</v>
      </c>
      <c r="K870" s="245">
        <v>-26.39</v>
      </c>
      <c r="L870" s="245">
        <v>41.13</v>
      </c>
      <c r="M870" s="245">
        <v>36.520000000000003</v>
      </c>
    </row>
    <row r="871" spans="1:13">
      <c r="A871">
        <v>4104</v>
      </c>
      <c r="B871" t="s">
        <v>5511</v>
      </c>
      <c r="C871">
        <v>14.11</v>
      </c>
      <c r="D871">
        <v>7</v>
      </c>
      <c r="E871">
        <v>12</v>
      </c>
      <c r="F871">
        <v>12</v>
      </c>
      <c r="G871">
        <v>4</v>
      </c>
      <c r="H871">
        <v>9.0500000000000007</v>
      </c>
      <c r="I871">
        <v>4</v>
      </c>
      <c r="J871">
        <v>4.3</v>
      </c>
      <c r="K871" s="245">
        <v>-6.04</v>
      </c>
      <c r="L871" s="245">
        <v>74.83</v>
      </c>
      <c r="M871" s="245">
        <v>1.08</v>
      </c>
    </row>
    <row r="872" spans="1:13">
      <c r="A872">
        <v>4105</v>
      </c>
      <c r="B872" t="s">
        <v>5512</v>
      </c>
      <c r="C872">
        <v>24.86</v>
      </c>
      <c r="D872">
        <v>-15</v>
      </c>
      <c r="E872">
        <v>19</v>
      </c>
      <c r="F872">
        <v>1</v>
      </c>
      <c r="G872">
        <v>5</v>
      </c>
      <c r="H872">
        <v>25.15</v>
      </c>
      <c r="I872">
        <v>3</v>
      </c>
      <c r="J872">
        <v>3.35</v>
      </c>
      <c r="K872" s="245">
        <v>-27</v>
      </c>
      <c r="L872" s="245">
        <v>42.26</v>
      </c>
      <c r="M872" s="245">
        <v>27.69</v>
      </c>
    </row>
    <row r="873" spans="1:13">
      <c r="A873">
        <v>4106</v>
      </c>
      <c r="B873" t="s">
        <v>630</v>
      </c>
      <c r="C873">
        <v>10.09</v>
      </c>
      <c r="D873">
        <v>-1</v>
      </c>
      <c r="E873">
        <v>5</v>
      </c>
      <c r="F873">
        <v>9</v>
      </c>
      <c r="G873">
        <v>-11</v>
      </c>
      <c r="H873">
        <v>4.3899999999999997</v>
      </c>
      <c r="I873">
        <v>0.55000000000000004</v>
      </c>
      <c r="J873">
        <v>1.01</v>
      </c>
      <c r="K873" s="245">
        <v>-41.75</v>
      </c>
      <c r="L873" s="245">
        <v>43.45</v>
      </c>
      <c r="M873" s="245">
        <v>47.52</v>
      </c>
    </row>
    <row r="874" spans="1:13">
      <c r="A874">
        <v>4107</v>
      </c>
      <c r="B874" t="s">
        <v>5513</v>
      </c>
      <c r="C874">
        <v>6.92</v>
      </c>
      <c r="D874">
        <v>-11</v>
      </c>
      <c r="E874">
        <v>-9</v>
      </c>
      <c r="F874">
        <v>6</v>
      </c>
      <c r="G874">
        <v>3</v>
      </c>
      <c r="H874">
        <v>30.02</v>
      </c>
      <c r="I874">
        <v>4.5</v>
      </c>
      <c r="J874">
        <v>6.22</v>
      </c>
      <c r="K874" s="245">
        <v>-13.01</v>
      </c>
      <c r="L874" s="245">
        <v>60.55</v>
      </c>
      <c r="M874" s="245">
        <v>1.76</v>
      </c>
    </row>
    <row r="875" spans="1:13">
      <c r="A875">
        <v>4108</v>
      </c>
      <c r="B875" t="s">
        <v>5514</v>
      </c>
      <c r="C875">
        <v>19.86</v>
      </c>
      <c r="D875">
        <v>19</v>
      </c>
      <c r="E875">
        <v>22</v>
      </c>
      <c r="F875">
        <v>-24</v>
      </c>
      <c r="G875">
        <v>-43</v>
      </c>
      <c r="H875">
        <v>-78.2</v>
      </c>
      <c r="I875">
        <v>0</v>
      </c>
      <c r="J875">
        <v>-0.4</v>
      </c>
      <c r="K875" s="245">
        <v>-23.28</v>
      </c>
      <c r="L875" s="245">
        <v>24.67</v>
      </c>
      <c r="M875" s="245">
        <v>1.29</v>
      </c>
    </row>
    <row r="876" spans="1:13">
      <c r="A876">
        <v>4109</v>
      </c>
      <c r="B876" t="s">
        <v>5515</v>
      </c>
      <c r="C876">
        <v>8.89</v>
      </c>
      <c r="D876">
        <v>115</v>
      </c>
      <c r="E876">
        <v>98</v>
      </c>
      <c r="F876">
        <v>20</v>
      </c>
      <c r="G876">
        <v>33</v>
      </c>
      <c r="H876">
        <v>-0.38</v>
      </c>
      <c r="I876">
        <v>0</v>
      </c>
      <c r="J876">
        <v>0.06</v>
      </c>
      <c r="K876" s="245">
        <v>-10.94</v>
      </c>
      <c r="L876" s="245">
        <v>56.76</v>
      </c>
      <c r="M876" s="245">
        <v>5.24</v>
      </c>
    </row>
    <row r="877" spans="1:13">
      <c r="A877">
        <v>4111</v>
      </c>
      <c r="B877" t="s">
        <v>6149</v>
      </c>
      <c r="C877">
        <v>5.69</v>
      </c>
      <c r="D877">
        <v>36</v>
      </c>
      <c r="E877">
        <v>21</v>
      </c>
      <c r="F877">
        <v>30</v>
      </c>
      <c r="G877">
        <v>27</v>
      </c>
      <c r="H877">
        <v>8.81</v>
      </c>
      <c r="I877">
        <v>1</v>
      </c>
      <c r="J877">
        <v>1.42</v>
      </c>
      <c r="K877" s="245">
        <v>-11.89</v>
      </c>
      <c r="L877" s="245">
        <v>40.47</v>
      </c>
      <c r="M877" s="245">
        <v>3.17</v>
      </c>
    </row>
    <row r="878" spans="1:13">
      <c r="A878">
        <v>4113</v>
      </c>
      <c r="B878" t="s">
        <v>5516</v>
      </c>
      <c r="C878">
        <v>21.11</v>
      </c>
      <c r="D878">
        <v>226</v>
      </c>
      <c r="E878">
        <v>555</v>
      </c>
      <c r="F878">
        <v>1</v>
      </c>
      <c r="G878">
        <v>-9</v>
      </c>
      <c r="H878">
        <v>13.84</v>
      </c>
      <c r="I878">
        <v>0.4</v>
      </c>
      <c r="J878">
        <v>0.63</v>
      </c>
      <c r="K878" s="245">
        <v>-13.07</v>
      </c>
      <c r="L878" s="245">
        <v>17.21</v>
      </c>
      <c r="M878" s="245">
        <v>0.59</v>
      </c>
    </row>
    <row r="879" spans="1:13">
      <c r="A879">
        <v>4114</v>
      </c>
      <c r="B879" t="s">
        <v>5517</v>
      </c>
      <c r="C879">
        <v>31.36</v>
      </c>
      <c r="D879">
        <v>-75</v>
      </c>
      <c r="E879">
        <v>63</v>
      </c>
      <c r="F879">
        <v>-1</v>
      </c>
      <c r="G879">
        <v>33</v>
      </c>
      <c r="H879">
        <v>5.7</v>
      </c>
      <c r="I879">
        <v>1.5</v>
      </c>
      <c r="J879">
        <v>1.02</v>
      </c>
      <c r="K879" s="245">
        <v>-10.75</v>
      </c>
      <c r="L879" s="245">
        <v>58.77</v>
      </c>
      <c r="M879" s="245">
        <v>3.18</v>
      </c>
    </row>
    <row r="880" spans="1:13">
      <c r="A880">
        <v>4116</v>
      </c>
      <c r="B880" t="s">
        <v>5518</v>
      </c>
      <c r="C880">
        <v>4.45</v>
      </c>
      <c r="D880">
        <v>-41</v>
      </c>
      <c r="E880">
        <v>-52</v>
      </c>
      <c r="F880">
        <v>5</v>
      </c>
      <c r="G880">
        <v>149</v>
      </c>
      <c r="H880">
        <v>3.17</v>
      </c>
      <c r="I880">
        <v>0.5</v>
      </c>
      <c r="J880">
        <v>0.65</v>
      </c>
      <c r="K880" s="245">
        <v>-7.64</v>
      </c>
      <c r="L880" s="245">
        <v>79.14</v>
      </c>
      <c r="M880" s="245">
        <v>74.88</v>
      </c>
    </row>
    <row r="881" spans="1:13">
      <c r="A881">
        <v>4119</v>
      </c>
      <c r="B881" t="s">
        <v>5519</v>
      </c>
      <c r="C881">
        <v>9.5299999999999994</v>
      </c>
      <c r="D881">
        <v>-84</v>
      </c>
      <c r="E881">
        <v>-93</v>
      </c>
      <c r="F881">
        <v>-50</v>
      </c>
      <c r="G881">
        <v>3</v>
      </c>
      <c r="H881">
        <v>8.52</v>
      </c>
      <c r="I881">
        <v>0</v>
      </c>
      <c r="J881">
        <v>0.57999999999999996</v>
      </c>
      <c r="K881" s="245">
        <v>-11.42</v>
      </c>
      <c r="L881" s="245">
        <v>27.49</v>
      </c>
      <c r="M881" s="245">
        <v>1.68</v>
      </c>
    </row>
    <row r="882" spans="1:13">
      <c r="A882">
        <v>4120</v>
      </c>
      <c r="B882" t="s">
        <v>5520</v>
      </c>
      <c r="C882">
        <v>8.67</v>
      </c>
      <c r="D882">
        <v>-30</v>
      </c>
      <c r="E882">
        <v>-181</v>
      </c>
      <c r="F882">
        <v>-14</v>
      </c>
      <c r="G882">
        <v>4</v>
      </c>
      <c r="H882">
        <v>-2.0099999999999998</v>
      </c>
      <c r="I882">
        <v>0.85</v>
      </c>
      <c r="J882">
        <v>1.39</v>
      </c>
      <c r="K882" s="245">
        <v>-23.33</v>
      </c>
      <c r="L882" s="245">
        <v>31.87</v>
      </c>
      <c r="M882" s="245">
        <v>0.73</v>
      </c>
    </row>
    <row r="883" spans="1:13">
      <c r="A883">
        <v>4121</v>
      </c>
      <c r="B883" t="s">
        <v>5521</v>
      </c>
      <c r="C883">
        <v>8.44</v>
      </c>
      <c r="D883">
        <v>-17</v>
      </c>
      <c r="E883">
        <v>-9</v>
      </c>
      <c r="F883">
        <v>51</v>
      </c>
      <c r="G883">
        <v>51</v>
      </c>
      <c r="H883">
        <v>3.4</v>
      </c>
      <c r="I883">
        <v>1.1000000000000001</v>
      </c>
      <c r="J883">
        <v>1.35</v>
      </c>
      <c r="K883" s="245">
        <v>-31.71</v>
      </c>
      <c r="L883" s="245">
        <v>48.96</v>
      </c>
      <c r="M883" s="245">
        <v>94.13</v>
      </c>
    </row>
    <row r="884" spans="1:13">
      <c r="A884">
        <v>4123</v>
      </c>
      <c r="B884" t="s">
        <v>5522</v>
      </c>
      <c r="C884">
        <v>50.5</v>
      </c>
      <c r="D884">
        <v>-55</v>
      </c>
      <c r="E884">
        <v>46</v>
      </c>
      <c r="F884">
        <v>88</v>
      </c>
      <c r="G884">
        <v>19</v>
      </c>
      <c r="H884">
        <v>-50.82</v>
      </c>
      <c r="I884">
        <v>4</v>
      </c>
      <c r="J884">
        <v>3.6</v>
      </c>
      <c r="K884" s="245">
        <v>-19.350000000000001</v>
      </c>
      <c r="L884" s="245">
        <v>50.59</v>
      </c>
      <c r="M884" s="245">
        <v>3.15</v>
      </c>
    </row>
    <row r="885" spans="1:13">
      <c r="A885">
        <v>4126</v>
      </c>
      <c r="B885" t="s">
        <v>5523</v>
      </c>
      <c r="C885">
        <v>7.26</v>
      </c>
      <c r="D885">
        <v>17</v>
      </c>
      <c r="E885">
        <v>-28</v>
      </c>
      <c r="F885">
        <v>-22</v>
      </c>
      <c r="G885">
        <v>-11</v>
      </c>
      <c r="H885">
        <v>15.52</v>
      </c>
      <c r="I885">
        <v>4.5</v>
      </c>
      <c r="J885">
        <v>5.32</v>
      </c>
      <c r="K885" s="245">
        <v>-9.49</v>
      </c>
      <c r="L885" s="245">
        <v>17.75</v>
      </c>
      <c r="M885" s="245">
        <v>13.25</v>
      </c>
    </row>
    <row r="886" spans="1:13">
      <c r="A886">
        <v>4127</v>
      </c>
      <c r="B886" t="s">
        <v>6536</v>
      </c>
      <c r="C886">
        <v>4.57</v>
      </c>
      <c r="D886">
        <v>190</v>
      </c>
      <c r="E886">
        <v>184</v>
      </c>
      <c r="F886">
        <v>-6</v>
      </c>
      <c r="G886">
        <v>10</v>
      </c>
      <c r="H886">
        <v>7.52</v>
      </c>
      <c r="I886">
        <v>0</v>
      </c>
      <c r="J886">
        <v>1.02</v>
      </c>
      <c r="K886" s="245">
        <v>-32.1</v>
      </c>
      <c r="L886" s="245">
        <v>42.74</v>
      </c>
      <c r="M886" s="245">
        <v>22.4</v>
      </c>
    </row>
    <row r="887" spans="1:13">
      <c r="A887">
        <v>4128</v>
      </c>
      <c r="B887" t="s">
        <v>5524</v>
      </c>
      <c r="C887">
        <v>46.63</v>
      </c>
      <c r="D887">
        <v>-144</v>
      </c>
      <c r="E887">
        <v>-5</v>
      </c>
      <c r="F887">
        <v>49</v>
      </c>
      <c r="G887">
        <v>61</v>
      </c>
      <c r="H887">
        <v>-65.17</v>
      </c>
      <c r="I887">
        <v>1</v>
      </c>
      <c r="J887">
        <v>0.11</v>
      </c>
      <c r="K887" s="245">
        <v>-24.97</v>
      </c>
      <c r="L887" s="245">
        <v>25.56</v>
      </c>
      <c r="M887" s="245">
        <v>6.49</v>
      </c>
    </row>
    <row r="888" spans="1:13">
      <c r="A888">
        <v>4129</v>
      </c>
      <c r="B888" t="s">
        <v>5525</v>
      </c>
      <c r="C888">
        <v>7.81</v>
      </c>
      <c r="D888">
        <v>-47</v>
      </c>
      <c r="E888">
        <v>79</v>
      </c>
      <c r="F888">
        <v>32</v>
      </c>
      <c r="G888">
        <v>9</v>
      </c>
      <c r="H888">
        <v>6.28</v>
      </c>
      <c r="I888">
        <v>0</v>
      </c>
      <c r="J888">
        <v>0.37</v>
      </c>
      <c r="K888" s="245">
        <v>-16.670000000000002</v>
      </c>
      <c r="L888" s="245">
        <v>45.17</v>
      </c>
      <c r="M888" s="245">
        <v>0.8</v>
      </c>
    </row>
    <row r="889" spans="1:13">
      <c r="A889">
        <v>4130</v>
      </c>
      <c r="B889" t="s">
        <v>5526</v>
      </c>
      <c r="C889">
        <v>10.93</v>
      </c>
      <c r="D889">
        <v>-99</v>
      </c>
      <c r="E889">
        <v>-102</v>
      </c>
      <c r="F889">
        <v>-2</v>
      </c>
      <c r="G889">
        <v>10</v>
      </c>
      <c r="H889">
        <v>-0.27</v>
      </c>
      <c r="I889">
        <v>0.35</v>
      </c>
      <c r="J889">
        <v>0</v>
      </c>
      <c r="K889" s="245">
        <v>-25.57</v>
      </c>
      <c r="L889" s="245">
        <v>32.49</v>
      </c>
      <c r="M889" s="245">
        <v>21.69</v>
      </c>
    </row>
    <row r="890" spans="1:13">
      <c r="A890">
        <v>4131</v>
      </c>
      <c r="B890" t="s">
        <v>6537</v>
      </c>
      <c r="C890">
        <v>1.9</v>
      </c>
      <c r="D890">
        <v>17</v>
      </c>
      <c r="E890">
        <v>15</v>
      </c>
      <c r="F890">
        <v>-51</v>
      </c>
      <c r="G890">
        <v>-43</v>
      </c>
      <c r="H890">
        <v>-31.85</v>
      </c>
      <c r="I890">
        <v>0</v>
      </c>
      <c r="J890">
        <v>-0.91</v>
      </c>
      <c r="K890" s="245">
        <v>-24.24</v>
      </c>
      <c r="L890" s="245">
        <v>25.11</v>
      </c>
      <c r="M890" s="245">
        <v>2.69</v>
      </c>
    </row>
    <row r="891" spans="1:13">
      <c r="A891">
        <v>4133</v>
      </c>
      <c r="B891" t="s">
        <v>5527</v>
      </c>
      <c r="C891">
        <v>6.05</v>
      </c>
      <c r="D891">
        <v>-22</v>
      </c>
      <c r="E891">
        <v>-24</v>
      </c>
      <c r="F891">
        <v>33</v>
      </c>
      <c r="G891">
        <v>3</v>
      </c>
      <c r="H891">
        <v>9.7100000000000009</v>
      </c>
      <c r="I891">
        <v>0.46</v>
      </c>
      <c r="J891">
        <v>0.47</v>
      </c>
      <c r="K891" s="245">
        <v>-29.09</v>
      </c>
      <c r="L891" s="245">
        <v>59.86</v>
      </c>
      <c r="M891" s="245">
        <v>120.37</v>
      </c>
    </row>
    <row r="892" spans="1:13">
      <c r="A892">
        <v>4137</v>
      </c>
      <c r="B892" t="s">
        <v>5528</v>
      </c>
      <c r="C892">
        <v>7.94</v>
      </c>
      <c r="D892">
        <v>41</v>
      </c>
      <c r="E892">
        <v>58</v>
      </c>
      <c r="F892">
        <v>53</v>
      </c>
      <c r="G892">
        <v>-1</v>
      </c>
      <c r="H892">
        <v>33.61</v>
      </c>
      <c r="I892">
        <v>12</v>
      </c>
      <c r="J892">
        <v>17.05</v>
      </c>
      <c r="K892" s="245">
        <v>-29.47</v>
      </c>
      <c r="L892" s="245">
        <v>17.920000000000002</v>
      </c>
      <c r="M892" s="245">
        <v>1.73</v>
      </c>
    </row>
    <row r="893" spans="1:13">
      <c r="A893">
        <v>4138</v>
      </c>
      <c r="B893" t="s">
        <v>6218</v>
      </c>
      <c r="C893">
        <v>3</v>
      </c>
      <c r="D893">
        <v>21</v>
      </c>
      <c r="E893">
        <v>13</v>
      </c>
      <c r="F893">
        <v>4</v>
      </c>
      <c r="G893">
        <v>0</v>
      </c>
      <c r="H893">
        <v>15.6</v>
      </c>
      <c r="I893">
        <v>3.7</v>
      </c>
      <c r="J893">
        <v>4.1100000000000003</v>
      </c>
      <c r="K893" s="245">
        <v>-3.09</v>
      </c>
      <c r="L893" s="245">
        <v>64.52</v>
      </c>
      <c r="M893" s="245">
        <v>0.82</v>
      </c>
    </row>
    <row r="894" spans="1:13">
      <c r="A894">
        <v>4139</v>
      </c>
      <c r="B894" t="s">
        <v>6304</v>
      </c>
      <c r="C894">
        <v>4.25</v>
      </c>
      <c r="D894">
        <v>-57</v>
      </c>
      <c r="E894">
        <v>-25</v>
      </c>
      <c r="F894">
        <v>0</v>
      </c>
      <c r="G894">
        <v>7</v>
      </c>
      <c r="H894">
        <v>4.76</v>
      </c>
      <c r="I894">
        <v>0</v>
      </c>
      <c r="J894">
        <v>0.91</v>
      </c>
      <c r="K894" s="245">
        <v>-15.7</v>
      </c>
      <c r="L894" s="245">
        <v>45.28</v>
      </c>
      <c r="M894" s="245">
        <v>1.36</v>
      </c>
    </row>
    <row r="895" spans="1:13">
      <c r="A895">
        <v>4142</v>
      </c>
      <c r="B895" t="s">
        <v>5529</v>
      </c>
      <c r="C895">
        <v>42.95</v>
      </c>
      <c r="D895">
        <v>-98</v>
      </c>
      <c r="E895">
        <v>-701</v>
      </c>
      <c r="F895">
        <v>-22</v>
      </c>
      <c r="G895">
        <v>673</v>
      </c>
      <c r="H895">
        <v>-12.6</v>
      </c>
      <c r="I895">
        <v>0</v>
      </c>
      <c r="J895">
        <v>0.1</v>
      </c>
      <c r="K895" s="245">
        <v>-35.01</v>
      </c>
      <c r="L895" s="245">
        <v>25.39</v>
      </c>
      <c r="M895" s="245">
        <v>25.05</v>
      </c>
    </row>
    <row r="896" spans="1:13">
      <c r="A896">
        <v>4147</v>
      </c>
      <c r="B896" t="s">
        <v>5530</v>
      </c>
      <c r="C896">
        <v>25.23</v>
      </c>
      <c r="D896">
        <v>-156</v>
      </c>
      <c r="E896">
        <v>-266</v>
      </c>
      <c r="F896">
        <v>214</v>
      </c>
      <c r="G896">
        <v>-28</v>
      </c>
      <c r="H896">
        <v>-117.64</v>
      </c>
      <c r="I896">
        <v>0</v>
      </c>
      <c r="J896">
        <v>-1.87</v>
      </c>
      <c r="K896" s="245">
        <v>-27.65</v>
      </c>
      <c r="L896" s="245">
        <v>16.41</v>
      </c>
      <c r="M896" s="245">
        <v>5.96</v>
      </c>
    </row>
    <row r="897" spans="1:13">
      <c r="A897">
        <v>4148</v>
      </c>
      <c r="B897" t="s">
        <v>5531</v>
      </c>
      <c r="C897">
        <v>6.4</v>
      </c>
      <c r="D897">
        <v>141</v>
      </c>
      <c r="E897">
        <v>166</v>
      </c>
      <c r="F897">
        <v>-2</v>
      </c>
      <c r="G897">
        <v>59</v>
      </c>
      <c r="H897">
        <v>12.44</v>
      </c>
      <c r="I897">
        <v>1.5</v>
      </c>
      <c r="J897">
        <v>3.09</v>
      </c>
      <c r="K897" s="245">
        <v>-26.21</v>
      </c>
      <c r="L897" s="245">
        <v>57.89</v>
      </c>
      <c r="M897" s="245">
        <v>30.18</v>
      </c>
    </row>
    <row r="898" spans="1:13">
      <c r="A898">
        <v>4153</v>
      </c>
      <c r="B898" t="s">
        <v>5532</v>
      </c>
      <c r="C898">
        <v>6.17</v>
      </c>
      <c r="D898">
        <v>25</v>
      </c>
      <c r="E898">
        <v>-67</v>
      </c>
      <c r="F898">
        <v>-14</v>
      </c>
      <c r="G898">
        <v>21</v>
      </c>
      <c r="H898">
        <v>3.17</v>
      </c>
      <c r="I898">
        <v>0.37</v>
      </c>
      <c r="J898">
        <v>0.37</v>
      </c>
      <c r="K898" s="245">
        <v>-5.78</v>
      </c>
      <c r="L898" s="245">
        <v>60.13</v>
      </c>
      <c r="M898" s="245">
        <v>7.81</v>
      </c>
    </row>
    <row r="899" spans="1:13">
      <c r="A899">
        <v>4154</v>
      </c>
      <c r="B899" t="s">
        <v>6538</v>
      </c>
      <c r="C899">
        <v>3.57</v>
      </c>
      <c r="D899">
        <v>-171</v>
      </c>
      <c r="E899">
        <v>-188</v>
      </c>
      <c r="F899">
        <v>32</v>
      </c>
      <c r="G899">
        <v>66</v>
      </c>
      <c r="H899">
        <v>-25.14</v>
      </c>
      <c r="I899">
        <v>0</v>
      </c>
      <c r="J899">
        <v>-2.1800000000000002</v>
      </c>
      <c r="K899" s="245">
        <v>-38.68</v>
      </c>
      <c r="L899" s="245">
        <v>24.49</v>
      </c>
      <c r="M899" s="245">
        <v>1.91</v>
      </c>
    </row>
    <row r="900" spans="1:13">
      <c r="A900">
        <v>4155</v>
      </c>
      <c r="B900" t="s">
        <v>5533</v>
      </c>
      <c r="C900">
        <v>9.49</v>
      </c>
      <c r="D900">
        <v>-74</v>
      </c>
      <c r="E900">
        <v>-93</v>
      </c>
      <c r="F900">
        <v>68</v>
      </c>
      <c r="G900">
        <v>93</v>
      </c>
      <c r="H900">
        <v>0.64</v>
      </c>
      <c r="I900">
        <v>1</v>
      </c>
      <c r="J900">
        <v>0.46</v>
      </c>
      <c r="K900" s="245">
        <v>-14.23</v>
      </c>
      <c r="L900" s="245">
        <v>30.79</v>
      </c>
      <c r="M900" s="245">
        <v>6.05</v>
      </c>
    </row>
    <row r="901" spans="1:13">
      <c r="A901">
        <v>4157</v>
      </c>
      <c r="B901" t="s">
        <v>5534</v>
      </c>
      <c r="C901">
        <v>0</v>
      </c>
      <c r="D901">
        <v>291</v>
      </c>
      <c r="E901">
        <v>392</v>
      </c>
      <c r="F901">
        <v>0</v>
      </c>
      <c r="G901">
        <v>-99</v>
      </c>
      <c r="H901">
        <v>69.48</v>
      </c>
      <c r="I901">
        <v>0</v>
      </c>
      <c r="J901">
        <v>1.08</v>
      </c>
      <c r="K901" s="245">
        <v>-27.15</v>
      </c>
      <c r="L901" s="245">
        <v>29.06</v>
      </c>
      <c r="M901" s="245">
        <v>22358.44</v>
      </c>
    </row>
    <row r="902" spans="1:13">
      <c r="A902">
        <v>4160</v>
      </c>
      <c r="B902" t="s">
        <v>6539</v>
      </c>
      <c r="C902">
        <v>2.42</v>
      </c>
      <c r="D902">
        <v>151</v>
      </c>
      <c r="E902">
        <v>79</v>
      </c>
      <c r="F902">
        <v>53</v>
      </c>
      <c r="G902">
        <v>20</v>
      </c>
      <c r="H902">
        <v>-0.87</v>
      </c>
      <c r="I902">
        <v>0.28999999999999998</v>
      </c>
      <c r="J902">
        <v>0.32</v>
      </c>
      <c r="K902" s="245">
        <v>-4.9400000000000004</v>
      </c>
      <c r="L902" s="245">
        <v>42.32</v>
      </c>
      <c r="M902" s="245">
        <v>1.02</v>
      </c>
    </row>
    <row r="903" spans="1:13">
      <c r="A903">
        <v>4161</v>
      </c>
      <c r="B903" t="s">
        <v>5535</v>
      </c>
      <c r="C903">
        <v>5.26</v>
      </c>
      <c r="D903">
        <v>133</v>
      </c>
      <c r="E903">
        <v>184</v>
      </c>
      <c r="F903">
        <v>-31</v>
      </c>
      <c r="G903">
        <v>-37</v>
      </c>
      <c r="H903">
        <v>4.84</v>
      </c>
      <c r="I903">
        <v>0.3</v>
      </c>
      <c r="J903">
        <v>0.47</v>
      </c>
      <c r="K903" s="245">
        <v>-23.2</v>
      </c>
      <c r="L903" s="245">
        <v>23.52</v>
      </c>
      <c r="M903" s="245">
        <v>3.67</v>
      </c>
    </row>
    <row r="904" spans="1:13">
      <c r="A904">
        <v>4162</v>
      </c>
      <c r="B904" t="s">
        <v>5536</v>
      </c>
      <c r="C904">
        <v>14.55</v>
      </c>
      <c r="D904">
        <v>-29</v>
      </c>
      <c r="E904">
        <v>-55</v>
      </c>
      <c r="F904">
        <v>-85</v>
      </c>
      <c r="G904">
        <v>-2</v>
      </c>
      <c r="H904">
        <v>55.39</v>
      </c>
      <c r="I904">
        <v>2.7</v>
      </c>
      <c r="J904">
        <v>2.95</v>
      </c>
      <c r="K904" s="245">
        <v>-19.52</v>
      </c>
      <c r="L904" s="245">
        <v>37.26</v>
      </c>
      <c r="M904" s="245">
        <v>13.77</v>
      </c>
    </row>
    <row r="905" spans="1:13">
      <c r="A905">
        <v>4163</v>
      </c>
      <c r="B905" t="s">
        <v>5537</v>
      </c>
      <c r="C905">
        <v>4.82</v>
      </c>
      <c r="D905">
        <v>-8</v>
      </c>
      <c r="E905">
        <v>-32</v>
      </c>
      <c r="F905">
        <v>-15</v>
      </c>
      <c r="G905">
        <v>-7</v>
      </c>
      <c r="H905">
        <v>11.25</v>
      </c>
      <c r="I905">
        <v>2.5</v>
      </c>
      <c r="J905">
        <v>4.7300000000000004</v>
      </c>
      <c r="K905" s="245">
        <v>-11.11</v>
      </c>
      <c r="L905" s="245">
        <v>49.21</v>
      </c>
      <c r="M905" s="245">
        <v>0.74</v>
      </c>
    </row>
    <row r="906" spans="1:13">
      <c r="A906">
        <v>4164</v>
      </c>
      <c r="B906" t="s">
        <v>5538</v>
      </c>
      <c r="C906">
        <v>16.100000000000001</v>
      </c>
      <c r="D906">
        <v>4</v>
      </c>
      <c r="E906">
        <v>-3</v>
      </c>
      <c r="F906">
        <v>40</v>
      </c>
      <c r="G906">
        <v>25</v>
      </c>
      <c r="H906">
        <v>20.22</v>
      </c>
      <c r="I906">
        <v>2.0099999999999998</v>
      </c>
      <c r="J906">
        <v>2.4300000000000002</v>
      </c>
      <c r="K906" s="245">
        <v>-20.079999999999998</v>
      </c>
      <c r="L906" s="245">
        <v>42.88</v>
      </c>
      <c r="M906" s="245">
        <v>1.65</v>
      </c>
    </row>
    <row r="907" spans="1:13">
      <c r="A907">
        <v>4167</v>
      </c>
      <c r="B907" t="s">
        <v>5539</v>
      </c>
      <c r="C907">
        <v>31.7</v>
      </c>
      <c r="D907">
        <v>-96</v>
      </c>
      <c r="E907">
        <v>-87</v>
      </c>
      <c r="F907">
        <v>-9</v>
      </c>
      <c r="G907">
        <v>-10</v>
      </c>
      <c r="H907">
        <v>1.68</v>
      </c>
      <c r="I907">
        <v>0</v>
      </c>
      <c r="J907">
        <v>0.03</v>
      </c>
      <c r="K907" s="245">
        <v>-43.22</v>
      </c>
      <c r="L907" s="245">
        <v>41.39</v>
      </c>
      <c r="M907" s="245">
        <v>3.32</v>
      </c>
    </row>
    <row r="908" spans="1:13">
      <c r="A908">
        <v>4168</v>
      </c>
      <c r="B908" t="s">
        <v>5540</v>
      </c>
      <c r="C908">
        <v>9.74</v>
      </c>
      <c r="D908">
        <v>-6</v>
      </c>
      <c r="E908">
        <v>8</v>
      </c>
      <c r="F908">
        <v>-26</v>
      </c>
      <c r="G908">
        <v>0</v>
      </c>
      <c r="H908">
        <v>-3560.33</v>
      </c>
      <c r="I908">
        <v>0</v>
      </c>
      <c r="J908">
        <v>-1.78</v>
      </c>
      <c r="K908" s="245">
        <v>-20.76</v>
      </c>
      <c r="L908" s="245">
        <v>28.38</v>
      </c>
      <c r="M908" s="245">
        <v>11.84</v>
      </c>
    </row>
    <row r="909" spans="1:13">
      <c r="A909">
        <v>4171</v>
      </c>
      <c r="B909" t="s">
        <v>5541</v>
      </c>
      <c r="C909">
        <v>4.17</v>
      </c>
      <c r="D909">
        <v>40</v>
      </c>
      <c r="E909">
        <v>35</v>
      </c>
      <c r="F909">
        <v>17</v>
      </c>
      <c r="G909">
        <v>39</v>
      </c>
      <c r="H909">
        <v>47.66</v>
      </c>
      <c r="I909">
        <v>6</v>
      </c>
      <c r="J909">
        <v>9.01</v>
      </c>
      <c r="K909" s="245">
        <v>-25.13</v>
      </c>
      <c r="L909" s="245">
        <v>64.11</v>
      </c>
      <c r="M909" s="245">
        <v>166.47</v>
      </c>
    </row>
    <row r="910" spans="1:13">
      <c r="A910">
        <v>4173</v>
      </c>
      <c r="B910" t="s">
        <v>5542</v>
      </c>
      <c r="C910">
        <v>7.45</v>
      </c>
      <c r="D910">
        <v>17</v>
      </c>
      <c r="E910">
        <v>12</v>
      </c>
      <c r="F910">
        <v>-18</v>
      </c>
      <c r="G910">
        <v>4</v>
      </c>
      <c r="H910">
        <v>5.76</v>
      </c>
      <c r="I910">
        <v>0.5</v>
      </c>
      <c r="J910">
        <v>0.74</v>
      </c>
      <c r="K910" s="245">
        <v>-42.77</v>
      </c>
      <c r="L910" s="245">
        <v>38.25</v>
      </c>
      <c r="M910" s="245">
        <v>54.82</v>
      </c>
    </row>
    <row r="911" spans="1:13">
      <c r="A911">
        <v>4174</v>
      </c>
      <c r="B911" t="s">
        <v>5543</v>
      </c>
      <c r="C911">
        <v>22.92</v>
      </c>
      <c r="D911">
        <v>-15</v>
      </c>
      <c r="E911">
        <v>-17</v>
      </c>
      <c r="F911">
        <v>-21</v>
      </c>
      <c r="G911">
        <v>74</v>
      </c>
      <c r="H911">
        <v>-9141.35</v>
      </c>
      <c r="I911">
        <v>0</v>
      </c>
      <c r="J911">
        <v>-7.69</v>
      </c>
      <c r="K911" s="245">
        <v>-14.18</v>
      </c>
      <c r="L911" s="245">
        <v>62.09</v>
      </c>
      <c r="M911" s="245">
        <v>4</v>
      </c>
    </row>
    <row r="912" spans="1:13">
      <c r="A912">
        <v>4175</v>
      </c>
      <c r="B912" t="s">
        <v>5544</v>
      </c>
      <c r="C912">
        <v>3.52</v>
      </c>
      <c r="D912">
        <v>-36</v>
      </c>
      <c r="E912">
        <v>-25</v>
      </c>
      <c r="F912">
        <v>14</v>
      </c>
      <c r="G912">
        <v>30</v>
      </c>
      <c r="H912">
        <v>1.73</v>
      </c>
      <c r="I912">
        <v>1.6</v>
      </c>
      <c r="J912">
        <v>1.97</v>
      </c>
      <c r="K912" s="245">
        <v>-31.89</v>
      </c>
      <c r="L912" s="245">
        <v>43.71</v>
      </c>
      <c r="M912" s="245">
        <v>18.260000000000002</v>
      </c>
    </row>
    <row r="913" spans="1:13">
      <c r="A913">
        <v>4183</v>
      </c>
      <c r="B913" t="s">
        <v>6540</v>
      </c>
      <c r="C913">
        <v>2.38</v>
      </c>
      <c r="D913">
        <v>-41</v>
      </c>
      <c r="E913">
        <v>-25</v>
      </c>
      <c r="F913">
        <v>41</v>
      </c>
      <c r="G913">
        <v>0</v>
      </c>
      <c r="H913">
        <v>6.88</v>
      </c>
      <c r="I913">
        <v>0.7</v>
      </c>
      <c r="J913">
        <v>0.78</v>
      </c>
      <c r="K913" s="245">
        <v>-11.35</v>
      </c>
      <c r="L913" s="245">
        <v>36.26</v>
      </c>
      <c r="M913" s="245">
        <v>0.6</v>
      </c>
    </row>
    <row r="914" spans="1:13">
      <c r="A914">
        <v>4188</v>
      </c>
      <c r="B914" t="s">
        <v>6541</v>
      </c>
      <c r="C914">
        <v>5.32</v>
      </c>
      <c r="D914">
        <v>37</v>
      </c>
      <c r="E914">
        <v>34</v>
      </c>
      <c r="F914">
        <v>10</v>
      </c>
      <c r="G914">
        <v>14</v>
      </c>
      <c r="H914">
        <v>-42.86</v>
      </c>
      <c r="I914">
        <v>0</v>
      </c>
      <c r="J914">
        <v>-0.48</v>
      </c>
      <c r="K914" s="245">
        <v>-18.809999999999999</v>
      </c>
      <c r="L914" s="245">
        <v>25.59</v>
      </c>
      <c r="M914" s="245">
        <v>1.98</v>
      </c>
    </row>
    <row r="915" spans="1:13">
      <c r="A915">
        <v>4190</v>
      </c>
      <c r="B915" t="s">
        <v>5545</v>
      </c>
      <c r="C915">
        <v>6.08</v>
      </c>
      <c r="D915">
        <v>13</v>
      </c>
      <c r="E915">
        <v>-14</v>
      </c>
      <c r="F915">
        <v>-3</v>
      </c>
      <c r="G915">
        <v>-12</v>
      </c>
      <c r="H915">
        <v>12</v>
      </c>
      <c r="I915">
        <v>3.5</v>
      </c>
      <c r="J915">
        <v>4.9800000000000004</v>
      </c>
      <c r="K915" s="245">
        <v>-16.25</v>
      </c>
      <c r="L915" s="245">
        <v>54.77</v>
      </c>
      <c r="M915" s="245">
        <v>1.29</v>
      </c>
    </row>
    <row r="916" spans="1:13">
      <c r="A916">
        <v>4192</v>
      </c>
      <c r="B916" t="s">
        <v>6542</v>
      </c>
      <c r="C916">
        <v>11.5</v>
      </c>
      <c r="D916">
        <v>-14</v>
      </c>
      <c r="E916">
        <v>-15</v>
      </c>
      <c r="F916">
        <v>-27</v>
      </c>
      <c r="G916">
        <v>119</v>
      </c>
      <c r="H916">
        <v>-6609.3</v>
      </c>
      <c r="I916">
        <v>0</v>
      </c>
      <c r="J916">
        <v>-4.04</v>
      </c>
      <c r="K916" s="245">
        <v>-76.67</v>
      </c>
      <c r="L916" s="245">
        <v>24.27</v>
      </c>
      <c r="M916" s="245">
        <v>8.8800000000000008</v>
      </c>
    </row>
    <row r="917" spans="1:13">
      <c r="A917">
        <v>4198</v>
      </c>
      <c r="B917" t="s">
        <v>6543</v>
      </c>
      <c r="C917">
        <v>8.0500000000000007</v>
      </c>
      <c r="D917">
        <v>16</v>
      </c>
      <c r="E917">
        <v>23</v>
      </c>
      <c r="F917">
        <v>37</v>
      </c>
      <c r="G917">
        <v>171</v>
      </c>
      <c r="H917">
        <v>-84.42</v>
      </c>
      <c r="I917">
        <v>0</v>
      </c>
      <c r="J917">
        <v>-1.3</v>
      </c>
      <c r="K917" s="245">
        <v>-34.07</v>
      </c>
      <c r="L917" s="245">
        <v>15.35</v>
      </c>
      <c r="M917" s="245">
        <v>0.52</v>
      </c>
    </row>
    <row r="918" spans="1:13">
      <c r="A918">
        <v>4205</v>
      </c>
      <c r="B918" t="s">
        <v>6150</v>
      </c>
      <c r="C918">
        <v>8.8699999999999992</v>
      </c>
      <c r="D918">
        <v>-1</v>
      </c>
      <c r="E918">
        <v>1</v>
      </c>
      <c r="F918">
        <v>-9</v>
      </c>
      <c r="G918">
        <v>-1</v>
      </c>
      <c r="H918">
        <v>24.16</v>
      </c>
      <c r="I918">
        <v>3</v>
      </c>
      <c r="J918">
        <v>3.76</v>
      </c>
      <c r="K918" s="245">
        <v>-28.25</v>
      </c>
      <c r="L918" s="245">
        <v>16.41</v>
      </c>
      <c r="M918" s="245">
        <v>0.35</v>
      </c>
    </row>
    <row r="919" spans="1:13">
      <c r="A919">
        <v>4207</v>
      </c>
      <c r="B919" t="s">
        <v>5546</v>
      </c>
      <c r="C919">
        <v>16.2</v>
      </c>
      <c r="D919">
        <v>157</v>
      </c>
      <c r="E919">
        <v>0</v>
      </c>
      <c r="F919">
        <v>2</v>
      </c>
      <c r="G919">
        <v>32</v>
      </c>
      <c r="H919">
        <v>6.84</v>
      </c>
      <c r="I919">
        <v>1.25</v>
      </c>
      <c r="J919">
        <v>2.25</v>
      </c>
      <c r="K919" s="245">
        <v>-18.78</v>
      </c>
      <c r="L919" s="245">
        <v>43.17</v>
      </c>
      <c r="M919" s="245">
        <v>13.83</v>
      </c>
    </row>
    <row r="920" spans="1:13">
      <c r="A920">
        <v>4303</v>
      </c>
      <c r="B920" t="s">
        <v>5547</v>
      </c>
      <c r="C920">
        <v>6.75</v>
      </c>
      <c r="D920">
        <v>581</v>
      </c>
      <c r="E920">
        <v>95</v>
      </c>
      <c r="F920">
        <v>51</v>
      </c>
      <c r="G920">
        <v>-3</v>
      </c>
      <c r="H920">
        <v>5.09</v>
      </c>
      <c r="I920">
        <v>1.1000000000000001</v>
      </c>
      <c r="J920">
        <v>1.96</v>
      </c>
      <c r="K920" s="245">
        <v>-29.83</v>
      </c>
      <c r="L920" s="245">
        <v>47.51</v>
      </c>
      <c r="M920" s="245">
        <v>10.16</v>
      </c>
    </row>
    <row r="921" spans="1:13">
      <c r="A921">
        <v>4304</v>
      </c>
      <c r="B921" t="s">
        <v>6544</v>
      </c>
      <c r="C921">
        <v>3.6</v>
      </c>
      <c r="D921">
        <v>471</v>
      </c>
      <c r="E921">
        <v>-31</v>
      </c>
      <c r="F921">
        <v>102</v>
      </c>
      <c r="G921">
        <v>-13</v>
      </c>
      <c r="H921">
        <v>-10.45</v>
      </c>
      <c r="I921">
        <v>0</v>
      </c>
      <c r="J921">
        <v>4.22</v>
      </c>
      <c r="K921" s="245">
        <v>-50</v>
      </c>
      <c r="L921" s="245">
        <v>17.11</v>
      </c>
      <c r="M921" s="245">
        <v>2.3199999999999998</v>
      </c>
    </row>
    <row r="922" spans="1:13">
      <c r="A922">
        <v>4305</v>
      </c>
      <c r="B922" t="s">
        <v>6363</v>
      </c>
      <c r="C922">
        <v>5.5</v>
      </c>
      <c r="D922">
        <v>-2</v>
      </c>
      <c r="E922">
        <v>-4</v>
      </c>
      <c r="F922">
        <v>-12</v>
      </c>
      <c r="G922">
        <v>-21</v>
      </c>
      <c r="H922">
        <v>13.17</v>
      </c>
      <c r="I922">
        <v>1.8</v>
      </c>
      <c r="J922">
        <v>2.0299999999999998</v>
      </c>
      <c r="K922" s="245">
        <v>-9.48</v>
      </c>
      <c r="L922" s="245">
        <v>40.67</v>
      </c>
      <c r="M922" s="245">
        <v>0.12</v>
      </c>
    </row>
    <row r="923" spans="1:13">
      <c r="A923">
        <v>4306</v>
      </c>
      <c r="B923" t="s">
        <v>5548</v>
      </c>
      <c r="C923">
        <v>63.82</v>
      </c>
      <c r="D923">
        <v>9</v>
      </c>
      <c r="E923">
        <v>83</v>
      </c>
      <c r="F923">
        <v>62</v>
      </c>
      <c r="G923">
        <v>0</v>
      </c>
      <c r="H923">
        <v>7.59</v>
      </c>
      <c r="I923">
        <v>1</v>
      </c>
      <c r="J923">
        <v>1.47</v>
      </c>
      <c r="K923" s="245">
        <v>-28.37</v>
      </c>
      <c r="L923" s="245">
        <v>46.35</v>
      </c>
      <c r="M923" s="245">
        <v>8.43</v>
      </c>
    </row>
    <row r="924" spans="1:13">
      <c r="A924">
        <v>4401</v>
      </c>
      <c r="B924" t="s">
        <v>5549</v>
      </c>
      <c r="C924">
        <v>12.02</v>
      </c>
      <c r="D924">
        <v>272</v>
      </c>
      <c r="E924">
        <v>466</v>
      </c>
      <c r="F924">
        <v>34</v>
      </c>
      <c r="G924">
        <v>1</v>
      </c>
      <c r="H924">
        <v>8.41</v>
      </c>
      <c r="I924">
        <v>1.5</v>
      </c>
      <c r="J924">
        <v>2.64</v>
      </c>
      <c r="K924" s="245">
        <v>-33.68</v>
      </c>
      <c r="L924" s="245">
        <v>33.270000000000003</v>
      </c>
      <c r="M924" s="245">
        <v>5.15</v>
      </c>
    </row>
    <row r="925" spans="1:13">
      <c r="A925">
        <v>4402</v>
      </c>
      <c r="B925" t="s">
        <v>6545</v>
      </c>
      <c r="C925">
        <v>4.59</v>
      </c>
      <c r="D925">
        <v>21</v>
      </c>
      <c r="E925">
        <v>4</v>
      </c>
      <c r="F925">
        <v>-30</v>
      </c>
      <c r="G925">
        <v>10</v>
      </c>
      <c r="H925">
        <v>-23.79</v>
      </c>
      <c r="I925">
        <v>0</v>
      </c>
      <c r="J925">
        <v>-0.86</v>
      </c>
      <c r="K925" s="245">
        <v>-19.11</v>
      </c>
      <c r="L925" s="245">
        <v>52.61</v>
      </c>
      <c r="M925" s="245">
        <v>9.43</v>
      </c>
    </row>
    <row r="926" spans="1:13">
      <c r="A926">
        <v>4406</v>
      </c>
      <c r="B926" t="s">
        <v>5550</v>
      </c>
      <c r="C926">
        <v>5.19</v>
      </c>
      <c r="D926">
        <v>135</v>
      </c>
      <c r="E926">
        <v>157</v>
      </c>
      <c r="F926">
        <v>0</v>
      </c>
      <c r="G926">
        <v>41</v>
      </c>
      <c r="H926">
        <v>4.34</v>
      </c>
      <c r="I926">
        <v>0</v>
      </c>
      <c r="J926">
        <v>0.33</v>
      </c>
      <c r="K926" s="245">
        <v>-34.19</v>
      </c>
      <c r="L926" s="245">
        <v>38.96</v>
      </c>
      <c r="M926" s="245">
        <v>23.8</v>
      </c>
    </row>
    <row r="927" spans="1:13">
      <c r="A927">
        <v>4413</v>
      </c>
      <c r="B927" t="s">
        <v>6546</v>
      </c>
      <c r="C927">
        <v>3.13</v>
      </c>
      <c r="D927">
        <v>122</v>
      </c>
      <c r="E927">
        <v>138</v>
      </c>
      <c r="F927">
        <v>12</v>
      </c>
      <c r="G927">
        <v>10</v>
      </c>
      <c r="H927">
        <v>1.19</v>
      </c>
      <c r="I927">
        <v>0</v>
      </c>
      <c r="J927">
        <v>0.2</v>
      </c>
      <c r="K927" s="245">
        <v>-17.649999999999999</v>
      </c>
      <c r="L927" s="245">
        <v>47.46</v>
      </c>
      <c r="M927" s="245">
        <v>1.77</v>
      </c>
    </row>
    <row r="928" spans="1:13">
      <c r="A928">
        <v>4414</v>
      </c>
      <c r="B928" t="s">
        <v>5551</v>
      </c>
      <c r="C928">
        <v>81.89</v>
      </c>
      <c r="D928">
        <v>-1592</v>
      </c>
      <c r="E928">
        <v>-621</v>
      </c>
      <c r="F928">
        <v>-3</v>
      </c>
      <c r="G928">
        <v>-5</v>
      </c>
      <c r="H928">
        <v>-7.03</v>
      </c>
      <c r="I928">
        <v>0</v>
      </c>
      <c r="J928">
        <v>-2.31</v>
      </c>
      <c r="K928" s="245">
        <v>-55.12</v>
      </c>
      <c r="L928" s="245">
        <v>8.2799999999999994</v>
      </c>
      <c r="M928" s="245">
        <v>10.19</v>
      </c>
    </row>
    <row r="929" spans="1:13">
      <c r="A929">
        <v>4416</v>
      </c>
      <c r="B929" t="s">
        <v>6216</v>
      </c>
      <c r="C929">
        <v>6.15</v>
      </c>
      <c r="D929">
        <v>998</v>
      </c>
      <c r="E929">
        <v>-2462</v>
      </c>
      <c r="F929">
        <v>0</v>
      </c>
      <c r="G929">
        <v>0</v>
      </c>
      <c r="H929">
        <v>-41.63</v>
      </c>
      <c r="I929">
        <v>5</v>
      </c>
      <c r="J929">
        <v>17.34</v>
      </c>
      <c r="K929" s="245">
        <v>-23.58</v>
      </c>
      <c r="L929" s="245">
        <v>8.25</v>
      </c>
      <c r="M929" s="245">
        <v>0.25</v>
      </c>
    </row>
    <row r="930" spans="1:13">
      <c r="A930">
        <v>4417</v>
      </c>
      <c r="B930" t="s">
        <v>5552</v>
      </c>
      <c r="C930">
        <v>8.39</v>
      </c>
      <c r="D930">
        <v>-35</v>
      </c>
      <c r="E930">
        <v>-5</v>
      </c>
      <c r="F930">
        <v>-6</v>
      </c>
      <c r="G930">
        <v>-36</v>
      </c>
      <c r="H930">
        <v>13.94</v>
      </c>
      <c r="I930">
        <v>2.1</v>
      </c>
      <c r="J930">
        <v>3.12</v>
      </c>
      <c r="K930" s="245">
        <v>-14.54</v>
      </c>
      <c r="L930" s="245">
        <v>18.059999999999999</v>
      </c>
      <c r="M930" s="245">
        <v>2.48</v>
      </c>
    </row>
    <row r="931" spans="1:13">
      <c r="A931">
        <v>4419</v>
      </c>
      <c r="B931" t="s">
        <v>6547</v>
      </c>
      <c r="C931">
        <v>4.6500000000000004</v>
      </c>
      <c r="D931">
        <v>25</v>
      </c>
      <c r="E931">
        <v>-288</v>
      </c>
      <c r="F931">
        <v>7</v>
      </c>
      <c r="G931">
        <v>7945</v>
      </c>
      <c r="H931">
        <v>-70.7</v>
      </c>
      <c r="I931">
        <v>0</v>
      </c>
      <c r="J931">
        <v>-0.6</v>
      </c>
      <c r="K931" s="245">
        <v>-24.24</v>
      </c>
      <c r="L931" s="245">
        <v>10.63</v>
      </c>
      <c r="M931" s="245">
        <v>0.18</v>
      </c>
    </row>
    <row r="932" spans="1:13">
      <c r="A932">
        <v>4420</v>
      </c>
      <c r="B932" t="s">
        <v>6220</v>
      </c>
      <c r="C932">
        <v>4.04</v>
      </c>
      <c r="D932">
        <v>542</v>
      </c>
      <c r="E932">
        <v>9514</v>
      </c>
      <c r="F932">
        <v>-21</v>
      </c>
      <c r="G932">
        <v>-12</v>
      </c>
      <c r="H932">
        <v>8.2799999999999994</v>
      </c>
      <c r="I932">
        <v>2</v>
      </c>
      <c r="J932">
        <v>2.04</v>
      </c>
      <c r="K932" s="245">
        <v>-10.42</v>
      </c>
      <c r="L932" s="245">
        <v>26.28</v>
      </c>
      <c r="M932" s="245">
        <v>1.17</v>
      </c>
    </row>
    <row r="933" spans="1:13">
      <c r="A933">
        <v>4426</v>
      </c>
      <c r="B933" t="s">
        <v>5553</v>
      </c>
      <c r="C933">
        <v>17.260000000000002</v>
      </c>
      <c r="D933">
        <v>-242</v>
      </c>
      <c r="E933">
        <v>-177</v>
      </c>
      <c r="F933">
        <v>65</v>
      </c>
      <c r="G933">
        <v>21</v>
      </c>
      <c r="H933">
        <v>-67.819999999999993</v>
      </c>
      <c r="I933">
        <v>0</v>
      </c>
      <c r="J933">
        <v>-2.15</v>
      </c>
      <c r="K933" s="245">
        <v>-12.27</v>
      </c>
      <c r="L933" s="245">
        <v>53.65</v>
      </c>
      <c r="M933" s="245">
        <v>3.37</v>
      </c>
    </row>
    <row r="934" spans="1:13">
      <c r="A934">
        <v>4429</v>
      </c>
      <c r="B934" t="s">
        <v>6339</v>
      </c>
      <c r="C934">
        <v>3.43</v>
      </c>
      <c r="D934">
        <v>211</v>
      </c>
      <c r="E934">
        <v>117</v>
      </c>
      <c r="F934">
        <v>-24</v>
      </c>
      <c r="G934">
        <v>-17</v>
      </c>
      <c r="H934">
        <v>0.88</v>
      </c>
      <c r="I934">
        <v>0</v>
      </c>
      <c r="J934">
        <v>1.39</v>
      </c>
      <c r="K934" s="245">
        <v>-3.7</v>
      </c>
      <c r="L934" s="245">
        <v>72.86</v>
      </c>
      <c r="M934" s="245">
        <v>1.0900000000000001</v>
      </c>
    </row>
    <row r="935" spans="1:13">
      <c r="A935">
        <v>4430</v>
      </c>
      <c r="B935" t="s">
        <v>6342</v>
      </c>
      <c r="C935">
        <v>5.62</v>
      </c>
      <c r="D935">
        <v>412</v>
      </c>
      <c r="E935">
        <v>544</v>
      </c>
      <c r="F935">
        <v>37</v>
      </c>
      <c r="G935">
        <v>14</v>
      </c>
      <c r="H935">
        <v>0.77</v>
      </c>
      <c r="I935">
        <v>0.5</v>
      </c>
      <c r="J935">
        <v>0.75</v>
      </c>
      <c r="K935" s="245">
        <v>-10.84</v>
      </c>
      <c r="L935" s="245">
        <v>46.92</v>
      </c>
      <c r="M935" s="245">
        <v>1.36</v>
      </c>
    </row>
    <row r="936" spans="1:13">
      <c r="A936">
        <v>4432</v>
      </c>
      <c r="B936" t="s">
        <v>5554</v>
      </c>
      <c r="C936">
        <v>5.05</v>
      </c>
      <c r="D936">
        <v>-1063</v>
      </c>
      <c r="E936">
        <v>-409</v>
      </c>
      <c r="F936">
        <v>14</v>
      </c>
      <c r="G936">
        <v>-22</v>
      </c>
      <c r="H936">
        <v>-5.89</v>
      </c>
      <c r="I936">
        <v>0</v>
      </c>
      <c r="J936">
        <v>-2.04</v>
      </c>
      <c r="K936" s="245">
        <v>-20.98</v>
      </c>
      <c r="L936" s="245">
        <v>35.840000000000003</v>
      </c>
      <c r="M936" s="245">
        <v>5.74</v>
      </c>
    </row>
    <row r="937" spans="1:13">
      <c r="A937">
        <v>4433</v>
      </c>
      <c r="B937" t="s">
        <v>5555</v>
      </c>
      <c r="C937">
        <v>4.68</v>
      </c>
      <c r="D937">
        <v>-76</v>
      </c>
      <c r="E937">
        <v>-10</v>
      </c>
      <c r="F937">
        <v>-21</v>
      </c>
      <c r="G937">
        <v>18</v>
      </c>
      <c r="H937">
        <v>2.93</v>
      </c>
      <c r="I937">
        <v>1</v>
      </c>
      <c r="J937">
        <v>1.21</v>
      </c>
      <c r="K937" s="245">
        <v>-17.03</v>
      </c>
      <c r="L937" s="245">
        <v>60.72</v>
      </c>
      <c r="M937" s="245">
        <v>5.32</v>
      </c>
    </row>
    <row r="938" spans="1:13">
      <c r="A938">
        <v>4438</v>
      </c>
      <c r="B938" t="s">
        <v>5556</v>
      </c>
      <c r="C938">
        <v>10.33</v>
      </c>
      <c r="D938">
        <v>30</v>
      </c>
      <c r="E938">
        <v>144</v>
      </c>
      <c r="F938">
        <v>31</v>
      </c>
      <c r="G938">
        <v>99</v>
      </c>
      <c r="H938">
        <v>5.26</v>
      </c>
      <c r="I938">
        <v>4.2</v>
      </c>
      <c r="J938">
        <v>6.1</v>
      </c>
      <c r="K938" s="245">
        <v>-25.68</v>
      </c>
      <c r="L938" s="245">
        <v>22.44</v>
      </c>
      <c r="M938" s="245">
        <v>1.26</v>
      </c>
    </row>
    <row r="939" spans="1:13">
      <c r="A939">
        <v>4439</v>
      </c>
      <c r="B939" t="s">
        <v>5557</v>
      </c>
      <c r="C939">
        <v>3.15</v>
      </c>
      <c r="D939">
        <v>-19</v>
      </c>
      <c r="E939">
        <v>-26</v>
      </c>
      <c r="F939">
        <v>-1</v>
      </c>
      <c r="G939">
        <v>58</v>
      </c>
      <c r="H939">
        <v>5.5</v>
      </c>
      <c r="I939">
        <v>6.5</v>
      </c>
      <c r="J939">
        <v>10.72</v>
      </c>
      <c r="K939" s="245">
        <v>-17.78</v>
      </c>
      <c r="L939" s="245">
        <v>71.53</v>
      </c>
      <c r="M939" s="245">
        <v>0.89</v>
      </c>
    </row>
    <row r="940" spans="1:13">
      <c r="A940">
        <v>4440</v>
      </c>
      <c r="B940" t="s">
        <v>6548</v>
      </c>
      <c r="C940">
        <v>6.75</v>
      </c>
      <c r="D940">
        <v>152</v>
      </c>
      <c r="E940">
        <v>133</v>
      </c>
      <c r="F940">
        <v>-14</v>
      </c>
      <c r="G940">
        <v>-14</v>
      </c>
      <c r="H940">
        <v>20.079999999999998</v>
      </c>
      <c r="I940">
        <v>4</v>
      </c>
      <c r="J940">
        <v>5.0599999999999996</v>
      </c>
      <c r="K940" s="245" t="s">
        <v>6712</v>
      </c>
      <c r="L940" s="245" t="s">
        <v>6712</v>
      </c>
      <c r="M940" s="245" t="s">
        <v>6712</v>
      </c>
    </row>
    <row r="941" spans="1:13">
      <c r="A941">
        <v>4502</v>
      </c>
      <c r="B941" t="s">
        <v>6317</v>
      </c>
      <c r="C941">
        <v>5.81</v>
      </c>
      <c r="D941">
        <v>-21</v>
      </c>
      <c r="E941">
        <v>-19</v>
      </c>
      <c r="F941">
        <v>44</v>
      </c>
      <c r="G941">
        <v>34</v>
      </c>
      <c r="H941">
        <v>-8.58</v>
      </c>
      <c r="I941">
        <v>0</v>
      </c>
      <c r="J941">
        <v>-2.87</v>
      </c>
      <c r="K941" s="245">
        <v>-19.149999999999999</v>
      </c>
      <c r="L941" s="245">
        <v>46.48</v>
      </c>
      <c r="M941" s="245">
        <v>0.99</v>
      </c>
    </row>
    <row r="942" spans="1:13">
      <c r="A942">
        <v>4503</v>
      </c>
      <c r="B942" t="s">
        <v>5558</v>
      </c>
      <c r="C942">
        <v>3.92</v>
      </c>
      <c r="D942">
        <v>-179</v>
      </c>
      <c r="E942">
        <v>-59</v>
      </c>
      <c r="F942">
        <v>37</v>
      </c>
      <c r="G942">
        <v>82</v>
      </c>
      <c r="H942">
        <v>-26.88</v>
      </c>
      <c r="I942">
        <v>0</v>
      </c>
      <c r="J942">
        <v>-0.85</v>
      </c>
      <c r="K942" s="245">
        <v>-37.590000000000003</v>
      </c>
      <c r="L942" s="245">
        <v>30.12</v>
      </c>
      <c r="M942" s="245">
        <v>54.56</v>
      </c>
    </row>
    <row r="943" spans="1:13">
      <c r="A943">
        <v>4506</v>
      </c>
      <c r="B943" t="s">
        <v>5559</v>
      </c>
      <c r="C943">
        <v>17.7</v>
      </c>
      <c r="D943">
        <v>7</v>
      </c>
      <c r="E943">
        <v>6</v>
      </c>
      <c r="F943">
        <v>-9</v>
      </c>
      <c r="G943">
        <v>9</v>
      </c>
      <c r="H943">
        <v>19.29</v>
      </c>
      <c r="I943">
        <v>3.2</v>
      </c>
      <c r="J943">
        <v>4.3899999999999997</v>
      </c>
      <c r="K943" s="245">
        <v>-5.4</v>
      </c>
      <c r="L943" s="245">
        <v>55.51</v>
      </c>
      <c r="M943" s="245">
        <v>0.53</v>
      </c>
    </row>
    <row r="944" spans="1:13">
      <c r="A944">
        <v>4510</v>
      </c>
      <c r="B944" t="s">
        <v>5560</v>
      </c>
      <c r="C944">
        <v>10.8</v>
      </c>
      <c r="D944">
        <v>-200</v>
      </c>
      <c r="E944">
        <v>61</v>
      </c>
      <c r="F944">
        <v>23</v>
      </c>
      <c r="G944">
        <v>194</v>
      </c>
      <c r="H944">
        <v>-1.02</v>
      </c>
      <c r="I944">
        <v>0</v>
      </c>
      <c r="J944">
        <v>-0.33</v>
      </c>
      <c r="K944" s="245">
        <v>-7.6</v>
      </c>
      <c r="L944" s="245">
        <v>48.89</v>
      </c>
      <c r="M944" s="245">
        <v>2.94</v>
      </c>
    </row>
    <row r="945" spans="1:13">
      <c r="A945">
        <v>4513</v>
      </c>
      <c r="B945" t="s">
        <v>5561</v>
      </c>
      <c r="C945">
        <v>7.68</v>
      </c>
      <c r="D945">
        <v>187</v>
      </c>
      <c r="E945">
        <v>221</v>
      </c>
      <c r="F945">
        <v>45</v>
      </c>
      <c r="G945">
        <v>-8</v>
      </c>
      <c r="H945">
        <v>2.86</v>
      </c>
      <c r="I945">
        <v>0</v>
      </c>
      <c r="J945">
        <v>0.44</v>
      </c>
      <c r="K945" s="245">
        <v>-20.95</v>
      </c>
      <c r="L945" s="245">
        <v>36.08</v>
      </c>
      <c r="M945" s="245">
        <v>29.12</v>
      </c>
    </row>
    <row r="946" spans="1:13">
      <c r="A946">
        <v>4523</v>
      </c>
      <c r="B946" t="s">
        <v>6297</v>
      </c>
      <c r="C946">
        <v>6.4</v>
      </c>
      <c r="D946">
        <v>95</v>
      </c>
      <c r="E946">
        <v>73</v>
      </c>
      <c r="F946">
        <v>-29</v>
      </c>
      <c r="G946">
        <v>-18</v>
      </c>
      <c r="H946">
        <v>-9.92</v>
      </c>
      <c r="I946">
        <v>0</v>
      </c>
      <c r="J946">
        <v>-0.22</v>
      </c>
      <c r="K946" s="245">
        <v>-19.350000000000001</v>
      </c>
      <c r="L946" s="245">
        <v>32.909999999999997</v>
      </c>
      <c r="M946" s="245">
        <v>20.399999999999999</v>
      </c>
    </row>
    <row r="947" spans="1:13">
      <c r="A947">
        <v>4526</v>
      </c>
      <c r="B947" t="s">
        <v>5562</v>
      </c>
      <c r="C947">
        <v>25.48</v>
      </c>
      <c r="D947">
        <v>139</v>
      </c>
      <c r="E947">
        <v>125</v>
      </c>
      <c r="F947">
        <v>44</v>
      </c>
      <c r="G947">
        <v>-16</v>
      </c>
      <c r="H947">
        <v>1.75</v>
      </c>
      <c r="I947">
        <v>0.2</v>
      </c>
      <c r="J947">
        <v>0.68</v>
      </c>
      <c r="K947" s="245">
        <v>-24.62</v>
      </c>
      <c r="L947" s="245">
        <v>7.66</v>
      </c>
      <c r="M947" s="245">
        <v>4.87</v>
      </c>
    </row>
    <row r="948" spans="1:13">
      <c r="A948">
        <v>4527</v>
      </c>
      <c r="B948" t="s">
        <v>6151</v>
      </c>
      <c r="C948">
        <v>7.61</v>
      </c>
      <c r="D948">
        <v>-28</v>
      </c>
      <c r="E948">
        <v>-27</v>
      </c>
      <c r="F948">
        <v>-44</v>
      </c>
      <c r="G948">
        <v>-20</v>
      </c>
      <c r="H948">
        <v>6.93</v>
      </c>
      <c r="I948">
        <v>1.8</v>
      </c>
      <c r="J948">
        <v>1.98</v>
      </c>
      <c r="K948" s="245">
        <v>-8.5</v>
      </c>
      <c r="L948" s="245">
        <v>46.01</v>
      </c>
      <c r="M948" s="245">
        <v>0.44</v>
      </c>
    </row>
    <row r="949" spans="1:13">
      <c r="A949">
        <v>4528</v>
      </c>
      <c r="B949" t="s">
        <v>6152</v>
      </c>
      <c r="C949">
        <v>7.65</v>
      </c>
      <c r="D949">
        <v>-22</v>
      </c>
      <c r="E949">
        <v>-20</v>
      </c>
      <c r="F949">
        <v>9</v>
      </c>
      <c r="G949">
        <v>-15</v>
      </c>
      <c r="H949">
        <v>8.74</v>
      </c>
      <c r="I949">
        <v>1.5</v>
      </c>
      <c r="J949">
        <v>2.37</v>
      </c>
      <c r="K949" s="245">
        <v>-20.6</v>
      </c>
      <c r="L949" s="245">
        <v>29.5</v>
      </c>
      <c r="M949" s="245">
        <v>0.44</v>
      </c>
    </row>
    <row r="950" spans="1:13">
      <c r="A950">
        <v>4529</v>
      </c>
      <c r="B950" t="s">
        <v>5563</v>
      </c>
      <c r="C950">
        <v>8.4499999999999993</v>
      </c>
      <c r="D950">
        <v>-95</v>
      </c>
      <c r="E950">
        <v>27</v>
      </c>
      <c r="F950">
        <v>23</v>
      </c>
      <c r="G950">
        <v>66</v>
      </c>
      <c r="H950">
        <v>-3521.05</v>
      </c>
      <c r="I950">
        <v>0</v>
      </c>
      <c r="J950">
        <v>-6.09</v>
      </c>
      <c r="K950" s="245">
        <v>-44.65</v>
      </c>
      <c r="L950" s="245">
        <v>13.17</v>
      </c>
      <c r="M950" s="245">
        <v>13.17</v>
      </c>
    </row>
    <row r="951" spans="1:13">
      <c r="A951">
        <v>4530</v>
      </c>
      <c r="B951" t="s">
        <v>6549</v>
      </c>
      <c r="C951">
        <v>4.9400000000000004</v>
      </c>
      <c r="D951">
        <v>10</v>
      </c>
      <c r="E951">
        <v>-101</v>
      </c>
      <c r="F951">
        <v>17</v>
      </c>
      <c r="G951">
        <v>-8</v>
      </c>
      <c r="H951">
        <v>-17.98</v>
      </c>
      <c r="I951">
        <v>0</v>
      </c>
      <c r="J951">
        <v>-0.47</v>
      </c>
      <c r="K951" s="245">
        <v>-28.91</v>
      </c>
      <c r="L951" s="245">
        <v>12.04</v>
      </c>
      <c r="M951" s="245">
        <v>3.02</v>
      </c>
    </row>
    <row r="952" spans="1:13">
      <c r="A952">
        <v>4532</v>
      </c>
      <c r="B952" t="s">
        <v>5564</v>
      </c>
      <c r="C952">
        <v>50.49</v>
      </c>
      <c r="D952">
        <v>-28</v>
      </c>
      <c r="E952">
        <v>-28</v>
      </c>
      <c r="F952">
        <v>-5</v>
      </c>
      <c r="G952">
        <v>-17</v>
      </c>
      <c r="H952">
        <v>2.6</v>
      </c>
      <c r="I952">
        <v>0.7</v>
      </c>
      <c r="J952">
        <v>1.08</v>
      </c>
      <c r="K952" s="245">
        <v>-20.28</v>
      </c>
      <c r="L952" s="245">
        <v>15.02</v>
      </c>
      <c r="M952" s="245">
        <v>0.86</v>
      </c>
    </row>
    <row r="953" spans="1:13">
      <c r="A953">
        <v>4533</v>
      </c>
      <c r="B953" t="s">
        <v>5565</v>
      </c>
      <c r="C953">
        <v>15.84</v>
      </c>
      <c r="D953">
        <v>261</v>
      </c>
      <c r="E953">
        <v>104</v>
      </c>
      <c r="F953">
        <v>-74</v>
      </c>
      <c r="G953">
        <v>-69</v>
      </c>
      <c r="H953">
        <v>0.14000000000000001</v>
      </c>
      <c r="I953">
        <v>0.35</v>
      </c>
      <c r="J953">
        <v>0.36</v>
      </c>
      <c r="K953" s="245">
        <v>-17.329999999999998</v>
      </c>
      <c r="L953" s="245">
        <v>34.979999999999997</v>
      </c>
      <c r="M953" s="245">
        <v>2.1800000000000002</v>
      </c>
    </row>
    <row r="954" spans="1:13">
      <c r="A954">
        <v>4534</v>
      </c>
      <c r="B954" t="s">
        <v>5566</v>
      </c>
      <c r="C954">
        <v>8.67</v>
      </c>
      <c r="D954">
        <v>183</v>
      </c>
      <c r="E954">
        <v>233</v>
      </c>
      <c r="F954">
        <v>78</v>
      </c>
      <c r="G954">
        <v>-13</v>
      </c>
      <c r="H954">
        <v>5.0999999999999996</v>
      </c>
      <c r="I954">
        <v>0</v>
      </c>
      <c r="J954">
        <v>0.59</v>
      </c>
      <c r="K954" s="245">
        <v>-40.68</v>
      </c>
      <c r="L954" s="245">
        <v>11.1</v>
      </c>
      <c r="M954" s="245">
        <v>11.7</v>
      </c>
    </row>
    <row r="955" spans="1:13">
      <c r="A955">
        <v>4535</v>
      </c>
      <c r="B955" t="s">
        <v>6364</v>
      </c>
      <c r="C955">
        <v>7.56</v>
      </c>
      <c r="D955">
        <v>76</v>
      </c>
      <c r="E955">
        <v>94</v>
      </c>
      <c r="F955">
        <v>0</v>
      </c>
      <c r="G955">
        <v>15</v>
      </c>
      <c r="H955">
        <v>12.07</v>
      </c>
      <c r="I955">
        <v>1.6</v>
      </c>
      <c r="J955">
        <v>2.39</v>
      </c>
      <c r="K955" s="245">
        <v>-4.05</v>
      </c>
      <c r="L955" s="245">
        <v>81.72</v>
      </c>
      <c r="M955" s="245">
        <v>0.21</v>
      </c>
    </row>
    <row r="956" spans="1:13">
      <c r="A956">
        <v>4536</v>
      </c>
      <c r="B956" t="s">
        <v>5567</v>
      </c>
      <c r="C956">
        <v>9.08</v>
      </c>
      <c r="D956">
        <v>17</v>
      </c>
      <c r="E956">
        <v>1</v>
      </c>
      <c r="F956">
        <v>35</v>
      </c>
      <c r="G956">
        <v>10</v>
      </c>
      <c r="H956">
        <v>16.55</v>
      </c>
      <c r="I956">
        <v>6</v>
      </c>
      <c r="J956">
        <v>9.16</v>
      </c>
      <c r="K956" s="245">
        <v>-26.54</v>
      </c>
      <c r="L956" s="245">
        <v>15.83</v>
      </c>
      <c r="M956" s="245">
        <v>1.02</v>
      </c>
    </row>
    <row r="957" spans="1:13">
      <c r="A957">
        <v>4538</v>
      </c>
      <c r="B957" t="s">
        <v>6261</v>
      </c>
      <c r="C957">
        <v>5.04</v>
      </c>
      <c r="D957">
        <v>57</v>
      </c>
      <c r="E957">
        <v>193</v>
      </c>
      <c r="F957">
        <v>65</v>
      </c>
      <c r="G957">
        <v>56</v>
      </c>
      <c r="H957">
        <v>10.16</v>
      </c>
      <c r="I957">
        <v>0.5</v>
      </c>
      <c r="J957">
        <v>0.76</v>
      </c>
      <c r="K957" s="245">
        <v>-12.85</v>
      </c>
      <c r="L957" s="245">
        <v>19.8</v>
      </c>
      <c r="M957" s="245">
        <v>0.47</v>
      </c>
    </row>
    <row r="958" spans="1:13">
      <c r="A958">
        <v>4540</v>
      </c>
      <c r="B958" t="s">
        <v>5568</v>
      </c>
      <c r="C958">
        <v>9.41</v>
      </c>
      <c r="D958">
        <v>159</v>
      </c>
      <c r="E958">
        <v>83</v>
      </c>
      <c r="F958">
        <v>86</v>
      </c>
      <c r="G958">
        <v>11</v>
      </c>
      <c r="H958">
        <v>10.4</v>
      </c>
      <c r="I958">
        <v>1.3</v>
      </c>
      <c r="J958">
        <v>2.52</v>
      </c>
      <c r="K958" s="245">
        <v>-31.05</v>
      </c>
      <c r="L958" s="245">
        <v>5.6</v>
      </c>
      <c r="M958" s="245">
        <v>2.31</v>
      </c>
    </row>
    <row r="959" spans="1:13">
      <c r="A959">
        <v>4541</v>
      </c>
      <c r="B959" t="s">
        <v>5569</v>
      </c>
      <c r="C959">
        <v>6.76</v>
      </c>
      <c r="D959">
        <v>100</v>
      </c>
      <c r="E959">
        <v>75</v>
      </c>
      <c r="F959">
        <v>-10</v>
      </c>
      <c r="G959">
        <v>45</v>
      </c>
      <c r="H959">
        <v>-3.6</v>
      </c>
      <c r="I959">
        <v>0.4</v>
      </c>
      <c r="J959">
        <v>0</v>
      </c>
      <c r="K959" s="245">
        <v>-16.170000000000002</v>
      </c>
      <c r="L959" s="245">
        <v>52.84</v>
      </c>
      <c r="M959" s="245">
        <v>3.67</v>
      </c>
    </row>
    <row r="960" spans="1:13">
      <c r="A960">
        <v>4542</v>
      </c>
      <c r="B960" t="s">
        <v>6351</v>
      </c>
      <c r="C960">
        <v>3.22</v>
      </c>
      <c r="D960">
        <v>72</v>
      </c>
      <c r="E960">
        <v>33</v>
      </c>
      <c r="F960">
        <v>-8</v>
      </c>
      <c r="G960">
        <v>34</v>
      </c>
      <c r="H960">
        <v>5.15</v>
      </c>
      <c r="I960">
        <v>1</v>
      </c>
      <c r="J960">
        <v>1.1100000000000001</v>
      </c>
      <c r="K960" s="245">
        <v>-21</v>
      </c>
      <c r="L960" s="245">
        <v>57.18</v>
      </c>
      <c r="M960" s="245">
        <v>1.87</v>
      </c>
    </row>
    <row r="961" spans="1:13">
      <c r="A961">
        <v>4543</v>
      </c>
      <c r="B961" t="s">
        <v>5570</v>
      </c>
      <c r="C961">
        <v>5.69</v>
      </c>
      <c r="D961">
        <v>179</v>
      </c>
      <c r="E961">
        <v>64</v>
      </c>
      <c r="F961">
        <v>-18</v>
      </c>
      <c r="G961">
        <v>-7</v>
      </c>
      <c r="H961">
        <v>5.3</v>
      </c>
      <c r="I961">
        <v>0</v>
      </c>
      <c r="J961">
        <v>0.53</v>
      </c>
      <c r="K961" s="245">
        <v>-24.62</v>
      </c>
      <c r="L961" s="245">
        <v>26.19</v>
      </c>
      <c r="M961" s="245">
        <v>9.81</v>
      </c>
    </row>
    <row r="962" spans="1:13">
      <c r="A962">
        <v>4545</v>
      </c>
      <c r="B962" t="s">
        <v>5571</v>
      </c>
      <c r="C962">
        <v>7.7</v>
      </c>
      <c r="D962">
        <v>197</v>
      </c>
      <c r="E962">
        <v>13</v>
      </c>
      <c r="F962">
        <v>-13</v>
      </c>
      <c r="G962">
        <v>16</v>
      </c>
      <c r="H962">
        <v>6</v>
      </c>
      <c r="I962">
        <v>0.7</v>
      </c>
      <c r="J962">
        <v>1.1599999999999999</v>
      </c>
      <c r="K962" s="245">
        <v>-20.97</v>
      </c>
      <c r="L962" s="245">
        <v>23.19</v>
      </c>
      <c r="M962" s="245">
        <v>11.57</v>
      </c>
    </row>
    <row r="963" spans="1:13">
      <c r="A963">
        <v>4549</v>
      </c>
      <c r="B963" t="s">
        <v>5572</v>
      </c>
      <c r="C963">
        <v>4.4400000000000004</v>
      </c>
      <c r="D963">
        <v>20</v>
      </c>
      <c r="E963">
        <v>30</v>
      </c>
      <c r="F963">
        <v>-27</v>
      </c>
      <c r="G963">
        <v>-37</v>
      </c>
      <c r="H963">
        <v>26.52</v>
      </c>
      <c r="I963">
        <v>5.2</v>
      </c>
      <c r="J963">
        <v>6.27</v>
      </c>
      <c r="K963" s="245">
        <v>-9.44</v>
      </c>
      <c r="L963" s="245">
        <v>23.09</v>
      </c>
      <c r="M963" s="245">
        <v>1.47</v>
      </c>
    </row>
    <row r="964" spans="1:13">
      <c r="A964">
        <v>4550</v>
      </c>
      <c r="B964" t="s">
        <v>6331</v>
      </c>
      <c r="C964">
        <v>3.78</v>
      </c>
      <c r="D964">
        <v>-37</v>
      </c>
      <c r="E964">
        <v>-79</v>
      </c>
      <c r="F964">
        <v>65</v>
      </c>
      <c r="G964">
        <v>33</v>
      </c>
      <c r="H964">
        <v>1.19</v>
      </c>
      <c r="I964">
        <v>1.1499999999999999</v>
      </c>
      <c r="J964">
        <v>1.41</v>
      </c>
      <c r="K964" s="245">
        <v>-11.05</v>
      </c>
      <c r="L964" s="245">
        <v>30.51</v>
      </c>
      <c r="M964" s="245">
        <v>0.67</v>
      </c>
    </row>
    <row r="965" spans="1:13">
      <c r="A965">
        <v>4551</v>
      </c>
      <c r="B965" t="s">
        <v>5573</v>
      </c>
      <c r="C965">
        <v>11.77</v>
      </c>
      <c r="D965">
        <v>55</v>
      </c>
      <c r="E965">
        <v>31</v>
      </c>
      <c r="F965">
        <v>-2</v>
      </c>
      <c r="G965">
        <v>2</v>
      </c>
      <c r="H965">
        <v>17.61</v>
      </c>
      <c r="I965">
        <v>5</v>
      </c>
      <c r="J965">
        <v>10.47</v>
      </c>
      <c r="K965" s="245">
        <v>-37.5</v>
      </c>
      <c r="L965" s="245">
        <v>16</v>
      </c>
      <c r="M965" s="245">
        <v>2.5499999999999998</v>
      </c>
    </row>
    <row r="966" spans="1:13">
      <c r="A966">
        <v>4552</v>
      </c>
      <c r="B966" t="s">
        <v>5574</v>
      </c>
      <c r="C966">
        <v>11.6</v>
      </c>
      <c r="D966">
        <v>40</v>
      </c>
      <c r="E966">
        <v>31</v>
      </c>
      <c r="F966">
        <v>64</v>
      </c>
      <c r="G966">
        <v>26</v>
      </c>
      <c r="H966">
        <v>10.47</v>
      </c>
      <c r="I966">
        <v>1</v>
      </c>
      <c r="J966">
        <v>3.13</v>
      </c>
      <c r="K966" s="245">
        <v>-19.579999999999998</v>
      </c>
      <c r="L966" s="245">
        <v>10.210000000000001</v>
      </c>
      <c r="M966" s="245">
        <v>0.71</v>
      </c>
    </row>
    <row r="967" spans="1:13">
      <c r="A967">
        <v>4554</v>
      </c>
      <c r="B967" t="s">
        <v>6550</v>
      </c>
      <c r="C967">
        <v>2.13</v>
      </c>
      <c r="D967">
        <v>741</v>
      </c>
      <c r="E967">
        <v>1147</v>
      </c>
      <c r="F967">
        <v>-15</v>
      </c>
      <c r="G967">
        <v>9</v>
      </c>
      <c r="H967">
        <v>12.68</v>
      </c>
      <c r="I967">
        <v>1.8</v>
      </c>
      <c r="J967">
        <v>2</v>
      </c>
      <c r="K967" s="245">
        <v>-14.63</v>
      </c>
      <c r="L967" s="245">
        <v>73.08</v>
      </c>
      <c r="M967" s="245">
        <v>6.7</v>
      </c>
    </row>
    <row r="968" spans="1:13">
      <c r="A968">
        <v>4555</v>
      </c>
      <c r="B968" t="s">
        <v>5575</v>
      </c>
      <c r="C968">
        <v>6.69</v>
      </c>
      <c r="D968">
        <v>73</v>
      </c>
      <c r="E968">
        <v>86</v>
      </c>
      <c r="F968">
        <v>-19</v>
      </c>
      <c r="G968">
        <v>-29</v>
      </c>
      <c r="H968">
        <v>15.07</v>
      </c>
      <c r="I968">
        <v>1.8</v>
      </c>
      <c r="J968">
        <v>3.5</v>
      </c>
      <c r="K968" s="245">
        <v>-11.29</v>
      </c>
      <c r="L968" s="245">
        <v>41.89</v>
      </c>
      <c r="M968" s="245">
        <v>1.57</v>
      </c>
    </row>
    <row r="969" spans="1:13">
      <c r="A969">
        <v>4556</v>
      </c>
      <c r="B969" t="s">
        <v>6340</v>
      </c>
      <c r="C969">
        <v>4.18</v>
      </c>
      <c r="D969">
        <v>-40</v>
      </c>
      <c r="E969">
        <v>9</v>
      </c>
      <c r="F969">
        <v>43</v>
      </c>
      <c r="G969">
        <v>51</v>
      </c>
      <c r="H969">
        <v>5.32</v>
      </c>
      <c r="I969">
        <v>0.35</v>
      </c>
      <c r="J969">
        <v>0.3</v>
      </c>
      <c r="K969" s="245">
        <v>-7.38</v>
      </c>
      <c r="L969" s="245">
        <v>66.56</v>
      </c>
      <c r="M969" s="245">
        <v>0.2</v>
      </c>
    </row>
    <row r="970" spans="1:13">
      <c r="A970">
        <v>4557</v>
      </c>
      <c r="B970" t="s">
        <v>5576</v>
      </c>
      <c r="C970">
        <v>4.1900000000000004</v>
      </c>
      <c r="D970">
        <v>46</v>
      </c>
      <c r="E970">
        <v>16</v>
      </c>
      <c r="F970">
        <v>-6</v>
      </c>
      <c r="G970">
        <v>52</v>
      </c>
      <c r="H970">
        <v>11.64</v>
      </c>
      <c r="I970">
        <v>4.5</v>
      </c>
      <c r="J970">
        <v>5.16</v>
      </c>
      <c r="K970" s="245">
        <v>-6.03</v>
      </c>
      <c r="L970" s="245">
        <v>48.96</v>
      </c>
      <c r="M970" s="245">
        <v>0.96</v>
      </c>
    </row>
    <row r="971" spans="1:13">
      <c r="A971">
        <v>4560</v>
      </c>
      <c r="B971" t="s">
        <v>5577</v>
      </c>
      <c r="C971">
        <v>6.8</v>
      </c>
      <c r="D971">
        <v>163</v>
      </c>
      <c r="E971">
        <v>92</v>
      </c>
      <c r="F971">
        <v>18</v>
      </c>
      <c r="G971">
        <v>51</v>
      </c>
      <c r="H971">
        <v>14.02</v>
      </c>
      <c r="I971">
        <v>1.8</v>
      </c>
      <c r="J971">
        <v>2.95</v>
      </c>
      <c r="K971" s="245">
        <v>-6.78</v>
      </c>
      <c r="L971" s="245">
        <v>60.74</v>
      </c>
      <c r="M971" s="245">
        <v>0.5</v>
      </c>
    </row>
    <row r="972" spans="1:13">
      <c r="A972">
        <v>4561</v>
      </c>
      <c r="B972" t="s">
        <v>546</v>
      </c>
      <c r="C972">
        <v>5.85</v>
      </c>
      <c r="D972">
        <v>70</v>
      </c>
      <c r="E972">
        <v>95</v>
      </c>
      <c r="F972">
        <v>-32</v>
      </c>
      <c r="G972">
        <v>-26</v>
      </c>
      <c r="H972">
        <v>13.73</v>
      </c>
      <c r="I972">
        <v>0.9</v>
      </c>
      <c r="J972">
        <v>2.4900000000000002</v>
      </c>
      <c r="K972" s="245">
        <v>-24.28</v>
      </c>
      <c r="L972" s="245">
        <v>21.05</v>
      </c>
      <c r="M972" s="245">
        <v>4.3899999999999997</v>
      </c>
    </row>
    <row r="973" spans="1:13">
      <c r="A973">
        <v>4562</v>
      </c>
      <c r="B973" t="s">
        <v>5578</v>
      </c>
      <c r="C973">
        <v>8.75</v>
      </c>
      <c r="D973">
        <v>10</v>
      </c>
      <c r="E973">
        <v>29</v>
      </c>
      <c r="F973">
        <v>41</v>
      </c>
      <c r="G973">
        <v>13</v>
      </c>
      <c r="H973">
        <v>-11.35</v>
      </c>
      <c r="I973">
        <v>0</v>
      </c>
      <c r="J973">
        <v>-2.0099999999999998</v>
      </c>
      <c r="K973" s="245">
        <v>-30.18</v>
      </c>
      <c r="L973" s="245">
        <v>48.79</v>
      </c>
      <c r="M973" s="245">
        <v>9.9700000000000006</v>
      </c>
    </row>
    <row r="974" spans="1:13">
      <c r="A974">
        <v>4563</v>
      </c>
      <c r="B974" t="s">
        <v>6190</v>
      </c>
      <c r="C974">
        <v>5.49</v>
      </c>
      <c r="D974">
        <v>47</v>
      </c>
      <c r="E974">
        <v>54</v>
      </c>
      <c r="F974">
        <v>45</v>
      </c>
      <c r="G974">
        <v>72</v>
      </c>
      <c r="H974">
        <v>-5.22</v>
      </c>
      <c r="I974">
        <v>0</v>
      </c>
      <c r="J974">
        <v>-3.36</v>
      </c>
      <c r="K974" s="245">
        <v>-7.82</v>
      </c>
      <c r="L974" s="245">
        <v>44.99</v>
      </c>
      <c r="M974" s="245">
        <v>12.91</v>
      </c>
    </row>
    <row r="975" spans="1:13">
      <c r="A975">
        <v>4564</v>
      </c>
      <c r="B975" t="s">
        <v>5579</v>
      </c>
      <c r="C975">
        <v>18.27</v>
      </c>
      <c r="D975">
        <v>7</v>
      </c>
      <c r="E975">
        <v>14</v>
      </c>
      <c r="F975">
        <v>-23</v>
      </c>
      <c r="G975">
        <v>-12</v>
      </c>
      <c r="H975">
        <v>18.37</v>
      </c>
      <c r="I975">
        <v>1.3</v>
      </c>
      <c r="J975">
        <v>1.75</v>
      </c>
      <c r="K975" s="245">
        <v>-46.77</v>
      </c>
      <c r="L975" s="245">
        <v>10.25</v>
      </c>
      <c r="M975" s="245">
        <v>14.94</v>
      </c>
    </row>
    <row r="976" spans="1:13">
      <c r="A976">
        <v>4566</v>
      </c>
      <c r="B976" t="s">
        <v>5580</v>
      </c>
      <c r="C976">
        <v>7.17</v>
      </c>
      <c r="D976">
        <v>66</v>
      </c>
      <c r="E976">
        <v>54</v>
      </c>
      <c r="F976">
        <v>-20</v>
      </c>
      <c r="G976">
        <v>3</v>
      </c>
      <c r="H976">
        <v>5.52</v>
      </c>
      <c r="I976">
        <v>1.18</v>
      </c>
      <c r="J976">
        <v>2.35</v>
      </c>
      <c r="K976" s="245">
        <v>-23.36</v>
      </c>
      <c r="L976" s="245">
        <v>27.59</v>
      </c>
      <c r="M976" s="245">
        <v>3</v>
      </c>
    </row>
    <row r="977" spans="1:13">
      <c r="A977">
        <v>4568</v>
      </c>
      <c r="B977" t="s">
        <v>6153</v>
      </c>
      <c r="C977">
        <v>3.01</v>
      </c>
      <c r="D977">
        <v>1</v>
      </c>
      <c r="E977">
        <v>-13</v>
      </c>
      <c r="F977">
        <v>23</v>
      </c>
      <c r="G977">
        <v>23</v>
      </c>
      <c r="H977">
        <v>12.71</v>
      </c>
      <c r="I977">
        <v>4.5</v>
      </c>
      <c r="J977">
        <v>5.03</v>
      </c>
      <c r="K977" s="245">
        <v>-15.49</v>
      </c>
      <c r="L977" s="245">
        <v>20.62</v>
      </c>
      <c r="M977" s="245">
        <v>0.73</v>
      </c>
    </row>
    <row r="978" spans="1:13">
      <c r="A978">
        <v>4571</v>
      </c>
      <c r="B978" t="s">
        <v>5581</v>
      </c>
      <c r="C978">
        <v>5.33</v>
      </c>
      <c r="D978">
        <v>37</v>
      </c>
      <c r="E978">
        <v>25</v>
      </c>
      <c r="F978">
        <v>-37</v>
      </c>
      <c r="G978">
        <v>-27</v>
      </c>
      <c r="H978">
        <v>15.86</v>
      </c>
      <c r="I978">
        <v>4.5</v>
      </c>
      <c r="J978">
        <v>8.18</v>
      </c>
      <c r="K978" s="245">
        <v>-40.28</v>
      </c>
      <c r="L978" s="245">
        <v>6.04</v>
      </c>
      <c r="M978" s="245">
        <v>1.24</v>
      </c>
    </row>
    <row r="979" spans="1:13">
      <c r="A979">
        <v>4572</v>
      </c>
      <c r="B979" t="s">
        <v>5582</v>
      </c>
      <c r="C979">
        <v>3.58</v>
      </c>
      <c r="D979">
        <v>63</v>
      </c>
      <c r="E979">
        <v>27</v>
      </c>
      <c r="F979">
        <v>51</v>
      </c>
      <c r="G979">
        <v>59</v>
      </c>
      <c r="H979">
        <v>14.98</v>
      </c>
      <c r="I979">
        <v>5</v>
      </c>
      <c r="J979">
        <v>1.5</v>
      </c>
      <c r="K979" s="245">
        <v>-15.6</v>
      </c>
      <c r="L979" s="245">
        <v>51.93</v>
      </c>
      <c r="M979" s="245">
        <v>4.91</v>
      </c>
    </row>
    <row r="980" spans="1:13">
      <c r="A980">
        <v>4576</v>
      </c>
      <c r="B980" t="s">
        <v>5583</v>
      </c>
      <c r="C980">
        <v>11.98</v>
      </c>
      <c r="D980">
        <v>112</v>
      </c>
      <c r="E980">
        <v>110</v>
      </c>
      <c r="F980">
        <v>-14</v>
      </c>
      <c r="G980">
        <v>10</v>
      </c>
      <c r="H980">
        <v>12.43</v>
      </c>
      <c r="I980">
        <v>1</v>
      </c>
      <c r="J980">
        <v>2.48</v>
      </c>
      <c r="K980" s="245">
        <v>-28.64</v>
      </c>
      <c r="L980" s="245">
        <v>25.13</v>
      </c>
      <c r="M980" s="245">
        <v>1.91</v>
      </c>
    </row>
    <row r="981" spans="1:13">
      <c r="A981">
        <v>4580</v>
      </c>
      <c r="B981" t="s">
        <v>5584</v>
      </c>
      <c r="C981">
        <v>4.3099999999999996</v>
      </c>
      <c r="D981">
        <v>6</v>
      </c>
      <c r="E981">
        <v>2</v>
      </c>
      <c r="F981">
        <v>5</v>
      </c>
      <c r="G981">
        <v>13</v>
      </c>
      <c r="H981">
        <v>18.38</v>
      </c>
      <c r="I981">
        <v>5.75</v>
      </c>
      <c r="J981">
        <v>8.0399999999999991</v>
      </c>
      <c r="K981" s="245">
        <v>-14.31</v>
      </c>
      <c r="L981" s="245">
        <v>12.11</v>
      </c>
      <c r="M981" s="245">
        <v>2.14</v>
      </c>
    </row>
    <row r="982" spans="1:13">
      <c r="A982">
        <v>4581</v>
      </c>
      <c r="B982" t="s">
        <v>5585</v>
      </c>
      <c r="C982">
        <v>3.38</v>
      </c>
      <c r="D982">
        <v>17</v>
      </c>
      <c r="E982">
        <v>24</v>
      </c>
      <c r="F982">
        <v>10</v>
      </c>
      <c r="G982">
        <v>-10</v>
      </c>
      <c r="H982">
        <v>9.76</v>
      </c>
      <c r="I982">
        <v>1.5</v>
      </c>
      <c r="J982">
        <v>2.38</v>
      </c>
      <c r="K982" s="245">
        <v>-18.98</v>
      </c>
      <c r="L982" s="245">
        <v>19.86</v>
      </c>
      <c r="M982" s="245">
        <v>2.21</v>
      </c>
    </row>
    <row r="983" spans="1:13">
      <c r="A983">
        <v>4609</v>
      </c>
      <c r="B983" t="s">
        <v>6551</v>
      </c>
      <c r="C983">
        <v>4.79</v>
      </c>
      <c r="D983">
        <v>63</v>
      </c>
      <c r="E983">
        <v>15</v>
      </c>
      <c r="F983">
        <v>308</v>
      </c>
      <c r="G983">
        <v>-2</v>
      </c>
      <c r="H983">
        <v>-13.09</v>
      </c>
      <c r="I983">
        <v>0</v>
      </c>
      <c r="J983">
        <v>-0.39</v>
      </c>
      <c r="K983" s="245">
        <v>-14.22</v>
      </c>
      <c r="L983" s="245">
        <v>32.299999999999997</v>
      </c>
      <c r="M983" s="245">
        <v>1.23</v>
      </c>
    </row>
    <row r="984" spans="1:13">
      <c r="A984">
        <v>4702</v>
      </c>
      <c r="B984" t="s">
        <v>5586</v>
      </c>
      <c r="C984">
        <v>7.23</v>
      </c>
      <c r="D984">
        <v>91</v>
      </c>
      <c r="E984">
        <v>115</v>
      </c>
      <c r="F984">
        <v>-28</v>
      </c>
      <c r="G984">
        <v>-28</v>
      </c>
      <c r="H984">
        <v>0.56999999999999995</v>
      </c>
      <c r="I984">
        <v>0</v>
      </c>
      <c r="J984">
        <v>1.1499999999999999</v>
      </c>
      <c r="K984" s="245">
        <v>-29.21</v>
      </c>
      <c r="L984" s="245">
        <v>36.44</v>
      </c>
      <c r="M984" s="245">
        <v>46.87</v>
      </c>
    </row>
    <row r="985" spans="1:13">
      <c r="A985">
        <v>4706</v>
      </c>
      <c r="B985" t="s">
        <v>6347</v>
      </c>
      <c r="C985">
        <v>7.9</v>
      </c>
      <c r="D985">
        <v>-7</v>
      </c>
      <c r="E985">
        <v>19</v>
      </c>
      <c r="F985">
        <v>60</v>
      </c>
      <c r="G985">
        <v>-14</v>
      </c>
      <c r="H985">
        <v>7.7</v>
      </c>
      <c r="I985">
        <v>0.9</v>
      </c>
      <c r="J985">
        <v>1.1299999999999999</v>
      </c>
      <c r="K985" s="245">
        <v>-19.91</v>
      </c>
      <c r="L985" s="245">
        <v>29.11</v>
      </c>
      <c r="M985" s="245">
        <v>4.1399999999999997</v>
      </c>
    </row>
    <row r="986" spans="1:13">
      <c r="A986">
        <v>4707</v>
      </c>
      <c r="B986" t="s">
        <v>5587</v>
      </c>
      <c r="C986">
        <v>32.799999999999997</v>
      </c>
      <c r="D986">
        <v>38</v>
      </c>
      <c r="E986">
        <v>67</v>
      </c>
      <c r="F986">
        <v>137</v>
      </c>
      <c r="G986">
        <v>82</v>
      </c>
      <c r="H986">
        <v>4.0599999999999996</v>
      </c>
      <c r="I986">
        <v>0.9</v>
      </c>
      <c r="J986">
        <v>1.05</v>
      </c>
      <c r="K986" s="245">
        <v>-11.35</v>
      </c>
      <c r="L986" s="245">
        <v>32.659999999999997</v>
      </c>
      <c r="M986" s="245">
        <v>8.3800000000000008</v>
      </c>
    </row>
    <row r="987" spans="1:13">
      <c r="A987">
        <v>4711</v>
      </c>
      <c r="B987" t="s">
        <v>5588</v>
      </c>
      <c r="C987">
        <v>6.1</v>
      </c>
      <c r="D987">
        <v>39</v>
      </c>
      <c r="E987">
        <v>108</v>
      </c>
      <c r="F987">
        <v>-9</v>
      </c>
      <c r="G987">
        <v>-2</v>
      </c>
      <c r="H987">
        <v>7.85</v>
      </c>
      <c r="I987">
        <v>1</v>
      </c>
      <c r="J987">
        <v>1.27</v>
      </c>
      <c r="K987" s="245">
        <v>-31.23</v>
      </c>
      <c r="L987" s="245">
        <v>41.36</v>
      </c>
      <c r="M987" s="245">
        <v>43.33</v>
      </c>
    </row>
    <row r="988" spans="1:13">
      <c r="A988">
        <v>4712</v>
      </c>
      <c r="B988" t="s">
        <v>6552</v>
      </c>
      <c r="C988">
        <v>7.36</v>
      </c>
      <c r="D988">
        <v>-9</v>
      </c>
      <c r="E988">
        <v>-32</v>
      </c>
      <c r="F988">
        <v>-36</v>
      </c>
      <c r="G988">
        <v>-80</v>
      </c>
      <c r="H988">
        <v>-452.06</v>
      </c>
      <c r="I988">
        <v>0</v>
      </c>
      <c r="J988">
        <v>-1.61</v>
      </c>
      <c r="K988" s="245">
        <v>-40.21</v>
      </c>
      <c r="L988" s="245">
        <v>31.66</v>
      </c>
      <c r="M988" s="245">
        <v>2.89</v>
      </c>
    </row>
    <row r="989" spans="1:13">
      <c r="A989">
        <v>4714</v>
      </c>
      <c r="B989" t="s">
        <v>5589</v>
      </c>
      <c r="C989">
        <v>13.94</v>
      </c>
      <c r="D989">
        <v>158</v>
      </c>
      <c r="E989">
        <v>1</v>
      </c>
      <c r="F989">
        <v>36</v>
      </c>
      <c r="G989">
        <v>96</v>
      </c>
      <c r="H989">
        <v>-3.4</v>
      </c>
      <c r="I989">
        <v>0.4</v>
      </c>
      <c r="J989">
        <v>0.28000000000000003</v>
      </c>
      <c r="K989" s="245">
        <v>-16.72</v>
      </c>
      <c r="L989" s="245">
        <v>47.31</v>
      </c>
      <c r="M989" s="245">
        <v>24.76</v>
      </c>
    </row>
    <row r="990" spans="1:13">
      <c r="A990">
        <v>4716</v>
      </c>
      <c r="B990" t="s">
        <v>5590</v>
      </c>
      <c r="C990">
        <v>7.43</v>
      </c>
      <c r="D990">
        <v>1269</v>
      </c>
      <c r="E990">
        <v>-274</v>
      </c>
      <c r="F990">
        <v>70</v>
      </c>
      <c r="G990">
        <v>-25</v>
      </c>
      <c r="H990">
        <v>-7.78</v>
      </c>
      <c r="I990">
        <v>2</v>
      </c>
      <c r="J990">
        <v>3.55</v>
      </c>
      <c r="K990" s="245">
        <v>-16.07</v>
      </c>
      <c r="L990" s="245">
        <v>47.62</v>
      </c>
      <c r="M990" s="245">
        <v>18.559999999999999</v>
      </c>
    </row>
    <row r="991" spans="1:13">
      <c r="A991">
        <v>4720</v>
      </c>
      <c r="B991" t="s">
        <v>5591</v>
      </c>
      <c r="C991">
        <v>10.31</v>
      </c>
      <c r="D991">
        <v>-64</v>
      </c>
      <c r="E991">
        <v>-49</v>
      </c>
      <c r="F991">
        <v>0</v>
      </c>
      <c r="G991">
        <v>10</v>
      </c>
      <c r="H991">
        <v>1.94</v>
      </c>
      <c r="I991">
        <v>0.2</v>
      </c>
      <c r="J991">
        <v>0.3</v>
      </c>
      <c r="K991" s="245">
        <v>-34.42</v>
      </c>
      <c r="L991" s="245">
        <v>18.61</v>
      </c>
      <c r="M991" s="245">
        <v>18.23</v>
      </c>
    </row>
    <row r="992" spans="1:13">
      <c r="A992">
        <v>4721</v>
      </c>
      <c r="B992" t="s">
        <v>5592</v>
      </c>
      <c r="C992">
        <v>7.49</v>
      </c>
      <c r="D992">
        <v>192</v>
      </c>
      <c r="E992">
        <v>175</v>
      </c>
      <c r="F992">
        <v>2</v>
      </c>
      <c r="G992">
        <v>76</v>
      </c>
      <c r="H992">
        <v>10.11</v>
      </c>
      <c r="I992">
        <v>3.8</v>
      </c>
      <c r="J992">
        <v>4.8099999999999996</v>
      </c>
      <c r="K992" s="245">
        <v>-29.54</v>
      </c>
      <c r="L992" s="245">
        <v>23.34</v>
      </c>
      <c r="M992" s="245">
        <v>168.74</v>
      </c>
    </row>
    <row r="993" spans="1:13">
      <c r="A993">
        <v>4722</v>
      </c>
      <c r="B993" t="s">
        <v>5593</v>
      </c>
      <c r="C993">
        <v>10</v>
      </c>
      <c r="D993">
        <v>30</v>
      </c>
      <c r="E993">
        <v>37</v>
      </c>
      <c r="F993">
        <v>-27</v>
      </c>
      <c r="G993">
        <v>-2</v>
      </c>
      <c r="H993">
        <v>9.69</v>
      </c>
      <c r="I993">
        <v>2.2000000000000002</v>
      </c>
      <c r="J993">
        <v>3.73</v>
      </c>
      <c r="K993" s="245">
        <v>-18.37</v>
      </c>
      <c r="L993" s="245">
        <v>13.84</v>
      </c>
      <c r="M993" s="245">
        <v>11.24</v>
      </c>
    </row>
    <row r="994" spans="1:13">
      <c r="A994">
        <v>4726</v>
      </c>
      <c r="B994" t="s">
        <v>6553</v>
      </c>
      <c r="C994">
        <v>15.41</v>
      </c>
      <c r="D994">
        <v>-390</v>
      </c>
      <c r="E994">
        <v>-341</v>
      </c>
      <c r="F994">
        <v>146</v>
      </c>
      <c r="G994">
        <v>67</v>
      </c>
      <c r="H994">
        <v>-11.02</v>
      </c>
      <c r="I994">
        <v>0</v>
      </c>
      <c r="J994">
        <v>-0.61</v>
      </c>
      <c r="K994" s="245">
        <v>-28.56</v>
      </c>
      <c r="L994" s="245">
        <v>15.09</v>
      </c>
      <c r="M994" s="245">
        <v>9.23</v>
      </c>
    </row>
    <row r="995" spans="1:13">
      <c r="A995">
        <v>4728</v>
      </c>
      <c r="B995" t="s">
        <v>5594</v>
      </c>
      <c r="C995">
        <v>5.44</v>
      </c>
      <c r="D995">
        <v>3</v>
      </c>
      <c r="E995">
        <v>10</v>
      </c>
      <c r="F995">
        <v>-8</v>
      </c>
      <c r="G995">
        <v>2</v>
      </c>
      <c r="H995">
        <v>35.47</v>
      </c>
      <c r="I995">
        <v>0</v>
      </c>
      <c r="J995">
        <v>4.51</v>
      </c>
      <c r="K995" s="245">
        <v>-20.77</v>
      </c>
      <c r="L995" s="245">
        <v>36.42</v>
      </c>
      <c r="M995" s="245">
        <v>0.81</v>
      </c>
    </row>
    <row r="996" spans="1:13">
      <c r="A996">
        <v>4729</v>
      </c>
      <c r="B996" t="s">
        <v>6554</v>
      </c>
      <c r="C996">
        <v>10.220000000000001</v>
      </c>
      <c r="D996">
        <v>-41</v>
      </c>
      <c r="E996">
        <v>34</v>
      </c>
      <c r="F996">
        <v>-4</v>
      </c>
      <c r="G996">
        <v>25</v>
      </c>
      <c r="H996">
        <v>-8.0399999999999991</v>
      </c>
      <c r="I996">
        <v>0</v>
      </c>
      <c r="J996">
        <v>-1.26</v>
      </c>
      <c r="K996" s="245">
        <v>-25.85</v>
      </c>
      <c r="L996" s="245">
        <v>10.4</v>
      </c>
      <c r="M996" s="245">
        <v>1.35</v>
      </c>
    </row>
    <row r="997" spans="1:13">
      <c r="A997">
        <v>4735</v>
      </c>
      <c r="B997" t="s">
        <v>5595</v>
      </c>
      <c r="C997">
        <v>3.67</v>
      </c>
      <c r="D997">
        <v>-39</v>
      </c>
      <c r="E997">
        <v>-41</v>
      </c>
      <c r="F997">
        <v>-4</v>
      </c>
      <c r="G997">
        <v>-71</v>
      </c>
      <c r="H997">
        <v>16.8</v>
      </c>
      <c r="I997">
        <v>6.2</v>
      </c>
      <c r="J997">
        <v>8.65</v>
      </c>
      <c r="K997" s="245">
        <v>-49.51</v>
      </c>
      <c r="L997" s="245">
        <v>5.49</v>
      </c>
      <c r="M997" s="245">
        <v>14.92</v>
      </c>
    </row>
    <row r="998" spans="1:13">
      <c r="A998">
        <v>4736</v>
      </c>
      <c r="B998" t="s">
        <v>5596</v>
      </c>
      <c r="C998">
        <v>9.31</v>
      </c>
      <c r="D998">
        <v>29</v>
      </c>
      <c r="E998">
        <v>5</v>
      </c>
      <c r="F998">
        <v>118</v>
      </c>
      <c r="G998">
        <v>275</v>
      </c>
      <c r="H998">
        <v>32.270000000000003</v>
      </c>
      <c r="I998">
        <v>15</v>
      </c>
      <c r="J998">
        <v>21.35</v>
      </c>
      <c r="K998" s="245">
        <v>-16.77</v>
      </c>
      <c r="L998" s="245">
        <v>67.14</v>
      </c>
      <c r="M998" s="245">
        <v>26.55</v>
      </c>
    </row>
    <row r="999" spans="1:13">
      <c r="A999">
        <v>4737</v>
      </c>
      <c r="B999" t="s">
        <v>5597</v>
      </c>
      <c r="C999">
        <v>6.06</v>
      </c>
      <c r="D999">
        <v>40</v>
      </c>
      <c r="E999">
        <v>256</v>
      </c>
      <c r="F999">
        <v>-32</v>
      </c>
      <c r="G999">
        <v>34</v>
      </c>
      <c r="H999">
        <v>4.07</v>
      </c>
      <c r="I999">
        <v>2</v>
      </c>
      <c r="J999">
        <v>1.45</v>
      </c>
      <c r="K999" s="245">
        <v>-7.89</v>
      </c>
      <c r="L999" s="245">
        <v>54.89</v>
      </c>
      <c r="M999" s="245">
        <v>2.39</v>
      </c>
    </row>
    <row r="1000" spans="1:13">
      <c r="A1000">
        <v>4739</v>
      </c>
      <c r="B1000" t="s">
        <v>5598</v>
      </c>
      <c r="C1000">
        <v>10.7</v>
      </c>
      <c r="D1000">
        <v>170</v>
      </c>
      <c r="E1000">
        <v>170</v>
      </c>
      <c r="F1000">
        <v>-16</v>
      </c>
      <c r="G1000">
        <v>33</v>
      </c>
      <c r="H1000">
        <v>7.96</v>
      </c>
      <c r="I1000">
        <v>3</v>
      </c>
      <c r="J1000">
        <v>4.67</v>
      </c>
      <c r="K1000" s="245">
        <v>-27.2</v>
      </c>
      <c r="L1000" s="245">
        <v>20.63</v>
      </c>
      <c r="M1000" s="245">
        <v>55.56</v>
      </c>
    </row>
    <row r="1001" spans="1:13">
      <c r="A1001">
        <v>4741</v>
      </c>
      <c r="B1001" t="s">
        <v>6354</v>
      </c>
      <c r="C1001">
        <v>3.28</v>
      </c>
      <c r="D1001">
        <v>-23</v>
      </c>
      <c r="E1001">
        <v>-6</v>
      </c>
      <c r="F1001">
        <v>-6</v>
      </c>
      <c r="G1001">
        <v>6</v>
      </c>
      <c r="H1001">
        <v>3.96</v>
      </c>
      <c r="I1001">
        <v>0.8</v>
      </c>
      <c r="J1001">
        <v>0.9</v>
      </c>
      <c r="K1001" s="245">
        <v>-6.81</v>
      </c>
      <c r="L1001" s="245">
        <v>43.62</v>
      </c>
      <c r="M1001" s="245">
        <v>0.46</v>
      </c>
    </row>
    <row r="1002" spans="1:13">
      <c r="A1002">
        <v>4743</v>
      </c>
      <c r="B1002" t="s">
        <v>6555</v>
      </c>
      <c r="C1002">
        <v>38.81</v>
      </c>
      <c r="D1002">
        <v>-64</v>
      </c>
      <c r="E1002">
        <v>-30</v>
      </c>
      <c r="F1002">
        <v>-20</v>
      </c>
      <c r="G1002">
        <v>308</v>
      </c>
      <c r="H1002">
        <v>-1335.27</v>
      </c>
      <c r="I1002">
        <v>0</v>
      </c>
      <c r="J1002">
        <v>-1.06</v>
      </c>
      <c r="K1002" s="245">
        <v>-43.79</v>
      </c>
      <c r="L1002" s="245">
        <v>8.3000000000000007</v>
      </c>
      <c r="M1002" s="245">
        <v>3.56</v>
      </c>
    </row>
    <row r="1003" spans="1:13">
      <c r="A1003">
        <v>4744</v>
      </c>
      <c r="B1003" t="s">
        <v>5599</v>
      </c>
      <c r="C1003">
        <v>4.59</v>
      </c>
      <c r="D1003">
        <v>12</v>
      </c>
      <c r="E1003">
        <v>-23</v>
      </c>
      <c r="F1003">
        <v>110</v>
      </c>
      <c r="G1003">
        <v>-8</v>
      </c>
      <c r="H1003">
        <v>7.32</v>
      </c>
      <c r="I1003">
        <v>1.2</v>
      </c>
      <c r="J1003">
        <v>1.71</v>
      </c>
      <c r="K1003" s="245">
        <v>-32.630000000000003</v>
      </c>
      <c r="L1003" s="245">
        <v>20.96</v>
      </c>
      <c r="M1003" s="245">
        <v>19.64</v>
      </c>
    </row>
    <row r="1004" spans="1:13">
      <c r="A1004">
        <v>4745</v>
      </c>
      <c r="B1004" t="s">
        <v>5600</v>
      </c>
      <c r="C1004">
        <v>7.74</v>
      </c>
      <c r="D1004">
        <v>3</v>
      </c>
      <c r="E1004">
        <v>0</v>
      </c>
      <c r="F1004">
        <v>131</v>
      </c>
      <c r="G1004">
        <v>42</v>
      </c>
      <c r="H1004">
        <v>6.63</v>
      </c>
      <c r="I1004">
        <v>1.5</v>
      </c>
      <c r="J1004">
        <v>1.8</v>
      </c>
      <c r="K1004" s="245">
        <v>-24.1</v>
      </c>
      <c r="L1004" s="245">
        <v>30.38</v>
      </c>
      <c r="M1004" s="245">
        <v>5.13</v>
      </c>
    </row>
    <row r="1005" spans="1:13">
      <c r="A1005">
        <v>4746</v>
      </c>
      <c r="B1005" t="s">
        <v>5601</v>
      </c>
      <c r="C1005">
        <v>12.02</v>
      </c>
      <c r="D1005">
        <v>217</v>
      </c>
      <c r="E1005">
        <v>-699</v>
      </c>
      <c r="F1005">
        <v>-15</v>
      </c>
      <c r="G1005">
        <v>-2</v>
      </c>
      <c r="H1005">
        <v>-5.35</v>
      </c>
      <c r="I1005">
        <v>2</v>
      </c>
      <c r="J1005">
        <v>10.92</v>
      </c>
      <c r="K1005" s="245">
        <v>-46.35</v>
      </c>
      <c r="L1005" s="245">
        <v>38.46</v>
      </c>
      <c r="M1005" s="245">
        <v>40.93</v>
      </c>
    </row>
    <row r="1006" spans="1:13">
      <c r="A1006">
        <v>4747</v>
      </c>
      <c r="B1006" t="s">
        <v>6334</v>
      </c>
      <c r="C1006">
        <v>3</v>
      </c>
      <c r="D1006">
        <v>-22</v>
      </c>
      <c r="E1006">
        <v>-18</v>
      </c>
      <c r="F1006">
        <v>4</v>
      </c>
      <c r="G1006">
        <v>6</v>
      </c>
      <c r="H1006">
        <v>15.14</v>
      </c>
      <c r="I1006">
        <v>1.45</v>
      </c>
      <c r="J1006">
        <v>1.64</v>
      </c>
      <c r="K1006" s="245">
        <v>-11.77</v>
      </c>
      <c r="L1006" s="245">
        <v>16.309999999999999</v>
      </c>
      <c r="M1006" s="245">
        <v>0.9</v>
      </c>
    </row>
    <row r="1007" spans="1:13">
      <c r="A1007">
        <v>4754</v>
      </c>
      <c r="B1007" t="s">
        <v>6556</v>
      </c>
      <c r="C1007">
        <v>2.5</v>
      </c>
      <c r="D1007">
        <v>10</v>
      </c>
      <c r="E1007">
        <v>6</v>
      </c>
      <c r="F1007">
        <v>29</v>
      </c>
      <c r="G1007">
        <v>56</v>
      </c>
      <c r="H1007">
        <v>14.63</v>
      </c>
      <c r="I1007">
        <v>2</v>
      </c>
      <c r="J1007">
        <v>2.4</v>
      </c>
      <c r="K1007" s="245">
        <v>-9.06</v>
      </c>
      <c r="L1007" s="245">
        <v>23.02</v>
      </c>
      <c r="M1007" s="245">
        <v>2.11</v>
      </c>
    </row>
    <row r="1008" spans="1:13">
      <c r="A1008">
        <v>4755</v>
      </c>
      <c r="B1008" t="s">
        <v>5602</v>
      </c>
      <c r="C1008">
        <v>10.07</v>
      </c>
      <c r="D1008">
        <v>68</v>
      </c>
      <c r="E1008">
        <v>53</v>
      </c>
      <c r="F1008">
        <v>-8</v>
      </c>
      <c r="G1008">
        <v>73</v>
      </c>
      <c r="H1008">
        <v>15.09</v>
      </c>
      <c r="I1008">
        <v>5</v>
      </c>
      <c r="J1008">
        <v>6.69</v>
      </c>
      <c r="K1008" s="245">
        <v>-19.54</v>
      </c>
      <c r="L1008" s="245">
        <v>49.22</v>
      </c>
      <c r="M1008" s="245">
        <v>35.74</v>
      </c>
    </row>
    <row r="1009" spans="1:13">
      <c r="A1009">
        <v>4760</v>
      </c>
      <c r="B1009" t="s">
        <v>5603</v>
      </c>
      <c r="C1009">
        <v>3.23</v>
      </c>
      <c r="D1009">
        <v>48</v>
      </c>
      <c r="E1009">
        <v>47</v>
      </c>
      <c r="F1009">
        <v>0</v>
      </c>
      <c r="G1009">
        <v>-33</v>
      </c>
      <c r="H1009">
        <v>14.09</v>
      </c>
      <c r="I1009">
        <v>4.5</v>
      </c>
      <c r="J1009">
        <v>6.7</v>
      </c>
      <c r="K1009" s="245">
        <v>-56.82</v>
      </c>
      <c r="L1009" s="245">
        <v>22.59</v>
      </c>
      <c r="M1009" s="245">
        <v>20.47</v>
      </c>
    </row>
    <row r="1010" spans="1:13">
      <c r="A1010">
        <v>4763</v>
      </c>
      <c r="B1010" t="s">
        <v>5604</v>
      </c>
      <c r="C1010">
        <v>5.8</v>
      </c>
      <c r="D1010">
        <v>-29</v>
      </c>
      <c r="E1010">
        <v>-29</v>
      </c>
      <c r="F1010">
        <v>0</v>
      </c>
      <c r="G1010">
        <v>50</v>
      </c>
      <c r="H1010">
        <v>12.97</v>
      </c>
      <c r="I1010">
        <v>5.5</v>
      </c>
      <c r="J1010">
        <v>6.23</v>
      </c>
      <c r="K1010" s="245">
        <v>-15.25</v>
      </c>
      <c r="L1010" s="245">
        <v>53.97</v>
      </c>
      <c r="M1010" s="245">
        <v>3.66</v>
      </c>
    </row>
    <row r="1011" spans="1:13">
      <c r="A1011">
        <v>4764</v>
      </c>
      <c r="B1011" t="s">
        <v>5605</v>
      </c>
      <c r="C1011">
        <v>8.07</v>
      </c>
      <c r="D1011">
        <v>69</v>
      </c>
      <c r="E1011">
        <v>64</v>
      </c>
      <c r="F1011">
        <v>57</v>
      </c>
      <c r="G1011">
        <v>13</v>
      </c>
      <c r="H1011">
        <v>4.8099999999999996</v>
      </c>
      <c r="I1011">
        <v>1</v>
      </c>
      <c r="J1011">
        <v>1.32</v>
      </c>
      <c r="K1011" s="245">
        <v>-11.18</v>
      </c>
      <c r="L1011" s="245">
        <v>33.369999999999997</v>
      </c>
      <c r="M1011" s="245">
        <v>0.45</v>
      </c>
    </row>
    <row r="1012" spans="1:13">
      <c r="A1012">
        <v>4766</v>
      </c>
      <c r="B1012" t="s">
        <v>5606</v>
      </c>
      <c r="C1012">
        <v>12.05</v>
      </c>
      <c r="D1012">
        <v>-26</v>
      </c>
      <c r="E1012">
        <v>-29</v>
      </c>
      <c r="F1012">
        <v>-5</v>
      </c>
      <c r="G1012">
        <v>19</v>
      </c>
      <c r="H1012">
        <v>5.85</v>
      </c>
      <c r="I1012">
        <v>6</v>
      </c>
      <c r="J1012">
        <v>7.26</v>
      </c>
      <c r="K1012" s="245">
        <v>-21.9</v>
      </c>
      <c r="L1012" s="245">
        <v>18.98</v>
      </c>
      <c r="M1012" s="245">
        <v>1.95</v>
      </c>
    </row>
    <row r="1013" spans="1:13">
      <c r="A1013">
        <v>4767</v>
      </c>
      <c r="B1013" t="s">
        <v>6557</v>
      </c>
      <c r="C1013">
        <v>3.14</v>
      </c>
      <c r="D1013">
        <v>23</v>
      </c>
      <c r="E1013">
        <v>17</v>
      </c>
      <c r="F1013">
        <v>35</v>
      </c>
      <c r="G1013">
        <v>23</v>
      </c>
      <c r="H1013">
        <v>8.4499999999999993</v>
      </c>
      <c r="I1013">
        <v>1.5</v>
      </c>
      <c r="J1013">
        <v>2.84</v>
      </c>
      <c r="K1013" s="245">
        <v>-12.5</v>
      </c>
      <c r="L1013" s="245">
        <v>46.56</v>
      </c>
      <c r="M1013" s="245">
        <v>1.59</v>
      </c>
    </row>
    <row r="1014" spans="1:13">
      <c r="A1014">
        <v>4770</v>
      </c>
      <c r="B1014" t="s">
        <v>6558</v>
      </c>
      <c r="C1014">
        <v>7.85</v>
      </c>
      <c r="D1014">
        <v>83</v>
      </c>
      <c r="E1014">
        <v>78</v>
      </c>
      <c r="F1014">
        <v>-8</v>
      </c>
      <c r="G1014">
        <v>75</v>
      </c>
      <c r="H1014">
        <v>31.15</v>
      </c>
      <c r="I1014">
        <v>8</v>
      </c>
      <c r="J1014">
        <v>13.94</v>
      </c>
      <c r="K1014" s="245" t="s">
        <v>6712</v>
      </c>
      <c r="L1014" s="245" t="s">
        <v>6712</v>
      </c>
      <c r="M1014" s="245" t="s">
        <v>6712</v>
      </c>
    </row>
    <row r="1015" spans="1:13">
      <c r="A1015">
        <v>4804</v>
      </c>
      <c r="B1015" t="s">
        <v>5607</v>
      </c>
      <c r="C1015">
        <v>4.53</v>
      </c>
      <c r="D1015">
        <v>33</v>
      </c>
      <c r="E1015">
        <v>146</v>
      </c>
      <c r="F1015">
        <v>-13</v>
      </c>
      <c r="G1015">
        <v>-52</v>
      </c>
      <c r="H1015">
        <v>1.58</v>
      </c>
      <c r="I1015">
        <v>0</v>
      </c>
      <c r="J1015">
        <v>-0.13</v>
      </c>
      <c r="K1015" s="245">
        <v>-34.57</v>
      </c>
      <c r="L1015" s="245">
        <v>65.069999999999993</v>
      </c>
      <c r="M1015" s="245">
        <v>25.58</v>
      </c>
    </row>
    <row r="1016" spans="1:13">
      <c r="A1016">
        <v>4806</v>
      </c>
      <c r="B1016" t="s">
        <v>6559</v>
      </c>
      <c r="C1016">
        <v>5.21</v>
      </c>
      <c r="D1016">
        <v>-60</v>
      </c>
      <c r="E1016">
        <v>-89</v>
      </c>
      <c r="F1016">
        <v>0</v>
      </c>
      <c r="G1016">
        <v>0</v>
      </c>
      <c r="H1016">
        <v>-27709.17</v>
      </c>
      <c r="I1016">
        <v>0</v>
      </c>
      <c r="J1016">
        <v>-4.13</v>
      </c>
      <c r="K1016" s="245">
        <v>-12.5</v>
      </c>
      <c r="L1016" s="245">
        <v>70.349999999999994</v>
      </c>
      <c r="M1016" s="245">
        <v>1.92</v>
      </c>
    </row>
    <row r="1017" spans="1:13">
      <c r="A1017">
        <v>4807</v>
      </c>
      <c r="B1017" t="s">
        <v>5608</v>
      </c>
      <c r="C1017">
        <v>3.83</v>
      </c>
      <c r="D1017">
        <v>40</v>
      </c>
      <c r="E1017">
        <v>57</v>
      </c>
      <c r="F1017">
        <v>20</v>
      </c>
      <c r="G1017">
        <v>-3</v>
      </c>
      <c r="H1017">
        <v>8.68</v>
      </c>
      <c r="I1017">
        <v>1.66</v>
      </c>
      <c r="J1017">
        <v>3.32</v>
      </c>
      <c r="K1017" s="245">
        <v>-18.84</v>
      </c>
      <c r="L1017" s="245">
        <v>29.68</v>
      </c>
      <c r="M1017" s="245">
        <v>2.13</v>
      </c>
    </row>
    <row r="1018" spans="1:13">
      <c r="A1018">
        <v>4903</v>
      </c>
      <c r="B1018" t="s">
        <v>6560</v>
      </c>
      <c r="C1018">
        <v>9.02</v>
      </c>
      <c r="D1018">
        <v>74</v>
      </c>
      <c r="E1018">
        <v>79</v>
      </c>
      <c r="F1018">
        <v>23</v>
      </c>
      <c r="G1018">
        <v>-34</v>
      </c>
      <c r="H1018">
        <v>-4.1900000000000004</v>
      </c>
      <c r="I1018">
        <v>0</v>
      </c>
      <c r="J1018">
        <v>-0.35</v>
      </c>
      <c r="K1018" s="245">
        <v>-33.75</v>
      </c>
      <c r="L1018" s="245">
        <v>28.5</v>
      </c>
      <c r="M1018" s="245">
        <v>5.01</v>
      </c>
    </row>
    <row r="1019" spans="1:13">
      <c r="A1019">
        <v>4904</v>
      </c>
      <c r="B1019" t="s">
        <v>5609</v>
      </c>
      <c r="C1019">
        <v>325</v>
      </c>
      <c r="D1019">
        <v>9</v>
      </c>
      <c r="E1019">
        <v>-6</v>
      </c>
      <c r="F1019">
        <v>5</v>
      </c>
      <c r="G1019">
        <v>8</v>
      </c>
      <c r="H1019">
        <v>12.14</v>
      </c>
      <c r="I1019">
        <v>3.25</v>
      </c>
      <c r="J1019">
        <v>2.8</v>
      </c>
      <c r="K1019" s="245">
        <v>-4.34</v>
      </c>
      <c r="L1019" s="245">
        <v>80.25</v>
      </c>
      <c r="M1019" s="245">
        <v>0.47</v>
      </c>
    </row>
    <row r="1020" spans="1:13">
      <c r="A1020">
        <v>4905</v>
      </c>
      <c r="B1020" t="s">
        <v>6326</v>
      </c>
      <c r="C1020">
        <v>3</v>
      </c>
      <c r="D1020">
        <v>47</v>
      </c>
      <c r="E1020">
        <v>33</v>
      </c>
      <c r="F1020">
        <v>-56</v>
      </c>
      <c r="G1020">
        <v>18</v>
      </c>
      <c r="H1020">
        <v>-44.49</v>
      </c>
      <c r="I1020">
        <v>1.2</v>
      </c>
      <c r="J1020">
        <v>1.49</v>
      </c>
      <c r="K1020" s="245">
        <v>-10.5</v>
      </c>
      <c r="L1020" s="245">
        <v>13.07</v>
      </c>
      <c r="M1020" s="245">
        <v>0.34</v>
      </c>
    </row>
    <row r="1021" spans="1:13">
      <c r="A1021">
        <v>4906</v>
      </c>
      <c r="B1021" t="s">
        <v>5610</v>
      </c>
      <c r="C1021">
        <v>40.51</v>
      </c>
      <c r="D1021">
        <v>-51</v>
      </c>
      <c r="E1021">
        <v>-23</v>
      </c>
      <c r="F1021">
        <v>-15</v>
      </c>
      <c r="G1021">
        <v>-25</v>
      </c>
      <c r="H1021">
        <v>1.55</v>
      </c>
      <c r="I1021">
        <v>1.5</v>
      </c>
      <c r="J1021">
        <v>1.89</v>
      </c>
      <c r="K1021" s="245">
        <v>-19.89</v>
      </c>
      <c r="L1021" s="245">
        <v>25.8</v>
      </c>
      <c r="M1021" s="245">
        <v>9.25</v>
      </c>
    </row>
    <row r="1022" spans="1:13">
      <c r="A1022">
        <v>4907</v>
      </c>
      <c r="B1022" t="s">
        <v>6348</v>
      </c>
      <c r="C1022">
        <v>11.81</v>
      </c>
      <c r="D1022">
        <v>46</v>
      </c>
      <c r="E1022">
        <v>45</v>
      </c>
      <c r="F1022">
        <v>-83</v>
      </c>
      <c r="G1022">
        <v>53</v>
      </c>
      <c r="H1022">
        <v>17.670000000000002</v>
      </c>
      <c r="I1022">
        <v>1.3</v>
      </c>
      <c r="J1022">
        <v>1.75</v>
      </c>
      <c r="K1022" s="245">
        <v>-7.79</v>
      </c>
      <c r="L1022" s="245">
        <v>68.53</v>
      </c>
      <c r="M1022" s="245">
        <v>0.21</v>
      </c>
    </row>
    <row r="1023" spans="1:13">
      <c r="A1023">
        <v>4908</v>
      </c>
      <c r="B1023" t="s">
        <v>5611</v>
      </c>
      <c r="C1023">
        <v>7.82</v>
      </c>
      <c r="D1023">
        <v>19</v>
      </c>
      <c r="E1023">
        <v>11</v>
      </c>
      <c r="F1023">
        <v>18</v>
      </c>
      <c r="G1023">
        <v>46</v>
      </c>
      <c r="H1023">
        <v>22.77</v>
      </c>
      <c r="I1023">
        <v>1.8</v>
      </c>
      <c r="J1023">
        <v>1.86</v>
      </c>
      <c r="K1023" s="245">
        <v>-5.93</v>
      </c>
      <c r="L1023" s="245">
        <v>75.08</v>
      </c>
      <c r="M1023" s="245">
        <v>11.74</v>
      </c>
    </row>
    <row r="1024" spans="1:13">
      <c r="A1024">
        <v>4909</v>
      </c>
      <c r="B1024" t="s">
        <v>5612</v>
      </c>
      <c r="C1024">
        <v>9.33</v>
      </c>
      <c r="D1024">
        <v>-892</v>
      </c>
      <c r="E1024">
        <v>-201</v>
      </c>
      <c r="F1024">
        <v>62</v>
      </c>
      <c r="G1024">
        <v>-32</v>
      </c>
      <c r="H1024">
        <v>-17.27</v>
      </c>
      <c r="I1024">
        <v>0</v>
      </c>
      <c r="J1024">
        <v>-1.26</v>
      </c>
      <c r="K1024" s="245">
        <v>-43.62</v>
      </c>
      <c r="L1024" s="245">
        <v>24.39</v>
      </c>
      <c r="M1024" s="245">
        <v>11.5</v>
      </c>
    </row>
    <row r="1025" spans="1:13">
      <c r="A1025">
        <v>4911</v>
      </c>
      <c r="B1025" t="s">
        <v>6561</v>
      </c>
      <c r="C1025">
        <v>5.56</v>
      </c>
      <c r="D1025">
        <v>-39</v>
      </c>
      <c r="E1025">
        <v>-26</v>
      </c>
      <c r="F1025">
        <v>-50</v>
      </c>
      <c r="G1025">
        <v>-2</v>
      </c>
      <c r="H1025">
        <v>-79.61</v>
      </c>
      <c r="I1025">
        <v>0</v>
      </c>
      <c r="J1025">
        <v>-0.36</v>
      </c>
      <c r="K1025" s="245">
        <v>-19.350000000000001</v>
      </c>
      <c r="L1025" s="245">
        <v>21.78</v>
      </c>
      <c r="M1025" s="245">
        <v>0.64</v>
      </c>
    </row>
    <row r="1026" spans="1:13">
      <c r="A1026">
        <v>4912</v>
      </c>
      <c r="B1026" t="s">
        <v>5613</v>
      </c>
      <c r="C1026">
        <v>6.25</v>
      </c>
      <c r="D1026">
        <v>2</v>
      </c>
      <c r="E1026">
        <v>-7</v>
      </c>
      <c r="F1026">
        <v>-27</v>
      </c>
      <c r="G1026">
        <v>-32</v>
      </c>
      <c r="H1026">
        <v>9.92</v>
      </c>
      <c r="I1026">
        <v>3.87</v>
      </c>
      <c r="J1026">
        <v>7.51</v>
      </c>
      <c r="K1026" s="245">
        <v>-51.84</v>
      </c>
      <c r="L1026" s="245">
        <v>10.29</v>
      </c>
      <c r="M1026" s="245">
        <v>5.36</v>
      </c>
    </row>
    <row r="1027" spans="1:13">
      <c r="A1027">
        <v>4915</v>
      </c>
      <c r="B1027" t="s">
        <v>5614</v>
      </c>
      <c r="C1027">
        <v>45.52</v>
      </c>
      <c r="D1027">
        <v>23</v>
      </c>
      <c r="E1027">
        <v>22</v>
      </c>
      <c r="F1027">
        <v>-8</v>
      </c>
      <c r="G1027">
        <v>4</v>
      </c>
      <c r="H1027">
        <v>3.93</v>
      </c>
      <c r="I1027">
        <v>3.1</v>
      </c>
      <c r="J1027">
        <v>5.13</v>
      </c>
      <c r="K1027" s="245">
        <v>-14.51</v>
      </c>
      <c r="L1027" s="245">
        <v>68.33</v>
      </c>
      <c r="M1027" s="245">
        <v>9.74</v>
      </c>
    </row>
    <row r="1028" spans="1:13">
      <c r="A1028">
        <v>4916</v>
      </c>
      <c r="B1028" t="s">
        <v>5615</v>
      </c>
      <c r="C1028">
        <v>8.33</v>
      </c>
      <c r="D1028">
        <v>158</v>
      </c>
      <c r="E1028">
        <v>72</v>
      </c>
      <c r="F1028">
        <v>48</v>
      </c>
      <c r="G1028">
        <v>26</v>
      </c>
      <c r="H1028">
        <v>-1.49</v>
      </c>
      <c r="I1028">
        <v>0.5</v>
      </c>
      <c r="J1028">
        <v>1.29</v>
      </c>
      <c r="K1028" s="245">
        <v>-37.549999999999997</v>
      </c>
      <c r="L1028" s="245">
        <v>18.86</v>
      </c>
      <c r="M1028" s="245">
        <v>24.19</v>
      </c>
    </row>
    <row r="1029" spans="1:13">
      <c r="A1029">
        <v>4919</v>
      </c>
      <c r="B1029" t="s">
        <v>5616</v>
      </c>
      <c r="C1029">
        <v>41.97</v>
      </c>
      <c r="D1029">
        <v>451</v>
      </c>
      <c r="E1029">
        <v>932</v>
      </c>
      <c r="F1029">
        <v>8</v>
      </c>
      <c r="G1029">
        <v>-2</v>
      </c>
      <c r="H1029">
        <v>8.0299999999999994</v>
      </c>
      <c r="I1029">
        <v>5</v>
      </c>
      <c r="J1029">
        <v>7.27</v>
      </c>
      <c r="K1029" s="245">
        <v>-20.49</v>
      </c>
      <c r="L1029" s="245">
        <v>41.99</v>
      </c>
      <c r="M1029" s="245">
        <v>41.69</v>
      </c>
    </row>
    <row r="1030" spans="1:13">
      <c r="A1030">
        <v>4924</v>
      </c>
      <c r="B1030" t="s">
        <v>6562</v>
      </c>
      <c r="C1030">
        <v>3.71</v>
      </c>
      <c r="D1030">
        <v>3</v>
      </c>
      <c r="E1030">
        <v>-22</v>
      </c>
      <c r="F1030">
        <v>142</v>
      </c>
      <c r="G1030">
        <v>64</v>
      </c>
      <c r="H1030">
        <v>4.57</v>
      </c>
      <c r="I1030">
        <v>0</v>
      </c>
      <c r="J1030">
        <v>0.98</v>
      </c>
      <c r="K1030" s="245">
        <v>-29.62</v>
      </c>
      <c r="L1030" s="245">
        <v>8.09</v>
      </c>
      <c r="M1030" s="245">
        <v>1.31</v>
      </c>
    </row>
    <row r="1031" spans="1:13">
      <c r="A1031">
        <v>4927</v>
      </c>
      <c r="B1031" t="s">
        <v>5617</v>
      </c>
      <c r="C1031">
        <v>18.989999999999998</v>
      </c>
      <c r="D1031">
        <v>14</v>
      </c>
      <c r="E1031">
        <v>23</v>
      </c>
      <c r="F1031">
        <v>7</v>
      </c>
      <c r="G1031">
        <v>7</v>
      </c>
      <c r="H1031">
        <v>9.98</v>
      </c>
      <c r="I1031">
        <v>4</v>
      </c>
      <c r="J1031">
        <v>7.25</v>
      </c>
      <c r="K1031" s="245">
        <v>-29.57</v>
      </c>
      <c r="L1031" s="245">
        <v>41.99</v>
      </c>
      <c r="M1031" s="245">
        <v>15.88</v>
      </c>
    </row>
    <row r="1032" spans="1:13">
      <c r="A1032">
        <v>4930</v>
      </c>
      <c r="B1032" t="s">
        <v>6191</v>
      </c>
      <c r="C1032">
        <v>8</v>
      </c>
      <c r="D1032">
        <v>23</v>
      </c>
      <c r="E1032">
        <v>-14</v>
      </c>
      <c r="F1032">
        <v>51</v>
      </c>
      <c r="G1032">
        <v>-20</v>
      </c>
      <c r="H1032">
        <v>6.7</v>
      </c>
      <c r="I1032">
        <v>4.8</v>
      </c>
      <c r="J1032">
        <v>3.19</v>
      </c>
      <c r="K1032" s="245">
        <v>-33.85</v>
      </c>
      <c r="L1032" s="245">
        <v>21.15</v>
      </c>
      <c r="M1032" s="245">
        <v>10.74</v>
      </c>
    </row>
    <row r="1033" spans="1:13">
      <c r="A1033">
        <v>4931</v>
      </c>
      <c r="B1033" t="s">
        <v>5618</v>
      </c>
      <c r="C1033">
        <v>6.39</v>
      </c>
      <c r="D1033">
        <v>-162</v>
      </c>
      <c r="E1033">
        <v>-156</v>
      </c>
      <c r="F1033">
        <v>-18</v>
      </c>
      <c r="G1033">
        <v>90</v>
      </c>
      <c r="H1033">
        <v>-3.01</v>
      </c>
      <c r="I1033">
        <v>0</v>
      </c>
      <c r="J1033">
        <v>-0.63</v>
      </c>
      <c r="K1033" s="245">
        <v>-12.17</v>
      </c>
      <c r="L1033" s="245">
        <v>73.05</v>
      </c>
      <c r="M1033" s="245">
        <v>58.04</v>
      </c>
    </row>
    <row r="1034" spans="1:13">
      <c r="A1034">
        <v>4933</v>
      </c>
      <c r="B1034" t="s">
        <v>5619</v>
      </c>
      <c r="C1034">
        <v>8</v>
      </c>
      <c r="D1034">
        <v>46</v>
      </c>
      <c r="E1034">
        <v>36</v>
      </c>
      <c r="F1034">
        <v>-4</v>
      </c>
      <c r="G1034">
        <v>0</v>
      </c>
      <c r="H1034">
        <v>12.27</v>
      </c>
      <c r="I1034">
        <v>3.32</v>
      </c>
      <c r="J1034">
        <v>3.66</v>
      </c>
      <c r="K1034" s="245">
        <v>-14.14</v>
      </c>
      <c r="L1034" s="245">
        <v>51.42</v>
      </c>
      <c r="M1034" s="245">
        <v>2.64</v>
      </c>
    </row>
    <row r="1035" spans="1:13">
      <c r="A1035">
        <v>4934</v>
      </c>
      <c r="B1035" t="s">
        <v>6563</v>
      </c>
      <c r="C1035">
        <v>22.5</v>
      </c>
      <c r="D1035">
        <v>-17251</v>
      </c>
      <c r="E1035">
        <v>-10351</v>
      </c>
      <c r="F1035">
        <v>45</v>
      </c>
      <c r="G1035">
        <v>-21</v>
      </c>
      <c r="H1035">
        <v>-33.979999999999997</v>
      </c>
      <c r="I1035">
        <v>0</v>
      </c>
      <c r="J1035">
        <v>-4.1900000000000004</v>
      </c>
      <c r="K1035" s="245">
        <v>-48.1</v>
      </c>
      <c r="L1035" s="245">
        <v>4.2300000000000004</v>
      </c>
      <c r="M1035" s="245">
        <v>11</v>
      </c>
    </row>
    <row r="1036" spans="1:13">
      <c r="A1036">
        <v>4935</v>
      </c>
      <c r="B1036" t="s">
        <v>5620</v>
      </c>
      <c r="C1036">
        <v>12.88</v>
      </c>
      <c r="D1036">
        <v>-5</v>
      </c>
      <c r="E1036">
        <v>-15</v>
      </c>
      <c r="F1036">
        <v>-54</v>
      </c>
      <c r="G1036">
        <v>-55</v>
      </c>
      <c r="H1036">
        <v>12.21</v>
      </c>
      <c r="I1036">
        <v>5</v>
      </c>
      <c r="J1036">
        <v>9.74</v>
      </c>
      <c r="K1036" s="245">
        <v>-46.73</v>
      </c>
      <c r="L1036" s="245">
        <v>12.84</v>
      </c>
      <c r="M1036" s="245">
        <v>3.16</v>
      </c>
    </row>
    <row r="1037" spans="1:13">
      <c r="A1037">
        <v>4938</v>
      </c>
      <c r="B1037" t="s">
        <v>5621</v>
      </c>
      <c r="C1037">
        <v>266</v>
      </c>
      <c r="D1037">
        <v>11</v>
      </c>
      <c r="E1037">
        <v>-11</v>
      </c>
      <c r="F1037">
        <v>35</v>
      </c>
      <c r="G1037">
        <v>43</v>
      </c>
      <c r="H1037">
        <v>1.33</v>
      </c>
      <c r="I1037">
        <v>5</v>
      </c>
      <c r="J1037">
        <v>7.71</v>
      </c>
      <c r="K1037" s="245">
        <v>-7.47</v>
      </c>
      <c r="L1037" s="245">
        <v>42.1</v>
      </c>
      <c r="M1037" s="245">
        <v>1.64</v>
      </c>
    </row>
    <row r="1038" spans="1:13">
      <c r="A1038">
        <v>4939</v>
      </c>
      <c r="B1038" t="s">
        <v>5622</v>
      </c>
      <c r="C1038">
        <v>9.82</v>
      </c>
      <c r="D1038">
        <v>9</v>
      </c>
      <c r="E1038">
        <v>25</v>
      </c>
      <c r="F1038">
        <v>-19</v>
      </c>
      <c r="G1038">
        <v>-14</v>
      </c>
      <c r="H1038">
        <v>13.43</v>
      </c>
      <c r="I1038">
        <v>1.4</v>
      </c>
      <c r="J1038">
        <v>1.76</v>
      </c>
      <c r="K1038" s="245">
        <v>-30</v>
      </c>
      <c r="L1038" s="245">
        <v>13.09</v>
      </c>
      <c r="M1038" s="245">
        <v>42.83</v>
      </c>
    </row>
    <row r="1039" spans="1:13">
      <c r="A1039">
        <v>4942</v>
      </c>
      <c r="B1039" t="s">
        <v>5623</v>
      </c>
      <c r="C1039">
        <v>14.23</v>
      </c>
      <c r="D1039">
        <v>34</v>
      </c>
      <c r="E1039">
        <v>30</v>
      </c>
      <c r="F1039">
        <v>-4</v>
      </c>
      <c r="G1039">
        <v>6</v>
      </c>
      <c r="H1039">
        <v>13.48</v>
      </c>
      <c r="I1039">
        <v>3</v>
      </c>
      <c r="J1039">
        <v>6.38</v>
      </c>
      <c r="K1039" s="245">
        <v>-20.97</v>
      </c>
      <c r="L1039" s="245">
        <v>17.78</v>
      </c>
      <c r="M1039" s="245">
        <v>5.33</v>
      </c>
    </row>
    <row r="1040" spans="1:13">
      <c r="A1040">
        <v>4943</v>
      </c>
      <c r="B1040" t="s">
        <v>5624</v>
      </c>
      <c r="C1040">
        <v>15.71</v>
      </c>
      <c r="D1040">
        <v>-1996</v>
      </c>
      <c r="E1040">
        <v>-9633</v>
      </c>
      <c r="F1040">
        <v>89</v>
      </c>
      <c r="G1040">
        <v>14</v>
      </c>
      <c r="H1040">
        <v>-114.75</v>
      </c>
      <c r="I1040">
        <v>0</v>
      </c>
      <c r="J1040">
        <v>-24.11</v>
      </c>
      <c r="K1040" s="245">
        <v>-75.81</v>
      </c>
      <c r="L1040" s="245">
        <v>6.8</v>
      </c>
      <c r="M1040" s="245">
        <v>7.67</v>
      </c>
    </row>
    <row r="1041" spans="1:13">
      <c r="A1041">
        <v>4944</v>
      </c>
      <c r="B1041" t="s">
        <v>6564</v>
      </c>
      <c r="C1041">
        <v>8.7899999999999991</v>
      </c>
      <c r="D1041">
        <v>-137</v>
      </c>
      <c r="E1041">
        <v>36</v>
      </c>
      <c r="F1041">
        <v>-8</v>
      </c>
      <c r="G1041">
        <v>-19</v>
      </c>
      <c r="H1041">
        <v>-29.69</v>
      </c>
      <c r="I1041">
        <v>0</v>
      </c>
      <c r="J1041">
        <v>-3.57</v>
      </c>
      <c r="K1041" s="245">
        <v>-68.92</v>
      </c>
      <c r="L1041" s="245">
        <v>5.72</v>
      </c>
      <c r="M1041" s="245">
        <v>1.36</v>
      </c>
    </row>
    <row r="1042" spans="1:13">
      <c r="A1042">
        <v>4945</v>
      </c>
      <c r="B1042" t="s">
        <v>5625</v>
      </c>
      <c r="C1042">
        <v>3</v>
      </c>
      <c r="D1042">
        <v>93</v>
      </c>
      <c r="E1042">
        <v>73</v>
      </c>
      <c r="F1042">
        <v>-16</v>
      </c>
      <c r="G1042">
        <v>23</v>
      </c>
      <c r="H1042">
        <v>22.97</v>
      </c>
      <c r="I1042">
        <v>3.2</v>
      </c>
      <c r="J1042">
        <v>3.51</v>
      </c>
      <c r="K1042" s="245">
        <v>-34.81</v>
      </c>
      <c r="L1042" s="245">
        <v>19.45</v>
      </c>
      <c r="M1042" s="245">
        <v>13.68</v>
      </c>
    </row>
    <row r="1043" spans="1:13">
      <c r="A1043">
        <v>4946</v>
      </c>
      <c r="B1043" t="s">
        <v>6565</v>
      </c>
      <c r="C1043">
        <v>1.39</v>
      </c>
      <c r="D1043">
        <v>127</v>
      </c>
      <c r="E1043">
        <v>-7</v>
      </c>
      <c r="F1043">
        <v>176</v>
      </c>
      <c r="G1043">
        <v>1452</v>
      </c>
      <c r="H1043">
        <v>-145.97</v>
      </c>
      <c r="I1043">
        <v>0</v>
      </c>
      <c r="J1043">
        <v>1.79</v>
      </c>
      <c r="K1043" s="245">
        <v>-26.94</v>
      </c>
      <c r="L1043" s="245">
        <v>27.4</v>
      </c>
      <c r="M1043" s="245">
        <v>18.97</v>
      </c>
    </row>
    <row r="1044" spans="1:13">
      <c r="A1044">
        <v>4950</v>
      </c>
      <c r="B1044" t="s">
        <v>6566</v>
      </c>
      <c r="C1044">
        <v>4.67</v>
      </c>
      <c r="D1044">
        <v>111</v>
      </c>
      <c r="E1044">
        <v>124</v>
      </c>
      <c r="F1044">
        <v>97</v>
      </c>
      <c r="G1044">
        <v>69</v>
      </c>
      <c r="H1044">
        <v>3.07</v>
      </c>
      <c r="I1044">
        <v>0</v>
      </c>
      <c r="J1044">
        <v>0.49</v>
      </c>
      <c r="K1044" s="245">
        <v>-7.33</v>
      </c>
      <c r="L1044" s="245">
        <v>72.95</v>
      </c>
      <c r="M1044" s="245">
        <v>8.4</v>
      </c>
    </row>
    <row r="1045" spans="1:13">
      <c r="A1045">
        <v>4952</v>
      </c>
      <c r="B1045" t="s">
        <v>5626</v>
      </c>
      <c r="C1045">
        <v>10.88</v>
      </c>
      <c r="D1045">
        <v>133</v>
      </c>
      <c r="E1045">
        <v>144</v>
      </c>
      <c r="F1045">
        <v>0</v>
      </c>
      <c r="G1045">
        <v>22</v>
      </c>
      <c r="H1045">
        <v>22.08</v>
      </c>
      <c r="I1045">
        <v>5.4</v>
      </c>
      <c r="J1045">
        <v>6.05</v>
      </c>
      <c r="K1045" s="245">
        <v>-20.64</v>
      </c>
      <c r="L1045" s="245">
        <v>44.35</v>
      </c>
      <c r="M1045" s="245">
        <v>40.049999999999997</v>
      </c>
    </row>
    <row r="1046" spans="1:13">
      <c r="A1046">
        <v>4953</v>
      </c>
      <c r="B1046" t="s">
        <v>5627</v>
      </c>
      <c r="C1046">
        <v>6.69</v>
      </c>
      <c r="D1046">
        <v>-2</v>
      </c>
      <c r="E1046">
        <v>-5</v>
      </c>
      <c r="F1046">
        <v>-1</v>
      </c>
      <c r="G1046">
        <v>33</v>
      </c>
      <c r="H1046">
        <v>7.44</v>
      </c>
      <c r="I1046">
        <v>4.5999999999999996</v>
      </c>
      <c r="J1046">
        <v>6.91</v>
      </c>
      <c r="K1046" s="245">
        <v>-20.66</v>
      </c>
      <c r="L1046" s="245">
        <v>25.66</v>
      </c>
      <c r="M1046" s="245">
        <v>2.2799999999999998</v>
      </c>
    </row>
    <row r="1047" spans="1:13">
      <c r="A1047">
        <v>4956</v>
      </c>
      <c r="B1047" t="s">
        <v>5628</v>
      </c>
      <c r="C1047">
        <v>10.039999999999999</v>
      </c>
      <c r="D1047">
        <v>791</v>
      </c>
      <c r="E1047">
        <v>988</v>
      </c>
      <c r="F1047">
        <v>-13</v>
      </c>
      <c r="G1047">
        <v>-29</v>
      </c>
      <c r="H1047">
        <v>8.8000000000000007</v>
      </c>
      <c r="I1047">
        <v>0.4</v>
      </c>
      <c r="J1047">
        <v>1.44</v>
      </c>
      <c r="K1047" s="245">
        <v>-43.05</v>
      </c>
      <c r="L1047" s="245">
        <v>14.76</v>
      </c>
      <c r="M1047" s="245">
        <v>63.74</v>
      </c>
    </row>
    <row r="1048" spans="1:13">
      <c r="A1048">
        <v>4958</v>
      </c>
      <c r="B1048" t="s">
        <v>5629</v>
      </c>
      <c r="C1048">
        <v>94.7</v>
      </c>
      <c r="D1048">
        <v>19</v>
      </c>
      <c r="E1048">
        <v>11</v>
      </c>
      <c r="F1048">
        <v>-23</v>
      </c>
      <c r="G1048">
        <v>8</v>
      </c>
      <c r="H1048">
        <v>10.18</v>
      </c>
      <c r="I1048">
        <v>5</v>
      </c>
      <c r="J1048">
        <v>10.210000000000001</v>
      </c>
      <c r="K1048" s="245">
        <v>-9.69</v>
      </c>
      <c r="L1048" s="245">
        <v>64.72</v>
      </c>
      <c r="M1048" s="245">
        <v>1.83</v>
      </c>
    </row>
    <row r="1049" spans="1:13">
      <c r="A1049">
        <v>4960</v>
      </c>
      <c r="B1049" t="s">
        <v>5630</v>
      </c>
      <c r="C1049">
        <v>67.52</v>
      </c>
      <c r="D1049">
        <v>934</v>
      </c>
      <c r="E1049">
        <v>173</v>
      </c>
      <c r="F1049">
        <v>13</v>
      </c>
      <c r="G1049">
        <v>-7</v>
      </c>
      <c r="H1049">
        <v>1.78</v>
      </c>
      <c r="I1049">
        <v>0.5</v>
      </c>
      <c r="J1049">
        <v>1.1499999999999999</v>
      </c>
      <c r="K1049" s="245">
        <v>-20.350000000000001</v>
      </c>
      <c r="L1049" s="245">
        <v>25.5</v>
      </c>
      <c r="M1049" s="245">
        <v>27.73</v>
      </c>
    </row>
    <row r="1050" spans="1:13">
      <c r="A1050">
        <v>4961</v>
      </c>
      <c r="B1050" t="s">
        <v>5631</v>
      </c>
      <c r="C1050">
        <v>18.649999999999999</v>
      </c>
      <c r="D1050">
        <v>773</v>
      </c>
      <c r="E1050">
        <v>872</v>
      </c>
      <c r="F1050">
        <v>-10</v>
      </c>
      <c r="G1050">
        <v>15</v>
      </c>
      <c r="H1050">
        <v>33.75</v>
      </c>
      <c r="I1050">
        <v>17</v>
      </c>
      <c r="J1050">
        <v>33.83</v>
      </c>
      <c r="K1050" s="245">
        <v>-49.71</v>
      </c>
      <c r="L1050" s="245">
        <v>25.55</v>
      </c>
      <c r="M1050" s="245">
        <v>23.61</v>
      </c>
    </row>
    <row r="1051" spans="1:13">
      <c r="A1051">
        <v>4966</v>
      </c>
      <c r="B1051" t="s">
        <v>5632</v>
      </c>
      <c r="C1051">
        <v>8.1199999999999992</v>
      </c>
      <c r="D1051">
        <v>49</v>
      </c>
      <c r="E1051">
        <v>58</v>
      </c>
      <c r="F1051">
        <v>0</v>
      </c>
      <c r="G1051">
        <v>18</v>
      </c>
      <c r="H1051">
        <v>29.16</v>
      </c>
      <c r="I1051">
        <v>32.479999999999997</v>
      </c>
      <c r="J1051">
        <v>66.290000000000006</v>
      </c>
      <c r="K1051" s="245">
        <v>-38.840000000000003</v>
      </c>
      <c r="L1051" s="245">
        <v>21.8</v>
      </c>
      <c r="M1051" s="245">
        <v>9.32</v>
      </c>
    </row>
    <row r="1052" spans="1:13">
      <c r="A1052">
        <v>4967</v>
      </c>
      <c r="B1052" t="s">
        <v>5633</v>
      </c>
      <c r="C1052">
        <v>10.220000000000001</v>
      </c>
      <c r="D1052">
        <v>-164</v>
      </c>
      <c r="E1052">
        <v>-184</v>
      </c>
      <c r="F1052">
        <v>40</v>
      </c>
      <c r="G1052">
        <v>7</v>
      </c>
      <c r="H1052">
        <v>-2.1</v>
      </c>
      <c r="I1052">
        <v>0</v>
      </c>
      <c r="J1052">
        <v>-1.02</v>
      </c>
      <c r="K1052" s="245">
        <v>-62.31</v>
      </c>
      <c r="L1052" s="245">
        <v>7.27</v>
      </c>
      <c r="M1052" s="245">
        <v>50.64</v>
      </c>
    </row>
    <row r="1053" spans="1:13">
      <c r="A1053">
        <v>4968</v>
      </c>
      <c r="B1053" t="s">
        <v>5634</v>
      </c>
      <c r="C1053">
        <v>8.84</v>
      </c>
      <c r="D1053">
        <v>-46</v>
      </c>
      <c r="E1053">
        <v>-47</v>
      </c>
      <c r="F1053">
        <v>-10</v>
      </c>
      <c r="G1053">
        <v>-51</v>
      </c>
      <c r="H1053">
        <v>10.039999999999999</v>
      </c>
      <c r="I1053">
        <v>3.5</v>
      </c>
      <c r="J1053">
        <v>5.26</v>
      </c>
      <c r="K1053" s="245">
        <v>-62.72</v>
      </c>
      <c r="L1053" s="245">
        <v>59.94</v>
      </c>
      <c r="M1053" s="245">
        <v>12.78</v>
      </c>
    </row>
    <row r="1054" spans="1:13">
      <c r="A1054">
        <v>4971</v>
      </c>
      <c r="B1054" t="s">
        <v>5635</v>
      </c>
      <c r="C1054">
        <v>3.65</v>
      </c>
      <c r="D1054">
        <v>32</v>
      </c>
      <c r="E1054">
        <v>108</v>
      </c>
      <c r="F1054">
        <v>4</v>
      </c>
      <c r="G1054">
        <v>41</v>
      </c>
      <c r="H1054">
        <v>12.62</v>
      </c>
      <c r="I1054">
        <v>1.5</v>
      </c>
      <c r="J1054">
        <v>2.4500000000000002</v>
      </c>
      <c r="K1054" s="245">
        <v>-14.53</v>
      </c>
      <c r="L1054" s="245">
        <v>55.01</v>
      </c>
      <c r="M1054" s="245">
        <v>14.75</v>
      </c>
    </row>
    <row r="1055" spans="1:13">
      <c r="A1055">
        <v>4972</v>
      </c>
      <c r="B1055" t="s">
        <v>6217</v>
      </c>
      <c r="C1055">
        <v>3.94</v>
      </c>
      <c r="D1055">
        <v>21</v>
      </c>
      <c r="E1055">
        <v>64</v>
      </c>
      <c r="F1055">
        <v>1</v>
      </c>
      <c r="G1055">
        <v>25</v>
      </c>
      <c r="H1055">
        <v>13.57</v>
      </c>
      <c r="I1055">
        <v>2.1</v>
      </c>
      <c r="J1055">
        <v>2.5099999999999998</v>
      </c>
      <c r="K1055" s="245">
        <v>-8.51</v>
      </c>
      <c r="L1055" s="245">
        <v>35.5</v>
      </c>
      <c r="M1055" s="245">
        <v>1.37</v>
      </c>
    </row>
    <row r="1056" spans="1:13">
      <c r="A1056">
        <v>4973</v>
      </c>
      <c r="B1056" t="s">
        <v>5636</v>
      </c>
      <c r="C1056">
        <v>6.35</v>
      </c>
      <c r="D1056">
        <v>-69</v>
      </c>
      <c r="E1056">
        <v>-32</v>
      </c>
      <c r="F1056">
        <v>-18</v>
      </c>
      <c r="G1056">
        <v>4</v>
      </c>
      <c r="H1056">
        <v>0.8</v>
      </c>
      <c r="I1056">
        <v>1</v>
      </c>
      <c r="J1056">
        <v>0.35</v>
      </c>
      <c r="K1056" s="245">
        <v>-36.299999999999997</v>
      </c>
      <c r="L1056" s="245">
        <v>11.78</v>
      </c>
      <c r="M1056" s="245">
        <v>25.06</v>
      </c>
    </row>
    <row r="1057" spans="1:13">
      <c r="A1057">
        <v>4974</v>
      </c>
      <c r="B1057" t="s">
        <v>5637</v>
      </c>
      <c r="C1057">
        <v>7.25</v>
      </c>
      <c r="D1057">
        <v>13</v>
      </c>
      <c r="E1057">
        <v>-3</v>
      </c>
      <c r="F1057">
        <v>-39</v>
      </c>
      <c r="G1057">
        <v>-12</v>
      </c>
      <c r="H1057">
        <v>12.22</v>
      </c>
      <c r="I1057">
        <v>4.3</v>
      </c>
      <c r="J1057">
        <v>5.87</v>
      </c>
      <c r="K1057" s="245">
        <v>-13.21</v>
      </c>
      <c r="L1057" s="245">
        <v>38.31</v>
      </c>
      <c r="M1057" s="245">
        <v>8.9700000000000006</v>
      </c>
    </row>
    <row r="1058" spans="1:13">
      <c r="A1058">
        <v>4976</v>
      </c>
      <c r="B1058" t="s">
        <v>5638</v>
      </c>
      <c r="C1058">
        <v>13.87</v>
      </c>
      <c r="D1058">
        <v>110</v>
      </c>
      <c r="E1058">
        <v>119</v>
      </c>
      <c r="F1058">
        <v>16</v>
      </c>
      <c r="G1058">
        <v>-28</v>
      </c>
      <c r="H1058">
        <v>0.85</v>
      </c>
      <c r="I1058">
        <v>0</v>
      </c>
      <c r="J1058">
        <v>0.05</v>
      </c>
      <c r="K1058" s="245">
        <v>-59.91</v>
      </c>
      <c r="L1058" s="245">
        <v>22.9</v>
      </c>
      <c r="M1058" s="245">
        <v>35.11</v>
      </c>
    </row>
    <row r="1059" spans="1:13">
      <c r="A1059">
        <v>4977</v>
      </c>
      <c r="B1059" t="s">
        <v>5639</v>
      </c>
      <c r="C1059">
        <v>6.86</v>
      </c>
      <c r="D1059">
        <v>-51</v>
      </c>
      <c r="E1059">
        <v>-54</v>
      </c>
      <c r="F1059">
        <v>-3</v>
      </c>
      <c r="G1059">
        <v>-14</v>
      </c>
      <c r="H1059">
        <v>8.2100000000000009</v>
      </c>
      <c r="I1059">
        <v>3.2</v>
      </c>
      <c r="J1059">
        <v>3.88</v>
      </c>
      <c r="K1059" s="245">
        <v>-22.38</v>
      </c>
      <c r="L1059" s="245">
        <v>49.46</v>
      </c>
      <c r="M1059" s="245">
        <v>3.71</v>
      </c>
    </row>
    <row r="1060" spans="1:13">
      <c r="A1060">
        <v>4979</v>
      </c>
      <c r="B1060" t="s">
        <v>5640</v>
      </c>
      <c r="C1060">
        <v>13.23</v>
      </c>
      <c r="D1060">
        <v>-223</v>
      </c>
      <c r="E1060">
        <v>-21</v>
      </c>
      <c r="F1060">
        <v>3</v>
      </c>
      <c r="G1060">
        <v>-1</v>
      </c>
      <c r="H1060">
        <v>-23.74</v>
      </c>
      <c r="I1060">
        <v>0</v>
      </c>
      <c r="J1060">
        <v>-2.2200000000000002</v>
      </c>
      <c r="K1060" s="245">
        <v>-12.59</v>
      </c>
      <c r="L1060" s="245">
        <v>67.349999999999994</v>
      </c>
      <c r="M1060" s="245">
        <v>6.64</v>
      </c>
    </row>
    <row r="1061" spans="1:13">
      <c r="A1061">
        <v>4987</v>
      </c>
      <c r="B1061" t="s">
        <v>6567</v>
      </c>
      <c r="C1061">
        <v>2.89</v>
      </c>
      <c r="D1061">
        <v>40</v>
      </c>
      <c r="E1061">
        <v>39</v>
      </c>
      <c r="F1061">
        <v>-26</v>
      </c>
      <c r="G1061">
        <v>-13</v>
      </c>
      <c r="H1061">
        <v>15.55</v>
      </c>
      <c r="I1061">
        <v>4</v>
      </c>
      <c r="J1061">
        <v>4.6100000000000003</v>
      </c>
      <c r="K1061" s="245">
        <v>-3.49</v>
      </c>
      <c r="L1061" s="245">
        <v>82.54</v>
      </c>
      <c r="M1061" s="245">
        <v>0.97</v>
      </c>
    </row>
    <row r="1062" spans="1:13">
      <c r="A1062">
        <v>4989</v>
      </c>
      <c r="B1062" t="s">
        <v>5641</v>
      </c>
      <c r="C1062">
        <v>13.77</v>
      </c>
      <c r="D1062">
        <v>1543</v>
      </c>
      <c r="E1062">
        <v>947</v>
      </c>
      <c r="F1062">
        <v>-27</v>
      </c>
      <c r="G1062">
        <v>-6</v>
      </c>
      <c r="H1062">
        <v>15.98</v>
      </c>
      <c r="I1062">
        <v>0</v>
      </c>
      <c r="J1062">
        <v>3.77</v>
      </c>
      <c r="K1062" s="245">
        <v>-43.66</v>
      </c>
      <c r="L1062" s="245">
        <v>8.84</v>
      </c>
      <c r="M1062" s="245">
        <v>20.48</v>
      </c>
    </row>
    <row r="1063" spans="1:13">
      <c r="A1063">
        <v>4991</v>
      </c>
      <c r="B1063" t="s">
        <v>6154</v>
      </c>
      <c r="C1063">
        <v>11.1</v>
      </c>
      <c r="D1063">
        <v>-232</v>
      </c>
      <c r="E1063">
        <v>-116</v>
      </c>
      <c r="F1063">
        <v>-44</v>
      </c>
      <c r="G1063">
        <v>-9</v>
      </c>
      <c r="H1063">
        <v>-2.4900000000000002</v>
      </c>
      <c r="I1063">
        <v>0</v>
      </c>
      <c r="J1063">
        <v>-4.2</v>
      </c>
      <c r="K1063" s="245">
        <v>-32.57</v>
      </c>
      <c r="L1063" s="245">
        <v>5.29</v>
      </c>
      <c r="M1063" s="245">
        <v>10.88</v>
      </c>
    </row>
    <row r="1064" spans="1:13">
      <c r="A1064">
        <v>4994</v>
      </c>
      <c r="B1064" t="s">
        <v>5642</v>
      </c>
      <c r="C1064">
        <v>11.06</v>
      </c>
      <c r="D1064">
        <v>-68</v>
      </c>
      <c r="E1064">
        <v>-39</v>
      </c>
      <c r="F1064">
        <v>4</v>
      </c>
      <c r="G1064">
        <v>-27</v>
      </c>
      <c r="H1064">
        <v>11.58</v>
      </c>
      <c r="I1064">
        <v>1.5</v>
      </c>
      <c r="J1064">
        <v>1.23</v>
      </c>
      <c r="K1064" s="245">
        <v>-41.62</v>
      </c>
      <c r="L1064" s="245">
        <v>24.01</v>
      </c>
      <c r="M1064" s="245">
        <v>7</v>
      </c>
    </row>
    <row r="1065" spans="1:13">
      <c r="A1065">
        <v>4995</v>
      </c>
      <c r="B1065" t="s">
        <v>6203</v>
      </c>
      <c r="C1065">
        <v>4.18</v>
      </c>
      <c r="D1065">
        <v>62</v>
      </c>
      <c r="E1065">
        <v>65</v>
      </c>
      <c r="F1065">
        <v>-2</v>
      </c>
      <c r="G1065">
        <v>79</v>
      </c>
      <c r="H1065">
        <v>10.87</v>
      </c>
      <c r="I1065">
        <v>2.5</v>
      </c>
      <c r="J1065">
        <v>2.68</v>
      </c>
      <c r="K1065" s="245">
        <v>-7.88</v>
      </c>
      <c r="L1065" s="245">
        <v>45.21</v>
      </c>
      <c r="M1065" s="245">
        <v>7.84</v>
      </c>
    </row>
    <row r="1066" spans="1:13">
      <c r="A1066">
        <v>4999</v>
      </c>
      <c r="B1066" t="s">
        <v>5643</v>
      </c>
      <c r="C1066">
        <v>7.44</v>
      </c>
      <c r="D1066">
        <v>-56</v>
      </c>
      <c r="E1066">
        <v>-52</v>
      </c>
      <c r="F1066">
        <v>-33</v>
      </c>
      <c r="G1066">
        <v>-53</v>
      </c>
      <c r="H1066">
        <v>10.32</v>
      </c>
      <c r="I1066">
        <v>2</v>
      </c>
      <c r="J1066">
        <v>2.44</v>
      </c>
      <c r="K1066" s="245">
        <v>-30.89</v>
      </c>
      <c r="L1066" s="245">
        <v>11.41</v>
      </c>
      <c r="M1066" s="245">
        <v>2.67</v>
      </c>
    </row>
    <row r="1067" spans="1:13">
      <c r="A1067">
        <v>5007</v>
      </c>
      <c r="B1067" t="s">
        <v>5644</v>
      </c>
      <c r="C1067">
        <v>29.49</v>
      </c>
      <c r="D1067">
        <v>63</v>
      </c>
      <c r="E1067">
        <v>87</v>
      </c>
      <c r="F1067">
        <v>40</v>
      </c>
      <c r="G1067">
        <v>12</v>
      </c>
      <c r="H1067">
        <v>17.3</v>
      </c>
      <c r="I1067">
        <v>3</v>
      </c>
      <c r="J1067">
        <v>3.33</v>
      </c>
      <c r="K1067" s="245">
        <v>-11.84</v>
      </c>
      <c r="L1067" s="245">
        <v>48.83</v>
      </c>
      <c r="M1067" s="245">
        <v>0.38</v>
      </c>
    </row>
    <row r="1068" spans="1:13">
      <c r="A1068">
        <v>5009</v>
      </c>
      <c r="B1068" t="s">
        <v>5645</v>
      </c>
      <c r="C1068">
        <v>45.67</v>
      </c>
      <c r="D1068">
        <v>224</v>
      </c>
      <c r="E1068">
        <v>720</v>
      </c>
      <c r="F1068">
        <v>40</v>
      </c>
      <c r="G1068">
        <v>57</v>
      </c>
      <c r="H1068">
        <v>12.25</v>
      </c>
      <c r="I1068">
        <v>1.4</v>
      </c>
      <c r="J1068">
        <v>1.7</v>
      </c>
      <c r="K1068" s="245">
        <v>-16.18</v>
      </c>
      <c r="L1068" s="245">
        <v>61.87</v>
      </c>
      <c r="M1068" s="245">
        <v>30.52</v>
      </c>
    </row>
    <row r="1069" spans="1:13">
      <c r="A1069">
        <v>5011</v>
      </c>
      <c r="B1069" t="s">
        <v>5646</v>
      </c>
      <c r="C1069">
        <v>8.94</v>
      </c>
      <c r="D1069">
        <v>303</v>
      </c>
      <c r="E1069">
        <v>340</v>
      </c>
      <c r="F1069">
        <v>-25</v>
      </c>
      <c r="G1069">
        <v>37</v>
      </c>
      <c r="H1069">
        <v>3.78</v>
      </c>
      <c r="I1069">
        <v>0.95</v>
      </c>
      <c r="J1069">
        <v>1.74</v>
      </c>
      <c r="K1069" s="245">
        <v>-20.22</v>
      </c>
      <c r="L1069" s="245">
        <v>22.69</v>
      </c>
      <c r="M1069" s="245">
        <v>30.07</v>
      </c>
    </row>
    <row r="1070" spans="1:13">
      <c r="A1070">
        <v>5013</v>
      </c>
      <c r="B1070" t="s">
        <v>5647</v>
      </c>
      <c r="C1070">
        <v>13.34</v>
      </c>
      <c r="D1070">
        <v>140</v>
      </c>
      <c r="E1070">
        <v>138</v>
      </c>
      <c r="F1070">
        <v>-30</v>
      </c>
      <c r="G1070">
        <v>-13</v>
      </c>
      <c r="H1070">
        <v>11.91</v>
      </c>
      <c r="I1070">
        <v>2</v>
      </c>
      <c r="J1070">
        <v>4.41</v>
      </c>
      <c r="K1070" s="245">
        <v>-36.78</v>
      </c>
      <c r="L1070" s="245">
        <v>14.77</v>
      </c>
      <c r="M1070" s="245">
        <v>3.78</v>
      </c>
    </row>
    <row r="1071" spans="1:13">
      <c r="A1071">
        <v>5014</v>
      </c>
      <c r="B1071" t="s">
        <v>5648</v>
      </c>
      <c r="C1071">
        <v>18.53</v>
      </c>
      <c r="D1071">
        <v>204</v>
      </c>
      <c r="E1071">
        <v>641</v>
      </c>
      <c r="F1071">
        <v>-11</v>
      </c>
      <c r="G1071">
        <v>5</v>
      </c>
      <c r="H1071">
        <v>4.1500000000000004</v>
      </c>
      <c r="I1071">
        <v>0</v>
      </c>
      <c r="J1071">
        <v>3.14</v>
      </c>
      <c r="K1071" s="245">
        <v>-39.5</v>
      </c>
      <c r="L1071" s="245">
        <v>21.66</v>
      </c>
      <c r="M1071" s="245">
        <v>35.840000000000003</v>
      </c>
    </row>
    <row r="1072" spans="1:13">
      <c r="A1072">
        <v>5015</v>
      </c>
      <c r="B1072" t="s">
        <v>5649</v>
      </c>
      <c r="C1072">
        <v>6.06</v>
      </c>
      <c r="D1072">
        <v>111</v>
      </c>
      <c r="E1072">
        <v>105</v>
      </c>
      <c r="F1072">
        <v>0</v>
      </c>
      <c r="G1072">
        <v>9</v>
      </c>
      <c r="H1072">
        <v>13.94</v>
      </c>
      <c r="I1072">
        <v>3.5</v>
      </c>
      <c r="J1072">
        <v>4.0999999999999996</v>
      </c>
      <c r="K1072" s="245">
        <v>-1.33</v>
      </c>
      <c r="L1072" s="245">
        <v>85.31</v>
      </c>
      <c r="M1072" s="245">
        <v>2.41</v>
      </c>
    </row>
    <row r="1073" spans="1:13">
      <c r="A1073">
        <v>5016</v>
      </c>
      <c r="B1073" t="s">
        <v>6155</v>
      </c>
      <c r="C1073">
        <v>4.96</v>
      </c>
      <c r="D1073">
        <v>50</v>
      </c>
      <c r="E1073">
        <v>55</v>
      </c>
      <c r="F1073">
        <v>45</v>
      </c>
      <c r="G1073">
        <v>3</v>
      </c>
      <c r="H1073">
        <v>10.68</v>
      </c>
      <c r="I1073">
        <v>3.3</v>
      </c>
      <c r="J1073">
        <v>4.75</v>
      </c>
      <c r="K1073" s="245">
        <v>-18.11</v>
      </c>
      <c r="L1073" s="245">
        <v>25.01</v>
      </c>
      <c r="M1073" s="245">
        <v>3.81</v>
      </c>
    </row>
    <row r="1074" spans="1:13">
      <c r="A1074">
        <v>5102</v>
      </c>
      <c r="B1074" t="s">
        <v>6358</v>
      </c>
      <c r="C1074">
        <v>6.4</v>
      </c>
      <c r="D1074">
        <v>25</v>
      </c>
      <c r="E1074">
        <v>117</v>
      </c>
      <c r="F1074">
        <v>-12</v>
      </c>
      <c r="G1074">
        <v>-29</v>
      </c>
      <c r="H1074">
        <v>7.55</v>
      </c>
      <c r="I1074">
        <v>0.5</v>
      </c>
      <c r="J1074">
        <v>0.99</v>
      </c>
      <c r="K1074" s="245">
        <v>-2.95</v>
      </c>
      <c r="L1074" s="245">
        <v>58.18</v>
      </c>
      <c r="M1074" s="245">
        <v>2.11</v>
      </c>
    </row>
    <row r="1075" spans="1:13">
      <c r="A1075">
        <v>5201</v>
      </c>
      <c r="B1075" t="s">
        <v>6303</v>
      </c>
      <c r="C1075">
        <v>3.06</v>
      </c>
      <c r="D1075">
        <v>-49</v>
      </c>
      <c r="E1075">
        <v>-80</v>
      </c>
      <c r="F1075">
        <v>-34</v>
      </c>
      <c r="G1075">
        <v>15</v>
      </c>
      <c r="H1075">
        <v>7.45</v>
      </c>
      <c r="I1075">
        <v>1.5</v>
      </c>
      <c r="J1075">
        <v>1.56</v>
      </c>
      <c r="K1075" s="245">
        <v>-18.600000000000001</v>
      </c>
      <c r="L1075" s="245">
        <v>26.62</v>
      </c>
      <c r="M1075" s="245">
        <v>2.88</v>
      </c>
    </row>
    <row r="1076" spans="1:13">
      <c r="A1076">
        <v>5202</v>
      </c>
      <c r="B1076" t="s">
        <v>6156</v>
      </c>
      <c r="C1076">
        <v>8.9</v>
      </c>
      <c r="D1076">
        <v>14</v>
      </c>
      <c r="E1076">
        <v>-37</v>
      </c>
      <c r="F1076">
        <v>-10</v>
      </c>
      <c r="G1076">
        <v>22</v>
      </c>
      <c r="H1076">
        <v>-56.73</v>
      </c>
      <c r="I1076">
        <v>1.1399999999999999</v>
      </c>
      <c r="J1076">
        <v>-0.32</v>
      </c>
      <c r="K1076" s="245">
        <v>-28.4</v>
      </c>
      <c r="L1076" s="245">
        <v>20.83</v>
      </c>
      <c r="M1076" s="245">
        <v>1.48</v>
      </c>
    </row>
    <row r="1077" spans="1:13">
      <c r="A1077">
        <v>5203</v>
      </c>
      <c r="B1077" t="s">
        <v>5650</v>
      </c>
      <c r="C1077">
        <v>7.88</v>
      </c>
      <c r="D1077">
        <v>-398</v>
      </c>
      <c r="E1077">
        <v>-17</v>
      </c>
      <c r="F1077">
        <v>20</v>
      </c>
      <c r="G1077">
        <v>-7</v>
      </c>
      <c r="H1077">
        <v>12.48</v>
      </c>
      <c r="I1077">
        <v>1.72</v>
      </c>
      <c r="J1077">
        <v>-7.21</v>
      </c>
      <c r="K1077" s="245">
        <v>-24.33</v>
      </c>
      <c r="L1077" s="245">
        <v>19</v>
      </c>
      <c r="M1077" s="245">
        <v>4.29</v>
      </c>
    </row>
    <row r="1078" spans="1:13">
      <c r="A1078">
        <v>5205</v>
      </c>
      <c r="B1078" t="s">
        <v>6568</v>
      </c>
      <c r="C1078">
        <v>1.02</v>
      </c>
      <c r="D1078">
        <v>-29</v>
      </c>
      <c r="E1078">
        <v>-7</v>
      </c>
      <c r="F1078">
        <v>-81</v>
      </c>
      <c r="G1078">
        <v>-90</v>
      </c>
      <c r="H1078">
        <v>-57.27</v>
      </c>
      <c r="I1078">
        <v>0</v>
      </c>
      <c r="J1078">
        <v>-1.69</v>
      </c>
      <c r="K1078" s="245">
        <v>-40.85</v>
      </c>
      <c r="L1078" s="245">
        <v>28.26</v>
      </c>
      <c r="M1078" s="245">
        <v>0.35</v>
      </c>
    </row>
    <row r="1079" spans="1:13">
      <c r="A1079">
        <v>5206</v>
      </c>
      <c r="B1079" t="s">
        <v>5651</v>
      </c>
      <c r="C1079">
        <v>15.59</v>
      </c>
      <c r="D1079">
        <v>-82</v>
      </c>
      <c r="E1079">
        <v>-82</v>
      </c>
      <c r="F1079">
        <v>0</v>
      </c>
      <c r="G1079">
        <v>-88</v>
      </c>
      <c r="H1079">
        <v>4.95</v>
      </c>
      <c r="I1079">
        <v>0.48</v>
      </c>
      <c r="J1079">
        <v>0.54</v>
      </c>
      <c r="K1079" s="245">
        <v>-22.65</v>
      </c>
      <c r="L1079" s="245">
        <v>22.25</v>
      </c>
      <c r="M1079" s="245">
        <v>7.62</v>
      </c>
    </row>
    <row r="1080" spans="1:13">
      <c r="A1080">
        <v>5209</v>
      </c>
      <c r="B1080" t="s">
        <v>6569</v>
      </c>
      <c r="C1080">
        <v>2.76</v>
      </c>
      <c r="D1080">
        <v>101</v>
      </c>
      <c r="E1080">
        <v>-1</v>
      </c>
      <c r="F1080">
        <v>2</v>
      </c>
      <c r="G1080">
        <v>-36</v>
      </c>
      <c r="H1080">
        <v>3.92</v>
      </c>
      <c r="I1080">
        <v>8.89</v>
      </c>
      <c r="J1080">
        <v>10.02</v>
      </c>
      <c r="K1080" s="245">
        <v>-7.62</v>
      </c>
      <c r="L1080" s="245">
        <v>43.24</v>
      </c>
      <c r="M1080" s="245">
        <v>3.46</v>
      </c>
    </row>
    <row r="1081" spans="1:13">
      <c r="A1081">
        <v>5210</v>
      </c>
      <c r="B1081" t="s">
        <v>6570</v>
      </c>
      <c r="C1081">
        <v>6.21</v>
      </c>
      <c r="D1081">
        <v>70</v>
      </c>
      <c r="E1081">
        <v>63</v>
      </c>
      <c r="F1081">
        <v>21</v>
      </c>
      <c r="G1081">
        <v>90</v>
      </c>
      <c r="H1081">
        <v>-14.75</v>
      </c>
      <c r="I1081">
        <v>0</v>
      </c>
      <c r="J1081">
        <v>-0.37</v>
      </c>
      <c r="K1081" s="245">
        <v>-32.46</v>
      </c>
      <c r="L1081" s="245">
        <v>45.54</v>
      </c>
      <c r="M1081" s="245">
        <v>20.61</v>
      </c>
    </row>
    <row r="1082" spans="1:13">
      <c r="A1082">
        <v>5211</v>
      </c>
      <c r="B1082" t="s">
        <v>5652</v>
      </c>
      <c r="C1082">
        <v>3.2</v>
      </c>
      <c r="D1082">
        <v>428</v>
      </c>
      <c r="E1082">
        <v>328</v>
      </c>
      <c r="F1082">
        <v>-17</v>
      </c>
      <c r="G1082">
        <v>7</v>
      </c>
      <c r="H1082">
        <v>36.4</v>
      </c>
      <c r="I1082">
        <v>0.7</v>
      </c>
      <c r="J1082">
        <v>1.48</v>
      </c>
      <c r="K1082" s="245">
        <v>-36.729999999999997</v>
      </c>
      <c r="L1082" s="245">
        <v>6.67</v>
      </c>
      <c r="M1082" s="245">
        <v>31.3</v>
      </c>
    </row>
    <row r="1083" spans="1:13">
      <c r="A1083">
        <v>5212</v>
      </c>
      <c r="B1083" t="s">
        <v>6336</v>
      </c>
      <c r="C1083">
        <v>3.46</v>
      </c>
      <c r="D1083">
        <v>-17</v>
      </c>
      <c r="E1083">
        <v>-15</v>
      </c>
      <c r="F1083">
        <v>46</v>
      </c>
      <c r="G1083">
        <v>8</v>
      </c>
      <c r="H1083">
        <v>11.13</v>
      </c>
      <c r="I1083">
        <v>2.5</v>
      </c>
      <c r="J1083">
        <v>2.68</v>
      </c>
      <c r="K1083" s="245">
        <v>-22.77</v>
      </c>
      <c r="L1083" s="245">
        <v>18.8</v>
      </c>
      <c r="M1083" s="245">
        <v>5.23</v>
      </c>
    </row>
    <row r="1084" spans="1:13">
      <c r="A1084">
        <v>5213</v>
      </c>
      <c r="B1084" t="s">
        <v>5653</v>
      </c>
      <c r="C1084">
        <v>34.69</v>
      </c>
      <c r="D1084">
        <v>-56</v>
      </c>
      <c r="E1084">
        <v>-60</v>
      </c>
      <c r="F1084">
        <v>8498</v>
      </c>
      <c r="G1084">
        <v>1409</v>
      </c>
      <c r="H1084">
        <v>9.61</v>
      </c>
      <c r="I1084">
        <v>2</v>
      </c>
      <c r="J1084">
        <v>0.73</v>
      </c>
      <c r="K1084" s="245">
        <v>-8.51</v>
      </c>
      <c r="L1084" s="245">
        <v>41.17</v>
      </c>
      <c r="M1084" s="245">
        <v>1.74</v>
      </c>
    </row>
    <row r="1085" spans="1:13">
      <c r="A1085">
        <v>5215</v>
      </c>
      <c r="B1085" t="s">
        <v>5654</v>
      </c>
      <c r="C1085">
        <v>6.43</v>
      </c>
      <c r="D1085">
        <v>-26</v>
      </c>
      <c r="E1085">
        <v>-29</v>
      </c>
      <c r="F1085">
        <v>30</v>
      </c>
      <c r="G1085">
        <v>-37</v>
      </c>
      <c r="H1085">
        <v>20.62</v>
      </c>
      <c r="I1085">
        <v>5</v>
      </c>
      <c r="J1085">
        <v>8.76</v>
      </c>
      <c r="K1085" s="245">
        <v>-58.35</v>
      </c>
      <c r="L1085" s="245">
        <v>19.41</v>
      </c>
      <c r="M1085" s="245">
        <v>6.61</v>
      </c>
    </row>
    <row r="1086" spans="1:13">
      <c r="A1086">
        <v>5220</v>
      </c>
      <c r="B1086" t="s">
        <v>6192</v>
      </c>
      <c r="C1086">
        <v>3.96</v>
      </c>
      <c r="D1086">
        <v>-27</v>
      </c>
      <c r="E1086">
        <v>-35</v>
      </c>
      <c r="F1086">
        <v>-18</v>
      </c>
      <c r="G1086">
        <v>16</v>
      </c>
      <c r="H1086">
        <v>16.11</v>
      </c>
      <c r="I1086">
        <v>2.2000000000000002</v>
      </c>
      <c r="J1086">
        <v>3.43</v>
      </c>
      <c r="K1086" s="245">
        <v>-18.57</v>
      </c>
      <c r="L1086" s="245">
        <v>51.2</v>
      </c>
      <c r="M1086" s="245">
        <v>2.0299999999999998</v>
      </c>
    </row>
    <row r="1087" spans="1:13">
      <c r="A1087">
        <v>5222</v>
      </c>
      <c r="B1087" t="s">
        <v>6571</v>
      </c>
      <c r="C1087">
        <v>6.78</v>
      </c>
      <c r="D1087">
        <v>50</v>
      </c>
      <c r="E1087">
        <v>51</v>
      </c>
      <c r="F1087">
        <v>36</v>
      </c>
      <c r="G1087">
        <v>4</v>
      </c>
      <c r="H1087">
        <v>34.07</v>
      </c>
      <c r="I1087">
        <v>3.5</v>
      </c>
      <c r="J1087">
        <v>4.04</v>
      </c>
      <c r="K1087" s="245" t="s">
        <v>6712</v>
      </c>
      <c r="L1087" s="245" t="s">
        <v>6712</v>
      </c>
      <c r="M1087" s="245" t="s">
        <v>6712</v>
      </c>
    </row>
    <row r="1088" spans="1:13">
      <c r="A1088">
        <v>5223</v>
      </c>
      <c r="B1088" t="s">
        <v>5655</v>
      </c>
      <c r="C1088">
        <v>4.45</v>
      </c>
      <c r="D1088">
        <v>-18</v>
      </c>
      <c r="E1088">
        <v>-29</v>
      </c>
      <c r="F1088">
        <v>-73</v>
      </c>
      <c r="G1088">
        <v>-61</v>
      </c>
      <c r="H1088">
        <v>12.61</v>
      </c>
      <c r="I1088">
        <v>2.7</v>
      </c>
      <c r="J1088">
        <v>5.22</v>
      </c>
      <c r="K1088" s="245">
        <v>-25.42</v>
      </c>
      <c r="L1088" s="245">
        <v>25.89</v>
      </c>
      <c r="M1088" s="245">
        <v>3.27</v>
      </c>
    </row>
    <row r="1089" spans="1:13">
      <c r="A1089">
        <v>5225</v>
      </c>
      <c r="B1089" t="s">
        <v>5656</v>
      </c>
      <c r="C1089">
        <v>6.14</v>
      </c>
      <c r="D1089">
        <v>154</v>
      </c>
      <c r="E1089">
        <v>50</v>
      </c>
      <c r="F1089">
        <v>22</v>
      </c>
      <c r="G1089">
        <v>28</v>
      </c>
      <c r="H1089">
        <v>-3.21</v>
      </c>
      <c r="I1089">
        <v>0.6</v>
      </c>
      <c r="J1089">
        <v>6.03</v>
      </c>
      <c r="K1089" s="245">
        <v>-15.14</v>
      </c>
      <c r="L1089" s="245">
        <v>43.21</v>
      </c>
      <c r="M1089" s="245">
        <v>5.23</v>
      </c>
    </row>
    <row r="1090" spans="1:13">
      <c r="A1090">
        <v>5227</v>
      </c>
      <c r="B1090" t="s">
        <v>6572</v>
      </c>
      <c r="C1090">
        <v>7</v>
      </c>
      <c r="D1090">
        <v>17</v>
      </c>
      <c r="E1090">
        <v>27</v>
      </c>
      <c r="F1090">
        <v>-20</v>
      </c>
      <c r="G1090">
        <v>257</v>
      </c>
      <c r="H1090">
        <v>-87.06</v>
      </c>
      <c r="I1090">
        <v>0</v>
      </c>
      <c r="J1090">
        <v>-9.31</v>
      </c>
      <c r="K1090" s="245">
        <v>-39.409999999999997</v>
      </c>
      <c r="L1090" s="245">
        <v>9.0299999999999994</v>
      </c>
      <c r="M1090" s="245">
        <v>17.36</v>
      </c>
    </row>
    <row r="1091" spans="1:13">
      <c r="A1091">
        <v>5230</v>
      </c>
      <c r="B1091" t="s">
        <v>5657</v>
      </c>
      <c r="C1091">
        <v>4.6900000000000004</v>
      </c>
      <c r="D1091">
        <v>2071</v>
      </c>
      <c r="E1091">
        <v>864</v>
      </c>
      <c r="F1091">
        <v>-4</v>
      </c>
      <c r="G1091">
        <v>0</v>
      </c>
      <c r="H1091">
        <v>5.95</v>
      </c>
      <c r="I1091">
        <v>0.8</v>
      </c>
      <c r="J1091">
        <v>1.28</v>
      </c>
      <c r="K1091" s="245">
        <v>-33.72</v>
      </c>
      <c r="L1091" s="245">
        <v>11.95</v>
      </c>
      <c r="M1091" s="245">
        <v>16.93</v>
      </c>
    </row>
    <row r="1092" spans="1:13">
      <c r="A1092">
        <v>5234</v>
      </c>
      <c r="B1092" t="s">
        <v>5658</v>
      </c>
      <c r="C1092">
        <v>10.27</v>
      </c>
      <c r="D1092">
        <v>7</v>
      </c>
      <c r="E1092">
        <v>4</v>
      </c>
      <c r="F1092">
        <v>-8</v>
      </c>
      <c r="G1092">
        <v>3</v>
      </c>
      <c r="H1092">
        <v>17.010000000000002</v>
      </c>
      <c r="I1092">
        <v>5.3</v>
      </c>
      <c r="J1092">
        <v>6.62</v>
      </c>
      <c r="K1092" s="245">
        <v>-41.1</v>
      </c>
      <c r="L1092" s="245">
        <v>8.8800000000000008</v>
      </c>
      <c r="M1092" s="245">
        <v>9.93</v>
      </c>
    </row>
    <row r="1093" spans="1:13">
      <c r="A1093">
        <v>5236</v>
      </c>
      <c r="B1093" t="s">
        <v>5659</v>
      </c>
      <c r="C1093">
        <v>5.85</v>
      </c>
      <c r="D1093">
        <v>35</v>
      </c>
      <c r="E1093">
        <v>34</v>
      </c>
      <c r="F1093">
        <v>-8</v>
      </c>
      <c r="G1093">
        <v>-17</v>
      </c>
      <c r="H1093">
        <v>33.83</v>
      </c>
      <c r="I1093">
        <v>10</v>
      </c>
      <c r="J1093">
        <v>11.83</v>
      </c>
      <c r="K1093" s="245" t="s">
        <v>6712</v>
      </c>
      <c r="L1093" s="245" t="s">
        <v>6712</v>
      </c>
      <c r="M1093" s="245" t="s">
        <v>6712</v>
      </c>
    </row>
    <row r="1094" spans="1:13">
      <c r="A1094">
        <v>5243</v>
      </c>
      <c r="B1094" t="s">
        <v>5660</v>
      </c>
      <c r="C1094">
        <v>16.850000000000001</v>
      </c>
      <c r="D1094">
        <v>0</v>
      </c>
      <c r="E1094">
        <v>-4</v>
      </c>
      <c r="F1094">
        <v>-29</v>
      </c>
      <c r="G1094">
        <v>-22</v>
      </c>
      <c r="H1094">
        <v>5.34</v>
      </c>
      <c r="I1094">
        <v>1.4</v>
      </c>
      <c r="J1094">
        <v>2.75</v>
      </c>
      <c r="K1094" s="245">
        <v>-24.08</v>
      </c>
      <c r="L1094" s="245">
        <v>33.67</v>
      </c>
      <c r="M1094" s="245">
        <v>19.489999999999998</v>
      </c>
    </row>
    <row r="1095" spans="1:13">
      <c r="A1095">
        <v>5245</v>
      </c>
      <c r="B1095" t="s">
        <v>5661</v>
      </c>
      <c r="C1095">
        <v>4.49</v>
      </c>
      <c r="D1095">
        <v>120</v>
      </c>
      <c r="E1095">
        <v>142</v>
      </c>
      <c r="F1095">
        <v>19</v>
      </c>
      <c r="G1095">
        <v>-2</v>
      </c>
      <c r="H1095">
        <v>16.13</v>
      </c>
      <c r="I1095">
        <v>4.5</v>
      </c>
      <c r="J1095">
        <v>4.47</v>
      </c>
      <c r="K1095" s="245">
        <v>-44.29</v>
      </c>
      <c r="L1095" s="245">
        <v>16.239999999999998</v>
      </c>
      <c r="M1095" s="245">
        <v>26.52</v>
      </c>
    </row>
    <row r="1096" spans="1:13">
      <c r="A1096">
        <v>5251</v>
      </c>
      <c r="B1096" t="s">
        <v>5662</v>
      </c>
      <c r="C1096">
        <v>3.57</v>
      </c>
      <c r="D1096">
        <v>-40</v>
      </c>
      <c r="E1096">
        <v>-4</v>
      </c>
      <c r="F1096">
        <v>165</v>
      </c>
      <c r="G1096">
        <v>-28</v>
      </c>
      <c r="H1096">
        <v>-39.520000000000003</v>
      </c>
      <c r="I1096">
        <v>0</v>
      </c>
      <c r="J1096">
        <v>-2.3199999999999998</v>
      </c>
      <c r="K1096" s="245">
        <v>-25.87</v>
      </c>
      <c r="L1096" s="245">
        <v>43.91</v>
      </c>
      <c r="M1096" s="245">
        <v>10.93</v>
      </c>
    </row>
    <row r="1097" spans="1:13">
      <c r="A1097">
        <v>5258</v>
      </c>
      <c r="B1097" t="s">
        <v>5663</v>
      </c>
      <c r="C1097">
        <v>8.9499999999999993</v>
      </c>
      <c r="D1097">
        <v>13</v>
      </c>
      <c r="E1097">
        <v>46</v>
      </c>
      <c r="F1097">
        <v>26</v>
      </c>
      <c r="G1097">
        <v>39</v>
      </c>
      <c r="H1097">
        <v>7.36</v>
      </c>
      <c r="I1097">
        <v>0</v>
      </c>
      <c r="J1097">
        <v>2.5099999999999998</v>
      </c>
      <c r="K1097" s="245">
        <v>-24.53</v>
      </c>
      <c r="L1097" s="245">
        <v>21.95</v>
      </c>
      <c r="M1097" s="245">
        <v>39.79</v>
      </c>
    </row>
    <row r="1098" spans="1:13">
      <c r="A1098">
        <v>5263</v>
      </c>
      <c r="B1098" t="s">
        <v>5664</v>
      </c>
      <c r="C1098">
        <v>6.09</v>
      </c>
      <c r="D1098">
        <v>-157</v>
      </c>
      <c r="E1098">
        <v>-699</v>
      </c>
      <c r="F1098">
        <v>33</v>
      </c>
      <c r="G1098">
        <v>-16</v>
      </c>
      <c r="H1098">
        <v>-22.87</v>
      </c>
      <c r="I1098">
        <v>0</v>
      </c>
      <c r="J1098">
        <v>-2.31</v>
      </c>
      <c r="K1098" s="245">
        <v>-33.72</v>
      </c>
      <c r="L1098" s="245">
        <v>25.36</v>
      </c>
      <c r="M1098" s="245">
        <v>12.59</v>
      </c>
    </row>
    <row r="1099" spans="1:13">
      <c r="A1099">
        <v>5269</v>
      </c>
      <c r="B1099" t="s">
        <v>5665</v>
      </c>
      <c r="C1099">
        <v>6.92</v>
      </c>
      <c r="D1099">
        <v>9</v>
      </c>
      <c r="E1099">
        <v>-21</v>
      </c>
      <c r="F1099">
        <v>20</v>
      </c>
      <c r="G1099">
        <v>-5</v>
      </c>
      <c r="H1099">
        <v>32.25</v>
      </c>
      <c r="I1099">
        <v>26</v>
      </c>
      <c r="J1099">
        <v>46.23</v>
      </c>
      <c r="K1099" s="245">
        <v>-47.05</v>
      </c>
      <c r="L1099" s="245">
        <v>15.58</v>
      </c>
      <c r="M1099" s="245">
        <v>5.14</v>
      </c>
    </row>
    <row r="1100" spans="1:13">
      <c r="A1100">
        <v>5272</v>
      </c>
      <c r="B1100" t="s">
        <v>5666</v>
      </c>
      <c r="C1100">
        <v>5.59</v>
      </c>
      <c r="D1100">
        <v>257</v>
      </c>
      <c r="E1100">
        <v>204</v>
      </c>
      <c r="F1100">
        <v>0</v>
      </c>
      <c r="G1100">
        <v>19</v>
      </c>
      <c r="H1100">
        <v>7.18</v>
      </c>
      <c r="I1100">
        <v>0.86</v>
      </c>
      <c r="J1100">
        <v>0.96</v>
      </c>
      <c r="K1100" s="245">
        <v>-30.84</v>
      </c>
      <c r="L1100" s="245">
        <v>26.91</v>
      </c>
      <c r="M1100" s="245">
        <v>55.69</v>
      </c>
    </row>
    <row r="1101" spans="1:13">
      <c r="A1101">
        <v>5274</v>
      </c>
      <c r="B1101" t="s">
        <v>5667</v>
      </c>
      <c r="C1101">
        <v>3.43</v>
      </c>
      <c r="D1101">
        <v>30</v>
      </c>
      <c r="E1101">
        <v>30</v>
      </c>
      <c r="F1101">
        <v>4</v>
      </c>
      <c r="G1101">
        <v>60</v>
      </c>
      <c r="H1101">
        <v>45.42</v>
      </c>
      <c r="I1101">
        <v>36</v>
      </c>
      <c r="J1101">
        <v>38.299999999999997</v>
      </c>
      <c r="K1101" s="245">
        <v>-33.880000000000003</v>
      </c>
      <c r="L1101" s="245">
        <v>31.41</v>
      </c>
      <c r="M1101" s="245">
        <v>2.2799999999999998</v>
      </c>
    </row>
    <row r="1102" spans="1:13">
      <c r="A1102">
        <v>5276</v>
      </c>
      <c r="B1102" t="s">
        <v>6573</v>
      </c>
      <c r="C1102">
        <v>3.95</v>
      </c>
      <c r="D1102">
        <v>207</v>
      </c>
      <c r="E1102">
        <v>310</v>
      </c>
      <c r="F1102">
        <v>6</v>
      </c>
      <c r="G1102">
        <v>4</v>
      </c>
      <c r="H1102">
        <v>4.01</v>
      </c>
      <c r="I1102">
        <v>0.11</v>
      </c>
      <c r="J1102">
        <v>0.57999999999999996</v>
      </c>
      <c r="K1102" s="245">
        <v>-29.75</v>
      </c>
      <c r="L1102" s="245">
        <v>38.67</v>
      </c>
      <c r="M1102" s="245">
        <v>0.37</v>
      </c>
    </row>
    <row r="1103" spans="1:13">
      <c r="A1103">
        <v>5278</v>
      </c>
      <c r="B1103" t="s">
        <v>6574</v>
      </c>
      <c r="C1103">
        <v>1.52</v>
      </c>
      <c r="D1103">
        <v>33</v>
      </c>
      <c r="E1103">
        <v>28</v>
      </c>
      <c r="F1103">
        <v>4</v>
      </c>
      <c r="G1103">
        <v>20</v>
      </c>
      <c r="H1103">
        <v>19.079999999999998</v>
      </c>
      <c r="I1103">
        <v>20.18</v>
      </c>
      <c r="J1103">
        <v>16.52</v>
      </c>
      <c r="K1103" s="245">
        <v>-22.3</v>
      </c>
      <c r="L1103" s="245">
        <v>28.42</v>
      </c>
      <c r="M1103" s="245">
        <v>6.75</v>
      </c>
    </row>
    <row r="1104" spans="1:13">
      <c r="A1104">
        <v>5281</v>
      </c>
      <c r="B1104" t="s">
        <v>6319</v>
      </c>
      <c r="C1104">
        <v>3.7</v>
      </c>
      <c r="D1104">
        <v>-144</v>
      </c>
      <c r="E1104">
        <v>-176</v>
      </c>
      <c r="F1104">
        <v>192</v>
      </c>
      <c r="G1104">
        <v>5</v>
      </c>
      <c r="H1104">
        <v>-4.28</v>
      </c>
      <c r="I1104">
        <v>0</v>
      </c>
      <c r="J1104">
        <v>-0.63</v>
      </c>
      <c r="K1104" s="245">
        <v>-22</v>
      </c>
      <c r="L1104" s="245">
        <v>10.65</v>
      </c>
      <c r="M1104" s="245">
        <v>1.73</v>
      </c>
    </row>
    <row r="1105" spans="1:13">
      <c r="A1105">
        <v>5283</v>
      </c>
      <c r="B1105" t="s">
        <v>5668</v>
      </c>
      <c r="C1105">
        <v>7.3</v>
      </c>
      <c r="D1105">
        <v>-17</v>
      </c>
      <c r="E1105">
        <v>-23</v>
      </c>
      <c r="F1105">
        <v>116</v>
      </c>
      <c r="G1105">
        <v>52</v>
      </c>
      <c r="H1105">
        <v>13.2</v>
      </c>
      <c r="I1105">
        <v>8</v>
      </c>
      <c r="J1105">
        <v>10.69</v>
      </c>
      <c r="K1105" s="245">
        <v>-8.33</v>
      </c>
      <c r="L1105" s="245">
        <v>21.26</v>
      </c>
      <c r="M1105" s="245">
        <v>0.71</v>
      </c>
    </row>
    <row r="1106" spans="1:13">
      <c r="A1106">
        <v>5284</v>
      </c>
      <c r="B1106" t="s">
        <v>5669</v>
      </c>
      <c r="C1106">
        <v>4.3600000000000003</v>
      </c>
      <c r="D1106">
        <v>6</v>
      </c>
      <c r="E1106">
        <v>45</v>
      </c>
      <c r="F1106">
        <v>-3</v>
      </c>
      <c r="G1106">
        <v>20</v>
      </c>
      <c r="H1106">
        <v>12.22</v>
      </c>
      <c r="I1106">
        <v>2.2999999999999998</v>
      </c>
      <c r="J1106">
        <v>3</v>
      </c>
      <c r="K1106" s="245">
        <v>-8.58</v>
      </c>
      <c r="L1106" s="245">
        <v>25.85</v>
      </c>
      <c r="M1106" s="245">
        <v>1.0900000000000001</v>
      </c>
    </row>
    <row r="1107" spans="1:13">
      <c r="A1107">
        <v>5285</v>
      </c>
      <c r="B1107" t="s">
        <v>5670</v>
      </c>
      <c r="C1107">
        <v>10.199999999999999</v>
      </c>
      <c r="D1107">
        <v>263</v>
      </c>
      <c r="E1107">
        <v>173</v>
      </c>
      <c r="F1107">
        <v>0</v>
      </c>
      <c r="G1107">
        <v>-4</v>
      </c>
      <c r="H1107">
        <v>9.73</v>
      </c>
      <c r="I1107">
        <v>4</v>
      </c>
      <c r="J1107">
        <v>4.82</v>
      </c>
      <c r="K1107" s="245">
        <v>-42.44</v>
      </c>
      <c r="L1107" s="245">
        <v>19.03</v>
      </c>
      <c r="M1107" s="245">
        <v>24.47</v>
      </c>
    </row>
    <row r="1108" spans="1:13">
      <c r="A1108">
        <v>5287</v>
      </c>
      <c r="B1108" t="s">
        <v>5671</v>
      </c>
      <c r="C1108">
        <v>5.07</v>
      </c>
      <c r="D1108">
        <v>-2</v>
      </c>
      <c r="E1108">
        <v>-1</v>
      </c>
      <c r="F1108">
        <v>16</v>
      </c>
      <c r="G1108">
        <v>13</v>
      </c>
      <c r="H1108">
        <v>42.03</v>
      </c>
      <c r="I1108">
        <v>11.3</v>
      </c>
      <c r="J1108">
        <v>12.13</v>
      </c>
      <c r="K1108" s="245">
        <v>-28.09</v>
      </c>
      <c r="L1108" s="245">
        <v>11.66</v>
      </c>
      <c r="M1108" s="245">
        <v>1.03</v>
      </c>
    </row>
    <row r="1109" spans="1:13">
      <c r="A1109">
        <v>5288</v>
      </c>
      <c r="B1109" t="s">
        <v>5672</v>
      </c>
      <c r="C1109">
        <v>6.58</v>
      </c>
      <c r="D1109">
        <v>12</v>
      </c>
      <c r="E1109">
        <v>11</v>
      </c>
      <c r="F1109">
        <v>3</v>
      </c>
      <c r="G1109">
        <v>42</v>
      </c>
      <c r="H1109">
        <v>11.93</v>
      </c>
      <c r="I1109">
        <v>4.5</v>
      </c>
      <c r="J1109">
        <v>9.5299999999999994</v>
      </c>
      <c r="K1109" s="245">
        <v>-16.95</v>
      </c>
      <c r="L1109" s="245">
        <v>41.57</v>
      </c>
      <c r="M1109" s="245">
        <v>1.1299999999999999</v>
      </c>
    </row>
    <row r="1110" spans="1:13">
      <c r="A1110">
        <v>5289</v>
      </c>
      <c r="B1110" t="s">
        <v>5673</v>
      </c>
      <c r="C1110">
        <v>8.36</v>
      </c>
      <c r="D1110">
        <v>68</v>
      </c>
      <c r="E1110">
        <v>61</v>
      </c>
      <c r="F1110">
        <v>7</v>
      </c>
      <c r="G1110">
        <v>17</v>
      </c>
      <c r="H1110">
        <v>19.12</v>
      </c>
      <c r="I1110">
        <v>12</v>
      </c>
      <c r="J1110">
        <v>18.940000000000001</v>
      </c>
      <c r="K1110" s="245">
        <v>-18.2</v>
      </c>
      <c r="L1110" s="245">
        <v>38.07</v>
      </c>
      <c r="M1110" s="245">
        <v>2.72</v>
      </c>
    </row>
    <row r="1111" spans="1:13">
      <c r="A1111">
        <v>5291</v>
      </c>
      <c r="B1111" t="s">
        <v>5674</v>
      </c>
      <c r="C1111">
        <v>3.92</v>
      </c>
      <c r="D1111">
        <v>130</v>
      </c>
      <c r="E1111">
        <v>133</v>
      </c>
      <c r="F1111">
        <v>7</v>
      </c>
      <c r="G1111">
        <v>12</v>
      </c>
      <c r="H1111">
        <v>13.11</v>
      </c>
      <c r="I1111">
        <v>2.1</v>
      </c>
      <c r="J1111">
        <v>4.18</v>
      </c>
      <c r="K1111" s="245">
        <v>-32.22</v>
      </c>
      <c r="L1111" s="245">
        <v>18.72</v>
      </c>
      <c r="M1111" s="245">
        <v>10.3</v>
      </c>
    </row>
    <row r="1112" spans="1:13">
      <c r="A1112">
        <v>5299</v>
      </c>
      <c r="B1112" t="s">
        <v>316</v>
      </c>
      <c r="C1112">
        <v>3.58</v>
      </c>
      <c r="D1112">
        <v>92</v>
      </c>
      <c r="E1112">
        <v>81</v>
      </c>
      <c r="F1112">
        <v>1</v>
      </c>
      <c r="G1112">
        <v>14</v>
      </c>
      <c r="H1112">
        <v>28.1</v>
      </c>
      <c r="I1112">
        <v>11.6</v>
      </c>
      <c r="J1112">
        <v>17.68</v>
      </c>
      <c r="K1112" s="245">
        <v>-33.21</v>
      </c>
      <c r="L1112" s="245">
        <v>35.71</v>
      </c>
      <c r="M1112" s="245">
        <v>24.33</v>
      </c>
    </row>
    <row r="1113" spans="1:13">
      <c r="A1113">
        <v>5301</v>
      </c>
      <c r="B1113" t="s">
        <v>6575</v>
      </c>
      <c r="C1113">
        <v>10.45</v>
      </c>
      <c r="D1113">
        <v>33</v>
      </c>
      <c r="E1113">
        <v>52</v>
      </c>
      <c r="F1113">
        <v>-18</v>
      </c>
      <c r="G1113">
        <v>-34</v>
      </c>
      <c r="H1113">
        <v>-199.32</v>
      </c>
      <c r="I1113">
        <v>0</v>
      </c>
      <c r="J1113">
        <v>-2.09</v>
      </c>
      <c r="K1113" s="245">
        <v>-18.34</v>
      </c>
      <c r="L1113" s="245">
        <v>45.69</v>
      </c>
      <c r="M1113" s="245">
        <v>2.94</v>
      </c>
    </row>
    <row r="1114" spans="1:13">
      <c r="A1114">
        <v>5302</v>
      </c>
      <c r="B1114" t="s">
        <v>6576</v>
      </c>
      <c r="C1114">
        <v>15.98</v>
      </c>
      <c r="D1114">
        <v>26</v>
      </c>
      <c r="E1114">
        <v>17</v>
      </c>
      <c r="F1114">
        <v>70</v>
      </c>
      <c r="G1114">
        <v>-81</v>
      </c>
      <c r="H1114">
        <v>-213.02</v>
      </c>
      <c r="I1114">
        <v>0</v>
      </c>
      <c r="J1114">
        <v>-0.27</v>
      </c>
      <c r="K1114" s="245">
        <v>-47.96</v>
      </c>
      <c r="L1114" s="245">
        <v>15.07</v>
      </c>
      <c r="M1114" s="245">
        <v>8.73</v>
      </c>
    </row>
    <row r="1115" spans="1:13">
      <c r="A1115">
        <v>5306</v>
      </c>
      <c r="B1115" t="s">
        <v>5675</v>
      </c>
      <c r="C1115">
        <v>12.6</v>
      </c>
      <c r="D1115">
        <v>32</v>
      </c>
      <c r="E1115">
        <v>30</v>
      </c>
      <c r="F1115">
        <v>30</v>
      </c>
      <c r="G1115">
        <v>1</v>
      </c>
      <c r="H1115">
        <v>33.24</v>
      </c>
      <c r="I1115">
        <v>9</v>
      </c>
      <c r="J1115">
        <v>15.94</v>
      </c>
      <c r="K1115" s="245">
        <v>-33.33</v>
      </c>
      <c r="L1115" s="245">
        <v>28.85</v>
      </c>
      <c r="M1115" s="245">
        <v>2.14</v>
      </c>
    </row>
    <row r="1116" spans="1:13">
      <c r="A1116">
        <v>5309</v>
      </c>
      <c r="B1116" t="s">
        <v>6577</v>
      </c>
      <c r="C1116">
        <v>15.55</v>
      </c>
      <c r="D1116">
        <v>195</v>
      </c>
      <c r="E1116">
        <v>182</v>
      </c>
      <c r="F1116">
        <v>33</v>
      </c>
      <c r="G1116">
        <v>53</v>
      </c>
      <c r="H1116">
        <v>3.4</v>
      </c>
      <c r="I1116">
        <v>0</v>
      </c>
      <c r="J1116">
        <v>0.62</v>
      </c>
      <c r="K1116" s="245">
        <v>-17.23</v>
      </c>
      <c r="L1116" s="245">
        <v>40.21</v>
      </c>
      <c r="M1116" s="245">
        <v>25.92</v>
      </c>
    </row>
    <row r="1117" spans="1:13">
      <c r="A1117">
        <v>5310</v>
      </c>
      <c r="B1117" t="s">
        <v>6578</v>
      </c>
      <c r="C1117">
        <v>2.89</v>
      </c>
      <c r="D1117">
        <v>73</v>
      </c>
      <c r="E1117">
        <v>71</v>
      </c>
      <c r="F1117">
        <v>-77</v>
      </c>
      <c r="G1117">
        <v>82</v>
      </c>
      <c r="H1117">
        <v>-72.2</v>
      </c>
      <c r="I1117">
        <v>0</v>
      </c>
      <c r="J1117">
        <v>-1.22</v>
      </c>
      <c r="K1117" s="245">
        <v>-24.51</v>
      </c>
      <c r="L1117" s="245">
        <v>52.84</v>
      </c>
      <c r="M1117" s="245">
        <v>8.76</v>
      </c>
    </row>
    <row r="1118" spans="1:13">
      <c r="A1118">
        <v>5312</v>
      </c>
      <c r="B1118" t="s">
        <v>5676</v>
      </c>
      <c r="C1118">
        <v>6</v>
      </c>
      <c r="D1118">
        <v>-6</v>
      </c>
      <c r="E1118">
        <v>-46</v>
      </c>
      <c r="F1118">
        <v>-7</v>
      </c>
      <c r="G1118">
        <v>4</v>
      </c>
      <c r="H1118">
        <v>2.34</v>
      </c>
      <c r="I1118">
        <v>4.3</v>
      </c>
      <c r="J1118">
        <v>4.83</v>
      </c>
      <c r="K1118" s="245">
        <v>-10.16</v>
      </c>
      <c r="L1118" s="245">
        <v>74.77</v>
      </c>
      <c r="M1118" s="245">
        <v>3.51</v>
      </c>
    </row>
    <row r="1119" spans="1:13">
      <c r="A1119">
        <v>5314</v>
      </c>
      <c r="B1119" t="s">
        <v>6579</v>
      </c>
      <c r="C1119">
        <v>6</v>
      </c>
      <c r="D1119">
        <v>1</v>
      </c>
      <c r="E1119">
        <v>0</v>
      </c>
      <c r="F1119">
        <v>1076</v>
      </c>
      <c r="G1119">
        <v>-65</v>
      </c>
      <c r="H1119">
        <v>-205.96</v>
      </c>
      <c r="I1119">
        <v>0</v>
      </c>
      <c r="J1119">
        <v>-0.5</v>
      </c>
      <c r="K1119" s="245">
        <v>-32.299999999999997</v>
      </c>
      <c r="L1119" s="245">
        <v>25.81</v>
      </c>
      <c r="M1119" s="245">
        <v>13.23</v>
      </c>
    </row>
    <row r="1120" spans="1:13">
      <c r="A1120">
        <v>5315</v>
      </c>
      <c r="B1120" t="s">
        <v>5677</v>
      </c>
      <c r="C1120">
        <v>10.63</v>
      </c>
      <c r="D1120">
        <v>97</v>
      </c>
      <c r="E1120">
        <v>55</v>
      </c>
      <c r="F1120">
        <v>8</v>
      </c>
      <c r="G1120">
        <v>-7</v>
      </c>
      <c r="H1120">
        <v>7.08</v>
      </c>
      <c r="I1120">
        <v>1.3</v>
      </c>
      <c r="J1120">
        <v>1.74</v>
      </c>
      <c r="K1120" s="245">
        <v>-16.39</v>
      </c>
      <c r="L1120" s="245">
        <v>39.61</v>
      </c>
      <c r="M1120" s="245">
        <v>19.96</v>
      </c>
    </row>
    <row r="1121" spans="1:13">
      <c r="A1121">
        <v>5321</v>
      </c>
      <c r="B1121" t="s">
        <v>5678</v>
      </c>
      <c r="C1121">
        <v>3.49</v>
      </c>
      <c r="D1121">
        <v>246</v>
      </c>
      <c r="E1121">
        <v>1010</v>
      </c>
      <c r="F1121">
        <v>27</v>
      </c>
      <c r="G1121">
        <v>21</v>
      </c>
      <c r="H1121">
        <v>7.6</v>
      </c>
      <c r="I1121">
        <v>2</v>
      </c>
      <c r="J1121">
        <v>3.11</v>
      </c>
      <c r="K1121" s="245">
        <v>-19.5</v>
      </c>
      <c r="L1121" s="245">
        <v>42.83</v>
      </c>
      <c r="M1121" s="245">
        <v>50.03</v>
      </c>
    </row>
    <row r="1122" spans="1:13">
      <c r="A1122">
        <v>5324</v>
      </c>
      <c r="B1122" t="s">
        <v>6580</v>
      </c>
      <c r="C1122">
        <v>22.63</v>
      </c>
      <c r="D1122">
        <v>-146</v>
      </c>
      <c r="E1122">
        <v>38</v>
      </c>
      <c r="F1122">
        <v>-7</v>
      </c>
      <c r="G1122">
        <v>-20</v>
      </c>
      <c r="H1122">
        <v>-24.6</v>
      </c>
      <c r="I1122">
        <v>0</v>
      </c>
      <c r="J1122">
        <v>-0.64</v>
      </c>
      <c r="K1122" s="245">
        <v>-10.47</v>
      </c>
      <c r="L1122" s="245">
        <v>64.510000000000005</v>
      </c>
      <c r="M1122" s="245">
        <v>1.02</v>
      </c>
    </row>
    <row r="1123" spans="1:13">
      <c r="A1123">
        <v>5328</v>
      </c>
      <c r="B1123" t="s">
        <v>5679</v>
      </c>
      <c r="C1123">
        <v>17.27</v>
      </c>
      <c r="D1123">
        <v>65</v>
      </c>
      <c r="E1123">
        <v>-2</v>
      </c>
      <c r="F1123">
        <v>20</v>
      </c>
      <c r="G1123">
        <v>17</v>
      </c>
      <c r="H1123">
        <v>2.0499999999999998</v>
      </c>
      <c r="I1123">
        <v>0.15</v>
      </c>
      <c r="J1123">
        <v>0.2</v>
      </c>
      <c r="K1123" s="245">
        <v>-45.94</v>
      </c>
      <c r="L1123" s="245">
        <v>11.48</v>
      </c>
      <c r="M1123" s="245">
        <v>21.39</v>
      </c>
    </row>
    <row r="1124" spans="1:13">
      <c r="A1124">
        <v>5340</v>
      </c>
      <c r="B1124" t="s">
        <v>6581</v>
      </c>
      <c r="C1124">
        <v>19.48</v>
      </c>
      <c r="D1124">
        <v>-44</v>
      </c>
      <c r="E1124">
        <v>-18</v>
      </c>
      <c r="F1124">
        <v>10</v>
      </c>
      <c r="G1124">
        <v>4</v>
      </c>
      <c r="H1124">
        <v>5.07</v>
      </c>
      <c r="I1124">
        <v>0</v>
      </c>
      <c r="J1124">
        <v>0.27</v>
      </c>
      <c r="K1124" s="245">
        <v>-47.05</v>
      </c>
      <c r="L1124" s="245">
        <v>11.51</v>
      </c>
      <c r="M1124" s="245">
        <v>5.89</v>
      </c>
    </row>
    <row r="1125" spans="1:13">
      <c r="A1125">
        <v>5344</v>
      </c>
      <c r="B1125" t="s">
        <v>6582</v>
      </c>
      <c r="C1125">
        <v>7.94</v>
      </c>
      <c r="D1125">
        <v>43</v>
      </c>
      <c r="E1125">
        <v>47</v>
      </c>
      <c r="F1125">
        <v>-17</v>
      </c>
      <c r="G1125">
        <v>-26</v>
      </c>
      <c r="H1125">
        <v>14.07</v>
      </c>
      <c r="I1125">
        <v>0</v>
      </c>
      <c r="J1125">
        <v>0.76</v>
      </c>
      <c r="K1125" s="245">
        <v>-55.26</v>
      </c>
      <c r="L1125" s="245">
        <v>10.6</v>
      </c>
      <c r="M1125" s="245">
        <v>5.45</v>
      </c>
    </row>
    <row r="1126" spans="1:13">
      <c r="A1126">
        <v>5345</v>
      </c>
      <c r="B1126" t="s">
        <v>6583</v>
      </c>
      <c r="C1126">
        <v>4.75</v>
      </c>
      <c r="D1126">
        <v>88</v>
      </c>
      <c r="E1126">
        <v>55</v>
      </c>
      <c r="F1126">
        <v>0</v>
      </c>
      <c r="G1126">
        <v>30</v>
      </c>
      <c r="H1126">
        <v>-519.45000000000005</v>
      </c>
      <c r="I1126">
        <v>0</v>
      </c>
      <c r="J1126">
        <v>-0.35</v>
      </c>
      <c r="K1126" s="245">
        <v>-30.67</v>
      </c>
      <c r="L1126" s="245">
        <v>21.26</v>
      </c>
      <c r="M1126" s="245">
        <v>0.26</v>
      </c>
    </row>
    <row r="1127" spans="1:13">
      <c r="A1127">
        <v>5347</v>
      </c>
      <c r="B1127" t="s">
        <v>5680</v>
      </c>
      <c r="C1127">
        <v>163</v>
      </c>
      <c r="D1127">
        <v>87</v>
      </c>
      <c r="E1127">
        <v>90</v>
      </c>
      <c r="F1127">
        <v>-11</v>
      </c>
      <c r="G1127">
        <v>41</v>
      </c>
      <c r="H1127">
        <v>32.090000000000003</v>
      </c>
      <c r="I1127">
        <v>4.5</v>
      </c>
      <c r="J1127">
        <v>7.21</v>
      </c>
      <c r="K1127" s="245">
        <v>-43.79</v>
      </c>
      <c r="L1127" s="245">
        <v>19.149999999999999</v>
      </c>
      <c r="M1127" s="245">
        <v>3.26</v>
      </c>
    </row>
    <row r="1128" spans="1:13">
      <c r="A1128">
        <v>5348</v>
      </c>
      <c r="B1128" t="s">
        <v>6584</v>
      </c>
      <c r="C1128">
        <v>2.89</v>
      </c>
      <c r="D1128">
        <v>19</v>
      </c>
      <c r="E1128">
        <v>18</v>
      </c>
      <c r="F1128">
        <v>0</v>
      </c>
      <c r="G1128">
        <v>8</v>
      </c>
      <c r="H1128">
        <v>-13.09</v>
      </c>
      <c r="I1128">
        <v>0</v>
      </c>
      <c r="J1128">
        <v>-0.53</v>
      </c>
      <c r="K1128" s="245">
        <v>-8.94</v>
      </c>
      <c r="L1128" s="245">
        <v>75.27</v>
      </c>
      <c r="M1128" s="245">
        <v>0.76</v>
      </c>
    </row>
    <row r="1129" spans="1:13">
      <c r="A1129">
        <v>5351</v>
      </c>
      <c r="B1129" t="s">
        <v>5681</v>
      </c>
      <c r="C1129">
        <v>27.02</v>
      </c>
      <c r="D1129">
        <v>478</v>
      </c>
      <c r="E1129">
        <v>607</v>
      </c>
      <c r="F1129">
        <v>6</v>
      </c>
      <c r="G1129">
        <v>45</v>
      </c>
      <c r="H1129">
        <v>18.37</v>
      </c>
      <c r="I1129">
        <v>1.3</v>
      </c>
      <c r="J1129">
        <v>3.91</v>
      </c>
      <c r="K1129" s="245">
        <v>-39.71</v>
      </c>
      <c r="L1129" s="245">
        <v>22.53</v>
      </c>
      <c r="M1129" s="245">
        <v>56.91</v>
      </c>
    </row>
    <row r="1130" spans="1:13">
      <c r="A1130">
        <v>5353</v>
      </c>
      <c r="B1130" t="s">
        <v>5682</v>
      </c>
      <c r="C1130">
        <v>7.5</v>
      </c>
      <c r="D1130">
        <v>14</v>
      </c>
      <c r="E1130">
        <v>23</v>
      </c>
      <c r="F1130">
        <v>23</v>
      </c>
      <c r="G1130">
        <v>51</v>
      </c>
      <c r="H1130">
        <v>4.68</v>
      </c>
      <c r="I1130">
        <v>0.9</v>
      </c>
      <c r="J1130">
        <v>1.01</v>
      </c>
      <c r="K1130" s="245">
        <v>-16.23</v>
      </c>
      <c r="L1130" s="245">
        <v>35.799999999999997</v>
      </c>
      <c r="M1130" s="245">
        <v>4.83</v>
      </c>
    </row>
    <row r="1131" spans="1:13">
      <c r="A1131">
        <v>5355</v>
      </c>
      <c r="B1131" t="s">
        <v>6585</v>
      </c>
      <c r="C1131">
        <v>16.61</v>
      </c>
      <c r="D1131">
        <v>-1143</v>
      </c>
      <c r="E1131">
        <v>2</v>
      </c>
      <c r="F1131">
        <v>25</v>
      </c>
      <c r="G1131">
        <v>-29</v>
      </c>
      <c r="H1131">
        <v>-18.38</v>
      </c>
      <c r="I1131">
        <v>0</v>
      </c>
      <c r="J1131">
        <v>-0.67</v>
      </c>
      <c r="K1131" s="245">
        <v>-32.19</v>
      </c>
      <c r="L1131" s="245">
        <v>19.420000000000002</v>
      </c>
      <c r="M1131" s="245">
        <v>5.68</v>
      </c>
    </row>
    <row r="1132" spans="1:13">
      <c r="A1132">
        <v>5356</v>
      </c>
      <c r="B1132" t="s">
        <v>5683</v>
      </c>
      <c r="C1132">
        <v>10.3</v>
      </c>
      <c r="D1132">
        <v>-112</v>
      </c>
      <c r="E1132">
        <v>-249</v>
      </c>
      <c r="F1132">
        <v>-4</v>
      </c>
      <c r="G1132">
        <v>-2</v>
      </c>
      <c r="H1132">
        <v>-3.61</v>
      </c>
      <c r="I1132">
        <v>1.3</v>
      </c>
      <c r="J1132">
        <v>-0.28000000000000003</v>
      </c>
      <c r="K1132" s="245">
        <v>-30.8</v>
      </c>
      <c r="L1132" s="245">
        <v>31.08</v>
      </c>
      <c r="M1132" s="245">
        <v>14.12</v>
      </c>
    </row>
    <row r="1133" spans="1:13">
      <c r="A1133">
        <v>5364</v>
      </c>
      <c r="B1133" t="s">
        <v>6586</v>
      </c>
      <c r="C1133">
        <v>2.88</v>
      </c>
      <c r="D1133">
        <v>-285</v>
      </c>
      <c r="E1133">
        <v>-2149</v>
      </c>
      <c r="F1133">
        <v>-24</v>
      </c>
      <c r="G1133">
        <v>-1</v>
      </c>
      <c r="H1133">
        <v>-22.23</v>
      </c>
      <c r="I1133">
        <v>0</v>
      </c>
      <c r="J1133">
        <v>-2.4900000000000002</v>
      </c>
      <c r="K1133" s="245">
        <v>-11.72</v>
      </c>
      <c r="L1133" s="245">
        <v>44.39</v>
      </c>
      <c r="M1133" s="245">
        <v>0.36</v>
      </c>
    </row>
    <row r="1134" spans="1:13">
      <c r="A1134">
        <v>5371</v>
      </c>
      <c r="B1134" t="s">
        <v>5684</v>
      </c>
      <c r="C1134">
        <v>39.090000000000003</v>
      </c>
      <c r="D1134">
        <v>46</v>
      </c>
      <c r="E1134">
        <v>137</v>
      </c>
      <c r="F1134">
        <v>16</v>
      </c>
      <c r="G1134">
        <v>21</v>
      </c>
      <c r="H1134">
        <v>3.3</v>
      </c>
      <c r="I1134">
        <v>4</v>
      </c>
      <c r="J1134">
        <v>5.12</v>
      </c>
      <c r="K1134" s="245">
        <v>-42.6</v>
      </c>
      <c r="L1134" s="245">
        <v>4.3</v>
      </c>
      <c r="M1134" s="245">
        <v>12.46</v>
      </c>
    </row>
    <row r="1135" spans="1:13">
      <c r="A1135">
        <v>5381</v>
      </c>
      <c r="B1135" t="s">
        <v>6587</v>
      </c>
      <c r="C1135">
        <v>18.010000000000002</v>
      </c>
      <c r="D1135">
        <v>389</v>
      </c>
      <c r="E1135">
        <v>1057</v>
      </c>
      <c r="F1135">
        <v>42</v>
      </c>
      <c r="G1135">
        <v>-32</v>
      </c>
      <c r="H1135">
        <v>2.11</v>
      </c>
      <c r="I1135">
        <v>0</v>
      </c>
      <c r="J1135">
        <v>7.0000000000000007E-2</v>
      </c>
      <c r="K1135" s="245">
        <v>-20.58</v>
      </c>
      <c r="L1135" s="245">
        <v>37.76</v>
      </c>
      <c r="M1135" s="245">
        <v>1.32</v>
      </c>
    </row>
    <row r="1136" spans="1:13">
      <c r="A1136">
        <v>5383</v>
      </c>
      <c r="B1136" t="s">
        <v>6588</v>
      </c>
      <c r="C1136">
        <v>7.94</v>
      </c>
      <c r="D1136">
        <v>222</v>
      </c>
      <c r="E1136">
        <v>241</v>
      </c>
      <c r="F1136">
        <v>0</v>
      </c>
      <c r="G1136">
        <v>28</v>
      </c>
      <c r="H1136">
        <v>6.07</v>
      </c>
      <c r="I1136">
        <v>0</v>
      </c>
      <c r="J1136">
        <v>0.33</v>
      </c>
      <c r="K1136" s="245">
        <v>-41.2</v>
      </c>
      <c r="L1136" s="245">
        <v>22.33</v>
      </c>
      <c r="M1136" s="245">
        <v>5.39</v>
      </c>
    </row>
    <row r="1137" spans="1:13">
      <c r="A1137">
        <v>5386</v>
      </c>
      <c r="B1137" t="s">
        <v>5685</v>
      </c>
      <c r="C1137">
        <v>2.4700000000000002</v>
      </c>
      <c r="D1137">
        <v>143</v>
      </c>
      <c r="E1137">
        <v>92</v>
      </c>
      <c r="F1137">
        <v>-23</v>
      </c>
      <c r="G1137">
        <v>66</v>
      </c>
      <c r="H1137">
        <v>2.08</v>
      </c>
      <c r="I1137">
        <v>1.2</v>
      </c>
      <c r="J1137">
        <v>2.36</v>
      </c>
      <c r="K1137" s="245">
        <v>-33.11</v>
      </c>
      <c r="L1137" s="245">
        <v>12.21</v>
      </c>
      <c r="M1137" s="245">
        <v>32.409999999999997</v>
      </c>
    </row>
    <row r="1138" spans="1:13">
      <c r="A1138">
        <v>5388</v>
      </c>
      <c r="B1138" t="s">
        <v>5686</v>
      </c>
      <c r="C1138">
        <v>25.23</v>
      </c>
      <c r="D1138">
        <v>-4</v>
      </c>
      <c r="E1138">
        <v>-7</v>
      </c>
      <c r="F1138">
        <v>1</v>
      </c>
      <c r="G1138">
        <v>49</v>
      </c>
      <c r="H1138">
        <v>2.4</v>
      </c>
      <c r="I1138">
        <v>2.4</v>
      </c>
      <c r="J1138">
        <v>3.44</v>
      </c>
      <c r="K1138" s="245">
        <v>-16.63</v>
      </c>
      <c r="L1138" s="245">
        <v>41.14</v>
      </c>
      <c r="M1138" s="245">
        <v>9.58</v>
      </c>
    </row>
    <row r="1139" spans="1:13">
      <c r="A1139">
        <v>5392</v>
      </c>
      <c r="B1139" t="s">
        <v>5687</v>
      </c>
      <c r="C1139">
        <v>16.989999999999998</v>
      </c>
      <c r="D1139">
        <v>375</v>
      </c>
      <c r="E1139">
        <v>119</v>
      </c>
      <c r="F1139">
        <v>16</v>
      </c>
      <c r="G1139">
        <v>-5</v>
      </c>
      <c r="H1139">
        <v>2.19</v>
      </c>
      <c r="I1139">
        <v>0.3</v>
      </c>
      <c r="J1139">
        <v>0.35</v>
      </c>
      <c r="K1139" s="245">
        <v>-30.44</v>
      </c>
      <c r="L1139" s="245">
        <v>8.68</v>
      </c>
      <c r="M1139" s="245">
        <v>3.32</v>
      </c>
    </row>
    <row r="1140" spans="1:13">
      <c r="A1140">
        <v>5398</v>
      </c>
      <c r="B1140" t="s">
        <v>6157</v>
      </c>
      <c r="C1140">
        <v>4.99</v>
      </c>
      <c r="D1140">
        <v>-2</v>
      </c>
      <c r="E1140">
        <v>93</v>
      </c>
      <c r="F1140">
        <v>57</v>
      </c>
      <c r="G1140">
        <v>-35</v>
      </c>
      <c r="H1140">
        <v>6.77</v>
      </c>
      <c r="I1140">
        <v>0.14000000000000001</v>
      </c>
      <c r="J1140">
        <v>0.33</v>
      </c>
      <c r="K1140" s="245">
        <v>-4.29</v>
      </c>
      <c r="L1140" s="245">
        <v>67.260000000000005</v>
      </c>
      <c r="M1140" s="245">
        <v>0.73</v>
      </c>
    </row>
    <row r="1141" spans="1:13">
      <c r="A1141">
        <v>5403</v>
      </c>
      <c r="B1141" t="s">
        <v>5688</v>
      </c>
      <c r="C1141">
        <v>7.08</v>
      </c>
      <c r="D1141">
        <v>26</v>
      </c>
      <c r="E1141">
        <v>48</v>
      </c>
      <c r="F1141">
        <v>-12</v>
      </c>
      <c r="G1141">
        <v>10</v>
      </c>
      <c r="H1141">
        <v>12.62</v>
      </c>
      <c r="I1141">
        <v>4.5</v>
      </c>
      <c r="J1141">
        <v>5.88</v>
      </c>
      <c r="K1141" s="245">
        <v>-7.29</v>
      </c>
      <c r="L1141" s="245">
        <v>56.63</v>
      </c>
      <c r="M1141" s="245">
        <v>0.93</v>
      </c>
    </row>
    <row r="1142" spans="1:13">
      <c r="A1142">
        <v>5410</v>
      </c>
      <c r="B1142" t="s">
        <v>5689</v>
      </c>
      <c r="C1142">
        <v>8.81</v>
      </c>
      <c r="D1142">
        <v>7</v>
      </c>
      <c r="E1142">
        <v>25</v>
      </c>
      <c r="F1142">
        <v>-10</v>
      </c>
      <c r="G1142">
        <v>-24</v>
      </c>
      <c r="H1142">
        <v>5.01</v>
      </c>
      <c r="I1142">
        <v>1.85</v>
      </c>
      <c r="J1142">
        <v>2.14</v>
      </c>
      <c r="K1142" s="245">
        <v>-10.56</v>
      </c>
      <c r="L1142" s="245">
        <v>35.68</v>
      </c>
      <c r="M1142" s="245">
        <v>10.039999999999999</v>
      </c>
    </row>
    <row r="1143" spans="1:13">
      <c r="A1143">
        <v>5425</v>
      </c>
      <c r="B1143" t="s">
        <v>5690</v>
      </c>
      <c r="C1143">
        <v>26.34</v>
      </c>
      <c r="D1143">
        <v>39</v>
      </c>
      <c r="E1143">
        <v>51</v>
      </c>
      <c r="F1143">
        <v>-8</v>
      </c>
      <c r="G1143">
        <v>14</v>
      </c>
      <c r="H1143">
        <v>14.49</v>
      </c>
      <c r="I1143">
        <v>2.5</v>
      </c>
      <c r="J1143">
        <v>3.55</v>
      </c>
      <c r="K1143" s="245">
        <v>-22.76</v>
      </c>
      <c r="L1143" s="245">
        <v>54.18</v>
      </c>
      <c r="M1143" s="245">
        <v>37.56</v>
      </c>
    </row>
    <row r="1144" spans="1:13">
      <c r="A1144">
        <v>5426</v>
      </c>
      <c r="B1144" t="s">
        <v>5691</v>
      </c>
      <c r="C1144">
        <v>14.38</v>
      </c>
      <c r="D1144">
        <v>-131</v>
      </c>
      <c r="E1144">
        <v>-582</v>
      </c>
      <c r="F1144">
        <v>52</v>
      </c>
      <c r="G1144">
        <v>3</v>
      </c>
      <c r="H1144">
        <v>-5.82</v>
      </c>
      <c r="I1144">
        <v>0</v>
      </c>
      <c r="J1144">
        <v>-0.62</v>
      </c>
      <c r="K1144" s="245">
        <v>-31.21</v>
      </c>
      <c r="L1144" s="245">
        <v>11.48</v>
      </c>
      <c r="M1144" s="245">
        <v>13.29</v>
      </c>
    </row>
    <row r="1145" spans="1:13">
      <c r="A1145">
        <v>5432</v>
      </c>
      <c r="B1145" t="s">
        <v>5692</v>
      </c>
      <c r="C1145">
        <v>2.06</v>
      </c>
      <c r="D1145">
        <v>215</v>
      </c>
      <c r="E1145">
        <v>1300</v>
      </c>
      <c r="F1145">
        <v>25</v>
      </c>
      <c r="G1145">
        <v>560</v>
      </c>
      <c r="H1145">
        <v>7.23</v>
      </c>
      <c r="I1145">
        <v>0</v>
      </c>
      <c r="J1145">
        <v>0.32</v>
      </c>
      <c r="K1145" s="245">
        <v>-11.28</v>
      </c>
      <c r="L1145" s="245">
        <v>45.81</v>
      </c>
      <c r="M1145" s="245">
        <v>1.88</v>
      </c>
    </row>
    <row r="1146" spans="1:13">
      <c r="A1146">
        <v>5434</v>
      </c>
      <c r="B1146" t="s">
        <v>5693</v>
      </c>
      <c r="C1146">
        <v>18.16</v>
      </c>
      <c r="D1146">
        <v>11</v>
      </c>
      <c r="E1146">
        <v>23</v>
      </c>
      <c r="F1146">
        <v>26</v>
      </c>
      <c r="G1146">
        <v>32</v>
      </c>
      <c r="H1146">
        <v>5.98</v>
      </c>
      <c r="I1146">
        <v>8.8000000000000007</v>
      </c>
      <c r="J1146">
        <v>12.63</v>
      </c>
      <c r="K1146" s="245">
        <v>-12.13</v>
      </c>
      <c r="L1146" s="245">
        <v>22.42</v>
      </c>
      <c r="M1146" s="245">
        <v>2.04</v>
      </c>
    </row>
    <row r="1147" spans="1:13">
      <c r="A1147">
        <v>5438</v>
      </c>
      <c r="B1147" t="s">
        <v>5694</v>
      </c>
      <c r="C1147">
        <v>11.25</v>
      </c>
      <c r="D1147">
        <v>6386</v>
      </c>
      <c r="E1147">
        <v>69</v>
      </c>
      <c r="F1147">
        <v>20</v>
      </c>
      <c r="G1147">
        <v>-49</v>
      </c>
      <c r="H1147">
        <v>-1.35</v>
      </c>
      <c r="I1147">
        <v>0.41</v>
      </c>
      <c r="J1147">
        <v>0.51</v>
      </c>
      <c r="K1147" s="245">
        <v>-49.91</v>
      </c>
      <c r="L1147" s="245">
        <v>21.6</v>
      </c>
      <c r="M1147" s="245">
        <v>9.1999999999999993</v>
      </c>
    </row>
    <row r="1148" spans="1:13">
      <c r="A1148">
        <v>5439</v>
      </c>
      <c r="B1148" t="s">
        <v>5695</v>
      </c>
      <c r="C1148">
        <v>9.2899999999999991</v>
      </c>
      <c r="D1148">
        <v>38</v>
      </c>
      <c r="E1148">
        <v>29</v>
      </c>
      <c r="F1148">
        <v>3</v>
      </c>
      <c r="G1148">
        <v>1</v>
      </c>
      <c r="H1148">
        <v>14.93</v>
      </c>
      <c r="I1148">
        <v>3.6</v>
      </c>
      <c r="J1148">
        <v>4.6100000000000003</v>
      </c>
      <c r="K1148" s="245">
        <v>-36.68</v>
      </c>
      <c r="L1148" s="245">
        <v>9.59</v>
      </c>
      <c r="M1148" s="245">
        <v>8.11</v>
      </c>
    </row>
    <row r="1149" spans="1:13">
      <c r="A1149">
        <v>5443</v>
      </c>
      <c r="B1149" t="s">
        <v>5696</v>
      </c>
      <c r="C1149">
        <v>16.510000000000002</v>
      </c>
      <c r="D1149">
        <v>100</v>
      </c>
      <c r="E1149">
        <v>308</v>
      </c>
      <c r="F1149">
        <v>67</v>
      </c>
      <c r="G1149">
        <v>8</v>
      </c>
      <c r="H1149">
        <v>6.59</v>
      </c>
      <c r="I1149">
        <v>1.5</v>
      </c>
      <c r="J1149">
        <v>1.54</v>
      </c>
      <c r="K1149" s="245">
        <v>-41.31</v>
      </c>
      <c r="L1149" s="245">
        <v>19.14</v>
      </c>
      <c r="M1149" s="245">
        <v>18.38</v>
      </c>
    </row>
    <row r="1150" spans="1:13">
      <c r="A1150">
        <v>5450</v>
      </c>
      <c r="B1150" t="s">
        <v>5697</v>
      </c>
      <c r="C1150">
        <v>12.23</v>
      </c>
      <c r="D1150">
        <v>126</v>
      </c>
      <c r="E1150">
        <v>68</v>
      </c>
      <c r="F1150">
        <v>63</v>
      </c>
      <c r="G1150">
        <v>19</v>
      </c>
      <c r="H1150">
        <v>5.69</v>
      </c>
      <c r="I1150">
        <v>0.6</v>
      </c>
      <c r="J1150">
        <v>1.23</v>
      </c>
      <c r="K1150" s="245">
        <v>-25.22</v>
      </c>
      <c r="L1150" s="245">
        <v>34.18</v>
      </c>
      <c r="M1150" s="245">
        <v>3.28</v>
      </c>
    </row>
    <row r="1151" spans="1:13">
      <c r="A1151">
        <v>5452</v>
      </c>
      <c r="B1151" t="s">
        <v>5698</v>
      </c>
      <c r="C1151">
        <v>14.87</v>
      </c>
      <c r="D1151">
        <v>74</v>
      </c>
      <c r="E1151">
        <v>78</v>
      </c>
      <c r="F1151">
        <v>-11</v>
      </c>
      <c r="G1151">
        <v>5</v>
      </c>
      <c r="H1151">
        <v>6.67</v>
      </c>
      <c r="I1151">
        <v>0.8</v>
      </c>
      <c r="J1151">
        <v>1.6</v>
      </c>
      <c r="K1151" s="245">
        <v>-43.38</v>
      </c>
      <c r="L1151" s="245">
        <v>8.75</v>
      </c>
      <c r="M1151" s="245">
        <v>13.35</v>
      </c>
    </row>
    <row r="1152" spans="1:13">
      <c r="A1152">
        <v>5455</v>
      </c>
      <c r="B1152" t="s">
        <v>6589</v>
      </c>
      <c r="C1152">
        <v>6.55</v>
      </c>
      <c r="D1152">
        <v>55</v>
      </c>
      <c r="E1152">
        <v>48</v>
      </c>
      <c r="F1152">
        <v>-97</v>
      </c>
      <c r="G1152">
        <v>6458</v>
      </c>
      <c r="H1152">
        <v>-15.65</v>
      </c>
      <c r="I1152">
        <v>0</v>
      </c>
      <c r="J1152">
        <v>-0.09</v>
      </c>
      <c r="K1152" s="245">
        <v>-22.1</v>
      </c>
      <c r="L1152" s="245">
        <v>19.73</v>
      </c>
      <c r="M1152" s="245">
        <v>0.08</v>
      </c>
    </row>
    <row r="1153" spans="1:13">
      <c r="A1153">
        <v>5457</v>
      </c>
      <c r="B1153" t="s">
        <v>5699</v>
      </c>
      <c r="C1153">
        <v>17.03</v>
      </c>
      <c r="D1153">
        <v>16</v>
      </c>
      <c r="E1153">
        <v>14</v>
      </c>
      <c r="F1153">
        <v>-3</v>
      </c>
      <c r="G1153">
        <v>33</v>
      </c>
      <c r="H1153">
        <v>10.91</v>
      </c>
      <c r="I1153">
        <v>2.5</v>
      </c>
      <c r="J1153">
        <v>5.1100000000000003</v>
      </c>
      <c r="K1153" s="245">
        <v>-47.87</v>
      </c>
      <c r="L1153" s="245">
        <v>10.63</v>
      </c>
      <c r="M1153" s="245">
        <v>9.01</v>
      </c>
    </row>
    <row r="1154" spans="1:13">
      <c r="A1154">
        <v>5460</v>
      </c>
      <c r="B1154" t="s">
        <v>6254</v>
      </c>
      <c r="C1154">
        <v>5.87</v>
      </c>
      <c r="D1154">
        <v>-58</v>
      </c>
      <c r="E1154">
        <v>-137</v>
      </c>
      <c r="F1154">
        <v>-45</v>
      </c>
      <c r="G1154">
        <v>-49</v>
      </c>
      <c r="H1154">
        <v>-0.26</v>
      </c>
      <c r="I1154">
        <v>0</v>
      </c>
      <c r="J1154">
        <v>0.01</v>
      </c>
      <c r="K1154" s="245">
        <v>-16.25</v>
      </c>
      <c r="L1154" s="245">
        <v>29.05</v>
      </c>
      <c r="M1154" s="245">
        <v>1.7</v>
      </c>
    </row>
    <row r="1155" spans="1:13">
      <c r="A1155">
        <v>5464</v>
      </c>
      <c r="B1155" t="s">
        <v>5700</v>
      </c>
      <c r="C1155">
        <v>7.1</v>
      </c>
      <c r="D1155">
        <v>307</v>
      </c>
      <c r="E1155">
        <v>55</v>
      </c>
      <c r="F1155">
        <v>14</v>
      </c>
      <c r="G1155">
        <v>-14</v>
      </c>
      <c r="H1155">
        <v>-2.67</v>
      </c>
      <c r="I1155">
        <v>2</v>
      </c>
      <c r="J1155">
        <v>4.8099999999999996</v>
      </c>
      <c r="K1155" s="245">
        <v>-52.9</v>
      </c>
      <c r="L1155" s="245">
        <v>21.65</v>
      </c>
      <c r="M1155" s="245">
        <v>15.12</v>
      </c>
    </row>
    <row r="1156" spans="1:13">
      <c r="A1156">
        <v>5465</v>
      </c>
      <c r="B1156" t="s">
        <v>6306</v>
      </c>
      <c r="C1156">
        <v>14.76</v>
      </c>
      <c r="D1156">
        <v>8</v>
      </c>
      <c r="E1156">
        <v>1</v>
      </c>
      <c r="F1156">
        <v>19</v>
      </c>
      <c r="G1156">
        <v>-33</v>
      </c>
      <c r="H1156">
        <v>5.1100000000000003</v>
      </c>
      <c r="I1156">
        <v>1</v>
      </c>
      <c r="J1156">
        <v>1.27</v>
      </c>
      <c r="K1156" s="245">
        <v>-18.579999999999998</v>
      </c>
      <c r="L1156" s="245">
        <v>31.61</v>
      </c>
      <c r="M1156" s="245">
        <v>0.8</v>
      </c>
    </row>
    <row r="1157" spans="1:13">
      <c r="A1157">
        <v>5468</v>
      </c>
      <c r="B1157" t="s">
        <v>6590</v>
      </c>
      <c r="C1157">
        <v>2.78</v>
      </c>
      <c r="D1157">
        <v>138</v>
      </c>
      <c r="E1157">
        <v>187</v>
      </c>
      <c r="F1157">
        <v>0</v>
      </c>
      <c r="G1157">
        <v>67</v>
      </c>
      <c r="H1157">
        <v>5.03</v>
      </c>
      <c r="I1157">
        <v>0</v>
      </c>
      <c r="J1157">
        <v>0.19</v>
      </c>
      <c r="K1157" s="245">
        <v>-1.41</v>
      </c>
      <c r="L1157" s="245">
        <v>86.13</v>
      </c>
      <c r="M1157" s="245">
        <v>7.61</v>
      </c>
    </row>
    <row r="1158" spans="1:13">
      <c r="A1158">
        <v>5469</v>
      </c>
      <c r="B1158" t="s">
        <v>5701</v>
      </c>
      <c r="C1158">
        <v>52.84</v>
      </c>
      <c r="D1158">
        <v>43</v>
      </c>
      <c r="E1158">
        <v>23</v>
      </c>
      <c r="F1158">
        <v>-21</v>
      </c>
      <c r="G1158">
        <v>-23</v>
      </c>
      <c r="H1158">
        <v>11.59</v>
      </c>
      <c r="I1158">
        <v>2.2000000000000002</v>
      </c>
      <c r="J1158">
        <v>7.05</v>
      </c>
      <c r="K1158" s="245">
        <v>-30.86</v>
      </c>
      <c r="L1158" s="245">
        <v>7.07</v>
      </c>
      <c r="M1158" s="245">
        <v>3.86</v>
      </c>
    </row>
    <row r="1159" spans="1:13">
      <c r="A1159">
        <v>5471</v>
      </c>
      <c r="B1159" t="s">
        <v>5702</v>
      </c>
      <c r="C1159">
        <v>16.78</v>
      </c>
      <c r="D1159">
        <v>42</v>
      </c>
      <c r="E1159">
        <v>49</v>
      </c>
      <c r="F1159">
        <v>-7</v>
      </c>
      <c r="G1159">
        <v>-35</v>
      </c>
      <c r="H1159">
        <v>31.48</v>
      </c>
      <c r="I1159">
        <v>7</v>
      </c>
      <c r="J1159">
        <v>8.7100000000000009</v>
      </c>
      <c r="K1159" s="245">
        <v>-37.65</v>
      </c>
      <c r="L1159" s="245">
        <v>18.420000000000002</v>
      </c>
      <c r="M1159" s="245">
        <v>21.37</v>
      </c>
    </row>
    <row r="1160" spans="1:13">
      <c r="A1160">
        <v>5474</v>
      </c>
      <c r="B1160" t="s">
        <v>5703</v>
      </c>
      <c r="C1160">
        <v>4.03</v>
      </c>
      <c r="D1160">
        <v>-37</v>
      </c>
      <c r="E1160">
        <v>-38</v>
      </c>
      <c r="F1160">
        <v>86</v>
      </c>
      <c r="G1160">
        <v>38</v>
      </c>
      <c r="H1160">
        <v>27.02</v>
      </c>
      <c r="I1160">
        <v>5</v>
      </c>
      <c r="J1160">
        <v>9.66</v>
      </c>
      <c r="K1160" s="245">
        <v>-47.43</v>
      </c>
      <c r="L1160" s="245">
        <v>24</v>
      </c>
      <c r="M1160" s="245">
        <v>11.18</v>
      </c>
    </row>
    <row r="1161" spans="1:13">
      <c r="A1161">
        <v>5475</v>
      </c>
      <c r="B1161" t="s">
        <v>6591</v>
      </c>
      <c r="C1161">
        <v>12.71</v>
      </c>
      <c r="D1161">
        <v>587</v>
      </c>
      <c r="E1161">
        <v>441</v>
      </c>
      <c r="F1161">
        <v>33</v>
      </c>
      <c r="G1161">
        <v>-63</v>
      </c>
      <c r="H1161">
        <v>22.02</v>
      </c>
      <c r="I1161">
        <v>0</v>
      </c>
      <c r="J1161">
        <v>3.73</v>
      </c>
      <c r="K1161" s="245">
        <v>-72.040000000000006</v>
      </c>
      <c r="L1161" s="245">
        <v>5.3</v>
      </c>
      <c r="M1161" s="245">
        <v>39.18</v>
      </c>
    </row>
    <row r="1162" spans="1:13">
      <c r="A1162">
        <v>5478</v>
      </c>
      <c r="B1162" t="s">
        <v>5704</v>
      </c>
      <c r="C1162">
        <v>12.74</v>
      </c>
      <c r="D1162">
        <v>-12</v>
      </c>
      <c r="E1162">
        <v>-4</v>
      </c>
      <c r="F1162">
        <v>-8</v>
      </c>
      <c r="G1162">
        <v>-10</v>
      </c>
      <c r="H1162">
        <v>15.96</v>
      </c>
      <c r="I1162">
        <v>5.2</v>
      </c>
      <c r="J1162">
        <v>6.84</v>
      </c>
      <c r="K1162" s="245">
        <v>-32.43</v>
      </c>
      <c r="L1162" s="245">
        <v>18.760000000000002</v>
      </c>
      <c r="M1162" s="245">
        <v>7.58</v>
      </c>
    </row>
    <row r="1163" spans="1:13">
      <c r="A1163">
        <v>5481</v>
      </c>
      <c r="B1163" t="s">
        <v>5705</v>
      </c>
      <c r="C1163">
        <v>7.34</v>
      </c>
      <c r="D1163">
        <v>-70</v>
      </c>
      <c r="E1163">
        <v>28</v>
      </c>
      <c r="F1163">
        <v>-9</v>
      </c>
      <c r="G1163">
        <v>-9</v>
      </c>
      <c r="H1163">
        <v>-27.72</v>
      </c>
      <c r="I1163">
        <v>0.6</v>
      </c>
      <c r="J1163">
        <v>1.81</v>
      </c>
      <c r="K1163" s="245">
        <v>-8.8699999999999992</v>
      </c>
      <c r="L1163" s="245">
        <v>33.520000000000003</v>
      </c>
      <c r="M1163" s="245">
        <v>8.3800000000000008</v>
      </c>
    </row>
    <row r="1164" spans="1:13">
      <c r="A1164">
        <v>5483</v>
      </c>
      <c r="B1164" t="s">
        <v>5706</v>
      </c>
      <c r="C1164">
        <v>58.62</v>
      </c>
      <c r="D1164">
        <v>0</v>
      </c>
      <c r="E1164">
        <v>21</v>
      </c>
      <c r="F1164">
        <v>8</v>
      </c>
      <c r="G1164">
        <v>8</v>
      </c>
      <c r="H1164">
        <v>26.26</v>
      </c>
      <c r="I1164">
        <v>8</v>
      </c>
      <c r="J1164">
        <v>11.62</v>
      </c>
      <c r="K1164" s="245">
        <v>-39.36</v>
      </c>
      <c r="L1164" s="245">
        <v>23.38</v>
      </c>
      <c r="M1164" s="245">
        <v>11.43</v>
      </c>
    </row>
    <row r="1165" spans="1:13">
      <c r="A1165">
        <v>5484</v>
      </c>
      <c r="B1165" t="s">
        <v>6592</v>
      </c>
      <c r="C1165">
        <v>6.68</v>
      </c>
      <c r="D1165">
        <v>30</v>
      </c>
      <c r="E1165">
        <v>56</v>
      </c>
      <c r="F1165">
        <v>-4</v>
      </c>
      <c r="G1165">
        <v>-60</v>
      </c>
      <c r="H1165">
        <v>-8</v>
      </c>
      <c r="I1165">
        <v>0</v>
      </c>
      <c r="J1165">
        <v>-0.63</v>
      </c>
      <c r="K1165" s="245">
        <v>-32.64</v>
      </c>
      <c r="L1165" s="245">
        <v>8.19</v>
      </c>
      <c r="M1165" s="245">
        <v>3.42</v>
      </c>
    </row>
    <row r="1166" spans="1:13">
      <c r="A1166">
        <v>5487</v>
      </c>
      <c r="B1166" t="s">
        <v>6332</v>
      </c>
      <c r="C1166">
        <v>2.4</v>
      </c>
      <c r="D1166">
        <v>22</v>
      </c>
      <c r="E1166">
        <v>16</v>
      </c>
      <c r="F1166">
        <v>45</v>
      </c>
      <c r="G1166">
        <v>-8</v>
      </c>
      <c r="H1166">
        <v>16.649999999999999</v>
      </c>
      <c r="I1166">
        <v>1.36</v>
      </c>
      <c r="J1166">
        <v>2.02</v>
      </c>
      <c r="K1166" s="245">
        <v>-30.88</v>
      </c>
      <c r="L1166" s="245">
        <v>21.85</v>
      </c>
      <c r="M1166" s="245">
        <v>2.46</v>
      </c>
    </row>
    <row r="1167" spans="1:13">
      <c r="A1167">
        <v>5488</v>
      </c>
      <c r="B1167" t="s">
        <v>6593</v>
      </c>
      <c r="C1167">
        <v>9.15</v>
      </c>
      <c r="D1167">
        <v>124</v>
      </c>
      <c r="E1167">
        <v>124</v>
      </c>
      <c r="F1167">
        <v>20</v>
      </c>
      <c r="G1167">
        <v>5</v>
      </c>
      <c r="H1167">
        <v>0.78</v>
      </c>
      <c r="I1167">
        <v>0</v>
      </c>
      <c r="J1167">
        <v>0.08</v>
      </c>
      <c r="K1167" s="245">
        <v>-27.85</v>
      </c>
      <c r="L1167" s="245">
        <v>22.9</v>
      </c>
      <c r="M1167" s="245">
        <v>6.16</v>
      </c>
    </row>
    <row r="1168" spans="1:13">
      <c r="A1168">
        <v>5489</v>
      </c>
      <c r="B1168" t="s">
        <v>6338</v>
      </c>
      <c r="C1168">
        <v>10.27</v>
      </c>
      <c r="D1168">
        <v>532</v>
      </c>
      <c r="E1168">
        <v>257</v>
      </c>
      <c r="F1168">
        <v>-6</v>
      </c>
      <c r="G1168">
        <v>0</v>
      </c>
      <c r="H1168">
        <v>11.11</v>
      </c>
      <c r="I1168">
        <v>1</v>
      </c>
      <c r="J1168">
        <v>1.25</v>
      </c>
      <c r="K1168" s="245">
        <v>-9.9499999999999993</v>
      </c>
      <c r="L1168" s="245">
        <v>77.53</v>
      </c>
      <c r="M1168" s="245">
        <v>0.16</v>
      </c>
    </row>
    <row r="1169" spans="1:13">
      <c r="A1169">
        <v>5490</v>
      </c>
      <c r="B1169" t="s">
        <v>6158</v>
      </c>
      <c r="C1169">
        <v>9.6199999999999992</v>
      </c>
      <c r="D1169">
        <v>-35</v>
      </c>
      <c r="E1169">
        <v>-35</v>
      </c>
      <c r="F1169">
        <v>-41</v>
      </c>
      <c r="G1169">
        <v>-1</v>
      </c>
      <c r="H1169">
        <v>10.74</v>
      </c>
      <c r="I1169">
        <v>1.25</v>
      </c>
      <c r="J1169">
        <v>1.41</v>
      </c>
      <c r="K1169" s="245">
        <v>-16</v>
      </c>
      <c r="L1169" s="245">
        <v>20.41</v>
      </c>
      <c r="M1169" s="245">
        <v>3.9</v>
      </c>
    </row>
    <row r="1170" spans="1:13">
      <c r="A1170">
        <v>5493</v>
      </c>
      <c r="B1170" t="s">
        <v>5707</v>
      </c>
      <c r="C1170">
        <v>4.16</v>
      </c>
      <c r="D1170">
        <v>38</v>
      </c>
      <c r="E1170">
        <v>33</v>
      </c>
      <c r="F1170">
        <v>-11</v>
      </c>
      <c r="G1170">
        <v>17</v>
      </c>
      <c r="H1170">
        <v>9.3800000000000008</v>
      </c>
      <c r="I1170">
        <v>3.1</v>
      </c>
      <c r="J1170">
        <v>4.6500000000000004</v>
      </c>
      <c r="K1170" s="245">
        <v>-18.11</v>
      </c>
      <c r="L1170" s="245">
        <v>50.02</v>
      </c>
      <c r="M1170" s="245">
        <v>4.42</v>
      </c>
    </row>
    <row r="1171" spans="1:13">
      <c r="A1171">
        <v>5498</v>
      </c>
      <c r="B1171" t="s">
        <v>5708</v>
      </c>
      <c r="C1171">
        <v>18.989999999999998</v>
      </c>
      <c r="D1171">
        <v>-57</v>
      </c>
      <c r="E1171">
        <v>-23</v>
      </c>
      <c r="F1171">
        <v>28</v>
      </c>
      <c r="G1171">
        <v>0</v>
      </c>
      <c r="H1171">
        <v>1.79</v>
      </c>
      <c r="I1171">
        <v>0</v>
      </c>
      <c r="J1171">
        <v>0.18</v>
      </c>
      <c r="K1171" s="245">
        <v>-51.8</v>
      </c>
      <c r="L1171" s="245">
        <v>6.16</v>
      </c>
      <c r="M1171" s="245">
        <v>17.02</v>
      </c>
    </row>
    <row r="1172" spans="1:13">
      <c r="A1172">
        <v>5508</v>
      </c>
      <c r="B1172" t="s">
        <v>5709</v>
      </c>
      <c r="C1172">
        <v>21.74</v>
      </c>
      <c r="D1172">
        <v>139</v>
      </c>
      <c r="E1172">
        <v>167</v>
      </c>
      <c r="F1172">
        <v>-69</v>
      </c>
      <c r="G1172">
        <v>-67</v>
      </c>
      <c r="H1172">
        <v>37.229999999999997</v>
      </c>
      <c r="I1172">
        <v>8.01</v>
      </c>
      <c r="J1172">
        <v>8.9</v>
      </c>
      <c r="K1172" s="245">
        <v>-12.09</v>
      </c>
      <c r="L1172" s="245">
        <v>18.64</v>
      </c>
      <c r="M1172" s="245">
        <v>1.0900000000000001</v>
      </c>
    </row>
    <row r="1173" spans="1:13">
      <c r="A1173">
        <v>5511</v>
      </c>
      <c r="B1173" t="s">
        <v>6159</v>
      </c>
      <c r="C1173">
        <v>11.34</v>
      </c>
      <c r="D1173">
        <v>-1</v>
      </c>
      <c r="E1173">
        <v>14</v>
      </c>
      <c r="F1173">
        <v>-18</v>
      </c>
      <c r="G1173">
        <v>26</v>
      </c>
      <c r="H1173">
        <v>8.52</v>
      </c>
      <c r="I1173">
        <v>2</v>
      </c>
      <c r="J1173">
        <v>4.1500000000000004</v>
      </c>
      <c r="K1173" s="245">
        <v>-4.75</v>
      </c>
      <c r="L1173" s="245">
        <v>32.5</v>
      </c>
      <c r="M1173" s="245">
        <v>0.36</v>
      </c>
    </row>
    <row r="1174" spans="1:13">
      <c r="A1174">
        <v>5512</v>
      </c>
      <c r="B1174" t="s">
        <v>5710</v>
      </c>
      <c r="C1174">
        <v>74.39</v>
      </c>
      <c r="D1174">
        <v>47</v>
      </c>
      <c r="E1174">
        <v>59</v>
      </c>
      <c r="F1174">
        <v>2</v>
      </c>
      <c r="G1174">
        <v>4</v>
      </c>
      <c r="H1174">
        <v>16.899999999999999</v>
      </c>
      <c r="I1174">
        <v>0.3</v>
      </c>
      <c r="J1174">
        <v>0.42</v>
      </c>
      <c r="K1174" s="245">
        <v>-10.23</v>
      </c>
      <c r="L1174" s="245">
        <v>30.04</v>
      </c>
      <c r="M1174" s="245">
        <v>3.56</v>
      </c>
    </row>
    <row r="1175" spans="1:13">
      <c r="A1175">
        <v>5514</v>
      </c>
      <c r="B1175" t="s">
        <v>6360</v>
      </c>
      <c r="C1175">
        <v>20.79</v>
      </c>
      <c r="D1175">
        <v>-103</v>
      </c>
      <c r="E1175">
        <v>-121</v>
      </c>
      <c r="F1175">
        <v>8</v>
      </c>
      <c r="G1175">
        <v>13</v>
      </c>
      <c r="H1175">
        <v>-786.51</v>
      </c>
      <c r="I1175">
        <v>0.4</v>
      </c>
      <c r="J1175">
        <v>-0.04</v>
      </c>
      <c r="K1175" s="245">
        <v>-9.91</v>
      </c>
      <c r="L1175" s="245">
        <v>60.47</v>
      </c>
      <c r="M1175" s="245">
        <v>0.12</v>
      </c>
    </row>
    <row r="1176" spans="1:13">
      <c r="A1176">
        <v>5515</v>
      </c>
      <c r="B1176" t="s">
        <v>5711</v>
      </c>
      <c r="C1176">
        <v>25.74</v>
      </c>
      <c r="D1176">
        <v>8</v>
      </c>
      <c r="E1176">
        <v>28</v>
      </c>
      <c r="F1176">
        <v>-3</v>
      </c>
      <c r="G1176">
        <v>-10</v>
      </c>
      <c r="H1176">
        <v>5.37</v>
      </c>
      <c r="I1176">
        <v>1</v>
      </c>
      <c r="J1176">
        <v>1.57</v>
      </c>
      <c r="K1176" s="245">
        <v>-10.46</v>
      </c>
      <c r="L1176" s="245">
        <v>42.17</v>
      </c>
      <c r="M1176" s="245">
        <v>8.83</v>
      </c>
    </row>
    <row r="1177" spans="1:13">
      <c r="A1177">
        <v>5516</v>
      </c>
      <c r="B1177" t="s">
        <v>6193</v>
      </c>
      <c r="C1177">
        <v>4.13</v>
      </c>
      <c r="D1177">
        <v>5</v>
      </c>
      <c r="E1177">
        <v>41</v>
      </c>
      <c r="F1177">
        <v>-2</v>
      </c>
      <c r="G1177">
        <v>43</v>
      </c>
      <c r="H1177">
        <v>8.08</v>
      </c>
      <c r="I1177">
        <v>1.5</v>
      </c>
      <c r="J1177">
        <v>2.91</v>
      </c>
      <c r="K1177" s="245">
        <v>-5.21</v>
      </c>
      <c r="L1177" s="245">
        <v>78.08</v>
      </c>
      <c r="M1177" s="245">
        <v>3.31</v>
      </c>
    </row>
    <row r="1178" spans="1:13">
      <c r="A1178">
        <v>5519</v>
      </c>
      <c r="B1178" t="s">
        <v>5712</v>
      </c>
      <c r="C1178">
        <v>21.91</v>
      </c>
      <c r="D1178">
        <v>32</v>
      </c>
      <c r="E1178">
        <v>43</v>
      </c>
      <c r="F1178">
        <v>895</v>
      </c>
      <c r="G1178">
        <v>-45</v>
      </c>
      <c r="H1178">
        <v>15.57</v>
      </c>
      <c r="I1178">
        <v>2</v>
      </c>
      <c r="J1178">
        <v>2.73</v>
      </c>
      <c r="K1178" s="245">
        <v>-12.82</v>
      </c>
      <c r="L1178" s="245">
        <v>27.42</v>
      </c>
      <c r="M1178" s="245">
        <v>6.07</v>
      </c>
    </row>
    <row r="1179" spans="1:13">
      <c r="A1179">
        <v>5520</v>
      </c>
      <c r="B1179" t="s">
        <v>6361</v>
      </c>
      <c r="C1179">
        <v>6.03</v>
      </c>
      <c r="D1179">
        <v>17</v>
      </c>
      <c r="E1179">
        <v>21</v>
      </c>
      <c r="F1179">
        <v>-11</v>
      </c>
      <c r="G1179">
        <v>28</v>
      </c>
      <c r="H1179">
        <v>15.34</v>
      </c>
      <c r="I1179">
        <v>3.9</v>
      </c>
      <c r="J1179">
        <v>5.56</v>
      </c>
      <c r="K1179" s="245">
        <v>-13.07</v>
      </c>
      <c r="L1179" s="245">
        <v>35.119999999999997</v>
      </c>
      <c r="M1179" s="245">
        <v>0.08</v>
      </c>
    </row>
    <row r="1180" spans="1:13">
      <c r="A1180">
        <v>5521</v>
      </c>
      <c r="B1180" t="s">
        <v>5713</v>
      </c>
      <c r="C1180">
        <v>49.22</v>
      </c>
      <c r="D1180">
        <v>-96</v>
      </c>
      <c r="E1180">
        <v>-93</v>
      </c>
      <c r="F1180">
        <v>19</v>
      </c>
      <c r="G1180">
        <v>213</v>
      </c>
      <c r="H1180">
        <v>1.96</v>
      </c>
      <c r="I1180">
        <v>0</v>
      </c>
      <c r="J1180">
        <v>7.0000000000000007E-2</v>
      </c>
      <c r="K1180" s="245">
        <v>-24.71</v>
      </c>
      <c r="L1180" s="245">
        <v>14.92</v>
      </c>
      <c r="M1180" s="245">
        <v>5.77</v>
      </c>
    </row>
    <row r="1181" spans="1:13">
      <c r="A1181">
        <v>5522</v>
      </c>
      <c r="B1181" t="s">
        <v>5714</v>
      </c>
      <c r="C1181">
        <v>78.150000000000006</v>
      </c>
      <c r="D1181">
        <v>58</v>
      </c>
      <c r="E1181">
        <v>60</v>
      </c>
      <c r="F1181">
        <v>-10</v>
      </c>
      <c r="G1181">
        <v>11</v>
      </c>
      <c r="H1181">
        <v>24.68</v>
      </c>
      <c r="I1181">
        <v>5.5</v>
      </c>
      <c r="J1181">
        <v>7.78</v>
      </c>
      <c r="K1181" s="245">
        <v>-5.59</v>
      </c>
      <c r="L1181" s="245">
        <v>66.400000000000006</v>
      </c>
      <c r="M1181" s="245">
        <v>0.56999999999999995</v>
      </c>
    </row>
    <row r="1182" spans="1:13">
      <c r="A1182">
        <v>5523</v>
      </c>
      <c r="B1182" t="s">
        <v>6322</v>
      </c>
      <c r="C1182">
        <v>15.5</v>
      </c>
      <c r="D1182">
        <v>2090</v>
      </c>
      <c r="E1182">
        <v>1394</v>
      </c>
      <c r="F1182">
        <v>7659</v>
      </c>
      <c r="G1182">
        <v>-93</v>
      </c>
      <c r="H1182">
        <v>22.58</v>
      </c>
      <c r="I1182">
        <v>1.8</v>
      </c>
      <c r="J1182">
        <v>5.91</v>
      </c>
      <c r="K1182" s="245">
        <v>-32.520000000000003</v>
      </c>
      <c r="L1182" s="245">
        <v>31.03</v>
      </c>
      <c r="M1182" s="245">
        <v>1.88</v>
      </c>
    </row>
    <row r="1183" spans="1:13">
      <c r="A1183">
        <v>5525</v>
      </c>
      <c r="B1183" t="s">
        <v>5715</v>
      </c>
      <c r="C1183">
        <v>26.45</v>
      </c>
      <c r="D1183">
        <v>-228</v>
      </c>
      <c r="E1183">
        <v>-509</v>
      </c>
      <c r="F1183">
        <v>-38</v>
      </c>
      <c r="G1183">
        <v>1569</v>
      </c>
      <c r="H1183">
        <v>-9.06</v>
      </c>
      <c r="I1183">
        <v>0.3</v>
      </c>
      <c r="J1183">
        <v>-0.2</v>
      </c>
      <c r="K1183" s="245">
        <v>-11.71</v>
      </c>
      <c r="L1183" s="245">
        <v>35.869999999999997</v>
      </c>
      <c r="M1183" s="245">
        <v>0.97</v>
      </c>
    </row>
    <row r="1184" spans="1:13">
      <c r="A1184">
        <v>5529</v>
      </c>
      <c r="B1184" t="s">
        <v>6594</v>
      </c>
      <c r="C1184">
        <v>12.4</v>
      </c>
      <c r="D1184">
        <v>12</v>
      </c>
      <c r="E1184">
        <v>-108</v>
      </c>
      <c r="F1184">
        <v>-11</v>
      </c>
      <c r="G1184">
        <v>-14</v>
      </c>
      <c r="H1184">
        <v>-180.52</v>
      </c>
      <c r="I1184">
        <v>0</v>
      </c>
      <c r="J1184">
        <v>-1.03</v>
      </c>
      <c r="K1184" s="245">
        <v>-32.119999999999997</v>
      </c>
      <c r="L1184" s="245">
        <v>8.5399999999999991</v>
      </c>
      <c r="M1184" s="245">
        <v>2.79</v>
      </c>
    </row>
    <row r="1185" spans="1:13">
      <c r="A1185">
        <v>5530</v>
      </c>
      <c r="B1185" t="s">
        <v>5716</v>
      </c>
      <c r="C1185">
        <v>42</v>
      </c>
      <c r="D1185">
        <v>5</v>
      </c>
      <c r="E1185">
        <v>-19</v>
      </c>
      <c r="F1185">
        <v>73</v>
      </c>
      <c r="G1185">
        <v>9</v>
      </c>
      <c r="H1185">
        <v>32.69</v>
      </c>
      <c r="I1185">
        <v>0</v>
      </c>
      <c r="J1185">
        <v>3.36</v>
      </c>
      <c r="K1185" s="245">
        <v>-15.25</v>
      </c>
      <c r="L1185" s="245">
        <v>75.73</v>
      </c>
      <c r="M1185" s="245">
        <v>8.25</v>
      </c>
    </row>
    <row r="1186" spans="1:13">
      <c r="A1186">
        <v>5531</v>
      </c>
      <c r="B1186" t="s">
        <v>5717</v>
      </c>
      <c r="C1186">
        <v>97.75</v>
      </c>
      <c r="D1186">
        <v>-819</v>
      </c>
      <c r="E1186">
        <v>-202</v>
      </c>
      <c r="F1186">
        <v>72</v>
      </c>
      <c r="G1186">
        <v>0</v>
      </c>
      <c r="H1186">
        <v>-12.01</v>
      </c>
      <c r="I1186">
        <v>0</v>
      </c>
      <c r="J1186">
        <v>-0.6</v>
      </c>
      <c r="K1186" s="245">
        <v>-26.14</v>
      </c>
      <c r="L1186" s="245">
        <v>20.47</v>
      </c>
      <c r="M1186" s="245">
        <v>3.73</v>
      </c>
    </row>
    <row r="1187" spans="1:13">
      <c r="A1187">
        <v>5533</v>
      </c>
      <c r="B1187" t="s">
        <v>5718</v>
      </c>
      <c r="C1187">
        <v>28.52</v>
      </c>
      <c r="D1187">
        <v>337</v>
      </c>
      <c r="E1187">
        <v>153</v>
      </c>
      <c r="F1187">
        <v>4449</v>
      </c>
      <c r="G1187">
        <v>2149</v>
      </c>
      <c r="H1187">
        <v>21.05</v>
      </c>
      <c r="I1187">
        <v>1</v>
      </c>
      <c r="J1187">
        <v>3.72</v>
      </c>
      <c r="K1187" s="245">
        <v>-7.2</v>
      </c>
      <c r="L1187" s="245">
        <v>31.12</v>
      </c>
      <c r="M1187" s="245">
        <v>1.01</v>
      </c>
    </row>
    <row r="1188" spans="1:13">
      <c r="A1188">
        <v>5534</v>
      </c>
      <c r="B1188" t="s">
        <v>5719</v>
      </c>
      <c r="C1188">
        <v>29.03</v>
      </c>
      <c r="D1188">
        <v>-51</v>
      </c>
      <c r="E1188">
        <v>-39</v>
      </c>
      <c r="F1188">
        <v>319</v>
      </c>
      <c r="G1188">
        <v>854</v>
      </c>
      <c r="H1188">
        <v>31.3</v>
      </c>
      <c r="I1188">
        <v>0</v>
      </c>
      <c r="J1188">
        <v>4.41</v>
      </c>
      <c r="K1188" s="245">
        <v>-12.44</v>
      </c>
      <c r="L1188" s="245">
        <v>19.23</v>
      </c>
      <c r="M1188" s="245">
        <v>1.3</v>
      </c>
    </row>
    <row r="1189" spans="1:13">
      <c r="A1189">
        <v>5536</v>
      </c>
      <c r="B1189" t="s">
        <v>5720</v>
      </c>
      <c r="C1189">
        <v>5.72</v>
      </c>
      <c r="D1189">
        <v>29</v>
      </c>
      <c r="E1189">
        <v>25</v>
      </c>
      <c r="F1189">
        <v>-22</v>
      </c>
      <c r="G1189">
        <v>-3</v>
      </c>
      <c r="H1189">
        <v>10.58</v>
      </c>
      <c r="I1189">
        <v>15</v>
      </c>
      <c r="J1189">
        <v>21.08</v>
      </c>
      <c r="K1189" s="245">
        <v>-16.25</v>
      </c>
      <c r="L1189" s="245">
        <v>21.32</v>
      </c>
      <c r="M1189" s="245">
        <v>3.6</v>
      </c>
    </row>
    <row r="1190" spans="1:13">
      <c r="A1190">
        <v>5538</v>
      </c>
      <c r="B1190" t="s">
        <v>5721</v>
      </c>
      <c r="C1190">
        <v>20.12</v>
      </c>
      <c r="D1190">
        <v>192</v>
      </c>
      <c r="E1190">
        <v>183</v>
      </c>
      <c r="F1190">
        <v>50</v>
      </c>
      <c r="G1190">
        <v>55</v>
      </c>
      <c r="H1190">
        <v>14.84</v>
      </c>
      <c r="I1190">
        <v>3.2</v>
      </c>
      <c r="J1190">
        <v>8</v>
      </c>
      <c r="K1190" s="245">
        <v>-24.01</v>
      </c>
      <c r="L1190" s="245">
        <v>14.15</v>
      </c>
      <c r="M1190" s="245">
        <v>1.91</v>
      </c>
    </row>
    <row r="1191" spans="1:13">
      <c r="A1191">
        <v>5543</v>
      </c>
      <c r="B1191" t="s">
        <v>5722</v>
      </c>
      <c r="C1191">
        <v>3.73</v>
      </c>
      <c r="D1191">
        <v>459</v>
      </c>
      <c r="E1191">
        <v>482</v>
      </c>
      <c r="F1191">
        <v>11</v>
      </c>
      <c r="G1191">
        <v>95</v>
      </c>
      <c r="H1191">
        <v>8.75</v>
      </c>
      <c r="I1191">
        <v>2</v>
      </c>
      <c r="J1191">
        <v>3.26</v>
      </c>
      <c r="K1191" s="245">
        <v>-20</v>
      </c>
      <c r="L1191" s="245">
        <v>27.12</v>
      </c>
      <c r="M1191" s="245">
        <v>3.24</v>
      </c>
    </row>
    <row r="1192" spans="1:13">
      <c r="A1192">
        <v>5546</v>
      </c>
      <c r="B1192" t="s">
        <v>5723</v>
      </c>
      <c r="C1192">
        <v>8.23</v>
      </c>
      <c r="D1192">
        <v>-67</v>
      </c>
      <c r="E1192">
        <v>-63</v>
      </c>
      <c r="F1192">
        <v>170</v>
      </c>
      <c r="G1192">
        <v>-2</v>
      </c>
      <c r="H1192">
        <v>5.49</v>
      </c>
      <c r="I1192">
        <v>5</v>
      </c>
      <c r="J1192">
        <v>3.18</v>
      </c>
      <c r="K1192" s="245">
        <v>-27.38</v>
      </c>
      <c r="L1192" s="245">
        <v>21.34</v>
      </c>
      <c r="M1192" s="245">
        <v>1.18</v>
      </c>
    </row>
    <row r="1193" spans="1:13">
      <c r="A1193">
        <v>5601</v>
      </c>
      <c r="B1193" t="s">
        <v>6357</v>
      </c>
      <c r="C1193">
        <v>6.48</v>
      </c>
      <c r="D1193">
        <v>-4</v>
      </c>
      <c r="E1193">
        <v>-9</v>
      </c>
      <c r="F1193">
        <v>5</v>
      </c>
      <c r="G1193">
        <v>16</v>
      </c>
      <c r="H1193">
        <v>27.05</v>
      </c>
      <c r="I1193">
        <v>0.26</v>
      </c>
      <c r="J1193">
        <v>0.28000000000000003</v>
      </c>
      <c r="K1193" s="245">
        <v>-6.92</v>
      </c>
      <c r="L1193" s="245">
        <v>66.47</v>
      </c>
      <c r="M1193" s="245">
        <v>1.96</v>
      </c>
    </row>
    <row r="1194" spans="1:13">
      <c r="A1194">
        <v>5603</v>
      </c>
      <c r="B1194" t="s">
        <v>5724</v>
      </c>
      <c r="C1194">
        <v>8.06</v>
      </c>
      <c r="D1194">
        <v>484</v>
      </c>
      <c r="E1194">
        <v>69</v>
      </c>
      <c r="F1194">
        <v>-28</v>
      </c>
      <c r="G1194">
        <v>1</v>
      </c>
      <c r="H1194">
        <v>4.95</v>
      </c>
      <c r="I1194">
        <v>7</v>
      </c>
      <c r="J1194">
        <v>9.1999999999999993</v>
      </c>
      <c r="K1194" s="245">
        <v>-14.22</v>
      </c>
      <c r="L1194" s="245">
        <v>75.53</v>
      </c>
      <c r="M1194" s="245">
        <v>39.119999999999997</v>
      </c>
    </row>
    <row r="1195" spans="1:13">
      <c r="A1195">
        <v>5604</v>
      </c>
      <c r="B1195" t="s">
        <v>6350</v>
      </c>
      <c r="C1195">
        <v>10.87</v>
      </c>
      <c r="D1195">
        <v>-23</v>
      </c>
      <c r="E1195">
        <v>39</v>
      </c>
      <c r="F1195">
        <v>0</v>
      </c>
      <c r="G1195">
        <v>13</v>
      </c>
      <c r="H1195">
        <v>65.27</v>
      </c>
      <c r="I1195">
        <v>6.1</v>
      </c>
      <c r="J1195">
        <v>6.75</v>
      </c>
      <c r="K1195" s="245">
        <v>-30.56</v>
      </c>
      <c r="L1195" s="245">
        <v>20.74</v>
      </c>
      <c r="M1195" s="245">
        <v>3.33</v>
      </c>
    </row>
    <row r="1196" spans="1:13">
      <c r="A1196">
        <v>5607</v>
      </c>
      <c r="B1196" t="s">
        <v>5725</v>
      </c>
      <c r="C1196">
        <v>25.49</v>
      </c>
      <c r="D1196">
        <v>24</v>
      </c>
      <c r="E1196">
        <v>53</v>
      </c>
      <c r="F1196">
        <v>-5</v>
      </c>
      <c r="G1196">
        <v>47</v>
      </c>
      <c r="H1196">
        <v>40.79</v>
      </c>
      <c r="I1196">
        <v>1.6</v>
      </c>
      <c r="J1196">
        <v>2.48</v>
      </c>
      <c r="K1196" s="245">
        <v>-34.74</v>
      </c>
      <c r="L1196" s="245">
        <v>7.56</v>
      </c>
      <c r="M1196" s="245">
        <v>18.62</v>
      </c>
    </row>
    <row r="1197" spans="1:13">
      <c r="A1197">
        <v>5608</v>
      </c>
      <c r="B1197" t="s">
        <v>5726</v>
      </c>
      <c r="C1197">
        <v>32.92</v>
      </c>
      <c r="D1197">
        <v>289</v>
      </c>
      <c r="E1197">
        <v>430</v>
      </c>
      <c r="F1197">
        <v>3</v>
      </c>
      <c r="G1197">
        <v>76</v>
      </c>
      <c r="H1197">
        <v>41.05</v>
      </c>
      <c r="I1197">
        <v>2</v>
      </c>
      <c r="J1197">
        <v>7.16</v>
      </c>
      <c r="K1197" s="245">
        <v>-41.81</v>
      </c>
      <c r="L1197" s="245">
        <v>45.54</v>
      </c>
      <c r="M1197" s="245">
        <v>54.28</v>
      </c>
    </row>
    <row r="1198" spans="1:13">
      <c r="A1198">
        <v>5609</v>
      </c>
      <c r="B1198" t="s">
        <v>5727</v>
      </c>
      <c r="C1198">
        <v>13.6</v>
      </c>
      <c r="D1198">
        <v>114</v>
      </c>
      <c r="E1198">
        <v>120</v>
      </c>
      <c r="F1198">
        <v>-5</v>
      </c>
      <c r="G1198">
        <v>53</v>
      </c>
      <c r="H1198">
        <v>6.9</v>
      </c>
      <c r="I1198">
        <v>10.199999999999999</v>
      </c>
      <c r="J1198">
        <v>16.98</v>
      </c>
      <c r="K1198" s="245">
        <v>-33.75</v>
      </c>
      <c r="L1198" s="245">
        <v>53.43</v>
      </c>
      <c r="M1198" s="245">
        <v>42.9</v>
      </c>
    </row>
    <row r="1199" spans="1:13">
      <c r="A1199">
        <v>5701</v>
      </c>
      <c r="B1199" t="s">
        <v>6595</v>
      </c>
      <c r="C1199">
        <v>29.67</v>
      </c>
      <c r="D1199">
        <v>-20</v>
      </c>
      <c r="E1199">
        <v>-95</v>
      </c>
      <c r="F1199">
        <v>-51</v>
      </c>
      <c r="G1199">
        <v>-42</v>
      </c>
      <c r="H1199">
        <v>-48.98</v>
      </c>
      <c r="I1199">
        <v>0</v>
      </c>
      <c r="J1199">
        <v>-0.65</v>
      </c>
      <c r="K1199" s="245">
        <v>-38.17</v>
      </c>
      <c r="L1199" s="245">
        <v>21.85</v>
      </c>
      <c r="M1199" s="245">
        <v>4.1500000000000004</v>
      </c>
    </row>
    <row r="1200" spans="1:13">
      <c r="A1200">
        <v>5703</v>
      </c>
      <c r="B1200" t="s">
        <v>6596</v>
      </c>
      <c r="C1200">
        <v>7.02</v>
      </c>
      <c r="D1200">
        <v>25</v>
      </c>
      <c r="E1200">
        <v>-29</v>
      </c>
      <c r="F1200">
        <v>-31</v>
      </c>
      <c r="G1200">
        <v>-40</v>
      </c>
      <c r="H1200">
        <v>-64.84</v>
      </c>
      <c r="I1200">
        <v>0</v>
      </c>
      <c r="J1200">
        <v>-1.77</v>
      </c>
      <c r="K1200" s="245">
        <v>-28.51</v>
      </c>
      <c r="L1200" s="245">
        <v>54.49</v>
      </c>
      <c r="M1200" s="245">
        <v>0.67</v>
      </c>
    </row>
    <row r="1201" spans="1:13">
      <c r="A1201">
        <v>5704</v>
      </c>
      <c r="B1201" t="s">
        <v>6258</v>
      </c>
      <c r="C1201">
        <v>3.88</v>
      </c>
      <c r="D1201">
        <v>-37</v>
      </c>
      <c r="E1201">
        <v>-42</v>
      </c>
      <c r="F1201">
        <v>-14</v>
      </c>
      <c r="G1201">
        <v>-6</v>
      </c>
      <c r="H1201">
        <v>14.13</v>
      </c>
      <c r="I1201">
        <v>1.38</v>
      </c>
      <c r="J1201">
        <v>1.51</v>
      </c>
      <c r="K1201" s="245">
        <v>-17.13</v>
      </c>
      <c r="L1201" s="245">
        <v>49.84</v>
      </c>
      <c r="M1201" s="245">
        <v>1.43</v>
      </c>
    </row>
    <row r="1202" spans="1:13">
      <c r="A1202">
        <v>5706</v>
      </c>
      <c r="B1202" t="s">
        <v>5728</v>
      </c>
      <c r="C1202">
        <v>6.71</v>
      </c>
      <c r="D1202">
        <v>518</v>
      </c>
      <c r="E1202">
        <v>-106</v>
      </c>
      <c r="F1202">
        <v>-30</v>
      </c>
      <c r="G1202">
        <v>2</v>
      </c>
      <c r="H1202">
        <v>-44.05</v>
      </c>
      <c r="I1202">
        <v>2</v>
      </c>
      <c r="J1202">
        <v>1.17</v>
      </c>
      <c r="K1202" s="245">
        <v>-12.96</v>
      </c>
      <c r="L1202" s="245">
        <v>57.55</v>
      </c>
      <c r="M1202" s="245">
        <v>65.58</v>
      </c>
    </row>
    <row r="1203" spans="1:13">
      <c r="A1203">
        <v>5820</v>
      </c>
      <c r="B1203" t="s">
        <v>5729</v>
      </c>
      <c r="C1203">
        <v>383</v>
      </c>
      <c r="D1203">
        <v>40</v>
      </c>
      <c r="E1203">
        <v>0</v>
      </c>
      <c r="F1203">
        <v>-23</v>
      </c>
      <c r="G1203">
        <v>-33</v>
      </c>
      <c r="H1203">
        <v>0</v>
      </c>
      <c r="I1203">
        <v>0.7</v>
      </c>
      <c r="J1203">
        <v>1.06</v>
      </c>
      <c r="K1203" s="245">
        <v>-5</v>
      </c>
      <c r="L1203" s="245">
        <v>19.14</v>
      </c>
      <c r="M1203" s="245">
        <v>0.97</v>
      </c>
    </row>
    <row r="1204" spans="1:13">
      <c r="A1204">
        <v>5864</v>
      </c>
      <c r="B1204" t="s">
        <v>5730</v>
      </c>
      <c r="C1204">
        <v>25.17</v>
      </c>
      <c r="D1204">
        <v>49</v>
      </c>
      <c r="E1204">
        <v>53</v>
      </c>
      <c r="F1204">
        <v>-223</v>
      </c>
      <c r="G1204">
        <v>-126</v>
      </c>
      <c r="H1204">
        <v>67.22</v>
      </c>
      <c r="I1204">
        <v>1.2</v>
      </c>
      <c r="J1204">
        <v>2.79</v>
      </c>
      <c r="K1204" s="245">
        <v>-37.65</v>
      </c>
      <c r="L1204" s="245">
        <v>28.25</v>
      </c>
      <c r="M1204" s="245">
        <v>4.45</v>
      </c>
    </row>
    <row r="1205" spans="1:13">
      <c r="A1205">
        <v>5871</v>
      </c>
      <c r="B1205" t="s">
        <v>5731</v>
      </c>
      <c r="C1205">
        <v>145</v>
      </c>
      <c r="D1205">
        <v>29</v>
      </c>
      <c r="E1205">
        <v>41</v>
      </c>
      <c r="F1205">
        <v>19</v>
      </c>
      <c r="G1205">
        <v>23</v>
      </c>
      <c r="H1205">
        <v>46.4</v>
      </c>
      <c r="I1205">
        <v>6.5</v>
      </c>
      <c r="J1205">
        <v>14.8</v>
      </c>
      <c r="K1205" s="245">
        <v>-20.63</v>
      </c>
      <c r="L1205" s="245">
        <v>28</v>
      </c>
      <c r="M1205" s="245">
        <v>2.94</v>
      </c>
    </row>
    <row r="1206" spans="1:13">
      <c r="A1206">
        <v>5876</v>
      </c>
      <c r="B1206" t="s">
        <v>5732</v>
      </c>
      <c r="C1206">
        <v>448</v>
      </c>
      <c r="D1206">
        <v>4</v>
      </c>
      <c r="E1206">
        <v>0</v>
      </c>
      <c r="F1206">
        <v>-14</v>
      </c>
      <c r="G1206">
        <v>14</v>
      </c>
      <c r="H1206">
        <v>0</v>
      </c>
      <c r="I1206">
        <v>1.8</v>
      </c>
      <c r="J1206">
        <v>3.19</v>
      </c>
      <c r="K1206" s="245">
        <v>-7.84</v>
      </c>
      <c r="L1206" s="245">
        <v>55.01</v>
      </c>
      <c r="M1206" s="245">
        <v>0.82</v>
      </c>
    </row>
    <row r="1207" spans="1:13">
      <c r="A1207">
        <v>5878</v>
      </c>
      <c r="B1207" t="s">
        <v>6597</v>
      </c>
      <c r="C1207">
        <v>2.5</v>
      </c>
      <c r="D1207">
        <v>-14</v>
      </c>
      <c r="E1207">
        <v>-17</v>
      </c>
      <c r="F1207">
        <v>66</v>
      </c>
      <c r="G1207">
        <v>11</v>
      </c>
      <c r="H1207">
        <v>10.48</v>
      </c>
      <c r="I1207">
        <v>3</v>
      </c>
      <c r="J1207">
        <v>2.98</v>
      </c>
      <c r="K1207" s="245">
        <v>-3.01</v>
      </c>
      <c r="L1207" s="245">
        <v>57.1</v>
      </c>
      <c r="M1207" s="245">
        <v>0.28999999999999998</v>
      </c>
    </row>
    <row r="1208" spans="1:13">
      <c r="A1208">
        <v>5880</v>
      </c>
      <c r="B1208" t="s">
        <v>5733</v>
      </c>
      <c r="C1208">
        <v>1360</v>
      </c>
      <c r="D1208">
        <v>23</v>
      </c>
      <c r="E1208">
        <v>0</v>
      </c>
      <c r="F1208">
        <v>-13</v>
      </c>
      <c r="G1208">
        <v>-25</v>
      </c>
      <c r="H1208">
        <v>0</v>
      </c>
      <c r="I1208">
        <v>1.3</v>
      </c>
      <c r="J1208">
        <v>1.51</v>
      </c>
      <c r="K1208" s="245">
        <v>-16.190000000000001</v>
      </c>
      <c r="L1208" s="245">
        <v>35.32</v>
      </c>
      <c r="M1208" s="245">
        <v>0.43</v>
      </c>
    </row>
    <row r="1209" spans="1:13">
      <c r="A1209">
        <v>5902</v>
      </c>
      <c r="B1209" t="s">
        <v>5734</v>
      </c>
      <c r="C1209">
        <v>9.4499999999999993</v>
      </c>
      <c r="D1209">
        <v>14</v>
      </c>
      <c r="E1209">
        <v>20</v>
      </c>
      <c r="F1209">
        <v>63</v>
      </c>
      <c r="G1209">
        <v>47</v>
      </c>
      <c r="H1209">
        <v>10.119999999999999</v>
      </c>
      <c r="I1209">
        <v>1.2</v>
      </c>
      <c r="J1209">
        <v>1.57</v>
      </c>
      <c r="K1209" s="245">
        <v>-2.2200000000000002</v>
      </c>
      <c r="L1209" s="245">
        <v>81.59</v>
      </c>
      <c r="M1209" s="245">
        <v>1.62</v>
      </c>
    </row>
    <row r="1210" spans="1:13">
      <c r="A1210">
        <v>5903</v>
      </c>
      <c r="B1210" t="s">
        <v>5735</v>
      </c>
      <c r="C1210">
        <v>22.32</v>
      </c>
      <c r="D1210">
        <v>-37</v>
      </c>
      <c r="E1210">
        <v>-40</v>
      </c>
      <c r="F1210">
        <v>-1</v>
      </c>
      <c r="G1210">
        <v>3</v>
      </c>
      <c r="H1210">
        <v>1.99</v>
      </c>
      <c r="I1210">
        <v>4.7</v>
      </c>
      <c r="J1210">
        <v>6.02</v>
      </c>
      <c r="K1210" s="245">
        <v>-29.6</v>
      </c>
      <c r="L1210" s="245">
        <v>10.08</v>
      </c>
      <c r="M1210" s="245">
        <v>3</v>
      </c>
    </row>
    <row r="1211" spans="1:13">
      <c r="A1211">
        <v>5904</v>
      </c>
      <c r="B1211" t="s">
        <v>5736</v>
      </c>
      <c r="C1211">
        <v>10.08</v>
      </c>
      <c r="D1211">
        <v>-12</v>
      </c>
      <c r="E1211">
        <v>-12</v>
      </c>
      <c r="F1211">
        <v>-4</v>
      </c>
      <c r="G1211">
        <v>4</v>
      </c>
      <c r="H1211">
        <v>13.3</v>
      </c>
      <c r="I1211">
        <v>11.1</v>
      </c>
      <c r="J1211">
        <v>18.25</v>
      </c>
      <c r="K1211" s="245">
        <v>-48.59</v>
      </c>
      <c r="L1211" s="245">
        <v>13.79</v>
      </c>
      <c r="M1211" s="245">
        <v>0.94</v>
      </c>
    </row>
    <row r="1212" spans="1:13">
      <c r="A1212">
        <v>5905</v>
      </c>
      <c r="B1212" t="s">
        <v>5737</v>
      </c>
      <c r="C1212">
        <v>18.98</v>
      </c>
      <c r="D1212">
        <v>-371</v>
      </c>
      <c r="E1212">
        <v>-2400</v>
      </c>
      <c r="F1212">
        <v>-3</v>
      </c>
      <c r="G1212">
        <v>24</v>
      </c>
      <c r="H1212">
        <v>-31.84</v>
      </c>
      <c r="I1212">
        <v>0</v>
      </c>
      <c r="J1212">
        <v>-0.77</v>
      </c>
      <c r="K1212" s="245">
        <v>-38.76</v>
      </c>
      <c r="L1212" s="245">
        <v>11.9</v>
      </c>
      <c r="M1212" s="245">
        <v>13.87</v>
      </c>
    </row>
    <row r="1213" spans="1:13">
      <c r="A1213">
        <v>5906</v>
      </c>
      <c r="B1213" t="s">
        <v>5738</v>
      </c>
      <c r="C1213">
        <v>3.24</v>
      </c>
      <c r="D1213">
        <v>45</v>
      </c>
      <c r="E1213">
        <v>30</v>
      </c>
      <c r="F1213">
        <v>-14</v>
      </c>
      <c r="G1213">
        <v>-9</v>
      </c>
      <c r="H1213">
        <v>8.42</v>
      </c>
      <c r="I1213">
        <v>1.7</v>
      </c>
      <c r="J1213">
        <v>3.23</v>
      </c>
      <c r="K1213" s="245">
        <v>-18.010000000000002</v>
      </c>
      <c r="L1213" s="245">
        <v>28.7</v>
      </c>
      <c r="M1213" s="245">
        <v>0.81</v>
      </c>
    </row>
    <row r="1214" spans="1:13">
      <c r="A1214">
        <v>5907</v>
      </c>
      <c r="B1214" t="s">
        <v>5739</v>
      </c>
      <c r="C1214">
        <v>19.55</v>
      </c>
      <c r="D1214">
        <v>-124</v>
      </c>
      <c r="E1214">
        <v>73</v>
      </c>
      <c r="F1214">
        <v>5</v>
      </c>
      <c r="G1214">
        <v>-23</v>
      </c>
      <c r="H1214">
        <v>8.31</v>
      </c>
      <c r="I1214">
        <v>0</v>
      </c>
      <c r="J1214">
        <v>-1.19</v>
      </c>
      <c r="K1214" s="245">
        <v>-39.619999999999997</v>
      </c>
      <c r="L1214" s="245">
        <v>18.399999999999999</v>
      </c>
      <c r="M1214" s="245">
        <v>3.18</v>
      </c>
    </row>
    <row r="1215" spans="1:13">
      <c r="A1215">
        <v>6005</v>
      </c>
      <c r="B1215" t="s">
        <v>5740</v>
      </c>
      <c r="C1215">
        <v>217</v>
      </c>
      <c r="D1215">
        <v>42</v>
      </c>
      <c r="E1215">
        <v>63</v>
      </c>
      <c r="F1215">
        <v>0</v>
      </c>
      <c r="G1215">
        <v>-30</v>
      </c>
      <c r="H1215">
        <v>40.06</v>
      </c>
      <c r="I1215">
        <v>1.65</v>
      </c>
      <c r="J1215">
        <v>2.42</v>
      </c>
      <c r="K1215" s="245">
        <v>-15.13</v>
      </c>
      <c r="L1215" s="245">
        <v>36.71</v>
      </c>
      <c r="M1215" s="245">
        <v>2.52</v>
      </c>
    </row>
    <row r="1216" spans="1:13">
      <c r="A1216">
        <v>6015</v>
      </c>
      <c r="B1216" t="s">
        <v>5741</v>
      </c>
      <c r="C1216">
        <v>33.130000000000003</v>
      </c>
      <c r="D1216">
        <v>198</v>
      </c>
      <c r="E1216">
        <v>276</v>
      </c>
      <c r="F1216">
        <v>-33</v>
      </c>
      <c r="G1216">
        <v>-88</v>
      </c>
      <c r="H1216">
        <v>46</v>
      </c>
      <c r="I1216">
        <v>2.4</v>
      </c>
      <c r="J1216">
        <v>3.74</v>
      </c>
      <c r="K1216" s="245">
        <v>-42.05</v>
      </c>
      <c r="L1216" s="245">
        <v>58.9</v>
      </c>
      <c r="M1216" s="245">
        <v>19.920000000000002</v>
      </c>
    </row>
    <row r="1217" spans="1:13">
      <c r="A1217">
        <v>6016</v>
      </c>
      <c r="B1217" t="s">
        <v>5742</v>
      </c>
      <c r="C1217">
        <v>59.44</v>
      </c>
      <c r="D1217">
        <v>27</v>
      </c>
      <c r="E1217">
        <v>50</v>
      </c>
      <c r="F1217">
        <v>-62</v>
      </c>
      <c r="G1217">
        <v>-81</v>
      </c>
      <c r="H1217">
        <v>34.200000000000003</v>
      </c>
      <c r="I1217">
        <v>1.55</v>
      </c>
      <c r="J1217">
        <v>2.33</v>
      </c>
      <c r="K1217" s="245">
        <v>-24.65</v>
      </c>
      <c r="L1217" s="245">
        <v>37.72</v>
      </c>
      <c r="M1217" s="245">
        <v>8.6300000000000008</v>
      </c>
    </row>
    <row r="1218" spans="1:13">
      <c r="A1218">
        <v>6020</v>
      </c>
      <c r="B1218" t="s">
        <v>6194</v>
      </c>
      <c r="C1218">
        <v>25.23</v>
      </c>
      <c r="D1218">
        <v>229</v>
      </c>
      <c r="E1218">
        <v>290</v>
      </c>
      <c r="F1218">
        <v>-365</v>
      </c>
      <c r="G1218">
        <v>-149</v>
      </c>
      <c r="H1218">
        <v>73.42</v>
      </c>
      <c r="I1218">
        <v>2.38</v>
      </c>
      <c r="J1218">
        <v>3.4</v>
      </c>
      <c r="K1218" s="245">
        <v>-18.809999999999999</v>
      </c>
      <c r="L1218" s="245">
        <v>12.71</v>
      </c>
      <c r="M1218" s="245">
        <v>0.9</v>
      </c>
    </row>
    <row r="1219" spans="1:13">
      <c r="A1219">
        <v>6021</v>
      </c>
      <c r="B1219" t="s">
        <v>6257</v>
      </c>
      <c r="C1219">
        <v>30.98</v>
      </c>
      <c r="D1219">
        <v>203</v>
      </c>
      <c r="E1219">
        <v>320</v>
      </c>
      <c r="F1219">
        <v>37</v>
      </c>
      <c r="G1219">
        <v>0</v>
      </c>
      <c r="H1219">
        <v>23.84</v>
      </c>
      <c r="I1219">
        <v>0</v>
      </c>
      <c r="J1219">
        <v>1.05</v>
      </c>
      <c r="K1219" s="245">
        <v>-12.63</v>
      </c>
      <c r="L1219" s="245">
        <v>53.97</v>
      </c>
      <c r="M1219" s="245">
        <v>3.47</v>
      </c>
    </row>
    <row r="1220" spans="1:13">
      <c r="A1220">
        <v>6023</v>
      </c>
      <c r="B1220" t="s">
        <v>6195</v>
      </c>
      <c r="C1220">
        <v>28.99</v>
      </c>
      <c r="D1220">
        <v>-19</v>
      </c>
      <c r="E1220">
        <v>-2</v>
      </c>
      <c r="F1220">
        <v>-23</v>
      </c>
      <c r="G1220">
        <v>5</v>
      </c>
      <c r="H1220">
        <v>11.88</v>
      </c>
      <c r="I1220">
        <v>2.2999999999999998</v>
      </c>
      <c r="J1220">
        <v>2.97</v>
      </c>
      <c r="K1220" s="245">
        <v>-6.69</v>
      </c>
      <c r="L1220" s="245">
        <v>18</v>
      </c>
      <c r="M1220" s="245">
        <v>0.31</v>
      </c>
    </row>
    <row r="1221" spans="1:13">
      <c r="A1221">
        <v>6024</v>
      </c>
      <c r="B1221" t="s">
        <v>5743</v>
      </c>
      <c r="C1221">
        <v>21.04</v>
      </c>
      <c r="D1221">
        <v>-21</v>
      </c>
      <c r="E1221">
        <v>13</v>
      </c>
      <c r="F1221">
        <v>20</v>
      </c>
      <c r="G1221">
        <v>13</v>
      </c>
      <c r="H1221">
        <v>17.23</v>
      </c>
      <c r="I1221">
        <v>1.6</v>
      </c>
      <c r="J1221">
        <v>2.33</v>
      </c>
      <c r="K1221" s="245">
        <v>-13.14</v>
      </c>
      <c r="L1221" s="245">
        <v>18.3</v>
      </c>
      <c r="M1221" s="245">
        <v>0.99</v>
      </c>
    </row>
    <row r="1222" spans="1:13">
      <c r="A1222">
        <v>6026</v>
      </c>
      <c r="B1222" t="s">
        <v>5744</v>
      </c>
      <c r="C1222">
        <v>30.01</v>
      </c>
      <c r="D1222">
        <v>441</v>
      </c>
      <c r="E1222">
        <v>453</v>
      </c>
      <c r="F1222">
        <v>-38</v>
      </c>
      <c r="G1222">
        <v>-82</v>
      </c>
      <c r="H1222">
        <v>70.92</v>
      </c>
      <c r="I1222">
        <v>3.28</v>
      </c>
      <c r="J1222">
        <v>5</v>
      </c>
      <c r="K1222" s="245">
        <v>-26.67</v>
      </c>
      <c r="L1222" s="245">
        <v>17.66</v>
      </c>
      <c r="M1222" s="245">
        <v>7.75</v>
      </c>
    </row>
    <row r="1223" spans="1:13">
      <c r="A1223">
        <v>6101</v>
      </c>
      <c r="B1223" t="s">
        <v>6598</v>
      </c>
      <c r="C1223">
        <v>11.64</v>
      </c>
      <c r="D1223">
        <v>36</v>
      </c>
      <c r="E1223">
        <v>-88</v>
      </c>
      <c r="F1223">
        <v>28</v>
      </c>
      <c r="G1223">
        <v>710</v>
      </c>
      <c r="H1223">
        <v>-315.7</v>
      </c>
      <c r="I1223">
        <v>0</v>
      </c>
      <c r="J1223">
        <v>-0.63</v>
      </c>
      <c r="K1223" s="245">
        <v>-6.25</v>
      </c>
      <c r="L1223" s="245">
        <v>78.84</v>
      </c>
      <c r="M1223" s="245">
        <v>0.28999999999999998</v>
      </c>
    </row>
    <row r="1224" spans="1:13">
      <c r="A1224">
        <v>6103</v>
      </c>
      <c r="B1224" t="s">
        <v>6599</v>
      </c>
      <c r="C1224">
        <v>8.94</v>
      </c>
      <c r="D1224">
        <v>97</v>
      </c>
      <c r="E1224">
        <v>90</v>
      </c>
      <c r="F1224">
        <v>18</v>
      </c>
      <c r="G1224">
        <v>131</v>
      </c>
      <c r="H1224">
        <v>-51.09</v>
      </c>
      <c r="I1224">
        <v>0</v>
      </c>
      <c r="J1224">
        <v>-0.04</v>
      </c>
      <c r="K1224" s="245">
        <v>-38.700000000000003</v>
      </c>
      <c r="L1224" s="245">
        <v>7.23</v>
      </c>
      <c r="M1224" s="245">
        <v>0.15</v>
      </c>
    </row>
    <row r="1225" spans="1:13">
      <c r="A1225">
        <v>6104</v>
      </c>
      <c r="B1225" t="s">
        <v>5745</v>
      </c>
      <c r="C1225">
        <v>9.02</v>
      </c>
      <c r="D1225">
        <v>73</v>
      </c>
      <c r="E1225">
        <v>79</v>
      </c>
      <c r="F1225">
        <v>-20</v>
      </c>
      <c r="G1225">
        <v>29</v>
      </c>
      <c r="H1225">
        <v>21.07</v>
      </c>
      <c r="I1225">
        <v>4.5</v>
      </c>
      <c r="J1225">
        <v>6.41</v>
      </c>
      <c r="K1225" s="245">
        <v>-44.68</v>
      </c>
      <c r="L1225" s="245">
        <v>11.58</v>
      </c>
      <c r="M1225" s="245">
        <v>114.78</v>
      </c>
    </row>
    <row r="1226" spans="1:13">
      <c r="A1226">
        <v>6108</v>
      </c>
      <c r="B1226" t="s">
        <v>5746</v>
      </c>
      <c r="C1226">
        <v>15.98</v>
      </c>
      <c r="D1226">
        <v>389</v>
      </c>
      <c r="E1226">
        <v>104</v>
      </c>
      <c r="F1226">
        <v>47</v>
      </c>
      <c r="G1226">
        <v>-1</v>
      </c>
      <c r="H1226">
        <v>5.23</v>
      </c>
      <c r="I1226">
        <v>1.05</v>
      </c>
      <c r="J1226">
        <v>1.5</v>
      </c>
      <c r="K1226" s="245">
        <v>-27.13</v>
      </c>
      <c r="L1226" s="245">
        <v>29.3</v>
      </c>
      <c r="M1226" s="245">
        <v>9.8000000000000007</v>
      </c>
    </row>
    <row r="1227" spans="1:13">
      <c r="A1227">
        <v>6109</v>
      </c>
      <c r="B1227" t="s">
        <v>6600</v>
      </c>
      <c r="C1227">
        <v>5.94</v>
      </c>
      <c r="D1227">
        <v>-840</v>
      </c>
      <c r="E1227">
        <v>-307</v>
      </c>
      <c r="F1227">
        <v>-24</v>
      </c>
      <c r="G1227">
        <v>-8</v>
      </c>
      <c r="H1227">
        <v>-5.03</v>
      </c>
      <c r="I1227">
        <v>0</v>
      </c>
      <c r="J1227">
        <v>-1.39</v>
      </c>
      <c r="K1227" s="245">
        <v>-30.6</v>
      </c>
      <c r="L1227" s="245">
        <v>55.75</v>
      </c>
      <c r="M1227" s="245">
        <v>2.81</v>
      </c>
    </row>
    <row r="1228" spans="1:13">
      <c r="A1228">
        <v>6111</v>
      </c>
      <c r="B1228" t="s">
        <v>5747</v>
      </c>
      <c r="C1228">
        <v>6.55</v>
      </c>
      <c r="D1228">
        <v>1228</v>
      </c>
      <c r="E1228">
        <v>-83</v>
      </c>
      <c r="F1228">
        <v>22</v>
      </c>
      <c r="G1228">
        <v>122</v>
      </c>
      <c r="H1228">
        <v>4.1900000000000004</v>
      </c>
      <c r="I1228">
        <v>6</v>
      </c>
      <c r="J1228">
        <v>11.36</v>
      </c>
      <c r="K1228" s="245">
        <v>-31.29</v>
      </c>
      <c r="L1228" s="245">
        <v>14.78</v>
      </c>
      <c r="M1228" s="245">
        <v>24.05</v>
      </c>
    </row>
    <row r="1229" spans="1:13">
      <c r="A1229">
        <v>6112</v>
      </c>
      <c r="B1229" t="s">
        <v>5748</v>
      </c>
      <c r="C1229">
        <v>18.829999999999998</v>
      </c>
      <c r="D1229">
        <v>6</v>
      </c>
      <c r="E1229">
        <v>-27</v>
      </c>
      <c r="F1229">
        <v>-5</v>
      </c>
      <c r="G1229">
        <v>6</v>
      </c>
      <c r="H1229">
        <v>4.07</v>
      </c>
      <c r="I1229">
        <v>2.5</v>
      </c>
      <c r="J1229">
        <v>3.07</v>
      </c>
      <c r="K1229" s="245">
        <v>-16.78</v>
      </c>
      <c r="L1229" s="245">
        <v>20.96</v>
      </c>
      <c r="M1229" s="245">
        <v>0.77</v>
      </c>
    </row>
    <row r="1230" spans="1:13">
      <c r="A1230">
        <v>6113</v>
      </c>
      <c r="B1230" t="s">
        <v>6330</v>
      </c>
      <c r="C1230">
        <v>5</v>
      </c>
      <c r="D1230">
        <v>412</v>
      </c>
      <c r="E1230">
        <v>180</v>
      </c>
      <c r="F1230">
        <v>23</v>
      </c>
      <c r="G1230">
        <v>76</v>
      </c>
      <c r="H1230">
        <v>0.88</v>
      </c>
      <c r="I1230">
        <v>0</v>
      </c>
      <c r="J1230">
        <v>0.85</v>
      </c>
      <c r="K1230" s="245">
        <v>-1.88</v>
      </c>
      <c r="L1230" s="245">
        <v>72.25</v>
      </c>
      <c r="M1230" s="245">
        <v>11.12</v>
      </c>
    </row>
    <row r="1231" spans="1:13">
      <c r="A1231">
        <v>6114</v>
      </c>
      <c r="B1231" t="s">
        <v>5749</v>
      </c>
      <c r="C1231">
        <v>4.3899999999999997</v>
      </c>
      <c r="D1231">
        <v>-37</v>
      </c>
      <c r="E1231">
        <v>-36</v>
      </c>
      <c r="F1231">
        <v>-39</v>
      </c>
      <c r="G1231">
        <v>-37</v>
      </c>
      <c r="H1231">
        <v>3.63</v>
      </c>
      <c r="I1231">
        <v>0.5</v>
      </c>
      <c r="J1231">
        <v>0.33</v>
      </c>
      <c r="K1231" s="245">
        <v>-22.73</v>
      </c>
      <c r="L1231" s="245">
        <v>26.57</v>
      </c>
      <c r="M1231" s="245">
        <v>2.2599999999999998</v>
      </c>
    </row>
    <row r="1232" spans="1:13">
      <c r="A1232">
        <v>6115</v>
      </c>
      <c r="B1232" t="s">
        <v>5750</v>
      </c>
      <c r="C1232">
        <v>18.760000000000002</v>
      </c>
      <c r="D1232">
        <v>4</v>
      </c>
      <c r="E1232">
        <v>-19</v>
      </c>
      <c r="F1232">
        <v>-22</v>
      </c>
      <c r="G1232">
        <v>-12</v>
      </c>
      <c r="H1232">
        <v>8.81</v>
      </c>
      <c r="I1232">
        <v>2.8</v>
      </c>
      <c r="J1232">
        <v>2.7</v>
      </c>
      <c r="K1232" s="245">
        <v>-7.27</v>
      </c>
      <c r="L1232" s="245">
        <v>29.96</v>
      </c>
      <c r="M1232" s="245">
        <v>1.04</v>
      </c>
    </row>
    <row r="1233" spans="1:13">
      <c r="A1233">
        <v>6116</v>
      </c>
      <c r="B1233" t="s">
        <v>5751</v>
      </c>
      <c r="C1233">
        <v>302</v>
      </c>
      <c r="D1233">
        <v>116</v>
      </c>
      <c r="E1233">
        <v>153</v>
      </c>
      <c r="F1233">
        <v>17</v>
      </c>
      <c r="G1233">
        <v>-42</v>
      </c>
      <c r="H1233">
        <v>25.11</v>
      </c>
      <c r="I1233">
        <v>1</v>
      </c>
      <c r="J1233">
        <v>2.75</v>
      </c>
      <c r="K1233" s="245">
        <v>-52.12</v>
      </c>
      <c r="L1233" s="245">
        <v>9.1300000000000008</v>
      </c>
      <c r="M1233" s="245">
        <v>20.29</v>
      </c>
    </row>
    <row r="1234" spans="1:13">
      <c r="A1234">
        <v>6117</v>
      </c>
      <c r="B1234" t="s">
        <v>5752</v>
      </c>
      <c r="C1234">
        <v>8.86</v>
      </c>
      <c r="D1234">
        <v>-9</v>
      </c>
      <c r="E1234">
        <v>-18</v>
      </c>
      <c r="F1234">
        <v>23</v>
      </c>
      <c r="G1234">
        <v>12</v>
      </c>
      <c r="H1234">
        <v>-3.6</v>
      </c>
      <c r="I1234">
        <v>0</v>
      </c>
      <c r="J1234">
        <v>-0.98</v>
      </c>
      <c r="K1234" s="245">
        <v>-26.81</v>
      </c>
      <c r="L1234" s="245">
        <v>15.85</v>
      </c>
      <c r="M1234" s="245">
        <v>2.5299999999999998</v>
      </c>
    </row>
    <row r="1235" spans="1:13">
      <c r="A1235">
        <v>6118</v>
      </c>
      <c r="B1235" t="s">
        <v>5753</v>
      </c>
      <c r="C1235">
        <v>9.08</v>
      </c>
      <c r="D1235">
        <v>50</v>
      </c>
      <c r="E1235">
        <v>37</v>
      </c>
      <c r="F1235">
        <v>13</v>
      </c>
      <c r="G1235">
        <v>13</v>
      </c>
      <c r="H1235">
        <v>0.46</v>
      </c>
      <c r="I1235">
        <v>0.3</v>
      </c>
      <c r="J1235">
        <v>0.6</v>
      </c>
      <c r="K1235" s="245">
        <v>-48.45</v>
      </c>
      <c r="L1235" s="245">
        <v>21.79</v>
      </c>
      <c r="M1235" s="245">
        <v>58.17</v>
      </c>
    </row>
    <row r="1236" spans="1:13">
      <c r="A1236">
        <v>6120</v>
      </c>
      <c r="B1236" t="s">
        <v>5754</v>
      </c>
      <c r="C1236">
        <v>66.55</v>
      </c>
      <c r="D1236">
        <v>47</v>
      </c>
      <c r="E1236">
        <v>19</v>
      </c>
      <c r="F1236">
        <v>-13</v>
      </c>
      <c r="G1236">
        <v>-11</v>
      </c>
      <c r="H1236">
        <v>-6.29</v>
      </c>
      <c r="I1236">
        <v>0</v>
      </c>
      <c r="J1236">
        <v>-0.98</v>
      </c>
      <c r="K1236" s="245">
        <v>-38.32</v>
      </c>
      <c r="L1236" s="245">
        <v>8.9</v>
      </c>
      <c r="M1236" s="245">
        <v>11.6</v>
      </c>
    </row>
    <row r="1237" spans="1:13">
      <c r="A1237">
        <v>6121</v>
      </c>
      <c r="B1237" t="s">
        <v>5755</v>
      </c>
      <c r="C1237">
        <v>18.489999999999998</v>
      </c>
      <c r="D1237">
        <v>39</v>
      </c>
      <c r="E1237">
        <v>39</v>
      </c>
      <c r="F1237">
        <v>-3</v>
      </c>
      <c r="G1237">
        <v>-1</v>
      </c>
      <c r="H1237">
        <v>9.7200000000000006</v>
      </c>
      <c r="I1237">
        <v>26</v>
      </c>
      <c r="J1237">
        <v>34.5</v>
      </c>
      <c r="K1237" s="245">
        <v>-23.82</v>
      </c>
      <c r="L1237" s="245">
        <v>16.98</v>
      </c>
      <c r="M1237" s="245">
        <v>2.2400000000000002</v>
      </c>
    </row>
    <row r="1238" spans="1:13">
      <c r="A1238">
        <v>6122</v>
      </c>
      <c r="B1238" t="s">
        <v>5756</v>
      </c>
      <c r="C1238">
        <v>7.07</v>
      </c>
      <c r="D1238">
        <v>247</v>
      </c>
      <c r="E1238">
        <v>96</v>
      </c>
      <c r="F1238">
        <v>-10</v>
      </c>
      <c r="G1238">
        <v>33</v>
      </c>
      <c r="H1238">
        <v>3.48</v>
      </c>
      <c r="I1238">
        <v>0.6</v>
      </c>
      <c r="J1238">
        <v>0.79</v>
      </c>
      <c r="K1238" s="245">
        <v>-23.35</v>
      </c>
      <c r="L1238" s="245">
        <v>53.02</v>
      </c>
      <c r="M1238" s="245">
        <v>54.63</v>
      </c>
    </row>
    <row r="1239" spans="1:13">
      <c r="A1239">
        <v>6123</v>
      </c>
      <c r="B1239" t="s">
        <v>5757</v>
      </c>
      <c r="C1239">
        <v>5.75</v>
      </c>
      <c r="D1239">
        <v>21</v>
      </c>
      <c r="E1239">
        <v>34</v>
      </c>
      <c r="F1239">
        <v>11</v>
      </c>
      <c r="G1239">
        <v>-17</v>
      </c>
      <c r="H1239">
        <v>8.36</v>
      </c>
      <c r="I1239">
        <v>4.5</v>
      </c>
      <c r="J1239">
        <v>4.87</v>
      </c>
      <c r="K1239" s="245">
        <v>-7.77</v>
      </c>
      <c r="L1239" s="245">
        <v>42.06</v>
      </c>
      <c r="M1239" s="245">
        <v>1.4</v>
      </c>
    </row>
    <row r="1240" spans="1:13">
      <c r="A1240">
        <v>6124</v>
      </c>
      <c r="B1240" t="s">
        <v>6325</v>
      </c>
      <c r="C1240">
        <v>18.239999999999998</v>
      </c>
      <c r="D1240">
        <v>-16</v>
      </c>
      <c r="E1240">
        <v>-21</v>
      </c>
      <c r="F1240">
        <v>-37</v>
      </c>
      <c r="G1240">
        <v>-38</v>
      </c>
      <c r="H1240">
        <v>11.92</v>
      </c>
      <c r="I1240">
        <v>0</v>
      </c>
      <c r="J1240">
        <v>1.29</v>
      </c>
      <c r="K1240" s="245">
        <v>-16.07</v>
      </c>
      <c r="L1240" s="245">
        <v>53</v>
      </c>
      <c r="M1240" s="245">
        <v>0.17</v>
      </c>
    </row>
    <row r="1241" spans="1:13">
      <c r="A1241">
        <v>6125</v>
      </c>
      <c r="B1241" t="s">
        <v>5758</v>
      </c>
      <c r="C1241">
        <v>24.9</v>
      </c>
      <c r="D1241">
        <v>-858</v>
      </c>
      <c r="E1241">
        <v>-375</v>
      </c>
      <c r="F1241">
        <v>-1</v>
      </c>
      <c r="G1241">
        <v>15</v>
      </c>
      <c r="H1241">
        <v>-18.04</v>
      </c>
      <c r="I1241">
        <v>1.6</v>
      </c>
      <c r="J1241">
        <v>-1.1399999999999999</v>
      </c>
      <c r="K1241" s="245">
        <v>-26.77</v>
      </c>
      <c r="L1241" s="245">
        <v>20.32</v>
      </c>
      <c r="M1241" s="245">
        <v>11.52</v>
      </c>
    </row>
    <row r="1242" spans="1:13">
      <c r="A1242">
        <v>6126</v>
      </c>
      <c r="B1242" t="s">
        <v>5759</v>
      </c>
      <c r="C1242">
        <v>12.27</v>
      </c>
      <c r="D1242">
        <v>2</v>
      </c>
      <c r="E1242">
        <v>-8</v>
      </c>
      <c r="F1242">
        <v>-20</v>
      </c>
      <c r="G1242">
        <v>-14</v>
      </c>
      <c r="H1242">
        <v>10.33</v>
      </c>
      <c r="I1242">
        <v>1.3</v>
      </c>
      <c r="J1242">
        <v>1.97</v>
      </c>
      <c r="K1242" s="245">
        <v>-30.37</v>
      </c>
      <c r="L1242" s="245">
        <v>22.31</v>
      </c>
      <c r="M1242" s="245">
        <v>38.72</v>
      </c>
    </row>
    <row r="1243" spans="1:13">
      <c r="A1243">
        <v>6127</v>
      </c>
      <c r="B1243" t="s">
        <v>5760</v>
      </c>
      <c r="C1243">
        <v>10.8</v>
      </c>
      <c r="D1243">
        <v>149</v>
      </c>
      <c r="E1243">
        <v>253</v>
      </c>
      <c r="F1243">
        <v>24</v>
      </c>
      <c r="G1243">
        <v>3</v>
      </c>
      <c r="H1243">
        <v>9.6</v>
      </c>
      <c r="I1243">
        <v>0</v>
      </c>
      <c r="J1243">
        <v>0.47</v>
      </c>
      <c r="K1243" s="245">
        <v>-40.25</v>
      </c>
      <c r="L1243" s="245">
        <v>21.5</v>
      </c>
      <c r="M1243" s="245">
        <v>23.2</v>
      </c>
    </row>
    <row r="1244" spans="1:13">
      <c r="A1244">
        <v>6128</v>
      </c>
      <c r="B1244" t="s">
        <v>5761</v>
      </c>
      <c r="C1244">
        <v>12.75</v>
      </c>
      <c r="D1244">
        <v>126</v>
      </c>
      <c r="E1244">
        <v>582</v>
      </c>
      <c r="F1244">
        <v>-18</v>
      </c>
      <c r="G1244">
        <v>19</v>
      </c>
      <c r="H1244">
        <v>8.58</v>
      </c>
      <c r="I1244">
        <v>2</v>
      </c>
      <c r="J1244">
        <v>2.64</v>
      </c>
      <c r="K1244" s="245">
        <v>-3.62</v>
      </c>
      <c r="L1244" s="245">
        <v>77.52</v>
      </c>
      <c r="M1244" s="245">
        <v>0.83</v>
      </c>
    </row>
    <row r="1245" spans="1:13">
      <c r="A1245">
        <v>6129</v>
      </c>
      <c r="B1245" t="s">
        <v>6196</v>
      </c>
      <c r="C1245">
        <v>18.09</v>
      </c>
      <c r="D1245">
        <v>370</v>
      </c>
      <c r="E1245">
        <v>302</v>
      </c>
      <c r="F1245">
        <v>8</v>
      </c>
      <c r="G1245">
        <v>42</v>
      </c>
      <c r="H1245">
        <v>7.03</v>
      </c>
      <c r="I1245">
        <v>0</v>
      </c>
      <c r="J1245">
        <v>0.63</v>
      </c>
      <c r="K1245" s="245">
        <v>-37.78</v>
      </c>
      <c r="L1245" s="245">
        <v>18.16</v>
      </c>
      <c r="M1245" s="245">
        <v>32.68</v>
      </c>
    </row>
    <row r="1246" spans="1:13">
      <c r="A1246">
        <v>6130</v>
      </c>
      <c r="B1246" t="s">
        <v>6601</v>
      </c>
      <c r="C1246">
        <v>4.43</v>
      </c>
      <c r="D1246">
        <v>292</v>
      </c>
      <c r="E1246">
        <v>120</v>
      </c>
      <c r="F1246">
        <v>7</v>
      </c>
      <c r="G1246">
        <v>-37</v>
      </c>
      <c r="H1246">
        <v>1.63</v>
      </c>
      <c r="I1246">
        <v>0</v>
      </c>
      <c r="J1246">
        <v>1.06</v>
      </c>
      <c r="K1246" s="245">
        <v>-32.58</v>
      </c>
      <c r="L1246" s="245">
        <v>21.98</v>
      </c>
      <c r="M1246" s="245">
        <v>5.0199999999999996</v>
      </c>
    </row>
    <row r="1247" spans="1:13">
      <c r="A1247">
        <v>6133</v>
      </c>
      <c r="B1247" t="s">
        <v>5762</v>
      </c>
      <c r="C1247">
        <v>11.7</v>
      </c>
      <c r="D1247">
        <v>-3026</v>
      </c>
      <c r="E1247">
        <v>-27</v>
      </c>
      <c r="F1247">
        <v>-1</v>
      </c>
      <c r="G1247">
        <v>38</v>
      </c>
      <c r="H1247">
        <v>-5.98</v>
      </c>
      <c r="I1247">
        <v>0</v>
      </c>
      <c r="J1247">
        <v>-0.48</v>
      </c>
      <c r="K1247" s="245">
        <v>-27.65</v>
      </c>
      <c r="L1247" s="245">
        <v>16.579999999999998</v>
      </c>
      <c r="M1247" s="245">
        <v>9.75</v>
      </c>
    </row>
    <row r="1248" spans="1:13">
      <c r="A1248">
        <v>6134</v>
      </c>
      <c r="B1248" t="s">
        <v>5763</v>
      </c>
      <c r="C1248">
        <v>7.25</v>
      </c>
      <c r="D1248">
        <v>-294</v>
      </c>
      <c r="E1248">
        <v>-189</v>
      </c>
      <c r="F1248">
        <v>-36</v>
      </c>
      <c r="G1248">
        <v>-45</v>
      </c>
      <c r="H1248">
        <v>-4.1399999999999997</v>
      </c>
      <c r="I1248">
        <v>0.1</v>
      </c>
      <c r="J1248">
        <v>-0.54</v>
      </c>
      <c r="K1248" s="245">
        <v>-44.66</v>
      </c>
      <c r="L1248" s="245">
        <v>15.27</v>
      </c>
      <c r="M1248" s="245">
        <v>33.32</v>
      </c>
    </row>
    <row r="1249" spans="1:13">
      <c r="A1249">
        <v>6136</v>
      </c>
      <c r="B1249" t="s">
        <v>5764</v>
      </c>
      <c r="C1249">
        <v>11.55</v>
      </c>
      <c r="D1249">
        <v>153</v>
      </c>
      <c r="E1249">
        <v>-31</v>
      </c>
      <c r="F1249">
        <v>25</v>
      </c>
      <c r="G1249">
        <v>4</v>
      </c>
      <c r="H1249">
        <v>-7.41</v>
      </c>
      <c r="I1249">
        <v>1.25</v>
      </c>
      <c r="J1249">
        <v>1.23</v>
      </c>
      <c r="K1249" s="245">
        <v>-18.38</v>
      </c>
      <c r="L1249" s="245">
        <v>45.79</v>
      </c>
      <c r="M1249" s="245">
        <v>11.9</v>
      </c>
    </row>
    <row r="1250" spans="1:13">
      <c r="A1250">
        <v>6138</v>
      </c>
      <c r="B1250" t="s">
        <v>5765</v>
      </c>
      <c r="C1250">
        <v>7.4</v>
      </c>
      <c r="D1250">
        <v>100</v>
      </c>
      <c r="E1250">
        <v>109</v>
      </c>
      <c r="F1250">
        <v>1</v>
      </c>
      <c r="G1250">
        <v>28</v>
      </c>
      <c r="H1250">
        <v>20.53</v>
      </c>
      <c r="I1250">
        <v>9.02</v>
      </c>
      <c r="J1250">
        <v>12.9</v>
      </c>
      <c r="K1250" s="245">
        <v>-29.2</v>
      </c>
      <c r="L1250" s="245">
        <v>29.23</v>
      </c>
      <c r="M1250" s="245">
        <v>34.22</v>
      </c>
    </row>
    <row r="1251" spans="1:13">
      <c r="A1251">
        <v>6139</v>
      </c>
      <c r="B1251" t="s">
        <v>5766</v>
      </c>
      <c r="C1251">
        <v>22.55</v>
      </c>
      <c r="D1251">
        <v>54</v>
      </c>
      <c r="E1251">
        <v>316</v>
      </c>
      <c r="F1251">
        <v>40</v>
      </c>
      <c r="G1251">
        <v>82</v>
      </c>
      <c r="H1251">
        <v>1.18</v>
      </c>
      <c r="I1251">
        <v>1.5</v>
      </c>
      <c r="J1251">
        <v>1.43</v>
      </c>
      <c r="K1251" s="245">
        <v>-13.48</v>
      </c>
      <c r="L1251" s="245">
        <v>23.41</v>
      </c>
      <c r="M1251" s="245">
        <v>2.4300000000000002</v>
      </c>
    </row>
    <row r="1252" spans="1:13">
      <c r="A1252">
        <v>6140</v>
      </c>
      <c r="B1252" t="s">
        <v>5767</v>
      </c>
      <c r="C1252">
        <v>3.83</v>
      </c>
      <c r="D1252">
        <v>-53</v>
      </c>
      <c r="E1252">
        <v>-39</v>
      </c>
      <c r="F1252">
        <v>8</v>
      </c>
      <c r="G1252">
        <v>-18</v>
      </c>
      <c r="H1252">
        <v>1.58</v>
      </c>
      <c r="I1252">
        <v>0</v>
      </c>
      <c r="J1252">
        <v>0.68</v>
      </c>
      <c r="K1252" s="245">
        <v>-35.380000000000003</v>
      </c>
      <c r="L1252" s="245">
        <v>28.79</v>
      </c>
      <c r="M1252" s="245">
        <v>22.7</v>
      </c>
    </row>
    <row r="1253" spans="1:13">
      <c r="A1253">
        <v>6141</v>
      </c>
      <c r="B1253" t="s">
        <v>5768</v>
      </c>
      <c r="C1253">
        <v>11.6</v>
      </c>
      <c r="D1253">
        <v>11</v>
      </c>
      <c r="E1253">
        <v>26</v>
      </c>
      <c r="F1253">
        <v>47</v>
      </c>
      <c r="G1253">
        <v>-4</v>
      </c>
      <c r="H1253">
        <v>10.83</v>
      </c>
      <c r="I1253">
        <v>1</v>
      </c>
      <c r="J1253">
        <v>2.88</v>
      </c>
      <c r="K1253" s="245">
        <v>-25.3</v>
      </c>
      <c r="L1253" s="245">
        <v>14.08</v>
      </c>
      <c r="M1253" s="245">
        <v>6.13</v>
      </c>
    </row>
    <row r="1254" spans="1:13">
      <c r="A1254">
        <v>6142</v>
      </c>
      <c r="B1254" t="s">
        <v>6602</v>
      </c>
      <c r="C1254">
        <v>33.07</v>
      </c>
      <c r="D1254">
        <v>189</v>
      </c>
      <c r="E1254">
        <v>-25</v>
      </c>
      <c r="F1254">
        <v>40</v>
      </c>
      <c r="G1254">
        <v>-20</v>
      </c>
      <c r="H1254">
        <v>-25.34</v>
      </c>
      <c r="I1254">
        <v>0</v>
      </c>
      <c r="J1254">
        <v>1.23</v>
      </c>
      <c r="K1254" s="245">
        <v>-42.73</v>
      </c>
      <c r="L1254" s="245">
        <v>42.99</v>
      </c>
      <c r="M1254" s="245">
        <v>6.73</v>
      </c>
    </row>
    <row r="1255" spans="1:13">
      <c r="A1255">
        <v>6143</v>
      </c>
      <c r="B1255" t="s">
        <v>5769</v>
      </c>
      <c r="C1255">
        <v>8.3000000000000007</v>
      </c>
      <c r="D1255">
        <v>11</v>
      </c>
      <c r="E1255">
        <v>12</v>
      </c>
      <c r="F1255">
        <v>17</v>
      </c>
      <c r="G1255">
        <v>-15</v>
      </c>
      <c r="H1255">
        <v>6.54</v>
      </c>
      <c r="I1255">
        <v>2.5</v>
      </c>
      <c r="J1255">
        <v>3.33</v>
      </c>
      <c r="K1255" s="245">
        <v>-24.28</v>
      </c>
      <c r="L1255" s="245">
        <v>61.56</v>
      </c>
      <c r="M1255" s="245">
        <v>19.79</v>
      </c>
    </row>
    <row r="1256" spans="1:13">
      <c r="A1256">
        <v>6144</v>
      </c>
      <c r="B1256" t="s">
        <v>6603</v>
      </c>
      <c r="C1256">
        <v>3.82</v>
      </c>
      <c r="D1256">
        <v>-1337</v>
      </c>
      <c r="E1256">
        <v>-404</v>
      </c>
      <c r="F1256">
        <v>-7</v>
      </c>
      <c r="G1256">
        <v>-12</v>
      </c>
      <c r="H1256">
        <v>-15.24</v>
      </c>
      <c r="I1256">
        <v>0</v>
      </c>
      <c r="J1256">
        <v>-0.78</v>
      </c>
      <c r="K1256" s="245">
        <v>-25.85</v>
      </c>
      <c r="L1256" s="245">
        <v>45.2</v>
      </c>
      <c r="M1256" s="245">
        <v>0.62</v>
      </c>
    </row>
    <row r="1257" spans="1:13">
      <c r="A1257">
        <v>6146</v>
      </c>
      <c r="B1257" t="s">
        <v>5770</v>
      </c>
      <c r="C1257">
        <v>9.6999999999999993</v>
      </c>
      <c r="D1257">
        <v>42</v>
      </c>
      <c r="E1257">
        <v>41</v>
      </c>
      <c r="F1257">
        <v>1</v>
      </c>
      <c r="G1257">
        <v>20</v>
      </c>
      <c r="H1257">
        <v>33.229999999999997</v>
      </c>
      <c r="I1257">
        <v>9</v>
      </c>
      <c r="J1257">
        <v>11.01</v>
      </c>
      <c r="K1257" s="245">
        <v>-26.21</v>
      </c>
      <c r="L1257" s="245">
        <v>56.04</v>
      </c>
      <c r="M1257" s="245">
        <v>0.72</v>
      </c>
    </row>
    <row r="1258" spans="1:13">
      <c r="A1258">
        <v>6147</v>
      </c>
      <c r="B1258" t="s">
        <v>5771</v>
      </c>
      <c r="C1258">
        <v>73.86</v>
      </c>
      <c r="D1258">
        <v>67</v>
      </c>
      <c r="E1258">
        <v>42</v>
      </c>
      <c r="F1258">
        <v>-5</v>
      </c>
      <c r="G1258">
        <v>0</v>
      </c>
      <c r="H1258">
        <v>25.46</v>
      </c>
      <c r="I1258">
        <v>6</v>
      </c>
      <c r="J1258">
        <v>9</v>
      </c>
      <c r="K1258" s="245">
        <v>-23.56</v>
      </c>
      <c r="L1258" s="245">
        <v>33.049999999999997</v>
      </c>
      <c r="M1258" s="245">
        <v>11.89</v>
      </c>
    </row>
    <row r="1259" spans="1:13">
      <c r="A1259">
        <v>6148</v>
      </c>
      <c r="B1259" t="s">
        <v>5772</v>
      </c>
      <c r="C1259">
        <v>4.66</v>
      </c>
      <c r="D1259">
        <v>-12</v>
      </c>
      <c r="E1259">
        <v>-24</v>
      </c>
      <c r="F1259">
        <v>13</v>
      </c>
      <c r="G1259">
        <v>57</v>
      </c>
      <c r="H1259">
        <v>5.78</v>
      </c>
      <c r="I1259">
        <v>1</v>
      </c>
      <c r="J1259">
        <v>0.98</v>
      </c>
      <c r="K1259" s="245">
        <v>-30.08</v>
      </c>
      <c r="L1259" s="245">
        <v>13.78</v>
      </c>
      <c r="M1259" s="245">
        <v>31.93</v>
      </c>
    </row>
    <row r="1260" spans="1:13">
      <c r="A1260">
        <v>6150</v>
      </c>
      <c r="B1260" t="s">
        <v>5773</v>
      </c>
      <c r="C1260">
        <v>4.83</v>
      </c>
      <c r="D1260">
        <v>3611</v>
      </c>
      <c r="E1260">
        <v>3370</v>
      </c>
      <c r="F1260">
        <v>-10</v>
      </c>
      <c r="G1260">
        <v>-8</v>
      </c>
      <c r="H1260">
        <v>15.49</v>
      </c>
      <c r="I1260">
        <v>11</v>
      </c>
      <c r="J1260">
        <v>24</v>
      </c>
      <c r="K1260" s="245">
        <v>-47.64</v>
      </c>
      <c r="L1260" s="245">
        <v>11.7</v>
      </c>
      <c r="M1260" s="245">
        <v>38.700000000000003</v>
      </c>
    </row>
    <row r="1261" spans="1:13">
      <c r="A1261">
        <v>6151</v>
      </c>
      <c r="B1261" t="s">
        <v>5774</v>
      </c>
      <c r="C1261">
        <v>5.52</v>
      </c>
      <c r="D1261">
        <v>91</v>
      </c>
      <c r="E1261">
        <v>108</v>
      </c>
      <c r="F1261">
        <v>-17</v>
      </c>
      <c r="G1261">
        <v>-43</v>
      </c>
      <c r="H1261">
        <v>11.24</v>
      </c>
      <c r="I1261">
        <v>3</v>
      </c>
      <c r="J1261">
        <v>4.04</v>
      </c>
      <c r="K1261" s="245">
        <v>-34.409999999999997</v>
      </c>
      <c r="L1261" s="245">
        <v>9.27</v>
      </c>
      <c r="M1261" s="245">
        <v>3.68</v>
      </c>
    </row>
    <row r="1262" spans="1:13">
      <c r="A1262">
        <v>6152</v>
      </c>
      <c r="B1262" t="s">
        <v>6604</v>
      </c>
      <c r="C1262">
        <v>16.77</v>
      </c>
      <c r="D1262">
        <v>-52</v>
      </c>
      <c r="E1262">
        <v>16</v>
      </c>
      <c r="F1262">
        <v>75</v>
      </c>
      <c r="G1262">
        <v>9</v>
      </c>
      <c r="H1262">
        <v>-1.19</v>
      </c>
      <c r="I1262">
        <v>0</v>
      </c>
      <c r="J1262">
        <v>0.05</v>
      </c>
      <c r="K1262" s="245">
        <v>-35.83</v>
      </c>
      <c r="L1262" s="245">
        <v>11.11</v>
      </c>
      <c r="M1262" s="245">
        <v>8.5500000000000007</v>
      </c>
    </row>
    <row r="1263" spans="1:13">
      <c r="A1263">
        <v>6153</v>
      </c>
      <c r="B1263" t="s">
        <v>5775</v>
      </c>
      <c r="C1263">
        <v>55.61</v>
      </c>
      <c r="D1263">
        <v>-174</v>
      </c>
      <c r="E1263">
        <v>-197</v>
      </c>
      <c r="F1263">
        <v>-42</v>
      </c>
      <c r="G1263">
        <v>-38</v>
      </c>
      <c r="H1263">
        <v>-2.73</v>
      </c>
      <c r="I1263">
        <v>0</v>
      </c>
      <c r="J1263">
        <v>-0.88</v>
      </c>
      <c r="K1263" s="245">
        <v>-39.549999999999997</v>
      </c>
      <c r="L1263" s="245">
        <v>22.93</v>
      </c>
      <c r="M1263" s="245">
        <v>4.32</v>
      </c>
    </row>
    <row r="1264" spans="1:13">
      <c r="A1264">
        <v>6154</v>
      </c>
      <c r="B1264" t="s">
        <v>5776</v>
      </c>
      <c r="C1264">
        <v>8</v>
      </c>
      <c r="D1264">
        <v>214</v>
      </c>
      <c r="E1264">
        <v>195</v>
      </c>
      <c r="F1264">
        <v>0</v>
      </c>
      <c r="G1264">
        <v>11</v>
      </c>
      <c r="H1264">
        <v>3.44</v>
      </c>
      <c r="I1264">
        <v>1.2</v>
      </c>
      <c r="J1264">
        <v>1.76</v>
      </c>
      <c r="K1264" s="245">
        <v>-27.37</v>
      </c>
      <c r="L1264" s="245">
        <v>37.18</v>
      </c>
      <c r="M1264" s="245">
        <v>10.38</v>
      </c>
    </row>
    <row r="1265" spans="1:13">
      <c r="A1265">
        <v>6155</v>
      </c>
      <c r="B1265" t="s">
        <v>5777</v>
      </c>
      <c r="C1265">
        <v>8.69</v>
      </c>
      <c r="D1265">
        <v>137</v>
      </c>
      <c r="E1265">
        <v>200</v>
      </c>
      <c r="F1265">
        <v>-18</v>
      </c>
      <c r="G1265">
        <v>-2</v>
      </c>
      <c r="H1265">
        <v>15.96</v>
      </c>
      <c r="I1265">
        <v>0.85</v>
      </c>
      <c r="J1265">
        <v>0.93</v>
      </c>
      <c r="K1265" s="245">
        <v>-31.39</v>
      </c>
      <c r="L1265" s="245">
        <v>37.86</v>
      </c>
      <c r="M1265" s="245">
        <v>8.3699999999999992</v>
      </c>
    </row>
    <row r="1266" spans="1:13">
      <c r="A1266">
        <v>6156</v>
      </c>
      <c r="B1266" t="s">
        <v>5778</v>
      </c>
      <c r="C1266">
        <v>8.0500000000000007</v>
      </c>
      <c r="D1266">
        <v>-20</v>
      </c>
      <c r="E1266">
        <v>-43</v>
      </c>
      <c r="F1266">
        <v>17</v>
      </c>
      <c r="G1266">
        <v>-10</v>
      </c>
      <c r="H1266">
        <v>2.27</v>
      </c>
      <c r="I1266">
        <v>0.5</v>
      </c>
      <c r="J1266">
        <v>1.29</v>
      </c>
      <c r="K1266" s="245">
        <v>-33.71</v>
      </c>
      <c r="L1266" s="245">
        <v>14.37</v>
      </c>
      <c r="M1266" s="245">
        <v>41.2</v>
      </c>
    </row>
    <row r="1267" spans="1:13">
      <c r="A1267">
        <v>6158</v>
      </c>
      <c r="B1267" t="s">
        <v>5779</v>
      </c>
      <c r="C1267">
        <v>5.5</v>
      </c>
      <c r="D1267">
        <v>19</v>
      </c>
      <c r="E1267">
        <v>6</v>
      </c>
      <c r="F1267">
        <v>-7</v>
      </c>
      <c r="G1267">
        <v>-3</v>
      </c>
      <c r="H1267">
        <v>7.71</v>
      </c>
      <c r="I1267">
        <v>1</v>
      </c>
      <c r="J1267">
        <v>3.09</v>
      </c>
      <c r="K1267" s="245">
        <v>-42.87</v>
      </c>
      <c r="L1267" s="245">
        <v>21.66</v>
      </c>
      <c r="M1267" s="245">
        <v>39.82</v>
      </c>
    </row>
    <row r="1268" spans="1:13">
      <c r="A1268">
        <v>6160</v>
      </c>
      <c r="B1268" t="s">
        <v>6314</v>
      </c>
      <c r="C1268">
        <v>6.84</v>
      </c>
      <c r="D1268">
        <v>158</v>
      </c>
      <c r="E1268">
        <v>141</v>
      </c>
      <c r="F1268">
        <v>35</v>
      </c>
      <c r="G1268">
        <v>-9</v>
      </c>
      <c r="H1268">
        <v>2.99</v>
      </c>
      <c r="I1268">
        <v>0.35</v>
      </c>
      <c r="J1268">
        <v>0.52</v>
      </c>
      <c r="K1268" s="245">
        <v>-49.17</v>
      </c>
      <c r="L1268" s="245">
        <v>11.57</v>
      </c>
      <c r="M1268" s="245">
        <v>22.76</v>
      </c>
    </row>
    <row r="1269" spans="1:13">
      <c r="A1269">
        <v>6161</v>
      </c>
      <c r="B1269" t="s">
        <v>5780</v>
      </c>
      <c r="C1269">
        <v>7.49</v>
      </c>
      <c r="D1269">
        <v>99</v>
      </c>
      <c r="E1269">
        <v>142</v>
      </c>
      <c r="F1269">
        <v>-11</v>
      </c>
      <c r="G1269">
        <v>21</v>
      </c>
      <c r="H1269">
        <v>16.41</v>
      </c>
      <c r="I1269">
        <v>3</v>
      </c>
      <c r="J1269">
        <v>3.28</v>
      </c>
      <c r="K1269" s="245">
        <v>-18.97</v>
      </c>
      <c r="L1269" s="245">
        <v>21.15</v>
      </c>
      <c r="M1269" s="245">
        <v>16.059999999999999</v>
      </c>
    </row>
    <row r="1270" spans="1:13">
      <c r="A1270">
        <v>6163</v>
      </c>
      <c r="B1270" t="s">
        <v>5781</v>
      </c>
      <c r="C1270">
        <v>13.36</v>
      </c>
      <c r="D1270">
        <v>6623</v>
      </c>
      <c r="E1270">
        <v>13177</v>
      </c>
      <c r="F1270">
        <v>61</v>
      </c>
      <c r="G1270">
        <v>54</v>
      </c>
      <c r="H1270">
        <v>3.41</v>
      </c>
      <c r="I1270">
        <v>0</v>
      </c>
      <c r="J1270">
        <v>1.43</v>
      </c>
      <c r="K1270" s="245">
        <v>-28.45</v>
      </c>
      <c r="L1270" s="245">
        <v>16.52</v>
      </c>
      <c r="M1270" s="245">
        <v>14.68</v>
      </c>
    </row>
    <row r="1271" spans="1:13">
      <c r="A1271">
        <v>6164</v>
      </c>
      <c r="B1271" t="s">
        <v>5782</v>
      </c>
      <c r="C1271">
        <v>10</v>
      </c>
      <c r="D1271">
        <v>148</v>
      </c>
      <c r="E1271">
        <v>123</v>
      </c>
      <c r="F1271">
        <v>8</v>
      </c>
      <c r="G1271">
        <v>18</v>
      </c>
      <c r="H1271">
        <v>1.44</v>
      </c>
      <c r="I1271">
        <v>0</v>
      </c>
      <c r="J1271">
        <v>0.06</v>
      </c>
      <c r="K1271" s="245">
        <v>-40.19</v>
      </c>
      <c r="L1271" s="245">
        <v>24.55</v>
      </c>
      <c r="M1271" s="245">
        <v>58.7</v>
      </c>
    </row>
    <row r="1272" spans="1:13">
      <c r="A1272">
        <v>6165</v>
      </c>
      <c r="B1272" t="s">
        <v>5783</v>
      </c>
      <c r="C1272">
        <v>5.32</v>
      </c>
      <c r="D1272">
        <v>108</v>
      </c>
      <c r="E1272">
        <v>1090</v>
      </c>
      <c r="F1272">
        <v>-13</v>
      </c>
      <c r="G1272">
        <v>14</v>
      </c>
      <c r="H1272">
        <v>4.3</v>
      </c>
      <c r="I1272">
        <v>0</v>
      </c>
      <c r="J1272">
        <v>2.6</v>
      </c>
      <c r="K1272" s="245">
        <v>-46.44</v>
      </c>
      <c r="L1272" s="245">
        <v>8.59</v>
      </c>
      <c r="M1272" s="245">
        <v>41.5</v>
      </c>
    </row>
    <row r="1273" spans="1:13">
      <c r="A1273">
        <v>6166</v>
      </c>
      <c r="B1273" t="s">
        <v>5784</v>
      </c>
      <c r="C1273">
        <v>21.74</v>
      </c>
      <c r="D1273">
        <v>-50</v>
      </c>
      <c r="E1273">
        <v>-70</v>
      </c>
      <c r="F1273">
        <v>49</v>
      </c>
      <c r="G1273">
        <v>19</v>
      </c>
      <c r="H1273">
        <v>1.43</v>
      </c>
      <c r="I1273">
        <v>0.3</v>
      </c>
      <c r="J1273">
        <v>0.55000000000000004</v>
      </c>
      <c r="K1273" s="245">
        <v>-19.010000000000002</v>
      </c>
      <c r="L1273" s="245">
        <v>36.450000000000003</v>
      </c>
      <c r="M1273" s="245">
        <v>10.130000000000001</v>
      </c>
    </row>
    <row r="1274" spans="1:13">
      <c r="A1274">
        <v>6167</v>
      </c>
      <c r="B1274" t="s">
        <v>6605</v>
      </c>
      <c r="C1274">
        <v>16.21</v>
      </c>
      <c r="D1274">
        <v>97</v>
      </c>
      <c r="E1274">
        <v>104</v>
      </c>
      <c r="F1274">
        <v>21</v>
      </c>
      <c r="G1274">
        <v>42</v>
      </c>
      <c r="H1274">
        <v>2.04</v>
      </c>
      <c r="I1274">
        <v>0.19</v>
      </c>
      <c r="J1274">
        <v>0.5</v>
      </c>
      <c r="K1274" s="245">
        <v>-39.26</v>
      </c>
      <c r="L1274" s="245">
        <v>17.98</v>
      </c>
      <c r="M1274" s="245">
        <v>13.34</v>
      </c>
    </row>
    <row r="1275" spans="1:13">
      <c r="A1275">
        <v>6168</v>
      </c>
      <c r="B1275" t="s">
        <v>5785</v>
      </c>
      <c r="C1275">
        <v>20.6</v>
      </c>
      <c r="D1275">
        <v>170</v>
      </c>
      <c r="E1275">
        <v>78</v>
      </c>
      <c r="F1275">
        <v>19</v>
      </c>
      <c r="G1275">
        <v>1</v>
      </c>
      <c r="H1275">
        <v>13.3</v>
      </c>
      <c r="I1275">
        <v>1.5</v>
      </c>
      <c r="J1275">
        <v>1.8</v>
      </c>
      <c r="K1275" s="245">
        <v>-43.4</v>
      </c>
      <c r="L1275" s="245">
        <v>26.59</v>
      </c>
      <c r="M1275" s="245">
        <v>27.91</v>
      </c>
    </row>
    <row r="1276" spans="1:13">
      <c r="A1276">
        <v>6169</v>
      </c>
      <c r="B1276" t="s">
        <v>6606</v>
      </c>
      <c r="C1276">
        <v>2.33</v>
      </c>
      <c r="D1276">
        <v>40</v>
      </c>
      <c r="E1276">
        <v>25</v>
      </c>
      <c r="F1276">
        <v>-15</v>
      </c>
      <c r="G1276">
        <v>-87</v>
      </c>
      <c r="H1276">
        <v>-211.61</v>
      </c>
      <c r="I1276">
        <v>0</v>
      </c>
      <c r="J1276">
        <v>-0.71</v>
      </c>
      <c r="K1276" s="245">
        <v>-38.36</v>
      </c>
      <c r="L1276" s="245">
        <v>7.43</v>
      </c>
      <c r="M1276" s="245">
        <v>8.0500000000000007</v>
      </c>
    </row>
    <row r="1277" spans="1:13">
      <c r="A1277">
        <v>6170</v>
      </c>
      <c r="B1277" t="s">
        <v>5786</v>
      </c>
      <c r="C1277">
        <v>8.9600000000000009</v>
      </c>
      <c r="D1277">
        <v>13</v>
      </c>
      <c r="E1277">
        <v>-14</v>
      </c>
      <c r="F1277">
        <v>-29</v>
      </c>
      <c r="G1277">
        <v>-28</v>
      </c>
      <c r="H1277">
        <v>4.82</v>
      </c>
      <c r="I1277">
        <v>1.6</v>
      </c>
      <c r="J1277">
        <v>1.86</v>
      </c>
      <c r="K1277" s="245">
        <v>-39.979999999999997</v>
      </c>
      <c r="L1277" s="245">
        <v>61.02</v>
      </c>
      <c r="M1277" s="245">
        <v>22.42</v>
      </c>
    </row>
    <row r="1278" spans="1:13">
      <c r="A1278">
        <v>6171</v>
      </c>
      <c r="B1278" t="s">
        <v>6160</v>
      </c>
      <c r="C1278">
        <v>8.66</v>
      </c>
      <c r="D1278">
        <v>79</v>
      </c>
      <c r="E1278">
        <v>79</v>
      </c>
      <c r="F1278">
        <v>-97</v>
      </c>
      <c r="G1278">
        <v>-99</v>
      </c>
      <c r="H1278">
        <v>24.3</v>
      </c>
      <c r="I1278">
        <v>3.04</v>
      </c>
      <c r="J1278">
        <v>4.82</v>
      </c>
      <c r="K1278" s="245">
        <v>-9.32</v>
      </c>
      <c r="L1278" s="245">
        <v>38.869999999999997</v>
      </c>
      <c r="M1278" s="245">
        <v>1.87</v>
      </c>
    </row>
    <row r="1279" spans="1:13">
      <c r="A1279">
        <v>6173</v>
      </c>
      <c r="B1279" t="s">
        <v>5787</v>
      </c>
      <c r="C1279">
        <v>17.2</v>
      </c>
      <c r="D1279">
        <v>45</v>
      </c>
      <c r="E1279">
        <v>29</v>
      </c>
      <c r="F1279">
        <v>-4</v>
      </c>
      <c r="G1279">
        <v>-18</v>
      </c>
      <c r="H1279">
        <v>19.600000000000001</v>
      </c>
      <c r="I1279">
        <v>2</v>
      </c>
      <c r="J1279">
        <v>6.67</v>
      </c>
      <c r="K1279" s="245">
        <v>-40.299999999999997</v>
      </c>
      <c r="L1279" s="245">
        <v>12.19</v>
      </c>
      <c r="M1279" s="245">
        <v>17.04</v>
      </c>
    </row>
    <row r="1280" spans="1:13">
      <c r="A1280">
        <v>6174</v>
      </c>
      <c r="B1280" t="s">
        <v>5788</v>
      </c>
      <c r="C1280">
        <v>5</v>
      </c>
      <c r="D1280">
        <v>6895</v>
      </c>
      <c r="E1280">
        <v>1478</v>
      </c>
      <c r="F1280">
        <v>-24</v>
      </c>
      <c r="G1280">
        <v>30</v>
      </c>
      <c r="H1280">
        <v>15.63</v>
      </c>
      <c r="I1280">
        <v>1.6</v>
      </c>
      <c r="J1280">
        <v>1.79</v>
      </c>
      <c r="K1280" s="245">
        <v>-21.05</v>
      </c>
      <c r="L1280" s="245">
        <v>50.64</v>
      </c>
      <c r="M1280" s="245">
        <v>22.11</v>
      </c>
    </row>
    <row r="1281" spans="1:13">
      <c r="A1281">
        <v>6175</v>
      </c>
      <c r="B1281" t="s">
        <v>5789</v>
      </c>
      <c r="C1281">
        <v>14.32</v>
      </c>
      <c r="D1281">
        <v>67</v>
      </c>
      <c r="E1281">
        <v>54</v>
      </c>
      <c r="F1281">
        <v>-5</v>
      </c>
      <c r="G1281">
        <v>6</v>
      </c>
      <c r="H1281">
        <v>16.57</v>
      </c>
      <c r="I1281">
        <v>1.5</v>
      </c>
      <c r="J1281">
        <v>3.45</v>
      </c>
      <c r="K1281" s="245">
        <v>-43.54</v>
      </c>
      <c r="L1281" s="245">
        <v>11.33</v>
      </c>
      <c r="M1281" s="245">
        <v>19.8</v>
      </c>
    </row>
    <row r="1282" spans="1:13">
      <c r="A1282">
        <v>6176</v>
      </c>
      <c r="B1282" t="s">
        <v>5790</v>
      </c>
      <c r="C1282">
        <v>46.5</v>
      </c>
      <c r="D1282">
        <v>0</v>
      </c>
      <c r="E1282">
        <v>-5</v>
      </c>
      <c r="F1282">
        <v>-51</v>
      </c>
      <c r="G1282">
        <v>-43</v>
      </c>
      <c r="H1282">
        <v>13.29</v>
      </c>
      <c r="I1282">
        <v>8</v>
      </c>
      <c r="J1282">
        <v>11.16</v>
      </c>
      <c r="K1282" s="245">
        <v>-21.84</v>
      </c>
      <c r="L1282" s="245">
        <v>46.85</v>
      </c>
      <c r="M1282" s="245">
        <v>3.84</v>
      </c>
    </row>
    <row r="1283" spans="1:13">
      <c r="A1283">
        <v>6177</v>
      </c>
      <c r="B1283" t="s">
        <v>5791</v>
      </c>
      <c r="C1283">
        <v>38.79</v>
      </c>
      <c r="D1283">
        <v>943</v>
      </c>
      <c r="E1283">
        <v>936</v>
      </c>
      <c r="F1283">
        <v>-83</v>
      </c>
      <c r="G1283">
        <v>4878</v>
      </c>
      <c r="H1283">
        <v>17.239999999999998</v>
      </c>
      <c r="I1283">
        <v>3</v>
      </c>
      <c r="J1283">
        <v>4.03</v>
      </c>
      <c r="K1283" s="245">
        <v>-7.38</v>
      </c>
      <c r="L1283" s="245">
        <v>45.37</v>
      </c>
      <c r="M1283" s="245">
        <v>0.8</v>
      </c>
    </row>
    <row r="1284" spans="1:13">
      <c r="A1284">
        <v>6179</v>
      </c>
      <c r="B1284" t="s">
        <v>5792</v>
      </c>
      <c r="C1284">
        <v>8.81</v>
      </c>
      <c r="D1284">
        <v>-17</v>
      </c>
      <c r="E1284">
        <v>-28</v>
      </c>
      <c r="F1284">
        <v>13</v>
      </c>
      <c r="G1284">
        <v>-15</v>
      </c>
      <c r="H1284">
        <v>6.45</v>
      </c>
      <c r="I1284">
        <v>1.5</v>
      </c>
      <c r="J1284">
        <v>1.84</v>
      </c>
      <c r="K1284" s="245">
        <v>-12.86</v>
      </c>
      <c r="L1284" s="245">
        <v>67.45</v>
      </c>
      <c r="M1284" s="245">
        <v>4.28</v>
      </c>
    </row>
    <row r="1285" spans="1:13">
      <c r="A1285">
        <v>6180</v>
      </c>
      <c r="B1285" t="s">
        <v>5793</v>
      </c>
      <c r="C1285">
        <v>17.54</v>
      </c>
      <c r="D1285">
        <v>28</v>
      </c>
      <c r="E1285">
        <v>52</v>
      </c>
      <c r="F1285">
        <v>-16</v>
      </c>
      <c r="G1285">
        <v>6</v>
      </c>
      <c r="H1285">
        <v>15.25</v>
      </c>
      <c r="I1285">
        <v>5</v>
      </c>
      <c r="J1285">
        <v>6.3</v>
      </c>
      <c r="K1285" s="245">
        <v>-9.6199999999999992</v>
      </c>
      <c r="L1285" s="245">
        <v>59.89</v>
      </c>
      <c r="M1285" s="245">
        <v>15.21</v>
      </c>
    </row>
    <row r="1286" spans="1:13">
      <c r="A1286">
        <v>6182</v>
      </c>
      <c r="B1286" t="s">
        <v>5794</v>
      </c>
      <c r="C1286">
        <v>54.09</v>
      </c>
      <c r="D1286">
        <v>123</v>
      </c>
      <c r="E1286">
        <v>170</v>
      </c>
      <c r="F1286">
        <v>-4</v>
      </c>
      <c r="G1286">
        <v>20</v>
      </c>
      <c r="H1286">
        <v>19.239999999999998</v>
      </c>
      <c r="I1286">
        <v>1.35</v>
      </c>
      <c r="J1286">
        <v>2.02</v>
      </c>
      <c r="K1286" s="245">
        <v>-36.76</v>
      </c>
      <c r="L1286" s="245">
        <v>14.52</v>
      </c>
      <c r="M1286" s="245">
        <v>37.159999999999997</v>
      </c>
    </row>
    <row r="1287" spans="1:13">
      <c r="A1287">
        <v>6183</v>
      </c>
      <c r="B1287" t="s">
        <v>5795</v>
      </c>
      <c r="C1287">
        <v>15</v>
      </c>
      <c r="D1287">
        <v>26</v>
      </c>
      <c r="E1287">
        <v>22</v>
      </c>
      <c r="F1287">
        <v>-5</v>
      </c>
      <c r="G1287">
        <v>16</v>
      </c>
      <c r="H1287">
        <v>23.1</v>
      </c>
      <c r="I1287">
        <v>2.0499999999999998</v>
      </c>
      <c r="J1287">
        <v>2.84</v>
      </c>
      <c r="K1287" s="245">
        <v>-3.96</v>
      </c>
      <c r="L1287" s="245">
        <v>71.180000000000007</v>
      </c>
      <c r="M1287" s="245">
        <v>0.48</v>
      </c>
    </row>
    <row r="1288" spans="1:13">
      <c r="A1288">
        <v>6184</v>
      </c>
      <c r="B1288" t="s">
        <v>5796</v>
      </c>
      <c r="C1288">
        <v>15.82</v>
      </c>
      <c r="D1288">
        <v>3</v>
      </c>
      <c r="E1288">
        <v>-10</v>
      </c>
      <c r="F1288">
        <v>0</v>
      </c>
      <c r="G1288">
        <v>1</v>
      </c>
      <c r="H1288">
        <v>29.61</v>
      </c>
      <c r="I1288">
        <v>3</v>
      </c>
      <c r="J1288">
        <v>3.51</v>
      </c>
      <c r="K1288" s="245">
        <v>-1.1499999999999999</v>
      </c>
      <c r="L1288" s="245">
        <v>80.27</v>
      </c>
      <c r="M1288" s="245">
        <v>0.37</v>
      </c>
    </row>
    <row r="1289" spans="1:13">
      <c r="A1289">
        <v>6185</v>
      </c>
      <c r="B1289" t="s">
        <v>5797</v>
      </c>
      <c r="C1289">
        <v>14.98</v>
      </c>
      <c r="D1289">
        <v>-11</v>
      </c>
      <c r="E1289">
        <v>-61</v>
      </c>
      <c r="F1289">
        <v>15</v>
      </c>
      <c r="G1289">
        <v>16</v>
      </c>
      <c r="H1289">
        <v>-22.29</v>
      </c>
      <c r="I1289">
        <v>0.2</v>
      </c>
      <c r="J1289">
        <v>-0.67</v>
      </c>
      <c r="K1289" s="245">
        <v>-22.8</v>
      </c>
      <c r="L1289" s="245">
        <v>17.13</v>
      </c>
      <c r="M1289" s="245">
        <v>9.2799999999999994</v>
      </c>
    </row>
    <row r="1290" spans="1:13">
      <c r="A1290">
        <v>6186</v>
      </c>
      <c r="B1290" t="s">
        <v>5798</v>
      </c>
      <c r="C1290">
        <v>14.99</v>
      </c>
      <c r="D1290">
        <v>10</v>
      </c>
      <c r="E1290">
        <v>15</v>
      </c>
      <c r="F1290">
        <v>-100</v>
      </c>
      <c r="G1290">
        <v>-100</v>
      </c>
      <c r="H1290">
        <v>14.02</v>
      </c>
      <c r="I1290">
        <v>0</v>
      </c>
      <c r="J1290">
        <v>3.08</v>
      </c>
      <c r="K1290" s="245">
        <v>-14.75</v>
      </c>
      <c r="L1290" s="245">
        <v>43.7</v>
      </c>
      <c r="M1290" s="245">
        <v>2.25</v>
      </c>
    </row>
    <row r="1291" spans="1:13">
      <c r="A1291">
        <v>6187</v>
      </c>
      <c r="B1291" t="s">
        <v>5799</v>
      </c>
      <c r="C1291">
        <v>8.33</v>
      </c>
      <c r="D1291">
        <v>119</v>
      </c>
      <c r="E1291">
        <v>111</v>
      </c>
      <c r="F1291">
        <v>-7</v>
      </c>
      <c r="G1291">
        <v>-1</v>
      </c>
      <c r="H1291">
        <v>24.41</v>
      </c>
      <c r="I1291">
        <v>4.5</v>
      </c>
      <c r="J1291">
        <v>6.64</v>
      </c>
      <c r="K1291" s="245">
        <v>-37.28</v>
      </c>
      <c r="L1291" s="245">
        <v>21.44</v>
      </c>
      <c r="M1291" s="245">
        <v>31.66</v>
      </c>
    </row>
    <row r="1292" spans="1:13">
      <c r="A1292">
        <v>6188</v>
      </c>
      <c r="B1292" t="s">
        <v>5800</v>
      </c>
      <c r="C1292">
        <v>27.83</v>
      </c>
      <c r="D1292">
        <v>857</v>
      </c>
      <c r="E1292">
        <v>-5</v>
      </c>
      <c r="F1292">
        <v>-41</v>
      </c>
      <c r="G1292">
        <v>-33</v>
      </c>
      <c r="H1292">
        <v>8.86</v>
      </c>
      <c r="I1292">
        <v>2.8</v>
      </c>
      <c r="J1292">
        <v>3.57</v>
      </c>
      <c r="K1292" s="245">
        <v>-24.31</v>
      </c>
      <c r="L1292" s="245">
        <v>12.41</v>
      </c>
      <c r="M1292" s="245">
        <v>15.97</v>
      </c>
    </row>
    <row r="1293" spans="1:13">
      <c r="A1293">
        <v>6189</v>
      </c>
      <c r="B1293" t="s">
        <v>5801</v>
      </c>
      <c r="C1293">
        <v>19.82</v>
      </c>
      <c r="D1293">
        <v>40</v>
      </c>
      <c r="E1293">
        <v>19</v>
      </c>
      <c r="F1293">
        <v>-18</v>
      </c>
      <c r="G1293">
        <v>-9</v>
      </c>
      <c r="H1293">
        <v>3.8</v>
      </c>
      <c r="I1293">
        <v>3.78</v>
      </c>
      <c r="J1293">
        <v>4.3099999999999996</v>
      </c>
      <c r="K1293" s="245">
        <v>-6.72</v>
      </c>
      <c r="L1293" s="245">
        <v>25.34</v>
      </c>
      <c r="M1293" s="245">
        <v>1.27</v>
      </c>
    </row>
    <row r="1294" spans="1:13">
      <c r="A1294">
        <v>6190</v>
      </c>
      <c r="B1294" t="s">
        <v>5802</v>
      </c>
      <c r="C1294">
        <v>16.11</v>
      </c>
      <c r="D1294">
        <v>52</v>
      </c>
      <c r="E1294">
        <v>46</v>
      </c>
      <c r="F1294">
        <v>7</v>
      </c>
      <c r="G1294">
        <v>49</v>
      </c>
      <c r="H1294">
        <v>4.7699999999999996</v>
      </c>
      <c r="I1294">
        <v>1.4</v>
      </c>
      <c r="J1294">
        <v>1.68</v>
      </c>
      <c r="K1294" s="245">
        <v>-25.05</v>
      </c>
      <c r="L1294" s="245">
        <v>42.94</v>
      </c>
      <c r="M1294" s="245">
        <v>52.49</v>
      </c>
    </row>
    <row r="1295" spans="1:13">
      <c r="A1295">
        <v>6191</v>
      </c>
      <c r="B1295" t="s">
        <v>5803</v>
      </c>
      <c r="C1295">
        <v>47.43</v>
      </c>
      <c r="D1295">
        <v>78</v>
      </c>
      <c r="E1295">
        <v>31</v>
      </c>
      <c r="F1295">
        <v>-27</v>
      </c>
      <c r="G1295">
        <v>-27</v>
      </c>
      <c r="H1295">
        <v>11.24</v>
      </c>
      <c r="I1295">
        <v>1.74</v>
      </c>
      <c r="J1295">
        <v>5.79</v>
      </c>
      <c r="K1295" s="245">
        <v>-27.35</v>
      </c>
      <c r="L1295" s="245">
        <v>26.39</v>
      </c>
      <c r="M1295" s="245">
        <v>13.14</v>
      </c>
    </row>
    <row r="1296" spans="1:13">
      <c r="A1296">
        <v>6192</v>
      </c>
      <c r="B1296" t="s">
        <v>5804</v>
      </c>
      <c r="C1296">
        <v>10.68</v>
      </c>
      <c r="D1296">
        <v>14</v>
      </c>
      <c r="E1296">
        <v>14</v>
      </c>
      <c r="F1296">
        <v>26</v>
      </c>
      <c r="G1296">
        <v>13</v>
      </c>
      <c r="H1296">
        <v>17.55</v>
      </c>
      <c r="I1296">
        <v>4</v>
      </c>
      <c r="J1296">
        <v>7.96</v>
      </c>
      <c r="K1296" s="245">
        <v>-6.01</v>
      </c>
      <c r="L1296" s="245">
        <v>37.42</v>
      </c>
      <c r="M1296" s="245">
        <v>0.66</v>
      </c>
    </row>
    <row r="1297" spans="1:13">
      <c r="A1297">
        <v>6194</v>
      </c>
      <c r="B1297" t="s">
        <v>6313</v>
      </c>
      <c r="C1297">
        <v>6</v>
      </c>
      <c r="D1297">
        <v>-89</v>
      </c>
      <c r="E1297">
        <v>-92</v>
      </c>
      <c r="F1297">
        <v>40</v>
      </c>
      <c r="G1297">
        <v>-9</v>
      </c>
      <c r="H1297">
        <v>1.1200000000000001</v>
      </c>
      <c r="I1297">
        <v>0.25</v>
      </c>
      <c r="J1297">
        <v>0.26</v>
      </c>
      <c r="K1297" s="245">
        <v>-32.549999999999997</v>
      </c>
      <c r="L1297" s="245">
        <v>17.73</v>
      </c>
      <c r="M1297" s="245">
        <v>1.38</v>
      </c>
    </row>
    <row r="1298" spans="1:13">
      <c r="A1298">
        <v>6195</v>
      </c>
      <c r="B1298" t="s">
        <v>6161</v>
      </c>
      <c r="C1298">
        <v>5.01</v>
      </c>
      <c r="D1298">
        <v>19</v>
      </c>
      <c r="E1298">
        <v>13</v>
      </c>
      <c r="F1298">
        <v>14</v>
      </c>
      <c r="G1298">
        <v>12</v>
      </c>
      <c r="H1298">
        <v>12.03</v>
      </c>
      <c r="I1298">
        <v>4.4000000000000004</v>
      </c>
      <c r="J1298">
        <v>5.54</v>
      </c>
      <c r="K1298" s="245">
        <v>-10.45</v>
      </c>
      <c r="L1298" s="245">
        <v>13.52</v>
      </c>
      <c r="M1298" s="245">
        <v>2.68</v>
      </c>
    </row>
    <row r="1299" spans="1:13">
      <c r="A1299">
        <v>6196</v>
      </c>
      <c r="B1299" t="s">
        <v>5805</v>
      </c>
      <c r="C1299">
        <v>19.5</v>
      </c>
      <c r="D1299">
        <v>72</v>
      </c>
      <c r="E1299">
        <v>36</v>
      </c>
      <c r="F1299">
        <v>36</v>
      </c>
      <c r="G1299">
        <v>26</v>
      </c>
      <c r="H1299">
        <v>4.7699999999999996</v>
      </c>
      <c r="I1299">
        <v>4.5</v>
      </c>
      <c r="J1299">
        <v>8.24</v>
      </c>
      <c r="K1299" s="245">
        <v>-37.18</v>
      </c>
      <c r="L1299" s="245">
        <v>16.91</v>
      </c>
      <c r="M1299" s="245">
        <v>23.86</v>
      </c>
    </row>
    <row r="1300" spans="1:13">
      <c r="A1300">
        <v>6197</v>
      </c>
      <c r="B1300" t="s">
        <v>5806</v>
      </c>
      <c r="C1300">
        <v>12.2</v>
      </c>
      <c r="D1300">
        <v>42</v>
      </c>
      <c r="E1300">
        <v>-5</v>
      </c>
      <c r="F1300">
        <v>6</v>
      </c>
      <c r="G1300">
        <v>0</v>
      </c>
      <c r="H1300">
        <v>9.2799999999999994</v>
      </c>
      <c r="I1300">
        <v>3</v>
      </c>
      <c r="J1300">
        <v>3.06</v>
      </c>
      <c r="K1300" s="245">
        <v>-26.12</v>
      </c>
      <c r="L1300" s="245">
        <v>12.38</v>
      </c>
      <c r="M1300" s="245">
        <v>20.94</v>
      </c>
    </row>
    <row r="1301" spans="1:13">
      <c r="A1301">
        <v>6198</v>
      </c>
      <c r="B1301" t="s">
        <v>6607</v>
      </c>
      <c r="C1301">
        <v>2.2599999999999998</v>
      </c>
      <c r="D1301">
        <v>69</v>
      </c>
      <c r="E1301">
        <v>67</v>
      </c>
      <c r="F1301">
        <v>158</v>
      </c>
      <c r="G1301">
        <v>1497</v>
      </c>
      <c r="H1301">
        <v>-15.14</v>
      </c>
      <c r="I1301">
        <v>0</v>
      </c>
      <c r="J1301">
        <v>-0.14000000000000001</v>
      </c>
      <c r="K1301" s="245">
        <v>-8.8699999999999992</v>
      </c>
      <c r="L1301" s="245">
        <v>50.55</v>
      </c>
      <c r="M1301" s="245">
        <v>0.3</v>
      </c>
    </row>
    <row r="1302" spans="1:13">
      <c r="A1302">
        <v>6199</v>
      </c>
      <c r="B1302" t="s">
        <v>6608</v>
      </c>
      <c r="C1302">
        <v>6.17</v>
      </c>
      <c r="D1302">
        <v>23</v>
      </c>
      <c r="E1302">
        <v>120</v>
      </c>
      <c r="F1302">
        <v>12</v>
      </c>
      <c r="G1302">
        <v>42</v>
      </c>
      <c r="H1302">
        <v>3</v>
      </c>
      <c r="I1302">
        <v>0</v>
      </c>
      <c r="J1302">
        <v>0.68</v>
      </c>
      <c r="K1302" s="245">
        <v>-0.18</v>
      </c>
      <c r="L1302" s="245">
        <v>81.7</v>
      </c>
      <c r="M1302" s="245">
        <v>1.97</v>
      </c>
    </row>
    <row r="1303" spans="1:13">
      <c r="A1303">
        <v>6201</v>
      </c>
      <c r="B1303" t="s">
        <v>5807</v>
      </c>
      <c r="C1303">
        <v>8.92</v>
      </c>
      <c r="D1303">
        <v>0</v>
      </c>
      <c r="E1303">
        <v>1</v>
      </c>
      <c r="F1303">
        <v>-5</v>
      </c>
      <c r="G1303">
        <v>-23</v>
      </c>
      <c r="H1303">
        <v>10.06</v>
      </c>
      <c r="I1303">
        <v>3</v>
      </c>
      <c r="J1303">
        <v>3.38</v>
      </c>
      <c r="K1303" s="245">
        <v>-12.83</v>
      </c>
      <c r="L1303" s="245">
        <v>16.77</v>
      </c>
      <c r="M1303" s="245">
        <v>0.44</v>
      </c>
    </row>
    <row r="1304" spans="1:13">
      <c r="A1304">
        <v>6202</v>
      </c>
      <c r="B1304" t="s">
        <v>5808</v>
      </c>
      <c r="C1304">
        <v>22.61</v>
      </c>
      <c r="D1304">
        <v>97</v>
      </c>
      <c r="E1304">
        <v>57</v>
      </c>
      <c r="F1304">
        <v>9</v>
      </c>
      <c r="G1304">
        <v>17</v>
      </c>
      <c r="H1304">
        <v>24.89</v>
      </c>
      <c r="I1304">
        <v>8.1199999999999992</v>
      </c>
      <c r="J1304">
        <v>9.0399999999999991</v>
      </c>
      <c r="K1304" s="245">
        <v>-38.15</v>
      </c>
      <c r="L1304" s="245">
        <v>18.02</v>
      </c>
      <c r="M1304" s="245">
        <v>16.170000000000002</v>
      </c>
    </row>
    <row r="1305" spans="1:13">
      <c r="A1305">
        <v>6203</v>
      </c>
      <c r="B1305" t="s">
        <v>5809</v>
      </c>
      <c r="C1305">
        <v>7.99</v>
      </c>
      <c r="D1305">
        <v>23</v>
      </c>
      <c r="E1305">
        <v>15</v>
      </c>
      <c r="F1305">
        <v>19</v>
      </c>
      <c r="G1305">
        <v>-47</v>
      </c>
      <c r="H1305">
        <v>20.239999999999998</v>
      </c>
      <c r="I1305">
        <v>5</v>
      </c>
      <c r="J1305">
        <v>9.42</v>
      </c>
      <c r="K1305" s="245">
        <v>-56.67</v>
      </c>
      <c r="L1305" s="245">
        <v>5.94</v>
      </c>
      <c r="M1305" s="245">
        <v>6.68</v>
      </c>
    </row>
    <row r="1306" spans="1:13">
      <c r="A1306">
        <v>6204</v>
      </c>
      <c r="B1306" t="s">
        <v>6162</v>
      </c>
      <c r="C1306">
        <v>2.31</v>
      </c>
      <c r="D1306">
        <v>782</v>
      </c>
      <c r="E1306">
        <v>60</v>
      </c>
      <c r="F1306">
        <v>36</v>
      </c>
      <c r="G1306">
        <v>-25</v>
      </c>
      <c r="H1306">
        <v>9.0399999999999991</v>
      </c>
      <c r="I1306">
        <v>20.2</v>
      </c>
      <c r="J1306">
        <v>12.41</v>
      </c>
      <c r="K1306" s="245">
        <v>-44.81</v>
      </c>
      <c r="L1306" s="245">
        <v>12.9</v>
      </c>
      <c r="M1306" s="245">
        <v>2.68</v>
      </c>
    </row>
    <row r="1307" spans="1:13">
      <c r="A1307">
        <v>6205</v>
      </c>
      <c r="B1307" t="s">
        <v>5810</v>
      </c>
      <c r="C1307">
        <v>7.93</v>
      </c>
      <c r="D1307">
        <v>2</v>
      </c>
      <c r="E1307">
        <v>0</v>
      </c>
      <c r="F1307">
        <v>13</v>
      </c>
      <c r="G1307">
        <v>32</v>
      </c>
      <c r="H1307">
        <v>10.76</v>
      </c>
      <c r="I1307">
        <v>2</v>
      </c>
      <c r="J1307">
        <v>2.02</v>
      </c>
      <c r="K1307" s="245">
        <v>-16.93</v>
      </c>
      <c r="L1307" s="245">
        <v>41.58</v>
      </c>
      <c r="M1307" s="245">
        <v>45.48</v>
      </c>
    </row>
    <row r="1308" spans="1:13">
      <c r="A1308">
        <v>6206</v>
      </c>
      <c r="B1308" t="s">
        <v>5811</v>
      </c>
      <c r="C1308">
        <v>14.3</v>
      </c>
      <c r="D1308">
        <v>15</v>
      </c>
      <c r="E1308">
        <v>17</v>
      </c>
      <c r="F1308">
        <v>-4</v>
      </c>
      <c r="G1308">
        <v>19</v>
      </c>
      <c r="H1308">
        <v>15.85</v>
      </c>
      <c r="I1308">
        <v>4</v>
      </c>
      <c r="J1308">
        <v>4.7699999999999996</v>
      </c>
      <c r="K1308" s="245">
        <v>-13.32</v>
      </c>
      <c r="L1308" s="245">
        <v>37.159999999999997</v>
      </c>
      <c r="M1308" s="245">
        <v>4.12</v>
      </c>
    </row>
    <row r="1309" spans="1:13">
      <c r="A1309">
        <v>6207</v>
      </c>
      <c r="B1309" t="s">
        <v>5812</v>
      </c>
      <c r="C1309">
        <v>8.3800000000000008</v>
      </c>
      <c r="D1309">
        <v>102</v>
      </c>
      <c r="E1309">
        <v>140</v>
      </c>
      <c r="F1309">
        <v>-37</v>
      </c>
      <c r="G1309">
        <v>-45</v>
      </c>
      <c r="H1309">
        <v>13.33</v>
      </c>
      <c r="I1309">
        <v>0</v>
      </c>
      <c r="J1309">
        <v>3.07</v>
      </c>
      <c r="K1309" s="245">
        <v>-30.24</v>
      </c>
      <c r="L1309" s="245">
        <v>14.14</v>
      </c>
      <c r="M1309" s="245">
        <v>23.9</v>
      </c>
    </row>
    <row r="1310" spans="1:13">
      <c r="A1310">
        <v>6208</v>
      </c>
      <c r="B1310" t="s">
        <v>5813</v>
      </c>
      <c r="C1310">
        <v>11.82</v>
      </c>
      <c r="D1310">
        <v>23</v>
      </c>
      <c r="E1310">
        <v>69</v>
      </c>
      <c r="F1310">
        <v>-7</v>
      </c>
      <c r="G1310">
        <v>15</v>
      </c>
      <c r="H1310">
        <v>14.24</v>
      </c>
      <c r="I1310">
        <v>2.2000000000000002</v>
      </c>
      <c r="J1310">
        <v>3.32</v>
      </c>
      <c r="K1310" s="245">
        <v>-19.72</v>
      </c>
      <c r="L1310" s="245">
        <v>20.78</v>
      </c>
      <c r="M1310" s="245">
        <v>25.58</v>
      </c>
    </row>
    <row r="1311" spans="1:13">
      <c r="A1311">
        <v>6209</v>
      </c>
      <c r="B1311" t="s">
        <v>5814</v>
      </c>
      <c r="C1311">
        <v>17.420000000000002</v>
      </c>
      <c r="D1311">
        <v>30</v>
      </c>
      <c r="E1311">
        <v>-3</v>
      </c>
      <c r="F1311">
        <v>-19</v>
      </c>
      <c r="G1311">
        <v>10</v>
      </c>
      <c r="H1311">
        <v>-6.13</v>
      </c>
      <c r="I1311">
        <v>0.5</v>
      </c>
      <c r="J1311">
        <v>-0.91</v>
      </c>
      <c r="K1311" s="245">
        <v>-30.34</v>
      </c>
      <c r="L1311" s="245">
        <v>23.99</v>
      </c>
      <c r="M1311" s="245">
        <v>13.53</v>
      </c>
    </row>
    <row r="1312" spans="1:13">
      <c r="A1312">
        <v>6210</v>
      </c>
      <c r="B1312" t="s">
        <v>6337</v>
      </c>
      <c r="C1312">
        <v>3.5</v>
      </c>
      <c r="D1312">
        <v>-8</v>
      </c>
      <c r="E1312">
        <v>-14</v>
      </c>
      <c r="F1312">
        <v>40</v>
      </c>
      <c r="G1312">
        <v>24</v>
      </c>
      <c r="H1312">
        <v>16.32</v>
      </c>
      <c r="I1312">
        <v>3</v>
      </c>
      <c r="J1312">
        <v>2.95</v>
      </c>
      <c r="K1312" s="245">
        <v>-3.81</v>
      </c>
      <c r="L1312" s="245">
        <v>58.12</v>
      </c>
      <c r="M1312" s="245">
        <v>6.89</v>
      </c>
    </row>
    <row r="1313" spans="1:13">
      <c r="A1313">
        <v>6212</v>
      </c>
      <c r="B1313" t="s">
        <v>6359</v>
      </c>
      <c r="C1313">
        <v>10.199999999999999</v>
      </c>
      <c r="D1313">
        <v>19</v>
      </c>
      <c r="E1313">
        <v>19</v>
      </c>
      <c r="F1313">
        <v>202</v>
      </c>
      <c r="G1313">
        <v>5446</v>
      </c>
      <c r="H1313">
        <v>15.91</v>
      </c>
      <c r="I1313">
        <v>0</v>
      </c>
      <c r="J1313">
        <v>4.09</v>
      </c>
      <c r="K1313" s="245">
        <v>-17.82</v>
      </c>
      <c r="L1313" s="245">
        <v>11.72</v>
      </c>
      <c r="M1313" s="245">
        <v>3.92</v>
      </c>
    </row>
    <row r="1314" spans="1:13">
      <c r="A1314">
        <v>6213</v>
      </c>
      <c r="B1314" t="s">
        <v>5815</v>
      </c>
      <c r="C1314">
        <v>38.29</v>
      </c>
      <c r="D1314">
        <v>17</v>
      </c>
      <c r="E1314">
        <v>18</v>
      </c>
      <c r="F1314">
        <v>-3</v>
      </c>
      <c r="G1314">
        <v>0</v>
      </c>
      <c r="H1314">
        <v>11.74</v>
      </c>
      <c r="I1314">
        <v>5</v>
      </c>
      <c r="J1314">
        <v>9</v>
      </c>
      <c r="K1314" s="245">
        <v>-41.58</v>
      </c>
      <c r="L1314" s="245">
        <v>11.36</v>
      </c>
      <c r="M1314" s="245">
        <v>8.76</v>
      </c>
    </row>
    <row r="1315" spans="1:13">
      <c r="A1315">
        <v>6214</v>
      </c>
      <c r="B1315" t="s">
        <v>5816</v>
      </c>
      <c r="C1315">
        <v>26.93</v>
      </c>
      <c r="D1315">
        <v>-27</v>
      </c>
      <c r="E1315">
        <v>22</v>
      </c>
      <c r="F1315">
        <v>-22</v>
      </c>
      <c r="G1315">
        <v>-1</v>
      </c>
      <c r="H1315">
        <v>3.84</v>
      </c>
      <c r="I1315">
        <v>5</v>
      </c>
      <c r="J1315">
        <v>4.9000000000000004</v>
      </c>
      <c r="K1315" s="245">
        <v>-14.32</v>
      </c>
      <c r="L1315" s="245">
        <v>16.62</v>
      </c>
      <c r="M1315" s="245">
        <v>0.9</v>
      </c>
    </row>
    <row r="1316" spans="1:13">
      <c r="A1316">
        <v>6215</v>
      </c>
      <c r="B1316" t="s">
        <v>5817</v>
      </c>
      <c r="C1316">
        <v>8.27</v>
      </c>
      <c r="D1316">
        <v>235</v>
      </c>
      <c r="E1316">
        <v>189</v>
      </c>
      <c r="F1316">
        <v>11</v>
      </c>
      <c r="G1316">
        <v>5</v>
      </c>
      <c r="H1316">
        <v>10.75</v>
      </c>
      <c r="I1316">
        <v>1.8</v>
      </c>
      <c r="J1316">
        <v>3.2</v>
      </c>
      <c r="K1316" s="245">
        <v>-41.23</v>
      </c>
      <c r="L1316" s="245">
        <v>16.43</v>
      </c>
      <c r="M1316" s="245">
        <v>26.88</v>
      </c>
    </row>
    <row r="1317" spans="1:13">
      <c r="A1317">
        <v>6216</v>
      </c>
      <c r="B1317" t="s">
        <v>5818</v>
      </c>
      <c r="C1317">
        <v>8.7899999999999991</v>
      </c>
      <c r="D1317">
        <v>48</v>
      </c>
      <c r="E1317">
        <v>31</v>
      </c>
      <c r="F1317">
        <v>82</v>
      </c>
      <c r="G1317">
        <v>69</v>
      </c>
      <c r="H1317">
        <v>20.47</v>
      </c>
      <c r="I1317">
        <v>1.72</v>
      </c>
      <c r="J1317">
        <v>1.85</v>
      </c>
      <c r="K1317" s="245">
        <v>-11.18</v>
      </c>
      <c r="L1317" s="245">
        <v>66.23</v>
      </c>
      <c r="M1317" s="245">
        <v>14.43</v>
      </c>
    </row>
    <row r="1318" spans="1:13">
      <c r="A1318">
        <v>6217</v>
      </c>
      <c r="B1318" t="s">
        <v>5819</v>
      </c>
      <c r="C1318">
        <v>7.28</v>
      </c>
      <c r="D1318">
        <v>116</v>
      </c>
      <c r="E1318">
        <v>119</v>
      </c>
      <c r="F1318">
        <v>-13</v>
      </c>
      <c r="G1318">
        <v>22</v>
      </c>
      <c r="H1318">
        <v>7.12</v>
      </c>
      <c r="I1318">
        <v>1.8</v>
      </c>
      <c r="J1318">
        <v>2.7</v>
      </c>
      <c r="K1318" s="245">
        <v>-14.82</v>
      </c>
      <c r="L1318" s="245">
        <v>57.13</v>
      </c>
      <c r="M1318" s="245">
        <v>63.46</v>
      </c>
    </row>
    <row r="1319" spans="1:13">
      <c r="A1319">
        <v>6218</v>
      </c>
      <c r="B1319" t="s">
        <v>5820</v>
      </c>
      <c r="C1319">
        <v>6.42</v>
      </c>
      <c r="D1319">
        <v>-12</v>
      </c>
      <c r="E1319">
        <v>-51</v>
      </c>
      <c r="F1319">
        <v>-38</v>
      </c>
      <c r="G1319">
        <v>-16</v>
      </c>
      <c r="H1319">
        <v>2.39</v>
      </c>
      <c r="I1319">
        <v>1</v>
      </c>
      <c r="J1319">
        <v>0.7</v>
      </c>
      <c r="K1319" s="245">
        <v>-21.5</v>
      </c>
      <c r="L1319" s="245">
        <v>18.54</v>
      </c>
      <c r="M1319" s="245">
        <v>12.96</v>
      </c>
    </row>
    <row r="1320" spans="1:13">
      <c r="A1320">
        <v>6219</v>
      </c>
      <c r="B1320" t="s">
        <v>5821</v>
      </c>
      <c r="C1320">
        <v>15.4</v>
      </c>
      <c r="D1320">
        <v>-81</v>
      </c>
      <c r="E1320">
        <v>12</v>
      </c>
      <c r="F1320">
        <v>-60</v>
      </c>
      <c r="G1320">
        <v>-94</v>
      </c>
      <c r="H1320">
        <v>11.86</v>
      </c>
      <c r="I1320">
        <v>0.25</v>
      </c>
      <c r="J1320">
        <v>0.44</v>
      </c>
      <c r="K1320" s="245">
        <v>-33.82</v>
      </c>
      <c r="L1320" s="245">
        <v>25.05</v>
      </c>
      <c r="M1320" s="245">
        <v>11.16</v>
      </c>
    </row>
    <row r="1321" spans="1:13">
      <c r="A1321">
        <v>6220</v>
      </c>
      <c r="B1321" t="s">
        <v>5822</v>
      </c>
      <c r="C1321">
        <v>13.19</v>
      </c>
      <c r="D1321">
        <v>-67</v>
      </c>
      <c r="E1321">
        <v>-60</v>
      </c>
      <c r="F1321">
        <v>49</v>
      </c>
      <c r="G1321">
        <v>3</v>
      </c>
      <c r="H1321">
        <v>1.71</v>
      </c>
      <c r="I1321">
        <v>0.13</v>
      </c>
      <c r="J1321">
        <v>0.76</v>
      </c>
      <c r="K1321" s="245">
        <v>-21.68</v>
      </c>
      <c r="L1321" s="245">
        <v>39.520000000000003</v>
      </c>
      <c r="M1321" s="245">
        <v>8.5299999999999994</v>
      </c>
    </row>
    <row r="1322" spans="1:13">
      <c r="A1322">
        <v>6221</v>
      </c>
      <c r="B1322" t="s">
        <v>6305</v>
      </c>
      <c r="C1322">
        <v>7.16</v>
      </c>
      <c r="D1322">
        <v>-3</v>
      </c>
      <c r="E1322">
        <v>-11</v>
      </c>
      <c r="F1322">
        <v>0</v>
      </c>
      <c r="G1322">
        <v>62</v>
      </c>
      <c r="H1322">
        <v>6.72</v>
      </c>
      <c r="I1322">
        <v>2.5</v>
      </c>
      <c r="J1322">
        <v>2.95</v>
      </c>
      <c r="K1322" s="245">
        <v>-35.590000000000003</v>
      </c>
      <c r="L1322" s="245">
        <v>38.619999999999997</v>
      </c>
      <c r="M1322" s="245">
        <v>3.28</v>
      </c>
    </row>
    <row r="1323" spans="1:13">
      <c r="A1323">
        <v>6222</v>
      </c>
      <c r="B1323" t="s">
        <v>6609</v>
      </c>
      <c r="C1323">
        <v>4.05</v>
      </c>
      <c r="D1323">
        <v>-326</v>
      </c>
      <c r="E1323">
        <v>-146</v>
      </c>
      <c r="F1323">
        <v>51</v>
      </c>
      <c r="G1323">
        <v>-93</v>
      </c>
      <c r="H1323">
        <v>-2.16</v>
      </c>
      <c r="I1323">
        <v>0</v>
      </c>
      <c r="J1323">
        <v>-0.38</v>
      </c>
      <c r="K1323" s="245">
        <v>-10.37</v>
      </c>
      <c r="L1323" s="245">
        <v>80.14</v>
      </c>
      <c r="M1323" s="245">
        <v>1.34</v>
      </c>
    </row>
    <row r="1324" spans="1:13">
      <c r="A1324">
        <v>6223</v>
      </c>
      <c r="B1324" t="s">
        <v>5823</v>
      </c>
      <c r="C1324">
        <v>9.4</v>
      </c>
      <c r="D1324">
        <v>-2</v>
      </c>
      <c r="E1324">
        <v>-6</v>
      </c>
      <c r="F1324">
        <v>3</v>
      </c>
      <c r="G1324">
        <v>30</v>
      </c>
      <c r="H1324">
        <v>12.41</v>
      </c>
      <c r="I1324">
        <v>4</v>
      </c>
      <c r="J1324">
        <v>7.44</v>
      </c>
      <c r="K1324" s="245">
        <v>-47.92</v>
      </c>
      <c r="L1324" s="245">
        <v>20.68</v>
      </c>
      <c r="M1324" s="245">
        <v>36.74</v>
      </c>
    </row>
    <row r="1325" spans="1:13">
      <c r="A1325">
        <v>6224</v>
      </c>
      <c r="B1325" t="s">
        <v>5824</v>
      </c>
      <c r="C1325">
        <v>8.56</v>
      </c>
      <c r="D1325">
        <v>12</v>
      </c>
      <c r="E1325">
        <v>19</v>
      </c>
      <c r="F1325">
        <v>18</v>
      </c>
      <c r="G1325">
        <v>49</v>
      </c>
      <c r="H1325">
        <v>16.41</v>
      </c>
      <c r="I1325">
        <v>4.25</v>
      </c>
      <c r="J1325">
        <v>6.02</v>
      </c>
      <c r="K1325" s="245">
        <v>-55.74</v>
      </c>
      <c r="L1325" s="245">
        <v>9.9700000000000006</v>
      </c>
      <c r="M1325" s="245">
        <v>15.52</v>
      </c>
    </row>
    <row r="1326" spans="1:13">
      <c r="A1326">
        <v>6225</v>
      </c>
      <c r="B1326" t="s">
        <v>6610</v>
      </c>
      <c r="C1326">
        <v>4.37</v>
      </c>
      <c r="D1326">
        <v>44</v>
      </c>
      <c r="E1326">
        <v>41</v>
      </c>
      <c r="F1326">
        <v>-56</v>
      </c>
      <c r="G1326">
        <v>-34</v>
      </c>
      <c r="H1326">
        <v>-12.42</v>
      </c>
      <c r="I1326">
        <v>0</v>
      </c>
      <c r="J1326">
        <v>-0.09</v>
      </c>
      <c r="K1326" s="245">
        <v>-16.79</v>
      </c>
      <c r="L1326" s="245">
        <v>56.7</v>
      </c>
      <c r="M1326" s="245">
        <v>2.44</v>
      </c>
    </row>
    <row r="1327" spans="1:13">
      <c r="A1327">
        <v>6226</v>
      </c>
      <c r="B1327" t="s">
        <v>5825</v>
      </c>
      <c r="C1327">
        <v>11.65</v>
      </c>
      <c r="D1327">
        <v>85</v>
      </c>
      <c r="E1327">
        <v>142</v>
      </c>
      <c r="F1327">
        <v>177</v>
      </c>
      <c r="G1327">
        <v>88</v>
      </c>
      <c r="H1327">
        <v>0.55000000000000004</v>
      </c>
      <c r="I1327">
        <v>0.12</v>
      </c>
      <c r="J1327">
        <v>0.01</v>
      </c>
      <c r="K1327" s="245">
        <v>-43.6</v>
      </c>
      <c r="L1327" s="245">
        <v>26.35</v>
      </c>
      <c r="M1327" s="245">
        <v>55.63</v>
      </c>
    </row>
    <row r="1328" spans="1:13">
      <c r="A1328">
        <v>6227</v>
      </c>
      <c r="B1328" t="s">
        <v>5826</v>
      </c>
      <c r="C1328">
        <v>7.61</v>
      </c>
      <c r="D1328">
        <v>112</v>
      </c>
      <c r="E1328">
        <v>113</v>
      </c>
      <c r="F1328">
        <v>-7</v>
      </c>
      <c r="G1328">
        <v>-18</v>
      </c>
      <c r="H1328">
        <v>3.73</v>
      </c>
      <c r="I1328">
        <v>3.35</v>
      </c>
      <c r="J1328">
        <v>5.56</v>
      </c>
      <c r="K1328" s="245">
        <v>-21.56</v>
      </c>
      <c r="L1328" s="245">
        <v>31.68</v>
      </c>
      <c r="M1328" s="245">
        <v>13.07</v>
      </c>
    </row>
    <row r="1329" spans="1:13">
      <c r="A1329">
        <v>6228</v>
      </c>
      <c r="B1329" t="s">
        <v>6611</v>
      </c>
      <c r="C1329">
        <v>4</v>
      </c>
      <c r="D1329">
        <v>81</v>
      </c>
      <c r="E1329">
        <v>97</v>
      </c>
      <c r="F1329">
        <v>-5</v>
      </c>
      <c r="G1329">
        <v>75</v>
      </c>
      <c r="H1329">
        <v>-0.28999999999999998</v>
      </c>
      <c r="I1329">
        <v>0</v>
      </c>
      <c r="J1329">
        <v>-0.13</v>
      </c>
      <c r="K1329" s="245">
        <v>-34.340000000000003</v>
      </c>
      <c r="L1329" s="245">
        <v>31.93</v>
      </c>
      <c r="M1329" s="245">
        <v>4.18</v>
      </c>
    </row>
    <row r="1330" spans="1:13">
      <c r="A1330">
        <v>6229</v>
      </c>
      <c r="B1330" t="s">
        <v>5827</v>
      </c>
      <c r="C1330">
        <v>3.56</v>
      </c>
      <c r="D1330">
        <v>239</v>
      </c>
      <c r="E1330">
        <v>204</v>
      </c>
      <c r="F1330">
        <v>20</v>
      </c>
      <c r="G1330">
        <v>-1</v>
      </c>
      <c r="H1330">
        <v>6.33</v>
      </c>
      <c r="I1330">
        <v>2.5</v>
      </c>
      <c r="J1330">
        <v>4.49</v>
      </c>
      <c r="K1330" s="245">
        <v>-41.88</v>
      </c>
      <c r="L1330" s="245">
        <v>17.190000000000001</v>
      </c>
      <c r="M1330" s="245">
        <v>54.59</v>
      </c>
    </row>
    <row r="1331" spans="1:13">
      <c r="A1331">
        <v>6230</v>
      </c>
      <c r="B1331" t="s">
        <v>5828</v>
      </c>
      <c r="C1331">
        <v>8.6300000000000008</v>
      </c>
      <c r="D1331">
        <v>-55</v>
      </c>
      <c r="E1331">
        <v>-57</v>
      </c>
      <c r="F1331">
        <v>15</v>
      </c>
      <c r="G1331">
        <v>-14</v>
      </c>
      <c r="H1331">
        <v>4.2</v>
      </c>
      <c r="I1331">
        <v>0.61</v>
      </c>
      <c r="J1331">
        <v>4.05</v>
      </c>
      <c r="K1331" s="245">
        <v>-56.49</v>
      </c>
      <c r="L1331" s="245">
        <v>24.18</v>
      </c>
      <c r="M1331" s="245">
        <v>1.62</v>
      </c>
    </row>
    <row r="1332" spans="1:13">
      <c r="A1332">
        <v>6231</v>
      </c>
      <c r="B1332" t="s">
        <v>5829</v>
      </c>
      <c r="C1332">
        <v>3.8</v>
      </c>
      <c r="D1332">
        <v>46</v>
      </c>
      <c r="E1332">
        <v>43</v>
      </c>
      <c r="F1332">
        <v>27</v>
      </c>
      <c r="G1332">
        <v>25</v>
      </c>
      <c r="H1332">
        <v>22.68</v>
      </c>
      <c r="I1332">
        <v>5.2</v>
      </c>
      <c r="J1332">
        <v>5.94</v>
      </c>
      <c r="K1332" s="245">
        <v>-25.3</v>
      </c>
      <c r="L1332" s="245">
        <v>28.03</v>
      </c>
      <c r="M1332" s="245">
        <v>21.39</v>
      </c>
    </row>
    <row r="1333" spans="1:13">
      <c r="A1333">
        <v>6233</v>
      </c>
      <c r="B1333" t="s">
        <v>5830</v>
      </c>
      <c r="C1333">
        <v>7.96</v>
      </c>
      <c r="D1333">
        <v>579</v>
      </c>
      <c r="E1333">
        <v>819</v>
      </c>
      <c r="F1333">
        <v>8</v>
      </c>
      <c r="G1333">
        <v>5</v>
      </c>
      <c r="H1333">
        <v>9.9600000000000009</v>
      </c>
      <c r="I1333">
        <v>0</v>
      </c>
      <c r="J1333">
        <v>0.75</v>
      </c>
      <c r="K1333" s="245">
        <v>-59.81</v>
      </c>
      <c r="L1333" s="245">
        <v>14.25</v>
      </c>
      <c r="M1333" s="245">
        <v>37.56</v>
      </c>
    </row>
    <row r="1334" spans="1:13">
      <c r="A1334">
        <v>6234</v>
      </c>
      <c r="B1334" t="s">
        <v>5831</v>
      </c>
      <c r="C1334">
        <v>10.029999999999999</v>
      </c>
      <c r="D1334">
        <v>12</v>
      </c>
      <c r="E1334">
        <v>14</v>
      </c>
      <c r="F1334">
        <v>1214</v>
      </c>
      <c r="G1334">
        <v>789</v>
      </c>
      <c r="H1334">
        <v>12.73</v>
      </c>
      <c r="I1334">
        <v>0.75</v>
      </c>
      <c r="J1334">
        <v>1.24</v>
      </c>
      <c r="K1334" s="245">
        <v>-26.47</v>
      </c>
      <c r="L1334" s="245">
        <v>42.23</v>
      </c>
      <c r="M1334" s="245">
        <v>10.210000000000001</v>
      </c>
    </row>
    <row r="1335" spans="1:13">
      <c r="A1335">
        <v>6235</v>
      </c>
      <c r="B1335" t="s">
        <v>5832</v>
      </c>
      <c r="C1335">
        <v>17.32</v>
      </c>
      <c r="D1335">
        <v>-74</v>
      </c>
      <c r="E1335">
        <v>516</v>
      </c>
      <c r="F1335">
        <v>-21</v>
      </c>
      <c r="G1335">
        <v>27</v>
      </c>
      <c r="H1335">
        <v>4.3</v>
      </c>
      <c r="I1335">
        <v>0.3</v>
      </c>
      <c r="J1335">
        <v>0.96</v>
      </c>
      <c r="K1335" s="245">
        <v>-10.58</v>
      </c>
      <c r="L1335" s="245">
        <v>73.11</v>
      </c>
      <c r="M1335" s="245">
        <v>41.66</v>
      </c>
    </row>
    <row r="1336" spans="1:13">
      <c r="A1336">
        <v>6236</v>
      </c>
      <c r="B1336" t="s">
        <v>6612</v>
      </c>
      <c r="C1336">
        <v>3.16</v>
      </c>
      <c r="D1336">
        <v>50</v>
      </c>
      <c r="E1336">
        <v>32</v>
      </c>
      <c r="F1336">
        <v>131</v>
      </c>
      <c r="G1336">
        <v>118</v>
      </c>
      <c r="H1336">
        <v>-29.29</v>
      </c>
      <c r="I1336">
        <v>0</v>
      </c>
      <c r="J1336">
        <v>-0.17</v>
      </c>
      <c r="K1336" s="245">
        <v>-16.28</v>
      </c>
      <c r="L1336" s="245">
        <v>94.93</v>
      </c>
      <c r="M1336" s="245">
        <v>0.65</v>
      </c>
    </row>
    <row r="1337" spans="1:13">
      <c r="A1337">
        <v>6237</v>
      </c>
      <c r="B1337" t="s">
        <v>5833</v>
      </c>
      <c r="C1337">
        <v>7.86</v>
      </c>
      <c r="D1337">
        <v>137</v>
      </c>
      <c r="E1337">
        <v>257</v>
      </c>
      <c r="F1337">
        <v>6</v>
      </c>
      <c r="G1337">
        <v>-42</v>
      </c>
      <c r="H1337">
        <v>29.06</v>
      </c>
      <c r="I1337">
        <v>1</v>
      </c>
      <c r="J1337">
        <v>5.75</v>
      </c>
      <c r="K1337" s="245">
        <v>-68.3</v>
      </c>
      <c r="L1337" s="245">
        <v>12.8</v>
      </c>
      <c r="M1337" s="245">
        <v>35.71</v>
      </c>
    </row>
    <row r="1338" spans="1:13">
      <c r="A1338">
        <v>6239</v>
      </c>
      <c r="B1338" t="s">
        <v>5834</v>
      </c>
      <c r="C1338">
        <v>75.91</v>
      </c>
      <c r="D1338">
        <v>43</v>
      </c>
      <c r="E1338">
        <v>35</v>
      </c>
      <c r="F1338">
        <v>3</v>
      </c>
      <c r="G1338">
        <v>9</v>
      </c>
      <c r="H1338">
        <v>17.329999999999998</v>
      </c>
      <c r="I1338">
        <v>6.8</v>
      </c>
      <c r="J1338">
        <v>11.54</v>
      </c>
      <c r="K1338" s="245">
        <v>-19.57</v>
      </c>
      <c r="L1338" s="245">
        <v>29.94</v>
      </c>
      <c r="M1338" s="245">
        <v>10.43</v>
      </c>
    </row>
    <row r="1339" spans="1:13">
      <c r="A1339">
        <v>6240</v>
      </c>
      <c r="B1339" t="s">
        <v>5835</v>
      </c>
      <c r="C1339">
        <v>2.2799999999999998</v>
      </c>
      <c r="D1339">
        <v>3048</v>
      </c>
      <c r="E1339">
        <v>-177</v>
      </c>
      <c r="F1339">
        <v>0</v>
      </c>
      <c r="G1339">
        <v>-3</v>
      </c>
      <c r="H1339">
        <v>-50.06</v>
      </c>
      <c r="I1339">
        <v>0</v>
      </c>
      <c r="J1339">
        <v>1.1299999999999999</v>
      </c>
      <c r="K1339" s="245">
        <v>-35.06</v>
      </c>
      <c r="L1339" s="245">
        <v>41.94</v>
      </c>
      <c r="M1339" s="245">
        <v>14.67</v>
      </c>
    </row>
    <row r="1340" spans="1:13">
      <c r="A1340">
        <v>6241</v>
      </c>
      <c r="B1340" t="s">
        <v>6613</v>
      </c>
      <c r="C1340">
        <v>3.37</v>
      </c>
      <c r="D1340">
        <v>-764</v>
      </c>
      <c r="E1340">
        <v>-2471</v>
      </c>
      <c r="F1340">
        <v>205</v>
      </c>
      <c r="G1340">
        <v>856</v>
      </c>
      <c r="H1340">
        <v>-32.799999999999997</v>
      </c>
      <c r="I1340">
        <v>0</v>
      </c>
      <c r="J1340">
        <v>-3.15</v>
      </c>
      <c r="K1340" s="245">
        <v>-6.14</v>
      </c>
      <c r="L1340" s="245">
        <v>85.5</v>
      </c>
      <c r="M1340" s="245">
        <v>12.08</v>
      </c>
    </row>
    <row r="1341" spans="1:13">
      <c r="A1341">
        <v>6242</v>
      </c>
      <c r="B1341" t="s">
        <v>6614</v>
      </c>
      <c r="C1341">
        <v>2.2200000000000002</v>
      </c>
      <c r="D1341">
        <v>-25</v>
      </c>
      <c r="E1341">
        <v>-29</v>
      </c>
      <c r="F1341">
        <v>4</v>
      </c>
      <c r="G1341">
        <v>-7</v>
      </c>
      <c r="H1341">
        <v>14.79</v>
      </c>
      <c r="I1341">
        <v>2</v>
      </c>
      <c r="J1341">
        <v>2.3199999999999998</v>
      </c>
      <c r="K1341" s="245">
        <v>-22.42</v>
      </c>
      <c r="L1341" s="245">
        <v>72.930000000000007</v>
      </c>
      <c r="M1341" s="245">
        <v>6.64</v>
      </c>
    </row>
    <row r="1342" spans="1:13">
      <c r="A1342">
        <v>6243</v>
      </c>
      <c r="B1342" t="s">
        <v>5836</v>
      </c>
      <c r="C1342">
        <v>4.53</v>
      </c>
      <c r="D1342">
        <v>198</v>
      </c>
      <c r="E1342">
        <v>356</v>
      </c>
      <c r="F1342">
        <v>22</v>
      </c>
      <c r="G1342">
        <v>2</v>
      </c>
      <c r="H1342">
        <v>7.92</v>
      </c>
      <c r="I1342">
        <v>1.2</v>
      </c>
      <c r="J1342">
        <v>1.6</v>
      </c>
      <c r="K1342" s="245">
        <v>-47.65</v>
      </c>
      <c r="L1342" s="245">
        <v>16.440000000000001</v>
      </c>
      <c r="M1342" s="245">
        <v>45.13</v>
      </c>
    </row>
    <row r="1343" spans="1:13">
      <c r="A1343">
        <v>6244</v>
      </c>
      <c r="B1343" t="s">
        <v>6615</v>
      </c>
      <c r="C1343">
        <v>35.5</v>
      </c>
      <c r="D1343">
        <v>-4</v>
      </c>
      <c r="E1343">
        <v>1789</v>
      </c>
      <c r="F1343">
        <v>6</v>
      </c>
      <c r="G1343">
        <v>-16</v>
      </c>
      <c r="H1343">
        <v>2.87</v>
      </c>
      <c r="I1343">
        <v>0.2</v>
      </c>
      <c r="J1343">
        <v>0.3</v>
      </c>
      <c r="K1343" s="245">
        <v>-26.81</v>
      </c>
      <c r="L1343" s="245">
        <v>21.92</v>
      </c>
      <c r="M1343" s="245">
        <v>11.28</v>
      </c>
    </row>
    <row r="1344" spans="1:13">
      <c r="A1344">
        <v>6245</v>
      </c>
      <c r="B1344" t="s">
        <v>5837</v>
      </c>
      <c r="C1344">
        <v>11.8</v>
      </c>
      <c r="D1344">
        <v>-13</v>
      </c>
      <c r="E1344">
        <v>-5</v>
      </c>
      <c r="F1344">
        <v>49</v>
      </c>
      <c r="G1344">
        <v>12</v>
      </c>
      <c r="H1344">
        <v>8.14</v>
      </c>
      <c r="I1344">
        <v>3</v>
      </c>
      <c r="J1344">
        <v>4.6500000000000004</v>
      </c>
      <c r="K1344" s="245">
        <v>-13.02</v>
      </c>
      <c r="L1344" s="245">
        <v>50.62</v>
      </c>
      <c r="M1344" s="245">
        <v>4.22</v>
      </c>
    </row>
    <row r="1345" spans="1:13">
      <c r="A1345">
        <v>6246</v>
      </c>
      <c r="B1345" t="s">
        <v>5838</v>
      </c>
      <c r="C1345">
        <v>3.71</v>
      </c>
      <c r="D1345">
        <v>144</v>
      </c>
      <c r="E1345">
        <v>21</v>
      </c>
      <c r="F1345">
        <v>3</v>
      </c>
      <c r="G1345">
        <v>2</v>
      </c>
      <c r="H1345">
        <v>2.2799999999999998</v>
      </c>
      <c r="I1345">
        <v>0</v>
      </c>
      <c r="J1345">
        <v>0.91</v>
      </c>
      <c r="K1345" s="245">
        <v>-44.27</v>
      </c>
      <c r="L1345" s="245">
        <v>11.18</v>
      </c>
      <c r="M1345" s="245">
        <v>13.33</v>
      </c>
    </row>
    <row r="1346" spans="1:13">
      <c r="A1346">
        <v>6247</v>
      </c>
      <c r="B1346" t="s">
        <v>6616</v>
      </c>
      <c r="C1346">
        <v>6.03</v>
      </c>
      <c r="D1346">
        <v>-8</v>
      </c>
      <c r="E1346">
        <v>-26</v>
      </c>
      <c r="F1346">
        <v>-23</v>
      </c>
      <c r="G1346">
        <v>-62</v>
      </c>
      <c r="H1346">
        <v>-17.78</v>
      </c>
      <c r="I1346">
        <v>0</v>
      </c>
      <c r="J1346">
        <v>-1.42</v>
      </c>
      <c r="K1346" s="245">
        <v>-32.340000000000003</v>
      </c>
      <c r="L1346" s="245">
        <v>26.54</v>
      </c>
      <c r="M1346" s="245">
        <v>1.1200000000000001</v>
      </c>
    </row>
    <row r="1347" spans="1:13">
      <c r="A1347">
        <v>6248</v>
      </c>
      <c r="B1347" t="s">
        <v>5839</v>
      </c>
      <c r="C1347">
        <v>4.57</v>
      </c>
      <c r="D1347">
        <v>8</v>
      </c>
      <c r="E1347">
        <v>4</v>
      </c>
      <c r="F1347">
        <v>-1</v>
      </c>
      <c r="G1347">
        <v>37</v>
      </c>
      <c r="H1347">
        <v>1.68</v>
      </c>
      <c r="I1347">
        <v>1.2</v>
      </c>
      <c r="J1347">
        <v>1.62</v>
      </c>
      <c r="K1347" s="245">
        <v>-31.61</v>
      </c>
      <c r="L1347" s="245">
        <v>27.62</v>
      </c>
      <c r="M1347" s="245">
        <v>17.059999999999999</v>
      </c>
    </row>
    <row r="1348" spans="1:13">
      <c r="A1348">
        <v>6251</v>
      </c>
      <c r="B1348" t="s">
        <v>5840</v>
      </c>
      <c r="C1348">
        <v>27.75</v>
      </c>
      <c r="D1348">
        <v>-30</v>
      </c>
      <c r="E1348">
        <v>18</v>
      </c>
      <c r="F1348">
        <v>-25</v>
      </c>
      <c r="G1348">
        <v>-6</v>
      </c>
      <c r="H1348">
        <v>4.12</v>
      </c>
      <c r="I1348">
        <v>0.7</v>
      </c>
      <c r="J1348">
        <v>1.7</v>
      </c>
      <c r="K1348" s="245">
        <v>-19.66</v>
      </c>
      <c r="L1348" s="245">
        <v>26.64</v>
      </c>
      <c r="M1348" s="245">
        <v>22.69</v>
      </c>
    </row>
    <row r="1349" spans="1:13">
      <c r="A1349">
        <v>6257</v>
      </c>
      <c r="B1349" t="s">
        <v>5841</v>
      </c>
      <c r="C1349">
        <v>45.33</v>
      </c>
      <c r="D1349">
        <v>57</v>
      </c>
      <c r="E1349">
        <v>47</v>
      </c>
      <c r="F1349">
        <v>-4</v>
      </c>
      <c r="G1349">
        <v>21</v>
      </c>
      <c r="H1349">
        <v>20.62</v>
      </c>
      <c r="I1349">
        <v>4.0999999999999996</v>
      </c>
      <c r="J1349">
        <v>6.25</v>
      </c>
      <c r="K1349" s="245">
        <v>-19.39</v>
      </c>
      <c r="L1349" s="245">
        <v>56.59</v>
      </c>
      <c r="M1349" s="245">
        <v>6.12</v>
      </c>
    </row>
    <row r="1350" spans="1:13">
      <c r="A1350">
        <v>6259</v>
      </c>
      <c r="B1350" t="s">
        <v>6617</v>
      </c>
      <c r="C1350">
        <v>1.85</v>
      </c>
      <c r="D1350">
        <v>-74</v>
      </c>
      <c r="E1350">
        <v>133</v>
      </c>
      <c r="F1350">
        <v>99</v>
      </c>
      <c r="G1350">
        <v>210</v>
      </c>
      <c r="H1350">
        <v>0.93</v>
      </c>
      <c r="I1350">
        <v>0.19</v>
      </c>
      <c r="J1350">
        <v>0.03</v>
      </c>
      <c r="K1350" s="245">
        <v>-41.35</v>
      </c>
      <c r="L1350" s="245">
        <v>24.09</v>
      </c>
      <c r="M1350" s="245">
        <v>5.92</v>
      </c>
    </row>
    <row r="1351" spans="1:13">
      <c r="A1351">
        <v>6261</v>
      </c>
      <c r="B1351" t="s">
        <v>5842</v>
      </c>
      <c r="C1351">
        <v>12.84</v>
      </c>
      <c r="D1351">
        <v>109</v>
      </c>
      <c r="E1351">
        <v>101</v>
      </c>
      <c r="F1351">
        <v>-12</v>
      </c>
      <c r="G1351">
        <v>-14</v>
      </c>
      <c r="H1351">
        <v>26.69</v>
      </c>
      <c r="I1351">
        <v>5</v>
      </c>
      <c r="J1351">
        <v>8.41</v>
      </c>
      <c r="K1351" s="245">
        <v>-31.08</v>
      </c>
      <c r="L1351" s="245">
        <v>19.38</v>
      </c>
      <c r="M1351" s="245">
        <v>15.48</v>
      </c>
    </row>
    <row r="1352" spans="1:13">
      <c r="A1352">
        <v>6263</v>
      </c>
      <c r="B1352" t="s">
        <v>5843</v>
      </c>
      <c r="C1352">
        <v>6.25</v>
      </c>
      <c r="D1352">
        <v>18</v>
      </c>
      <c r="E1352">
        <v>18</v>
      </c>
      <c r="F1352">
        <v>1</v>
      </c>
      <c r="G1352">
        <v>9</v>
      </c>
      <c r="H1352">
        <v>26.82</v>
      </c>
      <c r="I1352">
        <v>4.7</v>
      </c>
      <c r="J1352">
        <v>5.14</v>
      </c>
      <c r="K1352" s="245">
        <v>-2.58</v>
      </c>
      <c r="L1352" s="245">
        <v>70.94</v>
      </c>
      <c r="M1352" s="245">
        <v>0.6</v>
      </c>
    </row>
    <row r="1353" spans="1:13">
      <c r="A1353">
        <v>6264</v>
      </c>
      <c r="B1353" t="s">
        <v>6618</v>
      </c>
      <c r="C1353">
        <v>11.63</v>
      </c>
      <c r="D1353">
        <v>28</v>
      </c>
      <c r="E1353">
        <v>-145</v>
      </c>
      <c r="F1353">
        <v>-41</v>
      </c>
      <c r="G1353">
        <v>-89</v>
      </c>
      <c r="H1353">
        <v>-20.2</v>
      </c>
      <c r="I1353">
        <v>0</v>
      </c>
      <c r="J1353">
        <v>-0.19</v>
      </c>
      <c r="K1353" s="245">
        <v>-30.96</v>
      </c>
      <c r="L1353" s="245">
        <v>19.05</v>
      </c>
      <c r="M1353" s="245">
        <v>2.67</v>
      </c>
    </row>
    <row r="1354" spans="1:13">
      <c r="A1354">
        <v>6265</v>
      </c>
      <c r="B1354" t="s">
        <v>5844</v>
      </c>
      <c r="C1354">
        <v>11.81</v>
      </c>
      <c r="D1354">
        <v>358</v>
      </c>
      <c r="E1354">
        <v>315</v>
      </c>
      <c r="F1354">
        <v>40</v>
      </c>
      <c r="G1354">
        <v>40</v>
      </c>
      <c r="H1354">
        <v>4.5</v>
      </c>
      <c r="I1354">
        <v>0</v>
      </c>
      <c r="J1354">
        <v>0.64</v>
      </c>
      <c r="K1354" s="245">
        <v>-49.88</v>
      </c>
      <c r="L1354" s="245">
        <v>12.69</v>
      </c>
      <c r="M1354" s="245">
        <v>37.74</v>
      </c>
    </row>
    <row r="1355" spans="1:13">
      <c r="A1355">
        <v>6266</v>
      </c>
      <c r="B1355" t="s">
        <v>5845</v>
      </c>
      <c r="C1355">
        <v>10.23</v>
      </c>
      <c r="D1355">
        <v>11</v>
      </c>
      <c r="E1355">
        <v>0</v>
      </c>
      <c r="F1355">
        <v>-24</v>
      </c>
      <c r="G1355">
        <v>-1</v>
      </c>
      <c r="H1355">
        <v>7.99</v>
      </c>
      <c r="I1355">
        <v>1.38</v>
      </c>
      <c r="J1355">
        <v>1.59</v>
      </c>
      <c r="K1355" s="245">
        <v>-44.2</v>
      </c>
      <c r="L1355" s="245">
        <v>27.92</v>
      </c>
      <c r="M1355" s="245">
        <v>53.54</v>
      </c>
    </row>
    <row r="1356" spans="1:13">
      <c r="A1356">
        <v>6269</v>
      </c>
      <c r="B1356" t="s">
        <v>5846</v>
      </c>
      <c r="C1356">
        <v>32.03</v>
      </c>
      <c r="D1356">
        <v>-1</v>
      </c>
      <c r="E1356">
        <v>-4</v>
      </c>
      <c r="F1356">
        <v>-49</v>
      </c>
      <c r="G1356">
        <v>-27</v>
      </c>
      <c r="H1356">
        <v>9.1999999999999993</v>
      </c>
      <c r="I1356">
        <v>5</v>
      </c>
      <c r="J1356">
        <v>8.19</v>
      </c>
      <c r="K1356" s="245">
        <v>-35.42</v>
      </c>
      <c r="L1356" s="245">
        <v>27.53</v>
      </c>
      <c r="M1356" s="245">
        <v>8</v>
      </c>
    </row>
    <row r="1357" spans="1:13">
      <c r="A1357">
        <v>6270</v>
      </c>
      <c r="B1357" t="s">
        <v>5847</v>
      </c>
      <c r="C1357">
        <v>7.21</v>
      </c>
      <c r="D1357">
        <v>84</v>
      </c>
      <c r="E1357">
        <v>61</v>
      </c>
      <c r="F1357">
        <v>-25</v>
      </c>
      <c r="G1357">
        <v>4</v>
      </c>
      <c r="H1357">
        <v>3.78</v>
      </c>
      <c r="I1357">
        <v>2</v>
      </c>
      <c r="J1357">
        <v>2.36</v>
      </c>
      <c r="K1357" s="245">
        <v>-7.33</v>
      </c>
      <c r="L1357" s="245">
        <v>57.34</v>
      </c>
      <c r="M1357" s="245">
        <v>17.760000000000002</v>
      </c>
    </row>
    <row r="1358" spans="1:13">
      <c r="A1358">
        <v>6271</v>
      </c>
      <c r="B1358" t="s">
        <v>5848</v>
      </c>
      <c r="C1358">
        <v>17.86</v>
      </c>
      <c r="D1358">
        <v>90</v>
      </c>
      <c r="E1358">
        <v>69</v>
      </c>
      <c r="F1358">
        <v>-4</v>
      </c>
      <c r="G1358">
        <v>6</v>
      </c>
      <c r="H1358">
        <v>24.5</v>
      </c>
      <c r="I1358">
        <v>9</v>
      </c>
      <c r="J1358">
        <v>15.49</v>
      </c>
      <c r="K1358" s="245">
        <v>-27.51</v>
      </c>
      <c r="L1358" s="245">
        <v>19.63</v>
      </c>
      <c r="M1358" s="245">
        <v>13.98</v>
      </c>
    </row>
    <row r="1359" spans="1:13">
      <c r="A1359">
        <v>6274</v>
      </c>
      <c r="B1359" t="s">
        <v>5849</v>
      </c>
      <c r="C1359">
        <v>26.91</v>
      </c>
      <c r="D1359">
        <v>5</v>
      </c>
      <c r="E1359">
        <v>4</v>
      </c>
      <c r="F1359">
        <v>-5</v>
      </c>
      <c r="G1359">
        <v>-7</v>
      </c>
      <c r="H1359">
        <v>11.26</v>
      </c>
      <c r="I1359">
        <v>5</v>
      </c>
      <c r="J1359">
        <v>7.01</v>
      </c>
      <c r="K1359" s="245">
        <v>-40.24</v>
      </c>
      <c r="L1359" s="245">
        <v>39.14</v>
      </c>
      <c r="M1359" s="245">
        <v>3.97</v>
      </c>
    </row>
    <row r="1360" spans="1:13">
      <c r="A1360">
        <v>6275</v>
      </c>
      <c r="B1360" t="s">
        <v>5850</v>
      </c>
      <c r="C1360">
        <v>7.01</v>
      </c>
      <c r="D1360">
        <v>41</v>
      </c>
      <c r="E1360">
        <v>25</v>
      </c>
      <c r="F1360">
        <v>-3</v>
      </c>
      <c r="G1360">
        <v>-4</v>
      </c>
      <c r="H1360">
        <v>5.82</v>
      </c>
      <c r="I1360">
        <v>2.2000000000000002</v>
      </c>
      <c r="J1360">
        <v>2.86</v>
      </c>
      <c r="K1360" s="245">
        <v>-26.68</v>
      </c>
      <c r="L1360" s="245">
        <v>14.44</v>
      </c>
      <c r="M1360" s="245">
        <v>43.3</v>
      </c>
    </row>
    <row r="1361" spans="1:13">
      <c r="A1361">
        <v>6276</v>
      </c>
      <c r="B1361" t="s">
        <v>5851</v>
      </c>
      <c r="C1361">
        <v>3.14</v>
      </c>
      <c r="D1361">
        <v>-68</v>
      </c>
      <c r="E1361">
        <v>-66</v>
      </c>
      <c r="F1361">
        <v>18</v>
      </c>
      <c r="G1361">
        <v>-20</v>
      </c>
      <c r="H1361">
        <v>2.75</v>
      </c>
      <c r="I1361">
        <v>1</v>
      </c>
      <c r="J1361">
        <v>1.0900000000000001</v>
      </c>
      <c r="K1361" s="245">
        <v>-56.35</v>
      </c>
      <c r="L1361" s="245">
        <v>10.73</v>
      </c>
      <c r="M1361" s="245">
        <v>3.97</v>
      </c>
    </row>
    <row r="1362" spans="1:13">
      <c r="A1362">
        <v>6277</v>
      </c>
      <c r="B1362" t="s">
        <v>5852</v>
      </c>
      <c r="C1362">
        <v>11.94</v>
      </c>
      <c r="D1362">
        <v>-57</v>
      </c>
      <c r="E1362">
        <v>32</v>
      </c>
      <c r="F1362">
        <v>-19</v>
      </c>
      <c r="G1362">
        <v>-7</v>
      </c>
      <c r="H1362">
        <v>15.6</v>
      </c>
      <c r="I1362">
        <v>5.2</v>
      </c>
      <c r="J1362">
        <v>5.33</v>
      </c>
      <c r="K1362" s="245">
        <v>-6.95</v>
      </c>
      <c r="L1362" s="245">
        <v>28.01</v>
      </c>
      <c r="M1362" s="245">
        <v>1.18</v>
      </c>
    </row>
    <row r="1363" spans="1:13">
      <c r="A1363">
        <v>6278</v>
      </c>
      <c r="B1363" t="s">
        <v>5853</v>
      </c>
      <c r="C1363">
        <v>29.23</v>
      </c>
      <c r="D1363">
        <v>69</v>
      </c>
      <c r="E1363">
        <v>88</v>
      </c>
      <c r="F1363">
        <v>-24</v>
      </c>
      <c r="G1363">
        <v>-7</v>
      </c>
      <c r="H1363">
        <v>7.15</v>
      </c>
      <c r="I1363">
        <v>6</v>
      </c>
      <c r="J1363">
        <v>12.7</v>
      </c>
      <c r="K1363" s="245">
        <v>-29.51</v>
      </c>
      <c r="L1363" s="245">
        <v>24</v>
      </c>
      <c r="M1363" s="245">
        <v>11.08</v>
      </c>
    </row>
    <row r="1364" spans="1:13">
      <c r="A1364">
        <v>6279</v>
      </c>
      <c r="B1364" t="s">
        <v>5854</v>
      </c>
      <c r="C1364">
        <v>9.9600000000000009</v>
      </c>
      <c r="D1364">
        <v>42</v>
      </c>
      <c r="E1364">
        <v>39</v>
      </c>
      <c r="F1364">
        <v>0</v>
      </c>
      <c r="G1364">
        <v>12</v>
      </c>
      <c r="H1364">
        <v>19.55</v>
      </c>
      <c r="I1364">
        <v>0</v>
      </c>
      <c r="J1364">
        <v>7.91</v>
      </c>
      <c r="K1364" s="245">
        <v>-32.46</v>
      </c>
      <c r="L1364" s="245">
        <v>15.48</v>
      </c>
      <c r="M1364" s="245">
        <v>8.5</v>
      </c>
    </row>
    <row r="1365" spans="1:13">
      <c r="A1365">
        <v>6281</v>
      </c>
      <c r="B1365" t="s">
        <v>5855</v>
      </c>
      <c r="C1365">
        <v>9.91</v>
      </c>
      <c r="D1365">
        <v>3</v>
      </c>
      <c r="E1365">
        <v>2</v>
      </c>
      <c r="F1365">
        <v>28</v>
      </c>
      <c r="G1365">
        <v>19</v>
      </c>
      <c r="H1365">
        <v>3.64</v>
      </c>
      <c r="I1365">
        <v>5</v>
      </c>
      <c r="J1365">
        <v>6.05</v>
      </c>
      <c r="K1365" s="245">
        <v>-2.17</v>
      </c>
      <c r="L1365" s="245">
        <v>61.52</v>
      </c>
      <c r="M1365" s="245">
        <v>0.35</v>
      </c>
    </row>
    <row r="1366" spans="1:13">
      <c r="A1366">
        <v>6282</v>
      </c>
      <c r="B1366" t="s">
        <v>5856</v>
      </c>
      <c r="C1366">
        <v>51.66</v>
      </c>
      <c r="D1366">
        <v>-52</v>
      </c>
      <c r="E1366">
        <v>6</v>
      </c>
      <c r="F1366">
        <v>-16</v>
      </c>
      <c r="G1366">
        <v>19</v>
      </c>
      <c r="H1366">
        <v>1.91</v>
      </c>
      <c r="I1366">
        <v>1</v>
      </c>
      <c r="J1366">
        <v>1.17</v>
      </c>
      <c r="K1366" s="245">
        <v>-32.04</v>
      </c>
      <c r="L1366" s="245">
        <v>11.52</v>
      </c>
      <c r="M1366" s="245">
        <v>20.420000000000002</v>
      </c>
    </row>
    <row r="1367" spans="1:13">
      <c r="A1367">
        <v>6283</v>
      </c>
      <c r="B1367" t="s">
        <v>5857</v>
      </c>
      <c r="C1367">
        <v>14.79</v>
      </c>
      <c r="D1367">
        <v>-131</v>
      </c>
      <c r="E1367">
        <v>-114</v>
      </c>
      <c r="F1367">
        <v>59</v>
      </c>
      <c r="G1367">
        <v>-34</v>
      </c>
      <c r="H1367">
        <v>-15.54</v>
      </c>
      <c r="I1367">
        <v>0</v>
      </c>
      <c r="J1367">
        <v>-0.4</v>
      </c>
      <c r="K1367" s="245">
        <v>-52.89</v>
      </c>
      <c r="L1367" s="245">
        <v>14.51</v>
      </c>
      <c r="M1367" s="245">
        <v>13.03</v>
      </c>
    </row>
    <row r="1368" spans="1:13">
      <c r="A1368">
        <v>6284</v>
      </c>
      <c r="B1368" t="s">
        <v>5858</v>
      </c>
      <c r="C1368">
        <v>14.01</v>
      </c>
      <c r="D1368">
        <v>55</v>
      </c>
      <c r="E1368">
        <v>25</v>
      </c>
      <c r="F1368">
        <v>38</v>
      </c>
      <c r="G1368">
        <v>6</v>
      </c>
      <c r="H1368">
        <v>9.93</v>
      </c>
      <c r="I1368">
        <v>1.2</v>
      </c>
      <c r="J1368">
        <v>4.04</v>
      </c>
      <c r="K1368" s="245">
        <v>-36.93</v>
      </c>
      <c r="L1368" s="245">
        <v>14.37</v>
      </c>
      <c r="M1368" s="245">
        <v>18.36</v>
      </c>
    </row>
    <row r="1369" spans="1:13">
      <c r="A1369">
        <v>6285</v>
      </c>
      <c r="B1369" t="s">
        <v>5859</v>
      </c>
      <c r="C1369">
        <v>39.64</v>
      </c>
      <c r="D1369">
        <v>-16</v>
      </c>
      <c r="E1369">
        <v>-40</v>
      </c>
      <c r="F1369">
        <v>-30</v>
      </c>
      <c r="G1369">
        <v>-2</v>
      </c>
      <c r="H1369">
        <v>1.31</v>
      </c>
      <c r="I1369">
        <v>2.1</v>
      </c>
      <c r="J1369">
        <v>3.15</v>
      </c>
      <c r="K1369" s="245">
        <v>-22.22</v>
      </c>
      <c r="L1369" s="245">
        <v>34.01</v>
      </c>
      <c r="M1369" s="245">
        <v>5.08</v>
      </c>
    </row>
    <row r="1370" spans="1:13">
      <c r="A1370">
        <v>6287</v>
      </c>
      <c r="B1370" t="s">
        <v>6619</v>
      </c>
      <c r="C1370">
        <v>43.81</v>
      </c>
      <c r="D1370">
        <v>169</v>
      </c>
      <c r="E1370">
        <v>199</v>
      </c>
      <c r="F1370">
        <v>2</v>
      </c>
      <c r="G1370">
        <v>46</v>
      </c>
      <c r="H1370">
        <v>7.37</v>
      </c>
      <c r="I1370">
        <v>0</v>
      </c>
      <c r="J1370">
        <v>0.24</v>
      </c>
      <c r="K1370" s="245">
        <v>-56.54</v>
      </c>
      <c r="L1370" s="245">
        <v>18.91</v>
      </c>
      <c r="M1370" s="245">
        <v>0.68</v>
      </c>
    </row>
    <row r="1371" spans="1:13">
      <c r="A1371">
        <v>6288</v>
      </c>
      <c r="B1371" t="s">
        <v>5860</v>
      </c>
      <c r="C1371">
        <v>18.27</v>
      </c>
      <c r="D1371">
        <v>-92</v>
      </c>
      <c r="E1371">
        <v>-69</v>
      </c>
      <c r="F1371">
        <v>4</v>
      </c>
      <c r="G1371">
        <v>7</v>
      </c>
      <c r="H1371">
        <v>1.57</v>
      </c>
      <c r="I1371">
        <v>0.4</v>
      </c>
      <c r="J1371">
        <v>0.06</v>
      </c>
      <c r="K1371" s="245">
        <v>-31.84</v>
      </c>
      <c r="L1371" s="245">
        <v>23.85</v>
      </c>
      <c r="M1371" s="245">
        <v>23.67</v>
      </c>
    </row>
    <row r="1372" spans="1:13">
      <c r="A1372">
        <v>6289</v>
      </c>
      <c r="B1372" t="s">
        <v>6620</v>
      </c>
      <c r="C1372">
        <v>10.47</v>
      </c>
      <c r="D1372">
        <v>96</v>
      </c>
      <c r="E1372">
        <v>17</v>
      </c>
      <c r="F1372">
        <v>-53</v>
      </c>
      <c r="G1372">
        <v>-55</v>
      </c>
      <c r="H1372">
        <v>-181.44</v>
      </c>
      <c r="I1372">
        <v>0</v>
      </c>
      <c r="J1372">
        <v>-0.02</v>
      </c>
      <c r="K1372" s="245">
        <v>-35.31</v>
      </c>
      <c r="L1372" s="245">
        <v>9.5500000000000007</v>
      </c>
      <c r="M1372" s="245">
        <v>2.9</v>
      </c>
    </row>
    <row r="1373" spans="1:13">
      <c r="A1373">
        <v>6290</v>
      </c>
      <c r="B1373" t="s">
        <v>5861</v>
      </c>
      <c r="C1373">
        <v>14.77</v>
      </c>
      <c r="D1373">
        <v>-33</v>
      </c>
      <c r="E1373">
        <v>-37</v>
      </c>
      <c r="F1373">
        <v>36</v>
      </c>
      <c r="G1373">
        <v>-12</v>
      </c>
      <c r="H1373">
        <v>5.93</v>
      </c>
      <c r="I1373">
        <v>0</v>
      </c>
      <c r="J1373">
        <v>3.05</v>
      </c>
      <c r="K1373" s="245">
        <v>-39.79</v>
      </c>
      <c r="L1373" s="245">
        <v>47.73</v>
      </c>
      <c r="M1373" s="245">
        <v>28.28</v>
      </c>
    </row>
    <row r="1374" spans="1:13">
      <c r="A1374">
        <v>6291</v>
      </c>
      <c r="B1374" t="s">
        <v>6621</v>
      </c>
      <c r="C1374">
        <v>6.3</v>
      </c>
      <c r="D1374">
        <v>104</v>
      </c>
      <c r="E1374">
        <v>168</v>
      </c>
      <c r="F1374">
        <v>-12</v>
      </c>
      <c r="G1374">
        <v>30</v>
      </c>
      <c r="H1374">
        <v>6.87</v>
      </c>
      <c r="I1374">
        <v>0</v>
      </c>
      <c r="J1374">
        <v>1.19</v>
      </c>
      <c r="K1374" s="245">
        <v>-10.51</v>
      </c>
      <c r="L1374" s="245">
        <v>82.93</v>
      </c>
      <c r="M1374" s="245">
        <v>0.84</v>
      </c>
    </row>
    <row r="1375" spans="1:13">
      <c r="A1375">
        <v>6292</v>
      </c>
      <c r="B1375" t="s">
        <v>5862</v>
      </c>
      <c r="C1375">
        <v>4.6900000000000004</v>
      </c>
      <c r="D1375">
        <v>61</v>
      </c>
      <c r="E1375">
        <v>-6</v>
      </c>
      <c r="F1375">
        <v>32</v>
      </c>
      <c r="G1375">
        <v>32</v>
      </c>
      <c r="H1375">
        <v>9.35</v>
      </c>
      <c r="I1375">
        <v>3.6</v>
      </c>
      <c r="J1375">
        <v>5.01</v>
      </c>
      <c r="K1375" s="245">
        <v>-5.31</v>
      </c>
      <c r="L1375" s="245">
        <v>54.1</v>
      </c>
      <c r="M1375" s="245">
        <v>2.62</v>
      </c>
    </row>
    <row r="1376" spans="1:13">
      <c r="A1376">
        <v>6294</v>
      </c>
      <c r="B1376" t="s">
        <v>6163</v>
      </c>
      <c r="C1376">
        <v>2.4500000000000002</v>
      </c>
      <c r="D1376">
        <v>4</v>
      </c>
      <c r="E1376">
        <v>1</v>
      </c>
      <c r="F1376">
        <v>7</v>
      </c>
      <c r="G1376">
        <v>0</v>
      </c>
      <c r="H1376">
        <v>35.22</v>
      </c>
      <c r="I1376">
        <v>9.5</v>
      </c>
      <c r="J1376">
        <v>11.21</v>
      </c>
      <c r="K1376" s="245">
        <v>-23.58</v>
      </c>
      <c r="L1376" s="245">
        <v>20.76</v>
      </c>
      <c r="M1376" s="245">
        <v>0.94</v>
      </c>
    </row>
    <row r="1377" spans="1:13">
      <c r="A1377">
        <v>6404</v>
      </c>
      <c r="B1377" t="s">
        <v>6622</v>
      </c>
      <c r="C1377">
        <v>1.61</v>
      </c>
      <c r="D1377">
        <v>38</v>
      </c>
      <c r="E1377">
        <v>35</v>
      </c>
      <c r="F1377">
        <v>13</v>
      </c>
      <c r="G1377">
        <v>-86</v>
      </c>
      <c r="H1377">
        <v>-156.71</v>
      </c>
      <c r="I1377">
        <v>0</v>
      </c>
      <c r="J1377">
        <v>-2.41</v>
      </c>
      <c r="K1377" s="245">
        <v>-34.159999999999997</v>
      </c>
      <c r="L1377" s="245">
        <v>52.53</v>
      </c>
      <c r="M1377" s="245">
        <v>22.34</v>
      </c>
    </row>
    <row r="1378" spans="1:13">
      <c r="A1378">
        <v>6405</v>
      </c>
      <c r="B1378" t="s">
        <v>5863</v>
      </c>
      <c r="C1378">
        <v>6.58</v>
      </c>
      <c r="D1378">
        <v>14</v>
      </c>
      <c r="E1378">
        <v>128</v>
      </c>
      <c r="F1378">
        <v>21</v>
      </c>
      <c r="G1378">
        <v>8</v>
      </c>
      <c r="H1378">
        <v>4.38</v>
      </c>
      <c r="I1378">
        <v>2</v>
      </c>
      <c r="J1378">
        <v>1.51</v>
      </c>
      <c r="K1378" s="245">
        <v>-52.03</v>
      </c>
      <c r="L1378" s="245">
        <v>11.83</v>
      </c>
      <c r="M1378" s="245">
        <v>9.1</v>
      </c>
    </row>
    <row r="1379" spans="1:13">
      <c r="A1379">
        <v>6409</v>
      </c>
      <c r="B1379" t="s">
        <v>5864</v>
      </c>
      <c r="C1379">
        <v>8.7200000000000006</v>
      </c>
      <c r="D1379">
        <v>7</v>
      </c>
      <c r="E1379">
        <v>7</v>
      </c>
      <c r="F1379">
        <v>24</v>
      </c>
      <c r="G1379">
        <v>51</v>
      </c>
      <c r="H1379">
        <v>17.25</v>
      </c>
      <c r="I1379">
        <v>23.5</v>
      </c>
      <c r="J1379">
        <v>27.13</v>
      </c>
      <c r="K1379" s="245">
        <v>-31.65</v>
      </c>
      <c r="L1379" s="245">
        <v>23.57</v>
      </c>
      <c r="M1379" s="245">
        <v>6.27</v>
      </c>
    </row>
    <row r="1380" spans="1:13">
      <c r="A1380">
        <v>6411</v>
      </c>
      <c r="B1380" t="s">
        <v>5865</v>
      </c>
      <c r="C1380">
        <v>9.17</v>
      </c>
      <c r="D1380">
        <v>81</v>
      </c>
      <c r="E1380">
        <v>87</v>
      </c>
      <c r="F1380">
        <v>5</v>
      </c>
      <c r="G1380">
        <v>-12</v>
      </c>
      <c r="H1380">
        <v>27.55</v>
      </c>
      <c r="I1380">
        <v>7.22</v>
      </c>
      <c r="J1380">
        <v>10.32</v>
      </c>
      <c r="K1380" s="245">
        <v>-55.46</v>
      </c>
      <c r="L1380" s="245">
        <v>17.28</v>
      </c>
      <c r="M1380" s="245">
        <v>48.08</v>
      </c>
    </row>
    <row r="1381" spans="1:13">
      <c r="A1381">
        <v>6412</v>
      </c>
      <c r="B1381" t="s">
        <v>5866</v>
      </c>
      <c r="C1381">
        <v>39.53</v>
      </c>
      <c r="D1381">
        <v>32</v>
      </c>
      <c r="E1381">
        <v>22</v>
      </c>
      <c r="F1381">
        <v>-19</v>
      </c>
      <c r="G1381">
        <v>-1</v>
      </c>
      <c r="H1381">
        <v>8.5500000000000007</v>
      </c>
      <c r="I1381">
        <v>5.2</v>
      </c>
      <c r="J1381">
        <v>7.22</v>
      </c>
      <c r="K1381" s="245">
        <v>-21.3</v>
      </c>
      <c r="L1381" s="245">
        <v>13.73</v>
      </c>
      <c r="M1381" s="245">
        <v>0.59</v>
      </c>
    </row>
    <row r="1382" spans="1:13">
      <c r="A1382">
        <v>6414</v>
      </c>
      <c r="B1382" t="s">
        <v>5867</v>
      </c>
      <c r="C1382">
        <v>10.6</v>
      </c>
      <c r="D1382">
        <v>6</v>
      </c>
      <c r="E1382">
        <v>-13</v>
      </c>
      <c r="F1382">
        <v>41</v>
      </c>
      <c r="G1382">
        <v>16</v>
      </c>
      <c r="H1382">
        <v>3.31</v>
      </c>
      <c r="I1382">
        <v>7</v>
      </c>
      <c r="J1382">
        <v>13.91</v>
      </c>
      <c r="K1382" s="245">
        <v>-31.16</v>
      </c>
      <c r="L1382" s="245">
        <v>25.02</v>
      </c>
      <c r="M1382" s="245">
        <v>16.12</v>
      </c>
    </row>
    <row r="1383" spans="1:13">
      <c r="A1383">
        <v>6415</v>
      </c>
      <c r="B1383" t="s">
        <v>5868</v>
      </c>
      <c r="C1383">
        <v>9.4700000000000006</v>
      </c>
      <c r="D1383">
        <v>78</v>
      </c>
      <c r="E1383">
        <v>113</v>
      </c>
      <c r="F1383">
        <v>17</v>
      </c>
      <c r="G1383">
        <v>40</v>
      </c>
      <c r="H1383">
        <v>30.86</v>
      </c>
      <c r="I1383">
        <v>17.98</v>
      </c>
      <c r="J1383">
        <v>61.51</v>
      </c>
      <c r="K1383" s="245">
        <v>-55.65</v>
      </c>
      <c r="L1383" s="245">
        <v>11.59</v>
      </c>
      <c r="M1383" s="245">
        <v>2.78</v>
      </c>
    </row>
    <row r="1384" spans="1:13">
      <c r="A1384">
        <v>6416</v>
      </c>
      <c r="B1384" t="s">
        <v>5869</v>
      </c>
      <c r="C1384">
        <v>7.31</v>
      </c>
      <c r="D1384">
        <v>-42</v>
      </c>
      <c r="E1384">
        <v>-44</v>
      </c>
      <c r="F1384">
        <v>33</v>
      </c>
      <c r="G1384">
        <v>0</v>
      </c>
      <c r="H1384">
        <v>6.54</v>
      </c>
      <c r="I1384">
        <v>2</v>
      </c>
      <c r="J1384">
        <v>3</v>
      </c>
      <c r="K1384" s="245">
        <v>-38.07</v>
      </c>
      <c r="L1384" s="245">
        <v>18.760000000000002</v>
      </c>
      <c r="M1384" s="245">
        <v>17.78</v>
      </c>
    </row>
    <row r="1385" spans="1:13">
      <c r="A1385">
        <v>6417</v>
      </c>
      <c r="B1385" t="s">
        <v>6301</v>
      </c>
      <c r="C1385">
        <v>4.22</v>
      </c>
      <c r="D1385">
        <v>17</v>
      </c>
      <c r="E1385">
        <v>10</v>
      </c>
      <c r="F1385">
        <v>12</v>
      </c>
      <c r="G1385">
        <v>22</v>
      </c>
      <c r="H1385">
        <v>12.09</v>
      </c>
      <c r="I1385">
        <v>1.5</v>
      </c>
      <c r="J1385">
        <v>3.02</v>
      </c>
      <c r="K1385" s="245">
        <v>-9.94</v>
      </c>
      <c r="L1385" s="245">
        <v>20.39</v>
      </c>
      <c r="M1385" s="245">
        <v>1.36</v>
      </c>
    </row>
    <row r="1386" spans="1:13">
      <c r="A1386">
        <v>6418</v>
      </c>
      <c r="B1386" t="s">
        <v>5870</v>
      </c>
      <c r="C1386">
        <v>3.45</v>
      </c>
      <c r="D1386">
        <v>-502</v>
      </c>
      <c r="E1386">
        <v>-190</v>
      </c>
      <c r="F1386">
        <v>123</v>
      </c>
      <c r="G1386">
        <v>24</v>
      </c>
      <c r="H1386">
        <v>-1.7</v>
      </c>
      <c r="I1386">
        <v>0</v>
      </c>
      <c r="J1386">
        <v>-0.68</v>
      </c>
      <c r="K1386" s="245">
        <v>-53.78</v>
      </c>
      <c r="L1386" s="245">
        <v>10.15</v>
      </c>
      <c r="M1386" s="245">
        <v>16.73</v>
      </c>
    </row>
    <row r="1387" spans="1:13">
      <c r="A1387">
        <v>6419</v>
      </c>
      <c r="B1387" t="s">
        <v>6623</v>
      </c>
      <c r="C1387">
        <v>1.31</v>
      </c>
      <c r="D1387">
        <v>186</v>
      </c>
      <c r="E1387">
        <v>73</v>
      </c>
      <c r="F1387">
        <v>101</v>
      </c>
      <c r="G1387">
        <v>-5</v>
      </c>
      <c r="H1387">
        <v>-5.13</v>
      </c>
      <c r="I1387">
        <v>0</v>
      </c>
      <c r="J1387">
        <v>4.87</v>
      </c>
      <c r="K1387" s="245">
        <v>-51.3</v>
      </c>
      <c r="L1387" s="245">
        <v>14.56</v>
      </c>
      <c r="M1387" s="245">
        <v>9.33</v>
      </c>
    </row>
    <row r="1388" spans="1:13">
      <c r="A1388">
        <v>6425</v>
      </c>
      <c r="B1388" t="s">
        <v>6204</v>
      </c>
      <c r="C1388">
        <v>4.3600000000000003</v>
      </c>
      <c r="D1388">
        <v>-160</v>
      </c>
      <c r="E1388">
        <v>-177</v>
      </c>
      <c r="F1388">
        <v>-55</v>
      </c>
      <c r="G1388">
        <v>-12</v>
      </c>
      <c r="H1388">
        <v>-6.07</v>
      </c>
      <c r="I1388">
        <v>0.5</v>
      </c>
      <c r="J1388">
        <v>-2.52</v>
      </c>
      <c r="K1388" s="245">
        <v>-30.18</v>
      </c>
      <c r="L1388" s="245">
        <v>35.72</v>
      </c>
      <c r="M1388" s="245">
        <v>5.5</v>
      </c>
    </row>
    <row r="1389" spans="1:13">
      <c r="A1389">
        <v>6426</v>
      </c>
      <c r="B1389" t="s">
        <v>5871</v>
      </c>
      <c r="C1389">
        <v>3.85</v>
      </c>
      <c r="D1389">
        <v>-91</v>
      </c>
      <c r="E1389">
        <v>-93</v>
      </c>
      <c r="F1389">
        <v>11</v>
      </c>
      <c r="G1389">
        <v>11</v>
      </c>
      <c r="H1389">
        <v>2.31</v>
      </c>
      <c r="I1389">
        <v>2</v>
      </c>
      <c r="J1389">
        <v>0.3</v>
      </c>
      <c r="K1389" s="245">
        <v>-25.17</v>
      </c>
      <c r="L1389" s="245">
        <v>25.44</v>
      </c>
      <c r="M1389" s="245">
        <v>4.2</v>
      </c>
    </row>
    <row r="1390" spans="1:13">
      <c r="A1390">
        <v>6431</v>
      </c>
      <c r="B1390" t="s">
        <v>6624</v>
      </c>
      <c r="C1390">
        <v>5.72</v>
      </c>
      <c r="D1390">
        <v>157</v>
      </c>
      <c r="E1390">
        <v>84</v>
      </c>
      <c r="F1390">
        <v>39</v>
      </c>
      <c r="G1390">
        <v>228</v>
      </c>
      <c r="H1390">
        <v>-2.82</v>
      </c>
      <c r="I1390">
        <v>0</v>
      </c>
      <c r="J1390">
        <v>0.51</v>
      </c>
      <c r="K1390" s="245">
        <v>-29.59</v>
      </c>
      <c r="L1390" s="245">
        <v>42.57</v>
      </c>
      <c r="M1390" s="245">
        <v>1.75</v>
      </c>
    </row>
    <row r="1391" spans="1:13">
      <c r="A1391">
        <v>6432</v>
      </c>
      <c r="B1391" t="s">
        <v>5872</v>
      </c>
      <c r="C1391">
        <v>3.05</v>
      </c>
      <c r="D1391">
        <v>17</v>
      </c>
      <c r="E1391">
        <v>8</v>
      </c>
      <c r="F1391">
        <v>-6</v>
      </c>
      <c r="G1391">
        <v>-21</v>
      </c>
      <c r="H1391">
        <v>8.7799999999999994</v>
      </c>
      <c r="I1391">
        <v>1.6</v>
      </c>
      <c r="J1391">
        <v>2.91</v>
      </c>
      <c r="K1391" s="245">
        <v>-30.1</v>
      </c>
      <c r="L1391" s="245">
        <v>20.98</v>
      </c>
      <c r="M1391" s="245">
        <v>13.46</v>
      </c>
    </row>
    <row r="1392" spans="1:13">
      <c r="A1392">
        <v>6435</v>
      </c>
      <c r="B1392" t="s">
        <v>5873</v>
      </c>
      <c r="C1392">
        <v>3.34</v>
      </c>
      <c r="D1392">
        <v>87</v>
      </c>
      <c r="E1392">
        <v>100</v>
      </c>
      <c r="F1392">
        <v>-4</v>
      </c>
      <c r="G1392">
        <v>30</v>
      </c>
      <c r="H1392">
        <v>15.93</v>
      </c>
      <c r="I1392">
        <v>7.2</v>
      </c>
      <c r="J1392">
        <v>13.09</v>
      </c>
      <c r="K1392" s="245">
        <v>-16.37</v>
      </c>
      <c r="L1392" s="245">
        <v>41.28</v>
      </c>
      <c r="M1392" s="245">
        <v>21.18</v>
      </c>
    </row>
    <row r="1393" spans="1:13">
      <c r="A1393">
        <v>6438</v>
      </c>
      <c r="B1393" t="s">
        <v>5874</v>
      </c>
      <c r="C1393">
        <v>7.1</v>
      </c>
      <c r="D1393">
        <v>71</v>
      </c>
      <c r="E1393">
        <v>65</v>
      </c>
      <c r="F1393">
        <v>-9</v>
      </c>
      <c r="G1393">
        <v>19</v>
      </c>
      <c r="H1393">
        <v>16.79</v>
      </c>
      <c r="I1393">
        <v>6.5</v>
      </c>
      <c r="J1393">
        <v>10.15</v>
      </c>
      <c r="K1393" s="245">
        <v>-22.68</v>
      </c>
      <c r="L1393" s="245">
        <v>12.66</v>
      </c>
      <c r="M1393" s="245">
        <v>28.98</v>
      </c>
    </row>
    <row r="1394" spans="1:13">
      <c r="A1394">
        <v>6441</v>
      </c>
      <c r="B1394" t="s">
        <v>5875</v>
      </c>
      <c r="C1394">
        <v>4.33</v>
      </c>
      <c r="D1394">
        <v>-213</v>
      </c>
      <c r="E1394">
        <v>-151</v>
      </c>
      <c r="F1394">
        <v>-12</v>
      </c>
      <c r="G1394">
        <v>-86</v>
      </c>
      <c r="H1394">
        <v>-10.210000000000001</v>
      </c>
      <c r="I1394">
        <v>0</v>
      </c>
      <c r="J1394">
        <v>-2.88</v>
      </c>
      <c r="K1394" s="245">
        <v>-53.45</v>
      </c>
      <c r="L1394" s="245">
        <v>41.95</v>
      </c>
      <c r="M1394" s="245">
        <v>14.17</v>
      </c>
    </row>
    <row r="1395" spans="1:13">
      <c r="A1395">
        <v>6442</v>
      </c>
      <c r="B1395" t="s">
        <v>5876</v>
      </c>
      <c r="C1395">
        <v>6.93</v>
      </c>
      <c r="D1395">
        <v>371</v>
      </c>
      <c r="E1395">
        <v>562</v>
      </c>
      <c r="F1395">
        <v>39</v>
      </c>
      <c r="G1395">
        <v>11</v>
      </c>
      <c r="H1395">
        <v>6.43</v>
      </c>
      <c r="I1395">
        <v>1.2</v>
      </c>
      <c r="J1395">
        <v>1.56</v>
      </c>
      <c r="K1395" s="245">
        <v>-18.670000000000002</v>
      </c>
      <c r="L1395" s="245">
        <v>36.53</v>
      </c>
      <c r="M1395" s="245">
        <v>1.17</v>
      </c>
    </row>
    <row r="1396" spans="1:13">
      <c r="A1396">
        <v>6443</v>
      </c>
      <c r="B1396" t="s">
        <v>5877</v>
      </c>
      <c r="C1396">
        <v>44.57</v>
      </c>
      <c r="D1396">
        <v>116</v>
      </c>
      <c r="E1396">
        <v>119</v>
      </c>
      <c r="F1396">
        <v>1</v>
      </c>
      <c r="G1396">
        <v>54</v>
      </c>
      <c r="H1396">
        <v>0.92</v>
      </c>
      <c r="I1396">
        <v>0</v>
      </c>
      <c r="J1396">
        <v>0.1</v>
      </c>
      <c r="K1396" s="245">
        <v>-22.82</v>
      </c>
      <c r="L1396" s="245">
        <v>39.86</v>
      </c>
      <c r="M1396" s="245">
        <v>44.71</v>
      </c>
    </row>
    <row r="1397" spans="1:13">
      <c r="A1397">
        <v>6446</v>
      </c>
      <c r="B1397" t="s">
        <v>6625</v>
      </c>
      <c r="C1397">
        <v>28.49</v>
      </c>
      <c r="D1397">
        <v>-44</v>
      </c>
      <c r="E1397">
        <v>-64</v>
      </c>
      <c r="F1397">
        <v>167</v>
      </c>
      <c r="G1397">
        <v>1078</v>
      </c>
      <c r="H1397">
        <v>-429.91</v>
      </c>
      <c r="I1397">
        <v>0</v>
      </c>
      <c r="J1397">
        <v>-10.8</v>
      </c>
      <c r="K1397" s="245">
        <v>-13.98</v>
      </c>
      <c r="L1397" s="245">
        <v>82.31</v>
      </c>
      <c r="M1397" s="245">
        <v>2.87</v>
      </c>
    </row>
    <row r="1398" spans="1:13">
      <c r="A1398">
        <v>6449</v>
      </c>
      <c r="B1398" t="s">
        <v>5878</v>
      </c>
      <c r="C1398">
        <v>8.89</v>
      </c>
      <c r="D1398">
        <v>17</v>
      </c>
      <c r="E1398">
        <v>4</v>
      </c>
      <c r="F1398">
        <v>-17</v>
      </c>
      <c r="G1398">
        <v>-4</v>
      </c>
      <c r="H1398">
        <v>14.26</v>
      </c>
      <c r="I1398">
        <v>2</v>
      </c>
      <c r="J1398">
        <v>3.49</v>
      </c>
      <c r="K1398" s="245">
        <v>-23.71</v>
      </c>
      <c r="L1398" s="245">
        <v>13.88</v>
      </c>
      <c r="M1398" s="245">
        <v>2.52</v>
      </c>
    </row>
    <row r="1399" spans="1:13">
      <c r="A1399">
        <v>6451</v>
      </c>
      <c r="B1399" t="s">
        <v>5879</v>
      </c>
      <c r="C1399">
        <v>10.74</v>
      </c>
      <c r="D1399">
        <v>-47</v>
      </c>
      <c r="E1399">
        <v>-93</v>
      </c>
      <c r="F1399">
        <v>21</v>
      </c>
      <c r="G1399">
        <v>-10</v>
      </c>
      <c r="H1399">
        <v>1.38</v>
      </c>
      <c r="I1399">
        <v>0</v>
      </c>
      <c r="J1399">
        <v>3.77</v>
      </c>
      <c r="K1399" s="245">
        <v>-42.82</v>
      </c>
      <c r="L1399" s="245">
        <v>21.99</v>
      </c>
      <c r="M1399" s="245">
        <v>3.19</v>
      </c>
    </row>
    <row r="1400" spans="1:13">
      <c r="A1400">
        <v>6456</v>
      </c>
      <c r="B1400" t="s">
        <v>5880</v>
      </c>
      <c r="C1400">
        <v>33.79</v>
      </c>
      <c r="D1400">
        <v>16</v>
      </c>
      <c r="E1400">
        <v>47</v>
      </c>
      <c r="F1400">
        <v>-36</v>
      </c>
      <c r="G1400">
        <v>-23</v>
      </c>
      <c r="H1400">
        <v>2.83</v>
      </c>
      <c r="I1400">
        <v>5</v>
      </c>
      <c r="J1400">
        <v>12.97</v>
      </c>
      <c r="K1400" s="245">
        <v>-31.11</v>
      </c>
      <c r="L1400" s="245">
        <v>27.99</v>
      </c>
      <c r="M1400" s="245">
        <v>6.02</v>
      </c>
    </row>
    <row r="1401" spans="1:13">
      <c r="A1401">
        <v>6457</v>
      </c>
      <c r="B1401" t="s">
        <v>5881</v>
      </c>
      <c r="C1401">
        <v>3.18</v>
      </c>
      <c r="D1401">
        <v>84</v>
      </c>
      <c r="E1401">
        <v>65</v>
      </c>
      <c r="F1401">
        <v>9</v>
      </c>
      <c r="G1401">
        <v>-23</v>
      </c>
      <c r="H1401">
        <v>30.78</v>
      </c>
      <c r="I1401">
        <v>10.89</v>
      </c>
      <c r="J1401">
        <v>12.71</v>
      </c>
      <c r="K1401" s="245">
        <v>-58.25</v>
      </c>
      <c r="L1401" s="245">
        <v>8.07</v>
      </c>
      <c r="M1401" s="245">
        <v>30.26</v>
      </c>
    </row>
    <row r="1402" spans="1:13">
      <c r="A1402">
        <v>6461</v>
      </c>
      <c r="B1402" t="s">
        <v>5882</v>
      </c>
      <c r="C1402">
        <v>11.62</v>
      </c>
      <c r="D1402">
        <v>-20</v>
      </c>
      <c r="E1402">
        <v>-22</v>
      </c>
      <c r="F1402">
        <v>-20</v>
      </c>
      <c r="G1402">
        <v>-41</v>
      </c>
      <c r="H1402">
        <v>-755.76</v>
      </c>
      <c r="I1402">
        <v>0</v>
      </c>
      <c r="J1402">
        <v>-2.97</v>
      </c>
      <c r="K1402" s="245">
        <v>-17.5</v>
      </c>
      <c r="L1402" s="245">
        <v>57.47</v>
      </c>
      <c r="M1402" s="245">
        <v>15.81</v>
      </c>
    </row>
    <row r="1403" spans="1:13">
      <c r="A1403">
        <v>6462</v>
      </c>
      <c r="B1403" t="s">
        <v>5883</v>
      </c>
      <c r="C1403">
        <v>6.92</v>
      </c>
      <c r="D1403">
        <v>-136</v>
      </c>
      <c r="E1403">
        <v>-135</v>
      </c>
      <c r="F1403">
        <v>-12</v>
      </c>
      <c r="G1403">
        <v>4</v>
      </c>
      <c r="H1403">
        <v>-8.73</v>
      </c>
      <c r="I1403">
        <v>10</v>
      </c>
      <c r="J1403">
        <v>-3.11</v>
      </c>
      <c r="K1403" s="245">
        <v>-37.880000000000003</v>
      </c>
      <c r="L1403" s="245">
        <v>65.23</v>
      </c>
      <c r="M1403" s="245">
        <v>12.39</v>
      </c>
    </row>
    <row r="1404" spans="1:13">
      <c r="A1404">
        <v>6464</v>
      </c>
      <c r="B1404" t="s">
        <v>5884</v>
      </c>
      <c r="C1404">
        <v>13.03</v>
      </c>
      <c r="D1404">
        <v>1</v>
      </c>
      <c r="E1404">
        <v>2</v>
      </c>
      <c r="F1404">
        <v>0</v>
      </c>
      <c r="G1404">
        <v>0</v>
      </c>
      <c r="H1404">
        <v>34.99</v>
      </c>
      <c r="I1404">
        <v>4.5999999999999996</v>
      </c>
      <c r="J1404">
        <v>8.27</v>
      </c>
      <c r="K1404" s="245">
        <v>-21.79</v>
      </c>
      <c r="L1404" s="245">
        <v>18.71</v>
      </c>
      <c r="M1404" s="245">
        <v>0.46</v>
      </c>
    </row>
    <row r="1405" spans="1:13">
      <c r="A1405">
        <v>6465</v>
      </c>
      <c r="B1405" t="s">
        <v>6349</v>
      </c>
      <c r="C1405">
        <v>3.22</v>
      </c>
      <c r="D1405">
        <v>49</v>
      </c>
      <c r="E1405">
        <v>19</v>
      </c>
      <c r="F1405">
        <v>40</v>
      </c>
      <c r="G1405">
        <v>33</v>
      </c>
      <c r="H1405">
        <v>-22.47</v>
      </c>
      <c r="I1405">
        <v>0</v>
      </c>
      <c r="J1405">
        <v>-1.71</v>
      </c>
      <c r="K1405" s="245">
        <v>-43.16</v>
      </c>
      <c r="L1405" s="245">
        <v>5.86</v>
      </c>
      <c r="M1405" s="245">
        <v>13.65</v>
      </c>
    </row>
    <row r="1406" spans="1:13">
      <c r="A1406">
        <v>6469</v>
      </c>
      <c r="B1406" t="s">
        <v>5885</v>
      </c>
      <c r="C1406">
        <v>7.87</v>
      </c>
      <c r="D1406">
        <v>111</v>
      </c>
      <c r="E1406">
        <v>118</v>
      </c>
      <c r="F1406">
        <v>9</v>
      </c>
      <c r="G1406">
        <v>31</v>
      </c>
      <c r="H1406">
        <v>4.3600000000000003</v>
      </c>
      <c r="I1406">
        <v>5.14</v>
      </c>
      <c r="J1406">
        <v>5.83</v>
      </c>
      <c r="K1406" s="245">
        <v>-30.45</v>
      </c>
      <c r="L1406" s="245">
        <v>26.22</v>
      </c>
      <c r="M1406" s="245">
        <v>9.73</v>
      </c>
    </row>
    <row r="1407" spans="1:13">
      <c r="A1407">
        <v>6470</v>
      </c>
      <c r="B1407" t="s">
        <v>6164</v>
      </c>
      <c r="C1407">
        <v>3.26</v>
      </c>
      <c r="D1407">
        <v>-28</v>
      </c>
      <c r="E1407">
        <v>-43</v>
      </c>
      <c r="F1407">
        <v>23</v>
      </c>
      <c r="G1407">
        <v>96</v>
      </c>
      <c r="H1407">
        <v>7.96</v>
      </c>
      <c r="I1407">
        <v>2.7</v>
      </c>
      <c r="J1407">
        <v>3.42</v>
      </c>
      <c r="K1407" s="245">
        <v>-8.4</v>
      </c>
      <c r="L1407" s="245">
        <v>74.92</v>
      </c>
      <c r="M1407" s="245">
        <v>39.24</v>
      </c>
    </row>
    <row r="1408" spans="1:13">
      <c r="A1408">
        <v>6472</v>
      </c>
      <c r="B1408" t="s">
        <v>5886</v>
      </c>
      <c r="C1408">
        <v>6.85</v>
      </c>
      <c r="D1408">
        <v>29</v>
      </c>
      <c r="E1408">
        <v>362</v>
      </c>
      <c r="F1408">
        <v>9</v>
      </c>
      <c r="G1408">
        <v>8</v>
      </c>
      <c r="H1408">
        <v>21.35</v>
      </c>
      <c r="I1408">
        <v>4.5</v>
      </c>
      <c r="J1408">
        <v>11.04</v>
      </c>
      <c r="K1408" s="245">
        <v>-52.89</v>
      </c>
      <c r="L1408" s="245">
        <v>15.98</v>
      </c>
      <c r="M1408" s="245">
        <v>5.51</v>
      </c>
    </row>
    <row r="1409" spans="1:13">
      <c r="A1409">
        <v>6477</v>
      </c>
      <c r="B1409" t="s">
        <v>5887</v>
      </c>
      <c r="C1409">
        <v>11.75</v>
      </c>
      <c r="D1409">
        <v>-49</v>
      </c>
      <c r="E1409">
        <v>-45</v>
      </c>
      <c r="F1409">
        <v>27</v>
      </c>
      <c r="G1409">
        <v>212</v>
      </c>
      <c r="H1409">
        <v>11.76</v>
      </c>
      <c r="I1409">
        <v>0.52</v>
      </c>
      <c r="J1409">
        <v>1.1599999999999999</v>
      </c>
      <c r="K1409" s="245">
        <v>-17.14</v>
      </c>
      <c r="L1409" s="245">
        <v>44.05</v>
      </c>
      <c r="M1409" s="245">
        <v>55.72</v>
      </c>
    </row>
    <row r="1410" spans="1:13">
      <c r="A1410">
        <v>6482</v>
      </c>
      <c r="B1410" t="s">
        <v>6626</v>
      </c>
      <c r="C1410">
        <v>1.71</v>
      </c>
      <c r="D1410">
        <v>139</v>
      </c>
      <c r="E1410">
        <v>156</v>
      </c>
      <c r="F1410">
        <v>28</v>
      </c>
      <c r="G1410">
        <v>58</v>
      </c>
      <c r="H1410">
        <v>11.07</v>
      </c>
      <c r="I1410">
        <v>1</v>
      </c>
      <c r="J1410">
        <v>1.34</v>
      </c>
      <c r="K1410" s="245">
        <v>-22.25</v>
      </c>
      <c r="L1410" s="245">
        <v>45.47</v>
      </c>
      <c r="M1410" s="245">
        <v>2.16</v>
      </c>
    </row>
    <row r="1411" spans="1:13">
      <c r="A1411">
        <v>6485</v>
      </c>
      <c r="B1411" t="s">
        <v>5888</v>
      </c>
      <c r="C1411">
        <v>4.3899999999999997</v>
      </c>
      <c r="D1411">
        <v>1610</v>
      </c>
      <c r="E1411">
        <v>2987</v>
      </c>
      <c r="F1411">
        <v>0</v>
      </c>
      <c r="G1411">
        <v>34</v>
      </c>
      <c r="H1411">
        <v>31.91</v>
      </c>
      <c r="I1411">
        <v>5</v>
      </c>
      <c r="J1411">
        <v>12.2</v>
      </c>
      <c r="K1411" s="245">
        <v>-40.58</v>
      </c>
      <c r="L1411" s="245">
        <v>21.88</v>
      </c>
      <c r="M1411" s="245">
        <v>64.77</v>
      </c>
    </row>
    <row r="1412" spans="1:13">
      <c r="A1412">
        <v>6486</v>
      </c>
      <c r="B1412" t="s">
        <v>5889</v>
      </c>
      <c r="C1412">
        <v>3.93</v>
      </c>
      <c r="D1412">
        <v>11</v>
      </c>
      <c r="E1412">
        <v>9</v>
      </c>
      <c r="F1412">
        <v>-26</v>
      </c>
      <c r="G1412">
        <v>-20</v>
      </c>
      <c r="H1412">
        <v>16.03</v>
      </c>
      <c r="I1412">
        <v>6.5</v>
      </c>
      <c r="J1412">
        <v>6.73</v>
      </c>
      <c r="K1412" s="245">
        <v>-10.07</v>
      </c>
      <c r="L1412" s="245">
        <v>25.61</v>
      </c>
      <c r="M1412" s="245">
        <v>2.36</v>
      </c>
    </row>
    <row r="1413" spans="1:13">
      <c r="A1413">
        <v>6488</v>
      </c>
      <c r="B1413" t="s">
        <v>5890</v>
      </c>
      <c r="C1413">
        <v>43.72</v>
      </c>
      <c r="D1413">
        <v>-9</v>
      </c>
      <c r="E1413">
        <v>15</v>
      </c>
      <c r="F1413">
        <v>7</v>
      </c>
      <c r="G1413">
        <v>0</v>
      </c>
      <c r="H1413">
        <v>28.94</v>
      </c>
      <c r="I1413">
        <v>16</v>
      </c>
      <c r="J1413">
        <v>27.27</v>
      </c>
      <c r="K1413" s="245">
        <v>-45.68</v>
      </c>
      <c r="L1413" s="245">
        <v>18.77</v>
      </c>
      <c r="M1413" s="245">
        <v>2.12</v>
      </c>
    </row>
    <row r="1414" spans="1:13">
      <c r="A1414">
        <v>6491</v>
      </c>
      <c r="B1414" t="s">
        <v>5891</v>
      </c>
      <c r="C1414">
        <v>7</v>
      </c>
      <c r="D1414">
        <v>74</v>
      </c>
      <c r="E1414">
        <v>70</v>
      </c>
      <c r="F1414">
        <v>-6</v>
      </c>
      <c r="G1414">
        <v>0</v>
      </c>
      <c r="H1414">
        <v>26.09</v>
      </c>
      <c r="I1414">
        <v>8.5</v>
      </c>
      <c r="J1414">
        <v>17.84</v>
      </c>
      <c r="K1414" s="245">
        <v>-42.77</v>
      </c>
      <c r="L1414" s="245">
        <v>19.45</v>
      </c>
      <c r="M1414" s="245">
        <v>4.5</v>
      </c>
    </row>
    <row r="1415" spans="1:13">
      <c r="A1415">
        <v>6492</v>
      </c>
      <c r="B1415" t="s">
        <v>6627</v>
      </c>
      <c r="C1415">
        <v>8.9700000000000006</v>
      </c>
      <c r="D1415">
        <v>7</v>
      </c>
      <c r="E1415">
        <v>3</v>
      </c>
      <c r="F1415">
        <v>0</v>
      </c>
      <c r="G1415">
        <v>66</v>
      </c>
      <c r="H1415">
        <v>-62966.55</v>
      </c>
      <c r="I1415">
        <v>0</v>
      </c>
      <c r="J1415">
        <v>-3.67</v>
      </c>
      <c r="K1415" s="245">
        <v>-57.67</v>
      </c>
      <c r="L1415" s="245">
        <v>37.04</v>
      </c>
      <c r="M1415" s="245">
        <v>7.02</v>
      </c>
    </row>
    <row r="1416" spans="1:13">
      <c r="A1416">
        <v>6494</v>
      </c>
      <c r="B1416" t="s">
        <v>5892</v>
      </c>
      <c r="C1416">
        <v>3.15</v>
      </c>
      <c r="D1416">
        <v>340</v>
      </c>
      <c r="E1416">
        <v>323</v>
      </c>
      <c r="F1416">
        <v>-2</v>
      </c>
      <c r="G1416">
        <v>-3</v>
      </c>
      <c r="H1416">
        <v>30.05</v>
      </c>
      <c r="I1416">
        <v>8</v>
      </c>
      <c r="J1416">
        <v>17.21</v>
      </c>
      <c r="K1416" s="245">
        <v>-32.14</v>
      </c>
      <c r="L1416" s="245">
        <v>25.04</v>
      </c>
      <c r="M1416" s="245">
        <v>62.26</v>
      </c>
    </row>
    <row r="1417" spans="1:13">
      <c r="A1417">
        <v>6496</v>
      </c>
      <c r="B1417" t="s">
        <v>6255</v>
      </c>
      <c r="C1417">
        <v>4.66</v>
      </c>
      <c r="D1417">
        <v>-144</v>
      </c>
      <c r="E1417">
        <v>-121</v>
      </c>
      <c r="F1417">
        <v>-21</v>
      </c>
      <c r="G1417">
        <v>-53</v>
      </c>
      <c r="H1417">
        <v>-0.66</v>
      </c>
      <c r="I1417">
        <v>0</v>
      </c>
      <c r="J1417">
        <v>-0.34</v>
      </c>
      <c r="K1417" s="245">
        <v>-10.8</v>
      </c>
      <c r="L1417" s="245">
        <v>14.38</v>
      </c>
      <c r="M1417" s="245">
        <v>0.45</v>
      </c>
    </row>
    <row r="1418" spans="1:13">
      <c r="A1418">
        <v>6499</v>
      </c>
      <c r="B1418" t="s">
        <v>5893</v>
      </c>
      <c r="C1418">
        <v>7.32</v>
      </c>
      <c r="D1418">
        <v>1297</v>
      </c>
      <c r="E1418">
        <v>-412</v>
      </c>
      <c r="F1418">
        <v>88</v>
      </c>
      <c r="G1418">
        <v>7</v>
      </c>
      <c r="H1418">
        <v>-718.69</v>
      </c>
      <c r="I1418">
        <v>3</v>
      </c>
      <c r="J1418">
        <v>28.54</v>
      </c>
      <c r="K1418" s="245">
        <v>-31.98</v>
      </c>
      <c r="L1418" s="245">
        <v>11.98</v>
      </c>
      <c r="M1418" s="245">
        <v>6.42</v>
      </c>
    </row>
    <row r="1419" spans="1:13">
      <c r="A1419">
        <v>6504</v>
      </c>
      <c r="B1419" t="s">
        <v>5894</v>
      </c>
      <c r="C1419">
        <v>7.26</v>
      </c>
      <c r="D1419">
        <v>-91</v>
      </c>
      <c r="E1419">
        <v>-87</v>
      </c>
      <c r="F1419">
        <v>-3</v>
      </c>
      <c r="G1419">
        <v>-20</v>
      </c>
      <c r="H1419">
        <v>3.89</v>
      </c>
      <c r="I1419">
        <v>1.2</v>
      </c>
      <c r="J1419">
        <v>1.62</v>
      </c>
      <c r="K1419" s="245">
        <v>-45.63</v>
      </c>
      <c r="L1419" s="245">
        <v>12</v>
      </c>
      <c r="M1419" s="245">
        <v>9.4700000000000006</v>
      </c>
    </row>
    <row r="1420" spans="1:13">
      <c r="A1420">
        <v>6505</v>
      </c>
      <c r="B1420" t="s">
        <v>5895</v>
      </c>
      <c r="C1420">
        <v>952</v>
      </c>
      <c r="D1420">
        <v>569</v>
      </c>
      <c r="E1420">
        <v>1892</v>
      </c>
      <c r="F1420">
        <v>-4</v>
      </c>
      <c r="G1420">
        <v>40</v>
      </c>
      <c r="H1420">
        <v>8.9</v>
      </c>
      <c r="I1420">
        <v>3.8</v>
      </c>
      <c r="J1420">
        <v>5.19</v>
      </c>
      <c r="K1420" s="245">
        <v>-23.06</v>
      </c>
      <c r="L1420" s="245">
        <v>19.34</v>
      </c>
      <c r="M1420" s="245">
        <v>0.26</v>
      </c>
    </row>
    <row r="1421" spans="1:13">
      <c r="A1421">
        <v>6506</v>
      </c>
      <c r="B1421" t="s">
        <v>5896</v>
      </c>
      <c r="C1421">
        <v>8.23</v>
      </c>
      <c r="D1421">
        <v>29</v>
      </c>
      <c r="E1421">
        <v>46</v>
      </c>
      <c r="F1421">
        <v>-3</v>
      </c>
      <c r="G1421">
        <v>26</v>
      </c>
      <c r="H1421">
        <v>4.2</v>
      </c>
      <c r="I1421">
        <v>2</v>
      </c>
      <c r="J1421">
        <v>0.83</v>
      </c>
      <c r="K1421" s="245">
        <v>-12.61</v>
      </c>
      <c r="L1421" s="245">
        <v>66.31</v>
      </c>
      <c r="M1421" s="245">
        <v>16.78</v>
      </c>
    </row>
    <row r="1422" spans="1:13">
      <c r="A1422">
        <v>6508</v>
      </c>
      <c r="B1422" t="s">
        <v>5897</v>
      </c>
      <c r="C1422">
        <v>8.56</v>
      </c>
      <c r="D1422">
        <v>73</v>
      </c>
      <c r="E1422">
        <v>-17</v>
      </c>
      <c r="F1422">
        <v>90</v>
      </c>
      <c r="G1422">
        <v>18</v>
      </c>
      <c r="H1422">
        <v>11.57</v>
      </c>
      <c r="I1422">
        <v>3</v>
      </c>
      <c r="J1422">
        <v>3.85</v>
      </c>
      <c r="K1422" s="245">
        <v>-22.19</v>
      </c>
      <c r="L1422" s="245">
        <v>64.38</v>
      </c>
      <c r="M1422" s="245">
        <v>84.85</v>
      </c>
    </row>
    <row r="1423" spans="1:13">
      <c r="A1423">
        <v>6509</v>
      </c>
      <c r="B1423" t="s">
        <v>5898</v>
      </c>
      <c r="C1423">
        <v>17.34</v>
      </c>
      <c r="D1423">
        <v>50</v>
      </c>
      <c r="E1423">
        <v>47</v>
      </c>
      <c r="F1423">
        <v>73</v>
      </c>
      <c r="G1423">
        <v>33</v>
      </c>
      <c r="H1423">
        <v>11.93</v>
      </c>
      <c r="I1423">
        <v>1.25</v>
      </c>
      <c r="J1423">
        <v>2.48</v>
      </c>
      <c r="K1423" s="245">
        <v>-43.61</v>
      </c>
      <c r="L1423" s="245">
        <v>12.08</v>
      </c>
      <c r="M1423" s="245">
        <v>65.66</v>
      </c>
    </row>
    <row r="1424" spans="1:13">
      <c r="A1424">
        <v>6510</v>
      </c>
      <c r="B1424" t="s">
        <v>5899</v>
      </c>
      <c r="C1424">
        <v>3.27</v>
      </c>
      <c r="D1424">
        <v>-4</v>
      </c>
      <c r="E1424">
        <v>-8</v>
      </c>
      <c r="F1424">
        <v>10</v>
      </c>
      <c r="G1424">
        <v>1</v>
      </c>
      <c r="H1424">
        <v>25.49</v>
      </c>
      <c r="I1424">
        <v>13.6</v>
      </c>
      <c r="J1424">
        <v>27.2</v>
      </c>
      <c r="K1424" s="245">
        <v>-43.5</v>
      </c>
      <c r="L1424" s="245">
        <v>6</v>
      </c>
      <c r="M1424" s="245">
        <v>8.09</v>
      </c>
    </row>
    <row r="1425" spans="1:13">
      <c r="A1425">
        <v>6512</v>
      </c>
      <c r="B1425" t="s">
        <v>6628</v>
      </c>
      <c r="C1425">
        <v>2.5</v>
      </c>
      <c r="D1425">
        <v>-105</v>
      </c>
      <c r="E1425">
        <v>-60</v>
      </c>
      <c r="F1425">
        <v>26</v>
      </c>
      <c r="G1425">
        <v>151</v>
      </c>
      <c r="H1425">
        <v>-17.829999999999998</v>
      </c>
      <c r="I1425">
        <v>0</v>
      </c>
      <c r="J1425">
        <v>-1.51</v>
      </c>
      <c r="K1425" s="245">
        <v>-15.48</v>
      </c>
      <c r="L1425" s="245">
        <v>27.66</v>
      </c>
      <c r="M1425" s="245">
        <v>2.79</v>
      </c>
    </row>
    <row r="1426" spans="1:13">
      <c r="A1426">
        <v>6514</v>
      </c>
      <c r="B1426" t="s">
        <v>5900</v>
      </c>
      <c r="C1426">
        <v>3</v>
      </c>
      <c r="D1426">
        <v>48</v>
      </c>
      <c r="E1426">
        <v>30</v>
      </c>
      <c r="F1426">
        <v>-91</v>
      </c>
      <c r="G1426">
        <v>-91</v>
      </c>
      <c r="H1426">
        <v>14.05</v>
      </c>
      <c r="I1426">
        <v>3.2</v>
      </c>
      <c r="J1426">
        <v>3.1</v>
      </c>
      <c r="K1426" s="245">
        <v>-37.5</v>
      </c>
      <c r="L1426" s="245">
        <v>31</v>
      </c>
      <c r="M1426" s="245">
        <v>22.77</v>
      </c>
    </row>
    <row r="1427" spans="1:13">
      <c r="A1427">
        <v>6515</v>
      </c>
      <c r="B1427" t="s">
        <v>5901</v>
      </c>
      <c r="C1427">
        <v>3.42</v>
      </c>
      <c r="D1427">
        <v>-8</v>
      </c>
      <c r="E1427">
        <v>-11</v>
      </c>
      <c r="F1427">
        <v>-12</v>
      </c>
      <c r="G1427">
        <v>21</v>
      </c>
      <c r="H1427">
        <v>20.5</v>
      </c>
      <c r="I1427">
        <v>11</v>
      </c>
      <c r="J1427">
        <v>14.46</v>
      </c>
      <c r="K1427" s="245">
        <v>-30.69</v>
      </c>
      <c r="L1427" s="245">
        <v>14.21</v>
      </c>
      <c r="M1427" s="245">
        <v>7.52</v>
      </c>
    </row>
    <row r="1428" spans="1:13">
      <c r="A1428">
        <v>6516</v>
      </c>
      <c r="B1428" t="s">
        <v>5902</v>
      </c>
      <c r="C1428">
        <v>4.24</v>
      </c>
      <c r="D1428">
        <v>751</v>
      </c>
      <c r="E1428">
        <v>260</v>
      </c>
      <c r="F1428">
        <v>51</v>
      </c>
      <c r="G1428">
        <v>73</v>
      </c>
      <c r="H1428">
        <v>9.35</v>
      </c>
      <c r="I1428">
        <v>1.88</v>
      </c>
      <c r="J1428">
        <v>1.0900000000000001</v>
      </c>
      <c r="K1428" s="245">
        <v>-40.619999999999997</v>
      </c>
      <c r="L1428" s="245">
        <v>31.93</v>
      </c>
      <c r="M1428" s="245">
        <v>6.34</v>
      </c>
    </row>
    <row r="1429" spans="1:13">
      <c r="A1429">
        <v>6523</v>
      </c>
      <c r="B1429" t="s">
        <v>5903</v>
      </c>
      <c r="C1429">
        <v>4.5</v>
      </c>
      <c r="D1429">
        <v>-55</v>
      </c>
      <c r="E1429">
        <v>58</v>
      </c>
      <c r="F1429">
        <v>12</v>
      </c>
      <c r="G1429">
        <v>10</v>
      </c>
      <c r="H1429">
        <v>34.03</v>
      </c>
      <c r="I1429">
        <v>15.22</v>
      </c>
      <c r="J1429">
        <v>6.58</v>
      </c>
      <c r="K1429" s="245">
        <v>-48.26</v>
      </c>
      <c r="L1429" s="245">
        <v>8.58</v>
      </c>
      <c r="M1429" s="245">
        <v>12.88</v>
      </c>
    </row>
    <row r="1430" spans="1:13">
      <c r="A1430">
        <v>6525</v>
      </c>
      <c r="B1430" t="s">
        <v>5904</v>
      </c>
      <c r="C1430">
        <v>12.9</v>
      </c>
      <c r="D1430">
        <v>25</v>
      </c>
      <c r="E1430">
        <v>18</v>
      </c>
      <c r="F1430">
        <v>-4</v>
      </c>
      <c r="G1430">
        <v>1</v>
      </c>
      <c r="H1430">
        <v>22.83</v>
      </c>
      <c r="I1430">
        <v>5.5</v>
      </c>
      <c r="J1430">
        <v>6.65</v>
      </c>
      <c r="K1430" s="245">
        <v>-41.21</v>
      </c>
      <c r="L1430" s="245">
        <v>17.98</v>
      </c>
      <c r="M1430" s="245">
        <v>10.62</v>
      </c>
    </row>
    <row r="1431" spans="1:13">
      <c r="A1431">
        <v>6527</v>
      </c>
      <c r="B1431" t="s">
        <v>6629</v>
      </c>
      <c r="C1431">
        <v>2.42</v>
      </c>
      <c r="D1431">
        <v>36</v>
      </c>
      <c r="E1431">
        <v>53</v>
      </c>
      <c r="F1431">
        <v>43</v>
      </c>
      <c r="G1431">
        <v>20</v>
      </c>
      <c r="H1431">
        <v>12.26</v>
      </c>
      <c r="I1431">
        <v>1.94</v>
      </c>
      <c r="J1431">
        <v>3.24</v>
      </c>
      <c r="K1431" s="245">
        <v>-9.41</v>
      </c>
      <c r="L1431" s="245">
        <v>48.14</v>
      </c>
      <c r="M1431" s="245">
        <v>0.6</v>
      </c>
    </row>
    <row r="1432" spans="1:13">
      <c r="A1432">
        <v>6530</v>
      </c>
      <c r="B1432" t="s">
        <v>6309</v>
      </c>
      <c r="C1432">
        <v>3.37</v>
      </c>
      <c r="D1432">
        <v>42</v>
      </c>
      <c r="E1432">
        <v>40</v>
      </c>
      <c r="F1432">
        <v>52</v>
      </c>
      <c r="G1432">
        <v>19</v>
      </c>
      <c r="H1432">
        <v>17.010000000000002</v>
      </c>
      <c r="I1432">
        <v>1.1000000000000001</v>
      </c>
      <c r="J1432">
        <v>1.0900000000000001</v>
      </c>
      <c r="K1432" s="245">
        <v>-34.11</v>
      </c>
      <c r="L1432" s="245">
        <v>45.15</v>
      </c>
      <c r="M1432" s="245">
        <v>23.79</v>
      </c>
    </row>
    <row r="1433" spans="1:13">
      <c r="A1433">
        <v>6531</v>
      </c>
      <c r="B1433" t="s">
        <v>5905</v>
      </c>
      <c r="C1433">
        <v>8.06</v>
      </c>
      <c r="D1433">
        <v>146</v>
      </c>
      <c r="E1433">
        <v>356</v>
      </c>
      <c r="F1433">
        <v>-5</v>
      </c>
      <c r="G1433">
        <v>-8</v>
      </c>
      <c r="H1433">
        <v>35.82</v>
      </c>
      <c r="I1433">
        <v>6</v>
      </c>
      <c r="J1433">
        <v>13.67</v>
      </c>
      <c r="K1433" s="245">
        <v>-70.17</v>
      </c>
      <c r="L1433" s="245">
        <v>10.45</v>
      </c>
      <c r="M1433" s="245">
        <v>27.84</v>
      </c>
    </row>
    <row r="1434" spans="1:13">
      <c r="A1434">
        <v>6532</v>
      </c>
      <c r="B1434" t="s">
        <v>5906</v>
      </c>
      <c r="C1434">
        <v>3.61</v>
      </c>
      <c r="D1434">
        <v>-8</v>
      </c>
      <c r="E1434">
        <v>-11</v>
      </c>
      <c r="F1434">
        <v>-9</v>
      </c>
      <c r="G1434">
        <v>32</v>
      </c>
      <c r="H1434">
        <v>24.25</v>
      </c>
      <c r="I1434">
        <v>1.8</v>
      </c>
      <c r="J1434">
        <v>2.63</v>
      </c>
      <c r="K1434" s="245">
        <v>-26.57</v>
      </c>
      <c r="L1434" s="245">
        <v>25.15</v>
      </c>
      <c r="M1434" s="245">
        <v>13.7</v>
      </c>
    </row>
    <row r="1435" spans="1:13">
      <c r="A1435">
        <v>6533</v>
      </c>
      <c r="B1435" t="s">
        <v>5907</v>
      </c>
      <c r="C1435">
        <v>5.0599999999999996</v>
      </c>
      <c r="D1435">
        <v>360</v>
      </c>
      <c r="E1435">
        <v>321</v>
      </c>
      <c r="F1435">
        <v>170</v>
      </c>
      <c r="G1435">
        <v>145</v>
      </c>
      <c r="H1435">
        <v>19.350000000000001</v>
      </c>
      <c r="I1435">
        <v>2.85</v>
      </c>
      <c r="J1435">
        <v>3.59</v>
      </c>
      <c r="K1435" s="245">
        <v>-50.62</v>
      </c>
      <c r="L1435" s="245">
        <v>21.37</v>
      </c>
      <c r="M1435" s="245">
        <v>13.76</v>
      </c>
    </row>
    <row r="1436" spans="1:13">
      <c r="A1436">
        <v>6535</v>
      </c>
      <c r="B1436" t="s">
        <v>6630</v>
      </c>
      <c r="C1436">
        <v>16.32</v>
      </c>
      <c r="D1436">
        <v>129</v>
      </c>
      <c r="E1436">
        <v>-25</v>
      </c>
      <c r="F1436">
        <v>1673</v>
      </c>
      <c r="G1436">
        <v>14</v>
      </c>
      <c r="H1436">
        <v>-2478.27</v>
      </c>
      <c r="I1436">
        <v>0</v>
      </c>
      <c r="J1436">
        <v>0.64</v>
      </c>
      <c r="K1436" s="245">
        <v>-22.21</v>
      </c>
      <c r="L1436" s="245">
        <v>15.12</v>
      </c>
      <c r="M1436" s="245">
        <v>6.97</v>
      </c>
    </row>
    <row r="1437" spans="1:13">
      <c r="A1437">
        <v>6538</v>
      </c>
      <c r="B1437" t="s">
        <v>5908</v>
      </c>
      <c r="C1437">
        <v>3.72</v>
      </c>
      <c r="D1437">
        <v>-64</v>
      </c>
      <c r="E1437">
        <v>-67</v>
      </c>
      <c r="F1437">
        <v>8</v>
      </c>
      <c r="G1437">
        <v>32</v>
      </c>
      <c r="H1437">
        <v>15.33</v>
      </c>
      <c r="I1437">
        <v>2.5</v>
      </c>
      <c r="J1437">
        <v>4.13</v>
      </c>
      <c r="K1437" s="245">
        <v>-39.619999999999997</v>
      </c>
      <c r="L1437" s="245">
        <v>29.38</v>
      </c>
      <c r="M1437" s="245">
        <v>15.8</v>
      </c>
    </row>
    <row r="1438" spans="1:13">
      <c r="A1438">
        <v>6541</v>
      </c>
      <c r="B1438" t="s">
        <v>6631</v>
      </c>
      <c r="C1438">
        <v>35.25</v>
      </c>
      <c r="D1438">
        <v>26</v>
      </c>
      <c r="E1438">
        <v>23</v>
      </c>
      <c r="F1438">
        <v>64</v>
      </c>
      <c r="G1438">
        <v>0</v>
      </c>
      <c r="H1438">
        <v>-29581.65</v>
      </c>
      <c r="I1438">
        <v>0</v>
      </c>
      <c r="J1438">
        <v>-4.74</v>
      </c>
      <c r="K1438" s="245">
        <v>-27.38</v>
      </c>
      <c r="L1438" s="245">
        <v>57.32</v>
      </c>
      <c r="M1438" s="245">
        <v>2.66</v>
      </c>
    </row>
    <row r="1439" spans="1:13">
      <c r="A1439">
        <v>6542</v>
      </c>
      <c r="B1439" t="s">
        <v>6333</v>
      </c>
      <c r="C1439">
        <v>4.2</v>
      </c>
      <c r="D1439">
        <v>-355</v>
      </c>
      <c r="E1439">
        <v>-255</v>
      </c>
      <c r="F1439">
        <v>-5</v>
      </c>
      <c r="G1439">
        <v>22</v>
      </c>
      <c r="H1439">
        <v>-13</v>
      </c>
      <c r="I1439">
        <v>0</v>
      </c>
      <c r="J1439">
        <v>-3.89</v>
      </c>
      <c r="K1439" s="245">
        <v>-46.66</v>
      </c>
      <c r="L1439" s="245">
        <v>21.14</v>
      </c>
      <c r="M1439" s="245">
        <v>3.35</v>
      </c>
    </row>
    <row r="1440" spans="1:13">
      <c r="A1440">
        <v>6547</v>
      </c>
      <c r="B1440" t="s">
        <v>6632</v>
      </c>
      <c r="C1440">
        <v>22.04</v>
      </c>
      <c r="D1440">
        <v>309</v>
      </c>
      <c r="E1440">
        <v>226</v>
      </c>
      <c r="F1440">
        <v>2795</v>
      </c>
      <c r="G1440">
        <v>7583</v>
      </c>
      <c r="H1440">
        <v>29.37</v>
      </c>
      <c r="I1440">
        <v>5</v>
      </c>
      <c r="J1440">
        <v>6.65</v>
      </c>
      <c r="K1440" s="245">
        <v>-40.35</v>
      </c>
      <c r="L1440" s="245">
        <v>24.21</v>
      </c>
      <c r="M1440" s="245">
        <v>8.67</v>
      </c>
    </row>
    <row r="1441" spans="1:13">
      <c r="A1441">
        <v>6548</v>
      </c>
      <c r="B1441" t="s">
        <v>5909</v>
      </c>
      <c r="C1441">
        <v>3.84</v>
      </c>
      <c r="D1441">
        <v>119</v>
      </c>
      <c r="E1441">
        <v>130</v>
      </c>
      <c r="F1441">
        <v>-4</v>
      </c>
      <c r="G1441">
        <v>24</v>
      </c>
      <c r="H1441">
        <v>17.28</v>
      </c>
      <c r="I1441">
        <v>2.4</v>
      </c>
      <c r="J1441">
        <v>4.8099999999999996</v>
      </c>
      <c r="K1441" s="245">
        <v>-24.76</v>
      </c>
      <c r="L1441" s="245">
        <v>16.04</v>
      </c>
      <c r="M1441" s="245">
        <v>55.58</v>
      </c>
    </row>
    <row r="1442" spans="1:13">
      <c r="A1442">
        <v>6552</v>
      </c>
      <c r="B1442" t="s">
        <v>5910</v>
      </c>
      <c r="C1442">
        <v>8.3000000000000007</v>
      </c>
      <c r="D1442">
        <v>118</v>
      </c>
      <c r="E1442">
        <v>97</v>
      </c>
      <c r="F1442">
        <v>7</v>
      </c>
      <c r="G1442">
        <v>-4</v>
      </c>
      <c r="H1442">
        <v>12.02</v>
      </c>
      <c r="I1442">
        <v>2</v>
      </c>
      <c r="J1442">
        <v>3.91</v>
      </c>
      <c r="K1442" s="245">
        <v>-46.32</v>
      </c>
      <c r="L1442" s="245">
        <v>13.37</v>
      </c>
      <c r="M1442" s="245">
        <v>11.32</v>
      </c>
    </row>
    <row r="1443" spans="1:13">
      <c r="A1443">
        <v>6556</v>
      </c>
      <c r="B1443" t="s">
        <v>6633</v>
      </c>
      <c r="C1443">
        <v>2.87</v>
      </c>
      <c r="D1443">
        <v>107</v>
      </c>
      <c r="E1443">
        <v>90</v>
      </c>
      <c r="F1443">
        <v>-19</v>
      </c>
      <c r="G1443">
        <v>17</v>
      </c>
      <c r="H1443">
        <v>8.16</v>
      </c>
      <c r="I1443">
        <v>3.2</v>
      </c>
      <c r="J1443">
        <v>4.46</v>
      </c>
      <c r="K1443" s="245">
        <v>-24.16</v>
      </c>
      <c r="L1443" s="245">
        <v>30.1</v>
      </c>
      <c r="M1443" s="245">
        <v>1.38</v>
      </c>
    </row>
    <row r="1444" spans="1:13">
      <c r="A1444">
        <v>6558</v>
      </c>
      <c r="B1444" t="s">
        <v>5911</v>
      </c>
      <c r="C1444">
        <v>9.39</v>
      </c>
      <c r="D1444">
        <v>-94</v>
      </c>
      <c r="E1444">
        <v>-71</v>
      </c>
      <c r="F1444">
        <v>-80</v>
      </c>
      <c r="G1444">
        <v>-88</v>
      </c>
      <c r="H1444">
        <v>1.72</v>
      </c>
      <c r="I1444">
        <v>0</v>
      </c>
      <c r="J1444">
        <v>0.04</v>
      </c>
      <c r="K1444" s="245">
        <v>-44.79</v>
      </c>
      <c r="L1444" s="245">
        <v>8.4600000000000009</v>
      </c>
      <c r="M1444" s="245">
        <v>3.48</v>
      </c>
    </row>
    <row r="1445" spans="1:13">
      <c r="A1445">
        <v>6560</v>
      </c>
      <c r="B1445" t="s">
        <v>6634</v>
      </c>
      <c r="C1445">
        <v>2.06</v>
      </c>
      <c r="D1445">
        <v>76</v>
      </c>
      <c r="E1445">
        <v>67</v>
      </c>
      <c r="F1445">
        <v>-21</v>
      </c>
      <c r="G1445">
        <v>-57</v>
      </c>
      <c r="H1445">
        <v>19.850000000000001</v>
      </c>
      <c r="I1445">
        <v>7.5</v>
      </c>
      <c r="J1445">
        <v>9.43</v>
      </c>
      <c r="K1445" s="245">
        <v>-44.89</v>
      </c>
      <c r="L1445" s="245">
        <v>15.66</v>
      </c>
      <c r="M1445" s="245">
        <v>6.31</v>
      </c>
    </row>
    <row r="1446" spans="1:13">
      <c r="A1446">
        <v>6561</v>
      </c>
      <c r="B1446" t="s">
        <v>5912</v>
      </c>
      <c r="C1446">
        <v>7.06</v>
      </c>
      <c r="D1446">
        <v>12</v>
      </c>
      <c r="E1446">
        <v>12</v>
      </c>
      <c r="F1446">
        <v>-6</v>
      </c>
      <c r="G1446">
        <v>6</v>
      </c>
      <c r="H1446">
        <v>31.09</v>
      </c>
      <c r="I1446">
        <v>9.3000000000000007</v>
      </c>
      <c r="J1446">
        <v>9.75</v>
      </c>
      <c r="K1446" s="245">
        <v>-9.27</v>
      </c>
      <c r="L1446" s="245">
        <v>67.95</v>
      </c>
      <c r="M1446" s="245">
        <v>0.32</v>
      </c>
    </row>
    <row r="1447" spans="1:13">
      <c r="A1447">
        <v>6568</v>
      </c>
      <c r="B1447" t="s">
        <v>6635</v>
      </c>
      <c r="C1447">
        <v>3.08</v>
      </c>
      <c r="D1447">
        <v>-8</v>
      </c>
      <c r="E1447">
        <v>-21</v>
      </c>
      <c r="F1447">
        <v>8</v>
      </c>
      <c r="G1447">
        <v>16</v>
      </c>
      <c r="H1447">
        <v>16.440000000000001</v>
      </c>
      <c r="I1447">
        <v>5</v>
      </c>
      <c r="J1447">
        <v>5.65</v>
      </c>
      <c r="K1447" s="245">
        <v>-63.66</v>
      </c>
      <c r="L1447" s="245">
        <v>13.21</v>
      </c>
      <c r="M1447" s="245">
        <v>13.79</v>
      </c>
    </row>
    <row r="1448" spans="1:13">
      <c r="A1448">
        <v>6569</v>
      </c>
      <c r="B1448" t="s">
        <v>6636</v>
      </c>
      <c r="C1448">
        <v>3.32</v>
      </c>
      <c r="D1448">
        <v>-23</v>
      </c>
      <c r="E1448">
        <v>-53</v>
      </c>
      <c r="F1448">
        <v>-25</v>
      </c>
      <c r="G1448">
        <v>73</v>
      </c>
      <c r="H1448">
        <v>6.2</v>
      </c>
      <c r="I1448">
        <v>4</v>
      </c>
      <c r="J1448">
        <v>4.22</v>
      </c>
      <c r="K1448" s="245">
        <v>-24.09</v>
      </c>
      <c r="L1448" s="245">
        <v>48.45</v>
      </c>
      <c r="M1448" s="245">
        <v>0.85</v>
      </c>
    </row>
    <row r="1449" spans="1:13">
      <c r="A1449">
        <v>6570</v>
      </c>
      <c r="B1449" t="s">
        <v>5913</v>
      </c>
      <c r="C1449">
        <v>3</v>
      </c>
      <c r="D1449">
        <v>214</v>
      </c>
      <c r="E1449">
        <v>189</v>
      </c>
      <c r="F1449">
        <v>-4</v>
      </c>
      <c r="G1449">
        <v>4</v>
      </c>
      <c r="H1449">
        <v>13.89</v>
      </c>
      <c r="I1449">
        <v>3</v>
      </c>
      <c r="J1449">
        <v>3.58</v>
      </c>
      <c r="K1449" s="245">
        <v>-14.6</v>
      </c>
      <c r="L1449" s="245">
        <v>24.87</v>
      </c>
      <c r="M1449" s="245">
        <v>3.25</v>
      </c>
    </row>
    <row r="1450" spans="1:13">
      <c r="A1450">
        <v>6573</v>
      </c>
      <c r="B1450" t="s">
        <v>5914</v>
      </c>
      <c r="C1450">
        <v>8.0399999999999991</v>
      </c>
      <c r="D1450">
        <v>23</v>
      </c>
      <c r="E1450">
        <v>37</v>
      </c>
      <c r="F1450">
        <v>58</v>
      </c>
      <c r="G1450">
        <v>-36</v>
      </c>
      <c r="H1450">
        <v>-5.52</v>
      </c>
      <c r="I1450">
        <v>0</v>
      </c>
      <c r="J1450">
        <v>-1.93</v>
      </c>
      <c r="K1450" s="245">
        <v>-54.86</v>
      </c>
      <c r="L1450" s="245">
        <v>13.74</v>
      </c>
      <c r="M1450" s="245">
        <v>34.03</v>
      </c>
    </row>
    <row r="1451" spans="1:13">
      <c r="A1451">
        <v>6574</v>
      </c>
      <c r="B1451" t="s">
        <v>624</v>
      </c>
      <c r="C1451">
        <v>2.19</v>
      </c>
      <c r="D1451">
        <v>-68</v>
      </c>
      <c r="E1451">
        <v>-107</v>
      </c>
      <c r="F1451">
        <v>22</v>
      </c>
      <c r="G1451">
        <v>6</v>
      </c>
      <c r="H1451">
        <v>-0.71</v>
      </c>
      <c r="I1451">
        <v>1.1399999999999999</v>
      </c>
      <c r="J1451">
        <v>0.63</v>
      </c>
      <c r="K1451" s="245">
        <v>-15.77</v>
      </c>
      <c r="L1451" s="245">
        <v>53.39</v>
      </c>
      <c r="M1451" s="245">
        <v>0.93</v>
      </c>
    </row>
    <row r="1452" spans="1:13">
      <c r="A1452">
        <v>6576</v>
      </c>
      <c r="B1452" t="s">
        <v>6637</v>
      </c>
      <c r="C1452">
        <v>11.8</v>
      </c>
      <c r="D1452">
        <v>-11</v>
      </c>
      <c r="E1452">
        <v>-11</v>
      </c>
      <c r="F1452">
        <v>143</v>
      </c>
      <c r="G1452">
        <v>176333</v>
      </c>
      <c r="H1452">
        <v>-238.3</v>
      </c>
      <c r="I1452">
        <v>0</v>
      </c>
      <c r="J1452">
        <v>-4.8499999999999996</v>
      </c>
      <c r="K1452" s="245">
        <v>-15.25</v>
      </c>
      <c r="L1452" s="245">
        <v>29.38</v>
      </c>
      <c r="M1452" s="245">
        <v>7.42</v>
      </c>
    </row>
    <row r="1453" spans="1:13">
      <c r="A1453">
        <v>6577</v>
      </c>
      <c r="B1453" t="s">
        <v>6352</v>
      </c>
      <c r="C1453">
        <v>3.82</v>
      </c>
      <c r="D1453">
        <v>-20</v>
      </c>
      <c r="E1453">
        <v>-24</v>
      </c>
      <c r="F1453">
        <v>-17</v>
      </c>
      <c r="G1453">
        <v>22</v>
      </c>
      <c r="H1453">
        <v>11.52</v>
      </c>
      <c r="I1453">
        <v>3.85</v>
      </c>
      <c r="J1453">
        <v>4.24</v>
      </c>
      <c r="K1453" s="245">
        <v>-12.34</v>
      </c>
      <c r="L1453" s="245">
        <v>38.76</v>
      </c>
      <c r="M1453" s="245">
        <v>2.2000000000000002</v>
      </c>
    </row>
    <row r="1454" spans="1:13">
      <c r="A1454">
        <v>6578</v>
      </c>
      <c r="B1454" t="s">
        <v>5915</v>
      </c>
      <c r="C1454">
        <v>3.93</v>
      </c>
      <c r="D1454">
        <v>-968</v>
      </c>
      <c r="E1454">
        <v>-514</v>
      </c>
      <c r="F1454">
        <v>103</v>
      </c>
      <c r="G1454">
        <v>23</v>
      </c>
      <c r="H1454">
        <v>-13.55</v>
      </c>
      <c r="I1454">
        <v>0</v>
      </c>
      <c r="J1454">
        <v>-1.92</v>
      </c>
      <c r="K1454" s="245">
        <v>-12.31</v>
      </c>
      <c r="L1454" s="245">
        <v>60.51</v>
      </c>
      <c r="M1454" s="245">
        <v>33.479999999999997</v>
      </c>
    </row>
    <row r="1455" spans="1:13">
      <c r="A1455">
        <v>6579</v>
      </c>
      <c r="B1455" t="s">
        <v>5916</v>
      </c>
      <c r="C1455">
        <v>14.86</v>
      </c>
      <c r="D1455">
        <v>10</v>
      </c>
      <c r="E1455">
        <v>-11</v>
      </c>
      <c r="F1455">
        <v>-30</v>
      </c>
      <c r="G1455">
        <v>45</v>
      </c>
      <c r="H1455">
        <v>8.64</v>
      </c>
      <c r="I1455">
        <v>3.1</v>
      </c>
      <c r="J1455">
        <v>4.22</v>
      </c>
      <c r="K1455" s="245">
        <v>-14.33</v>
      </c>
      <c r="L1455" s="245">
        <v>62.75</v>
      </c>
      <c r="M1455" s="245">
        <v>0.35</v>
      </c>
    </row>
    <row r="1456" spans="1:13">
      <c r="A1456">
        <v>6581</v>
      </c>
      <c r="B1456" t="s">
        <v>5917</v>
      </c>
      <c r="C1456">
        <v>11.12</v>
      </c>
      <c r="D1456">
        <v>38</v>
      </c>
      <c r="E1456">
        <v>37</v>
      </c>
      <c r="F1456">
        <v>79</v>
      </c>
      <c r="G1456">
        <v>69</v>
      </c>
      <c r="H1456">
        <v>39.31</v>
      </c>
      <c r="I1456">
        <v>4</v>
      </c>
      <c r="J1456">
        <v>5.08</v>
      </c>
      <c r="K1456" s="245">
        <v>-22.43</v>
      </c>
      <c r="L1456" s="245">
        <v>44.5</v>
      </c>
      <c r="M1456" s="245">
        <v>3.56</v>
      </c>
    </row>
    <row r="1457" spans="1:13">
      <c r="A1457">
        <v>6582</v>
      </c>
      <c r="B1457" t="s">
        <v>5918</v>
      </c>
      <c r="C1457">
        <v>10.61</v>
      </c>
      <c r="D1457">
        <v>95</v>
      </c>
      <c r="E1457">
        <v>98</v>
      </c>
      <c r="F1457">
        <v>-42</v>
      </c>
      <c r="G1457">
        <v>-84</v>
      </c>
      <c r="H1457">
        <v>53.5</v>
      </c>
      <c r="I1457">
        <v>15</v>
      </c>
      <c r="J1457">
        <v>32.74</v>
      </c>
      <c r="K1457" s="245">
        <v>-70.150000000000006</v>
      </c>
      <c r="L1457" s="245">
        <v>6.83</v>
      </c>
      <c r="M1457" s="245">
        <v>7.14</v>
      </c>
    </row>
    <row r="1458" spans="1:13">
      <c r="A1458">
        <v>6588</v>
      </c>
      <c r="B1458" t="s">
        <v>6638</v>
      </c>
      <c r="C1458">
        <v>2.67</v>
      </c>
      <c r="D1458">
        <v>-76</v>
      </c>
      <c r="E1458">
        <v>-79</v>
      </c>
      <c r="F1458">
        <v>-8</v>
      </c>
      <c r="G1458">
        <v>28</v>
      </c>
      <c r="H1458">
        <v>8.11</v>
      </c>
      <c r="I1458">
        <v>0.75</v>
      </c>
      <c r="J1458">
        <v>0.48</v>
      </c>
      <c r="K1458" s="245">
        <v>-32.14</v>
      </c>
      <c r="L1458" s="245">
        <v>25.75</v>
      </c>
      <c r="M1458" s="245">
        <v>1.28</v>
      </c>
    </row>
    <row r="1459" spans="1:13">
      <c r="A1459">
        <v>6589</v>
      </c>
      <c r="B1459" t="s">
        <v>6639</v>
      </c>
      <c r="C1459">
        <v>30.38</v>
      </c>
      <c r="D1459">
        <v>95</v>
      </c>
      <c r="E1459">
        <v>94</v>
      </c>
      <c r="F1459">
        <v>46</v>
      </c>
      <c r="G1459">
        <v>-5</v>
      </c>
      <c r="H1459">
        <v>-3.44</v>
      </c>
      <c r="I1459">
        <v>0</v>
      </c>
      <c r="J1459">
        <v>-0.18</v>
      </c>
      <c r="K1459" s="245">
        <v>-60.97</v>
      </c>
      <c r="L1459" s="245">
        <v>7.8</v>
      </c>
      <c r="M1459" s="245">
        <v>6.78</v>
      </c>
    </row>
    <row r="1460" spans="1:13">
      <c r="A1460">
        <v>6590</v>
      </c>
      <c r="B1460" t="s">
        <v>6640</v>
      </c>
      <c r="C1460">
        <v>1.82</v>
      </c>
      <c r="D1460">
        <v>25</v>
      </c>
      <c r="E1460">
        <v>-6</v>
      </c>
      <c r="F1460">
        <v>-13</v>
      </c>
      <c r="G1460">
        <v>2</v>
      </c>
      <c r="H1460">
        <v>19.05</v>
      </c>
      <c r="I1460">
        <v>3.8</v>
      </c>
      <c r="J1460">
        <v>4.6399999999999997</v>
      </c>
      <c r="K1460" s="245">
        <v>-16</v>
      </c>
      <c r="L1460" s="245">
        <v>9.8699999999999992</v>
      </c>
      <c r="M1460" s="245">
        <v>0.86</v>
      </c>
    </row>
    <row r="1461" spans="1:13">
      <c r="A1461">
        <v>6591</v>
      </c>
      <c r="B1461" t="s">
        <v>5919</v>
      </c>
      <c r="C1461">
        <v>3.2</v>
      </c>
      <c r="D1461">
        <v>33</v>
      </c>
      <c r="E1461">
        <v>11</v>
      </c>
      <c r="F1461">
        <v>-54</v>
      </c>
      <c r="G1461">
        <v>-31</v>
      </c>
      <c r="H1461">
        <v>18.12</v>
      </c>
      <c r="I1461">
        <v>4</v>
      </c>
      <c r="J1461">
        <v>6.83</v>
      </c>
      <c r="K1461" s="245">
        <v>-15.74</v>
      </c>
      <c r="L1461" s="245">
        <v>62.9</v>
      </c>
      <c r="M1461" s="245">
        <v>7.18</v>
      </c>
    </row>
    <row r="1462" spans="1:13">
      <c r="A1462">
        <v>6592</v>
      </c>
      <c r="B1462" t="s">
        <v>5920</v>
      </c>
      <c r="C1462">
        <v>51.5</v>
      </c>
      <c r="D1462">
        <v>26</v>
      </c>
      <c r="E1462">
        <v>34</v>
      </c>
      <c r="F1462">
        <v>-1</v>
      </c>
      <c r="G1462">
        <v>24</v>
      </c>
      <c r="H1462">
        <v>24.07</v>
      </c>
      <c r="I1462">
        <v>4.2</v>
      </c>
      <c r="J1462">
        <v>6.1</v>
      </c>
      <c r="K1462" s="245">
        <v>-21.62</v>
      </c>
      <c r="L1462" s="245">
        <v>17.64</v>
      </c>
      <c r="M1462" s="245">
        <v>1.1200000000000001</v>
      </c>
    </row>
    <row r="1463" spans="1:13">
      <c r="A1463">
        <v>6593</v>
      </c>
      <c r="B1463" t="s">
        <v>6641</v>
      </c>
      <c r="C1463">
        <v>2.0299999999999998</v>
      </c>
      <c r="D1463">
        <v>464</v>
      </c>
      <c r="E1463">
        <v>688</v>
      </c>
      <c r="F1463">
        <v>22</v>
      </c>
      <c r="G1463">
        <v>-15</v>
      </c>
      <c r="H1463">
        <v>4.18</v>
      </c>
      <c r="I1463">
        <v>0.7</v>
      </c>
      <c r="J1463">
        <v>0.84</v>
      </c>
      <c r="K1463" s="245">
        <v>-32.99</v>
      </c>
      <c r="L1463" s="245">
        <v>22.53</v>
      </c>
      <c r="M1463" s="245">
        <v>4.1399999999999997</v>
      </c>
    </row>
    <row r="1464" spans="1:13">
      <c r="A1464">
        <v>6594</v>
      </c>
      <c r="B1464" t="s">
        <v>6197</v>
      </c>
      <c r="C1464">
        <v>3.01</v>
      </c>
      <c r="D1464">
        <v>-24</v>
      </c>
      <c r="E1464">
        <v>-27</v>
      </c>
      <c r="F1464">
        <v>-4</v>
      </c>
      <c r="G1464">
        <v>32</v>
      </c>
      <c r="H1464">
        <v>5.79</v>
      </c>
      <c r="I1464">
        <v>1</v>
      </c>
      <c r="J1464">
        <v>1.08</v>
      </c>
      <c r="K1464" s="245">
        <v>-40.1</v>
      </c>
      <c r="L1464" s="245">
        <v>25.53</v>
      </c>
      <c r="M1464" s="245">
        <v>4.8600000000000003</v>
      </c>
    </row>
    <row r="1465" spans="1:13">
      <c r="A1465">
        <v>6596</v>
      </c>
      <c r="B1465" t="s">
        <v>6256</v>
      </c>
      <c r="C1465">
        <v>3</v>
      </c>
      <c r="D1465">
        <v>-198</v>
      </c>
      <c r="E1465">
        <v>-165</v>
      </c>
      <c r="F1465">
        <v>-47</v>
      </c>
      <c r="G1465">
        <v>610</v>
      </c>
      <c r="H1465">
        <v>-36.14</v>
      </c>
      <c r="I1465">
        <v>0</v>
      </c>
      <c r="J1465">
        <v>-2.86</v>
      </c>
      <c r="K1465" s="245">
        <v>-13.6</v>
      </c>
      <c r="L1465" s="245">
        <v>17.02</v>
      </c>
      <c r="M1465" s="245">
        <v>1.86</v>
      </c>
    </row>
    <row r="1466" spans="1:13">
      <c r="A1466">
        <v>6598</v>
      </c>
      <c r="B1466" t="s">
        <v>5921</v>
      </c>
      <c r="C1466">
        <v>8.17</v>
      </c>
      <c r="D1466">
        <v>-59</v>
      </c>
      <c r="E1466">
        <v>-23</v>
      </c>
      <c r="F1466">
        <v>146</v>
      </c>
      <c r="G1466">
        <v>-35</v>
      </c>
      <c r="H1466">
        <v>-51.55</v>
      </c>
      <c r="I1466">
        <v>0</v>
      </c>
      <c r="J1466">
        <v>-2.02</v>
      </c>
      <c r="K1466" s="245">
        <v>-35.75</v>
      </c>
      <c r="L1466" s="245">
        <v>41.98</v>
      </c>
      <c r="M1466" s="245">
        <v>54.09</v>
      </c>
    </row>
    <row r="1467" spans="1:13">
      <c r="A1467">
        <v>6603</v>
      </c>
      <c r="B1467" t="s">
        <v>5922</v>
      </c>
      <c r="C1467">
        <v>14.94</v>
      </c>
      <c r="D1467">
        <v>1453</v>
      </c>
      <c r="E1467">
        <v>1087</v>
      </c>
      <c r="F1467">
        <v>4</v>
      </c>
      <c r="G1467">
        <v>22</v>
      </c>
      <c r="H1467">
        <v>4.72</v>
      </c>
      <c r="I1467">
        <v>0.5</v>
      </c>
      <c r="J1467">
        <v>0.8</v>
      </c>
      <c r="K1467" s="245">
        <v>-16.510000000000002</v>
      </c>
      <c r="L1467" s="245">
        <v>53.31</v>
      </c>
      <c r="M1467" s="245">
        <v>14.4</v>
      </c>
    </row>
    <row r="1468" spans="1:13">
      <c r="A1468">
        <v>6605</v>
      </c>
      <c r="B1468" t="s">
        <v>5923</v>
      </c>
      <c r="C1468">
        <v>16.579999999999998</v>
      </c>
      <c r="D1468">
        <v>105</v>
      </c>
      <c r="E1468">
        <v>68</v>
      </c>
      <c r="F1468">
        <v>31</v>
      </c>
      <c r="G1468">
        <v>-4</v>
      </c>
      <c r="H1468">
        <v>10.7</v>
      </c>
      <c r="I1468">
        <v>3</v>
      </c>
      <c r="J1468">
        <v>6.85</v>
      </c>
      <c r="K1468" s="245">
        <v>-10</v>
      </c>
      <c r="L1468" s="245">
        <v>57.16</v>
      </c>
      <c r="M1468" s="245">
        <v>0.97</v>
      </c>
    </row>
    <row r="1469" spans="1:13">
      <c r="A1469">
        <v>6609</v>
      </c>
      <c r="B1469" t="s">
        <v>5924</v>
      </c>
      <c r="C1469">
        <v>7.24</v>
      </c>
      <c r="D1469">
        <v>845</v>
      </c>
      <c r="E1469">
        <v>119</v>
      </c>
      <c r="F1469">
        <v>27</v>
      </c>
      <c r="G1469">
        <v>60</v>
      </c>
      <c r="H1469">
        <v>6.52</v>
      </c>
      <c r="I1469">
        <v>1.5</v>
      </c>
      <c r="J1469">
        <v>2.5099999999999998</v>
      </c>
      <c r="K1469" s="245">
        <v>-13.62</v>
      </c>
      <c r="L1469" s="245">
        <v>70.319999999999993</v>
      </c>
      <c r="M1469" s="245">
        <v>1.4</v>
      </c>
    </row>
    <row r="1470" spans="1:13">
      <c r="A1470">
        <v>6612</v>
      </c>
      <c r="B1470" t="s">
        <v>5925</v>
      </c>
      <c r="C1470">
        <v>3.39</v>
      </c>
      <c r="D1470">
        <v>1</v>
      </c>
      <c r="E1470">
        <v>11</v>
      </c>
      <c r="F1470">
        <v>-15</v>
      </c>
      <c r="G1470">
        <v>15</v>
      </c>
      <c r="H1470">
        <v>22.3</v>
      </c>
      <c r="I1470">
        <v>0.5</v>
      </c>
      <c r="J1470">
        <v>1.74</v>
      </c>
      <c r="K1470" s="245">
        <v>-25.34</v>
      </c>
      <c r="L1470" s="245">
        <v>31.87</v>
      </c>
      <c r="M1470" s="245">
        <v>6.24</v>
      </c>
    </row>
    <row r="1471" spans="1:13">
      <c r="A1471">
        <v>6613</v>
      </c>
      <c r="B1471" t="s">
        <v>5926</v>
      </c>
      <c r="C1471">
        <v>3.39</v>
      </c>
      <c r="D1471">
        <v>53</v>
      </c>
      <c r="E1471">
        <v>42</v>
      </c>
      <c r="F1471">
        <v>-39</v>
      </c>
      <c r="G1471">
        <v>0</v>
      </c>
      <c r="H1471">
        <v>13.49</v>
      </c>
      <c r="I1471">
        <v>12</v>
      </c>
      <c r="J1471">
        <v>16.75</v>
      </c>
      <c r="K1471" s="245">
        <v>-6.67</v>
      </c>
      <c r="L1471" s="245">
        <v>54.5</v>
      </c>
      <c r="M1471" s="245">
        <v>1.66</v>
      </c>
    </row>
    <row r="1472" spans="1:13">
      <c r="A1472">
        <v>6615</v>
      </c>
      <c r="B1472" t="s">
        <v>6642</v>
      </c>
      <c r="C1472">
        <v>2.13</v>
      </c>
      <c r="D1472">
        <v>65</v>
      </c>
      <c r="E1472">
        <v>68</v>
      </c>
      <c r="F1472">
        <v>33</v>
      </c>
      <c r="G1472">
        <v>2</v>
      </c>
      <c r="H1472">
        <v>6.93</v>
      </c>
      <c r="I1472">
        <v>2</v>
      </c>
      <c r="J1472">
        <v>2.68</v>
      </c>
      <c r="K1472" s="245">
        <v>-16.309999999999999</v>
      </c>
      <c r="L1472" s="245">
        <v>46.55</v>
      </c>
      <c r="M1472" s="245">
        <v>1.51</v>
      </c>
    </row>
    <row r="1473" spans="1:13">
      <c r="A1473">
        <v>6616</v>
      </c>
      <c r="B1473" t="s">
        <v>6643</v>
      </c>
      <c r="C1473">
        <v>2.86</v>
      </c>
      <c r="D1473">
        <v>-163</v>
      </c>
      <c r="E1473">
        <v>-78</v>
      </c>
      <c r="F1473">
        <v>29</v>
      </c>
      <c r="G1473">
        <v>14</v>
      </c>
      <c r="H1473">
        <v>2.38</v>
      </c>
      <c r="I1473">
        <v>0</v>
      </c>
      <c r="J1473">
        <v>-1.08</v>
      </c>
      <c r="K1473" s="245">
        <v>-17.41</v>
      </c>
      <c r="L1473" s="245">
        <v>74.819999999999993</v>
      </c>
      <c r="M1473" s="245">
        <v>3.94</v>
      </c>
    </row>
    <row r="1474" spans="1:13">
      <c r="A1474">
        <v>6624</v>
      </c>
      <c r="B1474" t="s">
        <v>6644</v>
      </c>
      <c r="C1474">
        <v>1.8</v>
      </c>
      <c r="D1474">
        <v>104</v>
      </c>
      <c r="E1474">
        <v>176</v>
      </c>
      <c r="F1474">
        <v>3</v>
      </c>
      <c r="G1474">
        <v>-52</v>
      </c>
      <c r="H1474">
        <v>2.57</v>
      </c>
      <c r="I1474">
        <v>0</v>
      </c>
      <c r="J1474">
        <v>0.04</v>
      </c>
      <c r="K1474" s="245">
        <v>-4.88</v>
      </c>
      <c r="L1474" s="245">
        <v>49.06</v>
      </c>
      <c r="M1474" s="245">
        <v>1.31</v>
      </c>
    </row>
    <row r="1475" spans="1:13">
      <c r="A1475">
        <v>6625</v>
      </c>
      <c r="B1475" t="s">
        <v>5927</v>
      </c>
      <c r="C1475">
        <v>4.43</v>
      </c>
      <c r="D1475">
        <v>29</v>
      </c>
      <c r="E1475">
        <v>44</v>
      </c>
      <c r="F1475">
        <v>-27</v>
      </c>
      <c r="G1475">
        <v>-52</v>
      </c>
      <c r="H1475">
        <v>-9.7899999999999991</v>
      </c>
      <c r="I1475">
        <v>0</v>
      </c>
      <c r="J1475">
        <v>-2</v>
      </c>
      <c r="K1475" s="245">
        <v>-25.63</v>
      </c>
      <c r="L1475" s="245">
        <v>11.83</v>
      </c>
      <c r="M1475" s="245">
        <v>2.97</v>
      </c>
    </row>
    <row r="1476" spans="1:13">
      <c r="A1476">
        <v>6629</v>
      </c>
      <c r="B1476" t="s">
        <v>6645</v>
      </c>
      <c r="C1476">
        <v>3.57</v>
      </c>
      <c r="D1476">
        <v>3</v>
      </c>
      <c r="E1476">
        <v>17</v>
      </c>
      <c r="F1476">
        <v>-2</v>
      </c>
      <c r="G1476">
        <v>0</v>
      </c>
      <c r="H1476">
        <v>20.94</v>
      </c>
      <c r="I1476">
        <v>3.2</v>
      </c>
      <c r="J1476">
        <v>6.51</v>
      </c>
      <c r="K1476" s="245">
        <v>-14.85</v>
      </c>
      <c r="L1476" s="245">
        <v>45.55</v>
      </c>
      <c r="M1476" s="245">
        <v>0.67</v>
      </c>
    </row>
    <row r="1477" spans="1:13">
      <c r="A1477">
        <v>6640</v>
      </c>
      <c r="B1477" t="s">
        <v>6646</v>
      </c>
      <c r="C1477">
        <v>2.82</v>
      </c>
      <c r="D1477">
        <v>344</v>
      </c>
      <c r="E1477">
        <v>1121</v>
      </c>
      <c r="F1477">
        <v>57</v>
      </c>
      <c r="G1477">
        <v>41</v>
      </c>
      <c r="H1477">
        <v>10.86</v>
      </c>
      <c r="I1477">
        <v>5</v>
      </c>
      <c r="J1477">
        <v>5.84</v>
      </c>
      <c r="K1477" s="245">
        <v>-47.57</v>
      </c>
      <c r="L1477" s="245">
        <v>51.37</v>
      </c>
      <c r="M1477" s="245">
        <v>3.27</v>
      </c>
    </row>
    <row r="1478" spans="1:13">
      <c r="A1478">
        <v>6641</v>
      </c>
      <c r="B1478" t="s">
        <v>5928</v>
      </c>
      <c r="C1478">
        <v>3.7</v>
      </c>
      <c r="D1478">
        <v>-1</v>
      </c>
      <c r="E1478">
        <v>-22</v>
      </c>
      <c r="F1478">
        <v>-8</v>
      </c>
      <c r="G1478">
        <v>-28</v>
      </c>
      <c r="H1478">
        <v>10.37</v>
      </c>
      <c r="I1478">
        <v>4.5</v>
      </c>
      <c r="J1478">
        <v>6.3</v>
      </c>
      <c r="K1478" s="245">
        <v>-11.13</v>
      </c>
      <c r="L1478" s="245">
        <v>30.37</v>
      </c>
      <c r="M1478" s="245">
        <v>0.97</v>
      </c>
    </row>
    <row r="1479" spans="1:13">
      <c r="A1479">
        <v>6642</v>
      </c>
      <c r="B1479" t="s">
        <v>6300</v>
      </c>
      <c r="C1479">
        <v>3.73</v>
      </c>
      <c r="D1479">
        <v>89</v>
      </c>
      <c r="E1479">
        <v>87</v>
      </c>
      <c r="F1479">
        <v>-17</v>
      </c>
      <c r="G1479">
        <v>-8</v>
      </c>
      <c r="H1479">
        <v>32.17</v>
      </c>
      <c r="I1479">
        <v>3.6</v>
      </c>
      <c r="J1479">
        <v>4.6500000000000004</v>
      </c>
      <c r="K1479" s="245">
        <v>-43.89</v>
      </c>
      <c r="L1479" s="245">
        <v>17.57</v>
      </c>
      <c r="M1479" s="245">
        <v>7.5</v>
      </c>
    </row>
    <row r="1480" spans="1:13">
      <c r="A1480">
        <v>6643</v>
      </c>
      <c r="B1480" t="s">
        <v>5929</v>
      </c>
      <c r="C1480">
        <v>3.16</v>
      </c>
      <c r="D1480">
        <v>-21</v>
      </c>
      <c r="E1480">
        <v>-25</v>
      </c>
      <c r="F1480">
        <v>10</v>
      </c>
      <c r="G1480">
        <v>34</v>
      </c>
      <c r="H1480">
        <v>30.92</v>
      </c>
      <c r="I1480">
        <v>6.3</v>
      </c>
      <c r="J1480">
        <v>8.1199999999999992</v>
      </c>
      <c r="K1480" s="245">
        <v>-44.88</v>
      </c>
      <c r="L1480" s="245">
        <v>17.690000000000001</v>
      </c>
      <c r="M1480" s="245">
        <v>15.43</v>
      </c>
    </row>
    <row r="1481" spans="1:13">
      <c r="A1481">
        <v>6649</v>
      </c>
      <c r="B1481" t="s">
        <v>6647</v>
      </c>
      <c r="C1481">
        <v>4.2</v>
      </c>
      <c r="D1481">
        <v>14</v>
      </c>
      <c r="E1481">
        <v>12</v>
      </c>
      <c r="F1481">
        <v>-20</v>
      </c>
      <c r="G1481">
        <v>106</v>
      </c>
      <c r="H1481">
        <v>-136.1</v>
      </c>
      <c r="I1481">
        <v>0</v>
      </c>
      <c r="J1481">
        <v>-1.44</v>
      </c>
      <c r="K1481" s="245">
        <v>-22.92</v>
      </c>
      <c r="L1481" s="245">
        <v>38.92</v>
      </c>
      <c r="M1481" s="245">
        <v>0.69</v>
      </c>
    </row>
    <row r="1482" spans="1:13">
      <c r="A1482">
        <v>6651</v>
      </c>
      <c r="B1482" t="s">
        <v>5930</v>
      </c>
      <c r="C1482">
        <v>3.29</v>
      </c>
      <c r="D1482">
        <v>112</v>
      </c>
      <c r="E1482">
        <v>94</v>
      </c>
      <c r="F1482">
        <v>-14</v>
      </c>
      <c r="G1482">
        <v>0</v>
      </c>
      <c r="H1482">
        <v>19.71</v>
      </c>
      <c r="I1482">
        <v>4.5</v>
      </c>
      <c r="J1482">
        <v>7.77</v>
      </c>
      <c r="K1482" s="245">
        <v>-43.73</v>
      </c>
      <c r="L1482" s="245">
        <v>27.4</v>
      </c>
      <c r="M1482" s="245">
        <v>18.14</v>
      </c>
    </row>
    <row r="1483" spans="1:13">
      <c r="A1483">
        <v>6654</v>
      </c>
      <c r="B1483" t="s">
        <v>5931</v>
      </c>
      <c r="C1483">
        <v>3.32</v>
      </c>
      <c r="D1483">
        <v>239</v>
      </c>
      <c r="E1483">
        <v>284</v>
      </c>
      <c r="F1483">
        <v>36</v>
      </c>
      <c r="G1483">
        <v>-40</v>
      </c>
      <c r="H1483">
        <v>25.2</v>
      </c>
      <c r="I1483">
        <v>4.5</v>
      </c>
      <c r="J1483">
        <v>6.26</v>
      </c>
      <c r="K1483" s="245">
        <v>-47.26</v>
      </c>
      <c r="L1483" s="245">
        <v>5.73</v>
      </c>
      <c r="M1483" s="245">
        <v>6.08</v>
      </c>
    </row>
    <row r="1484" spans="1:13">
      <c r="A1484">
        <v>6655</v>
      </c>
      <c r="B1484" t="s">
        <v>5932</v>
      </c>
      <c r="C1484">
        <v>7.4</v>
      </c>
      <c r="D1484">
        <v>82</v>
      </c>
      <c r="E1484">
        <v>52</v>
      </c>
      <c r="F1484">
        <v>87</v>
      </c>
      <c r="G1484">
        <v>3</v>
      </c>
      <c r="H1484">
        <v>24.99</v>
      </c>
      <c r="I1484">
        <v>12</v>
      </c>
      <c r="J1484">
        <v>7.68</v>
      </c>
      <c r="K1484" s="245">
        <v>-11.65</v>
      </c>
      <c r="L1484" s="245">
        <v>70.040000000000006</v>
      </c>
      <c r="M1484" s="245">
        <v>0.66</v>
      </c>
    </row>
    <row r="1485" spans="1:13">
      <c r="A1485">
        <v>6661</v>
      </c>
      <c r="B1485" t="s">
        <v>6648</v>
      </c>
      <c r="C1485">
        <v>2.33</v>
      </c>
      <c r="D1485">
        <v>-53</v>
      </c>
      <c r="E1485">
        <v>-59</v>
      </c>
      <c r="F1485">
        <v>26</v>
      </c>
      <c r="G1485">
        <v>60</v>
      </c>
      <c r="H1485">
        <v>4.6399999999999997</v>
      </c>
      <c r="I1485">
        <v>0.48</v>
      </c>
      <c r="J1485">
        <v>0.59</v>
      </c>
      <c r="K1485" s="245">
        <v>-21.38</v>
      </c>
      <c r="L1485" s="245">
        <v>54.81</v>
      </c>
      <c r="M1485" s="245">
        <v>0.42</v>
      </c>
    </row>
    <row r="1486" spans="1:13">
      <c r="A1486">
        <v>6662</v>
      </c>
      <c r="B1486" t="s">
        <v>6649</v>
      </c>
      <c r="C1486">
        <v>2.56</v>
      </c>
      <c r="D1486">
        <v>-28</v>
      </c>
      <c r="E1486">
        <v>-30</v>
      </c>
      <c r="F1486">
        <v>-28</v>
      </c>
      <c r="G1486">
        <v>-37</v>
      </c>
      <c r="H1486">
        <v>23.68</v>
      </c>
      <c r="I1486">
        <v>1.6</v>
      </c>
      <c r="J1486">
        <v>1.76</v>
      </c>
      <c r="K1486" s="245">
        <v>-19.010000000000002</v>
      </c>
      <c r="L1486" s="245">
        <v>27.77</v>
      </c>
      <c r="M1486" s="245">
        <v>2.65</v>
      </c>
    </row>
    <row r="1487" spans="1:13">
      <c r="A1487">
        <v>6664</v>
      </c>
      <c r="B1487" t="s">
        <v>5933</v>
      </c>
      <c r="C1487">
        <v>5.5</v>
      </c>
      <c r="D1487">
        <v>8</v>
      </c>
      <c r="E1487">
        <v>8</v>
      </c>
      <c r="F1487">
        <v>52</v>
      </c>
      <c r="G1487">
        <v>28</v>
      </c>
      <c r="H1487">
        <v>24.56</v>
      </c>
      <c r="I1487">
        <v>4.9000000000000004</v>
      </c>
      <c r="J1487">
        <v>6.12</v>
      </c>
      <c r="K1487" s="245">
        <v>-10.32</v>
      </c>
      <c r="L1487" s="245">
        <v>38.99</v>
      </c>
      <c r="M1487" s="245">
        <v>1.91</v>
      </c>
    </row>
    <row r="1488" spans="1:13">
      <c r="A1488">
        <v>6666</v>
      </c>
      <c r="B1488" t="s">
        <v>5934</v>
      </c>
      <c r="C1488">
        <v>4.7300000000000004</v>
      </c>
      <c r="D1488">
        <v>-33</v>
      </c>
      <c r="E1488">
        <v>-10</v>
      </c>
      <c r="F1488">
        <v>68</v>
      </c>
      <c r="G1488">
        <v>-12</v>
      </c>
      <c r="H1488">
        <v>5.8</v>
      </c>
      <c r="I1488">
        <v>1.5</v>
      </c>
      <c r="J1488">
        <v>1.48</v>
      </c>
      <c r="K1488" s="245">
        <v>-34.86</v>
      </c>
      <c r="L1488" s="245">
        <v>14.73</v>
      </c>
      <c r="M1488" s="245">
        <v>0.24</v>
      </c>
    </row>
    <row r="1489" spans="1:13">
      <c r="A1489">
        <v>6667</v>
      </c>
      <c r="B1489" t="s">
        <v>5935</v>
      </c>
      <c r="C1489">
        <v>3.97</v>
      </c>
      <c r="D1489">
        <v>76</v>
      </c>
      <c r="E1489">
        <v>197</v>
      </c>
      <c r="F1489">
        <v>29</v>
      </c>
      <c r="G1489">
        <v>36</v>
      </c>
      <c r="H1489">
        <v>8.65</v>
      </c>
      <c r="I1489">
        <v>2.94</v>
      </c>
      <c r="J1489">
        <v>3.27</v>
      </c>
      <c r="K1489" s="245">
        <v>-23.5</v>
      </c>
      <c r="L1489" s="245">
        <v>18.940000000000001</v>
      </c>
      <c r="M1489" s="245">
        <v>27.8</v>
      </c>
    </row>
    <row r="1490" spans="1:13">
      <c r="A1490">
        <v>6668</v>
      </c>
      <c r="B1490" t="s">
        <v>5936</v>
      </c>
      <c r="C1490">
        <v>7.82</v>
      </c>
      <c r="D1490">
        <v>-341</v>
      </c>
      <c r="E1490">
        <v>-214</v>
      </c>
      <c r="F1490">
        <v>51</v>
      </c>
      <c r="G1490">
        <v>-27</v>
      </c>
      <c r="H1490">
        <v>-18.920000000000002</v>
      </c>
      <c r="I1490">
        <v>0</v>
      </c>
      <c r="J1490">
        <v>-4.0199999999999996</v>
      </c>
      <c r="K1490" s="245">
        <v>-54.17</v>
      </c>
      <c r="L1490" s="245">
        <v>8.16</v>
      </c>
      <c r="M1490" s="245">
        <v>8.9</v>
      </c>
    </row>
    <row r="1491" spans="1:13">
      <c r="A1491">
        <v>6669</v>
      </c>
      <c r="B1491" t="s">
        <v>5937</v>
      </c>
      <c r="C1491">
        <v>17.48</v>
      </c>
      <c r="D1491">
        <v>0</v>
      </c>
      <c r="E1491">
        <v>1</v>
      </c>
      <c r="F1491">
        <v>-17</v>
      </c>
      <c r="G1491">
        <v>19</v>
      </c>
      <c r="H1491">
        <v>5.91</v>
      </c>
      <c r="I1491">
        <v>25</v>
      </c>
      <c r="J1491">
        <v>49.46</v>
      </c>
      <c r="K1491" s="245">
        <v>-16.260000000000002</v>
      </c>
      <c r="L1491" s="245">
        <v>56.58</v>
      </c>
      <c r="M1491" s="245">
        <v>5.16</v>
      </c>
    </row>
    <row r="1492" spans="1:13">
      <c r="A1492">
        <v>6670</v>
      </c>
      <c r="B1492" t="s">
        <v>5938</v>
      </c>
      <c r="C1492">
        <v>13.1</v>
      </c>
      <c r="D1492">
        <v>108</v>
      </c>
      <c r="E1492">
        <v>91</v>
      </c>
      <c r="F1492">
        <v>-3</v>
      </c>
      <c r="G1492">
        <v>38</v>
      </c>
      <c r="H1492">
        <v>13.53</v>
      </c>
      <c r="I1492">
        <v>12</v>
      </c>
      <c r="J1492">
        <v>18.03</v>
      </c>
      <c r="K1492" s="245">
        <v>-10.15</v>
      </c>
      <c r="L1492" s="245">
        <v>72.94</v>
      </c>
      <c r="M1492" s="245">
        <v>1.26</v>
      </c>
    </row>
    <row r="1493" spans="1:13">
      <c r="A1493">
        <v>6671</v>
      </c>
      <c r="B1493" t="s">
        <v>5939</v>
      </c>
      <c r="C1493">
        <v>6.07</v>
      </c>
      <c r="D1493">
        <v>-5</v>
      </c>
      <c r="E1493">
        <v>-9</v>
      </c>
      <c r="F1493">
        <v>-2</v>
      </c>
      <c r="G1493">
        <v>-9</v>
      </c>
      <c r="H1493">
        <v>12.05</v>
      </c>
      <c r="I1493">
        <v>3</v>
      </c>
      <c r="J1493">
        <v>3.5</v>
      </c>
      <c r="K1493" s="245">
        <v>-11.32</v>
      </c>
      <c r="L1493" s="245">
        <v>55.58</v>
      </c>
      <c r="M1493" s="245">
        <v>0.69</v>
      </c>
    </row>
    <row r="1494" spans="1:13">
      <c r="A1494">
        <v>6672</v>
      </c>
      <c r="B1494" t="s">
        <v>5940</v>
      </c>
      <c r="C1494">
        <v>7.14</v>
      </c>
      <c r="D1494">
        <v>121</v>
      </c>
      <c r="E1494">
        <v>102</v>
      </c>
      <c r="F1494">
        <v>-11</v>
      </c>
      <c r="G1494">
        <v>-18</v>
      </c>
      <c r="H1494">
        <v>14.04</v>
      </c>
      <c r="I1494">
        <v>6.6</v>
      </c>
      <c r="J1494">
        <v>11.72</v>
      </c>
      <c r="K1494" s="245">
        <v>-53.61</v>
      </c>
      <c r="L1494" s="245">
        <v>15.66</v>
      </c>
      <c r="M1494" s="245">
        <v>22.15</v>
      </c>
    </row>
    <row r="1495" spans="1:13">
      <c r="A1495">
        <v>6674</v>
      </c>
      <c r="B1495" t="s">
        <v>5941</v>
      </c>
      <c r="C1495">
        <v>6.84</v>
      </c>
      <c r="D1495">
        <v>-29</v>
      </c>
      <c r="E1495">
        <v>263</v>
      </c>
      <c r="F1495">
        <v>-11</v>
      </c>
      <c r="G1495">
        <v>-6</v>
      </c>
      <c r="H1495">
        <v>2.88</v>
      </c>
      <c r="I1495">
        <v>1</v>
      </c>
      <c r="J1495">
        <v>0.49</v>
      </c>
      <c r="K1495" s="245">
        <v>-15.84</v>
      </c>
      <c r="L1495" s="245">
        <v>45.94</v>
      </c>
      <c r="M1495" s="245">
        <v>1.3</v>
      </c>
    </row>
    <row r="1496" spans="1:13">
      <c r="A1496">
        <v>6679</v>
      </c>
      <c r="B1496" t="s">
        <v>5942</v>
      </c>
      <c r="C1496">
        <v>4.3499999999999996</v>
      </c>
      <c r="D1496">
        <v>102</v>
      </c>
      <c r="E1496">
        <v>92</v>
      </c>
      <c r="F1496">
        <v>8</v>
      </c>
      <c r="G1496">
        <v>7</v>
      </c>
      <c r="H1496">
        <v>27.61</v>
      </c>
      <c r="I1496">
        <v>9.1</v>
      </c>
      <c r="J1496">
        <v>15.06</v>
      </c>
      <c r="K1496" s="245">
        <v>-35.92</v>
      </c>
      <c r="L1496" s="245">
        <v>11.66</v>
      </c>
      <c r="M1496" s="245">
        <v>8.19</v>
      </c>
    </row>
    <row r="1497" spans="1:13">
      <c r="A1497">
        <v>6680</v>
      </c>
      <c r="B1497" t="s">
        <v>6650</v>
      </c>
      <c r="C1497">
        <v>1.85</v>
      </c>
      <c r="D1497">
        <v>-17</v>
      </c>
      <c r="E1497">
        <v>-40</v>
      </c>
      <c r="F1497">
        <v>21</v>
      </c>
      <c r="G1497">
        <v>37</v>
      </c>
      <c r="H1497">
        <v>10.29</v>
      </c>
      <c r="I1497">
        <v>1.5</v>
      </c>
      <c r="J1497">
        <v>1.79</v>
      </c>
      <c r="K1497" s="245">
        <v>-16.95</v>
      </c>
      <c r="L1497" s="245">
        <v>77.5</v>
      </c>
      <c r="M1497" s="245">
        <v>0.17</v>
      </c>
    </row>
    <row r="1498" spans="1:13">
      <c r="A1498">
        <v>6683</v>
      </c>
      <c r="B1498" t="s">
        <v>6651</v>
      </c>
      <c r="C1498">
        <v>2.7</v>
      </c>
      <c r="D1498">
        <v>25</v>
      </c>
      <c r="E1498">
        <v>23</v>
      </c>
      <c r="F1498">
        <v>-5</v>
      </c>
      <c r="G1498">
        <v>0</v>
      </c>
      <c r="H1498">
        <v>36.49</v>
      </c>
      <c r="I1498">
        <v>7.8</v>
      </c>
      <c r="J1498">
        <v>15.5</v>
      </c>
      <c r="K1498" s="245">
        <v>-45.19</v>
      </c>
      <c r="L1498" s="245">
        <v>22.73</v>
      </c>
      <c r="M1498" s="245">
        <v>17.739999999999998</v>
      </c>
    </row>
    <row r="1499" spans="1:13">
      <c r="A1499">
        <v>6684</v>
      </c>
      <c r="B1499" t="s">
        <v>6652</v>
      </c>
      <c r="C1499">
        <v>2.46</v>
      </c>
      <c r="D1499">
        <v>260</v>
      </c>
      <c r="E1499">
        <v>274</v>
      </c>
      <c r="F1499">
        <v>-15</v>
      </c>
      <c r="G1499">
        <v>-3</v>
      </c>
      <c r="H1499">
        <v>29.39</v>
      </c>
      <c r="I1499">
        <v>5.5</v>
      </c>
      <c r="J1499">
        <v>6.59</v>
      </c>
      <c r="K1499" s="245" t="s">
        <v>6712</v>
      </c>
      <c r="L1499" s="245" t="s">
        <v>6712</v>
      </c>
      <c r="M1499" s="245" t="s">
        <v>6712</v>
      </c>
    </row>
    <row r="1500" spans="1:13">
      <c r="A1500">
        <v>6690</v>
      </c>
      <c r="B1500" t="s">
        <v>6653</v>
      </c>
      <c r="C1500">
        <v>1.72</v>
      </c>
      <c r="D1500">
        <v>5</v>
      </c>
      <c r="E1500">
        <v>3</v>
      </c>
      <c r="F1500">
        <v>-16</v>
      </c>
      <c r="G1500">
        <v>119</v>
      </c>
      <c r="H1500">
        <v>12.23</v>
      </c>
      <c r="I1500">
        <v>3.7</v>
      </c>
      <c r="J1500">
        <v>5.1100000000000003</v>
      </c>
      <c r="K1500" s="245">
        <v>-11.36</v>
      </c>
      <c r="L1500" s="245">
        <v>30.42</v>
      </c>
      <c r="M1500" s="245">
        <v>0.98</v>
      </c>
    </row>
    <row r="1501" spans="1:13">
      <c r="A1501">
        <v>6697</v>
      </c>
      <c r="B1501" t="s">
        <v>6654</v>
      </c>
      <c r="C1501">
        <v>2.73</v>
      </c>
      <c r="D1501">
        <v>10</v>
      </c>
      <c r="E1501">
        <v>23</v>
      </c>
      <c r="F1501">
        <v>-12</v>
      </c>
      <c r="G1501">
        <v>4</v>
      </c>
      <c r="H1501">
        <v>6.13</v>
      </c>
      <c r="I1501">
        <v>2</v>
      </c>
      <c r="J1501">
        <v>2.65</v>
      </c>
      <c r="K1501" s="245">
        <v>-10.74</v>
      </c>
      <c r="L1501" s="245">
        <v>47.38</v>
      </c>
      <c r="M1501" s="245">
        <v>0.33</v>
      </c>
    </row>
    <row r="1502" spans="1:13">
      <c r="A1502">
        <v>6698</v>
      </c>
      <c r="B1502" t="s">
        <v>5943</v>
      </c>
      <c r="C1502">
        <v>6.63</v>
      </c>
      <c r="D1502">
        <v>170</v>
      </c>
      <c r="E1502">
        <v>50</v>
      </c>
      <c r="F1502">
        <v>-13</v>
      </c>
      <c r="G1502">
        <v>55</v>
      </c>
      <c r="H1502">
        <v>7.44</v>
      </c>
      <c r="I1502">
        <v>0</v>
      </c>
      <c r="J1502">
        <v>0.39</v>
      </c>
      <c r="K1502" s="245">
        <v>-42.06</v>
      </c>
      <c r="L1502" s="245">
        <v>12.3</v>
      </c>
      <c r="M1502" s="245">
        <v>19.91</v>
      </c>
    </row>
    <row r="1503" spans="1:13">
      <c r="A1503">
        <v>6703</v>
      </c>
      <c r="B1503" t="s">
        <v>6655</v>
      </c>
      <c r="C1503">
        <v>2.08</v>
      </c>
      <c r="D1503">
        <v>17</v>
      </c>
      <c r="E1503">
        <v>18</v>
      </c>
      <c r="F1503">
        <v>2</v>
      </c>
      <c r="G1503">
        <v>26</v>
      </c>
      <c r="H1503">
        <v>13.83</v>
      </c>
      <c r="I1503">
        <v>8.5</v>
      </c>
      <c r="J1503">
        <v>6.84</v>
      </c>
      <c r="K1503" s="245">
        <v>-14.62</v>
      </c>
      <c r="L1503" s="245">
        <v>58.74</v>
      </c>
      <c r="M1503" s="245">
        <v>2.95</v>
      </c>
    </row>
    <row r="1504" spans="1:13">
      <c r="A1504">
        <v>6706</v>
      </c>
      <c r="B1504" t="s">
        <v>5944</v>
      </c>
      <c r="C1504">
        <v>7.35</v>
      </c>
      <c r="D1504">
        <v>191</v>
      </c>
      <c r="E1504">
        <v>178</v>
      </c>
      <c r="F1504">
        <v>0</v>
      </c>
      <c r="G1504">
        <v>49</v>
      </c>
      <c r="H1504">
        <v>21.45</v>
      </c>
      <c r="I1504">
        <v>10</v>
      </c>
      <c r="J1504">
        <v>13.98</v>
      </c>
      <c r="K1504" s="245">
        <v>-37.840000000000003</v>
      </c>
      <c r="L1504" s="245">
        <v>16.41</v>
      </c>
      <c r="M1504" s="245">
        <v>34.590000000000003</v>
      </c>
    </row>
    <row r="1505" spans="1:13">
      <c r="A1505">
        <v>6712</v>
      </c>
      <c r="B1505" t="s">
        <v>6429</v>
      </c>
      <c r="C1505">
        <v>6.18</v>
      </c>
      <c r="D1505">
        <v>445</v>
      </c>
      <c r="E1505">
        <v>173</v>
      </c>
      <c r="F1505">
        <v>14</v>
      </c>
      <c r="G1505">
        <v>83</v>
      </c>
      <c r="H1505">
        <v>26.48</v>
      </c>
      <c r="I1505">
        <v>6</v>
      </c>
      <c r="J1505">
        <v>6</v>
      </c>
      <c r="K1505" s="245">
        <v>-57.11</v>
      </c>
      <c r="L1505" s="245">
        <v>42.59</v>
      </c>
      <c r="M1505" s="245">
        <v>7.74</v>
      </c>
    </row>
    <row r="1506" spans="1:13">
      <c r="A1506">
        <v>6715</v>
      </c>
      <c r="B1506" t="s">
        <v>5945</v>
      </c>
      <c r="C1506">
        <v>6.05</v>
      </c>
      <c r="D1506">
        <v>-33</v>
      </c>
      <c r="E1506">
        <v>-40</v>
      </c>
      <c r="F1506">
        <v>0</v>
      </c>
      <c r="G1506">
        <v>33</v>
      </c>
      <c r="H1506">
        <v>9.75</v>
      </c>
      <c r="I1506">
        <v>1.8</v>
      </c>
      <c r="J1506">
        <v>3.05</v>
      </c>
      <c r="K1506" s="245">
        <v>-25.56</v>
      </c>
      <c r="L1506" s="245">
        <v>30.74</v>
      </c>
      <c r="M1506" s="245">
        <v>1.99</v>
      </c>
    </row>
    <row r="1507" spans="1:13">
      <c r="A1507">
        <v>6716</v>
      </c>
      <c r="B1507" t="s">
        <v>6656</v>
      </c>
      <c r="C1507">
        <v>2.4500000000000002</v>
      </c>
      <c r="D1507">
        <v>140</v>
      </c>
      <c r="E1507">
        <v>149</v>
      </c>
      <c r="F1507">
        <v>-8</v>
      </c>
      <c r="G1507">
        <v>61</v>
      </c>
      <c r="H1507">
        <v>35.39</v>
      </c>
      <c r="I1507">
        <v>8.5</v>
      </c>
      <c r="J1507">
        <v>11.52</v>
      </c>
      <c r="K1507" s="245">
        <v>-43.02</v>
      </c>
      <c r="L1507" s="245">
        <v>32.39</v>
      </c>
      <c r="M1507" s="245">
        <v>5.81</v>
      </c>
    </row>
    <row r="1508" spans="1:13">
      <c r="A1508">
        <v>6727</v>
      </c>
      <c r="B1508" t="s">
        <v>6657</v>
      </c>
      <c r="C1508">
        <v>2.2599999999999998</v>
      </c>
      <c r="D1508">
        <v>64</v>
      </c>
      <c r="E1508">
        <v>27</v>
      </c>
      <c r="F1508">
        <v>-15</v>
      </c>
      <c r="G1508">
        <v>59</v>
      </c>
      <c r="H1508">
        <v>13.45</v>
      </c>
      <c r="I1508">
        <v>3</v>
      </c>
      <c r="J1508">
        <v>5.75</v>
      </c>
      <c r="K1508" s="245">
        <v>-42.58</v>
      </c>
      <c r="L1508" s="245">
        <v>44.24</v>
      </c>
      <c r="M1508" s="245">
        <v>31.19</v>
      </c>
    </row>
    <row r="1509" spans="1:13">
      <c r="A1509">
        <v>6728</v>
      </c>
      <c r="B1509" t="s">
        <v>6658</v>
      </c>
      <c r="C1509">
        <v>2.2999999999999998</v>
      </c>
      <c r="D1509">
        <v>167</v>
      </c>
      <c r="E1509">
        <v>168</v>
      </c>
      <c r="F1509">
        <v>56</v>
      </c>
      <c r="G1509">
        <v>58</v>
      </c>
      <c r="H1509">
        <v>17.600000000000001</v>
      </c>
      <c r="I1509">
        <v>9</v>
      </c>
      <c r="J1509">
        <v>11.74</v>
      </c>
      <c r="K1509" s="245">
        <v>-12.66</v>
      </c>
      <c r="L1509" s="245">
        <v>64.11</v>
      </c>
      <c r="M1509" s="245">
        <v>6.18</v>
      </c>
    </row>
    <row r="1510" spans="1:13">
      <c r="A1510">
        <v>6732</v>
      </c>
      <c r="B1510" t="s">
        <v>5946</v>
      </c>
      <c r="C1510">
        <v>4.8899999999999997</v>
      </c>
      <c r="D1510">
        <v>21</v>
      </c>
      <c r="E1510">
        <v>23</v>
      </c>
      <c r="F1510">
        <v>-11</v>
      </c>
      <c r="G1510">
        <v>-20</v>
      </c>
      <c r="H1510">
        <v>32.35</v>
      </c>
      <c r="I1510">
        <v>30</v>
      </c>
      <c r="J1510">
        <v>33.97</v>
      </c>
      <c r="K1510" s="245">
        <v>-63.89</v>
      </c>
      <c r="L1510" s="245">
        <v>10.32</v>
      </c>
      <c r="M1510" s="245">
        <v>5.18</v>
      </c>
    </row>
    <row r="1511" spans="1:13">
      <c r="A1511">
        <v>6733</v>
      </c>
      <c r="B1511" t="s">
        <v>6659</v>
      </c>
      <c r="C1511">
        <v>10.3</v>
      </c>
      <c r="D1511">
        <v>0</v>
      </c>
      <c r="E1511">
        <v>-22</v>
      </c>
      <c r="F1511">
        <v>2</v>
      </c>
      <c r="G1511">
        <v>152</v>
      </c>
      <c r="H1511">
        <v>-1772.67</v>
      </c>
      <c r="I1511">
        <v>0</v>
      </c>
      <c r="J1511">
        <v>-1.37</v>
      </c>
      <c r="K1511" s="245">
        <v>-12.32</v>
      </c>
      <c r="L1511" s="245">
        <v>25.63</v>
      </c>
      <c r="M1511" s="245">
        <v>1.87</v>
      </c>
    </row>
    <row r="1512" spans="1:13">
      <c r="A1512">
        <v>6741</v>
      </c>
      <c r="B1512" t="s">
        <v>5947</v>
      </c>
      <c r="C1512">
        <v>6.02</v>
      </c>
      <c r="D1512">
        <v>44</v>
      </c>
      <c r="E1512">
        <v>51</v>
      </c>
      <c r="F1512">
        <v>15</v>
      </c>
      <c r="G1512">
        <v>19</v>
      </c>
      <c r="H1512">
        <v>33.43</v>
      </c>
      <c r="I1512">
        <v>0.48</v>
      </c>
      <c r="J1512">
        <v>2.58</v>
      </c>
      <c r="K1512" s="245" t="s">
        <v>6712</v>
      </c>
      <c r="L1512" s="245" t="s">
        <v>6712</v>
      </c>
      <c r="M1512" s="245" t="s">
        <v>6712</v>
      </c>
    </row>
    <row r="1513" spans="1:13">
      <c r="A1513">
        <v>6743</v>
      </c>
      <c r="B1513" t="s">
        <v>5948</v>
      </c>
      <c r="C1513">
        <v>15</v>
      </c>
      <c r="D1513">
        <v>-109</v>
      </c>
      <c r="E1513">
        <v>-102</v>
      </c>
      <c r="F1513">
        <v>-5</v>
      </c>
      <c r="G1513">
        <v>-35</v>
      </c>
      <c r="H1513">
        <v>-0.33</v>
      </c>
      <c r="I1513">
        <v>0.5</v>
      </c>
      <c r="J1513">
        <v>-0.33</v>
      </c>
      <c r="K1513" s="245">
        <v>-69.260000000000005</v>
      </c>
      <c r="L1513" s="245">
        <v>6.32</v>
      </c>
      <c r="M1513" s="245">
        <v>4.9800000000000004</v>
      </c>
    </row>
    <row r="1514" spans="1:13">
      <c r="A1514">
        <v>6747</v>
      </c>
      <c r="B1514" t="s">
        <v>6660</v>
      </c>
      <c r="C1514">
        <v>2.41</v>
      </c>
      <c r="D1514">
        <v>93</v>
      </c>
      <c r="E1514">
        <v>49</v>
      </c>
      <c r="F1514">
        <v>-43</v>
      </c>
      <c r="G1514">
        <v>-9</v>
      </c>
      <c r="H1514">
        <v>34.840000000000003</v>
      </c>
      <c r="I1514">
        <v>8.68</v>
      </c>
      <c r="J1514">
        <v>10.01</v>
      </c>
      <c r="K1514" s="245">
        <v>-51.2</v>
      </c>
      <c r="L1514" s="245">
        <v>59.91</v>
      </c>
      <c r="M1514" s="245">
        <v>3.91</v>
      </c>
    </row>
    <row r="1515" spans="1:13">
      <c r="A1515">
        <v>6751</v>
      </c>
      <c r="B1515" t="s">
        <v>6661</v>
      </c>
      <c r="C1515">
        <v>2</v>
      </c>
      <c r="D1515">
        <v>3</v>
      </c>
      <c r="E1515">
        <v>-4</v>
      </c>
      <c r="F1515">
        <v>0</v>
      </c>
      <c r="G1515">
        <v>39</v>
      </c>
      <c r="H1515">
        <v>3.12</v>
      </c>
      <c r="I1515">
        <v>2.1</v>
      </c>
      <c r="J1515">
        <v>2.44</v>
      </c>
      <c r="K1515" s="245">
        <v>-42.23</v>
      </c>
      <c r="L1515" s="245">
        <v>13.48</v>
      </c>
      <c r="M1515" s="245">
        <v>1.02</v>
      </c>
    </row>
    <row r="1516" spans="1:13">
      <c r="A1516">
        <v>6752</v>
      </c>
      <c r="B1516" t="s">
        <v>6662</v>
      </c>
      <c r="C1516">
        <v>2.83</v>
      </c>
      <c r="D1516">
        <v>10</v>
      </c>
      <c r="E1516">
        <v>7</v>
      </c>
      <c r="F1516">
        <v>-7</v>
      </c>
      <c r="G1516">
        <v>9</v>
      </c>
      <c r="H1516">
        <v>12.07</v>
      </c>
      <c r="I1516">
        <v>2.8</v>
      </c>
      <c r="J1516">
        <v>4.7</v>
      </c>
      <c r="K1516" s="245">
        <v>-21.45</v>
      </c>
      <c r="L1516" s="245">
        <v>55.54</v>
      </c>
      <c r="M1516" s="245">
        <v>0.57999999999999996</v>
      </c>
    </row>
    <row r="1517" spans="1:13">
      <c r="A1517">
        <v>6754</v>
      </c>
      <c r="B1517" t="s">
        <v>5949</v>
      </c>
      <c r="C1517">
        <v>6.6</v>
      </c>
      <c r="D1517">
        <v>8</v>
      </c>
      <c r="E1517">
        <v>-2</v>
      </c>
      <c r="F1517">
        <v>-3</v>
      </c>
      <c r="G1517">
        <v>0</v>
      </c>
      <c r="H1517">
        <v>8.36</v>
      </c>
      <c r="I1517">
        <v>3.5</v>
      </c>
      <c r="J1517">
        <v>3.52</v>
      </c>
      <c r="K1517" s="245">
        <v>-7.12</v>
      </c>
      <c r="L1517" s="245">
        <v>84.27</v>
      </c>
      <c r="M1517" s="245">
        <v>6.28</v>
      </c>
    </row>
    <row r="1518" spans="1:13">
      <c r="A1518">
        <v>6756</v>
      </c>
      <c r="B1518" t="s">
        <v>5950</v>
      </c>
      <c r="C1518">
        <v>6.84</v>
      </c>
      <c r="D1518">
        <v>176</v>
      </c>
      <c r="E1518">
        <v>166</v>
      </c>
      <c r="F1518">
        <v>-3</v>
      </c>
      <c r="G1518">
        <v>26</v>
      </c>
      <c r="H1518">
        <v>30.58</v>
      </c>
      <c r="I1518">
        <v>10.99</v>
      </c>
      <c r="J1518">
        <v>13.04</v>
      </c>
      <c r="K1518" s="245">
        <v>-55.28</v>
      </c>
      <c r="L1518" s="245">
        <v>5.2</v>
      </c>
      <c r="M1518" s="245">
        <v>19.02</v>
      </c>
    </row>
    <row r="1519" spans="1:13">
      <c r="A1519">
        <v>6761</v>
      </c>
      <c r="B1519" t="s">
        <v>6663</v>
      </c>
      <c r="C1519">
        <v>2.39</v>
      </c>
      <c r="D1519">
        <v>104</v>
      </c>
      <c r="E1519">
        <v>97</v>
      </c>
      <c r="F1519">
        <v>1</v>
      </c>
      <c r="G1519">
        <v>-1</v>
      </c>
      <c r="H1519">
        <v>12.86</v>
      </c>
      <c r="I1519">
        <v>5.8</v>
      </c>
      <c r="J1519">
        <v>8.5399999999999991</v>
      </c>
      <c r="K1519" s="245" t="s">
        <v>6712</v>
      </c>
      <c r="L1519" s="245" t="s">
        <v>6712</v>
      </c>
      <c r="M1519" s="245" t="s">
        <v>6712</v>
      </c>
    </row>
    <row r="1520" spans="1:13">
      <c r="A1520">
        <v>6762</v>
      </c>
      <c r="B1520" t="s">
        <v>6664</v>
      </c>
      <c r="C1520">
        <v>2.15</v>
      </c>
      <c r="D1520">
        <v>-34</v>
      </c>
      <c r="E1520">
        <v>-31</v>
      </c>
      <c r="F1520">
        <v>19</v>
      </c>
      <c r="G1520">
        <v>-21</v>
      </c>
      <c r="H1520">
        <v>34.020000000000003</v>
      </c>
      <c r="I1520">
        <v>5</v>
      </c>
      <c r="J1520">
        <v>6.04</v>
      </c>
      <c r="K1520" s="245">
        <v>-25.18</v>
      </c>
      <c r="L1520" s="245">
        <v>13.8</v>
      </c>
      <c r="M1520" s="245">
        <v>16.829999999999998</v>
      </c>
    </row>
    <row r="1521" spans="1:13">
      <c r="A1521">
        <v>6767</v>
      </c>
      <c r="B1521" t="s">
        <v>6665</v>
      </c>
      <c r="C1521">
        <v>2.91</v>
      </c>
      <c r="D1521">
        <v>-255</v>
      </c>
      <c r="E1521">
        <v>23</v>
      </c>
      <c r="F1521">
        <v>112</v>
      </c>
      <c r="G1521">
        <v>53</v>
      </c>
      <c r="H1521">
        <v>-24.15</v>
      </c>
      <c r="I1521">
        <v>0</v>
      </c>
      <c r="J1521">
        <v>-1.64</v>
      </c>
      <c r="K1521" s="245">
        <v>-8.09</v>
      </c>
      <c r="L1521" s="245">
        <v>44.94</v>
      </c>
      <c r="M1521" s="245">
        <v>1.41</v>
      </c>
    </row>
    <row r="1522" spans="1:13">
      <c r="A1522">
        <v>6768</v>
      </c>
      <c r="B1522" t="s">
        <v>5951</v>
      </c>
      <c r="C1522">
        <v>19.600000000000001</v>
      </c>
      <c r="D1522">
        <v>57</v>
      </c>
      <c r="E1522">
        <v>0</v>
      </c>
      <c r="F1522">
        <v>2</v>
      </c>
      <c r="G1522">
        <v>0</v>
      </c>
      <c r="H1522">
        <v>6.45</v>
      </c>
      <c r="I1522">
        <v>3.5</v>
      </c>
      <c r="J1522">
        <v>3.42</v>
      </c>
      <c r="K1522" s="245" t="s">
        <v>6712</v>
      </c>
      <c r="L1522" s="245" t="s">
        <v>6712</v>
      </c>
      <c r="M1522" s="245" t="s">
        <v>6712</v>
      </c>
    </row>
    <row r="1523" spans="1:13">
      <c r="A1523">
        <v>6770</v>
      </c>
      <c r="B1523" t="s">
        <v>6666</v>
      </c>
      <c r="C1523">
        <v>359</v>
      </c>
      <c r="D1523">
        <v>322</v>
      </c>
      <c r="E1523">
        <v>249</v>
      </c>
      <c r="F1523">
        <v>8</v>
      </c>
      <c r="G1523">
        <v>49</v>
      </c>
      <c r="H1523">
        <v>30.62</v>
      </c>
      <c r="I1523">
        <v>1.83</v>
      </c>
      <c r="J1523">
        <v>4.92</v>
      </c>
      <c r="K1523" s="245" t="s">
        <v>6712</v>
      </c>
      <c r="L1523" s="245" t="s">
        <v>6712</v>
      </c>
      <c r="M1523" s="245" t="s">
        <v>6712</v>
      </c>
    </row>
    <row r="1524" spans="1:13">
      <c r="A1524">
        <v>6776</v>
      </c>
      <c r="B1524" t="s">
        <v>5952</v>
      </c>
      <c r="C1524">
        <v>8.15</v>
      </c>
      <c r="D1524">
        <v>85</v>
      </c>
      <c r="E1524">
        <v>79</v>
      </c>
      <c r="F1524">
        <v>-15</v>
      </c>
      <c r="G1524">
        <v>41</v>
      </c>
      <c r="H1524">
        <v>1.49</v>
      </c>
      <c r="I1524">
        <v>3.2</v>
      </c>
      <c r="J1524">
        <v>4.28</v>
      </c>
      <c r="K1524" s="245">
        <v>-14.9</v>
      </c>
      <c r="L1524" s="245">
        <v>43.47</v>
      </c>
      <c r="M1524" s="245">
        <v>3.6</v>
      </c>
    </row>
    <row r="1525" spans="1:13">
      <c r="A1525">
        <v>6781</v>
      </c>
      <c r="B1525" t="s">
        <v>5953</v>
      </c>
      <c r="C1525">
        <v>8.5399999999999991</v>
      </c>
      <c r="D1525">
        <v>168</v>
      </c>
      <c r="E1525">
        <v>146</v>
      </c>
      <c r="F1525">
        <v>0</v>
      </c>
      <c r="G1525">
        <v>40</v>
      </c>
      <c r="H1525">
        <v>26.21</v>
      </c>
      <c r="I1525">
        <v>15</v>
      </c>
      <c r="J1525">
        <v>30.18</v>
      </c>
      <c r="K1525" s="245">
        <v>-55.68</v>
      </c>
      <c r="L1525" s="245">
        <v>12.51</v>
      </c>
      <c r="M1525" s="245">
        <v>2.2999999999999998</v>
      </c>
    </row>
    <row r="1526" spans="1:13">
      <c r="A1526">
        <v>6788</v>
      </c>
      <c r="B1526" t="s">
        <v>6215</v>
      </c>
      <c r="C1526">
        <v>3.47</v>
      </c>
      <c r="D1526">
        <v>43</v>
      </c>
      <c r="E1526">
        <v>46</v>
      </c>
      <c r="F1526">
        <v>-9</v>
      </c>
      <c r="G1526">
        <v>10</v>
      </c>
      <c r="H1526">
        <v>27</v>
      </c>
      <c r="I1526">
        <v>5</v>
      </c>
      <c r="J1526">
        <v>7.08</v>
      </c>
      <c r="K1526" s="245" t="s">
        <v>6712</v>
      </c>
      <c r="L1526" s="245" t="s">
        <v>6712</v>
      </c>
      <c r="M1526" s="245" t="s">
        <v>6712</v>
      </c>
    </row>
    <row r="1527" spans="1:13">
      <c r="A1527">
        <v>6790</v>
      </c>
      <c r="B1527" t="s">
        <v>6235</v>
      </c>
      <c r="C1527">
        <v>26.71</v>
      </c>
      <c r="D1527">
        <v>-28</v>
      </c>
      <c r="E1527">
        <v>-19</v>
      </c>
      <c r="F1527">
        <v>13</v>
      </c>
      <c r="G1527">
        <v>-11</v>
      </c>
      <c r="H1527">
        <v>12.51</v>
      </c>
      <c r="I1527">
        <v>3</v>
      </c>
      <c r="J1527">
        <v>4.24</v>
      </c>
      <c r="K1527" s="245" t="s">
        <v>6712</v>
      </c>
      <c r="L1527" s="245" t="s">
        <v>6712</v>
      </c>
      <c r="M1527" s="245" t="s">
        <v>6712</v>
      </c>
    </row>
    <row r="1528" spans="1:13">
      <c r="A1528">
        <v>6792</v>
      </c>
      <c r="B1528" t="s">
        <v>6667</v>
      </c>
      <c r="C1528">
        <v>4.78</v>
      </c>
      <c r="D1528">
        <v>67</v>
      </c>
      <c r="E1528">
        <v>92</v>
      </c>
      <c r="F1528">
        <v>19</v>
      </c>
      <c r="G1528">
        <v>9</v>
      </c>
      <c r="H1528">
        <v>20.38</v>
      </c>
      <c r="I1528">
        <v>5.5</v>
      </c>
      <c r="J1528">
        <v>6.6</v>
      </c>
      <c r="K1528" s="245" t="s">
        <v>6712</v>
      </c>
      <c r="L1528" s="245" t="s">
        <v>6712</v>
      </c>
      <c r="M1528" s="245" t="s">
        <v>6712</v>
      </c>
    </row>
    <row r="1529" spans="1:13">
      <c r="A1529">
        <v>6803</v>
      </c>
      <c r="B1529" t="s">
        <v>5954</v>
      </c>
      <c r="C1529">
        <v>6.97</v>
      </c>
      <c r="D1529">
        <v>2</v>
      </c>
      <c r="E1529">
        <v>4</v>
      </c>
      <c r="F1529">
        <v>-4</v>
      </c>
      <c r="G1529">
        <v>12</v>
      </c>
      <c r="H1529">
        <v>21.33</v>
      </c>
      <c r="I1529">
        <v>11.99</v>
      </c>
      <c r="J1529">
        <v>13.15</v>
      </c>
      <c r="K1529" s="245">
        <v>-6.77</v>
      </c>
      <c r="L1529" s="245">
        <v>36.42</v>
      </c>
      <c r="M1529" s="245">
        <v>0.38</v>
      </c>
    </row>
    <row r="1530" spans="1:13">
      <c r="A1530">
        <v>6806</v>
      </c>
      <c r="B1530" t="s">
        <v>6668</v>
      </c>
      <c r="C1530">
        <v>19.649999999999999</v>
      </c>
      <c r="D1530">
        <v>86</v>
      </c>
      <c r="E1530">
        <v>5378</v>
      </c>
      <c r="F1530">
        <v>32</v>
      </c>
      <c r="G1530">
        <v>-20</v>
      </c>
      <c r="H1530">
        <v>14.05</v>
      </c>
      <c r="I1530">
        <v>2.68</v>
      </c>
      <c r="J1530">
        <v>3.78</v>
      </c>
      <c r="K1530" s="245" t="s">
        <v>6712</v>
      </c>
      <c r="L1530" s="245" t="s">
        <v>6712</v>
      </c>
      <c r="M1530" s="245" t="s">
        <v>6712</v>
      </c>
    </row>
    <row r="1531" spans="1:13">
      <c r="A1531">
        <v>7402</v>
      </c>
      <c r="B1531" t="s">
        <v>6669</v>
      </c>
      <c r="C1531">
        <v>2.48</v>
      </c>
      <c r="D1531">
        <v>54</v>
      </c>
      <c r="E1531">
        <v>93</v>
      </c>
      <c r="F1531">
        <v>28</v>
      </c>
      <c r="G1531">
        <v>49</v>
      </c>
      <c r="H1531">
        <v>10.01</v>
      </c>
      <c r="I1531">
        <v>1.5</v>
      </c>
      <c r="J1531">
        <v>1.56</v>
      </c>
      <c r="K1531" s="245">
        <v>-10.46</v>
      </c>
      <c r="L1531" s="245">
        <v>75.400000000000006</v>
      </c>
      <c r="M1531" s="245">
        <v>1.33</v>
      </c>
    </row>
    <row r="1532" spans="1:13">
      <c r="A1532">
        <v>7556</v>
      </c>
      <c r="B1532" t="s">
        <v>6670</v>
      </c>
      <c r="C1532">
        <v>2.2000000000000002</v>
      </c>
      <c r="D1532">
        <v>33</v>
      </c>
      <c r="E1532">
        <v>12</v>
      </c>
      <c r="F1532">
        <v>8</v>
      </c>
      <c r="G1532">
        <v>31</v>
      </c>
      <c r="H1532">
        <v>24.64</v>
      </c>
      <c r="I1532">
        <v>2.8</v>
      </c>
      <c r="J1532">
        <v>4.62</v>
      </c>
      <c r="K1532" s="245">
        <v>-25.81</v>
      </c>
      <c r="L1532" s="245">
        <v>52.32</v>
      </c>
      <c r="M1532" s="245">
        <v>1.68</v>
      </c>
    </row>
    <row r="1533" spans="1:13">
      <c r="A1533">
        <v>8011</v>
      </c>
      <c r="B1533" t="s">
        <v>5955</v>
      </c>
      <c r="C1533">
        <v>14.9</v>
      </c>
      <c r="D1533">
        <v>-283</v>
      </c>
      <c r="E1533">
        <v>-474</v>
      </c>
      <c r="F1533">
        <v>4</v>
      </c>
      <c r="G1533">
        <v>27</v>
      </c>
      <c r="H1533">
        <v>-10.59</v>
      </c>
      <c r="I1533">
        <v>0</v>
      </c>
      <c r="J1533">
        <v>-1.36</v>
      </c>
      <c r="K1533" s="245">
        <v>-32.369999999999997</v>
      </c>
      <c r="L1533" s="245">
        <v>13.97</v>
      </c>
      <c r="M1533" s="245">
        <v>16.350000000000001</v>
      </c>
    </row>
    <row r="1534" spans="1:13">
      <c r="A1534">
        <v>8016</v>
      </c>
      <c r="B1534" t="s">
        <v>5956</v>
      </c>
      <c r="C1534">
        <v>12.01</v>
      </c>
      <c r="D1534">
        <v>226</v>
      </c>
      <c r="E1534">
        <v>242</v>
      </c>
      <c r="F1534">
        <v>-6</v>
      </c>
      <c r="G1534">
        <v>-1</v>
      </c>
      <c r="H1534">
        <v>36.65</v>
      </c>
      <c r="I1534">
        <v>32</v>
      </c>
      <c r="J1534">
        <v>50.03</v>
      </c>
      <c r="K1534" s="245">
        <v>-41.66</v>
      </c>
      <c r="L1534" s="245">
        <v>15.24</v>
      </c>
      <c r="M1534" s="245">
        <v>15.87</v>
      </c>
    </row>
    <row r="1535" spans="1:13">
      <c r="A1535">
        <v>8021</v>
      </c>
      <c r="B1535" t="s">
        <v>5957</v>
      </c>
      <c r="C1535">
        <v>14.21</v>
      </c>
      <c r="D1535">
        <v>61</v>
      </c>
      <c r="E1535">
        <v>37</v>
      </c>
      <c r="F1535">
        <v>0</v>
      </c>
      <c r="G1535">
        <v>1</v>
      </c>
      <c r="H1535">
        <v>17.04</v>
      </c>
      <c r="I1535">
        <v>2.2999999999999998</v>
      </c>
      <c r="J1535">
        <v>3.14</v>
      </c>
      <c r="K1535" s="245">
        <v>-33.03</v>
      </c>
      <c r="L1535" s="245">
        <v>16.55</v>
      </c>
      <c r="M1535" s="245">
        <v>17.62</v>
      </c>
    </row>
    <row r="1536" spans="1:13">
      <c r="A1536">
        <v>8024</v>
      </c>
      <c r="B1536" t="s">
        <v>5958</v>
      </c>
      <c r="C1536">
        <v>4.51</v>
      </c>
      <c r="D1536">
        <v>298</v>
      </c>
      <c r="E1536">
        <v>401</v>
      </c>
      <c r="F1536">
        <v>11</v>
      </c>
      <c r="G1536">
        <v>-39</v>
      </c>
      <c r="H1536">
        <v>15.75</v>
      </c>
      <c r="I1536">
        <v>1.4</v>
      </c>
      <c r="J1536">
        <v>1.68</v>
      </c>
      <c r="K1536" s="245">
        <v>-37.5</v>
      </c>
      <c r="L1536" s="245">
        <v>27.15</v>
      </c>
      <c r="M1536" s="245">
        <v>39.35</v>
      </c>
    </row>
    <row r="1537" spans="1:13">
      <c r="A1537">
        <v>8027</v>
      </c>
      <c r="B1537" t="s">
        <v>5959</v>
      </c>
      <c r="C1537">
        <v>10.01</v>
      </c>
      <c r="D1537">
        <v>58</v>
      </c>
      <c r="E1537">
        <v>46</v>
      </c>
      <c r="F1537">
        <v>1</v>
      </c>
      <c r="G1537">
        <v>205</v>
      </c>
      <c r="H1537">
        <v>12.27</v>
      </c>
      <c r="I1537">
        <v>1.6</v>
      </c>
      <c r="J1537">
        <v>2.62</v>
      </c>
      <c r="K1537" s="245">
        <v>-14.95</v>
      </c>
      <c r="L1537" s="245">
        <v>55.14</v>
      </c>
      <c r="M1537" s="245">
        <v>8.2899999999999991</v>
      </c>
    </row>
    <row r="1538" spans="1:13">
      <c r="A1538">
        <v>8028</v>
      </c>
      <c r="B1538" t="s">
        <v>5960</v>
      </c>
      <c r="C1538">
        <v>14.03</v>
      </c>
      <c r="D1538">
        <v>88</v>
      </c>
      <c r="E1538">
        <v>206</v>
      </c>
      <c r="F1538">
        <v>2</v>
      </c>
      <c r="G1538">
        <v>9</v>
      </c>
      <c r="H1538">
        <v>8.77</v>
      </c>
      <c r="I1538">
        <v>1.4</v>
      </c>
      <c r="J1538">
        <v>1.68</v>
      </c>
      <c r="K1538" s="245">
        <v>-16.670000000000002</v>
      </c>
      <c r="L1538" s="245">
        <v>43.34</v>
      </c>
      <c r="M1538" s="245">
        <v>26.39</v>
      </c>
    </row>
    <row r="1539" spans="1:13">
      <c r="A1539">
        <v>8032</v>
      </c>
      <c r="B1539" t="s">
        <v>6328</v>
      </c>
      <c r="C1539">
        <v>5.18</v>
      </c>
      <c r="D1539">
        <v>129</v>
      </c>
      <c r="E1539">
        <v>191</v>
      </c>
      <c r="F1539">
        <v>44</v>
      </c>
      <c r="G1539">
        <v>22</v>
      </c>
      <c r="H1539">
        <v>4.95</v>
      </c>
      <c r="I1539">
        <v>1.8</v>
      </c>
      <c r="J1539">
        <v>2.91</v>
      </c>
      <c r="K1539" s="245">
        <v>-13.09</v>
      </c>
      <c r="L1539" s="245">
        <v>57.9</v>
      </c>
      <c r="M1539" s="245">
        <v>6.36</v>
      </c>
    </row>
    <row r="1540" spans="1:13">
      <c r="A1540">
        <v>8033</v>
      </c>
      <c r="B1540" t="s">
        <v>6671</v>
      </c>
      <c r="C1540">
        <v>13.26</v>
      </c>
      <c r="D1540">
        <v>5</v>
      </c>
      <c r="E1540">
        <v>2686</v>
      </c>
      <c r="F1540">
        <v>-11</v>
      </c>
      <c r="G1540">
        <v>-22</v>
      </c>
      <c r="H1540">
        <v>6.19</v>
      </c>
      <c r="I1540">
        <v>0</v>
      </c>
      <c r="J1540">
        <v>0.18</v>
      </c>
      <c r="K1540" s="245">
        <v>-15</v>
      </c>
      <c r="L1540" s="245">
        <v>76.290000000000006</v>
      </c>
      <c r="M1540" s="245">
        <v>9.5500000000000007</v>
      </c>
    </row>
    <row r="1541" spans="1:13">
      <c r="A1541">
        <v>8034</v>
      </c>
      <c r="B1541" t="s">
        <v>5961</v>
      </c>
      <c r="C1541">
        <v>6.28</v>
      </c>
      <c r="D1541">
        <v>569</v>
      </c>
      <c r="E1541">
        <v>1619</v>
      </c>
      <c r="F1541">
        <v>11</v>
      </c>
      <c r="G1541">
        <v>-75</v>
      </c>
      <c r="H1541">
        <v>15.83</v>
      </c>
      <c r="I1541">
        <v>1</v>
      </c>
      <c r="J1541">
        <v>1.28</v>
      </c>
      <c r="K1541" s="245">
        <v>-32.42</v>
      </c>
      <c r="L1541" s="245">
        <v>21.49</v>
      </c>
      <c r="M1541" s="245">
        <v>26.6</v>
      </c>
    </row>
    <row r="1542" spans="1:13">
      <c r="A1542">
        <v>8038</v>
      </c>
      <c r="B1542" t="s">
        <v>6672</v>
      </c>
      <c r="C1542">
        <v>5.98</v>
      </c>
      <c r="D1542">
        <v>-102</v>
      </c>
      <c r="E1542">
        <v>-54</v>
      </c>
      <c r="F1542">
        <v>285</v>
      </c>
      <c r="G1542">
        <v>128</v>
      </c>
      <c r="H1542">
        <v>-181.42</v>
      </c>
      <c r="I1542">
        <v>0</v>
      </c>
      <c r="J1542">
        <v>-2.0499999999999998</v>
      </c>
      <c r="K1542" s="245">
        <v>-26.66</v>
      </c>
      <c r="L1542" s="245">
        <v>25.49</v>
      </c>
      <c r="M1542" s="245">
        <v>9.18</v>
      </c>
    </row>
    <row r="1543" spans="1:13">
      <c r="A1543">
        <v>8039</v>
      </c>
      <c r="B1543" t="s">
        <v>5962</v>
      </c>
      <c r="C1543">
        <v>20.91</v>
      </c>
      <c r="D1543">
        <v>-5</v>
      </c>
      <c r="E1543">
        <v>-9</v>
      </c>
      <c r="F1543">
        <v>1</v>
      </c>
      <c r="G1543">
        <v>11</v>
      </c>
      <c r="H1543">
        <v>10.09</v>
      </c>
      <c r="I1543">
        <v>2.5</v>
      </c>
      <c r="J1543">
        <v>3.51</v>
      </c>
      <c r="K1543" s="245">
        <v>-27.3</v>
      </c>
      <c r="L1543" s="245">
        <v>35.97</v>
      </c>
      <c r="M1543" s="245">
        <v>6.46</v>
      </c>
    </row>
    <row r="1544" spans="1:13">
      <c r="A1544">
        <v>8040</v>
      </c>
      <c r="B1544" t="s">
        <v>5963</v>
      </c>
      <c r="C1544">
        <v>6.88</v>
      </c>
      <c r="D1544">
        <v>153</v>
      </c>
      <c r="E1544">
        <v>435</v>
      </c>
      <c r="F1544">
        <v>5</v>
      </c>
      <c r="G1544">
        <v>-5</v>
      </c>
      <c r="H1544">
        <v>8.94</v>
      </c>
      <c r="I1544">
        <v>0.6</v>
      </c>
      <c r="J1544">
        <v>0.91</v>
      </c>
      <c r="K1544" s="245">
        <v>-45.72</v>
      </c>
      <c r="L1544" s="245">
        <v>18.64</v>
      </c>
      <c r="M1544" s="245">
        <v>60.71</v>
      </c>
    </row>
    <row r="1545" spans="1:13">
      <c r="A1545">
        <v>8042</v>
      </c>
      <c r="B1545" t="s">
        <v>6165</v>
      </c>
      <c r="C1545">
        <v>12.94</v>
      </c>
      <c r="D1545">
        <v>2061</v>
      </c>
      <c r="E1545">
        <v>4</v>
      </c>
      <c r="F1545">
        <v>1</v>
      </c>
      <c r="G1545">
        <v>-2</v>
      </c>
      <c r="H1545">
        <v>4.59</v>
      </c>
      <c r="I1545">
        <v>1</v>
      </c>
      <c r="J1545">
        <v>1.24</v>
      </c>
      <c r="K1545" s="245">
        <v>-31.65</v>
      </c>
      <c r="L1545" s="245">
        <v>16.920000000000002</v>
      </c>
      <c r="M1545" s="245">
        <v>1.61</v>
      </c>
    </row>
    <row r="1546" spans="1:13">
      <c r="A1546">
        <v>8043</v>
      </c>
      <c r="B1546" t="s">
        <v>5964</v>
      </c>
      <c r="C1546">
        <v>7.99</v>
      </c>
      <c r="D1546">
        <v>369</v>
      </c>
      <c r="E1546">
        <v>80</v>
      </c>
      <c r="F1546">
        <v>-40</v>
      </c>
      <c r="G1546">
        <v>-26</v>
      </c>
      <c r="H1546">
        <v>2.0699999999999998</v>
      </c>
      <c r="I1546">
        <v>1</v>
      </c>
      <c r="J1546">
        <v>1.76</v>
      </c>
      <c r="K1546" s="245">
        <v>-32.81</v>
      </c>
      <c r="L1546" s="245">
        <v>18.54</v>
      </c>
      <c r="M1546" s="245">
        <v>8.41</v>
      </c>
    </row>
    <row r="1547" spans="1:13">
      <c r="A1547">
        <v>8044</v>
      </c>
      <c r="B1547" t="s">
        <v>5965</v>
      </c>
      <c r="C1547">
        <v>12.85</v>
      </c>
      <c r="D1547">
        <v>-71</v>
      </c>
      <c r="E1547">
        <v>-23</v>
      </c>
      <c r="F1547">
        <v>1</v>
      </c>
      <c r="G1547">
        <v>-1</v>
      </c>
      <c r="H1547">
        <v>0.5</v>
      </c>
      <c r="I1547">
        <v>0.5</v>
      </c>
      <c r="J1547">
        <v>0.84</v>
      </c>
      <c r="K1547" s="245">
        <v>-56.83</v>
      </c>
      <c r="L1547" s="245">
        <v>8.23</v>
      </c>
      <c r="M1547" s="245">
        <v>20.09</v>
      </c>
    </row>
    <row r="1548" spans="1:13">
      <c r="A1548">
        <v>8046</v>
      </c>
      <c r="B1548" t="s">
        <v>5966</v>
      </c>
      <c r="C1548">
        <v>64.61</v>
      </c>
      <c r="D1548">
        <v>188</v>
      </c>
      <c r="E1548">
        <v>213</v>
      </c>
      <c r="F1548">
        <v>-14</v>
      </c>
      <c r="G1548">
        <v>7</v>
      </c>
      <c r="H1548">
        <v>24.64</v>
      </c>
      <c r="I1548">
        <v>10</v>
      </c>
      <c r="J1548">
        <v>16.38</v>
      </c>
      <c r="K1548" s="245">
        <v>-37.4</v>
      </c>
      <c r="L1548" s="245">
        <v>12.48</v>
      </c>
      <c r="M1548" s="245">
        <v>3.92</v>
      </c>
    </row>
    <row r="1549" spans="1:13">
      <c r="A1549">
        <v>8047</v>
      </c>
      <c r="B1549" t="s">
        <v>6316</v>
      </c>
      <c r="C1549">
        <v>4.16</v>
      </c>
      <c r="D1549">
        <v>57</v>
      </c>
      <c r="E1549">
        <v>157</v>
      </c>
      <c r="F1549">
        <v>56</v>
      </c>
      <c r="G1549">
        <v>13</v>
      </c>
      <c r="H1549">
        <v>0.99</v>
      </c>
      <c r="I1549">
        <v>0.25</v>
      </c>
      <c r="J1549">
        <v>0.43</v>
      </c>
      <c r="K1549" s="245">
        <v>-4.3499999999999996</v>
      </c>
      <c r="L1549" s="245">
        <v>65.540000000000006</v>
      </c>
      <c r="M1549" s="245">
        <v>7.99</v>
      </c>
    </row>
    <row r="1550" spans="1:13">
      <c r="A1550">
        <v>8048</v>
      </c>
      <c r="B1550" t="s">
        <v>5967</v>
      </c>
      <c r="C1550">
        <v>5.44</v>
      </c>
      <c r="D1550">
        <v>12</v>
      </c>
      <c r="E1550">
        <v>14</v>
      </c>
      <c r="F1550">
        <v>-4</v>
      </c>
      <c r="G1550">
        <v>26</v>
      </c>
      <c r="H1550">
        <v>10.96</v>
      </c>
      <c r="I1550">
        <v>2.2000000000000002</v>
      </c>
      <c r="J1550">
        <v>2.94</v>
      </c>
      <c r="K1550" s="245">
        <v>-17.32</v>
      </c>
      <c r="L1550" s="245">
        <v>40.049999999999997</v>
      </c>
      <c r="M1550" s="245">
        <v>2.94</v>
      </c>
    </row>
    <row r="1551" spans="1:13">
      <c r="A1551">
        <v>8049</v>
      </c>
      <c r="B1551" t="s">
        <v>5968</v>
      </c>
      <c r="C1551">
        <v>11.82</v>
      </c>
      <c r="D1551">
        <v>26</v>
      </c>
      <c r="E1551">
        <v>11</v>
      </c>
      <c r="F1551">
        <v>-16</v>
      </c>
      <c r="G1551">
        <v>7</v>
      </c>
      <c r="H1551">
        <v>16.72</v>
      </c>
      <c r="I1551">
        <v>2.1</v>
      </c>
      <c r="J1551">
        <v>2.61</v>
      </c>
      <c r="K1551" s="245">
        <v>-10.81</v>
      </c>
      <c r="L1551" s="245">
        <v>24.97</v>
      </c>
      <c r="M1551" s="245">
        <v>13.28</v>
      </c>
    </row>
    <row r="1552" spans="1:13">
      <c r="A1552">
        <v>8050</v>
      </c>
      <c r="B1552" t="s">
        <v>5969</v>
      </c>
      <c r="C1552">
        <v>17.7</v>
      </c>
      <c r="D1552">
        <v>265</v>
      </c>
      <c r="E1552">
        <v>493</v>
      </c>
      <c r="F1552">
        <v>83</v>
      </c>
      <c r="G1552">
        <v>69</v>
      </c>
      <c r="H1552">
        <v>2.74</v>
      </c>
      <c r="I1552">
        <v>2.1800000000000002</v>
      </c>
      <c r="J1552">
        <v>2.69</v>
      </c>
      <c r="K1552" s="245">
        <v>-8.52</v>
      </c>
      <c r="L1552" s="245">
        <v>75.45</v>
      </c>
      <c r="M1552" s="245">
        <v>3.47</v>
      </c>
    </row>
    <row r="1553" spans="1:13">
      <c r="A1553">
        <v>8054</v>
      </c>
      <c r="B1553" t="s">
        <v>5970</v>
      </c>
      <c r="C1553">
        <v>9.08</v>
      </c>
      <c r="D1553">
        <v>555727</v>
      </c>
      <c r="E1553">
        <v>451</v>
      </c>
      <c r="F1553">
        <v>0</v>
      </c>
      <c r="G1553">
        <v>-11</v>
      </c>
      <c r="H1553">
        <v>9.3800000000000008</v>
      </c>
      <c r="I1553">
        <v>1.65</v>
      </c>
      <c r="J1553">
        <v>3.25</v>
      </c>
      <c r="K1553" s="245">
        <v>-40.299999999999997</v>
      </c>
      <c r="L1553" s="245">
        <v>12.64</v>
      </c>
      <c r="M1553" s="245">
        <v>37.950000000000003</v>
      </c>
    </row>
    <row r="1554" spans="1:13">
      <c r="A1554">
        <v>8059</v>
      </c>
      <c r="B1554" t="s">
        <v>6673</v>
      </c>
      <c r="C1554">
        <v>18.86</v>
      </c>
      <c r="D1554">
        <v>-1905</v>
      </c>
      <c r="E1554">
        <v>-137</v>
      </c>
      <c r="F1554">
        <v>-7</v>
      </c>
      <c r="G1554">
        <v>3</v>
      </c>
      <c r="H1554">
        <v>-9.19</v>
      </c>
      <c r="I1554">
        <v>0</v>
      </c>
      <c r="J1554">
        <v>-0.8</v>
      </c>
      <c r="K1554" s="245">
        <v>-27.91</v>
      </c>
      <c r="L1554" s="245">
        <v>20.46</v>
      </c>
      <c r="M1554" s="245">
        <v>3.29</v>
      </c>
    </row>
    <row r="1555" spans="1:13">
      <c r="A1555">
        <v>8064</v>
      </c>
      <c r="B1555" t="s">
        <v>5971</v>
      </c>
      <c r="C1555">
        <v>16.48</v>
      </c>
      <c r="D1555">
        <v>462</v>
      </c>
      <c r="E1555">
        <v>214</v>
      </c>
      <c r="F1555">
        <v>82</v>
      </c>
      <c r="G1555">
        <v>-8</v>
      </c>
      <c r="H1555">
        <v>13.8</v>
      </c>
      <c r="I1555">
        <v>1.25</v>
      </c>
      <c r="J1555">
        <v>2.12</v>
      </c>
      <c r="K1555" s="245">
        <v>-27.42</v>
      </c>
      <c r="L1555" s="245">
        <v>23.09</v>
      </c>
      <c r="M1555" s="245">
        <v>20.28</v>
      </c>
    </row>
    <row r="1556" spans="1:13">
      <c r="A1556">
        <v>8066</v>
      </c>
      <c r="B1556" t="s">
        <v>6312</v>
      </c>
      <c r="C1556">
        <v>3.01</v>
      </c>
      <c r="D1556">
        <v>-28</v>
      </c>
      <c r="E1556">
        <v>-30</v>
      </c>
      <c r="F1556">
        <v>58</v>
      </c>
      <c r="G1556">
        <v>-23</v>
      </c>
      <c r="H1556">
        <v>2.8</v>
      </c>
      <c r="I1556">
        <v>1</v>
      </c>
      <c r="J1556">
        <v>1.1100000000000001</v>
      </c>
      <c r="K1556" s="245">
        <v>-43.27</v>
      </c>
      <c r="L1556" s="245">
        <v>22</v>
      </c>
      <c r="M1556" s="245">
        <v>1.91</v>
      </c>
    </row>
    <row r="1557" spans="1:13">
      <c r="A1557">
        <v>8067</v>
      </c>
      <c r="B1557" t="s">
        <v>6674</v>
      </c>
      <c r="C1557">
        <v>3</v>
      </c>
      <c r="D1557">
        <v>12</v>
      </c>
      <c r="E1557">
        <v>13</v>
      </c>
      <c r="F1557">
        <v>-61</v>
      </c>
      <c r="G1557">
        <v>-34</v>
      </c>
      <c r="H1557">
        <v>-12.07</v>
      </c>
      <c r="I1557">
        <v>0</v>
      </c>
      <c r="J1557">
        <v>-0.92</v>
      </c>
      <c r="K1557" s="245">
        <v>-25.02</v>
      </c>
      <c r="L1557" s="245">
        <v>19.22</v>
      </c>
      <c r="M1557" s="245">
        <v>1.41</v>
      </c>
    </row>
    <row r="1558" spans="1:13">
      <c r="A1558">
        <v>8068</v>
      </c>
      <c r="B1558" t="s">
        <v>6675</v>
      </c>
      <c r="C1558">
        <v>6.86</v>
      </c>
      <c r="D1558">
        <v>-44</v>
      </c>
      <c r="E1558">
        <v>-362</v>
      </c>
      <c r="F1558">
        <v>131</v>
      </c>
      <c r="G1558">
        <v>327</v>
      </c>
      <c r="H1558">
        <v>-12.45</v>
      </c>
      <c r="I1558">
        <v>0</v>
      </c>
      <c r="J1558">
        <v>-0.52</v>
      </c>
      <c r="K1558" s="245">
        <v>-43.69</v>
      </c>
      <c r="L1558" s="245">
        <v>14.44</v>
      </c>
      <c r="M1558" s="245">
        <v>1.66</v>
      </c>
    </row>
    <row r="1559" spans="1:13">
      <c r="A1559">
        <v>8069</v>
      </c>
      <c r="B1559" t="s">
        <v>5972</v>
      </c>
      <c r="C1559">
        <v>114</v>
      </c>
      <c r="D1559">
        <v>41</v>
      </c>
      <c r="E1559">
        <v>63</v>
      </c>
      <c r="F1559">
        <v>1</v>
      </c>
      <c r="G1559">
        <v>66</v>
      </c>
      <c r="H1559">
        <v>15.39</v>
      </c>
      <c r="I1559">
        <v>3.2</v>
      </c>
      <c r="J1559">
        <v>4.53</v>
      </c>
      <c r="K1559" s="245">
        <v>-13.27</v>
      </c>
      <c r="L1559" s="245">
        <v>66.34</v>
      </c>
      <c r="M1559" s="245">
        <v>9.06</v>
      </c>
    </row>
    <row r="1560" spans="1:13">
      <c r="A1560">
        <v>8070</v>
      </c>
      <c r="B1560" t="s">
        <v>5973</v>
      </c>
      <c r="C1560">
        <v>6.89</v>
      </c>
      <c r="D1560">
        <v>82</v>
      </c>
      <c r="E1560">
        <v>93</v>
      </c>
      <c r="F1560">
        <v>-8</v>
      </c>
      <c r="G1560">
        <v>16</v>
      </c>
      <c r="H1560">
        <v>12.38</v>
      </c>
      <c r="I1560">
        <v>2</v>
      </c>
      <c r="J1560">
        <v>2.54</v>
      </c>
      <c r="K1560" s="245">
        <v>-13.33</v>
      </c>
      <c r="L1560" s="245">
        <v>35.03</v>
      </c>
      <c r="M1560" s="245">
        <v>58.77</v>
      </c>
    </row>
    <row r="1561" spans="1:13">
      <c r="A1561">
        <v>8071</v>
      </c>
      <c r="B1561" t="s">
        <v>5974</v>
      </c>
      <c r="C1561">
        <v>5.18</v>
      </c>
      <c r="D1561">
        <v>756</v>
      </c>
      <c r="E1561">
        <v>141</v>
      </c>
      <c r="F1561">
        <v>15</v>
      </c>
      <c r="G1561">
        <v>-40</v>
      </c>
      <c r="H1561">
        <v>3.52</v>
      </c>
      <c r="I1561">
        <v>0</v>
      </c>
      <c r="J1561">
        <v>1.1100000000000001</v>
      </c>
      <c r="K1561" s="245">
        <v>-11.34</v>
      </c>
      <c r="L1561" s="245">
        <v>61.21</v>
      </c>
      <c r="M1561" s="245">
        <v>62.56</v>
      </c>
    </row>
    <row r="1562" spans="1:13">
      <c r="A1562">
        <v>8072</v>
      </c>
      <c r="B1562" t="s">
        <v>5975</v>
      </c>
      <c r="C1562">
        <v>8</v>
      </c>
      <c r="D1562">
        <v>1375</v>
      </c>
      <c r="E1562">
        <v>1036</v>
      </c>
      <c r="F1562">
        <v>42</v>
      </c>
      <c r="G1562">
        <v>-12</v>
      </c>
      <c r="H1562">
        <v>2.42</v>
      </c>
      <c r="I1562">
        <v>0.35</v>
      </c>
      <c r="J1562">
        <v>0.39</v>
      </c>
      <c r="K1562" s="245">
        <v>-17.36</v>
      </c>
      <c r="L1562" s="245">
        <v>14.51</v>
      </c>
      <c r="M1562" s="245">
        <v>1.18</v>
      </c>
    </row>
    <row r="1563" spans="1:13">
      <c r="A1563">
        <v>8074</v>
      </c>
      <c r="B1563" t="s">
        <v>5976</v>
      </c>
      <c r="C1563">
        <v>8.4499999999999993</v>
      </c>
      <c r="D1563">
        <v>12</v>
      </c>
      <c r="E1563">
        <v>5</v>
      </c>
      <c r="F1563">
        <v>-27</v>
      </c>
      <c r="G1563">
        <v>-15</v>
      </c>
      <c r="H1563">
        <v>7.89</v>
      </c>
      <c r="I1563">
        <v>1</v>
      </c>
      <c r="J1563">
        <v>0.94</v>
      </c>
      <c r="K1563" s="245">
        <v>-22.12</v>
      </c>
      <c r="L1563" s="245">
        <v>26.21</v>
      </c>
      <c r="M1563" s="245">
        <v>10.63</v>
      </c>
    </row>
    <row r="1564" spans="1:13">
      <c r="A1564">
        <v>8076</v>
      </c>
      <c r="B1564" t="s">
        <v>5977</v>
      </c>
      <c r="C1564">
        <v>27.75</v>
      </c>
      <c r="D1564">
        <v>267</v>
      </c>
      <c r="E1564">
        <v>447</v>
      </c>
      <c r="F1564">
        <v>13</v>
      </c>
      <c r="G1564">
        <v>-5</v>
      </c>
      <c r="H1564">
        <v>5.38</v>
      </c>
      <c r="I1564">
        <v>0</v>
      </c>
      <c r="J1564">
        <v>0.55000000000000004</v>
      </c>
      <c r="K1564" s="245">
        <v>-36.020000000000003</v>
      </c>
      <c r="L1564" s="245">
        <v>9.2799999999999994</v>
      </c>
      <c r="M1564" s="245">
        <v>8.66</v>
      </c>
    </row>
    <row r="1565" spans="1:13">
      <c r="A1565">
        <v>8077</v>
      </c>
      <c r="B1565" t="s">
        <v>6676</v>
      </c>
      <c r="C1565">
        <v>10.97</v>
      </c>
      <c r="D1565">
        <v>57</v>
      </c>
      <c r="E1565">
        <v>22</v>
      </c>
      <c r="F1565">
        <v>-7</v>
      </c>
      <c r="G1565">
        <v>27</v>
      </c>
      <c r="H1565">
        <v>-63.82</v>
      </c>
      <c r="I1565">
        <v>0</v>
      </c>
      <c r="J1565">
        <v>-3.3</v>
      </c>
      <c r="K1565" s="245">
        <v>-30</v>
      </c>
      <c r="L1565" s="245">
        <v>26.31</v>
      </c>
      <c r="M1565" s="245">
        <v>0.4</v>
      </c>
    </row>
    <row r="1566" spans="1:13">
      <c r="A1566">
        <v>8080</v>
      </c>
      <c r="B1566" t="s">
        <v>6677</v>
      </c>
      <c r="C1566">
        <v>2.31</v>
      </c>
      <c r="D1566">
        <v>15</v>
      </c>
      <c r="E1566">
        <v>105</v>
      </c>
      <c r="F1566">
        <v>42</v>
      </c>
      <c r="G1566">
        <v>14</v>
      </c>
      <c r="H1566">
        <v>1.1399999999999999</v>
      </c>
      <c r="I1566">
        <v>0</v>
      </c>
      <c r="J1566">
        <v>-1.21</v>
      </c>
      <c r="K1566" s="245">
        <v>-41.35</v>
      </c>
      <c r="L1566" s="245">
        <v>30.42</v>
      </c>
      <c r="M1566" s="245">
        <v>5.0999999999999996</v>
      </c>
    </row>
    <row r="1567" spans="1:13">
      <c r="A1567">
        <v>8081</v>
      </c>
      <c r="B1567" t="s">
        <v>5978</v>
      </c>
      <c r="C1567">
        <v>8.61</v>
      </c>
      <c r="D1567">
        <v>108</v>
      </c>
      <c r="E1567">
        <v>105</v>
      </c>
      <c r="F1567">
        <v>19</v>
      </c>
      <c r="G1567">
        <v>24</v>
      </c>
      <c r="H1567">
        <v>29.7</v>
      </c>
      <c r="I1567">
        <v>16</v>
      </c>
      <c r="J1567">
        <v>25.45</v>
      </c>
      <c r="K1567" s="245">
        <v>-32.39</v>
      </c>
      <c r="L1567" s="245">
        <v>20.2</v>
      </c>
      <c r="M1567" s="245">
        <v>7.34</v>
      </c>
    </row>
    <row r="1568" spans="1:13">
      <c r="A1568">
        <v>8083</v>
      </c>
      <c r="B1568" t="s">
        <v>6346</v>
      </c>
      <c r="C1568">
        <v>3.51</v>
      </c>
      <c r="D1568">
        <v>-8</v>
      </c>
      <c r="E1568">
        <v>-8</v>
      </c>
      <c r="F1568">
        <v>-22</v>
      </c>
      <c r="G1568">
        <v>-30</v>
      </c>
      <c r="H1568">
        <v>20.63</v>
      </c>
      <c r="I1568">
        <v>10.199999999999999</v>
      </c>
      <c r="J1568">
        <v>10.08</v>
      </c>
      <c r="K1568" s="245">
        <v>-11.05</v>
      </c>
      <c r="L1568" s="245">
        <v>37.340000000000003</v>
      </c>
      <c r="M1568" s="245">
        <v>0.81</v>
      </c>
    </row>
    <row r="1569" spans="1:13">
      <c r="A1569">
        <v>8084</v>
      </c>
      <c r="B1569" t="s">
        <v>6678</v>
      </c>
      <c r="C1569">
        <v>6.95</v>
      </c>
      <c r="D1569">
        <v>62</v>
      </c>
      <c r="E1569">
        <v>64</v>
      </c>
      <c r="F1569">
        <v>4</v>
      </c>
      <c r="G1569">
        <v>16</v>
      </c>
      <c r="H1569">
        <v>-7.56</v>
      </c>
      <c r="I1569">
        <v>0</v>
      </c>
      <c r="J1569">
        <v>-0.83</v>
      </c>
      <c r="K1569" s="245">
        <v>-9.32</v>
      </c>
      <c r="L1569" s="245">
        <v>86.59</v>
      </c>
      <c r="M1569" s="245">
        <v>1.81</v>
      </c>
    </row>
    <row r="1570" spans="1:13">
      <c r="A1570">
        <v>8085</v>
      </c>
      <c r="B1570" t="s">
        <v>6234</v>
      </c>
      <c r="C1570">
        <v>13.99</v>
      </c>
      <c r="D1570">
        <v>144</v>
      </c>
      <c r="E1570">
        <v>84</v>
      </c>
      <c r="F1570">
        <v>-7</v>
      </c>
      <c r="G1570">
        <v>-8</v>
      </c>
      <c r="H1570">
        <v>-2.36</v>
      </c>
      <c r="I1570">
        <v>0.2</v>
      </c>
      <c r="J1570">
        <v>0.24</v>
      </c>
      <c r="K1570" s="245">
        <v>-15.4</v>
      </c>
      <c r="L1570" s="245">
        <v>50.17</v>
      </c>
      <c r="M1570" s="245">
        <v>7.82</v>
      </c>
    </row>
    <row r="1571" spans="1:13">
      <c r="A1571">
        <v>8086</v>
      </c>
      <c r="B1571" t="s">
        <v>5979</v>
      </c>
      <c r="C1571">
        <v>19.649999999999999</v>
      </c>
      <c r="D1571">
        <v>35</v>
      </c>
      <c r="E1571">
        <v>25</v>
      </c>
      <c r="F1571">
        <v>2</v>
      </c>
      <c r="G1571">
        <v>-50</v>
      </c>
      <c r="H1571">
        <v>20.71</v>
      </c>
      <c r="I1571">
        <v>2.8</v>
      </c>
      <c r="J1571">
        <v>4.29</v>
      </c>
      <c r="K1571" s="245">
        <v>-59.29</v>
      </c>
      <c r="L1571" s="245">
        <v>6.42</v>
      </c>
      <c r="M1571" s="245">
        <v>13.29</v>
      </c>
    </row>
    <row r="1572" spans="1:13">
      <c r="A1572">
        <v>8087</v>
      </c>
      <c r="B1572" t="s">
        <v>6679</v>
      </c>
      <c r="C1572">
        <v>2.9</v>
      </c>
      <c r="D1572">
        <v>-324</v>
      </c>
      <c r="E1572">
        <v>-251</v>
      </c>
      <c r="F1572">
        <v>-3</v>
      </c>
      <c r="G1572">
        <v>769</v>
      </c>
      <c r="H1572">
        <v>-63.11</v>
      </c>
      <c r="I1572">
        <v>0</v>
      </c>
      <c r="J1572">
        <v>-0.84</v>
      </c>
      <c r="K1572" s="245">
        <v>-2.5099999999999998</v>
      </c>
      <c r="L1572" s="245">
        <v>81.41</v>
      </c>
      <c r="M1572" s="245">
        <v>12.86</v>
      </c>
    </row>
    <row r="1573" spans="1:13">
      <c r="A1573">
        <v>8088</v>
      </c>
      <c r="B1573" t="s">
        <v>5980</v>
      </c>
      <c r="C1573">
        <v>6.09</v>
      </c>
      <c r="D1573">
        <v>-16</v>
      </c>
      <c r="E1573">
        <v>-25</v>
      </c>
      <c r="F1573">
        <v>48</v>
      </c>
      <c r="G1573">
        <v>-7</v>
      </c>
      <c r="H1573">
        <v>7.21</v>
      </c>
      <c r="I1573">
        <v>1</v>
      </c>
      <c r="J1573">
        <v>1.64</v>
      </c>
      <c r="K1573" s="245">
        <v>-35.770000000000003</v>
      </c>
      <c r="L1573" s="245">
        <v>18.14</v>
      </c>
      <c r="M1573" s="245">
        <v>33.64</v>
      </c>
    </row>
    <row r="1574" spans="1:13">
      <c r="A1574">
        <v>8089</v>
      </c>
      <c r="B1574" t="s">
        <v>5981</v>
      </c>
      <c r="C1574">
        <v>5.79</v>
      </c>
      <c r="D1574">
        <v>-112</v>
      </c>
      <c r="E1574">
        <v>-107</v>
      </c>
      <c r="F1574">
        <v>-14</v>
      </c>
      <c r="G1574">
        <v>-3</v>
      </c>
      <c r="H1574">
        <v>-1.22</v>
      </c>
      <c r="I1574">
        <v>1</v>
      </c>
      <c r="J1574">
        <v>-0.46</v>
      </c>
      <c r="K1574" s="245">
        <v>-38.58</v>
      </c>
      <c r="L1574" s="245">
        <v>21.84</v>
      </c>
      <c r="M1574" s="245">
        <v>6.48</v>
      </c>
    </row>
    <row r="1575" spans="1:13">
      <c r="A1575">
        <v>8091</v>
      </c>
      <c r="B1575" t="s">
        <v>5982</v>
      </c>
      <c r="C1575">
        <v>4.55</v>
      </c>
      <c r="D1575">
        <v>50</v>
      </c>
      <c r="E1575">
        <v>15</v>
      </c>
      <c r="F1575">
        <v>5</v>
      </c>
      <c r="G1575">
        <v>54</v>
      </c>
      <c r="H1575">
        <v>18.2</v>
      </c>
      <c r="I1575">
        <v>4</v>
      </c>
      <c r="J1575">
        <v>5.92</v>
      </c>
      <c r="K1575" s="245">
        <v>-18.64</v>
      </c>
      <c r="L1575" s="245">
        <v>28.07</v>
      </c>
      <c r="M1575" s="245">
        <v>12.63</v>
      </c>
    </row>
    <row r="1576" spans="1:13">
      <c r="A1576">
        <v>8092</v>
      </c>
      <c r="B1576" t="s">
        <v>6680</v>
      </c>
      <c r="C1576">
        <v>3.88</v>
      </c>
      <c r="D1576">
        <v>-17</v>
      </c>
      <c r="E1576">
        <v>19</v>
      </c>
      <c r="F1576">
        <v>-38</v>
      </c>
      <c r="G1576">
        <v>9</v>
      </c>
      <c r="H1576">
        <v>-6.66</v>
      </c>
      <c r="I1576">
        <v>0</v>
      </c>
      <c r="J1576">
        <v>-0.57999999999999996</v>
      </c>
      <c r="K1576" s="245">
        <v>-35.409999999999997</v>
      </c>
      <c r="L1576" s="245">
        <v>18.79</v>
      </c>
      <c r="M1576" s="245">
        <v>11.72</v>
      </c>
    </row>
    <row r="1577" spans="1:13">
      <c r="A1577">
        <v>8093</v>
      </c>
      <c r="B1577" t="s">
        <v>6681</v>
      </c>
      <c r="C1577">
        <v>6.42</v>
      </c>
      <c r="D1577">
        <v>-371</v>
      </c>
      <c r="E1577">
        <v>-627</v>
      </c>
      <c r="F1577">
        <v>47</v>
      </c>
      <c r="G1577">
        <v>-48</v>
      </c>
      <c r="H1577">
        <v>-14.12</v>
      </c>
      <c r="I1577">
        <v>0</v>
      </c>
      <c r="J1577">
        <v>-0.83</v>
      </c>
      <c r="K1577" s="245">
        <v>-26.17</v>
      </c>
      <c r="L1577" s="245">
        <v>42.29</v>
      </c>
      <c r="M1577" s="245">
        <v>3.06</v>
      </c>
    </row>
    <row r="1578" spans="1:13">
      <c r="A1578">
        <v>8096</v>
      </c>
      <c r="B1578" t="s">
        <v>5983</v>
      </c>
      <c r="C1578">
        <v>14.52</v>
      </c>
      <c r="D1578">
        <v>71</v>
      </c>
      <c r="E1578">
        <v>2</v>
      </c>
      <c r="F1578">
        <v>46</v>
      </c>
      <c r="G1578">
        <v>25</v>
      </c>
      <c r="H1578">
        <v>0.96</v>
      </c>
      <c r="I1578">
        <v>0.5</v>
      </c>
      <c r="J1578">
        <v>1.1299999999999999</v>
      </c>
      <c r="K1578" s="245">
        <v>-23.87</v>
      </c>
      <c r="L1578" s="245">
        <v>24.01</v>
      </c>
      <c r="M1578" s="245">
        <v>19.670000000000002</v>
      </c>
    </row>
    <row r="1579" spans="1:13">
      <c r="A1579">
        <v>8097</v>
      </c>
      <c r="B1579" t="s">
        <v>5984</v>
      </c>
      <c r="C1579">
        <v>4.3099999999999996</v>
      </c>
      <c r="D1579">
        <v>-7</v>
      </c>
      <c r="E1579">
        <v>16</v>
      </c>
      <c r="F1579">
        <v>173</v>
      </c>
      <c r="G1579">
        <v>178</v>
      </c>
      <c r="H1579">
        <v>-3.24</v>
      </c>
      <c r="I1579">
        <v>0</v>
      </c>
      <c r="J1579">
        <v>-0.31</v>
      </c>
      <c r="K1579" s="245">
        <v>-3.78</v>
      </c>
      <c r="L1579" s="245">
        <v>83.55</v>
      </c>
      <c r="M1579" s="245">
        <v>27.91</v>
      </c>
    </row>
    <row r="1580" spans="1:13">
      <c r="A1580">
        <v>8099</v>
      </c>
      <c r="B1580" t="s">
        <v>5985</v>
      </c>
      <c r="C1580">
        <v>8.85</v>
      </c>
      <c r="D1580">
        <v>22</v>
      </c>
      <c r="E1580">
        <v>36</v>
      </c>
      <c r="F1580">
        <v>-32</v>
      </c>
      <c r="G1580">
        <v>-12</v>
      </c>
      <c r="H1580">
        <v>5.01</v>
      </c>
      <c r="I1580">
        <v>1.8</v>
      </c>
      <c r="J1580">
        <v>2.0099999999999998</v>
      </c>
      <c r="K1580" s="245">
        <v>-18.03</v>
      </c>
      <c r="L1580" s="245">
        <v>48.35</v>
      </c>
      <c r="M1580" s="245">
        <v>5.86</v>
      </c>
    </row>
    <row r="1581" spans="1:13">
      <c r="A1581">
        <v>8101</v>
      </c>
      <c r="B1581" t="s">
        <v>6682</v>
      </c>
      <c r="C1581">
        <v>20.8</v>
      </c>
      <c r="D1581">
        <v>100</v>
      </c>
      <c r="E1581">
        <v>22</v>
      </c>
      <c r="F1581">
        <v>45</v>
      </c>
      <c r="G1581">
        <v>-38</v>
      </c>
      <c r="H1581">
        <v>-73.19</v>
      </c>
      <c r="I1581">
        <v>0</v>
      </c>
      <c r="J1581">
        <v>0.03</v>
      </c>
      <c r="K1581" s="245">
        <v>-32.869999999999997</v>
      </c>
      <c r="L1581" s="245">
        <v>13.43</v>
      </c>
      <c r="M1581" s="245">
        <v>1.32</v>
      </c>
    </row>
    <row r="1582" spans="1:13">
      <c r="A1582">
        <v>8103</v>
      </c>
      <c r="B1582" t="s">
        <v>5986</v>
      </c>
      <c r="C1582">
        <v>7.89</v>
      </c>
      <c r="D1582">
        <v>56</v>
      </c>
      <c r="E1582">
        <v>43</v>
      </c>
      <c r="F1582">
        <v>32</v>
      </c>
      <c r="G1582">
        <v>4</v>
      </c>
      <c r="H1582">
        <v>13.29</v>
      </c>
      <c r="I1582">
        <v>2</v>
      </c>
      <c r="J1582">
        <v>4.29</v>
      </c>
      <c r="K1582" s="245">
        <v>-32.299999999999997</v>
      </c>
      <c r="L1582" s="245">
        <v>4.37</v>
      </c>
      <c r="M1582" s="245">
        <v>30.28</v>
      </c>
    </row>
    <row r="1583" spans="1:13">
      <c r="A1583">
        <v>8104</v>
      </c>
      <c r="B1583" t="s">
        <v>5987</v>
      </c>
      <c r="C1583">
        <v>7.46</v>
      </c>
      <c r="D1583">
        <v>1</v>
      </c>
      <c r="E1583">
        <v>-14</v>
      </c>
      <c r="F1583">
        <v>3</v>
      </c>
      <c r="G1583">
        <v>-26</v>
      </c>
      <c r="H1583">
        <v>6.7</v>
      </c>
      <c r="I1583">
        <v>2</v>
      </c>
      <c r="J1583">
        <v>2.86</v>
      </c>
      <c r="K1583" s="245">
        <v>-49.79</v>
      </c>
      <c r="L1583" s="245">
        <v>5.9</v>
      </c>
      <c r="M1583" s="245">
        <v>64.97</v>
      </c>
    </row>
    <row r="1584" spans="1:13">
      <c r="A1584">
        <v>8105</v>
      </c>
      <c r="B1584" t="s">
        <v>5988</v>
      </c>
      <c r="C1584">
        <v>44.15</v>
      </c>
      <c r="D1584">
        <v>108</v>
      </c>
      <c r="E1584">
        <v>116</v>
      </c>
      <c r="F1584">
        <v>-18</v>
      </c>
      <c r="G1584">
        <v>-17</v>
      </c>
      <c r="H1584">
        <v>1.23</v>
      </c>
      <c r="I1584">
        <v>0</v>
      </c>
      <c r="J1584">
        <v>0.21</v>
      </c>
      <c r="K1584" s="245">
        <v>-30.34</v>
      </c>
      <c r="L1584" s="245">
        <v>12.88</v>
      </c>
      <c r="M1584" s="245">
        <v>10.31</v>
      </c>
    </row>
    <row r="1585" spans="1:13">
      <c r="A1585">
        <v>8107</v>
      </c>
      <c r="B1585" t="s">
        <v>5989</v>
      </c>
      <c r="C1585">
        <v>7.5</v>
      </c>
      <c r="D1585">
        <v>300</v>
      </c>
      <c r="E1585">
        <v>1</v>
      </c>
      <c r="F1585">
        <v>52</v>
      </c>
      <c r="G1585">
        <v>-27</v>
      </c>
      <c r="H1585">
        <v>-4.7300000000000004</v>
      </c>
      <c r="I1585">
        <v>0.15</v>
      </c>
      <c r="J1585">
        <v>0.27</v>
      </c>
      <c r="K1585" s="245">
        <v>-27.97</v>
      </c>
      <c r="L1585" s="245">
        <v>7.57</v>
      </c>
      <c r="M1585" s="245">
        <v>7.31</v>
      </c>
    </row>
    <row r="1586" spans="1:13">
      <c r="A1586">
        <v>8109</v>
      </c>
      <c r="B1586" t="s">
        <v>6166</v>
      </c>
      <c r="C1586">
        <v>7.76</v>
      </c>
      <c r="D1586">
        <v>22</v>
      </c>
      <c r="E1586">
        <v>22</v>
      </c>
      <c r="F1586">
        <v>-10</v>
      </c>
      <c r="G1586">
        <v>4</v>
      </c>
      <c r="H1586">
        <v>35.26</v>
      </c>
      <c r="I1586">
        <v>4</v>
      </c>
      <c r="J1586">
        <v>5.28</v>
      </c>
      <c r="K1586" s="245">
        <v>-13.71</v>
      </c>
      <c r="L1586" s="245">
        <v>13.86</v>
      </c>
      <c r="M1586" s="245">
        <v>1.07</v>
      </c>
    </row>
    <row r="1587" spans="1:13">
      <c r="A1587">
        <v>8110</v>
      </c>
      <c r="B1587" t="s">
        <v>5990</v>
      </c>
      <c r="C1587">
        <v>52.17</v>
      </c>
      <c r="D1587">
        <v>-53</v>
      </c>
      <c r="E1587">
        <v>159</v>
      </c>
      <c r="F1587">
        <v>0</v>
      </c>
      <c r="G1587">
        <v>58</v>
      </c>
      <c r="H1587">
        <v>0.68</v>
      </c>
      <c r="I1587">
        <v>0.13</v>
      </c>
      <c r="J1587">
        <v>0.43</v>
      </c>
      <c r="K1587" s="245">
        <v>-48.8</v>
      </c>
      <c r="L1587" s="245">
        <v>14.85</v>
      </c>
      <c r="M1587" s="245">
        <v>22.71</v>
      </c>
    </row>
    <row r="1588" spans="1:13">
      <c r="A1588">
        <v>8111</v>
      </c>
      <c r="B1588" t="s">
        <v>5991</v>
      </c>
      <c r="C1588">
        <v>10.91</v>
      </c>
      <c r="D1588">
        <v>191</v>
      </c>
      <c r="E1588">
        <v>10</v>
      </c>
      <c r="F1588">
        <v>1</v>
      </c>
      <c r="G1588">
        <v>-32</v>
      </c>
      <c r="H1588">
        <v>13.97</v>
      </c>
      <c r="I1588">
        <v>2.1</v>
      </c>
      <c r="J1588">
        <v>3.61</v>
      </c>
      <c r="K1588" s="245">
        <v>-34.03</v>
      </c>
      <c r="L1588" s="245">
        <v>17.37</v>
      </c>
      <c r="M1588" s="245">
        <v>36.92</v>
      </c>
    </row>
    <row r="1589" spans="1:13">
      <c r="A1589">
        <v>8112</v>
      </c>
      <c r="B1589" t="s">
        <v>5992</v>
      </c>
      <c r="C1589">
        <v>42.84</v>
      </c>
      <c r="D1589">
        <v>71</v>
      </c>
      <c r="E1589">
        <v>93</v>
      </c>
      <c r="F1589">
        <v>-19</v>
      </c>
      <c r="G1589">
        <v>-3</v>
      </c>
      <c r="H1589">
        <v>2.15</v>
      </c>
      <c r="I1589">
        <v>4</v>
      </c>
      <c r="J1589">
        <v>7.02</v>
      </c>
      <c r="K1589" s="245">
        <v>-19.420000000000002</v>
      </c>
      <c r="L1589" s="245">
        <v>20.94</v>
      </c>
      <c r="M1589" s="245">
        <v>14.47</v>
      </c>
    </row>
    <row r="1590" spans="1:13">
      <c r="A1590">
        <v>8114</v>
      </c>
      <c r="B1590" t="s">
        <v>5993</v>
      </c>
      <c r="C1590">
        <v>7.51</v>
      </c>
      <c r="D1590">
        <v>438</v>
      </c>
      <c r="E1590">
        <v>126</v>
      </c>
      <c r="F1590">
        <v>-21</v>
      </c>
      <c r="G1590">
        <v>32</v>
      </c>
      <c r="H1590">
        <v>11.47</v>
      </c>
      <c r="I1590">
        <v>4.5</v>
      </c>
      <c r="J1590">
        <v>6.21</v>
      </c>
      <c r="K1590" s="245">
        <v>-17.95</v>
      </c>
      <c r="L1590" s="245">
        <v>63.58</v>
      </c>
      <c r="M1590" s="245">
        <v>7.88</v>
      </c>
    </row>
    <row r="1591" spans="1:13">
      <c r="A1591">
        <v>8121</v>
      </c>
      <c r="B1591" t="s">
        <v>6414</v>
      </c>
      <c r="C1591">
        <v>18.29</v>
      </c>
      <c r="D1591">
        <v>142</v>
      </c>
      <c r="E1591">
        <v>53</v>
      </c>
      <c r="F1591">
        <v>-22</v>
      </c>
      <c r="G1591">
        <v>-12</v>
      </c>
      <c r="H1591">
        <v>5.05</v>
      </c>
      <c r="I1591">
        <v>0</v>
      </c>
      <c r="J1591">
        <v>0.32</v>
      </c>
      <c r="K1591" s="245">
        <v>-52.14</v>
      </c>
      <c r="L1591" s="245">
        <v>11.74</v>
      </c>
      <c r="M1591" s="245">
        <v>39.229999999999997</v>
      </c>
    </row>
    <row r="1592" spans="1:13">
      <c r="A1592">
        <v>8131</v>
      </c>
      <c r="B1592" t="s">
        <v>5994</v>
      </c>
      <c r="C1592">
        <v>44.22</v>
      </c>
      <c r="D1592">
        <v>11</v>
      </c>
      <c r="E1592">
        <v>11</v>
      </c>
      <c r="F1592">
        <v>4</v>
      </c>
      <c r="G1592">
        <v>9</v>
      </c>
      <c r="H1592">
        <v>18.84</v>
      </c>
      <c r="I1592">
        <v>2.5</v>
      </c>
      <c r="J1592">
        <v>3.52</v>
      </c>
      <c r="K1592" s="245">
        <v>-7.39</v>
      </c>
      <c r="L1592" s="245">
        <v>35.96</v>
      </c>
      <c r="M1592" s="245">
        <v>0.42</v>
      </c>
    </row>
    <row r="1593" spans="1:13">
      <c r="A1593">
        <v>8147</v>
      </c>
      <c r="B1593" t="s">
        <v>5995</v>
      </c>
      <c r="C1593">
        <v>3.23</v>
      </c>
      <c r="D1593">
        <v>205</v>
      </c>
      <c r="E1593">
        <v>285</v>
      </c>
      <c r="F1593">
        <v>64</v>
      </c>
      <c r="G1593">
        <v>23</v>
      </c>
      <c r="H1593">
        <v>6.99</v>
      </c>
      <c r="I1593">
        <v>1.1000000000000001</v>
      </c>
      <c r="J1593">
        <v>1.29</v>
      </c>
      <c r="K1593" s="245">
        <v>-11.94</v>
      </c>
      <c r="L1593" s="245">
        <v>45.58</v>
      </c>
      <c r="M1593" s="245">
        <v>14.04</v>
      </c>
    </row>
    <row r="1594" spans="1:13">
      <c r="A1594">
        <v>8150</v>
      </c>
      <c r="B1594" t="s">
        <v>5996</v>
      </c>
      <c r="C1594">
        <v>72.72</v>
      </c>
      <c r="D1594">
        <v>113</v>
      </c>
      <c r="E1594">
        <v>55</v>
      </c>
      <c r="F1594">
        <v>12</v>
      </c>
      <c r="G1594">
        <v>0</v>
      </c>
      <c r="H1594">
        <v>20.3</v>
      </c>
      <c r="I1594">
        <v>4.3</v>
      </c>
      <c r="J1594">
        <v>6.96</v>
      </c>
      <c r="K1594" s="245">
        <v>-24.51</v>
      </c>
      <c r="L1594" s="245">
        <v>27.97</v>
      </c>
      <c r="M1594" s="245">
        <v>11.26</v>
      </c>
    </row>
    <row r="1595" spans="1:13">
      <c r="A1595">
        <v>8155</v>
      </c>
      <c r="B1595" t="s">
        <v>5997</v>
      </c>
      <c r="C1595">
        <v>4.97</v>
      </c>
      <c r="D1595">
        <v>-26</v>
      </c>
      <c r="E1595">
        <v>-29</v>
      </c>
      <c r="F1595">
        <v>1</v>
      </c>
      <c r="G1595">
        <v>37</v>
      </c>
      <c r="H1595">
        <v>15.7</v>
      </c>
      <c r="I1595">
        <v>6</v>
      </c>
      <c r="J1595">
        <v>7.85</v>
      </c>
      <c r="K1595" s="245">
        <v>-29.33</v>
      </c>
      <c r="L1595" s="245">
        <v>22.1</v>
      </c>
      <c r="M1595" s="245">
        <v>28.8</v>
      </c>
    </row>
    <row r="1596" spans="1:13">
      <c r="A1596">
        <v>8163</v>
      </c>
      <c r="B1596" t="s">
        <v>5998</v>
      </c>
      <c r="C1596">
        <v>28</v>
      </c>
      <c r="D1596">
        <v>36</v>
      </c>
      <c r="E1596">
        <v>31</v>
      </c>
      <c r="F1596">
        <v>-9</v>
      </c>
      <c r="G1596">
        <v>-1</v>
      </c>
      <c r="H1596">
        <v>5.31</v>
      </c>
      <c r="I1596">
        <v>3</v>
      </c>
      <c r="J1596">
        <v>4.09</v>
      </c>
      <c r="K1596" s="245">
        <v>-16.829999999999998</v>
      </c>
      <c r="L1596" s="245">
        <v>31.49</v>
      </c>
      <c r="M1596" s="245">
        <v>8.2200000000000006</v>
      </c>
    </row>
    <row r="1597" spans="1:13">
      <c r="A1597">
        <v>8171</v>
      </c>
      <c r="B1597" t="s">
        <v>5999</v>
      </c>
      <c r="C1597">
        <v>5.87</v>
      </c>
      <c r="D1597">
        <v>2</v>
      </c>
      <c r="E1597">
        <v>0</v>
      </c>
      <c r="F1597">
        <v>-30</v>
      </c>
      <c r="G1597">
        <v>93</v>
      </c>
      <c r="H1597">
        <v>-6.81</v>
      </c>
      <c r="I1597">
        <v>0</v>
      </c>
      <c r="J1597">
        <v>-1.22</v>
      </c>
      <c r="K1597" s="245">
        <v>-32.21</v>
      </c>
      <c r="L1597" s="245">
        <v>47.77</v>
      </c>
      <c r="M1597" s="245">
        <v>23.12</v>
      </c>
    </row>
    <row r="1598" spans="1:13">
      <c r="A1598">
        <v>8176</v>
      </c>
      <c r="B1598" t="s">
        <v>6683</v>
      </c>
      <c r="C1598">
        <v>7.17</v>
      </c>
      <c r="D1598">
        <v>96</v>
      </c>
      <c r="E1598">
        <v>7</v>
      </c>
      <c r="F1598">
        <v>11</v>
      </c>
      <c r="G1598">
        <v>221</v>
      </c>
      <c r="H1598">
        <v>-50.26</v>
      </c>
      <c r="I1598">
        <v>0</v>
      </c>
      <c r="J1598">
        <v>-0.88</v>
      </c>
      <c r="K1598" s="245">
        <v>-20.45</v>
      </c>
      <c r="L1598" s="245">
        <v>55.4</v>
      </c>
      <c r="M1598" s="245">
        <v>5.93</v>
      </c>
    </row>
    <row r="1599" spans="1:13">
      <c r="A1599">
        <v>8182</v>
      </c>
      <c r="B1599" t="s">
        <v>6000</v>
      </c>
      <c r="C1599">
        <v>10.7</v>
      </c>
      <c r="D1599">
        <v>128</v>
      </c>
      <c r="E1599">
        <v>104</v>
      </c>
      <c r="F1599">
        <v>13</v>
      </c>
      <c r="G1599">
        <v>-12</v>
      </c>
      <c r="H1599">
        <v>18.23</v>
      </c>
      <c r="I1599">
        <v>3</v>
      </c>
      <c r="J1599">
        <v>4.76</v>
      </c>
      <c r="K1599" s="245">
        <v>-35.04</v>
      </c>
      <c r="L1599" s="245">
        <v>15.26</v>
      </c>
      <c r="M1599" s="245">
        <v>17.64</v>
      </c>
    </row>
    <row r="1600" spans="1:13">
      <c r="A1600">
        <v>8183</v>
      </c>
      <c r="B1600" t="s">
        <v>6001</v>
      </c>
      <c r="C1600">
        <v>12.12</v>
      </c>
      <c r="D1600">
        <v>140</v>
      </c>
      <c r="E1600">
        <v>151</v>
      </c>
      <c r="F1600">
        <v>-35</v>
      </c>
      <c r="G1600">
        <v>18</v>
      </c>
      <c r="H1600">
        <v>13.68</v>
      </c>
      <c r="I1600">
        <v>1.25</v>
      </c>
      <c r="J1600">
        <v>4.16</v>
      </c>
      <c r="K1600" s="245">
        <v>-25.97</v>
      </c>
      <c r="L1600" s="245">
        <v>42.77</v>
      </c>
      <c r="M1600" s="245">
        <v>51.4</v>
      </c>
    </row>
    <row r="1601" spans="1:13">
      <c r="A1601">
        <v>8201</v>
      </c>
      <c r="B1601" t="s">
        <v>6002</v>
      </c>
      <c r="C1601">
        <v>6.23</v>
      </c>
      <c r="D1601">
        <v>329</v>
      </c>
      <c r="E1601">
        <v>-87</v>
      </c>
      <c r="F1601">
        <v>33</v>
      </c>
      <c r="G1601">
        <v>-42</v>
      </c>
      <c r="H1601">
        <v>-14.94</v>
      </c>
      <c r="I1601">
        <v>0</v>
      </c>
      <c r="J1601">
        <v>1.75</v>
      </c>
      <c r="K1601" s="245">
        <v>-37.31</v>
      </c>
      <c r="L1601" s="245">
        <v>17.399999999999999</v>
      </c>
      <c r="M1601" s="245">
        <v>69.69</v>
      </c>
    </row>
    <row r="1602" spans="1:13">
      <c r="A1602">
        <v>8210</v>
      </c>
      <c r="B1602" t="s">
        <v>6003</v>
      </c>
      <c r="C1602">
        <v>12.07</v>
      </c>
      <c r="D1602">
        <v>-30</v>
      </c>
      <c r="E1602">
        <v>-8</v>
      </c>
      <c r="F1602">
        <v>51</v>
      </c>
      <c r="G1602">
        <v>1</v>
      </c>
      <c r="H1602">
        <v>9.36</v>
      </c>
      <c r="I1602">
        <v>3</v>
      </c>
      <c r="J1602">
        <v>5.62</v>
      </c>
      <c r="K1602" s="245">
        <v>-29.44</v>
      </c>
      <c r="L1602" s="245">
        <v>10.61</v>
      </c>
      <c r="M1602" s="245">
        <v>4.74</v>
      </c>
    </row>
    <row r="1603" spans="1:13">
      <c r="A1603">
        <v>8213</v>
      </c>
      <c r="B1603" t="s">
        <v>6004</v>
      </c>
      <c r="C1603">
        <v>27.12</v>
      </c>
      <c r="D1603">
        <v>21</v>
      </c>
      <c r="E1603">
        <v>32</v>
      </c>
      <c r="F1603">
        <v>20</v>
      </c>
      <c r="G1603">
        <v>8</v>
      </c>
      <c r="H1603">
        <v>7.96</v>
      </c>
      <c r="I1603">
        <v>5</v>
      </c>
      <c r="J1603">
        <v>8.6</v>
      </c>
      <c r="K1603" s="245">
        <v>-5.54</v>
      </c>
      <c r="L1603" s="245">
        <v>44.18</v>
      </c>
      <c r="M1603" s="245">
        <v>3.98</v>
      </c>
    </row>
    <row r="1604" spans="1:13">
      <c r="A1604">
        <v>8215</v>
      </c>
      <c r="B1604" t="s">
        <v>6005</v>
      </c>
      <c r="C1604">
        <v>32.06</v>
      </c>
      <c r="D1604">
        <v>144</v>
      </c>
      <c r="E1604">
        <v>78</v>
      </c>
      <c r="F1604">
        <v>1</v>
      </c>
      <c r="G1604">
        <v>3</v>
      </c>
      <c r="H1604">
        <v>5.93</v>
      </c>
      <c r="I1604">
        <v>1.5</v>
      </c>
      <c r="J1604">
        <v>3.03</v>
      </c>
      <c r="K1604" s="245">
        <v>-24.64</v>
      </c>
      <c r="L1604" s="245">
        <v>41.18</v>
      </c>
      <c r="M1604" s="245">
        <v>23.36</v>
      </c>
    </row>
    <row r="1605" spans="1:13">
      <c r="A1605">
        <v>8222</v>
      </c>
      <c r="B1605" t="s">
        <v>6006</v>
      </c>
      <c r="C1605">
        <v>6.85</v>
      </c>
      <c r="D1605">
        <v>-160</v>
      </c>
      <c r="E1605">
        <v>-88</v>
      </c>
      <c r="F1605">
        <v>26</v>
      </c>
      <c r="G1605">
        <v>20</v>
      </c>
      <c r="H1605">
        <v>-30.52</v>
      </c>
      <c r="I1605">
        <v>0</v>
      </c>
      <c r="J1605">
        <v>-1.5</v>
      </c>
      <c r="K1605" s="245">
        <v>-17.54</v>
      </c>
      <c r="L1605" s="245">
        <v>22.28</v>
      </c>
      <c r="M1605" s="245">
        <v>5.16</v>
      </c>
    </row>
    <row r="1606" spans="1:13">
      <c r="A1606">
        <v>8234</v>
      </c>
      <c r="B1606" t="s">
        <v>6007</v>
      </c>
      <c r="C1606">
        <v>14.12</v>
      </c>
      <c r="D1606">
        <v>-3</v>
      </c>
      <c r="E1606">
        <v>-15</v>
      </c>
      <c r="F1606">
        <v>-10</v>
      </c>
      <c r="G1606">
        <v>49</v>
      </c>
      <c r="H1606">
        <v>2.6</v>
      </c>
      <c r="I1606">
        <v>1</v>
      </c>
      <c r="J1606">
        <v>1</v>
      </c>
      <c r="K1606" s="245">
        <v>-17.440000000000001</v>
      </c>
      <c r="L1606" s="245">
        <v>58.88</v>
      </c>
      <c r="M1606" s="245">
        <v>4.41</v>
      </c>
    </row>
    <row r="1607" spans="1:13">
      <c r="A1607">
        <v>8240</v>
      </c>
      <c r="B1607" t="s">
        <v>6008</v>
      </c>
      <c r="C1607">
        <v>10</v>
      </c>
      <c r="D1607">
        <v>88</v>
      </c>
      <c r="E1607">
        <v>38</v>
      </c>
      <c r="F1607">
        <v>-13</v>
      </c>
      <c r="G1607">
        <v>-4</v>
      </c>
      <c r="H1607">
        <v>3.37</v>
      </c>
      <c r="I1607">
        <v>2.5</v>
      </c>
      <c r="J1607">
        <v>4.3899999999999997</v>
      </c>
      <c r="K1607" s="245">
        <v>-14.48</v>
      </c>
      <c r="L1607" s="245">
        <v>42.58</v>
      </c>
      <c r="M1607" s="245">
        <v>2.37</v>
      </c>
    </row>
    <row r="1608" spans="1:13">
      <c r="A1608">
        <v>8249</v>
      </c>
      <c r="B1608" t="s">
        <v>6009</v>
      </c>
      <c r="C1608">
        <v>14.9</v>
      </c>
      <c r="D1608">
        <v>-7</v>
      </c>
      <c r="E1608">
        <v>23</v>
      </c>
      <c r="F1608">
        <v>37</v>
      </c>
      <c r="G1608">
        <v>12</v>
      </c>
      <c r="H1608">
        <v>5.05</v>
      </c>
      <c r="I1608">
        <v>1.3</v>
      </c>
      <c r="J1608">
        <v>1.5</v>
      </c>
      <c r="K1608" s="245">
        <v>-36.43</v>
      </c>
      <c r="L1608" s="245">
        <v>26.81</v>
      </c>
      <c r="M1608" s="245">
        <v>8.5500000000000007</v>
      </c>
    </row>
    <row r="1609" spans="1:13">
      <c r="A1609">
        <v>8255</v>
      </c>
      <c r="B1609" t="s">
        <v>6010</v>
      </c>
      <c r="C1609">
        <v>9.14</v>
      </c>
      <c r="D1609">
        <v>164</v>
      </c>
      <c r="E1609">
        <v>92</v>
      </c>
      <c r="F1609">
        <v>-22</v>
      </c>
      <c r="G1609">
        <v>-7</v>
      </c>
      <c r="H1609">
        <v>11.14</v>
      </c>
      <c r="I1609">
        <v>4</v>
      </c>
      <c r="J1609">
        <v>5.25</v>
      </c>
      <c r="K1609" s="245">
        <v>-47.98</v>
      </c>
      <c r="L1609" s="245">
        <v>12.56</v>
      </c>
      <c r="M1609" s="245">
        <v>24.06</v>
      </c>
    </row>
    <row r="1610" spans="1:13">
      <c r="A1610">
        <v>8261</v>
      </c>
      <c r="B1610" t="s">
        <v>6011</v>
      </c>
      <c r="C1610">
        <v>8.1300000000000008</v>
      </c>
      <c r="D1610">
        <v>231</v>
      </c>
      <c r="E1610">
        <v>245</v>
      </c>
      <c r="F1610">
        <v>-18</v>
      </c>
      <c r="G1610">
        <v>5</v>
      </c>
      <c r="H1610">
        <v>19.72</v>
      </c>
      <c r="I1610">
        <v>6</v>
      </c>
      <c r="J1610">
        <v>8.0299999999999994</v>
      </c>
      <c r="K1610" s="245">
        <v>-23.36</v>
      </c>
      <c r="L1610" s="245">
        <v>44.21</v>
      </c>
      <c r="M1610" s="245">
        <v>53.24</v>
      </c>
    </row>
    <row r="1611" spans="1:13">
      <c r="A1611">
        <v>8271</v>
      </c>
      <c r="B1611" t="s">
        <v>6012</v>
      </c>
      <c r="C1611">
        <v>10.18</v>
      </c>
      <c r="D1611">
        <v>67</v>
      </c>
      <c r="E1611">
        <v>65</v>
      </c>
      <c r="F1611">
        <v>-4</v>
      </c>
      <c r="G1611">
        <v>-7</v>
      </c>
      <c r="H1611">
        <v>6.6</v>
      </c>
      <c r="I1611">
        <v>2.89</v>
      </c>
      <c r="J1611">
        <v>4.8099999999999996</v>
      </c>
      <c r="K1611" s="245">
        <v>-23.3</v>
      </c>
      <c r="L1611" s="245">
        <v>20.83</v>
      </c>
      <c r="M1611" s="245">
        <v>28.58</v>
      </c>
    </row>
    <row r="1612" spans="1:13">
      <c r="A1612">
        <v>8277</v>
      </c>
      <c r="B1612" t="s">
        <v>6684</v>
      </c>
      <c r="C1612">
        <v>9.16</v>
      </c>
      <c r="D1612">
        <v>-17</v>
      </c>
      <c r="E1612">
        <v>-3</v>
      </c>
      <c r="F1612">
        <v>-16</v>
      </c>
      <c r="G1612">
        <v>-40</v>
      </c>
      <c r="H1612">
        <v>-21.02</v>
      </c>
      <c r="I1612">
        <v>0</v>
      </c>
      <c r="J1612">
        <v>-0.78</v>
      </c>
      <c r="K1612" s="245">
        <v>-45.75</v>
      </c>
      <c r="L1612" s="245">
        <v>6.18</v>
      </c>
      <c r="M1612" s="245">
        <v>12.18</v>
      </c>
    </row>
    <row r="1613" spans="1:13">
      <c r="A1613">
        <v>8279</v>
      </c>
      <c r="B1613" t="s">
        <v>6685</v>
      </c>
      <c r="C1613">
        <v>2.71</v>
      </c>
      <c r="D1613">
        <v>10</v>
      </c>
      <c r="E1613">
        <v>8</v>
      </c>
      <c r="F1613">
        <v>-2</v>
      </c>
      <c r="G1613">
        <v>6</v>
      </c>
      <c r="H1613">
        <v>19.13</v>
      </c>
      <c r="I1613">
        <v>4</v>
      </c>
      <c r="J1613">
        <v>8.77</v>
      </c>
      <c r="K1613" s="245">
        <v>-2.21</v>
      </c>
      <c r="L1613" s="245">
        <v>80.709999999999994</v>
      </c>
      <c r="M1613" s="245">
        <v>1.45</v>
      </c>
    </row>
    <row r="1614" spans="1:13">
      <c r="A1614">
        <v>8284</v>
      </c>
      <c r="B1614" t="s">
        <v>6013</v>
      </c>
      <c r="C1614">
        <v>4.63</v>
      </c>
      <c r="D1614">
        <v>54</v>
      </c>
      <c r="E1614">
        <v>41</v>
      </c>
      <c r="F1614">
        <v>31</v>
      </c>
      <c r="G1614">
        <v>21</v>
      </c>
      <c r="H1614">
        <v>10.43</v>
      </c>
      <c r="I1614">
        <v>3</v>
      </c>
      <c r="J1614">
        <v>4.0599999999999996</v>
      </c>
      <c r="K1614" s="245">
        <v>-9.08</v>
      </c>
      <c r="L1614" s="245">
        <v>67.739999999999995</v>
      </c>
      <c r="M1614" s="245">
        <v>8.76</v>
      </c>
    </row>
    <row r="1615" spans="1:13">
      <c r="A1615">
        <v>8289</v>
      </c>
      <c r="B1615" t="s">
        <v>6014</v>
      </c>
      <c r="C1615">
        <v>6.83</v>
      </c>
      <c r="D1615">
        <v>4732</v>
      </c>
      <c r="E1615">
        <v>4429</v>
      </c>
      <c r="F1615">
        <v>-6</v>
      </c>
      <c r="G1615">
        <v>14</v>
      </c>
      <c r="H1615">
        <v>13.34</v>
      </c>
      <c r="I1615">
        <v>2.1</v>
      </c>
      <c r="J1615">
        <v>3.12</v>
      </c>
      <c r="K1615" s="245">
        <v>-25.43</v>
      </c>
      <c r="L1615" s="245">
        <v>49.97</v>
      </c>
      <c r="M1615" s="245">
        <v>46.39</v>
      </c>
    </row>
    <row r="1616" spans="1:13">
      <c r="A1616">
        <v>8291</v>
      </c>
      <c r="B1616" t="s">
        <v>6686</v>
      </c>
      <c r="C1616">
        <v>4.7300000000000004</v>
      </c>
      <c r="D1616">
        <v>43</v>
      </c>
      <c r="E1616">
        <v>42</v>
      </c>
      <c r="F1616">
        <v>3</v>
      </c>
      <c r="G1616">
        <v>-40</v>
      </c>
      <c r="H1616">
        <v>-16.95</v>
      </c>
      <c r="I1616">
        <v>0</v>
      </c>
      <c r="J1616">
        <v>-0.66</v>
      </c>
      <c r="K1616" s="245">
        <v>-24.11</v>
      </c>
      <c r="L1616" s="245">
        <v>38.28</v>
      </c>
      <c r="M1616" s="245">
        <v>0.45</v>
      </c>
    </row>
    <row r="1617" spans="1:13">
      <c r="A1617">
        <v>8299</v>
      </c>
      <c r="B1617" t="s">
        <v>6015</v>
      </c>
      <c r="C1617">
        <v>19.7</v>
      </c>
      <c r="D1617">
        <v>-6</v>
      </c>
      <c r="E1617">
        <v>133</v>
      </c>
      <c r="F1617">
        <v>-7</v>
      </c>
      <c r="G1617">
        <v>15</v>
      </c>
      <c r="H1617">
        <v>14.52</v>
      </c>
      <c r="I1617">
        <v>23</v>
      </c>
      <c r="J1617">
        <v>41.34</v>
      </c>
      <c r="K1617" s="245">
        <v>-30.55</v>
      </c>
      <c r="L1617" s="245">
        <v>12.86</v>
      </c>
      <c r="M1617" s="245">
        <v>9.6300000000000008</v>
      </c>
    </row>
    <row r="1618" spans="1:13">
      <c r="A1618">
        <v>8341</v>
      </c>
      <c r="B1618" t="s">
        <v>6016</v>
      </c>
      <c r="C1618">
        <v>11.15</v>
      </c>
      <c r="D1618">
        <v>-5</v>
      </c>
      <c r="E1618">
        <v>-3</v>
      </c>
      <c r="F1618">
        <v>3</v>
      </c>
      <c r="G1618">
        <v>19</v>
      </c>
      <c r="H1618">
        <v>35.94</v>
      </c>
      <c r="I1618">
        <v>8</v>
      </c>
      <c r="J1618">
        <v>8.4700000000000006</v>
      </c>
      <c r="K1618" s="245">
        <v>-11.84</v>
      </c>
      <c r="L1618" s="245">
        <v>56.56</v>
      </c>
      <c r="M1618" s="245">
        <v>1.47</v>
      </c>
    </row>
    <row r="1619" spans="1:13">
      <c r="A1619">
        <v>8342</v>
      </c>
      <c r="B1619" t="s">
        <v>6239</v>
      </c>
      <c r="C1619">
        <v>3.35</v>
      </c>
      <c r="D1619">
        <v>-33</v>
      </c>
      <c r="E1619">
        <v>9</v>
      </c>
      <c r="F1619">
        <v>-15</v>
      </c>
      <c r="G1619">
        <v>56</v>
      </c>
      <c r="H1619">
        <v>9.5299999999999994</v>
      </c>
      <c r="I1619">
        <v>3.4</v>
      </c>
      <c r="J1619">
        <v>3.73</v>
      </c>
      <c r="K1619" s="245">
        <v>-1.45</v>
      </c>
      <c r="L1619" s="245">
        <v>63.3</v>
      </c>
      <c r="M1619" s="245">
        <v>0.89</v>
      </c>
    </row>
    <row r="1620" spans="1:13">
      <c r="A1620">
        <v>8349</v>
      </c>
      <c r="B1620" t="s">
        <v>6017</v>
      </c>
      <c r="C1620">
        <v>11.92</v>
      </c>
      <c r="D1620">
        <v>27</v>
      </c>
      <c r="E1620">
        <v>30</v>
      </c>
      <c r="F1620">
        <v>-23</v>
      </c>
      <c r="G1620">
        <v>-10</v>
      </c>
      <c r="H1620">
        <v>4.3899999999999997</v>
      </c>
      <c r="I1620">
        <v>2.2000000000000002</v>
      </c>
      <c r="J1620">
        <v>3.03</v>
      </c>
      <c r="K1620" s="245">
        <v>-21.08</v>
      </c>
      <c r="L1620" s="245">
        <v>44.89</v>
      </c>
      <c r="M1620" s="245">
        <v>2.2799999999999998</v>
      </c>
    </row>
    <row r="1621" spans="1:13">
      <c r="A1621">
        <v>8354</v>
      </c>
      <c r="B1621" t="s">
        <v>6335</v>
      </c>
      <c r="C1621">
        <v>7.85</v>
      </c>
      <c r="D1621">
        <v>531</v>
      </c>
      <c r="E1621">
        <v>-92</v>
      </c>
      <c r="F1621">
        <v>42</v>
      </c>
      <c r="G1621">
        <v>-9</v>
      </c>
      <c r="H1621">
        <v>0.75</v>
      </c>
      <c r="I1621">
        <v>0.8</v>
      </c>
      <c r="J1621">
        <v>3.06</v>
      </c>
      <c r="K1621" s="245">
        <v>-12.27</v>
      </c>
      <c r="L1621" s="245">
        <v>57.67</v>
      </c>
      <c r="M1621" s="245">
        <v>0.32</v>
      </c>
    </row>
    <row r="1622" spans="1:13">
      <c r="A1622">
        <v>8358</v>
      </c>
      <c r="B1622" t="s">
        <v>6018</v>
      </c>
      <c r="C1622">
        <v>25.25</v>
      </c>
      <c r="D1622">
        <v>181</v>
      </c>
      <c r="E1622">
        <v>158</v>
      </c>
      <c r="F1622">
        <v>0</v>
      </c>
      <c r="G1622">
        <v>-8</v>
      </c>
      <c r="H1622">
        <v>21.4</v>
      </c>
      <c r="I1622">
        <v>4.2</v>
      </c>
      <c r="J1622">
        <v>6.03</v>
      </c>
      <c r="K1622" s="245">
        <v>-38.11</v>
      </c>
      <c r="L1622" s="245">
        <v>12.7</v>
      </c>
      <c r="M1622" s="245">
        <v>21.83</v>
      </c>
    </row>
    <row r="1623" spans="1:13">
      <c r="A1623">
        <v>8367</v>
      </c>
      <c r="B1623" t="s">
        <v>6019</v>
      </c>
      <c r="C1623">
        <v>8.77</v>
      </c>
      <c r="D1623">
        <v>178</v>
      </c>
      <c r="E1623">
        <v>73</v>
      </c>
      <c r="F1623">
        <v>4</v>
      </c>
      <c r="G1623">
        <v>19</v>
      </c>
      <c r="H1623">
        <v>21.52</v>
      </c>
      <c r="I1623">
        <v>2.8</v>
      </c>
      <c r="J1623">
        <v>7.1</v>
      </c>
      <c r="K1623" s="245">
        <v>-46.82</v>
      </c>
      <c r="L1623" s="245">
        <v>17.510000000000002</v>
      </c>
      <c r="M1623" s="245">
        <v>28.97</v>
      </c>
    </row>
    <row r="1624" spans="1:13">
      <c r="A1624">
        <v>8374</v>
      </c>
      <c r="B1624" t="s">
        <v>6020</v>
      </c>
      <c r="C1624">
        <v>11.22</v>
      </c>
      <c r="D1624">
        <v>69</v>
      </c>
      <c r="E1624">
        <v>51</v>
      </c>
      <c r="F1624">
        <v>-9</v>
      </c>
      <c r="G1624">
        <v>15</v>
      </c>
      <c r="H1624">
        <v>5.34</v>
      </c>
      <c r="I1624">
        <v>0.9</v>
      </c>
      <c r="J1624">
        <v>1.32</v>
      </c>
      <c r="K1624" s="245">
        <v>-31.54</v>
      </c>
      <c r="L1624" s="245">
        <v>29.61</v>
      </c>
      <c r="M1624" s="245">
        <v>4.0199999999999996</v>
      </c>
    </row>
    <row r="1625" spans="1:13">
      <c r="A1625">
        <v>8383</v>
      </c>
      <c r="B1625" t="s">
        <v>6021</v>
      </c>
      <c r="C1625">
        <v>11.81</v>
      </c>
      <c r="D1625">
        <v>-138</v>
      </c>
      <c r="E1625">
        <v>-120</v>
      </c>
      <c r="F1625">
        <v>-16</v>
      </c>
      <c r="G1625">
        <v>11</v>
      </c>
      <c r="H1625">
        <v>-2.1</v>
      </c>
      <c r="I1625">
        <v>2.5</v>
      </c>
      <c r="J1625">
        <v>-1.33</v>
      </c>
      <c r="K1625" s="245">
        <v>-3.25</v>
      </c>
      <c r="L1625" s="245">
        <v>77.739999999999995</v>
      </c>
      <c r="M1625" s="245">
        <v>2.59</v>
      </c>
    </row>
    <row r="1626" spans="1:13">
      <c r="A1626">
        <v>8390</v>
      </c>
      <c r="B1626" t="s">
        <v>6022</v>
      </c>
      <c r="C1626">
        <v>11.99</v>
      </c>
      <c r="D1626">
        <v>57</v>
      </c>
      <c r="E1626">
        <v>79</v>
      </c>
      <c r="F1626">
        <v>49</v>
      </c>
      <c r="G1626">
        <v>-5</v>
      </c>
      <c r="H1626">
        <v>16.21</v>
      </c>
      <c r="I1626">
        <v>1.8</v>
      </c>
      <c r="J1626">
        <v>3.47</v>
      </c>
      <c r="K1626" s="245">
        <v>-29.39</v>
      </c>
      <c r="L1626" s="245">
        <v>17.7</v>
      </c>
      <c r="M1626" s="245">
        <v>32.39</v>
      </c>
    </row>
    <row r="1627" spans="1:13">
      <c r="A1627">
        <v>8401</v>
      </c>
      <c r="B1627" t="s">
        <v>6023</v>
      </c>
      <c r="C1627">
        <v>6</v>
      </c>
      <c r="D1627">
        <v>155</v>
      </c>
      <c r="E1627">
        <v>71</v>
      </c>
      <c r="F1627">
        <v>-8</v>
      </c>
      <c r="G1627">
        <v>-2</v>
      </c>
      <c r="H1627">
        <v>7.86</v>
      </c>
      <c r="I1627">
        <v>1.73</v>
      </c>
      <c r="J1627">
        <v>1.96</v>
      </c>
      <c r="K1627" s="245">
        <v>-26.67</v>
      </c>
      <c r="L1627" s="245">
        <v>13.41</v>
      </c>
      <c r="M1627" s="245">
        <v>18.21</v>
      </c>
    </row>
    <row r="1628" spans="1:13">
      <c r="A1628">
        <v>8403</v>
      </c>
      <c r="B1628" t="s">
        <v>6024</v>
      </c>
      <c r="C1628">
        <v>11.43</v>
      </c>
      <c r="D1628">
        <v>-46</v>
      </c>
      <c r="E1628">
        <v>-49</v>
      </c>
      <c r="F1628">
        <v>55</v>
      </c>
      <c r="G1628">
        <v>30</v>
      </c>
      <c r="H1628">
        <v>6.71</v>
      </c>
      <c r="I1628">
        <v>0</v>
      </c>
      <c r="J1628">
        <v>2.04</v>
      </c>
      <c r="K1628" s="245">
        <v>-14.14</v>
      </c>
      <c r="L1628" s="245">
        <v>48.76</v>
      </c>
      <c r="M1628" s="245">
        <v>8.08</v>
      </c>
    </row>
    <row r="1629" spans="1:13">
      <c r="A1629">
        <v>8404</v>
      </c>
      <c r="B1629" t="s">
        <v>6025</v>
      </c>
      <c r="C1629">
        <v>31.51</v>
      </c>
      <c r="D1629">
        <v>128</v>
      </c>
      <c r="E1629">
        <v>95</v>
      </c>
      <c r="F1629">
        <v>31</v>
      </c>
      <c r="G1629">
        <v>-50</v>
      </c>
      <c r="H1629">
        <v>20.54</v>
      </c>
      <c r="I1629">
        <v>2.5</v>
      </c>
      <c r="J1629">
        <v>3.96</v>
      </c>
      <c r="K1629" s="245">
        <v>-31.21</v>
      </c>
      <c r="L1629" s="245">
        <v>47.86</v>
      </c>
      <c r="M1629" s="245">
        <v>2.75</v>
      </c>
    </row>
    <row r="1630" spans="1:13">
      <c r="A1630">
        <v>8409</v>
      </c>
      <c r="B1630" t="s">
        <v>6687</v>
      </c>
      <c r="C1630">
        <v>3.2</v>
      </c>
      <c r="D1630">
        <v>29</v>
      </c>
      <c r="E1630">
        <v>6</v>
      </c>
      <c r="F1630">
        <v>-93</v>
      </c>
      <c r="G1630">
        <v>22</v>
      </c>
      <c r="H1630">
        <v>-18.16</v>
      </c>
      <c r="I1630">
        <v>0</v>
      </c>
      <c r="J1630">
        <v>-0.73</v>
      </c>
      <c r="K1630" s="245">
        <v>-14.22</v>
      </c>
      <c r="L1630" s="245">
        <v>71.069999999999993</v>
      </c>
      <c r="M1630" s="245">
        <v>14.26</v>
      </c>
    </row>
    <row r="1631" spans="1:13">
      <c r="A1631">
        <v>8410</v>
      </c>
      <c r="B1631" t="s">
        <v>6198</v>
      </c>
      <c r="C1631">
        <v>3.65</v>
      </c>
      <c r="D1631">
        <v>-74</v>
      </c>
      <c r="E1631">
        <v>-75</v>
      </c>
      <c r="F1631">
        <v>-24</v>
      </c>
      <c r="G1631">
        <v>-19</v>
      </c>
      <c r="H1631">
        <v>5.46</v>
      </c>
      <c r="I1631">
        <v>0.6</v>
      </c>
      <c r="J1631">
        <v>1.1399999999999999</v>
      </c>
      <c r="K1631" s="245">
        <v>-33.79</v>
      </c>
      <c r="L1631" s="245">
        <v>12.23</v>
      </c>
      <c r="M1631" s="245">
        <v>2.16</v>
      </c>
    </row>
    <row r="1632" spans="1:13">
      <c r="A1632">
        <v>8411</v>
      </c>
      <c r="B1632" t="s">
        <v>6026</v>
      </c>
      <c r="C1632">
        <v>17.53</v>
      </c>
      <c r="D1632">
        <v>480</v>
      </c>
      <c r="E1632">
        <v>46</v>
      </c>
      <c r="F1632">
        <v>-16</v>
      </c>
      <c r="G1632">
        <v>20</v>
      </c>
      <c r="H1632">
        <v>2.56</v>
      </c>
      <c r="I1632">
        <v>0.4</v>
      </c>
      <c r="J1632">
        <v>2.2200000000000002</v>
      </c>
      <c r="K1632" s="245">
        <v>-15.87</v>
      </c>
      <c r="L1632" s="245">
        <v>42.3</v>
      </c>
      <c r="M1632" s="245">
        <v>1.91</v>
      </c>
    </row>
    <row r="1633" spans="1:13">
      <c r="A1633">
        <v>8415</v>
      </c>
      <c r="B1633" t="s">
        <v>6027</v>
      </c>
      <c r="C1633">
        <v>103</v>
      </c>
      <c r="D1633">
        <v>281</v>
      </c>
      <c r="E1633">
        <v>197</v>
      </c>
      <c r="F1633">
        <v>-8</v>
      </c>
      <c r="G1633">
        <v>35</v>
      </c>
      <c r="H1633">
        <v>21.23</v>
      </c>
      <c r="I1633">
        <v>1.8</v>
      </c>
      <c r="J1633">
        <v>3.5</v>
      </c>
      <c r="K1633" s="245">
        <v>-21.83</v>
      </c>
      <c r="L1633" s="245">
        <v>19.43</v>
      </c>
      <c r="M1633" s="245">
        <v>7.94</v>
      </c>
    </row>
    <row r="1634" spans="1:13">
      <c r="A1634">
        <v>8416</v>
      </c>
      <c r="B1634" t="s">
        <v>6688</v>
      </c>
      <c r="C1634">
        <v>2.82</v>
      </c>
      <c r="D1634">
        <v>14</v>
      </c>
      <c r="E1634">
        <v>12</v>
      </c>
      <c r="F1634">
        <v>93</v>
      </c>
      <c r="G1634">
        <v>23</v>
      </c>
      <c r="H1634">
        <v>27.91</v>
      </c>
      <c r="I1634">
        <v>8</v>
      </c>
      <c r="J1634">
        <v>11.35</v>
      </c>
      <c r="K1634" s="245">
        <v>-1.52</v>
      </c>
      <c r="L1634" s="245">
        <v>81.760000000000005</v>
      </c>
      <c r="M1634" s="245">
        <v>0.25</v>
      </c>
    </row>
    <row r="1635" spans="1:13">
      <c r="A1635">
        <v>8418</v>
      </c>
      <c r="B1635" t="s">
        <v>6167</v>
      </c>
      <c r="C1635">
        <v>7.83</v>
      </c>
      <c r="D1635">
        <v>-13</v>
      </c>
      <c r="E1635">
        <v>30</v>
      </c>
      <c r="F1635">
        <v>-29</v>
      </c>
      <c r="G1635">
        <v>-13</v>
      </c>
      <c r="H1635">
        <v>-5.65</v>
      </c>
      <c r="I1635">
        <v>0</v>
      </c>
      <c r="J1635">
        <v>-1.97</v>
      </c>
      <c r="K1635" s="245">
        <v>-19.600000000000001</v>
      </c>
      <c r="L1635" s="245">
        <v>8.76</v>
      </c>
      <c r="M1635" s="245">
        <v>1.49</v>
      </c>
    </row>
    <row r="1636" spans="1:13">
      <c r="A1636">
        <v>8420</v>
      </c>
      <c r="B1636" t="s">
        <v>6028</v>
      </c>
      <c r="C1636">
        <v>5.09</v>
      </c>
      <c r="D1636">
        <v>213</v>
      </c>
      <c r="E1636">
        <v>264</v>
      </c>
      <c r="F1636">
        <v>7</v>
      </c>
      <c r="G1636">
        <v>45</v>
      </c>
      <c r="H1636">
        <v>11.16</v>
      </c>
      <c r="I1636">
        <v>2.5</v>
      </c>
      <c r="J1636">
        <v>4.6399999999999997</v>
      </c>
      <c r="K1636" s="245">
        <v>-10.44</v>
      </c>
      <c r="L1636" s="245">
        <v>69.88</v>
      </c>
      <c r="M1636" s="245">
        <v>6.01</v>
      </c>
    </row>
    <row r="1637" spans="1:13">
      <c r="A1637">
        <v>8421</v>
      </c>
      <c r="B1637" t="s">
        <v>6689</v>
      </c>
      <c r="C1637">
        <v>5.48</v>
      </c>
      <c r="D1637">
        <v>-4</v>
      </c>
      <c r="E1637">
        <v>-101</v>
      </c>
      <c r="F1637">
        <v>-14</v>
      </c>
      <c r="G1637">
        <v>0</v>
      </c>
      <c r="H1637">
        <v>-1.86</v>
      </c>
      <c r="I1637">
        <v>0</v>
      </c>
      <c r="J1637">
        <v>-2.0699999999999998</v>
      </c>
      <c r="K1637" s="245">
        <v>-4.63</v>
      </c>
      <c r="L1637" s="245">
        <v>68.63</v>
      </c>
      <c r="M1637" s="245">
        <v>4.38</v>
      </c>
    </row>
    <row r="1638" spans="1:13">
      <c r="A1638">
        <v>8422</v>
      </c>
      <c r="B1638" t="s">
        <v>6029</v>
      </c>
      <c r="C1638">
        <v>10.88</v>
      </c>
      <c r="D1638">
        <v>-1</v>
      </c>
      <c r="E1638">
        <v>0</v>
      </c>
      <c r="F1638">
        <v>10</v>
      </c>
      <c r="G1638">
        <v>82</v>
      </c>
      <c r="H1638">
        <v>47.84</v>
      </c>
      <c r="I1638">
        <v>10</v>
      </c>
      <c r="J1638">
        <v>10.59</v>
      </c>
      <c r="K1638" s="245">
        <v>-24.06</v>
      </c>
      <c r="L1638" s="245">
        <v>15.12</v>
      </c>
      <c r="M1638" s="245">
        <v>9.8699999999999992</v>
      </c>
    </row>
    <row r="1639" spans="1:13">
      <c r="A1639">
        <v>8423</v>
      </c>
      <c r="B1639" t="s">
        <v>6690</v>
      </c>
      <c r="C1639">
        <v>2.41</v>
      </c>
      <c r="D1639">
        <v>-14</v>
      </c>
      <c r="E1639">
        <v>-26</v>
      </c>
      <c r="F1639">
        <v>-18</v>
      </c>
      <c r="G1639">
        <v>-19</v>
      </c>
      <c r="H1639">
        <v>8.61</v>
      </c>
      <c r="I1639">
        <v>0.6</v>
      </c>
      <c r="J1639">
        <v>0.75</v>
      </c>
      <c r="K1639" s="245">
        <v>-8.4600000000000009</v>
      </c>
      <c r="L1639" s="245">
        <v>34.200000000000003</v>
      </c>
      <c r="M1639" s="245">
        <v>0.32</v>
      </c>
    </row>
    <row r="1640" spans="1:13">
      <c r="A1640">
        <v>8424</v>
      </c>
      <c r="B1640" t="s">
        <v>6219</v>
      </c>
      <c r="C1640">
        <v>3.6</v>
      </c>
      <c r="D1640">
        <v>13</v>
      </c>
      <c r="E1640">
        <v>12</v>
      </c>
      <c r="F1640">
        <v>-11</v>
      </c>
      <c r="G1640">
        <v>19</v>
      </c>
      <c r="H1640">
        <v>22.17</v>
      </c>
      <c r="I1640">
        <v>4.5</v>
      </c>
      <c r="J1640">
        <v>4.6100000000000003</v>
      </c>
      <c r="K1640" s="245">
        <v>-9.57</v>
      </c>
      <c r="L1640" s="245">
        <v>54.91</v>
      </c>
      <c r="M1640" s="245">
        <v>1.1100000000000001</v>
      </c>
    </row>
    <row r="1641" spans="1:13">
      <c r="A1641">
        <v>8426</v>
      </c>
      <c r="B1641" t="s">
        <v>6321</v>
      </c>
      <c r="C1641">
        <v>5.0199999999999996</v>
      </c>
      <c r="D1641">
        <v>104</v>
      </c>
      <c r="E1641">
        <v>85</v>
      </c>
      <c r="F1641">
        <v>19</v>
      </c>
      <c r="G1641">
        <v>-12</v>
      </c>
      <c r="H1641">
        <v>-2.25</v>
      </c>
      <c r="I1641">
        <v>0</v>
      </c>
      <c r="J1641">
        <v>0.12</v>
      </c>
      <c r="K1641" s="245">
        <v>-17.11</v>
      </c>
      <c r="L1641" s="245">
        <v>28.77</v>
      </c>
      <c r="M1641" s="245">
        <v>1.51</v>
      </c>
    </row>
    <row r="1642" spans="1:13">
      <c r="A1642">
        <v>8429</v>
      </c>
      <c r="B1642" t="s">
        <v>6030</v>
      </c>
      <c r="C1642">
        <v>18.57</v>
      </c>
      <c r="D1642">
        <v>104</v>
      </c>
      <c r="E1642">
        <v>97</v>
      </c>
      <c r="F1642">
        <v>54</v>
      </c>
      <c r="G1642">
        <v>-56</v>
      </c>
      <c r="H1642">
        <v>-3.54</v>
      </c>
      <c r="I1642">
        <v>0</v>
      </c>
      <c r="J1642">
        <v>0.12</v>
      </c>
      <c r="K1642" s="245">
        <v>-52.19</v>
      </c>
      <c r="L1642" s="245">
        <v>18.399999999999999</v>
      </c>
      <c r="M1642" s="245">
        <v>12.01</v>
      </c>
    </row>
    <row r="1643" spans="1:13">
      <c r="A1643">
        <v>8431</v>
      </c>
      <c r="B1643" t="s">
        <v>6031</v>
      </c>
      <c r="C1643">
        <v>4.4400000000000004</v>
      </c>
      <c r="D1643">
        <v>80</v>
      </c>
      <c r="E1643">
        <v>86</v>
      </c>
      <c r="F1643">
        <v>6</v>
      </c>
      <c r="G1643">
        <v>-20</v>
      </c>
      <c r="H1643">
        <v>21.79</v>
      </c>
      <c r="I1643">
        <v>1.8</v>
      </c>
      <c r="J1643">
        <v>4.24</v>
      </c>
      <c r="K1643" s="245">
        <v>-34.24</v>
      </c>
      <c r="L1643" s="245">
        <v>11.78</v>
      </c>
      <c r="M1643" s="245">
        <v>24.88</v>
      </c>
    </row>
    <row r="1644" spans="1:13">
      <c r="A1644">
        <v>8432</v>
      </c>
      <c r="B1644" t="s">
        <v>6320</v>
      </c>
      <c r="C1644">
        <v>3.83</v>
      </c>
      <c r="D1644">
        <v>-23</v>
      </c>
      <c r="E1644">
        <v>-25</v>
      </c>
      <c r="F1644">
        <v>-12</v>
      </c>
      <c r="G1644">
        <v>5</v>
      </c>
      <c r="H1644">
        <v>13.45</v>
      </c>
      <c r="I1644">
        <v>1.5</v>
      </c>
      <c r="J1644">
        <v>1.23</v>
      </c>
      <c r="K1644" s="245">
        <v>-12.68</v>
      </c>
      <c r="L1644" s="245">
        <v>31.99</v>
      </c>
      <c r="M1644" s="245">
        <v>4.47</v>
      </c>
    </row>
    <row r="1645" spans="1:13">
      <c r="A1645">
        <v>8433</v>
      </c>
      <c r="B1645" t="s">
        <v>6032</v>
      </c>
      <c r="C1645">
        <v>5.2</v>
      </c>
      <c r="D1645">
        <v>19</v>
      </c>
      <c r="E1645">
        <v>12</v>
      </c>
      <c r="F1645">
        <v>21</v>
      </c>
      <c r="G1645">
        <v>38</v>
      </c>
      <c r="H1645">
        <v>10.31</v>
      </c>
      <c r="I1645">
        <v>2.5</v>
      </c>
      <c r="J1645">
        <v>4</v>
      </c>
      <c r="K1645" s="245">
        <v>-15.36</v>
      </c>
      <c r="L1645" s="245">
        <v>35.18</v>
      </c>
      <c r="M1645" s="245">
        <v>1.91</v>
      </c>
    </row>
    <row r="1646" spans="1:13">
      <c r="A1646">
        <v>8435</v>
      </c>
      <c r="B1646" t="s">
        <v>6033</v>
      </c>
      <c r="C1646">
        <v>3.17</v>
      </c>
      <c r="D1646">
        <v>13</v>
      </c>
      <c r="E1646">
        <v>8</v>
      </c>
      <c r="F1646">
        <v>-13</v>
      </c>
      <c r="G1646">
        <v>-4</v>
      </c>
      <c r="H1646">
        <v>21.51</v>
      </c>
      <c r="I1646">
        <v>3.8</v>
      </c>
      <c r="J1646">
        <v>4.03</v>
      </c>
      <c r="K1646" s="245">
        <v>-9.91</v>
      </c>
      <c r="L1646" s="245">
        <v>25.71</v>
      </c>
      <c r="M1646" s="245">
        <v>0.93</v>
      </c>
    </row>
    <row r="1647" spans="1:13">
      <c r="A1647">
        <v>8436</v>
      </c>
      <c r="B1647" t="s">
        <v>6034</v>
      </c>
      <c r="C1647">
        <v>11.82</v>
      </c>
      <c r="D1647">
        <v>-12</v>
      </c>
      <c r="E1647">
        <v>-14</v>
      </c>
      <c r="F1647">
        <v>3</v>
      </c>
      <c r="G1647">
        <v>-28</v>
      </c>
      <c r="H1647">
        <v>20.16</v>
      </c>
      <c r="I1647">
        <v>8.8800000000000008</v>
      </c>
      <c r="J1647">
        <v>13.17</v>
      </c>
      <c r="K1647" s="245">
        <v>-56.14</v>
      </c>
      <c r="L1647" s="245">
        <v>5.89</v>
      </c>
      <c r="M1647" s="245">
        <v>10.15</v>
      </c>
    </row>
    <row r="1648" spans="1:13">
      <c r="A1648">
        <v>8437</v>
      </c>
      <c r="B1648" t="s">
        <v>6035</v>
      </c>
      <c r="C1648">
        <v>4.78</v>
      </c>
      <c r="D1648">
        <v>96</v>
      </c>
      <c r="E1648">
        <v>192</v>
      </c>
      <c r="F1648">
        <v>-46</v>
      </c>
      <c r="G1648">
        <v>8</v>
      </c>
      <c r="H1648">
        <v>48.53</v>
      </c>
      <c r="I1648">
        <v>4</v>
      </c>
      <c r="J1648">
        <v>5.36</v>
      </c>
      <c r="K1648" s="245">
        <v>-43.7</v>
      </c>
      <c r="L1648" s="245">
        <v>6.53</v>
      </c>
      <c r="M1648" s="245">
        <v>0.28999999999999998</v>
      </c>
    </row>
    <row r="1649" spans="1:13">
      <c r="A1649">
        <v>8440</v>
      </c>
      <c r="B1649" t="s">
        <v>6036</v>
      </c>
      <c r="C1649">
        <v>3.8</v>
      </c>
      <c r="D1649">
        <v>127</v>
      </c>
      <c r="E1649">
        <v>243</v>
      </c>
      <c r="F1649">
        <v>-10</v>
      </c>
      <c r="G1649">
        <v>12</v>
      </c>
      <c r="H1649">
        <v>6.26</v>
      </c>
      <c r="I1649">
        <v>0.6</v>
      </c>
      <c r="J1649">
        <v>1.37</v>
      </c>
      <c r="K1649" s="245">
        <v>-32.39</v>
      </c>
      <c r="L1649" s="245">
        <v>59.94</v>
      </c>
      <c r="M1649" s="245">
        <v>208.71</v>
      </c>
    </row>
    <row r="1650" spans="1:13">
      <c r="A1650">
        <v>8442</v>
      </c>
      <c r="B1650" t="s">
        <v>6037</v>
      </c>
      <c r="C1650">
        <v>5.99</v>
      </c>
      <c r="D1650">
        <v>149</v>
      </c>
      <c r="E1650">
        <v>167</v>
      </c>
      <c r="F1650">
        <v>24</v>
      </c>
      <c r="G1650">
        <v>64</v>
      </c>
      <c r="H1650">
        <v>1.41</v>
      </c>
      <c r="I1650">
        <v>1</v>
      </c>
      <c r="J1650">
        <v>1.26</v>
      </c>
      <c r="K1650" s="245">
        <v>-6.53</v>
      </c>
      <c r="L1650" s="245">
        <v>60.9</v>
      </c>
      <c r="M1650" s="245">
        <v>0.94</v>
      </c>
    </row>
    <row r="1651" spans="1:13">
      <c r="A1651">
        <v>8443</v>
      </c>
      <c r="B1651" t="s">
        <v>6038</v>
      </c>
      <c r="C1651">
        <v>6.68</v>
      </c>
      <c r="D1651">
        <v>-38</v>
      </c>
      <c r="E1651">
        <v>-7</v>
      </c>
      <c r="F1651">
        <v>-1</v>
      </c>
      <c r="G1651">
        <v>20</v>
      </c>
      <c r="H1651">
        <v>-23.2</v>
      </c>
      <c r="I1651">
        <v>0</v>
      </c>
      <c r="J1651">
        <v>-3.9</v>
      </c>
      <c r="K1651" s="245">
        <v>-17.989999999999998</v>
      </c>
      <c r="L1651" s="245">
        <v>35.880000000000003</v>
      </c>
      <c r="M1651" s="245">
        <v>7.04</v>
      </c>
    </row>
    <row r="1652" spans="1:13">
      <c r="A1652">
        <v>8444</v>
      </c>
      <c r="B1652" t="s">
        <v>6039</v>
      </c>
      <c r="C1652">
        <v>8.9700000000000006</v>
      </c>
      <c r="D1652">
        <v>1231</v>
      </c>
      <c r="E1652">
        <v>591</v>
      </c>
      <c r="F1652">
        <v>41</v>
      </c>
      <c r="G1652">
        <v>-3</v>
      </c>
      <c r="H1652">
        <v>7.19</v>
      </c>
      <c r="I1652">
        <v>0</v>
      </c>
      <c r="J1652">
        <v>4.62</v>
      </c>
      <c r="K1652" s="245">
        <v>-55.77</v>
      </c>
      <c r="L1652" s="245">
        <v>9.34</v>
      </c>
      <c r="M1652" s="245">
        <v>0.59</v>
      </c>
    </row>
    <row r="1653" spans="1:13">
      <c r="A1653">
        <v>8446</v>
      </c>
      <c r="B1653" t="s">
        <v>6040</v>
      </c>
      <c r="C1653">
        <v>5.29</v>
      </c>
      <c r="D1653">
        <v>-31</v>
      </c>
      <c r="E1653">
        <v>-37</v>
      </c>
      <c r="F1653">
        <v>-29</v>
      </c>
      <c r="G1653">
        <v>2</v>
      </c>
      <c r="H1653">
        <v>45.92</v>
      </c>
      <c r="I1653">
        <v>4.5</v>
      </c>
      <c r="J1653">
        <v>6.56</v>
      </c>
      <c r="K1653" s="245">
        <v>-18.78</v>
      </c>
      <c r="L1653" s="245">
        <v>9.44</v>
      </c>
      <c r="M1653" s="245">
        <v>5.62</v>
      </c>
    </row>
    <row r="1654" spans="1:13">
      <c r="A1654">
        <v>8450</v>
      </c>
      <c r="B1654" t="s">
        <v>6041</v>
      </c>
      <c r="C1654">
        <v>5.13</v>
      </c>
      <c r="D1654">
        <v>-61</v>
      </c>
      <c r="E1654">
        <v>-64</v>
      </c>
      <c r="F1654">
        <v>-24</v>
      </c>
      <c r="G1654">
        <v>-17</v>
      </c>
      <c r="H1654">
        <v>-55.05</v>
      </c>
      <c r="I1654">
        <v>0</v>
      </c>
      <c r="J1654">
        <v>-4.5999999999999996</v>
      </c>
      <c r="K1654" s="245">
        <v>-63.03</v>
      </c>
      <c r="L1654" s="245">
        <v>8.06</v>
      </c>
      <c r="M1654" s="245">
        <v>44.02</v>
      </c>
    </row>
    <row r="1655" spans="1:13">
      <c r="A1655">
        <v>8454</v>
      </c>
      <c r="B1655" t="s">
        <v>6042</v>
      </c>
      <c r="C1655">
        <v>18.2</v>
      </c>
      <c r="D1655">
        <v>68</v>
      </c>
      <c r="E1655">
        <v>82</v>
      </c>
      <c r="F1655">
        <v>7</v>
      </c>
      <c r="G1655">
        <v>23</v>
      </c>
      <c r="H1655">
        <v>4.57</v>
      </c>
      <c r="I1655">
        <v>15</v>
      </c>
      <c r="J1655">
        <v>18.02</v>
      </c>
      <c r="K1655" s="245">
        <v>-66.989999999999995</v>
      </c>
      <c r="L1655" s="245">
        <v>9.82</v>
      </c>
      <c r="M1655" s="245">
        <v>2.68</v>
      </c>
    </row>
    <row r="1656" spans="1:13">
      <c r="A1656">
        <v>8455</v>
      </c>
      <c r="B1656" t="s">
        <v>6691</v>
      </c>
      <c r="C1656">
        <v>2.52</v>
      </c>
      <c r="D1656">
        <v>152</v>
      </c>
      <c r="E1656">
        <v>107</v>
      </c>
      <c r="F1656">
        <v>29</v>
      </c>
      <c r="G1656">
        <v>27</v>
      </c>
      <c r="H1656">
        <v>0.18</v>
      </c>
      <c r="I1656">
        <v>0</v>
      </c>
      <c r="J1656">
        <v>1</v>
      </c>
      <c r="K1656" s="245">
        <v>-17.670000000000002</v>
      </c>
      <c r="L1656" s="245">
        <v>51.1</v>
      </c>
      <c r="M1656" s="245">
        <v>0.6</v>
      </c>
    </row>
    <row r="1657" spans="1:13">
      <c r="A1657">
        <v>8462</v>
      </c>
      <c r="B1657" t="s">
        <v>6043</v>
      </c>
      <c r="C1657">
        <v>7.74</v>
      </c>
      <c r="D1657">
        <v>-135</v>
      </c>
      <c r="E1657">
        <v>-135</v>
      </c>
      <c r="F1657">
        <v>-11</v>
      </c>
      <c r="G1657">
        <v>-9</v>
      </c>
      <c r="H1657">
        <v>-7.41</v>
      </c>
      <c r="I1657">
        <v>1.29</v>
      </c>
      <c r="J1657">
        <v>-1.91</v>
      </c>
      <c r="K1657" s="245">
        <v>-32.840000000000003</v>
      </c>
      <c r="L1657" s="245">
        <v>13.77</v>
      </c>
      <c r="M1657" s="245">
        <v>1.53</v>
      </c>
    </row>
    <row r="1658" spans="1:13">
      <c r="A1658">
        <v>8463</v>
      </c>
      <c r="B1658" t="s">
        <v>6044</v>
      </c>
      <c r="C1658">
        <v>15</v>
      </c>
      <c r="D1658">
        <v>-172</v>
      </c>
      <c r="E1658">
        <v>-76</v>
      </c>
      <c r="F1658">
        <v>51</v>
      </c>
      <c r="G1658">
        <v>2</v>
      </c>
      <c r="H1658">
        <v>1.07</v>
      </c>
      <c r="I1658">
        <v>0</v>
      </c>
      <c r="J1658">
        <v>-0.69</v>
      </c>
      <c r="K1658" s="245">
        <v>-30.33</v>
      </c>
      <c r="L1658" s="245">
        <v>60.84</v>
      </c>
      <c r="M1658" s="245">
        <v>3.99</v>
      </c>
    </row>
    <row r="1659" spans="1:13">
      <c r="A1659">
        <v>8464</v>
      </c>
      <c r="B1659" t="s">
        <v>6045</v>
      </c>
      <c r="C1659">
        <v>29.3</v>
      </c>
      <c r="D1659">
        <v>11</v>
      </c>
      <c r="E1659">
        <v>11</v>
      </c>
      <c r="F1659">
        <v>11</v>
      </c>
      <c r="G1659">
        <v>-7</v>
      </c>
      <c r="H1659">
        <v>26.71</v>
      </c>
      <c r="I1659">
        <v>11</v>
      </c>
      <c r="J1659">
        <v>18.149999999999999</v>
      </c>
      <c r="K1659" s="245">
        <v>-38.74</v>
      </c>
      <c r="L1659" s="245">
        <v>17.489999999999998</v>
      </c>
      <c r="M1659" s="245">
        <v>0.79</v>
      </c>
    </row>
    <row r="1660" spans="1:13">
      <c r="A1660">
        <v>8466</v>
      </c>
      <c r="B1660" t="s">
        <v>6046</v>
      </c>
      <c r="C1660">
        <v>6.6</v>
      </c>
      <c r="D1660">
        <v>-77</v>
      </c>
      <c r="E1660">
        <v>-78</v>
      </c>
      <c r="F1660">
        <v>0</v>
      </c>
      <c r="G1660">
        <v>29</v>
      </c>
      <c r="H1660">
        <v>2.4</v>
      </c>
      <c r="I1660">
        <v>0.7</v>
      </c>
      <c r="J1660">
        <v>1.04</v>
      </c>
      <c r="K1660" s="245">
        <v>-30.18</v>
      </c>
      <c r="L1660" s="245">
        <v>14.81</v>
      </c>
      <c r="M1660" s="245">
        <v>0.31</v>
      </c>
    </row>
    <row r="1661" spans="1:13">
      <c r="A1661">
        <v>8467</v>
      </c>
      <c r="B1661" t="s">
        <v>6047</v>
      </c>
      <c r="C1661">
        <v>4.95</v>
      </c>
      <c r="D1661">
        <v>311</v>
      </c>
      <c r="E1661">
        <v>397</v>
      </c>
      <c r="F1661">
        <v>128</v>
      </c>
      <c r="G1661">
        <v>135</v>
      </c>
      <c r="H1661">
        <v>9.59</v>
      </c>
      <c r="I1661">
        <v>0</v>
      </c>
      <c r="J1661">
        <v>1.98</v>
      </c>
      <c r="K1661" s="245">
        <v>-18.690000000000001</v>
      </c>
      <c r="L1661" s="245">
        <v>28.09</v>
      </c>
      <c r="M1661" s="245">
        <v>0.28999999999999998</v>
      </c>
    </row>
    <row r="1662" spans="1:13">
      <c r="A1662">
        <v>8472</v>
      </c>
      <c r="B1662" t="s">
        <v>6692</v>
      </c>
      <c r="C1662">
        <v>1.77</v>
      </c>
      <c r="D1662">
        <v>-77</v>
      </c>
      <c r="E1662">
        <v>-125</v>
      </c>
      <c r="F1662">
        <v>40</v>
      </c>
      <c r="G1662">
        <v>-20</v>
      </c>
      <c r="H1662">
        <v>-4.47</v>
      </c>
      <c r="I1662">
        <v>1.5</v>
      </c>
      <c r="J1662">
        <v>0.61</v>
      </c>
      <c r="K1662" s="245">
        <v>-27.96</v>
      </c>
      <c r="L1662" s="245">
        <v>42.78</v>
      </c>
      <c r="M1662" s="245">
        <v>0.87</v>
      </c>
    </row>
    <row r="1663" spans="1:13">
      <c r="A1663">
        <v>8473</v>
      </c>
      <c r="B1663" t="s">
        <v>6048</v>
      </c>
      <c r="C1663">
        <v>14.42</v>
      </c>
      <c r="D1663">
        <v>27</v>
      </c>
      <c r="E1663">
        <v>22</v>
      </c>
      <c r="F1663">
        <v>-15</v>
      </c>
      <c r="G1663">
        <v>-45</v>
      </c>
      <c r="H1663">
        <v>17.329999999999998</v>
      </c>
      <c r="I1663">
        <v>0.85</v>
      </c>
      <c r="J1663">
        <v>1.36</v>
      </c>
      <c r="K1663" s="245">
        <v>-23.85</v>
      </c>
      <c r="L1663" s="245">
        <v>17.920000000000002</v>
      </c>
      <c r="M1663" s="245">
        <v>1.08</v>
      </c>
    </row>
    <row r="1664" spans="1:13">
      <c r="A1664">
        <v>8476</v>
      </c>
      <c r="B1664" t="s">
        <v>6251</v>
      </c>
      <c r="C1664">
        <v>7.05</v>
      </c>
      <c r="D1664">
        <v>53</v>
      </c>
      <c r="E1664">
        <v>162</v>
      </c>
      <c r="F1664">
        <v>11</v>
      </c>
      <c r="G1664">
        <v>163</v>
      </c>
      <c r="H1664">
        <v>2.8</v>
      </c>
      <c r="I1664">
        <v>0</v>
      </c>
      <c r="J1664">
        <v>-0.49</v>
      </c>
      <c r="K1664" s="245">
        <v>-17</v>
      </c>
      <c r="L1664" s="245">
        <v>35.700000000000003</v>
      </c>
      <c r="M1664" s="245">
        <v>2.35</v>
      </c>
    </row>
    <row r="1665" spans="1:13">
      <c r="A1665">
        <v>8477</v>
      </c>
      <c r="B1665" t="s">
        <v>6049</v>
      </c>
      <c r="C1665">
        <v>3.15</v>
      </c>
      <c r="D1665">
        <v>-249</v>
      </c>
      <c r="E1665">
        <v>-676</v>
      </c>
      <c r="F1665">
        <v>10</v>
      </c>
      <c r="G1665">
        <v>-23</v>
      </c>
      <c r="H1665">
        <v>-1.64</v>
      </c>
      <c r="I1665">
        <v>0</v>
      </c>
      <c r="J1665">
        <v>-1.06</v>
      </c>
      <c r="K1665" s="245">
        <v>-45.45</v>
      </c>
      <c r="L1665" s="245">
        <v>26.8</v>
      </c>
      <c r="M1665" s="245">
        <v>7.91</v>
      </c>
    </row>
    <row r="1666" spans="1:13">
      <c r="A1666">
        <v>8478</v>
      </c>
      <c r="B1666" t="s">
        <v>6050</v>
      </c>
      <c r="C1666">
        <v>8.8800000000000008</v>
      </c>
      <c r="D1666">
        <v>804</v>
      </c>
      <c r="E1666">
        <v>317</v>
      </c>
      <c r="F1666">
        <v>-30</v>
      </c>
      <c r="G1666">
        <v>31</v>
      </c>
      <c r="H1666">
        <v>20.85</v>
      </c>
      <c r="I1666">
        <v>5</v>
      </c>
      <c r="J1666">
        <v>9.5500000000000007</v>
      </c>
      <c r="K1666" s="245">
        <v>-11.64</v>
      </c>
      <c r="L1666" s="245">
        <v>63.22</v>
      </c>
      <c r="M1666" s="245">
        <v>16.07</v>
      </c>
    </row>
    <row r="1667" spans="1:13">
      <c r="A1667">
        <v>8480</v>
      </c>
      <c r="B1667" t="s">
        <v>6051</v>
      </c>
      <c r="C1667">
        <v>3.92</v>
      </c>
      <c r="D1667">
        <v>-28</v>
      </c>
      <c r="E1667">
        <v>-34</v>
      </c>
      <c r="F1667">
        <v>0</v>
      </c>
      <c r="G1667">
        <v>-12</v>
      </c>
      <c r="H1667">
        <v>13.72</v>
      </c>
      <c r="I1667">
        <v>3.2</v>
      </c>
      <c r="J1667">
        <v>7.08</v>
      </c>
      <c r="K1667" s="245">
        <v>-41.76</v>
      </c>
      <c r="L1667" s="245">
        <v>9.16</v>
      </c>
      <c r="M1667" s="245">
        <v>0.35</v>
      </c>
    </row>
    <row r="1668" spans="1:13">
      <c r="A1668">
        <v>8481</v>
      </c>
      <c r="B1668" t="s">
        <v>6052</v>
      </c>
      <c r="C1668">
        <v>6.66</v>
      </c>
      <c r="D1668">
        <v>-51</v>
      </c>
      <c r="E1668">
        <v>54</v>
      </c>
      <c r="F1668">
        <v>-11</v>
      </c>
      <c r="G1668">
        <v>2</v>
      </c>
      <c r="H1668">
        <v>28.05</v>
      </c>
      <c r="I1668">
        <v>6.5</v>
      </c>
      <c r="J1668">
        <v>6.1</v>
      </c>
      <c r="K1668" s="245">
        <v>-26.14</v>
      </c>
      <c r="L1668" s="245">
        <v>56.65</v>
      </c>
      <c r="M1668" s="245">
        <v>0.65</v>
      </c>
    </row>
    <row r="1669" spans="1:13">
      <c r="A1669">
        <v>8482</v>
      </c>
      <c r="B1669" t="s">
        <v>6053</v>
      </c>
      <c r="C1669">
        <v>11.04</v>
      </c>
      <c r="D1669">
        <v>31</v>
      </c>
      <c r="E1669">
        <v>24</v>
      </c>
      <c r="F1669">
        <v>42</v>
      </c>
      <c r="G1669">
        <v>16</v>
      </c>
      <c r="H1669">
        <v>16.829999999999998</v>
      </c>
      <c r="I1669">
        <v>5.87</v>
      </c>
      <c r="J1669">
        <v>7.97</v>
      </c>
      <c r="K1669" s="245">
        <v>-15.11</v>
      </c>
      <c r="L1669" s="245">
        <v>16.86</v>
      </c>
      <c r="M1669" s="245">
        <v>0.32</v>
      </c>
    </row>
    <row r="1670" spans="1:13">
      <c r="A1670">
        <v>8488</v>
      </c>
      <c r="B1670" t="s">
        <v>6054</v>
      </c>
      <c r="C1670">
        <v>6.75</v>
      </c>
      <c r="D1670">
        <v>0</v>
      </c>
      <c r="E1670">
        <v>-53</v>
      </c>
      <c r="F1670">
        <v>-35</v>
      </c>
      <c r="G1670">
        <v>-15</v>
      </c>
      <c r="H1670">
        <v>1.79</v>
      </c>
      <c r="I1670">
        <v>0.3</v>
      </c>
      <c r="J1670">
        <v>0.75</v>
      </c>
      <c r="K1670" s="245">
        <v>-16.37</v>
      </c>
      <c r="L1670" s="245">
        <v>17.27</v>
      </c>
      <c r="M1670" s="245">
        <v>0.75</v>
      </c>
    </row>
    <row r="1671" spans="1:13">
      <c r="A1671">
        <v>8489</v>
      </c>
      <c r="B1671" t="s">
        <v>6055</v>
      </c>
      <c r="C1671">
        <v>3.77</v>
      </c>
      <c r="D1671">
        <v>-60</v>
      </c>
      <c r="E1671">
        <v>-63</v>
      </c>
      <c r="F1671">
        <v>0</v>
      </c>
      <c r="G1671">
        <v>-8</v>
      </c>
      <c r="H1671">
        <v>4.45</v>
      </c>
      <c r="I1671">
        <v>0.2</v>
      </c>
      <c r="J1671">
        <v>-0.8</v>
      </c>
      <c r="K1671" s="245">
        <v>-31</v>
      </c>
      <c r="L1671" s="245">
        <v>23.5</v>
      </c>
      <c r="M1671" s="245">
        <v>12.97</v>
      </c>
    </row>
    <row r="1672" spans="1:13">
      <c r="A1672">
        <v>8499</v>
      </c>
      <c r="B1672" t="s">
        <v>6056</v>
      </c>
      <c r="C1672">
        <v>5.18</v>
      </c>
      <c r="D1672">
        <v>25</v>
      </c>
      <c r="E1672">
        <v>17</v>
      </c>
      <c r="F1672">
        <v>-8</v>
      </c>
      <c r="G1672">
        <v>-5</v>
      </c>
      <c r="H1672">
        <v>38.28</v>
      </c>
      <c r="I1672">
        <v>8</v>
      </c>
      <c r="J1672">
        <v>14.14</v>
      </c>
      <c r="K1672" s="245">
        <v>-25.68</v>
      </c>
      <c r="L1672" s="245">
        <v>13.84</v>
      </c>
      <c r="M1672" s="245">
        <v>1.38</v>
      </c>
    </row>
    <row r="1673" spans="1:13">
      <c r="A1673">
        <v>8905</v>
      </c>
      <c r="B1673" t="s">
        <v>6057</v>
      </c>
      <c r="C1673">
        <v>11.94</v>
      </c>
      <c r="D1673">
        <v>304</v>
      </c>
      <c r="E1673">
        <v>332</v>
      </c>
      <c r="F1673">
        <v>5</v>
      </c>
      <c r="G1673">
        <v>-10</v>
      </c>
      <c r="H1673">
        <v>12.89</v>
      </c>
      <c r="I1673">
        <v>1.9</v>
      </c>
      <c r="J1673">
        <v>2.5299999999999998</v>
      </c>
      <c r="K1673" s="245">
        <v>-33.57</v>
      </c>
      <c r="L1673" s="245">
        <v>43.04</v>
      </c>
      <c r="M1673" s="245">
        <v>14.93</v>
      </c>
    </row>
    <row r="1674" spans="1:13">
      <c r="A1674">
        <v>8906</v>
      </c>
      <c r="B1674" t="s">
        <v>6307</v>
      </c>
      <c r="C1674">
        <v>3.4</v>
      </c>
      <c r="D1674">
        <v>29</v>
      </c>
      <c r="E1674">
        <v>141</v>
      </c>
      <c r="F1674">
        <v>17</v>
      </c>
      <c r="G1674">
        <v>43</v>
      </c>
      <c r="H1674">
        <v>0.94</v>
      </c>
      <c r="I1674">
        <v>0.1</v>
      </c>
      <c r="J1674">
        <v>0.1</v>
      </c>
      <c r="K1674" s="245">
        <v>-9.52</v>
      </c>
      <c r="L1674" s="245">
        <v>33.54</v>
      </c>
      <c r="M1674" s="245">
        <v>5.84</v>
      </c>
    </row>
    <row r="1675" spans="1:13">
      <c r="A1675">
        <v>8908</v>
      </c>
      <c r="B1675" t="s">
        <v>6058</v>
      </c>
      <c r="C1675">
        <v>22.4</v>
      </c>
      <c r="D1675">
        <v>25</v>
      </c>
      <c r="E1675">
        <v>30</v>
      </c>
      <c r="F1675">
        <v>26</v>
      </c>
      <c r="G1675">
        <v>18</v>
      </c>
      <c r="H1675">
        <v>9.3800000000000008</v>
      </c>
      <c r="I1675">
        <v>1.9</v>
      </c>
      <c r="J1675">
        <v>2.16</v>
      </c>
      <c r="K1675" s="245">
        <v>-13.6</v>
      </c>
      <c r="L1675" s="245">
        <v>55.52</v>
      </c>
      <c r="M1675" s="245">
        <v>0.16</v>
      </c>
    </row>
    <row r="1676" spans="1:13">
      <c r="A1676">
        <v>8916</v>
      </c>
      <c r="B1676" t="s">
        <v>6059</v>
      </c>
      <c r="C1676">
        <v>13.15</v>
      </c>
      <c r="D1676">
        <v>55</v>
      </c>
      <c r="E1676">
        <v>-50</v>
      </c>
      <c r="F1676">
        <v>59</v>
      </c>
      <c r="G1676">
        <v>22</v>
      </c>
      <c r="H1676">
        <v>2.33</v>
      </c>
      <c r="I1676">
        <v>3</v>
      </c>
      <c r="J1676">
        <v>3.58</v>
      </c>
      <c r="K1676" s="245">
        <v>-3.48</v>
      </c>
      <c r="L1676" s="245">
        <v>58.65</v>
      </c>
      <c r="M1676" s="245">
        <v>1.31</v>
      </c>
    </row>
    <row r="1677" spans="1:13">
      <c r="A1677">
        <v>8917</v>
      </c>
      <c r="B1677" t="s">
        <v>6365</v>
      </c>
      <c r="C1677">
        <v>14.78</v>
      </c>
      <c r="D1677">
        <v>0</v>
      </c>
      <c r="E1677">
        <v>-3</v>
      </c>
      <c r="F1677">
        <v>16</v>
      </c>
      <c r="G1677">
        <v>16</v>
      </c>
      <c r="H1677">
        <v>16.95</v>
      </c>
      <c r="I1677">
        <v>2.1</v>
      </c>
      <c r="J1677">
        <v>2.21</v>
      </c>
      <c r="K1677" s="245">
        <v>-8.81</v>
      </c>
      <c r="L1677" s="245">
        <v>39.56</v>
      </c>
      <c r="M1677" s="245">
        <v>0.03</v>
      </c>
    </row>
    <row r="1678" spans="1:13">
      <c r="A1678">
        <v>8921</v>
      </c>
      <c r="B1678" t="s">
        <v>6693</v>
      </c>
      <c r="C1678">
        <v>4.6500000000000004</v>
      </c>
      <c r="D1678">
        <v>-24</v>
      </c>
      <c r="E1678">
        <v>-99</v>
      </c>
      <c r="F1678">
        <v>-1</v>
      </c>
      <c r="G1678">
        <v>22</v>
      </c>
      <c r="H1678">
        <v>0.01</v>
      </c>
      <c r="I1678">
        <v>0.45</v>
      </c>
      <c r="J1678">
        <v>0.31</v>
      </c>
      <c r="K1678" s="245">
        <v>-5.04</v>
      </c>
      <c r="L1678" s="245">
        <v>78.23</v>
      </c>
      <c r="M1678" s="245">
        <v>0.56000000000000005</v>
      </c>
    </row>
    <row r="1679" spans="1:13">
      <c r="A1679">
        <v>8923</v>
      </c>
      <c r="B1679" t="s">
        <v>6327</v>
      </c>
      <c r="C1679">
        <v>3.03</v>
      </c>
      <c r="D1679">
        <v>5</v>
      </c>
      <c r="E1679">
        <v>22</v>
      </c>
      <c r="F1679">
        <v>27</v>
      </c>
      <c r="G1679">
        <v>-17</v>
      </c>
      <c r="H1679">
        <v>7.48</v>
      </c>
      <c r="I1679">
        <v>0.9</v>
      </c>
      <c r="J1679">
        <v>1</v>
      </c>
      <c r="K1679" s="245">
        <v>-10.82</v>
      </c>
      <c r="L1679" s="245">
        <v>59.21</v>
      </c>
      <c r="M1679" s="245">
        <v>0.28999999999999998</v>
      </c>
    </row>
    <row r="1680" spans="1:13">
      <c r="A1680">
        <v>8924</v>
      </c>
      <c r="B1680" t="s">
        <v>6060</v>
      </c>
      <c r="C1680">
        <v>8.3800000000000008</v>
      </c>
      <c r="D1680">
        <v>252</v>
      </c>
      <c r="E1680">
        <v>192</v>
      </c>
      <c r="F1680">
        <v>4</v>
      </c>
      <c r="G1680">
        <v>21</v>
      </c>
      <c r="H1680">
        <v>25.36</v>
      </c>
      <c r="I1680">
        <v>13.7</v>
      </c>
      <c r="J1680">
        <v>20.149999999999999</v>
      </c>
      <c r="K1680" s="245">
        <v>-25.47</v>
      </c>
      <c r="L1680" s="245">
        <v>28.54</v>
      </c>
      <c r="M1680" s="245">
        <v>15.77</v>
      </c>
    </row>
    <row r="1681" spans="1:13">
      <c r="A1681">
        <v>8926</v>
      </c>
      <c r="B1681" t="s">
        <v>6061</v>
      </c>
      <c r="C1681">
        <v>58.9</v>
      </c>
      <c r="D1681">
        <v>-15</v>
      </c>
      <c r="E1681">
        <v>-6</v>
      </c>
      <c r="F1681">
        <v>-1</v>
      </c>
      <c r="G1681">
        <v>-67</v>
      </c>
      <c r="H1681">
        <v>6.87</v>
      </c>
      <c r="I1681">
        <v>1.75</v>
      </c>
      <c r="J1681">
        <v>1.52</v>
      </c>
      <c r="K1681" s="245">
        <v>-6.18</v>
      </c>
      <c r="L1681" s="245">
        <v>28.48</v>
      </c>
      <c r="M1681" s="245">
        <v>0.68</v>
      </c>
    </row>
    <row r="1682" spans="1:13">
      <c r="A1682">
        <v>8927</v>
      </c>
      <c r="B1682" t="s">
        <v>6062</v>
      </c>
      <c r="C1682">
        <v>24.76</v>
      </c>
      <c r="D1682">
        <v>18</v>
      </c>
      <c r="E1682">
        <v>-38</v>
      </c>
      <c r="F1682">
        <v>-4</v>
      </c>
      <c r="G1682">
        <v>22</v>
      </c>
      <c r="H1682">
        <v>1.23</v>
      </c>
      <c r="I1682">
        <v>1.6</v>
      </c>
      <c r="J1682">
        <v>0.69</v>
      </c>
      <c r="K1682" s="245">
        <v>-14.74</v>
      </c>
      <c r="L1682" s="245">
        <v>61.1</v>
      </c>
      <c r="M1682" s="245">
        <v>3.04</v>
      </c>
    </row>
    <row r="1683" spans="1:13">
      <c r="A1683">
        <v>8928</v>
      </c>
      <c r="B1683" t="s">
        <v>6063</v>
      </c>
      <c r="C1683">
        <v>5.08</v>
      </c>
      <c r="D1683">
        <v>87</v>
      </c>
      <c r="E1683">
        <v>112</v>
      </c>
      <c r="F1683">
        <v>25</v>
      </c>
      <c r="G1683">
        <v>46</v>
      </c>
      <c r="H1683">
        <v>10.14</v>
      </c>
      <c r="I1683">
        <v>2.5</v>
      </c>
      <c r="J1683">
        <v>4.7</v>
      </c>
      <c r="K1683" s="245">
        <v>-6.89</v>
      </c>
      <c r="L1683" s="245">
        <v>69.11</v>
      </c>
      <c r="M1683" s="245">
        <v>13.53</v>
      </c>
    </row>
    <row r="1684" spans="1:13">
      <c r="A1684">
        <v>8929</v>
      </c>
      <c r="B1684" t="s">
        <v>6064</v>
      </c>
      <c r="C1684">
        <v>5.05</v>
      </c>
      <c r="D1684">
        <v>-484</v>
      </c>
      <c r="E1684">
        <v>-296</v>
      </c>
      <c r="F1684">
        <v>22</v>
      </c>
      <c r="G1684">
        <v>-28</v>
      </c>
      <c r="H1684">
        <v>-8.27</v>
      </c>
      <c r="I1684">
        <v>0</v>
      </c>
      <c r="J1684">
        <v>-1.32</v>
      </c>
      <c r="K1684" s="245">
        <v>-18.489999999999998</v>
      </c>
      <c r="L1684" s="245">
        <v>18.34</v>
      </c>
      <c r="M1684" s="245">
        <v>2.63</v>
      </c>
    </row>
    <row r="1685" spans="1:13">
      <c r="A1685">
        <v>8930</v>
      </c>
      <c r="B1685" t="s">
        <v>6168</v>
      </c>
      <c r="C1685">
        <v>8.18</v>
      </c>
      <c r="D1685">
        <v>220</v>
      </c>
      <c r="E1685">
        <v>48</v>
      </c>
      <c r="F1685">
        <v>-15</v>
      </c>
      <c r="G1685">
        <v>26</v>
      </c>
      <c r="H1685">
        <v>10.32</v>
      </c>
      <c r="I1685">
        <v>0.8</v>
      </c>
      <c r="J1685">
        <v>1</v>
      </c>
      <c r="K1685" s="245">
        <v>-30.75</v>
      </c>
      <c r="L1685" s="245">
        <v>22.29</v>
      </c>
      <c r="M1685" s="245">
        <v>20.53</v>
      </c>
    </row>
    <row r="1686" spans="1:13">
      <c r="A1686">
        <v>8931</v>
      </c>
      <c r="B1686" t="s">
        <v>6065</v>
      </c>
      <c r="C1686">
        <v>12.22</v>
      </c>
      <c r="D1686">
        <v>-6</v>
      </c>
      <c r="E1686">
        <v>-12</v>
      </c>
      <c r="F1686">
        <v>-3</v>
      </c>
      <c r="G1686">
        <v>25</v>
      </c>
      <c r="H1686">
        <v>11.48</v>
      </c>
      <c r="I1686">
        <v>1.5</v>
      </c>
      <c r="J1686">
        <v>1.39</v>
      </c>
      <c r="K1686" s="245">
        <v>-10.17</v>
      </c>
      <c r="L1686" s="245">
        <v>30.55</v>
      </c>
      <c r="M1686" s="245">
        <v>1.26</v>
      </c>
    </row>
    <row r="1687" spans="1:13">
      <c r="A1687">
        <v>8932</v>
      </c>
      <c r="B1687" t="s">
        <v>6311</v>
      </c>
      <c r="C1687">
        <v>6.01</v>
      </c>
      <c r="D1687">
        <v>-37</v>
      </c>
      <c r="E1687">
        <v>7</v>
      </c>
      <c r="F1687">
        <v>108</v>
      </c>
      <c r="G1687">
        <v>5</v>
      </c>
      <c r="H1687">
        <v>-4.7699999999999996</v>
      </c>
      <c r="I1687">
        <v>0</v>
      </c>
      <c r="J1687">
        <v>-1.21</v>
      </c>
      <c r="K1687" s="245">
        <v>-7.54</v>
      </c>
      <c r="L1687" s="245">
        <v>61.71</v>
      </c>
      <c r="M1687" s="245">
        <v>6.09</v>
      </c>
    </row>
    <row r="1688" spans="1:13">
      <c r="A1688">
        <v>8933</v>
      </c>
      <c r="B1688" t="s">
        <v>6694</v>
      </c>
      <c r="C1688">
        <v>30.13</v>
      </c>
      <c r="D1688">
        <v>640</v>
      </c>
      <c r="E1688">
        <v>1602</v>
      </c>
      <c r="F1688">
        <v>40</v>
      </c>
      <c r="G1688">
        <v>34</v>
      </c>
      <c r="H1688">
        <v>2.77</v>
      </c>
      <c r="I1688">
        <v>0</v>
      </c>
      <c r="J1688">
        <v>0.28999999999999998</v>
      </c>
      <c r="K1688" s="245">
        <v>-18.73</v>
      </c>
      <c r="L1688" s="245">
        <v>14.35</v>
      </c>
      <c r="M1688" s="245">
        <v>4.4000000000000004</v>
      </c>
    </row>
    <row r="1689" spans="1:13">
      <c r="A1689">
        <v>8935</v>
      </c>
      <c r="B1689" t="s">
        <v>6695</v>
      </c>
      <c r="C1689">
        <v>8.43</v>
      </c>
      <c r="D1689">
        <v>288</v>
      </c>
      <c r="E1689">
        <v>575</v>
      </c>
      <c r="F1689">
        <v>28</v>
      </c>
      <c r="G1689">
        <v>-8</v>
      </c>
      <c r="H1689">
        <v>3.29</v>
      </c>
      <c r="I1689">
        <v>0</v>
      </c>
      <c r="J1689">
        <v>0.52</v>
      </c>
      <c r="K1689" s="245">
        <v>-29.66</v>
      </c>
      <c r="L1689" s="245">
        <v>19.54</v>
      </c>
      <c r="M1689" s="245">
        <v>5.35</v>
      </c>
    </row>
    <row r="1690" spans="1:13">
      <c r="A1690">
        <v>8936</v>
      </c>
      <c r="B1690" t="s">
        <v>6066</v>
      </c>
      <c r="C1690">
        <v>24.8</v>
      </c>
      <c r="D1690">
        <v>184</v>
      </c>
      <c r="E1690">
        <v>62</v>
      </c>
      <c r="F1690">
        <v>13</v>
      </c>
      <c r="G1690">
        <v>9</v>
      </c>
      <c r="H1690">
        <v>12.89</v>
      </c>
      <c r="I1690">
        <v>0.5</v>
      </c>
      <c r="J1690">
        <v>1.81</v>
      </c>
      <c r="K1690" s="245">
        <v>-25.05</v>
      </c>
      <c r="L1690" s="245">
        <v>36.29</v>
      </c>
      <c r="M1690" s="245">
        <v>9.19</v>
      </c>
    </row>
    <row r="1691" spans="1:13">
      <c r="A1691">
        <v>8937</v>
      </c>
      <c r="B1691" t="s">
        <v>6696</v>
      </c>
      <c r="C1691">
        <v>7.24</v>
      </c>
      <c r="D1691">
        <v>-1543</v>
      </c>
      <c r="E1691">
        <v>-123</v>
      </c>
      <c r="F1691">
        <v>23</v>
      </c>
      <c r="G1691">
        <v>157</v>
      </c>
      <c r="H1691">
        <v>-54.71</v>
      </c>
      <c r="I1691">
        <v>0</v>
      </c>
      <c r="J1691">
        <v>-0.79</v>
      </c>
      <c r="K1691" s="245">
        <v>-10.96</v>
      </c>
      <c r="L1691" s="245">
        <v>53.66</v>
      </c>
      <c r="M1691" s="245">
        <v>0.6</v>
      </c>
    </row>
    <row r="1692" spans="1:13">
      <c r="A1692">
        <v>8938</v>
      </c>
      <c r="B1692" t="s">
        <v>6067</v>
      </c>
      <c r="C1692">
        <v>13.53</v>
      </c>
      <c r="D1692">
        <v>103</v>
      </c>
      <c r="E1692">
        <v>70</v>
      </c>
      <c r="F1692">
        <v>30</v>
      </c>
      <c r="G1692">
        <v>34</v>
      </c>
      <c r="H1692">
        <v>11.51</v>
      </c>
      <c r="I1692">
        <v>5.5</v>
      </c>
      <c r="J1692">
        <v>10.01</v>
      </c>
      <c r="K1692" s="245">
        <v>-7.78</v>
      </c>
      <c r="L1692" s="245">
        <v>70.87</v>
      </c>
      <c r="M1692" s="245">
        <v>11.53</v>
      </c>
    </row>
    <row r="1693" spans="1:13">
      <c r="A1693">
        <v>8940</v>
      </c>
      <c r="B1693" t="s">
        <v>6697</v>
      </c>
      <c r="C1693">
        <v>6.74</v>
      </c>
      <c r="D1693">
        <v>-116</v>
      </c>
      <c r="E1693">
        <v>-50</v>
      </c>
      <c r="F1693">
        <v>-45</v>
      </c>
      <c r="G1693">
        <v>-22</v>
      </c>
      <c r="H1693">
        <v>-21.24</v>
      </c>
      <c r="I1693">
        <v>0</v>
      </c>
      <c r="J1693">
        <v>-1.74</v>
      </c>
      <c r="K1693" s="245">
        <v>-26.97</v>
      </c>
      <c r="L1693" s="245">
        <v>27.24</v>
      </c>
      <c r="M1693" s="245">
        <v>3.71</v>
      </c>
    </row>
    <row r="1694" spans="1:13">
      <c r="A1694">
        <v>8941</v>
      </c>
      <c r="B1694" t="s">
        <v>6262</v>
      </c>
      <c r="C1694">
        <v>3.04</v>
      </c>
      <c r="D1694">
        <v>24</v>
      </c>
      <c r="E1694">
        <v>-22</v>
      </c>
      <c r="F1694">
        <v>-14</v>
      </c>
      <c r="G1694">
        <v>-4</v>
      </c>
      <c r="H1694">
        <v>1.6</v>
      </c>
      <c r="I1694">
        <v>3</v>
      </c>
      <c r="J1694">
        <v>3.6</v>
      </c>
      <c r="K1694" s="245">
        <v>-5.77</v>
      </c>
      <c r="L1694" s="245">
        <v>58.95</v>
      </c>
      <c r="M1694" s="245">
        <v>0.37</v>
      </c>
    </row>
    <row r="1695" spans="1:13">
      <c r="A1695">
        <v>8942</v>
      </c>
      <c r="B1695" t="s">
        <v>6068</v>
      </c>
      <c r="C1695">
        <v>16.579999999999998</v>
      </c>
      <c r="D1695">
        <v>36</v>
      </c>
      <c r="E1695">
        <v>67</v>
      </c>
      <c r="F1695">
        <v>-5</v>
      </c>
      <c r="G1695">
        <v>12</v>
      </c>
      <c r="H1695">
        <v>15.49</v>
      </c>
      <c r="I1695">
        <v>4</v>
      </c>
      <c r="J1695">
        <v>7.81</v>
      </c>
      <c r="K1695" s="245">
        <v>-19.66</v>
      </c>
      <c r="L1695" s="245">
        <v>25.6</v>
      </c>
      <c r="M1695" s="245">
        <v>2.9</v>
      </c>
    </row>
    <row r="1696" spans="1:13">
      <c r="A1696">
        <v>8996</v>
      </c>
      <c r="B1696" t="s">
        <v>6069</v>
      </c>
      <c r="C1696">
        <v>8.93</v>
      </c>
      <c r="D1696">
        <v>32</v>
      </c>
      <c r="E1696">
        <v>35</v>
      </c>
      <c r="F1696">
        <v>-17</v>
      </c>
      <c r="G1696">
        <v>-8</v>
      </c>
      <c r="H1696">
        <v>10.32</v>
      </c>
      <c r="I1696">
        <v>1.5</v>
      </c>
      <c r="J1696">
        <v>1.67</v>
      </c>
      <c r="K1696" s="245">
        <v>-27.62</v>
      </c>
      <c r="L1696" s="245">
        <v>22.22</v>
      </c>
      <c r="M1696" s="245">
        <v>10.73</v>
      </c>
    </row>
    <row r="1697" spans="1:13">
      <c r="A1697">
        <v>9802</v>
      </c>
      <c r="B1697" t="s">
        <v>6070</v>
      </c>
      <c r="C1697">
        <v>18.61</v>
      </c>
      <c r="D1697">
        <v>32</v>
      </c>
      <c r="E1697">
        <v>15</v>
      </c>
      <c r="F1697">
        <v>-9</v>
      </c>
      <c r="G1697">
        <v>57</v>
      </c>
      <c r="H1697">
        <v>9.4600000000000009</v>
      </c>
      <c r="I1697">
        <v>4.2300000000000004</v>
      </c>
      <c r="J1697">
        <v>6.39</v>
      </c>
      <c r="K1697" s="245">
        <v>-4.1900000000000004</v>
      </c>
      <c r="L1697" s="245">
        <v>91.03</v>
      </c>
      <c r="M1697" s="245">
        <v>3.33</v>
      </c>
    </row>
    <row r="1698" spans="1:13">
      <c r="A1698">
        <v>9902</v>
      </c>
      <c r="B1698" t="s">
        <v>6071</v>
      </c>
      <c r="C1698">
        <v>9.8000000000000007</v>
      </c>
      <c r="D1698">
        <v>248</v>
      </c>
      <c r="E1698">
        <v>-93</v>
      </c>
      <c r="F1698">
        <v>3673</v>
      </c>
      <c r="G1698">
        <v>-34</v>
      </c>
      <c r="H1698">
        <v>-5.31</v>
      </c>
      <c r="I1698">
        <v>0.5</v>
      </c>
      <c r="J1698">
        <v>1.1499999999999999</v>
      </c>
      <c r="K1698" s="245">
        <v>-22.97</v>
      </c>
      <c r="L1698" s="245">
        <v>15.52</v>
      </c>
      <c r="M1698" s="245">
        <v>11.37</v>
      </c>
    </row>
    <row r="1699" spans="1:13">
      <c r="A1699">
        <v>9904</v>
      </c>
      <c r="B1699" t="s">
        <v>6072</v>
      </c>
      <c r="C1699">
        <v>294</v>
      </c>
      <c r="D1699">
        <v>323</v>
      </c>
      <c r="E1699">
        <v>217</v>
      </c>
      <c r="F1699">
        <v>21</v>
      </c>
      <c r="G1699">
        <v>-10</v>
      </c>
      <c r="H1699">
        <v>1.03</v>
      </c>
      <c r="I1699">
        <v>1.5</v>
      </c>
      <c r="J1699">
        <v>4.9000000000000004</v>
      </c>
      <c r="K1699" s="245">
        <v>-25.93</v>
      </c>
      <c r="L1699" s="245">
        <v>31.87</v>
      </c>
      <c r="M1699" s="245">
        <v>1.1000000000000001</v>
      </c>
    </row>
    <row r="1700" spans="1:13">
      <c r="A1700">
        <v>9905</v>
      </c>
      <c r="B1700" t="s">
        <v>6073</v>
      </c>
      <c r="C1700">
        <v>30.5</v>
      </c>
      <c r="D1700">
        <v>7</v>
      </c>
      <c r="E1700">
        <v>11</v>
      </c>
      <c r="F1700">
        <v>22</v>
      </c>
      <c r="G1700">
        <v>-3</v>
      </c>
      <c r="H1700">
        <v>8.1199999999999992</v>
      </c>
      <c r="I1700">
        <v>1.5</v>
      </c>
      <c r="J1700">
        <v>1.97</v>
      </c>
      <c r="K1700" s="245">
        <v>-16.190000000000001</v>
      </c>
      <c r="L1700" s="245">
        <v>26.8</v>
      </c>
      <c r="M1700" s="245">
        <v>1.26</v>
      </c>
    </row>
    <row r="1701" spans="1:13">
      <c r="A1701">
        <v>9906</v>
      </c>
      <c r="B1701" t="s">
        <v>6074</v>
      </c>
      <c r="C1701">
        <v>8.33</v>
      </c>
      <c r="D1701">
        <v>394</v>
      </c>
      <c r="E1701">
        <v>657</v>
      </c>
      <c r="F1701">
        <v>1913</v>
      </c>
      <c r="G1701">
        <v>6397023</v>
      </c>
      <c r="H1701">
        <v>19.87</v>
      </c>
      <c r="I1701">
        <v>0.66</v>
      </c>
      <c r="J1701">
        <v>3.14</v>
      </c>
      <c r="K1701" s="245">
        <v>-16</v>
      </c>
      <c r="L1701" s="245">
        <v>68.61</v>
      </c>
      <c r="M1701" s="245">
        <v>1.59</v>
      </c>
    </row>
    <row r="1702" spans="1:13">
      <c r="A1702">
        <v>9907</v>
      </c>
      <c r="B1702" t="s">
        <v>6075</v>
      </c>
      <c r="C1702">
        <v>157</v>
      </c>
      <c r="D1702">
        <v>102</v>
      </c>
      <c r="E1702">
        <v>97</v>
      </c>
      <c r="F1702">
        <v>19</v>
      </c>
      <c r="G1702">
        <v>17</v>
      </c>
      <c r="H1702">
        <v>5.62</v>
      </c>
      <c r="I1702">
        <v>1</v>
      </c>
      <c r="J1702">
        <v>1.17</v>
      </c>
      <c r="K1702" s="245">
        <v>-16.62</v>
      </c>
      <c r="L1702" s="245">
        <v>36.369999999999997</v>
      </c>
      <c r="M1702" s="245">
        <v>2.92</v>
      </c>
    </row>
    <row r="1703" spans="1:13">
      <c r="A1703">
        <v>9908</v>
      </c>
      <c r="B1703" t="s">
        <v>6076</v>
      </c>
      <c r="C1703">
        <v>51.63</v>
      </c>
      <c r="D1703">
        <v>6</v>
      </c>
      <c r="E1703">
        <v>-7</v>
      </c>
      <c r="F1703">
        <v>19</v>
      </c>
      <c r="G1703">
        <v>4</v>
      </c>
      <c r="H1703">
        <v>17.78</v>
      </c>
      <c r="I1703">
        <v>1.1000000000000001</v>
      </c>
      <c r="J1703">
        <v>1.75</v>
      </c>
      <c r="K1703" s="245">
        <v>-5.6</v>
      </c>
      <c r="L1703" s="245">
        <v>47.42</v>
      </c>
      <c r="M1703" s="245">
        <v>0.22</v>
      </c>
    </row>
    <row r="1704" spans="1:13">
      <c r="A1704">
        <v>9910</v>
      </c>
      <c r="B1704" t="s">
        <v>6077</v>
      </c>
      <c r="C1704">
        <v>88.16</v>
      </c>
      <c r="D1704">
        <v>-7</v>
      </c>
      <c r="E1704">
        <v>-9</v>
      </c>
      <c r="F1704">
        <v>-3</v>
      </c>
      <c r="G1704">
        <v>19</v>
      </c>
      <c r="H1704">
        <v>9.06</v>
      </c>
      <c r="I1704">
        <v>4.0999999999999996</v>
      </c>
      <c r="J1704">
        <v>5.15</v>
      </c>
      <c r="K1704" s="245">
        <v>-31.04</v>
      </c>
      <c r="L1704" s="245">
        <v>24.69</v>
      </c>
      <c r="M1704" s="245">
        <v>0.63</v>
      </c>
    </row>
    <row r="1705" spans="1:13">
      <c r="A1705">
        <v>9911</v>
      </c>
      <c r="B1705" t="s">
        <v>6078</v>
      </c>
      <c r="C1705">
        <v>22.11</v>
      </c>
      <c r="D1705">
        <v>12</v>
      </c>
      <c r="E1705">
        <v>8</v>
      </c>
      <c r="F1705">
        <v>-7</v>
      </c>
      <c r="G1705">
        <v>15</v>
      </c>
      <c r="H1705">
        <v>15.33</v>
      </c>
      <c r="I1705">
        <v>0</v>
      </c>
      <c r="J1705">
        <v>4.62</v>
      </c>
      <c r="K1705" s="245">
        <v>-14.8</v>
      </c>
      <c r="L1705" s="245">
        <v>32.229999999999997</v>
      </c>
      <c r="M1705" s="245">
        <v>0.64</v>
      </c>
    </row>
    <row r="1706" spans="1:13">
      <c r="A1706">
        <v>9912</v>
      </c>
      <c r="B1706" t="s">
        <v>6698</v>
      </c>
      <c r="C1706">
        <v>5.45</v>
      </c>
      <c r="D1706">
        <v>147</v>
      </c>
      <c r="E1706">
        <v>194</v>
      </c>
      <c r="F1706">
        <v>52</v>
      </c>
      <c r="G1706">
        <v>31</v>
      </c>
      <c r="H1706">
        <v>2.2000000000000002</v>
      </c>
      <c r="I1706">
        <v>0</v>
      </c>
      <c r="J1706">
        <v>0.37</v>
      </c>
      <c r="K1706" s="245">
        <v>-15.4</v>
      </c>
      <c r="L1706" s="245">
        <v>27.1</v>
      </c>
      <c r="M1706" s="245">
        <v>1.73</v>
      </c>
    </row>
    <row r="1707" spans="1:13">
      <c r="A1707">
        <v>9914</v>
      </c>
      <c r="B1707" t="s">
        <v>6079</v>
      </c>
      <c r="C1707">
        <v>29.89</v>
      </c>
      <c r="D1707">
        <v>16</v>
      </c>
      <c r="E1707">
        <v>-15</v>
      </c>
      <c r="F1707">
        <v>45</v>
      </c>
      <c r="G1707">
        <v>4</v>
      </c>
      <c r="H1707">
        <v>5.41</v>
      </c>
      <c r="I1707">
        <v>8</v>
      </c>
      <c r="J1707">
        <v>15.55</v>
      </c>
      <c r="K1707" s="245">
        <v>-33.619999999999997</v>
      </c>
      <c r="L1707" s="245">
        <v>26.8</v>
      </c>
      <c r="M1707" s="245">
        <v>1.55</v>
      </c>
    </row>
    <row r="1708" spans="1:13">
      <c r="A1708">
        <v>9917</v>
      </c>
      <c r="B1708" t="s">
        <v>6080</v>
      </c>
      <c r="C1708">
        <v>45.11</v>
      </c>
      <c r="D1708">
        <v>5</v>
      </c>
      <c r="E1708">
        <v>0</v>
      </c>
      <c r="F1708">
        <v>4</v>
      </c>
      <c r="G1708">
        <v>3</v>
      </c>
      <c r="H1708">
        <v>18.86</v>
      </c>
      <c r="I1708">
        <v>5</v>
      </c>
      <c r="J1708">
        <v>5.73</v>
      </c>
      <c r="K1708" s="245">
        <v>-7.42</v>
      </c>
      <c r="L1708" s="245">
        <v>55.28</v>
      </c>
      <c r="M1708" s="245">
        <v>0.28999999999999998</v>
      </c>
    </row>
    <row r="1709" spans="1:13">
      <c r="A1709">
        <v>9918</v>
      </c>
      <c r="B1709" t="s">
        <v>6081</v>
      </c>
      <c r="C1709">
        <v>18.05</v>
      </c>
      <c r="D1709">
        <v>4</v>
      </c>
      <c r="E1709">
        <v>-14</v>
      </c>
      <c r="F1709">
        <v>-22</v>
      </c>
      <c r="G1709">
        <v>3</v>
      </c>
      <c r="H1709">
        <v>14.57</v>
      </c>
      <c r="I1709">
        <v>1.7</v>
      </c>
      <c r="J1709">
        <v>1.92</v>
      </c>
      <c r="K1709" s="245">
        <v>-23.29</v>
      </c>
      <c r="L1709" s="245">
        <v>21.27</v>
      </c>
      <c r="M1709" s="245">
        <v>1.26</v>
      </c>
    </row>
    <row r="1710" spans="1:13">
      <c r="A1710">
        <v>9919</v>
      </c>
      <c r="B1710" t="s">
        <v>6082</v>
      </c>
      <c r="C1710">
        <v>19.53</v>
      </c>
      <c r="D1710">
        <v>-88</v>
      </c>
      <c r="E1710">
        <v>-81</v>
      </c>
      <c r="F1710">
        <v>16</v>
      </c>
      <c r="G1710">
        <v>-6</v>
      </c>
      <c r="H1710">
        <v>3.83</v>
      </c>
      <c r="I1710">
        <v>0.3</v>
      </c>
      <c r="J1710">
        <v>0.5</v>
      </c>
      <c r="K1710" s="245">
        <v>-39.020000000000003</v>
      </c>
      <c r="L1710" s="245">
        <v>27.7</v>
      </c>
      <c r="M1710" s="245">
        <v>62.6</v>
      </c>
    </row>
    <row r="1711" spans="1:13">
      <c r="A1711">
        <v>9921</v>
      </c>
      <c r="B1711" t="s">
        <v>6083</v>
      </c>
      <c r="C1711">
        <v>37.5</v>
      </c>
      <c r="D1711">
        <v>21</v>
      </c>
      <c r="E1711">
        <v>26</v>
      </c>
      <c r="F1711">
        <v>33</v>
      </c>
      <c r="G1711">
        <v>6</v>
      </c>
      <c r="H1711">
        <v>10.64</v>
      </c>
      <c r="I1711">
        <v>10</v>
      </c>
      <c r="J1711">
        <v>15.81</v>
      </c>
      <c r="K1711" s="245">
        <v>-33.049999999999997</v>
      </c>
      <c r="L1711" s="245">
        <v>10.16</v>
      </c>
      <c r="M1711" s="245">
        <v>0.75</v>
      </c>
    </row>
    <row r="1712" spans="1:13">
      <c r="A1712">
        <v>9924</v>
      </c>
      <c r="B1712" t="s">
        <v>6084</v>
      </c>
      <c r="C1712">
        <v>18.84</v>
      </c>
      <c r="D1712">
        <v>-19</v>
      </c>
      <c r="E1712">
        <v>-37</v>
      </c>
      <c r="F1712">
        <v>16</v>
      </c>
      <c r="G1712">
        <v>-17</v>
      </c>
      <c r="H1712">
        <v>7.88</v>
      </c>
      <c r="I1712">
        <v>2.4</v>
      </c>
      <c r="J1712">
        <v>3.54</v>
      </c>
      <c r="K1712" s="245">
        <v>-11.3</v>
      </c>
      <c r="L1712" s="245">
        <v>17.989999999999998</v>
      </c>
      <c r="M1712" s="245">
        <v>1.26</v>
      </c>
    </row>
    <row r="1713" spans="1:13">
      <c r="A1713">
        <v>9925</v>
      </c>
      <c r="B1713" t="s">
        <v>6085</v>
      </c>
      <c r="C1713">
        <v>38.74</v>
      </c>
      <c r="D1713">
        <v>9</v>
      </c>
      <c r="E1713">
        <v>14</v>
      </c>
      <c r="F1713">
        <v>2</v>
      </c>
      <c r="G1713">
        <v>-5</v>
      </c>
      <c r="H1713">
        <v>12.94</v>
      </c>
      <c r="I1713">
        <v>2</v>
      </c>
      <c r="J1713">
        <v>2.5</v>
      </c>
      <c r="K1713" s="245">
        <v>-2.23</v>
      </c>
      <c r="L1713" s="245">
        <v>51.46</v>
      </c>
      <c r="M1713" s="245">
        <v>0.33</v>
      </c>
    </row>
    <row r="1714" spans="1:13">
      <c r="A1714">
        <v>9926</v>
      </c>
      <c r="B1714" t="s">
        <v>6086</v>
      </c>
      <c r="C1714">
        <v>17.95</v>
      </c>
      <c r="D1714">
        <v>6</v>
      </c>
      <c r="E1714">
        <v>6</v>
      </c>
      <c r="F1714">
        <v>3</v>
      </c>
      <c r="G1714">
        <v>8</v>
      </c>
      <c r="H1714">
        <v>21.83</v>
      </c>
      <c r="I1714">
        <v>2</v>
      </c>
      <c r="J1714">
        <v>2.5</v>
      </c>
      <c r="K1714" s="245">
        <v>-9.3699999999999992</v>
      </c>
      <c r="L1714" s="245">
        <v>56.89</v>
      </c>
      <c r="M1714" s="245">
        <v>0.39</v>
      </c>
    </row>
    <row r="1715" spans="1:13">
      <c r="A1715">
        <v>9927</v>
      </c>
      <c r="B1715" t="s">
        <v>6087</v>
      </c>
      <c r="C1715">
        <v>16.73</v>
      </c>
      <c r="D1715">
        <v>122</v>
      </c>
      <c r="E1715">
        <v>122</v>
      </c>
      <c r="F1715">
        <v>49</v>
      </c>
      <c r="G1715">
        <v>37</v>
      </c>
      <c r="H1715">
        <v>12.03</v>
      </c>
      <c r="I1715">
        <v>4.5</v>
      </c>
      <c r="J1715">
        <v>4</v>
      </c>
      <c r="K1715" s="245">
        <v>-4.1100000000000003</v>
      </c>
      <c r="L1715" s="245">
        <v>83.41</v>
      </c>
      <c r="M1715" s="245">
        <v>4.9000000000000004</v>
      </c>
    </row>
    <row r="1716" spans="1:13">
      <c r="A1716">
        <v>9928</v>
      </c>
      <c r="B1716" t="s">
        <v>6699</v>
      </c>
      <c r="C1716">
        <v>6.07</v>
      </c>
      <c r="D1716">
        <v>-3</v>
      </c>
      <c r="E1716">
        <v>0</v>
      </c>
      <c r="F1716">
        <v>-4</v>
      </c>
      <c r="G1716">
        <v>2</v>
      </c>
      <c r="H1716">
        <v>-12.19</v>
      </c>
      <c r="I1716">
        <v>0</v>
      </c>
      <c r="J1716">
        <v>-0.46</v>
      </c>
      <c r="K1716" s="245">
        <v>-9.43</v>
      </c>
      <c r="L1716" s="245">
        <v>87.77</v>
      </c>
      <c r="M1716" s="245">
        <v>0.52</v>
      </c>
    </row>
    <row r="1717" spans="1:13">
      <c r="A1717">
        <v>9929</v>
      </c>
      <c r="B1717" t="s">
        <v>6700</v>
      </c>
      <c r="C1717">
        <v>10.119999999999999</v>
      </c>
      <c r="D1717">
        <v>-99</v>
      </c>
      <c r="E1717">
        <v>-22</v>
      </c>
      <c r="F1717">
        <v>-19</v>
      </c>
      <c r="G1717">
        <v>-17</v>
      </c>
      <c r="H1717">
        <v>3.44</v>
      </c>
      <c r="I1717">
        <v>0</v>
      </c>
      <c r="J1717">
        <v>0.05</v>
      </c>
      <c r="K1717" s="245">
        <v>-27.39</v>
      </c>
      <c r="L1717" s="245">
        <v>31.18</v>
      </c>
      <c r="M1717" s="245">
        <v>0.24</v>
      </c>
    </row>
    <row r="1718" spans="1:13">
      <c r="A1718">
        <v>9930</v>
      </c>
      <c r="B1718" t="s">
        <v>6088</v>
      </c>
      <c r="C1718">
        <v>24.85</v>
      </c>
      <c r="D1718">
        <v>-6</v>
      </c>
      <c r="E1718">
        <v>-7</v>
      </c>
      <c r="F1718">
        <v>3</v>
      </c>
      <c r="G1718">
        <v>16</v>
      </c>
      <c r="H1718">
        <v>8.2899999999999991</v>
      </c>
      <c r="I1718">
        <v>2.5</v>
      </c>
      <c r="J1718">
        <v>2.86</v>
      </c>
      <c r="K1718" s="245">
        <v>-4.07</v>
      </c>
      <c r="L1718" s="245">
        <v>50.67</v>
      </c>
      <c r="M1718" s="245">
        <v>0.41</v>
      </c>
    </row>
    <row r="1719" spans="1:13">
      <c r="A1719">
        <v>9931</v>
      </c>
      <c r="B1719" t="s">
        <v>6089</v>
      </c>
      <c r="C1719">
        <v>11.04</v>
      </c>
      <c r="D1719">
        <v>25</v>
      </c>
      <c r="E1719">
        <v>4</v>
      </c>
      <c r="F1719">
        <v>-7</v>
      </c>
      <c r="G1719">
        <v>0</v>
      </c>
      <c r="H1719">
        <v>13.91</v>
      </c>
      <c r="I1719">
        <v>1.4</v>
      </c>
      <c r="J1719">
        <v>2.15</v>
      </c>
      <c r="K1719" s="245">
        <v>-9.1199999999999992</v>
      </c>
      <c r="L1719" s="245">
        <v>20.07</v>
      </c>
      <c r="M1719" s="245">
        <v>0.25</v>
      </c>
    </row>
    <row r="1720" spans="1:13">
      <c r="A1720">
        <v>9933</v>
      </c>
      <c r="B1720" t="s">
        <v>6090</v>
      </c>
      <c r="C1720">
        <v>78.25</v>
      </c>
      <c r="D1720">
        <v>84</v>
      </c>
      <c r="E1720">
        <v>5</v>
      </c>
      <c r="F1720">
        <v>7</v>
      </c>
      <c r="G1720">
        <v>46</v>
      </c>
      <c r="H1720">
        <v>3.08</v>
      </c>
      <c r="I1720">
        <v>2.2999999999999998</v>
      </c>
      <c r="J1720">
        <v>2.15</v>
      </c>
      <c r="K1720" s="245">
        <v>-3.02</v>
      </c>
      <c r="L1720" s="245">
        <v>84.02</v>
      </c>
      <c r="M1720" s="245">
        <v>1.25</v>
      </c>
    </row>
    <row r="1721" spans="1:13">
      <c r="A1721">
        <v>9934</v>
      </c>
      <c r="B1721" t="s">
        <v>6091</v>
      </c>
      <c r="C1721">
        <v>35.81</v>
      </c>
      <c r="D1721">
        <v>-95</v>
      </c>
      <c r="E1721">
        <v>-66</v>
      </c>
      <c r="F1721">
        <v>-8</v>
      </c>
      <c r="G1721">
        <v>-3</v>
      </c>
      <c r="H1721">
        <v>0.81</v>
      </c>
      <c r="I1721">
        <v>0</v>
      </c>
      <c r="J1721">
        <v>0.04</v>
      </c>
      <c r="K1721" s="245">
        <v>-33.43</v>
      </c>
      <c r="L1721" s="245">
        <v>6.72</v>
      </c>
      <c r="M1721" s="245">
        <v>3.86</v>
      </c>
    </row>
    <row r="1722" spans="1:13">
      <c r="A1722">
        <v>9935</v>
      </c>
      <c r="B1722" t="s">
        <v>6092</v>
      </c>
      <c r="C1722">
        <v>16.96</v>
      </c>
      <c r="D1722">
        <v>-78</v>
      </c>
      <c r="E1722">
        <v>-69</v>
      </c>
      <c r="F1722">
        <v>24</v>
      </c>
      <c r="G1722">
        <v>3</v>
      </c>
      <c r="H1722">
        <v>3.7</v>
      </c>
      <c r="I1722">
        <v>0.51</v>
      </c>
      <c r="J1722">
        <v>0.46</v>
      </c>
    </row>
    <row r="1723" spans="1:13">
      <c r="A1723">
        <v>9937</v>
      </c>
      <c r="B1723" t="s">
        <v>6093</v>
      </c>
      <c r="C1723">
        <v>30.9</v>
      </c>
      <c r="D1723">
        <v>3</v>
      </c>
      <c r="E1723">
        <v>16</v>
      </c>
      <c r="F1723">
        <v>-10</v>
      </c>
      <c r="G1723">
        <v>12</v>
      </c>
      <c r="H1723">
        <v>3.88</v>
      </c>
      <c r="I1723">
        <v>2.1</v>
      </c>
      <c r="J1723">
        <v>2.62</v>
      </c>
    </row>
    <row r="1724" spans="1:13">
      <c r="A1724">
        <v>9938</v>
      </c>
      <c r="B1724" t="s">
        <v>6094</v>
      </c>
      <c r="C1724">
        <v>29.79</v>
      </c>
      <c r="D1724">
        <v>48</v>
      </c>
      <c r="E1724">
        <v>41</v>
      </c>
      <c r="F1724">
        <v>6</v>
      </c>
      <c r="G1724">
        <v>-37</v>
      </c>
      <c r="H1724">
        <v>21.75</v>
      </c>
      <c r="I1724">
        <v>3.5</v>
      </c>
      <c r="J1724">
        <v>6.91</v>
      </c>
    </row>
    <row r="1725" spans="1:13">
      <c r="A1725">
        <v>9939</v>
      </c>
      <c r="B1725" t="s">
        <v>6095</v>
      </c>
      <c r="C1725">
        <v>28.77</v>
      </c>
      <c r="D1725">
        <v>17</v>
      </c>
      <c r="E1725">
        <v>29</v>
      </c>
      <c r="F1725">
        <v>38</v>
      </c>
      <c r="G1725">
        <v>6</v>
      </c>
      <c r="H1725">
        <v>13.23</v>
      </c>
      <c r="I1725">
        <v>4.3</v>
      </c>
      <c r="J1725">
        <v>6.83</v>
      </c>
    </row>
    <row r="1726" spans="1:13">
      <c r="A1726">
        <v>9940</v>
      </c>
      <c r="B1726" t="s">
        <v>6096</v>
      </c>
      <c r="C1726">
        <v>73.680000000000007</v>
      </c>
      <c r="D1726">
        <v>51</v>
      </c>
      <c r="E1726">
        <v>48</v>
      </c>
      <c r="F1726">
        <v>80</v>
      </c>
      <c r="G1726">
        <v>2</v>
      </c>
      <c r="H1726">
        <v>16.670000000000002</v>
      </c>
      <c r="I1726">
        <v>2.8</v>
      </c>
      <c r="J1726">
        <v>3.19</v>
      </c>
    </row>
    <row r="1727" spans="1:13">
      <c r="A1727">
        <v>9941</v>
      </c>
      <c r="B1727" t="s">
        <v>6097</v>
      </c>
      <c r="C1727">
        <v>38.21</v>
      </c>
      <c r="D1727">
        <v>84</v>
      </c>
      <c r="E1727">
        <v>90</v>
      </c>
      <c r="F1727">
        <v>0</v>
      </c>
      <c r="G1727">
        <v>8</v>
      </c>
      <c r="H1727">
        <v>21.32</v>
      </c>
      <c r="I1727">
        <v>7.2</v>
      </c>
      <c r="J1727">
        <v>12.96</v>
      </c>
    </row>
    <row r="1728" spans="1:13">
      <c r="A1728">
        <v>9942</v>
      </c>
      <c r="B1728" t="s">
        <v>6098</v>
      </c>
      <c r="C1728">
        <v>8.31</v>
      </c>
      <c r="D1728">
        <v>39</v>
      </c>
      <c r="E1728">
        <v>64</v>
      </c>
      <c r="F1728">
        <v>-28</v>
      </c>
      <c r="G1728">
        <v>-21</v>
      </c>
      <c r="H1728">
        <v>20.48</v>
      </c>
      <c r="I1728">
        <v>5</v>
      </c>
      <c r="J1728">
        <v>6.49</v>
      </c>
    </row>
    <row r="1729" spans="1:10">
      <c r="A1729">
        <v>9943</v>
      </c>
      <c r="B1729" t="s">
        <v>6099</v>
      </c>
      <c r="C1729">
        <v>14.73</v>
      </c>
      <c r="D1729">
        <v>-90</v>
      </c>
      <c r="E1729">
        <v>-103</v>
      </c>
      <c r="F1729">
        <v>-27</v>
      </c>
      <c r="G1729">
        <v>-38</v>
      </c>
      <c r="H1729">
        <v>-1.1100000000000001</v>
      </c>
      <c r="I1729">
        <v>0.5</v>
      </c>
      <c r="J1729">
        <v>0.43</v>
      </c>
    </row>
    <row r="1730" spans="1:10">
      <c r="A1730">
        <v>9944</v>
      </c>
      <c r="B1730" t="s">
        <v>6100</v>
      </c>
      <c r="C1730">
        <v>10.91</v>
      </c>
      <c r="D1730">
        <v>483</v>
      </c>
      <c r="E1730">
        <v>-50</v>
      </c>
      <c r="F1730">
        <v>27</v>
      </c>
      <c r="G1730">
        <v>7</v>
      </c>
      <c r="H1730">
        <v>1.82</v>
      </c>
      <c r="I1730">
        <v>1</v>
      </c>
      <c r="J1730">
        <v>4.71</v>
      </c>
    </row>
    <row r="1731" spans="1:10">
      <c r="A1731">
        <v>9945</v>
      </c>
      <c r="B1731" t="s">
        <v>6101</v>
      </c>
      <c r="C1731">
        <v>210</v>
      </c>
      <c r="D1731">
        <v>88</v>
      </c>
      <c r="E1731">
        <v>72</v>
      </c>
      <c r="F1731">
        <v>55</v>
      </c>
      <c r="G1731">
        <v>43</v>
      </c>
      <c r="H1731">
        <v>13.18</v>
      </c>
      <c r="I1731">
        <v>7</v>
      </c>
      <c r="J1731">
        <v>7.98</v>
      </c>
    </row>
    <row r="1732" spans="1:10">
      <c r="A1732">
        <v>9946</v>
      </c>
      <c r="B1732" t="s">
        <v>6102</v>
      </c>
      <c r="C1732">
        <v>32.65</v>
      </c>
      <c r="D1732">
        <v>21</v>
      </c>
      <c r="E1732">
        <v>5</v>
      </c>
      <c r="F1732">
        <v>-33</v>
      </c>
      <c r="G1732">
        <v>-16</v>
      </c>
      <c r="H1732">
        <v>12.87</v>
      </c>
      <c r="I1732">
        <v>0</v>
      </c>
      <c r="J1732">
        <v>0.68</v>
      </c>
    </row>
    <row r="1733" spans="1:10">
      <c r="A1733">
        <v>9949</v>
      </c>
      <c r="B1733" t="s">
        <v>6701</v>
      </c>
      <c r="C1733">
        <v>4.4000000000000004</v>
      </c>
      <c r="D1733">
        <v>-18</v>
      </c>
      <c r="E1733">
        <v>18</v>
      </c>
      <c r="F1733">
        <v>-13</v>
      </c>
      <c r="G1733">
        <v>9</v>
      </c>
      <c r="H1733">
        <v>-18.27</v>
      </c>
      <c r="I1733">
        <v>0</v>
      </c>
      <c r="J1733">
        <v>-0.76</v>
      </c>
    </row>
    <row r="1734" spans="1:10">
      <c r="A1734">
        <v>9950</v>
      </c>
      <c r="B1734" t="s">
        <v>6702</v>
      </c>
      <c r="C1734">
        <v>14.77</v>
      </c>
      <c r="D1734">
        <v>-81</v>
      </c>
      <c r="E1734">
        <v>-52</v>
      </c>
      <c r="F1734">
        <v>9</v>
      </c>
      <c r="G1734">
        <v>167</v>
      </c>
      <c r="H1734">
        <v>-56.72</v>
      </c>
      <c r="I1734">
        <v>0</v>
      </c>
      <c r="J1734">
        <v>-4.21</v>
      </c>
    </row>
    <row r="1735" spans="1:10">
      <c r="A1735">
        <v>9951</v>
      </c>
      <c r="B1735" t="s">
        <v>6103</v>
      </c>
      <c r="C1735">
        <v>7.49</v>
      </c>
      <c r="D1735">
        <v>-20</v>
      </c>
      <c r="E1735">
        <v>-6</v>
      </c>
      <c r="F1735">
        <v>10</v>
      </c>
      <c r="G1735">
        <v>-16</v>
      </c>
      <c r="H1735">
        <v>10.63</v>
      </c>
      <c r="I1735">
        <v>3.3</v>
      </c>
      <c r="J1735">
        <v>5.33</v>
      </c>
    </row>
    <row r="1736" spans="1:10">
      <c r="A1736">
        <v>9955</v>
      </c>
      <c r="B1736" t="s">
        <v>6104</v>
      </c>
      <c r="C1736">
        <v>10.32</v>
      </c>
      <c r="D1736">
        <v>20</v>
      </c>
      <c r="E1736">
        <v>33</v>
      </c>
      <c r="F1736">
        <v>-25</v>
      </c>
      <c r="G1736">
        <v>-7</v>
      </c>
      <c r="H1736">
        <v>-5.82</v>
      </c>
      <c r="I1736">
        <v>0</v>
      </c>
      <c r="J1736">
        <v>-0.95</v>
      </c>
    </row>
    <row r="1737" spans="1:10">
      <c r="A1737">
        <v>9958</v>
      </c>
      <c r="B1737" t="s">
        <v>6105</v>
      </c>
      <c r="C1737">
        <v>23.23</v>
      </c>
      <c r="D1737">
        <v>77</v>
      </c>
      <c r="E1737">
        <v>55</v>
      </c>
      <c r="F1737">
        <v>15</v>
      </c>
      <c r="G1737">
        <v>25</v>
      </c>
      <c r="H1737">
        <v>17.600000000000001</v>
      </c>
      <c r="I1737">
        <v>3</v>
      </c>
      <c r="J1737">
        <v>5.45</v>
      </c>
    </row>
    <row r="1738" spans="1:10">
      <c r="A1738">
        <v>9960</v>
      </c>
      <c r="B1738" t="s">
        <v>6259</v>
      </c>
      <c r="C1738">
        <v>3.35</v>
      </c>
      <c r="D1738">
        <v>80</v>
      </c>
      <c r="E1738">
        <v>116</v>
      </c>
      <c r="F1738">
        <v>28</v>
      </c>
      <c r="G1738">
        <v>-34</v>
      </c>
      <c r="H1738">
        <v>12.02</v>
      </c>
      <c r="I1738">
        <v>1.7</v>
      </c>
      <c r="J1738">
        <v>2.54</v>
      </c>
    </row>
    <row r="1739" spans="1:10">
      <c r="A1739">
        <v>9962</v>
      </c>
      <c r="B1739" t="s">
        <v>6106</v>
      </c>
      <c r="C1739">
        <v>9.02</v>
      </c>
      <c r="D1739">
        <v>11658</v>
      </c>
      <c r="E1739">
        <v>2358</v>
      </c>
      <c r="F1739">
        <v>-32</v>
      </c>
      <c r="G1739">
        <v>56</v>
      </c>
      <c r="H1739">
        <v>6.32</v>
      </c>
      <c r="I1739">
        <v>1.1000000000000001</v>
      </c>
      <c r="J1739">
        <v>1.55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基本資料">
                <anchor moveWithCells="1" sizeWithCells="1">
                  <from>
                    <xdr:col>14</xdr:col>
                    <xdr:colOff>220980</xdr:colOff>
                    <xdr:row>2</xdr:row>
                    <xdr:rowOff>7620</xdr:rowOff>
                  </from>
                  <to>
                    <xdr:col>16</xdr:col>
                    <xdr:colOff>525780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基本資料B">
                <anchor moveWithCells="1" sizeWithCells="1">
                  <from>
                    <xdr:col>17</xdr:col>
                    <xdr:colOff>259080</xdr:colOff>
                    <xdr:row>2</xdr:row>
                    <xdr:rowOff>7620</xdr:rowOff>
                  </from>
                  <to>
                    <xdr:col>19</xdr:col>
                    <xdr:colOff>541020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N169"/>
  <sheetViews>
    <sheetView workbookViewId="0">
      <selection activeCell="N15" sqref="N15"/>
    </sheetView>
  </sheetViews>
  <sheetFormatPr defaultColWidth="9.125" defaultRowHeight="16.2"/>
  <cols>
    <col min="1" max="2" width="15.75" style="198" customWidth="1"/>
    <col min="3" max="3" width="16.75" style="198" customWidth="1"/>
    <col min="4" max="5" width="15.75" style="198" customWidth="1"/>
    <col min="6" max="6" width="15.75" style="244" customWidth="1"/>
    <col min="7" max="7" width="5.375" style="244" customWidth="1"/>
    <col min="8" max="8" width="11.75" style="244" customWidth="1"/>
    <col min="9" max="10" width="12.75" style="244" customWidth="1"/>
    <col min="11" max="11" width="10.75" style="244" customWidth="1"/>
    <col min="12" max="14" width="10.75" style="7" customWidth="1"/>
    <col min="15" max="15" width="12.75" style="244" customWidth="1"/>
    <col min="16" max="16" width="12.75" style="24" customWidth="1"/>
    <col min="17" max="17" width="12.75" style="7" customWidth="1"/>
    <col min="18" max="18" width="10.75" style="7" customWidth="1"/>
    <col min="19" max="19" width="9.75" style="7" customWidth="1"/>
    <col min="20" max="20" width="9.75" style="206" customWidth="1"/>
    <col min="21" max="21" width="10.75" style="66" customWidth="1"/>
    <col min="22" max="22" width="9.75" style="7" customWidth="1"/>
    <col min="23" max="24" width="7.75" style="7" customWidth="1"/>
    <col min="25" max="35" width="9.125" style="7"/>
    <col min="36" max="36" width="5.75" style="7" customWidth="1"/>
    <col min="37" max="37" width="20.75" style="7" customWidth="1"/>
    <col min="38" max="38" width="6.75" style="7" customWidth="1"/>
    <col min="39" max="39" width="10.75" style="7" customWidth="1"/>
    <col min="40" max="40" width="9.125" style="7"/>
    <col min="41" max="41" width="12.75" style="7" customWidth="1"/>
    <col min="42" max="43" width="10.75" style="7" customWidth="1"/>
    <col min="44" max="44" width="5.75" style="7" customWidth="1"/>
    <col min="45" max="45" width="35.75" style="7" customWidth="1"/>
    <col min="46" max="46" width="5.75" style="7" customWidth="1"/>
    <col min="47" max="47" width="10.75" style="7" customWidth="1"/>
    <col min="48" max="48" width="35.75" style="7" customWidth="1"/>
    <col min="49" max="50" width="5.75" style="198" customWidth="1"/>
    <col min="51" max="51" width="10.75" style="7" customWidth="1"/>
    <col min="52" max="52" width="35.75" style="7" customWidth="1"/>
    <col min="53" max="54" width="5.75" style="198" customWidth="1"/>
    <col min="55" max="55" width="9.125" style="7"/>
    <col min="56" max="56" width="15.75" style="7" customWidth="1"/>
    <col min="57" max="64" width="9.125" style="7"/>
    <col min="65" max="65" width="15.125" style="7" customWidth="1"/>
    <col min="66" max="66" width="50.75" style="7" customWidth="1"/>
    <col min="67" max="67" width="15.75" style="7" customWidth="1"/>
    <col min="68" max="68" width="30.75" style="7" customWidth="1"/>
    <col min="69" max="69" width="20.75" style="7" customWidth="1"/>
    <col min="70" max="71" width="9.125" style="7"/>
    <col min="72" max="72" width="12.75" style="22" customWidth="1"/>
    <col min="73" max="73" width="5.75" style="9" customWidth="1"/>
    <col min="74" max="74" width="6.75" style="20" customWidth="1"/>
    <col min="75" max="75" width="5.75" style="30" customWidth="1"/>
    <col min="76" max="76" width="5.75" style="50" customWidth="1"/>
    <col min="77" max="78" width="6.75" style="1" customWidth="1"/>
    <col min="79" max="79" width="5.75" style="30" customWidth="1"/>
    <col min="80" max="80" width="5.75" style="50" customWidth="1"/>
    <col min="81" max="82" width="5.75" style="1" customWidth="1"/>
    <col min="83" max="16384" width="9.125" style="245"/>
  </cols>
  <sheetData>
    <row r="1" spans="1:92">
      <c r="A1" s="8" t="s">
        <v>3364</v>
      </c>
      <c r="B1" s="201" t="s">
        <v>1135</v>
      </c>
      <c r="C1" s="108">
        <v>54193806</v>
      </c>
      <c r="D1" s="219">
        <v>54186755</v>
      </c>
      <c r="G1" s="26"/>
      <c r="H1" s="1" t="s">
        <v>1467</v>
      </c>
      <c r="I1" s="30" t="s">
        <v>1468</v>
      </c>
      <c r="J1" s="8" t="s">
        <v>1469</v>
      </c>
      <c r="K1" s="30" t="s">
        <v>1471</v>
      </c>
      <c r="L1" s="8" t="s">
        <v>3</v>
      </c>
      <c r="M1" s="50" t="s">
        <v>3095</v>
      </c>
      <c r="N1" s="17" t="s">
        <v>3096</v>
      </c>
      <c r="O1" s="30" t="s">
        <v>3338</v>
      </c>
      <c r="P1" s="24" t="s">
        <v>3238</v>
      </c>
      <c r="V1" s="8"/>
      <c r="W1" s="122" t="s">
        <v>1810</v>
      </c>
      <c r="X1" s="122"/>
      <c r="Y1" s="122"/>
      <c r="Z1" s="107"/>
      <c r="AA1" s="7" t="s">
        <v>1159</v>
      </c>
      <c r="AK1" s="9" t="s">
        <v>1181</v>
      </c>
      <c r="AL1" s="7" t="s">
        <v>1177</v>
      </c>
      <c r="AM1" s="7" t="s">
        <v>1176</v>
      </c>
      <c r="AN1" s="7" t="s">
        <v>1183</v>
      </c>
      <c r="AO1" s="7" t="s">
        <v>1187</v>
      </c>
      <c r="AP1" s="7" t="s">
        <v>1196</v>
      </c>
      <c r="AQ1" s="7" t="s">
        <v>1199</v>
      </c>
      <c r="AS1" s="9" t="s">
        <v>1216</v>
      </c>
      <c r="AU1" s="198" t="s">
        <v>1243</v>
      </c>
      <c r="AV1" s="198" t="s">
        <v>1246</v>
      </c>
      <c r="AW1" s="198" t="s">
        <v>1247</v>
      </c>
      <c r="AY1" s="198" t="s">
        <v>1243</v>
      </c>
      <c r="AZ1" s="198" t="s">
        <v>1156</v>
      </c>
      <c r="BA1" s="198" t="s">
        <v>1247</v>
      </c>
      <c r="BD1" s="8" t="s">
        <v>1273</v>
      </c>
      <c r="BE1" s="7" t="s">
        <v>1298</v>
      </c>
      <c r="BN1" s="8" t="s">
        <v>1311</v>
      </c>
      <c r="BO1" s="8" t="s">
        <v>1328</v>
      </c>
      <c r="BP1" s="30" t="s">
        <v>1324</v>
      </c>
      <c r="BQ1" s="30" t="s">
        <v>1347</v>
      </c>
    </row>
    <row r="2" spans="1:92">
      <c r="A2" s="50" t="s">
        <v>3365</v>
      </c>
      <c r="B2" s="201" t="s">
        <v>1882</v>
      </c>
      <c r="C2" s="108" t="s">
        <v>3282</v>
      </c>
      <c r="D2" s="219">
        <v>54186755</v>
      </c>
      <c r="G2" s="242"/>
      <c r="H2" s="1"/>
      <c r="I2" s="30"/>
      <c r="J2" s="8"/>
      <c r="K2" s="30"/>
      <c r="L2" s="8"/>
      <c r="M2" s="50"/>
      <c r="N2" s="17"/>
      <c r="O2" s="30"/>
      <c r="P2" s="24" t="s">
        <v>3239</v>
      </c>
      <c r="V2" s="147"/>
      <c r="W2" s="41" t="s">
        <v>1811</v>
      </c>
      <c r="X2" s="27" t="s">
        <v>1812</v>
      </c>
      <c r="Y2" s="122" t="s">
        <v>1813</v>
      </c>
      <c r="Z2" s="56"/>
      <c r="AA2" s="7" t="s">
        <v>1160</v>
      </c>
      <c r="AB2" s="7" t="s">
        <v>1161</v>
      </c>
      <c r="AK2" s="259" t="s">
        <v>1204</v>
      </c>
      <c r="AL2" s="7" t="s">
        <v>1177</v>
      </c>
      <c r="AM2" s="7" t="s">
        <v>1205</v>
      </c>
      <c r="AS2" s="259" t="s">
        <v>1222</v>
      </c>
      <c r="AU2" s="7" t="s">
        <v>1249</v>
      </c>
      <c r="AV2" s="7" t="s">
        <v>1253</v>
      </c>
      <c r="AY2" s="7" t="s">
        <v>1244</v>
      </c>
      <c r="AZ2" s="7" t="s">
        <v>1263</v>
      </c>
      <c r="BA2" s="198">
        <v>5</v>
      </c>
      <c r="BD2" s="7" t="s">
        <v>1272</v>
      </c>
      <c r="BE2" s="7" t="s">
        <v>1279</v>
      </c>
      <c r="BN2" s="7" t="s">
        <v>1301</v>
      </c>
      <c r="BO2" s="7" t="s">
        <v>1329</v>
      </c>
      <c r="BP2" s="7" t="s">
        <v>1330</v>
      </c>
      <c r="BQ2" s="7" t="s">
        <v>1348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3240</v>
      </c>
      <c r="V3" s="147"/>
      <c r="W3" s="41"/>
      <c r="X3" s="27" t="s">
        <v>1814</v>
      </c>
      <c r="Y3" s="122" t="s">
        <v>1815</v>
      </c>
      <c r="Z3" s="56"/>
      <c r="AA3" s="7" t="s">
        <v>1162</v>
      </c>
      <c r="AB3" s="7" t="s">
        <v>1163</v>
      </c>
      <c r="AK3" s="259" t="s">
        <v>1184</v>
      </c>
      <c r="AL3" s="7" t="s">
        <v>1177</v>
      </c>
      <c r="AN3" s="7" t="s">
        <v>1183</v>
      </c>
      <c r="AS3" s="259" t="s">
        <v>1231</v>
      </c>
      <c r="AV3" s="7" t="s">
        <v>1211</v>
      </c>
      <c r="AW3" s="198">
        <v>4</v>
      </c>
      <c r="AZ3" s="7" t="s">
        <v>1245</v>
      </c>
      <c r="BA3" s="198">
        <v>3</v>
      </c>
      <c r="BD3" s="7" t="s">
        <v>1274</v>
      </c>
      <c r="BE3" s="7" t="s">
        <v>1280</v>
      </c>
      <c r="BN3" s="7" t="s">
        <v>1300</v>
      </c>
      <c r="BO3" s="7" t="s">
        <v>1331</v>
      </c>
      <c r="BP3" s="7" t="s">
        <v>1332</v>
      </c>
      <c r="BQ3" s="7" t="s">
        <v>1349</v>
      </c>
    </row>
    <row r="4" spans="1:92">
      <c r="A4" s="8" t="s">
        <v>3088</v>
      </c>
      <c r="B4" s="199" t="s">
        <v>850</v>
      </c>
      <c r="C4" s="87"/>
      <c r="D4" s="8" t="s">
        <v>3088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1817</v>
      </c>
      <c r="Y4" s="46" t="s">
        <v>1816</v>
      </c>
      <c r="Z4" s="56"/>
      <c r="AA4" s="7" t="s">
        <v>1165</v>
      </c>
      <c r="AK4" s="259" t="s">
        <v>1215</v>
      </c>
      <c r="AM4" s="7" t="s">
        <v>1177</v>
      </c>
      <c r="AO4" s="7" t="s">
        <v>1189</v>
      </c>
      <c r="AS4" s="259" t="s">
        <v>1219</v>
      </c>
      <c r="AV4" s="7" t="s">
        <v>1250</v>
      </c>
      <c r="AW4" s="198">
        <v>1</v>
      </c>
      <c r="AZ4" s="7" t="s">
        <v>1248</v>
      </c>
      <c r="BA4" s="198">
        <v>2</v>
      </c>
      <c r="BD4" s="7" t="s">
        <v>1275</v>
      </c>
      <c r="BE4" s="7" t="s">
        <v>1296</v>
      </c>
      <c r="BN4" s="7" t="s">
        <v>1299</v>
      </c>
      <c r="BO4" s="7" t="s">
        <v>1333</v>
      </c>
      <c r="BP4" s="7" t="s">
        <v>1334</v>
      </c>
      <c r="BQ4" s="7" t="s">
        <v>1350</v>
      </c>
    </row>
    <row r="5" spans="1:92">
      <c r="A5" s="30" t="s">
        <v>843</v>
      </c>
      <c r="B5" s="274" t="s">
        <v>4736</v>
      </c>
      <c r="C5" s="87"/>
      <c r="D5" s="146" t="s">
        <v>3104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1497</v>
      </c>
      <c r="Q5" s="69" t="s">
        <v>3230</v>
      </c>
      <c r="R5" s="198"/>
      <c r="V5" s="103"/>
      <c r="W5" s="19" t="s">
        <v>1818</v>
      </c>
      <c r="X5" s="26" t="s">
        <v>1819</v>
      </c>
      <c r="Y5" s="114" t="s">
        <v>1824</v>
      </c>
      <c r="Z5" s="56"/>
      <c r="AA5" s="7" t="s">
        <v>1165</v>
      </c>
      <c r="AK5" s="259" t="s">
        <v>1211</v>
      </c>
      <c r="AQ5" s="7" t="s">
        <v>1210</v>
      </c>
      <c r="AS5" s="259" t="s">
        <v>1227</v>
      </c>
      <c r="AV5" s="7" t="s">
        <v>1251</v>
      </c>
      <c r="AW5" s="198">
        <v>1</v>
      </c>
      <c r="BD5" s="7" t="s">
        <v>1276</v>
      </c>
      <c r="BE5" s="7" t="s">
        <v>1297</v>
      </c>
      <c r="BN5" s="7" t="s">
        <v>1302</v>
      </c>
      <c r="BO5" s="7" t="s">
        <v>1335</v>
      </c>
      <c r="BP5" s="7" t="s">
        <v>1336</v>
      </c>
      <c r="BQ5" s="7" t="s">
        <v>1351</v>
      </c>
    </row>
    <row r="6" spans="1:92">
      <c r="A6" s="258" t="s">
        <v>3493</v>
      </c>
      <c r="B6" s="314" t="s">
        <v>4737</v>
      </c>
      <c r="C6" s="245"/>
      <c r="D6" s="146" t="s">
        <v>3090</v>
      </c>
      <c r="E6" s="87"/>
      <c r="H6" s="1"/>
      <c r="I6" s="30"/>
      <c r="J6" s="8"/>
      <c r="K6" s="30"/>
      <c r="L6" s="8"/>
      <c r="M6" s="50"/>
      <c r="N6" s="17"/>
      <c r="O6" s="30"/>
      <c r="P6" s="198"/>
      <c r="Q6" s="2" t="s">
        <v>3231</v>
      </c>
      <c r="R6" s="198"/>
      <c r="V6" s="103"/>
      <c r="W6" s="19"/>
      <c r="X6" s="26" t="s">
        <v>1820</v>
      </c>
      <c r="Y6" s="114" t="s">
        <v>1829</v>
      </c>
      <c r="Z6" s="56"/>
      <c r="AA6" s="7" t="s">
        <v>1167</v>
      </c>
      <c r="AK6" s="259" t="s">
        <v>1194</v>
      </c>
      <c r="AL6" s="7" t="s">
        <v>1177</v>
      </c>
      <c r="AN6" s="7" t="s">
        <v>1183</v>
      </c>
      <c r="AO6" s="7" t="s">
        <v>1195</v>
      </c>
      <c r="AP6" s="7" t="s">
        <v>1197</v>
      </c>
      <c r="AQ6" s="7" t="s">
        <v>1198</v>
      </c>
      <c r="AS6" s="7" t="s">
        <v>1224</v>
      </c>
      <c r="AV6" s="7" t="s">
        <v>1203</v>
      </c>
      <c r="AW6" s="198">
        <v>1</v>
      </c>
      <c r="AY6" s="7" t="s">
        <v>1267</v>
      </c>
      <c r="AZ6" s="7" t="s">
        <v>1256</v>
      </c>
      <c r="BA6" s="198">
        <v>12</v>
      </c>
      <c r="BD6" s="7" t="s">
        <v>1277</v>
      </c>
      <c r="BE6" s="7" t="s">
        <v>1307</v>
      </c>
      <c r="BN6" s="7" t="s">
        <v>1303</v>
      </c>
      <c r="BO6" s="7" t="s">
        <v>1337</v>
      </c>
      <c r="BP6" s="7" t="s">
        <v>1338</v>
      </c>
      <c r="BQ6" s="7" t="s">
        <v>1352</v>
      </c>
    </row>
    <row r="7" spans="1:92">
      <c r="A7" s="50" t="s">
        <v>272</v>
      </c>
      <c r="B7" s="142" t="s">
        <v>4719</v>
      </c>
      <c r="C7" s="87"/>
      <c r="D7" s="146" t="s">
        <v>3089</v>
      </c>
      <c r="E7" s="87"/>
      <c r="H7" s="1"/>
      <c r="I7" s="30"/>
      <c r="J7" s="8"/>
      <c r="K7" s="30"/>
      <c r="L7" s="8"/>
      <c r="M7" s="50"/>
      <c r="N7" s="17"/>
      <c r="O7" s="30"/>
      <c r="P7" s="198"/>
      <c r="Q7" s="2" t="s">
        <v>3232</v>
      </c>
      <c r="R7" s="198"/>
      <c r="V7" s="103"/>
      <c r="W7" s="19"/>
      <c r="X7" s="26" t="s">
        <v>1821</v>
      </c>
      <c r="Y7" s="114" t="s">
        <v>1825</v>
      </c>
      <c r="Z7" s="56"/>
      <c r="AK7" s="259" t="s">
        <v>1179</v>
      </c>
      <c r="AL7" s="7" t="s">
        <v>1177</v>
      </c>
      <c r="AM7" s="7" t="s">
        <v>1176</v>
      </c>
      <c r="AN7" s="7" t="s">
        <v>1183</v>
      </c>
      <c r="AO7" s="7" t="s">
        <v>1189</v>
      </c>
      <c r="AS7" s="7" t="s">
        <v>1229</v>
      </c>
      <c r="AV7" s="7" t="s">
        <v>1264</v>
      </c>
      <c r="AW7" s="198">
        <v>1</v>
      </c>
      <c r="AY7" s="7" t="s">
        <v>1261</v>
      </c>
      <c r="AZ7" s="7" t="s">
        <v>1254</v>
      </c>
      <c r="BA7" s="198">
        <v>1</v>
      </c>
      <c r="BD7" s="7" t="s">
        <v>1278</v>
      </c>
      <c r="BE7" s="7" t="s">
        <v>1308</v>
      </c>
      <c r="BN7" s="7" t="s">
        <v>1304</v>
      </c>
      <c r="BO7" s="7" t="s">
        <v>1325</v>
      </c>
      <c r="BP7" s="7" t="s">
        <v>1339</v>
      </c>
      <c r="BQ7" s="7" t="s">
        <v>1353</v>
      </c>
    </row>
    <row r="8" spans="1:92">
      <c r="A8" s="8" t="s">
        <v>842</v>
      </c>
      <c r="B8" s="199" t="s">
        <v>849</v>
      </c>
      <c r="C8" s="87"/>
      <c r="D8" s="146" t="s">
        <v>845</v>
      </c>
      <c r="E8" s="87"/>
      <c r="H8" s="1"/>
      <c r="I8" s="30"/>
      <c r="J8" s="8"/>
      <c r="K8" s="30"/>
      <c r="L8" s="8"/>
      <c r="M8" s="50"/>
      <c r="N8" s="17"/>
      <c r="O8" s="30"/>
      <c r="P8" s="198"/>
      <c r="Q8" s="2" t="s">
        <v>3233</v>
      </c>
      <c r="R8" s="198"/>
      <c r="V8" s="103"/>
      <c r="W8" s="19"/>
      <c r="X8" s="26"/>
      <c r="Y8" s="114"/>
      <c r="Z8" s="56"/>
      <c r="AK8" s="259"/>
    </row>
    <row r="9" spans="1:92">
      <c r="A9" s="260"/>
      <c r="B9" s="201" t="s">
        <v>3105</v>
      </c>
      <c r="C9" s="263"/>
      <c r="D9" s="42" t="s">
        <v>1979</v>
      </c>
      <c r="E9" s="87"/>
      <c r="H9" s="1"/>
      <c r="I9" s="30"/>
      <c r="J9" s="8"/>
      <c r="K9" s="30"/>
      <c r="L9" s="8"/>
      <c r="M9" s="50"/>
      <c r="N9" s="17"/>
      <c r="O9" s="30"/>
      <c r="P9" s="198"/>
      <c r="Q9" s="2" t="s">
        <v>3234</v>
      </c>
      <c r="R9" s="198"/>
      <c r="V9" s="103"/>
      <c r="W9" s="19"/>
      <c r="X9" s="26"/>
      <c r="Y9" s="114"/>
      <c r="Z9" s="56"/>
      <c r="AK9" s="259"/>
    </row>
    <row r="10" spans="1:92">
      <c r="A10" s="142" t="s">
        <v>1135</v>
      </c>
      <c r="B10" s="201" t="s">
        <v>1617</v>
      </c>
      <c r="C10" s="209" t="s">
        <v>3099</v>
      </c>
      <c r="D10" s="42" t="s">
        <v>3554</v>
      </c>
      <c r="E10" s="245"/>
      <c r="F10" s="245"/>
      <c r="H10" s="1"/>
      <c r="I10" s="30"/>
      <c r="J10" s="8"/>
      <c r="K10" s="30"/>
      <c r="L10" s="8"/>
      <c r="M10" s="50"/>
      <c r="N10" s="17"/>
      <c r="O10" s="30"/>
      <c r="V10" s="103"/>
      <c r="W10" s="19"/>
      <c r="X10" s="26" t="s">
        <v>1822</v>
      </c>
      <c r="Y10" s="114" t="s">
        <v>1826</v>
      </c>
      <c r="Z10" s="56"/>
      <c r="AA10" s="261" t="s">
        <v>1170</v>
      </c>
      <c r="AK10" s="259" t="s">
        <v>1180</v>
      </c>
      <c r="AM10" s="7" t="s">
        <v>1176</v>
      </c>
      <c r="AO10" s="7" t="s">
        <v>1201</v>
      </c>
      <c r="AS10" s="7" t="s">
        <v>1228</v>
      </c>
      <c r="AV10" s="7" t="s">
        <v>1252</v>
      </c>
      <c r="AW10" s="198">
        <v>1</v>
      </c>
      <c r="AY10" s="123" t="s">
        <v>1266</v>
      </c>
      <c r="AZ10" s="7" t="s">
        <v>1255</v>
      </c>
      <c r="BA10" s="198">
        <v>1</v>
      </c>
      <c r="BD10" s="7" t="s">
        <v>1281</v>
      </c>
      <c r="BE10" s="7" t="s">
        <v>1309</v>
      </c>
      <c r="BN10" s="7" t="s">
        <v>1305</v>
      </c>
      <c r="BO10" s="7" t="s">
        <v>1340</v>
      </c>
      <c r="BP10" s="7" t="s">
        <v>1341</v>
      </c>
      <c r="BQ10" s="7" t="s">
        <v>1354</v>
      </c>
    </row>
    <row r="11" spans="1:92">
      <c r="A11" s="142" t="s">
        <v>1882</v>
      </c>
      <c r="B11" s="201" t="s">
        <v>1618</v>
      </c>
      <c r="C11" s="209" t="s">
        <v>3100</v>
      </c>
      <c r="F11" s="245"/>
      <c r="H11" s="41" t="s">
        <v>6232</v>
      </c>
      <c r="I11" s="165">
        <v>575.4</v>
      </c>
      <c r="J11" s="155">
        <v>527.24</v>
      </c>
      <c r="K11" s="105">
        <f>I11-J11</f>
        <v>48.159999999999968</v>
      </c>
      <c r="L11" s="151">
        <f>K11/J11</f>
        <v>9.1343600637280878E-2</v>
      </c>
      <c r="M11" s="205">
        <f>I11*(0.001425*0.5)+J11*(0.001425*0.5)+I11*0.003</f>
        <v>2.5118309999999999</v>
      </c>
      <c r="N11" s="155">
        <f>K11-M11</f>
        <v>45.648168999999967</v>
      </c>
      <c r="O11" s="30"/>
      <c r="V11" s="103"/>
      <c r="W11" s="19"/>
      <c r="X11" s="26" t="s">
        <v>1823</v>
      </c>
      <c r="Y11" s="114" t="s">
        <v>1827</v>
      </c>
      <c r="Z11" s="56"/>
      <c r="AA11" s="261" t="s">
        <v>1172</v>
      </c>
      <c r="AK11" s="259" t="s">
        <v>1208</v>
      </c>
      <c r="AL11" s="7" t="s">
        <v>1177</v>
      </c>
      <c r="AO11" s="7" t="s">
        <v>1186</v>
      </c>
      <c r="AS11" s="7" t="s">
        <v>1223</v>
      </c>
      <c r="AV11" s="7" t="s">
        <v>1227</v>
      </c>
      <c r="AW11" s="198">
        <v>1</v>
      </c>
      <c r="AY11" s="7" t="s">
        <v>1326</v>
      </c>
      <c r="AZ11" s="7" t="s">
        <v>1262</v>
      </c>
      <c r="BA11" s="198">
        <v>1</v>
      </c>
      <c r="BD11" s="7" t="s">
        <v>1283</v>
      </c>
      <c r="BE11" s="7" t="s">
        <v>1310</v>
      </c>
      <c r="BN11" s="7" t="s">
        <v>1306</v>
      </c>
      <c r="BO11" s="7" t="s">
        <v>1342</v>
      </c>
      <c r="BP11" s="7" t="s">
        <v>1343</v>
      </c>
      <c r="BQ11" s="7" t="s">
        <v>1355</v>
      </c>
    </row>
    <row r="12" spans="1:92">
      <c r="A12" s="142" t="s">
        <v>1134</v>
      </c>
      <c r="B12" s="201" t="s">
        <v>1619</v>
      </c>
      <c r="C12" s="209" t="s">
        <v>3101</v>
      </c>
      <c r="F12" s="245"/>
      <c r="H12" s="41" t="s">
        <v>4757</v>
      </c>
      <c r="I12" s="165">
        <v>79.2</v>
      </c>
      <c r="J12" s="155">
        <v>65.97</v>
      </c>
      <c r="K12" s="105">
        <f>I12-J12</f>
        <v>13.230000000000004</v>
      </c>
      <c r="L12" s="151">
        <f>K12/J12</f>
        <v>0.20054570259208737</v>
      </c>
      <c r="M12" s="205">
        <f>I12*(0.001425*0.5)+J12*(0.001425*0.5)+I12*0.003</f>
        <v>0.34103362500000001</v>
      </c>
      <c r="N12" s="155">
        <f>K12-M12</f>
        <v>12.888966375000004</v>
      </c>
      <c r="O12" s="30"/>
      <c r="V12" s="103"/>
      <c r="W12" s="19"/>
      <c r="X12" s="26" t="s">
        <v>1828</v>
      </c>
      <c r="Y12" s="149" t="s">
        <v>1831</v>
      </c>
      <c r="Z12" s="56"/>
      <c r="AA12" s="261" t="s">
        <v>1174</v>
      </c>
      <c r="AK12" s="259" t="s">
        <v>1214</v>
      </c>
      <c r="AL12" s="7" t="s">
        <v>1177</v>
      </c>
      <c r="AO12" s="7" t="s">
        <v>1189</v>
      </c>
      <c r="AQ12" s="7" t="s">
        <v>1210</v>
      </c>
      <c r="AS12" s="7" t="s">
        <v>1242</v>
      </c>
      <c r="BD12" s="7" t="s">
        <v>1284</v>
      </c>
      <c r="BE12" s="7" t="s">
        <v>1312</v>
      </c>
      <c r="BP12" s="7" t="s">
        <v>1344</v>
      </c>
      <c r="BQ12" s="7" t="s">
        <v>1356</v>
      </c>
    </row>
    <row r="13" spans="1:92">
      <c r="A13" s="245"/>
      <c r="B13" s="245"/>
      <c r="C13" s="245"/>
      <c r="D13" s="244"/>
      <c r="E13" s="8" t="s">
        <v>3158</v>
      </c>
      <c r="F13" s="245"/>
      <c r="H13" s="41" t="s">
        <v>4751</v>
      </c>
      <c r="I13" s="165">
        <v>125</v>
      </c>
      <c r="J13" s="155">
        <v>115</v>
      </c>
      <c r="K13" s="105">
        <f>I13-J13</f>
        <v>10</v>
      </c>
      <c r="L13" s="151">
        <f>K13/J13</f>
        <v>8.6956521739130432E-2</v>
      </c>
      <c r="M13" s="205">
        <f>I13*(0.001425*0.5)+J13*(0.001425*0.5)+I13*0.003</f>
        <v>0.54600000000000004</v>
      </c>
      <c r="N13" s="155">
        <f>K13-M13</f>
        <v>9.4540000000000006</v>
      </c>
      <c r="O13" s="30"/>
      <c r="V13" s="103"/>
      <c r="W13" s="19"/>
      <c r="X13" s="26" t="s">
        <v>1830</v>
      </c>
      <c r="Y13" s="114" t="s">
        <v>1832</v>
      </c>
      <c r="Z13" s="56"/>
      <c r="AA13" s="261" t="s">
        <v>1175</v>
      </c>
      <c r="AK13" s="259" t="s">
        <v>1212</v>
      </c>
      <c r="AQ13" s="7" t="s">
        <v>1210</v>
      </c>
      <c r="AS13" s="7" t="s">
        <v>1230</v>
      </c>
      <c r="AV13" s="7" t="s">
        <v>1387</v>
      </c>
      <c r="AW13" s="198">
        <v>1</v>
      </c>
      <c r="AY13" s="7" t="s">
        <v>1259</v>
      </c>
      <c r="AZ13" s="7" t="s">
        <v>1260</v>
      </c>
      <c r="BA13" s="198">
        <v>2</v>
      </c>
      <c r="BD13" s="7" t="s">
        <v>1285</v>
      </c>
      <c r="BE13" s="7" t="s">
        <v>1313</v>
      </c>
      <c r="BO13" s="7" t="s">
        <v>1345</v>
      </c>
      <c r="BP13" s="7" t="s">
        <v>1346</v>
      </c>
      <c r="BQ13" s="30" t="s">
        <v>1357</v>
      </c>
    </row>
    <row r="14" spans="1:92">
      <c r="A14" s="262" t="s">
        <v>843</v>
      </c>
      <c r="B14" s="262" t="s">
        <v>846</v>
      </c>
      <c r="C14" s="264">
        <v>44901</v>
      </c>
      <c r="D14" s="198" t="s">
        <v>3103</v>
      </c>
      <c r="E14" s="209" t="s">
        <v>3102</v>
      </c>
      <c r="F14" s="245"/>
      <c r="H14" s="41" t="s">
        <v>4702</v>
      </c>
      <c r="I14" s="165">
        <v>374.75</v>
      </c>
      <c r="J14" s="155">
        <v>344.06</v>
      </c>
      <c r="K14" s="105">
        <v>30.69</v>
      </c>
      <c r="L14" s="151">
        <f>K14/J14</f>
        <v>8.9199558216590133E-2</v>
      </c>
      <c r="M14" s="205">
        <f>I14*(0.001425*0.5)+J14*(0.001425*0.5)+I14*0.003</f>
        <v>1.636402125</v>
      </c>
      <c r="N14" s="155">
        <f>K14-M14</f>
        <v>29.053597875000001</v>
      </c>
      <c r="O14" s="30"/>
      <c r="V14" s="171"/>
      <c r="W14" s="41"/>
      <c r="X14" s="27" t="s">
        <v>1835</v>
      </c>
      <c r="Y14" s="122" t="s">
        <v>1842</v>
      </c>
      <c r="Z14" s="56"/>
      <c r="AA14" s="7" t="s">
        <v>1164</v>
      </c>
      <c r="AK14" s="7" t="s">
        <v>1178</v>
      </c>
      <c r="AL14" s="7" t="s">
        <v>1177</v>
      </c>
      <c r="AM14" s="7" t="s">
        <v>1176</v>
      </c>
      <c r="AN14" s="7" t="s">
        <v>1183</v>
      </c>
      <c r="AS14" s="7" t="s">
        <v>1220</v>
      </c>
      <c r="AV14" s="7" t="s">
        <v>1381</v>
      </c>
      <c r="AW14" s="198">
        <v>2</v>
      </c>
      <c r="AZ14" s="7" t="s">
        <v>1378</v>
      </c>
      <c r="BA14" s="198">
        <v>1</v>
      </c>
      <c r="BD14" s="7" t="s">
        <v>1282</v>
      </c>
      <c r="BE14" s="7" t="s">
        <v>1317</v>
      </c>
      <c r="BQ14" s="7" t="s">
        <v>1358</v>
      </c>
    </row>
    <row r="15" spans="1:92">
      <c r="A15" s="262"/>
      <c r="B15" s="262" t="s">
        <v>847</v>
      </c>
      <c r="C15" s="264">
        <v>44760</v>
      </c>
      <c r="D15" s="198" t="s">
        <v>846</v>
      </c>
      <c r="E15" s="209" t="s">
        <v>3099</v>
      </c>
      <c r="F15" s="245"/>
      <c r="H15" s="1" t="s">
        <v>3074</v>
      </c>
      <c r="I15" s="165">
        <f>SUM(I11:I14)</f>
        <v>1154.3499999999999</v>
      </c>
      <c r="J15" s="155">
        <f>SUM(J11:J14)</f>
        <v>1052.27</v>
      </c>
      <c r="K15" s="105">
        <f>SUM(K11:K14)</f>
        <v>102.07999999999997</v>
      </c>
      <c r="L15" s="151">
        <f>K15/J15</f>
        <v>9.700932270234823E-2</v>
      </c>
      <c r="M15" s="205">
        <f>SUM(M11:M14)</f>
        <v>5.0352667499999999</v>
      </c>
      <c r="N15" s="155">
        <f>SUM(N11:N14)</f>
        <v>97.044733249999979</v>
      </c>
      <c r="O15" s="165">
        <f>I15/10</f>
        <v>115.43499999999999</v>
      </c>
      <c r="W15" s="41"/>
      <c r="X15" s="27" t="s">
        <v>1836</v>
      </c>
      <c r="Y15" s="122" t="s">
        <v>1843</v>
      </c>
      <c r="Z15" s="56"/>
      <c r="AA15" s="7" t="s">
        <v>1166</v>
      </c>
      <c r="AK15" s="7" t="s">
        <v>1200</v>
      </c>
      <c r="AS15" s="7" t="s">
        <v>1235</v>
      </c>
      <c r="AU15" s="123"/>
      <c r="AV15" s="7" t="s">
        <v>1383</v>
      </c>
      <c r="AW15" s="198">
        <v>2</v>
      </c>
      <c r="AZ15" s="7" t="s">
        <v>1257</v>
      </c>
      <c r="BA15" s="198">
        <v>1</v>
      </c>
      <c r="BD15" s="7" t="s">
        <v>1286</v>
      </c>
      <c r="BE15" s="7" t="s">
        <v>1318</v>
      </c>
      <c r="BQ15" s="7" t="s">
        <v>1359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62"/>
      <c r="B16" s="262" t="s">
        <v>848</v>
      </c>
      <c r="C16" s="264">
        <v>45013</v>
      </c>
      <c r="D16" s="198" t="s">
        <v>847</v>
      </c>
      <c r="E16" s="209" t="s">
        <v>3100</v>
      </c>
      <c r="H16" s="1"/>
      <c r="I16" s="165"/>
      <c r="J16" s="155"/>
      <c r="K16" s="105"/>
      <c r="L16" s="151"/>
      <c r="M16" s="205"/>
      <c r="N16" s="155"/>
      <c r="O16" s="165"/>
      <c r="W16" s="41"/>
      <c r="X16" s="27" t="s">
        <v>1837</v>
      </c>
      <c r="Y16" s="122" t="s">
        <v>1844</v>
      </c>
      <c r="Z16" s="56"/>
      <c r="AK16" s="7" t="s">
        <v>1182</v>
      </c>
      <c r="AL16" s="7" t="s">
        <v>1177</v>
      </c>
      <c r="AV16" s="7" t="s">
        <v>1386</v>
      </c>
      <c r="AW16" s="198">
        <v>2</v>
      </c>
      <c r="AZ16" s="7" t="s">
        <v>1258</v>
      </c>
      <c r="BA16" s="198">
        <v>1</v>
      </c>
      <c r="BD16" s="7" t="s">
        <v>1287</v>
      </c>
      <c r="BE16" s="7" t="s">
        <v>1319</v>
      </c>
      <c r="BQ16" s="7" t="s">
        <v>1360</v>
      </c>
    </row>
    <row r="17" spans="1:92">
      <c r="A17" s="262"/>
      <c r="B17" s="262"/>
      <c r="C17" s="265"/>
      <c r="D17" s="198" t="s">
        <v>848</v>
      </c>
      <c r="E17" s="209" t="s">
        <v>3101</v>
      </c>
      <c r="H17" s="41" t="s">
        <v>3487</v>
      </c>
      <c r="I17" s="165">
        <v>49.3</v>
      </c>
      <c r="J17" s="155">
        <v>40</v>
      </c>
      <c r="K17" s="105">
        <f t="shared" ref="K17:K27" si="0">I17-J17</f>
        <v>9.2999999999999972</v>
      </c>
      <c r="L17" s="151">
        <f>K17/J17</f>
        <v>0.23249999999999993</v>
      </c>
      <c r="M17" s="205">
        <f t="shared" ref="M17:M22" si="1">I17*(0.001425*0.5)+J17*(0.001425*0.5)+I17*0.003</f>
        <v>0.21152625</v>
      </c>
      <c r="N17" s="155">
        <f>K17-M17</f>
        <v>9.0884737499999968</v>
      </c>
      <c r="O17" s="30"/>
      <c r="W17" s="41"/>
      <c r="X17" s="27" t="s">
        <v>1838</v>
      </c>
      <c r="Y17" s="122" t="s">
        <v>1845</v>
      </c>
      <c r="Z17" s="56"/>
      <c r="AA17" s="7" t="s">
        <v>1168</v>
      </c>
      <c r="AK17" s="7" t="s">
        <v>1185</v>
      </c>
      <c r="AO17" s="7" t="s">
        <v>1186</v>
      </c>
      <c r="AS17" s="7" t="s">
        <v>1217</v>
      </c>
      <c r="AV17" s="7" t="s">
        <v>1385</v>
      </c>
      <c r="AW17" s="198">
        <v>2</v>
      </c>
      <c r="AZ17" s="7" t="s">
        <v>1265</v>
      </c>
      <c r="BA17" s="198">
        <v>1</v>
      </c>
      <c r="BD17" s="7" t="s">
        <v>1288</v>
      </c>
      <c r="BE17" s="7" t="s">
        <v>1320</v>
      </c>
      <c r="BQ17" s="7" t="s">
        <v>1361</v>
      </c>
    </row>
    <row r="18" spans="1:92">
      <c r="A18" s="262" t="s">
        <v>842</v>
      </c>
      <c r="B18" s="262" t="s">
        <v>846</v>
      </c>
      <c r="C18" s="264">
        <v>44800</v>
      </c>
      <c r="D18" s="245"/>
      <c r="E18" s="245"/>
      <c r="H18" s="41" t="s">
        <v>3426</v>
      </c>
      <c r="I18" s="165">
        <v>606.5</v>
      </c>
      <c r="J18" s="155">
        <v>527.6</v>
      </c>
      <c r="K18" s="105">
        <f t="shared" si="0"/>
        <v>78.899999999999977</v>
      </c>
      <c r="L18" s="151">
        <f>K18/J18</f>
        <v>0.14954510993176645</v>
      </c>
      <c r="M18" s="205">
        <f t="shared" si="1"/>
        <v>2.62754625</v>
      </c>
      <c r="N18" s="155">
        <f t="shared" ref="N18:N24" si="2">K18-M18</f>
        <v>76.272453749999983</v>
      </c>
      <c r="O18" s="40"/>
      <c r="W18" s="19" t="s">
        <v>1846</v>
      </c>
      <c r="X18" s="26" t="s">
        <v>1833</v>
      </c>
      <c r="Y18" s="149" t="s">
        <v>1840</v>
      </c>
      <c r="Z18" s="107"/>
      <c r="AA18" s="7" t="s">
        <v>1169</v>
      </c>
      <c r="AK18" s="7" t="s">
        <v>1188</v>
      </c>
      <c r="AL18" s="7" t="s">
        <v>1177</v>
      </c>
      <c r="AO18" s="7" t="s">
        <v>1189</v>
      </c>
      <c r="AS18" s="7" t="s">
        <v>1218</v>
      </c>
      <c r="AV18" s="7" t="s">
        <v>1384</v>
      </c>
      <c r="AW18" s="198">
        <v>1</v>
      </c>
      <c r="AX18" s="198">
        <v>4</v>
      </c>
      <c r="AZ18" s="7" t="s">
        <v>1271</v>
      </c>
      <c r="BA18" s="198">
        <v>1</v>
      </c>
      <c r="BD18" s="7" t="s">
        <v>1289</v>
      </c>
      <c r="BE18" s="7" t="s">
        <v>1321</v>
      </c>
      <c r="BQ18" s="7" t="s">
        <v>1362</v>
      </c>
    </row>
    <row r="19" spans="1:92">
      <c r="B19" s="262" t="s">
        <v>847</v>
      </c>
      <c r="C19" s="264">
        <v>44697</v>
      </c>
      <c r="H19" s="41" t="s">
        <v>3396</v>
      </c>
      <c r="I19" s="165">
        <v>0</v>
      </c>
      <c r="J19" s="155">
        <v>0</v>
      </c>
      <c r="K19" s="105">
        <f t="shared" si="0"/>
        <v>0</v>
      </c>
      <c r="L19" s="151">
        <v>0</v>
      </c>
      <c r="M19" s="205">
        <f t="shared" si="1"/>
        <v>0</v>
      </c>
      <c r="N19" s="155">
        <f t="shared" si="2"/>
        <v>0</v>
      </c>
      <c r="O19" s="13"/>
      <c r="W19" s="149"/>
      <c r="X19" s="26" t="s">
        <v>1834</v>
      </c>
      <c r="Y19" s="149" t="s">
        <v>1841</v>
      </c>
      <c r="Z19" s="56"/>
      <c r="AA19" s="7" t="s">
        <v>1171</v>
      </c>
      <c r="AK19" s="7" t="s">
        <v>1190</v>
      </c>
      <c r="AO19" s="7" t="s">
        <v>1186</v>
      </c>
      <c r="AP19" s="7" t="s">
        <v>1191</v>
      </c>
      <c r="AS19" s="7" t="s">
        <v>1221</v>
      </c>
      <c r="AV19" s="7" t="s">
        <v>1395</v>
      </c>
      <c r="AW19" s="198">
        <v>1</v>
      </c>
      <c r="AX19" s="198">
        <v>2</v>
      </c>
      <c r="BD19" s="7" t="s">
        <v>1290</v>
      </c>
      <c r="BE19" s="7" t="s">
        <v>1323</v>
      </c>
      <c r="BQ19" s="30" t="s">
        <v>1363</v>
      </c>
    </row>
    <row r="20" spans="1:92">
      <c r="C20" s="265"/>
      <c r="D20" s="245"/>
      <c r="H20" s="41" t="s">
        <v>3363</v>
      </c>
      <c r="I20" s="165">
        <v>528.6</v>
      </c>
      <c r="J20" s="155">
        <v>464.15</v>
      </c>
      <c r="K20" s="105">
        <f t="shared" si="0"/>
        <v>64.450000000000045</v>
      </c>
      <c r="L20" s="151">
        <f t="shared" ref="L20:L28" si="3">K20/J20</f>
        <v>0.13885597328449864</v>
      </c>
      <c r="M20" s="205">
        <f t="shared" si="1"/>
        <v>2.2931343750000002</v>
      </c>
      <c r="N20" s="155">
        <f t="shared" si="2"/>
        <v>62.156865625000044</v>
      </c>
      <c r="O20" s="30"/>
      <c r="W20" s="122"/>
      <c r="X20" s="5"/>
      <c r="Y20" s="11"/>
      <c r="Z20" s="56"/>
      <c r="AA20" s="7" t="s">
        <v>1173</v>
      </c>
      <c r="AK20" s="7" t="s">
        <v>1192</v>
      </c>
      <c r="AM20" s="7" t="s">
        <v>1176</v>
      </c>
      <c r="AO20" s="7" t="s">
        <v>1189</v>
      </c>
      <c r="AS20" s="7" t="s">
        <v>1225</v>
      </c>
      <c r="AV20" s="7" t="s">
        <v>1380</v>
      </c>
      <c r="AW20" s="198">
        <v>1</v>
      </c>
      <c r="AX20" s="198">
        <v>1</v>
      </c>
      <c r="BD20" s="7" t="s">
        <v>1291</v>
      </c>
      <c r="BQ20" s="7" t="s">
        <v>1364</v>
      </c>
    </row>
    <row r="21" spans="1:92">
      <c r="A21" s="262" t="s">
        <v>272</v>
      </c>
      <c r="B21" s="262" t="s">
        <v>3466</v>
      </c>
      <c r="C21" s="264">
        <v>44847</v>
      </c>
      <c r="H21" s="41" t="s">
        <v>3344</v>
      </c>
      <c r="I21" s="165">
        <v>175.1</v>
      </c>
      <c r="J21" s="155">
        <v>160.30000000000001</v>
      </c>
      <c r="K21" s="105">
        <f t="shared" si="0"/>
        <v>14.799999999999983</v>
      </c>
      <c r="L21" s="151">
        <f t="shared" si="3"/>
        <v>9.23268870867123E-2</v>
      </c>
      <c r="M21" s="205">
        <f t="shared" si="1"/>
        <v>0.76427250000000002</v>
      </c>
      <c r="N21" s="155">
        <f t="shared" si="2"/>
        <v>14.035727499999982</v>
      </c>
      <c r="O21" s="7"/>
      <c r="W21" s="122"/>
      <c r="X21" s="5"/>
      <c r="Y21" s="11"/>
      <c r="Z21" s="56"/>
      <c r="AK21" s="7" t="s">
        <v>1193</v>
      </c>
      <c r="AO21" s="7" t="s">
        <v>1186</v>
      </c>
      <c r="AS21" s="7" t="s">
        <v>1226</v>
      </c>
      <c r="AV21" s="7" t="s">
        <v>1402</v>
      </c>
      <c r="AW21" s="198">
        <v>1</v>
      </c>
      <c r="AX21" s="198">
        <v>1</v>
      </c>
      <c r="AZ21" s="7" t="s">
        <v>1270</v>
      </c>
      <c r="BD21" s="7" t="s">
        <v>1292</v>
      </c>
      <c r="BQ21" s="7" t="s">
        <v>1365</v>
      </c>
    </row>
    <row r="22" spans="1:92">
      <c r="B22" s="262" t="s">
        <v>847</v>
      </c>
      <c r="C22" s="264">
        <v>44747</v>
      </c>
      <c r="H22" s="41" t="s">
        <v>3277</v>
      </c>
      <c r="I22" s="165">
        <v>5598.6</v>
      </c>
      <c r="J22" s="155">
        <v>5343.05</v>
      </c>
      <c r="K22" s="105">
        <f t="shared" si="0"/>
        <v>255.55000000000018</v>
      </c>
      <c r="L22" s="151">
        <f t="shared" si="3"/>
        <v>4.782848747438264E-2</v>
      </c>
      <c r="M22" s="205">
        <f t="shared" si="1"/>
        <v>24.591725625000002</v>
      </c>
      <c r="N22" s="155">
        <f t="shared" si="2"/>
        <v>230.95827437500017</v>
      </c>
      <c r="O22" s="165"/>
      <c r="AA22" s="198"/>
      <c r="AK22" s="7" t="s">
        <v>1202</v>
      </c>
      <c r="AO22" s="7" t="s">
        <v>1189</v>
      </c>
      <c r="AS22" s="7" t="s">
        <v>1232</v>
      </c>
      <c r="AV22" s="7" t="s">
        <v>1382</v>
      </c>
      <c r="AW22" s="198">
        <v>1</v>
      </c>
      <c r="AX22" s="198">
        <v>1</v>
      </c>
      <c r="BD22" s="7" t="s">
        <v>1293</v>
      </c>
      <c r="BQ22" s="7" t="s">
        <v>1366</v>
      </c>
    </row>
    <row r="23" spans="1:92">
      <c r="B23" s="262" t="s">
        <v>3479</v>
      </c>
      <c r="C23" s="264" t="s">
        <v>3480</v>
      </c>
      <c r="D23" s="262" t="s">
        <v>3482</v>
      </c>
      <c r="H23" s="41" t="s">
        <v>3157</v>
      </c>
      <c r="I23" s="165">
        <v>4124</v>
      </c>
      <c r="J23" s="155">
        <v>3941</v>
      </c>
      <c r="K23" s="105">
        <f t="shared" si="0"/>
        <v>183</v>
      </c>
      <c r="L23" s="151">
        <f t="shared" si="3"/>
        <v>4.6434914996193857E-2</v>
      </c>
      <c r="M23" s="205">
        <f>I23*(0.001425*0.65)+J23*(0.001425*0.65)+I23*0.003</f>
        <v>19.84220625</v>
      </c>
      <c r="N23" s="155">
        <f t="shared" si="2"/>
        <v>163.15779375</v>
      </c>
      <c r="O23" s="165"/>
      <c r="AA23" s="198"/>
      <c r="AK23" s="7" t="s">
        <v>1206</v>
      </c>
      <c r="AO23" s="7" t="s">
        <v>1186</v>
      </c>
      <c r="AQ23" s="7" t="s">
        <v>1207</v>
      </c>
      <c r="AS23" s="7" t="s">
        <v>1241</v>
      </c>
      <c r="AV23" s="7" t="s">
        <v>1393</v>
      </c>
      <c r="AW23" s="198">
        <v>1</v>
      </c>
      <c r="BD23" s="7" t="s">
        <v>1294</v>
      </c>
      <c r="BQ23" s="7" t="s">
        <v>1369</v>
      </c>
    </row>
    <row r="24" spans="1:92">
      <c r="A24" s="262" t="s">
        <v>3483</v>
      </c>
      <c r="B24" s="262">
        <v>29467359</v>
      </c>
      <c r="C24" s="264" t="s">
        <v>3481</v>
      </c>
      <c r="D24" s="87" t="s">
        <v>4738</v>
      </c>
      <c r="H24" s="41" t="s">
        <v>3064</v>
      </c>
      <c r="I24" s="165">
        <v>1672.55</v>
      </c>
      <c r="J24" s="155">
        <v>1594.82</v>
      </c>
      <c r="K24" s="105">
        <f t="shared" si="0"/>
        <v>77.730000000000018</v>
      </c>
      <c r="L24" s="151">
        <f t="shared" si="3"/>
        <v>4.8739042650581273E-2</v>
      </c>
      <c r="M24" s="205">
        <f>I24*(0.001425*0.65)+J24*(0.001425*0.65)+I24*0.003</f>
        <v>8.0440514625000006</v>
      </c>
      <c r="N24" s="155">
        <f t="shared" si="2"/>
        <v>69.685948537500025</v>
      </c>
      <c r="O24" s="165"/>
      <c r="AA24" s="198"/>
      <c r="AK24" s="7" t="s">
        <v>1209</v>
      </c>
      <c r="AQ24" s="7" t="s">
        <v>1210</v>
      </c>
      <c r="AS24" s="7" t="s">
        <v>1233</v>
      </c>
      <c r="AV24" s="7" t="s">
        <v>1388</v>
      </c>
      <c r="AW24" s="198">
        <v>1</v>
      </c>
      <c r="BD24" s="7" t="s">
        <v>1295</v>
      </c>
      <c r="BQ24" s="7" t="s">
        <v>1367</v>
      </c>
    </row>
    <row r="25" spans="1:92">
      <c r="C25" s="264"/>
      <c r="D25" s="2"/>
      <c r="H25" s="41" t="s">
        <v>3049</v>
      </c>
      <c r="I25" s="165">
        <v>990.9</v>
      </c>
      <c r="J25" s="155">
        <v>937.75</v>
      </c>
      <c r="K25" s="105">
        <f t="shared" si="0"/>
        <v>53.149999999999977</v>
      </c>
      <c r="L25" s="151">
        <f t="shared" si="3"/>
        <v>5.6678219141562229E-2</v>
      </c>
      <c r="M25" s="205">
        <f>I25*(0.001425*0.65)+J25*(0.001425*0.65)+I25*0.003</f>
        <v>4.7591120624999999</v>
      </c>
      <c r="N25" s="155">
        <f>K25-M25</f>
        <v>48.390887937499976</v>
      </c>
      <c r="O25" s="165"/>
      <c r="AA25" s="198"/>
    </row>
    <row r="26" spans="1:92">
      <c r="A26" s="27" t="s">
        <v>3087</v>
      </c>
      <c r="B26" s="87" t="s">
        <v>1130</v>
      </c>
      <c r="C26" s="87" t="s">
        <v>1136</v>
      </c>
      <c r="D26" s="87" t="s">
        <v>1138</v>
      </c>
      <c r="E26" s="87" t="s">
        <v>1127</v>
      </c>
      <c r="H26" s="41" t="s">
        <v>2902</v>
      </c>
      <c r="I26" s="165">
        <v>1351.95</v>
      </c>
      <c r="J26" s="155">
        <v>1318.8</v>
      </c>
      <c r="K26" s="105">
        <f t="shared" si="0"/>
        <v>33.150000000000091</v>
      </c>
      <c r="L26" s="151">
        <f t="shared" si="3"/>
        <v>2.5136487716105622E-2</v>
      </c>
      <c r="M26" s="205">
        <f>I26*(0.001425*0.65)+J26*(0.001425*0.65)+I26*0.003</f>
        <v>6.5296321875000007</v>
      </c>
      <c r="N26" s="155">
        <f>K26-M26</f>
        <v>26.620367812500092</v>
      </c>
      <c r="O26" s="165"/>
      <c r="AA26" s="198"/>
    </row>
    <row r="27" spans="1:92">
      <c r="B27" s="244" t="s">
        <v>1131</v>
      </c>
      <c r="C27" s="244" t="s">
        <v>1137</v>
      </c>
      <c r="D27" s="244" t="s">
        <v>1139</v>
      </c>
      <c r="E27" s="244" t="s">
        <v>1128</v>
      </c>
      <c r="H27" s="41" t="s">
        <v>2258</v>
      </c>
      <c r="I27" s="165">
        <v>208.2</v>
      </c>
      <c r="J27" s="155">
        <v>174.3</v>
      </c>
      <c r="K27" s="105">
        <f t="shared" si="0"/>
        <v>33.899999999999977</v>
      </c>
      <c r="L27" s="151">
        <f t="shared" si="3"/>
        <v>0.19449225473321843</v>
      </c>
      <c r="M27" s="205">
        <f>I27*(0.001425*0.65)+J27*(0.001425*0.65)+I27*0.003</f>
        <v>0.97889062500000001</v>
      </c>
      <c r="N27" s="155">
        <f>K27-M27</f>
        <v>32.921109374999979</v>
      </c>
      <c r="O27" s="165"/>
      <c r="AA27" s="198"/>
    </row>
    <row r="28" spans="1:92">
      <c r="B28" s="242" t="s">
        <v>1132</v>
      </c>
      <c r="C28" s="242" t="s">
        <v>1129</v>
      </c>
      <c r="D28" s="242" t="s">
        <v>1129</v>
      </c>
      <c r="E28" s="242" t="s">
        <v>1129</v>
      </c>
      <c r="H28" s="1" t="s">
        <v>3074</v>
      </c>
      <c r="I28" s="165">
        <f>SUM(I17:I27)</f>
        <v>15305.7</v>
      </c>
      <c r="J28" s="155">
        <f>SUM(J17:J27)</f>
        <v>14501.769999999999</v>
      </c>
      <c r="K28" s="162">
        <f>SUM(K17:K27)</f>
        <v>803.93000000000029</v>
      </c>
      <c r="L28" s="151">
        <f t="shared" si="3"/>
        <v>5.5436681177539041E-2</v>
      </c>
      <c r="M28" s="205">
        <f>SUM(M18:M27)</f>
        <v>70.430571337500012</v>
      </c>
      <c r="N28" s="155">
        <f>SUM(N18:N27)</f>
        <v>724.1994286625004</v>
      </c>
      <c r="O28" s="165">
        <f>I28/10</f>
        <v>1530.5700000000002</v>
      </c>
      <c r="AA28" s="198"/>
    </row>
    <row r="29" spans="1:92">
      <c r="B29" s="242"/>
      <c r="C29" s="242"/>
      <c r="D29" s="242"/>
      <c r="E29" s="242"/>
      <c r="AA29" s="198"/>
    </row>
    <row r="30" spans="1:92">
      <c r="A30" s="198" t="s">
        <v>3523</v>
      </c>
      <c r="B30" s="269" t="s">
        <v>3524</v>
      </c>
      <c r="C30" s="242"/>
      <c r="D30" s="242" t="s">
        <v>3567</v>
      </c>
      <c r="E30" s="242" t="s">
        <v>3568</v>
      </c>
      <c r="AA30" s="198"/>
      <c r="AK30" s="7" t="s">
        <v>1213</v>
      </c>
      <c r="AQ30" s="7" t="s">
        <v>1210</v>
      </c>
      <c r="AS30" s="7" t="s">
        <v>1234</v>
      </c>
      <c r="AV30" s="7" t="s">
        <v>1379</v>
      </c>
      <c r="AW30" s="198">
        <v>1</v>
      </c>
      <c r="BD30" s="7" t="s">
        <v>1314</v>
      </c>
      <c r="BQ30" s="7" t="s">
        <v>1368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3376</v>
      </c>
      <c r="C31" s="245"/>
      <c r="D31" s="26" t="s">
        <v>3378</v>
      </c>
      <c r="AA31" s="198"/>
      <c r="AS31" s="7" t="s">
        <v>1236</v>
      </c>
      <c r="AV31" s="7" t="s">
        <v>1389</v>
      </c>
      <c r="BD31" s="7" t="s">
        <v>1315</v>
      </c>
      <c r="BQ31" s="30" t="s">
        <v>1370</v>
      </c>
    </row>
    <row r="32" spans="1:92">
      <c r="A32" s="198" t="s">
        <v>3458</v>
      </c>
      <c r="B32" s="270" t="s">
        <v>3377</v>
      </c>
      <c r="C32" s="106"/>
      <c r="D32" s="271" t="s">
        <v>3379</v>
      </c>
      <c r="AA32" s="198"/>
      <c r="BQ32" s="30"/>
    </row>
    <row r="33" spans="1:82">
      <c r="A33" s="198" t="s">
        <v>3459</v>
      </c>
      <c r="B33" s="106" t="s">
        <v>3462</v>
      </c>
      <c r="C33" s="106"/>
      <c r="D33" s="271" t="s">
        <v>3461</v>
      </c>
      <c r="AA33" s="198"/>
      <c r="BQ33" s="30"/>
    </row>
    <row r="34" spans="1:82">
      <c r="A34" s="198" t="s">
        <v>3460</v>
      </c>
      <c r="B34" t="s">
        <v>3463</v>
      </c>
      <c r="C34" s="242"/>
      <c r="D34" s="269" t="s">
        <v>3464</v>
      </c>
      <c r="AA34" s="198"/>
      <c r="BQ34" s="30"/>
    </row>
    <row r="35" spans="1:82">
      <c r="C35" s="244"/>
      <c r="D35" s="244"/>
      <c r="AA35" s="198"/>
      <c r="BQ35" s="30"/>
    </row>
    <row r="36" spans="1:82">
      <c r="A36" s="228" t="s">
        <v>3209</v>
      </c>
      <c r="B36" s="267" t="s">
        <v>1133</v>
      </c>
      <c r="C36" s="8"/>
      <c r="D36" s="130" t="s">
        <v>850</v>
      </c>
      <c r="E36" s="228" t="s">
        <v>1563</v>
      </c>
      <c r="AS36" s="7" t="s">
        <v>1239</v>
      </c>
      <c r="AV36" s="7" t="s">
        <v>1392</v>
      </c>
      <c r="BQ36" s="7" t="s">
        <v>1373</v>
      </c>
    </row>
    <row r="37" spans="1:82">
      <c r="A37" s="244" t="s">
        <v>1140</v>
      </c>
      <c r="B37" s="244" t="s">
        <v>1141</v>
      </c>
      <c r="C37" s="244" t="s">
        <v>1142</v>
      </c>
      <c r="D37" s="244" t="s">
        <v>1143</v>
      </c>
      <c r="AA37" s="198"/>
      <c r="AK37" s="7" t="s">
        <v>1268</v>
      </c>
      <c r="AL37" s="7" t="s">
        <v>1269</v>
      </c>
      <c r="AS37" s="7" t="s">
        <v>1237</v>
      </c>
      <c r="AV37" s="7" t="s">
        <v>1390</v>
      </c>
      <c r="BD37" s="7" t="s">
        <v>1316</v>
      </c>
      <c r="BQ37" s="7" t="s">
        <v>1371</v>
      </c>
    </row>
    <row r="38" spans="1:82">
      <c r="A38" s="244" t="s">
        <v>1144</v>
      </c>
      <c r="B38" s="244" t="s">
        <v>1141</v>
      </c>
      <c r="C38" s="244" t="s">
        <v>1142</v>
      </c>
      <c r="D38" s="273" t="s">
        <v>1145</v>
      </c>
      <c r="AA38" s="198"/>
      <c r="AS38" s="7" t="s">
        <v>1238</v>
      </c>
      <c r="AV38" s="7" t="s">
        <v>1391</v>
      </c>
      <c r="BD38" s="7" t="s">
        <v>1322</v>
      </c>
      <c r="BQ38" s="7" t="s">
        <v>1372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44" t="s">
        <v>1560</v>
      </c>
      <c r="B39" s="244" t="s">
        <v>1561</v>
      </c>
      <c r="C39" s="244" t="s">
        <v>1562</v>
      </c>
      <c r="AS39" s="7" t="s">
        <v>1240</v>
      </c>
      <c r="BQ39" s="7" t="s">
        <v>1374</v>
      </c>
    </row>
    <row r="40" spans="1:82">
      <c r="A40" s="244" t="s">
        <v>1557</v>
      </c>
      <c r="B40" s="266" t="s">
        <v>1558</v>
      </c>
      <c r="D40" s="244" t="s">
        <v>1559</v>
      </c>
      <c r="AV40" s="7" t="s">
        <v>1394</v>
      </c>
      <c r="BQ40" s="7" t="s">
        <v>1375</v>
      </c>
    </row>
    <row r="41" spans="1:82">
      <c r="A41" s="198" t="s">
        <v>3397</v>
      </c>
      <c r="B41" s="198" t="s">
        <v>3398</v>
      </c>
      <c r="C41" s="198" t="s">
        <v>3400</v>
      </c>
      <c r="D41" s="198" t="s">
        <v>3399</v>
      </c>
      <c r="E41" s="245"/>
      <c r="BQ41" s="7" t="s">
        <v>1376</v>
      </c>
    </row>
    <row r="42" spans="1:82">
      <c r="A42" s="244"/>
      <c r="B42" s="244"/>
      <c r="C42" s="244"/>
      <c r="D42" s="244"/>
      <c r="E42" s="244"/>
      <c r="F42" s="7"/>
      <c r="G42" s="7"/>
      <c r="H42" s="7"/>
      <c r="J42" s="24"/>
      <c r="K42" s="7"/>
      <c r="N42" s="206"/>
      <c r="O42" s="66"/>
      <c r="P42" s="7"/>
      <c r="T42" s="7"/>
      <c r="U42" s="7"/>
      <c r="AQ42" s="198"/>
      <c r="AR42" s="198"/>
      <c r="AU42" s="198"/>
      <c r="AV42" s="198"/>
      <c r="AW42" s="7"/>
      <c r="AX42" s="7"/>
      <c r="BA42" s="7"/>
      <c r="BB42" s="7"/>
      <c r="BK42" s="7" t="s">
        <v>1377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45"/>
      <c r="BZ42" s="245"/>
      <c r="CA42" s="245"/>
      <c r="CB42" s="245"/>
      <c r="CC42" s="245"/>
      <c r="CD42" s="245"/>
    </row>
    <row r="43" spans="1:82">
      <c r="A43" s="42" t="s">
        <v>184</v>
      </c>
      <c r="B43" s="244"/>
      <c r="C43" s="2" t="s">
        <v>1622</v>
      </c>
      <c r="E43" s="244"/>
      <c r="I43" s="51"/>
      <c r="L43" s="139"/>
      <c r="O43" s="51"/>
      <c r="T43" s="166"/>
      <c r="AU43" s="198"/>
      <c r="AV43" s="198"/>
      <c r="AW43" s="7"/>
      <c r="AX43" s="7"/>
      <c r="AY43" s="198"/>
      <c r="AZ43" s="198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45"/>
      <c r="CD43" s="245"/>
    </row>
    <row r="44" spans="1:82">
      <c r="A44" s="20" t="s">
        <v>185</v>
      </c>
      <c r="B44" s="244"/>
      <c r="C44" s="2" t="s">
        <v>1623</v>
      </c>
      <c r="E44" s="244"/>
      <c r="I44" s="51"/>
      <c r="L44" s="139"/>
      <c r="O44" s="51"/>
      <c r="T44" s="204"/>
      <c r="AU44" s="198"/>
      <c r="AV44" s="198"/>
      <c r="AW44" s="7"/>
      <c r="AX44" s="7"/>
      <c r="AY44" s="198"/>
      <c r="AZ44" s="198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45"/>
      <c r="CD44" s="245"/>
    </row>
    <row r="45" spans="1:82">
      <c r="A45" s="2" t="s">
        <v>186</v>
      </c>
      <c r="B45" s="244"/>
      <c r="C45" s="2" t="s">
        <v>1624</v>
      </c>
      <c r="E45" s="244"/>
      <c r="H45" s="7"/>
      <c r="I45" s="51"/>
      <c r="L45" s="139"/>
      <c r="O45" s="51"/>
      <c r="T45" s="204"/>
      <c r="W45" s="198"/>
      <c r="X45" s="198"/>
      <c r="Y45" s="198"/>
      <c r="Z45" s="198"/>
      <c r="AU45" s="198"/>
      <c r="AV45" s="198"/>
      <c r="AW45" s="7"/>
      <c r="AX45" s="7"/>
      <c r="AY45" s="198"/>
      <c r="AZ45" s="198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45"/>
      <c r="CD45" s="245"/>
    </row>
    <row r="46" spans="1:82">
      <c r="A46" s="12" t="s">
        <v>187</v>
      </c>
      <c r="B46" s="244"/>
      <c r="C46" s="2" t="s">
        <v>1625</v>
      </c>
      <c r="E46" s="244"/>
      <c r="H46" s="7"/>
      <c r="I46" s="51"/>
      <c r="L46" s="139"/>
      <c r="O46" s="51"/>
      <c r="T46" s="204"/>
      <c r="AU46" s="198"/>
      <c r="AV46" s="198"/>
      <c r="AW46" s="7"/>
      <c r="AX46" s="7"/>
      <c r="AY46" s="198"/>
      <c r="AZ46" s="198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45"/>
      <c r="CD46" s="245"/>
    </row>
    <row r="47" spans="1:82">
      <c r="A47" s="2" t="s">
        <v>188</v>
      </c>
      <c r="B47" s="244"/>
      <c r="C47" s="2" t="s">
        <v>1626</v>
      </c>
      <c r="E47" s="244"/>
      <c r="H47" s="7"/>
      <c r="I47" s="51"/>
      <c r="K47" s="198"/>
      <c r="L47" s="139"/>
      <c r="O47" s="51"/>
      <c r="T47" s="204"/>
      <c r="AU47" s="198"/>
      <c r="AV47" s="198"/>
      <c r="AW47" s="7"/>
      <c r="AX47" s="7"/>
      <c r="AY47" s="198"/>
      <c r="AZ47" s="198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45"/>
      <c r="CD47" s="245"/>
    </row>
    <row r="48" spans="1:82">
      <c r="A48" s="12" t="s">
        <v>189</v>
      </c>
      <c r="B48" s="244"/>
      <c r="C48" s="2" t="s">
        <v>1627</v>
      </c>
      <c r="E48" s="244"/>
      <c r="F48" s="7"/>
      <c r="G48" s="7"/>
      <c r="H48" s="7"/>
      <c r="I48" s="91"/>
      <c r="J48" s="91"/>
      <c r="K48" s="198"/>
      <c r="O48" s="91"/>
      <c r="T48" s="204"/>
      <c r="AU48" s="198"/>
      <c r="AV48" s="198"/>
      <c r="AW48" s="7"/>
      <c r="AX48" s="7"/>
      <c r="AY48" s="198"/>
      <c r="AZ48" s="198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45"/>
      <c r="CD48" s="245"/>
    </row>
    <row r="49" spans="1:90">
      <c r="A49" s="2" t="s">
        <v>190</v>
      </c>
      <c r="B49" s="244"/>
      <c r="C49" s="22" t="s">
        <v>1628</v>
      </c>
      <c r="E49" s="244"/>
      <c r="F49" s="7"/>
      <c r="G49" s="7"/>
      <c r="H49" s="7"/>
      <c r="I49" s="132"/>
      <c r="J49" s="91"/>
      <c r="K49" s="198"/>
      <c r="O49" s="132"/>
      <c r="T49" s="204"/>
      <c r="AU49" s="198"/>
      <c r="AV49" s="198"/>
      <c r="AW49" s="7"/>
      <c r="AX49" s="7"/>
      <c r="AY49" s="198"/>
      <c r="AZ49" s="198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45"/>
      <c r="CD49" s="245"/>
    </row>
    <row r="50" spans="1:90">
      <c r="A50" s="12" t="s">
        <v>191</v>
      </c>
      <c r="B50" s="244"/>
      <c r="C50" s="22" t="s">
        <v>1629</v>
      </c>
      <c r="E50" s="244"/>
      <c r="F50" s="7"/>
      <c r="G50" s="7"/>
      <c r="H50" s="7"/>
      <c r="I50" s="91"/>
      <c r="J50" s="91"/>
      <c r="K50" s="198"/>
      <c r="O50" s="91"/>
      <c r="T50" s="204"/>
      <c r="AU50" s="198"/>
      <c r="AV50" s="198"/>
      <c r="AW50" s="7"/>
      <c r="AX50" s="7"/>
      <c r="AY50" s="198"/>
      <c r="AZ50" s="198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45"/>
      <c r="CD50" s="245"/>
    </row>
    <row r="51" spans="1:90">
      <c r="A51" s="2" t="s">
        <v>192</v>
      </c>
      <c r="B51" s="244"/>
      <c r="C51" s="22" t="s">
        <v>1630</v>
      </c>
      <c r="E51" s="244"/>
      <c r="F51" s="7"/>
      <c r="G51" s="7"/>
      <c r="H51" s="122"/>
      <c r="I51" s="91"/>
      <c r="J51" s="91"/>
      <c r="K51" s="198"/>
      <c r="O51" s="91"/>
      <c r="T51" s="204"/>
      <c r="AU51" s="198"/>
      <c r="AV51" s="198"/>
      <c r="AW51" s="7"/>
      <c r="AX51" s="7"/>
      <c r="AY51" s="198"/>
      <c r="AZ51" s="198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45"/>
      <c r="CD51" s="245"/>
    </row>
    <row r="52" spans="1:90">
      <c r="A52" s="12" t="s">
        <v>193</v>
      </c>
      <c r="B52" s="244"/>
      <c r="C52" s="22" t="s">
        <v>1631</v>
      </c>
      <c r="E52" s="244"/>
      <c r="F52" s="7"/>
      <c r="G52" s="7"/>
      <c r="H52" s="122"/>
      <c r="I52" s="91"/>
      <c r="J52" s="91"/>
      <c r="K52" s="198"/>
      <c r="O52" s="91"/>
      <c r="AU52" s="198"/>
      <c r="AV52" s="198"/>
      <c r="AW52" s="7"/>
      <c r="AX52" s="7"/>
      <c r="AY52" s="198"/>
      <c r="AZ52" s="198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45"/>
      <c r="CD52" s="245"/>
    </row>
    <row r="53" spans="1:90">
      <c r="A53" s="2" t="s">
        <v>194</v>
      </c>
      <c r="B53" s="244"/>
      <c r="C53" s="22" t="s">
        <v>1632</v>
      </c>
      <c r="E53" s="244"/>
      <c r="F53" s="7"/>
      <c r="G53" s="7"/>
      <c r="H53" s="122"/>
      <c r="AU53" s="198"/>
      <c r="AV53" s="198"/>
      <c r="AW53" s="7"/>
      <c r="AX53" s="7"/>
      <c r="AY53" s="198"/>
      <c r="AZ53" s="198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45"/>
      <c r="CD53" s="245"/>
    </row>
    <row r="54" spans="1:90">
      <c r="A54" s="12" t="s">
        <v>195</v>
      </c>
      <c r="B54" s="244"/>
      <c r="C54" s="2" t="s">
        <v>1633</v>
      </c>
      <c r="E54" s="244"/>
      <c r="F54" s="27"/>
      <c r="G54" s="27"/>
      <c r="H54" s="122"/>
      <c r="AU54" s="198"/>
      <c r="AV54" s="198"/>
      <c r="AW54" s="7"/>
      <c r="AX54" s="7"/>
      <c r="AY54" s="198"/>
      <c r="AZ54" s="198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45"/>
      <c r="CD54" s="245"/>
    </row>
    <row r="55" spans="1:90">
      <c r="A55" s="2" t="s">
        <v>196</v>
      </c>
      <c r="B55" s="244"/>
      <c r="C55" s="244"/>
      <c r="D55" s="27"/>
      <c r="E55" s="244"/>
      <c r="F55" s="27"/>
      <c r="G55" s="27"/>
      <c r="H55" s="122"/>
      <c r="AU55" s="198"/>
      <c r="AV55" s="198"/>
      <c r="AW55" s="7"/>
      <c r="AX55" s="7"/>
      <c r="AY55" s="198"/>
      <c r="AZ55" s="198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45"/>
      <c r="CD55" s="245"/>
    </row>
    <row r="56" spans="1:90">
      <c r="A56" s="12" t="s">
        <v>197</v>
      </c>
      <c r="B56" s="244"/>
      <c r="C56" s="244"/>
      <c r="D56" s="51"/>
      <c r="E56" s="244"/>
      <c r="F56" s="27"/>
      <c r="G56" s="27"/>
      <c r="H56" s="122"/>
      <c r="AU56" s="198"/>
      <c r="AV56" s="198"/>
      <c r="AW56" s="7"/>
      <c r="AX56" s="7"/>
      <c r="AY56" s="198"/>
      <c r="AZ56" s="198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44"/>
      <c r="C57" s="244"/>
      <c r="D57" s="27"/>
      <c r="E57" s="244"/>
      <c r="F57" s="122"/>
      <c r="G57" s="122"/>
      <c r="H57" s="123"/>
      <c r="AU57" s="198"/>
      <c r="AV57" s="198"/>
      <c r="AW57" s="7"/>
      <c r="AX57" s="7"/>
      <c r="AY57" s="198"/>
      <c r="AZ57" s="198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45"/>
      <c r="CD57" s="245"/>
    </row>
    <row r="58" spans="1:90">
      <c r="F58" s="122"/>
      <c r="G58" s="122"/>
      <c r="H58" s="7"/>
      <c r="W58" s="246"/>
      <c r="X58" s="67"/>
      <c r="Y58" s="58"/>
      <c r="Z58" s="11"/>
      <c r="AA58" s="98"/>
      <c r="AB58" s="9"/>
      <c r="AC58" s="88"/>
      <c r="AD58" s="12"/>
      <c r="AE58" s="84"/>
      <c r="AF58" s="83"/>
      <c r="AG58" s="78"/>
      <c r="AH58" s="116"/>
      <c r="AI58" s="245"/>
      <c r="AJ58" s="245"/>
      <c r="AK58" s="245"/>
      <c r="AL58" s="245"/>
      <c r="AM58" s="245"/>
      <c r="AN58" s="245"/>
      <c r="AO58" s="245"/>
      <c r="AP58" s="245"/>
      <c r="AQ58" s="245"/>
      <c r="AR58" s="245"/>
      <c r="AS58" s="245"/>
      <c r="AT58" s="245"/>
      <c r="AU58" s="245"/>
      <c r="AV58" s="245"/>
      <c r="AW58" s="245"/>
      <c r="AX58" s="245"/>
      <c r="AY58" s="245"/>
      <c r="AZ58" s="245"/>
      <c r="BA58" s="245"/>
      <c r="BB58" s="245"/>
      <c r="BC58" s="245"/>
      <c r="BD58" s="245"/>
      <c r="BE58" s="245"/>
      <c r="BF58" s="245"/>
      <c r="BG58" s="245"/>
      <c r="BH58" s="245"/>
      <c r="BI58" s="245"/>
      <c r="BJ58" s="245"/>
      <c r="BK58" s="245"/>
      <c r="BL58" s="245"/>
      <c r="BM58" s="245"/>
      <c r="BN58" s="245"/>
      <c r="BO58" s="245"/>
      <c r="BP58" s="245"/>
      <c r="BQ58" s="245"/>
      <c r="BR58" s="245"/>
      <c r="BS58" s="245"/>
      <c r="BT58" s="245"/>
      <c r="BU58" s="245"/>
      <c r="BV58" s="245"/>
      <c r="BW58" s="245"/>
      <c r="BX58" s="245"/>
      <c r="BY58" s="245"/>
      <c r="BZ58" s="245"/>
      <c r="CA58" s="245"/>
      <c r="CB58" s="245"/>
      <c r="CC58" s="245"/>
      <c r="CD58" s="245"/>
    </row>
    <row r="59" spans="1:90">
      <c r="A59" s="23" t="s">
        <v>199</v>
      </c>
      <c r="B59" s="139"/>
      <c r="F59" s="122"/>
      <c r="G59" s="122"/>
      <c r="H59" s="7"/>
      <c r="W59" s="246"/>
      <c r="X59" s="67"/>
      <c r="Y59" s="58"/>
      <c r="Z59" s="11"/>
      <c r="AA59" s="98"/>
      <c r="AB59" s="9"/>
      <c r="AC59" s="88"/>
      <c r="AD59" s="12"/>
      <c r="AE59" s="84"/>
      <c r="AF59" s="83"/>
      <c r="AG59" s="78"/>
      <c r="AH59" s="116"/>
      <c r="AI59" s="245"/>
      <c r="AJ59" s="245"/>
      <c r="AK59" s="245"/>
      <c r="AL59" s="245"/>
      <c r="AM59" s="245"/>
      <c r="AN59" s="245"/>
      <c r="AO59" s="245"/>
      <c r="AP59" s="245"/>
      <c r="AQ59" s="245"/>
      <c r="AR59" s="245"/>
      <c r="AS59" s="245"/>
      <c r="AT59" s="245"/>
      <c r="AU59" s="245"/>
      <c r="AV59" s="245"/>
      <c r="AW59" s="245"/>
      <c r="AX59" s="245"/>
      <c r="AY59" s="245"/>
      <c r="AZ59" s="245"/>
      <c r="BA59" s="245"/>
      <c r="BB59" s="245"/>
      <c r="BC59" s="245"/>
      <c r="BD59" s="245"/>
      <c r="BE59" s="245"/>
      <c r="BF59" s="245"/>
      <c r="BG59" s="245"/>
      <c r="BH59" s="245"/>
      <c r="BI59" s="245"/>
      <c r="BJ59" s="245"/>
      <c r="BK59" s="245"/>
      <c r="BL59" s="245"/>
      <c r="BM59" s="245"/>
      <c r="BN59" s="245"/>
      <c r="BO59" s="245"/>
      <c r="BP59" s="245"/>
      <c r="BQ59" s="245"/>
      <c r="BR59" s="245"/>
      <c r="BS59" s="245"/>
      <c r="BT59" s="245"/>
      <c r="BU59" s="245"/>
      <c r="BV59" s="245"/>
      <c r="BW59" s="245"/>
      <c r="BX59" s="245"/>
      <c r="BY59" s="245"/>
      <c r="BZ59" s="245"/>
      <c r="CA59" s="245"/>
      <c r="CB59" s="245"/>
      <c r="CC59" s="245"/>
      <c r="CD59" s="245"/>
    </row>
    <row r="60" spans="1:90">
      <c r="A60" s="23" t="s">
        <v>200</v>
      </c>
      <c r="B60" s="139"/>
      <c r="F60" s="124"/>
      <c r="G60" s="124"/>
      <c r="W60" s="246"/>
      <c r="X60" s="67"/>
      <c r="Y60" s="58"/>
      <c r="Z60" s="11"/>
      <c r="AA60" s="98"/>
      <c r="AB60" s="9"/>
      <c r="AC60" s="88"/>
      <c r="AD60" s="12"/>
      <c r="AE60" s="84"/>
      <c r="AF60" s="83"/>
      <c r="AG60" s="78"/>
      <c r="AH60" s="116"/>
      <c r="AI60" s="245"/>
      <c r="AJ60" s="245"/>
      <c r="AK60" s="245"/>
      <c r="AL60" s="245"/>
      <c r="AM60" s="245"/>
      <c r="AN60" s="245"/>
      <c r="AO60" s="245"/>
      <c r="AP60" s="245"/>
      <c r="AQ60" s="245"/>
      <c r="AR60" s="245"/>
      <c r="AS60" s="245"/>
      <c r="AT60" s="245"/>
      <c r="AU60" s="245"/>
      <c r="AV60" s="245"/>
      <c r="AW60" s="245"/>
      <c r="AX60" s="245"/>
      <c r="AY60" s="245"/>
      <c r="AZ60" s="245"/>
      <c r="BA60" s="245"/>
      <c r="BB60" s="245"/>
      <c r="BC60" s="245"/>
      <c r="BD60" s="245"/>
      <c r="BE60" s="245"/>
      <c r="BF60" s="245"/>
      <c r="BG60" s="245"/>
      <c r="BH60" s="245"/>
      <c r="BI60" s="245"/>
      <c r="BJ60" s="245"/>
      <c r="BK60" s="245"/>
      <c r="BL60" s="245"/>
      <c r="BM60" s="245"/>
      <c r="BN60" s="245"/>
      <c r="BO60" s="245"/>
      <c r="BP60" s="245"/>
      <c r="BQ60" s="245"/>
      <c r="BR60" s="245"/>
      <c r="BS60" s="245"/>
      <c r="BT60" s="245"/>
      <c r="BU60" s="245"/>
      <c r="BV60" s="245"/>
      <c r="BW60" s="245"/>
      <c r="BX60" s="245"/>
      <c r="BY60" s="245"/>
      <c r="BZ60" s="245"/>
      <c r="CA60" s="245"/>
      <c r="CB60" s="245"/>
      <c r="CC60" s="245"/>
      <c r="CD60" s="245"/>
    </row>
    <row r="61" spans="1:90">
      <c r="A61" s="23" t="s">
        <v>201</v>
      </c>
      <c r="B61" s="139"/>
      <c r="F61" s="245"/>
      <c r="G61" s="245"/>
      <c r="W61" s="246"/>
      <c r="X61" s="67"/>
      <c r="Y61" s="58"/>
      <c r="Z61" s="11"/>
      <c r="AA61" s="98"/>
      <c r="AB61" s="9"/>
      <c r="AC61" s="88"/>
      <c r="AD61" s="12"/>
      <c r="AE61" s="84"/>
      <c r="AF61" s="83"/>
      <c r="AG61" s="78"/>
      <c r="AH61" s="116"/>
      <c r="AI61" s="245"/>
      <c r="AJ61" s="245"/>
      <c r="AK61" s="245"/>
      <c r="AL61" s="245"/>
      <c r="AM61" s="245"/>
      <c r="AN61" s="245"/>
      <c r="AO61" s="245"/>
      <c r="AP61" s="245"/>
      <c r="AQ61" s="245"/>
      <c r="AR61" s="245"/>
      <c r="AS61" s="245"/>
      <c r="AT61" s="245"/>
      <c r="AU61" s="245"/>
      <c r="AV61" s="245"/>
      <c r="AW61" s="245"/>
      <c r="AX61" s="245"/>
      <c r="AY61" s="245"/>
      <c r="AZ61" s="245"/>
      <c r="BA61" s="245"/>
      <c r="BB61" s="245"/>
      <c r="BC61" s="245"/>
      <c r="BD61" s="245"/>
      <c r="BE61" s="245"/>
      <c r="BF61" s="245"/>
      <c r="BG61" s="245"/>
      <c r="BH61" s="245"/>
      <c r="BI61" s="245"/>
      <c r="BJ61" s="245"/>
      <c r="BK61" s="245"/>
      <c r="BL61" s="245"/>
      <c r="BM61" s="245"/>
      <c r="BN61" s="245"/>
      <c r="BO61" s="245"/>
      <c r="BP61" s="245"/>
      <c r="BQ61" s="245"/>
      <c r="BR61" s="245"/>
      <c r="BS61" s="245"/>
      <c r="BT61" s="245"/>
      <c r="BU61" s="245"/>
      <c r="BV61" s="245"/>
      <c r="BW61" s="245"/>
      <c r="BX61" s="245"/>
      <c r="BY61" s="245"/>
      <c r="BZ61" s="245"/>
      <c r="CA61" s="245"/>
      <c r="CB61" s="245"/>
      <c r="CC61" s="245"/>
      <c r="CD61" s="245"/>
    </row>
    <row r="62" spans="1:90">
      <c r="A62" s="22" t="s">
        <v>202</v>
      </c>
      <c r="B62" s="139"/>
      <c r="F62" s="245"/>
      <c r="G62" s="245"/>
      <c r="W62" s="246"/>
      <c r="X62" s="67"/>
      <c r="Y62" s="58"/>
      <c r="Z62" s="11"/>
      <c r="AA62" s="98"/>
      <c r="AB62" s="9"/>
      <c r="AC62" s="88"/>
      <c r="AD62" s="12"/>
      <c r="AE62" s="84"/>
      <c r="AF62" s="83"/>
      <c r="AG62" s="78"/>
      <c r="AH62" s="116"/>
      <c r="AI62" s="245"/>
      <c r="AJ62" s="245"/>
      <c r="AK62" s="245"/>
      <c r="AL62" s="245"/>
      <c r="AM62" s="245"/>
      <c r="AN62" s="245"/>
      <c r="AO62" s="245"/>
      <c r="AP62" s="245"/>
      <c r="AQ62" s="245"/>
      <c r="AR62" s="245"/>
      <c r="AS62" s="245"/>
      <c r="AT62" s="245"/>
      <c r="AU62" s="245"/>
      <c r="AV62" s="245"/>
      <c r="AW62" s="245"/>
      <c r="AX62" s="245"/>
      <c r="AY62" s="245"/>
      <c r="AZ62" s="245"/>
      <c r="BA62" s="245"/>
      <c r="BB62" s="245"/>
      <c r="BC62" s="245"/>
      <c r="BD62" s="245"/>
      <c r="BE62" s="245"/>
      <c r="BF62" s="245"/>
      <c r="BG62" s="245"/>
      <c r="BH62" s="245"/>
      <c r="BI62" s="245"/>
      <c r="BJ62" s="245"/>
      <c r="BK62" s="245"/>
      <c r="BL62" s="245"/>
      <c r="BM62" s="245"/>
      <c r="BN62" s="245"/>
      <c r="BO62" s="245"/>
      <c r="BP62" s="245"/>
      <c r="BQ62" s="245"/>
      <c r="BR62" s="245"/>
      <c r="BS62" s="245"/>
      <c r="BT62" s="245"/>
      <c r="BU62" s="245"/>
      <c r="BV62" s="245"/>
      <c r="BW62" s="245"/>
      <c r="BX62" s="245"/>
      <c r="BY62" s="245"/>
      <c r="BZ62" s="245"/>
      <c r="CA62" s="245"/>
      <c r="CB62" s="245"/>
      <c r="CC62" s="245"/>
      <c r="CD62" s="245"/>
    </row>
    <row r="63" spans="1:90">
      <c r="A63" s="22" t="s">
        <v>203</v>
      </c>
      <c r="B63" s="139"/>
      <c r="W63" s="246"/>
      <c r="X63" s="67"/>
      <c r="Y63" s="58"/>
      <c r="Z63" s="11"/>
      <c r="AA63" s="98"/>
      <c r="AB63" s="9"/>
      <c r="AC63" s="88"/>
      <c r="AD63" s="12"/>
      <c r="AE63" s="84"/>
      <c r="AF63" s="83"/>
      <c r="AG63" s="78"/>
      <c r="AH63" s="116"/>
      <c r="AI63" s="245"/>
      <c r="AJ63" s="245"/>
      <c r="AK63" s="245"/>
      <c r="AL63" s="245"/>
      <c r="AM63" s="245"/>
      <c r="AN63" s="245"/>
      <c r="AO63" s="245"/>
      <c r="AP63" s="245"/>
      <c r="AQ63" s="245"/>
      <c r="AR63" s="245"/>
      <c r="AS63" s="245"/>
      <c r="AT63" s="245"/>
      <c r="AU63" s="245"/>
      <c r="AV63" s="245"/>
      <c r="AW63" s="245"/>
      <c r="AX63" s="245"/>
      <c r="AY63" s="245"/>
      <c r="AZ63" s="245"/>
      <c r="BA63" s="245"/>
      <c r="BB63" s="245"/>
      <c r="BC63" s="245"/>
      <c r="BD63" s="245"/>
      <c r="BE63" s="245"/>
      <c r="BF63" s="245"/>
      <c r="BG63" s="245"/>
      <c r="BH63" s="245"/>
      <c r="BI63" s="245"/>
      <c r="BJ63" s="245"/>
      <c r="BK63" s="245"/>
      <c r="BL63" s="245"/>
      <c r="BM63" s="245"/>
      <c r="BN63" s="245"/>
      <c r="BO63" s="245"/>
      <c r="BP63" s="245"/>
      <c r="BQ63" s="245"/>
      <c r="BR63" s="245"/>
      <c r="BS63" s="245"/>
      <c r="BT63" s="245"/>
      <c r="BU63" s="245"/>
      <c r="BV63" s="245"/>
      <c r="BW63" s="245"/>
      <c r="BX63" s="245"/>
      <c r="BY63" s="245"/>
      <c r="BZ63" s="245"/>
      <c r="CA63" s="245"/>
      <c r="CB63" s="245"/>
      <c r="CC63" s="245"/>
      <c r="CD63" s="245"/>
    </row>
    <row r="64" spans="1:90">
      <c r="A64" s="22" t="s">
        <v>204</v>
      </c>
      <c r="B64" s="139"/>
      <c r="W64" s="246"/>
      <c r="X64" s="67"/>
      <c r="Y64" s="58"/>
      <c r="Z64" s="11"/>
      <c r="AA64" s="98"/>
      <c r="AB64" s="9"/>
      <c r="AC64" s="88"/>
      <c r="AD64" s="12"/>
      <c r="AE64" s="84"/>
      <c r="AF64" s="83"/>
      <c r="AG64" s="78"/>
      <c r="AH64" s="116"/>
      <c r="AI64" s="245"/>
      <c r="AJ64" s="245"/>
      <c r="AK64" s="245"/>
      <c r="AL64" s="245"/>
      <c r="AM64" s="245"/>
      <c r="AN64" s="245"/>
      <c r="AO64" s="245"/>
      <c r="AP64" s="245"/>
      <c r="AQ64" s="245"/>
      <c r="AR64" s="245"/>
      <c r="AS64" s="245"/>
      <c r="AT64" s="245"/>
      <c r="AU64" s="245"/>
      <c r="AV64" s="245"/>
      <c r="AW64" s="245"/>
      <c r="AX64" s="245"/>
      <c r="AY64" s="245"/>
      <c r="AZ64" s="245"/>
      <c r="BA64" s="245"/>
      <c r="BB64" s="245"/>
      <c r="BC64" s="245"/>
      <c r="BD64" s="245"/>
      <c r="BE64" s="245"/>
      <c r="BF64" s="245"/>
      <c r="BG64" s="245"/>
      <c r="BH64" s="245"/>
      <c r="BI64" s="245"/>
      <c r="BJ64" s="245"/>
      <c r="BK64" s="245"/>
      <c r="BL64" s="245"/>
      <c r="BM64" s="245"/>
      <c r="BN64" s="245"/>
      <c r="BO64" s="245"/>
      <c r="BP64" s="245"/>
      <c r="BQ64" s="245"/>
      <c r="BR64" s="245"/>
      <c r="BS64" s="245"/>
      <c r="BT64" s="245"/>
      <c r="BU64" s="245"/>
      <c r="BV64" s="245"/>
      <c r="BW64" s="245"/>
      <c r="BX64" s="245"/>
      <c r="BY64" s="245"/>
      <c r="BZ64" s="245"/>
      <c r="CA64" s="245"/>
      <c r="CB64" s="245"/>
      <c r="CC64" s="245"/>
      <c r="CD64" s="245"/>
    </row>
    <row r="65" spans="1:82">
      <c r="W65" s="246"/>
      <c r="X65" s="67"/>
      <c r="Y65" s="58"/>
      <c r="Z65" s="11"/>
      <c r="AA65" s="98"/>
      <c r="AB65" s="9"/>
      <c r="AC65" s="88"/>
      <c r="AD65" s="12"/>
      <c r="AE65" s="84"/>
      <c r="AF65" s="83"/>
      <c r="AG65" s="78"/>
      <c r="AH65" s="116"/>
      <c r="AI65" s="245"/>
      <c r="AJ65" s="245"/>
      <c r="AK65" s="245"/>
      <c r="AL65" s="245"/>
      <c r="AM65" s="245"/>
      <c r="AN65" s="245"/>
      <c r="AO65" s="245"/>
      <c r="AP65" s="245"/>
      <c r="AQ65" s="245"/>
      <c r="AR65" s="245"/>
      <c r="AS65" s="245"/>
      <c r="AT65" s="245"/>
      <c r="AU65" s="245"/>
      <c r="AV65" s="245"/>
      <c r="AW65" s="245"/>
      <c r="AX65" s="245"/>
      <c r="AY65" s="245"/>
      <c r="AZ65" s="245"/>
      <c r="BA65" s="245"/>
      <c r="BB65" s="245"/>
      <c r="BC65" s="245"/>
      <c r="BD65" s="245"/>
      <c r="BE65" s="245"/>
      <c r="BF65" s="245"/>
      <c r="BG65" s="245"/>
      <c r="BH65" s="245"/>
      <c r="BI65" s="245"/>
      <c r="BJ65" s="245"/>
      <c r="BK65" s="245"/>
      <c r="BL65" s="245"/>
      <c r="BM65" s="245"/>
      <c r="BN65" s="245"/>
      <c r="BO65" s="245"/>
      <c r="BP65" s="245"/>
      <c r="BQ65" s="245"/>
      <c r="BR65" s="245"/>
      <c r="BS65" s="245"/>
      <c r="BT65" s="245"/>
      <c r="BU65" s="245"/>
      <c r="BV65" s="245"/>
      <c r="BW65" s="245"/>
      <c r="BX65" s="245"/>
      <c r="BY65" s="245"/>
      <c r="BZ65" s="245"/>
      <c r="CA65" s="245"/>
      <c r="CB65" s="245"/>
      <c r="CC65" s="245"/>
      <c r="CD65" s="245"/>
    </row>
    <row r="66" spans="1:82">
      <c r="A66" s="198" t="s">
        <v>1467</v>
      </c>
      <c r="B66" s="30" t="s">
        <v>1468</v>
      </c>
      <c r="C66" s="8" t="s">
        <v>1469</v>
      </c>
      <c r="D66" s="30" t="s">
        <v>1471</v>
      </c>
      <c r="E66" s="8" t="s">
        <v>3</v>
      </c>
    </row>
    <row r="67" spans="1:82">
      <c r="A67" s="199" t="s">
        <v>1787</v>
      </c>
      <c r="B67" s="40">
        <v>87</v>
      </c>
      <c r="C67" s="6">
        <v>89.6</v>
      </c>
      <c r="D67" s="62">
        <f>B67-C67</f>
        <v>-2.5999999999999943</v>
      </c>
      <c r="E67" s="147">
        <f>D67/C67</f>
        <v>-2.9017857142857081E-2</v>
      </c>
    </row>
    <row r="68" spans="1:82">
      <c r="A68" s="198" t="s">
        <v>1786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47">
        <f>D68/C68</f>
        <v>-2.9017857142857081E-2</v>
      </c>
    </row>
    <row r="69" spans="1:82">
      <c r="A69" s="198" t="s">
        <v>1467</v>
      </c>
      <c r="B69" s="30" t="s">
        <v>1468</v>
      </c>
      <c r="C69" s="8" t="s">
        <v>1469</v>
      </c>
      <c r="D69" s="30" t="s">
        <v>1471</v>
      </c>
      <c r="E69" s="8" t="s">
        <v>1470</v>
      </c>
    </row>
    <row r="70" spans="1:82">
      <c r="A70" s="200" t="s">
        <v>1472</v>
      </c>
      <c r="B70" s="7"/>
      <c r="C70" s="7"/>
      <c r="D70" s="15">
        <v>8.8800000000000008</v>
      </c>
      <c r="E70" s="103"/>
    </row>
    <row r="71" spans="1:82">
      <c r="A71" s="199" t="s">
        <v>1490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3">
        <f t="shared" ref="E71:E77" si="5">D71/C71</f>
        <v>6.3718411552346491E-2</v>
      </c>
    </row>
    <row r="72" spans="1:82">
      <c r="A72" s="199" t="s">
        <v>1489</v>
      </c>
      <c r="B72" s="40">
        <v>406.8</v>
      </c>
      <c r="C72" s="6">
        <v>411.67</v>
      </c>
      <c r="D72" s="62">
        <f t="shared" si="4"/>
        <v>-4.8700000000000045</v>
      </c>
      <c r="E72" s="103">
        <f t="shared" si="5"/>
        <v>-1.1829863725799802E-2</v>
      </c>
      <c r="I72" s="95"/>
      <c r="O72" s="95"/>
    </row>
    <row r="73" spans="1:82">
      <c r="A73" s="199" t="s">
        <v>1488</v>
      </c>
      <c r="B73" s="40">
        <v>187.7</v>
      </c>
      <c r="C73" s="6">
        <v>179.88</v>
      </c>
      <c r="D73" s="62">
        <f t="shared" si="4"/>
        <v>7.8199999999999932</v>
      </c>
      <c r="E73" s="103">
        <f t="shared" si="5"/>
        <v>4.3473426728930363E-2</v>
      </c>
      <c r="I73" s="95"/>
      <c r="O73" s="95"/>
    </row>
    <row r="74" spans="1:82">
      <c r="A74" s="199" t="s">
        <v>1487</v>
      </c>
      <c r="B74" s="40">
        <v>696.4</v>
      </c>
      <c r="C74" s="6">
        <v>675.66</v>
      </c>
      <c r="D74" s="62">
        <f t="shared" si="4"/>
        <v>20.740000000000009</v>
      </c>
      <c r="E74" s="103">
        <f t="shared" si="5"/>
        <v>3.0695912145161784E-2</v>
      </c>
      <c r="I74" s="95"/>
      <c r="M74" s="44"/>
      <c r="O74" s="95"/>
    </row>
    <row r="75" spans="1:82">
      <c r="A75" s="199" t="s">
        <v>1486</v>
      </c>
      <c r="B75" s="40">
        <v>80.45</v>
      </c>
      <c r="C75" s="6">
        <v>77.39</v>
      </c>
      <c r="D75" s="62">
        <f t="shared" si="4"/>
        <v>3.0600000000000023</v>
      </c>
      <c r="E75" s="103">
        <f t="shared" si="5"/>
        <v>3.9539992247060375E-2</v>
      </c>
      <c r="I75" s="96"/>
      <c r="M75" s="44"/>
      <c r="O75" s="96"/>
    </row>
    <row r="76" spans="1:82">
      <c r="A76" s="199" t="s">
        <v>1463</v>
      </c>
      <c r="B76" s="40">
        <v>235.25</v>
      </c>
      <c r="C76" s="6">
        <v>187.37</v>
      </c>
      <c r="D76" s="62">
        <f t="shared" si="4"/>
        <v>47.879999999999995</v>
      </c>
      <c r="E76" s="103">
        <f t="shared" si="5"/>
        <v>0.25553717243955804</v>
      </c>
      <c r="I76" s="96"/>
      <c r="M76" s="44"/>
      <c r="O76" s="96"/>
    </row>
    <row r="77" spans="1:82">
      <c r="A77" s="198" t="s">
        <v>1478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3">
        <f t="shared" si="5"/>
        <v>5.5921325395114324E-2</v>
      </c>
      <c r="I77" s="96"/>
      <c r="M77" s="44"/>
      <c r="O77" s="96"/>
    </row>
    <row r="78" spans="1:82">
      <c r="I78" s="96"/>
      <c r="M78" s="44"/>
      <c r="O78" s="96"/>
    </row>
    <row r="79" spans="1:82">
      <c r="I79" s="96"/>
      <c r="O79" s="96"/>
    </row>
    <row r="80" spans="1:82">
      <c r="A80" s="87" t="s">
        <v>844</v>
      </c>
      <c r="B80" s="244" t="s">
        <v>1498</v>
      </c>
      <c r="C80" s="244" t="s">
        <v>1554</v>
      </c>
      <c r="D80" s="244" t="s">
        <v>3381</v>
      </c>
      <c r="E80" s="244" t="s">
        <v>1107</v>
      </c>
      <c r="I80" s="96"/>
      <c r="M80" s="27"/>
      <c r="O80" s="96"/>
    </row>
    <row r="81" spans="1:92">
      <c r="A81" s="87" t="s">
        <v>1713</v>
      </c>
      <c r="B81" s="244" t="s">
        <v>1112</v>
      </c>
      <c r="C81" s="244" t="s">
        <v>1555</v>
      </c>
      <c r="D81" s="244" t="s">
        <v>3383</v>
      </c>
      <c r="E81" s="244" t="s">
        <v>1109</v>
      </c>
      <c r="I81" s="96"/>
      <c r="M81" s="27"/>
      <c r="O81" s="96"/>
    </row>
    <row r="82" spans="1:92">
      <c r="A82" s="87" t="s">
        <v>1848</v>
      </c>
      <c r="B82" s="244" t="s">
        <v>1113</v>
      </c>
      <c r="C82" s="244" t="s">
        <v>1564</v>
      </c>
      <c r="D82" s="244"/>
      <c r="E82" s="244" t="s">
        <v>1110</v>
      </c>
      <c r="I82" s="97"/>
      <c r="M82" s="27"/>
      <c r="O82" s="97"/>
    </row>
    <row r="83" spans="1:92">
      <c r="A83" s="87" t="s">
        <v>846</v>
      </c>
      <c r="B83" s="244" t="s">
        <v>1149</v>
      </c>
      <c r="C83" s="244" t="s">
        <v>1556</v>
      </c>
      <c r="D83" s="244" t="s">
        <v>3382</v>
      </c>
      <c r="E83" s="244" t="s">
        <v>1148</v>
      </c>
      <c r="I83" s="97"/>
      <c r="M83" s="133"/>
      <c r="O83" s="97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44" t="s">
        <v>1055</v>
      </c>
      <c r="B84" s="244" t="s">
        <v>1100</v>
      </c>
      <c r="C84" s="244" t="s">
        <v>1100</v>
      </c>
      <c r="D84" s="244" t="s">
        <v>1104</v>
      </c>
      <c r="E84" s="244" t="s">
        <v>1100</v>
      </c>
      <c r="I84" s="42"/>
      <c r="L84" s="122"/>
      <c r="M84" s="133"/>
      <c r="O84" s="42"/>
    </row>
    <row r="85" spans="1:92">
      <c r="A85" s="244" t="s">
        <v>1154</v>
      </c>
      <c r="B85" s="87" t="s">
        <v>1136</v>
      </c>
      <c r="C85" s="87" t="s">
        <v>1130</v>
      </c>
      <c r="D85" s="87" t="s">
        <v>1127</v>
      </c>
      <c r="E85" s="87" t="s">
        <v>1127</v>
      </c>
      <c r="I85" s="97"/>
      <c r="L85" s="122"/>
      <c r="M85" s="133"/>
      <c r="O85" s="97"/>
    </row>
    <row r="86" spans="1:92">
      <c r="A86" s="244" t="s">
        <v>1099</v>
      </c>
      <c r="B86" s="242" t="s">
        <v>1750</v>
      </c>
      <c r="C86" s="258" t="s">
        <v>1749</v>
      </c>
      <c r="E86" s="244"/>
      <c r="I86" s="97"/>
      <c r="J86" s="7"/>
      <c r="K86" s="7"/>
      <c r="L86" s="122"/>
      <c r="O86" s="97"/>
    </row>
    <row r="87" spans="1:92">
      <c r="A87" s="244" t="s">
        <v>1155</v>
      </c>
      <c r="H87" s="9"/>
      <c r="L87" s="2"/>
    </row>
    <row r="88" spans="1:92">
      <c r="A88" s="244" t="s">
        <v>1100</v>
      </c>
      <c r="H88" s="9"/>
      <c r="L88" s="9"/>
    </row>
    <row r="89" spans="1:92">
      <c r="A89" s="87" t="s">
        <v>1136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6" t="s">
        <v>4727</v>
      </c>
      <c r="H91" s="9"/>
    </row>
    <row r="92" spans="1:92">
      <c r="A92" s="156" t="s">
        <v>4728</v>
      </c>
      <c r="H92" s="9"/>
    </row>
    <row r="93" spans="1:92">
      <c r="A93" s="156" t="s">
        <v>4729</v>
      </c>
      <c r="H93" s="9"/>
    </row>
    <row r="94" spans="1:92">
      <c r="A94" s="156" t="s">
        <v>4730</v>
      </c>
    </row>
    <row r="99" spans="1:5">
      <c r="E99" s="7"/>
    </row>
    <row r="100" spans="1:5">
      <c r="A100" s="42" t="s">
        <v>1642</v>
      </c>
      <c r="D100" s="91"/>
      <c r="E100" s="91"/>
    </row>
    <row r="101" spans="1:5">
      <c r="A101" s="69" t="s">
        <v>1641</v>
      </c>
      <c r="D101" s="91"/>
      <c r="E101" s="91"/>
    </row>
    <row r="102" spans="1:5">
      <c r="A102" s="6"/>
      <c r="D102" s="91"/>
      <c r="E102" s="91"/>
    </row>
    <row r="103" spans="1:5">
      <c r="A103" s="2" t="s">
        <v>1643</v>
      </c>
      <c r="D103" s="91"/>
      <c r="E103" s="91"/>
    </row>
    <row r="104" spans="1:5">
      <c r="A104" s="69" t="s">
        <v>1644</v>
      </c>
      <c r="D104" s="91"/>
      <c r="E104" s="91"/>
    </row>
    <row r="105" spans="1:5">
      <c r="A105" s="69" t="s">
        <v>1645</v>
      </c>
      <c r="D105" s="91"/>
      <c r="E105" s="91"/>
    </row>
    <row r="106" spans="1:5">
      <c r="A106" s="6"/>
      <c r="D106" s="91"/>
      <c r="E106" s="91"/>
    </row>
    <row r="107" spans="1:5">
      <c r="A107" s="2" t="s">
        <v>1784</v>
      </c>
      <c r="D107" s="91"/>
      <c r="E107" s="91"/>
    </row>
    <row r="109" spans="1:5">
      <c r="A109" s="139" t="s">
        <v>1751</v>
      </c>
    </row>
    <row r="110" spans="1:5">
      <c r="A110" s="139" t="s">
        <v>1752</v>
      </c>
    </row>
    <row r="111" spans="1:5">
      <c r="A111" s="139" t="s">
        <v>1765</v>
      </c>
    </row>
    <row r="112" spans="1:5">
      <c r="A112" s="139" t="s">
        <v>1764</v>
      </c>
    </row>
    <row r="113" spans="1:1">
      <c r="A113" s="139" t="s">
        <v>1766</v>
      </c>
    </row>
    <row r="114" spans="1:1">
      <c r="A114" s="139" t="s">
        <v>1767</v>
      </c>
    </row>
    <row r="115" spans="1:1">
      <c r="A115" s="139" t="s">
        <v>1768</v>
      </c>
    </row>
    <row r="116" spans="1:1">
      <c r="A116" s="139" t="s">
        <v>1769</v>
      </c>
    </row>
    <row r="117" spans="1:1">
      <c r="A117" s="139" t="s">
        <v>1770</v>
      </c>
    </row>
    <row r="118" spans="1:1">
      <c r="A118" s="139" t="s">
        <v>1771</v>
      </c>
    </row>
    <row r="119" spans="1:1">
      <c r="A119" s="9"/>
    </row>
    <row r="120" spans="1:1">
      <c r="A120" s="9" t="s">
        <v>1753</v>
      </c>
    </row>
    <row r="121" spans="1:1">
      <c r="A121" s="9" t="s">
        <v>1754</v>
      </c>
    </row>
    <row r="122" spans="1:1">
      <c r="A122" s="9" t="s">
        <v>1755</v>
      </c>
    </row>
    <row r="123" spans="1:1">
      <c r="A123" s="9" t="s">
        <v>1756</v>
      </c>
    </row>
    <row r="124" spans="1:1">
      <c r="A124" s="9" t="s">
        <v>1757</v>
      </c>
    </row>
    <row r="125" spans="1:1">
      <c r="A125" s="9" t="s">
        <v>1758</v>
      </c>
    </row>
    <row r="126" spans="1:1">
      <c r="A126" s="9" t="s">
        <v>1759</v>
      </c>
    </row>
    <row r="127" spans="1:1">
      <c r="A127" s="9" t="s">
        <v>1760</v>
      </c>
    </row>
    <row r="128" spans="1:1">
      <c r="A128" s="9" t="s">
        <v>1761</v>
      </c>
    </row>
    <row r="129" spans="1:5">
      <c r="A129" s="9" t="s">
        <v>1762</v>
      </c>
    </row>
    <row r="130" spans="1:5">
      <c r="A130" s="9" t="s">
        <v>1763</v>
      </c>
    </row>
    <row r="133" spans="1:5">
      <c r="A133" s="244" t="s">
        <v>1108</v>
      </c>
      <c r="B133" s="244" t="s">
        <v>1107</v>
      </c>
      <c r="C133" s="244" t="s">
        <v>1081</v>
      </c>
      <c r="D133" s="244" t="s">
        <v>1056</v>
      </c>
      <c r="E133" s="244" t="s">
        <v>1057</v>
      </c>
    </row>
    <row r="134" spans="1:5">
      <c r="A134" s="244" t="s">
        <v>1109</v>
      </c>
      <c r="B134" s="244" t="s">
        <v>1109</v>
      </c>
      <c r="C134" s="244" t="s">
        <v>1152</v>
      </c>
      <c r="D134" s="244" t="s">
        <v>1102</v>
      </c>
      <c r="E134" s="244" t="s">
        <v>1499</v>
      </c>
    </row>
    <row r="135" spans="1:5">
      <c r="A135" s="244" t="s">
        <v>1110</v>
      </c>
      <c r="B135" s="244" t="s">
        <v>1110</v>
      </c>
      <c r="C135" s="244" t="s">
        <v>1153</v>
      </c>
      <c r="D135" s="244" t="s">
        <v>1101</v>
      </c>
      <c r="E135" s="244" t="s">
        <v>1103</v>
      </c>
    </row>
    <row r="136" spans="1:5">
      <c r="A136" s="244" t="s">
        <v>1410</v>
      </c>
      <c r="B136" s="244" t="s">
        <v>1409</v>
      </c>
      <c r="C136" s="244" t="s">
        <v>1149</v>
      </c>
      <c r="D136" s="244" t="s">
        <v>1150</v>
      </c>
      <c r="E136" s="244" t="s">
        <v>1148</v>
      </c>
    </row>
    <row r="137" spans="1:5">
      <c r="A137" s="244" t="s">
        <v>1100</v>
      </c>
      <c r="B137" s="244" t="s">
        <v>1111</v>
      </c>
      <c r="C137" s="244" t="s">
        <v>1100</v>
      </c>
      <c r="D137" s="244" t="s">
        <v>1100</v>
      </c>
      <c r="E137" s="244" t="s">
        <v>1104</v>
      </c>
    </row>
    <row r="139" spans="1:5">
      <c r="A139" s="2" t="s">
        <v>3081</v>
      </c>
    </row>
    <row r="140" spans="1:5">
      <c r="A140" s="2" t="s">
        <v>3082</v>
      </c>
    </row>
    <row r="141" spans="1:5">
      <c r="A141" s="132" t="s">
        <v>1636</v>
      </c>
    </row>
    <row r="142" spans="1:5">
      <c r="A142" s="2" t="s">
        <v>1700</v>
      </c>
    </row>
    <row r="143" spans="1:5">
      <c r="A143" s="42" t="s">
        <v>1406</v>
      </c>
    </row>
    <row r="144" spans="1:5">
      <c r="A144" s="42" t="s">
        <v>1455</v>
      </c>
    </row>
    <row r="145" spans="1:1">
      <c r="A145" s="46" t="s">
        <v>1565</v>
      </c>
    </row>
    <row r="146" spans="1:1">
      <c r="A146" s="134" t="s">
        <v>1552</v>
      </c>
    </row>
    <row r="147" spans="1:1">
      <c r="A147" s="46" t="s">
        <v>1723</v>
      </c>
    </row>
    <row r="148" spans="1:1">
      <c r="A148" s="134" t="s">
        <v>1724</v>
      </c>
    </row>
    <row r="149" spans="1:1">
      <c r="A149" s="46" t="s">
        <v>1853</v>
      </c>
    </row>
    <row r="150" spans="1:1">
      <c r="A150" s="42" t="s">
        <v>1854</v>
      </c>
    </row>
    <row r="151" spans="1:1">
      <c r="A151" s="46" t="s">
        <v>3083</v>
      </c>
    </row>
    <row r="152" spans="1:1">
      <c r="A152" s="46" t="s">
        <v>3084</v>
      </c>
    </row>
    <row r="153" spans="1:1">
      <c r="A153" s="134" t="s">
        <v>3085</v>
      </c>
    </row>
    <row r="154" spans="1:1">
      <c r="A154" s="134" t="s">
        <v>3086</v>
      </c>
    </row>
    <row r="155" spans="1:1">
      <c r="A155" s="46" t="s">
        <v>1855</v>
      </c>
    </row>
    <row r="158" spans="1:1">
      <c r="A158" s="139" t="s">
        <v>1605</v>
      </c>
    </row>
    <row r="159" spans="1:1">
      <c r="A159" s="139" t="s">
        <v>3077</v>
      </c>
    </row>
    <row r="160" spans="1:1">
      <c r="A160" s="139" t="s">
        <v>3078</v>
      </c>
    </row>
    <row r="161" spans="1:1">
      <c r="A161" s="139" t="s">
        <v>1606</v>
      </c>
    </row>
    <row r="162" spans="1:1">
      <c r="A162" s="139" t="s">
        <v>3079</v>
      </c>
    </row>
    <row r="163" spans="1:1">
      <c r="A163" s="139" t="s">
        <v>3080</v>
      </c>
    </row>
    <row r="164" spans="1:1">
      <c r="A164" s="139" t="s">
        <v>1604</v>
      </c>
    </row>
    <row r="165" spans="1:1">
      <c r="A165" s="139" t="s">
        <v>1607</v>
      </c>
    </row>
    <row r="166" spans="1:1">
      <c r="A166" s="139" t="s">
        <v>3075</v>
      </c>
    </row>
    <row r="167" spans="1:1">
      <c r="A167" s="139" t="s">
        <v>3076</v>
      </c>
    </row>
    <row r="168" spans="1:1">
      <c r="A168" s="139" t="s">
        <v>1608</v>
      </c>
    </row>
    <row r="169" spans="1:1">
      <c r="A169" s="139" t="s">
        <v>1603</v>
      </c>
    </row>
  </sheetData>
  <phoneticPr fontId="1" type="noConversion"/>
  <hyperlinks>
    <hyperlink ref="B36" r:id="rId1" xr:uid="{00000000-0004-0000-0A00-000000000000}"/>
    <hyperlink ref="D38" r:id="rId2" xr:uid="{00000000-0004-0000-0A00-000001000000}"/>
    <hyperlink ref="B40" r:id="rId3" xr:uid="{00000000-0004-0000-0A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3"/>
  <dimension ref="E1:Z35"/>
  <sheetViews>
    <sheetView topLeftCell="A7" workbookViewId="0">
      <selection activeCell="O24" sqref="O24"/>
    </sheetView>
  </sheetViews>
  <sheetFormatPr defaultColWidth="9.125" defaultRowHeight="16.2"/>
  <cols>
    <col min="1" max="4" width="9.125" style="7"/>
    <col min="5" max="5" width="5.75" style="59" customWidth="1"/>
    <col min="6" max="6" width="8.75" style="44" customWidth="1"/>
    <col min="7" max="7" width="9.75" style="7" customWidth="1"/>
    <col min="8" max="8" width="4.75" style="8" customWidth="1"/>
    <col min="9" max="9" width="4.75" style="5" customWidth="1"/>
    <col min="10" max="11" width="4.75" style="30" customWidth="1"/>
    <col min="12" max="12" width="5.75" style="59" customWidth="1"/>
    <col min="13" max="13" width="8.75" style="7" customWidth="1"/>
    <col min="14" max="14" width="9.75" style="7" customWidth="1"/>
    <col min="15" max="15" width="4.75" style="8" customWidth="1"/>
    <col min="16" max="16" width="4.75" style="5" customWidth="1"/>
    <col min="17" max="17" width="4.75" style="30" customWidth="1"/>
    <col min="18" max="19" width="9.125" style="7"/>
    <col min="20" max="20" width="11.125" style="7" bestFit="1" customWidth="1"/>
    <col min="21" max="23" width="9.125" style="7"/>
    <col min="24" max="24" width="26" style="9" customWidth="1"/>
    <col min="25" max="26" width="6.75" style="9" customWidth="1"/>
    <col min="27" max="16384" width="9.125" style="7"/>
  </cols>
  <sheetData>
    <row r="1" spans="5:26">
      <c r="E1" s="202" t="s">
        <v>3415</v>
      </c>
      <c r="F1" s="28" t="s">
        <v>1480</v>
      </c>
      <c r="G1" s="6" t="s">
        <v>1456</v>
      </c>
      <c r="H1" s="8" t="s">
        <v>3373</v>
      </c>
      <c r="I1" s="5" t="s">
        <v>3374</v>
      </c>
      <c r="J1" s="50" t="s">
        <v>3414</v>
      </c>
      <c r="K1" s="50"/>
      <c r="L1" s="202" t="s">
        <v>3415</v>
      </c>
      <c r="M1" s="1" t="s">
        <v>1042</v>
      </c>
      <c r="N1" s="6" t="s">
        <v>1457</v>
      </c>
      <c r="O1" s="8" t="s">
        <v>3373</v>
      </c>
      <c r="P1" s="5" t="s">
        <v>3374</v>
      </c>
      <c r="Q1" s="50" t="s">
        <v>3414</v>
      </c>
      <c r="S1" s="10" t="s">
        <v>1481</v>
      </c>
      <c r="T1" s="28" t="s">
        <v>3040</v>
      </c>
      <c r="X1" s="9" t="s">
        <v>3408</v>
      </c>
      <c r="Y1" s="9">
        <v>385</v>
      </c>
      <c r="Z1" s="9">
        <v>274</v>
      </c>
    </row>
    <row r="2" spans="5:26">
      <c r="E2" s="2">
        <f>H2+I2+J2</f>
        <v>102</v>
      </c>
      <c r="F2" s="156" t="s">
        <v>3325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6" t="s">
        <v>3325</v>
      </c>
      <c r="N2" s="6"/>
      <c r="O2" s="8">
        <v>65</v>
      </c>
      <c r="P2" s="5">
        <v>29</v>
      </c>
      <c r="Q2" s="50">
        <v>13</v>
      </c>
      <c r="S2" s="30" t="s">
        <v>1396</v>
      </c>
      <c r="T2" s="39">
        <f>RTD("money.excel",,"$TWIT","Price")</f>
        <v>20879.14</v>
      </c>
      <c r="X2" s="268" t="s">
        <v>3450</v>
      </c>
      <c r="Y2" s="268">
        <v>384</v>
      </c>
      <c r="Z2" s="268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359.8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4">
        <f>RTD("money.excel",,"$TWO24","Price")</f>
        <v>106.17</v>
      </c>
      <c r="O3" s="8">
        <v>46</v>
      </c>
      <c r="P3" s="5">
        <v>25</v>
      </c>
      <c r="Q3" s="50">
        <v>14</v>
      </c>
      <c r="S3" s="30" t="s">
        <v>1147</v>
      </c>
      <c r="T3" s="39">
        <f>RTD("money.excel",,"$TWMC","Price")</f>
        <v>13493.44</v>
      </c>
      <c r="X3" s="9" t="s">
        <v>3449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1146</v>
      </c>
      <c r="G4" s="39">
        <f>RTD("money.excel",,"$TWT25","Price")</f>
        <v>130.79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1146</v>
      </c>
      <c r="N4" s="94">
        <f>RTD("money.excel",,"$TWO25","Price")</f>
        <v>78.209999999999994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9317.56</v>
      </c>
      <c r="X4" s="9" t="s">
        <v>3406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1878</v>
      </c>
      <c r="G5" s="39">
        <f>RTD("money.excel",,"$TWT26","Price")</f>
        <v>32.619999999999997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4">
        <f>RTD("money.excel",,"$TWO26","Price")</f>
        <v>50.21</v>
      </c>
      <c r="O5" s="8">
        <v>26</v>
      </c>
      <c r="P5" s="5">
        <v>13</v>
      </c>
      <c r="Q5" s="50">
        <v>9</v>
      </c>
      <c r="S5" s="50" t="s">
        <v>1086</v>
      </c>
      <c r="T5" s="94">
        <f>RTD("money.excel",,"$TWOI50","Price")</f>
        <v>225.18</v>
      </c>
      <c r="X5" s="22" t="s">
        <v>3446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135.63999999999999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4">
        <f>RTD("money.excel",,"$TWO27","Price")</f>
        <v>75.62</v>
      </c>
      <c r="O6" s="8">
        <v>35</v>
      </c>
      <c r="P6" s="5">
        <v>36</v>
      </c>
      <c r="Q6" s="50">
        <v>12</v>
      </c>
      <c r="S6" s="50" t="s">
        <v>1327</v>
      </c>
      <c r="T6" s="94">
        <f>RTD("money.excel",,"$TWOIHD","Price")</f>
        <v>162.27000000000001</v>
      </c>
      <c r="W6" s="1" t="s">
        <v>3409</v>
      </c>
      <c r="X6" s="2" t="s">
        <v>3445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162.96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4">
        <f>RTD("money.excel",,"$TWO28","Price")</f>
        <v>91.8</v>
      </c>
      <c r="O7" s="8">
        <v>41</v>
      </c>
      <c r="P7" s="5">
        <v>27</v>
      </c>
      <c r="Q7" s="50">
        <v>12</v>
      </c>
      <c r="S7" s="50" t="s">
        <v>104</v>
      </c>
      <c r="T7" s="94">
        <f>RTD("money.excel",,"$TWOIGI","Price")</f>
        <v>158.02000000000001</v>
      </c>
      <c r="X7" s="9" t="s">
        <v>3447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3219</v>
      </c>
      <c r="G8" s="39">
        <f>RTD("money.excel",,"$TWT29","Price")</f>
        <v>192.25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3219</v>
      </c>
      <c r="N8" s="94">
        <f>RTD("money.excel",,"$TWO29","Price")</f>
        <v>83.99</v>
      </c>
      <c r="O8" s="8">
        <v>0</v>
      </c>
      <c r="P8" s="5">
        <v>0</v>
      </c>
      <c r="Q8" s="50">
        <v>14</v>
      </c>
      <c r="S8" s="8" t="s">
        <v>1481</v>
      </c>
      <c r="T8" s="28" t="s">
        <v>3040</v>
      </c>
      <c r="X8" s="9" t="s">
        <v>3407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124.98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4">
        <f>RTD("money.excel",,"$TWO30","Price")</f>
        <v>113.03</v>
      </c>
      <c r="O9" s="8">
        <v>8</v>
      </c>
      <c r="P9" s="5">
        <v>5</v>
      </c>
      <c r="Q9" s="50">
        <v>9</v>
      </c>
      <c r="S9" s="30" t="s">
        <v>1041</v>
      </c>
      <c r="T9" s="39">
        <f>RTD("money.excel",,"$TWT","Price")</f>
        <v>16006.25</v>
      </c>
      <c r="X9" s="9" t="s">
        <v>3451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3354</v>
      </c>
      <c r="G10" s="39">
        <f>RTD("money.excel",,"$TWT31","Price")</f>
        <v>95.26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3354</v>
      </c>
      <c r="N10" s="94">
        <f>RTD("money.excel",,"$TWO31","Price")</f>
        <v>141.29</v>
      </c>
      <c r="O10" s="8">
        <v>37</v>
      </c>
      <c r="P10" s="5">
        <v>24</v>
      </c>
      <c r="Q10" s="50">
        <v>9</v>
      </c>
      <c r="S10" s="30" t="s">
        <v>3179</v>
      </c>
      <c r="T10" s="40">
        <f>RTD("money.excel",,"$TWO","Price")</f>
        <v>191.93</v>
      </c>
      <c r="X10" s="268" t="s">
        <v>3410</v>
      </c>
      <c r="Y10" s="268">
        <v>385</v>
      </c>
      <c r="Z10" s="268">
        <v>199</v>
      </c>
    </row>
    <row r="11" spans="5:26">
      <c r="E11" s="2">
        <f t="shared" si="1"/>
        <v>104</v>
      </c>
      <c r="F11" s="8" t="s">
        <v>3422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4">
        <f>RTD("money.excel",,"$TWO04","Price")</f>
        <v>105.83</v>
      </c>
      <c r="O11" s="8">
        <v>1</v>
      </c>
      <c r="P11" s="5">
        <v>2</v>
      </c>
      <c r="Q11" s="50">
        <v>10</v>
      </c>
      <c r="W11" s="1" t="s">
        <v>3409</v>
      </c>
      <c r="X11" s="2" t="s">
        <v>3448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172.83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3356</v>
      </c>
      <c r="N12" s="94">
        <f>RTD("money.excel",,"$TWO05","Price")</f>
        <v>147.33000000000001</v>
      </c>
      <c r="O12" s="8">
        <v>17</v>
      </c>
      <c r="P12" s="5">
        <v>18</v>
      </c>
      <c r="Q12" s="50">
        <v>8</v>
      </c>
      <c r="X12" s="2" t="s">
        <v>3444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1822.74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3091</v>
      </c>
      <c r="N13" s="94">
        <f>RTD("money.excel",,"$TWO10","Price")</f>
        <v>158.33000000000001</v>
      </c>
      <c r="O13" s="8">
        <v>7</v>
      </c>
      <c r="P13" s="5">
        <v>1</v>
      </c>
      <c r="Q13" s="50">
        <v>11</v>
      </c>
      <c r="X13" s="268" t="s">
        <v>3452</v>
      </c>
      <c r="Y13" s="268">
        <v>385</v>
      </c>
      <c r="Z13" s="268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274.29000000000002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876</v>
      </c>
      <c r="N14" s="94">
        <f>RTD("money.excel",,"$TWO14","Price")</f>
        <v>164.27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568.95000000000005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4">
        <f>RTD("money.excel",,"$TWO15","Price")</f>
        <v>233.61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3356</v>
      </c>
      <c r="G16" s="39">
        <f>RTD("money.excel",,"$TWT05","Price")</f>
        <v>218.61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4">
        <f>RTD("money.excel",,"$TWO16","Price")</f>
        <v>65.069999999999993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93.78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4">
        <f>RTD("money.excel",,"$TWO21","Price")</f>
        <v>130.72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53.77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1025</v>
      </c>
      <c r="N18" s="94">
        <f>RTD("money.excel",,"$TWO32","Price")</f>
        <v>105.09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3413</v>
      </c>
      <c r="G19" s="39">
        <f>RTD("money.excel",,"$TWT09","Price")</f>
        <v>346.5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1960</v>
      </c>
      <c r="N19" s="94">
        <f>RTD("money.excel",,"$TWO20","Price")</f>
        <v>119.29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3091</v>
      </c>
      <c r="G20" s="39">
        <f>RTD("money.excel",,"$TWT10","Price")</f>
        <v>160.5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4">
        <f>RTD("money.excel",,"$TWO22","Price")</f>
        <v>171.66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246.52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1852</v>
      </c>
      <c r="G22" s="39">
        <f>RTD("money.excel",,"$TWT12","Price")</f>
        <v>302.17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876</v>
      </c>
      <c r="G23" s="39">
        <f>RTD("money.excel",,"$TWT14","Price")</f>
        <v>363.09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268.82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91.49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279.91000000000003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356.68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143.24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63.08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117.92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3475</v>
      </c>
    </row>
    <row r="35" spans="24:24">
      <c r="X35" s="268" t="s">
        <v>3476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5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當沖3元跌幅15%</vt:lpstr>
      <vt:lpstr>加碼排名前100</vt:lpstr>
      <vt:lpstr>30權值10櫃</vt:lpstr>
      <vt:lpstr>TSE OTC全部</vt:lpstr>
      <vt:lpstr>看盤指數新股</vt:lpstr>
      <vt:lpstr>stock</vt:lpstr>
      <vt:lpstr>321買</vt:lpstr>
      <vt:lpstr>融外自投</vt:lpstr>
      <vt:lpstr>今日總結</vt:lpstr>
      <vt:lpstr>基本資料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</cp:lastModifiedBy>
  <dcterms:created xsi:type="dcterms:W3CDTF">2017-08-30T00:03:45Z</dcterms:created>
  <dcterms:modified xsi:type="dcterms:W3CDTF">2022-05-11T10:40:14Z</dcterms:modified>
</cp:coreProperties>
</file>